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codeName="ThisWorkbook" hidePivotFieldList="1"/>
  <mc:AlternateContent xmlns:mc="http://schemas.openxmlformats.org/markup-compatibility/2006">
    <mc:Choice Requires="x15">
      <x15ac:absPath xmlns:x15ac="http://schemas.microsoft.com/office/spreadsheetml/2010/11/ac" url="\\fpcr-fs-01\Projects2\12500\12538\ECO\Net Gain\Calculations\Rev B June 25\"/>
    </mc:Choice>
  </mc:AlternateContent>
  <xr:revisionPtr revIDLastSave="0" documentId="8_{2783DA24-FE50-4C2E-8EEB-78E62080C39A}" xr6:coauthVersionLast="47" xr6:coauthVersionMax="47" xr10:uidLastSave="{00000000-0000-0000-0000-000000000000}"/>
  <bookViews>
    <workbookView xWindow="-108" yWindow="-108" windowWidth="20376" windowHeight="12216" tabRatio="761" firstSheet="1" activeTab="1" xr2:uid="{00000000-000D-0000-FFFF-FFFF00000000}"/>
  </bookViews>
  <sheets>
    <sheet name="Introduction" sheetId="101" state="hidden" r:id="rId1"/>
    <sheet name="Start" sheetId="96" r:id="rId2"/>
    <sheet name="Main Menu" sheetId="78" r:id="rId3"/>
    <sheet name="Unit shortfall summary" sheetId="109" state="hidden" r:id="rId4"/>
    <sheet name="Results" sheetId="79" r:id="rId5"/>
    <sheet name="Headline Results" sheetId="73" r:id="rId6"/>
    <sheet name="Detailed Results" sheetId="36" state="hidden" r:id="rId7"/>
    <sheet name="Trading Summary Area Habitats" sheetId="72" r:id="rId8"/>
    <sheet name="Trading Summary Hedgerows" sheetId="104" r:id="rId9"/>
    <sheet name="Trading Summary WaterC's" sheetId="105" r:id="rId10"/>
    <sheet name="Off-site gain site summary" sheetId="107" state="hidden" r:id="rId11"/>
    <sheet name="Irreplaceable Habitats" sheetId="108" state="hidden" r:id="rId12"/>
    <sheet name="A-1 On-Site Habitat Baseline" sheetId="11" r:id="rId13"/>
    <sheet name="A-2 On-Site Habitat Creation" sheetId="46" r:id="rId14"/>
    <sheet name="A-3 On-Site Habitat Enhancement" sheetId="32" state="hidden" r:id="rId15"/>
    <sheet name="D-1 Off-Site Habitat Baseline" sheetId="59" r:id="rId16"/>
    <sheet name="D-2 Off-Site Habitat Creation" sheetId="71" r:id="rId17"/>
    <sheet name="D-3 Off-Site Habitat Enhancment" sheetId="50" state="hidden" r:id="rId18"/>
    <sheet name="B-1 On-Site Hedge Baseline" sheetId="52" r:id="rId19"/>
    <sheet name="B-2 On-Site Hedge Creation" sheetId="42" r:id="rId20"/>
    <sheet name="B-3 On-Site Hedge Enhancement" sheetId="53"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r:id="rId28"/>
    <sheet name="F-2 Off-Site WaterC' Creation" sheetId="68" state="hidden" r:id="rId29"/>
    <sheet name="F-3 Off-Site WaterC Enhancement" sheetId="69" r:id="rId30"/>
    <sheet name="Unit shortfall calculations" sheetId="110" state="hidden" r:id="rId31"/>
    <sheet name="G-1 All Habitats" sheetId="29" state="hidden" r:id="rId32"/>
    <sheet name="G-2 Habitat groups" sheetId="22" state="hidden" r:id="rId33"/>
    <sheet name="G-3 Multipliers" sheetId="28" state="hidden" r:id="rId34"/>
    <sheet name="G-4 Temporal multipliers" sheetId="20" state="hidden" r:id="rId35"/>
    <sheet name="G-5 Enhancement Temporal" sheetId="33" state="hidden" r:id="rId36"/>
    <sheet name="G-6 Hedgerow Data" sheetId="39" state="hidden" r:id="rId37"/>
    <sheet name="G-7 WaterC' Data" sheetId="66" state="hidden" r:id="rId38"/>
    <sheet name="G-8 Condition Look up" sheetId="99" state="hidden" r:id="rId39"/>
    <sheet name="Version History" sheetId="111" state="hidden" r:id="rId40"/>
    <sheet name="Phase 1 Translation Tool" sheetId="103" state="hidden" r:id="rId41"/>
    <sheet name="Technical Data" sheetId="95" state="hidden" r:id="rId42"/>
    <sheet name="Lists" sheetId="61" state="hidden" r:id="rId43"/>
  </sheets>
  <externalReferences>
    <externalReference r:id="rId44"/>
    <externalReference r:id="rId45"/>
    <externalReference r:id="rId46"/>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1" hidden="1">'G-1 All Habitats'!$B$2:$S$134</definedName>
    <definedName name="_xlnm._FilterDatabase" localSheetId="32" hidden="1">'G-2 Habitat groups'!$A$3:$R$81</definedName>
    <definedName name="_xlnm._FilterDatabase" localSheetId="33" hidden="1">'G-3 Multipliers'!$A$2:$E$124</definedName>
    <definedName name="_xlnm._FilterDatabase" localSheetId="34" hidden="1">'G-4 Temporal multipliers'!$F$3:$M$130</definedName>
    <definedName name="_xlnm._FilterDatabase" localSheetId="35" hidden="1">'G-5 Enhancement Temporal'!$C$3:$Y$134</definedName>
    <definedName name="_xlnm._FilterDatabase" localSheetId="38" hidden="1">'G-8 Condition Look up'!$A$3:$H$81</definedName>
    <definedName name="_xlnm._FilterDatabase" localSheetId="42" hidden="1">Lists!$D$1:$D$140</definedName>
    <definedName name="_xlnm._FilterDatabase" localSheetId="40" hidden="1">'Phase 1 Translation Tool'!$B$3:$D$154</definedName>
    <definedName name="_xlnm._FilterDatabase" localSheetId="7" hidden="1">'Trading Summary Area Habitats'!$B$12:$D$36</definedName>
    <definedName name="_xlnm._FilterDatabase" localSheetId="8" hidden="1">'Trading Summary Hedgerows'!#REF!</definedName>
    <definedName name="_xlnm._FilterDatabase" localSheetId="9" hidden="1">'Trading Summary WaterC''s'!$B$12:$D$17</definedName>
    <definedName name="AA">'G-7 WaterC'' Data'!$B$4</definedName>
    <definedName name="AllHabsSummaryData" localSheetId="30">'G-2 Habitat groups'!$A$3:$AF$135</definedName>
    <definedName name="AllHabsSummaryData">'G-2 Habitat groups'!$A$3:$AF$135</definedName>
    <definedName name="BaselineHabOffsite" localSheetId="30">'D-1 Off-Site Habitat Baseline'!$D$11:$AA$258</definedName>
    <definedName name="BaselineHabOffsite">'D-1 Off-Site Habitat Baseline'!$D$11:$AA$258</definedName>
    <definedName name="BaselineHabSite" localSheetId="30">'A-1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Habitats'!$A$104</definedName>
    <definedName name="Coastal_saltmarsh">'G-1 All Habitats'!$A$113:$A$114</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8">'G-8 Condition Look up'!$B$3:$H$3</definedName>
    <definedName name="ConditionData" localSheetId="38">'G-8 Condition Look up'!$A$4:$H$102</definedName>
    <definedName name="ConditionHabitats" localSheetId="38">'G-8 Condition Look up'!$A$4:$A$128</definedName>
    <definedName name="Cropland">'G-1 All Habitats'!$A$3:$A$12</definedName>
    <definedName name="Difficulty" localSheetId="30">'G-3 Multipliers'!$P$3:$Q$6</definedName>
    <definedName name="Difficulty">'G-3 Multipliers'!$P$3:$Q$6</definedName>
    <definedName name="Encroachment1" localSheetId="30">'G-7 WaterC'' Data'!$AD$4:$AD$13</definedName>
    <definedName name="Encroachment1">'G-7 WaterC'' Data'!$AD$4:$AD$13</definedName>
    <definedName name="Encroachment2" localSheetId="30">'G-7 WaterC'' Data'!$AD$14</definedName>
    <definedName name="Encroachment2">'G-7 WaterC'' Data'!$AD$14</definedName>
    <definedName name="EnhanceCondition" localSheetId="30">'G-5 Enhancement Temporal'!$C$4:$X$4</definedName>
    <definedName name="EnhanceCondition">'G-5 Enhancement Temporal'!$C$4:$X$4</definedName>
    <definedName name="EnhanceHabitat" localSheetId="30">'G-5 Enhancement Temporal'!$C$4:$C$136</definedName>
    <definedName name="EnhanceHabitat">'G-5 Enhancement Temporal'!$C$4:$C$136</definedName>
    <definedName name="EnhanceTemporal" localSheetId="30">'G-5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Habitats'!$A$132:$A$134</definedName>
    <definedName name="Intertidal_sediment">'G-1 All Habitats'!$A$115:$A$131</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 localSheetId="30">'G-7 WaterC'' Data'!$AA$4:$AA$6</definedName>
    <definedName name="riparianencroachment1">'G-7 WaterC'' Data'!$AA$4:$AA$6</definedName>
    <definedName name="riparianencroachment2" localSheetId="30">'G-7 WaterC'' Data'!$AA$7</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Habitats'!$A$105:$A$112</definedName>
    <definedName name="Sparsely_vegetated_land">'G-1 All Habitats'!$A$50:$A$58</definedName>
    <definedName name="TemporalConditions" localSheetId="30">'G-4 Temporal multipliers'!$F$3:$M$3</definedName>
    <definedName name="TemporalConditions">'G-4 Temporal multipliers'!$F$3:$M$3</definedName>
    <definedName name="TemporalData" localSheetId="30">'G-4 Temporal multipliers'!$F$3:$M$135</definedName>
    <definedName name="TemporalData">'G-4 Temporal multipliers'!$F$3:$M$135</definedName>
    <definedName name="TemporalHabitats" localSheetId="30">'G-4 Temporal multipliers'!$F$3:$F$135</definedName>
    <definedName name="TemporalHabitats">'G-4 Temporal multipliers'!$F$3:$F$135</definedName>
    <definedName name="TemporalMultipliers" localSheetId="30">'G-4 Temporal multipliers'!$A$4:$C$36</definedName>
    <definedName name="TemporalMultipliers">'G-4 Temporal multipliers'!$A$4:$C$36</definedName>
    <definedName name="Urban">'G-1 All Habitats'!$A$59:$A$79</definedName>
    <definedName name="Watercourse_footprint">'G-1 All Habitats'!$A$135</definedName>
    <definedName name="Wetland">'G-1 All Habitats'!$A$82:$A$89</definedName>
    <definedName name="Woodland_and_forest">'G-1 All Habitats'!$A$90:$A$102</definedName>
    <definedName name="Woodland_and_forest_2">'G-1 All Habitats'!$A$91:$A$103</definedName>
    <definedName name="Woodland_and_forest_3">'G-1 All Habitats'!$A$91:$A$102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 i="55" l="1"/>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Q10" i="55"/>
  <c r="O12" i="64"/>
  <c r="R12" i="58"/>
  <c r="W13" i="58"/>
  <c r="W14" i="58"/>
  <c r="W15" i="58"/>
  <c r="W16" i="58"/>
  <c r="W17" i="58"/>
  <c r="W18" i="58"/>
  <c r="W19" i="58"/>
  <c r="W20" i="58"/>
  <c r="W21" i="58"/>
  <c r="W22" i="58"/>
  <c r="W23" i="58"/>
  <c r="W24" i="58"/>
  <c r="W25" i="58"/>
  <c r="W26" i="58"/>
  <c r="W27" i="58"/>
  <c r="W28" i="58"/>
  <c r="W29" i="58"/>
  <c r="W30" i="58"/>
  <c r="W31" i="58"/>
  <c r="W32" i="58"/>
  <c r="W33" i="58"/>
  <c r="W34" i="58"/>
  <c r="W35" i="58"/>
  <c r="W36" i="58"/>
  <c r="W37" i="58"/>
  <c r="W38" i="58"/>
  <c r="W39" i="58"/>
  <c r="W40" i="58"/>
  <c r="W41" i="58"/>
  <c r="W42" i="58"/>
  <c r="W43" i="58"/>
  <c r="W44" i="58"/>
  <c r="W45" i="58"/>
  <c r="W46" i="58"/>
  <c r="W47" i="58"/>
  <c r="W48" i="58"/>
  <c r="W49" i="58"/>
  <c r="W50" i="58"/>
  <c r="W51" i="58"/>
  <c r="W52" i="58"/>
  <c r="W53" i="58"/>
  <c r="W54" i="58"/>
  <c r="W55" i="58"/>
  <c r="W56" i="58"/>
  <c r="W57" i="58"/>
  <c r="W58" i="58"/>
  <c r="W59" i="58"/>
  <c r="W60" i="58"/>
  <c r="W61" i="58"/>
  <c r="W62" i="58"/>
  <c r="W63" i="58"/>
  <c r="W64" i="58"/>
  <c r="W65" i="58"/>
  <c r="W66" i="58"/>
  <c r="W67" i="58"/>
  <c r="W68" i="58"/>
  <c r="W69" i="58"/>
  <c r="W70" i="58"/>
  <c r="W71" i="58"/>
  <c r="W72" i="58"/>
  <c r="W73" i="58"/>
  <c r="W74" i="58"/>
  <c r="W75" i="58"/>
  <c r="W76" i="58"/>
  <c r="W77" i="58"/>
  <c r="W78" i="58"/>
  <c r="W79" i="58"/>
  <c r="W80" i="58"/>
  <c r="W81" i="58"/>
  <c r="W82" i="58"/>
  <c r="W83" i="58"/>
  <c r="W84" i="58"/>
  <c r="W85" i="58"/>
  <c r="W86" i="58"/>
  <c r="W87" i="58"/>
  <c r="W88" i="58"/>
  <c r="W89" i="58"/>
  <c r="W90" i="58"/>
  <c r="W91" i="58"/>
  <c r="W92" i="58"/>
  <c r="W93" i="58"/>
  <c r="W94" i="58"/>
  <c r="W95" i="58"/>
  <c r="W96" i="58"/>
  <c r="W97" i="58"/>
  <c r="W98" i="58"/>
  <c r="W99" i="58"/>
  <c r="W100" i="58"/>
  <c r="W101" i="58"/>
  <c r="W102" i="58"/>
  <c r="W103" i="58"/>
  <c r="W104" i="58"/>
  <c r="W105" i="58"/>
  <c r="W106" i="58"/>
  <c r="W107" i="58"/>
  <c r="W108" i="58"/>
  <c r="W109" i="58"/>
  <c r="W110" i="58"/>
  <c r="W111" i="58"/>
  <c r="W112" i="58"/>
  <c r="W113" i="58"/>
  <c r="W114" i="58"/>
  <c r="W115" i="58"/>
  <c r="W116" i="58"/>
  <c r="W117" i="58"/>
  <c r="W118" i="58"/>
  <c r="W119" i="58"/>
  <c r="W120" i="58"/>
  <c r="W121" i="58"/>
  <c r="W122" i="58"/>
  <c r="W123" i="58"/>
  <c r="W124" i="58"/>
  <c r="W125" i="58"/>
  <c r="W126" i="58"/>
  <c r="W127" i="58"/>
  <c r="W128" i="58"/>
  <c r="W129" i="58"/>
  <c r="W130" i="58"/>
  <c r="W131" i="58"/>
  <c r="W132" i="58"/>
  <c r="W133" i="58"/>
  <c r="W134" i="58"/>
  <c r="W135" i="58"/>
  <c r="W136" i="58"/>
  <c r="W137" i="58"/>
  <c r="W138" i="58"/>
  <c r="W139" i="58"/>
  <c r="W140" i="58"/>
  <c r="W141" i="58"/>
  <c r="W142" i="58"/>
  <c r="W143" i="58"/>
  <c r="W144" i="58"/>
  <c r="W145" i="58"/>
  <c r="W146" i="58"/>
  <c r="W147" i="58"/>
  <c r="W148" i="58"/>
  <c r="W149" i="58"/>
  <c r="W150" i="58"/>
  <c r="W151" i="58"/>
  <c r="W152" i="58"/>
  <c r="W153" i="58"/>
  <c r="W154" i="58"/>
  <c r="W155" i="58"/>
  <c r="W156" i="58"/>
  <c r="W157" i="58"/>
  <c r="W158" i="58"/>
  <c r="W159" i="58"/>
  <c r="W160" i="58"/>
  <c r="W161" i="58"/>
  <c r="W162" i="58"/>
  <c r="W163" i="58"/>
  <c r="W164" i="58"/>
  <c r="W165" i="58"/>
  <c r="W166" i="58"/>
  <c r="W167" i="58"/>
  <c r="W168" i="58"/>
  <c r="W169" i="58"/>
  <c r="W170" i="58"/>
  <c r="W171" i="58"/>
  <c r="W172" i="58"/>
  <c r="W173" i="58"/>
  <c r="W174" i="58"/>
  <c r="W175" i="58"/>
  <c r="W176" i="58"/>
  <c r="W177" i="58"/>
  <c r="W178" i="58"/>
  <c r="W179" i="58"/>
  <c r="W180" i="58"/>
  <c r="W181" i="58"/>
  <c r="W182" i="58"/>
  <c r="W183" i="58"/>
  <c r="W184" i="58"/>
  <c r="W185" i="58"/>
  <c r="W186" i="58"/>
  <c r="W187" i="58"/>
  <c r="W188" i="58"/>
  <c r="W189" i="58"/>
  <c r="W190" i="58"/>
  <c r="W191" i="58"/>
  <c r="W192" i="58"/>
  <c r="W193" i="58"/>
  <c r="W194" i="58"/>
  <c r="W195" i="58"/>
  <c r="W196" i="58"/>
  <c r="W197" i="58"/>
  <c r="W198" i="58"/>
  <c r="W199" i="58"/>
  <c r="W200" i="58"/>
  <c r="W201" i="58"/>
  <c r="W202" i="58"/>
  <c r="W203" i="58"/>
  <c r="W204" i="58"/>
  <c r="W205" i="58"/>
  <c r="W206" i="58"/>
  <c r="W207" i="58"/>
  <c r="W208" i="58"/>
  <c r="W209" i="58"/>
  <c r="W210" i="58"/>
  <c r="W211" i="58"/>
  <c r="W212" i="58"/>
  <c r="W213" i="58"/>
  <c r="W214" i="58"/>
  <c r="W215" i="58"/>
  <c r="W216" i="58"/>
  <c r="W217" i="58"/>
  <c r="W218" i="58"/>
  <c r="W219" i="58"/>
  <c r="W220" i="58"/>
  <c r="W221" i="58"/>
  <c r="W222" i="58"/>
  <c r="W223" i="58"/>
  <c r="W224" i="58"/>
  <c r="W225" i="58"/>
  <c r="W226" i="58"/>
  <c r="W227" i="58"/>
  <c r="W228" i="58"/>
  <c r="W229" i="58"/>
  <c r="W230" i="58"/>
  <c r="W231" i="58"/>
  <c r="W232" i="58"/>
  <c r="W233" i="58"/>
  <c r="W234" i="58"/>
  <c r="W235" i="58"/>
  <c r="W236" i="58"/>
  <c r="W237" i="58"/>
  <c r="W238" i="58"/>
  <c r="W239" i="58"/>
  <c r="W240" i="58"/>
  <c r="W241" i="58"/>
  <c r="W242" i="58"/>
  <c r="W243" i="58"/>
  <c r="W244" i="58"/>
  <c r="W245" i="58"/>
  <c r="W246" i="58"/>
  <c r="W247" i="58"/>
  <c r="W248" i="58"/>
  <c r="W249" i="58"/>
  <c r="W250" i="58"/>
  <c r="W251" i="58"/>
  <c r="W252" i="58"/>
  <c r="W253" i="58"/>
  <c r="W254" i="58"/>
  <c r="W255" i="58"/>
  <c r="W256" i="58"/>
  <c r="W257" i="58"/>
  <c r="W258" i="58"/>
  <c r="W259" i="58"/>
  <c r="S13" i="58"/>
  <c r="S14" i="58"/>
  <c r="S15" i="58"/>
  <c r="S16" i="58"/>
  <c r="S17" i="58"/>
  <c r="S18" i="58"/>
  <c r="S19" i="58"/>
  <c r="S20" i="58"/>
  <c r="S21" i="58"/>
  <c r="S22" i="58"/>
  <c r="S23" i="58"/>
  <c r="S24" i="58"/>
  <c r="S25" i="58"/>
  <c r="S26" i="58"/>
  <c r="S27" i="58"/>
  <c r="S28" i="58"/>
  <c r="S29" i="58"/>
  <c r="S30" i="58"/>
  <c r="S31" i="58"/>
  <c r="S32" i="58"/>
  <c r="S33" i="58"/>
  <c r="S34" i="58"/>
  <c r="S35" i="58"/>
  <c r="S36" i="58"/>
  <c r="S37" i="58"/>
  <c r="S38" i="58"/>
  <c r="S39" i="58"/>
  <c r="S40" i="58"/>
  <c r="S41" i="58"/>
  <c r="S42" i="58"/>
  <c r="S43" i="58"/>
  <c r="S44" i="58"/>
  <c r="S45" i="58"/>
  <c r="S46" i="58"/>
  <c r="S47" i="58"/>
  <c r="S48" i="58"/>
  <c r="S49" i="58"/>
  <c r="S50" i="58"/>
  <c r="S51" i="58"/>
  <c r="S52" i="58"/>
  <c r="S53" i="58"/>
  <c r="S54" i="58"/>
  <c r="S55" i="58"/>
  <c r="S56" i="58"/>
  <c r="S57" i="58"/>
  <c r="S58" i="58"/>
  <c r="S59" i="58"/>
  <c r="S60" i="58"/>
  <c r="S61" i="58"/>
  <c r="S62" i="58"/>
  <c r="S63" i="58"/>
  <c r="S64" i="58"/>
  <c r="S65" i="58"/>
  <c r="S66" i="58"/>
  <c r="S67" i="58"/>
  <c r="S68" i="58"/>
  <c r="S69" i="58"/>
  <c r="S70" i="58"/>
  <c r="S71" i="58"/>
  <c r="S72" i="58"/>
  <c r="S73" i="58"/>
  <c r="S74" i="58"/>
  <c r="S75" i="58"/>
  <c r="S76" i="58"/>
  <c r="S77" i="58"/>
  <c r="S78" i="58"/>
  <c r="S79" i="58"/>
  <c r="S80" i="58"/>
  <c r="S81" i="58"/>
  <c r="S82" i="58"/>
  <c r="S83" i="58"/>
  <c r="S84" i="58"/>
  <c r="S85" i="58"/>
  <c r="S86" i="58"/>
  <c r="S87" i="58"/>
  <c r="S88" i="58"/>
  <c r="S89" i="58"/>
  <c r="S90" i="58"/>
  <c r="S91" i="58"/>
  <c r="S92" i="58"/>
  <c r="S93" i="58"/>
  <c r="S94" i="58"/>
  <c r="S95" i="58"/>
  <c r="S96" i="58"/>
  <c r="S97" i="58"/>
  <c r="S98" i="58"/>
  <c r="S99" i="58"/>
  <c r="S100" i="58"/>
  <c r="S101" i="58"/>
  <c r="S102" i="58"/>
  <c r="S103" i="58"/>
  <c r="S104" i="58"/>
  <c r="S105" i="58"/>
  <c r="S106" i="58"/>
  <c r="S107" i="58"/>
  <c r="S108" i="58"/>
  <c r="S109" i="58"/>
  <c r="S110" i="58"/>
  <c r="S111" i="58"/>
  <c r="S112" i="58"/>
  <c r="S113" i="58"/>
  <c r="S114" i="58"/>
  <c r="S115" i="58"/>
  <c r="S116" i="58"/>
  <c r="S117" i="58"/>
  <c r="S118" i="58"/>
  <c r="S119" i="58"/>
  <c r="S120" i="58"/>
  <c r="S121" i="58"/>
  <c r="S122" i="58"/>
  <c r="S123" i="58"/>
  <c r="S124" i="58"/>
  <c r="S125" i="58"/>
  <c r="S126" i="58"/>
  <c r="S127" i="58"/>
  <c r="S128" i="58"/>
  <c r="S129" i="58"/>
  <c r="S130" i="58"/>
  <c r="S131" i="58"/>
  <c r="S132" i="58"/>
  <c r="S133" i="58"/>
  <c r="S134" i="58"/>
  <c r="S135" i="58"/>
  <c r="S136" i="58"/>
  <c r="S137" i="58"/>
  <c r="S138" i="58"/>
  <c r="S139" i="58"/>
  <c r="S140" i="58"/>
  <c r="S141" i="58"/>
  <c r="S142" i="58"/>
  <c r="S143" i="58"/>
  <c r="S144" i="58"/>
  <c r="S145" i="58"/>
  <c r="S146" i="58"/>
  <c r="S147" i="58"/>
  <c r="S148" i="58"/>
  <c r="S149" i="58"/>
  <c r="S150" i="58"/>
  <c r="S151" i="58"/>
  <c r="S152" i="58"/>
  <c r="S153" i="58"/>
  <c r="S154" i="58"/>
  <c r="S155" i="58"/>
  <c r="S156" i="58"/>
  <c r="S157" i="58"/>
  <c r="S158" i="58"/>
  <c r="S159" i="58"/>
  <c r="S160" i="58"/>
  <c r="S161" i="58"/>
  <c r="S162" i="58"/>
  <c r="S163" i="58"/>
  <c r="S164" i="58"/>
  <c r="S165" i="58"/>
  <c r="S166" i="58"/>
  <c r="S167" i="58"/>
  <c r="S168" i="58"/>
  <c r="S169" i="58"/>
  <c r="S170" i="58"/>
  <c r="S171" i="58"/>
  <c r="S172" i="58"/>
  <c r="S173" i="58"/>
  <c r="S174" i="58"/>
  <c r="S175" i="58"/>
  <c r="S176" i="58"/>
  <c r="S177" i="58"/>
  <c r="S178" i="58"/>
  <c r="S179" i="58"/>
  <c r="S180" i="58"/>
  <c r="S181" i="58"/>
  <c r="S182" i="58"/>
  <c r="S183" i="58"/>
  <c r="S184" i="58"/>
  <c r="S185" i="58"/>
  <c r="S186" i="58"/>
  <c r="S187" i="58"/>
  <c r="S188" i="58"/>
  <c r="S189" i="58"/>
  <c r="S190" i="58"/>
  <c r="S191" i="58"/>
  <c r="S192" i="58"/>
  <c r="S193" i="58"/>
  <c r="S194" i="58"/>
  <c r="S195" i="58"/>
  <c r="S196" i="58"/>
  <c r="S197" i="58"/>
  <c r="S198" i="58"/>
  <c r="S199" i="58"/>
  <c r="S200" i="58"/>
  <c r="S201" i="58"/>
  <c r="S202" i="58"/>
  <c r="S203" i="58"/>
  <c r="S204" i="58"/>
  <c r="S205" i="58"/>
  <c r="S206" i="58"/>
  <c r="S207" i="58"/>
  <c r="S208" i="58"/>
  <c r="S209" i="58"/>
  <c r="S210" i="58"/>
  <c r="S211" i="58"/>
  <c r="S212" i="58"/>
  <c r="S213" i="58"/>
  <c r="S214" i="58"/>
  <c r="S215" i="58"/>
  <c r="S216" i="58"/>
  <c r="S217" i="58"/>
  <c r="S218" i="58"/>
  <c r="S219" i="58"/>
  <c r="S220" i="58"/>
  <c r="S221" i="58"/>
  <c r="S222" i="58"/>
  <c r="S223" i="58"/>
  <c r="S224" i="58"/>
  <c r="S225" i="58"/>
  <c r="S226" i="58"/>
  <c r="S227" i="58"/>
  <c r="S228" i="58"/>
  <c r="S229" i="58"/>
  <c r="S230" i="58"/>
  <c r="S231" i="58"/>
  <c r="S232" i="58"/>
  <c r="S233" i="58"/>
  <c r="S234" i="58"/>
  <c r="S235" i="58"/>
  <c r="S236" i="58"/>
  <c r="S237" i="58"/>
  <c r="S238" i="58"/>
  <c r="S239" i="58"/>
  <c r="S240" i="58"/>
  <c r="S241" i="58"/>
  <c r="S242" i="58"/>
  <c r="S243" i="58"/>
  <c r="S244" i="58"/>
  <c r="S245" i="58"/>
  <c r="S246" i="58"/>
  <c r="S247" i="58"/>
  <c r="S248" i="58"/>
  <c r="S249" i="58"/>
  <c r="S250" i="58"/>
  <c r="S251" i="58"/>
  <c r="S252" i="58"/>
  <c r="S253" i="58"/>
  <c r="S254" i="58"/>
  <c r="S255" i="58"/>
  <c r="S256" i="58"/>
  <c r="S257" i="58"/>
  <c r="S258" i="58"/>
  <c r="S259" i="58"/>
  <c r="S12" i="58"/>
  <c r="I104"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AC33" i="108"/>
  <c r="AC34" i="108"/>
  <c r="AC35" i="108"/>
  <c r="AC36" i="108"/>
  <c r="AC37" i="108"/>
  <c r="AC38" i="108"/>
  <c r="AC39" i="108"/>
  <c r="AC40" i="108"/>
  <c r="AC41" i="108"/>
  <c r="AC42" i="108"/>
  <c r="AC43" i="108"/>
  <c r="AC44" i="108"/>
  <c r="AC45" i="108"/>
  <c r="AC46" i="108"/>
  <c r="AC47" i="108"/>
  <c r="AC48" i="108"/>
  <c r="AC49" i="108"/>
  <c r="AC50" i="108"/>
  <c r="AC51" i="108"/>
  <c r="AC52" i="108"/>
  <c r="AC53" i="108"/>
  <c r="AC54" i="108"/>
  <c r="AC55" i="108"/>
  <c r="AC56" i="108"/>
  <c r="AC57" i="108"/>
  <c r="AC58" i="108"/>
  <c r="AC59" i="108"/>
  <c r="AC60" i="108"/>
  <c r="AC61" i="108"/>
  <c r="AC62" i="108"/>
  <c r="AC63" i="108"/>
  <c r="AC64" i="108"/>
  <c r="AC65" i="108"/>
  <c r="AC66" i="108"/>
  <c r="AC67" i="108"/>
  <c r="AC68" i="108"/>
  <c r="AC69" i="108"/>
  <c r="AC70" i="108"/>
  <c r="AC71" i="108"/>
  <c r="AC72" i="108"/>
  <c r="AC73" i="108"/>
  <c r="AC74" i="108"/>
  <c r="AC75" i="108"/>
  <c r="AC76" i="108"/>
  <c r="AC77" i="108"/>
  <c r="AC78" i="108"/>
  <c r="AC79" i="108"/>
  <c r="AC80" i="108"/>
  <c r="AC81" i="108"/>
  <c r="AC82" i="108"/>
  <c r="AC83" i="108"/>
  <c r="AC84" i="108"/>
  <c r="AC85" i="108"/>
  <c r="AC86" i="108"/>
  <c r="AC87" i="108"/>
  <c r="AC88" i="108"/>
  <c r="AC89" i="108"/>
  <c r="AC90" i="108"/>
  <c r="AC91" i="108"/>
  <c r="AC92" i="108"/>
  <c r="AC93" i="108"/>
  <c r="AC94" i="108"/>
  <c r="AC95" i="108"/>
  <c r="AC96" i="108"/>
  <c r="AC97" i="108"/>
  <c r="AC98" i="108"/>
  <c r="AC99" i="108"/>
  <c r="AC100" i="108"/>
  <c r="AC101" i="108"/>
  <c r="AC102" i="108"/>
  <c r="AC103" i="108"/>
  <c r="AC104" i="108"/>
  <c r="AC105" i="108"/>
  <c r="AC106" i="108"/>
  <c r="AC107" i="108"/>
  <c r="AC108" i="108"/>
  <c r="AC109" i="108"/>
  <c r="AC110" i="108"/>
  <c r="AC111" i="108"/>
  <c r="AC112" i="108"/>
  <c r="AC113" i="108"/>
  <c r="AC114" i="108"/>
  <c r="AC115" i="108"/>
  <c r="AC116" i="108"/>
  <c r="AC117" i="108"/>
  <c r="AC118" i="108"/>
  <c r="AC119" i="108"/>
  <c r="AC120" i="108"/>
  <c r="AC121" i="108"/>
  <c r="AC122" i="108"/>
  <c r="AC123" i="108"/>
  <c r="AC124" i="108"/>
  <c r="AC125" i="108"/>
  <c r="AC126" i="108"/>
  <c r="AC127" i="108"/>
  <c r="AC128" i="108"/>
  <c r="AC129" i="108"/>
  <c r="AC130" i="108"/>
  <c r="AC131" i="108"/>
  <c r="AC132" i="108"/>
  <c r="AC133" i="108"/>
  <c r="AC134" i="108"/>
  <c r="AC135" i="108"/>
  <c r="AC136" i="108"/>
  <c r="AC137" i="108"/>
  <c r="AC138" i="108"/>
  <c r="AC139" i="108"/>
  <c r="AC140" i="108"/>
  <c r="AC141" i="108"/>
  <c r="AC142" i="108"/>
  <c r="AC143" i="108"/>
  <c r="AC144" i="108"/>
  <c r="AC145" i="108"/>
  <c r="AC146" i="108"/>
  <c r="AC147" i="108"/>
  <c r="AC148" i="108"/>
  <c r="AC149" i="108"/>
  <c r="AC150" i="108"/>
  <c r="AC151" i="108"/>
  <c r="AC152" i="108"/>
  <c r="AC153" i="108"/>
  <c r="AC154" i="108"/>
  <c r="AC155" i="108"/>
  <c r="AC156" i="108"/>
  <c r="AC157" i="108"/>
  <c r="AC158" i="108"/>
  <c r="AC159" i="108"/>
  <c r="AC160" i="108"/>
  <c r="AC161" i="108"/>
  <c r="AC162" i="108"/>
  <c r="AC163" i="108"/>
  <c r="AC164" i="108"/>
  <c r="AC165" i="108"/>
  <c r="AC166" i="108"/>
  <c r="AC167" i="108"/>
  <c r="AC168" i="108"/>
  <c r="AC169" i="108"/>
  <c r="AC170" i="108"/>
  <c r="AC171" i="108"/>
  <c r="AC172" i="108"/>
  <c r="AC173" i="108"/>
  <c r="AC174" i="108"/>
  <c r="AC175" i="108"/>
  <c r="AC176" i="108"/>
  <c r="AC177" i="108"/>
  <c r="AC178" i="108"/>
  <c r="AC179" i="108"/>
  <c r="AC180" i="108"/>
  <c r="AC181" i="108"/>
  <c r="AC182" i="108"/>
  <c r="AC183" i="108"/>
  <c r="AC184" i="108"/>
  <c r="AC185" i="108"/>
  <c r="AC186" i="108"/>
  <c r="AC187" i="108"/>
  <c r="AC188" i="108"/>
  <c r="AC189" i="108"/>
  <c r="AC190" i="108"/>
  <c r="AC191" i="108"/>
  <c r="AC192" i="108"/>
  <c r="AC193" i="108"/>
  <c r="AC194" i="108"/>
  <c r="AC195" i="108"/>
  <c r="AC196" i="108"/>
  <c r="AC197" i="108"/>
  <c r="AC198" i="108"/>
  <c r="AC199" i="108"/>
  <c r="AC200" i="108"/>
  <c r="AC201" i="108"/>
  <c r="AC202" i="108"/>
  <c r="AC203" i="108"/>
  <c r="AC204" i="108"/>
  <c r="AC205" i="108"/>
  <c r="AC206" i="108"/>
  <c r="AC207" i="108"/>
  <c r="AC208" i="108"/>
  <c r="AC209" i="108"/>
  <c r="AC210" i="108"/>
  <c r="AC211" i="108"/>
  <c r="AC212" i="108"/>
  <c r="AC213" i="108"/>
  <c r="AC214" i="108"/>
  <c r="AC215" i="108"/>
  <c r="AC216" i="108"/>
  <c r="AC217" i="108"/>
  <c r="AC218" i="108"/>
  <c r="AC219" i="108"/>
  <c r="AC220" i="108"/>
  <c r="AC221" i="108"/>
  <c r="AC222" i="108"/>
  <c r="AC223" i="108"/>
  <c r="AC224" i="108"/>
  <c r="AC225" i="108"/>
  <c r="AC226" i="108"/>
  <c r="AC227" i="108"/>
  <c r="AC228" i="108"/>
  <c r="AC229" i="108"/>
  <c r="AC230" i="108"/>
  <c r="AC231" i="108"/>
  <c r="AC232" i="108"/>
  <c r="AC233" i="108"/>
  <c r="AC234" i="108"/>
  <c r="AC235" i="108"/>
  <c r="AC236" i="108"/>
  <c r="AC237" i="108"/>
  <c r="AC238" i="108"/>
  <c r="AC239" i="108"/>
  <c r="AC240" i="108"/>
  <c r="AC241" i="108"/>
  <c r="AC242" i="108"/>
  <c r="AC243" i="108"/>
  <c r="AC244" i="108"/>
  <c r="AC245" i="108"/>
  <c r="AC246" i="108"/>
  <c r="AC247" i="108"/>
  <c r="AC248" i="108"/>
  <c r="AC249" i="108"/>
  <c r="AC250" i="108"/>
  <c r="AC251" i="108"/>
  <c r="AC252" i="108"/>
  <c r="AC253" i="108"/>
  <c r="AC254" i="108"/>
  <c r="AC255" i="108"/>
  <c r="AC256" i="108"/>
  <c r="AC257" i="108"/>
  <c r="AC258" i="108"/>
  <c r="AC259" i="108"/>
  <c r="R16" i="71"/>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AC12" i="68" l="1"/>
  <c r="Z12" i="5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AM8" i="107"/>
  <c r="AM9" i="107"/>
  <c r="AM10" i="107"/>
  <c r="AM11" i="107"/>
  <c r="AM12" i="107"/>
  <c r="AM13" i="107"/>
  <c r="AM14" i="107"/>
  <c r="AM15" i="107"/>
  <c r="AM16" i="107"/>
  <c r="AM17" i="107"/>
  <c r="AM18" i="107"/>
  <c r="AM19" i="107"/>
  <c r="AM20" i="107"/>
  <c r="AM21" i="107"/>
  <c r="AM22" i="107"/>
  <c r="AM23" i="107"/>
  <c r="AM24" i="107"/>
  <c r="AM25" i="107"/>
  <c r="AM26" i="107"/>
  <c r="AM27" i="107"/>
  <c r="AM28" i="107"/>
  <c r="AM29" i="107"/>
  <c r="AM30" i="107"/>
  <c r="AM31" i="107"/>
  <c r="AM32" i="107"/>
  <c r="AM33" i="107"/>
  <c r="AM34" i="107"/>
  <c r="AM35" i="107"/>
  <c r="AM36" i="107"/>
  <c r="AM37" i="107"/>
  <c r="AM38" i="107"/>
  <c r="AM39" i="107"/>
  <c r="AM40" i="107"/>
  <c r="AM41" i="107"/>
  <c r="AM42" i="107"/>
  <c r="AM43" i="107"/>
  <c r="AM44" i="107"/>
  <c r="AM45" i="107"/>
  <c r="AM46" i="107"/>
  <c r="AM47" i="107"/>
  <c r="AM48" i="107"/>
  <c r="AM49" i="107"/>
  <c r="AM50" i="107"/>
  <c r="AM51" i="107"/>
  <c r="AM52" i="107"/>
  <c r="AM53" i="107"/>
  <c r="AM54" i="107"/>
  <c r="AM55" i="107"/>
  <c r="AM56" i="107"/>
  <c r="AM57" i="107"/>
  <c r="AM58" i="107"/>
  <c r="AM59" i="107"/>
  <c r="AM60" i="107"/>
  <c r="AM61" i="107"/>
  <c r="AM62" i="107"/>
  <c r="AM63" i="107"/>
  <c r="AM64" i="107"/>
  <c r="AM65" i="107"/>
  <c r="AM66" i="107"/>
  <c r="AM67" i="107"/>
  <c r="AM68" i="107"/>
  <c r="AM69" i="107"/>
  <c r="AM70" i="107"/>
  <c r="AM71" i="107"/>
  <c r="AM72" i="107"/>
  <c r="AM73" i="107"/>
  <c r="AM74" i="107"/>
  <c r="AM75" i="107"/>
  <c r="AM76" i="107"/>
  <c r="AM77" i="107"/>
  <c r="AM78" i="107"/>
  <c r="AM79" i="107"/>
  <c r="AM80" i="107"/>
  <c r="AM81" i="107"/>
  <c r="AM82" i="107"/>
  <c r="AM83" i="107"/>
  <c r="AM84" i="107"/>
  <c r="AM85" i="107"/>
  <c r="AM86" i="107"/>
  <c r="AM87" i="107"/>
  <c r="AM88" i="107"/>
  <c r="AM89" i="107"/>
  <c r="AM90" i="107"/>
  <c r="AM91" i="107"/>
  <c r="AM92" i="107"/>
  <c r="AM93" i="107"/>
  <c r="AM94" i="107"/>
  <c r="AM95" i="107"/>
  <c r="AM96" i="107"/>
  <c r="AM97" i="107"/>
  <c r="AM98" i="107"/>
  <c r="AM99" i="107"/>
  <c r="AM100" i="107"/>
  <c r="AM101" i="107"/>
  <c r="AM102" i="107"/>
  <c r="AM103" i="107"/>
  <c r="AM104" i="107"/>
  <c r="AM105" i="107"/>
  <c r="AM106" i="107"/>
  <c r="AM107" i="107"/>
  <c r="Z8" i="107"/>
  <c r="Z9" i="107"/>
  <c r="Z10"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AJ8" i="107" l="1"/>
  <c r="AJ9" i="107"/>
  <c r="AJ10" i="107"/>
  <c r="AJ11" i="107"/>
  <c r="AJ12" i="107"/>
  <c r="AJ13" i="107"/>
  <c r="AJ14" i="107"/>
  <c r="AJ15" i="107"/>
  <c r="AJ16" i="107"/>
  <c r="AJ17" i="107"/>
  <c r="AJ18" i="107"/>
  <c r="AJ19" i="107"/>
  <c r="AJ20" i="107"/>
  <c r="AJ21" i="107"/>
  <c r="AJ22" i="107"/>
  <c r="AJ23" i="107"/>
  <c r="AJ24" i="107"/>
  <c r="AJ25" i="107"/>
  <c r="AJ26" i="107"/>
  <c r="AJ27" i="107"/>
  <c r="AJ28" i="107"/>
  <c r="AJ29" i="107"/>
  <c r="AJ30" i="107"/>
  <c r="AJ31" i="107"/>
  <c r="AJ32" i="107"/>
  <c r="AJ33" i="107"/>
  <c r="AJ34" i="107"/>
  <c r="AJ35" i="107"/>
  <c r="AJ36" i="107"/>
  <c r="AJ37" i="107"/>
  <c r="AJ38" i="107"/>
  <c r="AJ39" i="107"/>
  <c r="AJ40" i="107"/>
  <c r="AJ41" i="107"/>
  <c r="AJ42" i="107"/>
  <c r="AJ43" i="107"/>
  <c r="AJ44" i="107"/>
  <c r="AJ45" i="107"/>
  <c r="AJ46" i="107"/>
  <c r="AJ47" i="107"/>
  <c r="AJ48" i="107"/>
  <c r="AJ49" i="107"/>
  <c r="AJ50" i="107"/>
  <c r="AJ51" i="107"/>
  <c r="AJ52" i="107"/>
  <c r="AJ53" i="107"/>
  <c r="AJ54" i="107"/>
  <c r="AJ55" i="107"/>
  <c r="AJ56" i="107"/>
  <c r="AJ57" i="107"/>
  <c r="AJ58" i="107"/>
  <c r="AJ59" i="107"/>
  <c r="AJ60" i="107"/>
  <c r="AJ61" i="107"/>
  <c r="AJ62" i="107"/>
  <c r="AJ63" i="107"/>
  <c r="AJ64" i="107"/>
  <c r="AJ65" i="107"/>
  <c r="AJ66" i="107"/>
  <c r="AJ67" i="107"/>
  <c r="AJ68" i="107"/>
  <c r="AJ69" i="107"/>
  <c r="AJ70" i="107"/>
  <c r="AJ71" i="107"/>
  <c r="AJ72" i="107"/>
  <c r="AJ73" i="107"/>
  <c r="AJ74" i="107"/>
  <c r="AJ75" i="107"/>
  <c r="AJ76" i="107"/>
  <c r="AJ77" i="107"/>
  <c r="AJ78" i="107"/>
  <c r="AJ79" i="107"/>
  <c r="AJ80" i="107"/>
  <c r="AJ81" i="107"/>
  <c r="AJ82" i="107"/>
  <c r="AJ83" i="107"/>
  <c r="AJ84" i="107"/>
  <c r="AJ85" i="107"/>
  <c r="AJ86" i="107"/>
  <c r="AJ87" i="107"/>
  <c r="AJ88" i="107"/>
  <c r="AJ89" i="107"/>
  <c r="AJ90" i="107"/>
  <c r="AJ91" i="107"/>
  <c r="AJ92" i="107"/>
  <c r="AJ93" i="107"/>
  <c r="AJ94" i="107"/>
  <c r="AJ95" i="107"/>
  <c r="AJ96" i="107"/>
  <c r="AJ97" i="107"/>
  <c r="AJ98" i="107"/>
  <c r="AJ99" i="107"/>
  <c r="AJ100" i="107"/>
  <c r="AJ101" i="107"/>
  <c r="AJ102" i="107"/>
  <c r="AJ103" i="107"/>
  <c r="AJ104" i="107"/>
  <c r="AJ105" i="107"/>
  <c r="AJ106" i="107"/>
  <c r="AJ107" i="107"/>
  <c r="AH8" i="107"/>
  <c r="AH9" i="107"/>
  <c r="AH10" i="107"/>
  <c r="AH11" i="107"/>
  <c r="AH12" i="107"/>
  <c r="AH13" i="107"/>
  <c r="AH14" i="107"/>
  <c r="AH15" i="107"/>
  <c r="AH16" i="107"/>
  <c r="AH17" i="107"/>
  <c r="AH18" i="107"/>
  <c r="AH19" i="107"/>
  <c r="AH20" i="107"/>
  <c r="AH21" i="107"/>
  <c r="AH22" i="107"/>
  <c r="AH23" i="107"/>
  <c r="AH24" i="107"/>
  <c r="AH25" i="107"/>
  <c r="AH26" i="107"/>
  <c r="AH27" i="107"/>
  <c r="AH28" i="107"/>
  <c r="AH29" i="107"/>
  <c r="AH30" i="107"/>
  <c r="AH31" i="107"/>
  <c r="AH32" i="107"/>
  <c r="AH33" i="107"/>
  <c r="AH34" i="107"/>
  <c r="AH35" i="107"/>
  <c r="AH36" i="107"/>
  <c r="AH37" i="107"/>
  <c r="AH38" i="107"/>
  <c r="AH39" i="107"/>
  <c r="AH40" i="107"/>
  <c r="AH41" i="107"/>
  <c r="AH42" i="107"/>
  <c r="AH43" i="107"/>
  <c r="AH44" i="107"/>
  <c r="AH45" i="107"/>
  <c r="AH46" i="107"/>
  <c r="AH47" i="107"/>
  <c r="AH48" i="107"/>
  <c r="AH49" i="107"/>
  <c r="AH50" i="107"/>
  <c r="AH51" i="107"/>
  <c r="AH52" i="107"/>
  <c r="AH53" i="107"/>
  <c r="AH54" i="107"/>
  <c r="AH55" i="107"/>
  <c r="AH56" i="107"/>
  <c r="AH57" i="107"/>
  <c r="AH58" i="107"/>
  <c r="AH59" i="107"/>
  <c r="AH60" i="107"/>
  <c r="AH61" i="107"/>
  <c r="AH62" i="107"/>
  <c r="AH63" i="107"/>
  <c r="AH64" i="107"/>
  <c r="AH65" i="107"/>
  <c r="AH66" i="107"/>
  <c r="AH67" i="107"/>
  <c r="AH68" i="107"/>
  <c r="AH69" i="107"/>
  <c r="AH70" i="107"/>
  <c r="AH71" i="107"/>
  <c r="AH72" i="107"/>
  <c r="AH73" i="107"/>
  <c r="AH74" i="107"/>
  <c r="AH75" i="107"/>
  <c r="AH76" i="107"/>
  <c r="AH77" i="107"/>
  <c r="AH78" i="107"/>
  <c r="AH79" i="107"/>
  <c r="AH80" i="107"/>
  <c r="AH81" i="107"/>
  <c r="AH82" i="107"/>
  <c r="AH83" i="107"/>
  <c r="AH84" i="107"/>
  <c r="AH85" i="107"/>
  <c r="AH86" i="107"/>
  <c r="AH87" i="107"/>
  <c r="AH88" i="107"/>
  <c r="AH89" i="107"/>
  <c r="AH90" i="107"/>
  <c r="AH91" i="107"/>
  <c r="AH92" i="107"/>
  <c r="AH93" i="107"/>
  <c r="AH94" i="107"/>
  <c r="AH95" i="107"/>
  <c r="AH96" i="107"/>
  <c r="AH97" i="107"/>
  <c r="AH98" i="107"/>
  <c r="AH99" i="107"/>
  <c r="AH100" i="107"/>
  <c r="AH101" i="107"/>
  <c r="AH102" i="107"/>
  <c r="AH103" i="107"/>
  <c r="AH104" i="107"/>
  <c r="AH105" i="107"/>
  <c r="AH106" i="107"/>
  <c r="AH107" i="107"/>
  <c r="AF8" i="107"/>
  <c r="AF9" i="107"/>
  <c r="AF10" i="107"/>
  <c r="AF11" i="107"/>
  <c r="AF12" i="107"/>
  <c r="AF13" i="107"/>
  <c r="AF14" i="107"/>
  <c r="AF15" i="107"/>
  <c r="AF16" i="107"/>
  <c r="AF17" i="107"/>
  <c r="AF18" i="107"/>
  <c r="AF19" i="107"/>
  <c r="AF20" i="107"/>
  <c r="AF21" i="107"/>
  <c r="AF22" i="107"/>
  <c r="AF23" i="107"/>
  <c r="AF24" i="107"/>
  <c r="AF25" i="107"/>
  <c r="AF26" i="107"/>
  <c r="AF27" i="107"/>
  <c r="AF28" i="107"/>
  <c r="AF29" i="107"/>
  <c r="AF30" i="107"/>
  <c r="AF31" i="107"/>
  <c r="AF32" i="107"/>
  <c r="AF33" i="107"/>
  <c r="AF34" i="107"/>
  <c r="AF35" i="107"/>
  <c r="AF36" i="107"/>
  <c r="AF37" i="107"/>
  <c r="AF38" i="107"/>
  <c r="AF39" i="107"/>
  <c r="AF40" i="107"/>
  <c r="AF41" i="107"/>
  <c r="AF42" i="107"/>
  <c r="AF43" i="107"/>
  <c r="AF44" i="107"/>
  <c r="AF45" i="107"/>
  <c r="AF46" i="107"/>
  <c r="AF47" i="107"/>
  <c r="AF48" i="107"/>
  <c r="AF49" i="107"/>
  <c r="AF50" i="107"/>
  <c r="AF51" i="107"/>
  <c r="AF52" i="107"/>
  <c r="AF53" i="107"/>
  <c r="AF54" i="107"/>
  <c r="AF55" i="107"/>
  <c r="AF56" i="107"/>
  <c r="AF57" i="107"/>
  <c r="AF58" i="107"/>
  <c r="AF59" i="107"/>
  <c r="AF60" i="107"/>
  <c r="AF61" i="107"/>
  <c r="AF62" i="107"/>
  <c r="AF63" i="107"/>
  <c r="AF64" i="107"/>
  <c r="AF65" i="107"/>
  <c r="AF66" i="107"/>
  <c r="AF67" i="107"/>
  <c r="AF68" i="107"/>
  <c r="AF69" i="107"/>
  <c r="AF70" i="107"/>
  <c r="AF71" i="107"/>
  <c r="AF72" i="107"/>
  <c r="AF73" i="107"/>
  <c r="AF74" i="107"/>
  <c r="AF75" i="107"/>
  <c r="AF76" i="107"/>
  <c r="AF77" i="107"/>
  <c r="AF78" i="107"/>
  <c r="AF79" i="107"/>
  <c r="AF80" i="107"/>
  <c r="AF81" i="107"/>
  <c r="AF82" i="107"/>
  <c r="AF83" i="107"/>
  <c r="AF84" i="107"/>
  <c r="AF85" i="107"/>
  <c r="AF86" i="107"/>
  <c r="AF87" i="107"/>
  <c r="AF88" i="107"/>
  <c r="AF89" i="107"/>
  <c r="AF90" i="107"/>
  <c r="AF91" i="107"/>
  <c r="AF92" i="107"/>
  <c r="AF93" i="107"/>
  <c r="AF94" i="107"/>
  <c r="AF95" i="107"/>
  <c r="AF96" i="107"/>
  <c r="AF97" i="107"/>
  <c r="AF98" i="107"/>
  <c r="AF99" i="107"/>
  <c r="AF100" i="107"/>
  <c r="AF101" i="107"/>
  <c r="AF102" i="107"/>
  <c r="AF103" i="107"/>
  <c r="AF104" i="107"/>
  <c r="AF105" i="107"/>
  <c r="AF106" i="107"/>
  <c r="AF107" i="107"/>
  <c r="AD8" i="107"/>
  <c r="AD9" i="107"/>
  <c r="AD10" i="107"/>
  <c r="AD11" i="107"/>
  <c r="AD12" i="107"/>
  <c r="AD13" i="107"/>
  <c r="AD14" i="107"/>
  <c r="AD15" i="107"/>
  <c r="AD16" i="107"/>
  <c r="AD17" i="107"/>
  <c r="AD18" i="107"/>
  <c r="AD19" i="107"/>
  <c r="AD20" i="107"/>
  <c r="AD21" i="107"/>
  <c r="AD22" i="107"/>
  <c r="AD23" i="107"/>
  <c r="AD24" i="107"/>
  <c r="AD25" i="107"/>
  <c r="AD26" i="107"/>
  <c r="AD27" i="107"/>
  <c r="AD28" i="107"/>
  <c r="AD29" i="107"/>
  <c r="AD30" i="107"/>
  <c r="AD31" i="107"/>
  <c r="AD32" i="107"/>
  <c r="AD33" i="107"/>
  <c r="AD34" i="107"/>
  <c r="AD35" i="107"/>
  <c r="AD36" i="107"/>
  <c r="AD37" i="107"/>
  <c r="AD38" i="107"/>
  <c r="AD39" i="107"/>
  <c r="AD40" i="107"/>
  <c r="AD41" i="107"/>
  <c r="AD42" i="107"/>
  <c r="AD43" i="107"/>
  <c r="AD44" i="107"/>
  <c r="AD45" i="107"/>
  <c r="AD46" i="107"/>
  <c r="AD47" i="107"/>
  <c r="AD48" i="107"/>
  <c r="AD49" i="107"/>
  <c r="AD50" i="107"/>
  <c r="AD51" i="107"/>
  <c r="AD52" i="107"/>
  <c r="AD53" i="107"/>
  <c r="AD54" i="107"/>
  <c r="AD55" i="107"/>
  <c r="AD56" i="107"/>
  <c r="AD57" i="107"/>
  <c r="AD58" i="107"/>
  <c r="AD59" i="107"/>
  <c r="AD60" i="107"/>
  <c r="AD61" i="107"/>
  <c r="AD62" i="107"/>
  <c r="AD63" i="107"/>
  <c r="AD64" i="107"/>
  <c r="AD65" i="107"/>
  <c r="AD66" i="107"/>
  <c r="AD67" i="107"/>
  <c r="AD68" i="107"/>
  <c r="AD69" i="107"/>
  <c r="AD70" i="107"/>
  <c r="AD71" i="107"/>
  <c r="AD72" i="107"/>
  <c r="AD73" i="107"/>
  <c r="AD74" i="107"/>
  <c r="AD75" i="107"/>
  <c r="AD76" i="107"/>
  <c r="AD77" i="107"/>
  <c r="AD78" i="107"/>
  <c r="AD79" i="107"/>
  <c r="AD80" i="107"/>
  <c r="AD81" i="107"/>
  <c r="AD82" i="107"/>
  <c r="AD83" i="107"/>
  <c r="AD84" i="107"/>
  <c r="AD85" i="107"/>
  <c r="AD86" i="107"/>
  <c r="AD87" i="107"/>
  <c r="AD88" i="107"/>
  <c r="AD89" i="107"/>
  <c r="AD90" i="107"/>
  <c r="AD91" i="107"/>
  <c r="AD92" i="107"/>
  <c r="AD93" i="107"/>
  <c r="AD94" i="107"/>
  <c r="AD95" i="107"/>
  <c r="AD96" i="107"/>
  <c r="AD97" i="107"/>
  <c r="AD98" i="107"/>
  <c r="AD99" i="107"/>
  <c r="AD100" i="107"/>
  <c r="AD101" i="107"/>
  <c r="AD102" i="107"/>
  <c r="AD103" i="107"/>
  <c r="AD104" i="107"/>
  <c r="AD105" i="107"/>
  <c r="AD106" i="107"/>
  <c r="AD107" i="107"/>
  <c r="W8" i="107"/>
  <c r="W9" i="107"/>
  <c r="W10" i="107"/>
  <c r="W11" i="107"/>
  <c r="W12" i="107"/>
  <c r="W13" i="107"/>
  <c r="W14" i="107"/>
  <c r="W15" i="107"/>
  <c r="W16" i="107"/>
  <c r="W17" i="107"/>
  <c r="W18" i="107"/>
  <c r="W19" i="107"/>
  <c r="W20" i="107"/>
  <c r="W21" i="107"/>
  <c r="W22" i="107"/>
  <c r="W23" i="107"/>
  <c r="W24" i="107"/>
  <c r="W25" i="107"/>
  <c r="W26" i="107"/>
  <c r="W27" i="107"/>
  <c r="W28" i="107"/>
  <c r="W29" i="107"/>
  <c r="W30" i="107"/>
  <c r="W31" i="107"/>
  <c r="W32" i="107"/>
  <c r="W33" i="107"/>
  <c r="W34" i="107"/>
  <c r="W35" i="107"/>
  <c r="W36" i="107"/>
  <c r="W37" i="107"/>
  <c r="W38" i="107"/>
  <c r="W39" i="107"/>
  <c r="W40" i="107"/>
  <c r="W41" i="107"/>
  <c r="W42" i="107"/>
  <c r="W43" i="107"/>
  <c r="W44" i="107"/>
  <c r="W45" i="107"/>
  <c r="W46" i="107"/>
  <c r="W47" i="107"/>
  <c r="W48" i="107"/>
  <c r="W49" i="107"/>
  <c r="W50" i="107"/>
  <c r="W51" i="107"/>
  <c r="W52" i="107"/>
  <c r="W53" i="107"/>
  <c r="W54" i="107"/>
  <c r="W55" i="107"/>
  <c r="W56" i="107"/>
  <c r="W57" i="107"/>
  <c r="W58" i="107"/>
  <c r="W59" i="107"/>
  <c r="W60" i="107"/>
  <c r="W61" i="107"/>
  <c r="W62" i="107"/>
  <c r="W63" i="107"/>
  <c r="W64" i="107"/>
  <c r="W65" i="107"/>
  <c r="W66" i="107"/>
  <c r="W67" i="107"/>
  <c r="W68" i="107"/>
  <c r="W69" i="107"/>
  <c r="W70" i="107"/>
  <c r="W71" i="107"/>
  <c r="W72" i="107"/>
  <c r="W73" i="107"/>
  <c r="W74" i="107"/>
  <c r="W75" i="107"/>
  <c r="W76" i="107"/>
  <c r="W77" i="107"/>
  <c r="W78" i="107"/>
  <c r="W79" i="107"/>
  <c r="W80" i="107"/>
  <c r="W81" i="107"/>
  <c r="W82" i="107"/>
  <c r="W83" i="107"/>
  <c r="W84" i="107"/>
  <c r="W85" i="107"/>
  <c r="W86" i="107"/>
  <c r="W87" i="107"/>
  <c r="W88" i="107"/>
  <c r="W89" i="107"/>
  <c r="W90" i="107"/>
  <c r="W91" i="107"/>
  <c r="W92" i="107"/>
  <c r="W93" i="107"/>
  <c r="W94" i="107"/>
  <c r="W95" i="107"/>
  <c r="W96" i="107"/>
  <c r="W97" i="107"/>
  <c r="W98" i="107"/>
  <c r="W99" i="107"/>
  <c r="W100" i="107"/>
  <c r="W101" i="107"/>
  <c r="W102" i="107"/>
  <c r="W103" i="107"/>
  <c r="W104" i="107"/>
  <c r="W105" i="107"/>
  <c r="W106" i="107"/>
  <c r="W107" i="107"/>
  <c r="U8" i="107"/>
  <c r="U9" i="107"/>
  <c r="U10" i="107"/>
  <c r="U11" i="107"/>
  <c r="U12" i="107"/>
  <c r="U13" i="107"/>
  <c r="U14" i="107"/>
  <c r="U15" i="107"/>
  <c r="U16" i="107"/>
  <c r="U17" i="107"/>
  <c r="U18" i="107"/>
  <c r="U19" i="107"/>
  <c r="U20" i="107"/>
  <c r="U21" i="107"/>
  <c r="U22" i="107"/>
  <c r="U23" i="107"/>
  <c r="U24" i="107"/>
  <c r="U25" i="107"/>
  <c r="U26" i="107"/>
  <c r="U27" i="107"/>
  <c r="U28" i="107"/>
  <c r="U29" i="107"/>
  <c r="U30" i="107"/>
  <c r="U31" i="107"/>
  <c r="U32" i="107"/>
  <c r="U33" i="107"/>
  <c r="U34" i="107"/>
  <c r="U35" i="107"/>
  <c r="U36" i="107"/>
  <c r="U37" i="107"/>
  <c r="U38" i="107"/>
  <c r="U39" i="107"/>
  <c r="U40" i="107"/>
  <c r="U41" i="107"/>
  <c r="U42" i="107"/>
  <c r="U43" i="107"/>
  <c r="U44" i="107"/>
  <c r="U45" i="107"/>
  <c r="U46" i="107"/>
  <c r="U47" i="107"/>
  <c r="U48" i="107"/>
  <c r="U49" i="107"/>
  <c r="U50" i="107"/>
  <c r="U51" i="107"/>
  <c r="U52" i="107"/>
  <c r="U53" i="107"/>
  <c r="U54" i="107"/>
  <c r="U55" i="107"/>
  <c r="U56" i="107"/>
  <c r="U57" i="107"/>
  <c r="U58" i="107"/>
  <c r="U59" i="107"/>
  <c r="U60" i="107"/>
  <c r="U61" i="107"/>
  <c r="U62" i="107"/>
  <c r="U63" i="107"/>
  <c r="U64" i="107"/>
  <c r="U65" i="107"/>
  <c r="U66" i="107"/>
  <c r="U67" i="107"/>
  <c r="U68" i="107"/>
  <c r="U69" i="107"/>
  <c r="U70" i="107"/>
  <c r="U71" i="107"/>
  <c r="U72" i="107"/>
  <c r="U73" i="107"/>
  <c r="U74" i="107"/>
  <c r="U75" i="107"/>
  <c r="U76" i="107"/>
  <c r="U77" i="107"/>
  <c r="U78" i="107"/>
  <c r="U79" i="107"/>
  <c r="U80" i="107"/>
  <c r="U81" i="107"/>
  <c r="U82" i="107"/>
  <c r="U83" i="107"/>
  <c r="U84" i="107"/>
  <c r="U85" i="107"/>
  <c r="U86" i="107"/>
  <c r="U87" i="107"/>
  <c r="U88" i="107"/>
  <c r="U89" i="107"/>
  <c r="U90" i="107"/>
  <c r="U91" i="107"/>
  <c r="U92" i="107"/>
  <c r="U93" i="107"/>
  <c r="U94" i="107"/>
  <c r="U95" i="107"/>
  <c r="U96" i="107"/>
  <c r="U97" i="107"/>
  <c r="U98" i="107"/>
  <c r="U99" i="107"/>
  <c r="U100" i="107"/>
  <c r="U101" i="107"/>
  <c r="U102" i="107"/>
  <c r="U103" i="107"/>
  <c r="U104" i="107"/>
  <c r="U105" i="107"/>
  <c r="U106" i="107"/>
  <c r="U107" i="107"/>
  <c r="S8" i="107"/>
  <c r="S9" i="107"/>
  <c r="S10" i="107"/>
  <c r="S11" i="107"/>
  <c r="S12" i="107"/>
  <c r="S13" i="107"/>
  <c r="S14" i="107"/>
  <c r="S15" i="107"/>
  <c r="S16" i="107"/>
  <c r="S17" i="107"/>
  <c r="S18" i="107"/>
  <c r="S19" i="107"/>
  <c r="S20" i="107"/>
  <c r="S21" i="107"/>
  <c r="S22" i="107"/>
  <c r="S23" i="107"/>
  <c r="S24" i="107"/>
  <c r="S25" i="107"/>
  <c r="S26" i="107"/>
  <c r="S27" i="107"/>
  <c r="S28" i="107"/>
  <c r="S29" i="107"/>
  <c r="S30" i="107"/>
  <c r="S31" i="107"/>
  <c r="S32" i="107"/>
  <c r="S33" i="107"/>
  <c r="S34" i="107"/>
  <c r="S35" i="107"/>
  <c r="S36" i="107"/>
  <c r="S37" i="107"/>
  <c r="S38" i="107"/>
  <c r="S39" i="107"/>
  <c r="S40" i="107"/>
  <c r="S41" i="107"/>
  <c r="S42" i="107"/>
  <c r="S43" i="107"/>
  <c r="S44" i="107"/>
  <c r="S45" i="107"/>
  <c r="S46" i="107"/>
  <c r="S47" i="107"/>
  <c r="S48" i="107"/>
  <c r="S49" i="107"/>
  <c r="S50" i="107"/>
  <c r="S51" i="107"/>
  <c r="S52" i="107"/>
  <c r="S53" i="107"/>
  <c r="S54" i="107"/>
  <c r="S55" i="107"/>
  <c r="S56" i="107"/>
  <c r="S57" i="107"/>
  <c r="S58" i="107"/>
  <c r="S59" i="107"/>
  <c r="S60" i="107"/>
  <c r="S61" i="107"/>
  <c r="S62" i="107"/>
  <c r="S63" i="107"/>
  <c r="S64" i="107"/>
  <c r="S65" i="107"/>
  <c r="S66" i="107"/>
  <c r="S67" i="107"/>
  <c r="S68" i="107"/>
  <c r="S69" i="107"/>
  <c r="S70" i="107"/>
  <c r="S71" i="107"/>
  <c r="S72" i="107"/>
  <c r="S73" i="107"/>
  <c r="S74" i="107"/>
  <c r="S75" i="107"/>
  <c r="S76" i="107"/>
  <c r="S77" i="107"/>
  <c r="S78" i="107"/>
  <c r="S79" i="107"/>
  <c r="S80" i="107"/>
  <c r="S81" i="107"/>
  <c r="S82" i="107"/>
  <c r="S83" i="107"/>
  <c r="S84" i="107"/>
  <c r="S85" i="107"/>
  <c r="S86" i="107"/>
  <c r="S87" i="107"/>
  <c r="S88" i="107"/>
  <c r="S89" i="107"/>
  <c r="S90" i="107"/>
  <c r="S91" i="107"/>
  <c r="S92" i="107"/>
  <c r="S93" i="107"/>
  <c r="S94" i="107"/>
  <c r="S95" i="107"/>
  <c r="S96" i="107"/>
  <c r="S97" i="107"/>
  <c r="S98" i="107"/>
  <c r="S99" i="107"/>
  <c r="S100" i="107"/>
  <c r="S101" i="107"/>
  <c r="S102" i="107"/>
  <c r="S103" i="107"/>
  <c r="S104" i="107"/>
  <c r="S105" i="107"/>
  <c r="S106" i="107"/>
  <c r="S107" i="107"/>
  <c r="Q8" i="107"/>
  <c r="Q9" i="107"/>
  <c r="Q10" i="107"/>
  <c r="Q11" i="107"/>
  <c r="Q12" i="107"/>
  <c r="Q13" i="107"/>
  <c r="Q14" i="107"/>
  <c r="Q15" i="107"/>
  <c r="Q16" i="107"/>
  <c r="Q17" i="107"/>
  <c r="Q18" i="107"/>
  <c r="Q19" i="107"/>
  <c r="Q20" i="107"/>
  <c r="Q21" i="107"/>
  <c r="Q22" i="107"/>
  <c r="Q23" i="107"/>
  <c r="Q24" i="107"/>
  <c r="Q25" i="107"/>
  <c r="Q26" i="107"/>
  <c r="Q27" i="107"/>
  <c r="Q28" i="107"/>
  <c r="Q29" i="107"/>
  <c r="Q30" i="107"/>
  <c r="Q31" i="107"/>
  <c r="Q32" i="107"/>
  <c r="Q33" i="107"/>
  <c r="Q34" i="107"/>
  <c r="Q35" i="107"/>
  <c r="Q36" i="107"/>
  <c r="Q37" i="107"/>
  <c r="Q38" i="107"/>
  <c r="Q39" i="107"/>
  <c r="Q40" i="107"/>
  <c r="Q41" i="107"/>
  <c r="Q42" i="107"/>
  <c r="Q43" i="107"/>
  <c r="Q44" i="107"/>
  <c r="Q45" i="107"/>
  <c r="Q46" i="107"/>
  <c r="Q47" i="107"/>
  <c r="Q48" i="107"/>
  <c r="Q49" i="107"/>
  <c r="Q50" i="107"/>
  <c r="Q51" i="107"/>
  <c r="Q52" i="107"/>
  <c r="Q53" i="107"/>
  <c r="Q54" i="107"/>
  <c r="Q55" i="107"/>
  <c r="Q56" i="107"/>
  <c r="Q57" i="107"/>
  <c r="Q58" i="107"/>
  <c r="Q59" i="107"/>
  <c r="Q60" i="107"/>
  <c r="Q61" i="107"/>
  <c r="Q62" i="107"/>
  <c r="Q63" i="107"/>
  <c r="Q64" i="107"/>
  <c r="Q65" i="107"/>
  <c r="Q66" i="107"/>
  <c r="Q67" i="107"/>
  <c r="Q68" i="107"/>
  <c r="Q69" i="107"/>
  <c r="Q70" i="107"/>
  <c r="Q71" i="107"/>
  <c r="Q72" i="107"/>
  <c r="Q73" i="107"/>
  <c r="Q74" i="107"/>
  <c r="Q75" i="107"/>
  <c r="Q76" i="107"/>
  <c r="Q77" i="107"/>
  <c r="Q78" i="107"/>
  <c r="Q79" i="107"/>
  <c r="Q80" i="107"/>
  <c r="Q81" i="107"/>
  <c r="Q82" i="107"/>
  <c r="Q83" i="107"/>
  <c r="Q84" i="107"/>
  <c r="Q85" i="107"/>
  <c r="Q86" i="107"/>
  <c r="Q87" i="107"/>
  <c r="Q88" i="107"/>
  <c r="Q89" i="107"/>
  <c r="Q90" i="107"/>
  <c r="Q91" i="107"/>
  <c r="Q92" i="107"/>
  <c r="Q93" i="107"/>
  <c r="Q94" i="107"/>
  <c r="Q95" i="107"/>
  <c r="Q96" i="107"/>
  <c r="Q97" i="107"/>
  <c r="Q98" i="107"/>
  <c r="Q99" i="107"/>
  <c r="Q100" i="107"/>
  <c r="Q101" i="107"/>
  <c r="Q102" i="107"/>
  <c r="Q103" i="107"/>
  <c r="Q104" i="107"/>
  <c r="Q105" i="107"/>
  <c r="Q106" i="107"/>
  <c r="Q107" i="107"/>
  <c r="H9" i="107"/>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J9" i="107"/>
  <c r="J10" i="107"/>
  <c r="J11" i="107"/>
  <c r="J12" i="107"/>
  <c r="J13" i="107"/>
  <c r="J14" i="107"/>
  <c r="J15" i="107"/>
  <c r="J16" i="107"/>
  <c r="J17" i="107"/>
  <c r="J18" i="107"/>
  <c r="J19" i="107"/>
  <c r="J20" i="107"/>
  <c r="J21" i="107"/>
  <c r="J22" i="107"/>
  <c r="J23" i="107"/>
  <c r="J24" i="107"/>
  <c r="J25" i="107"/>
  <c r="J26" i="107"/>
  <c r="J27" i="107"/>
  <c r="J28" i="107"/>
  <c r="J29" i="107"/>
  <c r="J30" i="107"/>
  <c r="J31" i="107"/>
  <c r="J32" i="107"/>
  <c r="J33" i="107"/>
  <c r="J34" i="107"/>
  <c r="J35" i="107"/>
  <c r="J36" i="107"/>
  <c r="J37" i="107"/>
  <c r="J38" i="107"/>
  <c r="J39" i="107"/>
  <c r="J40" i="107"/>
  <c r="J41" i="107"/>
  <c r="J42" i="107"/>
  <c r="J43" i="107"/>
  <c r="J44" i="107"/>
  <c r="J45" i="107"/>
  <c r="J46" i="107"/>
  <c r="J47" i="107"/>
  <c r="J48" i="107"/>
  <c r="J49" i="107"/>
  <c r="J50" i="107"/>
  <c r="J51" i="107"/>
  <c r="J52" i="107"/>
  <c r="J53" i="107"/>
  <c r="J54" i="107"/>
  <c r="J55" i="107"/>
  <c r="J56" i="107"/>
  <c r="J57" i="107"/>
  <c r="J58" i="107"/>
  <c r="J59" i="107"/>
  <c r="J60" i="107"/>
  <c r="J61" i="107"/>
  <c r="J62" i="107"/>
  <c r="J63" i="107"/>
  <c r="J64" i="107"/>
  <c r="J65" i="107"/>
  <c r="J66" i="107"/>
  <c r="J67" i="107"/>
  <c r="J68" i="107"/>
  <c r="J69" i="107"/>
  <c r="J70" i="107"/>
  <c r="J71" i="107"/>
  <c r="J72" i="107"/>
  <c r="J73" i="107"/>
  <c r="J74" i="107"/>
  <c r="J75" i="107"/>
  <c r="J76" i="107"/>
  <c r="J77" i="107"/>
  <c r="J78" i="107"/>
  <c r="J79" i="107"/>
  <c r="J80" i="107"/>
  <c r="J81" i="107"/>
  <c r="J82" i="107"/>
  <c r="J83" i="107"/>
  <c r="J84" i="107"/>
  <c r="J85" i="107"/>
  <c r="J86" i="107"/>
  <c r="J87" i="107"/>
  <c r="J88" i="107"/>
  <c r="J89" i="107"/>
  <c r="J90" i="107"/>
  <c r="J91" i="107"/>
  <c r="J92" i="107"/>
  <c r="J93" i="107"/>
  <c r="J94" i="107"/>
  <c r="J95" i="107"/>
  <c r="J96" i="107"/>
  <c r="J97" i="107"/>
  <c r="J98" i="107"/>
  <c r="J99" i="107"/>
  <c r="J100" i="107"/>
  <c r="J101" i="107"/>
  <c r="J102" i="107"/>
  <c r="J103" i="107"/>
  <c r="J104" i="107"/>
  <c r="J105" i="107"/>
  <c r="J106" i="107"/>
  <c r="J107" i="107"/>
  <c r="F9"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D9" i="107"/>
  <c r="D10" i="107"/>
  <c r="D11" i="107"/>
  <c r="D12" i="107"/>
  <c r="D13" i="107"/>
  <c r="D14" i="107"/>
  <c r="D15" i="107"/>
  <c r="D16" i="107"/>
  <c r="D17" i="107"/>
  <c r="D18" i="107"/>
  <c r="D19" i="107"/>
  <c r="D20" i="107"/>
  <c r="D21" i="107"/>
  <c r="D22" i="107"/>
  <c r="D23" i="107"/>
  <c r="D24" i="107"/>
  <c r="D25" i="107"/>
  <c r="D26" i="107"/>
  <c r="D27" i="107"/>
  <c r="D28" i="107"/>
  <c r="D29" i="107"/>
  <c r="D30" i="107"/>
  <c r="D31" i="107"/>
  <c r="D32" i="107"/>
  <c r="D33" i="107"/>
  <c r="D34" i="107"/>
  <c r="D35" i="107"/>
  <c r="D36" i="107"/>
  <c r="D37" i="107"/>
  <c r="D38" i="107"/>
  <c r="D39" i="107"/>
  <c r="D40" i="107"/>
  <c r="D41" i="107"/>
  <c r="D42" i="107"/>
  <c r="D43" i="107"/>
  <c r="D44" i="107"/>
  <c r="D45" i="107"/>
  <c r="D46" i="107"/>
  <c r="D47" i="107"/>
  <c r="D48" i="107"/>
  <c r="D49" i="107"/>
  <c r="D50" i="107"/>
  <c r="D51" i="107"/>
  <c r="D52" i="107"/>
  <c r="D53" i="107"/>
  <c r="D54" i="107"/>
  <c r="D55" i="107"/>
  <c r="D56" i="107"/>
  <c r="D57" i="107"/>
  <c r="D58" i="107"/>
  <c r="D59" i="107"/>
  <c r="D60" i="107"/>
  <c r="D61" i="107"/>
  <c r="D62" i="107"/>
  <c r="D63" i="107"/>
  <c r="D64" i="107"/>
  <c r="D65" i="107"/>
  <c r="D66" i="107"/>
  <c r="D67" i="107"/>
  <c r="D68" i="107"/>
  <c r="D69" i="107"/>
  <c r="D70" i="107"/>
  <c r="D71" i="107"/>
  <c r="D72" i="107"/>
  <c r="D73" i="107"/>
  <c r="D74" i="107"/>
  <c r="D75" i="107"/>
  <c r="D76" i="107"/>
  <c r="D77" i="107"/>
  <c r="D78" i="107"/>
  <c r="D79" i="107"/>
  <c r="D80" i="107"/>
  <c r="D81" i="107"/>
  <c r="D82" i="107"/>
  <c r="D83" i="107"/>
  <c r="D84" i="107"/>
  <c r="D85" i="107"/>
  <c r="D86" i="107"/>
  <c r="D87" i="107"/>
  <c r="D88" i="107"/>
  <c r="D89" i="107"/>
  <c r="D90" i="107"/>
  <c r="D91" i="107"/>
  <c r="D92" i="107"/>
  <c r="D93" i="107"/>
  <c r="D94" i="107"/>
  <c r="D95" i="107"/>
  <c r="D96" i="107"/>
  <c r="D97" i="107"/>
  <c r="D98" i="107"/>
  <c r="D99" i="107"/>
  <c r="D100" i="107"/>
  <c r="D101" i="107"/>
  <c r="D102" i="107"/>
  <c r="D103" i="107"/>
  <c r="D104" i="107"/>
  <c r="D105" i="107"/>
  <c r="D106" i="107"/>
  <c r="D107" i="107"/>
  <c r="AB16" i="71"/>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B98" i="28" l="1"/>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B44" i="73" a="1"/>
  <c r="B44" i="73" s="1"/>
  <c r="Z12" i="59" l="1"/>
  <c r="Z13" i="59"/>
  <c r="Z14" i="59"/>
  <c r="Z15" i="59"/>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0"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Z11" i="59"/>
  <c r="W12" i="11"/>
  <c r="W13" i="11"/>
  <c r="W14" i="11"/>
  <c r="W15" i="11"/>
  <c r="W16" i="11"/>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W11" i="11"/>
  <c r="M17" i="29" l="1"/>
  <c r="S2" i="22"/>
  <c r="T2" i="22" s="1"/>
  <c r="U2" i="22" s="1"/>
  <c r="V2" i="22" s="1"/>
  <c r="W2" i="22" s="1"/>
  <c r="X2" i="22" s="1"/>
  <c r="Y2" i="22" s="1"/>
  <c r="Z2" i="22" s="1"/>
  <c r="AA2" i="22" s="1"/>
  <c r="AB2" i="22" s="1"/>
  <c r="AC2" i="22" s="1"/>
  <c r="AD2" i="22" s="1"/>
  <c r="AE2" i="22" s="1"/>
  <c r="AF2" i="22" s="1"/>
  <c r="R2" i="22"/>
  <c r="AV257" i="67" l="1"/>
  <c r="AV256" i="67"/>
  <c r="AV255" i="67"/>
  <c r="AV254" i="67"/>
  <c r="AV253" i="67"/>
  <c r="AV252" i="67"/>
  <c r="AV251" i="67"/>
  <c r="AV250" i="67"/>
  <c r="AV249" i="67"/>
  <c r="AV248" i="67"/>
  <c r="AV247" i="67"/>
  <c r="AV246" i="67"/>
  <c r="AV245" i="67"/>
  <c r="AV244" i="67"/>
  <c r="AV243" i="67"/>
  <c r="AV242" i="67"/>
  <c r="AV241" i="67"/>
  <c r="AV240" i="67"/>
  <c r="AV239" i="67"/>
  <c r="AV238" i="67"/>
  <c r="AV237" i="67"/>
  <c r="AV236" i="67"/>
  <c r="AV235" i="67"/>
  <c r="AV234" i="67"/>
  <c r="AV233" i="67"/>
  <c r="AV232" i="67"/>
  <c r="AV231" i="67"/>
  <c r="AV230" i="67"/>
  <c r="AV229" i="67"/>
  <c r="AV228" i="67"/>
  <c r="AV227" i="67"/>
  <c r="AV226" i="67"/>
  <c r="AV225" i="67"/>
  <c r="AV224" i="67"/>
  <c r="AV223" i="67"/>
  <c r="AV222" i="67"/>
  <c r="AV221" i="67"/>
  <c r="AV220" i="67"/>
  <c r="AV219" i="67"/>
  <c r="AV218" i="67"/>
  <c r="AV217" i="67"/>
  <c r="AV216" i="67"/>
  <c r="AV215" i="67"/>
  <c r="AV214" i="67"/>
  <c r="AV213" i="67"/>
  <c r="AV212" i="67"/>
  <c r="AV211" i="67"/>
  <c r="AV210" i="67"/>
  <c r="AV209" i="67"/>
  <c r="AV208" i="67"/>
  <c r="AV207" i="67"/>
  <c r="AV206" i="67"/>
  <c r="AV205" i="67"/>
  <c r="AV204" i="67"/>
  <c r="AV203" i="67"/>
  <c r="AV202" i="67"/>
  <c r="AV201" i="67"/>
  <c r="AV200" i="67"/>
  <c r="AV199" i="67"/>
  <c r="AV198" i="67"/>
  <c r="AV197" i="67"/>
  <c r="AV196" i="67"/>
  <c r="AV195" i="67"/>
  <c r="AV194" i="67"/>
  <c r="AV193" i="67"/>
  <c r="AV192" i="67"/>
  <c r="AV191" i="67"/>
  <c r="AV190" i="67"/>
  <c r="AV189" i="67"/>
  <c r="AV188" i="67"/>
  <c r="AV187" i="67"/>
  <c r="AV186" i="67"/>
  <c r="AV185" i="67"/>
  <c r="AV184" i="67"/>
  <c r="AV183" i="67"/>
  <c r="AV182" i="67"/>
  <c r="AV181" i="67"/>
  <c r="AV180" i="67"/>
  <c r="AV179" i="67"/>
  <c r="AV178" i="67"/>
  <c r="AV177" i="67"/>
  <c r="AV176" i="67"/>
  <c r="AV175" i="67"/>
  <c r="AV174" i="67"/>
  <c r="AV173" i="67"/>
  <c r="AV172" i="67"/>
  <c r="AV171" i="67"/>
  <c r="AV170" i="67"/>
  <c r="AV169" i="67"/>
  <c r="AV168" i="67"/>
  <c r="AV167" i="67"/>
  <c r="AV166" i="67"/>
  <c r="AV165" i="67"/>
  <c r="AV164" i="67"/>
  <c r="AV163" i="67"/>
  <c r="AV162" i="67"/>
  <c r="AV161" i="67"/>
  <c r="AV160" i="67"/>
  <c r="AV159" i="67"/>
  <c r="AV158" i="67"/>
  <c r="AV157" i="67"/>
  <c r="AV156" i="67"/>
  <c r="AV155" i="67"/>
  <c r="AV154" i="67"/>
  <c r="AV153" i="67"/>
  <c r="AV152" i="67"/>
  <c r="AV151" i="67"/>
  <c r="AV150" i="67"/>
  <c r="AV149" i="67"/>
  <c r="AV148" i="67"/>
  <c r="AV147" i="67"/>
  <c r="AV146" i="67"/>
  <c r="AV145" i="67"/>
  <c r="AV144" i="67"/>
  <c r="AV143" i="67"/>
  <c r="AV142" i="67"/>
  <c r="AV141" i="67"/>
  <c r="AV140" i="67"/>
  <c r="AV139" i="67"/>
  <c r="AV138" i="67"/>
  <c r="AV137" i="67"/>
  <c r="AV136" i="67"/>
  <c r="AV135" i="67"/>
  <c r="AV134" i="67"/>
  <c r="AV133" i="67"/>
  <c r="AV132" i="67"/>
  <c r="AV131" i="67"/>
  <c r="AV130" i="67"/>
  <c r="AV129" i="67"/>
  <c r="AV128" i="67"/>
  <c r="AV127" i="67"/>
  <c r="AV126" i="67"/>
  <c r="AV125" i="67"/>
  <c r="AV124" i="67"/>
  <c r="AV123" i="67"/>
  <c r="AV122" i="67"/>
  <c r="AV121" i="67"/>
  <c r="AV120" i="67"/>
  <c r="AV119" i="67"/>
  <c r="AV118" i="67"/>
  <c r="AV117" i="67"/>
  <c r="AV116" i="67"/>
  <c r="AV115" i="67"/>
  <c r="AV114" i="67"/>
  <c r="AV113" i="67"/>
  <c r="AV112" i="67"/>
  <c r="AV111" i="67"/>
  <c r="AV110" i="67"/>
  <c r="AV109" i="67"/>
  <c r="AV108" i="67"/>
  <c r="AV107" i="67"/>
  <c r="AV106" i="67"/>
  <c r="AV105" i="67"/>
  <c r="AV104" i="67"/>
  <c r="AV103" i="67"/>
  <c r="AV102" i="67"/>
  <c r="AV101" i="67"/>
  <c r="AV100" i="67"/>
  <c r="AV99" i="67"/>
  <c r="AV98" i="67"/>
  <c r="AV97" i="67"/>
  <c r="AV96" i="67"/>
  <c r="AV95" i="67"/>
  <c r="AV94" i="67"/>
  <c r="AV93" i="67"/>
  <c r="AV92" i="67"/>
  <c r="AV91" i="67"/>
  <c r="AV90" i="67"/>
  <c r="AV89" i="67"/>
  <c r="AV88" i="67"/>
  <c r="AV87" i="67"/>
  <c r="AV86" i="67"/>
  <c r="AV85" i="67"/>
  <c r="AV84" i="67"/>
  <c r="AV83" i="67"/>
  <c r="AV82" i="67"/>
  <c r="AV81" i="67"/>
  <c r="AV80" i="67"/>
  <c r="AV79" i="67"/>
  <c r="AV78" i="67"/>
  <c r="AV77" i="67"/>
  <c r="AV76" i="67"/>
  <c r="AV75" i="67"/>
  <c r="AV74" i="67"/>
  <c r="AV73" i="67"/>
  <c r="AV72" i="67"/>
  <c r="AV71" i="67"/>
  <c r="AV70" i="67"/>
  <c r="AV69" i="67"/>
  <c r="AV68" i="67"/>
  <c r="AV67" i="67"/>
  <c r="AV66" i="67"/>
  <c r="AV65" i="67"/>
  <c r="AV64" i="67"/>
  <c r="AV63" i="67"/>
  <c r="AV62" i="67"/>
  <c r="AV61" i="67"/>
  <c r="AV60" i="67"/>
  <c r="AV59" i="67"/>
  <c r="AV58" i="67"/>
  <c r="AV57" i="67"/>
  <c r="AV56" i="67"/>
  <c r="AV55" i="67"/>
  <c r="AV54" i="67"/>
  <c r="AV53" i="67"/>
  <c r="AV52" i="67"/>
  <c r="AV51" i="67"/>
  <c r="AV50" i="67"/>
  <c r="AV49" i="67"/>
  <c r="AV48" i="67"/>
  <c r="AV47" i="67"/>
  <c r="AV46" i="67"/>
  <c r="AV45" i="67"/>
  <c r="AV44" i="67"/>
  <c r="AV43" i="67"/>
  <c r="AV42" i="67"/>
  <c r="AV41" i="67"/>
  <c r="AV40" i="67"/>
  <c r="AV39" i="67"/>
  <c r="AV38" i="67"/>
  <c r="AV37" i="67"/>
  <c r="AV36" i="67"/>
  <c r="AV35" i="67"/>
  <c r="AV34" i="67"/>
  <c r="AV33" i="67"/>
  <c r="AV32" i="67"/>
  <c r="AV31" i="67"/>
  <c r="AV30" i="67"/>
  <c r="AV29" i="67"/>
  <c r="AV28" i="67"/>
  <c r="AV27" i="67"/>
  <c r="AV26" i="67"/>
  <c r="AV25" i="67"/>
  <c r="AV24" i="67"/>
  <c r="AV23" i="67"/>
  <c r="AV22" i="67"/>
  <c r="AV21" i="67"/>
  <c r="AV20" i="67"/>
  <c r="AV19" i="67"/>
  <c r="AV18" i="67"/>
  <c r="AV17" i="67"/>
  <c r="AV16" i="67"/>
  <c r="AV15" i="67"/>
  <c r="AV14" i="67"/>
  <c r="AV13" i="67"/>
  <c r="AV12" i="67"/>
  <c r="AV11" i="67"/>
  <c r="AV10" i="67"/>
  <c r="AV257" i="63"/>
  <c r="AV256" i="63"/>
  <c r="AV255" i="63"/>
  <c r="AV254" i="63"/>
  <c r="AV253" i="63"/>
  <c r="AV252" i="63"/>
  <c r="AV251" i="63"/>
  <c r="AV250" i="63"/>
  <c r="AV249" i="63"/>
  <c r="AV248" i="63"/>
  <c r="AV247" i="63"/>
  <c r="AV246" i="63"/>
  <c r="AV245" i="63"/>
  <c r="AV244" i="63"/>
  <c r="AV243" i="63"/>
  <c r="AV242" i="63"/>
  <c r="AV241" i="63"/>
  <c r="AV240" i="63"/>
  <c r="AV239" i="63"/>
  <c r="AV238" i="63"/>
  <c r="AV237" i="63"/>
  <c r="AV236" i="63"/>
  <c r="AV235" i="63"/>
  <c r="AV234" i="63"/>
  <c r="AV233" i="63"/>
  <c r="AV232" i="63"/>
  <c r="AV231" i="63"/>
  <c r="AV230" i="63"/>
  <c r="AV229" i="63"/>
  <c r="AV228" i="63"/>
  <c r="AV227" i="63"/>
  <c r="AV226" i="63"/>
  <c r="AV225" i="63"/>
  <c r="AV224" i="63"/>
  <c r="AV223" i="63"/>
  <c r="AV222" i="63"/>
  <c r="AV221" i="63"/>
  <c r="AV220" i="63"/>
  <c r="AV219" i="63"/>
  <c r="AV218" i="63"/>
  <c r="AV217" i="63"/>
  <c r="AV216" i="63"/>
  <c r="AV215" i="63"/>
  <c r="AV214" i="63"/>
  <c r="AV213" i="63"/>
  <c r="AV212" i="63"/>
  <c r="AV211" i="63"/>
  <c r="AV210" i="63"/>
  <c r="AV209" i="63"/>
  <c r="AV208" i="63"/>
  <c r="AV207" i="63"/>
  <c r="AV206" i="63"/>
  <c r="AV205" i="63"/>
  <c r="AV204" i="63"/>
  <c r="AV203" i="63"/>
  <c r="AV202" i="63"/>
  <c r="AV201" i="63"/>
  <c r="AV200" i="63"/>
  <c r="AV199" i="63"/>
  <c r="AV198" i="63"/>
  <c r="AV197" i="63"/>
  <c r="AV196" i="63"/>
  <c r="AV195" i="63"/>
  <c r="AV194" i="63"/>
  <c r="AV193" i="63"/>
  <c r="AV192" i="63"/>
  <c r="AV191" i="63"/>
  <c r="AV190" i="63"/>
  <c r="AV189" i="63"/>
  <c r="AV188" i="63"/>
  <c r="AV187" i="63"/>
  <c r="AV186" i="63"/>
  <c r="AV185" i="63"/>
  <c r="AV184" i="63"/>
  <c r="AV183" i="63"/>
  <c r="AV182" i="63"/>
  <c r="AV181" i="63"/>
  <c r="AV180" i="63"/>
  <c r="AV179" i="63"/>
  <c r="AV178" i="63"/>
  <c r="AV177" i="63"/>
  <c r="AV176" i="63"/>
  <c r="AV175" i="63"/>
  <c r="AV174" i="63"/>
  <c r="AV173" i="63"/>
  <c r="AV172" i="63"/>
  <c r="AV171" i="63"/>
  <c r="AV170" i="63"/>
  <c r="AV169" i="63"/>
  <c r="AV168" i="63"/>
  <c r="AV167" i="63"/>
  <c r="AV166" i="63"/>
  <c r="AV165" i="63"/>
  <c r="AV164" i="63"/>
  <c r="AV163" i="63"/>
  <c r="AV162" i="63"/>
  <c r="AV161" i="63"/>
  <c r="AV160" i="63"/>
  <c r="AV159" i="63"/>
  <c r="AV158" i="63"/>
  <c r="AV157" i="63"/>
  <c r="AV156" i="63"/>
  <c r="AV155" i="63"/>
  <c r="AV154" i="63"/>
  <c r="AV153" i="63"/>
  <c r="AV152" i="63"/>
  <c r="AV151" i="63"/>
  <c r="AV150" i="63"/>
  <c r="AV149" i="63"/>
  <c r="AV148" i="63"/>
  <c r="AV147" i="63"/>
  <c r="AV146" i="63"/>
  <c r="AV145" i="63"/>
  <c r="AV144" i="63"/>
  <c r="AV143" i="63"/>
  <c r="AV142" i="63"/>
  <c r="AV141" i="63"/>
  <c r="AV140" i="63"/>
  <c r="AV139" i="63"/>
  <c r="AV138" i="63"/>
  <c r="AV137" i="63"/>
  <c r="AV136" i="63"/>
  <c r="AV135" i="63"/>
  <c r="AV134" i="63"/>
  <c r="AV133" i="63"/>
  <c r="AV132" i="63"/>
  <c r="AV131" i="63"/>
  <c r="AV130" i="63"/>
  <c r="AV129" i="63"/>
  <c r="AV128" i="63"/>
  <c r="AV127" i="63"/>
  <c r="AV126" i="63"/>
  <c r="AV125" i="63"/>
  <c r="AV124" i="63"/>
  <c r="AV123" i="63"/>
  <c r="AV122" i="63"/>
  <c r="AV121" i="63"/>
  <c r="AV120" i="63"/>
  <c r="AV119" i="63"/>
  <c r="AV118" i="63"/>
  <c r="AV117" i="63"/>
  <c r="AV116" i="63"/>
  <c r="AV115" i="63"/>
  <c r="AV114" i="63"/>
  <c r="AV113" i="63"/>
  <c r="AV112" i="63"/>
  <c r="AV111" i="63"/>
  <c r="AV110" i="63"/>
  <c r="AV109" i="63"/>
  <c r="AV108" i="63"/>
  <c r="AV107" i="63"/>
  <c r="AV106" i="63"/>
  <c r="AV105" i="63"/>
  <c r="AV104" i="63"/>
  <c r="AV103" i="63"/>
  <c r="AV102" i="63"/>
  <c r="AV101" i="63"/>
  <c r="AV100" i="63"/>
  <c r="AV99" i="63"/>
  <c r="AV98" i="63"/>
  <c r="AV97" i="63"/>
  <c r="AV96" i="63"/>
  <c r="AV95" i="63"/>
  <c r="AV94" i="63"/>
  <c r="AV93" i="63"/>
  <c r="AV92" i="63"/>
  <c r="AV91" i="63"/>
  <c r="AV90" i="63"/>
  <c r="AV89" i="63"/>
  <c r="AV88" i="63"/>
  <c r="AV87" i="63"/>
  <c r="AV86" i="63"/>
  <c r="AV85" i="63"/>
  <c r="AV84" i="63"/>
  <c r="AV83" i="63"/>
  <c r="AV82" i="63"/>
  <c r="AV81" i="63"/>
  <c r="AV80" i="63"/>
  <c r="AV79" i="63"/>
  <c r="AV78" i="63"/>
  <c r="AV77" i="63"/>
  <c r="AV76" i="63"/>
  <c r="AV75" i="63"/>
  <c r="AV74" i="63"/>
  <c r="AV73" i="63"/>
  <c r="AV72" i="63"/>
  <c r="AV71" i="63"/>
  <c r="AV70" i="63"/>
  <c r="AV69" i="63"/>
  <c r="AV68" i="63"/>
  <c r="AV67" i="63"/>
  <c r="AV66" i="63"/>
  <c r="AV65" i="63"/>
  <c r="AV64" i="63"/>
  <c r="AV63" i="63"/>
  <c r="AV62" i="63"/>
  <c r="AV61" i="63"/>
  <c r="AV60" i="63"/>
  <c r="AV59" i="63"/>
  <c r="AV58" i="63"/>
  <c r="AV57" i="63"/>
  <c r="AV56" i="63"/>
  <c r="AV55" i="63"/>
  <c r="AV54" i="63"/>
  <c r="AV53" i="63"/>
  <c r="AV52" i="63"/>
  <c r="AV51" i="63"/>
  <c r="AV50" i="63"/>
  <c r="AV49" i="63"/>
  <c r="AV48" i="63"/>
  <c r="AV47" i="63"/>
  <c r="AV46" i="63"/>
  <c r="AV45" i="63"/>
  <c r="AV44" i="63"/>
  <c r="AV43" i="63"/>
  <c r="AV42" i="63"/>
  <c r="AV41" i="63"/>
  <c r="AV40" i="63"/>
  <c r="AV39" i="63"/>
  <c r="AV38" i="63"/>
  <c r="AV37" i="63"/>
  <c r="AV36" i="63"/>
  <c r="AV35" i="63"/>
  <c r="AV34" i="63"/>
  <c r="AV33" i="63"/>
  <c r="AV32" i="63"/>
  <c r="AV31" i="63"/>
  <c r="AV30" i="63"/>
  <c r="AV29" i="63"/>
  <c r="AV28" i="63"/>
  <c r="AV27" i="63"/>
  <c r="AV26" i="63"/>
  <c r="AV25" i="63"/>
  <c r="AV24" i="63"/>
  <c r="AV23" i="63"/>
  <c r="AV22" i="63"/>
  <c r="AV21" i="63"/>
  <c r="AV20" i="63"/>
  <c r="AV19" i="63"/>
  <c r="AV18" i="63"/>
  <c r="AV17" i="63"/>
  <c r="AV16" i="63"/>
  <c r="AV15" i="63"/>
  <c r="AV14" i="63"/>
  <c r="AV13" i="63"/>
  <c r="AV12" i="63"/>
  <c r="AV11" i="63"/>
  <c r="AV10" i="63"/>
  <c r="AT258" i="59"/>
  <c r="AT257" i="59"/>
  <c r="AT256" i="59"/>
  <c r="AT255" i="59"/>
  <c r="AT254" i="59"/>
  <c r="AT253" i="59"/>
  <c r="AT252" i="59"/>
  <c r="AT251" i="59"/>
  <c r="AT250" i="59"/>
  <c r="AT249" i="59"/>
  <c r="AT248" i="59"/>
  <c r="AT247" i="59"/>
  <c r="AT246" i="59"/>
  <c r="AT245" i="59"/>
  <c r="AT244" i="59"/>
  <c r="AT243" i="59"/>
  <c r="AT242" i="59"/>
  <c r="AT241" i="59"/>
  <c r="AT240" i="59"/>
  <c r="AT239" i="59"/>
  <c r="AT238" i="59"/>
  <c r="AT237" i="59"/>
  <c r="AT236" i="59"/>
  <c r="AT235" i="59"/>
  <c r="AT234" i="59"/>
  <c r="AT233" i="59"/>
  <c r="AT232" i="59"/>
  <c r="AT231" i="59"/>
  <c r="AT230" i="59"/>
  <c r="AT229" i="59"/>
  <c r="AT228" i="59"/>
  <c r="AT227" i="59"/>
  <c r="AT226" i="59"/>
  <c r="AT225" i="59"/>
  <c r="AT224" i="59"/>
  <c r="AT223" i="59"/>
  <c r="AT222" i="59"/>
  <c r="AT221" i="59"/>
  <c r="AT220" i="59"/>
  <c r="AT219" i="59"/>
  <c r="AT218" i="59"/>
  <c r="AT217" i="59"/>
  <c r="AT216" i="59"/>
  <c r="AT215" i="59"/>
  <c r="AT214" i="59"/>
  <c r="AT213" i="59"/>
  <c r="AT212" i="59"/>
  <c r="AT211" i="59"/>
  <c r="AT210" i="59"/>
  <c r="AT209" i="59"/>
  <c r="AT208" i="59"/>
  <c r="AT207" i="59"/>
  <c r="AT206" i="59"/>
  <c r="AT205" i="59"/>
  <c r="AT204" i="59"/>
  <c r="AT203" i="59"/>
  <c r="AT202" i="59"/>
  <c r="AT201" i="59"/>
  <c r="AT200" i="59"/>
  <c r="AT199" i="59"/>
  <c r="AT198" i="59"/>
  <c r="AT197" i="59"/>
  <c r="AT196" i="59"/>
  <c r="AT195" i="59"/>
  <c r="AT194" i="59"/>
  <c r="AT193" i="59"/>
  <c r="AT192" i="59"/>
  <c r="AT191" i="59"/>
  <c r="AT190" i="59"/>
  <c r="AT189" i="59"/>
  <c r="AT188" i="59"/>
  <c r="AT187" i="59"/>
  <c r="AT186" i="59"/>
  <c r="AT185" i="59"/>
  <c r="AT184" i="59"/>
  <c r="AT183" i="59"/>
  <c r="AT182" i="59"/>
  <c r="AT181" i="59"/>
  <c r="AT180" i="59"/>
  <c r="AT179" i="59"/>
  <c r="AT178" i="59"/>
  <c r="AT177" i="59"/>
  <c r="AT176" i="59"/>
  <c r="AT175" i="59"/>
  <c r="AT174" i="59"/>
  <c r="AT173" i="59"/>
  <c r="AT172" i="59"/>
  <c r="AT171" i="59"/>
  <c r="AT170" i="59"/>
  <c r="AT169" i="59"/>
  <c r="AT168" i="59"/>
  <c r="AT167" i="59"/>
  <c r="AT166" i="59"/>
  <c r="AT165" i="59"/>
  <c r="AT164" i="59"/>
  <c r="AT163" i="59"/>
  <c r="AT162" i="59"/>
  <c r="AT161" i="59"/>
  <c r="AT160" i="59"/>
  <c r="AT159" i="59"/>
  <c r="AT158" i="59"/>
  <c r="AT157" i="59"/>
  <c r="AT156" i="59"/>
  <c r="AT155" i="59"/>
  <c r="AT154" i="59"/>
  <c r="AT153" i="59"/>
  <c r="AT152" i="59"/>
  <c r="AT151" i="59"/>
  <c r="AT150" i="59"/>
  <c r="AT149" i="59"/>
  <c r="AT148" i="59"/>
  <c r="AT147" i="59"/>
  <c r="AT146" i="59"/>
  <c r="AT145" i="59"/>
  <c r="AT144" i="59"/>
  <c r="AT143" i="59"/>
  <c r="AT142" i="59"/>
  <c r="AT141" i="59"/>
  <c r="AT140" i="59"/>
  <c r="AT139" i="59"/>
  <c r="AT138" i="59"/>
  <c r="AT137" i="59"/>
  <c r="AT136" i="59"/>
  <c r="AT135" i="59"/>
  <c r="AT134" i="59"/>
  <c r="AT133" i="59"/>
  <c r="AT132" i="59"/>
  <c r="AT131" i="59"/>
  <c r="AT130" i="59"/>
  <c r="AT129" i="59"/>
  <c r="AT128" i="59"/>
  <c r="AT127" i="59"/>
  <c r="AT126" i="59"/>
  <c r="AT125" i="59"/>
  <c r="AT124" i="59"/>
  <c r="AT123" i="59"/>
  <c r="AT122" i="59"/>
  <c r="AT121" i="59"/>
  <c r="AT120" i="59"/>
  <c r="AT119" i="59"/>
  <c r="AT118" i="59"/>
  <c r="AT117" i="59"/>
  <c r="AT116" i="59"/>
  <c r="AT115" i="59"/>
  <c r="AT114" i="59"/>
  <c r="AT113" i="59"/>
  <c r="AT112" i="59"/>
  <c r="AT111" i="59"/>
  <c r="AT110" i="59"/>
  <c r="AT109" i="59"/>
  <c r="AT108" i="59"/>
  <c r="AT107" i="59"/>
  <c r="AT106" i="59"/>
  <c r="AT105" i="59"/>
  <c r="AT104" i="59"/>
  <c r="AT103" i="59"/>
  <c r="AT102" i="59"/>
  <c r="AT101" i="59"/>
  <c r="AT100" i="59"/>
  <c r="AT99" i="59"/>
  <c r="AT98" i="59"/>
  <c r="AT97" i="59"/>
  <c r="AT96" i="59"/>
  <c r="AT95" i="59"/>
  <c r="AT94" i="59"/>
  <c r="AT93" i="59"/>
  <c r="AT92" i="59"/>
  <c r="AT91" i="59"/>
  <c r="AT90" i="59"/>
  <c r="AT89" i="59"/>
  <c r="AT88" i="59"/>
  <c r="AT87" i="59"/>
  <c r="AT86" i="59"/>
  <c r="AT85" i="59"/>
  <c r="AT84" i="59"/>
  <c r="AT83" i="59"/>
  <c r="AT82" i="59"/>
  <c r="AT81" i="59"/>
  <c r="AT80" i="59"/>
  <c r="AT79" i="59"/>
  <c r="AT78" i="59"/>
  <c r="AT77" i="59"/>
  <c r="AT76" i="59"/>
  <c r="AT75" i="59"/>
  <c r="AT74" i="59"/>
  <c r="AT73" i="59"/>
  <c r="AT72" i="59"/>
  <c r="AT71" i="59"/>
  <c r="AT70" i="59"/>
  <c r="AT69" i="59"/>
  <c r="AT68" i="59"/>
  <c r="AT67" i="59"/>
  <c r="AT66" i="59"/>
  <c r="AT65" i="59"/>
  <c r="AT64" i="59"/>
  <c r="AT63" i="59"/>
  <c r="AT62" i="59"/>
  <c r="AT61" i="59"/>
  <c r="AT60" i="59"/>
  <c r="AT59" i="59"/>
  <c r="AT58" i="59"/>
  <c r="AT57" i="59"/>
  <c r="AT56" i="59"/>
  <c r="AT55" i="59"/>
  <c r="AT54" i="59"/>
  <c r="AT53" i="59"/>
  <c r="AT52" i="59"/>
  <c r="AT51" i="59"/>
  <c r="AT50" i="59"/>
  <c r="AT49" i="59"/>
  <c r="AT48" i="59"/>
  <c r="AT47" i="59"/>
  <c r="AT46" i="59"/>
  <c r="AT45" i="59"/>
  <c r="AT44" i="59"/>
  <c r="AT43" i="59"/>
  <c r="AT42" i="59"/>
  <c r="AT41" i="59"/>
  <c r="AT40" i="59"/>
  <c r="AT39" i="59"/>
  <c r="AT38" i="59"/>
  <c r="AT37" i="59"/>
  <c r="AT36" i="59"/>
  <c r="AT35" i="59"/>
  <c r="AT34" i="59"/>
  <c r="AT33" i="59"/>
  <c r="AT32" i="59"/>
  <c r="AT31" i="59"/>
  <c r="AT30" i="59"/>
  <c r="AT29" i="59"/>
  <c r="AT28" i="59"/>
  <c r="AT27" i="59"/>
  <c r="AT26" i="59"/>
  <c r="AT25" i="59"/>
  <c r="AT24" i="59"/>
  <c r="AT23" i="59"/>
  <c r="AT22" i="59"/>
  <c r="AT21" i="59"/>
  <c r="AT20" i="59"/>
  <c r="AT19" i="59"/>
  <c r="AT18" i="59"/>
  <c r="AT17" i="59"/>
  <c r="AT16" i="59"/>
  <c r="AT15" i="59"/>
  <c r="AT14" i="59"/>
  <c r="AT13" i="59"/>
  <c r="AT12" i="59"/>
  <c r="AT11" i="59"/>
  <c r="AE258" i="11"/>
  <c r="AE257" i="11"/>
  <c r="AE256" i="11"/>
  <c r="AE255" i="11"/>
  <c r="AE254" i="11"/>
  <c r="AE253" i="11"/>
  <c r="AE252" i="11"/>
  <c r="AE251" i="11"/>
  <c r="AE250" i="11"/>
  <c r="AE249" i="11"/>
  <c r="AE248" i="11"/>
  <c r="AE247" i="11"/>
  <c r="AE246" i="11"/>
  <c r="AE245" i="11"/>
  <c r="AE244" i="11"/>
  <c r="AE243" i="11"/>
  <c r="AE242" i="11"/>
  <c r="AE241" i="11"/>
  <c r="AE240" i="11"/>
  <c r="AE239" i="11"/>
  <c r="AE238" i="11"/>
  <c r="AE237" i="11"/>
  <c r="AE236" i="11"/>
  <c r="AE235" i="11"/>
  <c r="AE234" i="11"/>
  <c r="AE233" i="11"/>
  <c r="AE232" i="11"/>
  <c r="AE231" i="11"/>
  <c r="AE230" i="11"/>
  <c r="AE229" i="11"/>
  <c r="AE228" i="11"/>
  <c r="AE227" i="11"/>
  <c r="AE226" i="11"/>
  <c r="AE225" i="11"/>
  <c r="AE224" i="11"/>
  <c r="AE223" i="11"/>
  <c r="AE222" i="11"/>
  <c r="AE221" i="11"/>
  <c r="AE220" i="11"/>
  <c r="AE219" i="11"/>
  <c r="AE218" i="11"/>
  <c r="AE217" i="11"/>
  <c r="AE216" i="11"/>
  <c r="AE215" i="11"/>
  <c r="AE214" i="11"/>
  <c r="AE213" i="11"/>
  <c r="AE212" i="11"/>
  <c r="AE211" i="11"/>
  <c r="AE210" i="11"/>
  <c r="AE209" i="11"/>
  <c r="AE208" i="11"/>
  <c r="AE207" i="11"/>
  <c r="AE206" i="11"/>
  <c r="AE205" i="11"/>
  <c r="AE204" i="11"/>
  <c r="AE203" i="11"/>
  <c r="AE202" i="11"/>
  <c r="AE201" i="11"/>
  <c r="AE200" i="11"/>
  <c r="AE199" i="11"/>
  <c r="AE198" i="11"/>
  <c r="AE197" i="11"/>
  <c r="AE196" i="11"/>
  <c r="AE195" i="11"/>
  <c r="AE194" i="11"/>
  <c r="AE193" i="11"/>
  <c r="AE192" i="11"/>
  <c r="AE191" i="11"/>
  <c r="AE190" i="11"/>
  <c r="AE189" i="11"/>
  <c r="AE188" i="11"/>
  <c r="AE187" i="11"/>
  <c r="AE186" i="11"/>
  <c r="AE185" i="11"/>
  <c r="AE184" i="11"/>
  <c r="AE183" i="11"/>
  <c r="AE182" i="11"/>
  <c r="AE181" i="11"/>
  <c r="AE180" i="11"/>
  <c r="AE179" i="11"/>
  <c r="AE178" i="11"/>
  <c r="AE177" i="11"/>
  <c r="AE176" i="11"/>
  <c r="AE175" i="11"/>
  <c r="AE174" i="11"/>
  <c r="AE173" i="11"/>
  <c r="AE172" i="11"/>
  <c r="AE171" i="11"/>
  <c r="AE170" i="11"/>
  <c r="AE169" i="11"/>
  <c r="AE168" i="11"/>
  <c r="AE167" i="11"/>
  <c r="AE166" i="11"/>
  <c r="AE165" i="11"/>
  <c r="AE164" i="11"/>
  <c r="AE163" i="11"/>
  <c r="AE162" i="11"/>
  <c r="AE161" i="11"/>
  <c r="AE160" i="11"/>
  <c r="AE159" i="11"/>
  <c r="AE158" i="11"/>
  <c r="AE157" i="11"/>
  <c r="AE156" i="11"/>
  <c r="AE155" i="11"/>
  <c r="AE154" i="11"/>
  <c r="AE153" i="11"/>
  <c r="AE152" i="11"/>
  <c r="AE151" i="11"/>
  <c r="AE150" i="11"/>
  <c r="AE149" i="11"/>
  <c r="AE148" i="11"/>
  <c r="AE147" i="11"/>
  <c r="AE146" i="11"/>
  <c r="AE145" i="11"/>
  <c r="AE144" i="11"/>
  <c r="AE143" i="11"/>
  <c r="AE142" i="11"/>
  <c r="AE141" i="11"/>
  <c r="AE140" i="11"/>
  <c r="AE139" i="11"/>
  <c r="AE138" i="11"/>
  <c r="AE137" i="11"/>
  <c r="AE136" i="11"/>
  <c r="AE135" i="11"/>
  <c r="AE134" i="11"/>
  <c r="AE133" i="11"/>
  <c r="AE132" i="11"/>
  <c r="AE131" i="11"/>
  <c r="AE130" i="11"/>
  <c r="AE129" i="11"/>
  <c r="AE128" i="11"/>
  <c r="AE127" i="11"/>
  <c r="AE126" i="11"/>
  <c r="AE125" i="11"/>
  <c r="AE124" i="11"/>
  <c r="AE123" i="11"/>
  <c r="AE122" i="11"/>
  <c r="AE121" i="11"/>
  <c r="AE120" i="11"/>
  <c r="AE119" i="11"/>
  <c r="AE118" i="11"/>
  <c r="AE117" i="11"/>
  <c r="AE116" i="11"/>
  <c r="AE115" i="11"/>
  <c r="AE114" i="11"/>
  <c r="AE113" i="11"/>
  <c r="AE112" i="11"/>
  <c r="AE111" i="11"/>
  <c r="AE110" i="11"/>
  <c r="AE109" i="11"/>
  <c r="AE108" i="11"/>
  <c r="AE107" i="11"/>
  <c r="AE106" i="11"/>
  <c r="AE105" i="11"/>
  <c r="AE104" i="11"/>
  <c r="AE103" i="11"/>
  <c r="AE102" i="11"/>
  <c r="AE101" i="11"/>
  <c r="AE100" i="11"/>
  <c r="AE99" i="11"/>
  <c r="AE98" i="11"/>
  <c r="AE97" i="11"/>
  <c r="AE96" i="11"/>
  <c r="AE95" i="11"/>
  <c r="AE94" i="11"/>
  <c r="AE93" i="11"/>
  <c r="AE92" i="11"/>
  <c r="AE91" i="11"/>
  <c r="AE90" i="11"/>
  <c r="AE89" i="11"/>
  <c r="AE88" i="11"/>
  <c r="AE87" i="11"/>
  <c r="AE86" i="11"/>
  <c r="AE85" i="11"/>
  <c r="AE84" i="11"/>
  <c r="AE83" i="11"/>
  <c r="AE82" i="11"/>
  <c r="AE81" i="11"/>
  <c r="AE80" i="11"/>
  <c r="AE79" i="11"/>
  <c r="AE78" i="11"/>
  <c r="AE77" i="11"/>
  <c r="AE76" i="11"/>
  <c r="AE75" i="11"/>
  <c r="AE74" i="11"/>
  <c r="AE73" i="11"/>
  <c r="AE72" i="11"/>
  <c r="AE71" i="11"/>
  <c r="AE70" i="11"/>
  <c r="AE69" i="11"/>
  <c r="AE68" i="11"/>
  <c r="AE67" i="11"/>
  <c r="AE66" i="11"/>
  <c r="AE65" i="11"/>
  <c r="AE64" i="11"/>
  <c r="AE63" i="11"/>
  <c r="AE62" i="11"/>
  <c r="AE61" i="11"/>
  <c r="AE60" i="11"/>
  <c r="AE59" i="11"/>
  <c r="AE58" i="11"/>
  <c r="AE57" i="11"/>
  <c r="AE56" i="11"/>
  <c r="AE55" i="11"/>
  <c r="AE54" i="11"/>
  <c r="AE53" i="11"/>
  <c r="AE52" i="11"/>
  <c r="AE51" i="11"/>
  <c r="AE50" i="11"/>
  <c r="AE49" i="11"/>
  <c r="AE48" i="11"/>
  <c r="AE47" i="11"/>
  <c r="AE46" i="11"/>
  <c r="AE45" i="11"/>
  <c r="AE44" i="11"/>
  <c r="AE43" i="11"/>
  <c r="AE42" i="11"/>
  <c r="AE41" i="11"/>
  <c r="AE40" i="11"/>
  <c r="AE39" i="11"/>
  <c r="AE38" i="11"/>
  <c r="AE37" i="11"/>
  <c r="AE36" i="11"/>
  <c r="AE35" i="11"/>
  <c r="AE34" i="11"/>
  <c r="AE33" i="11"/>
  <c r="AE32" i="11"/>
  <c r="AE31" i="11"/>
  <c r="AE30" i="11"/>
  <c r="AE29" i="11"/>
  <c r="AE28" i="11"/>
  <c r="AE27" i="11"/>
  <c r="AE26" i="11"/>
  <c r="AE25" i="11"/>
  <c r="AE24" i="11"/>
  <c r="AE23" i="11"/>
  <c r="AE22" i="11"/>
  <c r="AE21" i="11"/>
  <c r="AE20" i="11"/>
  <c r="AE19" i="11"/>
  <c r="AE18" i="11"/>
  <c r="AE17" i="11"/>
  <c r="AE16" i="11"/>
  <c r="AE15" i="11"/>
  <c r="AE14" i="11"/>
  <c r="AE13" i="11"/>
  <c r="AE12" i="11"/>
  <c r="AE11" i="11"/>
  <c r="BK41" i="108"/>
  <c r="BK40" i="108"/>
  <c r="BK39" i="108"/>
  <c r="Q65" i="29" l="1"/>
  <c r="E8" i="96" l="1"/>
  <c r="V12" i="58"/>
  <c r="W12" i="58" s="1"/>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X11" i="63"/>
  <c r="AX12" i="63"/>
  <c r="AX13" i="63"/>
  <c r="AX14" i="63"/>
  <c r="AX15" i="63"/>
  <c r="AX16" i="63"/>
  <c r="AX17" i="63"/>
  <c r="AX18" i="63"/>
  <c r="AX19" i="63"/>
  <c r="AX20" i="63"/>
  <c r="AX21" i="63"/>
  <c r="AX22" i="63"/>
  <c r="AX23" i="63"/>
  <c r="AX24" i="63"/>
  <c r="AX25" i="63"/>
  <c r="AX26" i="63"/>
  <c r="AX27" i="63"/>
  <c r="AX28" i="63"/>
  <c r="AX29" i="63"/>
  <c r="AX30" i="63"/>
  <c r="AX31" i="63"/>
  <c r="AX32" i="63"/>
  <c r="AX33" i="63"/>
  <c r="AX34" i="63"/>
  <c r="AX35" i="63"/>
  <c r="AX36" i="63"/>
  <c r="AX37" i="63"/>
  <c r="AX38" i="63"/>
  <c r="AX39" i="63"/>
  <c r="AX40" i="63"/>
  <c r="AX41" i="63"/>
  <c r="AX42" i="63"/>
  <c r="AX43" i="63"/>
  <c r="AX44" i="63"/>
  <c r="AX45" i="63"/>
  <c r="AX46" i="63"/>
  <c r="AX47" i="63"/>
  <c r="AX48" i="63"/>
  <c r="AX49" i="63"/>
  <c r="AX50" i="63"/>
  <c r="AX51" i="63"/>
  <c r="AX52" i="63"/>
  <c r="AX53" i="63"/>
  <c r="AX54" i="63"/>
  <c r="AX55" i="63"/>
  <c r="AX56" i="63"/>
  <c r="AX57" i="63"/>
  <c r="AX58" i="63"/>
  <c r="AX59" i="63"/>
  <c r="AX60" i="63"/>
  <c r="AX61" i="63"/>
  <c r="AX62" i="63"/>
  <c r="AX63" i="63"/>
  <c r="AX64" i="63"/>
  <c r="AX65" i="63"/>
  <c r="AX66" i="63"/>
  <c r="AX67" i="63"/>
  <c r="AX68" i="63"/>
  <c r="AX69" i="63"/>
  <c r="AX70" i="63"/>
  <c r="AX71" i="63"/>
  <c r="AX72" i="63"/>
  <c r="AX73" i="63"/>
  <c r="AX74" i="63"/>
  <c r="AX75" i="63"/>
  <c r="AX76" i="63"/>
  <c r="AX77" i="63"/>
  <c r="AX78" i="63"/>
  <c r="AX79" i="63"/>
  <c r="AX80" i="63"/>
  <c r="AX81" i="63"/>
  <c r="AX82" i="63"/>
  <c r="AX83" i="63"/>
  <c r="AX84" i="63"/>
  <c r="AX85" i="63"/>
  <c r="AX86" i="63"/>
  <c r="AX87" i="63"/>
  <c r="AX88" i="63"/>
  <c r="AX89" i="63"/>
  <c r="AX90" i="63"/>
  <c r="AX91" i="63"/>
  <c r="AX92" i="63"/>
  <c r="AX93" i="63"/>
  <c r="AX94" i="63"/>
  <c r="AX95" i="63"/>
  <c r="AX96" i="63"/>
  <c r="AX97" i="63"/>
  <c r="AX98" i="63"/>
  <c r="AX99" i="63"/>
  <c r="AX100" i="63"/>
  <c r="AX101" i="63"/>
  <c r="AX102" i="63"/>
  <c r="AX103" i="63"/>
  <c r="AX104" i="63"/>
  <c r="AX105" i="63"/>
  <c r="AX106" i="63"/>
  <c r="AX107" i="63"/>
  <c r="AX108" i="63"/>
  <c r="AX109" i="63"/>
  <c r="AX110" i="63"/>
  <c r="AX111" i="63"/>
  <c r="AX112" i="63"/>
  <c r="AX113" i="63"/>
  <c r="AX114" i="63"/>
  <c r="AX115" i="63"/>
  <c r="AX116" i="63"/>
  <c r="AX117" i="63"/>
  <c r="AX118" i="63"/>
  <c r="AX119" i="63"/>
  <c r="AX120" i="63"/>
  <c r="AX121" i="63"/>
  <c r="AX122" i="63"/>
  <c r="AX123" i="63"/>
  <c r="AX124" i="63"/>
  <c r="AX125" i="63"/>
  <c r="AX126" i="63"/>
  <c r="AX127" i="63"/>
  <c r="AX128" i="63"/>
  <c r="AX129" i="63"/>
  <c r="AX130" i="63"/>
  <c r="AX131" i="63"/>
  <c r="AX132" i="63"/>
  <c r="AX133" i="63"/>
  <c r="AX134" i="63"/>
  <c r="AX135" i="63"/>
  <c r="AX136" i="63"/>
  <c r="AX137" i="63"/>
  <c r="AX138" i="63"/>
  <c r="AX139" i="63"/>
  <c r="AX140" i="63"/>
  <c r="AX141" i="63"/>
  <c r="AX142" i="63"/>
  <c r="AX143" i="63"/>
  <c r="AX144" i="63"/>
  <c r="AX145" i="63"/>
  <c r="AX146" i="63"/>
  <c r="AX147" i="63"/>
  <c r="AX148" i="63"/>
  <c r="AX149" i="63"/>
  <c r="AX150" i="63"/>
  <c r="AX151" i="63"/>
  <c r="AX152" i="63"/>
  <c r="AX153" i="63"/>
  <c r="AX154" i="63"/>
  <c r="AX155" i="63"/>
  <c r="AX156" i="63"/>
  <c r="AX157" i="63"/>
  <c r="AX158" i="63"/>
  <c r="AX159" i="63"/>
  <c r="AX160" i="63"/>
  <c r="AX161" i="63"/>
  <c r="AX162" i="63"/>
  <c r="AX163" i="63"/>
  <c r="AX164" i="63"/>
  <c r="AX165" i="63"/>
  <c r="AX166" i="63"/>
  <c r="AX167" i="63"/>
  <c r="AX168" i="63"/>
  <c r="AX169" i="63"/>
  <c r="AX170" i="63"/>
  <c r="AX171" i="63"/>
  <c r="AX172" i="63"/>
  <c r="AX173" i="63"/>
  <c r="AX174" i="63"/>
  <c r="AX175" i="63"/>
  <c r="AX176" i="63"/>
  <c r="AX177" i="63"/>
  <c r="AX178" i="63"/>
  <c r="AX179" i="63"/>
  <c r="AX180" i="63"/>
  <c r="AX181" i="63"/>
  <c r="AX182" i="63"/>
  <c r="AX183" i="63"/>
  <c r="AX184" i="63"/>
  <c r="AX185" i="63"/>
  <c r="AX186" i="63"/>
  <c r="AX187" i="63"/>
  <c r="AX188" i="63"/>
  <c r="AX189" i="63"/>
  <c r="AX190" i="63"/>
  <c r="AX191" i="63"/>
  <c r="AX192" i="63"/>
  <c r="AX193" i="63"/>
  <c r="AX194" i="63"/>
  <c r="AX195" i="63"/>
  <c r="AX196" i="63"/>
  <c r="AX197" i="63"/>
  <c r="AX198" i="63"/>
  <c r="AX199" i="63"/>
  <c r="AX200" i="63"/>
  <c r="AX201" i="63"/>
  <c r="AX202" i="63"/>
  <c r="AX203" i="63"/>
  <c r="AX204" i="63"/>
  <c r="AX205" i="63"/>
  <c r="AX206" i="63"/>
  <c r="AX207" i="63"/>
  <c r="AX208" i="63"/>
  <c r="AX209" i="63"/>
  <c r="AX210" i="63"/>
  <c r="AX211" i="63"/>
  <c r="AX212" i="63"/>
  <c r="AX213" i="63"/>
  <c r="AX214" i="63"/>
  <c r="AX215" i="63"/>
  <c r="AX216" i="63"/>
  <c r="AX217" i="63"/>
  <c r="AX218" i="63"/>
  <c r="AX219" i="63"/>
  <c r="AX220" i="63"/>
  <c r="AX221" i="63"/>
  <c r="AX222" i="63"/>
  <c r="AX223" i="63"/>
  <c r="AX224" i="63"/>
  <c r="AX225" i="63"/>
  <c r="AX226" i="63"/>
  <c r="AX227" i="63"/>
  <c r="AX228" i="63"/>
  <c r="AX229" i="63"/>
  <c r="AX230" i="63"/>
  <c r="AX231" i="63"/>
  <c r="AX232" i="63"/>
  <c r="AX233" i="63"/>
  <c r="AX234" i="63"/>
  <c r="AX235" i="63"/>
  <c r="AX236" i="63"/>
  <c r="AX237" i="63"/>
  <c r="AX238" i="63"/>
  <c r="AX239" i="63"/>
  <c r="AX240" i="63"/>
  <c r="AX241" i="63"/>
  <c r="AX242" i="63"/>
  <c r="AX243" i="63"/>
  <c r="AX244" i="63"/>
  <c r="AX245" i="63"/>
  <c r="AX246" i="63"/>
  <c r="AX247" i="63"/>
  <c r="AX248" i="63"/>
  <c r="AX249" i="63"/>
  <c r="AX250" i="63"/>
  <c r="AX251" i="63"/>
  <c r="AX252" i="63"/>
  <c r="AX253" i="63"/>
  <c r="AX254" i="63"/>
  <c r="AX255" i="63"/>
  <c r="AX256" i="63"/>
  <c r="AX257" i="63"/>
  <c r="AX258" i="63"/>
  <c r="O18" i="11"/>
  <c r="BJ13" i="69" l="1"/>
  <c r="BJ14" i="69"/>
  <c r="BJ15" i="69"/>
  <c r="BJ16" i="69"/>
  <c r="BJ17" i="69"/>
  <c r="BJ18" i="69"/>
  <c r="BJ19" i="69"/>
  <c r="BJ20" i="69"/>
  <c r="BJ21" i="69"/>
  <c r="BJ22" i="69"/>
  <c r="BJ23" i="69"/>
  <c r="BJ24" i="69"/>
  <c r="BJ25" i="69"/>
  <c r="BJ26" i="69"/>
  <c r="BJ27" i="69"/>
  <c r="BJ28" i="69"/>
  <c r="BJ29" i="69"/>
  <c r="BJ30" i="69"/>
  <c r="BJ31" i="69"/>
  <c r="BJ32" i="69"/>
  <c r="BJ33" i="69"/>
  <c r="BJ34" i="69"/>
  <c r="BJ35" i="69"/>
  <c r="BJ36" i="69"/>
  <c r="BJ37" i="69"/>
  <c r="BJ38" i="69"/>
  <c r="BJ39" i="69"/>
  <c r="BJ40" i="69"/>
  <c r="BJ41" i="69"/>
  <c r="BJ42" i="69"/>
  <c r="BJ43" i="69"/>
  <c r="BJ44" i="69"/>
  <c r="BJ45" i="69"/>
  <c r="BJ46" i="69"/>
  <c r="BJ47" i="69"/>
  <c r="BJ48" i="69"/>
  <c r="BJ49" i="69"/>
  <c r="BJ50" i="69"/>
  <c r="BJ51" i="69"/>
  <c r="BJ52" i="69"/>
  <c r="BJ53" i="69"/>
  <c r="BJ54" i="69"/>
  <c r="BJ55" i="69"/>
  <c r="BJ56" i="69"/>
  <c r="BJ57" i="69"/>
  <c r="BJ58" i="69"/>
  <c r="BJ59" i="69"/>
  <c r="BJ60" i="69"/>
  <c r="BJ61" i="69"/>
  <c r="BJ62" i="69"/>
  <c r="BJ63" i="69"/>
  <c r="BJ64" i="69"/>
  <c r="BJ65" i="69"/>
  <c r="BJ66" i="69"/>
  <c r="BJ67" i="69"/>
  <c r="BJ68" i="69"/>
  <c r="BJ69" i="69"/>
  <c r="BJ70" i="69"/>
  <c r="BJ71" i="69"/>
  <c r="BJ72" i="69"/>
  <c r="BJ73" i="69"/>
  <c r="BJ74" i="69"/>
  <c r="BJ75" i="69"/>
  <c r="BJ76" i="69"/>
  <c r="BJ77" i="69"/>
  <c r="BJ78" i="69"/>
  <c r="BJ79" i="69"/>
  <c r="BJ80" i="69"/>
  <c r="BJ81" i="69"/>
  <c r="BJ82" i="69"/>
  <c r="BJ83" i="69"/>
  <c r="BJ84" i="69"/>
  <c r="BJ85" i="69"/>
  <c r="BJ86" i="69"/>
  <c r="BJ87" i="69"/>
  <c r="BJ88" i="69"/>
  <c r="BJ89" i="69"/>
  <c r="BJ90" i="69"/>
  <c r="BJ91" i="69"/>
  <c r="BJ92" i="69"/>
  <c r="BJ93" i="69"/>
  <c r="BJ94" i="69"/>
  <c r="BJ95" i="69"/>
  <c r="BJ96" i="69"/>
  <c r="BJ97" i="69"/>
  <c r="BJ98" i="69"/>
  <c r="BJ99" i="69"/>
  <c r="BJ100" i="69"/>
  <c r="BJ101" i="69"/>
  <c r="BJ102" i="69"/>
  <c r="BJ103" i="69"/>
  <c r="BJ104" i="69"/>
  <c r="BJ105" i="69"/>
  <c r="BJ106" i="69"/>
  <c r="BJ107" i="69"/>
  <c r="BJ108" i="69"/>
  <c r="BJ109" i="69"/>
  <c r="BJ110" i="69"/>
  <c r="BJ111" i="69"/>
  <c r="BJ112" i="69"/>
  <c r="BJ113" i="69"/>
  <c r="BJ114" i="69"/>
  <c r="BJ115" i="69"/>
  <c r="BJ116" i="69"/>
  <c r="BJ117" i="69"/>
  <c r="BJ118" i="69"/>
  <c r="BJ119" i="69"/>
  <c r="BJ120" i="69"/>
  <c r="BJ121" i="69"/>
  <c r="BJ122" i="69"/>
  <c r="BJ123" i="69"/>
  <c r="BJ124" i="69"/>
  <c r="BJ125" i="69"/>
  <c r="BJ126" i="69"/>
  <c r="BJ127" i="69"/>
  <c r="BJ128" i="69"/>
  <c r="BJ129" i="69"/>
  <c r="BJ130" i="69"/>
  <c r="BJ131" i="69"/>
  <c r="BJ132" i="69"/>
  <c r="BJ133" i="69"/>
  <c r="BJ134" i="69"/>
  <c r="BJ135" i="69"/>
  <c r="BJ136" i="69"/>
  <c r="BJ137" i="69"/>
  <c r="BJ138" i="69"/>
  <c r="BJ139" i="69"/>
  <c r="BJ140" i="69"/>
  <c r="BJ141" i="69"/>
  <c r="BJ142" i="69"/>
  <c r="BJ143" i="69"/>
  <c r="BJ144" i="69"/>
  <c r="BJ145" i="69"/>
  <c r="BJ146" i="69"/>
  <c r="BJ147" i="69"/>
  <c r="BJ148" i="69"/>
  <c r="BJ149" i="69"/>
  <c r="BJ150" i="69"/>
  <c r="BJ151" i="69"/>
  <c r="BJ152" i="69"/>
  <c r="BJ153" i="69"/>
  <c r="BJ154" i="69"/>
  <c r="BJ155" i="69"/>
  <c r="BJ156" i="69"/>
  <c r="BJ157" i="69"/>
  <c r="BJ158" i="69"/>
  <c r="BJ159" i="69"/>
  <c r="BJ160" i="69"/>
  <c r="BJ161" i="69"/>
  <c r="BJ162" i="69"/>
  <c r="BJ163" i="69"/>
  <c r="BJ164" i="69"/>
  <c r="BJ165" i="69"/>
  <c r="BJ166" i="69"/>
  <c r="BJ167" i="69"/>
  <c r="BJ168" i="69"/>
  <c r="BJ169" i="69"/>
  <c r="BJ170" i="69"/>
  <c r="BJ171" i="69"/>
  <c r="BJ172" i="69"/>
  <c r="BJ173" i="69"/>
  <c r="BJ174" i="69"/>
  <c r="BJ175" i="69"/>
  <c r="BJ176" i="69"/>
  <c r="BJ177" i="69"/>
  <c r="BJ178" i="69"/>
  <c r="BJ179" i="69"/>
  <c r="BJ180" i="69"/>
  <c r="BJ181" i="69"/>
  <c r="BJ182" i="69"/>
  <c r="BJ183" i="69"/>
  <c r="BJ184" i="69"/>
  <c r="BJ185" i="69"/>
  <c r="BJ186" i="69"/>
  <c r="BJ187" i="69"/>
  <c r="BJ188" i="69"/>
  <c r="BJ189" i="69"/>
  <c r="BJ190" i="69"/>
  <c r="BJ191" i="69"/>
  <c r="BJ192" i="69"/>
  <c r="BJ193" i="69"/>
  <c r="BJ194" i="69"/>
  <c r="BJ195" i="69"/>
  <c r="BJ196" i="69"/>
  <c r="BJ197" i="69"/>
  <c r="BJ198" i="69"/>
  <c r="BJ199" i="69"/>
  <c r="BJ200" i="69"/>
  <c r="BJ201" i="69"/>
  <c r="BJ202" i="69"/>
  <c r="BJ203" i="69"/>
  <c r="BJ204" i="69"/>
  <c r="BJ205" i="69"/>
  <c r="BJ206" i="69"/>
  <c r="BJ207" i="69"/>
  <c r="BJ208" i="69"/>
  <c r="BJ209" i="69"/>
  <c r="BJ210" i="69"/>
  <c r="BJ211" i="69"/>
  <c r="BJ212" i="69"/>
  <c r="BJ213" i="69"/>
  <c r="BJ214" i="69"/>
  <c r="BJ215" i="69"/>
  <c r="BJ216" i="69"/>
  <c r="BJ217" i="69"/>
  <c r="BJ218" i="69"/>
  <c r="BJ219" i="69"/>
  <c r="BJ220" i="69"/>
  <c r="BJ221" i="69"/>
  <c r="BJ222" i="69"/>
  <c r="BJ223" i="69"/>
  <c r="BJ224" i="69"/>
  <c r="BJ225" i="69"/>
  <c r="BJ226" i="69"/>
  <c r="BJ227" i="69"/>
  <c r="BJ228" i="69"/>
  <c r="BJ229" i="69"/>
  <c r="BJ230" i="69"/>
  <c r="BJ231" i="69"/>
  <c r="BJ232" i="69"/>
  <c r="BJ233" i="69"/>
  <c r="BJ234" i="69"/>
  <c r="BJ235" i="69"/>
  <c r="BJ236" i="69"/>
  <c r="BJ237" i="69"/>
  <c r="BJ238" i="69"/>
  <c r="BJ239" i="69"/>
  <c r="BJ240" i="69"/>
  <c r="BJ241" i="69"/>
  <c r="BJ242" i="69"/>
  <c r="BJ243" i="69"/>
  <c r="BJ244" i="69"/>
  <c r="BJ245" i="69"/>
  <c r="BJ246" i="69"/>
  <c r="BJ247" i="69"/>
  <c r="BJ248" i="69"/>
  <c r="BJ249" i="69"/>
  <c r="BJ250" i="69"/>
  <c r="BJ251" i="69"/>
  <c r="BJ252" i="69"/>
  <c r="BJ253" i="69"/>
  <c r="BJ254" i="69"/>
  <c r="BJ255" i="69"/>
  <c r="BJ256" i="69"/>
  <c r="BJ257" i="69"/>
  <c r="BJ258" i="69"/>
  <c r="BJ12" i="69"/>
  <c r="R3" i="69" s="1" a="1"/>
  <c r="R3" i="69" s="1"/>
  <c r="AN12" i="68"/>
  <c r="V2" i="68" s="1" a="1"/>
  <c r="V2" i="68" s="1"/>
  <c r="AN13" i="68"/>
  <c r="AN14" i="68"/>
  <c r="AN15" i="68"/>
  <c r="AN16" i="68"/>
  <c r="AN17" i="68"/>
  <c r="AN18" i="68"/>
  <c r="AN19" i="68"/>
  <c r="AN20" i="68"/>
  <c r="AN21" i="68"/>
  <c r="AN22" i="68"/>
  <c r="AN23" i="68"/>
  <c r="AN24" i="68"/>
  <c r="AN25" i="68"/>
  <c r="AN26" i="68"/>
  <c r="AN27" i="68"/>
  <c r="AN28" i="68"/>
  <c r="AN29" i="68"/>
  <c r="AN30" i="68"/>
  <c r="AN31" i="68"/>
  <c r="AN32" i="68"/>
  <c r="AN33" i="68"/>
  <c r="AN34" i="68"/>
  <c r="AN35" i="68"/>
  <c r="AN36" i="68"/>
  <c r="AN37" i="68"/>
  <c r="AN38" i="68"/>
  <c r="AN39" i="68"/>
  <c r="AN40" i="68"/>
  <c r="AN41" i="68"/>
  <c r="AN42" i="68"/>
  <c r="AN43" i="68"/>
  <c r="AN44" i="68"/>
  <c r="AN45" i="68"/>
  <c r="AN46" i="68"/>
  <c r="AN47" i="68"/>
  <c r="AN48" i="68"/>
  <c r="AN49" i="68"/>
  <c r="AN50" i="68"/>
  <c r="AN51" i="68"/>
  <c r="AN52" i="68"/>
  <c r="AN53" i="68"/>
  <c r="AN54" i="68"/>
  <c r="AN55" i="68"/>
  <c r="AN56" i="68"/>
  <c r="AN57" i="68"/>
  <c r="AN58" i="68"/>
  <c r="AN59" i="68"/>
  <c r="AN60" i="68"/>
  <c r="AN61" i="68"/>
  <c r="AN62" i="68"/>
  <c r="AN63" i="68"/>
  <c r="AN64" i="68"/>
  <c r="AN65" i="68"/>
  <c r="AN66" i="68"/>
  <c r="AN67" i="68"/>
  <c r="AN68" i="68"/>
  <c r="AN69" i="68"/>
  <c r="AN70" i="68"/>
  <c r="AN71" i="68"/>
  <c r="AN72" i="68"/>
  <c r="AN73" i="68"/>
  <c r="AN74" i="68"/>
  <c r="AN75" i="68"/>
  <c r="AN76" i="68"/>
  <c r="AN77" i="68"/>
  <c r="AN78" i="68"/>
  <c r="AN79" i="68"/>
  <c r="AN80" i="68"/>
  <c r="AN81" i="68"/>
  <c r="AN82" i="68"/>
  <c r="AN83" i="68"/>
  <c r="AN84" i="68"/>
  <c r="AN85" i="68"/>
  <c r="AN86" i="68"/>
  <c r="AN87" i="68"/>
  <c r="AN88" i="68"/>
  <c r="AN89" i="68"/>
  <c r="AN90" i="68"/>
  <c r="AN91" i="68"/>
  <c r="AN92" i="68"/>
  <c r="AN93" i="68"/>
  <c r="AN94" i="68"/>
  <c r="AN95" i="68"/>
  <c r="AN96" i="68"/>
  <c r="AN97" i="68"/>
  <c r="AN98" i="68"/>
  <c r="AN99" i="68"/>
  <c r="AN100" i="68"/>
  <c r="AN101" i="68"/>
  <c r="AN102" i="68"/>
  <c r="AN103" i="68"/>
  <c r="AN104" i="68"/>
  <c r="AN105" i="68"/>
  <c r="AN106" i="68"/>
  <c r="AN107" i="68"/>
  <c r="AN108" i="68"/>
  <c r="AN109" i="68"/>
  <c r="AN110" i="68"/>
  <c r="AN111" i="68"/>
  <c r="AN112" i="68"/>
  <c r="AN113" i="68"/>
  <c r="AN114" i="68"/>
  <c r="AN115" i="68"/>
  <c r="AN116" i="68"/>
  <c r="AN117" i="68"/>
  <c r="AN118" i="68"/>
  <c r="AN119" i="68"/>
  <c r="AN120" i="68"/>
  <c r="AN121" i="68"/>
  <c r="AN122" i="68"/>
  <c r="AN123" i="68"/>
  <c r="AN124" i="68"/>
  <c r="AN125" i="68"/>
  <c r="AN126" i="68"/>
  <c r="AN127" i="68"/>
  <c r="AN128" i="68"/>
  <c r="AN129" i="68"/>
  <c r="AN130" i="68"/>
  <c r="AN131" i="68"/>
  <c r="AN132" i="68"/>
  <c r="AN133" i="68"/>
  <c r="AN134" i="68"/>
  <c r="AN135" i="68"/>
  <c r="AN136" i="68"/>
  <c r="AN137" i="68"/>
  <c r="AN138" i="68"/>
  <c r="AN139" i="68"/>
  <c r="AN140" i="68"/>
  <c r="AN141" i="68"/>
  <c r="AN142" i="68"/>
  <c r="AN143" i="68"/>
  <c r="AN144" i="68"/>
  <c r="AN145" i="68"/>
  <c r="AN146" i="68"/>
  <c r="AN147" i="68"/>
  <c r="AN148" i="68"/>
  <c r="AN149" i="68"/>
  <c r="AN150" i="68"/>
  <c r="AN151" i="68"/>
  <c r="AN152" i="68"/>
  <c r="AN153" i="68"/>
  <c r="AN154" i="68"/>
  <c r="AN155" i="68"/>
  <c r="AN156" i="68"/>
  <c r="AN157" i="68"/>
  <c r="AN158" i="68"/>
  <c r="AN159" i="68"/>
  <c r="AN160" i="68"/>
  <c r="AN161" i="68"/>
  <c r="AN162" i="68"/>
  <c r="AN163" i="68"/>
  <c r="AN164" i="68"/>
  <c r="AN165" i="68"/>
  <c r="AN166" i="68"/>
  <c r="AN167" i="68"/>
  <c r="AN168" i="68"/>
  <c r="AN169" i="68"/>
  <c r="AN170" i="68"/>
  <c r="AN171" i="68"/>
  <c r="AN172" i="68"/>
  <c r="AN173" i="68"/>
  <c r="AN174" i="68"/>
  <c r="AN175" i="68"/>
  <c r="AN176" i="68"/>
  <c r="AN177" i="68"/>
  <c r="AN178" i="68"/>
  <c r="AN179" i="68"/>
  <c r="AN180" i="68"/>
  <c r="AN181" i="68"/>
  <c r="AN182" i="68"/>
  <c r="AN183" i="68"/>
  <c r="AN184" i="68"/>
  <c r="AN185" i="68"/>
  <c r="AN186" i="68"/>
  <c r="AN187" i="68"/>
  <c r="AN188" i="68"/>
  <c r="AN189" i="68"/>
  <c r="AN190" i="68"/>
  <c r="AN191" i="68"/>
  <c r="AN192" i="68"/>
  <c r="AN193" i="68"/>
  <c r="AN194" i="68"/>
  <c r="AN195" i="68"/>
  <c r="AN196" i="68"/>
  <c r="AN197" i="68"/>
  <c r="AN198" i="68"/>
  <c r="AN199" i="68"/>
  <c r="AN200" i="68"/>
  <c r="AN201" i="68"/>
  <c r="AN202" i="68"/>
  <c r="AN203" i="68"/>
  <c r="AN204" i="68"/>
  <c r="AN205" i="68"/>
  <c r="AN206" i="68"/>
  <c r="AN207" i="68"/>
  <c r="AN208" i="68"/>
  <c r="AN209" i="68"/>
  <c r="AN210" i="68"/>
  <c r="AN211" i="68"/>
  <c r="AN212" i="68"/>
  <c r="AN213" i="68"/>
  <c r="AN214" i="68"/>
  <c r="AN215" i="68"/>
  <c r="AN216" i="68"/>
  <c r="AN217" i="68"/>
  <c r="AN218" i="68"/>
  <c r="AN219" i="68"/>
  <c r="AN220" i="68"/>
  <c r="AN221" i="68"/>
  <c r="AN222" i="68"/>
  <c r="AN223" i="68"/>
  <c r="AN224" i="68"/>
  <c r="AN225" i="68"/>
  <c r="AN226" i="68"/>
  <c r="AN227" i="68"/>
  <c r="AN228" i="68"/>
  <c r="AN229" i="68"/>
  <c r="AN230" i="68"/>
  <c r="AN231" i="68"/>
  <c r="AN232" i="68"/>
  <c r="AN233" i="68"/>
  <c r="AN234" i="68"/>
  <c r="AN235" i="68"/>
  <c r="AN236" i="68"/>
  <c r="AN237" i="68"/>
  <c r="AN238" i="68"/>
  <c r="AN239" i="68"/>
  <c r="AN240" i="68"/>
  <c r="AN241" i="68"/>
  <c r="AN242" i="68"/>
  <c r="AN243" i="68"/>
  <c r="AN244" i="68"/>
  <c r="AN245" i="68"/>
  <c r="AN246" i="68"/>
  <c r="AN247" i="68"/>
  <c r="AN248" i="68"/>
  <c r="AN249" i="68"/>
  <c r="AN250" i="68"/>
  <c r="AN251" i="68"/>
  <c r="AN252" i="68"/>
  <c r="AN253" i="68"/>
  <c r="AN254" i="68"/>
  <c r="AN255" i="68"/>
  <c r="AN256" i="68"/>
  <c r="AN257" i="68"/>
  <c r="AN258" i="68"/>
  <c r="AN259" i="68"/>
  <c r="AN260" i="68"/>
  <c r="AW10" i="67"/>
  <c r="AW11" i="67"/>
  <c r="AW12" i="67"/>
  <c r="AW13" i="67"/>
  <c r="AW14" i="67"/>
  <c r="AW15" i="67"/>
  <c r="AW16" i="67"/>
  <c r="AW17" i="67"/>
  <c r="AW18" i="67"/>
  <c r="AW19" i="67"/>
  <c r="AW20" i="67"/>
  <c r="AW21" i="67"/>
  <c r="AW22" i="67"/>
  <c r="AW23" i="67"/>
  <c r="AW24" i="67"/>
  <c r="AW25" i="67"/>
  <c r="AW26" i="67"/>
  <c r="AW27" i="67"/>
  <c r="AW28" i="67"/>
  <c r="AW29" i="67"/>
  <c r="AW30" i="67"/>
  <c r="AW31" i="67"/>
  <c r="AW32" i="67"/>
  <c r="AW33" i="67"/>
  <c r="AW34" i="67"/>
  <c r="AW35" i="67"/>
  <c r="AW36" i="67"/>
  <c r="AW37" i="67"/>
  <c r="AW38" i="67"/>
  <c r="AW39" i="67"/>
  <c r="AW40" i="67"/>
  <c r="AW41" i="67"/>
  <c r="AW42" i="67"/>
  <c r="AW43" i="67"/>
  <c r="AW44" i="67"/>
  <c r="AW45" i="67"/>
  <c r="AW46" i="67"/>
  <c r="AW47" i="67"/>
  <c r="AW48" i="67"/>
  <c r="AW49" i="67"/>
  <c r="AW50" i="67"/>
  <c r="AW51" i="67"/>
  <c r="AW52" i="67"/>
  <c r="AW53" i="67"/>
  <c r="AW54" i="67"/>
  <c r="AW55" i="67"/>
  <c r="AW56" i="67"/>
  <c r="AW57" i="67"/>
  <c r="AW58" i="67"/>
  <c r="AW59" i="67"/>
  <c r="AW60" i="67"/>
  <c r="AW61" i="67"/>
  <c r="AW62" i="67"/>
  <c r="AW63" i="67"/>
  <c r="AW64" i="67"/>
  <c r="AW65" i="67"/>
  <c r="AW66" i="67"/>
  <c r="AW67" i="67"/>
  <c r="AW68" i="67"/>
  <c r="AW69" i="67"/>
  <c r="AW70" i="67"/>
  <c r="AW71" i="67"/>
  <c r="AW72" i="67"/>
  <c r="AW73" i="67"/>
  <c r="AW74" i="67"/>
  <c r="AW75" i="67"/>
  <c r="AW76" i="67"/>
  <c r="AW77" i="67"/>
  <c r="AW78" i="67"/>
  <c r="AW79" i="67"/>
  <c r="AW80" i="67"/>
  <c r="AW81" i="67"/>
  <c r="AW82" i="67"/>
  <c r="AW83" i="67"/>
  <c r="AW84" i="67"/>
  <c r="AW85" i="67"/>
  <c r="AW86" i="67"/>
  <c r="AW87" i="67"/>
  <c r="AW88" i="67"/>
  <c r="AW89" i="67"/>
  <c r="AW90" i="67"/>
  <c r="AW91" i="67"/>
  <c r="AW92" i="67"/>
  <c r="AW93" i="67"/>
  <c r="AW94" i="67"/>
  <c r="AW95" i="67"/>
  <c r="AW96" i="67"/>
  <c r="AW97" i="67"/>
  <c r="AW98" i="67"/>
  <c r="AW99" i="67"/>
  <c r="AW100" i="67"/>
  <c r="AW101" i="67"/>
  <c r="AW102" i="67"/>
  <c r="AW103" i="67"/>
  <c r="AW104" i="67"/>
  <c r="AW105" i="67"/>
  <c r="AW106" i="67"/>
  <c r="AW107" i="67"/>
  <c r="AW108" i="67"/>
  <c r="AW109" i="67"/>
  <c r="AW110" i="67"/>
  <c r="AW111" i="67"/>
  <c r="AW112" i="67"/>
  <c r="AW113" i="67"/>
  <c r="AW114" i="67"/>
  <c r="AW115" i="67"/>
  <c r="AW116" i="67"/>
  <c r="AW117" i="67"/>
  <c r="AW118" i="67"/>
  <c r="AW119" i="67"/>
  <c r="AW120" i="67"/>
  <c r="AW121" i="67"/>
  <c r="AW122" i="67"/>
  <c r="AW123" i="67"/>
  <c r="AW124" i="67"/>
  <c r="AW125" i="67"/>
  <c r="AW126" i="67"/>
  <c r="AW127" i="67"/>
  <c r="AW128" i="67"/>
  <c r="AW129" i="67"/>
  <c r="AW130" i="67"/>
  <c r="AW131" i="67"/>
  <c r="AW132" i="67"/>
  <c r="AW133" i="67"/>
  <c r="AW134" i="67"/>
  <c r="AW135" i="67"/>
  <c r="AW136" i="67"/>
  <c r="AW137" i="67"/>
  <c r="AW138" i="67"/>
  <c r="AW139" i="67"/>
  <c r="AW140" i="67"/>
  <c r="AW141" i="67"/>
  <c r="AW142" i="67"/>
  <c r="AW143" i="67"/>
  <c r="AW144" i="67"/>
  <c r="AW145" i="67"/>
  <c r="AW146" i="67"/>
  <c r="AW147" i="67"/>
  <c r="AW148" i="67"/>
  <c r="AW149" i="67"/>
  <c r="AW150" i="67"/>
  <c r="AW151" i="67"/>
  <c r="AW152" i="67"/>
  <c r="AW153" i="67"/>
  <c r="AW154" i="67"/>
  <c r="AW155" i="67"/>
  <c r="AW156" i="67"/>
  <c r="AW157" i="67"/>
  <c r="AW158" i="67"/>
  <c r="AW159" i="67"/>
  <c r="AW160" i="67"/>
  <c r="AW161" i="67"/>
  <c r="AW162" i="67"/>
  <c r="AW163" i="67"/>
  <c r="AW164" i="67"/>
  <c r="AW165" i="67"/>
  <c r="AW166" i="67"/>
  <c r="AW167" i="67"/>
  <c r="AW168" i="67"/>
  <c r="AW169" i="67"/>
  <c r="AW170" i="67"/>
  <c r="AW171" i="67"/>
  <c r="AW172" i="67"/>
  <c r="AW173" i="67"/>
  <c r="AW174" i="67"/>
  <c r="AW175" i="67"/>
  <c r="AW176" i="67"/>
  <c r="AW177" i="67"/>
  <c r="AW178" i="67"/>
  <c r="AW179" i="67"/>
  <c r="AW180" i="67"/>
  <c r="AW181" i="67"/>
  <c r="AW182" i="67"/>
  <c r="AW183" i="67"/>
  <c r="AW184" i="67"/>
  <c r="AW185" i="67"/>
  <c r="AW186" i="67"/>
  <c r="AW187" i="67"/>
  <c r="AW188" i="67"/>
  <c r="AW189" i="67"/>
  <c r="AW190" i="67"/>
  <c r="AW191" i="67"/>
  <c r="AW192" i="67"/>
  <c r="AW193" i="67"/>
  <c r="AW194" i="67"/>
  <c r="AW195" i="67"/>
  <c r="AW196" i="67"/>
  <c r="AW197" i="67"/>
  <c r="AW198" i="67"/>
  <c r="AW199" i="67"/>
  <c r="AW200" i="67"/>
  <c r="AW201" i="67"/>
  <c r="AW202" i="67"/>
  <c r="AW203" i="67"/>
  <c r="AW204" i="67"/>
  <c r="AW205" i="67"/>
  <c r="AW206" i="67"/>
  <c r="AW207" i="67"/>
  <c r="AW208" i="67"/>
  <c r="AW209" i="67"/>
  <c r="AW210" i="67"/>
  <c r="AW211" i="67"/>
  <c r="AW212" i="67"/>
  <c r="AW213" i="67"/>
  <c r="AW214" i="67"/>
  <c r="AW215" i="67"/>
  <c r="AW216" i="67"/>
  <c r="AW217" i="67"/>
  <c r="AW218" i="67"/>
  <c r="AW219" i="67"/>
  <c r="AW220" i="67"/>
  <c r="AW221" i="67"/>
  <c r="AW222" i="67"/>
  <c r="AW223" i="67"/>
  <c r="AW224" i="67"/>
  <c r="AW225" i="67"/>
  <c r="AW226" i="67"/>
  <c r="AW227" i="67"/>
  <c r="AW228" i="67"/>
  <c r="AW229" i="67"/>
  <c r="AW230" i="67"/>
  <c r="AW231" i="67"/>
  <c r="AW232" i="67"/>
  <c r="AW233" i="67"/>
  <c r="AW234" i="67"/>
  <c r="AW235" i="67"/>
  <c r="AW236" i="67"/>
  <c r="AW237" i="67"/>
  <c r="AW238" i="67"/>
  <c r="AW239" i="67"/>
  <c r="AW240" i="67"/>
  <c r="AW241" i="67"/>
  <c r="AW242" i="67"/>
  <c r="AW243" i="67"/>
  <c r="AW244" i="67"/>
  <c r="AW245" i="67"/>
  <c r="AW246" i="67"/>
  <c r="AW247" i="67"/>
  <c r="AW248" i="67"/>
  <c r="AW249" i="67"/>
  <c r="AW250" i="67"/>
  <c r="AW251" i="67"/>
  <c r="AW252" i="67"/>
  <c r="AW253" i="67"/>
  <c r="AW254" i="67"/>
  <c r="AW255" i="67"/>
  <c r="AW256" i="67"/>
  <c r="AW257" i="67"/>
  <c r="AX10" i="63"/>
  <c r="BD13" i="65"/>
  <c r="BD14" i="65"/>
  <c r="BD15" i="65"/>
  <c r="BD16" i="65"/>
  <c r="BD17" i="65"/>
  <c r="BD18" i="65"/>
  <c r="BD19" i="65"/>
  <c r="BD20" i="65"/>
  <c r="BD21" i="65"/>
  <c r="BD22" i="65"/>
  <c r="BD23" i="65"/>
  <c r="BD24" i="65"/>
  <c r="BD25" i="65"/>
  <c r="BD26" i="65"/>
  <c r="BD27" i="65"/>
  <c r="BD28" i="65"/>
  <c r="BD29" i="65"/>
  <c r="BD30" i="65"/>
  <c r="BD31" i="65"/>
  <c r="BD32" i="65"/>
  <c r="BD33" i="65"/>
  <c r="BD34" i="65"/>
  <c r="BD35" i="65"/>
  <c r="BD36" i="65"/>
  <c r="BD37" i="65"/>
  <c r="BD38" i="65"/>
  <c r="BD39" i="65"/>
  <c r="BD40" i="65"/>
  <c r="BD41" i="65"/>
  <c r="BD42" i="65"/>
  <c r="BD43" i="65"/>
  <c r="BD44" i="65"/>
  <c r="BD45" i="65"/>
  <c r="BD46" i="65"/>
  <c r="BD47" i="65"/>
  <c r="BD48" i="65"/>
  <c r="BD49" i="65"/>
  <c r="BD50" i="65"/>
  <c r="BD51" i="65"/>
  <c r="BD52" i="65"/>
  <c r="BD53" i="65"/>
  <c r="BD54" i="65"/>
  <c r="BD55" i="65"/>
  <c r="BD56" i="65"/>
  <c r="BD57" i="65"/>
  <c r="BD58" i="65"/>
  <c r="BD59" i="65"/>
  <c r="BD60" i="65"/>
  <c r="BD61" i="65"/>
  <c r="BD62" i="65"/>
  <c r="BD63" i="65"/>
  <c r="BD64" i="65"/>
  <c r="BD65" i="65"/>
  <c r="BD66" i="65"/>
  <c r="BD67" i="65"/>
  <c r="BD68" i="65"/>
  <c r="BD69" i="65"/>
  <c r="BD70" i="65"/>
  <c r="BD71" i="65"/>
  <c r="BD72" i="65"/>
  <c r="BD73" i="65"/>
  <c r="BD74" i="65"/>
  <c r="BD75" i="65"/>
  <c r="BD76" i="65"/>
  <c r="BD77" i="65"/>
  <c r="BD78" i="65"/>
  <c r="BD79" i="65"/>
  <c r="BD80" i="65"/>
  <c r="BD81" i="65"/>
  <c r="BD82" i="65"/>
  <c r="BD83" i="65"/>
  <c r="BD84" i="65"/>
  <c r="BD85" i="65"/>
  <c r="BD86" i="65"/>
  <c r="BD87" i="65"/>
  <c r="BD88" i="65"/>
  <c r="BD89" i="65"/>
  <c r="BD90" i="65"/>
  <c r="BD91" i="65"/>
  <c r="BD92" i="65"/>
  <c r="BD93" i="65"/>
  <c r="BD94" i="65"/>
  <c r="BD95" i="65"/>
  <c r="BD96" i="65"/>
  <c r="BD97" i="65"/>
  <c r="BD98" i="65"/>
  <c r="BD99" i="65"/>
  <c r="BD100" i="65"/>
  <c r="BD101" i="65"/>
  <c r="BD102" i="65"/>
  <c r="BD103" i="65"/>
  <c r="BD104" i="65"/>
  <c r="BD105" i="65"/>
  <c r="BD106" i="65"/>
  <c r="BD107" i="65"/>
  <c r="BD108" i="65"/>
  <c r="BD109" i="65"/>
  <c r="BD110" i="65"/>
  <c r="BD111" i="65"/>
  <c r="BD112" i="65"/>
  <c r="BD113" i="65"/>
  <c r="BD114" i="65"/>
  <c r="BD115" i="65"/>
  <c r="BD116" i="65"/>
  <c r="BD117" i="65"/>
  <c r="BD118" i="65"/>
  <c r="BD119" i="65"/>
  <c r="BD120" i="65"/>
  <c r="BD121" i="65"/>
  <c r="BD122" i="65"/>
  <c r="BD123" i="65"/>
  <c r="BD124" i="65"/>
  <c r="BD125" i="65"/>
  <c r="BD126" i="65"/>
  <c r="BD127" i="65"/>
  <c r="BD128" i="65"/>
  <c r="BD129" i="65"/>
  <c r="BD130" i="65"/>
  <c r="BD131" i="65"/>
  <c r="BD132" i="65"/>
  <c r="BD133" i="65"/>
  <c r="BD134" i="65"/>
  <c r="BD135" i="65"/>
  <c r="BD136" i="65"/>
  <c r="BD137" i="65"/>
  <c r="BD138" i="65"/>
  <c r="BD139" i="65"/>
  <c r="BD140" i="65"/>
  <c r="BD141" i="65"/>
  <c r="BD142" i="65"/>
  <c r="BD143" i="65"/>
  <c r="BD144" i="65"/>
  <c r="BD145" i="65"/>
  <c r="BD146" i="65"/>
  <c r="BD147" i="65"/>
  <c r="BD148" i="65"/>
  <c r="BD149" i="65"/>
  <c r="BD150" i="65"/>
  <c r="BD151" i="65"/>
  <c r="BD152" i="65"/>
  <c r="BD153" i="65"/>
  <c r="BD154" i="65"/>
  <c r="BD155" i="65"/>
  <c r="BD156" i="65"/>
  <c r="BD157" i="65"/>
  <c r="BD158" i="65"/>
  <c r="BD159" i="65"/>
  <c r="BD160" i="65"/>
  <c r="BD161" i="65"/>
  <c r="BD162" i="65"/>
  <c r="BD163" i="65"/>
  <c r="BD164" i="65"/>
  <c r="BD165" i="65"/>
  <c r="BD166" i="65"/>
  <c r="BD167" i="65"/>
  <c r="BD168" i="65"/>
  <c r="BD169" i="65"/>
  <c r="BD170" i="65"/>
  <c r="BD171" i="65"/>
  <c r="BD172" i="65"/>
  <c r="BD173" i="65"/>
  <c r="BD174" i="65"/>
  <c r="BD175" i="65"/>
  <c r="BD176" i="65"/>
  <c r="BD177" i="65"/>
  <c r="BD178" i="65"/>
  <c r="BD179" i="65"/>
  <c r="BD180" i="65"/>
  <c r="BD181" i="65"/>
  <c r="BD182" i="65"/>
  <c r="BD183" i="65"/>
  <c r="BD184" i="65"/>
  <c r="BD185" i="65"/>
  <c r="BD186" i="65"/>
  <c r="BD187" i="65"/>
  <c r="BD188" i="65"/>
  <c r="BD189" i="65"/>
  <c r="BD190" i="65"/>
  <c r="BD191" i="65"/>
  <c r="BD192" i="65"/>
  <c r="BD193" i="65"/>
  <c r="BD194" i="65"/>
  <c r="BD195" i="65"/>
  <c r="BD196" i="65"/>
  <c r="BD197" i="65"/>
  <c r="BD198" i="65"/>
  <c r="BD199" i="65"/>
  <c r="BD200" i="65"/>
  <c r="BD201" i="65"/>
  <c r="BD202" i="65"/>
  <c r="BD203" i="65"/>
  <c r="BD204" i="65"/>
  <c r="BD205" i="65"/>
  <c r="BD206" i="65"/>
  <c r="BD207" i="65"/>
  <c r="BD208" i="65"/>
  <c r="BD209" i="65"/>
  <c r="BD210" i="65"/>
  <c r="BD211" i="65"/>
  <c r="BD212" i="65"/>
  <c r="BD213" i="65"/>
  <c r="BD214" i="65"/>
  <c r="BD215" i="65"/>
  <c r="BD216" i="65"/>
  <c r="BD217" i="65"/>
  <c r="BD218" i="65"/>
  <c r="BD219" i="65"/>
  <c r="BD220" i="65"/>
  <c r="BD221" i="65"/>
  <c r="BD222" i="65"/>
  <c r="BD223" i="65"/>
  <c r="BD224" i="65"/>
  <c r="BD225" i="65"/>
  <c r="BD226" i="65"/>
  <c r="BD227" i="65"/>
  <c r="BD228" i="65"/>
  <c r="BD229" i="65"/>
  <c r="BD230" i="65"/>
  <c r="BD231" i="65"/>
  <c r="BD232" i="65"/>
  <c r="BD233" i="65"/>
  <c r="BD234" i="65"/>
  <c r="BD235" i="65"/>
  <c r="BD236" i="65"/>
  <c r="BD237" i="65"/>
  <c r="BD238" i="65"/>
  <c r="BD239" i="65"/>
  <c r="BD240" i="65"/>
  <c r="BD241" i="65"/>
  <c r="BD242" i="65"/>
  <c r="BD243" i="65"/>
  <c r="BD244" i="65"/>
  <c r="BD245" i="65"/>
  <c r="BD246" i="65"/>
  <c r="BD247" i="65"/>
  <c r="BD248" i="65"/>
  <c r="BD249" i="65"/>
  <c r="BD250" i="65"/>
  <c r="BD251" i="65"/>
  <c r="BD252" i="65"/>
  <c r="BD253" i="65"/>
  <c r="BD254" i="65"/>
  <c r="BD255" i="65"/>
  <c r="BD256" i="65"/>
  <c r="BD257" i="65"/>
  <c r="BD258" i="65"/>
  <c r="BD259" i="65"/>
  <c r="BD260" i="65"/>
  <c r="BD12" i="65"/>
  <c r="AK12" i="64"/>
  <c r="V5" i="64" s="1" a="1"/>
  <c r="V5" i="64" s="1"/>
  <c r="AK13" i="64"/>
  <c r="AK14" i="64"/>
  <c r="AK15" i="64"/>
  <c r="AK16" i="64"/>
  <c r="AK17" i="64"/>
  <c r="AK18" i="64"/>
  <c r="AK19" i="64"/>
  <c r="AK20" i="64"/>
  <c r="AK21" i="64"/>
  <c r="AK22" i="64"/>
  <c r="AK23" i="64"/>
  <c r="AK24" i="64"/>
  <c r="AK25" i="64"/>
  <c r="AK26" i="64"/>
  <c r="AK27" i="64"/>
  <c r="AK28" i="64"/>
  <c r="AK29" i="64"/>
  <c r="AK30" i="64"/>
  <c r="AK31" i="64"/>
  <c r="AK32" i="64"/>
  <c r="AK33" i="64"/>
  <c r="AK34" i="64"/>
  <c r="AK35" i="64"/>
  <c r="AK36" i="64"/>
  <c r="AK37" i="64"/>
  <c r="AK38" i="64"/>
  <c r="AK39" i="64"/>
  <c r="AK40" i="64"/>
  <c r="AK41" i="64"/>
  <c r="AK42" i="64"/>
  <c r="AK43" i="64"/>
  <c r="AK44" i="64"/>
  <c r="AK45" i="64"/>
  <c r="AK46" i="64"/>
  <c r="AK47" i="64"/>
  <c r="AK48" i="64"/>
  <c r="AK49" i="64"/>
  <c r="AK50" i="64"/>
  <c r="AK51" i="64"/>
  <c r="AK52" i="64"/>
  <c r="AK53" i="64"/>
  <c r="AK54" i="64"/>
  <c r="AK55" i="64"/>
  <c r="AK56" i="64"/>
  <c r="AK57" i="64"/>
  <c r="AK58" i="64"/>
  <c r="AK59" i="64"/>
  <c r="AK60" i="64"/>
  <c r="AK61" i="64"/>
  <c r="AK62" i="64"/>
  <c r="AK63" i="64"/>
  <c r="AK64" i="64"/>
  <c r="AK65" i="64"/>
  <c r="AK66" i="64"/>
  <c r="AK67" i="64"/>
  <c r="AK68" i="64"/>
  <c r="AK69" i="64"/>
  <c r="AK70" i="64"/>
  <c r="AK71" i="64"/>
  <c r="AK72" i="64"/>
  <c r="AK73" i="64"/>
  <c r="AK74" i="64"/>
  <c r="AK75" i="64"/>
  <c r="AK76" i="64"/>
  <c r="AK77" i="64"/>
  <c r="AK78" i="64"/>
  <c r="AK79" i="64"/>
  <c r="AK80" i="64"/>
  <c r="AK81" i="64"/>
  <c r="AK82" i="64"/>
  <c r="AK83" i="64"/>
  <c r="AK84" i="64"/>
  <c r="AK85" i="64"/>
  <c r="AK86" i="64"/>
  <c r="AK87" i="64"/>
  <c r="AK88" i="64"/>
  <c r="AK89" i="64"/>
  <c r="AK90" i="64"/>
  <c r="AK91" i="64"/>
  <c r="AK92" i="64"/>
  <c r="AK93" i="64"/>
  <c r="AK94" i="64"/>
  <c r="AK95" i="64"/>
  <c r="AK96" i="64"/>
  <c r="AK97" i="64"/>
  <c r="AK98" i="64"/>
  <c r="AK99" i="64"/>
  <c r="AK100" i="64"/>
  <c r="AK101" i="64"/>
  <c r="AK102" i="64"/>
  <c r="AK103" i="64"/>
  <c r="AK104" i="64"/>
  <c r="AK105" i="64"/>
  <c r="AK106" i="64"/>
  <c r="AK107" i="64"/>
  <c r="AK108" i="64"/>
  <c r="AK109" i="64"/>
  <c r="AK110" i="64"/>
  <c r="AK111" i="64"/>
  <c r="AK112" i="64"/>
  <c r="AK113" i="64"/>
  <c r="AK114" i="64"/>
  <c r="AK115" i="64"/>
  <c r="AK116" i="64"/>
  <c r="AK117" i="64"/>
  <c r="AK118" i="64"/>
  <c r="AK119" i="64"/>
  <c r="AK120" i="64"/>
  <c r="AK121" i="64"/>
  <c r="AK122" i="64"/>
  <c r="AK123" i="64"/>
  <c r="AK124" i="64"/>
  <c r="AK125" i="64"/>
  <c r="AK126" i="64"/>
  <c r="AK127" i="64"/>
  <c r="AK128" i="64"/>
  <c r="AK129" i="64"/>
  <c r="AK130" i="64"/>
  <c r="AK131" i="64"/>
  <c r="AK132" i="64"/>
  <c r="AK133" i="64"/>
  <c r="AK134" i="64"/>
  <c r="AK135" i="64"/>
  <c r="AK136" i="64"/>
  <c r="AK137" i="64"/>
  <c r="AK138" i="64"/>
  <c r="AK139" i="64"/>
  <c r="AK140" i="64"/>
  <c r="AK141" i="64"/>
  <c r="AK142" i="64"/>
  <c r="AK143" i="64"/>
  <c r="AK144" i="64"/>
  <c r="AK145" i="64"/>
  <c r="AK146" i="64"/>
  <c r="AK147" i="64"/>
  <c r="AK148" i="64"/>
  <c r="AK149" i="64"/>
  <c r="AK150" i="64"/>
  <c r="AK151" i="64"/>
  <c r="AK152" i="64"/>
  <c r="AK153" i="64"/>
  <c r="AK154" i="64"/>
  <c r="AK155" i="64"/>
  <c r="AK156" i="64"/>
  <c r="AK157" i="64"/>
  <c r="AK158" i="64"/>
  <c r="AK159" i="64"/>
  <c r="AK160" i="64"/>
  <c r="AK161" i="64"/>
  <c r="AK162" i="64"/>
  <c r="AK163" i="64"/>
  <c r="AK164" i="64"/>
  <c r="AK165" i="64"/>
  <c r="AK166" i="64"/>
  <c r="AK167" i="64"/>
  <c r="AK168" i="64"/>
  <c r="AK169" i="64"/>
  <c r="AK170" i="64"/>
  <c r="AK171" i="64"/>
  <c r="AK172" i="64"/>
  <c r="AK173" i="64"/>
  <c r="AK174" i="64"/>
  <c r="AK175" i="64"/>
  <c r="AK176" i="64"/>
  <c r="AK177" i="64"/>
  <c r="AK178" i="64"/>
  <c r="AK179" i="64"/>
  <c r="AK180" i="64"/>
  <c r="AK181" i="64"/>
  <c r="AK182" i="64"/>
  <c r="AK183" i="64"/>
  <c r="AK184" i="64"/>
  <c r="AK185" i="64"/>
  <c r="AK186" i="64"/>
  <c r="AK187" i="64"/>
  <c r="AK188" i="64"/>
  <c r="AK189" i="64"/>
  <c r="AK190" i="64"/>
  <c r="AK191" i="64"/>
  <c r="AK192" i="64"/>
  <c r="AK193" i="64"/>
  <c r="AK194" i="64"/>
  <c r="AK195" i="64"/>
  <c r="AK196" i="64"/>
  <c r="AK197" i="64"/>
  <c r="AK198" i="64"/>
  <c r="AK199" i="64"/>
  <c r="AK200" i="64"/>
  <c r="AK201" i="64"/>
  <c r="AK202" i="64"/>
  <c r="AK203" i="64"/>
  <c r="AK204" i="64"/>
  <c r="AK205" i="64"/>
  <c r="AK206" i="64"/>
  <c r="AK207" i="64"/>
  <c r="AK208" i="64"/>
  <c r="AK209" i="64"/>
  <c r="AK210" i="64"/>
  <c r="AK211" i="64"/>
  <c r="AK212" i="64"/>
  <c r="AK213" i="64"/>
  <c r="AK214" i="64"/>
  <c r="AK215" i="64"/>
  <c r="AK216" i="64"/>
  <c r="AK217" i="64"/>
  <c r="AK218" i="64"/>
  <c r="AK219" i="64"/>
  <c r="AK220" i="64"/>
  <c r="AK221" i="64"/>
  <c r="AK222" i="64"/>
  <c r="AK223" i="64"/>
  <c r="AK224" i="64"/>
  <c r="AK225" i="64"/>
  <c r="AK226" i="64"/>
  <c r="AK227" i="64"/>
  <c r="AK228" i="64"/>
  <c r="AK229" i="64"/>
  <c r="AK230" i="64"/>
  <c r="AK231" i="64"/>
  <c r="AK232" i="64"/>
  <c r="AK233" i="64"/>
  <c r="AK234" i="64"/>
  <c r="AK235" i="64"/>
  <c r="AK236" i="64"/>
  <c r="AK237" i="64"/>
  <c r="AK238" i="64"/>
  <c r="AK239" i="64"/>
  <c r="AK240" i="64"/>
  <c r="AK241" i="64"/>
  <c r="AK242" i="64"/>
  <c r="AK243" i="64"/>
  <c r="AK244" i="64"/>
  <c r="AK245" i="64"/>
  <c r="AK246" i="64"/>
  <c r="AK247" i="64"/>
  <c r="AK248" i="64"/>
  <c r="AK249" i="64"/>
  <c r="AK250" i="64"/>
  <c r="AK251" i="64"/>
  <c r="AK252" i="64"/>
  <c r="AK253" i="64"/>
  <c r="AK254" i="64"/>
  <c r="AK255" i="64"/>
  <c r="AK256" i="64"/>
  <c r="AK257" i="64"/>
  <c r="AK258" i="64"/>
  <c r="AK259" i="64"/>
  <c r="AK260" i="64"/>
  <c r="AL8" i="107"/>
  <c r="AL9" i="107"/>
  <c r="AL10" i="107"/>
  <c r="AL11" i="107"/>
  <c r="AL12" i="107"/>
  <c r="AL13" i="107"/>
  <c r="AL14" i="107"/>
  <c r="AL15" i="107"/>
  <c r="AL16" i="107"/>
  <c r="AL17" i="107"/>
  <c r="AL18" i="107"/>
  <c r="AL19" i="107"/>
  <c r="AL20" i="107"/>
  <c r="AL21" i="107"/>
  <c r="AL22" i="107"/>
  <c r="AL23" i="107"/>
  <c r="AL24" i="107"/>
  <c r="AL25" i="107"/>
  <c r="AL26" i="107"/>
  <c r="AL27" i="107"/>
  <c r="AL28" i="107"/>
  <c r="AL29" i="107"/>
  <c r="AL30" i="107"/>
  <c r="AL31" i="107"/>
  <c r="AL32" i="107"/>
  <c r="AL33" i="107"/>
  <c r="AL34" i="107"/>
  <c r="AL35" i="107"/>
  <c r="AL36" i="107"/>
  <c r="AL37" i="107"/>
  <c r="AL38" i="107"/>
  <c r="AL39" i="107"/>
  <c r="AL40" i="107"/>
  <c r="AL41" i="107"/>
  <c r="AL42" i="107"/>
  <c r="AL43" i="107"/>
  <c r="AL44" i="107"/>
  <c r="AL45" i="107"/>
  <c r="AL46" i="107"/>
  <c r="AL47" i="107"/>
  <c r="AL48" i="107"/>
  <c r="AL49" i="107"/>
  <c r="AL50" i="107"/>
  <c r="AL51" i="107"/>
  <c r="AL52" i="107"/>
  <c r="AL53" i="107"/>
  <c r="AL54" i="107"/>
  <c r="AL55" i="107"/>
  <c r="AL56" i="107"/>
  <c r="AL57" i="107"/>
  <c r="AL58" i="107"/>
  <c r="AL59" i="107"/>
  <c r="AL60" i="107"/>
  <c r="AL61" i="107"/>
  <c r="AL62" i="107"/>
  <c r="AL63" i="107"/>
  <c r="AL64" i="107"/>
  <c r="AL65" i="107"/>
  <c r="AL66" i="107"/>
  <c r="AL67" i="107"/>
  <c r="AL68" i="107"/>
  <c r="AL69" i="107"/>
  <c r="AL70" i="107"/>
  <c r="AL71" i="107"/>
  <c r="AL72" i="107"/>
  <c r="AL73" i="107"/>
  <c r="AL74" i="107"/>
  <c r="AL75" i="107"/>
  <c r="AL76" i="107"/>
  <c r="AL77" i="107"/>
  <c r="AL78" i="107"/>
  <c r="AL79" i="107"/>
  <c r="AL80" i="107"/>
  <c r="AL81" i="107"/>
  <c r="AL82" i="107"/>
  <c r="AL83" i="107"/>
  <c r="AL84" i="107"/>
  <c r="AL85" i="107"/>
  <c r="AL86" i="107"/>
  <c r="AL87" i="107"/>
  <c r="AL88" i="107"/>
  <c r="AL89" i="107"/>
  <c r="AL90" i="107"/>
  <c r="AL91" i="107"/>
  <c r="AL92" i="107"/>
  <c r="AL93" i="107"/>
  <c r="AL94" i="107"/>
  <c r="AL95" i="107"/>
  <c r="AL96" i="107"/>
  <c r="AL97" i="107"/>
  <c r="AL98" i="107"/>
  <c r="AL99" i="107"/>
  <c r="AL100" i="107"/>
  <c r="AL101" i="107"/>
  <c r="AL102" i="107"/>
  <c r="AL103" i="107"/>
  <c r="AL104" i="107"/>
  <c r="AL105" i="107"/>
  <c r="AL106" i="107"/>
  <c r="AL107" i="107"/>
  <c r="Y8" i="107"/>
  <c r="Y9" i="107"/>
  <c r="Y10"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L9" i="107"/>
  <c r="L10" i="107"/>
  <c r="L11" i="107"/>
  <c r="L12" i="107"/>
  <c r="L13" i="107"/>
  <c r="L14" i="107"/>
  <c r="L15" i="107"/>
  <c r="L16" i="107"/>
  <c r="L17" i="107"/>
  <c r="L18" i="107"/>
  <c r="L19" i="107"/>
  <c r="L20" i="107"/>
  <c r="L21" i="107"/>
  <c r="L22" i="107"/>
  <c r="L23" i="107"/>
  <c r="L24" i="107"/>
  <c r="L25" i="107"/>
  <c r="L26" i="107"/>
  <c r="L27" i="107"/>
  <c r="L28" i="107"/>
  <c r="L29" i="107"/>
  <c r="L30" i="107"/>
  <c r="L31" i="107"/>
  <c r="L32" i="107"/>
  <c r="L33" i="107"/>
  <c r="L34" i="107"/>
  <c r="L35" i="107"/>
  <c r="L36" i="107"/>
  <c r="L37" i="107"/>
  <c r="L38" i="107"/>
  <c r="L39" i="107"/>
  <c r="L40" i="107"/>
  <c r="L41" i="107"/>
  <c r="L42" i="107"/>
  <c r="L43" i="107"/>
  <c r="L44" i="107"/>
  <c r="L45" i="107"/>
  <c r="L46" i="107"/>
  <c r="L47" i="107"/>
  <c r="L48" i="107"/>
  <c r="L49" i="107"/>
  <c r="L50" i="107"/>
  <c r="L51" i="107"/>
  <c r="L52" i="107"/>
  <c r="L53" i="107"/>
  <c r="L54" i="107"/>
  <c r="L55" i="107"/>
  <c r="L56" i="107"/>
  <c r="L57" i="107"/>
  <c r="L58" i="107"/>
  <c r="L59" i="107"/>
  <c r="L60" i="107"/>
  <c r="L61" i="107"/>
  <c r="L62" i="107"/>
  <c r="L63" i="107"/>
  <c r="L64" i="107"/>
  <c r="L65" i="107"/>
  <c r="L66" i="107"/>
  <c r="L67" i="107"/>
  <c r="L68" i="107"/>
  <c r="L69" i="107"/>
  <c r="L70" i="107"/>
  <c r="L71" i="107"/>
  <c r="L72" i="107"/>
  <c r="L73" i="107"/>
  <c r="L74" i="107"/>
  <c r="L75" i="107"/>
  <c r="L76" i="107"/>
  <c r="L77" i="107"/>
  <c r="L78" i="107"/>
  <c r="L79" i="107"/>
  <c r="L80" i="107"/>
  <c r="L81" i="107"/>
  <c r="L82" i="107"/>
  <c r="L83" i="107"/>
  <c r="L84" i="107"/>
  <c r="L85" i="107"/>
  <c r="L86" i="107"/>
  <c r="L87" i="107"/>
  <c r="L88" i="107"/>
  <c r="L89" i="107"/>
  <c r="L90" i="107"/>
  <c r="L91" i="107"/>
  <c r="L92" i="107"/>
  <c r="L93" i="107"/>
  <c r="L94" i="107"/>
  <c r="L95" i="107"/>
  <c r="L96" i="107"/>
  <c r="L97" i="107"/>
  <c r="L98" i="107"/>
  <c r="L99" i="107"/>
  <c r="L100" i="107"/>
  <c r="L101" i="107"/>
  <c r="L102" i="107"/>
  <c r="L103" i="107"/>
  <c r="L104" i="107"/>
  <c r="L105" i="107"/>
  <c r="L106" i="107"/>
  <c r="L107" i="107"/>
  <c r="T13" i="57"/>
  <c r="T14" i="57"/>
  <c r="T15" i="57"/>
  <c r="T16" i="57"/>
  <c r="T17" i="57"/>
  <c r="T18" i="57"/>
  <c r="T19" i="57"/>
  <c r="T20" i="57"/>
  <c r="T21" i="57"/>
  <c r="T22" i="57"/>
  <c r="T23" i="57"/>
  <c r="T24" i="57"/>
  <c r="T25" i="57"/>
  <c r="T26" i="57"/>
  <c r="T27" i="57"/>
  <c r="T28" i="57"/>
  <c r="T29" i="57"/>
  <c r="T30" i="57"/>
  <c r="T31" i="57"/>
  <c r="T32" i="57"/>
  <c r="T33" i="57"/>
  <c r="T34" i="57"/>
  <c r="T35" i="57"/>
  <c r="T36" i="57"/>
  <c r="T37" i="57"/>
  <c r="T38" i="57"/>
  <c r="T39" i="57"/>
  <c r="T40" i="57"/>
  <c r="T41" i="57"/>
  <c r="T42" i="57"/>
  <c r="T43" i="57"/>
  <c r="T44" i="57"/>
  <c r="T45" i="57"/>
  <c r="T46" i="57"/>
  <c r="T47" i="57"/>
  <c r="T48" i="57"/>
  <c r="T49" i="57"/>
  <c r="T50" i="57"/>
  <c r="T51" i="57"/>
  <c r="T52" i="57"/>
  <c r="T53" i="57"/>
  <c r="T54" i="57"/>
  <c r="T55" i="57"/>
  <c r="T56" i="57"/>
  <c r="T57" i="57"/>
  <c r="T58" i="57"/>
  <c r="T59" i="57"/>
  <c r="T60" i="57"/>
  <c r="T61" i="57"/>
  <c r="T62" i="57"/>
  <c r="T63" i="57"/>
  <c r="T64" i="57"/>
  <c r="T65" i="57"/>
  <c r="T66" i="57"/>
  <c r="T67" i="57"/>
  <c r="T68" i="57"/>
  <c r="T69" i="57"/>
  <c r="T70" i="57"/>
  <c r="T71" i="57"/>
  <c r="T72" i="57"/>
  <c r="T73" i="57"/>
  <c r="T74" i="57"/>
  <c r="T75" i="57"/>
  <c r="T76" i="57"/>
  <c r="T77" i="57"/>
  <c r="T78" i="57"/>
  <c r="T79" i="57"/>
  <c r="T80" i="57"/>
  <c r="T81" i="57"/>
  <c r="T82" i="57"/>
  <c r="T83" i="57"/>
  <c r="T84" i="57"/>
  <c r="T85" i="57"/>
  <c r="T86" i="57"/>
  <c r="T87" i="57"/>
  <c r="T88" i="57"/>
  <c r="T89" i="57"/>
  <c r="T90" i="57"/>
  <c r="T91" i="57"/>
  <c r="T92" i="57"/>
  <c r="T93" i="57"/>
  <c r="T94" i="57"/>
  <c r="T95" i="57"/>
  <c r="T96" i="57"/>
  <c r="T97" i="57"/>
  <c r="T98" i="57"/>
  <c r="T99" i="57"/>
  <c r="T100" i="57"/>
  <c r="T101" i="57"/>
  <c r="T102" i="57"/>
  <c r="T103" i="57"/>
  <c r="T104" i="57"/>
  <c r="T105" i="57"/>
  <c r="T106" i="57"/>
  <c r="T107" i="57"/>
  <c r="T108" i="57"/>
  <c r="T109" i="57"/>
  <c r="T110" i="57"/>
  <c r="T111" i="57"/>
  <c r="T112" i="57"/>
  <c r="T113" i="57"/>
  <c r="T114" i="57"/>
  <c r="T115" i="57"/>
  <c r="T116" i="57"/>
  <c r="T117" i="57"/>
  <c r="T118" i="57"/>
  <c r="T119" i="57"/>
  <c r="T120" i="57"/>
  <c r="T121" i="57"/>
  <c r="T122" i="57"/>
  <c r="T123" i="57"/>
  <c r="T124" i="57"/>
  <c r="T125" i="57"/>
  <c r="T126" i="57"/>
  <c r="T127" i="57"/>
  <c r="T128" i="57"/>
  <c r="T129" i="57"/>
  <c r="T130" i="57"/>
  <c r="T131" i="57"/>
  <c r="T132" i="57"/>
  <c r="T133" i="57"/>
  <c r="T134" i="57"/>
  <c r="T135" i="57"/>
  <c r="T136" i="57"/>
  <c r="T137" i="57"/>
  <c r="T138" i="57"/>
  <c r="T139" i="57"/>
  <c r="T140" i="57"/>
  <c r="T141" i="57"/>
  <c r="T142" i="57"/>
  <c r="T143" i="57"/>
  <c r="T144" i="57"/>
  <c r="T145" i="57"/>
  <c r="T146" i="57"/>
  <c r="T147" i="57"/>
  <c r="T148" i="57"/>
  <c r="T149" i="57"/>
  <c r="T150" i="57"/>
  <c r="T151" i="57"/>
  <c r="T152" i="57"/>
  <c r="T153" i="57"/>
  <c r="T154" i="57"/>
  <c r="T155" i="57"/>
  <c r="T156" i="57"/>
  <c r="T157" i="57"/>
  <c r="T158" i="57"/>
  <c r="T159" i="57"/>
  <c r="T160" i="57"/>
  <c r="T161" i="57"/>
  <c r="T162" i="57"/>
  <c r="T163" i="57"/>
  <c r="T164" i="57"/>
  <c r="T165" i="57"/>
  <c r="T166" i="57"/>
  <c r="T167" i="57"/>
  <c r="T168" i="57"/>
  <c r="T169" i="57"/>
  <c r="T170" i="57"/>
  <c r="T171" i="57"/>
  <c r="T172" i="57"/>
  <c r="T173" i="57"/>
  <c r="T174" i="57"/>
  <c r="T175" i="57"/>
  <c r="T176" i="57"/>
  <c r="T177" i="57"/>
  <c r="T178" i="57"/>
  <c r="T179" i="57"/>
  <c r="T180" i="57"/>
  <c r="T181" i="57"/>
  <c r="T182" i="57"/>
  <c r="T183" i="57"/>
  <c r="T184" i="57"/>
  <c r="T185" i="57"/>
  <c r="T186" i="57"/>
  <c r="T187" i="57"/>
  <c r="T188" i="57"/>
  <c r="T189" i="57"/>
  <c r="T190" i="57"/>
  <c r="T191" i="57"/>
  <c r="T192" i="57"/>
  <c r="T193" i="57"/>
  <c r="T194" i="57"/>
  <c r="T195" i="57"/>
  <c r="T196" i="57"/>
  <c r="T197" i="57"/>
  <c r="T198" i="57"/>
  <c r="T199" i="57"/>
  <c r="T200" i="57"/>
  <c r="T201" i="57"/>
  <c r="T202" i="57"/>
  <c r="T203" i="57"/>
  <c r="T204" i="57"/>
  <c r="T205" i="57"/>
  <c r="T206" i="57"/>
  <c r="T207" i="57"/>
  <c r="T208" i="57"/>
  <c r="T209" i="57"/>
  <c r="T210" i="57"/>
  <c r="T211" i="57"/>
  <c r="T212" i="57"/>
  <c r="T213" i="57"/>
  <c r="T214" i="57"/>
  <c r="T215" i="57"/>
  <c r="T216" i="57"/>
  <c r="T217" i="57"/>
  <c r="T218" i="57"/>
  <c r="T219" i="57"/>
  <c r="T220" i="57"/>
  <c r="T221" i="57"/>
  <c r="T222" i="57"/>
  <c r="T223" i="57"/>
  <c r="T224" i="57"/>
  <c r="T225" i="57"/>
  <c r="T226" i="57"/>
  <c r="T227" i="57"/>
  <c r="T228" i="57"/>
  <c r="T229" i="57"/>
  <c r="T230" i="57"/>
  <c r="T231" i="57"/>
  <c r="T232" i="57"/>
  <c r="T233" i="57"/>
  <c r="T234" i="57"/>
  <c r="T235" i="57"/>
  <c r="T236" i="57"/>
  <c r="T237" i="57"/>
  <c r="T238" i="57"/>
  <c r="T239" i="57"/>
  <c r="T240" i="57"/>
  <c r="T241" i="57"/>
  <c r="T242" i="57"/>
  <c r="T243" i="57"/>
  <c r="T244" i="57"/>
  <c r="T245" i="57"/>
  <c r="T246" i="57"/>
  <c r="T247" i="57"/>
  <c r="T248" i="57"/>
  <c r="T249" i="57"/>
  <c r="T250" i="57"/>
  <c r="T251" i="57"/>
  <c r="T252" i="57"/>
  <c r="T253" i="57"/>
  <c r="T254" i="57"/>
  <c r="T255" i="57"/>
  <c r="T256" i="57"/>
  <c r="T257" i="57"/>
  <c r="T12" i="57"/>
  <c r="I13" i="58"/>
  <c r="I14" i="58"/>
  <c r="I15" i="58"/>
  <c r="I16" i="58"/>
  <c r="I17" i="58"/>
  <c r="I18" i="58"/>
  <c r="I19" i="58"/>
  <c r="I20" i="58"/>
  <c r="I21" i="58"/>
  <c r="I22" i="58"/>
  <c r="I23" i="58"/>
  <c r="I24" i="58"/>
  <c r="I25" i="58"/>
  <c r="I26" i="58"/>
  <c r="I27" i="58"/>
  <c r="I28" i="58"/>
  <c r="I29" i="58"/>
  <c r="I30" i="58"/>
  <c r="I31" i="58"/>
  <c r="I32" i="58"/>
  <c r="I33" i="58"/>
  <c r="I34" i="58"/>
  <c r="I35" i="58"/>
  <c r="I36" i="58"/>
  <c r="I37" i="58"/>
  <c r="I38" i="58"/>
  <c r="I39" i="58"/>
  <c r="I40" i="58"/>
  <c r="I41" i="58"/>
  <c r="I42" i="58"/>
  <c r="I43" i="58"/>
  <c r="I44" i="58"/>
  <c r="I45" i="58"/>
  <c r="I46" i="58"/>
  <c r="I47" i="58"/>
  <c r="I48" i="58"/>
  <c r="I49" i="58"/>
  <c r="I50" i="58"/>
  <c r="I51" i="58"/>
  <c r="I52" i="58"/>
  <c r="I53" i="58"/>
  <c r="I54" i="58"/>
  <c r="I55" i="58"/>
  <c r="I56" i="58"/>
  <c r="I57" i="58"/>
  <c r="I58" i="58"/>
  <c r="I59" i="58"/>
  <c r="I60" i="58"/>
  <c r="I61" i="58"/>
  <c r="I62" i="58"/>
  <c r="I63" i="58"/>
  <c r="I64" i="58"/>
  <c r="I65" i="58"/>
  <c r="I66" i="58"/>
  <c r="I67" i="58"/>
  <c r="I68" i="58"/>
  <c r="I69" i="58"/>
  <c r="I70" i="58"/>
  <c r="I71" i="58"/>
  <c r="I72" i="58"/>
  <c r="I73" i="58"/>
  <c r="I74" i="58"/>
  <c r="I75" i="58"/>
  <c r="I76" i="58"/>
  <c r="I77" i="58"/>
  <c r="I78" i="58"/>
  <c r="I79" i="58"/>
  <c r="I80" i="58"/>
  <c r="I81" i="58"/>
  <c r="I82" i="58"/>
  <c r="I83" i="58"/>
  <c r="I84" i="58"/>
  <c r="I85" i="58"/>
  <c r="I86" i="58"/>
  <c r="I87" i="58"/>
  <c r="I88" i="58"/>
  <c r="I89" i="58"/>
  <c r="I90" i="58"/>
  <c r="I91" i="58"/>
  <c r="I92" i="58"/>
  <c r="I93" i="58"/>
  <c r="I94" i="58"/>
  <c r="I95" i="58"/>
  <c r="I96" i="58"/>
  <c r="I97" i="58"/>
  <c r="I98" i="58"/>
  <c r="I99" i="58"/>
  <c r="I100" i="58"/>
  <c r="I101" i="58"/>
  <c r="I102" i="58"/>
  <c r="I103" i="58"/>
  <c r="I104" i="58"/>
  <c r="I105" i="58"/>
  <c r="I106" i="58"/>
  <c r="I107" i="58"/>
  <c r="I108" i="58"/>
  <c r="I109" i="58"/>
  <c r="I110" i="58"/>
  <c r="I111" i="58"/>
  <c r="I112" i="58"/>
  <c r="I113" i="58"/>
  <c r="I114" i="58"/>
  <c r="I115" i="58"/>
  <c r="I116" i="58"/>
  <c r="I117" i="58"/>
  <c r="I118" i="58"/>
  <c r="I119" i="58"/>
  <c r="I120" i="58"/>
  <c r="I121" i="58"/>
  <c r="I122" i="58"/>
  <c r="I123" i="58"/>
  <c r="I124" i="58"/>
  <c r="I125" i="58"/>
  <c r="I126" i="58"/>
  <c r="I127" i="58"/>
  <c r="I128" i="58"/>
  <c r="I129" i="58"/>
  <c r="I130" i="58"/>
  <c r="I131" i="58"/>
  <c r="I132" i="58"/>
  <c r="I133" i="58"/>
  <c r="I134" i="58"/>
  <c r="I135" i="58"/>
  <c r="I136" i="58"/>
  <c r="I137" i="58"/>
  <c r="I138" i="58"/>
  <c r="I139" i="58"/>
  <c r="I140" i="58"/>
  <c r="I141" i="58"/>
  <c r="I142" i="58"/>
  <c r="I143" i="58"/>
  <c r="I144" i="58"/>
  <c r="I145" i="58"/>
  <c r="I146" i="58"/>
  <c r="I147" i="58"/>
  <c r="I148" i="58"/>
  <c r="I149" i="58"/>
  <c r="I150" i="58"/>
  <c r="I151" i="58"/>
  <c r="I152" i="58"/>
  <c r="I153" i="58"/>
  <c r="I154" i="58"/>
  <c r="I155" i="58"/>
  <c r="I156" i="58"/>
  <c r="I157" i="58"/>
  <c r="I158" i="58"/>
  <c r="I159" i="58"/>
  <c r="I160" i="58"/>
  <c r="I161" i="58"/>
  <c r="I162" i="58"/>
  <c r="I163" i="58"/>
  <c r="I164" i="58"/>
  <c r="I165" i="58"/>
  <c r="I166" i="58"/>
  <c r="I167" i="58"/>
  <c r="I168" i="58"/>
  <c r="I169" i="58"/>
  <c r="I170" i="58"/>
  <c r="I171" i="58"/>
  <c r="I172" i="58"/>
  <c r="I173" i="58"/>
  <c r="I174" i="58"/>
  <c r="I175" i="58"/>
  <c r="I176" i="58"/>
  <c r="I177" i="58"/>
  <c r="I178" i="58"/>
  <c r="I179" i="58"/>
  <c r="I180" i="58"/>
  <c r="I181" i="58"/>
  <c r="I182" i="58"/>
  <c r="I183" i="58"/>
  <c r="I184" i="58"/>
  <c r="I185" i="58"/>
  <c r="I186" i="58"/>
  <c r="I187" i="58"/>
  <c r="I188" i="58"/>
  <c r="I189" i="58"/>
  <c r="I190" i="58"/>
  <c r="I191" i="58"/>
  <c r="I192" i="58"/>
  <c r="I193" i="58"/>
  <c r="I194" i="58"/>
  <c r="I195" i="58"/>
  <c r="I196" i="58"/>
  <c r="I197" i="58"/>
  <c r="I198" i="58"/>
  <c r="I199" i="58"/>
  <c r="I200" i="58"/>
  <c r="I201" i="58"/>
  <c r="I202" i="58"/>
  <c r="I203" i="58"/>
  <c r="I204" i="58"/>
  <c r="I205" i="58"/>
  <c r="I206" i="58"/>
  <c r="I207" i="58"/>
  <c r="I208" i="58"/>
  <c r="I209" i="58"/>
  <c r="I210" i="58"/>
  <c r="I211" i="58"/>
  <c r="I212" i="58"/>
  <c r="I213" i="58"/>
  <c r="I214" i="58"/>
  <c r="I215" i="58"/>
  <c r="I216" i="58"/>
  <c r="I217" i="58"/>
  <c r="I218" i="58"/>
  <c r="I219" i="58"/>
  <c r="I220" i="58"/>
  <c r="I221" i="58"/>
  <c r="I222" i="58"/>
  <c r="I223" i="58"/>
  <c r="I224" i="58"/>
  <c r="I225" i="58"/>
  <c r="I226" i="58"/>
  <c r="I227" i="58"/>
  <c r="I228" i="58"/>
  <c r="I229" i="58"/>
  <c r="I230" i="58"/>
  <c r="I231" i="58"/>
  <c r="I232" i="58"/>
  <c r="I233" i="58"/>
  <c r="I234" i="58"/>
  <c r="I235" i="58"/>
  <c r="I236" i="58"/>
  <c r="I237" i="58"/>
  <c r="I238" i="58"/>
  <c r="I239" i="58"/>
  <c r="I240" i="58"/>
  <c r="I241" i="58"/>
  <c r="I242" i="58"/>
  <c r="I243" i="58"/>
  <c r="I244" i="58"/>
  <c r="I245" i="58"/>
  <c r="I246" i="58"/>
  <c r="I247" i="58"/>
  <c r="I248" i="58"/>
  <c r="I249" i="58"/>
  <c r="I250" i="58"/>
  <c r="I251" i="58"/>
  <c r="I252" i="58"/>
  <c r="I253" i="58"/>
  <c r="I254" i="58"/>
  <c r="I255" i="58"/>
  <c r="I256" i="58"/>
  <c r="I257" i="58"/>
  <c r="I258" i="58"/>
  <c r="I259" i="58"/>
  <c r="I12" i="58"/>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I11" i="55"/>
  <c r="I14" i="55"/>
  <c r="I15" i="55"/>
  <c r="I16" i="55"/>
  <c r="I17" i="55"/>
  <c r="I18" i="55"/>
  <c r="I19" i="55"/>
  <c r="I20" i="55"/>
  <c r="I21" i="55"/>
  <c r="I22" i="55"/>
  <c r="I23" i="55"/>
  <c r="I24" i="55"/>
  <c r="I25" i="55"/>
  <c r="I26" i="55"/>
  <c r="I27" i="55"/>
  <c r="I28" i="55"/>
  <c r="I29" i="55"/>
  <c r="I30" i="55"/>
  <c r="I31" i="55"/>
  <c r="I32" i="55"/>
  <c r="I33" i="55"/>
  <c r="I34" i="55"/>
  <c r="I35" i="55"/>
  <c r="I36" i="55"/>
  <c r="I37" i="55"/>
  <c r="I38" i="55"/>
  <c r="I39" i="55"/>
  <c r="I40" i="55"/>
  <c r="I41" i="55"/>
  <c r="I42" i="55"/>
  <c r="I43" i="55"/>
  <c r="I44" i="55"/>
  <c r="I45" i="55"/>
  <c r="I46" i="55"/>
  <c r="I47" i="55"/>
  <c r="I48" i="55"/>
  <c r="I49" i="55"/>
  <c r="I50" i="55"/>
  <c r="I51" i="55"/>
  <c r="I52" i="55"/>
  <c r="I53" i="55"/>
  <c r="I54" i="55"/>
  <c r="I55" i="55"/>
  <c r="I56" i="55"/>
  <c r="I57" i="55"/>
  <c r="I58" i="55"/>
  <c r="I59" i="55"/>
  <c r="I60" i="55"/>
  <c r="I61" i="55"/>
  <c r="I62" i="55"/>
  <c r="I63" i="55"/>
  <c r="I64" i="55"/>
  <c r="I65" i="55"/>
  <c r="I66" i="55"/>
  <c r="I67" i="55"/>
  <c r="I68" i="55"/>
  <c r="I69" i="55"/>
  <c r="I70" i="55"/>
  <c r="I71" i="55"/>
  <c r="I72" i="55"/>
  <c r="I73" i="55"/>
  <c r="I74" i="55"/>
  <c r="I75" i="55"/>
  <c r="I76" i="55"/>
  <c r="I77" i="55"/>
  <c r="I78" i="55"/>
  <c r="I79" i="55"/>
  <c r="I80" i="55"/>
  <c r="I81" i="55"/>
  <c r="I82" i="55"/>
  <c r="I83" i="55"/>
  <c r="I84" i="55"/>
  <c r="I85" i="55"/>
  <c r="I86" i="55"/>
  <c r="I87" i="55"/>
  <c r="I88" i="55"/>
  <c r="I89" i="55"/>
  <c r="I90" i="55"/>
  <c r="I91" i="55"/>
  <c r="I92" i="55"/>
  <c r="I93" i="55"/>
  <c r="I94" i="55"/>
  <c r="I95" i="55"/>
  <c r="I96" i="55"/>
  <c r="I97" i="55"/>
  <c r="I98" i="55"/>
  <c r="I99" i="55"/>
  <c r="I100" i="55"/>
  <c r="I101" i="55"/>
  <c r="I102" i="55"/>
  <c r="I103" i="55"/>
  <c r="I104" i="55"/>
  <c r="I105" i="55"/>
  <c r="I106" i="55"/>
  <c r="I107" i="55"/>
  <c r="I108" i="55"/>
  <c r="I109" i="55"/>
  <c r="I110" i="55"/>
  <c r="I111" i="55"/>
  <c r="I112" i="55"/>
  <c r="I113" i="55"/>
  <c r="I114" i="55"/>
  <c r="I115" i="55"/>
  <c r="I116" i="55"/>
  <c r="I117" i="55"/>
  <c r="I118" i="55"/>
  <c r="I119" i="55"/>
  <c r="I120" i="55"/>
  <c r="I121" i="55"/>
  <c r="I122" i="55"/>
  <c r="I123" i="55"/>
  <c r="I124" i="55"/>
  <c r="I125" i="55"/>
  <c r="I126" i="55"/>
  <c r="I127" i="55"/>
  <c r="I128" i="55"/>
  <c r="I129" i="55"/>
  <c r="I130" i="55"/>
  <c r="I131" i="55"/>
  <c r="I132" i="55"/>
  <c r="I133" i="55"/>
  <c r="I134" i="55"/>
  <c r="I135" i="55"/>
  <c r="I136" i="55"/>
  <c r="I137" i="55"/>
  <c r="I138" i="55"/>
  <c r="I139" i="55"/>
  <c r="I140" i="55"/>
  <c r="I141" i="55"/>
  <c r="I142" i="55"/>
  <c r="I143" i="55"/>
  <c r="I144" i="55"/>
  <c r="I145" i="55"/>
  <c r="I146" i="55"/>
  <c r="I147" i="55"/>
  <c r="I148" i="55"/>
  <c r="I149" i="55"/>
  <c r="I150" i="55"/>
  <c r="I151" i="55"/>
  <c r="I152" i="55"/>
  <c r="I153" i="55"/>
  <c r="I154" i="55"/>
  <c r="I155" i="55"/>
  <c r="I156" i="55"/>
  <c r="I157" i="55"/>
  <c r="I158" i="55"/>
  <c r="I159" i="55"/>
  <c r="I160" i="55"/>
  <c r="I161" i="55"/>
  <c r="I162" i="55"/>
  <c r="I163" i="55"/>
  <c r="I164" i="55"/>
  <c r="I165" i="55"/>
  <c r="I166" i="55"/>
  <c r="I167" i="55"/>
  <c r="I168" i="55"/>
  <c r="I169" i="55"/>
  <c r="I170" i="55"/>
  <c r="I171" i="55"/>
  <c r="I172" i="55"/>
  <c r="I173" i="55"/>
  <c r="I174" i="55"/>
  <c r="I175" i="55"/>
  <c r="I176" i="55"/>
  <c r="I177" i="55"/>
  <c r="I178" i="55"/>
  <c r="I179" i="55"/>
  <c r="I180" i="55"/>
  <c r="I181" i="55"/>
  <c r="I182" i="55"/>
  <c r="I183" i="55"/>
  <c r="I184" i="55"/>
  <c r="I185" i="55"/>
  <c r="I186" i="55"/>
  <c r="I187" i="55"/>
  <c r="I188" i="55"/>
  <c r="I189" i="55"/>
  <c r="I190" i="55"/>
  <c r="I191" i="55"/>
  <c r="I192" i="55"/>
  <c r="I193" i="55"/>
  <c r="I194" i="55"/>
  <c r="I195" i="55"/>
  <c r="I196" i="55"/>
  <c r="I197" i="55"/>
  <c r="I198" i="55"/>
  <c r="I199" i="55"/>
  <c r="I200" i="55"/>
  <c r="I201" i="55"/>
  <c r="I202" i="55"/>
  <c r="I203" i="55"/>
  <c r="I204" i="55"/>
  <c r="I205" i="55"/>
  <c r="I206" i="55"/>
  <c r="I207" i="55"/>
  <c r="I208" i="55"/>
  <c r="I209" i="55"/>
  <c r="I210" i="55"/>
  <c r="I211" i="55"/>
  <c r="I212" i="55"/>
  <c r="I213" i="55"/>
  <c r="I214" i="55"/>
  <c r="I215" i="55"/>
  <c r="I216" i="55"/>
  <c r="I217" i="55"/>
  <c r="I218" i="55"/>
  <c r="I219" i="55"/>
  <c r="I220" i="55"/>
  <c r="I221" i="55"/>
  <c r="I222" i="55"/>
  <c r="I223" i="55"/>
  <c r="I224" i="55"/>
  <c r="I225" i="55"/>
  <c r="I226" i="55"/>
  <c r="I227" i="55"/>
  <c r="I228" i="55"/>
  <c r="I229" i="55"/>
  <c r="I230" i="55"/>
  <c r="I231" i="55"/>
  <c r="I232" i="55"/>
  <c r="I233" i="55"/>
  <c r="I234" i="55"/>
  <c r="I235" i="55"/>
  <c r="I236" i="55"/>
  <c r="I237" i="55"/>
  <c r="I238" i="55"/>
  <c r="I239" i="55"/>
  <c r="I240" i="55"/>
  <c r="I241" i="55"/>
  <c r="I242" i="55"/>
  <c r="I243" i="55"/>
  <c r="I244" i="55"/>
  <c r="I245" i="55"/>
  <c r="I246" i="55"/>
  <c r="I247" i="55"/>
  <c r="I248" i="55"/>
  <c r="I249" i="55"/>
  <c r="I250" i="55"/>
  <c r="I251" i="55"/>
  <c r="I252" i="55"/>
  <c r="I253" i="55"/>
  <c r="I254" i="55"/>
  <c r="I255" i="55"/>
  <c r="I256" i="55"/>
  <c r="I257" i="55"/>
  <c r="I10" i="55"/>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O14" i="11"/>
  <c r="V13" i="58"/>
  <c r="V14" i="58"/>
  <c r="V15" i="58"/>
  <c r="V16" i="58"/>
  <c r="V17" i="58"/>
  <c r="V18" i="58"/>
  <c r="V19" i="58"/>
  <c r="V20" i="58"/>
  <c r="V21" i="58"/>
  <c r="V22" i="58"/>
  <c r="V23" i="58"/>
  <c r="V24" i="58"/>
  <c r="V25" i="58"/>
  <c r="V26" i="58"/>
  <c r="V27" i="58"/>
  <c r="V28" i="58"/>
  <c r="V29" i="58"/>
  <c r="V30" i="58"/>
  <c r="V31" i="58"/>
  <c r="V32" i="58"/>
  <c r="V33" i="58"/>
  <c r="V34" i="58"/>
  <c r="V35" i="58"/>
  <c r="V36" i="58"/>
  <c r="V37" i="58"/>
  <c r="V38" i="58"/>
  <c r="V39" i="58"/>
  <c r="V40" i="58"/>
  <c r="V41" i="58"/>
  <c r="V42" i="58"/>
  <c r="V43" i="58"/>
  <c r="V44" i="58"/>
  <c r="V45" i="58"/>
  <c r="V46" i="58"/>
  <c r="V47" i="58"/>
  <c r="V48" i="58"/>
  <c r="V49" i="58"/>
  <c r="V50" i="58"/>
  <c r="V51" i="58"/>
  <c r="V52" i="58"/>
  <c r="V53" i="58"/>
  <c r="V54" i="58"/>
  <c r="V55" i="58"/>
  <c r="V56" i="58"/>
  <c r="V57" i="58"/>
  <c r="V58" i="58"/>
  <c r="V59" i="58"/>
  <c r="V60" i="58"/>
  <c r="V61" i="58"/>
  <c r="V62" i="58"/>
  <c r="V63" i="58"/>
  <c r="V64" i="58"/>
  <c r="V65" i="58"/>
  <c r="V66" i="58"/>
  <c r="V67" i="58"/>
  <c r="V68" i="58"/>
  <c r="V69" i="58"/>
  <c r="V70" i="58"/>
  <c r="V71" i="58"/>
  <c r="V72" i="58"/>
  <c r="V73" i="58"/>
  <c r="V74" i="58"/>
  <c r="V75" i="58"/>
  <c r="V76" i="58"/>
  <c r="V77" i="58"/>
  <c r="V78" i="58"/>
  <c r="V79" i="58"/>
  <c r="V80" i="58"/>
  <c r="V81" i="58"/>
  <c r="V82" i="58"/>
  <c r="V83" i="58"/>
  <c r="V84" i="58"/>
  <c r="V85" i="58"/>
  <c r="V86" i="58"/>
  <c r="V87" i="58"/>
  <c r="V88" i="58"/>
  <c r="V89" i="58"/>
  <c r="V90" i="58"/>
  <c r="V91" i="58"/>
  <c r="V92" i="58"/>
  <c r="V93" i="58"/>
  <c r="V94" i="58"/>
  <c r="V95" i="58"/>
  <c r="V96" i="58"/>
  <c r="V97" i="58"/>
  <c r="V98" i="58"/>
  <c r="V99" i="58"/>
  <c r="V100" i="58"/>
  <c r="V101" i="58"/>
  <c r="V102" i="58"/>
  <c r="V103" i="58"/>
  <c r="V104" i="58"/>
  <c r="V105" i="58"/>
  <c r="V106" i="58"/>
  <c r="V107" i="58"/>
  <c r="V108" i="58"/>
  <c r="V109" i="58"/>
  <c r="V110" i="58"/>
  <c r="V111" i="58"/>
  <c r="V112" i="58"/>
  <c r="V113" i="58"/>
  <c r="V114" i="58"/>
  <c r="V115" i="58"/>
  <c r="V116" i="58"/>
  <c r="V117" i="58"/>
  <c r="V118" i="58"/>
  <c r="V119" i="58"/>
  <c r="V120" i="58"/>
  <c r="V121" i="58"/>
  <c r="V122" i="58"/>
  <c r="V123" i="58"/>
  <c r="V124" i="58"/>
  <c r="V125" i="58"/>
  <c r="V126" i="58"/>
  <c r="V127" i="58"/>
  <c r="V128" i="58"/>
  <c r="V129" i="58"/>
  <c r="V130" i="58"/>
  <c r="V131" i="58"/>
  <c r="V132" i="58"/>
  <c r="V133" i="58"/>
  <c r="V134" i="58"/>
  <c r="V135" i="58"/>
  <c r="V136" i="58"/>
  <c r="V137" i="58"/>
  <c r="V138" i="58"/>
  <c r="V139" i="58"/>
  <c r="V140" i="58"/>
  <c r="V141" i="58"/>
  <c r="V142" i="58"/>
  <c r="V143" i="58"/>
  <c r="V144" i="58"/>
  <c r="V145" i="58"/>
  <c r="V146" i="58"/>
  <c r="V147" i="58"/>
  <c r="V148" i="58"/>
  <c r="V149" i="58"/>
  <c r="V150" i="58"/>
  <c r="V151" i="58"/>
  <c r="V152" i="58"/>
  <c r="V153" i="58"/>
  <c r="V154" i="58"/>
  <c r="V155" i="58"/>
  <c r="V156" i="58"/>
  <c r="V157" i="58"/>
  <c r="V158" i="58"/>
  <c r="V159" i="58"/>
  <c r="V160" i="58"/>
  <c r="V161" i="58"/>
  <c r="V162" i="58"/>
  <c r="V163" i="58"/>
  <c r="V164" i="58"/>
  <c r="V165" i="58"/>
  <c r="V166" i="58"/>
  <c r="V167" i="58"/>
  <c r="V168" i="58"/>
  <c r="V169" i="58"/>
  <c r="V170" i="58"/>
  <c r="V171" i="58"/>
  <c r="V172" i="58"/>
  <c r="V173" i="58"/>
  <c r="V174" i="58"/>
  <c r="V175" i="58"/>
  <c r="V176" i="58"/>
  <c r="V177" i="58"/>
  <c r="V178" i="58"/>
  <c r="V179" i="58"/>
  <c r="V180" i="58"/>
  <c r="V181" i="58"/>
  <c r="V182" i="58"/>
  <c r="V183" i="58"/>
  <c r="V184" i="58"/>
  <c r="V185" i="58"/>
  <c r="V186" i="58"/>
  <c r="V187" i="58"/>
  <c r="V188" i="58"/>
  <c r="V189" i="58"/>
  <c r="V190" i="58"/>
  <c r="V191" i="58"/>
  <c r="V192" i="58"/>
  <c r="V193" i="58"/>
  <c r="V194" i="58"/>
  <c r="V195" i="58"/>
  <c r="V196" i="58"/>
  <c r="V197" i="58"/>
  <c r="V198" i="58"/>
  <c r="V199" i="58"/>
  <c r="V200" i="58"/>
  <c r="V201" i="58"/>
  <c r="V202" i="58"/>
  <c r="V203" i="58"/>
  <c r="V204" i="58"/>
  <c r="V205" i="58"/>
  <c r="V206" i="58"/>
  <c r="V207" i="58"/>
  <c r="V208" i="58"/>
  <c r="V209" i="58"/>
  <c r="V210" i="58"/>
  <c r="V211" i="58"/>
  <c r="V212" i="58"/>
  <c r="V213" i="58"/>
  <c r="V214" i="58"/>
  <c r="V215" i="58"/>
  <c r="V216" i="58"/>
  <c r="V217" i="58"/>
  <c r="V218" i="58"/>
  <c r="V219" i="58"/>
  <c r="V220" i="58"/>
  <c r="V221" i="58"/>
  <c r="V222" i="58"/>
  <c r="V223" i="58"/>
  <c r="V224" i="58"/>
  <c r="V225" i="58"/>
  <c r="V226" i="58"/>
  <c r="V227" i="58"/>
  <c r="V228" i="58"/>
  <c r="V229" i="58"/>
  <c r="V230" i="58"/>
  <c r="V231" i="58"/>
  <c r="V232" i="58"/>
  <c r="V233" i="58"/>
  <c r="V234" i="58"/>
  <c r="V235" i="58"/>
  <c r="V236" i="58"/>
  <c r="V237" i="58"/>
  <c r="V238" i="58"/>
  <c r="V239" i="58"/>
  <c r="V240" i="58"/>
  <c r="V241" i="58"/>
  <c r="V242" i="58"/>
  <c r="V243" i="58"/>
  <c r="V244" i="58"/>
  <c r="V245" i="58"/>
  <c r="V246" i="58"/>
  <c r="V247" i="58"/>
  <c r="V248" i="58"/>
  <c r="V249" i="58"/>
  <c r="V250" i="58"/>
  <c r="V251" i="58"/>
  <c r="V252" i="58"/>
  <c r="V253" i="58"/>
  <c r="V254" i="58"/>
  <c r="V255" i="58"/>
  <c r="V256" i="58"/>
  <c r="V257" i="58"/>
  <c r="V258" i="58"/>
  <c r="V259" i="58"/>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S2" i="65" l="1" a="1"/>
  <c r="S2" i="65" s="1"/>
  <c r="O2" i="67" a="1"/>
  <c r="O2" i="67" s="1"/>
  <c r="L2" i="63" a="1"/>
  <c r="L2" i="63" s="1"/>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J12" i="64"/>
  <c r="AI11"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L13" i="69" l="1"/>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J12" i="65"/>
  <c r="Q2" i="11" l="1" a="1"/>
  <c r="Q2" i="11" s="1"/>
  <c r="Z5" i="28" l="1"/>
  <c r="Z6" i="28"/>
  <c r="F117" i="110" l="1"/>
  <c r="F116" i="110"/>
  <c r="E116" i="110"/>
  <c r="F115" i="110"/>
  <c r="E115" i="110"/>
  <c r="F114" i="110"/>
  <c r="E114" i="110"/>
  <c r="F113" i="110"/>
  <c r="E113" i="110"/>
  <c r="F112" i="110"/>
  <c r="E112" i="110"/>
  <c r="F111" i="110"/>
  <c r="E111" i="110"/>
  <c r="F110" i="110"/>
  <c r="E110" i="110"/>
  <c r="F109" i="110"/>
  <c r="E109" i="110"/>
  <c r="F108" i="110"/>
  <c r="E108" i="110"/>
  <c r="F107" i="110"/>
  <c r="E107" i="110"/>
  <c r="F106" i="110"/>
  <c r="E106" i="110"/>
  <c r="F105" i="110"/>
  <c r="E105" i="110"/>
  <c r="F104" i="110"/>
  <c r="E104" i="110"/>
  <c r="F103" i="110"/>
  <c r="E103" i="110"/>
  <c r="F102" i="110"/>
  <c r="E102" i="110"/>
  <c r="F101" i="110"/>
  <c r="E101" i="110"/>
  <c r="F100" i="110"/>
  <c r="E100" i="110"/>
  <c r="F99" i="110"/>
  <c r="E99" i="110"/>
  <c r="F98" i="110"/>
  <c r="E98" i="110"/>
  <c r="F97" i="110"/>
  <c r="F96" i="110"/>
  <c r="E96" i="110"/>
  <c r="F95" i="110"/>
  <c r="E95" i="110"/>
  <c r="F94" i="110"/>
  <c r="E94" i="110"/>
  <c r="F93" i="110"/>
  <c r="E93" i="110"/>
  <c r="F92" i="110"/>
  <c r="E92" i="110"/>
  <c r="F91" i="110"/>
  <c r="E91" i="110"/>
  <c r="F90" i="110"/>
  <c r="E90" i="110"/>
  <c r="F89" i="110"/>
  <c r="E89" i="110"/>
  <c r="F88" i="110"/>
  <c r="E88" i="110"/>
  <c r="F87" i="110"/>
  <c r="E87" i="110"/>
  <c r="F86" i="110"/>
  <c r="E86" i="110"/>
  <c r="F85" i="110"/>
  <c r="E85" i="110"/>
  <c r="F84" i="110"/>
  <c r="E84" i="110"/>
  <c r="F83" i="110"/>
  <c r="E83" i="110"/>
  <c r="F82" i="110"/>
  <c r="E82" i="110"/>
  <c r="F81" i="110"/>
  <c r="E81" i="110"/>
  <c r="F80" i="110"/>
  <c r="E80" i="110"/>
  <c r="F79" i="110"/>
  <c r="E79" i="110"/>
  <c r="F78" i="110"/>
  <c r="E78" i="110"/>
  <c r="F77" i="110"/>
  <c r="E77" i="110"/>
  <c r="F76" i="110"/>
  <c r="E76" i="110"/>
  <c r="D5" i="110"/>
  <c r="D4" i="110"/>
  <c r="D3" i="110"/>
  <c r="BM39" i="108" l="1"/>
  <c r="BM40" i="108"/>
  <c r="BM41" i="108"/>
  <c r="BL39" i="108"/>
  <c r="BL40" i="108"/>
  <c r="BL41" i="108"/>
  <c r="AQ246" i="11"/>
  <c r="N10" i="63"/>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2" i="71"/>
  <c r="M253" i="71"/>
  <c r="M254" i="71"/>
  <c r="M255" i="71"/>
  <c r="M256" i="71"/>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211" i="52"/>
  <c r="K212"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57" i="52"/>
  <c r="K10" i="52"/>
  <c r="L10" i="52"/>
  <c r="AB12" i="50"/>
  <c r="AB11" i="67" l="1"/>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2"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AB10" i="67"/>
  <c r="Y11" i="63"/>
  <c r="Y12" i="63"/>
  <c r="Y13"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Y10" i="63"/>
  <c r="W8" i="78"/>
  <c r="U8" i="78"/>
  <c r="S8" i="78"/>
  <c r="AK9" i="107"/>
  <c r="AK10" i="107"/>
  <c r="AK11" i="107"/>
  <c r="AK12" i="107"/>
  <c r="AK13" i="107"/>
  <c r="AK14" i="107"/>
  <c r="AK15" i="107"/>
  <c r="AK16" i="107"/>
  <c r="AK17" i="107"/>
  <c r="AK18" i="107"/>
  <c r="AK19" i="107"/>
  <c r="AK20" i="107"/>
  <c r="AK21" i="107"/>
  <c r="AK22" i="107"/>
  <c r="AK23" i="107"/>
  <c r="AK24" i="107"/>
  <c r="AK25" i="107"/>
  <c r="AK26" i="107"/>
  <c r="AK27" i="107"/>
  <c r="AK28" i="107"/>
  <c r="AK29" i="107"/>
  <c r="AK30" i="107"/>
  <c r="AK31" i="107"/>
  <c r="AK32" i="107"/>
  <c r="AK33" i="107"/>
  <c r="AK34" i="107"/>
  <c r="AK35" i="107"/>
  <c r="AK36" i="107"/>
  <c r="AK37" i="107"/>
  <c r="AK38" i="107"/>
  <c r="AK39" i="107"/>
  <c r="AK40" i="107"/>
  <c r="AK41" i="107"/>
  <c r="AK42" i="107"/>
  <c r="AK43" i="107"/>
  <c r="AK44" i="107"/>
  <c r="AK45" i="107"/>
  <c r="AK46" i="107"/>
  <c r="AK47" i="107"/>
  <c r="AK48" i="107"/>
  <c r="AK49" i="107"/>
  <c r="AK50" i="107"/>
  <c r="AK51" i="107"/>
  <c r="AK52" i="107"/>
  <c r="AK53" i="107"/>
  <c r="AK54" i="107"/>
  <c r="AK55" i="107"/>
  <c r="AK56" i="107"/>
  <c r="AK57" i="107"/>
  <c r="AK58" i="107"/>
  <c r="AK59" i="107"/>
  <c r="AK60" i="107"/>
  <c r="AK61" i="107"/>
  <c r="AK62" i="107"/>
  <c r="AK63" i="107"/>
  <c r="AK64" i="107"/>
  <c r="AK65" i="107"/>
  <c r="AK66" i="107"/>
  <c r="AK67" i="107"/>
  <c r="AK68" i="107"/>
  <c r="AK69" i="107"/>
  <c r="AK70" i="107"/>
  <c r="AK71" i="107"/>
  <c r="AK72" i="107"/>
  <c r="AK73" i="107"/>
  <c r="AK74" i="107"/>
  <c r="AK75" i="107"/>
  <c r="AK76" i="107"/>
  <c r="AK77" i="107"/>
  <c r="AK78" i="107"/>
  <c r="AK79" i="107"/>
  <c r="AK80" i="107"/>
  <c r="AK81" i="107"/>
  <c r="AK82" i="107"/>
  <c r="AK83" i="107"/>
  <c r="AK84" i="107"/>
  <c r="AK85" i="107"/>
  <c r="AK86" i="107"/>
  <c r="AK87" i="107"/>
  <c r="AK88" i="107"/>
  <c r="AK89" i="107"/>
  <c r="AK90" i="107"/>
  <c r="AK91" i="107"/>
  <c r="AK92" i="107"/>
  <c r="AK93" i="107"/>
  <c r="AK94" i="107"/>
  <c r="AK95" i="107"/>
  <c r="AK96" i="107"/>
  <c r="AK97" i="107"/>
  <c r="AK98" i="107"/>
  <c r="AK99" i="107"/>
  <c r="AK100" i="107"/>
  <c r="AK101" i="107"/>
  <c r="AK102" i="107"/>
  <c r="AK103" i="107"/>
  <c r="AK104" i="107"/>
  <c r="AK105" i="107"/>
  <c r="AK106" i="107"/>
  <c r="AK107" i="107"/>
  <c r="AI9" i="107"/>
  <c r="AI10" i="107"/>
  <c r="AI11" i="107"/>
  <c r="AI12" i="107"/>
  <c r="AI13" i="107"/>
  <c r="AI14" i="107"/>
  <c r="AI15" i="107"/>
  <c r="AI16" i="107"/>
  <c r="AI17" i="107"/>
  <c r="AI18" i="107"/>
  <c r="AI19" i="107"/>
  <c r="AI20" i="107"/>
  <c r="AI21" i="107"/>
  <c r="AI22" i="107"/>
  <c r="AI23" i="107"/>
  <c r="AI24" i="107"/>
  <c r="AI25" i="107"/>
  <c r="AI26" i="107"/>
  <c r="AI27" i="107"/>
  <c r="AI28" i="107"/>
  <c r="AI29" i="107"/>
  <c r="AI30" i="107"/>
  <c r="AI31" i="107"/>
  <c r="AI32" i="107"/>
  <c r="AI33" i="107"/>
  <c r="AI34" i="107"/>
  <c r="AI35" i="107"/>
  <c r="AI36" i="107"/>
  <c r="AI37" i="107"/>
  <c r="AI38" i="107"/>
  <c r="AI39" i="107"/>
  <c r="AI40" i="107"/>
  <c r="AI41" i="107"/>
  <c r="AI42" i="107"/>
  <c r="AI43" i="107"/>
  <c r="AI44" i="107"/>
  <c r="AI45" i="107"/>
  <c r="AI46" i="107"/>
  <c r="AI47" i="107"/>
  <c r="AI48" i="107"/>
  <c r="AI49" i="107"/>
  <c r="AI50" i="107"/>
  <c r="AI51" i="107"/>
  <c r="AI52" i="107"/>
  <c r="AI53" i="107"/>
  <c r="AI54" i="107"/>
  <c r="AI55" i="107"/>
  <c r="AI56" i="107"/>
  <c r="AI57" i="107"/>
  <c r="AI58" i="107"/>
  <c r="AI59" i="107"/>
  <c r="AI60" i="107"/>
  <c r="AI61" i="107"/>
  <c r="AI62" i="107"/>
  <c r="AI63" i="107"/>
  <c r="AI64" i="107"/>
  <c r="AI65" i="107"/>
  <c r="AI66" i="107"/>
  <c r="AI67" i="107"/>
  <c r="AI68" i="107"/>
  <c r="AI69" i="107"/>
  <c r="AI70" i="107"/>
  <c r="AI71" i="107"/>
  <c r="AI72" i="107"/>
  <c r="AI73" i="107"/>
  <c r="AI74" i="107"/>
  <c r="AI75" i="107"/>
  <c r="AI76" i="107"/>
  <c r="AI77" i="107"/>
  <c r="AI78" i="107"/>
  <c r="AI79" i="107"/>
  <c r="AI80" i="107"/>
  <c r="AI81" i="107"/>
  <c r="AI82" i="107"/>
  <c r="AI83" i="107"/>
  <c r="AI84" i="107"/>
  <c r="AI85" i="107"/>
  <c r="AI86" i="107"/>
  <c r="AI87" i="107"/>
  <c r="AI88" i="107"/>
  <c r="AI89" i="107"/>
  <c r="AI90" i="107"/>
  <c r="AI91" i="107"/>
  <c r="AI92" i="107"/>
  <c r="AI93" i="107"/>
  <c r="AI94" i="107"/>
  <c r="AI95" i="107"/>
  <c r="AI96" i="107"/>
  <c r="AI97" i="107"/>
  <c r="AI98" i="107"/>
  <c r="AI99" i="107"/>
  <c r="AI100" i="107"/>
  <c r="AI101" i="107"/>
  <c r="AI102" i="107"/>
  <c r="AI103" i="107"/>
  <c r="AI104" i="107"/>
  <c r="AI105" i="107"/>
  <c r="AI106" i="107"/>
  <c r="AI107" i="107"/>
  <c r="AG9" i="107"/>
  <c r="AG10" i="107"/>
  <c r="AG11" i="107"/>
  <c r="AG12" i="107"/>
  <c r="AG13" i="107"/>
  <c r="AG14" i="107"/>
  <c r="AG15" i="107"/>
  <c r="AG16" i="107"/>
  <c r="AG17" i="107"/>
  <c r="AG18" i="107"/>
  <c r="AG19" i="107"/>
  <c r="AG20" i="107"/>
  <c r="AG21" i="107"/>
  <c r="AG22" i="107"/>
  <c r="AG23" i="107"/>
  <c r="AG24" i="107"/>
  <c r="AG25" i="107"/>
  <c r="AG26" i="107"/>
  <c r="AG27" i="107"/>
  <c r="AG28" i="107"/>
  <c r="AG29" i="107"/>
  <c r="AG30" i="107"/>
  <c r="AG31" i="107"/>
  <c r="AG32" i="107"/>
  <c r="AG33" i="107"/>
  <c r="AG34" i="107"/>
  <c r="AG35" i="107"/>
  <c r="AG36" i="107"/>
  <c r="AG37" i="107"/>
  <c r="AG38" i="107"/>
  <c r="AG39" i="107"/>
  <c r="AG40" i="107"/>
  <c r="AG41" i="107"/>
  <c r="AG42" i="107"/>
  <c r="AG43" i="107"/>
  <c r="AG44" i="107"/>
  <c r="AG45" i="107"/>
  <c r="AG46" i="107"/>
  <c r="AG47" i="107"/>
  <c r="AG48" i="107"/>
  <c r="AG49" i="107"/>
  <c r="AG50" i="107"/>
  <c r="AG51" i="107"/>
  <c r="AG52" i="107"/>
  <c r="AG53" i="107"/>
  <c r="AG54" i="107"/>
  <c r="AG55" i="107"/>
  <c r="AG56" i="107"/>
  <c r="AG57" i="107"/>
  <c r="AG58" i="107"/>
  <c r="AG59" i="107"/>
  <c r="AG60" i="107"/>
  <c r="AG61" i="107"/>
  <c r="AG62" i="107"/>
  <c r="AG63" i="107"/>
  <c r="AG64" i="107"/>
  <c r="AG65" i="107"/>
  <c r="AG66" i="107"/>
  <c r="AG67" i="107"/>
  <c r="AG68" i="107"/>
  <c r="AG69" i="107"/>
  <c r="AG70" i="107"/>
  <c r="AG71" i="107"/>
  <c r="AG72" i="107"/>
  <c r="AG73" i="107"/>
  <c r="AG74" i="107"/>
  <c r="AG75" i="107"/>
  <c r="AG76" i="107"/>
  <c r="AG77" i="107"/>
  <c r="AG78" i="107"/>
  <c r="AG79" i="107"/>
  <c r="AG80" i="107"/>
  <c r="AG81" i="107"/>
  <c r="AG82" i="107"/>
  <c r="AG83" i="107"/>
  <c r="AG84" i="107"/>
  <c r="AG85" i="107"/>
  <c r="AG86" i="107"/>
  <c r="AG87" i="107"/>
  <c r="AG88" i="107"/>
  <c r="AG89" i="107"/>
  <c r="AG90" i="107"/>
  <c r="AG91" i="107"/>
  <c r="AG92" i="107"/>
  <c r="AG93" i="107"/>
  <c r="AG94" i="107"/>
  <c r="AG95" i="107"/>
  <c r="AG96" i="107"/>
  <c r="AG97" i="107"/>
  <c r="AG98" i="107"/>
  <c r="AG99" i="107"/>
  <c r="AG100" i="107"/>
  <c r="AG101" i="107"/>
  <c r="AG102" i="107"/>
  <c r="AG103" i="107"/>
  <c r="AG104" i="107"/>
  <c r="AG105" i="107"/>
  <c r="AG106" i="107"/>
  <c r="AG107" i="107"/>
  <c r="AE9" i="107"/>
  <c r="AE10" i="107"/>
  <c r="AE11" i="107"/>
  <c r="AE12" i="107"/>
  <c r="AE13" i="107"/>
  <c r="AE14" i="107"/>
  <c r="AE15" i="107"/>
  <c r="AE16" i="107"/>
  <c r="AE17" i="107"/>
  <c r="AE18" i="107"/>
  <c r="AE19" i="107"/>
  <c r="AE20" i="107"/>
  <c r="AE21" i="107"/>
  <c r="AE22" i="107"/>
  <c r="AE23" i="107"/>
  <c r="AE24" i="107"/>
  <c r="AE25" i="107"/>
  <c r="AE26" i="107"/>
  <c r="AE27" i="107"/>
  <c r="AE28" i="107"/>
  <c r="AE29" i="107"/>
  <c r="AE30" i="107"/>
  <c r="AE31" i="107"/>
  <c r="AE32" i="107"/>
  <c r="AE33" i="107"/>
  <c r="AE34" i="107"/>
  <c r="AE35" i="107"/>
  <c r="AE36" i="107"/>
  <c r="AE37" i="107"/>
  <c r="AE38" i="107"/>
  <c r="AE39" i="107"/>
  <c r="AE40" i="107"/>
  <c r="AE41" i="107"/>
  <c r="AE42" i="107"/>
  <c r="AE43" i="107"/>
  <c r="AE44" i="107"/>
  <c r="AE45" i="107"/>
  <c r="AE46" i="107"/>
  <c r="AE47" i="107"/>
  <c r="AE48" i="107"/>
  <c r="AE49" i="107"/>
  <c r="AE50" i="107"/>
  <c r="AE51" i="107"/>
  <c r="AE52" i="107"/>
  <c r="AE53" i="107"/>
  <c r="AE54" i="107"/>
  <c r="AE55" i="107"/>
  <c r="AE56" i="107"/>
  <c r="AE57" i="107"/>
  <c r="AE58" i="107"/>
  <c r="AE59" i="107"/>
  <c r="AE60" i="107"/>
  <c r="AE61" i="107"/>
  <c r="AE62" i="107"/>
  <c r="AE63" i="107"/>
  <c r="AE64" i="107"/>
  <c r="AE65" i="107"/>
  <c r="AE66" i="107"/>
  <c r="AE67" i="107"/>
  <c r="AE68" i="107"/>
  <c r="AE69" i="107"/>
  <c r="AE70" i="107"/>
  <c r="AE71" i="107"/>
  <c r="AE72" i="107"/>
  <c r="AE73" i="107"/>
  <c r="AE74" i="107"/>
  <c r="AE75" i="107"/>
  <c r="AE76" i="107"/>
  <c r="AE77" i="107"/>
  <c r="AE78" i="107"/>
  <c r="AE79" i="107"/>
  <c r="AE80" i="107"/>
  <c r="AE81" i="107"/>
  <c r="AE82" i="107"/>
  <c r="AE83" i="107"/>
  <c r="AE84" i="107"/>
  <c r="AE85" i="107"/>
  <c r="AE86" i="107"/>
  <c r="AE87" i="107"/>
  <c r="AE88" i="107"/>
  <c r="AE89" i="107"/>
  <c r="AE90" i="107"/>
  <c r="AE91" i="107"/>
  <c r="AE92" i="107"/>
  <c r="AE93" i="107"/>
  <c r="AE94" i="107"/>
  <c r="AE95" i="107"/>
  <c r="AE96" i="107"/>
  <c r="AE97" i="107"/>
  <c r="AE98" i="107"/>
  <c r="AE99" i="107"/>
  <c r="AE100" i="107"/>
  <c r="AE101" i="107"/>
  <c r="AE102" i="107"/>
  <c r="AE103" i="107"/>
  <c r="AE104" i="107"/>
  <c r="AE105" i="107"/>
  <c r="AE106" i="107"/>
  <c r="AE107" i="107"/>
  <c r="AC9" i="107"/>
  <c r="AC10" i="107"/>
  <c r="AC11" i="107"/>
  <c r="AC12" i="107"/>
  <c r="AC13" i="107"/>
  <c r="AC14" i="107"/>
  <c r="AC15" i="107"/>
  <c r="AC16" i="107"/>
  <c r="AC17" i="107"/>
  <c r="AC18" i="107"/>
  <c r="AC19" i="107"/>
  <c r="AC20" i="107"/>
  <c r="AC21" i="107"/>
  <c r="AC22" i="107"/>
  <c r="AC23" i="107"/>
  <c r="AC24" i="107"/>
  <c r="AC25" i="107"/>
  <c r="AC26" i="107"/>
  <c r="AC27" i="107"/>
  <c r="AC28" i="107"/>
  <c r="AC29" i="107"/>
  <c r="AC30" i="107"/>
  <c r="AC31" i="107"/>
  <c r="AC32" i="107"/>
  <c r="AC33" i="107"/>
  <c r="AC34" i="107"/>
  <c r="AC35" i="107"/>
  <c r="AC36" i="107"/>
  <c r="AC37" i="107"/>
  <c r="AC38" i="107"/>
  <c r="AC39" i="107"/>
  <c r="AC40" i="107"/>
  <c r="AC41" i="107"/>
  <c r="AC42" i="107"/>
  <c r="AC43" i="107"/>
  <c r="AC44" i="107"/>
  <c r="AC45" i="107"/>
  <c r="AC46" i="107"/>
  <c r="AC47" i="107"/>
  <c r="AC48" i="107"/>
  <c r="AC49" i="107"/>
  <c r="AC50" i="107"/>
  <c r="AC51" i="107"/>
  <c r="AC52" i="107"/>
  <c r="AC53" i="107"/>
  <c r="AC54" i="107"/>
  <c r="AC55" i="107"/>
  <c r="AC56" i="107"/>
  <c r="AC57" i="107"/>
  <c r="AC58" i="107"/>
  <c r="AC59" i="107"/>
  <c r="AC60" i="107"/>
  <c r="AC61" i="107"/>
  <c r="AC62" i="107"/>
  <c r="AC63" i="107"/>
  <c r="AC64" i="107"/>
  <c r="AC65" i="107"/>
  <c r="AC66" i="107"/>
  <c r="AC67" i="107"/>
  <c r="AC68" i="107"/>
  <c r="AC69" i="107"/>
  <c r="AC70" i="107"/>
  <c r="AC71" i="107"/>
  <c r="AC72" i="107"/>
  <c r="AC73" i="107"/>
  <c r="AC74" i="107"/>
  <c r="AC75" i="107"/>
  <c r="AC76" i="107"/>
  <c r="AC77" i="107"/>
  <c r="AC78" i="107"/>
  <c r="AC79" i="107"/>
  <c r="AC80" i="107"/>
  <c r="AC81" i="107"/>
  <c r="AC82" i="107"/>
  <c r="AC83" i="107"/>
  <c r="AC84" i="107"/>
  <c r="AC85" i="107"/>
  <c r="AC86" i="107"/>
  <c r="AC87" i="107"/>
  <c r="AC88" i="107"/>
  <c r="AC89" i="107"/>
  <c r="AC90" i="107"/>
  <c r="AC91" i="107"/>
  <c r="AC92" i="107"/>
  <c r="AC93" i="107"/>
  <c r="AC94" i="107"/>
  <c r="AC95" i="107"/>
  <c r="AC96" i="107"/>
  <c r="AC97" i="107"/>
  <c r="AC98" i="107"/>
  <c r="AC99" i="107"/>
  <c r="AC100" i="107"/>
  <c r="AC101" i="107"/>
  <c r="AC102" i="107"/>
  <c r="AC103" i="107"/>
  <c r="AC104" i="107"/>
  <c r="AC105" i="107"/>
  <c r="AC106" i="107"/>
  <c r="AC107" i="107"/>
  <c r="K9" i="107"/>
  <c r="K10" i="107"/>
  <c r="K11" i="107"/>
  <c r="K12" i="107"/>
  <c r="K13" i="107"/>
  <c r="K14" i="107"/>
  <c r="K15" i="107"/>
  <c r="K16" i="107"/>
  <c r="K17" i="107"/>
  <c r="K18" i="107"/>
  <c r="K19" i="107"/>
  <c r="K20" i="107"/>
  <c r="K21" i="107"/>
  <c r="K22" i="107"/>
  <c r="K23" i="107"/>
  <c r="K24" i="107"/>
  <c r="K25" i="107"/>
  <c r="K26" i="107"/>
  <c r="K27" i="107"/>
  <c r="K28" i="107"/>
  <c r="K29" i="107"/>
  <c r="K30" i="107"/>
  <c r="K31" i="107"/>
  <c r="K32" i="107"/>
  <c r="K33" i="107"/>
  <c r="K34" i="107"/>
  <c r="K35" i="107"/>
  <c r="K36" i="107"/>
  <c r="K37" i="107"/>
  <c r="K38" i="107"/>
  <c r="K39" i="107"/>
  <c r="K40" i="107"/>
  <c r="K41" i="107"/>
  <c r="K42" i="107"/>
  <c r="K43" i="107"/>
  <c r="K44" i="107"/>
  <c r="K45" i="107"/>
  <c r="K46" i="107"/>
  <c r="K47" i="107"/>
  <c r="K48" i="107"/>
  <c r="K49" i="107"/>
  <c r="K50" i="107"/>
  <c r="K51" i="107"/>
  <c r="K52" i="107"/>
  <c r="K53" i="107"/>
  <c r="K54" i="107"/>
  <c r="K55" i="107"/>
  <c r="K56" i="107"/>
  <c r="K57" i="107"/>
  <c r="K58" i="107"/>
  <c r="K59" i="107"/>
  <c r="K60" i="107"/>
  <c r="K61" i="107"/>
  <c r="K62" i="107"/>
  <c r="K63" i="107"/>
  <c r="K64" i="107"/>
  <c r="K65" i="107"/>
  <c r="K66" i="107"/>
  <c r="K67" i="107"/>
  <c r="K68" i="107"/>
  <c r="K69" i="107"/>
  <c r="K70" i="107"/>
  <c r="K71" i="107"/>
  <c r="K72" i="107"/>
  <c r="K73" i="107"/>
  <c r="K74" i="107"/>
  <c r="K75" i="107"/>
  <c r="K76" i="107"/>
  <c r="K77" i="107"/>
  <c r="K78" i="107"/>
  <c r="K79" i="107"/>
  <c r="K80" i="107"/>
  <c r="K81" i="107"/>
  <c r="K82" i="107"/>
  <c r="K83" i="107"/>
  <c r="K84" i="107"/>
  <c r="K85" i="107"/>
  <c r="K86" i="107"/>
  <c r="K87" i="107"/>
  <c r="K88" i="107"/>
  <c r="K89" i="107"/>
  <c r="K90" i="107"/>
  <c r="K91" i="107"/>
  <c r="K92" i="107"/>
  <c r="K93" i="107"/>
  <c r="K94" i="107"/>
  <c r="K95" i="107"/>
  <c r="K96" i="107"/>
  <c r="K97" i="107"/>
  <c r="K98" i="107"/>
  <c r="K99" i="107"/>
  <c r="K100" i="107"/>
  <c r="K101" i="107"/>
  <c r="K102" i="107"/>
  <c r="K103" i="107"/>
  <c r="K104" i="107"/>
  <c r="K105" i="107"/>
  <c r="K106" i="107"/>
  <c r="K107" i="107"/>
  <c r="I9" i="107"/>
  <c r="I10" i="107"/>
  <c r="I11" i="107"/>
  <c r="I12" i="107"/>
  <c r="I13" i="107"/>
  <c r="I14" i="107"/>
  <c r="I15" i="107"/>
  <c r="I16" i="107"/>
  <c r="I17" i="107"/>
  <c r="I18" i="107"/>
  <c r="I19" i="107"/>
  <c r="I20" i="107"/>
  <c r="I21" i="107"/>
  <c r="I22" i="107"/>
  <c r="I23" i="107"/>
  <c r="I24" i="107"/>
  <c r="I25" i="107"/>
  <c r="I26" i="107"/>
  <c r="I27" i="107"/>
  <c r="I28" i="107"/>
  <c r="I29" i="107"/>
  <c r="I30" i="107"/>
  <c r="I31" i="107"/>
  <c r="I32" i="107"/>
  <c r="I33" i="107"/>
  <c r="I34" i="107"/>
  <c r="I35" i="107"/>
  <c r="I36" i="107"/>
  <c r="I37" i="107"/>
  <c r="I38" i="107"/>
  <c r="I39" i="107"/>
  <c r="I40" i="107"/>
  <c r="I41" i="107"/>
  <c r="I42" i="107"/>
  <c r="I43" i="107"/>
  <c r="I44" i="107"/>
  <c r="I45" i="107"/>
  <c r="I46" i="107"/>
  <c r="I47" i="107"/>
  <c r="I48" i="107"/>
  <c r="I49" i="107"/>
  <c r="I50" i="107"/>
  <c r="I51" i="107"/>
  <c r="I52" i="107"/>
  <c r="I53" i="107"/>
  <c r="I54" i="107"/>
  <c r="I55" i="107"/>
  <c r="I56" i="107"/>
  <c r="I57" i="107"/>
  <c r="I58" i="107"/>
  <c r="I59" i="107"/>
  <c r="I60" i="107"/>
  <c r="I61" i="107"/>
  <c r="I62" i="107"/>
  <c r="I63" i="107"/>
  <c r="I64" i="107"/>
  <c r="I65" i="107"/>
  <c r="I66" i="107"/>
  <c r="I67" i="107"/>
  <c r="I68" i="107"/>
  <c r="I69" i="107"/>
  <c r="I70" i="107"/>
  <c r="I71" i="107"/>
  <c r="I72" i="107"/>
  <c r="I73" i="107"/>
  <c r="I74" i="107"/>
  <c r="I75" i="107"/>
  <c r="I76" i="107"/>
  <c r="I77" i="107"/>
  <c r="I78" i="107"/>
  <c r="I79" i="107"/>
  <c r="I80" i="107"/>
  <c r="I81" i="107"/>
  <c r="I82" i="107"/>
  <c r="I83" i="107"/>
  <c r="I84" i="107"/>
  <c r="I85" i="107"/>
  <c r="I86" i="107"/>
  <c r="I87" i="107"/>
  <c r="I88" i="107"/>
  <c r="I89" i="107"/>
  <c r="I90" i="107"/>
  <c r="I91" i="107"/>
  <c r="I92" i="107"/>
  <c r="I93" i="107"/>
  <c r="I94" i="107"/>
  <c r="I95" i="107"/>
  <c r="I96" i="107"/>
  <c r="I97" i="107"/>
  <c r="I98" i="107"/>
  <c r="I99" i="107"/>
  <c r="I100" i="107"/>
  <c r="I101" i="107"/>
  <c r="I102" i="107"/>
  <c r="I103" i="107"/>
  <c r="I105" i="107"/>
  <c r="I106" i="107"/>
  <c r="I107" i="107"/>
  <c r="G9" i="107"/>
  <c r="G10" i="107"/>
  <c r="G11" i="107"/>
  <c r="G12" i="107"/>
  <c r="G13" i="107"/>
  <c r="G14" i="107"/>
  <c r="G15" i="107"/>
  <c r="G16" i="107"/>
  <c r="G17" i="107"/>
  <c r="G18" i="107"/>
  <c r="G19" i="107"/>
  <c r="G20" i="107"/>
  <c r="G21" i="107"/>
  <c r="G22" i="107"/>
  <c r="G23" i="107"/>
  <c r="G24" i="107"/>
  <c r="G25" i="107"/>
  <c r="G26" i="107"/>
  <c r="G27" i="107"/>
  <c r="G28" i="107"/>
  <c r="G29" i="107"/>
  <c r="G30" i="107"/>
  <c r="G31" i="107"/>
  <c r="G32" i="107"/>
  <c r="G33" i="107"/>
  <c r="G34" i="107"/>
  <c r="G35" i="107"/>
  <c r="G36" i="107"/>
  <c r="G37" i="107"/>
  <c r="G38" i="107"/>
  <c r="G39" i="107"/>
  <c r="G40" i="107"/>
  <c r="G41" i="107"/>
  <c r="G42" i="107"/>
  <c r="G43" i="107"/>
  <c r="G44" i="107"/>
  <c r="G45" i="107"/>
  <c r="G46" i="107"/>
  <c r="G47" i="107"/>
  <c r="G48" i="107"/>
  <c r="G49" i="107"/>
  <c r="G50" i="107"/>
  <c r="G51" i="107"/>
  <c r="G52" i="107"/>
  <c r="G53" i="107"/>
  <c r="G54" i="107"/>
  <c r="G55" i="107"/>
  <c r="G56" i="107"/>
  <c r="G57" i="107"/>
  <c r="G58" i="107"/>
  <c r="G59" i="107"/>
  <c r="G60" i="107"/>
  <c r="G61" i="107"/>
  <c r="G62" i="107"/>
  <c r="G63" i="107"/>
  <c r="G64" i="107"/>
  <c r="G65" i="107"/>
  <c r="G66" i="107"/>
  <c r="G67" i="107"/>
  <c r="G68" i="107"/>
  <c r="G69" i="107"/>
  <c r="G70" i="107"/>
  <c r="G71" i="107"/>
  <c r="G72" i="107"/>
  <c r="G73" i="107"/>
  <c r="G74" i="107"/>
  <c r="G75" i="107"/>
  <c r="G76" i="107"/>
  <c r="G77" i="107"/>
  <c r="G78" i="107"/>
  <c r="G79" i="107"/>
  <c r="G80" i="107"/>
  <c r="G81" i="107"/>
  <c r="G82" i="107"/>
  <c r="G83" i="107"/>
  <c r="G84" i="107"/>
  <c r="G85" i="107"/>
  <c r="G86" i="107"/>
  <c r="G87" i="107"/>
  <c r="G88" i="107"/>
  <c r="G89" i="107"/>
  <c r="G90" i="107"/>
  <c r="G91" i="107"/>
  <c r="G92" i="107"/>
  <c r="G93" i="107"/>
  <c r="G94" i="107"/>
  <c r="G95" i="107"/>
  <c r="G96" i="107"/>
  <c r="G97" i="107"/>
  <c r="G98" i="107"/>
  <c r="G99" i="107"/>
  <c r="G100" i="107"/>
  <c r="G101" i="107"/>
  <c r="G102" i="107"/>
  <c r="G103" i="107"/>
  <c r="G104" i="107"/>
  <c r="G105" i="107"/>
  <c r="G106" i="107"/>
  <c r="G107" i="107"/>
  <c r="E9" i="107"/>
  <c r="E10" i="107"/>
  <c r="E11" i="107"/>
  <c r="E12" i="107"/>
  <c r="E13" i="107"/>
  <c r="E14" i="107"/>
  <c r="E15" i="107"/>
  <c r="E16" i="107"/>
  <c r="E17" i="107"/>
  <c r="E18" i="107"/>
  <c r="E19" i="107"/>
  <c r="E20" i="107"/>
  <c r="E21" i="107"/>
  <c r="E22" i="107"/>
  <c r="E23" i="107"/>
  <c r="E24" i="107"/>
  <c r="E25" i="107"/>
  <c r="E26" i="107"/>
  <c r="E27" i="107"/>
  <c r="E28" i="107"/>
  <c r="E29" i="107"/>
  <c r="E30" i="107"/>
  <c r="E31" i="107"/>
  <c r="E32" i="107"/>
  <c r="E33" i="107"/>
  <c r="E34" i="107"/>
  <c r="E35" i="107"/>
  <c r="E36" i="107"/>
  <c r="E37" i="107"/>
  <c r="E38" i="107"/>
  <c r="E39" i="107"/>
  <c r="E40" i="107"/>
  <c r="E41" i="107"/>
  <c r="E42" i="107"/>
  <c r="E43" i="107"/>
  <c r="E44" i="107"/>
  <c r="E45" i="107"/>
  <c r="E46" i="107"/>
  <c r="E47" i="107"/>
  <c r="E48" i="107"/>
  <c r="E49" i="107"/>
  <c r="E50" i="107"/>
  <c r="E51" i="107"/>
  <c r="E52" i="107"/>
  <c r="E53" i="107"/>
  <c r="E54" i="107"/>
  <c r="E55" i="107"/>
  <c r="E56" i="107"/>
  <c r="E57" i="107"/>
  <c r="E58" i="107"/>
  <c r="E59" i="107"/>
  <c r="E60" i="107"/>
  <c r="E61" i="107"/>
  <c r="E62" i="107"/>
  <c r="E63" i="107"/>
  <c r="E64" i="107"/>
  <c r="E65" i="107"/>
  <c r="E66" i="107"/>
  <c r="E67" i="107"/>
  <c r="E68" i="107"/>
  <c r="E69" i="107"/>
  <c r="E70" i="107"/>
  <c r="E71" i="107"/>
  <c r="E72" i="107"/>
  <c r="E73" i="107"/>
  <c r="E74" i="107"/>
  <c r="E75" i="107"/>
  <c r="E76" i="107"/>
  <c r="E77" i="107"/>
  <c r="E78" i="107"/>
  <c r="E79" i="107"/>
  <c r="E80" i="107"/>
  <c r="E81" i="107"/>
  <c r="E82" i="107"/>
  <c r="E83" i="107"/>
  <c r="E84" i="107"/>
  <c r="E85" i="107"/>
  <c r="E86" i="107"/>
  <c r="E87" i="107"/>
  <c r="E88" i="107"/>
  <c r="E89" i="107"/>
  <c r="E90" i="107"/>
  <c r="E91" i="107"/>
  <c r="E92" i="107"/>
  <c r="E93" i="107"/>
  <c r="E94" i="107"/>
  <c r="E95" i="107"/>
  <c r="E96" i="107"/>
  <c r="E97" i="107"/>
  <c r="E98" i="107"/>
  <c r="E99" i="107"/>
  <c r="E100" i="107"/>
  <c r="E101" i="107"/>
  <c r="E102" i="107"/>
  <c r="E103" i="107"/>
  <c r="E104" i="107"/>
  <c r="E105" i="107"/>
  <c r="E106" i="107"/>
  <c r="E107" i="107"/>
  <c r="C9" i="107"/>
  <c r="C10" i="107"/>
  <c r="C11" i="107"/>
  <c r="C12" i="107"/>
  <c r="C13" i="107"/>
  <c r="C14" i="107"/>
  <c r="C15" i="107"/>
  <c r="C16" i="107"/>
  <c r="C17" i="107"/>
  <c r="C18" i="107"/>
  <c r="C19" i="107"/>
  <c r="C20" i="107"/>
  <c r="C21" i="107"/>
  <c r="C22" i="107"/>
  <c r="C23" i="107"/>
  <c r="C24" i="107"/>
  <c r="C25" i="107"/>
  <c r="C26" i="107"/>
  <c r="C27" i="107"/>
  <c r="C28" i="107"/>
  <c r="C29" i="107"/>
  <c r="C30" i="107"/>
  <c r="C31" i="107"/>
  <c r="C32" i="107"/>
  <c r="C33" i="107"/>
  <c r="C34" i="107"/>
  <c r="C35" i="107"/>
  <c r="C36" i="107"/>
  <c r="C37" i="107"/>
  <c r="C38" i="107"/>
  <c r="C39" i="107"/>
  <c r="C40" i="107"/>
  <c r="C41" i="107"/>
  <c r="C42" i="107"/>
  <c r="C43" i="107"/>
  <c r="C44" i="107"/>
  <c r="C45" i="107"/>
  <c r="C46" i="107"/>
  <c r="C47" i="107"/>
  <c r="C48" i="107"/>
  <c r="C49" i="107"/>
  <c r="C50" i="107"/>
  <c r="C51" i="107"/>
  <c r="C52" i="107"/>
  <c r="C53" i="107"/>
  <c r="C54"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N7" i="107"/>
  <c r="Y258" i="67"/>
  <c r="X258" i="67"/>
  <c r="E258" i="67"/>
  <c r="V258" i="63"/>
  <c r="U258" i="63"/>
  <c r="E258" i="63"/>
  <c r="V8" i="107" l="1"/>
  <c r="T8" i="107"/>
  <c r="P8" i="107"/>
  <c r="R8" i="107"/>
  <c r="X8" i="107"/>
  <c r="W259" i="59" l="1"/>
  <c r="V259" i="59"/>
  <c r="H259" i="11"/>
  <c r="H259" i="59"/>
  <c r="T259" i="11"/>
  <c r="S259" i="11"/>
  <c r="AU11" i="67"/>
  <c r="AU12" i="67"/>
  <c r="AU13" i="67"/>
  <c r="AU14" i="67"/>
  <c r="AU15" i="67"/>
  <c r="AU16" i="67"/>
  <c r="AU17" i="67"/>
  <c r="AU18" i="67"/>
  <c r="AU19" i="67"/>
  <c r="AU20" i="67"/>
  <c r="AU21" i="67"/>
  <c r="AU22" i="67"/>
  <c r="AU23" i="67"/>
  <c r="AU24" i="67"/>
  <c r="AU25" i="67"/>
  <c r="AU26" i="67"/>
  <c r="AU27" i="67"/>
  <c r="AU28" i="67"/>
  <c r="AU29" i="67"/>
  <c r="AU30" i="67"/>
  <c r="AU31" i="67"/>
  <c r="AU32" i="67"/>
  <c r="AU33" i="67"/>
  <c r="AU34" i="67"/>
  <c r="AU35" i="67"/>
  <c r="AU36" i="67"/>
  <c r="AU37" i="67"/>
  <c r="AU38" i="67"/>
  <c r="AU39" i="67"/>
  <c r="AU40" i="67"/>
  <c r="AU41" i="67"/>
  <c r="AU42" i="67"/>
  <c r="AU43" i="67"/>
  <c r="AU44" i="67"/>
  <c r="AU45" i="67"/>
  <c r="AU46" i="67"/>
  <c r="AU47" i="67"/>
  <c r="AU48" i="67"/>
  <c r="AU49" i="67"/>
  <c r="AU50" i="67"/>
  <c r="AU51" i="67"/>
  <c r="AU52" i="67"/>
  <c r="AU53" i="67"/>
  <c r="AU54" i="67"/>
  <c r="AU55" i="67"/>
  <c r="AU56" i="67"/>
  <c r="AU57" i="67"/>
  <c r="AU58" i="67"/>
  <c r="AU59" i="67"/>
  <c r="AU60" i="67"/>
  <c r="AU61" i="67"/>
  <c r="AU62" i="67"/>
  <c r="AU63" i="67"/>
  <c r="AU64" i="67"/>
  <c r="AU65" i="67"/>
  <c r="AU66" i="67"/>
  <c r="AU67" i="67"/>
  <c r="AU68" i="67"/>
  <c r="AU69" i="67"/>
  <c r="AU70" i="67"/>
  <c r="AU71" i="67"/>
  <c r="AU72" i="67"/>
  <c r="AU73" i="67"/>
  <c r="AU74" i="67"/>
  <c r="AU75" i="67"/>
  <c r="AU76" i="67"/>
  <c r="AU77" i="67"/>
  <c r="AU78" i="67"/>
  <c r="AU79" i="67"/>
  <c r="AU80" i="67"/>
  <c r="AU81" i="67"/>
  <c r="AU82" i="67"/>
  <c r="AU83" i="67"/>
  <c r="AU84" i="67"/>
  <c r="AU85" i="67"/>
  <c r="AU86" i="67"/>
  <c r="AU87" i="67"/>
  <c r="AU88" i="67"/>
  <c r="AU89" i="67"/>
  <c r="AU90" i="67"/>
  <c r="AU91" i="67"/>
  <c r="AU92" i="67"/>
  <c r="AU93" i="67"/>
  <c r="AU94" i="67"/>
  <c r="AU95" i="67"/>
  <c r="AU96" i="67"/>
  <c r="AU97" i="67"/>
  <c r="AU98" i="67"/>
  <c r="AU99" i="67"/>
  <c r="AU100" i="67"/>
  <c r="AU101" i="67"/>
  <c r="AU102" i="67"/>
  <c r="AU103" i="67"/>
  <c r="AU104" i="67"/>
  <c r="AU105" i="67"/>
  <c r="AU106" i="67"/>
  <c r="AU107" i="67"/>
  <c r="AU108" i="67"/>
  <c r="AU109" i="67"/>
  <c r="AU110" i="67"/>
  <c r="AU111" i="67"/>
  <c r="AU112" i="67"/>
  <c r="AU113" i="67"/>
  <c r="AU114" i="67"/>
  <c r="AU115" i="67"/>
  <c r="AU116" i="67"/>
  <c r="AU117" i="67"/>
  <c r="AU118" i="67"/>
  <c r="AU119" i="67"/>
  <c r="AU120" i="67"/>
  <c r="AU121" i="67"/>
  <c r="AU122" i="67"/>
  <c r="AU123" i="67"/>
  <c r="AU124" i="67"/>
  <c r="AU125" i="67"/>
  <c r="AU126" i="67"/>
  <c r="AU127" i="67"/>
  <c r="AU128" i="67"/>
  <c r="AU129" i="67"/>
  <c r="AU130" i="67"/>
  <c r="AU131" i="67"/>
  <c r="AU132" i="67"/>
  <c r="AU133" i="67"/>
  <c r="AU134" i="67"/>
  <c r="AU135" i="67"/>
  <c r="AU136" i="67"/>
  <c r="AU137" i="67"/>
  <c r="AU138" i="67"/>
  <c r="AU139" i="67"/>
  <c r="AU140" i="67"/>
  <c r="AU141" i="67"/>
  <c r="AU142" i="67"/>
  <c r="AU143" i="67"/>
  <c r="AU144" i="67"/>
  <c r="AU145" i="67"/>
  <c r="AU146" i="67"/>
  <c r="AU147" i="67"/>
  <c r="AU148" i="67"/>
  <c r="AU149" i="67"/>
  <c r="AU150" i="67"/>
  <c r="AU151" i="67"/>
  <c r="AU152" i="67"/>
  <c r="AU153" i="67"/>
  <c r="AU154" i="67"/>
  <c r="AU155" i="67"/>
  <c r="AU156" i="67"/>
  <c r="AU157" i="67"/>
  <c r="AU158" i="67"/>
  <c r="AU159" i="67"/>
  <c r="AU160" i="67"/>
  <c r="AU161" i="67"/>
  <c r="AU162" i="67"/>
  <c r="AU163" i="67"/>
  <c r="AU164" i="67"/>
  <c r="AU165" i="67"/>
  <c r="AU166" i="67"/>
  <c r="AU167" i="67"/>
  <c r="AU168" i="67"/>
  <c r="AU169" i="67"/>
  <c r="AU170" i="67"/>
  <c r="AU171" i="67"/>
  <c r="AU172" i="67"/>
  <c r="AU173" i="67"/>
  <c r="AU174" i="67"/>
  <c r="AU175" i="67"/>
  <c r="AU176" i="67"/>
  <c r="AU177" i="67"/>
  <c r="AU178" i="67"/>
  <c r="AU179" i="67"/>
  <c r="AU180" i="67"/>
  <c r="AU181" i="67"/>
  <c r="AU182" i="67"/>
  <c r="AU183" i="67"/>
  <c r="AU184" i="67"/>
  <c r="AU185" i="67"/>
  <c r="AU186" i="67"/>
  <c r="AU187" i="67"/>
  <c r="AU188" i="67"/>
  <c r="AU189" i="67"/>
  <c r="AU190" i="67"/>
  <c r="AU191" i="67"/>
  <c r="AU192" i="67"/>
  <c r="AU193" i="67"/>
  <c r="AU194" i="67"/>
  <c r="AU195" i="67"/>
  <c r="AU196" i="67"/>
  <c r="AU197" i="67"/>
  <c r="AU198" i="67"/>
  <c r="AU199" i="67"/>
  <c r="AU200" i="67"/>
  <c r="AU201" i="67"/>
  <c r="AU202" i="67"/>
  <c r="AU203" i="67"/>
  <c r="AU204" i="67"/>
  <c r="AU205" i="67"/>
  <c r="AU206" i="67"/>
  <c r="AU207" i="67"/>
  <c r="AU208" i="67"/>
  <c r="AU209" i="67"/>
  <c r="AU210" i="67"/>
  <c r="AU211" i="67"/>
  <c r="AU212" i="67"/>
  <c r="AU213" i="67"/>
  <c r="AU214" i="67"/>
  <c r="AU215" i="67"/>
  <c r="AU216" i="67"/>
  <c r="AU217" i="67"/>
  <c r="AU218" i="67"/>
  <c r="AU219" i="67"/>
  <c r="AU220" i="67"/>
  <c r="AU221" i="67"/>
  <c r="AU222" i="67"/>
  <c r="AU223" i="67"/>
  <c r="AU224" i="67"/>
  <c r="AU225" i="67"/>
  <c r="AU226" i="67"/>
  <c r="AU227" i="67"/>
  <c r="AU228" i="67"/>
  <c r="AU229" i="67"/>
  <c r="AU230" i="67"/>
  <c r="AU231" i="67"/>
  <c r="AU232" i="67"/>
  <c r="AU233" i="67"/>
  <c r="AU234" i="67"/>
  <c r="AU235" i="67"/>
  <c r="AU236" i="67"/>
  <c r="AU237" i="67"/>
  <c r="AU238" i="67"/>
  <c r="AU239" i="67"/>
  <c r="AU240" i="67"/>
  <c r="AU241" i="67"/>
  <c r="AU242" i="67"/>
  <c r="AU243" i="67"/>
  <c r="AU244" i="67"/>
  <c r="AU245" i="67"/>
  <c r="AU246" i="67"/>
  <c r="AU247" i="67"/>
  <c r="AU248" i="67"/>
  <c r="AU249" i="67"/>
  <c r="AU250" i="67"/>
  <c r="AU251" i="67"/>
  <c r="AU252" i="67"/>
  <c r="AU253" i="67"/>
  <c r="AU254" i="67"/>
  <c r="AU255" i="67"/>
  <c r="AU256" i="67"/>
  <c r="AU257" i="67"/>
  <c r="AU10" i="67"/>
  <c r="AU11" i="63"/>
  <c r="AU12" i="63"/>
  <c r="AU13" i="63"/>
  <c r="AU14" i="63"/>
  <c r="AU15" i="63"/>
  <c r="AU16" i="63"/>
  <c r="AU17" i="63"/>
  <c r="AU18" i="63"/>
  <c r="AU19" i="63"/>
  <c r="AU20" i="63"/>
  <c r="AU21" i="63"/>
  <c r="AU22" i="63"/>
  <c r="AU23" i="63"/>
  <c r="AU24" i="63"/>
  <c r="AU25" i="63"/>
  <c r="AU26" i="63"/>
  <c r="AU27" i="63"/>
  <c r="AU28" i="63"/>
  <c r="AU29" i="63"/>
  <c r="AU30" i="63"/>
  <c r="AU31" i="63"/>
  <c r="AU32" i="63"/>
  <c r="AU33" i="63"/>
  <c r="AU34" i="63"/>
  <c r="AU35" i="63"/>
  <c r="AU36" i="63"/>
  <c r="AU37" i="63"/>
  <c r="AU38" i="63"/>
  <c r="AU39" i="63"/>
  <c r="AU40" i="63"/>
  <c r="AU41" i="63"/>
  <c r="AU42" i="63"/>
  <c r="AU43" i="63"/>
  <c r="AU44" i="63"/>
  <c r="AU45" i="63"/>
  <c r="AU46" i="63"/>
  <c r="BH46" i="108" s="1"/>
  <c r="AU47" i="63"/>
  <c r="AU48" i="63"/>
  <c r="AU49" i="63"/>
  <c r="AU50" i="63"/>
  <c r="AU51" i="63"/>
  <c r="AU52" i="63"/>
  <c r="AU53" i="63"/>
  <c r="AU54" i="63"/>
  <c r="AU55" i="63"/>
  <c r="AU56" i="63"/>
  <c r="AU57" i="63"/>
  <c r="AU58" i="63"/>
  <c r="AU59" i="63"/>
  <c r="AU60" i="63"/>
  <c r="AU61" i="63"/>
  <c r="AU62" i="63"/>
  <c r="AU63" i="63"/>
  <c r="AU64" i="63"/>
  <c r="AU65" i="63"/>
  <c r="AU66" i="63"/>
  <c r="AU67" i="63"/>
  <c r="AU68" i="63"/>
  <c r="AU69" i="63"/>
  <c r="AU70" i="63"/>
  <c r="AU71" i="63"/>
  <c r="AU72" i="63"/>
  <c r="AU73" i="63"/>
  <c r="AU74" i="63"/>
  <c r="AU75" i="63"/>
  <c r="AU76" i="63"/>
  <c r="AU77" i="63"/>
  <c r="AU78" i="63"/>
  <c r="AU79" i="63"/>
  <c r="AU80" i="63"/>
  <c r="AU81" i="63"/>
  <c r="AU82" i="63"/>
  <c r="AU83" i="63"/>
  <c r="AU84" i="63"/>
  <c r="AU85" i="63"/>
  <c r="AU86" i="63"/>
  <c r="AU87" i="63"/>
  <c r="AU88" i="63"/>
  <c r="AU89" i="63"/>
  <c r="AU90" i="63"/>
  <c r="AU91" i="63"/>
  <c r="AU92" i="63"/>
  <c r="AU93" i="63"/>
  <c r="AU94" i="63"/>
  <c r="AU95" i="63"/>
  <c r="AU96" i="63"/>
  <c r="AU97" i="63"/>
  <c r="AU98" i="63"/>
  <c r="AU99" i="63"/>
  <c r="AU100" i="63"/>
  <c r="AU101" i="63"/>
  <c r="AU102" i="63"/>
  <c r="AU103" i="63"/>
  <c r="AU104" i="63"/>
  <c r="AU105" i="63"/>
  <c r="AU106" i="63"/>
  <c r="AU107" i="63"/>
  <c r="AU108" i="63"/>
  <c r="AU109" i="63"/>
  <c r="AU110" i="63"/>
  <c r="AU111" i="63"/>
  <c r="AU112" i="63"/>
  <c r="AU113" i="63"/>
  <c r="AU114" i="63"/>
  <c r="AU115" i="63"/>
  <c r="AU116" i="63"/>
  <c r="AU117" i="63"/>
  <c r="AU118" i="63"/>
  <c r="AU119" i="63"/>
  <c r="AU120" i="63"/>
  <c r="AU121" i="63"/>
  <c r="AU122" i="63"/>
  <c r="AU123" i="63"/>
  <c r="AU124" i="63"/>
  <c r="AU125" i="63"/>
  <c r="AU126" i="63"/>
  <c r="AU127" i="63"/>
  <c r="AU128" i="63"/>
  <c r="AU129" i="63"/>
  <c r="AU130" i="63"/>
  <c r="AU131" i="63"/>
  <c r="AU132" i="63"/>
  <c r="AU133" i="63"/>
  <c r="AU134" i="63"/>
  <c r="AU135" i="63"/>
  <c r="AU136" i="63"/>
  <c r="AU137" i="63"/>
  <c r="AU138" i="63"/>
  <c r="AU139" i="63"/>
  <c r="AU140" i="63"/>
  <c r="AU141" i="63"/>
  <c r="AU142" i="63"/>
  <c r="AU143" i="63"/>
  <c r="AU144" i="63"/>
  <c r="AU145" i="63"/>
  <c r="AU146" i="63"/>
  <c r="AU147" i="63"/>
  <c r="AU148" i="63"/>
  <c r="AU149" i="63"/>
  <c r="AU150" i="63"/>
  <c r="AU151" i="63"/>
  <c r="AU152" i="63"/>
  <c r="AU153" i="63"/>
  <c r="AU154" i="63"/>
  <c r="AU155" i="63"/>
  <c r="AU156" i="63"/>
  <c r="AU157" i="63"/>
  <c r="AU158" i="63"/>
  <c r="AU159" i="63"/>
  <c r="AU160" i="63"/>
  <c r="AU161" i="63"/>
  <c r="AU162" i="63"/>
  <c r="AU163" i="63"/>
  <c r="AU164" i="63"/>
  <c r="AU165" i="63"/>
  <c r="AU166" i="63"/>
  <c r="AU167" i="63"/>
  <c r="AU168" i="63"/>
  <c r="AU169" i="63"/>
  <c r="AU170" i="63"/>
  <c r="AU171" i="63"/>
  <c r="AU172" i="63"/>
  <c r="AU173" i="63"/>
  <c r="AU174" i="63"/>
  <c r="AU175" i="63"/>
  <c r="AU176" i="63"/>
  <c r="AU177" i="63"/>
  <c r="AU178" i="63"/>
  <c r="AU179" i="63"/>
  <c r="AU180" i="63"/>
  <c r="AU181" i="63"/>
  <c r="AU182" i="63"/>
  <c r="AU183" i="63"/>
  <c r="AU184" i="63"/>
  <c r="AU185" i="63"/>
  <c r="AU186" i="63"/>
  <c r="AU187" i="63"/>
  <c r="AU188" i="63"/>
  <c r="AU189" i="63"/>
  <c r="AU190" i="63"/>
  <c r="AU191" i="63"/>
  <c r="AU192" i="63"/>
  <c r="AU193" i="63"/>
  <c r="AU194" i="63"/>
  <c r="AU195" i="63"/>
  <c r="AU196" i="63"/>
  <c r="AU197" i="63"/>
  <c r="AU198" i="63"/>
  <c r="AU199" i="63"/>
  <c r="AU200" i="63"/>
  <c r="AU201" i="63"/>
  <c r="AU202" i="63"/>
  <c r="AU203" i="63"/>
  <c r="AU204" i="63"/>
  <c r="AU205" i="63"/>
  <c r="AU206" i="63"/>
  <c r="AU207" i="63"/>
  <c r="AU208" i="63"/>
  <c r="AU209" i="63"/>
  <c r="AU210" i="63"/>
  <c r="AU211" i="63"/>
  <c r="AU212" i="63"/>
  <c r="AU213" i="63"/>
  <c r="AU214" i="63"/>
  <c r="AU215" i="63"/>
  <c r="AU216" i="63"/>
  <c r="AU217" i="63"/>
  <c r="AU218" i="63"/>
  <c r="AU219" i="63"/>
  <c r="AU220" i="63"/>
  <c r="AU221" i="63"/>
  <c r="AU222" i="63"/>
  <c r="AU223" i="63"/>
  <c r="AU224" i="63"/>
  <c r="AU225" i="63"/>
  <c r="AU226" i="63"/>
  <c r="AU227" i="63"/>
  <c r="AU228" i="63"/>
  <c r="AU229" i="63"/>
  <c r="AU230" i="63"/>
  <c r="AU231" i="63"/>
  <c r="AU232" i="63"/>
  <c r="AU233" i="63"/>
  <c r="AU234" i="63"/>
  <c r="AU235" i="63"/>
  <c r="AU236" i="63"/>
  <c r="AU237" i="63"/>
  <c r="AU238" i="63"/>
  <c r="AU239" i="63"/>
  <c r="AU240" i="63"/>
  <c r="AU241" i="63"/>
  <c r="AU242" i="63"/>
  <c r="AU243" i="63"/>
  <c r="AU244" i="63"/>
  <c r="AU245" i="63"/>
  <c r="AU246" i="63"/>
  <c r="AU247" i="63"/>
  <c r="AU248" i="63"/>
  <c r="AU249" i="63"/>
  <c r="AU250" i="63"/>
  <c r="AU251" i="63"/>
  <c r="AU252" i="63"/>
  <c r="AU253" i="63"/>
  <c r="AU254" i="63"/>
  <c r="AU255" i="63"/>
  <c r="AU256" i="63"/>
  <c r="AU257" i="63"/>
  <c r="AU258" i="63"/>
  <c r="AU10" i="63"/>
  <c r="D24" i="36" l="1"/>
  <c r="D27" i="36"/>
  <c r="D21" i="36"/>
  <c r="AB23" i="32"/>
  <c r="O101" i="11"/>
  <c r="O102"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258" i="11"/>
  <c r="I265" i="11"/>
  <c r="C12" i="71" l="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C11" i="46"/>
  <c r="Q103" i="29"/>
  <c r="O103" i="29"/>
  <c r="M103" i="29"/>
  <c r="L103" i="29"/>
  <c r="C12" i="46"/>
  <c r="C13"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Y7" i="28"/>
  <c r="Z7" i="28" s="1"/>
  <c r="V10" i="78"/>
  <c r="T10" i="78"/>
  <c r="R10" i="78"/>
  <c r="S9" i="78" l="1"/>
  <c r="W9" i="78"/>
  <c r="U9" i="78"/>
  <c r="AU18" i="59"/>
  <c r="AU19" i="59"/>
  <c r="AU20" i="59"/>
  <c r="AU21" i="59"/>
  <c r="AU22" i="59"/>
  <c r="AU23" i="59"/>
  <c r="AU24" i="59"/>
  <c r="AU25" i="59"/>
  <c r="AU26" i="59"/>
  <c r="AU27" i="59"/>
  <c r="AU28" i="59"/>
  <c r="AU29" i="59"/>
  <c r="AU30" i="59"/>
  <c r="AU31" i="59"/>
  <c r="AU32" i="59"/>
  <c r="AU33" i="59"/>
  <c r="AU34" i="59"/>
  <c r="AU35" i="59"/>
  <c r="AU36" i="59"/>
  <c r="AU37" i="59"/>
  <c r="AU38" i="59"/>
  <c r="AU39" i="59"/>
  <c r="AU40" i="59"/>
  <c r="AU41" i="59"/>
  <c r="AU42" i="59"/>
  <c r="AU43" i="59"/>
  <c r="AU44" i="59"/>
  <c r="AU45" i="59"/>
  <c r="AU46" i="59"/>
  <c r="AU47" i="59"/>
  <c r="AU48" i="59"/>
  <c r="AU49" i="59"/>
  <c r="AU50" i="59"/>
  <c r="AU51" i="59"/>
  <c r="AU52" i="59"/>
  <c r="AU53" i="59"/>
  <c r="AU54" i="59"/>
  <c r="AU55" i="59"/>
  <c r="AU56" i="59"/>
  <c r="AU57" i="59"/>
  <c r="AU58" i="59"/>
  <c r="AU59" i="59"/>
  <c r="AU60" i="59"/>
  <c r="AU61" i="59"/>
  <c r="AU62" i="59"/>
  <c r="AU63" i="59"/>
  <c r="AU64" i="59"/>
  <c r="AU65" i="59"/>
  <c r="AU66" i="59"/>
  <c r="AU67" i="59"/>
  <c r="AU68" i="59"/>
  <c r="AU69" i="59"/>
  <c r="AU70" i="59"/>
  <c r="AU71" i="59"/>
  <c r="AU72" i="59"/>
  <c r="AU73" i="59"/>
  <c r="AU74" i="59"/>
  <c r="AU75" i="59"/>
  <c r="AU76" i="59"/>
  <c r="AU77" i="59"/>
  <c r="AU78" i="59"/>
  <c r="AU79" i="59"/>
  <c r="AU80" i="59"/>
  <c r="AU81" i="59"/>
  <c r="AU82" i="59"/>
  <c r="AU83" i="59"/>
  <c r="AU84" i="59"/>
  <c r="AU85" i="59"/>
  <c r="AU86" i="59"/>
  <c r="AU87" i="59"/>
  <c r="AU88" i="59"/>
  <c r="AU89" i="59"/>
  <c r="AU90" i="59"/>
  <c r="AU91" i="59"/>
  <c r="AU92" i="59"/>
  <c r="AU93" i="59"/>
  <c r="AU94" i="59"/>
  <c r="AU95" i="59"/>
  <c r="AU96" i="59"/>
  <c r="AU97" i="59"/>
  <c r="AU98" i="59"/>
  <c r="AU99" i="59"/>
  <c r="AU100" i="59"/>
  <c r="AU101" i="59"/>
  <c r="AU102" i="59"/>
  <c r="AU103" i="59"/>
  <c r="AU104" i="59"/>
  <c r="AU105" i="59"/>
  <c r="AU106" i="59"/>
  <c r="AU107" i="59"/>
  <c r="AU108" i="59"/>
  <c r="AU109" i="59"/>
  <c r="AU110" i="59"/>
  <c r="AU111" i="59"/>
  <c r="AU112" i="59"/>
  <c r="AU113" i="59"/>
  <c r="AU114" i="59"/>
  <c r="AU115" i="59"/>
  <c r="AU116" i="59"/>
  <c r="AU117" i="59"/>
  <c r="AU118" i="59"/>
  <c r="AU119" i="59"/>
  <c r="AU120" i="59"/>
  <c r="AU121" i="59"/>
  <c r="AU122" i="59"/>
  <c r="AU123" i="59"/>
  <c r="AU124" i="59"/>
  <c r="AU125" i="59"/>
  <c r="AU126" i="59"/>
  <c r="AU127" i="59"/>
  <c r="AU128" i="59"/>
  <c r="AU129" i="59"/>
  <c r="AU130" i="59"/>
  <c r="AU131" i="59"/>
  <c r="AU132" i="59"/>
  <c r="AU133" i="59"/>
  <c r="AU134" i="59"/>
  <c r="AU135" i="59"/>
  <c r="AU136" i="59"/>
  <c r="AU137" i="59"/>
  <c r="AU138" i="59"/>
  <c r="AU139" i="59"/>
  <c r="AU140" i="59"/>
  <c r="AU141" i="59"/>
  <c r="AU142" i="59"/>
  <c r="AU143" i="59"/>
  <c r="AU144" i="59"/>
  <c r="AU145" i="59"/>
  <c r="AU146" i="59"/>
  <c r="AU147" i="59"/>
  <c r="AU148" i="59"/>
  <c r="AU149" i="59"/>
  <c r="AU150" i="59"/>
  <c r="AU151" i="59"/>
  <c r="AU152" i="59"/>
  <c r="AU153" i="59"/>
  <c r="AU154" i="59"/>
  <c r="AU155" i="59"/>
  <c r="AU156" i="59"/>
  <c r="AU157" i="59"/>
  <c r="AU158" i="59"/>
  <c r="AU159" i="59"/>
  <c r="AU160" i="59"/>
  <c r="AU161" i="59"/>
  <c r="AU162" i="59"/>
  <c r="AU163" i="59"/>
  <c r="AU164" i="59"/>
  <c r="AU165" i="59"/>
  <c r="AU166" i="59"/>
  <c r="AU167" i="59"/>
  <c r="AU168" i="59"/>
  <c r="AU169" i="59"/>
  <c r="AU170" i="59"/>
  <c r="AU171" i="59"/>
  <c r="AU172" i="59"/>
  <c r="AU173" i="59"/>
  <c r="AU174" i="59"/>
  <c r="AU175" i="59"/>
  <c r="AU176" i="59"/>
  <c r="AU177" i="59"/>
  <c r="AU178" i="59"/>
  <c r="AU179" i="59"/>
  <c r="AU180" i="59"/>
  <c r="AU181" i="59"/>
  <c r="AU182" i="59"/>
  <c r="AU183" i="59"/>
  <c r="AU184" i="59"/>
  <c r="AU185" i="59"/>
  <c r="AU186" i="59"/>
  <c r="AU187" i="59"/>
  <c r="AU188" i="59"/>
  <c r="AU189" i="59"/>
  <c r="AU190" i="59"/>
  <c r="AU191" i="59"/>
  <c r="AU192" i="59"/>
  <c r="AU193" i="59"/>
  <c r="AU194" i="59"/>
  <c r="AU195" i="59"/>
  <c r="AU196" i="59"/>
  <c r="AU197" i="59"/>
  <c r="AU198" i="59"/>
  <c r="AU199" i="59"/>
  <c r="AU200" i="59"/>
  <c r="AU201" i="59"/>
  <c r="AU202" i="59"/>
  <c r="AU203" i="59"/>
  <c r="AU204" i="59"/>
  <c r="AU205" i="59"/>
  <c r="AU206" i="59"/>
  <c r="AU207" i="59"/>
  <c r="AU208" i="59"/>
  <c r="AU209" i="59"/>
  <c r="AU210" i="59"/>
  <c r="AU211" i="59"/>
  <c r="AU212" i="59"/>
  <c r="AU213" i="59"/>
  <c r="AU214" i="59"/>
  <c r="AU215" i="59"/>
  <c r="AU216" i="59"/>
  <c r="AU217" i="59"/>
  <c r="AU218" i="59"/>
  <c r="AU219" i="59"/>
  <c r="AU220" i="59"/>
  <c r="AU221" i="59"/>
  <c r="AU222" i="59"/>
  <c r="AU223" i="59"/>
  <c r="AU224" i="59"/>
  <c r="AU225" i="59"/>
  <c r="AU226" i="59"/>
  <c r="AU227" i="59"/>
  <c r="AU228" i="59"/>
  <c r="AU229" i="59"/>
  <c r="AU230" i="59"/>
  <c r="AU231" i="59"/>
  <c r="AU232" i="59"/>
  <c r="AU233" i="59"/>
  <c r="AU234" i="59"/>
  <c r="AU235" i="59"/>
  <c r="AU236" i="59"/>
  <c r="AU237" i="59"/>
  <c r="AU238" i="59"/>
  <c r="AU239" i="59"/>
  <c r="AU240" i="59"/>
  <c r="AU241" i="59"/>
  <c r="AU242" i="59"/>
  <c r="AU243" i="59"/>
  <c r="AU244" i="59"/>
  <c r="AU245" i="59"/>
  <c r="AU246" i="59"/>
  <c r="AU247" i="59"/>
  <c r="AU248" i="59"/>
  <c r="AU249" i="59"/>
  <c r="AU250" i="59"/>
  <c r="AU251" i="59"/>
  <c r="AU252" i="59"/>
  <c r="AU253" i="59"/>
  <c r="AU254" i="59"/>
  <c r="AU255" i="59"/>
  <c r="AU256" i="59"/>
  <c r="AU257" i="59"/>
  <c r="AU258" i="59"/>
  <c r="V11" i="67" l="1"/>
  <c r="V12" i="67"/>
  <c r="V13" i="67"/>
  <c r="V14" i="67"/>
  <c r="V15" i="67"/>
  <c r="V16" i="67"/>
  <c r="V17" i="67"/>
  <c r="V18" i="67"/>
  <c r="V19" i="67"/>
  <c r="V20" i="67"/>
  <c r="V21" i="67"/>
  <c r="V22" i="67"/>
  <c r="V23" i="67"/>
  <c r="V24" i="67"/>
  <c r="V25" i="67"/>
  <c r="V26" i="67"/>
  <c r="V27" i="67"/>
  <c r="V28" i="67"/>
  <c r="V29" i="67"/>
  <c r="V30" i="67"/>
  <c r="V31" i="67"/>
  <c r="V32" i="67"/>
  <c r="V33" i="67"/>
  <c r="V34" i="67"/>
  <c r="V35" i="67"/>
  <c r="V36" i="67"/>
  <c r="V37" i="67"/>
  <c r="V38" i="67"/>
  <c r="V39" i="67"/>
  <c r="V40" i="67"/>
  <c r="V41" i="67"/>
  <c r="V42" i="67"/>
  <c r="V43" i="67"/>
  <c r="V44" i="67"/>
  <c r="V45" i="67"/>
  <c r="V46" i="67"/>
  <c r="V47" i="67"/>
  <c r="V48" i="67"/>
  <c r="V49" i="67"/>
  <c r="V50" i="67"/>
  <c r="V51" i="67"/>
  <c r="V52" i="67"/>
  <c r="V53" i="67"/>
  <c r="V54" i="67"/>
  <c r="V55" i="67"/>
  <c r="V56" i="67"/>
  <c r="V57" i="67"/>
  <c r="V58" i="67"/>
  <c r="V59" i="67"/>
  <c r="V60" i="67"/>
  <c r="V61" i="67"/>
  <c r="V62" i="67"/>
  <c r="V63" i="67"/>
  <c r="V64" i="67"/>
  <c r="V65" i="67"/>
  <c r="V66" i="67"/>
  <c r="V67" i="67"/>
  <c r="V68" i="67"/>
  <c r="V69" i="67"/>
  <c r="V70" i="67"/>
  <c r="V71" i="67"/>
  <c r="V72" i="67"/>
  <c r="V73" i="67"/>
  <c r="V74" i="67"/>
  <c r="V75" i="67"/>
  <c r="V76" i="67"/>
  <c r="V77" i="67"/>
  <c r="V78" i="67"/>
  <c r="V79" i="67"/>
  <c r="V80" i="67"/>
  <c r="V81" i="67"/>
  <c r="V82" i="67"/>
  <c r="V83" i="67"/>
  <c r="V84" i="67"/>
  <c r="V85" i="67"/>
  <c r="V86" i="67"/>
  <c r="V87" i="67"/>
  <c r="V88" i="67"/>
  <c r="V89" i="67"/>
  <c r="V90" i="67"/>
  <c r="V91" i="67"/>
  <c r="V92" i="67"/>
  <c r="V93" i="67"/>
  <c r="V94" i="67"/>
  <c r="V95" i="67"/>
  <c r="V96" i="67"/>
  <c r="V97" i="67"/>
  <c r="V98" i="67"/>
  <c r="V99" i="67"/>
  <c r="V100" i="67"/>
  <c r="V101" i="67"/>
  <c r="V102" i="67"/>
  <c r="V103" i="67"/>
  <c r="V104" i="67"/>
  <c r="V105" i="67"/>
  <c r="V106" i="67"/>
  <c r="V107" i="67"/>
  <c r="V108" i="67"/>
  <c r="V109" i="67"/>
  <c r="V110" i="67"/>
  <c r="V111" i="67"/>
  <c r="V112" i="67"/>
  <c r="V113" i="67"/>
  <c r="V114" i="67"/>
  <c r="V115" i="67"/>
  <c r="V116" i="67"/>
  <c r="V117" i="67"/>
  <c r="V118" i="67"/>
  <c r="V119" i="67"/>
  <c r="V120" i="67"/>
  <c r="V121" i="67"/>
  <c r="V122" i="67"/>
  <c r="V123" i="67"/>
  <c r="V124" i="67"/>
  <c r="V125" i="67"/>
  <c r="V126" i="67"/>
  <c r="V127" i="67"/>
  <c r="V128" i="67"/>
  <c r="V129" i="67"/>
  <c r="V130" i="67"/>
  <c r="V131" i="67"/>
  <c r="V132" i="67"/>
  <c r="V133" i="67"/>
  <c r="V134" i="67"/>
  <c r="V135" i="67"/>
  <c r="V136" i="67"/>
  <c r="V137" i="67"/>
  <c r="V138" i="67"/>
  <c r="V139" i="67"/>
  <c r="V140" i="67"/>
  <c r="V141" i="67"/>
  <c r="V142" i="67"/>
  <c r="V143" i="67"/>
  <c r="V144" i="67"/>
  <c r="V145" i="67"/>
  <c r="V146" i="67"/>
  <c r="V147" i="67"/>
  <c r="V148" i="67"/>
  <c r="V149" i="67"/>
  <c r="V150" i="67"/>
  <c r="V151" i="67"/>
  <c r="V152" i="67"/>
  <c r="V153" i="67"/>
  <c r="V154" i="67"/>
  <c r="V155" i="67"/>
  <c r="V156" i="67"/>
  <c r="V157" i="67"/>
  <c r="V158" i="67"/>
  <c r="V159" i="67"/>
  <c r="V160" i="67"/>
  <c r="V161" i="67"/>
  <c r="V162" i="67"/>
  <c r="V163" i="67"/>
  <c r="V164" i="67"/>
  <c r="V165" i="67"/>
  <c r="V166" i="67"/>
  <c r="V167" i="67"/>
  <c r="V168" i="67"/>
  <c r="V169" i="67"/>
  <c r="V170" i="67"/>
  <c r="V171" i="67"/>
  <c r="V172" i="67"/>
  <c r="V173" i="67"/>
  <c r="V174" i="67"/>
  <c r="V175" i="67"/>
  <c r="V176" i="67"/>
  <c r="V177" i="67"/>
  <c r="V178" i="67"/>
  <c r="V179" i="67"/>
  <c r="V180" i="67"/>
  <c r="V181" i="67"/>
  <c r="V182" i="67"/>
  <c r="V183" i="67"/>
  <c r="V184" i="67"/>
  <c r="V185" i="67"/>
  <c r="V186" i="67"/>
  <c r="V187" i="67"/>
  <c r="V188" i="67"/>
  <c r="V189" i="67"/>
  <c r="V190" i="67"/>
  <c r="V191" i="67"/>
  <c r="V192" i="67"/>
  <c r="V193" i="67"/>
  <c r="V194" i="67"/>
  <c r="V195" i="67"/>
  <c r="V196" i="67"/>
  <c r="V197" i="67"/>
  <c r="V198" i="67"/>
  <c r="V199" i="67"/>
  <c r="V200" i="67"/>
  <c r="V201" i="67"/>
  <c r="V202" i="67"/>
  <c r="V203" i="67"/>
  <c r="V204" i="67"/>
  <c r="V205" i="67"/>
  <c r="V206" i="67"/>
  <c r="V207" i="67"/>
  <c r="V208" i="67"/>
  <c r="V209" i="67"/>
  <c r="V210" i="67"/>
  <c r="V211" i="67"/>
  <c r="V212" i="67"/>
  <c r="V213" i="67"/>
  <c r="V214" i="67"/>
  <c r="V215" i="67"/>
  <c r="V216" i="67"/>
  <c r="V217" i="67"/>
  <c r="V218" i="67"/>
  <c r="V219" i="67"/>
  <c r="V220" i="67"/>
  <c r="V221" i="67"/>
  <c r="V222" i="67"/>
  <c r="V223" i="67"/>
  <c r="V224" i="67"/>
  <c r="V225" i="67"/>
  <c r="V226" i="67"/>
  <c r="V227" i="67"/>
  <c r="V228" i="67"/>
  <c r="V229" i="67"/>
  <c r="V230" i="67"/>
  <c r="V231" i="67"/>
  <c r="V232" i="67"/>
  <c r="V233" i="67"/>
  <c r="V234" i="67"/>
  <c r="V235" i="67"/>
  <c r="V236" i="67"/>
  <c r="V237" i="67"/>
  <c r="V238" i="67"/>
  <c r="V239" i="67"/>
  <c r="V240" i="67"/>
  <c r="V241" i="67"/>
  <c r="V242" i="67"/>
  <c r="V243" i="67"/>
  <c r="V244" i="67"/>
  <c r="V245" i="67"/>
  <c r="V246" i="67"/>
  <c r="V247" i="67"/>
  <c r="V248" i="67"/>
  <c r="V249" i="67"/>
  <c r="V250" i="67"/>
  <c r="V251" i="67"/>
  <c r="V252" i="67"/>
  <c r="V253" i="67"/>
  <c r="V254" i="67"/>
  <c r="V255" i="67"/>
  <c r="V256" i="67"/>
  <c r="V257" i="67"/>
  <c r="S12" i="63"/>
  <c r="S13" i="63"/>
  <c r="S14" i="63"/>
  <c r="S15" i="63"/>
  <c r="S16" i="63"/>
  <c r="S17" i="63"/>
  <c r="S18" i="63"/>
  <c r="S19" i="63"/>
  <c r="S20" i="63"/>
  <c r="S21" i="63"/>
  <c r="S22" i="63"/>
  <c r="S23" i="63"/>
  <c r="S24" i="63"/>
  <c r="S25" i="63"/>
  <c r="S26" i="63"/>
  <c r="S27" i="63"/>
  <c r="S28" i="63"/>
  <c r="S29" i="63"/>
  <c r="S30" i="63"/>
  <c r="S31" i="63"/>
  <c r="S32" i="63"/>
  <c r="S33" i="63"/>
  <c r="S34" i="63"/>
  <c r="S35" i="63"/>
  <c r="S36" i="63"/>
  <c r="S37" i="63"/>
  <c r="S38" i="63"/>
  <c r="S39" i="63"/>
  <c r="S40" i="63"/>
  <c r="S41" i="63"/>
  <c r="S42" i="63"/>
  <c r="S43" i="63"/>
  <c r="S44" i="63"/>
  <c r="S45" i="63"/>
  <c r="S46" i="63"/>
  <c r="S47" i="63"/>
  <c r="S48" i="63"/>
  <c r="S49" i="63"/>
  <c r="S50" i="63"/>
  <c r="S51" i="63"/>
  <c r="S52" i="63"/>
  <c r="S53" i="63"/>
  <c r="S54" i="63"/>
  <c r="S55" i="63"/>
  <c r="S56" i="63"/>
  <c r="S57" i="63"/>
  <c r="S58" i="63"/>
  <c r="S59" i="63"/>
  <c r="S60" i="63"/>
  <c r="S61" i="63"/>
  <c r="S62" i="63"/>
  <c r="S63" i="63"/>
  <c r="S64" i="63"/>
  <c r="S65" i="63"/>
  <c r="S66" i="63"/>
  <c r="S67" i="63"/>
  <c r="S68" i="63"/>
  <c r="S69" i="63"/>
  <c r="S70" i="63"/>
  <c r="S71" i="63"/>
  <c r="S72" i="63"/>
  <c r="S73" i="63"/>
  <c r="S74" i="63"/>
  <c r="S75" i="63"/>
  <c r="S76" i="63"/>
  <c r="S77" i="63"/>
  <c r="S78" i="63"/>
  <c r="S79" i="63"/>
  <c r="S80" i="63"/>
  <c r="S81" i="63"/>
  <c r="S82" i="63"/>
  <c r="S83" i="63"/>
  <c r="S84" i="63"/>
  <c r="S85" i="63"/>
  <c r="S86" i="63"/>
  <c r="S87" i="63"/>
  <c r="S88" i="63"/>
  <c r="S89" i="63"/>
  <c r="S90" i="63"/>
  <c r="S91" i="63"/>
  <c r="S92" i="63"/>
  <c r="S93" i="63"/>
  <c r="S94" i="63"/>
  <c r="S95" i="63"/>
  <c r="S96" i="63"/>
  <c r="S97" i="63"/>
  <c r="S98" i="63"/>
  <c r="S99" i="63"/>
  <c r="S100" i="63"/>
  <c r="S101" i="63"/>
  <c r="S102" i="63"/>
  <c r="S103" i="63"/>
  <c r="S104" i="63"/>
  <c r="S105" i="63"/>
  <c r="S106" i="63"/>
  <c r="S107" i="63"/>
  <c r="S108" i="63"/>
  <c r="S109" i="63"/>
  <c r="S110" i="63"/>
  <c r="S111" i="63"/>
  <c r="S112" i="63"/>
  <c r="S113" i="63"/>
  <c r="S114" i="63"/>
  <c r="S115" i="63"/>
  <c r="S116" i="63"/>
  <c r="S117" i="63"/>
  <c r="S118" i="63"/>
  <c r="S119" i="63"/>
  <c r="S120" i="63"/>
  <c r="S121" i="63"/>
  <c r="S122" i="63"/>
  <c r="S123" i="63"/>
  <c r="S124" i="63"/>
  <c r="S125" i="63"/>
  <c r="S126" i="63"/>
  <c r="S127" i="63"/>
  <c r="S128" i="63"/>
  <c r="S129" i="63"/>
  <c r="S130" i="63"/>
  <c r="S131" i="63"/>
  <c r="S132" i="63"/>
  <c r="S133" i="63"/>
  <c r="S134" i="63"/>
  <c r="S135" i="63"/>
  <c r="S136" i="63"/>
  <c r="S137" i="63"/>
  <c r="S138" i="63"/>
  <c r="S139" i="63"/>
  <c r="S140" i="63"/>
  <c r="S141" i="63"/>
  <c r="S142" i="63"/>
  <c r="S143" i="63"/>
  <c r="S144" i="63"/>
  <c r="S145" i="63"/>
  <c r="S146" i="63"/>
  <c r="S147" i="63"/>
  <c r="S148" i="63"/>
  <c r="S149" i="63"/>
  <c r="S150" i="63"/>
  <c r="S151" i="63"/>
  <c r="S152" i="63"/>
  <c r="S153" i="63"/>
  <c r="S154" i="63"/>
  <c r="S155" i="63"/>
  <c r="S156" i="63"/>
  <c r="S157" i="63"/>
  <c r="S158" i="63"/>
  <c r="S159" i="63"/>
  <c r="S160" i="63"/>
  <c r="S161" i="63"/>
  <c r="S162" i="63"/>
  <c r="S163" i="63"/>
  <c r="S164" i="63"/>
  <c r="S165" i="63"/>
  <c r="S166" i="63"/>
  <c r="S167" i="63"/>
  <c r="S168" i="63"/>
  <c r="S169" i="63"/>
  <c r="S170" i="63"/>
  <c r="S171" i="63"/>
  <c r="S172" i="63"/>
  <c r="S173" i="63"/>
  <c r="S174" i="63"/>
  <c r="S175" i="63"/>
  <c r="S176" i="63"/>
  <c r="S177" i="63"/>
  <c r="S178" i="63"/>
  <c r="S179" i="63"/>
  <c r="S180" i="63"/>
  <c r="S181" i="63"/>
  <c r="S182" i="63"/>
  <c r="S183" i="63"/>
  <c r="S184" i="63"/>
  <c r="S185" i="63"/>
  <c r="S186" i="63"/>
  <c r="S187" i="63"/>
  <c r="S188" i="63"/>
  <c r="S189" i="63"/>
  <c r="S190" i="63"/>
  <c r="S191" i="63"/>
  <c r="S192" i="63"/>
  <c r="S193" i="63"/>
  <c r="S194" i="63"/>
  <c r="S195" i="63"/>
  <c r="S196" i="63"/>
  <c r="S197" i="63"/>
  <c r="S198" i="63"/>
  <c r="S199" i="63"/>
  <c r="S200" i="63"/>
  <c r="S201" i="63"/>
  <c r="S202" i="63"/>
  <c r="S203" i="63"/>
  <c r="S204" i="63"/>
  <c r="S205" i="63"/>
  <c r="S206" i="63"/>
  <c r="S207" i="63"/>
  <c r="S208" i="63"/>
  <c r="S209" i="63"/>
  <c r="S210" i="63"/>
  <c r="S211" i="63"/>
  <c r="S212" i="63"/>
  <c r="S213" i="63"/>
  <c r="S214" i="63"/>
  <c r="S215" i="63"/>
  <c r="S216" i="63"/>
  <c r="S217" i="63"/>
  <c r="S218" i="63"/>
  <c r="S219" i="63"/>
  <c r="S220" i="63"/>
  <c r="S221" i="63"/>
  <c r="S222" i="63"/>
  <c r="S223" i="63"/>
  <c r="S224" i="63"/>
  <c r="S225" i="63"/>
  <c r="S226" i="63"/>
  <c r="S227" i="63"/>
  <c r="S228" i="63"/>
  <c r="S229" i="63"/>
  <c r="S230" i="63"/>
  <c r="S231" i="63"/>
  <c r="S232" i="63"/>
  <c r="S233" i="63"/>
  <c r="S234" i="63"/>
  <c r="S235" i="63"/>
  <c r="S236" i="63"/>
  <c r="S237" i="63"/>
  <c r="S238" i="63"/>
  <c r="S239" i="63"/>
  <c r="S240" i="63"/>
  <c r="S241" i="63"/>
  <c r="S242" i="63"/>
  <c r="S243" i="63"/>
  <c r="S244" i="63"/>
  <c r="S245" i="63"/>
  <c r="S246" i="63"/>
  <c r="S247" i="63"/>
  <c r="S248" i="63"/>
  <c r="S249" i="63"/>
  <c r="S250" i="63"/>
  <c r="S251" i="63"/>
  <c r="S252" i="63"/>
  <c r="S253" i="63"/>
  <c r="S254" i="63"/>
  <c r="S255" i="63"/>
  <c r="S256" i="63"/>
  <c r="S257" i="63"/>
  <c r="BG34" i="108"/>
  <c r="BG39" i="108"/>
  <c r="BG40" i="108"/>
  <c r="BG41" i="108"/>
  <c r="O2" i="59" a="1"/>
  <c r="O2" i="59" s="1"/>
  <c r="BJ13" i="108" l="1"/>
  <c r="BJ14" i="108"/>
  <c r="BJ17" i="108"/>
  <c r="BJ18" i="108"/>
  <c r="BJ21" i="108"/>
  <c r="BJ25" i="108"/>
  <c r="BJ26" i="108"/>
  <c r="BJ29" i="108"/>
  <c r="BJ33" i="108"/>
  <c r="BJ34" i="108"/>
  <c r="BJ37" i="108"/>
  <c r="BJ41" i="108"/>
  <c r="BJ42" i="108"/>
  <c r="BJ45" i="108"/>
  <c r="BJ49" i="108"/>
  <c r="BJ50" i="108"/>
  <c r="BJ53" i="108"/>
  <c r="BJ57" i="108"/>
  <c r="BJ58" i="108"/>
  <c r="BJ61" i="108"/>
  <c r="BJ65" i="108"/>
  <c r="BJ66" i="108"/>
  <c r="BJ69" i="108"/>
  <c r="BJ73" i="108"/>
  <c r="BJ74" i="108"/>
  <c r="BJ77" i="108"/>
  <c r="BJ81" i="108"/>
  <c r="BJ82" i="108"/>
  <c r="BJ85" i="108"/>
  <c r="BJ89" i="108"/>
  <c r="BJ90" i="108"/>
  <c r="BJ93" i="108"/>
  <c r="BJ97" i="108"/>
  <c r="BJ98" i="108"/>
  <c r="BJ101" i="108"/>
  <c r="BJ105" i="108"/>
  <c r="BJ106" i="108"/>
  <c r="BJ109" i="108"/>
  <c r="BJ113" i="108"/>
  <c r="BJ114" i="108"/>
  <c r="BJ117" i="108"/>
  <c r="BJ121" i="108"/>
  <c r="BJ122" i="108"/>
  <c r="BJ125" i="108"/>
  <c r="BJ129" i="108"/>
  <c r="BJ130" i="108"/>
  <c r="BJ133" i="108"/>
  <c r="BJ137" i="108"/>
  <c r="BJ138" i="108"/>
  <c r="BJ141" i="108"/>
  <c r="BJ145" i="108"/>
  <c r="BJ146" i="108"/>
  <c r="BJ149" i="108"/>
  <c r="BJ153" i="108"/>
  <c r="BJ154" i="108"/>
  <c r="BJ157" i="108"/>
  <c r="BJ161" i="108"/>
  <c r="BJ162" i="108"/>
  <c r="BJ165" i="108"/>
  <c r="BJ169" i="108"/>
  <c r="BJ170" i="108"/>
  <c r="BJ173" i="108"/>
  <c r="BJ177" i="108"/>
  <c r="BJ178" i="108"/>
  <c r="BJ181" i="108"/>
  <c r="BJ185" i="108"/>
  <c r="BJ186" i="108"/>
  <c r="BJ189" i="108"/>
  <c r="BJ193" i="108"/>
  <c r="BJ194" i="108"/>
  <c r="BJ197" i="108"/>
  <c r="BJ201" i="108"/>
  <c r="BJ202" i="108"/>
  <c r="BJ205" i="108"/>
  <c r="BJ209" i="108"/>
  <c r="BJ210" i="108"/>
  <c r="BJ213" i="108"/>
  <c r="BJ217" i="108"/>
  <c r="BJ218" i="108"/>
  <c r="BJ221" i="108"/>
  <c r="BJ225" i="108"/>
  <c r="BJ226" i="108"/>
  <c r="BJ229" i="108"/>
  <c r="BJ233" i="108"/>
  <c r="BJ234" i="108"/>
  <c r="BJ237" i="108"/>
  <c r="BJ241" i="108"/>
  <c r="BJ242" i="108"/>
  <c r="BJ245" i="108"/>
  <c r="BJ249" i="108"/>
  <c r="BJ250" i="108"/>
  <c r="BJ253" i="108"/>
  <c r="BJ257" i="108"/>
  <c r="BJ258" i="108"/>
  <c r="BJ259" i="108"/>
  <c r="BJ11" i="108"/>
  <c r="BJ12" i="108"/>
  <c r="BJ15" i="108"/>
  <c r="BJ16" i="108"/>
  <c r="BJ19" i="108"/>
  <c r="BJ20" i="108"/>
  <c r="BJ22" i="108"/>
  <c r="BJ23" i="108"/>
  <c r="BJ24" i="108"/>
  <c r="BJ27" i="108"/>
  <c r="BJ28" i="108"/>
  <c r="BJ30" i="108"/>
  <c r="BJ31" i="108"/>
  <c r="BJ32" i="108"/>
  <c r="BJ35" i="108"/>
  <c r="BJ36" i="108"/>
  <c r="BJ38" i="108"/>
  <c r="BJ39" i="108"/>
  <c r="BJ40" i="108"/>
  <c r="BJ43" i="108"/>
  <c r="BJ44" i="108"/>
  <c r="BJ46" i="108"/>
  <c r="BJ47" i="108"/>
  <c r="BJ48" i="108"/>
  <c r="BJ51" i="108"/>
  <c r="BJ52" i="108"/>
  <c r="BJ54" i="108"/>
  <c r="BJ55" i="108"/>
  <c r="BJ56" i="108"/>
  <c r="BJ59" i="108"/>
  <c r="BJ60" i="108"/>
  <c r="BJ62" i="108"/>
  <c r="BJ63" i="108"/>
  <c r="BJ64" i="108"/>
  <c r="BJ67" i="108"/>
  <c r="BJ68" i="108"/>
  <c r="BJ70" i="108"/>
  <c r="BJ71" i="108"/>
  <c r="BJ72" i="108"/>
  <c r="BJ75" i="108"/>
  <c r="BJ76" i="108"/>
  <c r="BJ78" i="108"/>
  <c r="BJ79" i="108"/>
  <c r="BJ80" i="108"/>
  <c r="BJ83" i="108"/>
  <c r="BJ84" i="108"/>
  <c r="BJ86" i="108"/>
  <c r="BJ87" i="108"/>
  <c r="BJ88" i="108"/>
  <c r="BJ91" i="108"/>
  <c r="BJ92" i="108"/>
  <c r="BJ94" i="108"/>
  <c r="BJ95" i="108"/>
  <c r="BJ96" i="108"/>
  <c r="BJ99" i="108"/>
  <c r="BJ100" i="108"/>
  <c r="BJ102" i="108"/>
  <c r="BJ103" i="108"/>
  <c r="BJ104" i="108"/>
  <c r="BJ107" i="108"/>
  <c r="BJ108" i="108"/>
  <c r="BJ110" i="108"/>
  <c r="BJ111" i="108"/>
  <c r="BJ112" i="108"/>
  <c r="BJ115" i="108"/>
  <c r="BJ116" i="108"/>
  <c r="BJ118" i="108"/>
  <c r="BJ119" i="108"/>
  <c r="BJ120" i="108"/>
  <c r="BJ123" i="108"/>
  <c r="BJ124" i="108"/>
  <c r="BJ126" i="108"/>
  <c r="BJ127" i="108"/>
  <c r="BJ128" i="108"/>
  <c r="BJ131" i="108"/>
  <c r="BJ132" i="108"/>
  <c r="BJ134" i="108"/>
  <c r="BJ135" i="108"/>
  <c r="BJ136" i="108"/>
  <c r="BJ139" i="108"/>
  <c r="BJ140" i="108"/>
  <c r="BJ142" i="108"/>
  <c r="BJ143" i="108"/>
  <c r="BJ144" i="108"/>
  <c r="BJ147" i="108"/>
  <c r="BJ148" i="108"/>
  <c r="BJ150" i="108"/>
  <c r="BJ151" i="108"/>
  <c r="BJ152" i="108"/>
  <c r="BJ155" i="108"/>
  <c r="BJ156" i="108"/>
  <c r="BJ158" i="108"/>
  <c r="BJ159" i="108"/>
  <c r="BJ160" i="108"/>
  <c r="BJ163" i="108"/>
  <c r="BJ164" i="108"/>
  <c r="BJ166" i="108"/>
  <c r="BJ167" i="108"/>
  <c r="BJ168" i="108"/>
  <c r="BJ171" i="108"/>
  <c r="BJ172" i="108"/>
  <c r="BJ174" i="108"/>
  <c r="BJ175" i="108"/>
  <c r="BJ176" i="108"/>
  <c r="BJ179" i="108"/>
  <c r="BJ180" i="108"/>
  <c r="BJ182" i="108"/>
  <c r="BJ183" i="108"/>
  <c r="BJ184" i="108"/>
  <c r="BJ187" i="108"/>
  <c r="BJ188" i="108"/>
  <c r="BJ190" i="108"/>
  <c r="BJ191" i="108"/>
  <c r="BJ192" i="108"/>
  <c r="BJ195" i="108"/>
  <c r="BJ196" i="108"/>
  <c r="BJ198" i="108"/>
  <c r="BJ199" i="108"/>
  <c r="BJ200" i="108"/>
  <c r="BJ203" i="108"/>
  <c r="BJ204" i="108"/>
  <c r="BJ206" i="108"/>
  <c r="BJ207" i="108"/>
  <c r="BJ208" i="108"/>
  <c r="BJ211" i="108"/>
  <c r="BJ212" i="108"/>
  <c r="BJ214" i="108"/>
  <c r="BJ215" i="108"/>
  <c r="BJ216" i="108"/>
  <c r="BJ219" i="108"/>
  <c r="BJ220" i="108"/>
  <c r="BJ222" i="108"/>
  <c r="BJ223" i="108"/>
  <c r="BJ224" i="108"/>
  <c r="BJ227" i="108"/>
  <c r="BJ228" i="108"/>
  <c r="BJ230" i="108"/>
  <c r="BJ231" i="108"/>
  <c r="BJ232" i="108"/>
  <c r="BJ235" i="108"/>
  <c r="BJ236" i="108"/>
  <c r="BJ238" i="108"/>
  <c r="BJ239" i="108"/>
  <c r="BJ240" i="108"/>
  <c r="BJ243" i="108"/>
  <c r="BJ244" i="108"/>
  <c r="BJ246" i="108"/>
  <c r="BJ247" i="108"/>
  <c r="BJ248" i="108"/>
  <c r="BJ251" i="108"/>
  <c r="BJ252" i="108"/>
  <c r="BJ254" i="108"/>
  <c r="BJ255" i="108"/>
  <c r="BJ256" i="108"/>
  <c r="AE43" i="108"/>
  <c r="AE11" i="108"/>
  <c r="AE12" i="108"/>
  <c r="AE13" i="108"/>
  <c r="AE14" i="108"/>
  <c r="AE15" i="108"/>
  <c r="AE16" i="108"/>
  <c r="AE17" i="108"/>
  <c r="AE18" i="108"/>
  <c r="AE19" i="108"/>
  <c r="AE20" i="108"/>
  <c r="AE21" i="108"/>
  <c r="AE22" i="108"/>
  <c r="AE23" i="108"/>
  <c r="AE24" i="108"/>
  <c r="AE25" i="108"/>
  <c r="AE26" i="108"/>
  <c r="AE27" i="108"/>
  <c r="AE28" i="108"/>
  <c r="AE29" i="108"/>
  <c r="AE30" i="108"/>
  <c r="AE31" i="108"/>
  <c r="AE32" i="108"/>
  <c r="AE33" i="108"/>
  <c r="AE34" i="108"/>
  <c r="AE35" i="108"/>
  <c r="AE36" i="108"/>
  <c r="AE37" i="108"/>
  <c r="AE38" i="108"/>
  <c r="AE39" i="108"/>
  <c r="AE40" i="108"/>
  <c r="AE41" i="108"/>
  <c r="AE42" i="108"/>
  <c r="AE44" i="108"/>
  <c r="AE45" i="108"/>
  <c r="AE46" i="108"/>
  <c r="AE47" i="108"/>
  <c r="AE48" i="108"/>
  <c r="AE49" i="108"/>
  <c r="AE50" i="108"/>
  <c r="AE51" i="108"/>
  <c r="AE52" i="108"/>
  <c r="AE53" i="108"/>
  <c r="AE54" i="108"/>
  <c r="AE55" i="108"/>
  <c r="AE56" i="108"/>
  <c r="AE57" i="108"/>
  <c r="AE58" i="108"/>
  <c r="AE59" i="108"/>
  <c r="AE60" i="108"/>
  <c r="AE61" i="108"/>
  <c r="AE62" i="108"/>
  <c r="AE63" i="108"/>
  <c r="AE64" i="108"/>
  <c r="AE65" i="108"/>
  <c r="AE66" i="108"/>
  <c r="AE67" i="108"/>
  <c r="AE68" i="108"/>
  <c r="AE69" i="108"/>
  <c r="AE70" i="108"/>
  <c r="AE71" i="108"/>
  <c r="AE72" i="108"/>
  <c r="AE73" i="108"/>
  <c r="AE74" i="108"/>
  <c r="AE75" i="108"/>
  <c r="AE76" i="108"/>
  <c r="AE77" i="108"/>
  <c r="AE78" i="108"/>
  <c r="AE79" i="108"/>
  <c r="AE80" i="108"/>
  <c r="AE81" i="108"/>
  <c r="AE82" i="108"/>
  <c r="AE83" i="108"/>
  <c r="AE84" i="108"/>
  <c r="AE85" i="108"/>
  <c r="AE86" i="108"/>
  <c r="AE87" i="108"/>
  <c r="AE88" i="108"/>
  <c r="AE89" i="108"/>
  <c r="AE90" i="108"/>
  <c r="AE91" i="108"/>
  <c r="AE92" i="108"/>
  <c r="AE93" i="108"/>
  <c r="AE94" i="108"/>
  <c r="AE95" i="108"/>
  <c r="AE96" i="108"/>
  <c r="AE97" i="108"/>
  <c r="AE98" i="108"/>
  <c r="AE99" i="108"/>
  <c r="AE100" i="108"/>
  <c r="AE101" i="108"/>
  <c r="AE102" i="108"/>
  <c r="AE103" i="108"/>
  <c r="AE104" i="108"/>
  <c r="AE105" i="108"/>
  <c r="AE106" i="108"/>
  <c r="AE107" i="108"/>
  <c r="AE108" i="108"/>
  <c r="AE109" i="108"/>
  <c r="AE110" i="108"/>
  <c r="AE111" i="108"/>
  <c r="AE112" i="108"/>
  <c r="AE113" i="108"/>
  <c r="AE114" i="108"/>
  <c r="AE115" i="108"/>
  <c r="AE116" i="108"/>
  <c r="AE117" i="108"/>
  <c r="AE118" i="108"/>
  <c r="AE119" i="108"/>
  <c r="AE120" i="108"/>
  <c r="AE121" i="108"/>
  <c r="AE122" i="108"/>
  <c r="AE123" i="108"/>
  <c r="AE124" i="108"/>
  <c r="AE125" i="108"/>
  <c r="AE126" i="108"/>
  <c r="AE127" i="108"/>
  <c r="AE128" i="108"/>
  <c r="AE129" i="108"/>
  <c r="AE130" i="108"/>
  <c r="AE131" i="108"/>
  <c r="AE132" i="108"/>
  <c r="AE133" i="108"/>
  <c r="AE134" i="108"/>
  <c r="AE135" i="108"/>
  <c r="AE136" i="108"/>
  <c r="AE137" i="108"/>
  <c r="AE138" i="108"/>
  <c r="AE139" i="108"/>
  <c r="AE140" i="108"/>
  <c r="AE141" i="108"/>
  <c r="AE142" i="108"/>
  <c r="AE143" i="108"/>
  <c r="AE144" i="108"/>
  <c r="AE145" i="108"/>
  <c r="AE146" i="108"/>
  <c r="AE147" i="108"/>
  <c r="AE148" i="108"/>
  <c r="AE149" i="108"/>
  <c r="AE150" i="108"/>
  <c r="AE151" i="108"/>
  <c r="AE152" i="108"/>
  <c r="AE153" i="108"/>
  <c r="AE154" i="108"/>
  <c r="AE155" i="108"/>
  <c r="AE156" i="108"/>
  <c r="AE157" i="108"/>
  <c r="AE158" i="108"/>
  <c r="AE159" i="108"/>
  <c r="AE160" i="108"/>
  <c r="AE161" i="108"/>
  <c r="AE162" i="108"/>
  <c r="AE163" i="108"/>
  <c r="AE164" i="108"/>
  <c r="AE165" i="108"/>
  <c r="AE166" i="108"/>
  <c r="AE167" i="108"/>
  <c r="AE168" i="108"/>
  <c r="AE169" i="108"/>
  <c r="AE170" i="108"/>
  <c r="AE171" i="108"/>
  <c r="AE172" i="108"/>
  <c r="AE173" i="108"/>
  <c r="AE174" i="108"/>
  <c r="AE175" i="108"/>
  <c r="AE176" i="108"/>
  <c r="AE177" i="108"/>
  <c r="AE178" i="108"/>
  <c r="AE179" i="108"/>
  <c r="AE180" i="108"/>
  <c r="AE181" i="108"/>
  <c r="AE182" i="108"/>
  <c r="AE183" i="108"/>
  <c r="AE184" i="108"/>
  <c r="AE185" i="108"/>
  <c r="AE186" i="108"/>
  <c r="AE187" i="108"/>
  <c r="AE188" i="108"/>
  <c r="AE189" i="108"/>
  <c r="AE190" i="108"/>
  <c r="AE191" i="108"/>
  <c r="AE192" i="108"/>
  <c r="AE193" i="108"/>
  <c r="AE194" i="108"/>
  <c r="AE195" i="108"/>
  <c r="AE196" i="108"/>
  <c r="AE197" i="108"/>
  <c r="AE198" i="108"/>
  <c r="AE199" i="108"/>
  <c r="AE200" i="108"/>
  <c r="AE201" i="108"/>
  <c r="AE202" i="108"/>
  <c r="AE203" i="108"/>
  <c r="AE204" i="108"/>
  <c r="AE205" i="108"/>
  <c r="AE206" i="108"/>
  <c r="AE207" i="108"/>
  <c r="AE208" i="108"/>
  <c r="AE209" i="108"/>
  <c r="AE210" i="108"/>
  <c r="AE211" i="108"/>
  <c r="AE212" i="108"/>
  <c r="AE213" i="108"/>
  <c r="AE214" i="108"/>
  <c r="AE215" i="108"/>
  <c r="AE216" i="108"/>
  <c r="AE217" i="108"/>
  <c r="AE218" i="108"/>
  <c r="AE219" i="108"/>
  <c r="AE220" i="108"/>
  <c r="AE221" i="108"/>
  <c r="AE222" i="108"/>
  <c r="AE223" i="108"/>
  <c r="AE224" i="108"/>
  <c r="AE225" i="108"/>
  <c r="AE226" i="108"/>
  <c r="AE227" i="108"/>
  <c r="AE228" i="108"/>
  <c r="AE229" i="108"/>
  <c r="AE230" i="108"/>
  <c r="AE231" i="108"/>
  <c r="AE232" i="108"/>
  <c r="AE233" i="108"/>
  <c r="AE234" i="108"/>
  <c r="AE235" i="108"/>
  <c r="AE236" i="108"/>
  <c r="AE237" i="108"/>
  <c r="AE238" i="108"/>
  <c r="AE239" i="108"/>
  <c r="AE240" i="108"/>
  <c r="AE241" i="108"/>
  <c r="AE242" i="108"/>
  <c r="AE243" i="108"/>
  <c r="AE244" i="108"/>
  <c r="AE245" i="108"/>
  <c r="AE246" i="108"/>
  <c r="AE247" i="108"/>
  <c r="AE248" i="108"/>
  <c r="AE249" i="108"/>
  <c r="AE250" i="108"/>
  <c r="AE251" i="108"/>
  <c r="AE252" i="108"/>
  <c r="AE253" i="108"/>
  <c r="AE254" i="108"/>
  <c r="AE255" i="108"/>
  <c r="AE256" i="108"/>
  <c r="AE257" i="108"/>
  <c r="AE258" i="108"/>
  <c r="AE259" i="108"/>
  <c r="AE10" i="108"/>
  <c r="AC10" i="108"/>
  <c r="BH258" i="108"/>
  <c r="BH259" i="108"/>
  <c r="BH12" i="108"/>
  <c r="BH13" i="108"/>
  <c r="BH14" i="108"/>
  <c r="BH15" i="108"/>
  <c r="BH16" i="108"/>
  <c r="BH17" i="108"/>
  <c r="BH18" i="108"/>
  <c r="BH19" i="108"/>
  <c r="BH20" i="108"/>
  <c r="BH21" i="108"/>
  <c r="BH22" i="108"/>
  <c r="BH23" i="108"/>
  <c r="BH24" i="108"/>
  <c r="BH25" i="108"/>
  <c r="BH26" i="108"/>
  <c r="BH27" i="108"/>
  <c r="BH28" i="108"/>
  <c r="BH29" i="108"/>
  <c r="BH30" i="108"/>
  <c r="BH31" i="108"/>
  <c r="BH32" i="108"/>
  <c r="BH33" i="108"/>
  <c r="BH34" i="108"/>
  <c r="BH35" i="108"/>
  <c r="BH36" i="108"/>
  <c r="BH37" i="108"/>
  <c r="BH38" i="108"/>
  <c r="BH39" i="108"/>
  <c r="BH40" i="108"/>
  <c r="BH41" i="108"/>
  <c r="BH42" i="108"/>
  <c r="BH43" i="108"/>
  <c r="BH44" i="108"/>
  <c r="BH45" i="108"/>
  <c r="BH47" i="108"/>
  <c r="BH48" i="108"/>
  <c r="BH49" i="108"/>
  <c r="BH50" i="108"/>
  <c r="BH51" i="108"/>
  <c r="BH52" i="108"/>
  <c r="BH53" i="108"/>
  <c r="BH54" i="108"/>
  <c r="BH55" i="108"/>
  <c r="BH56" i="108"/>
  <c r="BH57" i="108"/>
  <c r="BH58" i="108"/>
  <c r="BH59" i="108"/>
  <c r="BH60" i="108"/>
  <c r="BH61" i="108"/>
  <c r="BH62" i="108"/>
  <c r="BH63" i="108"/>
  <c r="BH64" i="108"/>
  <c r="BH65" i="108"/>
  <c r="BH66" i="108"/>
  <c r="BH67" i="108"/>
  <c r="BH68" i="108"/>
  <c r="BH69" i="108"/>
  <c r="BH70" i="108"/>
  <c r="BH71" i="108"/>
  <c r="BH72" i="108"/>
  <c r="BH73" i="108"/>
  <c r="BH74" i="108"/>
  <c r="BH75" i="108"/>
  <c r="BH76" i="108"/>
  <c r="BH77" i="108"/>
  <c r="BH78" i="108"/>
  <c r="BH79" i="108"/>
  <c r="BH80" i="108"/>
  <c r="BH81" i="108"/>
  <c r="BH82" i="108"/>
  <c r="BH83" i="108"/>
  <c r="BH84" i="108"/>
  <c r="BH85" i="108"/>
  <c r="BH86" i="108"/>
  <c r="BH87" i="108"/>
  <c r="BH88" i="108"/>
  <c r="BH89" i="108"/>
  <c r="BH90" i="108"/>
  <c r="BH91" i="108"/>
  <c r="BH92" i="108"/>
  <c r="BH93" i="108"/>
  <c r="BH94" i="108"/>
  <c r="BH95" i="108"/>
  <c r="BH96" i="108"/>
  <c r="BH97" i="108"/>
  <c r="BH98" i="108"/>
  <c r="BH99" i="108"/>
  <c r="BH100" i="108"/>
  <c r="BH101" i="108"/>
  <c r="BH102" i="108"/>
  <c r="BH103" i="108"/>
  <c r="BH104" i="108"/>
  <c r="BH105" i="108"/>
  <c r="BH106" i="108"/>
  <c r="BH107" i="108"/>
  <c r="BH108" i="108"/>
  <c r="BH109" i="108"/>
  <c r="BH110" i="108"/>
  <c r="BH111" i="108"/>
  <c r="BH112" i="108"/>
  <c r="BH113" i="108"/>
  <c r="BH114" i="108"/>
  <c r="BH115" i="108"/>
  <c r="BH116" i="108"/>
  <c r="BH117" i="108"/>
  <c r="BH118" i="108"/>
  <c r="BH119" i="108"/>
  <c r="BH120" i="108"/>
  <c r="BH121" i="108"/>
  <c r="BH122" i="108"/>
  <c r="BH123" i="108"/>
  <c r="BH124" i="108"/>
  <c r="BH125" i="108"/>
  <c r="BH126" i="108"/>
  <c r="BH127" i="108"/>
  <c r="BH128" i="108"/>
  <c r="BH129" i="108"/>
  <c r="BH130" i="108"/>
  <c r="BH131" i="108"/>
  <c r="BH132" i="108"/>
  <c r="BH133" i="108"/>
  <c r="BH134" i="108"/>
  <c r="BH135" i="108"/>
  <c r="BH136" i="108"/>
  <c r="BH137" i="108"/>
  <c r="BH138" i="108"/>
  <c r="BH139" i="108"/>
  <c r="BH140" i="108"/>
  <c r="BH141" i="108"/>
  <c r="BH142" i="108"/>
  <c r="BH143" i="108"/>
  <c r="BH144" i="108"/>
  <c r="BH145" i="108"/>
  <c r="BH146" i="108"/>
  <c r="BH147" i="108"/>
  <c r="BH148" i="108"/>
  <c r="BH149" i="108"/>
  <c r="BH150" i="108"/>
  <c r="BH151" i="108"/>
  <c r="BH152" i="108"/>
  <c r="BH153" i="108"/>
  <c r="BH154" i="108"/>
  <c r="BH155" i="108"/>
  <c r="BH156" i="108"/>
  <c r="BH157" i="108"/>
  <c r="BH158" i="108"/>
  <c r="BH159" i="108"/>
  <c r="BH160" i="108"/>
  <c r="BH161" i="108"/>
  <c r="BH162" i="108"/>
  <c r="BH163" i="108"/>
  <c r="BH164" i="108"/>
  <c r="BH165" i="108"/>
  <c r="BH166" i="108"/>
  <c r="BH167" i="108"/>
  <c r="BH168" i="108"/>
  <c r="BH169" i="108"/>
  <c r="BH170" i="108"/>
  <c r="BH171" i="108"/>
  <c r="BH172" i="108"/>
  <c r="BH173" i="108"/>
  <c r="BH174" i="108"/>
  <c r="BH175" i="108"/>
  <c r="BH176" i="108"/>
  <c r="BH177" i="108"/>
  <c r="BH178" i="108"/>
  <c r="BH179" i="108"/>
  <c r="BH180" i="108"/>
  <c r="BH181" i="108"/>
  <c r="BH182" i="108"/>
  <c r="BH183" i="108"/>
  <c r="BH184" i="108"/>
  <c r="BH185" i="108"/>
  <c r="BH186" i="108"/>
  <c r="BH187" i="108"/>
  <c r="BH188" i="108"/>
  <c r="BH189" i="108"/>
  <c r="BH190" i="108"/>
  <c r="BH191" i="108"/>
  <c r="BH192" i="108"/>
  <c r="BH193" i="108"/>
  <c r="BH194" i="108"/>
  <c r="BH195" i="108"/>
  <c r="BH196" i="108"/>
  <c r="BH197" i="108"/>
  <c r="BH198" i="108"/>
  <c r="BH199" i="108"/>
  <c r="BH200" i="108"/>
  <c r="BH201" i="108"/>
  <c r="BH202" i="108"/>
  <c r="BH203" i="108"/>
  <c r="BH204" i="108"/>
  <c r="BH205" i="108"/>
  <c r="BH206" i="108"/>
  <c r="BH207" i="108"/>
  <c r="BH208" i="108"/>
  <c r="BH209" i="108"/>
  <c r="BH210" i="108"/>
  <c r="BH211" i="108"/>
  <c r="BH212" i="108"/>
  <c r="BH213" i="108"/>
  <c r="BH214" i="108"/>
  <c r="BH215" i="108"/>
  <c r="BH216" i="108"/>
  <c r="BH217" i="108"/>
  <c r="BH218" i="108"/>
  <c r="BH219" i="108"/>
  <c r="BH220" i="108"/>
  <c r="BH221" i="108"/>
  <c r="BH222" i="108"/>
  <c r="BH223" i="108"/>
  <c r="BH224" i="108"/>
  <c r="BH225" i="108"/>
  <c r="BH226" i="108"/>
  <c r="BH227" i="108"/>
  <c r="BH228" i="108"/>
  <c r="BH229" i="108"/>
  <c r="BH230" i="108"/>
  <c r="BH231" i="108"/>
  <c r="BH232" i="108"/>
  <c r="BH233" i="108"/>
  <c r="BH234" i="108"/>
  <c r="BH235" i="108"/>
  <c r="BH236" i="108"/>
  <c r="BH237" i="108"/>
  <c r="BH238" i="108"/>
  <c r="BH239" i="108"/>
  <c r="BH240" i="108"/>
  <c r="BH241" i="108"/>
  <c r="BH242" i="108"/>
  <c r="BH243" i="108"/>
  <c r="BH244" i="108"/>
  <c r="BH245" i="108"/>
  <c r="BH246" i="108"/>
  <c r="BH247" i="108"/>
  <c r="BH248" i="108"/>
  <c r="BH249" i="108"/>
  <c r="BH250" i="108"/>
  <c r="BH251" i="108"/>
  <c r="BH252" i="108"/>
  <c r="BH253" i="108"/>
  <c r="BH254" i="108"/>
  <c r="BH255" i="108"/>
  <c r="BH256" i="108"/>
  <c r="BH257" i="108"/>
  <c r="I6" i="11" a="1"/>
  <c r="I6" i="11" s="1"/>
  <c r="BJ10" i="108" l="1"/>
  <c r="AG43" i="108" s="1" a="1"/>
  <c r="AG43" i="108" s="1"/>
  <c r="V10" i="67"/>
  <c r="BH10" i="108"/>
  <c r="S10" i="63"/>
  <c r="BH11" i="108"/>
  <c r="S11" i="63"/>
  <c r="B43" i="108" a="1"/>
  <c r="B43" i="108" s="1"/>
  <c r="B44" i="108" s="1" a="1"/>
  <c r="B44" i="108" s="1"/>
  <c r="BM44" i="108" s="1"/>
  <c r="AC11" i="108"/>
  <c r="AC12" i="108"/>
  <c r="AC13" i="108"/>
  <c r="AC14" i="108"/>
  <c r="AC15" i="108"/>
  <c r="AC16" i="108"/>
  <c r="AC17" i="108"/>
  <c r="AC18" i="108"/>
  <c r="AC19" i="108"/>
  <c r="AC20" i="108"/>
  <c r="AC21" i="108"/>
  <c r="AC22" i="108"/>
  <c r="AC23" i="108"/>
  <c r="AC24" i="108"/>
  <c r="AC25" i="108"/>
  <c r="AC26" i="108"/>
  <c r="AC27" i="108"/>
  <c r="AC28" i="108"/>
  <c r="AC29" i="108"/>
  <c r="AC30" i="108"/>
  <c r="AC31" i="108"/>
  <c r="AC32" i="108"/>
  <c r="AV12" i="59"/>
  <c r="P12" i="59" s="1"/>
  <c r="AV13" i="59"/>
  <c r="AV14" i="59"/>
  <c r="AV15" i="59"/>
  <c r="AV16" i="59"/>
  <c r="AV17" i="59"/>
  <c r="AV18" i="59"/>
  <c r="AV19" i="59"/>
  <c r="AV20" i="59"/>
  <c r="AV21" i="59"/>
  <c r="AV22" i="59"/>
  <c r="AV23" i="59"/>
  <c r="AV24" i="59"/>
  <c r="AV25" i="59"/>
  <c r="AV26" i="59"/>
  <c r="AV27" i="59"/>
  <c r="AV28" i="59"/>
  <c r="AV29" i="59"/>
  <c r="AV30" i="59"/>
  <c r="AV31" i="59"/>
  <c r="AV32" i="59"/>
  <c r="AV33" i="59"/>
  <c r="AV34" i="59"/>
  <c r="AV35" i="59"/>
  <c r="AV36" i="59"/>
  <c r="AV37" i="59"/>
  <c r="AV38" i="59"/>
  <c r="AV39" i="59"/>
  <c r="AV40" i="59"/>
  <c r="AV41" i="59"/>
  <c r="AV42" i="59"/>
  <c r="AV43" i="59"/>
  <c r="AV44" i="59"/>
  <c r="AV45" i="59"/>
  <c r="AV46" i="59"/>
  <c r="AV47" i="59"/>
  <c r="AV48" i="59"/>
  <c r="AV49" i="59"/>
  <c r="AV50" i="59"/>
  <c r="AV51" i="59"/>
  <c r="AV52" i="59"/>
  <c r="AV53" i="59"/>
  <c r="AV54" i="59"/>
  <c r="AV55" i="59"/>
  <c r="AV56" i="59"/>
  <c r="AV57" i="59"/>
  <c r="AV58" i="59"/>
  <c r="AV59" i="59"/>
  <c r="AV60" i="59"/>
  <c r="AV61" i="59"/>
  <c r="AV62" i="59"/>
  <c r="AV63" i="59"/>
  <c r="AV64" i="59"/>
  <c r="AV65" i="59"/>
  <c r="AV66" i="59"/>
  <c r="AV67" i="59"/>
  <c r="AV68" i="59"/>
  <c r="AV69" i="59"/>
  <c r="AV70" i="59"/>
  <c r="AV71" i="59"/>
  <c r="AV72" i="59"/>
  <c r="AV73" i="59"/>
  <c r="AV74" i="59"/>
  <c r="AV75" i="59"/>
  <c r="AV76" i="59"/>
  <c r="AV77" i="59"/>
  <c r="AV78" i="59"/>
  <c r="AV79" i="59"/>
  <c r="AV80" i="59"/>
  <c r="AV81" i="59"/>
  <c r="AV82" i="59"/>
  <c r="AV83" i="59"/>
  <c r="AV84" i="59"/>
  <c r="AV85" i="59"/>
  <c r="AV86" i="59"/>
  <c r="AV87" i="59"/>
  <c r="AV88" i="59"/>
  <c r="AV89" i="59"/>
  <c r="AV90" i="59"/>
  <c r="AV91" i="59"/>
  <c r="AV92" i="59"/>
  <c r="AV93" i="59"/>
  <c r="AV94" i="59"/>
  <c r="AV95" i="59"/>
  <c r="AV96" i="59"/>
  <c r="AV97" i="59"/>
  <c r="AV98" i="59"/>
  <c r="AV99" i="59"/>
  <c r="AV100" i="59"/>
  <c r="AV101" i="59"/>
  <c r="AV102" i="59"/>
  <c r="AV103" i="59"/>
  <c r="AV104" i="59"/>
  <c r="AV105" i="59"/>
  <c r="AV106" i="59"/>
  <c r="AV107" i="59"/>
  <c r="AV108" i="59"/>
  <c r="AV109" i="59"/>
  <c r="AV110" i="59"/>
  <c r="AV111" i="59"/>
  <c r="AV112" i="59"/>
  <c r="AV113" i="59"/>
  <c r="AV114" i="59"/>
  <c r="AV115" i="59"/>
  <c r="AV116" i="59"/>
  <c r="AV117" i="59"/>
  <c r="AV118" i="59"/>
  <c r="AV119" i="59"/>
  <c r="AV120" i="59"/>
  <c r="AV121" i="59"/>
  <c r="AV122" i="59"/>
  <c r="AV123" i="59"/>
  <c r="AV124" i="59"/>
  <c r="AV125" i="59"/>
  <c r="AV126" i="59"/>
  <c r="AV127" i="59"/>
  <c r="AV128" i="59"/>
  <c r="AV129" i="59"/>
  <c r="AV130" i="59"/>
  <c r="AV131" i="59"/>
  <c r="AV132" i="59"/>
  <c r="AV133" i="59"/>
  <c r="AV134" i="59"/>
  <c r="AV135" i="59"/>
  <c r="AV136" i="59"/>
  <c r="AV137" i="59"/>
  <c r="AV138" i="59"/>
  <c r="AV139" i="59"/>
  <c r="AV140" i="59"/>
  <c r="AV141" i="59"/>
  <c r="AV142" i="59"/>
  <c r="AV143" i="59"/>
  <c r="AV144" i="59"/>
  <c r="AV145" i="59"/>
  <c r="AV146" i="59"/>
  <c r="AV147" i="59"/>
  <c r="AV148" i="59"/>
  <c r="AV149" i="59"/>
  <c r="AV150" i="59"/>
  <c r="AV151" i="59"/>
  <c r="AV152" i="59"/>
  <c r="AV153" i="59"/>
  <c r="AV154" i="59"/>
  <c r="AV155" i="59"/>
  <c r="AV156" i="59"/>
  <c r="AV157" i="59"/>
  <c r="AV158" i="59"/>
  <c r="AV159" i="59"/>
  <c r="AV160" i="59"/>
  <c r="AV161" i="59"/>
  <c r="AV162" i="59"/>
  <c r="AV163" i="59"/>
  <c r="AV164" i="59"/>
  <c r="AV165" i="59"/>
  <c r="AV166" i="59"/>
  <c r="AV167" i="59"/>
  <c r="AV168" i="59"/>
  <c r="AV169" i="59"/>
  <c r="AV170" i="59"/>
  <c r="AV171" i="59"/>
  <c r="AV172" i="59"/>
  <c r="AV173" i="59"/>
  <c r="AV174" i="59"/>
  <c r="AV175" i="59"/>
  <c r="AV176" i="59"/>
  <c r="AV177" i="59"/>
  <c r="AV178" i="59"/>
  <c r="AV179" i="59"/>
  <c r="AV180" i="59"/>
  <c r="AV181" i="59"/>
  <c r="AV182" i="59"/>
  <c r="AV183" i="59"/>
  <c r="AV184" i="59"/>
  <c r="AV185" i="59"/>
  <c r="AV186" i="59"/>
  <c r="AV187" i="59"/>
  <c r="AV188" i="59"/>
  <c r="AV189" i="59"/>
  <c r="AV190" i="59"/>
  <c r="AV191" i="59"/>
  <c r="AV192" i="59"/>
  <c r="AV193" i="59"/>
  <c r="AV194" i="59"/>
  <c r="AV195" i="59"/>
  <c r="AV196" i="59"/>
  <c r="AV197" i="59"/>
  <c r="AV198" i="59"/>
  <c r="AV199" i="59"/>
  <c r="AV200" i="59"/>
  <c r="AV201" i="59"/>
  <c r="AV202" i="59"/>
  <c r="AV203" i="59"/>
  <c r="AV204" i="59"/>
  <c r="AV205" i="59"/>
  <c r="AV206" i="59"/>
  <c r="AV207" i="59"/>
  <c r="AV208" i="59"/>
  <c r="AV209" i="59"/>
  <c r="AV210" i="59"/>
  <c r="AV211" i="59"/>
  <c r="AV212" i="59"/>
  <c r="AV213" i="59"/>
  <c r="AV214" i="59"/>
  <c r="AV215" i="59"/>
  <c r="AV216" i="59"/>
  <c r="AV217" i="59"/>
  <c r="AV218" i="59"/>
  <c r="AV219" i="59"/>
  <c r="AV220" i="59"/>
  <c r="AV221" i="59"/>
  <c r="AV222" i="59"/>
  <c r="AV223" i="59"/>
  <c r="AV224" i="59"/>
  <c r="AV225" i="59"/>
  <c r="AV226" i="59"/>
  <c r="AV227" i="59"/>
  <c r="AV228" i="59"/>
  <c r="AV229" i="59"/>
  <c r="AV230" i="59"/>
  <c r="AV231" i="59"/>
  <c r="AV232" i="59"/>
  <c r="AV233" i="59"/>
  <c r="AV234" i="59"/>
  <c r="AV235" i="59"/>
  <c r="AV236" i="59"/>
  <c r="AV237" i="59"/>
  <c r="AV238" i="59"/>
  <c r="AV239" i="59"/>
  <c r="AV240" i="59"/>
  <c r="AV241" i="59"/>
  <c r="AV242" i="59"/>
  <c r="AV243" i="59"/>
  <c r="AV244" i="59"/>
  <c r="AV245" i="59"/>
  <c r="AV246" i="59"/>
  <c r="AV247" i="59"/>
  <c r="AV248" i="59"/>
  <c r="AV249" i="59"/>
  <c r="AV250" i="59"/>
  <c r="AV251" i="59"/>
  <c r="AV252" i="59"/>
  <c r="AV253" i="59"/>
  <c r="AV254" i="59"/>
  <c r="AV255" i="59"/>
  <c r="AV256" i="59"/>
  <c r="AV257" i="59"/>
  <c r="AV258" i="59"/>
  <c r="AV11" i="59"/>
  <c r="AV12" i="11"/>
  <c r="P12" i="11" s="1"/>
  <c r="AT12" i="11" s="1"/>
  <c r="AV13" i="11"/>
  <c r="P13" i="11" s="1"/>
  <c r="AT13" i="11" s="1"/>
  <c r="AV14" i="11"/>
  <c r="P14" i="11" s="1"/>
  <c r="AT14" i="11" s="1"/>
  <c r="AV15" i="11"/>
  <c r="P15" i="11" s="1"/>
  <c r="AT15" i="11" s="1"/>
  <c r="AV16" i="11"/>
  <c r="P16" i="11" s="1"/>
  <c r="AT16" i="11" s="1"/>
  <c r="AV17" i="11"/>
  <c r="P17" i="11" s="1"/>
  <c r="AT17" i="11" s="1"/>
  <c r="AV18" i="11"/>
  <c r="P18" i="11" s="1"/>
  <c r="AT18" i="11" s="1"/>
  <c r="AV19" i="11"/>
  <c r="P19" i="11" s="1"/>
  <c r="AT19" i="11" s="1"/>
  <c r="AV20" i="11"/>
  <c r="P20" i="11" s="1"/>
  <c r="AT20" i="11" s="1"/>
  <c r="AV21" i="11"/>
  <c r="P21" i="11" s="1"/>
  <c r="AT21" i="11" s="1"/>
  <c r="AV22" i="11"/>
  <c r="P22" i="11" s="1"/>
  <c r="AT22" i="11" s="1"/>
  <c r="AV23" i="11"/>
  <c r="P23" i="11" s="1"/>
  <c r="AT23" i="11" s="1"/>
  <c r="AV24" i="11"/>
  <c r="P24" i="11" s="1"/>
  <c r="AT24" i="11" s="1"/>
  <c r="AV25" i="11"/>
  <c r="P25" i="11" s="1"/>
  <c r="AT25" i="11" s="1"/>
  <c r="AV26" i="11"/>
  <c r="P26" i="11" s="1"/>
  <c r="AT26" i="11" s="1"/>
  <c r="AV27" i="11"/>
  <c r="P27" i="11" s="1"/>
  <c r="AT27" i="11" s="1"/>
  <c r="AV28" i="11"/>
  <c r="P28" i="11" s="1"/>
  <c r="AT28" i="11" s="1"/>
  <c r="AV29" i="11"/>
  <c r="P29" i="11" s="1"/>
  <c r="AT29" i="11" s="1"/>
  <c r="AV30" i="11"/>
  <c r="P30" i="11" s="1"/>
  <c r="AT30" i="11" s="1"/>
  <c r="AV31" i="11"/>
  <c r="P31" i="11" s="1"/>
  <c r="AT31" i="11" s="1"/>
  <c r="AV32" i="11"/>
  <c r="P32" i="11" s="1"/>
  <c r="AT32" i="11" s="1"/>
  <c r="AV33" i="11"/>
  <c r="P33" i="11" s="1"/>
  <c r="AT33" i="11" s="1"/>
  <c r="AV34" i="11"/>
  <c r="P34" i="11" s="1"/>
  <c r="AT34" i="11" s="1"/>
  <c r="AV35" i="11"/>
  <c r="P35" i="11" s="1"/>
  <c r="AT35" i="11" s="1"/>
  <c r="AV36" i="11"/>
  <c r="P36" i="11" s="1"/>
  <c r="AT36" i="11" s="1"/>
  <c r="AV37" i="11"/>
  <c r="P37" i="11" s="1"/>
  <c r="AT37" i="11" s="1"/>
  <c r="AV38" i="11"/>
  <c r="P38" i="11" s="1"/>
  <c r="AT38" i="11" s="1"/>
  <c r="AV39" i="11"/>
  <c r="P39" i="11" s="1"/>
  <c r="AT39" i="11" s="1"/>
  <c r="AV40" i="11"/>
  <c r="P40" i="11" s="1"/>
  <c r="AT40" i="11" s="1"/>
  <c r="AV41" i="11"/>
  <c r="P41" i="11" s="1"/>
  <c r="AT41" i="11" s="1"/>
  <c r="AV42" i="11"/>
  <c r="P42" i="11" s="1"/>
  <c r="AT42" i="11" s="1"/>
  <c r="AV43" i="11"/>
  <c r="P43" i="11" s="1"/>
  <c r="AT43" i="11" s="1"/>
  <c r="AV44" i="11"/>
  <c r="P44" i="11" s="1"/>
  <c r="AT44" i="11" s="1"/>
  <c r="AV45" i="11"/>
  <c r="P45" i="11" s="1"/>
  <c r="AT45" i="11" s="1"/>
  <c r="AV46" i="11"/>
  <c r="P46" i="11" s="1"/>
  <c r="AT46" i="11" s="1"/>
  <c r="AV47" i="11"/>
  <c r="P47" i="11" s="1"/>
  <c r="AT47" i="11" s="1"/>
  <c r="AV48" i="11"/>
  <c r="P48" i="11" s="1"/>
  <c r="AT48" i="11" s="1"/>
  <c r="AV49" i="11"/>
  <c r="P49" i="11" s="1"/>
  <c r="AT49" i="11" s="1"/>
  <c r="AV50" i="11"/>
  <c r="P50" i="11" s="1"/>
  <c r="AT50" i="11" s="1"/>
  <c r="AV51" i="11"/>
  <c r="P51" i="11" s="1"/>
  <c r="AT51" i="11" s="1"/>
  <c r="AV52" i="11"/>
  <c r="P52" i="11" s="1"/>
  <c r="AT52" i="11" s="1"/>
  <c r="AV53" i="11"/>
  <c r="P53" i="11" s="1"/>
  <c r="AT53" i="11" s="1"/>
  <c r="AV54" i="11"/>
  <c r="P54" i="11" s="1"/>
  <c r="AT54" i="11" s="1"/>
  <c r="AV55" i="11"/>
  <c r="P55" i="11" s="1"/>
  <c r="AT55" i="11" s="1"/>
  <c r="AV56" i="11"/>
  <c r="P56" i="11" s="1"/>
  <c r="AT56" i="11" s="1"/>
  <c r="AV57" i="11"/>
  <c r="P57" i="11" s="1"/>
  <c r="AT57" i="11" s="1"/>
  <c r="AV58" i="11"/>
  <c r="P58" i="11" s="1"/>
  <c r="AT58" i="11" s="1"/>
  <c r="AV59" i="11"/>
  <c r="P59" i="11" s="1"/>
  <c r="AT59" i="11" s="1"/>
  <c r="AV60" i="11"/>
  <c r="P60" i="11" s="1"/>
  <c r="AT60" i="11" s="1"/>
  <c r="AV61" i="11"/>
  <c r="P61" i="11" s="1"/>
  <c r="AT61" i="11" s="1"/>
  <c r="AV62" i="11"/>
  <c r="P62" i="11" s="1"/>
  <c r="AT62" i="11" s="1"/>
  <c r="AV63" i="11"/>
  <c r="P63" i="11" s="1"/>
  <c r="AT63" i="11" s="1"/>
  <c r="AV64" i="11"/>
  <c r="P64" i="11" s="1"/>
  <c r="AT64" i="11" s="1"/>
  <c r="AV65" i="11"/>
  <c r="P65" i="11" s="1"/>
  <c r="AT65" i="11" s="1"/>
  <c r="AV66" i="11"/>
  <c r="P66" i="11" s="1"/>
  <c r="AT66" i="11" s="1"/>
  <c r="AV67" i="11"/>
  <c r="P67" i="11" s="1"/>
  <c r="AT67" i="11" s="1"/>
  <c r="AV68" i="11"/>
  <c r="P68" i="11" s="1"/>
  <c r="AT68" i="11" s="1"/>
  <c r="AV69" i="11"/>
  <c r="P69" i="11" s="1"/>
  <c r="AT69" i="11" s="1"/>
  <c r="AV70" i="11"/>
  <c r="P70" i="11" s="1"/>
  <c r="AT70" i="11" s="1"/>
  <c r="AV71" i="11"/>
  <c r="P71" i="11" s="1"/>
  <c r="AT71" i="11" s="1"/>
  <c r="AV72" i="11"/>
  <c r="P72" i="11" s="1"/>
  <c r="AT72" i="11" s="1"/>
  <c r="AV73" i="11"/>
  <c r="P73" i="11" s="1"/>
  <c r="AT73" i="11" s="1"/>
  <c r="AV74" i="11"/>
  <c r="P74" i="11" s="1"/>
  <c r="AT74" i="11" s="1"/>
  <c r="AV75" i="11"/>
  <c r="P75" i="11" s="1"/>
  <c r="AT75" i="11" s="1"/>
  <c r="AV76" i="11"/>
  <c r="P76" i="11" s="1"/>
  <c r="AT76" i="11" s="1"/>
  <c r="AV77" i="11"/>
  <c r="P77" i="11" s="1"/>
  <c r="AT77" i="11" s="1"/>
  <c r="AV78" i="11"/>
  <c r="P78" i="11" s="1"/>
  <c r="AT78" i="11" s="1"/>
  <c r="AV79" i="11"/>
  <c r="P79" i="11" s="1"/>
  <c r="AT79" i="11" s="1"/>
  <c r="AV80" i="11"/>
  <c r="P80" i="11" s="1"/>
  <c r="AT80" i="11" s="1"/>
  <c r="AV81" i="11"/>
  <c r="P81" i="11" s="1"/>
  <c r="AT81" i="11" s="1"/>
  <c r="AV82" i="11"/>
  <c r="P82" i="11" s="1"/>
  <c r="AT82" i="11" s="1"/>
  <c r="AV83" i="11"/>
  <c r="P83" i="11" s="1"/>
  <c r="AT83" i="11" s="1"/>
  <c r="AV84" i="11"/>
  <c r="P84" i="11" s="1"/>
  <c r="AT84" i="11" s="1"/>
  <c r="AV85" i="11"/>
  <c r="P85" i="11" s="1"/>
  <c r="AT85" i="11" s="1"/>
  <c r="AV86" i="11"/>
  <c r="P86" i="11" s="1"/>
  <c r="AT86" i="11" s="1"/>
  <c r="AV87" i="11"/>
  <c r="P87" i="11" s="1"/>
  <c r="AT87" i="11" s="1"/>
  <c r="AV88" i="11"/>
  <c r="P88" i="11" s="1"/>
  <c r="AT88" i="11" s="1"/>
  <c r="AV89" i="11"/>
  <c r="P89" i="11" s="1"/>
  <c r="AT89" i="11" s="1"/>
  <c r="AV90" i="11"/>
  <c r="P90" i="11" s="1"/>
  <c r="AT90" i="11" s="1"/>
  <c r="AV91" i="11"/>
  <c r="P91" i="11" s="1"/>
  <c r="AT91" i="11" s="1"/>
  <c r="AV92" i="11"/>
  <c r="P92" i="11" s="1"/>
  <c r="AT92" i="11" s="1"/>
  <c r="AV93" i="11"/>
  <c r="P93" i="11" s="1"/>
  <c r="AT93" i="11" s="1"/>
  <c r="AV94" i="11"/>
  <c r="P94" i="11" s="1"/>
  <c r="AT94" i="11" s="1"/>
  <c r="AV95" i="11"/>
  <c r="P95" i="11" s="1"/>
  <c r="AT95" i="11" s="1"/>
  <c r="AV96" i="11"/>
  <c r="P96" i="11" s="1"/>
  <c r="AT96" i="11" s="1"/>
  <c r="AV97" i="11"/>
  <c r="P97" i="11" s="1"/>
  <c r="AT97" i="11" s="1"/>
  <c r="AV98" i="11"/>
  <c r="P98" i="11" s="1"/>
  <c r="AT98" i="11" s="1"/>
  <c r="AV99" i="11"/>
  <c r="P99" i="11" s="1"/>
  <c r="AT99" i="11" s="1"/>
  <c r="AV100" i="11"/>
  <c r="P100" i="11" s="1"/>
  <c r="AT100" i="11" s="1"/>
  <c r="AV101" i="11"/>
  <c r="P101" i="11" s="1"/>
  <c r="AT101" i="11" s="1"/>
  <c r="AV102" i="11"/>
  <c r="P102" i="11" s="1"/>
  <c r="AT102" i="11" s="1"/>
  <c r="AV103" i="11"/>
  <c r="P103" i="11" s="1"/>
  <c r="AT103" i="11" s="1"/>
  <c r="AV104" i="11"/>
  <c r="P104" i="11" s="1"/>
  <c r="AT104" i="11" s="1"/>
  <c r="AV105" i="11"/>
  <c r="P105" i="11" s="1"/>
  <c r="AT105" i="11" s="1"/>
  <c r="AV106" i="11"/>
  <c r="P106" i="11" s="1"/>
  <c r="AT106" i="11" s="1"/>
  <c r="AV107" i="11"/>
  <c r="P107" i="11" s="1"/>
  <c r="AT107" i="11" s="1"/>
  <c r="AV108" i="11"/>
  <c r="P108" i="11" s="1"/>
  <c r="AT108" i="11" s="1"/>
  <c r="AV109" i="11"/>
  <c r="P109" i="11" s="1"/>
  <c r="AT109" i="11" s="1"/>
  <c r="AV110" i="11"/>
  <c r="P110" i="11" s="1"/>
  <c r="AT110" i="11" s="1"/>
  <c r="AV111" i="11"/>
  <c r="P111" i="11" s="1"/>
  <c r="AT111" i="11" s="1"/>
  <c r="AV112" i="11"/>
  <c r="P112" i="11" s="1"/>
  <c r="AT112" i="11" s="1"/>
  <c r="AV113" i="11"/>
  <c r="P113" i="11" s="1"/>
  <c r="AT113" i="11" s="1"/>
  <c r="AV114" i="11"/>
  <c r="P114" i="11" s="1"/>
  <c r="AT114" i="11" s="1"/>
  <c r="AV115" i="11"/>
  <c r="P115" i="11" s="1"/>
  <c r="AT115" i="11" s="1"/>
  <c r="AV116" i="11"/>
  <c r="P116" i="11" s="1"/>
  <c r="AT116" i="11" s="1"/>
  <c r="AV117" i="11"/>
  <c r="P117" i="11" s="1"/>
  <c r="AT117" i="11" s="1"/>
  <c r="AV118" i="11"/>
  <c r="P118" i="11" s="1"/>
  <c r="AT118" i="11" s="1"/>
  <c r="AV119" i="11"/>
  <c r="P119" i="11" s="1"/>
  <c r="AT119" i="11" s="1"/>
  <c r="AV120" i="11"/>
  <c r="P120" i="11" s="1"/>
  <c r="AT120" i="11" s="1"/>
  <c r="AV121" i="11"/>
  <c r="P121" i="11" s="1"/>
  <c r="AT121" i="11" s="1"/>
  <c r="AV122" i="11"/>
  <c r="P122" i="11" s="1"/>
  <c r="AT122" i="11" s="1"/>
  <c r="AV123" i="11"/>
  <c r="P123" i="11" s="1"/>
  <c r="AT123" i="11" s="1"/>
  <c r="AV124" i="11"/>
  <c r="P124" i="11" s="1"/>
  <c r="AT124" i="11" s="1"/>
  <c r="AV125" i="11"/>
  <c r="P125" i="11" s="1"/>
  <c r="AT125" i="11" s="1"/>
  <c r="AV126" i="11"/>
  <c r="P126" i="11" s="1"/>
  <c r="AT126" i="11" s="1"/>
  <c r="AV127" i="11"/>
  <c r="P127" i="11" s="1"/>
  <c r="AT127" i="11" s="1"/>
  <c r="AV128" i="11"/>
  <c r="P128" i="11" s="1"/>
  <c r="AT128" i="11" s="1"/>
  <c r="AV129" i="11"/>
  <c r="P129" i="11" s="1"/>
  <c r="AT129" i="11" s="1"/>
  <c r="AV130" i="11"/>
  <c r="P130" i="11" s="1"/>
  <c r="AT130" i="11" s="1"/>
  <c r="AV131" i="11"/>
  <c r="P131" i="11" s="1"/>
  <c r="AT131" i="11" s="1"/>
  <c r="AV132" i="11"/>
  <c r="P132" i="11" s="1"/>
  <c r="AT132" i="11" s="1"/>
  <c r="AV133" i="11"/>
  <c r="P133" i="11" s="1"/>
  <c r="AT133" i="11" s="1"/>
  <c r="AV134" i="11"/>
  <c r="P134" i="11" s="1"/>
  <c r="AT134" i="11" s="1"/>
  <c r="AV135" i="11"/>
  <c r="P135" i="11" s="1"/>
  <c r="AT135" i="11" s="1"/>
  <c r="AV136" i="11"/>
  <c r="P136" i="11" s="1"/>
  <c r="AT136" i="11" s="1"/>
  <c r="AV137" i="11"/>
  <c r="P137" i="11" s="1"/>
  <c r="AT137" i="11" s="1"/>
  <c r="AV138" i="11"/>
  <c r="P138" i="11" s="1"/>
  <c r="AT138" i="11" s="1"/>
  <c r="AV139" i="11"/>
  <c r="P139" i="11" s="1"/>
  <c r="AT139" i="11" s="1"/>
  <c r="AV140" i="11"/>
  <c r="P140" i="11" s="1"/>
  <c r="AT140" i="11" s="1"/>
  <c r="AV141" i="11"/>
  <c r="P141" i="11" s="1"/>
  <c r="AT141" i="11" s="1"/>
  <c r="AV142" i="11"/>
  <c r="P142" i="11" s="1"/>
  <c r="AT142" i="11" s="1"/>
  <c r="AV143" i="11"/>
  <c r="P143" i="11" s="1"/>
  <c r="AT143" i="11" s="1"/>
  <c r="AV144" i="11"/>
  <c r="P144" i="11" s="1"/>
  <c r="AT144" i="11" s="1"/>
  <c r="AV145" i="11"/>
  <c r="P145" i="11" s="1"/>
  <c r="AT145" i="11" s="1"/>
  <c r="AV146" i="11"/>
  <c r="P146" i="11" s="1"/>
  <c r="AT146" i="11" s="1"/>
  <c r="AV147" i="11"/>
  <c r="P147" i="11" s="1"/>
  <c r="AT147" i="11" s="1"/>
  <c r="AV148" i="11"/>
  <c r="P148" i="11" s="1"/>
  <c r="AT148" i="11" s="1"/>
  <c r="AV149" i="11"/>
  <c r="P149" i="11" s="1"/>
  <c r="AT149" i="11" s="1"/>
  <c r="AV150" i="11"/>
  <c r="P150" i="11" s="1"/>
  <c r="AT150" i="11" s="1"/>
  <c r="AV151" i="11"/>
  <c r="P151" i="11" s="1"/>
  <c r="AT151" i="11" s="1"/>
  <c r="AV152" i="11"/>
  <c r="P152" i="11" s="1"/>
  <c r="AT152" i="11" s="1"/>
  <c r="AV153" i="11"/>
  <c r="P153" i="11" s="1"/>
  <c r="AT153" i="11" s="1"/>
  <c r="AV154" i="11"/>
  <c r="P154" i="11" s="1"/>
  <c r="AT154" i="11" s="1"/>
  <c r="AV155" i="11"/>
  <c r="P155" i="11" s="1"/>
  <c r="AT155" i="11" s="1"/>
  <c r="AV156" i="11"/>
  <c r="P156" i="11" s="1"/>
  <c r="AT156" i="11" s="1"/>
  <c r="AV157" i="11"/>
  <c r="P157" i="11" s="1"/>
  <c r="AT157" i="11" s="1"/>
  <c r="AV158" i="11"/>
  <c r="P158" i="11" s="1"/>
  <c r="AT158" i="11" s="1"/>
  <c r="AV159" i="11"/>
  <c r="P159" i="11" s="1"/>
  <c r="AT159" i="11" s="1"/>
  <c r="AV160" i="11"/>
  <c r="P160" i="11" s="1"/>
  <c r="AT160" i="11" s="1"/>
  <c r="AV161" i="11"/>
  <c r="P161" i="11" s="1"/>
  <c r="AT161" i="11" s="1"/>
  <c r="AV162" i="11"/>
  <c r="P162" i="11" s="1"/>
  <c r="AT162" i="11" s="1"/>
  <c r="AV163" i="11"/>
  <c r="P163" i="11" s="1"/>
  <c r="AT163" i="11" s="1"/>
  <c r="AV164" i="11"/>
  <c r="P164" i="11" s="1"/>
  <c r="AT164" i="11" s="1"/>
  <c r="AV165" i="11"/>
  <c r="P165" i="11" s="1"/>
  <c r="AT165" i="11" s="1"/>
  <c r="AV166" i="11"/>
  <c r="P166" i="11" s="1"/>
  <c r="AT166" i="11" s="1"/>
  <c r="AV167" i="11"/>
  <c r="P167" i="11" s="1"/>
  <c r="AT167" i="11" s="1"/>
  <c r="AV168" i="11"/>
  <c r="P168" i="11" s="1"/>
  <c r="AT168" i="11" s="1"/>
  <c r="AV169" i="11"/>
  <c r="P169" i="11" s="1"/>
  <c r="AT169" i="11" s="1"/>
  <c r="AV170" i="11"/>
  <c r="P170" i="11" s="1"/>
  <c r="AT170" i="11" s="1"/>
  <c r="AV171" i="11"/>
  <c r="P171" i="11" s="1"/>
  <c r="AT171" i="11" s="1"/>
  <c r="AV172" i="11"/>
  <c r="P172" i="11" s="1"/>
  <c r="AT172" i="11" s="1"/>
  <c r="AV173" i="11"/>
  <c r="P173" i="11" s="1"/>
  <c r="AT173" i="11" s="1"/>
  <c r="AV174" i="11"/>
  <c r="P174" i="11" s="1"/>
  <c r="AT174" i="11" s="1"/>
  <c r="AV175" i="11"/>
  <c r="P175" i="11" s="1"/>
  <c r="AT175" i="11" s="1"/>
  <c r="AV176" i="11"/>
  <c r="P176" i="11" s="1"/>
  <c r="AT176" i="11" s="1"/>
  <c r="AV177" i="11"/>
  <c r="P177" i="11" s="1"/>
  <c r="AT177" i="11" s="1"/>
  <c r="AV178" i="11"/>
  <c r="P178" i="11" s="1"/>
  <c r="AT178" i="11" s="1"/>
  <c r="AV179" i="11"/>
  <c r="P179" i="11" s="1"/>
  <c r="AT179" i="11" s="1"/>
  <c r="AV180" i="11"/>
  <c r="P180" i="11" s="1"/>
  <c r="AT180" i="11" s="1"/>
  <c r="AV181" i="11"/>
  <c r="P181" i="11" s="1"/>
  <c r="AT181" i="11" s="1"/>
  <c r="AV182" i="11"/>
  <c r="P182" i="11" s="1"/>
  <c r="AT182" i="11" s="1"/>
  <c r="AV183" i="11"/>
  <c r="P183" i="11" s="1"/>
  <c r="AT183" i="11" s="1"/>
  <c r="AV184" i="11"/>
  <c r="P184" i="11" s="1"/>
  <c r="AT184" i="11" s="1"/>
  <c r="AV185" i="11"/>
  <c r="P185" i="11" s="1"/>
  <c r="AT185" i="11" s="1"/>
  <c r="AV186" i="11"/>
  <c r="P186" i="11" s="1"/>
  <c r="AT186" i="11" s="1"/>
  <c r="AV187" i="11"/>
  <c r="P187" i="11" s="1"/>
  <c r="AT187" i="11" s="1"/>
  <c r="AV188" i="11"/>
  <c r="P188" i="11" s="1"/>
  <c r="AT188" i="11" s="1"/>
  <c r="AV189" i="11"/>
  <c r="P189" i="11" s="1"/>
  <c r="AT189" i="11" s="1"/>
  <c r="AV190" i="11"/>
  <c r="P190" i="11" s="1"/>
  <c r="AT190" i="11" s="1"/>
  <c r="AV191" i="11"/>
  <c r="P191" i="11" s="1"/>
  <c r="AT191" i="11" s="1"/>
  <c r="AV192" i="11"/>
  <c r="P192" i="11" s="1"/>
  <c r="AT192" i="11" s="1"/>
  <c r="AV193" i="11"/>
  <c r="P193" i="11" s="1"/>
  <c r="AT193" i="11" s="1"/>
  <c r="AV194" i="11"/>
  <c r="P194" i="11" s="1"/>
  <c r="AT194" i="11" s="1"/>
  <c r="AV195" i="11"/>
  <c r="P195" i="11" s="1"/>
  <c r="AT195" i="11" s="1"/>
  <c r="AV196" i="11"/>
  <c r="P196" i="11" s="1"/>
  <c r="AT196" i="11" s="1"/>
  <c r="AV197" i="11"/>
  <c r="P197" i="11" s="1"/>
  <c r="AT197" i="11" s="1"/>
  <c r="AV198" i="11"/>
  <c r="P198" i="11" s="1"/>
  <c r="AT198" i="11" s="1"/>
  <c r="AV199" i="11"/>
  <c r="P199" i="11" s="1"/>
  <c r="AT199" i="11" s="1"/>
  <c r="AV200" i="11"/>
  <c r="P200" i="11" s="1"/>
  <c r="AT200" i="11" s="1"/>
  <c r="AV201" i="11"/>
  <c r="P201" i="11" s="1"/>
  <c r="AT201" i="11" s="1"/>
  <c r="AV202" i="11"/>
  <c r="P202" i="11" s="1"/>
  <c r="AT202" i="11" s="1"/>
  <c r="AV203" i="11"/>
  <c r="P203" i="11" s="1"/>
  <c r="AT203" i="11" s="1"/>
  <c r="AV204" i="11"/>
  <c r="P204" i="11" s="1"/>
  <c r="AT204" i="11" s="1"/>
  <c r="AV205" i="11"/>
  <c r="P205" i="11" s="1"/>
  <c r="AT205" i="11" s="1"/>
  <c r="AV206" i="11"/>
  <c r="P206" i="11" s="1"/>
  <c r="AT206" i="11" s="1"/>
  <c r="AV207" i="11"/>
  <c r="P207" i="11" s="1"/>
  <c r="AT207" i="11" s="1"/>
  <c r="AV208" i="11"/>
  <c r="P208" i="11" s="1"/>
  <c r="AT208" i="11" s="1"/>
  <c r="AV209" i="11"/>
  <c r="P209" i="11" s="1"/>
  <c r="AT209" i="11" s="1"/>
  <c r="AV210" i="11"/>
  <c r="P210" i="11" s="1"/>
  <c r="AT210" i="11" s="1"/>
  <c r="AV211" i="11"/>
  <c r="P211" i="11" s="1"/>
  <c r="AT211" i="11" s="1"/>
  <c r="AV212" i="11"/>
  <c r="P212" i="11" s="1"/>
  <c r="AT212" i="11" s="1"/>
  <c r="AV213" i="11"/>
  <c r="P213" i="11" s="1"/>
  <c r="AT213" i="11" s="1"/>
  <c r="AV214" i="11"/>
  <c r="P214" i="11" s="1"/>
  <c r="AT214" i="11" s="1"/>
  <c r="AV215" i="11"/>
  <c r="P215" i="11" s="1"/>
  <c r="AT215" i="11" s="1"/>
  <c r="AV216" i="11"/>
  <c r="P216" i="11" s="1"/>
  <c r="AT216" i="11" s="1"/>
  <c r="AV217" i="11"/>
  <c r="P217" i="11" s="1"/>
  <c r="AT217" i="11" s="1"/>
  <c r="AV218" i="11"/>
  <c r="P218" i="11" s="1"/>
  <c r="AT218" i="11" s="1"/>
  <c r="AV219" i="11"/>
  <c r="P219" i="11" s="1"/>
  <c r="AT219" i="11" s="1"/>
  <c r="AV220" i="11"/>
  <c r="P220" i="11" s="1"/>
  <c r="AT220" i="11" s="1"/>
  <c r="AV221" i="11"/>
  <c r="P221" i="11" s="1"/>
  <c r="AT221" i="11" s="1"/>
  <c r="AV222" i="11"/>
  <c r="P222" i="11" s="1"/>
  <c r="AT222" i="11" s="1"/>
  <c r="AV223" i="11"/>
  <c r="P223" i="11" s="1"/>
  <c r="AT223" i="11" s="1"/>
  <c r="AV224" i="11"/>
  <c r="P224" i="11" s="1"/>
  <c r="AT224" i="11" s="1"/>
  <c r="AV225" i="11"/>
  <c r="P225" i="11" s="1"/>
  <c r="AT225" i="11" s="1"/>
  <c r="AV226" i="11"/>
  <c r="P226" i="11" s="1"/>
  <c r="AT226" i="11" s="1"/>
  <c r="AV227" i="11"/>
  <c r="P227" i="11" s="1"/>
  <c r="AT227" i="11" s="1"/>
  <c r="AV228" i="11"/>
  <c r="P228" i="11" s="1"/>
  <c r="AT228" i="11" s="1"/>
  <c r="AV229" i="11"/>
  <c r="P229" i="11" s="1"/>
  <c r="AT229" i="11" s="1"/>
  <c r="AV230" i="11"/>
  <c r="P230" i="11" s="1"/>
  <c r="AT230" i="11" s="1"/>
  <c r="AV231" i="11"/>
  <c r="P231" i="11" s="1"/>
  <c r="AT231" i="11" s="1"/>
  <c r="AV232" i="11"/>
  <c r="P232" i="11" s="1"/>
  <c r="AT232" i="11" s="1"/>
  <c r="AV233" i="11"/>
  <c r="P233" i="11" s="1"/>
  <c r="AT233" i="11" s="1"/>
  <c r="AV234" i="11"/>
  <c r="P234" i="11" s="1"/>
  <c r="AT234" i="11" s="1"/>
  <c r="AV235" i="11"/>
  <c r="P235" i="11" s="1"/>
  <c r="AT235" i="11" s="1"/>
  <c r="AV236" i="11"/>
  <c r="P236" i="11" s="1"/>
  <c r="AT236" i="11" s="1"/>
  <c r="AV237" i="11"/>
  <c r="P237" i="11" s="1"/>
  <c r="AT237" i="11" s="1"/>
  <c r="AV238" i="11"/>
  <c r="P238" i="11" s="1"/>
  <c r="AT238" i="11" s="1"/>
  <c r="AV239" i="11"/>
  <c r="P239" i="11" s="1"/>
  <c r="AT239" i="11" s="1"/>
  <c r="AV240" i="11"/>
  <c r="P240" i="11" s="1"/>
  <c r="AT240" i="11" s="1"/>
  <c r="AV241" i="11"/>
  <c r="P241" i="11" s="1"/>
  <c r="AT241" i="11" s="1"/>
  <c r="AV242" i="11"/>
  <c r="P242" i="11" s="1"/>
  <c r="AT242" i="11" s="1"/>
  <c r="AV243" i="11"/>
  <c r="P243" i="11" s="1"/>
  <c r="AT243" i="11" s="1"/>
  <c r="AV244" i="11"/>
  <c r="P244" i="11" s="1"/>
  <c r="AT244" i="11" s="1"/>
  <c r="AV245" i="11"/>
  <c r="P245" i="11" s="1"/>
  <c r="AT245" i="11" s="1"/>
  <c r="AV246" i="11"/>
  <c r="P246" i="11" s="1"/>
  <c r="AT246" i="11" s="1"/>
  <c r="AV247" i="11"/>
  <c r="P247" i="11" s="1"/>
  <c r="AT247" i="11" s="1"/>
  <c r="AV248" i="11"/>
  <c r="P248" i="11" s="1"/>
  <c r="AT248" i="11" s="1"/>
  <c r="AV249" i="11"/>
  <c r="P249" i="11" s="1"/>
  <c r="AT249" i="11" s="1"/>
  <c r="AV250" i="11"/>
  <c r="P250" i="11" s="1"/>
  <c r="AT250" i="11" s="1"/>
  <c r="AV251" i="11"/>
  <c r="P251" i="11" s="1"/>
  <c r="AT251" i="11" s="1"/>
  <c r="AV252" i="11"/>
  <c r="P252" i="11" s="1"/>
  <c r="AT252" i="11" s="1"/>
  <c r="AV253" i="11"/>
  <c r="P253" i="11" s="1"/>
  <c r="AT253" i="11" s="1"/>
  <c r="AV254" i="11"/>
  <c r="P254" i="11" s="1"/>
  <c r="AT254" i="11" s="1"/>
  <c r="AV255" i="11"/>
  <c r="P255" i="11" s="1"/>
  <c r="AT255" i="11" s="1"/>
  <c r="AV256" i="11"/>
  <c r="P256" i="11" s="1"/>
  <c r="AT256" i="11" s="1"/>
  <c r="AV257" i="11"/>
  <c r="P257" i="11" s="1"/>
  <c r="AT257" i="11" s="1"/>
  <c r="AV258" i="11"/>
  <c r="P258" i="11" s="1"/>
  <c r="AT258" i="11" s="1"/>
  <c r="AV11" i="11"/>
  <c r="AF68" i="11"/>
  <c r="AF106" i="11" l="1"/>
  <c r="AS12" i="59"/>
  <c r="AG12" i="59"/>
  <c r="AF66" i="11"/>
  <c r="AF34" i="11"/>
  <c r="AF82" i="11"/>
  <c r="AF50" i="11"/>
  <c r="AF18" i="11"/>
  <c r="AF90" i="11"/>
  <c r="AF58" i="11"/>
  <c r="AF26" i="11"/>
  <c r="AF146" i="11"/>
  <c r="AF42" i="11"/>
  <c r="H260" i="11"/>
  <c r="F24" i="96" s="1"/>
  <c r="W261" i="11"/>
  <c r="H261" i="59"/>
  <c r="F25" i="96" s="1"/>
  <c r="Z261" i="59"/>
  <c r="AF20" i="11"/>
  <c r="S38" i="22"/>
  <c r="S55" i="22"/>
  <c r="S135" i="22"/>
  <c r="S80" i="22"/>
  <c r="S134" i="22"/>
  <c r="E135" i="22"/>
  <c r="E38" i="22"/>
  <c r="E55" i="22"/>
  <c r="E80" i="22"/>
  <c r="E134" i="22"/>
  <c r="V80" i="22"/>
  <c r="V135" i="22"/>
  <c r="V38" i="22"/>
  <c r="V55" i="22"/>
  <c r="H38" i="22"/>
  <c r="H55" i="22"/>
  <c r="H135" i="22"/>
  <c r="P11" i="11"/>
  <c r="AH12" i="59"/>
  <c r="AC13" i="11"/>
  <c r="AD13" i="11"/>
  <c r="AC12" i="11"/>
  <c r="AD12" i="11"/>
  <c r="AD15" i="11"/>
  <c r="AC15" i="11"/>
  <c r="AD14" i="11"/>
  <c r="AC14" i="11"/>
  <c r="AC256" i="11"/>
  <c r="AD256" i="11"/>
  <c r="AC253" i="11"/>
  <c r="AD253" i="11"/>
  <c r="AD245" i="11"/>
  <c r="AC245" i="11"/>
  <c r="AD237" i="11"/>
  <c r="AC237" i="11"/>
  <c r="AD229" i="11"/>
  <c r="AC229" i="11"/>
  <c r="AC221" i="11"/>
  <c r="AD221" i="11"/>
  <c r="AD213" i="11"/>
  <c r="AC213" i="11"/>
  <c r="AD205" i="11"/>
  <c r="AC205" i="11"/>
  <c r="AD197" i="11"/>
  <c r="AC197" i="11"/>
  <c r="AC189" i="11"/>
  <c r="AD189" i="11"/>
  <c r="AD181" i="11"/>
  <c r="AC181" i="11"/>
  <c r="AD173" i="11"/>
  <c r="AC173" i="11"/>
  <c r="AC165" i="11"/>
  <c r="AD165" i="11"/>
  <c r="AD157" i="11"/>
  <c r="AC157" i="11"/>
  <c r="AD149" i="11"/>
  <c r="AC149" i="11"/>
  <c r="AD141" i="11"/>
  <c r="AC141" i="11"/>
  <c r="AD133" i="11"/>
  <c r="AC133" i="11"/>
  <c r="AD125" i="11"/>
  <c r="AC125" i="11"/>
  <c r="AD117" i="11"/>
  <c r="AC117" i="11"/>
  <c r="AD109" i="11"/>
  <c r="AC109" i="11"/>
  <c r="AD101" i="11"/>
  <c r="AC101" i="11"/>
  <c r="AD93" i="11"/>
  <c r="AC93" i="11"/>
  <c r="AD85" i="11"/>
  <c r="AC85" i="11"/>
  <c r="AC77" i="11"/>
  <c r="AD77" i="11"/>
  <c r="AC69" i="11"/>
  <c r="AD69" i="11"/>
  <c r="AC61" i="11"/>
  <c r="AD61" i="11"/>
  <c r="AC53" i="11"/>
  <c r="AD53" i="11"/>
  <c r="AC45" i="11"/>
  <c r="AD45" i="11"/>
  <c r="AC37" i="11"/>
  <c r="AD37" i="11"/>
  <c r="AC29" i="11"/>
  <c r="AD29" i="11"/>
  <c r="AC21" i="11"/>
  <c r="AD21" i="11"/>
  <c r="AD252" i="11"/>
  <c r="AC252" i="11"/>
  <c r="AD244" i="11"/>
  <c r="AC244" i="11"/>
  <c r="AD236" i="11"/>
  <c r="AC236" i="11"/>
  <c r="AD228" i="11"/>
  <c r="AC228" i="11"/>
  <c r="AD220" i="11"/>
  <c r="AC220" i="11"/>
  <c r="AD212" i="11"/>
  <c r="AC212" i="11"/>
  <c r="AD204" i="11"/>
  <c r="AC204" i="11"/>
  <c r="AD196" i="11"/>
  <c r="AC196" i="11"/>
  <c r="AD188" i="11"/>
  <c r="AC188" i="11"/>
  <c r="AD180" i="11"/>
  <c r="AC180" i="11"/>
  <c r="AD172" i="11"/>
  <c r="AC172" i="11"/>
  <c r="AD164" i="11"/>
  <c r="AC164" i="11"/>
  <c r="AD156" i="11"/>
  <c r="AC156" i="11"/>
  <c r="AD148" i="11"/>
  <c r="AC148" i="11"/>
  <c r="AD140" i="11"/>
  <c r="AC140" i="11"/>
  <c r="AD132" i="11"/>
  <c r="AC132" i="11"/>
  <c r="AD124" i="11"/>
  <c r="AC124" i="11"/>
  <c r="AD116" i="11"/>
  <c r="AC116" i="11"/>
  <c r="AD108" i="11"/>
  <c r="AC108" i="11"/>
  <c r="AD100" i="11"/>
  <c r="AC100" i="11"/>
  <c r="AD92" i="11"/>
  <c r="AC92" i="11"/>
  <c r="AD84" i="11"/>
  <c r="AC84" i="11"/>
  <c r="AD76" i="11"/>
  <c r="AC76" i="11"/>
  <c r="AD68" i="11"/>
  <c r="AC68" i="11"/>
  <c r="AD60" i="11"/>
  <c r="AC60" i="11"/>
  <c r="AD52" i="11"/>
  <c r="AC52" i="11"/>
  <c r="AD44" i="11"/>
  <c r="AC44" i="11"/>
  <c r="AD36" i="11"/>
  <c r="AC36" i="11"/>
  <c r="AD28" i="11"/>
  <c r="AC28" i="11"/>
  <c r="AD20" i="11"/>
  <c r="AC20" i="11"/>
  <c r="AD251" i="11"/>
  <c r="AC251" i="11"/>
  <c r="AD243" i="11"/>
  <c r="AC243" i="11"/>
  <c r="AD235" i="11"/>
  <c r="AC235" i="11"/>
  <c r="AD227" i="11"/>
  <c r="AC227" i="11"/>
  <c r="AD219" i="11"/>
  <c r="AC219" i="11"/>
  <c r="AD211" i="11"/>
  <c r="AC211" i="11"/>
  <c r="AD203" i="11"/>
  <c r="AC203" i="11"/>
  <c r="AD195" i="11"/>
  <c r="AC195" i="11"/>
  <c r="AD187" i="11"/>
  <c r="AC187" i="11"/>
  <c r="AD179" i="11"/>
  <c r="AC179" i="11"/>
  <c r="AD171" i="11"/>
  <c r="AC171" i="11"/>
  <c r="AD163" i="11"/>
  <c r="AC163" i="11"/>
  <c r="AD155" i="11"/>
  <c r="AC155" i="11"/>
  <c r="AD147" i="11"/>
  <c r="AC147" i="11"/>
  <c r="AD139" i="11"/>
  <c r="AC139" i="11"/>
  <c r="AD131" i="11"/>
  <c r="AC131" i="11"/>
  <c r="AD123" i="11"/>
  <c r="AC123" i="11"/>
  <c r="AD115" i="11"/>
  <c r="AC115" i="11"/>
  <c r="AD107" i="11"/>
  <c r="AC107" i="11"/>
  <c r="AD99" i="11"/>
  <c r="AC99" i="11"/>
  <c r="AD91" i="11"/>
  <c r="AC91" i="11"/>
  <c r="AD83" i="11"/>
  <c r="AC83" i="11"/>
  <c r="AD75" i="11"/>
  <c r="AC75" i="11"/>
  <c r="AD67" i="11"/>
  <c r="AC67" i="11"/>
  <c r="AD59" i="11"/>
  <c r="AC59" i="11"/>
  <c r="AD51" i="11"/>
  <c r="AC51" i="11"/>
  <c r="AD43" i="11"/>
  <c r="AC43" i="11"/>
  <c r="AD35" i="11"/>
  <c r="AC35" i="11"/>
  <c r="AD27" i="11"/>
  <c r="AC27" i="11"/>
  <c r="AD19" i="11"/>
  <c r="AC19" i="11"/>
  <c r="AC258" i="11"/>
  <c r="AD258" i="11"/>
  <c r="AC250" i="11"/>
  <c r="AD250" i="11"/>
  <c r="AC242" i="11"/>
  <c r="AD242" i="11"/>
  <c r="AC234" i="11"/>
  <c r="AD234" i="11"/>
  <c r="AC226" i="11"/>
  <c r="AD226" i="11"/>
  <c r="AC218" i="11"/>
  <c r="AD218" i="11"/>
  <c r="AC210" i="11"/>
  <c r="AD210" i="11"/>
  <c r="AC202" i="11"/>
  <c r="AD202" i="11"/>
  <c r="AC194" i="11"/>
  <c r="AD194" i="11"/>
  <c r="AC186" i="11"/>
  <c r="AD186" i="11"/>
  <c r="AC178" i="11"/>
  <c r="AD178" i="11"/>
  <c r="AC170" i="11"/>
  <c r="AD170" i="11"/>
  <c r="AC162" i="11"/>
  <c r="AD162" i="11"/>
  <c r="AC154" i="11"/>
  <c r="AD154" i="11"/>
  <c r="AC146" i="11"/>
  <c r="AD146" i="11"/>
  <c r="AC138" i="11"/>
  <c r="AD138" i="11"/>
  <c r="AC130" i="11"/>
  <c r="AD130" i="11"/>
  <c r="AC122" i="11"/>
  <c r="AD122" i="11"/>
  <c r="AC114" i="11"/>
  <c r="AD114" i="11"/>
  <c r="AC106" i="11"/>
  <c r="AD106" i="11"/>
  <c r="AC98" i="11"/>
  <c r="AD98" i="11"/>
  <c r="AC90" i="11"/>
  <c r="AD90" i="11"/>
  <c r="AC82" i="11"/>
  <c r="AD82" i="11"/>
  <c r="AC74" i="11"/>
  <c r="AD74" i="11"/>
  <c r="AC66" i="11"/>
  <c r="AD66" i="11"/>
  <c r="AC58" i="11"/>
  <c r="AD58" i="11"/>
  <c r="AC50" i="11"/>
  <c r="AD50" i="11"/>
  <c r="AC42" i="11"/>
  <c r="AD42" i="11"/>
  <c r="AC34" i="11"/>
  <c r="AD34" i="11"/>
  <c r="AC26" i="11"/>
  <c r="AD26" i="11"/>
  <c r="AC18" i="11"/>
  <c r="AD18" i="11"/>
  <c r="AD257" i="11"/>
  <c r="AC257" i="11"/>
  <c r="AD249" i="11"/>
  <c r="AC249" i="11"/>
  <c r="AD241" i="11"/>
  <c r="AC241" i="11"/>
  <c r="AD233" i="11"/>
  <c r="AC233" i="11"/>
  <c r="AD225" i="11"/>
  <c r="AC225" i="11"/>
  <c r="AD217" i="11"/>
  <c r="AC217" i="11"/>
  <c r="AD209" i="11"/>
  <c r="AC209" i="11"/>
  <c r="AD201" i="11"/>
  <c r="AC201" i="11"/>
  <c r="AD193" i="11"/>
  <c r="AC193" i="11"/>
  <c r="AD185" i="11"/>
  <c r="AC185" i="11"/>
  <c r="AD177" i="11"/>
  <c r="AC177" i="11"/>
  <c r="AD169" i="11"/>
  <c r="AC169" i="11"/>
  <c r="AD161" i="11"/>
  <c r="AC161" i="11"/>
  <c r="AD153" i="11"/>
  <c r="AC153" i="11"/>
  <c r="AD145" i="11"/>
  <c r="AC145" i="11"/>
  <c r="AD137" i="11"/>
  <c r="AC137" i="11"/>
  <c r="AD129" i="11"/>
  <c r="AC129" i="11"/>
  <c r="AD121" i="11"/>
  <c r="AC121" i="11"/>
  <c r="AD113" i="11"/>
  <c r="AC113" i="11"/>
  <c r="AD105" i="11"/>
  <c r="AC105" i="11"/>
  <c r="AD97" i="11"/>
  <c r="AC97" i="11"/>
  <c r="AD89" i="11"/>
  <c r="AC89" i="11"/>
  <c r="AD81" i="11"/>
  <c r="AC81" i="11"/>
  <c r="AD73" i="11"/>
  <c r="AC73" i="11"/>
  <c r="AD65" i="11"/>
  <c r="AC65" i="11"/>
  <c r="AD57" i="11"/>
  <c r="AC57" i="11"/>
  <c r="AD49" i="11"/>
  <c r="AC49" i="11"/>
  <c r="AD41" i="11"/>
  <c r="AC41" i="11"/>
  <c r="AD33" i="11"/>
  <c r="AC33" i="11"/>
  <c r="AD25" i="11"/>
  <c r="AC25" i="11"/>
  <c r="AC17" i="11"/>
  <c r="AC248" i="11"/>
  <c r="AD248" i="11"/>
  <c r="AC240" i="11"/>
  <c r="AD240" i="11"/>
  <c r="AD232" i="11"/>
  <c r="AC232" i="11"/>
  <c r="AC224" i="11"/>
  <c r="AD224" i="11"/>
  <c r="AC216" i="11"/>
  <c r="AD216" i="11"/>
  <c r="AC208" i="11"/>
  <c r="AD208" i="11"/>
  <c r="AD200" i="11"/>
  <c r="AC200" i="11"/>
  <c r="AC192" i="11"/>
  <c r="AD192" i="11"/>
  <c r="AC184" i="11"/>
  <c r="AD184" i="11"/>
  <c r="AD176" i="11"/>
  <c r="AC176" i="11"/>
  <c r="AC168" i="11"/>
  <c r="AD168" i="11"/>
  <c r="AD160" i="11"/>
  <c r="AC160" i="11"/>
  <c r="AC152" i="11"/>
  <c r="AD152" i="11"/>
  <c r="AC144" i="11"/>
  <c r="AD144" i="11"/>
  <c r="AD136" i="11"/>
  <c r="AC136" i="11"/>
  <c r="AD128" i="11"/>
  <c r="AC128" i="11"/>
  <c r="AD120" i="11"/>
  <c r="AC120" i="11"/>
  <c r="AD112" i="11"/>
  <c r="AC112" i="11"/>
  <c r="AD104" i="11"/>
  <c r="AC104" i="11"/>
  <c r="AD96" i="11"/>
  <c r="AC96" i="11"/>
  <c r="AD88" i="11"/>
  <c r="AC88" i="11"/>
  <c r="AD80" i="11"/>
  <c r="AC80" i="11"/>
  <c r="AD72" i="11"/>
  <c r="AC72" i="11"/>
  <c r="AD64" i="11"/>
  <c r="AC64" i="11"/>
  <c r="AD56" i="11"/>
  <c r="AC56" i="11"/>
  <c r="AD48" i="11"/>
  <c r="AC48" i="11"/>
  <c r="AD40" i="11"/>
  <c r="AC40" i="11"/>
  <c r="AC32" i="11"/>
  <c r="AD32" i="11"/>
  <c r="AC24" i="11"/>
  <c r="AD24" i="11"/>
  <c r="AC16" i="11"/>
  <c r="AD16" i="11"/>
  <c r="AD255" i="11"/>
  <c r="AC255" i="11"/>
  <c r="AD247" i="11"/>
  <c r="AC247" i="11"/>
  <c r="AD239" i="11"/>
  <c r="AC239" i="11"/>
  <c r="AD231" i="11"/>
  <c r="AC231" i="11"/>
  <c r="AD223" i="11"/>
  <c r="AC223" i="11"/>
  <c r="AD215" i="11"/>
  <c r="AC215" i="11"/>
  <c r="AD207" i="11"/>
  <c r="AC207" i="11"/>
  <c r="AD199" i="11"/>
  <c r="AC199" i="11"/>
  <c r="AD191" i="11"/>
  <c r="AC191" i="11"/>
  <c r="AD183" i="11"/>
  <c r="AC183" i="11"/>
  <c r="AD175" i="11"/>
  <c r="AC175" i="11"/>
  <c r="AD167" i="11"/>
  <c r="AC167" i="11"/>
  <c r="AD159" i="11"/>
  <c r="AC159" i="11"/>
  <c r="AD151" i="11"/>
  <c r="AC151" i="11"/>
  <c r="AD143" i="11"/>
  <c r="AC143" i="11"/>
  <c r="AD135" i="11"/>
  <c r="AC135" i="11"/>
  <c r="AD127" i="11"/>
  <c r="AC127" i="11"/>
  <c r="AD119" i="11"/>
  <c r="AC119" i="11"/>
  <c r="AD111" i="11"/>
  <c r="AC111" i="11"/>
  <c r="AD103" i="11"/>
  <c r="AC103" i="11"/>
  <c r="AD95" i="11"/>
  <c r="AC95" i="11"/>
  <c r="AD87" i="11"/>
  <c r="AC87" i="11"/>
  <c r="AD79" i="11"/>
  <c r="AC79" i="11"/>
  <c r="AD71" i="11"/>
  <c r="AC71" i="11"/>
  <c r="AD63" i="11"/>
  <c r="AC63" i="11"/>
  <c r="AD55" i="11"/>
  <c r="AC55" i="11"/>
  <c r="AD47" i="11"/>
  <c r="AC47" i="11"/>
  <c r="AD39" i="11"/>
  <c r="AC39" i="11"/>
  <c r="AD31" i="11"/>
  <c r="AC31" i="11"/>
  <c r="AD23" i="11"/>
  <c r="AC23" i="11"/>
  <c r="AC254" i="11"/>
  <c r="AD254" i="11"/>
  <c r="AD246" i="11"/>
  <c r="AC246" i="11"/>
  <c r="AC238" i="11"/>
  <c r="AD238" i="11"/>
  <c r="AD230" i="11"/>
  <c r="AC230" i="11"/>
  <c r="AC222" i="11"/>
  <c r="AD222" i="11"/>
  <c r="AD214" i="11"/>
  <c r="AC214" i="11"/>
  <c r="AC206" i="11"/>
  <c r="AD206" i="11"/>
  <c r="AD198" i="11"/>
  <c r="AC198" i="11"/>
  <c r="AC190" i="11"/>
  <c r="AD190" i="11"/>
  <c r="AD182" i="11"/>
  <c r="AC182" i="11"/>
  <c r="AC174" i="11"/>
  <c r="AD174" i="11"/>
  <c r="AC166" i="11"/>
  <c r="AD166" i="11"/>
  <c r="AD158" i="11"/>
  <c r="AC158" i="11"/>
  <c r="AD150" i="11"/>
  <c r="AC150" i="11"/>
  <c r="AC142" i="11"/>
  <c r="AD142" i="11"/>
  <c r="AD134" i="11"/>
  <c r="AC134" i="11"/>
  <c r="AD126" i="11"/>
  <c r="AC126" i="11"/>
  <c r="AD118" i="11"/>
  <c r="AC118" i="11"/>
  <c r="AD110" i="11"/>
  <c r="AC110" i="11"/>
  <c r="AD102" i="11"/>
  <c r="AC102" i="11"/>
  <c r="AD94" i="11"/>
  <c r="AC94" i="11"/>
  <c r="AD86" i="11"/>
  <c r="AC86" i="11"/>
  <c r="AD78" i="11"/>
  <c r="AC78" i="11"/>
  <c r="AD70" i="11"/>
  <c r="AC70" i="11"/>
  <c r="AD62" i="11"/>
  <c r="AC62" i="11"/>
  <c r="AD54" i="11"/>
  <c r="AC54" i="11"/>
  <c r="AD46" i="11"/>
  <c r="AC46" i="11"/>
  <c r="AD38" i="11"/>
  <c r="AC38" i="11"/>
  <c r="AD30" i="11"/>
  <c r="AC30" i="11"/>
  <c r="AD22" i="11"/>
  <c r="AC22" i="11"/>
  <c r="P13" i="59"/>
  <c r="P15" i="59"/>
  <c r="P14" i="59"/>
  <c r="I220" i="59"/>
  <c r="P220" i="59"/>
  <c r="I156" i="59"/>
  <c r="P156" i="59"/>
  <c r="I76" i="59"/>
  <c r="P76" i="59"/>
  <c r="I248" i="59"/>
  <c r="P248" i="59"/>
  <c r="I224" i="59"/>
  <c r="P224" i="59"/>
  <c r="I253" i="59"/>
  <c r="P253" i="59"/>
  <c r="I245" i="59"/>
  <c r="P245" i="59"/>
  <c r="I237" i="59"/>
  <c r="P237" i="59"/>
  <c r="I229" i="59"/>
  <c r="P229" i="59"/>
  <c r="I221" i="59"/>
  <c r="P221" i="59"/>
  <c r="I213" i="59"/>
  <c r="P213" i="59"/>
  <c r="I205" i="59"/>
  <c r="P205" i="59"/>
  <c r="I197" i="59"/>
  <c r="P197" i="59"/>
  <c r="I189" i="59"/>
  <c r="P189" i="59"/>
  <c r="I181" i="59"/>
  <c r="P181" i="59"/>
  <c r="I173" i="59"/>
  <c r="P173" i="59"/>
  <c r="I165" i="59"/>
  <c r="P165" i="59"/>
  <c r="I157" i="59"/>
  <c r="P157" i="59"/>
  <c r="I149" i="59"/>
  <c r="P149" i="59"/>
  <c r="I141" i="59"/>
  <c r="P141" i="59"/>
  <c r="I133" i="59"/>
  <c r="P133" i="59"/>
  <c r="I125" i="59"/>
  <c r="P125" i="59"/>
  <c r="I117" i="59"/>
  <c r="P117" i="59"/>
  <c r="I109" i="59"/>
  <c r="P109" i="59"/>
  <c r="I101" i="59"/>
  <c r="P101" i="59"/>
  <c r="I93" i="59"/>
  <c r="P93" i="59"/>
  <c r="I85" i="59"/>
  <c r="P85" i="59"/>
  <c r="I77" i="59"/>
  <c r="P77" i="59"/>
  <c r="I69" i="59"/>
  <c r="P69" i="59"/>
  <c r="I61" i="59"/>
  <c r="P61" i="59"/>
  <c r="I53" i="59"/>
  <c r="P53" i="59"/>
  <c r="I45" i="59"/>
  <c r="P45" i="59"/>
  <c r="I37" i="59"/>
  <c r="P37" i="59"/>
  <c r="I29" i="59"/>
  <c r="P29" i="59"/>
  <c r="I21" i="59"/>
  <c r="P21" i="59"/>
  <c r="I244" i="59"/>
  <c r="P244" i="59"/>
  <c r="I204" i="59"/>
  <c r="P204" i="59"/>
  <c r="I140" i="59"/>
  <c r="P140" i="59"/>
  <c r="I100" i="59"/>
  <c r="P100" i="59"/>
  <c r="I60" i="59"/>
  <c r="P60" i="59"/>
  <c r="I36" i="59"/>
  <c r="P36" i="59"/>
  <c r="I251" i="59"/>
  <c r="P251" i="59"/>
  <c r="I243" i="59"/>
  <c r="P243" i="59"/>
  <c r="I235" i="59"/>
  <c r="P235" i="59"/>
  <c r="I227" i="59"/>
  <c r="P227" i="59"/>
  <c r="I219" i="59"/>
  <c r="P219" i="59"/>
  <c r="I211" i="59"/>
  <c r="P211" i="59"/>
  <c r="I203" i="59"/>
  <c r="P203" i="59"/>
  <c r="I195" i="59"/>
  <c r="P195" i="59"/>
  <c r="I187" i="59"/>
  <c r="P187" i="59"/>
  <c r="I179" i="59"/>
  <c r="P179" i="59"/>
  <c r="I171" i="59"/>
  <c r="P171" i="59"/>
  <c r="I163" i="59"/>
  <c r="P163" i="59"/>
  <c r="I155" i="59"/>
  <c r="P155" i="59"/>
  <c r="I147" i="59"/>
  <c r="P147" i="59"/>
  <c r="I139" i="59"/>
  <c r="P139" i="59"/>
  <c r="I131" i="59"/>
  <c r="P131" i="59"/>
  <c r="I123" i="59"/>
  <c r="P123" i="59"/>
  <c r="I115" i="59"/>
  <c r="P115" i="59"/>
  <c r="I107" i="59"/>
  <c r="P107" i="59"/>
  <c r="I99" i="59"/>
  <c r="P99" i="59"/>
  <c r="I91" i="59"/>
  <c r="P91" i="59"/>
  <c r="I83" i="59"/>
  <c r="P83" i="59"/>
  <c r="I75" i="59"/>
  <c r="P75" i="59"/>
  <c r="I67" i="59"/>
  <c r="P67" i="59"/>
  <c r="I59" i="59"/>
  <c r="P59" i="59"/>
  <c r="I51" i="59"/>
  <c r="P51" i="59"/>
  <c r="I43" i="59"/>
  <c r="P43" i="59"/>
  <c r="I35" i="59"/>
  <c r="P35" i="59"/>
  <c r="I27" i="59"/>
  <c r="P27" i="59"/>
  <c r="I19" i="59"/>
  <c r="P19" i="59"/>
  <c r="I228" i="59"/>
  <c r="P228" i="59"/>
  <c r="I188" i="59"/>
  <c r="P188" i="59"/>
  <c r="I108" i="59"/>
  <c r="P108" i="59"/>
  <c r="I52" i="59"/>
  <c r="P52" i="59"/>
  <c r="I28" i="59"/>
  <c r="P28" i="59"/>
  <c r="I258" i="59"/>
  <c r="P258" i="59"/>
  <c r="I250" i="59"/>
  <c r="P250" i="59"/>
  <c r="I242" i="59"/>
  <c r="P242" i="59"/>
  <c r="I234" i="59"/>
  <c r="P234" i="59"/>
  <c r="I226" i="59"/>
  <c r="P226" i="59"/>
  <c r="I218" i="59"/>
  <c r="P218" i="59"/>
  <c r="I210" i="59"/>
  <c r="P210" i="59"/>
  <c r="I202" i="59"/>
  <c r="P202" i="59"/>
  <c r="I194" i="59"/>
  <c r="P194" i="59"/>
  <c r="I186" i="59"/>
  <c r="P186" i="59"/>
  <c r="I178" i="59"/>
  <c r="P178" i="59"/>
  <c r="I170" i="59"/>
  <c r="P170" i="59"/>
  <c r="I162" i="59"/>
  <c r="P162" i="59"/>
  <c r="I154" i="59"/>
  <c r="P154" i="59"/>
  <c r="I146" i="59"/>
  <c r="P146" i="59"/>
  <c r="I138" i="59"/>
  <c r="P138" i="59"/>
  <c r="I130" i="59"/>
  <c r="P130" i="59"/>
  <c r="I122" i="59"/>
  <c r="P122" i="59"/>
  <c r="I114" i="59"/>
  <c r="P114" i="59"/>
  <c r="I106" i="59"/>
  <c r="P106" i="59"/>
  <c r="I98" i="59"/>
  <c r="P98" i="59"/>
  <c r="I90" i="59"/>
  <c r="P90" i="59"/>
  <c r="I82" i="59"/>
  <c r="P82" i="59"/>
  <c r="I74" i="59"/>
  <c r="P74" i="59"/>
  <c r="I66" i="59"/>
  <c r="P66" i="59"/>
  <c r="I58" i="59"/>
  <c r="P58" i="59"/>
  <c r="I50" i="59"/>
  <c r="P50" i="59"/>
  <c r="I42" i="59"/>
  <c r="P42" i="59"/>
  <c r="I34" i="59"/>
  <c r="P34" i="59"/>
  <c r="I26" i="59"/>
  <c r="P26" i="59"/>
  <c r="I18" i="59"/>
  <c r="P18" i="59"/>
  <c r="I180" i="59"/>
  <c r="P180" i="59"/>
  <c r="I132" i="59"/>
  <c r="P132" i="59"/>
  <c r="I84" i="59"/>
  <c r="P84" i="59"/>
  <c r="I44" i="59"/>
  <c r="P44" i="59"/>
  <c r="I20" i="59"/>
  <c r="P20" i="59"/>
  <c r="I257" i="59"/>
  <c r="P257" i="59"/>
  <c r="I249" i="59"/>
  <c r="P249" i="59"/>
  <c r="I241" i="59"/>
  <c r="P241" i="59"/>
  <c r="I233" i="59"/>
  <c r="P233" i="59"/>
  <c r="I225" i="59"/>
  <c r="P225" i="59"/>
  <c r="I217" i="59"/>
  <c r="P217" i="59"/>
  <c r="I209" i="59"/>
  <c r="P209" i="59"/>
  <c r="I201" i="59"/>
  <c r="P201" i="59"/>
  <c r="I193" i="59"/>
  <c r="P193" i="59"/>
  <c r="I185" i="59"/>
  <c r="P185" i="59"/>
  <c r="I177" i="59"/>
  <c r="P177" i="59"/>
  <c r="I169" i="59"/>
  <c r="P169" i="59"/>
  <c r="I161" i="59"/>
  <c r="P161" i="59"/>
  <c r="I153" i="59"/>
  <c r="P153" i="59"/>
  <c r="I145" i="59"/>
  <c r="P145" i="59"/>
  <c r="I137" i="59"/>
  <c r="P137" i="59"/>
  <c r="I129" i="59"/>
  <c r="P129" i="59"/>
  <c r="I121" i="59"/>
  <c r="P121" i="59"/>
  <c r="I113" i="59"/>
  <c r="P113" i="59"/>
  <c r="I105" i="59"/>
  <c r="P105" i="59"/>
  <c r="I97" i="59"/>
  <c r="P97" i="59"/>
  <c r="I89" i="59"/>
  <c r="P89" i="59"/>
  <c r="I81" i="59"/>
  <c r="P81" i="59"/>
  <c r="I73" i="59"/>
  <c r="P73" i="59"/>
  <c r="I65" i="59"/>
  <c r="P65" i="59"/>
  <c r="I57" i="59"/>
  <c r="P57" i="59"/>
  <c r="I49" i="59"/>
  <c r="P49" i="59"/>
  <c r="I41" i="59"/>
  <c r="P41" i="59"/>
  <c r="I33" i="59"/>
  <c r="P33" i="59"/>
  <c r="I25" i="59"/>
  <c r="P25" i="59"/>
  <c r="P17" i="59"/>
  <c r="I236" i="59"/>
  <c r="P236" i="59"/>
  <c r="I196" i="59"/>
  <c r="P196" i="59"/>
  <c r="I148" i="59"/>
  <c r="P148" i="59"/>
  <c r="I92" i="59"/>
  <c r="P92" i="59"/>
  <c r="I240" i="59"/>
  <c r="P240" i="59"/>
  <c r="I208" i="59"/>
  <c r="P208" i="59"/>
  <c r="I200" i="59"/>
  <c r="P200" i="59"/>
  <c r="I192" i="59"/>
  <c r="P192" i="59"/>
  <c r="I184" i="59"/>
  <c r="P184" i="59"/>
  <c r="I176" i="59"/>
  <c r="P176" i="59"/>
  <c r="I168" i="59"/>
  <c r="P168" i="59"/>
  <c r="I160" i="59"/>
  <c r="P160" i="59"/>
  <c r="I152" i="59"/>
  <c r="P152" i="59"/>
  <c r="I144" i="59"/>
  <c r="P144" i="59"/>
  <c r="I136" i="59"/>
  <c r="P136" i="59"/>
  <c r="I128" i="59"/>
  <c r="P128" i="59"/>
  <c r="I120" i="59"/>
  <c r="P120" i="59"/>
  <c r="I112" i="59"/>
  <c r="P112" i="59"/>
  <c r="I104" i="59"/>
  <c r="P104" i="59"/>
  <c r="I96" i="59"/>
  <c r="P96" i="59"/>
  <c r="I88" i="59"/>
  <c r="P88" i="59"/>
  <c r="I80" i="59"/>
  <c r="P80" i="59"/>
  <c r="I72" i="59"/>
  <c r="P72" i="59"/>
  <c r="I64" i="59"/>
  <c r="P64" i="59"/>
  <c r="I56" i="59"/>
  <c r="P56" i="59"/>
  <c r="I48" i="59"/>
  <c r="P48" i="59"/>
  <c r="I40" i="59"/>
  <c r="P40" i="59"/>
  <c r="I32" i="59"/>
  <c r="P32" i="59"/>
  <c r="I24" i="59"/>
  <c r="P24" i="59"/>
  <c r="P16" i="59"/>
  <c r="I252" i="59"/>
  <c r="P252" i="59"/>
  <c r="I172" i="59"/>
  <c r="P172" i="59"/>
  <c r="I116" i="59"/>
  <c r="P116" i="59"/>
  <c r="I256" i="59"/>
  <c r="P256" i="59"/>
  <c r="I216" i="59"/>
  <c r="P216" i="59"/>
  <c r="I255" i="59"/>
  <c r="P255" i="59"/>
  <c r="I247" i="59"/>
  <c r="P247" i="59"/>
  <c r="I239" i="59"/>
  <c r="P239" i="59"/>
  <c r="I231" i="59"/>
  <c r="P231" i="59"/>
  <c r="I223" i="59"/>
  <c r="P223" i="59"/>
  <c r="I215" i="59"/>
  <c r="P215" i="59"/>
  <c r="I207" i="59"/>
  <c r="P207" i="59"/>
  <c r="I199" i="59"/>
  <c r="P199" i="59"/>
  <c r="I191" i="59"/>
  <c r="P191" i="59"/>
  <c r="I183" i="59"/>
  <c r="P183" i="59"/>
  <c r="I175" i="59"/>
  <c r="P175" i="59"/>
  <c r="I167" i="59"/>
  <c r="P167" i="59"/>
  <c r="I159" i="59"/>
  <c r="P159" i="59"/>
  <c r="I151" i="59"/>
  <c r="P151" i="59"/>
  <c r="I143" i="59"/>
  <c r="P143" i="59"/>
  <c r="I135" i="59"/>
  <c r="P135" i="59"/>
  <c r="I127" i="59"/>
  <c r="P127" i="59"/>
  <c r="I119" i="59"/>
  <c r="P119" i="59"/>
  <c r="I111" i="59"/>
  <c r="P111" i="59"/>
  <c r="I103" i="59"/>
  <c r="P103" i="59"/>
  <c r="I95" i="59"/>
  <c r="P95" i="59"/>
  <c r="I87" i="59"/>
  <c r="P87" i="59"/>
  <c r="I79" i="59"/>
  <c r="P79" i="59"/>
  <c r="I71" i="59"/>
  <c r="P71" i="59"/>
  <c r="I63" i="59"/>
  <c r="P63" i="59"/>
  <c r="I55" i="59"/>
  <c r="P55" i="59"/>
  <c r="I47" i="59"/>
  <c r="P47" i="59"/>
  <c r="I39" i="59"/>
  <c r="P39" i="59"/>
  <c r="I31" i="59"/>
  <c r="P31" i="59"/>
  <c r="I23" i="59"/>
  <c r="P23" i="59"/>
  <c r="I212" i="59"/>
  <c r="P212" i="59"/>
  <c r="I164" i="59"/>
  <c r="P164" i="59"/>
  <c r="I124" i="59"/>
  <c r="P124" i="59"/>
  <c r="I68" i="59"/>
  <c r="P68" i="59"/>
  <c r="I232" i="59"/>
  <c r="P232" i="59"/>
  <c r="I254" i="59"/>
  <c r="P254" i="59"/>
  <c r="I246" i="59"/>
  <c r="P246" i="59"/>
  <c r="I238" i="59"/>
  <c r="P238" i="59"/>
  <c r="I230" i="59"/>
  <c r="P230" i="59"/>
  <c r="I222" i="59"/>
  <c r="P222" i="59"/>
  <c r="I214" i="59"/>
  <c r="P214" i="59"/>
  <c r="I206" i="59"/>
  <c r="P206" i="59"/>
  <c r="I198" i="59"/>
  <c r="P198" i="59"/>
  <c r="I190" i="59"/>
  <c r="P190" i="59"/>
  <c r="I182" i="59"/>
  <c r="P182" i="59"/>
  <c r="I174" i="59"/>
  <c r="P174" i="59"/>
  <c r="I166" i="59"/>
  <c r="P166" i="59"/>
  <c r="I158" i="59"/>
  <c r="P158" i="59"/>
  <c r="I150" i="59"/>
  <c r="P150" i="59"/>
  <c r="I142" i="59"/>
  <c r="P142" i="59"/>
  <c r="I134" i="59"/>
  <c r="P134" i="59"/>
  <c r="I126" i="59"/>
  <c r="P126" i="59"/>
  <c r="I118" i="59"/>
  <c r="P118" i="59"/>
  <c r="I110" i="59"/>
  <c r="P110" i="59"/>
  <c r="I102" i="59"/>
  <c r="P102" i="59"/>
  <c r="I94" i="59"/>
  <c r="P94" i="59"/>
  <c r="I86" i="59"/>
  <c r="P86" i="59"/>
  <c r="I78" i="59"/>
  <c r="P78" i="59"/>
  <c r="I70" i="59"/>
  <c r="P70" i="59"/>
  <c r="I62" i="59"/>
  <c r="P62" i="59"/>
  <c r="I54" i="59"/>
  <c r="P54" i="59"/>
  <c r="I46" i="59"/>
  <c r="P46" i="59"/>
  <c r="I38" i="59"/>
  <c r="P38" i="59"/>
  <c r="I30" i="59"/>
  <c r="P30" i="59"/>
  <c r="I22" i="59"/>
  <c r="P22" i="59"/>
  <c r="P11" i="59"/>
  <c r="BL43" i="108"/>
  <c r="BK43" i="108"/>
  <c r="AW15" i="11"/>
  <c r="I15" i="11" s="1"/>
  <c r="AW14" i="11"/>
  <c r="I14" i="11" s="1"/>
  <c r="AW251" i="11"/>
  <c r="I251" i="11"/>
  <c r="AW246" i="11"/>
  <c r="I246" i="11"/>
  <c r="AW257" i="11"/>
  <c r="I257" i="11"/>
  <c r="AW253" i="11"/>
  <c r="I253" i="11"/>
  <c r="AW249" i="11"/>
  <c r="I249" i="11"/>
  <c r="AW245" i="11"/>
  <c r="I245" i="11"/>
  <c r="AW241" i="11"/>
  <c r="I241" i="11"/>
  <c r="AW237" i="11"/>
  <c r="I237" i="11"/>
  <c r="AW233" i="11"/>
  <c r="I233" i="11"/>
  <c r="AW229" i="11"/>
  <c r="I229" i="11"/>
  <c r="AW225" i="11"/>
  <c r="I225" i="11"/>
  <c r="AW221" i="11"/>
  <c r="I221" i="11"/>
  <c r="AW217" i="11"/>
  <c r="I217" i="11"/>
  <c r="AW213" i="11"/>
  <c r="I213" i="11"/>
  <c r="AW209" i="11"/>
  <c r="I209" i="11"/>
  <c r="AW205" i="11"/>
  <c r="I205" i="11"/>
  <c r="AW201" i="11"/>
  <c r="I201" i="11"/>
  <c r="AW197" i="11"/>
  <c r="I197" i="11"/>
  <c r="AW193" i="11"/>
  <c r="I193" i="11"/>
  <c r="AW189" i="11"/>
  <c r="I189" i="11"/>
  <c r="AW185" i="11"/>
  <c r="I185" i="11"/>
  <c r="AW181" i="11"/>
  <c r="I181" i="11"/>
  <c r="AW177" i="11"/>
  <c r="I177" i="11"/>
  <c r="AW173" i="11"/>
  <c r="I173" i="11"/>
  <c r="AW169" i="11"/>
  <c r="I169" i="11"/>
  <c r="AW165" i="11"/>
  <c r="I165" i="11"/>
  <c r="AW161" i="11"/>
  <c r="I161" i="11"/>
  <c r="AW157" i="11"/>
  <c r="I157" i="11"/>
  <c r="AW153" i="11"/>
  <c r="I153" i="11"/>
  <c r="AW149" i="11"/>
  <c r="I149" i="11"/>
  <c r="AW145" i="11"/>
  <c r="I145" i="11"/>
  <c r="AW141" i="11"/>
  <c r="I141" i="11"/>
  <c r="AW137" i="11"/>
  <c r="I137" i="11"/>
  <c r="AW133" i="11"/>
  <c r="I133" i="11"/>
  <c r="AW129" i="11"/>
  <c r="I129" i="11"/>
  <c r="AW125" i="11"/>
  <c r="I125" i="11"/>
  <c r="AW121" i="11"/>
  <c r="I121" i="11"/>
  <c r="AW117" i="11"/>
  <c r="I117" i="11"/>
  <c r="AW113" i="11"/>
  <c r="I113" i="11"/>
  <c r="AW109" i="11"/>
  <c r="I109" i="11"/>
  <c r="AW105" i="11"/>
  <c r="I105" i="11"/>
  <c r="AW101" i="11"/>
  <c r="I101" i="11"/>
  <c r="AW97" i="11"/>
  <c r="I97" i="11"/>
  <c r="AW93" i="11"/>
  <c r="I93" i="11"/>
  <c r="AW89" i="11"/>
  <c r="I89" i="11"/>
  <c r="AW85" i="11"/>
  <c r="I85" i="11"/>
  <c r="AW81" i="11"/>
  <c r="I81" i="11"/>
  <c r="AW77" i="11"/>
  <c r="I77" i="11"/>
  <c r="AW73" i="11"/>
  <c r="I73" i="11"/>
  <c r="AW69" i="11"/>
  <c r="I69" i="11"/>
  <c r="AW65" i="11"/>
  <c r="I65" i="11"/>
  <c r="AW61" i="11"/>
  <c r="I61" i="11"/>
  <c r="AW57" i="11"/>
  <c r="I57" i="11"/>
  <c r="AW53" i="11"/>
  <c r="I53" i="11"/>
  <c r="AW49" i="11"/>
  <c r="I49" i="11"/>
  <c r="AW45" i="11"/>
  <c r="I45" i="11"/>
  <c r="AW41" i="11"/>
  <c r="I41" i="11"/>
  <c r="AW37" i="11"/>
  <c r="I37" i="11"/>
  <c r="AW33" i="11"/>
  <c r="I33" i="11"/>
  <c r="AW29" i="11"/>
  <c r="I29" i="11"/>
  <c r="AW25" i="11"/>
  <c r="I25" i="11"/>
  <c r="AW21" i="11"/>
  <c r="I21" i="11"/>
  <c r="AW17" i="11"/>
  <c r="I17" i="11" s="1"/>
  <c r="AW258" i="11"/>
  <c r="I258" i="11"/>
  <c r="AW250" i="11"/>
  <c r="I250" i="11"/>
  <c r="AW256" i="11"/>
  <c r="I256" i="11"/>
  <c r="AW252" i="11"/>
  <c r="I252" i="11"/>
  <c r="AW248" i="11"/>
  <c r="I248" i="11"/>
  <c r="AW244" i="11"/>
  <c r="I244" i="11"/>
  <c r="AW240" i="11"/>
  <c r="I240" i="11"/>
  <c r="AW236" i="11"/>
  <c r="I236" i="11"/>
  <c r="AW232" i="11"/>
  <c r="I232" i="11"/>
  <c r="AW228" i="11"/>
  <c r="I228" i="11"/>
  <c r="AW224" i="11"/>
  <c r="I224" i="11"/>
  <c r="AW220" i="11"/>
  <c r="I220" i="11"/>
  <c r="AW216" i="11"/>
  <c r="I216" i="11"/>
  <c r="AW212" i="11"/>
  <c r="I212" i="11"/>
  <c r="AW208" i="11"/>
  <c r="I208" i="11"/>
  <c r="AW204" i="11"/>
  <c r="I204" i="11"/>
  <c r="AW200" i="11"/>
  <c r="I200" i="11"/>
  <c r="AW196" i="11"/>
  <c r="I196" i="11"/>
  <c r="AW192" i="11"/>
  <c r="I192" i="11"/>
  <c r="AW188" i="11"/>
  <c r="I188" i="11"/>
  <c r="AW184" i="11"/>
  <c r="I184" i="11"/>
  <c r="AW180" i="11"/>
  <c r="I180" i="11"/>
  <c r="AW176" i="11"/>
  <c r="I176" i="11"/>
  <c r="AW172" i="11"/>
  <c r="I172" i="11"/>
  <c r="AW168" i="11"/>
  <c r="I168" i="11"/>
  <c r="AW164" i="11"/>
  <c r="I164" i="11"/>
  <c r="AW160" i="11"/>
  <c r="I160" i="11"/>
  <c r="AW156" i="11"/>
  <c r="I156" i="11"/>
  <c r="AW152" i="11"/>
  <c r="I152" i="11"/>
  <c r="AW148" i="11"/>
  <c r="I148" i="11"/>
  <c r="AW144" i="11"/>
  <c r="I144" i="11"/>
  <c r="AW140" i="11"/>
  <c r="I140" i="11"/>
  <c r="AW136" i="11"/>
  <c r="I136" i="11"/>
  <c r="AW132" i="11"/>
  <c r="I132" i="11"/>
  <c r="AW128" i="11"/>
  <c r="I128" i="11"/>
  <c r="AW124" i="11"/>
  <c r="I124" i="11"/>
  <c r="AW120" i="11"/>
  <c r="I120" i="11"/>
  <c r="AW116" i="11"/>
  <c r="I116" i="11"/>
  <c r="AW112" i="11"/>
  <c r="I112" i="11"/>
  <c r="AW108" i="11"/>
  <c r="I108" i="11"/>
  <c r="AW104" i="11"/>
  <c r="I104" i="11"/>
  <c r="AW100" i="11"/>
  <c r="I100" i="11"/>
  <c r="AW96" i="11"/>
  <c r="I96" i="11"/>
  <c r="AW92" i="11"/>
  <c r="I92" i="11"/>
  <c r="AW88" i="11"/>
  <c r="I88" i="11"/>
  <c r="AW84" i="11"/>
  <c r="I84" i="11"/>
  <c r="AW80" i="11"/>
  <c r="I80" i="11"/>
  <c r="AW76" i="11"/>
  <c r="I76" i="11"/>
  <c r="AW72" i="11"/>
  <c r="I72" i="11"/>
  <c r="AW68" i="11"/>
  <c r="I68" i="11"/>
  <c r="AW64" i="11"/>
  <c r="I64" i="11"/>
  <c r="AW60" i="11"/>
  <c r="I60" i="11"/>
  <c r="AW56" i="11"/>
  <c r="I56" i="11"/>
  <c r="AW52" i="11"/>
  <c r="I52" i="11"/>
  <c r="AW48" i="11"/>
  <c r="I48" i="11"/>
  <c r="AW44" i="11"/>
  <c r="I44" i="11"/>
  <c r="AW40" i="11"/>
  <c r="I40" i="11"/>
  <c r="AW36" i="11"/>
  <c r="I36" i="11"/>
  <c r="AW32" i="11"/>
  <c r="I32" i="11"/>
  <c r="AW28" i="11"/>
  <c r="I28" i="11"/>
  <c r="AW24" i="11"/>
  <c r="I24" i="11"/>
  <c r="AW20" i="11"/>
  <c r="I20" i="11" s="1"/>
  <c r="AW16" i="11"/>
  <c r="I16" i="11" s="1"/>
  <c r="AW255" i="11"/>
  <c r="I255" i="11"/>
  <c r="AW247" i="11"/>
  <c r="I247" i="11"/>
  <c r="AW243" i="11"/>
  <c r="I243" i="11"/>
  <c r="AW239" i="11"/>
  <c r="I239" i="11"/>
  <c r="AW235" i="11"/>
  <c r="I235" i="11"/>
  <c r="AW231" i="11"/>
  <c r="I231" i="11"/>
  <c r="AW227" i="11"/>
  <c r="I227" i="11"/>
  <c r="AW223" i="11"/>
  <c r="I223" i="11"/>
  <c r="AW219" i="11"/>
  <c r="I219" i="11"/>
  <c r="AW215" i="11"/>
  <c r="I215" i="11"/>
  <c r="AW211" i="11"/>
  <c r="I211" i="11"/>
  <c r="AW207" i="11"/>
  <c r="I207" i="11"/>
  <c r="AW203" i="11"/>
  <c r="I203" i="11"/>
  <c r="AW199" i="11"/>
  <c r="I199" i="11"/>
  <c r="AW195" i="11"/>
  <c r="I195" i="11"/>
  <c r="AW191" i="11"/>
  <c r="I191" i="11"/>
  <c r="AW187" i="11"/>
  <c r="I187" i="11"/>
  <c r="AW183" i="11"/>
  <c r="I183" i="11"/>
  <c r="AW179" i="11"/>
  <c r="I179" i="11"/>
  <c r="AW175" i="11"/>
  <c r="I175" i="11"/>
  <c r="AW171" i="11"/>
  <c r="I171" i="11"/>
  <c r="AW167" i="11"/>
  <c r="I167" i="11"/>
  <c r="AW163" i="11"/>
  <c r="I163" i="11"/>
  <c r="AW159" i="11"/>
  <c r="I159" i="11"/>
  <c r="AW155" i="11"/>
  <c r="I155" i="11"/>
  <c r="AW151" i="11"/>
  <c r="I151" i="11"/>
  <c r="AW147" i="11"/>
  <c r="I147" i="11"/>
  <c r="AW143" i="11"/>
  <c r="I143" i="11"/>
  <c r="AW139" i="11"/>
  <c r="I139" i="11"/>
  <c r="AW135" i="11"/>
  <c r="I135" i="11"/>
  <c r="AW131" i="11"/>
  <c r="I131" i="11"/>
  <c r="AW127" i="11"/>
  <c r="I127" i="11"/>
  <c r="AW123" i="11"/>
  <c r="I123" i="11"/>
  <c r="AW119" i="11"/>
  <c r="I119" i="11"/>
  <c r="AW115" i="11"/>
  <c r="I115" i="11"/>
  <c r="AW111" i="11"/>
  <c r="I111" i="11"/>
  <c r="AW107" i="11"/>
  <c r="I107" i="11"/>
  <c r="AW103" i="11"/>
  <c r="I103" i="11"/>
  <c r="AW99" i="11"/>
  <c r="I99" i="11"/>
  <c r="AW95" i="11"/>
  <c r="I95" i="11"/>
  <c r="AW91" i="11"/>
  <c r="I91" i="11"/>
  <c r="AW87" i="11"/>
  <c r="I87" i="11"/>
  <c r="AW83" i="11"/>
  <c r="I83" i="11"/>
  <c r="AW79" i="11"/>
  <c r="I79" i="11"/>
  <c r="AW75" i="11"/>
  <c r="I75" i="11"/>
  <c r="AW71" i="11"/>
  <c r="I71" i="11"/>
  <c r="AW67" i="11"/>
  <c r="I67" i="11"/>
  <c r="AW63" i="11"/>
  <c r="I63" i="11"/>
  <c r="AW59" i="11"/>
  <c r="I59" i="11"/>
  <c r="AW55" i="11"/>
  <c r="I55" i="11"/>
  <c r="AW51" i="11"/>
  <c r="I51" i="11"/>
  <c r="AW47" i="11"/>
  <c r="I47" i="11"/>
  <c r="AW43" i="11"/>
  <c r="I43" i="11"/>
  <c r="AW39" i="11"/>
  <c r="I39" i="11"/>
  <c r="AW35" i="11"/>
  <c r="I35" i="11"/>
  <c r="AW31" i="11"/>
  <c r="I31" i="11"/>
  <c r="AW27" i="11"/>
  <c r="I27" i="11"/>
  <c r="AW23" i="11"/>
  <c r="I23" i="11"/>
  <c r="AW19" i="11"/>
  <c r="I19" i="11"/>
  <c r="AW254" i="11"/>
  <c r="I254" i="11"/>
  <c r="AW242" i="11"/>
  <c r="I242" i="11"/>
  <c r="AW238" i="11"/>
  <c r="I238" i="11"/>
  <c r="AW234" i="11"/>
  <c r="I234" i="11"/>
  <c r="AW230" i="11"/>
  <c r="I230" i="11"/>
  <c r="AW226" i="11"/>
  <c r="I226" i="11"/>
  <c r="AW222" i="11"/>
  <c r="I222" i="11"/>
  <c r="AW218" i="11"/>
  <c r="I218" i="11"/>
  <c r="AW214" i="11"/>
  <c r="I214" i="11"/>
  <c r="AW210" i="11"/>
  <c r="I210" i="11"/>
  <c r="AW206" i="11"/>
  <c r="I206" i="11"/>
  <c r="AW202" i="11"/>
  <c r="I202" i="11"/>
  <c r="AW198" i="11"/>
  <c r="I198" i="11"/>
  <c r="AW194" i="11"/>
  <c r="I194" i="11"/>
  <c r="AW190" i="11"/>
  <c r="I190" i="11"/>
  <c r="AW186" i="11"/>
  <c r="I186" i="11"/>
  <c r="AW182" i="11"/>
  <c r="I182" i="11"/>
  <c r="AW178" i="11"/>
  <c r="I178" i="11"/>
  <c r="AW174" i="11"/>
  <c r="I174" i="11"/>
  <c r="AW170" i="11"/>
  <c r="I170" i="11"/>
  <c r="AW166" i="11"/>
  <c r="I166" i="11"/>
  <c r="AW162" i="11"/>
  <c r="I162" i="11"/>
  <c r="AW158" i="11"/>
  <c r="I158" i="11"/>
  <c r="AW154" i="11"/>
  <c r="I154" i="11"/>
  <c r="AW150" i="11"/>
  <c r="I150" i="11"/>
  <c r="AW146" i="11"/>
  <c r="I146" i="11"/>
  <c r="AW142" i="11"/>
  <c r="I142" i="11"/>
  <c r="AW138" i="11"/>
  <c r="I138" i="11"/>
  <c r="AW134" i="11"/>
  <c r="I134" i="11"/>
  <c r="AW130" i="11"/>
  <c r="I130" i="11"/>
  <c r="AW126" i="11"/>
  <c r="I126" i="11"/>
  <c r="AW122" i="11"/>
  <c r="I122" i="11"/>
  <c r="AW118" i="11"/>
  <c r="I118" i="11"/>
  <c r="AW114" i="11"/>
  <c r="I114" i="11"/>
  <c r="AW110" i="11"/>
  <c r="I110" i="11"/>
  <c r="AW106" i="11"/>
  <c r="I106" i="11"/>
  <c r="AW102" i="11"/>
  <c r="I102" i="11"/>
  <c r="AW98" i="11"/>
  <c r="I98" i="11"/>
  <c r="AW94" i="11"/>
  <c r="I94" i="11"/>
  <c r="AW90" i="11"/>
  <c r="I90" i="11"/>
  <c r="AW86" i="11"/>
  <c r="I86" i="11"/>
  <c r="AW82" i="11"/>
  <c r="I82" i="11"/>
  <c r="AW78" i="11"/>
  <c r="I78" i="11"/>
  <c r="AW74" i="11"/>
  <c r="I74" i="11"/>
  <c r="AW70" i="11"/>
  <c r="I70" i="11"/>
  <c r="AW66" i="11"/>
  <c r="I66" i="11"/>
  <c r="AW62" i="11"/>
  <c r="I62" i="11"/>
  <c r="AW58" i="11"/>
  <c r="I58" i="11"/>
  <c r="AW54" i="11"/>
  <c r="I54" i="11"/>
  <c r="AW50" i="11"/>
  <c r="I50" i="11"/>
  <c r="AW46" i="11"/>
  <c r="I46" i="11"/>
  <c r="AW42" i="11"/>
  <c r="I42" i="11"/>
  <c r="AW38" i="11"/>
  <c r="I38" i="11"/>
  <c r="AW34" i="11"/>
  <c r="I34" i="11"/>
  <c r="AW30" i="11"/>
  <c r="I30" i="11"/>
  <c r="AW26" i="11"/>
  <c r="I26" i="11"/>
  <c r="AW22" i="11"/>
  <c r="I22" i="11"/>
  <c r="AW18" i="11"/>
  <c r="I18" i="11" s="1"/>
  <c r="AF84" i="11"/>
  <c r="AF36" i="11"/>
  <c r="AF52" i="11"/>
  <c r="AF132" i="11"/>
  <c r="AF180" i="11"/>
  <c r="AF100" i="11"/>
  <c r="AF164" i="11"/>
  <c r="AF116" i="11"/>
  <c r="AF148" i="11"/>
  <c r="AF154" i="11"/>
  <c r="AF153" i="11"/>
  <c r="AF194" i="11"/>
  <c r="AF217" i="11"/>
  <c r="AF206" i="11"/>
  <c r="AF30" i="11"/>
  <c r="AF54" i="11"/>
  <c r="AF118" i="11"/>
  <c r="AF22" i="11"/>
  <c r="AF166" i="11"/>
  <c r="AF70" i="11"/>
  <c r="AF46" i="11"/>
  <c r="AF38" i="11"/>
  <c r="AF102" i="11"/>
  <c r="AF14" i="11"/>
  <c r="AF230" i="11"/>
  <c r="AF62" i="11"/>
  <c r="AF94" i="11"/>
  <c r="AF246" i="11"/>
  <c r="AF212" i="11"/>
  <c r="AF196" i="11"/>
  <c r="AF61" i="11"/>
  <c r="AF258" i="11"/>
  <c r="AT43" i="108"/>
  <c r="BG43" i="108"/>
  <c r="AR43" i="108"/>
  <c r="BF43" i="108"/>
  <c r="BE43" i="108"/>
  <c r="AF250" i="11"/>
  <c r="AF238" i="11"/>
  <c r="AF222" i="11"/>
  <c r="AF198" i="11"/>
  <c r="AF186" i="11"/>
  <c r="AF174" i="11"/>
  <c r="AF162" i="11"/>
  <c r="AF150" i="11"/>
  <c r="AF138" i="11"/>
  <c r="AF126" i="11"/>
  <c r="AF114" i="11"/>
  <c r="AF89" i="11"/>
  <c r="AF78" i="11"/>
  <c r="AF25" i="11"/>
  <c r="AF254" i="11"/>
  <c r="AF242" i="11"/>
  <c r="AF226" i="11"/>
  <c r="AF214" i="11"/>
  <c r="AF202" i="11"/>
  <c r="AF190" i="11"/>
  <c r="AF178" i="11"/>
  <c r="AF142" i="11"/>
  <c r="AF130" i="11"/>
  <c r="AF249" i="11"/>
  <c r="AF234" i="11"/>
  <c r="AF218" i="11"/>
  <c r="AF210" i="11"/>
  <c r="AF182" i="11"/>
  <c r="AF170" i="11"/>
  <c r="AF158" i="11"/>
  <c r="AF134" i="11"/>
  <c r="AF122" i="11"/>
  <c r="AF110" i="11"/>
  <c r="AF98" i="11"/>
  <c r="AF86" i="11"/>
  <c r="AF74" i="11"/>
  <c r="AF53" i="11"/>
  <c r="AF33" i="11"/>
  <c r="AF257" i="11"/>
  <c r="AF225" i="11"/>
  <c r="AF181" i="11"/>
  <c r="AF161" i="11"/>
  <c r="AF117" i="11"/>
  <c r="AF97" i="11"/>
  <c r="AF81" i="11"/>
  <c r="AF73" i="11"/>
  <c r="AF45" i="11"/>
  <c r="AF37" i="11"/>
  <c r="AF17" i="11"/>
  <c r="AF125" i="11"/>
  <c r="AF57" i="11"/>
  <c r="AF21" i="11"/>
  <c r="AF233" i="11"/>
  <c r="AF189" i="11"/>
  <c r="AF85" i="11"/>
  <c r="AF65" i="11"/>
  <c r="AF29" i="11"/>
  <c r="AF241" i="11"/>
  <c r="AF77" i="11"/>
  <c r="AF69" i="11"/>
  <c r="AF49" i="11"/>
  <c r="AF41" i="11"/>
  <c r="B10" i="108" a="1"/>
  <c r="B10" i="108" s="1"/>
  <c r="AF209" i="11"/>
  <c r="AF201" i="11"/>
  <c r="AF173" i="11"/>
  <c r="AF165" i="11"/>
  <c r="AF145" i="11"/>
  <c r="AF137" i="11"/>
  <c r="AF109" i="11"/>
  <c r="AF101" i="11"/>
  <c r="AF253" i="11"/>
  <c r="AF229" i="11"/>
  <c r="AF213" i="11"/>
  <c r="AF185" i="11"/>
  <c r="AF157" i="11"/>
  <c r="AF149" i="11"/>
  <c r="AF129" i="11"/>
  <c r="AF121" i="11"/>
  <c r="AF93" i="11"/>
  <c r="AF245" i="11"/>
  <c r="AF237" i="11"/>
  <c r="AF221" i="11"/>
  <c r="AF193" i="11"/>
  <c r="AF205" i="11"/>
  <c r="AF197" i="11"/>
  <c r="AF177" i="11"/>
  <c r="AF169" i="11"/>
  <c r="AF141" i="11"/>
  <c r="AF133" i="11"/>
  <c r="AF113" i="11"/>
  <c r="AF105" i="11"/>
  <c r="AG10" i="108" a="1"/>
  <c r="AG10" i="108" s="1"/>
  <c r="AF200" i="11"/>
  <c r="AF184" i="11"/>
  <c r="AF168" i="11"/>
  <c r="AF136" i="11"/>
  <c r="AF120" i="11"/>
  <c r="AF104" i="11"/>
  <c r="AF56" i="11"/>
  <c r="AF40" i="11"/>
  <c r="U80" i="22"/>
  <c r="T55" i="22"/>
  <c r="U38" i="22"/>
  <c r="U134" i="22"/>
  <c r="U55" i="22"/>
  <c r="U135" i="22"/>
  <c r="T38" i="22"/>
  <c r="T80" i="22"/>
  <c r="AF216" i="11"/>
  <c r="AF24" i="11"/>
  <c r="J38" i="22"/>
  <c r="J55" i="22"/>
  <c r="I80" i="22"/>
  <c r="I38" i="22"/>
  <c r="G38" i="22"/>
  <c r="G134" i="22"/>
  <c r="G55" i="22"/>
  <c r="G135" i="22"/>
  <c r="F38" i="22"/>
  <c r="I55" i="22"/>
  <c r="G80" i="22"/>
  <c r="F55" i="22"/>
  <c r="AF204" i="11"/>
  <c r="AF188" i="11"/>
  <c r="AF172" i="11"/>
  <c r="AF156" i="11"/>
  <c r="AF140" i="11"/>
  <c r="AF124" i="11"/>
  <c r="AF108" i="11"/>
  <c r="AF92" i="11"/>
  <c r="AF76" i="11"/>
  <c r="AF60" i="11"/>
  <c r="AF44" i="11"/>
  <c r="AF28" i="11"/>
  <c r="AF152" i="11"/>
  <c r="AF88" i="11"/>
  <c r="AF72" i="11"/>
  <c r="AF208" i="11"/>
  <c r="AF192" i="11"/>
  <c r="AF176" i="11"/>
  <c r="AF160" i="11"/>
  <c r="AF144" i="11"/>
  <c r="AF128" i="11"/>
  <c r="AF112" i="11"/>
  <c r="AF96" i="11"/>
  <c r="AF80" i="11"/>
  <c r="AF64" i="11"/>
  <c r="AF48" i="11"/>
  <c r="AF32" i="11"/>
  <c r="AF16" i="11"/>
  <c r="AW11" i="11"/>
  <c r="I11" i="11" s="1"/>
  <c r="AP43" i="108"/>
  <c r="AJ43" i="108"/>
  <c r="AG44" i="108" a="1"/>
  <c r="AG44" i="108" s="1"/>
  <c r="AF256" i="11"/>
  <c r="AF252" i="11"/>
  <c r="AF248" i="11"/>
  <c r="AF244" i="11"/>
  <c r="AF240" i="11"/>
  <c r="AF236" i="11"/>
  <c r="AF232" i="11"/>
  <c r="AF228" i="11"/>
  <c r="AF224" i="11"/>
  <c r="AF220" i="11"/>
  <c r="AF255" i="11"/>
  <c r="AF251" i="11"/>
  <c r="AF247" i="11"/>
  <c r="AF243" i="11"/>
  <c r="AF239" i="11"/>
  <c r="AF235" i="11"/>
  <c r="AF231" i="11"/>
  <c r="AF227" i="11"/>
  <c r="AF223" i="11"/>
  <c r="AF219" i="11"/>
  <c r="AF215" i="11"/>
  <c r="AF211" i="11"/>
  <c r="AF207" i="11"/>
  <c r="AF203" i="11"/>
  <c r="AF199" i="11"/>
  <c r="AF195" i="11"/>
  <c r="AF191" i="11"/>
  <c r="AF187" i="11"/>
  <c r="AF183" i="11"/>
  <c r="AF179" i="11"/>
  <c r="AF175" i="11"/>
  <c r="AF171" i="11"/>
  <c r="AF167" i="11"/>
  <c r="AF163" i="11"/>
  <c r="AF159" i="11"/>
  <c r="AF155" i="11"/>
  <c r="AF151" i="11"/>
  <c r="AF147" i="11"/>
  <c r="AF143" i="11"/>
  <c r="AF139" i="11"/>
  <c r="AF135" i="11"/>
  <c r="AF131" i="11"/>
  <c r="AF127" i="11"/>
  <c r="AF123" i="11"/>
  <c r="AF119" i="11"/>
  <c r="AF115" i="11"/>
  <c r="AF111" i="11"/>
  <c r="AF107" i="11"/>
  <c r="AF103" i="11"/>
  <c r="AF99" i="11"/>
  <c r="AF95" i="11"/>
  <c r="AF91" i="11"/>
  <c r="AF87" i="11"/>
  <c r="AF83" i="11"/>
  <c r="AF79" i="11"/>
  <c r="AF75" i="11"/>
  <c r="AF71" i="11"/>
  <c r="AF67" i="11"/>
  <c r="AF63" i="11"/>
  <c r="AF59" i="11"/>
  <c r="AF55" i="11"/>
  <c r="AF51" i="11"/>
  <c r="AF47" i="11"/>
  <c r="AF43" i="11"/>
  <c r="AF39" i="11"/>
  <c r="AF35" i="11"/>
  <c r="AF31" i="11"/>
  <c r="AF27" i="11"/>
  <c r="AF23" i="11"/>
  <c r="AF19" i="11"/>
  <c r="AF15" i="11"/>
  <c r="AW12" i="11"/>
  <c r="I12" i="11" s="1"/>
  <c r="AW13" i="11"/>
  <c r="I13" i="11" s="1"/>
  <c r="AF11" i="11"/>
  <c r="B45" i="108" a="1"/>
  <c r="B45" i="108" s="1"/>
  <c r="BM45" i="108" s="1"/>
  <c r="AF13" i="11"/>
  <c r="AF12" i="11"/>
  <c r="J153" i="22"/>
  <c r="J155" i="22"/>
  <c r="J157" i="22"/>
  <c r="J160" i="22"/>
  <c r="J161" i="22"/>
  <c r="AS30" i="59" l="1"/>
  <c r="AG30" i="59"/>
  <c r="AS46" i="59"/>
  <c r="AG46" i="59"/>
  <c r="AS78" i="59"/>
  <c r="AG78" i="59"/>
  <c r="AS110" i="59"/>
  <c r="AG110" i="59"/>
  <c r="AS126" i="59"/>
  <c r="AG126" i="59"/>
  <c r="AS158" i="59"/>
  <c r="AG158" i="59"/>
  <c r="AS174" i="59"/>
  <c r="AG174" i="59"/>
  <c r="AS206" i="59"/>
  <c r="AG206" i="59"/>
  <c r="AS238" i="59"/>
  <c r="AG238" i="59"/>
  <c r="AS68" i="59"/>
  <c r="AG68" i="59"/>
  <c r="AS23" i="59"/>
  <c r="AG23" i="59"/>
  <c r="AS55" i="59"/>
  <c r="AG55" i="59"/>
  <c r="AS71" i="59"/>
  <c r="AG71" i="59"/>
  <c r="AS103" i="59"/>
  <c r="AG103" i="59"/>
  <c r="AS135" i="59"/>
  <c r="AG135" i="59"/>
  <c r="AS167" i="59"/>
  <c r="AG167" i="59"/>
  <c r="AS183" i="59"/>
  <c r="AG183" i="59"/>
  <c r="AS199" i="59"/>
  <c r="AG199" i="59"/>
  <c r="AS231" i="59"/>
  <c r="AG231" i="59"/>
  <c r="AS247" i="59"/>
  <c r="AG247" i="59"/>
  <c r="AS216" i="59"/>
  <c r="AG216" i="59"/>
  <c r="AS116" i="59"/>
  <c r="AG116" i="59"/>
  <c r="AS252" i="59"/>
  <c r="AG252" i="59"/>
  <c r="AS24" i="59"/>
  <c r="AG24" i="59"/>
  <c r="AS40" i="59"/>
  <c r="AG40" i="59"/>
  <c r="AS56" i="59"/>
  <c r="AG56" i="59"/>
  <c r="AS72" i="59"/>
  <c r="AG72" i="59"/>
  <c r="AS88" i="59"/>
  <c r="AG88" i="59"/>
  <c r="AS104" i="59"/>
  <c r="AG104" i="59"/>
  <c r="AS120" i="59"/>
  <c r="AG120" i="59"/>
  <c r="AS136" i="59"/>
  <c r="AG136" i="59"/>
  <c r="AS152" i="59"/>
  <c r="AG152" i="59"/>
  <c r="AS168" i="59"/>
  <c r="AG168" i="59"/>
  <c r="AS184" i="59"/>
  <c r="AG184" i="59"/>
  <c r="AS200" i="59"/>
  <c r="AG200" i="59"/>
  <c r="AS240" i="59"/>
  <c r="AG240" i="59"/>
  <c r="AS148" i="59"/>
  <c r="AG148" i="59"/>
  <c r="AS236" i="59"/>
  <c r="AG236" i="59"/>
  <c r="AS25" i="59"/>
  <c r="AG25" i="59"/>
  <c r="AS41" i="59"/>
  <c r="AG41" i="59"/>
  <c r="AS57" i="59"/>
  <c r="AG57" i="59"/>
  <c r="AS73" i="59"/>
  <c r="AG73" i="59"/>
  <c r="AS89" i="59"/>
  <c r="AG89" i="59"/>
  <c r="AS105" i="59"/>
  <c r="AG105" i="59"/>
  <c r="AS121" i="59"/>
  <c r="AG121" i="59"/>
  <c r="AS137" i="59"/>
  <c r="AG137" i="59"/>
  <c r="AS153" i="59"/>
  <c r="AG153" i="59"/>
  <c r="AS169" i="59"/>
  <c r="AG169" i="59"/>
  <c r="AS185" i="59"/>
  <c r="AG185" i="59"/>
  <c r="AS201" i="59"/>
  <c r="AG201" i="59"/>
  <c r="AS217" i="59"/>
  <c r="AG217" i="59"/>
  <c r="AS233" i="59"/>
  <c r="AG233" i="59"/>
  <c r="AS249" i="59"/>
  <c r="AG249" i="59"/>
  <c r="AS20" i="59"/>
  <c r="AG20" i="59"/>
  <c r="AS84" i="59"/>
  <c r="AG84" i="59"/>
  <c r="AS180" i="59"/>
  <c r="AG180" i="59"/>
  <c r="AS26" i="59"/>
  <c r="AG26" i="59"/>
  <c r="AS42" i="59"/>
  <c r="AG42" i="59"/>
  <c r="AS58" i="59"/>
  <c r="AG58" i="59"/>
  <c r="AS74" i="59"/>
  <c r="AG74" i="59"/>
  <c r="AS90" i="59"/>
  <c r="AG90" i="59"/>
  <c r="AS106" i="59"/>
  <c r="AG106" i="59"/>
  <c r="AS122" i="59"/>
  <c r="AG122" i="59"/>
  <c r="AS138" i="59"/>
  <c r="AG138" i="59"/>
  <c r="AS154" i="59"/>
  <c r="AG154" i="59"/>
  <c r="AS170" i="59"/>
  <c r="AG170" i="59"/>
  <c r="AS186" i="59"/>
  <c r="AG186" i="59"/>
  <c r="AS202" i="59"/>
  <c r="AG202" i="59"/>
  <c r="AS218" i="59"/>
  <c r="AG218" i="59"/>
  <c r="AS234" i="59"/>
  <c r="AG234" i="59"/>
  <c r="AS250" i="59"/>
  <c r="AG250" i="59"/>
  <c r="AS28" i="59"/>
  <c r="AG28" i="59"/>
  <c r="AS108" i="59"/>
  <c r="AG108" i="59"/>
  <c r="AS228" i="59"/>
  <c r="AG228" i="59"/>
  <c r="AS27" i="59"/>
  <c r="AG27" i="59"/>
  <c r="AS43" i="59"/>
  <c r="AG43" i="59"/>
  <c r="AS59" i="59"/>
  <c r="AG59" i="59"/>
  <c r="AS75" i="59"/>
  <c r="AG75" i="59"/>
  <c r="AS91" i="59"/>
  <c r="AG91" i="59"/>
  <c r="AS107" i="59"/>
  <c r="AG107" i="59"/>
  <c r="AS123" i="59"/>
  <c r="AG123" i="59"/>
  <c r="AS139" i="59"/>
  <c r="AG139" i="59"/>
  <c r="AS155" i="59"/>
  <c r="AG155" i="59"/>
  <c r="AS171" i="59"/>
  <c r="AG171" i="59"/>
  <c r="AS187" i="59"/>
  <c r="AG187" i="59"/>
  <c r="AS203" i="59"/>
  <c r="AG203" i="59"/>
  <c r="AS219" i="59"/>
  <c r="AG219" i="59"/>
  <c r="AS235" i="59"/>
  <c r="AG235" i="59"/>
  <c r="AS251" i="59"/>
  <c r="AG251" i="59"/>
  <c r="AS60" i="59"/>
  <c r="AG60" i="59"/>
  <c r="AS140" i="59"/>
  <c r="AG140" i="59"/>
  <c r="AS244" i="59"/>
  <c r="AG244" i="59"/>
  <c r="AS29" i="59"/>
  <c r="AG29" i="59"/>
  <c r="AS45" i="59"/>
  <c r="AG45" i="59"/>
  <c r="AS61" i="59"/>
  <c r="AG61" i="59"/>
  <c r="AS77" i="59"/>
  <c r="AG77" i="59"/>
  <c r="AS93" i="59"/>
  <c r="AG93" i="59"/>
  <c r="AS109" i="59"/>
  <c r="AG109" i="59"/>
  <c r="AS125" i="59"/>
  <c r="AG125" i="59"/>
  <c r="AS141" i="59"/>
  <c r="AG141" i="59"/>
  <c r="AS157" i="59"/>
  <c r="AG157" i="59"/>
  <c r="AS173" i="59"/>
  <c r="AG173" i="59"/>
  <c r="AS189" i="59"/>
  <c r="AG189" i="59"/>
  <c r="AS205" i="59"/>
  <c r="AG205" i="59"/>
  <c r="AS221" i="59"/>
  <c r="AG221" i="59"/>
  <c r="AS237" i="59"/>
  <c r="AG237" i="59"/>
  <c r="AS253" i="59"/>
  <c r="AG253" i="59"/>
  <c r="AS248" i="59"/>
  <c r="AG248" i="59"/>
  <c r="AS156" i="59"/>
  <c r="AG156" i="59"/>
  <c r="AS14" i="59"/>
  <c r="AG14" i="59"/>
  <c r="AS13" i="59"/>
  <c r="AG13" i="59"/>
  <c r="AS62" i="59"/>
  <c r="AG62" i="59"/>
  <c r="AS94" i="59"/>
  <c r="AG94" i="59"/>
  <c r="AS142" i="59"/>
  <c r="AG142" i="59"/>
  <c r="AS190" i="59"/>
  <c r="AG190" i="59"/>
  <c r="AS222" i="59"/>
  <c r="AG222" i="59"/>
  <c r="AS254" i="59"/>
  <c r="AG254" i="59"/>
  <c r="AS164" i="59"/>
  <c r="AG164" i="59"/>
  <c r="AS39" i="59"/>
  <c r="AG39" i="59"/>
  <c r="AS87" i="59"/>
  <c r="AG87" i="59"/>
  <c r="AS119" i="59"/>
  <c r="AG119" i="59"/>
  <c r="AS151" i="59"/>
  <c r="AG151" i="59"/>
  <c r="AS215" i="59"/>
  <c r="AG215" i="59"/>
  <c r="AS11" i="59"/>
  <c r="AG11" i="59"/>
  <c r="AS22" i="59"/>
  <c r="AG22" i="59"/>
  <c r="AS54" i="59"/>
  <c r="AG54" i="59"/>
  <c r="AS70" i="59"/>
  <c r="AG70" i="59"/>
  <c r="AS102" i="59"/>
  <c r="AG102" i="59"/>
  <c r="AS134" i="59"/>
  <c r="AG134" i="59"/>
  <c r="AS166" i="59"/>
  <c r="AG166" i="59"/>
  <c r="AS182" i="59"/>
  <c r="AG182" i="59"/>
  <c r="AS214" i="59"/>
  <c r="AG214" i="59"/>
  <c r="AS246" i="59"/>
  <c r="AG246" i="59"/>
  <c r="AS124" i="59"/>
  <c r="AG124" i="59"/>
  <c r="AS31" i="59"/>
  <c r="AG31" i="59"/>
  <c r="AS63" i="59"/>
  <c r="AG63" i="59"/>
  <c r="AS95" i="59"/>
  <c r="AG95" i="59"/>
  <c r="AS127" i="59"/>
  <c r="AG127" i="59"/>
  <c r="AS143" i="59"/>
  <c r="AG143" i="59"/>
  <c r="AS175" i="59"/>
  <c r="AG175" i="59"/>
  <c r="AS207" i="59"/>
  <c r="AG207" i="59"/>
  <c r="AS239" i="59"/>
  <c r="AG239" i="59"/>
  <c r="AS256" i="59"/>
  <c r="AG256" i="59"/>
  <c r="AS16" i="59"/>
  <c r="AG16" i="59"/>
  <c r="AS32" i="59"/>
  <c r="AG32" i="59"/>
  <c r="AS64" i="59"/>
  <c r="AG64" i="59"/>
  <c r="AS96" i="59"/>
  <c r="AG96" i="59"/>
  <c r="AS128" i="59"/>
  <c r="AG128" i="59"/>
  <c r="AS160" i="59"/>
  <c r="AG160" i="59"/>
  <c r="AS176" i="59"/>
  <c r="AG176" i="59"/>
  <c r="AS208" i="59"/>
  <c r="AG208" i="59"/>
  <c r="AS196" i="59"/>
  <c r="AG196" i="59"/>
  <c r="AS33" i="59"/>
  <c r="AG33" i="59"/>
  <c r="AS65" i="59"/>
  <c r="AG65" i="59"/>
  <c r="AS81" i="59"/>
  <c r="AG81" i="59"/>
  <c r="AS97" i="59"/>
  <c r="AG97" i="59"/>
  <c r="AS113" i="59"/>
  <c r="AG113" i="59"/>
  <c r="AS129" i="59"/>
  <c r="AG129" i="59"/>
  <c r="AS145" i="59"/>
  <c r="AG145" i="59"/>
  <c r="AS161" i="59"/>
  <c r="AG161" i="59"/>
  <c r="AS193" i="59"/>
  <c r="AG193" i="59"/>
  <c r="AS209" i="59"/>
  <c r="AG209" i="59"/>
  <c r="AS225" i="59"/>
  <c r="AG225" i="59"/>
  <c r="AS241" i="59"/>
  <c r="AG241" i="59"/>
  <c r="AS257" i="59"/>
  <c r="AG257" i="59"/>
  <c r="AS44" i="59"/>
  <c r="AG44" i="59"/>
  <c r="AS132" i="59"/>
  <c r="AG132" i="59"/>
  <c r="AS18" i="59"/>
  <c r="AG18" i="59"/>
  <c r="AS34" i="59"/>
  <c r="AG34" i="59"/>
  <c r="AS50" i="59"/>
  <c r="AG50" i="59"/>
  <c r="AS66" i="59"/>
  <c r="AG66" i="59"/>
  <c r="AS82" i="59"/>
  <c r="AG82" i="59"/>
  <c r="AS98" i="59"/>
  <c r="AG98" i="59"/>
  <c r="AS114" i="59"/>
  <c r="AG114" i="59"/>
  <c r="AS130" i="59"/>
  <c r="AG130" i="59"/>
  <c r="AS146" i="59"/>
  <c r="AG146" i="59"/>
  <c r="AS162" i="59"/>
  <c r="AG162" i="59"/>
  <c r="AS178" i="59"/>
  <c r="AG178" i="59"/>
  <c r="AS194" i="59"/>
  <c r="AG194" i="59"/>
  <c r="AS210" i="59"/>
  <c r="AG210" i="59"/>
  <c r="AS226" i="59"/>
  <c r="AG226" i="59"/>
  <c r="AS242" i="59"/>
  <c r="AG242" i="59"/>
  <c r="AS258" i="59"/>
  <c r="AG258" i="59"/>
  <c r="AS52" i="59"/>
  <c r="AG52" i="59"/>
  <c r="AS188" i="59"/>
  <c r="AG188" i="59"/>
  <c r="AS19" i="59"/>
  <c r="AG19" i="59"/>
  <c r="AS35" i="59"/>
  <c r="AG35" i="59"/>
  <c r="AS51" i="59"/>
  <c r="AG51" i="59"/>
  <c r="AS67" i="59"/>
  <c r="AG67" i="59"/>
  <c r="AS83" i="59"/>
  <c r="AG83" i="59"/>
  <c r="AS99" i="59"/>
  <c r="AG99" i="59"/>
  <c r="AS115" i="59"/>
  <c r="AG115" i="59"/>
  <c r="AS131" i="59"/>
  <c r="AG131" i="59"/>
  <c r="AS147" i="59"/>
  <c r="AG147" i="59"/>
  <c r="AS163" i="59"/>
  <c r="AG163" i="59"/>
  <c r="AS179" i="59"/>
  <c r="AG179" i="59"/>
  <c r="AS195" i="59"/>
  <c r="AG195" i="59"/>
  <c r="AS211" i="59"/>
  <c r="AG211" i="59"/>
  <c r="AS227" i="59"/>
  <c r="AG227" i="59"/>
  <c r="AS243" i="59"/>
  <c r="AG243" i="59"/>
  <c r="AS36" i="59"/>
  <c r="AG36" i="59"/>
  <c r="AS100" i="59"/>
  <c r="AG100" i="59"/>
  <c r="AS204" i="59"/>
  <c r="AG204" i="59"/>
  <c r="AS21" i="59"/>
  <c r="AG21" i="59"/>
  <c r="AS37" i="59"/>
  <c r="AG37" i="59"/>
  <c r="AS53" i="59"/>
  <c r="AG53" i="59"/>
  <c r="AS69" i="59"/>
  <c r="AG69" i="59"/>
  <c r="AS85" i="59"/>
  <c r="AG85" i="59"/>
  <c r="AS101" i="59"/>
  <c r="AG101" i="59"/>
  <c r="AS117" i="59"/>
  <c r="AG117" i="59"/>
  <c r="AS133" i="59"/>
  <c r="AG133" i="59"/>
  <c r="AS149" i="59"/>
  <c r="AG149" i="59"/>
  <c r="AS165" i="59"/>
  <c r="AG165" i="59"/>
  <c r="AS181" i="59"/>
  <c r="AG181" i="59"/>
  <c r="AS197" i="59"/>
  <c r="AG197" i="59"/>
  <c r="AS213" i="59"/>
  <c r="AG213" i="59"/>
  <c r="AS229" i="59"/>
  <c r="AG229" i="59"/>
  <c r="AS245" i="59"/>
  <c r="AG245" i="59"/>
  <c r="AS224" i="59"/>
  <c r="AG224" i="59"/>
  <c r="AS76" i="59"/>
  <c r="AG76" i="59"/>
  <c r="AS220" i="59"/>
  <c r="AG220" i="59"/>
  <c r="AS15" i="59"/>
  <c r="AG15" i="59"/>
  <c r="AS38" i="59"/>
  <c r="AG38" i="59"/>
  <c r="AS86" i="59"/>
  <c r="AG86" i="59"/>
  <c r="AS118" i="59"/>
  <c r="AG118" i="59"/>
  <c r="AS150" i="59"/>
  <c r="AG150" i="59"/>
  <c r="AS198" i="59"/>
  <c r="AG198" i="59"/>
  <c r="AS230" i="59"/>
  <c r="AG230" i="59"/>
  <c r="AS232" i="59"/>
  <c r="AG232" i="59"/>
  <c r="AS212" i="59"/>
  <c r="AG212" i="59"/>
  <c r="AS47" i="59"/>
  <c r="AG47" i="59"/>
  <c r="AS79" i="59"/>
  <c r="AG79" i="59"/>
  <c r="AS111" i="59"/>
  <c r="AG111" i="59"/>
  <c r="AS159" i="59"/>
  <c r="AG159" i="59"/>
  <c r="AS191" i="59"/>
  <c r="AG191" i="59"/>
  <c r="AS223" i="59"/>
  <c r="AG223" i="59"/>
  <c r="AS255" i="59"/>
  <c r="AG255" i="59"/>
  <c r="AS172" i="59"/>
  <c r="AG172" i="59"/>
  <c r="AS48" i="59"/>
  <c r="AG48" i="59"/>
  <c r="AS80" i="59"/>
  <c r="AG80" i="59"/>
  <c r="AS112" i="59"/>
  <c r="AG112" i="59"/>
  <c r="AS144" i="59"/>
  <c r="AG144" i="59"/>
  <c r="AS192" i="59"/>
  <c r="AG192" i="59"/>
  <c r="AS92" i="59"/>
  <c r="AG92" i="59"/>
  <c r="AS17" i="59"/>
  <c r="AG17" i="59"/>
  <c r="AS49" i="59"/>
  <c r="AG49" i="59"/>
  <c r="AS177" i="59"/>
  <c r="AG177" i="59"/>
  <c r="AH38" i="59"/>
  <c r="Q38" i="59"/>
  <c r="AH70" i="59"/>
  <c r="Q70" i="59"/>
  <c r="AH102" i="59"/>
  <c r="Q102" i="59"/>
  <c r="AH150" i="59"/>
  <c r="Q150" i="59"/>
  <c r="AH182" i="59"/>
  <c r="Q182" i="59"/>
  <c r="AH246" i="59"/>
  <c r="Q246" i="59"/>
  <c r="AH124" i="59"/>
  <c r="Q124" i="59"/>
  <c r="AH47" i="59"/>
  <c r="Q47" i="59"/>
  <c r="AH79" i="59"/>
  <c r="Q79" i="59"/>
  <c r="AH127" i="59"/>
  <c r="Q127" i="59"/>
  <c r="AH159" i="59"/>
  <c r="Q159" i="59"/>
  <c r="AH207" i="59"/>
  <c r="Q207" i="59"/>
  <c r="AH255" i="59"/>
  <c r="Q255" i="59"/>
  <c r="AH172" i="59"/>
  <c r="Q172" i="59"/>
  <c r="AH48" i="59"/>
  <c r="Q48" i="59"/>
  <c r="AH80" i="59"/>
  <c r="Q80" i="59"/>
  <c r="AH128" i="59"/>
  <c r="Q128" i="59"/>
  <c r="AH160" i="59"/>
  <c r="Q160" i="59"/>
  <c r="AH192" i="59"/>
  <c r="Q192" i="59"/>
  <c r="AH92" i="59"/>
  <c r="Q92" i="59"/>
  <c r="AH17" i="59"/>
  <c r="AH33" i="59"/>
  <c r="Q33" i="59"/>
  <c r="AH49" i="59"/>
  <c r="Q49" i="59"/>
  <c r="AH65" i="59"/>
  <c r="Q65" i="59"/>
  <c r="AH81" i="59"/>
  <c r="Q81" i="59"/>
  <c r="AH97" i="59"/>
  <c r="Q97" i="59"/>
  <c r="AH113" i="59"/>
  <c r="Q113" i="59"/>
  <c r="AH129" i="59"/>
  <c r="Q129" i="59"/>
  <c r="AH145" i="59"/>
  <c r="Q145" i="59"/>
  <c r="AH161" i="59"/>
  <c r="Q161" i="59"/>
  <c r="AH177" i="59"/>
  <c r="Q177" i="59"/>
  <c r="AH193" i="59"/>
  <c r="Q193" i="59"/>
  <c r="AH209" i="59"/>
  <c r="Q209" i="59"/>
  <c r="AH225" i="59"/>
  <c r="Q225" i="59"/>
  <c r="AH241" i="59"/>
  <c r="Q241" i="59"/>
  <c r="AH257" i="59"/>
  <c r="Q257" i="59"/>
  <c r="AH44" i="59"/>
  <c r="Q44" i="59"/>
  <c r="AH132" i="59"/>
  <c r="Q132" i="59"/>
  <c r="AH18" i="59"/>
  <c r="Q18" i="59"/>
  <c r="AH34" i="59"/>
  <c r="Q34" i="59"/>
  <c r="AH50" i="59"/>
  <c r="Q50" i="59"/>
  <c r="AH66" i="59"/>
  <c r="Q66" i="59"/>
  <c r="AH82" i="59"/>
  <c r="Q82" i="59"/>
  <c r="AH98" i="59"/>
  <c r="Q98" i="59"/>
  <c r="AH114" i="59"/>
  <c r="Q114" i="59"/>
  <c r="AH130" i="59"/>
  <c r="Q130" i="59"/>
  <c r="AH146" i="59"/>
  <c r="Q146" i="59"/>
  <c r="AH162" i="59"/>
  <c r="Q162" i="59"/>
  <c r="AH178" i="59"/>
  <c r="Q178" i="59"/>
  <c r="AH194" i="59"/>
  <c r="Q194" i="59"/>
  <c r="AH210" i="59"/>
  <c r="Q210" i="59"/>
  <c r="AH226" i="59"/>
  <c r="Q226" i="59"/>
  <c r="AH242" i="59"/>
  <c r="Q242" i="59"/>
  <c r="AH258" i="59"/>
  <c r="Q258" i="59"/>
  <c r="AH52" i="59"/>
  <c r="Q52" i="59"/>
  <c r="AH188" i="59"/>
  <c r="Q188" i="59"/>
  <c r="AH19" i="59"/>
  <c r="Q19" i="59"/>
  <c r="AH35" i="59"/>
  <c r="Q35" i="59"/>
  <c r="AH51" i="59"/>
  <c r="Q51" i="59"/>
  <c r="AH67" i="59"/>
  <c r="Q67" i="59"/>
  <c r="AH83" i="59"/>
  <c r="Q83" i="59"/>
  <c r="AH99" i="59"/>
  <c r="Q99" i="59"/>
  <c r="AH115" i="59"/>
  <c r="Q115" i="59"/>
  <c r="AH131" i="59"/>
  <c r="Q131" i="59"/>
  <c r="AH147" i="59"/>
  <c r="Q147" i="59"/>
  <c r="AH163" i="59"/>
  <c r="Q163" i="59"/>
  <c r="AH179" i="59"/>
  <c r="Q179" i="59"/>
  <c r="AH195" i="59"/>
  <c r="Q195" i="59"/>
  <c r="AH211" i="59"/>
  <c r="Q211" i="59"/>
  <c r="AH227" i="59"/>
  <c r="Q227" i="59"/>
  <c r="AH243" i="59"/>
  <c r="Q243" i="59"/>
  <c r="AH36" i="59"/>
  <c r="Q36" i="59"/>
  <c r="AH100" i="59"/>
  <c r="Q100" i="59"/>
  <c r="AH204" i="59"/>
  <c r="Q204" i="59"/>
  <c r="AH21" i="59"/>
  <c r="Q21" i="59"/>
  <c r="AH37" i="59"/>
  <c r="Q37" i="59"/>
  <c r="AH53" i="59"/>
  <c r="Q53" i="59"/>
  <c r="AH69" i="59"/>
  <c r="Q69" i="59"/>
  <c r="AH85" i="59"/>
  <c r="Q85" i="59"/>
  <c r="AH101" i="59"/>
  <c r="Q101" i="59"/>
  <c r="AH117" i="59"/>
  <c r="Q117" i="59"/>
  <c r="AH133" i="59"/>
  <c r="Q133" i="59"/>
  <c r="AH149" i="59"/>
  <c r="Q149" i="59"/>
  <c r="AH165" i="59"/>
  <c r="Q165" i="59"/>
  <c r="AH181" i="59"/>
  <c r="Q181" i="59"/>
  <c r="AH197" i="59"/>
  <c r="Q197" i="59"/>
  <c r="AH213" i="59"/>
  <c r="Q213" i="59"/>
  <c r="AH229" i="59"/>
  <c r="Q229" i="59"/>
  <c r="AH245" i="59"/>
  <c r="Q245" i="59"/>
  <c r="AH224" i="59"/>
  <c r="Q224" i="59"/>
  <c r="AH76" i="59"/>
  <c r="Q76" i="59"/>
  <c r="AH220" i="59"/>
  <c r="Q220" i="59"/>
  <c r="AH15" i="59"/>
  <c r="AH22" i="59"/>
  <c r="Q22" i="59"/>
  <c r="AH54" i="59"/>
  <c r="Q54" i="59"/>
  <c r="AH118" i="59"/>
  <c r="Q118" i="59"/>
  <c r="AH134" i="59"/>
  <c r="Q134" i="59"/>
  <c r="AH198" i="59"/>
  <c r="Q198" i="59"/>
  <c r="AH230" i="59"/>
  <c r="Q230" i="59"/>
  <c r="AH232" i="59"/>
  <c r="Q232" i="59"/>
  <c r="AH31" i="59"/>
  <c r="Q31" i="59"/>
  <c r="AH63" i="59"/>
  <c r="Q63" i="59"/>
  <c r="AH111" i="59"/>
  <c r="Q111" i="59"/>
  <c r="AH143" i="59"/>
  <c r="Q143" i="59"/>
  <c r="AH191" i="59"/>
  <c r="Q191" i="59"/>
  <c r="AH223" i="59"/>
  <c r="Q223" i="59"/>
  <c r="AH256" i="59"/>
  <c r="Q256" i="59"/>
  <c r="AH32" i="59"/>
  <c r="Q32" i="59"/>
  <c r="AH64" i="59"/>
  <c r="Q64" i="59"/>
  <c r="AH112" i="59"/>
  <c r="Q112" i="59"/>
  <c r="AH144" i="59"/>
  <c r="Q144" i="59"/>
  <c r="AH176" i="59"/>
  <c r="Q176" i="59"/>
  <c r="AH196" i="59"/>
  <c r="Q196" i="59"/>
  <c r="AH30" i="59"/>
  <c r="Q30" i="59"/>
  <c r="AH62" i="59"/>
  <c r="Q62" i="59"/>
  <c r="AH78" i="59"/>
  <c r="Q78" i="59"/>
  <c r="AH110" i="59"/>
  <c r="Q110" i="59"/>
  <c r="AH126" i="59"/>
  <c r="Q126" i="59"/>
  <c r="AH158" i="59"/>
  <c r="Q158" i="59"/>
  <c r="AH174" i="59"/>
  <c r="Q174" i="59"/>
  <c r="AH206" i="59"/>
  <c r="Q206" i="59"/>
  <c r="AH222" i="59"/>
  <c r="Q222" i="59"/>
  <c r="AH254" i="59"/>
  <c r="Q254" i="59"/>
  <c r="AH68" i="59"/>
  <c r="Q68" i="59"/>
  <c r="AH23" i="59"/>
  <c r="Q23" i="59"/>
  <c r="AH55" i="59"/>
  <c r="Q55" i="59"/>
  <c r="AH71" i="59"/>
  <c r="Q71" i="59"/>
  <c r="AH103" i="59"/>
  <c r="Q103" i="59"/>
  <c r="AH119" i="59"/>
  <c r="Q119" i="59"/>
  <c r="AH151" i="59"/>
  <c r="Q151" i="59"/>
  <c r="AH183" i="59"/>
  <c r="Q183" i="59"/>
  <c r="AH199" i="59"/>
  <c r="Q199" i="59"/>
  <c r="AH231" i="59"/>
  <c r="Q231" i="59"/>
  <c r="AH247" i="59"/>
  <c r="Q247" i="59"/>
  <c r="AH216" i="59"/>
  <c r="Q216" i="59"/>
  <c r="AH116" i="59"/>
  <c r="Q116" i="59"/>
  <c r="AH252" i="59"/>
  <c r="Q252" i="59"/>
  <c r="AH40" i="59"/>
  <c r="Q40" i="59"/>
  <c r="AH56" i="59"/>
  <c r="Q56" i="59"/>
  <c r="AH88" i="59"/>
  <c r="Q88" i="59"/>
  <c r="AH120" i="59"/>
  <c r="Q120" i="59"/>
  <c r="AH152" i="59"/>
  <c r="Q152" i="59"/>
  <c r="AH168" i="59"/>
  <c r="Q168" i="59"/>
  <c r="AH200" i="59"/>
  <c r="Q200" i="59"/>
  <c r="AH240" i="59"/>
  <c r="Q240" i="59"/>
  <c r="AH236" i="59"/>
  <c r="Q236" i="59"/>
  <c r="AH25" i="59"/>
  <c r="Q25" i="59"/>
  <c r="AH57" i="59"/>
  <c r="Q57" i="59"/>
  <c r="AH73" i="59"/>
  <c r="Q73" i="59"/>
  <c r="AH105" i="59"/>
  <c r="Q105" i="59"/>
  <c r="AH137" i="59"/>
  <c r="Q137" i="59"/>
  <c r="AH153" i="59"/>
  <c r="Q153" i="59"/>
  <c r="AH185" i="59"/>
  <c r="Q185" i="59"/>
  <c r="AH201" i="59"/>
  <c r="Q201" i="59"/>
  <c r="AH233" i="59"/>
  <c r="Q233" i="59"/>
  <c r="AH249" i="59"/>
  <c r="Q249" i="59"/>
  <c r="AH84" i="59"/>
  <c r="Q84" i="59"/>
  <c r="AH180" i="59"/>
  <c r="Q180" i="59"/>
  <c r="AH42" i="59"/>
  <c r="Q42" i="59"/>
  <c r="AH58" i="59"/>
  <c r="Q58" i="59"/>
  <c r="AH90" i="59"/>
  <c r="Q90" i="59"/>
  <c r="AH106" i="59"/>
  <c r="Q106" i="59"/>
  <c r="AH122" i="59"/>
  <c r="Q122" i="59"/>
  <c r="AH154" i="59"/>
  <c r="Q154" i="59"/>
  <c r="AH170" i="59"/>
  <c r="Q170" i="59"/>
  <c r="AH186" i="59"/>
  <c r="Q186" i="59"/>
  <c r="AH202" i="59"/>
  <c r="Q202" i="59"/>
  <c r="AH218" i="59"/>
  <c r="Q218" i="59"/>
  <c r="AH234" i="59"/>
  <c r="Q234" i="59"/>
  <c r="AH250" i="59"/>
  <c r="Q250" i="59"/>
  <c r="AH28" i="59"/>
  <c r="Q28" i="59"/>
  <c r="AH108" i="59"/>
  <c r="Q108" i="59"/>
  <c r="AH228" i="59"/>
  <c r="Q228" i="59"/>
  <c r="AH27" i="59"/>
  <c r="Q27" i="59"/>
  <c r="AH43" i="59"/>
  <c r="Q43" i="59"/>
  <c r="AH59" i="59"/>
  <c r="Q59" i="59"/>
  <c r="AH75" i="59"/>
  <c r="Q75" i="59"/>
  <c r="AH91" i="59"/>
  <c r="Q91" i="59"/>
  <c r="AH107" i="59"/>
  <c r="Q107" i="59"/>
  <c r="AH123" i="59"/>
  <c r="Q123" i="59"/>
  <c r="AH139" i="59"/>
  <c r="Q139" i="59"/>
  <c r="AH155" i="59"/>
  <c r="Q155" i="59"/>
  <c r="AH171" i="59"/>
  <c r="Q171" i="59"/>
  <c r="AH187" i="59"/>
  <c r="Q187" i="59"/>
  <c r="AH203" i="59"/>
  <c r="Q203" i="59"/>
  <c r="AH219" i="59"/>
  <c r="Q219" i="59"/>
  <c r="AH235" i="59"/>
  <c r="Q235" i="59"/>
  <c r="AH251" i="59"/>
  <c r="Q251" i="59"/>
  <c r="AH60" i="59"/>
  <c r="Q60" i="59"/>
  <c r="AH140" i="59"/>
  <c r="Q140" i="59"/>
  <c r="AH244" i="59"/>
  <c r="Q244" i="59"/>
  <c r="AH29" i="59"/>
  <c r="Q29" i="59"/>
  <c r="AH45" i="59"/>
  <c r="Q45" i="59"/>
  <c r="AH61" i="59"/>
  <c r="Q61" i="59"/>
  <c r="AH77" i="59"/>
  <c r="Q77" i="59"/>
  <c r="AH93" i="59"/>
  <c r="Q93" i="59"/>
  <c r="AH109" i="59"/>
  <c r="Q109" i="59"/>
  <c r="AH125" i="59"/>
  <c r="Q125" i="59"/>
  <c r="AH141" i="59"/>
  <c r="Q141" i="59"/>
  <c r="AH157" i="59"/>
  <c r="Q157" i="59"/>
  <c r="AH173" i="59"/>
  <c r="Q173" i="59"/>
  <c r="AH189" i="59"/>
  <c r="Q189" i="59"/>
  <c r="AH205" i="59"/>
  <c r="Q205" i="59"/>
  <c r="AH221" i="59"/>
  <c r="Q221" i="59"/>
  <c r="AH237" i="59"/>
  <c r="Q237" i="59"/>
  <c r="AH253" i="59"/>
  <c r="Q253" i="59"/>
  <c r="AH248" i="59"/>
  <c r="Q248" i="59"/>
  <c r="AH156" i="59"/>
  <c r="Q156" i="59"/>
  <c r="AH14" i="59"/>
  <c r="AH13" i="59"/>
  <c r="AH86" i="59"/>
  <c r="Q86" i="59"/>
  <c r="AH166" i="59"/>
  <c r="Q166" i="59"/>
  <c r="AH214" i="59"/>
  <c r="Q214" i="59"/>
  <c r="AH212" i="59"/>
  <c r="Q212" i="59"/>
  <c r="AH95" i="59"/>
  <c r="Q95" i="59"/>
  <c r="AH175" i="59"/>
  <c r="Q175" i="59"/>
  <c r="AH239" i="59"/>
  <c r="Q239" i="59"/>
  <c r="AH16" i="59"/>
  <c r="AH96" i="59"/>
  <c r="Q96" i="59"/>
  <c r="AH208" i="59"/>
  <c r="Q208" i="59"/>
  <c r="AH46" i="59"/>
  <c r="Q46" i="59"/>
  <c r="AH94" i="59"/>
  <c r="Q94" i="59"/>
  <c r="AH142" i="59"/>
  <c r="Q142" i="59"/>
  <c r="AH190" i="59"/>
  <c r="Q190" i="59"/>
  <c r="AH238" i="59"/>
  <c r="Q238" i="59"/>
  <c r="AH164" i="59"/>
  <c r="Q164" i="59"/>
  <c r="AH39" i="59"/>
  <c r="Q39" i="59"/>
  <c r="AH87" i="59"/>
  <c r="Q87" i="59"/>
  <c r="AH135" i="59"/>
  <c r="Q135" i="59"/>
  <c r="AH167" i="59"/>
  <c r="Q167" i="59"/>
  <c r="AH215" i="59"/>
  <c r="Q215" i="59"/>
  <c r="AH24" i="59"/>
  <c r="Q24" i="59"/>
  <c r="AH72" i="59"/>
  <c r="Q72" i="59"/>
  <c r="AH104" i="59"/>
  <c r="Q104" i="59"/>
  <c r="AH136" i="59"/>
  <c r="Q136" i="59"/>
  <c r="AH184" i="59"/>
  <c r="Q184" i="59"/>
  <c r="AH148" i="59"/>
  <c r="Q148" i="59"/>
  <c r="AH41" i="59"/>
  <c r="Q41" i="59"/>
  <c r="AH89" i="59"/>
  <c r="Q89" i="59"/>
  <c r="AH121" i="59"/>
  <c r="Q121" i="59"/>
  <c r="AH169" i="59"/>
  <c r="Q169" i="59"/>
  <c r="AH217" i="59"/>
  <c r="Q217" i="59"/>
  <c r="AH20" i="59"/>
  <c r="Q20" i="59"/>
  <c r="AH26" i="59"/>
  <c r="Q26" i="59"/>
  <c r="AH74" i="59"/>
  <c r="Q74" i="59"/>
  <c r="AH138" i="59"/>
  <c r="Q138" i="59"/>
  <c r="AH11" i="59"/>
  <c r="AC11" i="11"/>
  <c r="BL44" i="108"/>
  <c r="BK44" i="108"/>
  <c r="BL10" i="108"/>
  <c r="BK10" i="108"/>
  <c r="E45" i="108"/>
  <c r="AR44" i="108"/>
  <c r="BG44" i="108"/>
  <c r="AT44" i="108"/>
  <c r="BF44" i="108"/>
  <c r="BE44" i="108"/>
  <c r="AT10" i="108"/>
  <c r="BE10" i="108"/>
  <c r="AR10" i="108"/>
  <c r="BG10" i="108"/>
  <c r="BF10" i="108"/>
  <c r="AP10" i="108"/>
  <c r="AJ10" i="108"/>
  <c r="AG11" i="108" a="1"/>
  <c r="AG11" i="108" s="1"/>
  <c r="AP44" i="108"/>
  <c r="AJ44" i="108"/>
  <c r="AG45" i="108" a="1"/>
  <c r="AG45" i="108" s="1"/>
  <c r="B46" i="108" a="1"/>
  <c r="B46" i="108" s="1"/>
  <c r="BM46" i="108" s="1"/>
  <c r="K45" i="108"/>
  <c r="M45" i="108"/>
  <c r="B11" i="108" a="1"/>
  <c r="B11" i="108" s="1"/>
  <c r="C108" i="72"/>
  <c r="B108" i="72"/>
  <c r="BL45" i="108" l="1"/>
  <c r="BK45" i="108"/>
  <c r="BL11" i="108"/>
  <c r="BK11" i="108"/>
  <c r="AG259" i="59"/>
  <c r="AX44" i="108"/>
  <c r="AZ44" i="108" s="1"/>
  <c r="AX10" i="108"/>
  <c r="AZ10" i="108" s="1"/>
  <c r="AT45" i="108"/>
  <c r="BF45" i="108"/>
  <c r="AR45" i="108"/>
  <c r="BG45" i="108"/>
  <c r="BE45" i="108"/>
  <c r="AJ45" i="108"/>
  <c r="BG11" i="108"/>
  <c r="BF11" i="108"/>
  <c r="AR11" i="108"/>
  <c r="BE11" i="108"/>
  <c r="AT11" i="108"/>
  <c r="AJ11" i="108"/>
  <c r="AG12" i="108" a="1"/>
  <c r="AG12" i="108" s="1"/>
  <c r="AP11" i="108"/>
  <c r="AP45" i="108"/>
  <c r="AG46" i="108" a="1"/>
  <c r="AG46" i="108" s="1"/>
  <c r="BK46" i="108" s="1"/>
  <c r="E46" i="108"/>
  <c r="B47" i="108" a="1"/>
  <c r="B47" i="108" s="1"/>
  <c r="BM47" i="108" s="1"/>
  <c r="M46" i="108"/>
  <c r="K46" i="108"/>
  <c r="B12" i="108" a="1"/>
  <c r="B12" i="108" s="1"/>
  <c r="G257" i="71"/>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BL12" i="108" l="1"/>
  <c r="BK12" i="108"/>
  <c r="BL46" i="108"/>
  <c r="BE46" i="108"/>
  <c r="BF46" i="108"/>
  <c r="BG46" i="108"/>
  <c r="AX45" i="108"/>
  <c r="AZ45" i="108" s="1"/>
  <c r="AX11" i="108"/>
  <c r="AZ11" i="108" s="1"/>
  <c r="AT46" i="108"/>
  <c r="AR46" i="108"/>
  <c r="BG12" i="108"/>
  <c r="BF12" i="108"/>
  <c r="AT12" i="108"/>
  <c r="AR12" i="108"/>
  <c r="BE12" i="108"/>
  <c r="AP12" i="108"/>
  <c r="AJ12" i="108"/>
  <c r="AG13" i="108" a="1"/>
  <c r="AG13" i="108" s="1"/>
  <c r="AJ46" i="108"/>
  <c r="AG47" i="108" a="1"/>
  <c r="AG47" i="108" s="1"/>
  <c r="AP46" i="108"/>
  <c r="E47" i="108"/>
  <c r="B48" i="108" a="1"/>
  <c r="B48" i="108" s="1"/>
  <c r="BM48" i="108" s="1"/>
  <c r="K47" i="108"/>
  <c r="M47" i="108"/>
  <c r="B13" i="108" a="1"/>
  <c r="B13" i="108" s="1"/>
  <c r="C82" i="72"/>
  <c r="C13" i="72"/>
  <c r="AA747" i="107"/>
  <c r="AA748" i="107"/>
  <c r="AA504" i="107"/>
  <c r="AA505" i="107"/>
  <c r="AA506" i="107"/>
  <c r="AA507" i="107"/>
  <c r="AA508" i="107"/>
  <c r="AA509" i="107"/>
  <c r="AA510" i="107"/>
  <c r="AA511" i="107"/>
  <c r="AA512" i="107"/>
  <c r="AA513" i="107"/>
  <c r="AA514" i="107"/>
  <c r="AA515" i="107"/>
  <c r="AA516" i="107"/>
  <c r="AA517" i="107"/>
  <c r="AA518" i="107"/>
  <c r="AA519" i="107"/>
  <c r="AA520" i="107"/>
  <c r="AA521" i="107"/>
  <c r="AA522" i="107"/>
  <c r="AA523" i="107"/>
  <c r="AA524" i="107"/>
  <c r="AA525" i="107"/>
  <c r="AA526" i="107"/>
  <c r="AA527" i="107"/>
  <c r="AA528" i="107"/>
  <c r="AA529" i="107"/>
  <c r="AA530" i="107"/>
  <c r="AA531" i="107"/>
  <c r="AA532" i="107"/>
  <c r="AA533" i="107"/>
  <c r="AA534" i="107"/>
  <c r="AA535" i="107"/>
  <c r="AA536" i="107"/>
  <c r="AA537" i="107"/>
  <c r="AA538" i="107"/>
  <c r="AA539" i="107"/>
  <c r="AA540" i="107"/>
  <c r="AA541" i="107"/>
  <c r="AA542" i="107"/>
  <c r="AA543" i="107"/>
  <c r="AA544" i="107"/>
  <c r="AA545" i="107"/>
  <c r="AA546" i="107"/>
  <c r="AA547" i="107"/>
  <c r="AA548" i="107"/>
  <c r="AA549" i="107"/>
  <c r="AA550" i="107"/>
  <c r="AA551" i="107"/>
  <c r="AA552" i="107"/>
  <c r="AA553" i="107"/>
  <c r="AA554" i="107"/>
  <c r="AA555" i="107"/>
  <c r="AA556" i="107"/>
  <c r="AA557" i="107"/>
  <c r="AA558" i="107"/>
  <c r="AA559" i="107"/>
  <c r="AA560" i="107"/>
  <c r="AA561" i="107"/>
  <c r="AA562" i="107"/>
  <c r="AA563" i="107"/>
  <c r="AA564" i="107"/>
  <c r="AA565" i="107"/>
  <c r="AA566" i="107"/>
  <c r="AA567" i="107"/>
  <c r="AA568" i="107"/>
  <c r="AA569" i="107"/>
  <c r="AA570" i="107"/>
  <c r="AA571" i="107"/>
  <c r="AA572" i="107"/>
  <c r="AA573" i="107"/>
  <c r="AA574" i="107"/>
  <c r="AA575" i="107"/>
  <c r="AA576" i="107"/>
  <c r="AA577" i="107"/>
  <c r="AA578" i="107"/>
  <c r="AA579" i="107"/>
  <c r="AA580" i="107"/>
  <c r="AA581" i="107"/>
  <c r="AA582" i="107"/>
  <c r="AA583" i="107"/>
  <c r="AA584" i="107"/>
  <c r="AA585" i="107"/>
  <c r="AA586" i="107"/>
  <c r="AA587" i="107"/>
  <c r="AA588" i="107"/>
  <c r="AA589" i="107"/>
  <c r="AA590" i="107"/>
  <c r="AA591" i="107"/>
  <c r="AA592" i="107"/>
  <c r="AA593" i="107"/>
  <c r="AA594" i="107"/>
  <c r="AA595" i="107"/>
  <c r="AA596" i="107"/>
  <c r="AA597" i="107"/>
  <c r="AA598" i="107"/>
  <c r="AA599" i="107"/>
  <c r="AA600" i="107"/>
  <c r="AA601" i="107"/>
  <c r="AA602" i="107"/>
  <c r="AA603" i="107"/>
  <c r="AA604" i="107"/>
  <c r="AA605" i="107"/>
  <c r="AA606" i="107"/>
  <c r="AA607" i="107"/>
  <c r="AA608" i="107"/>
  <c r="AA609" i="107"/>
  <c r="AA610" i="107"/>
  <c r="AA611" i="107"/>
  <c r="AA612" i="107"/>
  <c r="AA613" i="107"/>
  <c r="AA614" i="107"/>
  <c r="AA615" i="107"/>
  <c r="AA616" i="107"/>
  <c r="AA617" i="107"/>
  <c r="AA618" i="107"/>
  <c r="AA619" i="107"/>
  <c r="AA620" i="107"/>
  <c r="AA621" i="107"/>
  <c r="AA622" i="107"/>
  <c r="AA623" i="107"/>
  <c r="AA624" i="107"/>
  <c r="AA625" i="107"/>
  <c r="AA626" i="107"/>
  <c r="AA627" i="107"/>
  <c r="AA628" i="107"/>
  <c r="AA629" i="107"/>
  <c r="AA630" i="107"/>
  <c r="AA631" i="107"/>
  <c r="AA632" i="107"/>
  <c r="AA633" i="107"/>
  <c r="AA634" i="107"/>
  <c r="AA635" i="107"/>
  <c r="AA636" i="107"/>
  <c r="AA637" i="107"/>
  <c r="AA638" i="107"/>
  <c r="AA639" i="107"/>
  <c r="AA640" i="107"/>
  <c r="AA641" i="107"/>
  <c r="AA642" i="107"/>
  <c r="AA643" i="107"/>
  <c r="AA644" i="107"/>
  <c r="AA645" i="107"/>
  <c r="AA646" i="107"/>
  <c r="AA647" i="107"/>
  <c r="AA648" i="107"/>
  <c r="AA649" i="107"/>
  <c r="AA650" i="107"/>
  <c r="AA651" i="107"/>
  <c r="AA652" i="107"/>
  <c r="AA653" i="107"/>
  <c r="AA654" i="107"/>
  <c r="AA655" i="107"/>
  <c r="AA656" i="107"/>
  <c r="AA657" i="107"/>
  <c r="AA658" i="107"/>
  <c r="AA659" i="107"/>
  <c r="AA660" i="107"/>
  <c r="AA661" i="107"/>
  <c r="AA662" i="107"/>
  <c r="AA663" i="107"/>
  <c r="AA664" i="107"/>
  <c r="AA665" i="107"/>
  <c r="AA666" i="107"/>
  <c r="AA667" i="107"/>
  <c r="AA668" i="107"/>
  <c r="AA669" i="107"/>
  <c r="AA670" i="107"/>
  <c r="AA671" i="107"/>
  <c r="AA672" i="107"/>
  <c r="AA673" i="107"/>
  <c r="AA674" i="107"/>
  <c r="AA675" i="107"/>
  <c r="AA676" i="107"/>
  <c r="AA677" i="107"/>
  <c r="AA678" i="107"/>
  <c r="AA679" i="107"/>
  <c r="AA680" i="107"/>
  <c r="AA681" i="107"/>
  <c r="AA682" i="107"/>
  <c r="AA683" i="107"/>
  <c r="AA684" i="107"/>
  <c r="AA685" i="107"/>
  <c r="AA686" i="107"/>
  <c r="AA687" i="107"/>
  <c r="AA688" i="107"/>
  <c r="AA689" i="107"/>
  <c r="AA690" i="107"/>
  <c r="AA691" i="107"/>
  <c r="AA692" i="107"/>
  <c r="AA693" i="107"/>
  <c r="AA694" i="107"/>
  <c r="AA695" i="107"/>
  <c r="AA696" i="107"/>
  <c r="AA697" i="107"/>
  <c r="AA698" i="107"/>
  <c r="AA699" i="107"/>
  <c r="AA700" i="107"/>
  <c r="AA701" i="107"/>
  <c r="AA702" i="107"/>
  <c r="AA703" i="107"/>
  <c r="AA704" i="107"/>
  <c r="AA705" i="107"/>
  <c r="AA706" i="107"/>
  <c r="AA707" i="107"/>
  <c r="AA708" i="107"/>
  <c r="AA709" i="107"/>
  <c r="AA710" i="107"/>
  <c r="AA711" i="107"/>
  <c r="AA712" i="107"/>
  <c r="AA713" i="107"/>
  <c r="AA714" i="107"/>
  <c r="AA715" i="107"/>
  <c r="AA716" i="107"/>
  <c r="AA717" i="107"/>
  <c r="AA718" i="107"/>
  <c r="AA719" i="107"/>
  <c r="AA720" i="107"/>
  <c r="AA721" i="107"/>
  <c r="AA722" i="107"/>
  <c r="AA723" i="107"/>
  <c r="AA724" i="107"/>
  <c r="AA725" i="107"/>
  <c r="AA726" i="107"/>
  <c r="AA727" i="107"/>
  <c r="AA728" i="107"/>
  <c r="AA729" i="107"/>
  <c r="AA730" i="107"/>
  <c r="AA731" i="107"/>
  <c r="AA732" i="107"/>
  <c r="AA733" i="107"/>
  <c r="AA734" i="107"/>
  <c r="AA735" i="107"/>
  <c r="AA736" i="107"/>
  <c r="AA737" i="107"/>
  <c r="AA738" i="107"/>
  <c r="AA739" i="107"/>
  <c r="AA740" i="107"/>
  <c r="AA741" i="107"/>
  <c r="AA742" i="107"/>
  <c r="AA743" i="107"/>
  <c r="AA744" i="107"/>
  <c r="AA745" i="107"/>
  <c r="AA746" i="107"/>
  <c r="AA503" i="107"/>
  <c r="AA256" i="107"/>
  <c r="AA257" i="107"/>
  <c r="AA258" i="107"/>
  <c r="AA259" i="107"/>
  <c r="AA260" i="107"/>
  <c r="AA261" i="107"/>
  <c r="AA262" i="107"/>
  <c r="AA263" i="107"/>
  <c r="AA264" i="107"/>
  <c r="AA265" i="107"/>
  <c r="AA266" i="107"/>
  <c r="AA267" i="107"/>
  <c r="AA268" i="107"/>
  <c r="AA269" i="107"/>
  <c r="AA270" i="107"/>
  <c r="AA271" i="107"/>
  <c r="AA272" i="107"/>
  <c r="AA273" i="107"/>
  <c r="AA274" i="107"/>
  <c r="AA275" i="107"/>
  <c r="AA276" i="107"/>
  <c r="AA277" i="107"/>
  <c r="AA278" i="107"/>
  <c r="AA279" i="107"/>
  <c r="AA280" i="107"/>
  <c r="AA281" i="107"/>
  <c r="AA282" i="107"/>
  <c r="AA283" i="107"/>
  <c r="AA284" i="107"/>
  <c r="AA285" i="107"/>
  <c r="AA286" i="107"/>
  <c r="AA287" i="107"/>
  <c r="AA288" i="107"/>
  <c r="AA289" i="107"/>
  <c r="AA290" i="107"/>
  <c r="AA291" i="107"/>
  <c r="AA292" i="107"/>
  <c r="AA293" i="107"/>
  <c r="AA294" i="107"/>
  <c r="AA295" i="107"/>
  <c r="AA296" i="107"/>
  <c r="AA297" i="107"/>
  <c r="AA298" i="107"/>
  <c r="AA299" i="107"/>
  <c r="AA300" i="107"/>
  <c r="AA301" i="107"/>
  <c r="AA302" i="107"/>
  <c r="AA303" i="107"/>
  <c r="AA304" i="107"/>
  <c r="AA305" i="107"/>
  <c r="AA306" i="107"/>
  <c r="AA307" i="107"/>
  <c r="AA308" i="107"/>
  <c r="AA309" i="107"/>
  <c r="AA310" i="107"/>
  <c r="AA311" i="107"/>
  <c r="AA312" i="107"/>
  <c r="AA313" i="107"/>
  <c r="AA314" i="107"/>
  <c r="AA315" i="107"/>
  <c r="AA316" i="107"/>
  <c r="AA317" i="107"/>
  <c r="AA318" i="107"/>
  <c r="AA319" i="107"/>
  <c r="AA320" i="107"/>
  <c r="AA321" i="107"/>
  <c r="AA322" i="107"/>
  <c r="AA323" i="107"/>
  <c r="AA324" i="107"/>
  <c r="AA325" i="107"/>
  <c r="AA326" i="107"/>
  <c r="AA327" i="107"/>
  <c r="AA328" i="107"/>
  <c r="AA329" i="107"/>
  <c r="AA330" i="107"/>
  <c r="AA331" i="107"/>
  <c r="AA332" i="107"/>
  <c r="AA333" i="107"/>
  <c r="AA334" i="107"/>
  <c r="AA335" i="107"/>
  <c r="AA336" i="107"/>
  <c r="AA337" i="107"/>
  <c r="AA338" i="107"/>
  <c r="AA339" i="107"/>
  <c r="AA340" i="107"/>
  <c r="AA341" i="107"/>
  <c r="AA342" i="107"/>
  <c r="AA343" i="107"/>
  <c r="AA344" i="107"/>
  <c r="AA345" i="107"/>
  <c r="AA346" i="107"/>
  <c r="AA347" i="107"/>
  <c r="AA348" i="107"/>
  <c r="AA349" i="107"/>
  <c r="AA350" i="107"/>
  <c r="AA351" i="107"/>
  <c r="AA352" i="107"/>
  <c r="AA353" i="107"/>
  <c r="AA354" i="107"/>
  <c r="AA355" i="107"/>
  <c r="AA356" i="107"/>
  <c r="AA357" i="107"/>
  <c r="AA358" i="107"/>
  <c r="AA359" i="107"/>
  <c r="AA360" i="107"/>
  <c r="AA361" i="107"/>
  <c r="AA362" i="107"/>
  <c r="AA363" i="107"/>
  <c r="AA364" i="107"/>
  <c r="AA365" i="107"/>
  <c r="AA366" i="107"/>
  <c r="AA367" i="107"/>
  <c r="AA368" i="107"/>
  <c r="AA369" i="107"/>
  <c r="AA370" i="107"/>
  <c r="AA371" i="107"/>
  <c r="AA372" i="107"/>
  <c r="AA373" i="107"/>
  <c r="AA374" i="107"/>
  <c r="AA375" i="107"/>
  <c r="AA376" i="107"/>
  <c r="AA377" i="107"/>
  <c r="AA378" i="107"/>
  <c r="AA379" i="107"/>
  <c r="AA380" i="107"/>
  <c r="AA381" i="107"/>
  <c r="AA382" i="107"/>
  <c r="AA383" i="107"/>
  <c r="AA384" i="107"/>
  <c r="AA385" i="107"/>
  <c r="AA386" i="107"/>
  <c r="AA387" i="107"/>
  <c r="AA388" i="107"/>
  <c r="AA389" i="107"/>
  <c r="AA390" i="107"/>
  <c r="AA391" i="107"/>
  <c r="AA392" i="107"/>
  <c r="AA393" i="107"/>
  <c r="AA394" i="107"/>
  <c r="AA395" i="107"/>
  <c r="AA396" i="107"/>
  <c r="AA397" i="107"/>
  <c r="AA398" i="107"/>
  <c r="AA399" i="107"/>
  <c r="AA400" i="107"/>
  <c r="AA401" i="107"/>
  <c r="AA402" i="107"/>
  <c r="AA403" i="107"/>
  <c r="AA404" i="107"/>
  <c r="AA405" i="107"/>
  <c r="AA406" i="107"/>
  <c r="AA407" i="107"/>
  <c r="AA408" i="107"/>
  <c r="AA409" i="107"/>
  <c r="AA410" i="107"/>
  <c r="AA411" i="107"/>
  <c r="AA412" i="107"/>
  <c r="AA413" i="107"/>
  <c r="AA414" i="107"/>
  <c r="AA415" i="107"/>
  <c r="AA416" i="107"/>
  <c r="AA417" i="107"/>
  <c r="AA418" i="107"/>
  <c r="AA419" i="107"/>
  <c r="AA420" i="107"/>
  <c r="AA421" i="107"/>
  <c r="AA422" i="107"/>
  <c r="AA423" i="107"/>
  <c r="AA424" i="107"/>
  <c r="AA425" i="107"/>
  <c r="AA426" i="107"/>
  <c r="AA427" i="107"/>
  <c r="AA428" i="107"/>
  <c r="AA429" i="107"/>
  <c r="AA430" i="107"/>
  <c r="AA431" i="107"/>
  <c r="AA432" i="107"/>
  <c r="AA433" i="107"/>
  <c r="AA434" i="107"/>
  <c r="AA435" i="107"/>
  <c r="AA436" i="107"/>
  <c r="AA437" i="107"/>
  <c r="AA438" i="107"/>
  <c r="AA439" i="107"/>
  <c r="AA440" i="107"/>
  <c r="AA441" i="107"/>
  <c r="AA442" i="107"/>
  <c r="AA443" i="107"/>
  <c r="AA444" i="107"/>
  <c r="AA445" i="107"/>
  <c r="AA446" i="107"/>
  <c r="AA447" i="107"/>
  <c r="AA448" i="107"/>
  <c r="AA449" i="107"/>
  <c r="AA450" i="107"/>
  <c r="AA451" i="107"/>
  <c r="AA452" i="107"/>
  <c r="AA453" i="107"/>
  <c r="AA454" i="107"/>
  <c r="AA455" i="107"/>
  <c r="AA456" i="107"/>
  <c r="AA457" i="107"/>
  <c r="AA458" i="107"/>
  <c r="AA459" i="107"/>
  <c r="AA460" i="107"/>
  <c r="AA461" i="107"/>
  <c r="AA462" i="107"/>
  <c r="AA463" i="107"/>
  <c r="AA464" i="107"/>
  <c r="AA465" i="107"/>
  <c r="AA466" i="107"/>
  <c r="AA467" i="107"/>
  <c r="AA468" i="107"/>
  <c r="AA469" i="107"/>
  <c r="AA470" i="107"/>
  <c r="AA471" i="107"/>
  <c r="AA472" i="107"/>
  <c r="AA473" i="107"/>
  <c r="AA474" i="107"/>
  <c r="AA475" i="107"/>
  <c r="AA476" i="107"/>
  <c r="AA477" i="107"/>
  <c r="AA478" i="107"/>
  <c r="AA479" i="107"/>
  <c r="AA480" i="107"/>
  <c r="AA481" i="107"/>
  <c r="AA482" i="107"/>
  <c r="AA483" i="107"/>
  <c r="AA484" i="107"/>
  <c r="AA485" i="107"/>
  <c r="AA486" i="107"/>
  <c r="AA487" i="107"/>
  <c r="AA488" i="107"/>
  <c r="AA489" i="107"/>
  <c r="AA490" i="107"/>
  <c r="AA491" i="107"/>
  <c r="AA492" i="107"/>
  <c r="AA493" i="107"/>
  <c r="AA494" i="107"/>
  <c r="AA495" i="107"/>
  <c r="AA496" i="107"/>
  <c r="AA497" i="107"/>
  <c r="AA498" i="107"/>
  <c r="AA499" i="107"/>
  <c r="AA500" i="107"/>
  <c r="AA501" i="107"/>
  <c r="AA502" i="107"/>
  <c r="AA255" i="107"/>
  <c r="AA251" i="107"/>
  <c r="AA252" i="107"/>
  <c r="AA253" i="107"/>
  <c r="AA254" i="107"/>
  <c r="AA248" i="107"/>
  <c r="AA249" i="107"/>
  <c r="AA250" i="107"/>
  <c r="AA224" i="107"/>
  <c r="AA225" i="107"/>
  <c r="AA226" i="107"/>
  <c r="AA227" i="107"/>
  <c r="AA228" i="107"/>
  <c r="AA229" i="107"/>
  <c r="AA230" i="107"/>
  <c r="AA231" i="107"/>
  <c r="AA232" i="107"/>
  <c r="AA233" i="107"/>
  <c r="AA234" i="107"/>
  <c r="AA235" i="107"/>
  <c r="AA236" i="107"/>
  <c r="AA237" i="107"/>
  <c r="AA238" i="107"/>
  <c r="AA239" i="107"/>
  <c r="AA240" i="107"/>
  <c r="AA241" i="107"/>
  <c r="AA242" i="107"/>
  <c r="AA243" i="107"/>
  <c r="AA244" i="107"/>
  <c r="AA245" i="107"/>
  <c r="AA246" i="107"/>
  <c r="AA247" i="107"/>
  <c r="AA8" i="107"/>
  <c r="AA9" i="107"/>
  <c r="AA10" i="107"/>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AA108" i="107"/>
  <c r="AA109" i="107"/>
  <c r="AA110" i="107"/>
  <c r="AA111" i="107"/>
  <c r="AA112" i="107"/>
  <c r="AA113" i="107"/>
  <c r="AA114" i="107"/>
  <c r="AA115" i="107"/>
  <c r="AA116" i="107"/>
  <c r="AA117" i="107"/>
  <c r="AA118" i="107"/>
  <c r="AA119" i="107"/>
  <c r="AA120" i="107"/>
  <c r="AA121" i="107"/>
  <c r="AA122" i="107"/>
  <c r="AA123" i="107"/>
  <c r="AA124" i="107"/>
  <c r="AA125" i="107"/>
  <c r="AA126" i="107"/>
  <c r="AA127" i="107"/>
  <c r="AA128" i="107"/>
  <c r="AA129" i="107"/>
  <c r="AA130" i="107"/>
  <c r="AA131" i="107"/>
  <c r="AA132" i="107"/>
  <c r="AA133" i="107"/>
  <c r="AA134" i="107"/>
  <c r="AA135" i="107"/>
  <c r="AA136" i="107"/>
  <c r="AA137" i="107"/>
  <c r="AA138" i="107"/>
  <c r="AA139" i="107"/>
  <c r="AA140" i="107"/>
  <c r="AA141" i="107"/>
  <c r="AA142" i="107"/>
  <c r="AA143" i="107"/>
  <c r="AA144" i="107"/>
  <c r="AA145" i="107"/>
  <c r="AA146" i="107"/>
  <c r="AA147" i="107"/>
  <c r="AA148" i="107"/>
  <c r="AA149" i="107"/>
  <c r="AA150" i="107"/>
  <c r="AA151" i="107"/>
  <c r="AA152" i="107"/>
  <c r="AA153" i="107"/>
  <c r="AA154" i="107"/>
  <c r="AA155" i="107"/>
  <c r="AA156" i="107"/>
  <c r="AA157" i="107"/>
  <c r="AA158" i="107"/>
  <c r="AA159" i="107"/>
  <c r="AA160" i="107"/>
  <c r="AA161" i="107"/>
  <c r="AA162" i="107"/>
  <c r="AA163" i="107"/>
  <c r="AA164" i="107"/>
  <c r="AA165" i="107"/>
  <c r="AA166" i="107"/>
  <c r="AA167" i="107"/>
  <c r="AA168" i="107"/>
  <c r="AA169" i="107"/>
  <c r="AA170" i="107"/>
  <c r="AA171" i="107"/>
  <c r="AA172" i="107"/>
  <c r="AA173" i="107"/>
  <c r="AA174" i="107"/>
  <c r="AA175" i="107"/>
  <c r="AA176" i="107"/>
  <c r="AA177" i="107"/>
  <c r="AA178" i="107"/>
  <c r="AA179" i="107"/>
  <c r="AA180" i="107"/>
  <c r="AA181" i="107"/>
  <c r="AA182" i="107"/>
  <c r="AA183" i="107"/>
  <c r="AA184" i="107"/>
  <c r="AA185" i="107"/>
  <c r="AA186" i="107"/>
  <c r="AA187" i="107"/>
  <c r="AA188" i="107"/>
  <c r="AA189" i="107"/>
  <c r="AA190" i="107"/>
  <c r="AA191" i="107"/>
  <c r="AA192" i="107"/>
  <c r="AA193" i="107"/>
  <c r="AA194" i="107"/>
  <c r="AA195" i="107"/>
  <c r="AA196" i="107"/>
  <c r="AA197" i="107"/>
  <c r="AA198" i="107"/>
  <c r="AA199" i="107"/>
  <c r="AA200" i="107"/>
  <c r="AA201" i="107"/>
  <c r="AA202" i="107"/>
  <c r="AA203" i="107"/>
  <c r="AA204" i="107"/>
  <c r="AA205" i="107"/>
  <c r="AA206" i="107"/>
  <c r="AA207" i="107"/>
  <c r="AA208" i="107"/>
  <c r="AA209" i="107"/>
  <c r="AA210" i="107"/>
  <c r="AA211" i="107"/>
  <c r="AA212" i="107"/>
  <c r="AA213" i="107"/>
  <c r="AA214" i="107"/>
  <c r="AA215" i="107"/>
  <c r="AA216" i="107"/>
  <c r="AA217" i="107"/>
  <c r="AA218" i="107"/>
  <c r="AA219" i="107"/>
  <c r="AA220" i="107"/>
  <c r="AA221" i="107"/>
  <c r="AA222" i="107"/>
  <c r="AA223" i="107"/>
  <c r="AA7" i="107"/>
  <c r="N501" i="107"/>
  <c r="N502" i="107"/>
  <c r="N503" i="107"/>
  <c r="N504" i="107"/>
  <c r="N505" i="107"/>
  <c r="N506" i="107"/>
  <c r="N507" i="107"/>
  <c r="N508" i="107"/>
  <c r="N509" i="107"/>
  <c r="N510" i="107"/>
  <c r="N511" i="107"/>
  <c r="N512" i="107"/>
  <c r="N513" i="107"/>
  <c r="N514" i="107"/>
  <c r="N515" i="107"/>
  <c r="N516" i="107"/>
  <c r="N517" i="107"/>
  <c r="N518" i="107"/>
  <c r="N519" i="107"/>
  <c r="N520" i="107"/>
  <c r="N521" i="107"/>
  <c r="N522" i="107"/>
  <c r="N523" i="107"/>
  <c r="N524" i="107"/>
  <c r="N525" i="107"/>
  <c r="N526" i="107"/>
  <c r="N527" i="107"/>
  <c r="N528" i="107"/>
  <c r="N529" i="107"/>
  <c r="N530" i="107"/>
  <c r="N531" i="107"/>
  <c r="N532" i="107"/>
  <c r="N533" i="107"/>
  <c r="N534" i="107"/>
  <c r="N535" i="107"/>
  <c r="N536" i="107"/>
  <c r="N537" i="107"/>
  <c r="N538" i="107"/>
  <c r="N539" i="107"/>
  <c r="N540" i="107"/>
  <c r="N541" i="107"/>
  <c r="N542" i="107"/>
  <c r="N543" i="107"/>
  <c r="N544" i="107"/>
  <c r="N545" i="107"/>
  <c r="N546" i="107"/>
  <c r="N547" i="107"/>
  <c r="N548" i="107"/>
  <c r="N549" i="107"/>
  <c r="N550" i="107"/>
  <c r="N551" i="107"/>
  <c r="N552" i="107"/>
  <c r="N553" i="107"/>
  <c r="N554" i="107"/>
  <c r="N555" i="107"/>
  <c r="N556" i="107"/>
  <c r="N557" i="107"/>
  <c r="N558" i="107"/>
  <c r="N559" i="107"/>
  <c r="N560" i="107"/>
  <c r="N561" i="107"/>
  <c r="N562" i="107"/>
  <c r="N563" i="107"/>
  <c r="N564" i="107"/>
  <c r="N565" i="107"/>
  <c r="N566" i="107"/>
  <c r="N567" i="107"/>
  <c r="N568" i="107"/>
  <c r="N569" i="107"/>
  <c r="N570" i="107"/>
  <c r="N571" i="107"/>
  <c r="N572" i="107"/>
  <c r="N573" i="107"/>
  <c r="N574" i="107"/>
  <c r="N575" i="107"/>
  <c r="N576" i="107"/>
  <c r="N577" i="107"/>
  <c r="N578" i="107"/>
  <c r="N579" i="107"/>
  <c r="N580" i="107"/>
  <c r="N581" i="107"/>
  <c r="N582" i="107"/>
  <c r="N583" i="107"/>
  <c r="N584" i="107"/>
  <c r="N585" i="107"/>
  <c r="N586" i="107"/>
  <c r="N587" i="107"/>
  <c r="N588" i="107"/>
  <c r="N589" i="107"/>
  <c r="N590" i="107"/>
  <c r="N591" i="107"/>
  <c r="N592" i="107"/>
  <c r="N593" i="107"/>
  <c r="N594" i="107"/>
  <c r="N595" i="107"/>
  <c r="N596" i="107"/>
  <c r="N597" i="107"/>
  <c r="N598" i="107"/>
  <c r="N599" i="107"/>
  <c r="N600" i="107"/>
  <c r="N601" i="107"/>
  <c r="N602" i="107"/>
  <c r="N603" i="107"/>
  <c r="N604" i="107"/>
  <c r="N605" i="107"/>
  <c r="N606" i="107"/>
  <c r="N607" i="107"/>
  <c r="N608" i="107"/>
  <c r="N609" i="107"/>
  <c r="N610" i="107"/>
  <c r="N611" i="107"/>
  <c r="N612" i="107"/>
  <c r="N613" i="107"/>
  <c r="N614" i="107"/>
  <c r="N615" i="107"/>
  <c r="N616" i="107"/>
  <c r="N617" i="107"/>
  <c r="N618" i="107"/>
  <c r="N619" i="107"/>
  <c r="N620" i="107"/>
  <c r="N621" i="107"/>
  <c r="N622" i="107"/>
  <c r="N623" i="107"/>
  <c r="N624" i="107"/>
  <c r="N625" i="107"/>
  <c r="N626" i="107"/>
  <c r="N627" i="107"/>
  <c r="N628" i="107"/>
  <c r="N629" i="107"/>
  <c r="N630" i="107"/>
  <c r="N631" i="107"/>
  <c r="N632" i="107"/>
  <c r="N633" i="107"/>
  <c r="N634" i="107"/>
  <c r="N635" i="107"/>
  <c r="N636" i="107"/>
  <c r="N637" i="107"/>
  <c r="N638" i="107"/>
  <c r="N639" i="107"/>
  <c r="N640" i="107"/>
  <c r="N641" i="107"/>
  <c r="N642" i="107"/>
  <c r="N643" i="107"/>
  <c r="N644" i="107"/>
  <c r="N645" i="107"/>
  <c r="N646" i="107"/>
  <c r="N647" i="107"/>
  <c r="N648" i="107"/>
  <c r="N649" i="107"/>
  <c r="N650" i="107"/>
  <c r="N651" i="107"/>
  <c r="N652" i="107"/>
  <c r="N653" i="107"/>
  <c r="N654" i="107"/>
  <c r="N655" i="107"/>
  <c r="N656" i="107"/>
  <c r="N657" i="107"/>
  <c r="N658" i="107"/>
  <c r="N659" i="107"/>
  <c r="N660" i="107"/>
  <c r="N661" i="107"/>
  <c r="N662" i="107"/>
  <c r="N663" i="107"/>
  <c r="N664" i="107"/>
  <c r="N665" i="107"/>
  <c r="N666" i="107"/>
  <c r="N667" i="107"/>
  <c r="N668" i="107"/>
  <c r="N669" i="107"/>
  <c r="N670" i="107"/>
  <c r="N671" i="107"/>
  <c r="N672" i="107"/>
  <c r="N673" i="107"/>
  <c r="N674" i="107"/>
  <c r="N675" i="107"/>
  <c r="N676" i="107"/>
  <c r="N677" i="107"/>
  <c r="N678" i="107"/>
  <c r="N679" i="107"/>
  <c r="N680" i="107"/>
  <c r="N681" i="107"/>
  <c r="N682" i="107"/>
  <c r="N683" i="107"/>
  <c r="N684" i="107"/>
  <c r="N685" i="107"/>
  <c r="N686" i="107"/>
  <c r="N687" i="107"/>
  <c r="N688" i="107"/>
  <c r="N689" i="107"/>
  <c r="N690" i="107"/>
  <c r="N691" i="107"/>
  <c r="N692" i="107"/>
  <c r="N693" i="107"/>
  <c r="N694" i="107"/>
  <c r="N695" i="107"/>
  <c r="N696" i="107"/>
  <c r="N697" i="107"/>
  <c r="N698" i="107"/>
  <c r="N699" i="107"/>
  <c r="N700" i="107"/>
  <c r="N701" i="107"/>
  <c r="N702" i="107"/>
  <c r="N703" i="107"/>
  <c r="N704" i="107"/>
  <c r="N705" i="107"/>
  <c r="N706" i="107"/>
  <c r="N707" i="107"/>
  <c r="N708" i="107"/>
  <c r="N709" i="107"/>
  <c r="N710" i="107"/>
  <c r="N711" i="107"/>
  <c r="N712" i="107"/>
  <c r="N713" i="107"/>
  <c r="N714" i="107"/>
  <c r="N715" i="107"/>
  <c r="N716" i="107"/>
  <c r="N717" i="107"/>
  <c r="N718" i="107"/>
  <c r="N719" i="107"/>
  <c r="N720" i="107"/>
  <c r="N721" i="107"/>
  <c r="N722" i="107"/>
  <c r="N723" i="107"/>
  <c r="N724" i="107"/>
  <c r="N725" i="107"/>
  <c r="N726" i="107"/>
  <c r="N727" i="107"/>
  <c r="N728" i="107"/>
  <c r="N729" i="107"/>
  <c r="N730" i="107"/>
  <c r="N731" i="107"/>
  <c r="N732" i="107"/>
  <c r="N733" i="107"/>
  <c r="N734" i="107"/>
  <c r="N735" i="107"/>
  <c r="N736" i="107"/>
  <c r="N737" i="107"/>
  <c r="N738" i="107"/>
  <c r="N739" i="107"/>
  <c r="N740" i="107"/>
  <c r="N741" i="107"/>
  <c r="N742" i="107"/>
  <c r="N743" i="107"/>
  <c r="N744" i="107"/>
  <c r="N745" i="107"/>
  <c r="N500" i="107"/>
  <c r="N256" i="107"/>
  <c r="N257" i="107"/>
  <c r="N258" i="107"/>
  <c r="N259" i="107"/>
  <c r="N260" i="107"/>
  <c r="N261" i="107"/>
  <c r="N262" i="107"/>
  <c r="N263" i="107"/>
  <c r="N264" i="107"/>
  <c r="N265" i="107"/>
  <c r="N266" i="107"/>
  <c r="N267" i="107"/>
  <c r="N268" i="107"/>
  <c r="N269" i="107"/>
  <c r="N270" i="107"/>
  <c r="N271" i="107"/>
  <c r="N272" i="107"/>
  <c r="N273" i="107"/>
  <c r="N274" i="107"/>
  <c r="N275" i="107"/>
  <c r="N276" i="107"/>
  <c r="N277" i="107"/>
  <c r="N278" i="107"/>
  <c r="N279" i="107"/>
  <c r="N280" i="107"/>
  <c r="N281" i="107"/>
  <c r="N282" i="107"/>
  <c r="N283" i="107"/>
  <c r="N284" i="107"/>
  <c r="N285" i="107"/>
  <c r="N286" i="107"/>
  <c r="N287" i="107"/>
  <c r="N288" i="107"/>
  <c r="N289" i="107"/>
  <c r="N290" i="107"/>
  <c r="N291" i="107"/>
  <c r="N292" i="107"/>
  <c r="N293" i="107"/>
  <c r="N294" i="107"/>
  <c r="N295" i="107"/>
  <c r="N296" i="107"/>
  <c r="N297" i="107"/>
  <c r="N298" i="107"/>
  <c r="N299" i="107"/>
  <c r="N300" i="107"/>
  <c r="N301" i="107"/>
  <c r="N302" i="107"/>
  <c r="N303" i="107"/>
  <c r="N304" i="107"/>
  <c r="N305" i="107"/>
  <c r="N306" i="107"/>
  <c r="N307" i="107"/>
  <c r="N308" i="107"/>
  <c r="N309" i="107"/>
  <c r="N310" i="107"/>
  <c r="N311" i="107"/>
  <c r="N312" i="107"/>
  <c r="N313" i="107"/>
  <c r="N314" i="107"/>
  <c r="N315" i="107"/>
  <c r="N316" i="107"/>
  <c r="N317" i="107"/>
  <c r="N318" i="107"/>
  <c r="N319" i="107"/>
  <c r="N320" i="107"/>
  <c r="N321" i="107"/>
  <c r="N322" i="107"/>
  <c r="N323" i="107"/>
  <c r="N324" i="107"/>
  <c r="N325" i="107"/>
  <c r="N326" i="107"/>
  <c r="N327" i="107"/>
  <c r="N328" i="107"/>
  <c r="N329" i="107"/>
  <c r="N330" i="107"/>
  <c r="N331" i="107"/>
  <c r="N332" i="107"/>
  <c r="N333" i="107"/>
  <c r="N334" i="107"/>
  <c r="N335" i="107"/>
  <c r="N336" i="107"/>
  <c r="N337" i="107"/>
  <c r="N338" i="107"/>
  <c r="N339" i="107"/>
  <c r="N340" i="107"/>
  <c r="N341" i="107"/>
  <c r="N342" i="107"/>
  <c r="N343" i="107"/>
  <c r="N344" i="107"/>
  <c r="N345" i="107"/>
  <c r="N346" i="107"/>
  <c r="N347" i="107"/>
  <c r="N348" i="107"/>
  <c r="N349" i="107"/>
  <c r="N350" i="107"/>
  <c r="N351" i="107"/>
  <c r="N352" i="107"/>
  <c r="N353" i="107"/>
  <c r="N354" i="107"/>
  <c r="N355" i="107"/>
  <c r="N356" i="107"/>
  <c r="N357" i="107"/>
  <c r="N358" i="107"/>
  <c r="N359" i="107"/>
  <c r="N360" i="107"/>
  <c r="N361" i="107"/>
  <c r="N362" i="107"/>
  <c r="N363" i="107"/>
  <c r="N364" i="107"/>
  <c r="N365" i="107"/>
  <c r="N366" i="107"/>
  <c r="N367" i="107"/>
  <c r="N368" i="107"/>
  <c r="N369" i="107"/>
  <c r="N370" i="107"/>
  <c r="N371" i="107"/>
  <c r="N372" i="107"/>
  <c r="N373" i="107"/>
  <c r="N374" i="107"/>
  <c r="N375" i="107"/>
  <c r="N376" i="107"/>
  <c r="N377" i="107"/>
  <c r="N378" i="107"/>
  <c r="N379" i="107"/>
  <c r="N380" i="107"/>
  <c r="N381" i="107"/>
  <c r="N382" i="107"/>
  <c r="N383" i="107"/>
  <c r="N384" i="107"/>
  <c r="N385" i="107"/>
  <c r="N386" i="107"/>
  <c r="N387" i="107"/>
  <c r="N388" i="107"/>
  <c r="N389" i="107"/>
  <c r="N390" i="107"/>
  <c r="N391" i="107"/>
  <c r="N392" i="107"/>
  <c r="N393" i="107"/>
  <c r="N394" i="107"/>
  <c r="N395" i="107"/>
  <c r="N396" i="107"/>
  <c r="N397" i="107"/>
  <c r="N398" i="107"/>
  <c r="N399" i="107"/>
  <c r="N400" i="107"/>
  <c r="N401" i="107"/>
  <c r="N402" i="107"/>
  <c r="N403" i="107"/>
  <c r="N404" i="107"/>
  <c r="N405" i="107"/>
  <c r="N406" i="107"/>
  <c r="N407" i="107"/>
  <c r="N408" i="107"/>
  <c r="N409" i="107"/>
  <c r="N410" i="107"/>
  <c r="N411" i="107"/>
  <c r="N412" i="107"/>
  <c r="N413" i="107"/>
  <c r="N414" i="107"/>
  <c r="N415" i="107"/>
  <c r="N416" i="107"/>
  <c r="N417" i="107"/>
  <c r="N418" i="107"/>
  <c r="N419" i="107"/>
  <c r="N420" i="107"/>
  <c r="N421" i="107"/>
  <c r="N422" i="107"/>
  <c r="N423" i="107"/>
  <c r="N424" i="107"/>
  <c r="N425" i="107"/>
  <c r="N426" i="107"/>
  <c r="N427" i="107"/>
  <c r="N428" i="107"/>
  <c r="N429" i="107"/>
  <c r="N430" i="107"/>
  <c r="N431" i="107"/>
  <c r="N432" i="107"/>
  <c r="N433" i="107"/>
  <c r="N434" i="107"/>
  <c r="N435" i="107"/>
  <c r="N436" i="107"/>
  <c r="N437" i="107"/>
  <c r="N438" i="107"/>
  <c r="N439" i="107"/>
  <c r="N440" i="107"/>
  <c r="N441" i="107"/>
  <c r="N442" i="107"/>
  <c r="N443" i="107"/>
  <c r="N444" i="107"/>
  <c r="N445" i="107"/>
  <c r="N446" i="107"/>
  <c r="N447" i="107"/>
  <c r="N448" i="107"/>
  <c r="N449" i="107"/>
  <c r="N450" i="107"/>
  <c r="N451" i="107"/>
  <c r="N452" i="107"/>
  <c r="N453" i="107"/>
  <c r="N454" i="107"/>
  <c r="N455" i="107"/>
  <c r="N456" i="107"/>
  <c r="N457" i="107"/>
  <c r="N458" i="107"/>
  <c r="N459" i="107"/>
  <c r="N460" i="107"/>
  <c r="N461" i="107"/>
  <c r="N462" i="107"/>
  <c r="N463" i="107"/>
  <c r="N464" i="107"/>
  <c r="N465" i="107"/>
  <c r="N466" i="107"/>
  <c r="N467" i="107"/>
  <c r="N468" i="107"/>
  <c r="N469" i="107"/>
  <c r="N470" i="107"/>
  <c r="N471" i="107"/>
  <c r="N472" i="107"/>
  <c r="N473" i="107"/>
  <c r="N474" i="107"/>
  <c r="N475" i="107"/>
  <c r="N476" i="107"/>
  <c r="N477" i="107"/>
  <c r="N478" i="107"/>
  <c r="N479" i="107"/>
  <c r="N480" i="107"/>
  <c r="N481" i="107"/>
  <c r="N482" i="107"/>
  <c r="N483" i="107"/>
  <c r="N484" i="107"/>
  <c r="N485" i="107"/>
  <c r="N486" i="107"/>
  <c r="N487" i="107"/>
  <c r="N488" i="107"/>
  <c r="N489" i="107"/>
  <c r="N490" i="107"/>
  <c r="N491" i="107"/>
  <c r="N492" i="107"/>
  <c r="N493" i="107"/>
  <c r="N494" i="107"/>
  <c r="N495" i="107"/>
  <c r="N496" i="107"/>
  <c r="N497" i="107"/>
  <c r="N498" i="107"/>
  <c r="N499" i="107"/>
  <c r="N255" i="107"/>
  <c r="N8" i="107"/>
  <c r="N9" i="107"/>
  <c r="N10" i="107"/>
  <c r="N11" i="107"/>
  <c r="N12" i="107"/>
  <c r="N13" i="107"/>
  <c r="N14" i="107"/>
  <c r="N15" i="107"/>
  <c r="N16" i="107"/>
  <c r="N17" i="107"/>
  <c r="N18" i="107"/>
  <c r="N19" i="107"/>
  <c r="N20" i="107"/>
  <c r="N21" i="107"/>
  <c r="N22" i="107"/>
  <c r="N23" i="107"/>
  <c r="N24" i="107"/>
  <c r="N25" i="107"/>
  <c r="N26" i="107"/>
  <c r="N27" i="107"/>
  <c r="N28" i="107"/>
  <c r="N29" i="107"/>
  <c r="N30" i="107"/>
  <c r="N31" i="107"/>
  <c r="N32" i="107"/>
  <c r="N33" i="107"/>
  <c r="N34" i="107"/>
  <c r="N35" i="107"/>
  <c r="N36" i="107"/>
  <c r="N37" i="107"/>
  <c r="N38" i="107"/>
  <c r="N39" i="107"/>
  <c r="N40" i="107"/>
  <c r="N41" i="107"/>
  <c r="N42" i="107"/>
  <c r="N43" i="107"/>
  <c r="N44" i="107"/>
  <c r="N45" i="107"/>
  <c r="N46" i="107"/>
  <c r="N47" i="107"/>
  <c r="N48" i="107"/>
  <c r="N49" i="107"/>
  <c r="N50" i="107"/>
  <c r="N51" i="107"/>
  <c r="N52" i="107"/>
  <c r="N53" i="107"/>
  <c r="N54" i="107"/>
  <c r="N55" i="107"/>
  <c r="N56" i="107"/>
  <c r="N57" i="107"/>
  <c r="N58" i="107"/>
  <c r="N59" i="107"/>
  <c r="N60" i="107"/>
  <c r="N61" i="107"/>
  <c r="N62" i="107"/>
  <c r="N63" i="107"/>
  <c r="N64" i="107"/>
  <c r="N65" i="107"/>
  <c r="N66" i="107"/>
  <c r="N67" i="107"/>
  <c r="N68" i="107"/>
  <c r="N69" i="107"/>
  <c r="N70" i="107"/>
  <c r="N71" i="107"/>
  <c r="N72" i="107"/>
  <c r="N73" i="107"/>
  <c r="N74" i="107"/>
  <c r="N75" i="107"/>
  <c r="N76" i="107"/>
  <c r="N77" i="107"/>
  <c r="N78" i="107"/>
  <c r="N79" i="107"/>
  <c r="N80" i="107"/>
  <c r="N81" i="107"/>
  <c r="N82" i="107"/>
  <c r="N83" i="107"/>
  <c r="N84" i="107"/>
  <c r="N85" i="107"/>
  <c r="N86" i="107"/>
  <c r="N87" i="107"/>
  <c r="N88" i="107"/>
  <c r="N89" i="107"/>
  <c r="N90" i="107"/>
  <c r="N91" i="107"/>
  <c r="N92" i="107"/>
  <c r="N93" i="107"/>
  <c r="N94" i="107"/>
  <c r="N95" i="107"/>
  <c r="N96" i="107"/>
  <c r="N97" i="107"/>
  <c r="N98" i="107"/>
  <c r="N99" i="107"/>
  <c r="N100" i="107"/>
  <c r="N101" i="107"/>
  <c r="N102" i="107"/>
  <c r="N103" i="107"/>
  <c r="N104" i="107"/>
  <c r="N105" i="107"/>
  <c r="N106" i="107"/>
  <c r="N107" i="107"/>
  <c r="N108" i="107"/>
  <c r="N109" i="107"/>
  <c r="N110" i="107"/>
  <c r="N111" i="107"/>
  <c r="N112" i="107"/>
  <c r="N113" i="107"/>
  <c r="N114" i="107"/>
  <c r="N115" i="107"/>
  <c r="N116" i="107"/>
  <c r="N117" i="107"/>
  <c r="N118" i="107"/>
  <c r="N119" i="107"/>
  <c r="N120" i="107"/>
  <c r="N121" i="107"/>
  <c r="N122" i="107"/>
  <c r="N123" i="107"/>
  <c r="N124" i="107"/>
  <c r="N125" i="107"/>
  <c r="N126" i="107"/>
  <c r="N127" i="107"/>
  <c r="N128" i="107"/>
  <c r="N129" i="107"/>
  <c r="N130" i="107"/>
  <c r="N131" i="107"/>
  <c r="N132" i="107"/>
  <c r="N133" i="107"/>
  <c r="N134" i="107"/>
  <c r="N135" i="107"/>
  <c r="N136" i="107"/>
  <c r="N137" i="107"/>
  <c r="N138" i="107"/>
  <c r="N139" i="107"/>
  <c r="N140" i="107"/>
  <c r="N141" i="107"/>
  <c r="N142" i="107"/>
  <c r="N143" i="107"/>
  <c r="N144" i="107"/>
  <c r="N145" i="107"/>
  <c r="N146" i="107"/>
  <c r="N147" i="107"/>
  <c r="N148" i="107"/>
  <c r="N149" i="107"/>
  <c r="N150" i="107"/>
  <c r="N151" i="107"/>
  <c r="N152" i="107"/>
  <c r="N153" i="107"/>
  <c r="N154" i="107"/>
  <c r="N155" i="107"/>
  <c r="N156" i="107"/>
  <c r="N157" i="107"/>
  <c r="N158" i="107"/>
  <c r="N159" i="107"/>
  <c r="N160" i="107"/>
  <c r="N161" i="107"/>
  <c r="N162" i="107"/>
  <c r="N163" i="107"/>
  <c r="N164" i="107"/>
  <c r="N165" i="107"/>
  <c r="N166" i="107"/>
  <c r="N167" i="107"/>
  <c r="N168" i="107"/>
  <c r="N169" i="107"/>
  <c r="N170" i="107"/>
  <c r="N171" i="107"/>
  <c r="N172" i="107"/>
  <c r="N173" i="107"/>
  <c r="N174" i="107"/>
  <c r="N175" i="107"/>
  <c r="N176" i="107"/>
  <c r="N177" i="107"/>
  <c r="N178" i="107"/>
  <c r="N179" i="107"/>
  <c r="N180" i="107"/>
  <c r="N181" i="107"/>
  <c r="N182" i="107"/>
  <c r="N183" i="107"/>
  <c r="N184" i="107"/>
  <c r="N185" i="107"/>
  <c r="N186" i="107"/>
  <c r="N187" i="107"/>
  <c r="N188" i="107"/>
  <c r="N189" i="107"/>
  <c r="N190" i="107"/>
  <c r="N191" i="107"/>
  <c r="N192" i="107"/>
  <c r="N193" i="107"/>
  <c r="N194" i="107"/>
  <c r="N195" i="107"/>
  <c r="N196" i="107"/>
  <c r="N197" i="107"/>
  <c r="N198" i="107"/>
  <c r="N199" i="107"/>
  <c r="N200" i="107"/>
  <c r="N201" i="107"/>
  <c r="N202" i="107"/>
  <c r="N203" i="107"/>
  <c r="N204" i="107"/>
  <c r="N205" i="107"/>
  <c r="N206" i="107"/>
  <c r="N207" i="107"/>
  <c r="N208" i="107"/>
  <c r="N209" i="107"/>
  <c r="N210" i="107"/>
  <c r="N211" i="107"/>
  <c r="N212" i="107"/>
  <c r="N213" i="107"/>
  <c r="N214" i="107"/>
  <c r="N215" i="107"/>
  <c r="N216" i="107"/>
  <c r="N217" i="107"/>
  <c r="N218" i="107"/>
  <c r="N219" i="107"/>
  <c r="N220" i="107"/>
  <c r="N221" i="107"/>
  <c r="N222" i="107"/>
  <c r="N223" i="107"/>
  <c r="N224" i="107"/>
  <c r="N225" i="107"/>
  <c r="N226" i="107"/>
  <c r="N227" i="107"/>
  <c r="N228" i="107"/>
  <c r="N229" i="107"/>
  <c r="N230" i="107"/>
  <c r="N231" i="107"/>
  <c r="N232" i="107"/>
  <c r="N233" i="107"/>
  <c r="N234" i="107"/>
  <c r="N235" i="107"/>
  <c r="N236" i="107"/>
  <c r="N237" i="107"/>
  <c r="N238" i="107"/>
  <c r="N239" i="107"/>
  <c r="N240" i="107"/>
  <c r="N241" i="107"/>
  <c r="N242" i="107"/>
  <c r="N243" i="107"/>
  <c r="N244" i="107"/>
  <c r="N245" i="107"/>
  <c r="N246" i="107"/>
  <c r="N247" i="107"/>
  <c r="N248" i="107"/>
  <c r="N249" i="107"/>
  <c r="N250" i="107"/>
  <c r="N251" i="107"/>
  <c r="N252" i="107"/>
  <c r="N253" i="107"/>
  <c r="N254"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BL47" i="108" l="1"/>
  <c r="BK47" i="108"/>
  <c r="BL13" i="108"/>
  <c r="BK13" i="108"/>
  <c r="O7" i="107" a="1"/>
  <c r="O7" i="107" s="1"/>
  <c r="AX12" i="108"/>
  <c r="AZ12" i="108" s="1"/>
  <c r="AX46" i="108"/>
  <c r="AZ46" i="108" s="1"/>
  <c r="B7" i="107" a="1"/>
  <c r="AB7" i="107" a="1"/>
  <c r="AB7" i="107" s="1"/>
  <c r="AE8" i="107"/>
  <c r="AG8" i="107"/>
  <c r="AK8" i="107"/>
  <c r="AC8" i="107"/>
  <c r="AI8" i="107"/>
  <c r="BE47" i="108"/>
  <c r="AR47" i="108"/>
  <c r="BG47" i="108"/>
  <c r="AT47" i="108"/>
  <c r="BF47" i="108"/>
  <c r="AP47" i="108"/>
  <c r="BE13" i="108"/>
  <c r="AR13" i="108"/>
  <c r="AT13" i="108"/>
  <c r="BF13" i="108"/>
  <c r="BG13" i="108"/>
  <c r="AG14" i="108" a="1"/>
  <c r="AG14" i="108" s="1"/>
  <c r="AJ13" i="108"/>
  <c r="AP13" i="108"/>
  <c r="AG48" i="108" a="1"/>
  <c r="AG48" i="108" s="1"/>
  <c r="AJ47" i="108"/>
  <c r="B49" i="108" a="1"/>
  <c r="B49" i="108" s="1"/>
  <c r="BM49" i="108" s="1"/>
  <c r="E48" i="108"/>
  <c r="M48" i="108"/>
  <c r="K48" i="108"/>
  <c r="B14" i="108" a="1"/>
  <c r="B14" i="108"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I22" i="96"/>
  <c r="I10" i="63"/>
  <c r="B7" i="107" l="1"/>
  <c r="H8" i="107"/>
  <c r="J8" i="107"/>
  <c r="F8" i="107"/>
  <c r="D8" i="107"/>
  <c r="L8" i="107"/>
  <c r="AI7" i="107"/>
  <c r="AJ7" i="107"/>
  <c r="T7" i="107"/>
  <c r="W7" i="107"/>
  <c r="V7" i="107"/>
  <c r="U7" i="107"/>
  <c r="AL7" i="107"/>
  <c r="BL14" i="108"/>
  <c r="BK14" i="108"/>
  <c r="BL48" i="108"/>
  <c r="BK48" i="108"/>
  <c r="AX47" i="108"/>
  <c r="AZ47" i="108" s="1"/>
  <c r="AX13" i="108"/>
  <c r="AZ13" i="108" s="1"/>
  <c r="X94" i="107"/>
  <c r="V94" i="107"/>
  <c r="P94" i="107"/>
  <c r="T94" i="107"/>
  <c r="R94" i="107"/>
  <c r="P77" i="107"/>
  <c r="T77" i="107"/>
  <c r="R77" i="107"/>
  <c r="X77" i="107"/>
  <c r="V77" i="107"/>
  <c r="V63" i="107"/>
  <c r="R63" i="107"/>
  <c r="T63" i="107"/>
  <c r="P63" i="107"/>
  <c r="X63" i="107"/>
  <c r="X47" i="107"/>
  <c r="T47" i="107"/>
  <c r="R47" i="107"/>
  <c r="V47" i="107"/>
  <c r="P47" i="107"/>
  <c r="V31" i="107"/>
  <c r="X31" i="107"/>
  <c r="R31" i="107"/>
  <c r="P31" i="107"/>
  <c r="T31" i="107"/>
  <c r="V14" i="107"/>
  <c r="P14" i="107"/>
  <c r="T14" i="107"/>
  <c r="X14" i="107"/>
  <c r="R14" i="107"/>
  <c r="X96" i="107"/>
  <c r="T96" i="107"/>
  <c r="R96" i="107"/>
  <c r="V96" i="107"/>
  <c r="P96" i="107"/>
  <c r="T83" i="107"/>
  <c r="V83" i="107"/>
  <c r="R83" i="107"/>
  <c r="P83" i="107"/>
  <c r="X83" i="107"/>
  <c r="T65" i="107"/>
  <c r="R65" i="107"/>
  <c r="V65" i="107"/>
  <c r="X65" i="107"/>
  <c r="P65" i="107"/>
  <c r="R49" i="107"/>
  <c r="X49" i="107"/>
  <c r="P49" i="107"/>
  <c r="V49" i="107"/>
  <c r="T49" i="107"/>
  <c r="P33" i="107"/>
  <c r="V33" i="107"/>
  <c r="T33" i="107"/>
  <c r="R33" i="107"/>
  <c r="X33" i="107"/>
  <c r="T16" i="107"/>
  <c r="R16" i="107"/>
  <c r="P16" i="107"/>
  <c r="V16" i="107"/>
  <c r="X16" i="107"/>
  <c r="T99" i="107"/>
  <c r="V99" i="107"/>
  <c r="P99" i="107"/>
  <c r="R99" i="107"/>
  <c r="X99" i="107"/>
  <c r="X82" i="107"/>
  <c r="P82" i="107"/>
  <c r="V82" i="107"/>
  <c r="T82" i="107"/>
  <c r="R82" i="107"/>
  <c r="X64" i="107"/>
  <c r="R64" i="107"/>
  <c r="T64" i="107"/>
  <c r="P64" i="107"/>
  <c r="V64" i="107"/>
  <c r="X48" i="107"/>
  <c r="R48" i="107"/>
  <c r="V48" i="107"/>
  <c r="P48" i="107"/>
  <c r="T48" i="107"/>
  <c r="X32" i="107"/>
  <c r="T32" i="107"/>
  <c r="V32" i="107"/>
  <c r="R32" i="107"/>
  <c r="P32" i="107"/>
  <c r="P19" i="107"/>
  <c r="V19" i="107"/>
  <c r="X19" i="107"/>
  <c r="T19" i="107"/>
  <c r="R19" i="107"/>
  <c r="T102" i="107"/>
  <c r="V102" i="107"/>
  <c r="R102" i="107"/>
  <c r="X102" i="107"/>
  <c r="P102" i="107"/>
  <c r="P85" i="107"/>
  <c r="T85" i="107"/>
  <c r="R85" i="107"/>
  <c r="X85" i="107"/>
  <c r="V85" i="107"/>
  <c r="V71" i="107"/>
  <c r="T71" i="107"/>
  <c r="R71" i="107"/>
  <c r="P71" i="107"/>
  <c r="X71" i="107"/>
  <c r="T54" i="107"/>
  <c r="R54" i="107"/>
  <c r="V54" i="107"/>
  <c r="P54" i="107"/>
  <c r="X54" i="107"/>
  <c r="X38" i="107"/>
  <c r="V38" i="107"/>
  <c r="R38" i="107"/>
  <c r="T38" i="107"/>
  <c r="P38" i="107"/>
  <c r="P22" i="107"/>
  <c r="V22" i="107"/>
  <c r="R22" i="107"/>
  <c r="X22" i="107"/>
  <c r="T22" i="107"/>
  <c r="X104" i="107"/>
  <c r="T104" i="107"/>
  <c r="V104" i="107"/>
  <c r="P104" i="107"/>
  <c r="R104" i="107"/>
  <c r="V91" i="107"/>
  <c r="P91" i="107"/>
  <c r="T91" i="107"/>
  <c r="X91" i="107"/>
  <c r="R91" i="107"/>
  <c r="T73" i="107"/>
  <c r="X73" i="107"/>
  <c r="R73" i="107"/>
  <c r="P73" i="107"/>
  <c r="V73" i="107"/>
  <c r="V56" i="107"/>
  <c r="R56" i="107"/>
  <c r="X56" i="107"/>
  <c r="T56" i="107"/>
  <c r="P56" i="107"/>
  <c r="T40" i="107"/>
  <c r="X40" i="107"/>
  <c r="V40" i="107"/>
  <c r="R40" i="107"/>
  <c r="P40" i="107"/>
  <c r="X24" i="107"/>
  <c r="T24" i="107"/>
  <c r="R24" i="107"/>
  <c r="P24" i="107"/>
  <c r="V24" i="107"/>
  <c r="P10" i="107"/>
  <c r="V10" i="107"/>
  <c r="X10" i="107"/>
  <c r="T10" i="107"/>
  <c r="R10" i="107"/>
  <c r="P93" i="107"/>
  <c r="X93" i="107"/>
  <c r="V93" i="107"/>
  <c r="T93" i="107"/>
  <c r="R93" i="107"/>
  <c r="T76" i="107"/>
  <c r="X76" i="107"/>
  <c r="P76" i="107"/>
  <c r="V76" i="107"/>
  <c r="R76" i="107"/>
  <c r="T62" i="107"/>
  <c r="P62" i="107"/>
  <c r="X62" i="107"/>
  <c r="V62" i="107"/>
  <c r="R62" i="107"/>
  <c r="R46" i="107"/>
  <c r="T46" i="107"/>
  <c r="X46" i="107"/>
  <c r="V46" i="107"/>
  <c r="P46" i="107"/>
  <c r="P30" i="107"/>
  <c r="X30" i="107"/>
  <c r="R30" i="107"/>
  <c r="T30" i="107"/>
  <c r="V30" i="107"/>
  <c r="V13" i="107"/>
  <c r="T13" i="107"/>
  <c r="R13" i="107"/>
  <c r="X13" i="107"/>
  <c r="P13" i="107"/>
  <c r="X92" i="107"/>
  <c r="R92" i="107"/>
  <c r="P92" i="107"/>
  <c r="T92" i="107"/>
  <c r="V92" i="107"/>
  <c r="V79" i="107"/>
  <c r="T79" i="107"/>
  <c r="P79" i="107"/>
  <c r="R79" i="107"/>
  <c r="X79" i="107"/>
  <c r="P61" i="107"/>
  <c r="V61" i="107"/>
  <c r="T61" i="107"/>
  <c r="R61" i="107"/>
  <c r="X61" i="107"/>
  <c r="P45" i="107"/>
  <c r="X45" i="107"/>
  <c r="V45" i="107"/>
  <c r="T45" i="107"/>
  <c r="R45" i="107"/>
  <c r="R29" i="107"/>
  <c r="X29" i="107"/>
  <c r="P29" i="107"/>
  <c r="V29" i="107"/>
  <c r="T29" i="107"/>
  <c r="R12" i="107"/>
  <c r="X12" i="107"/>
  <c r="V12" i="107"/>
  <c r="T12" i="107"/>
  <c r="P12" i="107"/>
  <c r="P98" i="107"/>
  <c r="V98" i="107"/>
  <c r="T98" i="107"/>
  <c r="R98" i="107"/>
  <c r="X98" i="107"/>
  <c r="P81" i="107"/>
  <c r="V81" i="107"/>
  <c r="T81" i="107"/>
  <c r="R81" i="107"/>
  <c r="X81" i="107"/>
  <c r="T67" i="107"/>
  <c r="V67" i="107"/>
  <c r="R67" i="107"/>
  <c r="P67" i="107"/>
  <c r="X67" i="107"/>
  <c r="V51" i="107"/>
  <c r="P51" i="107"/>
  <c r="R51" i="107"/>
  <c r="X51" i="107"/>
  <c r="T51" i="107"/>
  <c r="R35" i="107"/>
  <c r="T35" i="107"/>
  <c r="P35" i="107"/>
  <c r="V35" i="107"/>
  <c r="X35" i="107"/>
  <c r="P18" i="107"/>
  <c r="V18" i="107"/>
  <c r="T18" i="107"/>
  <c r="R18" i="107"/>
  <c r="X18" i="107"/>
  <c r="P101" i="107"/>
  <c r="X101" i="107"/>
  <c r="V101" i="107"/>
  <c r="T101" i="107"/>
  <c r="R101" i="107"/>
  <c r="T84" i="107"/>
  <c r="P84" i="107"/>
  <c r="V84" i="107"/>
  <c r="R84" i="107"/>
  <c r="X84" i="107"/>
  <c r="T70" i="107"/>
  <c r="P70" i="107"/>
  <c r="X70" i="107"/>
  <c r="V70" i="107"/>
  <c r="R70" i="107"/>
  <c r="P53" i="107"/>
  <c r="R53" i="107"/>
  <c r="X53" i="107"/>
  <c r="V53" i="107"/>
  <c r="T53" i="107"/>
  <c r="P37" i="107"/>
  <c r="T37" i="107"/>
  <c r="R37" i="107"/>
  <c r="X37" i="107"/>
  <c r="V37" i="107"/>
  <c r="V21" i="107"/>
  <c r="T21" i="107"/>
  <c r="R21" i="107"/>
  <c r="P21" i="107"/>
  <c r="X21" i="107"/>
  <c r="T107" i="107"/>
  <c r="P107" i="107"/>
  <c r="R107" i="107"/>
  <c r="V107" i="107"/>
  <c r="X107" i="107"/>
  <c r="X90" i="107"/>
  <c r="V90" i="107"/>
  <c r="P90" i="107"/>
  <c r="T90" i="107"/>
  <c r="R90" i="107"/>
  <c r="X72" i="107"/>
  <c r="R72" i="107"/>
  <c r="P72" i="107"/>
  <c r="V72" i="107"/>
  <c r="T72" i="107"/>
  <c r="X59" i="107"/>
  <c r="V59" i="107"/>
  <c r="R59" i="107"/>
  <c r="T59" i="107"/>
  <c r="P59" i="107"/>
  <c r="X43" i="107"/>
  <c r="R43" i="107"/>
  <c r="P43" i="107"/>
  <c r="V43" i="107"/>
  <c r="T43" i="107"/>
  <c r="X27" i="107"/>
  <c r="T27" i="107"/>
  <c r="R27" i="107"/>
  <c r="P27" i="107"/>
  <c r="V27" i="107"/>
  <c r="P106" i="107"/>
  <c r="X106" i="107"/>
  <c r="V106" i="107"/>
  <c r="T106" i="107"/>
  <c r="R106" i="107"/>
  <c r="P89" i="107"/>
  <c r="R89" i="107"/>
  <c r="X89" i="107"/>
  <c r="V89" i="107"/>
  <c r="T89" i="107"/>
  <c r="T75" i="107"/>
  <c r="R75" i="107"/>
  <c r="P75" i="107"/>
  <c r="X75" i="107"/>
  <c r="V75" i="107"/>
  <c r="X58" i="107"/>
  <c r="P58" i="107"/>
  <c r="V58" i="107"/>
  <c r="T58" i="107"/>
  <c r="R58" i="107"/>
  <c r="X42" i="107"/>
  <c r="P42" i="107"/>
  <c r="V42" i="107"/>
  <c r="T42" i="107"/>
  <c r="R42" i="107"/>
  <c r="P26" i="107"/>
  <c r="X26" i="107"/>
  <c r="V26" i="107"/>
  <c r="T26" i="107"/>
  <c r="R26" i="107"/>
  <c r="T9" i="107"/>
  <c r="V9" i="107"/>
  <c r="R9" i="107"/>
  <c r="P9" i="107"/>
  <c r="X9" i="107"/>
  <c r="R95" i="107"/>
  <c r="T95" i="107"/>
  <c r="X95" i="107"/>
  <c r="V95" i="107"/>
  <c r="P95" i="107"/>
  <c r="X78" i="107"/>
  <c r="V78" i="107"/>
  <c r="R78" i="107"/>
  <c r="T78" i="107"/>
  <c r="P78" i="107"/>
  <c r="X60" i="107"/>
  <c r="V60" i="107"/>
  <c r="R60" i="107"/>
  <c r="T60" i="107"/>
  <c r="P60" i="107"/>
  <c r="V44" i="107"/>
  <c r="T44" i="107"/>
  <c r="X44" i="107"/>
  <c r="P44" i="107"/>
  <c r="R44" i="107"/>
  <c r="X28" i="107"/>
  <c r="R28" i="107"/>
  <c r="T28" i="107"/>
  <c r="P28" i="107"/>
  <c r="V28" i="107"/>
  <c r="X15" i="107"/>
  <c r="V15" i="107"/>
  <c r="R15" i="107"/>
  <c r="P15" i="107"/>
  <c r="T15" i="107"/>
  <c r="P97" i="107"/>
  <c r="R97" i="107"/>
  <c r="X97" i="107"/>
  <c r="V97" i="107"/>
  <c r="T97" i="107"/>
  <c r="V80" i="107"/>
  <c r="X80" i="107"/>
  <c r="R80" i="107"/>
  <c r="P80" i="107"/>
  <c r="T80" i="107"/>
  <c r="T66" i="107"/>
  <c r="R66" i="107"/>
  <c r="X66" i="107"/>
  <c r="P66" i="107"/>
  <c r="V66" i="107"/>
  <c r="X50" i="107"/>
  <c r="P50" i="107"/>
  <c r="V50" i="107"/>
  <c r="T50" i="107"/>
  <c r="R50" i="107"/>
  <c r="T34" i="107"/>
  <c r="X34" i="107"/>
  <c r="R34" i="107"/>
  <c r="P34" i="107"/>
  <c r="V34" i="107"/>
  <c r="R17" i="107"/>
  <c r="P17" i="107"/>
  <c r="V17" i="107"/>
  <c r="T17" i="107"/>
  <c r="X17" i="107"/>
  <c r="T100" i="107"/>
  <c r="R100" i="107"/>
  <c r="X100" i="107"/>
  <c r="V100" i="107"/>
  <c r="P100" i="107"/>
  <c r="P87" i="107"/>
  <c r="X87" i="107"/>
  <c r="V87" i="107"/>
  <c r="T87" i="107"/>
  <c r="R87" i="107"/>
  <c r="P69" i="107"/>
  <c r="X69" i="107"/>
  <c r="V69" i="107"/>
  <c r="T69" i="107"/>
  <c r="R69" i="107"/>
  <c r="X52" i="107"/>
  <c r="T52" i="107"/>
  <c r="V52" i="107"/>
  <c r="P52" i="107"/>
  <c r="R52" i="107"/>
  <c r="R36" i="107"/>
  <c r="T36" i="107"/>
  <c r="P36" i="107"/>
  <c r="V36" i="107"/>
  <c r="X36" i="107"/>
  <c r="R20" i="107"/>
  <c r="X20" i="107"/>
  <c r="T20" i="107"/>
  <c r="P20" i="107"/>
  <c r="V20" i="107"/>
  <c r="T103" i="107"/>
  <c r="P103" i="107"/>
  <c r="V103" i="107"/>
  <c r="R103" i="107"/>
  <c r="X103" i="107"/>
  <c r="X86" i="107"/>
  <c r="T86" i="107"/>
  <c r="V86" i="107"/>
  <c r="P86" i="107"/>
  <c r="R86" i="107"/>
  <c r="X68" i="107"/>
  <c r="V68" i="107"/>
  <c r="R68" i="107"/>
  <c r="T68" i="107"/>
  <c r="P68" i="107"/>
  <c r="P55" i="107"/>
  <c r="V55" i="107"/>
  <c r="X55" i="107"/>
  <c r="T55" i="107"/>
  <c r="R55" i="107"/>
  <c r="R39" i="107"/>
  <c r="V39" i="107"/>
  <c r="P39" i="107"/>
  <c r="X39" i="107"/>
  <c r="T39" i="107"/>
  <c r="V23" i="107"/>
  <c r="T23" i="107"/>
  <c r="X23" i="107"/>
  <c r="P23" i="107"/>
  <c r="R23" i="107"/>
  <c r="P105" i="107"/>
  <c r="V105" i="107"/>
  <c r="T105" i="107"/>
  <c r="R105" i="107"/>
  <c r="X105" i="107"/>
  <c r="T88" i="107"/>
  <c r="X88" i="107"/>
  <c r="V88" i="107"/>
  <c r="R88" i="107"/>
  <c r="P88" i="107"/>
  <c r="X74" i="107"/>
  <c r="P74" i="107"/>
  <c r="V74" i="107"/>
  <c r="T74" i="107"/>
  <c r="R74" i="107"/>
  <c r="X57" i="107"/>
  <c r="V57" i="107"/>
  <c r="R57" i="107"/>
  <c r="T57" i="107"/>
  <c r="P57" i="107"/>
  <c r="V41" i="107"/>
  <c r="T41" i="107"/>
  <c r="X41" i="107"/>
  <c r="R41" i="107"/>
  <c r="P41" i="107"/>
  <c r="V25" i="107"/>
  <c r="T25" i="107"/>
  <c r="X25" i="107"/>
  <c r="P25" i="107"/>
  <c r="R25" i="107"/>
  <c r="X11" i="107"/>
  <c r="T11" i="107"/>
  <c r="P11" i="107"/>
  <c r="R11" i="107"/>
  <c r="V11" i="107"/>
  <c r="E49" i="108"/>
  <c r="I8" i="107"/>
  <c r="AR48" i="108"/>
  <c r="BG48" i="108"/>
  <c r="AT48" i="108"/>
  <c r="BF48" i="108"/>
  <c r="BE48" i="108"/>
  <c r="BF14" i="108"/>
  <c r="AT14" i="108"/>
  <c r="AR14" i="108"/>
  <c r="BG14" i="108"/>
  <c r="BE14" i="108"/>
  <c r="AP14" i="108"/>
  <c r="AJ14" i="108"/>
  <c r="AG15" i="108" a="1"/>
  <c r="AG15" i="108" s="1"/>
  <c r="AJ48" i="108"/>
  <c r="M49" i="108"/>
  <c r="K49" i="108"/>
  <c r="AG49" i="108" a="1"/>
  <c r="AG49" i="108" s="1"/>
  <c r="AP48" i="108"/>
  <c r="B50" i="108" a="1"/>
  <c r="B50" i="108" s="1"/>
  <c r="BM50" i="108" s="1"/>
  <c r="B15" i="108" a="1"/>
  <c r="B15" i="108" s="1"/>
  <c r="BM15" i="108" s="1"/>
  <c r="BL49" i="108" l="1"/>
  <c r="BK49" i="108"/>
  <c r="BL15" i="108"/>
  <c r="BK15" i="108"/>
  <c r="AX48" i="108"/>
  <c r="AZ48" i="108" s="1"/>
  <c r="AX14" i="108"/>
  <c r="AZ14" i="108" s="1"/>
  <c r="E15" i="108"/>
  <c r="AT49" i="108"/>
  <c r="BF49" i="108"/>
  <c r="AR49" i="108"/>
  <c r="BG49" i="108"/>
  <c r="BE49" i="108"/>
  <c r="BG15" i="108"/>
  <c r="BF15" i="108"/>
  <c r="AR15" i="108"/>
  <c r="BE15" i="108"/>
  <c r="AT15" i="108"/>
  <c r="AJ15" i="108"/>
  <c r="AP15" i="108"/>
  <c r="AG16" i="108" a="1"/>
  <c r="AG16" i="108" s="1"/>
  <c r="AG50" i="108" a="1"/>
  <c r="AG50" i="108" s="1"/>
  <c r="AJ49" i="108"/>
  <c r="AP49" i="108"/>
  <c r="E50" i="108"/>
  <c r="M50" i="108"/>
  <c r="K50" i="108"/>
  <c r="B51" i="108" a="1"/>
  <c r="B51" i="108" s="1"/>
  <c r="BM51" i="108" s="1"/>
  <c r="B16" i="108" a="1"/>
  <c r="B16" i="108" s="1"/>
  <c r="BM16" i="108" s="1"/>
  <c r="O15" i="108"/>
  <c r="K15" i="108"/>
  <c r="M15" i="108"/>
  <c r="BL50" i="108" l="1"/>
  <c r="BK50" i="108"/>
  <c r="BL16" i="108"/>
  <c r="BK16" i="108"/>
  <c r="AX49" i="108"/>
  <c r="AZ49" i="108" s="1"/>
  <c r="AX15" i="108"/>
  <c r="AZ15" i="108" s="1"/>
  <c r="E16" i="108"/>
  <c r="BE50" i="108"/>
  <c r="BF50" i="108"/>
  <c r="AT50" i="108"/>
  <c r="AR50" i="108"/>
  <c r="BG50" i="108"/>
  <c r="AT16" i="108"/>
  <c r="AR16" i="108"/>
  <c r="BG16" i="108"/>
  <c r="BF16" i="108"/>
  <c r="BE16" i="108"/>
  <c r="AP16" i="108"/>
  <c r="AJ16" i="108"/>
  <c r="AG17" i="108" a="1"/>
  <c r="AG17" i="108" s="1"/>
  <c r="AJ50" i="108"/>
  <c r="AG51" i="108" a="1"/>
  <c r="AG51" i="108" s="1"/>
  <c r="AP50" i="108"/>
  <c r="E51" i="108"/>
  <c r="M51" i="108"/>
  <c r="K51" i="108"/>
  <c r="B52" i="108" a="1"/>
  <c r="B52" i="108" s="1"/>
  <c r="BM52" i="108" s="1"/>
  <c r="S15" i="108"/>
  <c r="U15" i="108" s="1"/>
  <c r="K16" i="108"/>
  <c r="O16" i="108"/>
  <c r="B17" i="108" a="1"/>
  <c r="B17" i="108" s="1"/>
  <c r="BM17" i="108" s="1"/>
  <c r="M16" i="108"/>
  <c r="T11" i="67"/>
  <c r="T12" i="67"/>
  <c r="T13" i="67"/>
  <c r="T14" i="67"/>
  <c r="T15" i="67"/>
  <c r="T16" i="67"/>
  <c r="T17" i="67"/>
  <c r="T18" i="67"/>
  <c r="T19" i="67"/>
  <c r="T20" i="67"/>
  <c r="T21" i="67"/>
  <c r="T22" i="67"/>
  <c r="T23" i="67"/>
  <c r="T24" i="67"/>
  <c r="T25" i="67"/>
  <c r="T26" i="67"/>
  <c r="T27" i="67"/>
  <c r="T28" i="67"/>
  <c r="T29" i="67"/>
  <c r="T30" i="67"/>
  <c r="T31" i="67"/>
  <c r="T32" i="67"/>
  <c r="T33" i="67"/>
  <c r="T34" i="67"/>
  <c r="T35" i="67"/>
  <c r="T36" i="67"/>
  <c r="T37" i="67"/>
  <c r="T38" i="67"/>
  <c r="T39" i="67"/>
  <c r="T40" i="67"/>
  <c r="T41" i="67"/>
  <c r="T42" i="67"/>
  <c r="T43" i="67"/>
  <c r="T44" i="67"/>
  <c r="T45" i="67"/>
  <c r="T46" i="67"/>
  <c r="T47" i="67"/>
  <c r="T48" i="67"/>
  <c r="T49" i="67"/>
  <c r="T50" i="67"/>
  <c r="T51" i="67"/>
  <c r="T52" i="67"/>
  <c r="T53" i="67"/>
  <c r="T54" i="67"/>
  <c r="T55" i="67"/>
  <c r="T56" i="67"/>
  <c r="T57" i="67"/>
  <c r="T58" i="67"/>
  <c r="T59" i="67"/>
  <c r="T60" i="67"/>
  <c r="T61" i="67"/>
  <c r="T62" i="67"/>
  <c r="T63" i="67"/>
  <c r="T64" i="67"/>
  <c r="T65" i="67"/>
  <c r="T66" i="67"/>
  <c r="T67" i="67"/>
  <c r="T68" i="67"/>
  <c r="T69" i="67"/>
  <c r="T70" i="67"/>
  <c r="T71" i="67"/>
  <c r="T72" i="67"/>
  <c r="T73" i="67"/>
  <c r="T74" i="67"/>
  <c r="T75" i="67"/>
  <c r="T76" i="67"/>
  <c r="T77" i="67"/>
  <c r="T78" i="67"/>
  <c r="T79" i="67"/>
  <c r="T80" i="67"/>
  <c r="T81" i="67"/>
  <c r="T82" i="67"/>
  <c r="T83" i="67"/>
  <c r="T84" i="67"/>
  <c r="T85" i="67"/>
  <c r="T86" i="67"/>
  <c r="T87" i="67"/>
  <c r="T88" i="67"/>
  <c r="T89" i="67"/>
  <c r="T90" i="67"/>
  <c r="T91" i="67"/>
  <c r="T92" i="67"/>
  <c r="T93" i="67"/>
  <c r="T94" i="67"/>
  <c r="T95" i="67"/>
  <c r="T96" i="67"/>
  <c r="T97" i="67"/>
  <c r="T98" i="67"/>
  <c r="T99" i="67"/>
  <c r="T100" i="67"/>
  <c r="T101" i="67"/>
  <c r="T102" i="67"/>
  <c r="T103" i="67"/>
  <c r="T104" i="67"/>
  <c r="T105" i="67"/>
  <c r="T106" i="67"/>
  <c r="T107" i="67"/>
  <c r="T108" i="67"/>
  <c r="T109" i="67"/>
  <c r="T110" i="67"/>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BL51" i="108" l="1"/>
  <c r="BK51" i="108"/>
  <c r="BL17" i="108"/>
  <c r="BK17" i="108"/>
  <c r="AX16" i="108"/>
  <c r="AZ16" i="108" s="1"/>
  <c r="AX50" i="108"/>
  <c r="AZ50" i="108" s="1"/>
  <c r="B53" i="108" a="1"/>
  <c r="B53" i="108" s="1"/>
  <c r="BM53" i="108" s="1"/>
  <c r="E17" i="108"/>
  <c r="BE51" i="108"/>
  <c r="AT51" i="108"/>
  <c r="BF51" i="108"/>
  <c r="AR51" i="108"/>
  <c r="BG51" i="108"/>
  <c r="BE17" i="108"/>
  <c r="AT17" i="108"/>
  <c r="BF17" i="108"/>
  <c r="AR17" i="108"/>
  <c r="BG17" i="108"/>
  <c r="AJ17" i="108"/>
  <c r="AP17" i="108"/>
  <c r="AG18" i="108" a="1"/>
  <c r="AG18" i="108" s="1"/>
  <c r="AG52" i="108" a="1"/>
  <c r="AG52" i="108" s="1"/>
  <c r="AJ51" i="108"/>
  <c r="AP51" i="108"/>
  <c r="K52" i="108"/>
  <c r="E52" i="108"/>
  <c r="M52" i="108"/>
  <c r="S16" i="108"/>
  <c r="U16" i="108" s="1"/>
  <c r="M17" i="108"/>
  <c r="O17" i="108"/>
  <c r="B18" i="108" a="1"/>
  <c r="B18" i="108" s="1"/>
  <c r="BM18" i="108" s="1"/>
  <c r="K17" i="108"/>
  <c r="BL52" i="108" l="1"/>
  <c r="BK52" i="108"/>
  <c r="BL18" i="108"/>
  <c r="BK18" i="108"/>
  <c r="AX51" i="108"/>
  <c r="AZ51" i="108" s="1"/>
  <c r="AX17" i="108"/>
  <c r="AZ17" i="108" s="1"/>
  <c r="E53" i="108"/>
  <c r="B54" i="108" a="1"/>
  <c r="B54" i="108" s="1"/>
  <c r="BM54" i="108" s="1"/>
  <c r="M53" i="108"/>
  <c r="K53" i="108"/>
  <c r="E18" i="108"/>
  <c r="AR52" i="108"/>
  <c r="BG52" i="108"/>
  <c r="AT52" i="108"/>
  <c r="BF52" i="108"/>
  <c r="BE52" i="108"/>
  <c r="AG53" i="108" a="1"/>
  <c r="AG53" i="108" s="1"/>
  <c r="BF18" i="108"/>
  <c r="AT18" i="108"/>
  <c r="AR18" i="108"/>
  <c r="BE18" i="108"/>
  <c r="BG18" i="108"/>
  <c r="AG19" i="108" a="1"/>
  <c r="AG19" i="108" s="1"/>
  <c r="AP18" i="108"/>
  <c r="AJ18" i="108"/>
  <c r="AP52" i="108"/>
  <c r="AJ52" i="108"/>
  <c r="S17" i="108"/>
  <c r="U17" i="108" s="1"/>
  <c r="O18" i="108"/>
  <c r="M18" i="108"/>
  <c r="B19" i="108" a="1"/>
  <c r="B19" i="108" s="1"/>
  <c r="BM19" i="108" s="1"/>
  <c r="K18" i="108"/>
  <c r="Q257" i="67"/>
  <c r="AT257" i="67" s="1"/>
  <c r="E80" i="28"/>
  <c r="D80" i="28"/>
  <c r="C80" i="28"/>
  <c r="B80" i="28"/>
  <c r="A80" i="28"/>
  <c r="AJ257" i="67" l="1"/>
  <c r="AI257" i="67"/>
  <c r="BL19" i="108"/>
  <c r="BK19" i="108"/>
  <c r="BL53" i="108"/>
  <c r="BK53" i="108"/>
  <c r="AX52" i="108"/>
  <c r="AZ52" i="108" s="1"/>
  <c r="AX18" i="108"/>
  <c r="AZ18" i="108" s="1"/>
  <c r="B55" i="108" a="1"/>
  <c r="B55" i="108" s="1"/>
  <c r="BM55" i="108" s="1"/>
  <c r="M54" i="108"/>
  <c r="E54" i="108"/>
  <c r="K54" i="108"/>
  <c r="E19" i="108"/>
  <c r="AT53" i="108"/>
  <c r="BF53" i="108"/>
  <c r="AR53" i="108"/>
  <c r="BG53" i="108"/>
  <c r="BE53" i="108"/>
  <c r="AP53" i="108"/>
  <c r="AG54" i="108" a="1"/>
  <c r="AG54" i="108" s="1"/>
  <c r="AJ53" i="108"/>
  <c r="BG19" i="108"/>
  <c r="BE19" i="108"/>
  <c r="AT19" i="108"/>
  <c r="BF19" i="108"/>
  <c r="AR19" i="108"/>
  <c r="AG20" i="108" a="1"/>
  <c r="AG20" i="108" s="1"/>
  <c r="AJ19" i="108"/>
  <c r="AP19" i="108"/>
  <c r="S18" i="108"/>
  <c r="U18" i="108" s="1"/>
  <c r="M19" i="108"/>
  <c r="K19" i="108"/>
  <c r="O19" i="108"/>
  <c r="B20" i="108" a="1"/>
  <c r="B20" i="108" s="1"/>
  <c r="BM20" i="108" s="1"/>
  <c r="B56" i="73"/>
  <c r="I27" i="96"/>
  <c r="AS11" i="63"/>
  <c r="AS12" i="63"/>
  <c r="AS13" i="63"/>
  <c r="AS14" i="63"/>
  <c r="AS15" i="63"/>
  <c r="AS16" i="63"/>
  <c r="AS17" i="63"/>
  <c r="AS18" i="63"/>
  <c r="AS19" i="63"/>
  <c r="AS20" i="63"/>
  <c r="AS21" i="63"/>
  <c r="AS22" i="63"/>
  <c r="AS23" i="63"/>
  <c r="AS24" i="63"/>
  <c r="AS25" i="63"/>
  <c r="AS26" i="63"/>
  <c r="AS27" i="63"/>
  <c r="AS28" i="63"/>
  <c r="AS29" i="63"/>
  <c r="AS30" i="63"/>
  <c r="AS31" i="63"/>
  <c r="AS32" i="63"/>
  <c r="AS33" i="63"/>
  <c r="AS34" i="63"/>
  <c r="AS35" i="63"/>
  <c r="AS36" i="63"/>
  <c r="AS37" i="63"/>
  <c r="AS38" i="63"/>
  <c r="AS39" i="63"/>
  <c r="AS40" i="63"/>
  <c r="AS41" i="63"/>
  <c r="AS42" i="63"/>
  <c r="AS43" i="63"/>
  <c r="AS44" i="63"/>
  <c r="AS45" i="63"/>
  <c r="AS46" i="63"/>
  <c r="AS47" i="63"/>
  <c r="AS48" i="63"/>
  <c r="AS49" i="63"/>
  <c r="AS50" i="63"/>
  <c r="AS51" i="63"/>
  <c r="AS52" i="63"/>
  <c r="AS53" i="63"/>
  <c r="AS54" i="63"/>
  <c r="AS55" i="63"/>
  <c r="AS56" i="63"/>
  <c r="AS57" i="63"/>
  <c r="AS58" i="63"/>
  <c r="AS59" i="63"/>
  <c r="AS60" i="63"/>
  <c r="AS61" i="63"/>
  <c r="AS62" i="63"/>
  <c r="AS63" i="63"/>
  <c r="AS64" i="63"/>
  <c r="AS65" i="63"/>
  <c r="AS66" i="63"/>
  <c r="AS67" i="63"/>
  <c r="AS68" i="63"/>
  <c r="AS69" i="63"/>
  <c r="AS70" i="63"/>
  <c r="AS71" i="63"/>
  <c r="AS72" i="63"/>
  <c r="AS73" i="63"/>
  <c r="AS74" i="63"/>
  <c r="AS75" i="63"/>
  <c r="AS76" i="63"/>
  <c r="AS77" i="63"/>
  <c r="AS78" i="63"/>
  <c r="AS79" i="63"/>
  <c r="AS80" i="63"/>
  <c r="AS81" i="63"/>
  <c r="AS82" i="63"/>
  <c r="AS83" i="63"/>
  <c r="AS84" i="63"/>
  <c r="AS85" i="63"/>
  <c r="AS86" i="63"/>
  <c r="AS87" i="63"/>
  <c r="AS88" i="63"/>
  <c r="AS89" i="63"/>
  <c r="AS90" i="63"/>
  <c r="AS91" i="63"/>
  <c r="AS92" i="63"/>
  <c r="AS93" i="63"/>
  <c r="AS94" i="63"/>
  <c r="AS95" i="63"/>
  <c r="AS96" i="63"/>
  <c r="AS97" i="63"/>
  <c r="AS98" i="63"/>
  <c r="AS99" i="63"/>
  <c r="AS100" i="63"/>
  <c r="AS101" i="63"/>
  <c r="AS102" i="63"/>
  <c r="AS103" i="63"/>
  <c r="AS104" i="63"/>
  <c r="AS105" i="63"/>
  <c r="AS106" i="63"/>
  <c r="AS107" i="63"/>
  <c r="AS108" i="63"/>
  <c r="AS109" i="63"/>
  <c r="AS110" i="63"/>
  <c r="AS111" i="63"/>
  <c r="AS112" i="63"/>
  <c r="AS113" i="63"/>
  <c r="AS114" i="63"/>
  <c r="AS115" i="63"/>
  <c r="AS116" i="63"/>
  <c r="AS117" i="63"/>
  <c r="AS118" i="63"/>
  <c r="AS119" i="63"/>
  <c r="AS120" i="63"/>
  <c r="AS121" i="63"/>
  <c r="AS122" i="63"/>
  <c r="AS123" i="63"/>
  <c r="AS124" i="63"/>
  <c r="AS125" i="63"/>
  <c r="AS126" i="63"/>
  <c r="AS127" i="63"/>
  <c r="AS128" i="63"/>
  <c r="AS129" i="63"/>
  <c r="AS130" i="63"/>
  <c r="AS131" i="63"/>
  <c r="AS132" i="63"/>
  <c r="AS133" i="63"/>
  <c r="AS134" i="63"/>
  <c r="AS135" i="63"/>
  <c r="AS136" i="63"/>
  <c r="AS137" i="63"/>
  <c r="AS138" i="63"/>
  <c r="AS139" i="63"/>
  <c r="AS140" i="63"/>
  <c r="AS141" i="63"/>
  <c r="AS142" i="63"/>
  <c r="AS143" i="63"/>
  <c r="AS144" i="63"/>
  <c r="AS145" i="63"/>
  <c r="AS146" i="63"/>
  <c r="AS147" i="63"/>
  <c r="AS148" i="63"/>
  <c r="AS149" i="63"/>
  <c r="AS150" i="63"/>
  <c r="AS151" i="63"/>
  <c r="AS152" i="63"/>
  <c r="AS153" i="63"/>
  <c r="AS154" i="63"/>
  <c r="AS155" i="63"/>
  <c r="AS156" i="63"/>
  <c r="AS157" i="63"/>
  <c r="AS158" i="63"/>
  <c r="AS159" i="63"/>
  <c r="AS160" i="63"/>
  <c r="AS161" i="63"/>
  <c r="AS162" i="63"/>
  <c r="AS163" i="63"/>
  <c r="AS164" i="63"/>
  <c r="AS165" i="63"/>
  <c r="AS166" i="63"/>
  <c r="AS167" i="63"/>
  <c r="AS168" i="63"/>
  <c r="AS169" i="63"/>
  <c r="AS170" i="63"/>
  <c r="AS171" i="63"/>
  <c r="AS172" i="63"/>
  <c r="AS173" i="63"/>
  <c r="AS174" i="63"/>
  <c r="AS175" i="63"/>
  <c r="AS176" i="63"/>
  <c r="AS177" i="63"/>
  <c r="AS178" i="63"/>
  <c r="AS179" i="63"/>
  <c r="AS180" i="63"/>
  <c r="AS181" i="63"/>
  <c r="AS182" i="63"/>
  <c r="AS183" i="63"/>
  <c r="AS184" i="63"/>
  <c r="AS185" i="63"/>
  <c r="AS186" i="63"/>
  <c r="AS187" i="63"/>
  <c r="AS188" i="63"/>
  <c r="AS189" i="63"/>
  <c r="AS190" i="63"/>
  <c r="AS191" i="63"/>
  <c r="AS192" i="63"/>
  <c r="AS193" i="63"/>
  <c r="AS194" i="63"/>
  <c r="AS195" i="63"/>
  <c r="AS196" i="63"/>
  <c r="AS197" i="63"/>
  <c r="AS198" i="63"/>
  <c r="AS199" i="63"/>
  <c r="AS200" i="63"/>
  <c r="AS201" i="63"/>
  <c r="AS202" i="63"/>
  <c r="AS203" i="63"/>
  <c r="AS204" i="63"/>
  <c r="AS205" i="63"/>
  <c r="AS206" i="63"/>
  <c r="AS207" i="63"/>
  <c r="AS208" i="63"/>
  <c r="AS209" i="63"/>
  <c r="AS210" i="63"/>
  <c r="AS211" i="63"/>
  <c r="AS212" i="63"/>
  <c r="AS213" i="63"/>
  <c r="AS214" i="63"/>
  <c r="AS215" i="63"/>
  <c r="AS216" i="63"/>
  <c r="AS217" i="63"/>
  <c r="AS218" i="63"/>
  <c r="AS219" i="63"/>
  <c r="AS220" i="63"/>
  <c r="AS221" i="63"/>
  <c r="AS222" i="63"/>
  <c r="AS223" i="63"/>
  <c r="AS224" i="63"/>
  <c r="AS225" i="63"/>
  <c r="AS226" i="63"/>
  <c r="AS227" i="63"/>
  <c r="AS228" i="63"/>
  <c r="AS229" i="63"/>
  <c r="AS230" i="63"/>
  <c r="AS231" i="63"/>
  <c r="AS232" i="63"/>
  <c r="AS233" i="63"/>
  <c r="AS234" i="63"/>
  <c r="AS235" i="63"/>
  <c r="AS236" i="63"/>
  <c r="AS237" i="63"/>
  <c r="AS238" i="63"/>
  <c r="AS239" i="63"/>
  <c r="AS240" i="63"/>
  <c r="AS241" i="63"/>
  <c r="AS242" i="63"/>
  <c r="AS243" i="63"/>
  <c r="AS244" i="63"/>
  <c r="AS245" i="63"/>
  <c r="AS246" i="63"/>
  <c r="AS247" i="63"/>
  <c r="AS248" i="63"/>
  <c r="AS249" i="63"/>
  <c r="AS250" i="63"/>
  <c r="AS251" i="63"/>
  <c r="AS252" i="63"/>
  <c r="AS253" i="63"/>
  <c r="AS254" i="63"/>
  <c r="AS255" i="63"/>
  <c r="AS256" i="63"/>
  <c r="AS257" i="63"/>
  <c r="AS10" i="63"/>
  <c r="AR10" i="63"/>
  <c r="B57" i="73"/>
  <c r="BL54" i="108" l="1"/>
  <c r="BK54" i="108"/>
  <c r="BL20" i="108"/>
  <c r="BK20" i="108"/>
  <c r="AX53" i="108"/>
  <c r="AZ53" i="108" s="1"/>
  <c r="AX19" i="108"/>
  <c r="AZ19" i="108" s="1"/>
  <c r="M55" i="108"/>
  <c r="K55" i="108"/>
  <c r="E55" i="108"/>
  <c r="B56" i="108" a="1"/>
  <c r="B56" i="108" s="1"/>
  <c r="BM56" i="108" s="1"/>
  <c r="E20" i="108"/>
  <c r="AG55" i="108" a="1"/>
  <c r="AG55" i="108" s="1"/>
  <c r="BE54" i="108"/>
  <c r="BF54" i="108"/>
  <c r="AT54" i="108"/>
  <c r="AR54" i="108"/>
  <c r="BG54" i="108"/>
  <c r="AP54" i="108"/>
  <c r="AJ54" i="108"/>
  <c r="BE20" i="108"/>
  <c r="BG20" i="108"/>
  <c r="BF20" i="108"/>
  <c r="AT20" i="108"/>
  <c r="AR20" i="108"/>
  <c r="AJ20" i="108"/>
  <c r="AP20" i="108"/>
  <c r="AG21" i="108" a="1"/>
  <c r="AG21" i="108" s="1"/>
  <c r="S19" i="108"/>
  <c r="U19" i="108" s="1"/>
  <c r="B21" i="108" a="1"/>
  <c r="B21" i="108" s="1"/>
  <c r="BM21" i="108" s="1"/>
  <c r="O20" i="108"/>
  <c r="M20" i="108"/>
  <c r="K20" i="108"/>
  <c r="AJ259" i="65"/>
  <c r="O11" i="11"/>
  <c r="BL21" i="108" l="1"/>
  <c r="BK21" i="108"/>
  <c r="BL55" i="108"/>
  <c r="BK55" i="108"/>
  <c r="AX54" i="108"/>
  <c r="AZ54" i="108" s="1"/>
  <c r="AX20" i="108"/>
  <c r="AZ20" i="108" s="1"/>
  <c r="AG56" i="108" a="1"/>
  <c r="AG56" i="108" s="1"/>
  <c r="B57" i="108" a="1"/>
  <c r="B57" i="108" s="1"/>
  <c r="BM57" i="108" s="1"/>
  <c r="K56" i="108"/>
  <c r="M56" i="108"/>
  <c r="E56" i="108"/>
  <c r="E21" i="108"/>
  <c r="AP55" i="108"/>
  <c r="AJ55" i="108"/>
  <c r="BE55" i="108"/>
  <c r="AR55" i="108"/>
  <c r="BG55" i="108"/>
  <c r="AT55" i="108"/>
  <c r="BF55" i="108"/>
  <c r="AG22" i="108" a="1"/>
  <c r="AG22" i="108" s="1"/>
  <c r="BE21" i="108"/>
  <c r="AT21" i="108"/>
  <c r="BG21" i="108"/>
  <c r="BF21" i="108"/>
  <c r="AR21" i="108"/>
  <c r="AP21" i="108"/>
  <c r="AJ21" i="108"/>
  <c r="S20" i="108"/>
  <c r="U20" i="108" s="1"/>
  <c r="B22" i="108" a="1"/>
  <c r="B22" i="108" s="1"/>
  <c r="BM22" i="108" s="1"/>
  <c r="O21" i="108"/>
  <c r="M21" i="108"/>
  <c r="K21" i="108"/>
  <c r="BL56" i="108" l="1"/>
  <c r="BK56" i="108"/>
  <c r="BL22" i="108"/>
  <c r="BK22" i="108"/>
  <c r="AX21" i="108"/>
  <c r="AZ21" i="108" s="1"/>
  <c r="AX55" i="108"/>
  <c r="AZ55" i="108" s="1"/>
  <c r="AT56" i="108"/>
  <c r="AP56" i="108"/>
  <c r="BG56" i="108"/>
  <c r="AJ56" i="108"/>
  <c r="BE56" i="108"/>
  <c r="AR56" i="108"/>
  <c r="BF56" i="108"/>
  <c r="AG57" i="108" a="1"/>
  <c r="AG57" i="108" s="1"/>
  <c r="AP22" i="108"/>
  <c r="M57" i="108"/>
  <c r="K57" i="108"/>
  <c r="E57" i="108"/>
  <c r="B58" i="108" a="1"/>
  <c r="B58" i="108" s="1"/>
  <c r="BM58" i="108" s="1"/>
  <c r="E22" i="108"/>
  <c r="AG23" i="108" a="1"/>
  <c r="AG23" i="108" s="1"/>
  <c r="AJ22" i="108"/>
  <c r="BF22" i="108"/>
  <c r="AT22" i="108"/>
  <c r="AR22" i="108"/>
  <c r="BE22" i="108"/>
  <c r="BG22" i="108"/>
  <c r="S21" i="108"/>
  <c r="U21" i="108" s="1"/>
  <c r="M22" i="108"/>
  <c r="B23" i="108" a="1"/>
  <c r="B23" i="108" s="1"/>
  <c r="BM23" i="108" s="1"/>
  <c r="K22" i="108"/>
  <c r="O22" i="108"/>
  <c r="BL23" i="108" l="1"/>
  <c r="BK23" i="108"/>
  <c r="BL57" i="108"/>
  <c r="BK57" i="108"/>
  <c r="AX56" i="108"/>
  <c r="AZ56" i="108" s="1"/>
  <c r="AX22" i="108"/>
  <c r="AZ22" i="108" s="1"/>
  <c r="BF57" i="108"/>
  <c r="AP57" i="108"/>
  <c r="AJ57" i="108"/>
  <c r="BE57" i="108"/>
  <c r="AT57" i="108"/>
  <c r="BG57" i="108"/>
  <c r="AG58" i="108" a="1"/>
  <c r="AG58" i="108" s="1"/>
  <c r="AR57" i="108"/>
  <c r="AG24" i="108" a="1"/>
  <c r="AG24" i="108" s="1"/>
  <c r="B59" i="108" a="1"/>
  <c r="B59" i="108" s="1"/>
  <c r="BM59" i="108" s="1"/>
  <c r="M58" i="108"/>
  <c r="K58" i="108"/>
  <c r="E58" i="108"/>
  <c r="E23" i="108"/>
  <c r="AJ23" i="108"/>
  <c r="AP23" i="108"/>
  <c r="BG23" i="108"/>
  <c r="BF23" i="108"/>
  <c r="AR23" i="108"/>
  <c r="BE23" i="108"/>
  <c r="AT23" i="108"/>
  <c r="S22" i="108"/>
  <c r="U22" i="108" s="1"/>
  <c r="K23" i="108"/>
  <c r="M23" i="108"/>
  <c r="O23" i="108"/>
  <c r="B24" i="108" a="1"/>
  <c r="B24" i="108" s="1"/>
  <c r="BM24" i="108" s="1"/>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AQ21" i="11"/>
  <c r="AQ22" i="11"/>
  <c r="AQ23" i="11"/>
  <c r="AQ24" i="11"/>
  <c r="AQ25" i="11"/>
  <c r="AQ26" i="11"/>
  <c r="AQ27" i="11"/>
  <c r="AQ28" i="11"/>
  <c r="AQ29" i="11"/>
  <c r="AQ30" i="11"/>
  <c r="AQ31" i="11"/>
  <c r="AQ32" i="11"/>
  <c r="AQ33" i="11"/>
  <c r="AQ34" i="11"/>
  <c r="AQ35" i="11"/>
  <c r="AQ36" i="11"/>
  <c r="AQ37" i="11"/>
  <c r="AQ38" i="11"/>
  <c r="AQ39" i="11"/>
  <c r="AQ40" i="11"/>
  <c r="AQ41" i="11"/>
  <c r="AQ42" i="11"/>
  <c r="AQ43" i="11"/>
  <c r="AQ44" i="11"/>
  <c r="AQ45" i="11"/>
  <c r="AQ46" i="11"/>
  <c r="AQ47" i="11"/>
  <c r="AQ48" i="11"/>
  <c r="AQ49" i="11"/>
  <c r="AQ50" i="11"/>
  <c r="AQ51" i="11"/>
  <c r="AQ52" i="11"/>
  <c r="AQ53" i="11"/>
  <c r="AQ54" i="11"/>
  <c r="AQ55" i="11"/>
  <c r="AQ56" i="11"/>
  <c r="AQ57" i="11"/>
  <c r="AQ58" i="11"/>
  <c r="AQ59" i="11"/>
  <c r="AQ60" i="11"/>
  <c r="AQ61" i="11"/>
  <c r="AQ62" i="11"/>
  <c r="AQ63" i="11"/>
  <c r="AQ64" i="11"/>
  <c r="AQ65" i="11"/>
  <c r="AQ66" i="11"/>
  <c r="AQ67" i="11"/>
  <c r="AQ68" i="11"/>
  <c r="AQ69" i="11"/>
  <c r="AQ70" i="11"/>
  <c r="AQ71" i="11"/>
  <c r="AQ72" i="11"/>
  <c r="AQ73" i="11"/>
  <c r="AQ74" i="11"/>
  <c r="AQ75" i="11"/>
  <c r="AQ76" i="11"/>
  <c r="AQ77" i="11"/>
  <c r="AQ78" i="11"/>
  <c r="AQ79" i="11"/>
  <c r="AQ80" i="11"/>
  <c r="AQ81" i="11"/>
  <c r="AQ82" i="11"/>
  <c r="AQ83" i="11"/>
  <c r="AQ84" i="11"/>
  <c r="AQ85" i="11"/>
  <c r="AQ86" i="11"/>
  <c r="AQ87" i="11"/>
  <c r="AQ88" i="11"/>
  <c r="AQ89" i="11"/>
  <c r="AQ90" i="11"/>
  <c r="AQ91" i="11"/>
  <c r="AQ92" i="11"/>
  <c r="AQ93" i="11"/>
  <c r="AQ94" i="11"/>
  <c r="AQ95" i="11"/>
  <c r="AQ96" i="11"/>
  <c r="AQ97" i="11"/>
  <c r="AQ98" i="11"/>
  <c r="AQ99" i="11"/>
  <c r="AQ100" i="11"/>
  <c r="AQ101" i="11"/>
  <c r="AQ102" i="11"/>
  <c r="AQ103" i="11"/>
  <c r="AQ104" i="11"/>
  <c r="AQ105" i="11"/>
  <c r="AQ106" i="11"/>
  <c r="AQ107" i="11"/>
  <c r="AQ108" i="11"/>
  <c r="AQ109" i="11"/>
  <c r="AQ110" i="11"/>
  <c r="AQ111" i="11"/>
  <c r="AQ112" i="11"/>
  <c r="AQ113" i="11"/>
  <c r="AQ114" i="11"/>
  <c r="AQ115" i="11"/>
  <c r="AQ116" i="11"/>
  <c r="AQ117" i="11"/>
  <c r="AQ118" i="11"/>
  <c r="AQ119" i="11"/>
  <c r="AQ120" i="11"/>
  <c r="AQ121" i="11"/>
  <c r="AQ122" i="11"/>
  <c r="AQ123" i="11"/>
  <c r="AQ124" i="11"/>
  <c r="AQ125" i="11"/>
  <c r="AQ126" i="11"/>
  <c r="AQ127" i="11"/>
  <c r="AQ128" i="11"/>
  <c r="AQ129" i="11"/>
  <c r="AQ130" i="11"/>
  <c r="AQ131" i="11"/>
  <c r="AQ132" i="11"/>
  <c r="AQ133" i="11"/>
  <c r="AQ134" i="11"/>
  <c r="AQ135" i="11"/>
  <c r="AQ136" i="11"/>
  <c r="AQ137" i="11"/>
  <c r="AQ138" i="11"/>
  <c r="AQ139" i="11"/>
  <c r="AQ140" i="11"/>
  <c r="AQ141" i="11"/>
  <c r="AQ142" i="11"/>
  <c r="AQ143" i="11"/>
  <c r="AQ144" i="11"/>
  <c r="AQ145" i="11"/>
  <c r="AQ146" i="11"/>
  <c r="AQ147" i="11"/>
  <c r="AQ148" i="11"/>
  <c r="AQ149" i="11"/>
  <c r="AQ150" i="11"/>
  <c r="AQ151" i="11"/>
  <c r="AQ152" i="11"/>
  <c r="AQ153" i="11"/>
  <c r="AQ154" i="11"/>
  <c r="AQ155" i="11"/>
  <c r="AQ156" i="11"/>
  <c r="AQ157" i="11"/>
  <c r="AQ158" i="11"/>
  <c r="AQ159" i="11"/>
  <c r="AQ160" i="11"/>
  <c r="AQ161" i="11"/>
  <c r="AQ162" i="11"/>
  <c r="AQ163" i="11"/>
  <c r="AQ164" i="11"/>
  <c r="AQ165" i="11"/>
  <c r="AQ166" i="11"/>
  <c r="AQ167" i="11"/>
  <c r="AQ168" i="11"/>
  <c r="AQ169" i="11"/>
  <c r="AQ170" i="11"/>
  <c r="AQ171" i="11"/>
  <c r="AQ172" i="11"/>
  <c r="AQ173" i="11"/>
  <c r="AQ174" i="11"/>
  <c r="AQ175" i="11"/>
  <c r="AQ176" i="11"/>
  <c r="AQ177" i="11"/>
  <c r="AQ178" i="11"/>
  <c r="AQ179" i="11"/>
  <c r="AQ180" i="11"/>
  <c r="AQ181" i="11"/>
  <c r="AQ182" i="11"/>
  <c r="AQ183" i="11"/>
  <c r="AQ184" i="11"/>
  <c r="AQ185" i="11"/>
  <c r="AQ186" i="11"/>
  <c r="AQ187" i="11"/>
  <c r="AQ188" i="11"/>
  <c r="AQ189" i="11"/>
  <c r="AQ190" i="11"/>
  <c r="AQ191" i="11"/>
  <c r="AQ192" i="11"/>
  <c r="AQ193" i="11"/>
  <c r="AQ194" i="11"/>
  <c r="AQ195" i="11"/>
  <c r="AQ196" i="11"/>
  <c r="AQ197" i="11"/>
  <c r="AQ198" i="11"/>
  <c r="AQ199" i="11"/>
  <c r="AQ200" i="11"/>
  <c r="AQ201" i="11"/>
  <c r="AQ202" i="11"/>
  <c r="AQ203" i="11"/>
  <c r="AQ204" i="11"/>
  <c r="AQ205" i="11"/>
  <c r="AQ206" i="11"/>
  <c r="AQ207" i="11"/>
  <c r="AQ208" i="11"/>
  <c r="AQ209" i="11"/>
  <c r="AQ210" i="11"/>
  <c r="AQ211" i="11"/>
  <c r="AQ212" i="11"/>
  <c r="AQ213" i="11"/>
  <c r="AQ214" i="11"/>
  <c r="AQ215" i="11"/>
  <c r="AQ216" i="11"/>
  <c r="AQ217" i="11"/>
  <c r="AQ218" i="11"/>
  <c r="AQ219" i="11"/>
  <c r="AQ220" i="11"/>
  <c r="AQ221" i="11"/>
  <c r="AQ222" i="11"/>
  <c r="AQ223" i="11"/>
  <c r="AQ224" i="11"/>
  <c r="AQ225" i="11"/>
  <c r="AQ226" i="11"/>
  <c r="AQ227" i="11"/>
  <c r="AQ228" i="11"/>
  <c r="AQ229" i="11"/>
  <c r="AQ230" i="11"/>
  <c r="AQ231" i="11"/>
  <c r="AQ232" i="11"/>
  <c r="AQ233" i="11"/>
  <c r="AQ234" i="11"/>
  <c r="AQ235" i="11"/>
  <c r="AQ236" i="11"/>
  <c r="AQ237" i="11"/>
  <c r="AQ238" i="11"/>
  <c r="AQ239" i="11"/>
  <c r="AQ240" i="11"/>
  <c r="AQ241" i="11"/>
  <c r="AQ242" i="11"/>
  <c r="AQ243" i="11"/>
  <c r="AQ244" i="11"/>
  <c r="AQ245" i="11"/>
  <c r="AQ247" i="11"/>
  <c r="AQ248" i="11"/>
  <c r="AQ249" i="11"/>
  <c r="AQ250" i="11"/>
  <c r="AQ251" i="11"/>
  <c r="AQ252" i="11"/>
  <c r="AQ253" i="11"/>
  <c r="AQ254" i="11"/>
  <c r="AQ255" i="11"/>
  <c r="AQ256" i="11"/>
  <c r="AQ257" i="11"/>
  <c r="AQ258" i="11"/>
  <c r="BL24" i="108" l="1"/>
  <c r="BK24" i="108"/>
  <c r="BL58" i="108"/>
  <c r="BK58" i="108"/>
  <c r="AX57" i="108"/>
  <c r="AZ57" i="108" s="1"/>
  <c r="AX23" i="108"/>
  <c r="AZ23" i="108" s="1"/>
  <c r="BG24" i="108"/>
  <c r="BG58" i="108"/>
  <c r="BE58" i="108"/>
  <c r="BF58" i="108"/>
  <c r="AR58" i="108"/>
  <c r="AG59" i="108" a="1"/>
  <c r="AG59" i="108" s="1"/>
  <c r="AJ58" i="108"/>
  <c r="AP58" i="108"/>
  <c r="AT58" i="108"/>
  <c r="AP24" i="108"/>
  <c r="AJ24" i="108"/>
  <c r="AR24" i="108"/>
  <c r="BE24" i="108"/>
  <c r="AT24" i="108"/>
  <c r="BF24" i="108"/>
  <c r="AG25" i="108" a="1"/>
  <c r="AG25" i="108" s="1"/>
  <c r="K59" i="108"/>
  <c r="M59" i="108"/>
  <c r="B60" i="108" a="1"/>
  <c r="B60" i="108" s="1"/>
  <c r="BM60" i="108" s="1"/>
  <c r="E59" i="108"/>
  <c r="E24" i="108"/>
  <c r="S23" i="108"/>
  <c r="U23" i="108" s="1"/>
  <c r="O24" i="108"/>
  <c r="B25" i="108" a="1"/>
  <c r="B25" i="108" s="1"/>
  <c r="BM25" i="108" s="1"/>
  <c r="K24" i="108"/>
  <c r="M24" i="108"/>
  <c r="H262" i="71"/>
  <c r="I262" i="71"/>
  <c r="J264" i="59"/>
  <c r="I264" i="59"/>
  <c r="I262" i="46"/>
  <c r="H262" i="46"/>
  <c r="J265" i="11"/>
  <c r="BL25" i="108" l="1"/>
  <c r="BK25" i="108"/>
  <c r="BL59" i="108"/>
  <c r="BK59" i="108"/>
  <c r="AX24" i="108"/>
  <c r="AZ24" i="108" s="1"/>
  <c r="AX58" i="108"/>
  <c r="AZ58" i="108" s="1"/>
  <c r="AT59" i="108"/>
  <c r="BG25" i="108"/>
  <c r="AG60" i="108" a="1"/>
  <c r="AG60" i="108" s="1"/>
  <c r="AP59" i="108"/>
  <c r="BF59" i="108"/>
  <c r="AJ59" i="108"/>
  <c r="AR59" i="108"/>
  <c r="BG59" i="108"/>
  <c r="BE59" i="108"/>
  <c r="AP25" i="108"/>
  <c r="AR25" i="108"/>
  <c r="AJ25" i="108"/>
  <c r="BF25" i="108"/>
  <c r="BE25" i="108"/>
  <c r="AG26" i="108" a="1"/>
  <c r="AG26" i="108" s="1"/>
  <c r="AT25" i="108"/>
  <c r="B61" i="108" a="1"/>
  <c r="B61" i="108" s="1"/>
  <c r="BM61" i="108" s="1"/>
  <c r="M60" i="108"/>
  <c r="K60" i="108"/>
  <c r="E60" i="108"/>
  <c r="E25" i="108"/>
  <c r="AX43" i="108"/>
  <c r="AZ43" i="108" s="1"/>
  <c r="S24" i="108"/>
  <c r="U24" i="108" s="1"/>
  <c r="O25" i="108"/>
  <c r="M25" i="108"/>
  <c r="K25" i="108"/>
  <c r="B26" i="108" a="1"/>
  <c r="B26" i="108" s="1"/>
  <c r="BM26" i="108" s="1"/>
  <c r="F11" i="46"/>
  <c r="F12" i="46"/>
  <c r="F13" i="46"/>
  <c r="F14" i="46"/>
  <c r="F15" i="46"/>
  <c r="F16" i="46"/>
  <c r="F17" i="46"/>
  <c r="F18" i="46"/>
  <c r="F19" i="46"/>
  <c r="F20" i="46"/>
  <c r="F21" i="46"/>
  <c r="F22" i="46"/>
  <c r="V22" i="46" s="1"/>
  <c r="F23" i="46"/>
  <c r="V23" i="46" s="1"/>
  <c r="F24" i="46"/>
  <c r="V24" i="46" s="1"/>
  <c r="F25" i="46"/>
  <c r="V25" i="46" s="1"/>
  <c r="F26" i="46"/>
  <c r="V26" i="46" s="1"/>
  <c r="F27" i="46"/>
  <c r="V27" i="46" s="1"/>
  <c r="F28" i="46"/>
  <c r="V28" i="46" s="1"/>
  <c r="F29" i="46"/>
  <c r="V29" i="46" s="1"/>
  <c r="F30" i="46"/>
  <c r="V30" i="46" s="1"/>
  <c r="F31" i="46"/>
  <c r="V31" i="46" s="1"/>
  <c r="F32" i="46"/>
  <c r="V32" i="46" s="1"/>
  <c r="F33" i="46"/>
  <c r="V33" i="46" s="1"/>
  <c r="F34" i="46"/>
  <c r="V34" i="46" s="1"/>
  <c r="F35" i="46"/>
  <c r="V35" i="46" s="1"/>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AJ11" i="71" s="1"/>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U16" i="46"/>
  <c r="F36" i="46"/>
  <c r="V36" i="46" s="1"/>
  <c r="F37" i="46"/>
  <c r="V37" i="46" s="1"/>
  <c r="F38" i="46"/>
  <c r="V38" i="46" s="1"/>
  <c r="F39" i="46"/>
  <c r="V39" i="46" s="1"/>
  <c r="F40" i="46"/>
  <c r="V40" i="46" s="1"/>
  <c r="F41" i="46"/>
  <c r="V41" i="46" s="1"/>
  <c r="F42" i="46"/>
  <c r="V42" i="46" s="1"/>
  <c r="F43" i="46"/>
  <c r="V43" i="46" s="1"/>
  <c r="F44" i="46"/>
  <c r="V44" i="46" s="1"/>
  <c r="F45" i="46"/>
  <c r="V45" i="46" s="1"/>
  <c r="F46" i="46"/>
  <c r="V46" i="46" s="1"/>
  <c r="F47" i="46"/>
  <c r="V47" i="46" s="1"/>
  <c r="F48" i="46"/>
  <c r="V48" i="46" s="1"/>
  <c r="F49" i="46"/>
  <c r="V49" i="46" s="1"/>
  <c r="F50" i="46"/>
  <c r="V50" i="46" s="1"/>
  <c r="F51" i="46"/>
  <c r="V51" i="46" s="1"/>
  <c r="F52" i="46"/>
  <c r="V52" i="46" s="1"/>
  <c r="F53" i="46"/>
  <c r="V53" i="46" s="1"/>
  <c r="F54" i="46"/>
  <c r="V54" i="46" s="1"/>
  <c r="F55" i="46"/>
  <c r="V55" i="46" s="1"/>
  <c r="F56" i="46"/>
  <c r="V56" i="46" s="1"/>
  <c r="F57" i="46"/>
  <c r="V57" i="46" s="1"/>
  <c r="F58" i="46"/>
  <c r="V58" i="46" s="1"/>
  <c r="F59" i="46"/>
  <c r="V59" i="46" s="1"/>
  <c r="F60" i="46"/>
  <c r="V60" i="46" s="1"/>
  <c r="F61" i="46"/>
  <c r="V61" i="46" s="1"/>
  <c r="F62" i="46"/>
  <c r="V62" i="46" s="1"/>
  <c r="F63" i="46"/>
  <c r="V63" i="46" s="1"/>
  <c r="F64" i="46"/>
  <c r="V64" i="46" s="1"/>
  <c r="F65" i="46"/>
  <c r="V65" i="46" s="1"/>
  <c r="F66" i="46"/>
  <c r="V66" i="46" s="1"/>
  <c r="F67" i="46"/>
  <c r="V67" i="46" s="1"/>
  <c r="F68" i="46"/>
  <c r="V68" i="46" s="1"/>
  <c r="F69" i="46"/>
  <c r="V69" i="46" s="1"/>
  <c r="F70" i="46"/>
  <c r="V70" i="46" s="1"/>
  <c r="F71" i="46"/>
  <c r="V71" i="46" s="1"/>
  <c r="F72" i="46"/>
  <c r="V72" i="46" s="1"/>
  <c r="F73" i="46"/>
  <c r="V73" i="46" s="1"/>
  <c r="F74" i="46"/>
  <c r="V74" i="46" s="1"/>
  <c r="F75" i="46"/>
  <c r="V75" i="46" s="1"/>
  <c r="F76" i="46"/>
  <c r="V76" i="46" s="1"/>
  <c r="F77" i="46"/>
  <c r="V77" i="46" s="1"/>
  <c r="F78" i="46"/>
  <c r="V78" i="46" s="1"/>
  <c r="F79" i="46"/>
  <c r="V79" i="46" s="1"/>
  <c r="F80" i="46"/>
  <c r="V80" i="46" s="1"/>
  <c r="F81" i="46"/>
  <c r="V81" i="46" s="1"/>
  <c r="F82" i="46"/>
  <c r="V82" i="46" s="1"/>
  <c r="F83" i="46"/>
  <c r="V83" i="46" s="1"/>
  <c r="F84" i="46"/>
  <c r="V84" i="46" s="1"/>
  <c r="F85" i="46"/>
  <c r="V85" i="46" s="1"/>
  <c r="F86" i="46"/>
  <c r="V86" i="46" s="1"/>
  <c r="F87" i="46"/>
  <c r="V87" i="46" s="1"/>
  <c r="F88" i="46"/>
  <c r="V88" i="46" s="1"/>
  <c r="F89" i="46"/>
  <c r="V89" i="46" s="1"/>
  <c r="F90" i="46"/>
  <c r="V90" i="46" s="1"/>
  <c r="F91" i="46"/>
  <c r="V91" i="46" s="1"/>
  <c r="F92" i="46"/>
  <c r="V92" i="46" s="1"/>
  <c r="F93" i="46"/>
  <c r="V93" i="46" s="1"/>
  <c r="F94" i="46"/>
  <c r="V94" i="46" s="1"/>
  <c r="F95" i="46"/>
  <c r="V95" i="46" s="1"/>
  <c r="F96" i="46"/>
  <c r="V96" i="46" s="1"/>
  <c r="F97" i="46"/>
  <c r="V97" i="46" s="1"/>
  <c r="F98" i="46"/>
  <c r="V98" i="46" s="1"/>
  <c r="F99" i="46"/>
  <c r="V99" i="46" s="1"/>
  <c r="F100" i="46"/>
  <c r="V100" i="46" s="1"/>
  <c r="F101" i="46"/>
  <c r="V101" i="46" s="1"/>
  <c r="F102" i="46"/>
  <c r="V102" i="46" s="1"/>
  <c r="F103" i="46"/>
  <c r="V103" i="46" s="1"/>
  <c r="F104" i="46"/>
  <c r="V104" i="46" s="1"/>
  <c r="F105" i="46"/>
  <c r="V105" i="46" s="1"/>
  <c r="F106" i="46"/>
  <c r="V106" i="46" s="1"/>
  <c r="F107" i="46"/>
  <c r="V107" i="46" s="1"/>
  <c r="F108" i="46"/>
  <c r="V108" i="46" s="1"/>
  <c r="F109" i="46"/>
  <c r="V109" i="46" s="1"/>
  <c r="F110" i="46"/>
  <c r="V110" i="46" s="1"/>
  <c r="F111" i="46"/>
  <c r="V111" i="46" s="1"/>
  <c r="F112" i="46"/>
  <c r="V112" i="46" s="1"/>
  <c r="F113" i="46"/>
  <c r="V113" i="46" s="1"/>
  <c r="F114" i="46"/>
  <c r="V114" i="46" s="1"/>
  <c r="F115" i="46"/>
  <c r="V115" i="46" s="1"/>
  <c r="F116" i="46"/>
  <c r="V116" i="46" s="1"/>
  <c r="F117" i="46"/>
  <c r="V117" i="46" s="1"/>
  <c r="F118" i="46"/>
  <c r="V118" i="46" s="1"/>
  <c r="F119" i="46"/>
  <c r="V119" i="46" s="1"/>
  <c r="F120" i="46"/>
  <c r="V120" i="46" s="1"/>
  <c r="F121" i="46"/>
  <c r="V121" i="46" s="1"/>
  <c r="F122" i="46"/>
  <c r="V122" i="46" s="1"/>
  <c r="F123" i="46"/>
  <c r="V123" i="46" s="1"/>
  <c r="F124" i="46"/>
  <c r="V124" i="46" s="1"/>
  <c r="F125" i="46"/>
  <c r="V125" i="46" s="1"/>
  <c r="F126" i="46"/>
  <c r="V126" i="46" s="1"/>
  <c r="F127" i="46"/>
  <c r="V127" i="46" s="1"/>
  <c r="F128" i="46"/>
  <c r="V128" i="46" s="1"/>
  <c r="F129" i="46"/>
  <c r="V129" i="46" s="1"/>
  <c r="F130" i="46"/>
  <c r="V130" i="46" s="1"/>
  <c r="F131" i="46"/>
  <c r="V131" i="46" s="1"/>
  <c r="F132" i="46"/>
  <c r="V132" i="46" s="1"/>
  <c r="F133" i="46"/>
  <c r="V133" i="46" s="1"/>
  <c r="F134" i="46"/>
  <c r="V134" i="46" s="1"/>
  <c r="F135" i="46"/>
  <c r="V135" i="46" s="1"/>
  <c r="F136" i="46"/>
  <c r="V136" i="46" s="1"/>
  <c r="F137" i="46"/>
  <c r="V137" i="46" s="1"/>
  <c r="F138" i="46"/>
  <c r="V138" i="46" s="1"/>
  <c r="F139" i="46"/>
  <c r="V139" i="46" s="1"/>
  <c r="F140" i="46"/>
  <c r="V140" i="46" s="1"/>
  <c r="F141" i="46"/>
  <c r="V141" i="46" s="1"/>
  <c r="F142" i="46"/>
  <c r="V142" i="46" s="1"/>
  <c r="F143" i="46"/>
  <c r="V143" i="46" s="1"/>
  <c r="F144" i="46"/>
  <c r="V144" i="46" s="1"/>
  <c r="F145" i="46"/>
  <c r="V145" i="46" s="1"/>
  <c r="F146" i="46"/>
  <c r="V146" i="46" s="1"/>
  <c r="F147" i="46"/>
  <c r="V147" i="46" s="1"/>
  <c r="F148" i="46"/>
  <c r="V148" i="46" s="1"/>
  <c r="F149" i="46"/>
  <c r="V149" i="46" s="1"/>
  <c r="F150" i="46"/>
  <c r="V150" i="46" s="1"/>
  <c r="F151" i="46"/>
  <c r="V151" i="46" s="1"/>
  <c r="F152" i="46"/>
  <c r="V152" i="46" s="1"/>
  <c r="F153" i="46"/>
  <c r="V153" i="46" s="1"/>
  <c r="F154" i="46"/>
  <c r="V154" i="46" s="1"/>
  <c r="F155" i="46"/>
  <c r="V155" i="46" s="1"/>
  <c r="F156" i="46"/>
  <c r="V156" i="46" s="1"/>
  <c r="F157" i="46"/>
  <c r="V157" i="46" s="1"/>
  <c r="F158" i="46"/>
  <c r="V158" i="46" s="1"/>
  <c r="F159" i="46"/>
  <c r="V159" i="46" s="1"/>
  <c r="F160" i="46"/>
  <c r="V160" i="46" s="1"/>
  <c r="F161" i="46"/>
  <c r="V161" i="46" s="1"/>
  <c r="F162" i="46"/>
  <c r="V162" i="46" s="1"/>
  <c r="F163" i="46"/>
  <c r="V163" i="46" s="1"/>
  <c r="F164" i="46"/>
  <c r="V164" i="46" s="1"/>
  <c r="F165" i="46"/>
  <c r="V165" i="46" s="1"/>
  <c r="F166" i="46"/>
  <c r="V166" i="46" s="1"/>
  <c r="F167" i="46"/>
  <c r="V167" i="46" s="1"/>
  <c r="F168" i="46"/>
  <c r="V168" i="46" s="1"/>
  <c r="F169" i="46"/>
  <c r="V169" i="46" s="1"/>
  <c r="F170" i="46"/>
  <c r="V170" i="46" s="1"/>
  <c r="F171" i="46"/>
  <c r="V171" i="46" s="1"/>
  <c r="F172" i="46"/>
  <c r="V172" i="46" s="1"/>
  <c r="F173" i="46"/>
  <c r="V173" i="46" s="1"/>
  <c r="F174" i="46"/>
  <c r="V174" i="46" s="1"/>
  <c r="F175" i="46"/>
  <c r="V175" i="46" s="1"/>
  <c r="F176" i="46"/>
  <c r="V176" i="46" s="1"/>
  <c r="F177" i="46"/>
  <c r="V177" i="46" s="1"/>
  <c r="F178" i="46"/>
  <c r="V178" i="46" s="1"/>
  <c r="F179" i="46"/>
  <c r="V179" i="46" s="1"/>
  <c r="F180" i="46"/>
  <c r="V180" i="46" s="1"/>
  <c r="F181" i="46"/>
  <c r="V181" i="46" s="1"/>
  <c r="F182" i="46"/>
  <c r="V182" i="46" s="1"/>
  <c r="F183" i="46"/>
  <c r="V183" i="46" s="1"/>
  <c r="F184" i="46"/>
  <c r="V184" i="46" s="1"/>
  <c r="F185" i="46"/>
  <c r="V185" i="46" s="1"/>
  <c r="F186" i="46"/>
  <c r="V186" i="46" s="1"/>
  <c r="F187" i="46"/>
  <c r="V187" i="46" s="1"/>
  <c r="F188" i="46"/>
  <c r="V188" i="46" s="1"/>
  <c r="F189" i="46"/>
  <c r="V189" i="46" s="1"/>
  <c r="F190" i="46"/>
  <c r="V190" i="46" s="1"/>
  <c r="F191" i="46"/>
  <c r="V191" i="46" s="1"/>
  <c r="F192" i="46"/>
  <c r="V192" i="46" s="1"/>
  <c r="F193" i="46"/>
  <c r="V193" i="46" s="1"/>
  <c r="F194" i="46"/>
  <c r="V194" i="46" s="1"/>
  <c r="F195" i="46"/>
  <c r="V195" i="46" s="1"/>
  <c r="F196" i="46"/>
  <c r="V196" i="46" s="1"/>
  <c r="F197" i="46"/>
  <c r="V197" i="46" s="1"/>
  <c r="F198" i="46"/>
  <c r="V198" i="46" s="1"/>
  <c r="F199" i="46"/>
  <c r="V199" i="46" s="1"/>
  <c r="F200" i="46"/>
  <c r="V200" i="46" s="1"/>
  <c r="F201" i="46"/>
  <c r="V201" i="46" s="1"/>
  <c r="F202" i="46"/>
  <c r="V202" i="46" s="1"/>
  <c r="F203" i="46"/>
  <c r="V203" i="46" s="1"/>
  <c r="F204" i="46"/>
  <c r="V204" i="46" s="1"/>
  <c r="F205" i="46"/>
  <c r="V205" i="46" s="1"/>
  <c r="F206" i="46"/>
  <c r="V206" i="46" s="1"/>
  <c r="F207" i="46"/>
  <c r="V207" i="46" s="1"/>
  <c r="F208" i="46"/>
  <c r="V208" i="46" s="1"/>
  <c r="F209" i="46"/>
  <c r="V209" i="46" s="1"/>
  <c r="F210" i="46"/>
  <c r="V210" i="46" s="1"/>
  <c r="F211" i="46"/>
  <c r="V211" i="46" s="1"/>
  <c r="F212" i="46"/>
  <c r="V212" i="46" s="1"/>
  <c r="F213" i="46"/>
  <c r="V213" i="46" s="1"/>
  <c r="F214" i="46"/>
  <c r="V214" i="46" s="1"/>
  <c r="F215" i="46"/>
  <c r="V215" i="46" s="1"/>
  <c r="F216" i="46"/>
  <c r="V216" i="46" s="1"/>
  <c r="F217" i="46"/>
  <c r="V217" i="46" s="1"/>
  <c r="F218" i="46"/>
  <c r="V218" i="46" s="1"/>
  <c r="F219" i="46"/>
  <c r="V219" i="46" s="1"/>
  <c r="F220" i="46"/>
  <c r="V220" i="46" s="1"/>
  <c r="F221" i="46"/>
  <c r="V221" i="46" s="1"/>
  <c r="F222" i="46"/>
  <c r="V222" i="46" s="1"/>
  <c r="F223" i="46"/>
  <c r="V223" i="46" s="1"/>
  <c r="F224" i="46"/>
  <c r="V224" i="46" s="1"/>
  <c r="F225" i="46"/>
  <c r="V225" i="46" s="1"/>
  <c r="F226" i="46"/>
  <c r="V226" i="46" s="1"/>
  <c r="F227" i="46"/>
  <c r="V227" i="46" s="1"/>
  <c r="F228" i="46"/>
  <c r="V228" i="46" s="1"/>
  <c r="F229" i="46"/>
  <c r="V229" i="46" s="1"/>
  <c r="F230" i="46"/>
  <c r="V230" i="46" s="1"/>
  <c r="F231" i="46"/>
  <c r="V231" i="46" s="1"/>
  <c r="F232" i="46"/>
  <c r="V232" i="46" s="1"/>
  <c r="F233" i="46"/>
  <c r="V233" i="46" s="1"/>
  <c r="F234" i="46"/>
  <c r="V234" i="46" s="1"/>
  <c r="F235" i="46"/>
  <c r="V235" i="46" s="1"/>
  <c r="F236" i="46"/>
  <c r="V236" i="46" s="1"/>
  <c r="F237" i="46"/>
  <c r="V237" i="46" s="1"/>
  <c r="F238" i="46"/>
  <c r="V238" i="46" s="1"/>
  <c r="F239" i="46"/>
  <c r="V239" i="46" s="1"/>
  <c r="F240" i="46"/>
  <c r="V240" i="46" s="1"/>
  <c r="F241" i="46"/>
  <c r="V241" i="46" s="1"/>
  <c r="F242" i="46"/>
  <c r="V242" i="46" s="1"/>
  <c r="F243" i="46"/>
  <c r="V243" i="46" s="1"/>
  <c r="F244" i="46"/>
  <c r="V244" i="46" s="1"/>
  <c r="F245" i="46"/>
  <c r="V245" i="46" s="1"/>
  <c r="F246" i="46"/>
  <c r="V246" i="46" s="1"/>
  <c r="F247" i="46"/>
  <c r="V247" i="46" s="1"/>
  <c r="F248" i="46"/>
  <c r="V248" i="46" s="1"/>
  <c r="F249" i="46"/>
  <c r="V249" i="46" s="1"/>
  <c r="F250" i="46"/>
  <c r="V250" i="46" s="1"/>
  <c r="F251" i="46"/>
  <c r="V251" i="46" s="1"/>
  <c r="F252" i="46"/>
  <c r="V252" i="46" s="1"/>
  <c r="F253" i="46"/>
  <c r="V253" i="46" s="1"/>
  <c r="F254" i="46"/>
  <c r="V254" i="46" s="1"/>
  <c r="F255" i="46"/>
  <c r="V255" i="46" s="1"/>
  <c r="F256" i="46"/>
  <c r="V256" i="46" s="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V253" i="71" l="1"/>
  <c r="AJ253" i="71"/>
  <c r="V241" i="71"/>
  <c r="AJ241" i="71"/>
  <c r="V229" i="71"/>
  <c r="AJ229" i="71"/>
  <c r="V217" i="71"/>
  <c r="AJ217" i="71"/>
  <c r="V205" i="71"/>
  <c r="AJ205" i="71"/>
  <c r="V193" i="71"/>
  <c r="AJ193" i="71"/>
  <c r="V181" i="71"/>
  <c r="AJ181" i="71"/>
  <c r="V169" i="71"/>
  <c r="AJ169" i="71"/>
  <c r="V157" i="71"/>
  <c r="AJ157" i="71"/>
  <c r="V145" i="71"/>
  <c r="AJ145" i="71"/>
  <c r="V133" i="71"/>
  <c r="AJ133" i="71"/>
  <c r="V121" i="71"/>
  <c r="AJ121" i="71"/>
  <c r="V109" i="71"/>
  <c r="AJ109" i="71"/>
  <c r="V97" i="71"/>
  <c r="AJ97" i="71"/>
  <c r="V85" i="71"/>
  <c r="AJ85" i="71"/>
  <c r="V73" i="71"/>
  <c r="AJ73" i="71"/>
  <c r="V61" i="71"/>
  <c r="AJ61" i="71"/>
  <c r="V49" i="71"/>
  <c r="AJ49" i="71"/>
  <c r="V37" i="71"/>
  <c r="AJ37" i="71"/>
  <c r="V25" i="71"/>
  <c r="AJ25" i="71"/>
  <c r="AJ13" i="71"/>
  <c r="V252" i="71"/>
  <c r="AJ252" i="71"/>
  <c r="V240" i="71"/>
  <c r="AJ240" i="71"/>
  <c r="V228" i="71"/>
  <c r="AJ228" i="71"/>
  <c r="V216" i="71"/>
  <c r="AJ216" i="71"/>
  <c r="V204" i="71"/>
  <c r="AJ204" i="71"/>
  <c r="V192" i="71"/>
  <c r="AJ192" i="71"/>
  <c r="V180" i="71"/>
  <c r="AJ180" i="71"/>
  <c r="V168" i="71"/>
  <c r="AJ168" i="71"/>
  <c r="V156" i="71"/>
  <c r="AJ156" i="71"/>
  <c r="V144" i="71"/>
  <c r="AJ144" i="71"/>
  <c r="V132" i="71"/>
  <c r="AJ132" i="71"/>
  <c r="V120" i="71"/>
  <c r="AJ120" i="71"/>
  <c r="V108" i="71"/>
  <c r="AJ108" i="71"/>
  <c r="V96" i="71"/>
  <c r="AJ96" i="71"/>
  <c r="V84" i="71"/>
  <c r="AJ84" i="71"/>
  <c r="V72" i="71"/>
  <c r="AJ72" i="71"/>
  <c r="V60" i="71"/>
  <c r="AJ60" i="71"/>
  <c r="V48" i="71"/>
  <c r="AJ48" i="71"/>
  <c r="V36" i="71"/>
  <c r="AJ36" i="71"/>
  <c r="V24" i="71"/>
  <c r="AJ24" i="71"/>
  <c r="AJ12" i="71"/>
  <c r="V251" i="71"/>
  <c r="AJ251" i="71"/>
  <c r="V239" i="71"/>
  <c r="AJ239" i="71"/>
  <c r="V227" i="71"/>
  <c r="AJ227" i="71"/>
  <c r="V215" i="71"/>
  <c r="AJ215" i="71"/>
  <c r="V203" i="71"/>
  <c r="AJ203" i="71"/>
  <c r="V191" i="71"/>
  <c r="AJ191" i="71"/>
  <c r="V179" i="71"/>
  <c r="AJ179" i="71"/>
  <c r="V167" i="71"/>
  <c r="AJ167" i="71"/>
  <c r="V155" i="71"/>
  <c r="AJ155" i="71"/>
  <c r="V143" i="71"/>
  <c r="AJ143" i="71"/>
  <c r="V131" i="71"/>
  <c r="AJ131" i="71"/>
  <c r="V119" i="71"/>
  <c r="AJ119" i="71"/>
  <c r="V107" i="71"/>
  <c r="AJ107" i="71"/>
  <c r="V95" i="71"/>
  <c r="AJ95" i="71"/>
  <c r="V83" i="71"/>
  <c r="AJ83" i="71"/>
  <c r="V71" i="71"/>
  <c r="AJ71" i="71"/>
  <c r="V59" i="71"/>
  <c r="AJ59" i="71"/>
  <c r="V47" i="71"/>
  <c r="AJ47" i="71"/>
  <c r="V35" i="71"/>
  <c r="AJ35" i="71"/>
  <c r="V23" i="71"/>
  <c r="AJ23" i="71"/>
  <c r="V250" i="71"/>
  <c r="AJ250" i="71"/>
  <c r="V238" i="71"/>
  <c r="AJ238" i="71"/>
  <c r="V226" i="71"/>
  <c r="AJ226" i="71"/>
  <c r="V214" i="71"/>
  <c r="AJ214" i="71"/>
  <c r="V202" i="71"/>
  <c r="AJ202" i="71"/>
  <c r="V190" i="71"/>
  <c r="AJ190" i="71"/>
  <c r="V178" i="71"/>
  <c r="AJ178" i="71"/>
  <c r="V166" i="71"/>
  <c r="AJ166" i="71"/>
  <c r="V154" i="71"/>
  <c r="AJ154" i="71"/>
  <c r="V142" i="71"/>
  <c r="AJ142" i="71"/>
  <c r="V130" i="71"/>
  <c r="AJ130" i="71"/>
  <c r="V118" i="71"/>
  <c r="AJ118" i="71"/>
  <c r="V106" i="71"/>
  <c r="AJ106" i="71"/>
  <c r="V94" i="71"/>
  <c r="AJ94" i="71"/>
  <c r="V82" i="71"/>
  <c r="AJ82" i="71"/>
  <c r="V70" i="71"/>
  <c r="AJ70" i="71"/>
  <c r="V58" i="71"/>
  <c r="AJ58" i="71"/>
  <c r="V46" i="71"/>
  <c r="AJ46" i="71"/>
  <c r="V34" i="71"/>
  <c r="AJ34" i="71"/>
  <c r="V22" i="71"/>
  <c r="AJ22" i="71"/>
  <c r="V249" i="71"/>
  <c r="AJ249" i="71"/>
  <c r="V237" i="71"/>
  <c r="AJ237" i="71"/>
  <c r="V225" i="71"/>
  <c r="AJ225" i="71"/>
  <c r="V213" i="71"/>
  <c r="AJ213" i="71"/>
  <c r="V201" i="71"/>
  <c r="AJ201" i="71"/>
  <c r="V189" i="71"/>
  <c r="AJ189" i="71"/>
  <c r="V177" i="71"/>
  <c r="AJ177" i="71"/>
  <c r="V165" i="71"/>
  <c r="AJ165" i="71"/>
  <c r="V153" i="71"/>
  <c r="AJ153" i="71"/>
  <c r="V141" i="71"/>
  <c r="AJ141" i="71"/>
  <c r="V129" i="71"/>
  <c r="AJ129" i="71"/>
  <c r="V117" i="71"/>
  <c r="AJ117" i="71"/>
  <c r="V105" i="71"/>
  <c r="AJ105" i="71"/>
  <c r="V93" i="71"/>
  <c r="AJ93" i="71"/>
  <c r="V81" i="71"/>
  <c r="AJ81" i="71"/>
  <c r="V69" i="71"/>
  <c r="AJ69" i="71"/>
  <c r="V57" i="71"/>
  <c r="AJ57" i="71"/>
  <c r="V45" i="71"/>
  <c r="AJ45" i="71"/>
  <c r="V33" i="71"/>
  <c r="AJ33" i="71"/>
  <c r="V21" i="71"/>
  <c r="AJ21" i="71"/>
  <c r="V248" i="71"/>
  <c r="AJ248" i="71"/>
  <c r="V236" i="71"/>
  <c r="AJ236" i="71"/>
  <c r="V224" i="71"/>
  <c r="AJ224" i="71"/>
  <c r="V212" i="71"/>
  <c r="AJ212" i="71"/>
  <c r="V200" i="71"/>
  <c r="AJ200" i="71"/>
  <c r="V188" i="71"/>
  <c r="AJ188" i="71"/>
  <c r="V176" i="71"/>
  <c r="AJ176" i="71"/>
  <c r="V164" i="71"/>
  <c r="AJ164" i="71"/>
  <c r="V152" i="71"/>
  <c r="AJ152" i="71"/>
  <c r="V140" i="71"/>
  <c r="AJ140" i="71"/>
  <c r="V128" i="71"/>
  <c r="AJ128" i="71"/>
  <c r="V116" i="71"/>
  <c r="AJ116" i="71"/>
  <c r="V104" i="71"/>
  <c r="AJ104" i="71"/>
  <c r="V92" i="71"/>
  <c r="AJ92" i="71"/>
  <c r="V80" i="71"/>
  <c r="AJ80" i="71"/>
  <c r="V68" i="71"/>
  <c r="AJ68" i="71"/>
  <c r="V56" i="71"/>
  <c r="AJ56" i="71"/>
  <c r="V44" i="71"/>
  <c r="AJ44" i="71"/>
  <c r="V32" i="71"/>
  <c r="AJ32" i="71"/>
  <c r="V20" i="71"/>
  <c r="AJ20" i="71"/>
  <c r="V247" i="71"/>
  <c r="AJ247" i="71"/>
  <c r="V235" i="71"/>
  <c r="AJ235" i="71"/>
  <c r="V223" i="71"/>
  <c r="AJ223" i="71"/>
  <c r="V211" i="71"/>
  <c r="AJ211" i="71"/>
  <c r="V199" i="71"/>
  <c r="AJ199" i="71"/>
  <c r="V187" i="71"/>
  <c r="AJ187" i="71"/>
  <c r="V175" i="71"/>
  <c r="AJ175" i="71"/>
  <c r="V163" i="71"/>
  <c r="AJ163" i="71"/>
  <c r="V151" i="71"/>
  <c r="AJ151" i="71"/>
  <c r="V139" i="71"/>
  <c r="AJ139" i="71"/>
  <c r="V127" i="71"/>
  <c r="AJ127" i="71"/>
  <c r="V115" i="71"/>
  <c r="AJ115" i="71"/>
  <c r="V103" i="71"/>
  <c r="AJ103" i="71"/>
  <c r="V91" i="71"/>
  <c r="AJ91" i="71"/>
  <c r="V79" i="71"/>
  <c r="AJ79" i="71"/>
  <c r="V67" i="71"/>
  <c r="AJ67" i="71"/>
  <c r="V55" i="71"/>
  <c r="AJ55" i="71"/>
  <c r="V43" i="71"/>
  <c r="AJ43" i="71"/>
  <c r="V31" i="71"/>
  <c r="AJ31" i="71"/>
  <c r="V19" i="71"/>
  <c r="AJ19" i="71"/>
  <c r="V246" i="71"/>
  <c r="AJ246" i="71"/>
  <c r="V234" i="71"/>
  <c r="AJ234" i="71"/>
  <c r="V222" i="71"/>
  <c r="AJ222" i="71"/>
  <c r="V210" i="71"/>
  <c r="AJ210" i="71"/>
  <c r="V198" i="71"/>
  <c r="AJ198" i="71"/>
  <c r="V186" i="71"/>
  <c r="AJ186" i="71"/>
  <c r="V174" i="71"/>
  <c r="AJ174" i="71"/>
  <c r="V162" i="71"/>
  <c r="AJ162" i="71"/>
  <c r="V150" i="71"/>
  <c r="AJ150" i="71"/>
  <c r="V138" i="71"/>
  <c r="AJ138" i="71"/>
  <c r="V126" i="71"/>
  <c r="AJ126" i="71"/>
  <c r="V114" i="71"/>
  <c r="AJ114" i="71"/>
  <c r="V102" i="71"/>
  <c r="AJ102" i="71"/>
  <c r="V90" i="71"/>
  <c r="AJ90" i="71"/>
  <c r="V78" i="71"/>
  <c r="AJ78" i="71"/>
  <c r="V66" i="71"/>
  <c r="AJ66" i="71"/>
  <c r="V54" i="71"/>
  <c r="AJ54" i="71"/>
  <c r="V42" i="71"/>
  <c r="AJ42" i="71"/>
  <c r="V30" i="71"/>
  <c r="AJ30" i="71"/>
  <c r="V18" i="71"/>
  <c r="AJ18" i="71"/>
  <c r="V245" i="71"/>
  <c r="AJ245" i="71"/>
  <c r="V233" i="71"/>
  <c r="AJ233" i="71"/>
  <c r="V221" i="71"/>
  <c r="AJ221" i="71"/>
  <c r="V209" i="71"/>
  <c r="AJ209" i="71"/>
  <c r="V197" i="71"/>
  <c r="AJ197" i="71"/>
  <c r="V185" i="71"/>
  <c r="AJ185" i="71"/>
  <c r="V173" i="71"/>
  <c r="AJ173" i="71"/>
  <c r="V161" i="71"/>
  <c r="AJ161" i="71"/>
  <c r="V149" i="71"/>
  <c r="AJ149" i="71"/>
  <c r="V137" i="71"/>
  <c r="AJ137" i="71"/>
  <c r="V125" i="71"/>
  <c r="AJ125" i="71"/>
  <c r="V113" i="71"/>
  <c r="AJ113" i="71"/>
  <c r="V101" i="71"/>
  <c r="AJ101" i="71"/>
  <c r="V89" i="71"/>
  <c r="AJ89" i="71"/>
  <c r="V77" i="71"/>
  <c r="AJ77" i="71"/>
  <c r="V65" i="71"/>
  <c r="AJ65" i="71"/>
  <c r="V53" i="71"/>
  <c r="AJ53" i="71"/>
  <c r="V41" i="71"/>
  <c r="AJ41" i="71"/>
  <c r="V29" i="71"/>
  <c r="AJ29" i="71"/>
  <c r="V17" i="71"/>
  <c r="AJ17" i="71"/>
  <c r="V256" i="71"/>
  <c r="AJ256" i="71"/>
  <c r="V244" i="71"/>
  <c r="AJ244" i="71"/>
  <c r="V232" i="71"/>
  <c r="AJ232" i="71"/>
  <c r="V220" i="71"/>
  <c r="AJ220" i="71"/>
  <c r="V208" i="71"/>
  <c r="AJ208" i="71"/>
  <c r="V196" i="71"/>
  <c r="AJ196" i="71"/>
  <c r="V184" i="71"/>
  <c r="AJ184" i="71"/>
  <c r="V172" i="71"/>
  <c r="AJ172" i="71"/>
  <c r="V160" i="71"/>
  <c r="AJ160" i="71"/>
  <c r="V148" i="71"/>
  <c r="AJ148" i="71"/>
  <c r="V136" i="71"/>
  <c r="AJ136" i="71"/>
  <c r="V124" i="71"/>
  <c r="AJ124" i="71"/>
  <c r="V112" i="71"/>
  <c r="AJ112" i="71"/>
  <c r="V100" i="71"/>
  <c r="AJ100" i="71"/>
  <c r="V88" i="71"/>
  <c r="AJ88" i="71"/>
  <c r="V76" i="71"/>
  <c r="AJ76" i="71"/>
  <c r="V64" i="71"/>
  <c r="AJ64" i="71"/>
  <c r="V52" i="71"/>
  <c r="AJ52" i="71"/>
  <c r="V40" i="71"/>
  <c r="AJ40" i="71"/>
  <c r="V28" i="71"/>
  <c r="AJ28" i="71"/>
  <c r="V16" i="71"/>
  <c r="AJ16" i="71"/>
  <c r="V255" i="71"/>
  <c r="AJ255" i="71"/>
  <c r="V243" i="71"/>
  <c r="AJ243" i="71"/>
  <c r="V231" i="71"/>
  <c r="AJ231" i="71"/>
  <c r="V219" i="71"/>
  <c r="AJ219" i="71"/>
  <c r="V207" i="71"/>
  <c r="AJ207" i="71"/>
  <c r="V195" i="71"/>
  <c r="AJ195" i="71"/>
  <c r="V183" i="71"/>
  <c r="AJ183" i="71"/>
  <c r="V171" i="71"/>
  <c r="AJ171" i="71"/>
  <c r="V159" i="71"/>
  <c r="AJ159" i="71"/>
  <c r="V147" i="71"/>
  <c r="AJ147" i="71"/>
  <c r="V135" i="71"/>
  <c r="AJ135" i="71"/>
  <c r="V123" i="71"/>
  <c r="AJ123" i="71"/>
  <c r="V111" i="71"/>
  <c r="AJ111" i="71"/>
  <c r="V99" i="71"/>
  <c r="AJ99" i="71"/>
  <c r="V87" i="71"/>
  <c r="AJ87" i="71"/>
  <c r="V75" i="71"/>
  <c r="AJ75" i="71"/>
  <c r="V63" i="71"/>
  <c r="AJ63" i="71"/>
  <c r="V51" i="71"/>
  <c r="AJ51" i="71"/>
  <c r="V39" i="71"/>
  <c r="AJ39" i="71"/>
  <c r="V27" i="71"/>
  <c r="AJ27" i="71"/>
  <c r="AJ15" i="71"/>
  <c r="V254" i="71"/>
  <c r="AJ254" i="71"/>
  <c r="V242" i="71"/>
  <c r="AJ242" i="71"/>
  <c r="V230" i="71"/>
  <c r="AJ230" i="71"/>
  <c r="V218" i="71"/>
  <c r="AJ218" i="71"/>
  <c r="V206" i="71"/>
  <c r="AJ206" i="71"/>
  <c r="V194" i="71"/>
  <c r="AJ194" i="71"/>
  <c r="V182" i="71"/>
  <c r="AJ182" i="71"/>
  <c r="V170" i="71"/>
  <c r="AJ170" i="71"/>
  <c r="V158" i="71"/>
  <c r="AJ158" i="71"/>
  <c r="V146" i="71"/>
  <c r="AJ146" i="71"/>
  <c r="V134" i="71"/>
  <c r="AJ134" i="71"/>
  <c r="V122" i="71"/>
  <c r="AJ122" i="71"/>
  <c r="V110" i="71"/>
  <c r="AJ110" i="71"/>
  <c r="V98" i="71"/>
  <c r="AJ98" i="71"/>
  <c r="V86" i="71"/>
  <c r="AJ86" i="71"/>
  <c r="V74" i="71"/>
  <c r="AJ74" i="71"/>
  <c r="V62" i="71"/>
  <c r="AJ62" i="71"/>
  <c r="V50" i="71"/>
  <c r="AJ50" i="71"/>
  <c r="V38" i="71"/>
  <c r="AJ38" i="71"/>
  <c r="V26" i="71"/>
  <c r="AJ26" i="71"/>
  <c r="AJ14" i="71"/>
  <c r="G259" i="71"/>
  <c r="L6" i="71" s="1"/>
  <c r="G259" i="46"/>
  <c r="BL26" i="108"/>
  <c r="BK26" i="108"/>
  <c r="BL60" i="108"/>
  <c r="BK60" i="108"/>
  <c r="AX59" i="108"/>
  <c r="AZ59" i="108" s="1"/>
  <c r="AX25" i="108"/>
  <c r="AZ25" i="108" s="1"/>
  <c r="H33" i="46"/>
  <c r="H25" i="46"/>
  <c r="U17" i="46"/>
  <c r="U32" i="46"/>
  <c r="U24" i="46"/>
  <c r="BG60" i="108"/>
  <c r="AG61" i="108" a="1"/>
  <c r="AG61" i="108" s="1"/>
  <c r="BE60" i="108"/>
  <c r="AR60" i="108"/>
  <c r="AP60" i="108"/>
  <c r="AT60" i="108"/>
  <c r="BF60" i="108"/>
  <c r="AJ60" i="108"/>
  <c r="AG27" i="108" a="1"/>
  <c r="AG27" i="108" s="1"/>
  <c r="AT26" i="108"/>
  <c r="AJ26" i="108"/>
  <c r="AR26" i="108"/>
  <c r="BG26" i="108"/>
  <c r="BF26" i="108"/>
  <c r="AP26" i="108"/>
  <c r="BE26" i="108"/>
  <c r="K61" i="108"/>
  <c r="M61" i="108"/>
  <c r="E61" i="108"/>
  <c r="B62" i="108" a="1"/>
  <c r="B62" i="108" s="1"/>
  <c r="BM62" i="108" s="1"/>
  <c r="E26" i="108"/>
  <c r="H32" i="46"/>
  <c r="S25" i="108"/>
  <c r="U25" i="108" s="1"/>
  <c r="B27" i="108" a="1"/>
  <c r="B27" i="108" s="1"/>
  <c r="BM27" i="108" s="1"/>
  <c r="M26" i="108"/>
  <c r="K26" i="108"/>
  <c r="O26" i="108"/>
  <c r="U11" i="71"/>
  <c r="X134" i="22"/>
  <c r="X55" i="22"/>
  <c r="X80" i="22"/>
  <c r="U255" i="46"/>
  <c r="H239" i="46"/>
  <c r="H242" i="46"/>
  <c r="H178" i="46"/>
  <c r="U162" i="46"/>
  <c r="U146" i="46"/>
  <c r="H106" i="46"/>
  <c r="U98" i="46"/>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U245" i="46"/>
  <c r="U181" i="46"/>
  <c r="U117" i="46"/>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U192" i="71"/>
  <c r="U176" i="71"/>
  <c r="U168" i="71"/>
  <c r="U152" i="71"/>
  <c r="U144" i="71"/>
  <c r="U136" i="71"/>
  <c r="U128" i="71"/>
  <c r="U112" i="71"/>
  <c r="U104" i="71"/>
  <c r="U88" i="71"/>
  <c r="U80" i="71"/>
  <c r="U72" i="71"/>
  <c r="U64" i="71"/>
  <c r="U56" i="71"/>
  <c r="U48" i="71"/>
  <c r="U40" i="71"/>
  <c r="U32" i="71"/>
  <c r="U24" i="71"/>
  <c r="U16" i="71"/>
  <c r="H215" i="46"/>
  <c r="H199" i="46"/>
  <c r="U191" i="46"/>
  <c r="U183" i="46"/>
  <c r="H175" i="46"/>
  <c r="U171" i="46"/>
  <c r="H159" i="46"/>
  <c r="H143" i="46"/>
  <c r="U135" i="46"/>
  <c r="H127" i="46"/>
  <c r="H103" i="46"/>
  <c r="H87" i="46"/>
  <c r="H79" i="46"/>
  <c r="U71" i="46"/>
  <c r="H63" i="46"/>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H24" i="46"/>
  <c r="H16" i="46"/>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H17" i="46"/>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BL27" i="108" l="1"/>
  <c r="BK27" i="108"/>
  <c r="BL61" i="108"/>
  <c r="BK61" i="108"/>
  <c r="AX26" i="108"/>
  <c r="AZ26" i="108" s="1"/>
  <c r="AX60" i="108"/>
  <c r="AZ60" i="108" s="1"/>
  <c r="BG61" i="108"/>
  <c r="AR61" i="108"/>
  <c r="AP61" i="108"/>
  <c r="AJ61" i="108"/>
  <c r="BF61" i="108"/>
  <c r="AG62" i="108" a="1"/>
  <c r="AG62" i="108" s="1"/>
  <c r="BE61" i="108"/>
  <c r="AT61" i="108"/>
  <c r="AG28" i="108" a="1"/>
  <c r="AG28" i="108" s="1"/>
  <c r="BE27" i="108"/>
  <c r="AP27" i="108"/>
  <c r="BF27" i="108"/>
  <c r="AR27" i="108"/>
  <c r="BG27" i="108"/>
  <c r="AJ27" i="108"/>
  <c r="AT27" i="108"/>
  <c r="K62" i="108"/>
  <c r="B63" i="108" a="1"/>
  <c r="B63" i="108" s="1"/>
  <c r="BM63" i="108" s="1"/>
  <c r="M62" i="108"/>
  <c r="E62" i="108"/>
  <c r="E27" i="108"/>
  <c r="S26" i="108"/>
  <c r="U26" i="108" s="1"/>
  <c r="M27" i="108"/>
  <c r="B28" i="108" a="1"/>
  <c r="B28" i="108" s="1"/>
  <c r="BM28" i="108" s="1"/>
  <c r="O27" i="108"/>
  <c r="K27" i="108"/>
  <c r="J11" i="11"/>
  <c r="AH11" i="11"/>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5" i="29"/>
  <c r="M135" i="29"/>
  <c r="D134" i="22" s="1"/>
  <c r="O135" i="29"/>
  <c r="Q135" i="29"/>
  <c r="I134" i="99"/>
  <c r="I80" i="99"/>
  <c r="I54" i="99"/>
  <c r="M54" i="29"/>
  <c r="I38" i="99"/>
  <c r="I37" i="99"/>
  <c r="BL28" i="108" l="1"/>
  <c r="BK28" i="108"/>
  <c r="BL62" i="108"/>
  <c r="BK62" i="108"/>
  <c r="AX61" i="108"/>
  <c r="AZ61" i="108" s="1"/>
  <c r="AX27" i="108"/>
  <c r="AZ27" i="108" s="1"/>
  <c r="BE62" i="108"/>
  <c r="BF28" i="108"/>
  <c r="AG63" i="108" a="1"/>
  <c r="AG63" i="108" s="1"/>
  <c r="AP62" i="108"/>
  <c r="AT62" i="108"/>
  <c r="AR62" i="108"/>
  <c r="AJ62" i="108"/>
  <c r="BF62" i="108"/>
  <c r="BG62" i="108"/>
  <c r="AJ28" i="108"/>
  <c r="AR28" i="108"/>
  <c r="AG29" i="108" a="1"/>
  <c r="AG29" i="108" s="1"/>
  <c r="AP28" i="108"/>
  <c r="BE28" i="108"/>
  <c r="BG28" i="108"/>
  <c r="AT28" i="108"/>
  <c r="B64" i="108" a="1"/>
  <c r="B64" i="108" s="1"/>
  <c r="BM64" i="108" s="1"/>
  <c r="M63" i="108"/>
  <c r="E63" i="108"/>
  <c r="K63" i="108"/>
  <c r="E28" i="108"/>
  <c r="S27" i="108"/>
  <c r="U27" i="108" s="1"/>
  <c r="O28" i="108"/>
  <c r="M28" i="108"/>
  <c r="K28" i="108"/>
  <c r="B29" i="108" a="1"/>
  <c r="B29" i="108" s="1"/>
  <c r="BM29" i="108" s="1"/>
  <c r="J250" i="1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AD17" i="11" s="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B47" i="72"/>
  <c r="B55" i="72"/>
  <c r="BL29" i="108" l="1"/>
  <c r="BK29" i="108"/>
  <c r="BL63" i="108"/>
  <c r="BK63" i="108"/>
  <c r="AX62" i="108"/>
  <c r="AZ62" i="108" s="1"/>
  <c r="AX28" i="108"/>
  <c r="AZ28" i="108" s="1"/>
  <c r="AR63" i="108"/>
  <c r="AP29" i="108"/>
  <c r="AG64" i="108" a="1"/>
  <c r="AG64" i="108" s="1"/>
  <c r="AT63" i="108"/>
  <c r="AP63" i="108"/>
  <c r="BG63" i="108"/>
  <c r="BF63" i="108"/>
  <c r="BE63" i="108"/>
  <c r="AJ63" i="108"/>
  <c r="AR29" i="108"/>
  <c r="BE29" i="108"/>
  <c r="BG29" i="108"/>
  <c r="AG30" i="108" a="1"/>
  <c r="AG30" i="108" s="1"/>
  <c r="AT29" i="108"/>
  <c r="AJ29" i="108"/>
  <c r="BF29" i="108"/>
  <c r="M64" i="108"/>
  <c r="K64" i="108"/>
  <c r="E64" i="108"/>
  <c r="E29" i="108"/>
  <c r="S28" i="108"/>
  <c r="U28" i="108" s="1"/>
  <c r="B30" i="108" a="1"/>
  <c r="B30" i="108" s="1"/>
  <c r="BM30" i="108" s="1"/>
  <c r="O29" i="108"/>
  <c r="M29" i="108"/>
  <c r="K29" i="108"/>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BL30" i="108" l="1"/>
  <c r="BK30" i="108"/>
  <c r="BL64" i="108"/>
  <c r="BK64" i="108"/>
  <c r="AX29" i="108"/>
  <c r="AZ29" i="108" s="1"/>
  <c r="AX63" i="108"/>
  <c r="AZ63" i="108" s="1"/>
  <c r="AT64" i="108"/>
  <c r="BE64" i="108"/>
  <c r="AR64" i="108"/>
  <c r="BF64" i="108"/>
  <c r="AP64" i="108"/>
  <c r="BG64" i="108"/>
  <c r="AJ64" i="108"/>
  <c r="AP30" i="108"/>
  <c r="BE30" i="108"/>
  <c r="BG30" i="108"/>
  <c r="BF30" i="108"/>
  <c r="AJ30" i="108"/>
  <c r="AR30" i="108"/>
  <c r="AG31" i="108" a="1"/>
  <c r="AG31" i="108" s="1"/>
  <c r="AT30" i="108"/>
  <c r="E30" i="108"/>
  <c r="S29" i="108"/>
  <c r="U29" i="108" s="1"/>
  <c r="B31" i="108" a="1"/>
  <c r="B31" i="108" s="1"/>
  <c r="BM31" i="108" s="1"/>
  <c r="M30" i="108"/>
  <c r="K30" i="108"/>
  <c r="O30" i="108"/>
  <c r="P257" i="55"/>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Y7" i="107" s="1"/>
  <c r="P11" i="55"/>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L7" i="107" s="1"/>
  <c r="BL31" i="108" l="1"/>
  <c r="BK31" i="108"/>
  <c r="AX64" i="108"/>
  <c r="AZ64" i="108" s="1"/>
  <c r="AX30" i="108"/>
  <c r="AZ30" i="108" s="1"/>
  <c r="AT31" i="108"/>
  <c r="AR31" i="108"/>
  <c r="BF31" i="108"/>
  <c r="AP31" i="108"/>
  <c r="AJ31" i="108"/>
  <c r="BE31" i="108"/>
  <c r="BG31" i="108"/>
  <c r="E31" i="108"/>
  <c r="S30" i="108"/>
  <c r="U30" i="108" s="1"/>
  <c r="M31" i="108"/>
  <c r="O31" i="108"/>
  <c r="K31" i="108"/>
  <c r="AK11" i="59"/>
  <c r="AX31" i="108" l="1"/>
  <c r="AZ31" i="108" s="1"/>
  <c r="S31" i="108"/>
  <c r="U31" i="108" s="1"/>
  <c r="B2" i="69"/>
  <c r="B2" i="68"/>
  <c r="B2" i="67"/>
  <c r="B2" i="65"/>
  <c r="B2" i="64"/>
  <c r="B2" i="63"/>
  <c r="B2" i="57"/>
  <c r="B2" i="55"/>
  <c r="B2" i="58"/>
  <c r="B2" i="53"/>
  <c r="B2" i="42"/>
  <c r="B2" i="52"/>
  <c r="E2" i="50"/>
  <c r="D2" i="71"/>
  <c r="D2" i="59"/>
  <c r="E2" i="32"/>
  <c r="D2" i="46"/>
  <c r="D2" i="1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BM43" i="108" s="1"/>
  <c r="M12" i="42"/>
  <c r="E44" i="108" l="1"/>
  <c r="M44" i="108"/>
  <c r="K44" i="108"/>
  <c r="AB44" i="108"/>
  <c r="AB48" i="108"/>
  <c r="AB52" i="108"/>
  <c r="AB56" i="108"/>
  <c r="AB60" i="108"/>
  <c r="AB64" i="108"/>
  <c r="AB54" i="108"/>
  <c r="AB58" i="108"/>
  <c r="AB47" i="108"/>
  <c r="AB55" i="108"/>
  <c r="AB63" i="108"/>
  <c r="AB45" i="108"/>
  <c r="AB49" i="108"/>
  <c r="AB53" i="108"/>
  <c r="AB57" i="108"/>
  <c r="AB61" i="108"/>
  <c r="AB46" i="108"/>
  <c r="AB50" i="108"/>
  <c r="AB62" i="108"/>
  <c r="AB51" i="108"/>
  <c r="AB59" i="108"/>
  <c r="AA44" i="108"/>
  <c r="AA48" i="108"/>
  <c r="AA52" i="108"/>
  <c r="AA56" i="108"/>
  <c r="AA60" i="108"/>
  <c r="AA64" i="108"/>
  <c r="AA45" i="108"/>
  <c r="AA49" i="108"/>
  <c r="AA53" i="108"/>
  <c r="AA57" i="108"/>
  <c r="AA61" i="108"/>
  <c r="AA46" i="108"/>
  <c r="AA50" i="108"/>
  <c r="AA54" i="108"/>
  <c r="AA58" i="108"/>
  <c r="AA62" i="108"/>
  <c r="AA47" i="108"/>
  <c r="AA51" i="108"/>
  <c r="AA55" i="108"/>
  <c r="AA59" i="108"/>
  <c r="AA63" i="108"/>
  <c r="Z44" i="108"/>
  <c r="Z48" i="108"/>
  <c r="Z52" i="108"/>
  <c r="Z56" i="108"/>
  <c r="Z60" i="108"/>
  <c r="Z64" i="108"/>
  <c r="Z55" i="108"/>
  <c r="Z45" i="108"/>
  <c r="Z49" i="108"/>
  <c r="Z53" i="108"/>
  <c r="Z57" i="108"/>
  <c r="Z61" i="108"/>
  <c r="Z51" i="108"/>
  <c r="Z63" i="108"/>
  <c r="Z46" i="108"/>
  <c r="Z50" i="108"/>
  <c r="Z54" i="108"/>
  <c r="Z58" i="108"/>
  <c r="Z62" i="108"/>
  <c r="Z47" i="108"/>
  <c r="Z59" i="108"/>
  <c r="AB43" i="108"/>
  <c r="Z43" i="108"/>
  <c r="AA43" i="108"/>
  <c r="O43" i="108"/>
  <c r="M43" i="108"/>
  <c r="K43" i="108"/>
  <c r="E43" i="108"/>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7" i="46"/>
  <c r="X36" i="46"/>
  <c r="X35" i="46"/>
  <c r="X34" i="46"/>
  <c r="X33" i="46"/>
  <c r="X32" i="46"/>
  <c r="X31" i="46"/>
  <c r="X30" i="46"/>
  <c r="X29" i="46"/>
  <c r="X28" i="46"/>
  <c r="X27" i="46"/>
  <c r="X26" i="46"/>
  <c r="R172" i="58"/>
  <c r="R228" i="58"/>
  <c r="R236" i="58"/>
  <c r="O13" i="58"/>
  <c r="O14" i="58"/>
  <c r="O15" i="58"/>
  <c r="O16" i="58"/>
  <c r="O17" i="58"/>
  <c r="O18" i="58"/>
  <c r="O19" i="58"/>
  <c r="O20" i="58"/>
  <c r="O21" i="58"/>
  <c r="O22" i="58"/>
  <c r="O23" i="58"/>
  <c r="O24" i="58"/>
  <c r="O25" i="58"/>
  <c r="O26" i="58"/>
  <c r="O27" i="58"/>
  <c r="O28" i="58"/>
  <c r="O29" i="58"/>
  <c r="O30" i="58"/>
  <c r="O31" i="58"/>
  <c r="O32" i="58"/>
  <c r="O33" i="58"/>
  <c r="O34" i="58"/>
  <c r="O35" i="58"/>
  <c r="O36" i="58"/>
  <c r="O37" i="58"/>
  <c r="O38" i="58"/>
  <c r="O39" i="58"/>
  <c r="O40" i="58"/>
  <c r="O41" i="58"/>
  <c r="O42" i="58"/>
  <c r="O43" i="58"/>
  <c r="O44" i="58"/>
  <c r="O45" i="58"/>
  <c r="O46" i="58"/>
  <c r="O47" i="58"/>
  <c r="O48" i="58"/>
  <c r="O49" i="58"/>
  <c r="O50" i="58"/>
  <c r="O51" i="58"/>
  <c r="O52" i="58"/>
  <c r="O53" i="58"/>
  <c r="O54" i="58"/>
  <c r="O55" i="58"/>
  <c r="O56" i="58"/>
  <c r="O57" i="58"/>
  <c r="O58" i="58"/>
  <c r="O59" i="58"/>
  <c r="O60" i="58"/>
  <c r="O61" i="58"/>
  <c r="O62" i="58"/>
  <c r="O63" i="58"/>
  <c r="O64" i="58"/>
  <c r="O65" i="58"/>
  <c r="O66" i="58"/>
  <c r="O67" i="58"/>
  <c r="O68" i="58"/>
  <c r="O69" i="58"/>
  <c r="O70" i="58"/>
  <c r="O71" i="58"/>
  <c r="O72" i="58"/>
  <c r="O73" i="58"/>
  <c r="O74" i="58"/>
  <c r="O75" i="58"/>
  <c r="O76" i="58"/>
  <c r="O77" i="58"/>
  <c r="O78" i="58"/>
  <c r="O79" i="58"/>
  <c r="O80" i="58"/>
  <c r="O81" i="58"/>
  <c r="O82" i="58"/>
  <c r="O83" i="58"/>
  <c r="O84" i="58"/>
  <c r="O85" i="58"/>
  <c r="O86" i="58"/>
  <c r="O87" i="58"/>
  <c r="O88" i="58"/>
  <c r="O89" i="58"/>
  <c r="O90" i="58"/>
  <c r="O91" i="58"/>
  <c r="O92" i="58"/>
  <c r="O93" i="58"/>
  <c r="O94" i="58"/>
  <c r="O95" i="58"/>
  <c r="O96" i="58"/>
  <c r="O97" i="58"/>
  <c r="O98" i="58"/>
  <c r="O99" i="58"/>
  <c r="O100" i="58"/>
  <c r="O101" i="58"/>
  <c r="O102" i="58"/>
  <c r="O103" i="58"/>
  <c r="O104" i="58"/>
  <c r="O105" i="58"/>
  <c r="O106" i="58"/>
  <c r="O107" i="58"/>
  <c r="O108" i="58"/>
  <c r="O109" i="58"/>
  <c r="O110" i="58"/>
  <c r="O111" i="58"/>
  <c r="O112" i="58"/>
  <c r="O113" i="58"/>
  <c r="O114" i="58"/>
  <c r="O115" i="58"/>
  <c r="O116" i="58"/>
  <c r="O117" i="58"/>
  <c r="O118" i="58"/>
  <c r="O119" i="58"/>
  <c r="O120" i="58"/>
  <c r="O121" i="58"/>
  <c r="O122" i="58"/>
  <c r="O123" i="58"/>
  <c r="O124" i="58"/>
  <c r="O125" i="58"/>
  <c r="O126" i="58"/>
  <c r="O127" i="58"/>
  <c r="O128" i="58"/>
  <c r="O129" i="58"/>
  <c r="O130" i="58"/>
  <c r="O131" i="58"/>
  <c r="O132" i="58"/>
  <c r="O133" i="58"/>
  <c r="O134" i="58"/>
  <c r="O135" i="58"/>
  <c r="O136" i="58"/>
  <c r="O137" i="58"/>
  <c r="O138" i="58"/>
  <c r="O139" i="58"/>
  <c r="O140" i="58"/>
  <c r="O141" i="58"/>
  <c r="O142" i="58"/>
  <c r="O143" i="58"/>
  <c r="O144" i="58"/>
  <c r="O145" i="58"/>
  <c r="O146" i="58"/>
  <c r="O147" i="58"/>
  <c r="O148" i="58"/>
  <c r="O149" i="58"/>
  <c r="O150" i="58"/>
  <c r="O151" i="58"/>
  <c r="O152" i="58"/>
  <c r="O153" i="58"/>
  <c r="O154" i="58"/>
  <c r="O155" i="58"/>
  <c r="O156" i="58"/>
  <c r="O157" i="58"/>
  <c r="O158" i="58"/>
  <c r="O159" i="58"/>
  <c r="O160" i="58"/>
  <c r="O161" i="58"/>
  <c r="O162" i="58"/>
  <c r="O163" i="58"/>
  <c r="O164" i="58"/>
  <c r="O165" i="58"/>
  <c r="O166" i="58"/>
  <c r="O167" i="58"/>
  <c r="O168" i="58"/>
  <c r="O169" i="58"/>
  <c r="O170" i="58"/>
  <c r="O171" i="58"/>
  <c r="O172" i="58"/>
  <c r="O173" i="58"/>
  <c r="O174" i="58"/>
  <c r="O175" i="58"/>
  <c r="O176" i="58"/>
  <c r="O177" i="58"/>
  <c r="O178" i="58"/>
  <c r="O179" i="58"/>
  <c r="O180" i="58"/>
  <c r="O181" i="58"/>
  <c r="O182" i="58"/>
  <c r="O183" i="58"/>
  <c r="O184" i="58"/>
  <c r="O185" i="58"/>
  <c r="O186" i="58"/>
  <c r="O187" i="58"/>
  <c r="O188" i="58"/>
  <c r="O189" i="58"/>
  <c r="O190" i="58"/>
  <c r="O191" i="58"/>
  <c r="O192" i="58"/>
  <c r="O193" i="58"/>
  <c r="O194" i="58"/>
  <c r="O195" i="58"/>
  <c r="O196" i="58"/>
  <c r="O197" i="58"/>
  <c r="O198" i="58"/>
  <c r="O199" i="58"/>
  <c r="O200" i="58"/>
  <c r="O201" i="58"/>
  <c r="O202" i="58"/>
  <c r="O203" i="58"/>
  <c r="O204" i="58"/>
  <c r="O205" i="58"/>
  <c r="O206" i="58"/>
  <c r="O207" i="58"/>
  <c r="O208" i="58"/>
  <c r="O209" i="58"/>
  <c r="O210" i="58"/>
  <c r="O211" i="58"/>
  <c r="O212" i="58"/>
  <c r="O213" i="58"/>
  <c r="O214" i="58"/>
  <c r="O215" i="58"/>
  <c r="O216" i="58"/>
  <c r="O217" i="58"/>
  <c r="O218" i="58"/>
  <c r="O219" i="58"/>
  <c r="O220" i="58"/>
  <c r="O221" i="58"/>
  <c r="O222" i="58"/>
  <c r="O223" i="58"/>
  <c r="O224" i="58"/>
  <c r="O225" i="58"/>
  <c r="O226" i="58"/>
  <c r="O227" i="58"/>
  <c r="O228" i="58"/>
  <c r="O229" i="58"/>
  <c r="O230" i="58"/>
  <c r="O231" i="58"/>
  <c r="O232" i="58"/>
  <c r="O233" i="58"/>
  <c r="O234" i="58"/>
  <c r="O235" i="58"/>
  <c r="O236" i="58"/>
  <c r="O237" i="58"/>
  <c r="O238" i="58"/>
  <c r="O239" i="58"/>
  <c r="O240" i="58"/>
  <c r="O241" i="58"/>
  <c r="O242" i="58"/>
  <c r="O243" i="58"/>
  <c r="O244" i="58"/>
  <c r="O245" i="58"/>
  <c r="O246" i="58"/>
  <c r="O247" i="58"/>
  <c r="O248" i="58"/>
  <c r="O249" i="58"/>
  <c r="O250" i="58"/>
  <c r="O251" i="58"/>
  <c r="O252" i="58"/>
  <c r="O253" i="58"/>
  <c r="O254" i="58"/>
  <c r="O255" i="58"/>
  <c r="O256" i="58"/>
  <c r="O257" i="58"/>
  <c r="O258" i="58"/>
  <c r="O259" i="58"/>
  <c r="O12" i="58"/>
  <c r="C130" i="72"/>
  <c r="B130" i="72"/>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66" i="108" l="1"/>
  <c r="J25" i="96" s="1"/>
  <c r="K65" i="108"/>
  <c r="S43" i="108"/>
  <c r="U43" i="108" s="1"/>
  <c r="R150" i="58"/>
  <c r="R134" i="58"/>
  <c r="R220" i="58"/>
  <c r="R212" i="58"/>
  <c r="R204" i="58"/>
  <c r="R196" i="58"/>
  <c r="R164" i="58"/>
  <c r="R100" i="58"/>
  <c r="R36" i="58"/>
  <c r="R114" i="58"/>
  <c r="R94" i="58"/>
  <c r="R252" i="58"/>
  <c r="R188" i="58"/>
  <c r="R57" i="58"/>
  <c r="R162" i="58"/>
  <c r="R244" i="58"/>
  <c r="R180" i="58"/>
  <c r="R141" i="58"/>
  <c r="R119" i="58"/>
  <c r="R111" i="58"/>
  <c r="R103" i="58"/>
  <c r="R95" i="58"/>
  <c r="R87" i="58"/>
  <c r="R79" i="58"/>
  <c r="R71" i="58"/>
  <c r="R63" i="58"/>
  <c r="R55" i="58"/>
  <c r="R47" i="58"/>
  <c r="R39" i="58"/>
  <c r="R31" i="58"/>
  <c r="R23" i="58"/>
  <c r="R15" i="58"/>
  <c r="R254" i="58"/>
  <c r="R246" i="58"/>
  <c r="R238" i="58"/>
  <c r="R230" i="58"/>
  <c r="R222" i="58"/>
  <c r="R214" i="58"/>
  <c r="R206" i="58"/>
  <c r="R198" i="58"/>
  <c r="R190" i="58"/>
  <c r="R182" i="58"/>
  <c r="R174" i="58"/>
  <c r="R166" i="58"/>
  <c r="R153" i="58"/>
  <c r="R137" i="58"/>
  <c r="R121" i="58"/>
  <c r="R98" i="58"/>
  <c r="R73" i="58"/>
  <c r="R86" i="58"/>
  <c r="R78" i="58"/>
  <c r="R70" i="58"/>
  <c r="R62" i="58"/>
  <c r="R54" i="58"/>
  <c r="R46" i="58"/>
  <c r="R38" i="58"/>
  <c r="R30" i="58"/>
  <c r="R22" i="58"/>
  <c r="R14" i="58"/>
  <c r="R253" i="58"/>
  <c r="R245" i="58"/>
  <c r="R237" i="58"/>
  <c r="R229" i="58"/>
  <c r="R221" i="58"/>
  <c r="R213" i="58"/>
  <c r="R205" i="58"/>
  <c r="R197" i="58"/>
  <c r="R189" i="58"/>
  <c r="R181" i="58"/>
  <c r="R173" i="58"/>
  <c r="R165" i="58"/>
  <c r="R151" i="58"/>
  <c r="R135" i="58"/>
  <c r="R118" i="58"/>
  <c r="R97" i="58"/>
  <c r="R65" i="58"/>
  <c r="R117" i="58"/>
  <c r="R77" i="58"/>
  <c r="R61" i="58"/>
  <c r="R29" i="58"/>
  <c r="R156" i="58"/>
  <c r="R148" i="58"/>
  <c r="R140" i="58"/>
  <c r="R132" i="58"/>
  <c r="R124" i="58"/>
  <c r="R116" i="58"/>
  <c r="R108" i="58"/>
  <c r="R92" i="58"/>
  <c r="R84" i="58"/>
  <c r="R76" i="58"/>
  <c r="R68" i="58"/>
  <c r="R60" i="58"/>
  <c r="R52" i="58"/>
  <c r="R44" i="58"/>
  <c r="R28" i="58"/>
  <c r="R20" i="58"/>
  <c r="R259" i="58"/>
  <c r="R251" i="58"/>
  <c r="R243" i="58"/>
  <c r="R235" i="58"/>
  <c r="R227" i="58"/>
  <c r="R219" i="58"/>
  <c r="R211" i="58"/>
  <c r="R203" i="58"/>
  <c r="R195" i="58"/>
  <c r="R187" i="58"/>
  <c r="R179" i="58"/>
  <c r="R171" i="58"/>
  <c r="R161" i="58"/>
  <c r="R146" i="58"/>
  <c r="R130" i="58"/>
  <c r="R113" i="58"/>
  <c r="R90" i="58"/>
  <c r="R49" i="58"/>
  <c r="R149" i="58"/>
  <c r="R125" i="58"/>
  <c r="R101" i="58"/>
  <c r="R69" i="58"/>
  <c r="R37" i="58"/>
  <c r="R163" i="58"/>
  <c r="R155" i="58"/>
  <c r="R147" i="58"/>
  <c r="R139" i="58"/>
  <c r="R131" i="58"/>
  <c r="R123" i="58"/>
  <c r="R115" i="58"/>
  <c r="R107" i="58"/>
  <c r="R99" i="58"/>
  <c r="R91" i="58"/>
  <c r="R83" i="58"/>
  <c r="R75" i="58"/>
  <c r="R67" i="58"/>
  <c r="R59" i="58"/>
  <c r="R51" i="58"/>
  <c r="R43" i="58"/>
  <c r="R35" i="58"/>
  <c r="R27" i="58"/>
  <c r="R19" i="58"/>
  <c r="R258" i="58"/>
  <c r="R250" i="58"/>
  <c r="R242" i="58"/>
  <c r="R234" i="58"/>
  <c r="R226" i="58"/>
  <c r="R218" i="58"/>
  <c r="R210" i="58"/>
  <c r="R202" i="58"/>
  <c r="R194" i="58"/>
  <c r="R186" i="58"/>
  <c r="R178" i="58"/>
  <c r="R170" i="58"/>
  <c r="R159" i="58"/>
  <c r="R145" i="58"/>
  <c r="R129" i="58"/>
  <c r="R110" i="58"/>
  <c r="R89" i="58"/>
  <c r="R41" i="58"/>
  <c r="R93" i="58"/>
  <c r="R66" i="58"/>
  <c r="R58" i="58"/>
  <c r="R50" i="58"/>
  <c r="R42" i="58"/>
  <c r="R34" i="58"/>
  <c r="R26" i="58"/>
  <c r="R18" i="58"/>
  <c r="R257" i="58"/>
  <c r="R249" i="58"/>
  <c r="R241" i="58"/>
  <c r="R233" i="58"/>
  <c r="R225" i="58"/>
  <c r="R217" i="58"/>
  <c r="R209" i="58"/>
  <c r="R201" i="58"/>
  <c r="R193" i="58"/>
  <c r="R185" i="58"/>
  <c r="R177" i="58"/>
  <c r="R169" i="58"/>
  <c r="R158" i="58"/>
  <c r="R143" i="58"/>
  <c r="R127" i="58"/>
  <c r="R106" i="58"/>
  <c r="R82" i="58"/>
  <c r="R33" i="58"/>
  <c r="R133" i="58"/>
  <c r="R85" i="58"/>
  <c r="R45" i="58"/>
  <c r="R256" i="58"/>
  <c r="R248" i="58"/>
  <c r="R240" i="58"/>
  <c r="R232" i="58"/>
  <c r="R224" i="58"/>
  <c r="R216" i="58"/>
  <c r="R208" i="58"/>
  <c r="R200" i="58"/>
  <c r="R192" i="58"/>
  <c r="R184" i="58"/>
  <c r="R176" i="58"/>
  <c r="R168" i="58"/>
  <c r="R157" i="58"/>
  <c r="R142" i="58"/>
  <c r="R126" i="58"/>
  <c r="R105" i="58"/>
  <c r="R81" i="58"/>
  <c r="R25" i="58"/>
  <c r="R109" i="58"/>
  <c r="R53" i="58"/>
  <c r="R21" i="58"/>
  <c r="R13" i="58"/>
  <c r="R160" i="58"/>
  <c r="R152" i="58"/>
  <c r="R144" i="58"/>
  <c r="R136" i="58"/>
  <c r="R128" i="58"/>
  <c r="R120" i="58"/>
  <c r="R112" i="58"/>
  <c r="R104" i="58"/>
  <c r="R96" i="58"/>
  <c r="R88" i="58"/>
  <c r="R80" i="58"/>
  <c r="R72" i="58"/>
  <c r="R64" i="58"/>
  <c r="R56" i="58"/>
  <c r="R48" i="58"/>
  <c r="R40" i="58"/>
  <c r="R32" i="58"/>
  <c r="R24" i="58"/>
  <c r="R16" i="58"/>
  <c r="R255" i="58"/>
  <c r="R247" i="58"/>
  <c r="R239" i="58"/>
  <c r="R231" i="58"/>
  <c r="R223" i="58"/>
  <c r="R215" i="58"/>
  <c r="R207" i="58"/>
  <c r="R199" i="58"/>
  <c r="R191" i="58"/>
  <c r="R183" i="58"/>
  <c r="R175" i="58"/>
  <c r="R167" i="58"/>
  <c r="R154" i="58"/>
  <c r="R138" i="58"/>
  <c r="R122" i="58"/>
  <c r="R102" i="58"/>
  <c r="R74" i="58"/>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I10" i="67"/>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P12" i="42" l="1"/>
  <c r="Q12" i="42" s="1"/>
  <c r="R12" i="42" l="1"/>
  <c r="T12" i="58"/>
  <c r="O2" i="58"/>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5" i="11"/>
  <c r="O16" i="11"/>
  <c r="O17"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G257" i="46" l="1"/>
  <c r="C144" i="72"/>
  <c r="B144" i="72"/>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N11" i="55" s="1"/>
  <c r="X11" i="55" s="1"/>
  <c r="G12" i="55"/>
  <c r="G13" i="55"/>
  <c r="G14" i="55"/>
  <c r="N14" i="55" s="1"/>
  <c r="X14" i="55" s="1"/>
  <c r="G15" i="55"/>
  <c r="N15" i="55" s="1"/>
  <c r="X15" i="55" s="1"/>
  <c r="G16" i="55"/>
  <c r="N16" i="55" s="1"/>
  <c r="X16" i="55" s="1"/>
  <c r="G17" i="55"/>
  <c r="N17" i="55" s="1"/>
  <c r="X17" i="55" s="1"/>
  <c r="G18" i="55"/>
  <c r="N18" i="55" s="1"/>
  <c r="X18" i="55" s="1"/>
  <c r="G19" i="55"/>
  <c r="N19" i="55" s="1"/>
  <c r="X19" i="55" s="1"/>
  <c r="G20" i="55"/>
  <c r="N20" i="55" s="1"/>
  <c r="X20" i="55" s="1"/>
  <c r="G21" i="55"/>
  <c r="N21" i="55" s="1"/>
  <c r="X21" i="55" s="1"/>
  <c r="G22" i="55"/>
  <c r="N22" i="55" s="1"/>
  <c r="X22" i="55" s="1"/>
  <c r="G23" i="55"/>
  <c r="N23" i="55" s="1"/>
  <c r="X23" i="55" s="1"/>
  <c r="G24" i="55"/>
  <c r="N24" i="55" s="1"/>
  <c r="X24" i="55" s="1"/>
  <c r="G25" i="55"/>
  <c r="N25" i="55" s="1"/>
  <c r="X25" i="55" s="1"/>
  <c r="G26" i="55"/>
  <c r="N26" i="55" s="1"/>
  <c r="X26" i="55" s="1"/>
  <c r="G27" i="55"/>
  <c r="N27" i="55" s="1"/>
  <c r="X27" i="55" s="1"/>
  <c r="G28" i="55"/>
  <c r="N28" i="55" s="1"/>
  <c r="X28" i="55" s="1"/>
  <c r="G29" i="55"/>
  <c r="N29" i="55" s="1"/>
  <c r="X29" i="55" s="1"/>
  <c r="G30" i="55"/>
  <c r="N30" i="55" s="1"/>
  <c r="X30" i="55" s="1"/>
  <c r="G31" i="55"/>
  <c r="N31" i="55" s="1"/>
  <c r="X31" i="55" s="1"/>
  <c r="G32" i="55"/>
  <c r="N32" i="55" s="1"/>
  <c r="X32" i="55" s="1"/>
  <c r="G33" i="55"/>
  <c r="N33" i="55" s="1"/>
  <c r="X33" i="55" s="1"/>
  <c r="G34" i="55"/>
  <c r="N34" i="55" s="1"/>
  <c r="X34" i="55" s="1"/>
  <c r="G35" i="55"/>
  <c r="N35" i="55" s="1"/>
  <c r="X35" i="55" s="1"/>
  <c r="G36" i="55"/>
  <c r="N36" i="55" s="1"/>
  <c r="X36" i="55" s="1"/>
  <c r="G37" i="55"/>
  <c r="N37" i="55" s="1"/>
  <c r="X37" i="55" s="1"/>
  <c r="G38" i="55"/>
  <c r="N38" i="55" s="1"/>
  <c r="X38" i="55" s="1"/>
  <c r="G39" i="55"/>
  <c r="N39" i="55" s="1"/>
  <c r="X39" i="55" s="1"/>
  <c r="G40" i="55"/>
  <c r="N40" i="55" s="1"/>
  <c r="X40" i="55" s="1"/>
  <c r="G41" i="55"/>
  <c r="N41" i="55" s="1"/>
  <c r="X41" i="55" s="1"/>
  <c r="G42" i="55"/>
  <c r="N42" i="55" s="1"/>
  <c r="X42" i="55" s="1"/>
  <c r="G43" i="55"/>
  <c r="N43" i="55" s="1"/>
  <c r="X43" i="55" s="1"/>
  <c r="G44" i="55"/>
  <c r="N44" i="55" s="1"/>
  <c r="X44" i="55" s="1"/>
  <c r="G45" i="55"/>
  <c r="N45" i="55" s="1"/>
  <c r="X45" i="55" s="1"/>
  <c r="G46" i="55"/>
  <c r="N46" i="55" s="1"/>
  <c r="X46" i="55" s="1"/>
  <c r="G47" i="55"/>
  <c r="N47" i="55" s="1"/>
  <c r="X47" i="55" s="1"/>
  <c r="G48" i="55"/>
  <c r="N48" i="55" s="1"/>
  <c r="X48" i="55" s="1"/>
  <c r="G49" i="55"/>
  <c r="N49" i="55" s="1"/>
  <c r="X49" i="55" s="1"/>
  <c r="G50" i="55"/>
  <c r="N50" i="55" s="1"/>
  <c r="X50" i="55" s="1"/>
  <c r="G51" i="55"/>
  <c r="N51" i="55" s="1"/>
  <c r="X51" i="55" s="1"/>
  <c r="G52" i="55"/>
  <c r="N52" i="55" s="1"/>
  <c r="X52" i="55" s="1"/>
  <c r="G53" i="55"/>
  <c r="N53" i="55" s="1"/>
  <c r="X53" i="55" s="1"/>
  <c r="G54" i="55"/>
  <c r="N54" i="55" s="1"/>
  <c r="X54" i="55" s="1"/>
  <c r="G55" i="55"/>
  <c r="N55" i="55" s="1"/>
  <c r="X55" i="55" s="1"/>
  <c r="G56" i="55"/>
  <c r="N56" i="55" s="1"/>
  <c r="X56" i="55" s="1"/>
  <c r="G57" i="55"/>
  <c r="N57" i="55" s="1"/>
  <c r="X57" i="55" s="1"/>
  <c r="G58" i="55"/>
  <c r="N58" i="55" s="1"/>
  <c r="X58" i="55" s="1"/>
  <c r="G59" i="55"/>
  <c r="N59" i="55" s="1"/>
  <c r="X59" i="55" s="1"/>
  <c r="G60" i="55"/>
  <c r="N60" i="55" s="1"/>
  <c r="X60" i="55" s="1"/>
  <c r="G61" i="55"/>
  <c r="N61" i="55" s="1"/>
  <c r="X61" i="55" s="1"/>
  <c r="G62" i="55"/>
  <c r="N62" i="55" s="1"/>
  <c r="X62" i="55" s="1"/>
  <c r="G63" i="55"/>
  <c r="N63" i="55" s="1"/>
  <c r="X63" i="55" s="1"/>
  <c r="G64" i="55"/>
  <c r="N64" i="55" s="1"/>
  <c r="X64" i="55" s="1"/>
  <c r="G65" i="55"/>
  <c r="N65" i="55" s="1"/>
  <c r="X65" i="55" s="1"/>
  <c r="G66" i="55"/>
  <c r="N66" i="55" s="1"/>
  <c r="X66" i="55" s="1"/>
  <c r="G67" i="55"/>
  <c r="N67" i="55" s="1"/>
  <c r="X67" i="55" s="1"/>
  <c r="G68" i="55"/>
  <c r="N68" i="55" s="1"/>
  <c r="X68" i="55" s="1"/>
  <c r="G69" i="55"/>
  <c r="N69" i="55" s="1"/>
  <c r="X69" i="55" s="1"/>
  <c r="G70" i="55"/>
  <c r="N70" i="55" s="1"/>
  <c r="X70" i="55" s="1"/>
  <c r="G71" i="55"/>
  <c r="N71" i="55" s="1"/>
  <c r="X71" i="55" s="1"/>
  <c r="G72" i="55"/>
  <c r="N72" i="55" s="1"/>
  <c r="X72" i="55" s="1"/>
  <c r="G73" i="55"/>
  <c r="N73" i="55" s="1"/>
  <c r="X73" i="55" s="1"/>
  <c r="G74" i="55"/>
  <c r="N74" i="55" s="1"/>
  <c r="X74" i="55" s="1"/>
  <c r="G75" i="55"/>
  <c r="N75" i="55" s="1"/>
  <c r="X75" i="55" s="1"/>
  <c r="G76" i="55"/>
  <c r="N76" i="55" s="1"/>
  <c r="X76" i="55" s="1"/>
  <c r="G77" i="55"/>
  <c r="N77" i="55" s="1"/>
  <c r="X77" i="55" s="1"/>
  <c r="G78" i="55"/>
  <c r="N78" i="55" s="1"/>
  <c r="X78" i="55" s="1"/>
  <c r="G79" i="55"/>
  <c r="N79" i="55" s="1"/>
  <c r="X79" i="55" s="1"/>
  <c r="G80" i="55"/>
  <c r="N80" i="55" s="1"/>
  <c r="X80" i="55" s="1"/>
  <c r="G81" i="55"/>
  <c r="N81" i="55" s="1"/>
  <c r="X81" i="55" s="1"/>
  <c r="G82" i="55"/>
  <c r="N82" i="55" s="1"/>
  <c r="X82" i="55" s="1"/>
  <c r="G83" i="55"/>
  <c r="N83" i="55" s="1"/>
  <c r="X83" i="55" s="1"/>
  <c r="G84" i="55"/>
  <c r="N84" i="55" s="1"/>
  <c r="X84" i="55" s="1"/>
  <c r="G85" i="55"/>
  <c r="N85" i="55" s="1"/>
  <c r="X85" i="55" s="1"/>
  <c r="G86" i="55"/>
  <c r="N86" i="55" s="1"/>
  <c r="X86" i="55" s="1"/>
  <c r="G87" i="55"/>
  <c r="N87" i="55" s="1"/>
  <c r="X87" i="55" s="1"/>
  <c r="G88" i="55"/>
  <c r="N88" i="55" s="1"/>
  <c r="X88" i="55" s="1"/>
  <c r="G89" i="55"/>
  <c r="N89" i="55" s="1"/>
  <c r="X89" i="55" s="1"/>
  <c r="G90" i="55"/>
  <c r="N90" i="55" s="1"/>
  <c r="X90" i="55" s="1"/>
  <c r="G91" i="55"/>
  <c r="N91" i="55" s="1"/>
  <c r="X91" i="55" s="1"/>
  <c r="G92" i="55"/>
  <c r="N92" i="55" s="1"/>
  <c r="X92" i="55" s="1"/>
  <c r="G93" i="55"/>
  <c r="N93" i="55" s="1"/>
  <c r="X93" i="55" s="1"/>
  <c r="G94" i="55"/>
  <c r="N94" i="55" s="1"/>
  <c r="X94" i="55" s="1"/>
  <c r="G95" i="55"/>
  <c r="N95" i="55" s="1"/>
  <c r="X95" i="55" s="1"/>
  <c r="G96" i="55"/>
  <c r="N96" i="55" s="1"/>
  <c r="X96" i="55" s="1"/>
  <c r="G97" i="55"/>
  <c r="N97" i="55" s="1"/>
  <c r="X97" i="55" s="1"/>
  <c r="G98" i="55"/>
  <c r="N98" i="55" s="1"/>
  <c r="X98" i="55" s="1"/>
  <c r="G99" i="55"/>
  <c r="N99" i="55" s="1"/>
  <c r="X99" i="55" s="1"/>
  <c r="G100" i="55"/>
  <c r="N100" i="55" s="1"/>
  <c r="X100" i="55" s="1"/>
  <c r="G101" i="55"/>
  <c r="N101" i="55" s="1"/>
  <c r="X101" i="55" s="1"/>
  <c r="G102" i="55"/>
  <c r="N102" i="55" s="1"/>
  <c r="X102" i="55" s="1"/>
  <c r="G103" i="55"/>
  <c r="N103" i="55" s="1"/>
  <c r="X103" i="55" s="1"/>
  <c r="G104" i="55"/>
  <c r="N104" i="55" s="1"/>
  <c r="X104" i="55" s="1"/>
  <c r="G105" i="55"/>
  <c r="N105" i="55" s="1"/>
  <c r="X105" i="55" s="1"/>
  <c r="G106" i="55"/>
  <c r="N106" i="55" s="1"/>
  <c r="X106" i="55" s="1"/>
  <c r="G107" i="55"/>
  <c r="N107" i="55" s="1"/>
  <c r="X107" i="55" s="1"/>
  <c r="G108" i="55"/>
  <c r="N108" i="55" s="1"/>
  <c r="X108" i="55" s="1"/>
  <c r="G109" i="55"/>
  <c r="N109" i="55" s="1"/>
  <c r="X109" i="55" s="1"/>
  <c r="G110" i="55"/>
  <c r="N110" i="55" s="1"/>
  <c r="X110" i="55" s="1"/>
  <c r="G111" i="55"/>
  <c r="N111" i="55" s="1"/>
  <c r="X111" i="55" s="1"/>
  <c r="G112" i="55"/>
  <c r="N112" i="55" s="1"/>
  <c r="X112" i="55" s="1"/>
  <c r="G113" i="55"/>
  <c r="N113" i="55" s="1"/>
  <c r="X113" i="55" s="1"/>
  <c r="G114" i="55"/>
  <c r="N114" i="55" s="1"/>
  <c r="X114" i="55" s="1"/>
  <c r="G115" i="55"/>
  <c r="N115" i="55" s="1"/>
  <c r="X115" i="55" s="1"/>
  <c r="G116" i="55"/>
  <c r="N116" i="55" s="1"/>
  <c r="X116" i="55" s="1"/>
  <c r="G117" i="55"/>
  <c r="N117" i="55" s="1"/>
  <c r="X117" i="55" s="1"/>
  <c r="G118" i="55"/>
  <c r="N118" i="55" s="1"/>
  <c r="X118" i="55" s="1"/>
  <c r="G119" i="55"/>
  <c r="N119" i="55" s="1"/>
  <c r="X119" i="55" s="1"/>
  <c r="G120" i="55"/>
  <c r="N120" i="55" s="1"/>
  <c r="X120" i="55" s="1"/>
  <c r="G121" i="55"/>
  <c r="N121" i="55" s="1"/>
  <c r="X121" i="55" s="1"/>
  <c r="G122" i="55"/>
  <c r="N122" i="55" s="1"/>
  <c r="X122" i="55" s="1"/>
  <c r="G123" i="55"/>
  <c r="N123" i="55" s="1"/>
  <c r="X123" i="55" s="1"/>
  <c r="G124" i="55"/>
  <c r="N124" i="55" s="1"/>
  <c r="X124" i="55" s="1"/>
  <c r="G125" i="55"/>
  <c r="N125" i="55" s="1"/>
  <c r="X125" i="55" s="1"/>
  <c r="G126" i="55"/>
  <c r="N126" i="55" s="1"/>
  <c r="X126" i="55" s="1"/>
  <c r="G127" i="55"/>
  <c r="N127" i="55" s="1"/>
  <c r="X127" i="55" s="1"/>
  <c r="G128" i="55"/>
  <c r="N128" i="55" s="1"/>
  <c r="X128" i="55" s="1"/>
  <c r="G129" i="55"/>
  <c r="N129" i="55" s="1"/>
  <c r="X129" i="55" s="1"/>
  <c r="G130" i="55"/>
  <c r="N130" i="55" s="1"/>
  <c r="X130" i="55" s="1"/>
  <c r="G131" i="55"/>
  <c r="N131" i="55" s="1"/>
  <c r="X131" i="55" s="1"/>
  <c r="G132" i="55"/>
  <c r="N132" i="55" s="1"/>
  <c r="X132" i="55" s="1"/>
  <c r="G133" i="55"/>
  <c r="N133" i="55" s="1"/>
  <c r="X133" i="55" s="1"/>
  <c r="G134" i="55"/>
  <c r="N134" i="55" s="1"/>
  <c r="X134" i="55" s="1"/>
  <c r="G135" i="55"/>
  <c r="N135" i="55" s="1"/>
  <c r="X135" i="55" s="1"/>
  <c r="G136" i="55"/>
  <c r="N136" i="55" s="1"/>
  <c r="X136" i="55" s="1"/>
  <c r="G137" i="55"/>
  <c r="N137" i="55" s="1"/>
  <c r="X137" i="55" s="1"/>
  <c r="G138" i="55"/>
  <c r="N138" i="55" s="1"/>
  <c r="X138" i="55" s="1"/>
  <c r="G139" i="55"/>
  <c r="N139" i="55" s="1"/>
  <c r="X139" i="55" s="1"/>
  <c r="G140" i="55"/>
  <c r="N140" i="55" s="1"/>
  <c r="X140" i="55" s="1"/>
  <c r="G141" i="55"/>
  <c r="N141" i="55" s="1"/>
  <c r="X141" i="55" s="1"/>
  <c r="G142" i="55"/>
  <c r="N142" i="55" s="1"/>
  <c r="X142" i="55" s="1"/>
  <c r="G143" i="55"/>
  <c r="N143" i="55" s="1"/>
  <c r="X143" i="55" s="1"/>
  <c r="G144" i="55"/>
  <c r="N144" i="55" s="1"/>
  <c r="X144" i="55" s="1"/>
  <c r="G145" i="55"/>
  <c r="N145" i="55" s="1"/>
  <c r="X145" i="55" s="1"/>
  <c r="G146" i="55"/>
  <c r="N146" i="55" s="1"/>
  <c r="X146" i="55" s="1"/>
  <c r="G147" i="55"/>
  <c r="N147" i="55" s="1"/>
  <c r="X147" i="55" s="1"/>
  <c r="G148" i="55"/>
  <c r="N148" i="55" s="1"/>
  <c r="X148" i="55" s="1"/>
  <c r="G149" i="55"/>
  <c r="N149" i="55" s="1"/>
  <c r="X149" i="55" s="1"/>
  <c r="G150" i="55"/>
  <c r="N150" i="55" s="1"/>
  <c r="X150" i="55" s="1"/>
  <c r="G151" i="55"/>
  <c r="N151" i="55" s="1"/>
  <c r="X151" i="55" s="1"/>
  <c r="G152" i="55"/>
  <c r="N152" i="55" s="1"/>
  <c r="X152" i="55" s="1"/>
  <c r="G153" i="55"/>
  <c r="N153" i="55" s="1"/>
  <c r="X153" i="55" s="1"/>
  <c r="G154" i="55"/>
  <c r="N154" i="55" s="1"/>
  <c r="X154" i="55" s="1"/>
  <c r="G155" i="55"/>
  <c r="N155" i="55" s="1"/>
  <c r="X155" i="55" s="1"/>
  <c r="G156" i="55"/>
  <c r="N156" i="55" s="1"/>
  <c r="X156" i="55" s="1"/>
  <c r="G157" i="55"/>
  <c r="N157" i="55" s="1"/>
  <c r="X157" i="55" s="1"/>
  <c r="G158" i="55"/>
  <c r="N158" i="55" s="1"/>
  <c r="X158" i="55" s="1"/>
  <c r="G159" i="55"/>
  <c r="N159" i="55" s="1"/>
  <c r="X159" i="55" s="1"/>
  <c r="G160" i="55"/>
  <c r="N160" i="55" s="1"/>
  <c r="X160" i="55" s="1"/>
  <c r="G161" i="55"/>
  <c r="N161" i="55" s="1"/>
  <c r="X161" i="55" s="1"/>
  <c r="G162" i="55"/>
  <c r="N162" i="55" s="1"/>
  <c r="X162" i="55" s="1"/>
  <c r="G163" i="55"/>
  <c r="N163" i="55" s="1"/>
  <c r="X163" i="55" s="1"/>
  <c r="G164" i="55"/>
  <c r="N164" i="55" s="1"/>
  <c r="X164" i="55" s="1"/>
  <c r="G165" i="55"/>
  <c r="N165" i="55" s="1"/>
  <c r="X165" i="55" s="1"/>
  <c r="G166" i="55"/>
  <c r="N166" i="55" s="1"/>
  <c r="X166" i="55" s="1"/>
  <c r="G167" i="55"/>
  <c r="N167" i="55" s="1"/>
  <c r="X167" i="55" s="1"/>
  <c r="G168" i="55"/>
  <c r="N168" i="55" s="1"/>
  <c r="X168" i="55" s="1"/>
  <c r="G169" i="55"/>
  <c r="N169" i="55" s="1"/>
  <c r="X169" i="55" s="1"/>
  <c r="G170" i="55"/>
  <c r="N170" i="55" s="1"/>
  <c r="X170" i="55" s="1"/>
  <c r="G171" i="55"/>
  <c r="N171" i="55" s="1"/>
  <c r="X171" i="55" s="1"/>
  <c r="G172" i="55"/>
  <c r="N172" i="55" s="1"/>
  <c r="X172" i="55" s="1"/>
  <c r="G173" i="55"/>
  <c r="N173" i="55" s="1"/>
  <c r="X173" i="55" s="1"/>
  <c r="G174" i="55"/>
  <c r="N174" i="55" s="1"/>
  <c r="X174" i="55" s="1"/>
  <c r="G175" i="55"/>
  <c r="N175" i="55" s="1"/>
  <c r="X175" i="55" s="1"/>
  <c r="G176" i="55"/>
  <c r="N176" i="55" s="1"/>
  <c r="X176" i="55" s="1"/>
  <c r="G177" i="55"/>
  <c r="N177" i="55" s="1"/>
  <c r="X177" i="55" s="1"/>
  <c r="G178" i="55"/>
  <c r="N178" i="55" s="1"/>
  <c r="X178" i="55" s="1"/>
  <c r="G179" i="55"/>
  <c r="N179" i="55" s="1"/>
  <c r="X179" i="55" s="1"/>
  <c r="G180" i="55"/>
  <c r="N180" i="55" s="1"/>
  <c r="X180" i="55" s="1"/>
  <c r="G181" i="55"/>
  <c r="N181" i="55" s="1"/>
  <c r="X181" i="55" s="1"/>
  <c r="G182" i="55"/>
  <c r="N182" i="55" s="1"/>
  <c r="X182" i="55" s="1"/>
  <c r="G183" i="55"/>
  <c r="N183" i="55" s="1"/>
  <c r="X183" i="55" s="1"/>
  <c r="G184" i="55"/>
  <c r="N184" i="55" s="1"/>
  <c r="X184" i="55" s="1"/>
  <c r="G185" i="55"/>
  <c r="N185" i="55" s="1"/>
  <c r="X185" i="55" s="1"/>
  <c r="G186" i="55"/>
  <c r="N186" i="55" s="1"/>
  <c r="X186" i="55" s="1"/>
  <c r="G187" i="55"/>
  <c r="N187" i="55" s="1"/>
  <c r="X187" i="55" s="1"/>
  <c r="G188" i="55"/>
  <c r="N188" i="55" s="1"/>
  <c r="X188" i="55" s="1"/>
  <c r="G189" i="55"/>
  <c r="N189" i="55" s="1"/>
  <c r="X189" i="55" s="1"/>
  <c r="G190" i="55"/>
  <c r="N190" i="55" s="1"/>
  <c r="X190" i="55" s="1"/>
  <c r="G191" i="55"/>
  <c r="N191" i="55" s="1"/>
  <c r="X191" i="55" s="1"/>
  <c r="G192" i="55"/>
  <c r="N192" i="55" s="1"/>
  <c r="X192" i="55" s="1"/>
  <c r="G193" i="55"/>
  <c r="N193" i="55" s="1"/>
  <c r="X193" i="55" s="1"/>
  <c r="G194" i="55"/>
  <c r="N194" i="55" s="1"/>
  <c r="X194" i="55" s="1"/>
  <c r="G195" i="55"/>
  <c r="N195" i="55" s="1"/>
  <c r="X195" i="55" s="1"/>
  <c r="G196" i="55"/>
  <c r="N196" i="55" s="1"/>
  <c r="X196" i="55" s="1"/>
  <c r="G197" i="55"/>
  <c r="N197" i="55" s="1"/>
  <c r="X197" i="55" s="1"/>
  <c r="G198" i="55"/>
  <c r="N198" i="55" s="1"/>
  <c r="X198" i="55" s="1"/>
  <c r="G199" i="55"/>
  <c r="N199" i="55" s="1"/>
  <c r="X199" i="55" s="1"/>
  <c r="G200" i="55"/>
  <c r="N200" i="55" s="1"/>
  <c r="X200" i="55" s="1"/>
  <c r="G201" i="55"/>
  <c r="N201" i="55" s="1"/>
  <c r="X201" i="55" s="1"/>
  <c r="G202" i="55"/>
  <c r="N202" i="55" s="1"/>
  <c r="X202" i="55" s="1"/>
  <c r="G203" i="55"/>
  <c r="N203" i="55" s="1"/>
  <c r="X203" i="55" s="1"/>
  <c r="G204" i="55"/>
  <c r="N204" i="55" s="1"/>
  <c r="X204" i="55" s="1"/>
  <c r="G205" i="55"/>
  <c r="N205" i="55" s="1"/>
  <c r="X205" i="55" s="1"/>
  <c r="G206" i="55"/>
  <c r="N206" i="55" s="1"/>
  <c r="X206" i="55" s="1"/>
  <c r="G207" i="55"/>
  <c r="N207" i="55" s="1"/>
  <c r="X207" i="55" s="1"/>
  <c r="G208" i="55"/>
  <c r="N208" i="55" s="1"/>
  <c r="X208" i="55" s="1"/>
  <c r="G209" i="55"/>
  <c r="N209" i="55" s="1"/>
  <c r="X209" i="55" s="1"/>
  <c r="G210" i="55"/>
  <c r="N210" i="55" s="1"/>
  <c r="X210" i="55" s="1"/>
  <c r="G211" i="55"/>
  <c r="N211" i="55" s="1"/>
  <c r="X211" i="55" s="1"/>
  <c r="G212" i="55"/>
  <c r="N212" i="55" s="1"/>
  <c r="X212" i="55" s="1"/>
  <c r="G213" i="55"/>
  <c r="N213" i="55" s="1"/>
  <c r="X213" i="55" s="1"/>
  <c r="G214" i="55"/>
  <c r="N214" i="55" s="1"/>
  <c r="X214" i="55" s="1"/>
  <c r="G215" i="55"/>
  <c r="N215" i="55" s="1"/>
  <c r="X215" i="55" s="1"/>
  <c r="G216" i="55"/>
  <c r="N216" i="55" s="1"/>
  <c r="X216" i="55" s="1"/>
  <c r="G217" i="55"/>
  <c r="N217" i="55" s="1"/>
  <c r="X217" i="55" s="1"/>
  <c r="G218" i="55"/>
  <c r="N218" i="55" s="1"/>
  <c r="X218" i="55" s="1"/>
  <c r="G219" i="55"/>
  <c r="N219" i="55" s="1"/>
  <c r="X219" i="55" s="1"/>
  <c r="G220" i="55"/>
  <c r="N220" i="55" s="1"/>
  <c r="X220" i="55" s="1"/>
  <c r="G221" i="55"/>
  <c r="N221" i="55" s="1"/>
  <c r="X221" i="55" s="1"/>
  <c r="G222" i="55"/>
  <c r="N222" i="55" s="1"/>
  <c r="X222" i="55" s="1"/>
  <c r="G223" i="55"/>
  <c r="N223" i="55" s="1"/>
  <c r="X223" i="55" s="1"/>
  <c r="G224" i="55"/>
  <c r="N224" i="55" s="1"/>
  <c r="X224" i="55" s="1"/>
  <c r="G225" i="55"/>
  <c r="N225" i="55" s="1"/>
  <c r="X225" i="55" s="1"/>
  <c r="G226" i="55"/>
  <c r="N226" i="55" s="1"/>
  <c r="X226" i="55" s="1"/>
  <c r="G227" i="55"/>
  <c r="N227" i="55" s="1"/>
  <c r="X227" i="55" s="1"/>
  <c r="G228" i="55"/>
  <c r="N228" i="55" s="1"/>
  <c r="X228" i="55" s="1"/>
  <c r="G229" i="55"/>
  <c r="N229" i="55" s="1"/>
  <c r="X229" i="55" s="1"/>
  <c r="G230" i="55"/>
  <c r="N230" i="55" s="1"/>
  <c r="X230" i="55" s="1"/>
  <c r="G231" i="55"/>
  <c r="N231" i="55" s="1"/>
  <c r="X231" i="55" s="1"/>
  <c r="G232" i="55"/>
  <c r="N232" i="55" s="1"/>
  <c r="X232" i="55" s="1"/>
  <c r="G233" i="55"/>
  <c r="N233" i="55" s="1"/>
  <c r="X233" i="55" s="1"/>
  <c r="G234" i="55"/>
  <c r="N234" i="55" s="1"/>
  <c r="X234" i="55" s="1"/>
  <c r="G235" i="55"/>
  <c r="N235" i="55" s="1"/>
  <c r="X235" i="55" s="1"/>
  <c r="G236" i="55"/>
  <c r="N236" i="55" s="1"/>
  <c r="X236" i="55" s="1"/>
  <c r="G237" i="55"/>
  <c r="N237" i="55" s="1"/>
  <c r="X237" i="55" s="1"/>
  <c r="G238" i="55"/>
  <c r="N238" i="55" s="1"/>
  <c r="X238" i="55" s="1"/>
  <c r="G239" i="55"/>
  <c r="N239" i="55" s="1"/>
  <c r="X239" i="55" s="1"/>
  <c r="G240" i="55"/>
  <c r="N240" i="55" s="1"/>
  <c r="X240" i="55" s="1"/>
  <c r="G241" i="55"/>
  <c r="N241" i="55" s="1"/>
  <c r="X241" i="55" s="1"/>
  <c r="G242" i="55"/>
  <c r="N242" i="55" s="1"/>
  <c r="X242" i="55" s="1"/>
  <c r="G243" i="55"/>
  <c r="N243" i="55" s="1"/>
  <c r="X243" i="55" s="1"/>
  <c r="G244" i="55"/>
  <c r="N244" i="55" s="1"/>
  <c r="X244" i="55" s="1"/>
  <c r="G245" i="55"/>
  <c r="N245" i="55" s="1"/>
  <c r="X245" i="55" s="1"/>
  <c r="G246" i="55"/>
  <c r="N246" i="55" s="1"/>
  <c r="X246" i="55" s="1"/>
  <c r="G247" i="55"/>
  <c r="N247" i="55" s="1"/>
  <c r="X247" i="55" s="1"/>
  <c r="G248" i="55"/>
  <c r="N248" i="55" s="1"/>
  <c r="X248" i="55" s="1"/>
  <c r="G249" i="55"/>
  <c r="N249" i="55" s="1"/>
  <c r="X249" i="55" s="1"/>
  <c r="G250" i="55"/>
  <c r="N250" i="55" s="1"/>
  <c r="X250" i="55" s="1"/>
  <c r="G251" i="55"/>
  <c r="N251" i="55" s="1"/>
  <c r="X251" i="55" s="1"/>
  <c r="G252" i="55"/>
  <c r="N252" i="55" s="1"/>
  <c r="X252" i="55" s="1"/>
  <c r="G253" i="55"/>
  <c r="N253" i="55" s="1"/>
  <c r="X253" i="55" s="1"/>
  <c r="G254" i="55"/>
  <c r="N254" i="55" s="1"/>
  <c r="X254" i="55" s="1"/>
  <c r="G255" i="55"/>
  <c r="N255" i="55" s="1"/>
  <c r="X255" i="55" s="1"/>
  <c r="G256" i="55"/>
  <c r="N256" i="55" s="1"/>
  <c r="X256" i="55" s="1"/>
  <c r="G257" i="55"/>
  <c r="N257" i="55" s="1"/>
  <c r="X257" i="55" s="1"/>
  <c r="G10" i="55"/>
  <c r="F10" i="55"/>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N10" i="55" l="1"/>
  <c r="AY10" i="55"/>
  <c r="U10" i="55"/>
  <c r="AL11" i="67"/>
  <c r="AL12" i="67"/>
  <c r="AL13" i="67"/>
  <c r="AL14" i="67"/>
  <c r="AL15" i="67"/>
  <c r="AL16" i="67"/>
  <c r="AL17" i="67"/>
  <c r="AL18" i="67"/>
  <c r="AL19" i="67"/>
  <c r="AL20" i="67"/>
  <c r="AL21" i="67"/>
  <c r="AL22" i="67"/>
  <c r="AL23" i="67"/>
  <c r="AL24" i="67"/>
  <c r="AL25" i="67"/>
  <c r="AL26" i="67"/>
  <c r="AL27" i="67"/>
  <c r="AL28" i="67"/>
  <c r="AL29" i="67"/>
  <c r="AL30" i="67"/>
  <c r="AL31" i="67"/>
  <c r="AL32" i="67"/>
  <c r="AL33" i="67"/>
  <c r="AL34" i="67"/>
  <c r="AL35" i="67"/>
  <c r="AL36" i="67"/>
  <c r="AL37" i="67"/>
  <c r="AL38" i="67"/>
  <c r="AL39" i="67"/>
  <c r="AL40" i="67"/>
  <c r="AL41" i="67"/>
  <c r="AL42" i="67"/>
  <c r="AL43" i="67"/>
  <c r="AL44" i="67"/>
  <c r="AL45" i="67"/>
  <c r="AL46" i="67"/>
  <c r="AL47" i="67"/>
  <c r="AL48" i="67"/>
  <c r="AL49" i="67"/>
  <c r="AL50" i="67"/>
  <c r="AL51" i="67"/>
  <c r="AL52" i="67"/>
  <c r="AL53" i="67"/>
  <c r="AL54" i="67"/>
  <c r="AL55" i="67"/>
  <c r="AL56" i="67"/>
  <c r="AL57" i="67"/>
  <c r="AL58" i="67"/>
  <c r="AL59" i="67"/>
  <c r="AL60" i="67"/>
  <c r="AL61" i="67"/>
  <c r="AL62" i="67"/>
  <c r="AL63" i="67"/>
  <c r="AL64" i="67"/>
  <c r="AL65" i="67"/>
  <c r="AL66" i="67"/>
  <c r="AL67" i="67"/>
  <c r="AL68" i="67"/>
  <c r="AL69" i="67"/>
  <c r="AL70" i="67"/>
  <c r="AL71" i="67"/>
  <c r="AL72" i="67"/>
  <c r="AL73" i="67"/>
  <c r="AL74" i="67"/>
  <c r="AL75" i="67"/>
  <c r="AL76" i="67"/>
  <c r="AL77" i="67"/>
  <c r="AL78" i="67"/>
  <c r="AL79" i="67"/>
  <c r="AL80" i="67"/>
  <c r="AL81" i="67"/>
  <c r="AL82" i="67"/>
  <c r="AL83" i="67"/>
  <c r="AL84" i="67"/>
  <c r="AL85" i="67"/>
  <c r="AL86" i="67"/>
  <c r="AL87" i="67"/>
  <c r="AL88" i="67"/>
  <c r="AL89" i="67"/>
  <c r="AL90" i="67"/>
  <c r="AL91" i="67"/>
  <c r="AL92" i="67"/>
  <c r="AL93" i="67"/>
  <c r="AL94" i="67"/>
  <c r="AL95" i="67"/>
  <c r="AL96" i="67"/>
  <c r="AL97" i="67"/>
  <c r="AL98" i="67"/>
  <c r="AL99" i="67"/>
  <c r="AL100" i="67"/>
  <c r="AL101" i="67"/>
  <c r="AL102" i="67"/>
  <c r="AL103" i="67"/>
  <c r="AL104" i="67"/>
  <c r="AL105" i="67"/>
  <c r="AL106" i="67"/>
  <c r="AL107" i="67"/>
  <c r="AL108" i="67"/>
  <c r="AL109" i="67"/>
  <c r="AL110" i="67"/>
  <c r="AL111" i="67"/>
  <c r="AL112" i="67"/>
  <c r="AL113" i="67"/>
  <c r="AL114" i="67"/>
  <c r="AL115" i="67"/>
  <c r="AL116" i="67"/>
  <c r="AL117" i="67"/>
  <c r="AL118" i="67"/>
  <c r="AL119" i="67"/>
  <c r="AL120" i="67"/>
  <c r="AL121" i="67"/>
  <c r="AL122" i="67"/>
  <c r="AL123" i="67"/>
  <c r="AL124" i="67"/>
  <c r="AL125" i="67"/>
  <c r="AL126" i="67"/>
  <c r="AL127" i="67"/>
  <c r="AL128" i="67"/>
  <c r="AL129" i="67"/>
  <c r="AL130" i="67"/>
  <c r="AL131" i="67"/>
  <c r="AL132" i="67"/>
  <c r="AL133" i="67"/>
  <c r="AL134" i="67"/>
  <c r="AL135" i="67"/>
  <c r="AL136" i="67"/>
  <c r="AL137" i="67"/>
  <c r="AL138" i="67"/>
  <c r="AL139" i="67"/>
  <c r="AL140" i="67"/>
  <c r="AL141" i="67"/>
  <c r="AL142" i="67"/>
  <c r="AL143" i="67"/>
  <c r="AL144" i="67"/>
  <c r="AL145" i="67"/>
  <c r="AL146" i="67"/>
  <c r="AL147" i="67"/>
  <c r="AL148" i="67"/>
  <c r="AL149" i="67"/>
  <c r="AL150" i="67"/>
  <c r="AL151" i="67"/>
  <c r="AL152" i="67"/>
  <c r="AL153" i="67"/>
  <c r="AL154" i="67"/>
  <c r="AL155" i="67"/>
  <c r="AL156" i="67"/>
  <c r="AL157" i="67"/>
  <c r="AL158" i="67"/>
  <c r="AL159" i="67"/>
  <c r="AL160" i="67"/>
  <c r="AL161" i="67"/>
  <c r="AL162" i="67"/>
  <c r="AL163" i="67"/>
  <c r="AL164" i="67"/>
  <c r="AL165" i="67"/>
  <c r="AL166" i="67"/>
  <c r="AL167" i="67"/>
  <c r="AL168" i="67"/>
  <c r="AL169" i="67"/>
  <c r="AL170" i="67"/>
  <c r="AL171" i="67"/>
  <c r="AL172" i="67"/>
  <c r="AL173" i="67"/>
  <c r="AL174" i="67"/>
  <c r="AL175" i="67"/>
  <c r="AL176" i="67"/>
  <c r="AL177" i="67"/>
  <c r="AL178" i="67"/>
  <c r="AL179" i="67"/>
  <c r="AL180" i="67"/>
  <c r="AL181" i="67"/>
  <c r="AL182" i="67"/>
  <c r="AL183" i="67"/>
  <c r="AL184" i="67"/>
  <c r="AL185" i="67"/>
  <c r="AL186" i="67"/>
  <c r="AL187" i="67"/>
  <c r="AL188" i="67"/>
  <c r="AL189" i="67"/>
  <c r="AL190" i="67"/>
  <c r="AL191" i="67"/>
  <c r="AL192" i="67"/>
  <c r="AL193" i="67"/>
  <c r="AL194" i="67"/>
  <c r="AL195" i="67"/>
  <c r="AL196" i="67"/>
  <c r="AL197" i="67"/>
  <c r="AL198" i="67"/>
  <c r="AL199" i="67"/>
  <c r="AL200" i="67"/>
  <c r="AL201" i="67"/>
  <c r="AL202" i="67"/>
  <c r="AL203" i="67"/>
  <c r="AL204" i="67"/>
  <c r="AL205" i="67"/>
  <c r="AL206" i="67"/>
  <c r="AL207" i="67"/>
  <c r="AL208" i="67"/>
  <c r="AL209" i="67"/>
  <c r="AL210" i="67"/>
  <c r="AL211" i="67"/>
  <c r="AL212" i="67"/>
  <c r="AL213" i="67"/>
  <c r="AL214" i="67"/>
  <c r="AL215" i="67"/>
  <c r="AL216" i="67"/>
  <c r="AL217" i="67"/>
  <c r="AL218" i="67"/>
  <c r="AL219" i="67"/>
  <c r="AL220" i="67"/>
  <c r="AL221" i="67"/>
  <c r="AL222" i="67"/>
  <c r="AL223" i="67"/>
  <c r="AL224" i="67"/>
  <c r="AL225" i="67"/>
  <c r="AL226" i="67"/>
  <c r="AL227" i="67"/>
  <c r="AL228" i="67"/>
  <c r="AL229" i="67"/>
  <c r="AL230" i="67"/>
  <c r="AL231" i="67"/>
  <c r="AL232" i="67"/>
  <c r="AL233" i="67"/>
  <c r="AL234" i="67"/>
  <c r="AL235" i="67"/>
  <c r="AL236" i="67"/>
  <c r="AL237" i="67"/>
  <c r="AL238" i="67"/>
  <c r="AL239" i="67"/>
  <c r="AL240" i="67"/>
  <c r="AL241" i="67"/>
  <c r="AL242" i="67"/>
  <c r="AL243" i="67"/>
  <c r="AL244" i="67"/>
  <c r="AL245" i="67"/>
  <c r="AL246" i="67"/>
  <c r="AL247" i="67"/>
  <c r="AL248" i="67"/>
  <c r="AL249" i="67"/>
  <c r="AL250" i="67"/>
  <c r="AL251" i="67"/>
  <c r="AL252" i="67"/>
  <c r="AL253" i="67"/>
  <c r="AL254" i="67"/>
  <c r="AL255" i="67"/>
  <c r="AL256" i="67"/>
  <c r="AL257" i="67"/>
  <c r="AL10" i="67"/>
  <c r="AI10" i="63"/>
  <c r="X4" i="67" l="1"/>
  <c r="AI12" i="63"/>
  <c r="AI13" i="63"/>
  <c r="AI14" i="63"/>
  <c r="AI15" i="63"/>
  <c r="AI16" i="63"/>
  <c r="AI17" i="63"/>
  <c r="AI18" i="63"/>
  <c r="AI19" i="63"/>
  <c r="AI20" i="63"/>
  <c r="AI21" i="63"/>
  <c r="AI22" i="63"/>
  <c r="AI23" i="63"/>
  <c r="AI24" i="63"/>
  <c r="AI25" i="63"/>
  <c r="AI26" i="63"/>
  <c r="AI27" i="63"/>
  <c r="AI28" i="63"/>
  <c r="AI29" i="63"/>
  <c r="AI30" i="63"/>
  <c r="AI31" i="63"/>
  <c r="AI32" i="63"/>
  <c r="AI33" i="63"/>
  <c r="AI34" i="63"/>
  <c r="AI35" i="63"/>
  <c r="AI36" i="63"/>
  <c r="AI37" i="63"/>
  <c r="AI38" i="63"/>
  <c r="AI39" i="63"/>
  <c r="AI40" i="63"/>
  <c r="AI41" i="63"/>
  <c r="AI42" i="63"/>
  <c r="AI43" i="63"/>
  <c r="AI44" i="63"/>
  <c r="AI45" i="63"/>
  <c r="AI46" i="63"/>
  <c r="AI47" i="63"/>
  <c r="AI48" i="63"/>
  <c r="AI49" i="63"/>
  <c r="AI50" i="63"/>
  <c r="AI51" i="63"/>
  <c r="AI52" i="63"/>
  <c r="AI53" i="63"/>
  <c r="AI54" i="63"/>
  <c r="AI55" i="63"/>
  <c r="AI56" i="63"/>
  <c r="AI57" i="63"/>
  <c r="AI58" i="63"/>
  <c r="AI59" i="63"/>
  <c r="AI60" i="63"/>
  <c r="AI61" i="63"/>
  <c r="AI62" i="63"/>
  <c r="AI63" i="63"/>
  <c r="AI64" i="63"/>
  <c r="AI65" i="63"/>
  <c r="AI66" i="63"/>
  <c r="AI67" i="63"/>
  <c r="AI68" i="63"/>
  <c r="AI69" i="63"/>
  <c r="AI70" i="63"/>
  <c r="AI71" i="63"/>
  <c r="AI72" i="63"/>
  <c r="AI73" i="63"/>
  <c r="AI74" i="63"/>
  <c r="AI75" i="63"/>
  <c r="AI76" i="63"/>
  <c r="AI77" i="63"/>
  <c r="AI78" i="63"/>
  <c r="AI79" i="63"/>
  <c r="AI80" i="63"/>
  <c r="AI81" i="63"/>
  <c r="AI82" i="63"/>
  <c r="AI83" i="63"/>
  <c r="AI84" i="63"/>
  <c r="AI85" i="63"/>
  <c r="AI86" i="63"/>
  <c r="AI87" i="63"/>
  <c r="AI88" i="63"/>
  <c r="AI89" i="63"/>
  <c r="AI90" i="63"/>
  <c r="AI91" i="63"/>
  <c r="AI92" i="63"/>
  <c r="AI93" i="63"/>
  <c r="AI94" i="63"/>
  <c r="AI95" i="63"/>
  <c r="AI96" i="63"/>
  <c r="AI97" i="63"/>
  <c r="AI98" i="63"/>
  <c r="AI99" i="63"/>
  <c r="AI100" i="63"/>
  <c r="AI101" i="63"/>
  <c r="AI102" i="63"/>
  <c r="AI103" i="63"/>
  <c r="AI104" i="63"/>
  <c r="AI105" i="63"/>
  <c r="AI106" i="63"/>
  <c r="AI107" i="63"/>
  <c r="AI108" i="63"/>
  <c r="AI109" i="63"/>
  <c r="AI110" i="63"/>
  <c r="AI111" i="63"/>
  <c r="AI112" i="63"/>
  <c r="AI113" i="63"/>
  <c r="AI114" i="63"/>
  <c r="AI115" i="63"/>
  <c r="AI116" i="63"/>
  <c r="AI117" i="63"/>
  <c r="AI118" i="63"/>
  <c r="AI119" i="63"/>
  <c r="AI120" i="63"/>
  <c r="AI121" i="63"/>
  <c r="AI122" i="63"/>
  <c r="AI123" i="63"/>
  <c r="AI124" i="63"/>
  <c r="AI125" i="63"/>
  <c r="AI126" i="63"/>
  <c r="AI127" i="63"/>
  <c r="AI128" i="63"/>
  <c r="AI129" i="63"/>
  <c r="AI130" i="63"/>
  <c r="AI131" i="63"/>
  <c r="AI132" i="63"/>
  <c r="AI133" i="63"/>
  <c r="AI134" i="63"/>
  <c r="AI135" i="63"/>
  <c r="AI136" i="63"/>
  <c r="AI137" i="63"/>
  <c r="AI138" i="63"/>
  <c r="AI139" i="63"/>
  <c r="AI140" i="63"/>
  <c r="AI141" i="63"/>
  <c r="AI142" i="63"/>
  <c r="AI143" i="63"/>
  <c r="AI144" i="63"/>
  <c r="AI145" i="63"/>
  <c r="AI146" i="63"/>
  <c r="AI147" i="63"/>
  <c r="AI148" i="63"/>
  <c r="AI149" i="63"/>
  <c r="AI150" i="63"/>
  <c r="AI151" i="63"/>
  <c r="AI152" i="63"/>
  <c r="AI153" i="63"/>
  <c r="AI154" i="63"/>
  <c r="AI155" i="63"/>
  <c r="AI156" i="63"/>
  <c r="AI157" i="63"/>
  <c r="AI158" i="63"/>
  <c r="AI159" i="63"/>
  <c r="AI160" i="63"/>
  <c r="AI161" i="63"/>
  <c r="AI162" i="63"/>
  <c r="AI163" i="63"/>
  <c r="AI164" i="63"/>
  <c r="AI165" i="63"/>
  <c r="AI166" i="63"/>
  <c r="AI167" i="63"/>
  <c r="AI168" i="63"/>
  <c r="AI169" i="63"/>
  <c r="AI170" i="63"/>
  <c r="AI171" i="63"/>
  <c r="AI172" i="63"/>
  <c r="AI173" i="63"/>
  <c r="AI174" i="63"/>
  <c r="AI175" i="63"/>
  <c r="AI176" i="63"/>
  <c r="AI177" i="63"/>
  <c r="AI178" i="63"/>
  <c r="AI179" i="63"/>
  <c r="AI180" i="63"/>
  <c r="AI181" i="63"/>
  <c r="AI182" i="63"/>
  <c r="AI183" i="63"/>
  <c r="AI184" i="63"/>
  <c r="AI185" i="63"/>
  <c r="AI186" i="63"/>
  <c r="AI187" i="63"/>
  <c r="AI188" i="63"/>
  <c r="AI189" i="63"/>
  <c r="AI190" i="63"/>
  <c r="AI191" i="63"/>
  <c r="AI192" i="63"/>
  <c r="AI193" i="63"/>
  <c r="AI194" i="63"/>
  <c r="AI195" i="63"/>
  <c r="AI196" i="63"/>
  <c r="AI197" i="63"/>
  <c r="AI198" i="63"/>
  <c r="AI199" i="63"/>
  <c r="AI200" i="63"/>
  <c r="AI201" i="63"/>
  <c r="AI202" i="63"/>
  <c r="AI203" i="63"/>
  <c r="AI204" i="63"/>
  <c r="AI205" i="63"/>
  <c r="AI206" i="63"/>
  <c r="AI207" i="63"/>
  <c r="AI208" i="63"/>
  <c r="AI209" i="63"/>
  <c r="AI210" i="63"/>
  <c r="AI211" i="63"/>
  <c r="AI212" i="63"/>
  <c r="AI213" i="63"/>
  <c r="AI214" i="63"/>
  <c r="AI215" i="63"/>
  <c r="AI216" i="63"/>
  <c r="AI217" i="63"/>
  <c r="AI218" i="63"/>
  <c r="AI219" i="63"/>
  <c r="AI220" i="63"/>
  <c r="AI221" i="63"/>
  <c r="AI222" i="63"/>
  <c r="AI223" i="63"/>
  <c r="AI224" i="63"/>
  <c r="AI225" i="63"/>
  <c r="AI226" i="63"/>
  <c r="AI227" i="63"/>
  <c r="AI228" i="63"/>
  <c r="AI229" i="63"/>
  <c r="AI230" i="63"/>
  <c r="AI231" i="63"/>
  <c r="AI232" i="63"/>
  <c r="AI233" i="63"/>
  <c r="AI234" i="63"/>
  <c r="AI235" i="63"/>
  <c r="AI236" i="63"/>
  <c r="AI237" i="63"/>
  <c r="AI238" i="63"/>
  <c r="AI239" i="63"/>
  <c r="AI240" i="63"/>
  <c r="AI241" i="63"/>
  <c r="AI242" i="63"/>
  <c r="AI243" i="63"/>
  <c r="AI244" i="63"/>
  <c r="AI245" i="63"/>
  <c r="AI246" i="63"/>
  <c r="AI247" i="63"/>
  <c r="AI248" i="63"/>
  <c r="AI249" i="63"/>
  <c r="AI250" i="63"/>
  <c r="AI251" i="63"/>
  <c r="AI252" i="63"/>
  <c r="AI253" i="63"/>
  <c r="AI254" i="63"/>
  <c r="AI255" i="63"/>
  <c r="AI256" i="63"/>
  <c r="AI257" i="63"/>
  <c r="U5" i="63" l="1"/>
  <c r="AP65" i="108" l="1"/>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X33" i="63"/>
  <c r="X34" i="63"/>
  <c r="X35" i="63"/>
  <c r="X36" i="63"/>
  <c r="X37" i="63"/>
  <c r="X39" i="63"/>
  <c r="X40" i="63"/>
  <c r="X41" i="63"/>
  <c r="X42" i="63"/>
  <c r="X43" i="63"/>
  <c r="X44" i="63"/>
  <c r="X45" i="63"/>
  <c r="X46"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9" i="63"/>
  <c r="X250" i="63"/>
  <c r="X251" i="63"/>
  <c r="X252" i="63"/>
  <c r="X253" i="63"/>
  <c r="X254" i="63"/>
  <c r="X255" i="63"/>
  <c r="X257" i="63"/>
  <c r="M3" i="29"/>
  <c r="C74" i="72" l="1"/>
  <c r="B74" i="72"/>
  <c r="C140" i="72"/>
  <c r="B140" i="72"/>
  <c r="C134" i="72"/>
  <c r="C162" i="72"/>
  <c r="B162" i="72"/>
  <c r="C81" i="72"/>
  <c r="B81" i="72"/>
  <c r="C62" i="72"/>
  <c r="C32" i="72"/>
  <c r="B32" i="72"/>
  <c r="C31" i="72"/>
  <c r="C30" i="72"/>
  <c r="C29" i="72"/>
  <c r="C28" i="72"/>
  <c r="C27" i="72"/>
  <c r="C26" i="72"/>
  <c r="C25" i="72"/>
  <c r="C24" i="72"/>
  <c r="C23" i="72"/>
  <c r="C22" i="72"/>
  <c r="C21" i="72"/>
  <c r="C20" i="72"/>
  <c r="C19" i="72"/>
  <c r="C18" i="72"/>
  <c r="C17" i="72"/>
  <c r="C16" i="72"/>
  <c r="C15" i="72"/>
  <c r="C14" i="72"/>
  <c r="L104" i="29"/>
  <c r="M104" i="29"/>
  <c r="L105" i="29"/>
  <c r="M105" i="29"/>
  <c r="L106" i="29"/>
  <c r="M106" i="29"/>
  <c r="L107" i="29"/>
  <c r="M107" i="29"/>
  <c r="L108" i="29"/>
  <c r="M108" i="29"/>
  <c r="L109" i="29"/>
  <c r="M109" i="29"/>
  <c r="L110" i="29"/>
  <c r="M110" i="29"/>
  <c r="L111" i="29"/>
  <c r="M111" i="29"/>
  <c r="L112" i="29"/>
  <c r="M112" i="29"/>
  <c r="L113" i="29"/>
  <c r="M113" i="29"/>
  <c r="L114" i="29"/>
  <c r="M114" i="29"/>
  <c r="AW53" i="59" l="1"/>
  <c r="AJ53" i="59"/>
  <c r="AW57" i="59"/>
  <c r="AJ57" i="59"/>
  <c r="AW61" i="59"/>
  <c r="AJ61" i="59"/>
  <c r="AW65" i="59"/>
  <c r="AJ65" i="59"/>
  <c r="AW69" i="59"/>
  <c r="AJ69" i="59"/>
  <c r="AW73" i="59"/>
  <c r="AJ73" i="59"/>
  <c r="AW77" i="59"/>
  <c r="AJ77" i="59"/>
  <c r="AW81" i="59"/>
  <c r="AJ81" i="59"/>
  <c r="AW85" i="59"/>
  <c r="AJ85" i="59"/>
  <c r="AW89" i="59"/>
  <c r="AJ89" i="59"/>
  <c r="AW93" i="59"/>
  <c r="AJ93" i="59"/>
  <c r="AW97" i="59"/>
  <c r="AJ97" i="59"/>
  <c r="AW101" i="59"/>
  <c r="AJ101" i="59"/>
  <c r="AW105" i="59"/>
  <c r="AJ105" i="59"/>
  <c r="AW109" i="59"/>
  <c r="AJ109" i="59"/>
  <c r="AW113" i="59"/>
  <c r="AJ113" i="59"/>
  <c r="AW117" i="59"/>
  <c r="AJ117" i="59"/>
  <c r="AW121" i="59"/>
  <c r="AJ121" i="59"/>
  <c r="AW125" i="59"/>
  <c r="AJ125" i="59"/>
  <c r="AW129" i="59"/>
  <c r="AJ129" i="59"/>
  <c r="AW133" i="59"/>
  <c r="AJ133" i="59"/>
  <c r="AW137" i="59"/>
  <c r="AJ137" i="59"/>
  <c r="AW141" i="59"/>
  <c r="AJ141" i="59"/>
  <c r="AW145" i="59"/>
  <c r="AJ145" i="59"/>
  <c r="AW149" i="59"/>
  <c r="AJ149" i="59"/>
  <c r="AW153" i="59"/>
  <c r="AJ153" i="59"/>
  <c r="AW157" i="59"/>
  <c r="AJ157" i="59"/>
  <c r="AW161" i="59"/>
  <c r="AJ161" i="59"/>
  <c r="AW165" i="59"/>
  <c r="AJ165" i="59"/>
  <c r="AW169" i="59"/>
  <c r="AJ169" i="59"/>
  <c r="AW173" i="59"/>
  <c r="AJ173" i="59"/>
  <c r="AW177" i="59"/>
  <c r="AJ177" i="59"/>
  <c r="AW181" i="59"/>
  <c r="AJ181" i="59"/>
  <c r="AW185" i="59"/>
  <c r="AJ185" i="59"/>
  <c r="AW189" i="59"/>
  <c r="AJ189" i="59"/>
  <c r="AW193" i="59"/>
  <c r="AJ193" i="59"/>
  <c r="AW197" i="59"/>
  <c r="AJ197" i="59"/>
  <c r="AW201" i="59"/>
  <c r="AJ201" i="59"/>
  <c r="AW205" i="59"/>
  <c r="AJ205" i="59"/>
  <c r="AW209" i="59"/>
  <c r="AJ209" i="59"/>
  <c r="AW213" i="59"/>
  <c r="AJ213" i="59"/>
  <c r="AW217" i="59"/>
  <c r="AJ217" i="59"/>
  <c r="AW221" i="59"/>
  <c r="AJ221" i="59"/>
  <c r="AW225" i="59"/>
  <c r="AJ225" i="59"/>
  <c r="AW229" i="59"/>
  <c r="AJ229" i="59"/>
  <c r="AW234" i="59"/>
  <c r="AJ234" i="59"/>
  <c r="AW238" i="59"/>
  <c r="AJ238" i="59"/>
  <c r="AW242" i="59"/>
  <c r="AJ242" i="59"/>
  <c r="AW246" i="59"/>
  <c r="AJ246" i="59"/>
  <c r="AW250" i="59"/>
  <c r="AJ250" i="59"/>
  <c r="AW254" i="59"/>
  <c r="AJ254" i="59"/>
  <c r="AW54" i="59"/>
  <c r="AJ54" i="59"/>
  <c r="AW58" i="59"/>
  <c r="AJ58" i="59"/>
  <c r="AW62" i="59"/>
  <c r="AJ62" i="59"/>
  <c r="AW66" i="59"/>
  <c r="AJ66" i="59"/>
  <c r="AW70" i="59"/>
  <c r="AJ70" i="59"/>
  <c r="AW74" i="59"/>
  <c r="AJ74" i="59"/>
  <c r="AW78" i="59"/>
  <c r="AJ78" i="59"/>
  <c r="AW82" i="59"/>
  <c r="AJ82" i="59"/>
  <c r="AW86" i="59"/>
  <c r="AJ86" i="59"/>
  <c r="AW90" i="59"/>
  <c r="AJ90" i="59"/>
  <c r="AW94" i="59"/>
  <c r="AJ94" i="59"/>
  <c r="AW98" i="59"/>
  <c r="AJ98" i="59"/>
  <c r="AW102" i="59"/>
  <c r="AJ102" i="59"/>
  <c r="AW106" i="59"/>
  <c r="AJ106" i="59"/>
  <c r="AW110" i="59"/>
  <c r="AJ110" i="59"/>
  <c r="AW114" i="59"/>
  <c r="AJ114" i="59"/>
  <c r="AW118" i="59"/>
  <c r="AJ118" i="59"/>
  <c r="AW122" i="59"/>
  <c r="AJ122" i="59"/>
  <c r="AW126" i="59"/>
  <c r="AJ126" i="59"/>
  <c r="AW130" i="59"/>
  <c r="AJ130" i="59"/>
  <c r="AW134" i="59"/>
  <c r="AJ134" i="59"/>
  <c r="AW138" i="59"/>
  <c r="AJ138" i="59"/>
  <c r="AW142" i="59"/>
  <c r="AJ142" i="59"/>
  <c r="AW146" i="59"/>
  <c r="AJ146" i="59"/>
  <c r="AW150" i="59"/>
  <c r="AJ150" i="59"/>
  <c r="AW154" i="59"/>
  <c r="AJ154" i="59"/>
  <c r="AW158" i="59"/>
  <c r="AJ158" i="59"/>
  <c r="AW162" i="59"/>
  <c r="AJ162" i="59"/>
  <c r="AW166" i="59"/>
  <c r="AJ166" i="59"/>
  <c r="AW170" i="59"/>
  <c r="AJ170" i="59"/>
  <c r="AW174" i="59"/>
  <c r="AJ174" i="59"/>
  <c r="AW178" i="59"/>
  <c r="AJ178" i="59"/>
  <c r="AW182" i="59"/>
  <c r="AJ182" i="59"/>
  <c r="AW186" i="59"/>
  <c r="AJ186" i="59"/>
  <c r="AW190" i="59"/>
  <c r="AJ190" i="59"/>
  <c r="AW194" i="59"/>
  <c r="AJ194" i="59"/>
  <c r="AW198" i="59"/>
  <c r="AJ198" i="59"/>
  <c r="AW202" i="59"/>
  <c r="AJ202" i="59"/>
  <c r="AW206" i="59"/>
  <c r="AJ206" i="59"/>
  <c r="AW210" i="59"/>
  <c r="AJ210" i="59"/>
  <c r="AW214" i="59"/>
  <c r="AJ214" i="59"/>
  <c r="AW218" i="59"/>
  <c r="AJ218" i="59"/>
  <c r="AW222" i="59"/>
  <c r="AJ222" i="59"/>
  <c r="AW226" i="59"/>
  <c r="AJ226" i="59"/>
  <c r="AW231" i="59"/>
  <c r="AJ231" i="59"/>
  <c r="AW235" i="59"/>
  <c r="AJ235" i="59"/>
  <c r="AW239" i="59"/>
  <c r="AJ239" i="59"/>
  <c r="AW243" i="59"/>
  <c r="AJ243" i="59"/>
  <c r="AW247" i="59"/>
  <c r="AJ247" i="59"/>
  <c r="AW251" i="59"/>
  <c r="AJ251" i="59"/>
  <c r="AW256" i="59"/>
  <c r="AJ256" i="59"/>
  <c r="AW55" i="59"/>
  <c r="AJ55" i="59"/>
  <c r="AW59" i="59"/>
  <c r="AJ59" i="59"/>
  <c r="AW63" i="59"/>
  <c r="AJ63" i="59"/>
  <c r="AW67" i="59"/>
  <c r="AJ67" i="59"/>
  <c r="AW71" i="59"/>
  <c r="AJ71" i="59"/>
  <c r="AW75" i="59"/>
  <c r="AJ75" i="59"/>
  <c r="AW79" i="59"/>
  <c r="AJ79" i="59"/>
  <c r="AW83" i="59"/>
  <c r="AJ83" i="59"/>
  <c r="AW87" i="59"/>
  <c r="AJ87" i="59"/>
  <c r="AW91" i="59"/>
  <c r="AJ91" i="59"/>
  <c r="AW95" i="59"/>
  <c r="AJ95" i="59"/>
  <c r="AW99" i="59"/>
  <c r="AJ99" i="59"/>
  <c r="AW103" i="59"/>
  <c r="AJ103" i="59"/>
  <c r="AW107" i="59"/>
  <c r="AJ107" i="59"/>
  <c r="AW111" i="59"/>
  <c r="AJ111" i="59"/>
  <c r="AW115" i="59"/>
  <c r="AJ115" i="59"/>
  <c r="AW119" i="59"/>
  <c r="AJ119" i="59"/>
  <c r="AW123" i="59"/>
  <c r="AJ123" i="59"/>
  <c r="AW127" i="59"/>
  <c r="AJ127" i="59"/>
  <c r="AW131" i="59"/>
  <c r="AJ131" i="59"/>
  <c r="AW135" i="59"/>
  <c r="AJ135" i="59"/>
  <c r="AW139" i="59"/>
  <c r="AJ139" i="59"/>
  <c r="AW143" i="59"/>
  <c r="AJ143" i="59"/>
  <c r="AW147" i="59"/>
  <c r="AJ147" i="59"/>
  <c r="AW151" i="59"/>
  <c r="AJ151" i="59"/>
  <c r="AW155" i="59"/>
  <c r="AJ155" i="59"/>
  <c r="AW159" i="59"/>
  <c r="AJ159" i="59"/>
  <c r="AW163" i="59"/>
  <c r="AJ163" i="59"/>
  <c r="AW167" i="59"/>
  <c r="AJ167" i="59"/>
  <c r="AW171" i="59"/>
  <c r="AJ171" i="59"/>
  <c r="AW175" i="59"/>
  <c r="AJ175" i="59"/>
  <c r="AW179" i="59"/>
  <c r="AJ179" i="59"/>
  <c r="AW183" i="59"/>
  <c r="AJ183" i="59"/>
  <c r="AW187" i="59"/>
  <c r="AJ187" i="59"/>
  <c r="AW191" i="59"/>
  <c r="AJ191" i="59"/>
  <c r="AW195" i="59"/>
  <c r="AJ195" i="59"/>
  <c r="AW199" i="59"/>
  <c r="AJ199" i="59"/>
  <c r="AW203" i="59"/>
  <c r="AJ203" i="59"/>
  <c r="AW207" i="59"/>
  <c r="AJ207" i="59"/>
  <c r="AW211" i="59"/>
  <c r="AJ211" i="59"/>
  <c r="AW215" i="59"/>
  <c r="AJ215" i="59"/>
  <c r="AW219" i="59"/>
  <c r="AJ219" i="59"/>
  <c r="AW223" i="59"/>
  <c r="AJ223" i="59"/>
  <c r="AW227" i="59"/>
  <c r="AJ227" i="59"/>
  <c r="AW232" i="59"/>
  <c r="AJ232" i="59"/>
  <c r="AW236" i="59"/>
  <c r="AJ236" i="59"/>
  <c r="AW240" i="59"/>
  <c r="AJ240" i="59"/>
  <c r="AW244" i="59"/>
  <c r="AJ244" i="59"/>
  <c r="AW248" i="59"/>
  <c r="AJ248" i="59"/>
  <c r="AW252" i="59"/>
  <c r="AJ252" i="59"/>
  <c r="AW257" i="59"/>
  <c r="AJ257" i="59"/>
  <c r="AW56" i="59"/>
  <c r="AJ56" i="59"/>
  <c r="AW60" i="59"/>
  <c r="AJ60" i="59"/>
  <c r="AW64" i="59"/>
  <c r="AJ64" i="59"/>
  <c r="AW68" i="59"/>
  <c r="AJ68" i="59"/>
  <c r="AW72" i="59"/>
  <c r="AJ72" i="59"/>
  <c r="AW76" i="59"/>
  <c r="AJ76" i="59"/>
  <c r="AW80" i="59"/>
  <c r="AJ80" i="59"/>
  <c r="AW84" i="59"/>
  <c r="AJ84" i="59"/>
  <c r="AW88" i="59"/>
  <c r="AJ88" i="59"/>
  <c r="AW92" i="59"/>
  <c r="AJ92" i="59"/>
  <c r="AW96" i="59"/>
  <c r="AJ96" i="59"/>
  <c r="AW100" i="59"/>
  <c r="AJ100" i="59"/>
  <c r="AW104" i="59"/>
  <c r="AJ104" i="59"/>
  <c r="AW108" i="59"/>
  <c r="AJ108" i="59"/>
  <c r="AW112" i="59"/>
  <c r="AJ112" i="59"/>
  <c r="AW116" i="59"/>
  <c r="AJ116" i="59"/>
  <c r="AW120" i="59"/>
  <c r="AJ120" i="59"/>
  <c r="AW124" i="59"/>
  <c r="AJ124" i="59"/>
  <c r="AW128" i="59"/>
  <c r="AJ128" i="59"/>
  <c r="AW132" i="59"/>
  <c r="AJ132" i="59"/>
  <c r="AW136" i="59"/>
  <c r="AJ136" i="59"/>
  <c r="AW140" i="59"/>
  <c r="AJ140" i="59"/>
  <c r="AW144" i="59"/>
  <c r="AJ144" i="59"/>
  <c r="AW148" i="59"/>
  <c r="AJ148" i="59"/>
  <c r="AW152" i="59"/>
  <c r="AJ152" i="59"/>
  <c r="AW156" i="59"/>
  <c r="AJ156" i="59"/>
  <c r="AW160" i="59"/>
  <c r="AJ160" i="59"/>
  <c r="AW164" i="59"/>
  <c r="AJ164" i="59"/>
  <c r="AW168" i="59"/>
  <c r="AJ168" i="59"/>
  <c r="AW172" i="59"/>
  <c r="AJ172" i="59"/>
  <c r="AW176" i="59"/>
  <c r="AJ176" i="59"/>
  <c r="AW180" i="59"/>
  <c r="AJ180" i="59"/>
  <c r="AW184" i="59"/>
  <c r="AJ184" i="59"/>
  <c r="AW188" i="59"/>
  <c r="AJ188" i="59"/>
  <c r="AW192" i="59"/>
  <c r="AJ192" i="59"/>
  <c r="AW196" i="59"/>
  <c r="AJ196" i="59"/>
  <c r="AW200" i="59"/>
  <c r="AJ200" i="59"/>
  <c r="AW204" i="59"/>
  <c r="AJ204" i="59"/>
  <c r="AW208" i="59"/>
  <c r="AJ208" i="59"/>
  <c r="AW212" i="59"/>
  <c r="AJ212" i="59"/>
  <c r="AW216" i="59"/>
  <c r="AJ216" i="59"/>
  <c r="AW220" i="59"/>
  <c r="AJ220" i="59"/>
  <c r="AW224" i="59"/>
  <c r="AJ224" i="59"/>
  <c r="AW228" i="59"/>
  <c r="AJ228" i="59"/>
  <c r="AW233" i="59"/>
  <c r="AJ233" i="59"/>
  <c r="AW237" i="59"/>
  <c r="AJ237" i="59"/>
  <c r="AW241" i="59"/>
  <c r="AJ241" i="59"/>
  <c r="AW245" i="59"/>
  <c r="AJ245" i="59"/>
  <c r="AW249" i="59"/>
  <c r="AJ249" i="59"/>
  <c r="AW253" i="59"/>
  <c r="AJ253" i="59"/>
  <c r="AW258" i="59"/>
  <c r="AJ258" i="59"/>
  <c r="B102" i="28" l="1"/>
  <c r="J170" i="36" l="1"/>
  <c r="J168" i="36"/>
  <c r="J166" i="36"/>
  <c r="J164" i="36"/>
  <c r="J105" i="36"/>
  <c r="D176" i="22"/>
  <c r="D175" i="22"/>
  <c r="D174" i="22"/>
  <c r="D173" i="22"/>
  <c r="D172" i="22"/>
  <c r="C176" i="22"/>
  <c r="C175" i="22"/>
  <c r="C174" i="22"/>
  <c r="C173" i="22"/>
  <c r="C172" i="22"/>
  <c r="A176" i="22"/>
  <c r="A175" i="22"/>
  <c r="A174" i="22"/>
  <c r="A173" i="22"/>
  <c r="A172" i="22"/>
  <c r="B42" i="105" l="1"/>
  <c r="B13" i="105"/>
  <c r="B22" i="105"/>
  <c r="X173" i="22"/>
  <c r="B30" i="105"/>
  <c r="X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B44" i="104"/>
  <c r="W159" i="22"/>
  <c r="X159" i="22"/>
  <c r="T159" i="22"/>
  <c r="T151" i="22"/>
  <c r="W151" i="22"/>
  <c r="K150" i="22"/>
  <c r="X150" i="22"/>
  <c r="T150" i="22"/>
  <c r="E158" i="22"/>
  <c r="C108" i="36" s="1"/>
  <c r="B36" i="104"/>
  <c r="I158" i="22"/>
  <c r="G150" i="22"/>
  <c r="E150" i="22"/>
  <c r="C100" i="36" s="1"/>
  <c r="S156" i="22"/>
  <c r="C126" i="36" s="1"/>
  <c r="S155" i="22"/>
  <c r="C125" i="36" s="1"/>
  <c r="E162" i="22"/>
  <c r="C112" i="36" s="1"/>
  <c r="I161" i="22"/>
  <c r="B46" i="104"/>
  <c r="S158" i="22"/>
  <c r="C128" i="36" s="1"/>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1" i="63"/>
  <c r="AR12" i="63"/>
  <c r="AR13" i="63"/>
  <c r="AR15" i="63"/>
  <c r="AR16" i="63"/>
  <c r="AR17" i="63"/>
  <c r="AR18" i="63"/>
  <c r="AL10" i="52"/>
  <c r="AG12" i="42"/>
  <c r="AG13" i="42" l="1"/>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K134" i="22" l="1"/>
  <c r="W134" i="22"/>
  <c r="K80" i="22"/>
  <c r="W80" i="22"/>
  <c r="K55" i="22"/>
  <c r="W55" i="22"/>
  <c r="K38" i="22"/>
  <c r="W38" i="22"/>
  <c r="L259" i="58"/>
  <c r="K259" i="58"/>
  <c r="F259" i="58"/>
  <c r="L258" i="58"/>
  <c r="K258" i="58"/>
  <c r="F258" i="58"/>
  <c r="L257" i="58"/>
  <c r="K257" i="58"/>
  <c r="F257" i="58"/>
  <c r="L256" i="58"/>
  <c r="K256" i="58"/>
  <c r="F256" i="58"/>
  <c r="L255" i="58"/>
  <c r="K255" i="58"/>
  <c r="F255" i="58"/>
  <c r="L254" i="58"/>
  <c r="K254" i="58"/>
  <c r="F254" i="58"/>
  <c r="L253" i="58"/>
  <c r="K253" i="58"/>
  <c r="F253" i="58"/>
  <c r="L252" i="58"/>
  <c r="K252" i="58"/>
  <c r="F252" i="58"/>
  <c r="L251" i="58"/>
  <c r="K251" i="58"/>
  <c r="F251" i="58"/>
  <c r="L250" i="58"/>
  <c r="K250" i="58"/>
  <c r="F250" i="58"/>
  <c r="L249" i="58"/>
  <c r="K249" i="58"/>
  <c r="F249" i="58"/>
  <c r="L248" i="58"/>
  <c r="K248" i="58"/>
  <c r="F248" i="58"/>
  <c r="L247" i="58"/>
  <c r="K247" i="58"/>
  <c r="F247" i="58"/>
  <c r="L246" i="58"/>
  <c r="K246" i="58"/>
  <c r="F246" i="58"/>
  <c r="L245" i="58"/>
  <c r="K245" i="58"/>
  <c r="F245" i="58"/>
  <c r="L244" i="58"/>
  <c r="K244" i="58"/>
  <c r="F244" i="58"/>
  <c r="L243" i="58"/>
  <c r="K243" i="58"/>
  <c r="F243" i="58"/>
  <c r="L242" i="58"/>
  <c r="K242" i="58"/>
  <c r="F242" i="58"/>
  <c r="L241" i="58"/>
  <c r="K241" i="58"/>
  <c r="F241" i="58"/>
  <c r="L240" i="58"/>
  <c r="K240" i="58"/>
  <c r="F240" i="58"/>
  <c r="L239" i="58"/>
  <c r="K239" i="58"/>
  <c r="F239" i="58"/>
  <c r="L238" i="58"/>
  <c r="K238" i="58"/>
  <c r="F238" i="58"/>
  <c r="L237" i="58"/>
  <c r="K237" i="58"/>
  <c r="F237" i="58"/>
  <c r="L236" i="58"/>
  <c r="K236" i="58"/>
  <c r="F236" i="58"/>
  <c r="L235" i="58"/>
  <c r="K235" i="58"/>
  <c r="F235" i="58"/>
  <c r="L234" i="58"/>
  <c r="K234" i="58"/>
  <c r="F234" i="58"/>
  <c r="L233" i="58"/>
  <c r="K233" i="58"/>
  <c r="F233" i="58"/>
  <c r="L232" i="58"/>
  <c r="K232" i="58"/>
  <c r="F232" i="58"/>
  <c r="L231" i="58"/>
  <c r="K231" i="58"/>
  <c r="F231" i="58"/>
  <c r="L230" i="58"/>
  <c r="K230" i="58"/>
  <c r="F230" i="58"/>
  <c r="L229" i="58"/>
  <c r="K229" i="58"/>
  <c r="F229" i="58"/>
  <c r="L228" i="58"/>
  <c r="K228" i="58"/>
  <c r="F228" i="58"/>
  <c r="L227" i="58"/>
  <c r="K227" i="58"/>
  <c r="F227" i="58"/>
  <c r="L226" i="58"/>
  <c r="K226" i="58"/>
  <c r="F226" i="58"/>
  <c r="L225" i="58"/>
  <c r="K225" i="58"/>
  <c r="F225" i="58"/>
  <c r="L224" i="58"/>
  <c r="K224" i="58"/>
  <c r="F224" i="58"/>
  <c r="L223" i="58"/>
  <c r="K223" i="58"/>
  <c r="F223" i="58"/>
  <c r="L222" i="58"/>
  <c r="K222" i="58"/>
  <c r="F222" i="58"/>
  <c r="L221" i="58"/>
  <c r="K221" i="58"/>
  <c r="F221" i="58"/>
  <c r="L220" i="58"/>
  <c r="K220" i="58"/>
  <c r="F220" i="58"/>
  <c r="L219" i="58"/>
  <c r="K219" i="58"/>
  <c r="F219" i="58"/>
  <c r="L218" i="58"/>
  <c r="K218" i="58"/>
  <c r="F218" i="58"/>
  <c r="L217" i="58"/>
  <c r="K217" i="58"/>
  <c r="F217" i="58"/>
  <c r="L216" i="58"/>
  <c r="K216" i="58"/>
  <c r="F216" i="58"/>
  <c r="L215" i="58"/>
  <c r="K215" i="58"/>
  <c r="F215" i="58"/>
  <c r="L214" i="58"/>
  <c r="K214" i="58"/>
  <c r="F214" i="58"/>
  <c r="L213" i="58"/>
  <c r="K213" i="58"/>
  <c r="F213" i="58"/>
  <c r="L212" i="58"/>
  <c r="K212" i="58"/>
  <c r="F212" i="58"/>
  <c r="L211" i="58"/>
  <c r="K211" i="58"/>
  <c r="F211" i="58"/>
  <c r="L210" i="58"/>
  <c r="K210" i="58"/>
  <c r="F210" i="58"/>
  <c r="L209" i="58"/>
  <c r="K209" i="58"/>
  <c r="F209" i="58"/>
  <c r="L208" i="58"/>
  <c r="K208" i="58"/>
  <c r="F208" i="58"/>
  <c r="L207" i="58"/>
  <c r="K207" i="58"/>
  <c r="F207" i="58"/>
  <c r="L206" i="58"/>
  <c r="K206" i="58"/>
  <c r="F206" i="58"/>
  <c r="L205" i="58"/>
  <c r="K205" i="58"/>
  <c r="F205" i="58"/>
  <c r="L204" i="58"/>
  <c r="K204" i="58"/>
  <c r="F204" i="58"/>
  <c r="L203" i="58"/>
  <c r="K203" i="58"/>
  <c r="F203" i="58"/>
  <c r="L202" i="58"/>
  <c r="K202" i="58"/>
  <c r="F202" i="58"/>
  <c r="L201" i="58"/>
  <c r="K201" i="58"/>
  <c r="F201" i="58"/>
  <c r="L200" i="58"/>
  <c r="K200" i="58"/>
  <c r="F200" i="58"/>
  <c r="L199" i="58"/>
  <c r="K199" i="58"/>
  <c r="F199" i="58"/>
  <c r="L198" i="58"/>
  <c r="K198" i="58"/>
  <c r="F198" i="58"/>
  <c r="L197" i="58"/>
  <c r="K197" i="58"/>
  <c r="F197" i="58"/>
  <c r="L196" i="58"/>
  <c r="K196" i="58"/>
  <c r="F196" i="58"/>
  <c r="L195" i="58"/>
  <c r="K195" i="58"/>
  <c r="F195" i="58"/>
  <c r="L194" i="58"/>
  <c r="K194" i="58"/>
  <c r="F194" i="58"/>
  <c r="L193" i="58"/>
  <c r="K193" i="58"/>
  <c r="F193" i="58"/>
  <c r="L192" i="58"/>
  <c r="K192" i="58"/>
  <c r="F192" i="58"/>
  <c r="L191" i="58"/>
  <c r="K191" i="58"/>
  <c r="F191" i="58"/>
  <c r="L190" i="58"/>
  <c r="K190" i="58"/>
  <c r="F190" i="58"/>
  <c r="L189" i="58"/>
  <c r="K189" i="58"/>
  <c r="F189" i="58"/>
  <c r="L188" i="58"/>
  <c r="K188" i="58"/>
  <c r="F188" i="58"/>
  <c r="L187" i="58"/>
  <c r="K187" i="58"/>
  <c r="F187" i="58"/>
  <c r="L186" i="58"/>
  <c r="K186" i="58"/>
  <c r="F186" i="58"/>
  <c r="L185" i="58"/>
  <c r="K185" i="58"/>
  <c r="F185" i="58"/>
  <c r="L184" i="58"/>
  <c r="K184" i="58"/>
  <c r="F184" i="58"/>
  <c r="L183" i="58"/>
  <c r="K183" i="58"/>
  <c r="F183" i="58"/>
  <c r="L182" i="58"/>
  <c r="K182" i="58"/>
  <c r="F182" i="58"/>
  <c r="L181" i="58"/>
  <c r="K181" i="58"/>
  <c r="F181" i="58"/>
  <c r="L180" i="58"/>
  <c r="K180" i="58"/>
  <c r="F180" i="58"/>
  <c r="L179" i="58"/>
  <c r="K179" i="58"/>
  <c r="F179" i="58"/>
  <c r="L178" i="58"/>
  <c r="K178" i="58"/>
  <c r="F178" i="58"/>
  <c r="L177" i="58"/>
  <c r="K177" i="58"/>
  <c r="F177" i="58"/>
  <c r="L176" i="58"/>
  <c r="K176" i="58"/>
  <c r="F176" i="58"/>
  <c r="L175" i="58"/>
  <c r="K175" i="58"/>
  <c r="F175" i="58"/>
  <c r="L174" i="58"/>
  <c r="K174" i="58"/>
  <c r="F174" i="58"/>
  <c r="L173" i="58"/>
  <c r="K173" i="58"/>
  <c r="F173" i="58"/>
  <c r="L172" i="58"/>
  <c r="K172" i="58"/>
  <c r="F172" i="58"/>
  <c r="L171" i="58"/>
  <c r="K171" i="58"/>
  <c r="F171" i="58"/>
  <c r="L170" i="58"/>
  <c r="K170" i="58"/>
  <c r="F170" i="58"/>
  <c r="L169" i="58"/>
  <c r="K169" i="58"/>
  <c r="F169" i="58"/>
  <c r="L168" i="58"/>
  <c r="K168" i="58"/>
  <c r="F168" i="58"/>
  <c r="L167" i="58"/>
  <c r="K167" i="58"/>
  <c r="F167" i="58"/>
  <c r="L166" i="58"/>
  <c r="K166" i="58"/>
  <c r="F166" i="58"/>
  <c r="L165" i="58"/>
  <c r="K165" i="58"/>
  <c r="F165" i="58"/>
  <c r="L164" i="58"/>
  <c r="K164" i="58"/>
  <c r="F164" i="58"/>
  <c r="L163" i="58"/>
  <c r="K163" i="58"/>
  <c r="F163" i="58"/>
  <c r="L162" i="58"/>
  <c r="K162" i="58"/>
  <c r="F162" i="58"/>
  <c r="L161" i="58"/>
  <c r="K161" i="58"/>
  <c r="F161" i="58"/>
  <c r="L160" i="58"/>
  <c r="K160" i="58"/>
  <c r="F160" i="58"/>
  <c r="L159" i="58"/>
  <c r="K159" i="58"/>
  <c r="F159" i="58"/>
  <c r="L158" i="58"/>
  <c r="K158" i="58"/>
  <c r="F158" i="58"/>
  <c r="L157" i="58"/>
  <c r="K157" i="58"/>
  <c r="F157" i="58"/>
  <c r="L156" i="58"/>
  <c r="K156" i="58"/>
  <c r="F156" i="58"/>
  <c r="L155" i="58"/>
  <c r="K155" i="58"/>
  <c r="F155" i="58"/>
  <c r="L154" i="58"/>
  <c r="K154" i="58"/>
  <c r="F154" i="58"/>
  <c r="L153" i="58"/>
  <c r="K153" i="58"/>
  <c r="F153" i="58"/>
  <c r="L152" i="58"/>
  <c r="K152" i="58"/>
  <c r="F152" i="58"/>
  <c r="L151" i="58"/>
  <c r="K151" i="58"/>
  <c r="F151" i="58"/>
  <c r="L150" i="58"/>
  <c r="K150" i="58"/>
  <c r="F150" i="58"/>
  <c r="L149" i="58"/>
  <c r="K149" i="58"/>
  <c r="F149" i="58"/>
  <c r="L148" i="58"/>
  <c r="K148" i="58"/>
  <c r="F148" i="58"/>
  <c r="L147" i="58"/>
  <c r="K147" i="58"/>
  <c r="F147" i="58"/>
  <c r="L146" i="58"/>
  <c r="K146" i="58"/>
  <c r="F146" i="58"/>
  <c r="L145" i="58"/>
  <c r="K145" i="58"/>
  <c r="F145" i="58"/>
  <c r="L144" i="58"/>
  <c r="K144" i="58"/>
  <c r="F144" i="58"/>
  <c r="L143" i="58"/>
  <c r="K143" i="58"/>
  <c r="F143" i="58"/>
  <c r="L142" i="58"/>
  <c r="K142" i="58"/>
  <c r="F142" i="58"/>
  <c r="L141" i="58"/>
  <c r="K141" i="58"/>
  <c r="F141" i="58"/>
  <c r="L140" i="58"/>
  <c r="K140" i="58"/>
  <c r="F140" i="58"/>
  <c r="L139" i="58"/>
  <c r="K139" i="58"/>
  <c r="F139" i="58"/>
  <c r="L138" i="58"/>
  <c r="K138" i="58"/>
  <c r="F138" i="58"/>
  <c r="L137" i="58"/>
  <c r="K137" i="58"/>
  <c r="F137" i="58"/>
  <c r="L136" i="58"/>
  <c r="K136" i="58"/>
  <c r="F136" i="58"/>
  <c r="L135" i="58"/>
  <c r="K135" i="58"/>
  <c r="F135" i="58"/>
  <c r="L134" i="58"/>
  <c r="K134" i="58"/>
  <c r="F134" i="58"/>
  <c r="L133" i="58"/>
  <c r="K133" i="58"/>
  <c r="F133" i="58"/>
  <c r="L132" i="58"/>
  <c r="K132" i="58"/>
  <c r="F132" i="58"/>
  <c r="L131" i="58"/>
  <c r="K131" i="58"/>
  <c r="F131" i="58"/>
  <c r="L130" i="58"/>
  <c r="K130" i="58"/>
  <c r="F130" i="58"/>
  <c r="L129" i="58"/>
  <c r="K129" i="58"/>
  <c r="F129" i="58"/>
  <c r="L128" i="58"/>
  <c r="K128" i="58"/>
  <c r="F128" i="58"/>
  <c r="L127" i="58"/>
  <c r="K127" i="58"/>
  <c r="F127" i="58"/>
  <c r="L126" i="58"/>
  <c r="K126" i="58"/>
  <c r="F126" i="58"/>
  <c r="L125" i="58"/>
  <c r="K125" i="58"/>
  <c r="F125" i="58"/>
  <c r="L124" i="58"/>
  <c r="K124" i="58"/>
  <c r="F124" i="58"/>
  <c r="L123" i="58"/>
  <c r="K123" i="58"/>
  <c r="F123" i="58"/>
  <c r="L122" i="58"/>
  <c r="K122" i="58"/>
  <c r="F122" i="58"/>
  <c r="L121" i="58"/>
  <c r="K121" i="58"/>
  <c r="F121" i="58"/>
  <c r="L120" i="58"/>
  <c r="K120" i="58"/>
  <c r="F120" i="58"/>
  <c r="L119" i="58"/>
  <c r="K119" i="58"/>
  <c r="F119" i="58"/>
  <c r="L118" i="58"/>
  <c r="K118" i="58"/>
  <c r="F118" i="58"/>
  <c r="L117" i="58"/>
  <c r="K117" i="58"/>
  <c r="F117" i="58"/>
  <c r="L116" i="58"/>
  <c r="K116" i="58"/>
  <c r="F116" i="58"/>
  <c r="L115" i="58"/>
  <c r="K115" i="58"/>
  <c r="F115" i="58"/>
  <c r="L114" i="58"/>
  <c r="K114" i="58"/>
  <c r="F114" i="58"/>
  <c r="L113" i="58"/>
  <c r="K113" i="58"/>
  <c r="F113" i="58"/>
  <c r="L112" i="58"/>
  <c r="K112" i="58"/>
  <c r="F112" i="58"/>
  <c r="L111" i="58"/>
  <c r="K111" i="58"/>
  <c r="F111" i="58"/>
  <c r="L110" i="58"/>
  <c r="K110" i="58"/>
  <c r="F110" i="58"/>
  <c r="L109" i="58"/>
  <c r="K109" i="58"/>
  <c r="F109" i="58"/>
  <c r="L108" i="58"/>
  <c r="K108" i="58"/>
  <c r="F108" i="58"/>
  <c r="L107" i="58"/>
  <c r="K107" i="58"/>
  <c r="F107" i="58"/>
  <c r="L106" i="58"/>
  <c r="K106" i="58"/>
  <c r="F106" i="58"/>
  <c r="L105" i="58"/>
  <c r="K105" i="58"/>
  <c r="F105" i="58"/>
  <c r="L104" i="58"/>
  <c r="K104" i="58"/>
  <c r="F104" i="58"/>
  <c r="L103" i="58"/>
  <c r="K103" i="58"/>
  <c r="F103" i="58"/>
  <c r="L102" i="58"/>
  <c r="K102" i="58"/>
  <c r="F102" i="58"/>
  <c r="L101" i="58"/>
  <c r="K101" i="58"/>
  <c r="F101" i="58"/>
  <c r="L100" i="58"/>
  <c r="K100" i="58"/>
  <c r="F100" i="58"/>
  <c r="L99" i="58"/>
  <c r="K99" i="58"/>
  <c r="F99" i="58"/>
  <c r="L98" i="58"/>
  <c r="K98" i="58"/>
  <c r="F98" i="58"/>
  <c r="L97" i="58"/>
  <c r="K97" i="58"/>
  <c r="F97" i="58"/>
  <c r="L96" i="58"/>
  <c r="K96" i="58"/>
  <c r="F96" i="58"/>
  <c r="L95" i="58"/>
  <c r="K95" i="58"/>
  <c r="F95" i="58"/>
  <c r="L94" i="58"/>
  <c r="K94" i="58"/>
  <c r="F94" i="58"/>
  <c r="L93" i="58"/>
  <c r="K93" i="58"/>
  <c r="F93" i="58"/>
  <c r="L92" i="58"/>
  <c r="K92" i="58"/>
  <c r="F92" i="58"/>
  <c r="L91" i="58"/>
  <c r="K91" i="58"/>
  <c r="F91" i="58"/>
  <c r="L90" i="58"/>
  <c r="K90" i="58"/>
  <c r="F90" i="58"/>
  <c r="L89" i="58"/>
  <c r="K89" i="58"/>
  <c r="F89" i="58"/>
  <c r="L88" i="58"/>
  <c r="K88" i="58"/>
  <c r="F88" i="58"/>
  <c r="L87" i="58"/>
  <c r="K87" i="58"/>
  <c r="F87" i="58"/>
  <c r="L86" i="58"/>
  <c r="K86" i="58"/>
  <c r="F86" i="58"/>
  <c r="L85" i="58"/>
  <c r="K85" i="58"/>
  <c r="F85" i="58"/>
  <c r="L84" i="58"/>
  <c r="K84" i="58"/>
  <c r="F84" i="58"/>
  <c r="L83" i="58"/>
  <c r="K83" i="58"/>
  <c r="F83" i="58"/>
  <c r="L82" i="58"/>
  <c r="K82" i="58"/>
  <c r="F82" i="58"/>
  <c r="L81" i="58"/>
  <c r="K81" i="58"/>
  <c r="F81" i="58"/>
  <c r="L80" i="58"/>
  <c r="K80" i="58"/>
  <c r="F80" i="58"/>
  <c r="L79" i="58"/>
  <c r="K79" i="58"/>
  <c r="F79" i="58"/>
  <c r="L78" i="58"/>
  <c r="K78" i="58"/>
  <c r="F78" i="58"/>
  <c r="L77" i="58"/>
  <c r="K77" i="58"/>
  <c r="F77" i="58"/>
  <c r="L76" i="58"/>
  <c r="K76" i="58"/>
  <c r="F76" i="58"/>
  <c r="L75" i="58"/>
  <c r="K75" i="58"/>
  <c r="F75" i="58"/>
  <c r="L74" i="58"/>
  <c r="K74" i="58"/>
  <c r="F74" i="58"/>
  <c r="L73" i="58"/>
  <c r="K73" i="58"/>
  <c r="F73" i="58"/>
  <c r="L72" i="58"/>
  <c r="K72" i="58"/>
  <c r="F72" i="58"/>
  <c r="L71" i="58"/>
  <c r="K71" i="58"/>
  <c r="F71" i="58"/>
  <c r="L70" i="58"/>
  <c r="K70" i="58"/>
  <c r="F70" i="58"/>
  <c r="L69" i="58"/>
  <c r="K69" i="58"/>
  <c r="F69" i="58"/>
  <c r="L68" i="58"/>
  <c r="K68" i="58"/>
  <c r="F68" i="58"/>
  <c r="L67" i="58"/>
  <c r="K67" i="58"/>
  <c r="F67" i="58"/>
  <c r="L66" i="58"/>
  <c r="K66" i="58"/>
  <c r="F66" i="58"/>
  <c r="L65" i="58"/>
  <c r="K65" i="58"/>
  <c r="F65" i="58"/>
  <c r="L64" i="58"/>
  <c r="K64" i="58"/>
  <c r="F64" i="58"/>
  <c r="L63" i="58"/>
  <c r="K63" i="58"/>
  <c r="F63" i="58"/>
  <c r="L62" i="58"/>
  <c r="K62" i="58"/>
  <c r="F62" i="58"/>
  <c r="L61" i="58"/>
  <c r="K61" i="58"/>
  <c r="F61" i="58"/>
  <c r="L60" i="58"/>
  <c r="K60" i="58"/>
  <c r="F60" i="58"/>
  <c r="L59" i="58"/>
  <c r="K59" i="58"/>
  <c r="F59" i="58"/>
  <c r="L58" i="58"/>
  <c r="K58" i="58"/>
  <c r="F58" i="58"/>
  <c r="L57" i="58"/>
  <c r="K57" i="58"/>
  <c r="F57" i="58"/>
  <c r="L56" i="58"/>
  <c r="K56" i="58"/>
  <c r="F56" i="58"/>
  <c r="L55" i="58"/>
  <c r="K55" i="58"/>
  <c r="F55" i="58"/>
  <c r="L54" i="58"/>
  <c r="K54" i="58"/>
  <c r="F54" i="58"/>
  <c r="L53" i="58"/>
  <c r="K53" i="58"/>
  <c r="F53" i="58"/>
  <c r="L52" i="58"/>
  <c r="K52" i="58"/>
  <c r="F52" i="58"/>
  <c r="L51" i="58"/>
  <c r="K51" i="58"/>
  <c r="F51" i="58"/>
  <c r="L50" i="58"/>
  <c r="K50" i="58"/>
  <c r="F50" i="58"/>
  <c r="L49" i="58"/>
  <c r="K49" i="58"/>
  <c r="F49" i="58"/>
  <c r="L48" i="58"/>
  <c r="K48" i="58"/>
  <c r="F48" i="58"/>
  <c r="L47" i="58"/>
  <c r="K47" i="58"/>
  <c r="F47" i="58"/>
  <c r="L46" i="58"/>
  <c r="K46" i="58"/>
  <c r="F46" i="58"/>
  <c r="L45" i="58"/>
  <c r="K45" i="58"/>
  <c r="F45" i="58"/>
  <c r="L44" i="58"/>
  <c r="K44" i="58"/>
  <c r="F44" i="58"/>
  <c r="L43" i="58"/>
  <c r="K43" i="58"/>
  <c r="F43" i="58"/>
  <c r="L42" i="58"/>
  <c r="K42" i="58"/>
  <c r="F42" i="58"/>
  <c r="L41" i="58"/>
  <c r="K41" i="58"/>
  <c r="F41" i="58"/>
  <c r="L40" i="58"/>
  <c r="K40" i="58"/>
  <c r="F40" i="58"/>
  <c r="L39" i="58"/>
  <c r="K39" i="58"/>
  <c r="F39" i="58"/>
  <c r="L38" i="58"/>
  <c r="K38" i="58"/>
  <c r="F38" i="58"/>
  <c r="L37" i="58"/>
  <c r="K37" i="58"/>
  <c r="F37" i="58"/>
  <c r="L36" i="58"/>
  <c r="K36" i="58"/>
  <c r="F36" i="58"/>
  <c r="L35" i="58"/>
  <c r="K35" i="58"/>
  <c r="F35" i="58"/>
  <c r="L34" i="58"/>
  <c r="K34" i="58"/>
  <c r="F34" i="58"/>
  <c r="L33" i="58"/>
  <c r="K33" i="58"/>
  <c r="F33" i="58"/>
  <c r="L32" i="58"/>
  <c r="K32" i="58"/>
  <c r="F32" i="58"/>
  <c r="L31" i="58"/>
  <c r="K31" i="58"/>
  <c r="F31" i="58"/>
  <c r="L30" i="58"/>
  <c r="K30" i="58"/>
  <c r="F30" i="58"/>
  <c r="L29" i="58"/>
  <c r="K29" i="58"/>
  <c r="F29" i="58"/>
  <c r="L28" i="58"/>
  <c r="K28" i="58"/>
  <c r="F28" i="58"/>
  <c r="L27" i="58"/>
  <c r="K27" i="58"/>
  <c r="F27" i="58"/>
  <c r="L26" i="58"/>
  <c r="K26" i="58"/>
  <c r="F26" i="58"/>
  <c r="L25" i="58"/>
  <c r="K25" i="58"/>
  <c r="F25" i="58"/>
  <c r="L24" i="58"/>
  <c r="K24" i="58"/>
  <c r="F24" i="58"/>
  <c r="L23" i="58"/>
  <c r="K23" i="58"/>
  <c r="F23" i="58"/>
  <c r="L22" i="58"/>
  <c r="K22" i="58"/>
  <c r="F22" i="58"/>
  <c r="L21" i="58"/>
  <c r="K21" i="58"/>
  <c r="F21" i="58"/>
  <c r="L20" i="58"/>
  <c r="K20" i="58"/>
  <c r="F20" i="58"/>
  <c r="L19" i="58"/>
  <c r="K19" i="58"/>
  <c r="F19" i="58"/>
  <c r="L18" i="58"/>
  <c r="K18" i="58"/>
  <c r="F18" i="58"/>
  <c r="L17" i="58"/>
  <c r="K17" i="58"/>
  <c r="F17" i="58"/>
  <c r="L16" i="58"/>
  <c r="K16" i="58"/>
  <c r="F16" i="58"/>
  <c r="L15" i="58"/>
  <c r="K15" i="58"/>
  <c r="F15" i="58"/>
  <c r="L14" i="58"/>
  <c r="K14" i="58"/>
  <c r="F14" i="58"/>
  <c r="L13" i="58"/>
  <c r="K13" i="58"/>
  <c r="F13" i="58"/>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AY11" i="55" s="1"/>
  <c r="F12" i="55"/>
  <c r="F13" i="55"/>
  <c r="F14" i="55"/>
  <c r="AY14" i="55" s="1"/>
  <c r="F15" i="55"/>
  <c r="AY15" i="55" s="1"/>
  <c r="F16" i="55"/>
  <c r="AY16" i="55" s="1"/>
  <c r="F17" i="55"/>
  <c r="AY17" i="55" s="1"/>
  <c r="F18" i="55"/>
  <c r="AY18" i="55" s="1"/>
  <c r="F19" i="55"/>
  <c r="AY19" i="55" s="1"/>
  <c r="F20" i="55"/>
  <c r="AY20" i="55" s="1"/>
  <c r="F21" i="55"/>
  <c r="AY21" i="55" s="1"/>
  <c r="F22" i="55"/>
  <c r="AY22" i="55" s="1"/>
  <c r="F23" i="55"/>
  <c r="AY23" i="55" s="1"/>
  <c r="F24" i="55"/>
  <c r="AY24" i="55" s="1"/>
  <c r="F25" i="55"/>
  <c r="AY25" i="55" s="1"/>
  <c r="F26" i="55"/>
  <c r="AY26" i="55" s="1"/>
  <c r="F27" i="55"/>
  <c r="AY27" i="55" s="1"/>
  <c r="F28" i="55"/>
  <c r="AY28" i="55" s="1"/>
  <c r="F29" i="55"/>
  <c r="AY29" i="55" s="1"/>
  <c r="F30" i="55"/>
  <c r="AY30" i="55" s="1"/>
  <c r="F31" i="55"/>
  <c r="AY31" i="55" s="1"/>
  <c r="F32" i="55"/>
  <c r="AY32" i="55" s="1"/>
  <c r="F33" i="55"/>
  <c r="AY33" i="55" s="1"/>
  <c r="F34" i="55"/>
  <c r="AY34" i="55" s="1"/>
  <c r="F35" i="55"/>
  <c r="AY35" i="55" s="1"/>
  <c r="F36" i="55"/>
  <c r="AY36" i="55" s="1"/>
  <c r="F37" i="55"/>
  <c r="AY37" i="55" s="1"/>
  <c r="F38" i="55"/>
  <c r="AY38" i="55" s="1"/>
  <c r="F39" i="55"/>
  <c r="AY39" i="55" s="1"/>
  <c r="F40" i="55"/>
  <c r="AY40" i="55" s="1"/>
  <c r="F41" i="55"/>
  <c r="AY41" i="55" s="1"/>
  <c r="F42" i="55"/>
  <c r="AY42" i="55" s="1"/>
  <c r="F43" i="55"/>
  <c r="AY43" i="55" s="1"/>
  <c r="F44" i="55"/>
  <c r="AY44" i="55" s="1"/>
  <c r="F45" i="55"/>
  <c r="AY45" i="55" s="1"/>
  <c r="F46" i="55"/>
  <c r="AY46" i="55" s="1"/>
  <c r="F47" i="55"/>
  <c r="AY47" i="55" s="1"/>
  <c r="F48" i="55"/>
  <c r="AY48" i="55" s="1"/>
  <c r="F49" i="55"/>
  <c r="AY49" i="55" s="1"/>
  <c r="F50" i="55"/>
  <c r="AY50" i="55" s="1"/>
  <c r="F51" i="55"/>
  <c r="AY51" i="55" s="1"/>
  <c r="F52" i="55"/>
  <c r="AY52" i="55" s="1"/>
  <c r="F53" i="55"/>
  <c r="AY53" i="55" s="1"/>
  <c r="F54" i="55"/>
  <c r="AY54" i="55" s="1"/>
  <c r="F55" i="55"/>
  <c r="AY55" i="55" s="1"/>
  <c r="F56" i="55"/>
  <c r="AY56" i="55" s="1"/>
  <c r="F57" i="55"/>
  <c r="AY57" i="55" s="1"/>
  <c r="F58" i="55"/>
  <c r="AY58" i="55" s="1"/>
  <c r="F59" i="55"/>
  <c r="AY59" i="55" s="1"/>
  <c r="F60" i="55"/>
  <c r="AY60" i="55" s="1"/>
  <c r="F61" i="55"/>
  <c r="AY61" i="55" s="1"/>
  <c r="F62" i="55"/>
  <c r="AY62" i="55" s="1"/>
  <c r="F63" i="55"/>
  <c r="AY63" i="55" s="1"/>
  <c r="F64" i="55"/>
  <c r="AY64" i="55" s="1"/>
  <c r="F65" i="55"/>
  <c r="AY65" i="55" s="1"/>
  <c r="F66" i="55"/>
  <c r="AY66" i="55" s="1"/>
  <c r="F67" i="55"/>
  <c r="AY67" i="55" s="1"/>
  <c r="F68" i="55"/>
  <c r="AY68" i="55" s="1"/>
  <c r="F69" i="55"/>
  <c r="AY69" i="55" s="1"/>
  <c r="F70" i="55"/>
  <c r="AY70" i="55" s="1"/>
  <c r="F71" i="55"/>
  <c r="AY71" i="55" s="1"/>
  <c r="F72" i="55"/>
  <c r="AY72" i="55" s="1"/>
  <c r="F73" i="55"/>
  <c r="AY73" i="55" s="1"/>
  <c r="F74" i="55"/>
  <c r="AY74" i="55" s="1"/>
  <c r="F75" i="55"/>
  <c r="AY75" i="55" s="1"/>
  <c r="F76" i="55"/>
  <c r="AY76" i="55" s="1"/>
  <c r="F77" i="55"/>
  <c r="AY77" i="55" s="1"/>
  <c r="F78" i="55"/>
  <c r="AY78" i="55" s="1"/>
  <c r="F79" i="55"/>
  <c r="AY79" i="55" s="1"/>
  <c r="F80" i="55"/>
  <c r="AY80" i="55" s="1"/>
  <c r="F81" i="55"/>
  <c r="AY81" i="55" s="1"/>
  <c r="F82" i="55"/>
  <c r="AY82" i="55" s="1"/>
  <c r="F83" i="55"/>
  <c r="AY83" i="55" s="1"/>
  <c r="F84" i="55"/>
  <c r="AY84" i="55" s="1"/>
  <c r="F85" i="55"/>
  <c r="AY85" i="55" s="1"/>
  <c r="F86" i="55"/>
  <c r="AY86" i="55" s="1"/>
  <c r="F87" i="55"/>
  <c r="AY87" i="55" s="1"/>
  <c r="F88" i="55"/>
  <c r="AY88" i="55" s="1"/>
  <c r="F89" i="55"/>
  <c r="AY89" i="55" s="1"/>
  <c r="F90" i="55"/>
  <c r="AY90" i="55" s="1"/>
  <c r="F91" i="55"/>
  <c r="AY91" i="55" s="1"/>
  <c r="F92" i="55"/>
  <c r="AY92" i="55" s="1"/>
  <c r="F93" i="55"/>
  <c r="AY93" i="55" s="1"/>
  <c r="F94" i="55"/>
  <c r="AY94" i="55" s="1"/>
  <c r="F95" i="55"/>
  <c r="AY95" i="55" s="1"/>
  <c r="F96" i="55"/>
  <c r="AY96" i="55" s="1"/>
  <c r="F97" i="55"/>
  <c r="AY97" i="55" s="1"/>
  <c r="F98" i="55"/>
  <c r="AY98" i="55" s="1"/>
  <c r="F99" i="55"/>
  <c r="AY99" i="55" s="1"/>
  <c r="F100" i="55"/>
  <c r="AY100" i="55" s="1"/>
  <c r="F101" i="55"/>
  <c r="AY101" i="55" s="1"/>
  <c r="F102" i="55"/>
  <c r="AY102" i="55" s="1"/>
  <c r="F103" i="55"/>
  <c r="AY103" i="55" s="1"/>
  <c r="F104" i="55"/>
  <c r="AY104" i="55" s="1"/>
  <c r="F105" i="55"/>
  <c r="AY105" i="55" s="1"/>
  <c r="F106" i="55"/>
  <c r="AY106" i="55" s="1"/>
  <c r="F107" i="55"/>
  <c r="AY107" i="55" s="1"/>
  <c r="F108" i="55"/>
  <c r="AY108" i="55" s="1"/>
  <c r="F109" i="55"/>
  <c r="AY109" i="55" s="1"/>
  <c r="F110" i="55"/>
  <c r="AY110" i="55" s="1"/>
  <c r="F111" i="55"/>
  <c r="AY111" i="55" s="1"/>
  <c r="F112" i="55"/>
  <c r="AY112" i="55" s="1"/>
  <c r="F113" i="55"/>
  <c r="AY113" i="55" s="1"/>
  <c r="F114" i="55"/>
  <c r="AY114" i="55" s="1"/>
  <c r="F115" i="55"/>
  <c r="AY115" i="55" s="1"/>
  <c r="F116" i="55"/>
  <c r="AY116" i="55" s="1"/>
  <c r="F117" i="55"/>
  <c r="AY117" i="55" s="1"/>
  <c r="F118" i="55"/>
  <c r="AY118" i="55" s="1"/>
  <c r="F119" i="55"/>
  <c r="AY119" i="55" s="1"/>
  <c r="F120" i="55"/>
  <c r="AY120" i="55" s="1"/>
  <c r="F121" i="55"/>
  <c r="AY121" i="55" s="1"/>
  <c r="F122" i="55"/>
  <c r="AY122" i="55" s="1"/>
  <c r="F123" i="55"/>
  <c r="AY123" i="55" s="1"/>
  <c r="F124" i="55"/>
  <c r="AY124" i="55" s="1"/>
  <c r="F125" i="55"/>
  <c r="AY125" i="55" s="1"/>
  <c r="F126" i="55"/>
  <c r="AY126" i="55" s="1"/>
  <c r="F127" i="55"/>
  <c r="AY127" i="55" s="1"/>
  <c r="F128" i="55"/>
  <c r="AY128" i="55" s="1"/>
  <c r="F129" i="55"/>
  <c r="AY129" i="55" s="1"/>
  <c r="F130" i="55"/>
  <c r="AY130" i="55" s="1"/>
  <c r="F131" i="55"/>
  <c r="AY131" i="55" s="1"/>
  <c r="F132" i="55"/>
  <c r="AY132" i="55" s="1"/>
  <c r="F133" i="55"/>
  <c r="AY133" i="55" s="1"/>
  <c r="F134" i="55"/>
  <c r="AY134" i="55" s="1"/>
  <c r="F135" i="55"/>
  <c r="AY135" i="55" s="1"/>
  <c r="F136" i="55"/>
  <c r="AY136" i="55" s="1"/>
  <c r="F137" i="55"/>
  <c r="AY137" i="55" s="1"/>
  <c r="F138" i="55"/>
  <c r="AY138" i="55" s="1"/>
  <c r="F139" i="55"/>
  <c r="AY139" i="55" s="1"/>
  <c r="F140" i="55"/>
  <c r="AY140" i="55" s="1"/>
  <c r="F141" i="55"/>
  <c r="AY141" i="55" s="1"/>
  <c r="F142" i="55"/>
  <c r="AY142" i="55" s="1"/>
  <c r="F143" i="55"/>
  <c r="AY143" i="55" s="1"/>
  <c r="F144" i="55"/>
  <c r="AY144" i="55" s="1"/>
  <c r="F145" i="55"/>
  <c r="AY145" i="55" s="1"/>
  <c r="F146" i="55"/>
  <c r="AY146" i="55" s="1"/>
  <c r="F147" i="55"/>
  <c r="AY147" i="55" s="1"/>
  <c r="F148" i="55"/>
  <c r="AY148" i="55" s="1"/>
  <c r="F149" i="55"/>
  <c r="AY149" i="55" s="1"/>
  <c r="F150" i="55"/>
  <c r="AY150" i="55" s="1"/>
  <c r="F151" i="55"/>
  <c r="AY151" i="55" s="1"/>
  <c r="F152" i="55"/>
  <c r="AY152" i="55" s="1"/>
  <c r="F153" i="55"/>
  <c r="AY153" i="55" s="1"/>
  <c r="F154" i="55"/>
  <c r="AY154" i="55" s="1"/>
  <c r="F155" i="55"/>
  <c r="AY155" i="55" s="1"/>
  <c r="F156" i="55"/>
  <c r="AY156" i="55" s="1"/>
  <c r="F157" i="55"/>
  <c r="AY157" i="55" s="1"/>
  <c r="F158" i="55"/>
  <c r="AY158" i="55" s="1"/>
  <c r="F159" i="55"/>
  <c r="AY159" i="55" s="1"/>
  <c r="F160" i="55"/>
  <c r="AY160" i="55" s="1"/>
  <c r="F161" i="55"/>
  <c r="AY161" i="55" s="1"/>
  <c r="F162" i="55"/>
  <c r="AY162" i="55" s="1"/>
  <c r="F163" i="55"/>
  <c r="AY163" i="55" s="1"/>
  <c r="F164" i="55"/>
  <c r="AY164" i="55" s="1"/>
  <c r="F165" i="55"/>
  <c r="AY165" i="55" s="1"/>
  <c r="F166" i="55"/>
  <c r="AY166" i="55" s="1"/>
  <c r="F167" i="55"/>
  <c r="AY167" i="55" s="1"/>
  <c r="F168" i="55"/>
  <c r="AY168" i="55" s="1"/>
  <c r="F169" i="55"/>
  <c r="AY169" i="55" s="1"/>
  <c r="F170" i="55"/>
  <c r="AY170" i="55" s="1"/>
  <c r="F171" i="55"/>
  <c r="AY171" i="55" s="1"/>
  <c r="F172" i="55"/>
  <c r="AY172" i="55" s="1"/>
  <c r="F173" i="55"/>
  <c r="AY173" i="55" s="1"/>
  <c r="F174" i="55"/>
  <c r="AY174" i="55" s="1"/>
  <c r="F175" i="55"/>
  <c r="AY175" i="55" s="1"/>
  <c r="F176" i="55"/>
  <c r="AY176" i="55" s="1"/>
  <c r="F177" i="55"/>
  <c r="AY177" i="55" s="1"/>
  <c r="F178" i="55"/>
  <c r="AY178" i="55" s="1"/>
  <c r="F179" i="55"/>
  <c r="AY179" i="55" s="1"/>
  <c r="F180" i="55"/>
  <c r="AY180" i="55" s="1"/>
  <c r="F181" i="55"/>
  <c r="AY181" i="55" s="1"/>
  <c r="F182" i="55"/>
  <c r="AY182" i="55" s="1"/>
  <c r="F183" i="55"/>
  <c r="AY183" i="55" s="1"/>
  <c r="F184" i="55"/>
  <c r="AY184" i="55" s="1"/>
  <c r="F185" i="55"/>
  <c r="AY185" i="55" s="1"/>
  <c r="F186" i="55"/>
  <c r="AY186" i="55" s="1"/>
  <c r="F187" i="55"/>
  <c r="AY187" i="55" s="1"/>
  <c r="F188" i="55"/>
  <c r="AY188" i="55" s="1"/>
  <c r="F189" i="55"/>
  <c r="AY189" i="55" s="1"/>
  <c r="F190" i="55"/>
  <c r="AY190" i="55" s="1"/>
  <c r="F191" i="55"/>
  <c r="AY191" i="55" s="1"/>
  <c r="F192" i="55"/>
  <c r="AY192" i="55" s="1"/>
  <c r="F193" i="55"/>
  <c r="AY193" i="55" s="1"/>
  <c r="F194" i="55"/>
  <c r="AY194" i="55" s="1"/>
  <c r="F195" i="55"/>
  <c r="AY195" i="55" s="1"/>
  <c r="F196" i="55"/>
  <c r="AY196" i="55" s="1"/>
  <c r="F197" i="55"/>
  <c r="AY197" i="55" s="1"/>
  <c r="F198" i="55"/>
  <c r="AY198" i="55" s="1"/>
  <c r="F199" i="55"/>
  <c r="AY199" i="55" s="1"/>
  <c r="F200" i="55"/>
  <c r="AY200" i="55" s="1"/>
  <c r="F201" i="55"/>
  <c r="AY201" i="55" s="1"/>
  <c r="F202" i="55"/>
  <c r="AY202" i="55" s="1"/>
  <c r="F203" i="55"/>
  <c r="AY203" i="55" s="1"/>
  <c r="F204" i="55"/>
  <c r="AY204" i="55" s="1"/>
  <c r="F205" i="55"/>
  <c r="AY205" i="55" s="1"/>
  <c r="F206" i="55"/>
  <c r="AY206" i="55" s="1"/>
  <c r="F207" i="55"/>
  <c r="AY207" i="55" s="1"/>
  <c r="F208" i="55"/>
  <c r="AY208" i="55" s="1"/>
  <c r="F209" i="55"/>
  <c r="AY209" i="55" s="1"/>
  <c r="F210" i="55"/>
  <c r="AY210" i="55" s="1"/>
  <c r="F211" i="55"/>
  <c r="AY211" i="55" s="1"/>
  <c r="F212" i="55"/>
  <c r="AY212" i="55" s="1"/>
  <c r="F213" i="55"/>
  <c r="AY213" i="55" s="1"/>
  <c r="F214" i="55"/>
  <c r="AY214" i="55" s="1"/>
  <c r="F215" i="55"/>
  <c r="AY215" i="55" s="1"/>
  <c r="F216" i="55"/>
  <c r="AY216" i="55" s="1"/>
  <c r="F217" i="55"/>
  <c r="AY217" i="55" s="1"/>
  <c r="F218" i="55"/>
  <c r="AY218" i="55" s="1"/>
  <c r="F219" i="55"/>
  <c r="AY219" i="55" s="1"/>
  <c r="F220" i="55"/>
  <c r="AY220" i="55" s="1"/>
  <c r="F221" i="55"/>
  <c r="AY221" i="55" s="1"/>
  <c r="F222" i="55"/>
  <c r="AY222" i="55" s="1"/>
  <c r="F223" i="55"/>
  <c r="AY223" i="55" s="1"/>
  <c r="F224" i="55"/>
  <c r="AY224" i="55" s="1"/>
  <c r="F225" i="55"/>
  <c r="AY225" i="55" s="1"/>
  <c r="F226" i="55"/>
  <c r="AY226" i="55" s="1"/>
  <c r="F227" i="55"/>
  <c r="AY227" i="55" s="1"/>
  <c r="F228" i="55"/>
  <c r="AY228" i="55" s="1"/>
  <c r="F229" i="55"/>
  <c r="AY229" i="55" s="1"/>
  <c r="F230" i="55"/>
  <c r="AY230" i="55" s="1"/>
  <c r="F231" i="55"/>
  <c r="AY231" i="55" s="1"/>
  <c r="F232" i="55"/>
  <c r="AY232" i="55" s="1"/>
  <c r="F233" i="55"/>
  <c r="AY233" i="55" s="1"/>
  <c r="F234" i="55"/>
  <c r="AY234" i="55" s="1"/>
  <c r="F235" i="55"/>
  <c r="AY235" i="55" s="1"/>
  <c r="F236" i="55"/>
  <c r="AY236" i="55" s="1"/>
  <c r="F237" i="55"/>
  <c r="AY237" i="55" s="1"/>
  <c r="F238" i="55"/>
  <c r="AY238" i="55" s="1"/>
  <c r="F239" i="55"/>
  <c r="AY239" i="55" s="1"/>
  <c r="F240" i="55"/>
  <c r="AY240" i="55" s="1"/>
  <c r="F241" i="55"/>
  <c r="AY241" i="55" s="1"/>
  <c r="F242" i="55"/>
  <c r="AY242" i="55" s="1"/>
  <c r="F243" i="55"/>
  <c r="AY243" i="55" s="1"/>
  <c r="F244" i="55"/>
  <c r="AY244" i="55" s="1"/>
  <c r="F245" i="55"/>
  <c r="AY245" i="55" s="1"/>
  <c r="F246" i="55"/>
  <c r="AY246" i="55" s="1"/>
  <c r="F247" i="55"/>
  <c r="AY247" i="55" s="1"/>
  <c r="F248" i="55"/>
  <c r="AY248" i="55" s="1"/>
  <c r="F249" i="55"/>
  <c r="AY249" i="55" s="1"/>
  <c r="F250" i="55"/>
  <c r="AY250" i="55" s="1"/>
  <c r="F251" i="55"/>
  <c r="AY251" i="55" s="1"/>
  <c r="F252" i="55"/>
  <c r="AY252" i="55" s="1"/>
  <c r="F253" i="55"/>
  <c r="AY253" i="55" s="1"/>
  <c r="F254" i="55"/>
  <c r="AY254" i="55" s="1"/>
  <c r="F255" i="55"/>
  <c r="AY255" i="55" s="1"/>
  <c r="F256" i="55"/>
  <c r="AY256" i="55" s="1"/>
  <c r="F257" i="55"/>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M14" i="42"/>
  <c r="M15" i="42"/>
  <c r="M16" i="42"/>
  <c r="M17" i="42"/>
  <c r="M18" i="42"/>
  <c r="M19" i="42"/>
  <c r="M20" i="42"/>
  <c r="M21" i="42"/>
  <c r="M22" i="42"/>
  <c r="Q22" i="42" s="1"/>
  <c r="M23" i="42"/>
  <c r="Q23" i="42" s="1"/>
  <c r="M24" i="42"/>
  <c r="Q24" i="42" s="1"/>
  <c r="M25" i="42"/>
  <c r="Q25" i="42" s="1"/>
  <c r="M26" i="42"/>
  <c r="Q26" i="42" s="1"/>
  <c r="M27" i="42"/>
  <c r="Q27" i="42" s="1"/>
  <c r="M28" i="42"/>
  <c r="Q28" i="42" s="1"/>
  <c r="M29" i="42"/>
  <c r="Q29" i="42" s="1"/>
  <c r="M30" i="42"/>
  <c r="Q30" i="42" s="1"/>
  <c r="M31" i="42"/>
  <c r="Q31" i="42" s="1"/>
  <c r="M32" i="42"/>
  <c r="Q32" i="42" s="1"/>
  <c r="M33" i="42"/>
  <c r="Q33" i="42" s="1"/>
  <c r="M34" i="42"/>
  <c r="Q34" i="42" s="1"/>
  <c r="M35" i="42"/>
  <c r="Q35" i="42" s="1"/>
  <c r="M36" i="42"/>
  <c r="Q36" i="42" s="1"/>
  <c r="M37" i="42"/>
  <c r="Q37" i="42" s="1"/>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181" i="42" l="1"/>
  <c r="U181" i="42"/>
  <c r="Q73" i="42"/>
  <c r="U73" i="42" s="1"/>
  <c r="Q72" i="42"/>
  <c r="U72" i="42"/>
  <c r="Q255" i="42"/>
  <c r="U255" i="42"/>
  <c r="Q243" i="42"/>
  <c r="U243" i="42"/>
  <c r="Q231" i="42"/>
  <c r="U231" i="42" s="1"/>
  <c r="Q219" i="42"/>
  <c r="U219" i="42" s="1"/>
  <c r="Q207" i="42"/>
  <c r="U207" i="42" s="1"/>
  <c r="Q195" i="42"/>
  <c r="U195" i="42" s="1"/>
  <c r="Q183" i="42"/>
  <c r="U183" i="42" s="1"/>
  <c r="Q171" i="42"/>
  <c r="U171" i="42" s="1"/>
  <c r="Q159" i="42"/>
  <c r="U159" i="42" s="1"/>
  <c r="Q147" i="42"/>
  <c r="U147" i="42" s="1"/>
  <c r="Q135" i="42"/>
  <c r="U135" i="42"/>
  <c r="Q123" i="42"/>
  <c r="U123" i="42"/>
  <c r="Q111" i="42"/>
  <c r="U111" i="42" s="1"/>
  <c r="Q99" i="42"/>
  <c r="U99" i="42" s="1"/>
  <c r="Q87" i="42"/>
  <c r="U87" i="42" s="1"/>
  <c r="Q75" i="42"/>
  <c r="U75" i="42" s="1"/>
  <c r="Q63" i="42"/>
  <c r="U63" i="42" s="1"/>
  <c r="Q51" i="42"/>
  <c r="U51" i="42" s="1"/>
  <c r="Q39" i="42"/>
  <c r="U39" i="42" s="1"/>
  <c r="P15" i="42"/>
  <c r="Q15" i="42" s="1"/>
  <c r="Q253" i="42"/>
  <c r="U253" i="42" s="1"/>
  <c r="Q145" i="42"/>
  <c r="U145" i="42" s="1"/>
  <c r="Q216" i="42"/>
  <c r="U216" i="42" s="1"/>
  <c r="Q144" i="42"/>
  <c r="U144" i="42" s="1"/>
  <c r="Q120" i="42"/>
  <c r="U120" i="42" s="1"/>
  <c r="Q48" i="42"/>
  <c r="U48" i="42" s="1"/>
  <c r="Q254" i="42"/>
  <c r="U254" i="42" s="1"/>
  <c r="Q242" i="42"/>
  <c r="U242" i="42" s="1"/>
  <c r="Q230" i="42"/>
  <c r="U230" i="42" s="1"/>
  <c r="Q218" i="42"/>
  <c r="U218" i="42" s="1"/>
  <c r="Q206" i="42"/>
  <c r="U206" i="42" s="1"/>
  <c r="Q194" i="42"/>
  <c r="U194" i="42" s="1"/>
  <c r="Q182" i="42"/>
  <c r="U182" i="42" s="1"/>
  <c r="Q170" i="42"/>
  <c r="U170" i="42" s="1"/>
  <c r="Q158" i="42"/>
  <c r="U158" i="42" s="1"/>
  <c r="Q146" i="42"/>
  <c r="U146" i="42" s="1"/>
  <c r="Q134" i="42"/>
  <c r="U134" i="42" s="1"/>
  <c r="Q122" i="42"/>
  <c r="U122" i="42" s="1"/>
  <c r="Q110" i="42"/>
  <c r="U110" i="42" s="1"/>
  <c r="Q98" i="42"/>
  <c r="U98" i="42" s="1"/>
  <c r="Q86" i="42"/>
  <c r="U86" i="42" s="1"/>
  <c r="Q74" i="42"/>
  <c r="U74" i="42" s="1"/>
  <c r="Q62" i="42"/>
  <c r="U62" i="42" s="1"/>
  <c r="Q50" i="42"/>
  <c r="U50" i="42" s="1"/>
  <c r="Q38" i="42"/>
  <c r="U38" i="42" s="1"/>
  <c r="P14" i="42"/>
  <c r="Q14" i="42" s="1"/>
  <c r="Q193" i="42"/>
  <c r="U193" i="42"/>
  <c r="Q97" i="42"/>
  <c r="U97" i="42" s="1"/>
  <c r="Q168" i="42"/>
  <c r="U168" i="42" s="1"/>
  <c r="Q60" i="42"/>
  <c r="U60" i="42" s="1"/>
  <c r="Q251" i="42"/>
  <c r="U251" i="42" s="1"/>
  <c r="Q239" i="42"/>
  <c r="U239" i="42" s="1"/>
  <c r="Q227" i="42"/>
  <c r="U227" i="42" s="1"/>
  <c r="Q215" i="42"/>
  <c r="U215" i="42" s="1"/>
  <c r="Q203" i="42"/>
  <c r="U203" i="42" s="1"/>
  <c r="Q191" i="42"/>
  <c r="U191" i="42" s="1"/>
  <c r="Q179" i="42"/>
  <c r="U179" i="42" s="1"/>
  <c r="Q167" i="42"/>
  <c r="U167" i="42" s="1"/>
  <c r="Q155" i="42"/>
  <c r="U155" i="42" s="1"/>
  <c r="Q143" i="42"/>
  <c r="U143" i="42" s="1"/>
  <c r="Q131" i="42"/>
  <c r="U131" i="42" s="1"/>
  <c r="Q119" i="42"/>
  <c r="U119" i="42" s="1"/>
  <c r="Q107" i="42"/>
  <c r="U107" i="42"/>
  <c r="Q95" i="42"/>
  <c r="U95" i="42" s="1"/>
  <c r="Q83" i="42"/>
  <c r="U83" i="42" s="1"/>
  <c r="Q71" i="42"/>
  <c r="U71" i="42"/>
  <c r="Q59" i="42"/>
  <c r="U59" i="42" s="1"/>
  <c r="Q47" i="42"/>
  <c r="U47" i="42" s="1"/>
  <c r="Q157" i="42"/>
  <c r="U157" i="42" s="1"/>
  <c r="Q85" i="42"/>
  <c r="U85" i="42" s="1"/>
  <c r="Q252" i="42"/>
  <c r="U252" i="42" s="1"/>
  <c r="Q156" i="42"/>
  <c r="U156" i="42" s="1"/>
  <c r="Q84" i="42"/>
  <c r="U84" i="42" s="1"/>
  <c r="Q250" i="42"/>
  <c r="U250" i="42" s="1"/>
  <c r="Q238" i="42"/>
  <c r="U238" i="42" s="1"/>
  <c r="Q226" i="42"/>
  <c r="U226" i="42" s="1"/>
  <c r="Q214" i="42"/>
  <c r="U214" i="42" s="1"/>
  <c r="Q202" i="42"/>
  <c r="U202" i="42" s="1"/>
  <c r="Q190" i="42"/>
  <c r="U190" i="42" s="1"/>
  <c r="Q178" i="42"/>
  <c r="U178" i="42" s="1"/>
  <c r="Q166" i="42"/>
  <c r="U166" i="42" s="1"/>
  <c r="Q154" i="42"/>
  <c r="U154" i="42" s="1"/>
  <c r="Q142" i="42"/>
  <c r="U142" i="42" s="1"/>
  <c r="Q130" i="42"/>
  <c r="U130" i="42" s="1"/>
  <c r="Q118" i="42"/>
  <c r="U118" i="42" s="1"/>
  <c r="Q106" i="42"/>
  <c r="U106" i="42" s="1"/>
  <c r="Q94" i="42"/>
  <c r="U94" i="42" s="1"/>
  <c r="Q82" i="42"/>
  <c r="U82" i="42" s="1"/>
  <c r="Q70" i="42"/>
  <c r="U70" i="42" s="1"/>
  <c r="Q58" i="42"/>
  <c r="U58" i="42" s="1"/>
  <c r="Q46" i="42"/>
  <c r="U46" i="42" s="1"/>
  <c r="Q205" i="42"/>
  <c r="U205" i="42" s="1"/>
  <c r="Q121" i="42"/>
  <c r="U121" i="42" s="1"/>
  <c r="P13" i="42"/>
  <c r="Q13" i="42" s="1"/>
  <c r="R13" i="42" s="1"/>
  <c r="W13" i="42" s="1"/>
  <c r="Q180" i="42"/>
  <c r="U180" i="42" s="1"/>
  <c r="Q249" i="42"/>
  <c r="U249" i="42" s="1"/>
  <c r="Q237" i="42"/>
  <c r="U237" i="42" s="1"/>
  <c r="Q225" i="42"/>
  <c r="U225" i="42" s="1"/>
  <c r="Q213" i="42"/>
  <c r="U213" i="42" s="1"/>
  <c r="Q201" i="42"/>
  <c r="U201" i="42" s="1"/>
  <c r="Q189" i="42"/>
  <c r="U189" i="42" s="1"/>
  <c r="Q177" i="42"/>
  <c r="U177" i="42" s="1"/>
  <c r="Q165" i="42"/>
  <c r="U165" i="42" s="1"/>
  <c r="Q153" i="42"/>
  <c r="U153" i="42" s="1"/>
  <c r="Q141" i="42"/>
  <c r="U141" i="42" s="1"/>
  <c r="Q129" i="42"/>
  <c r="U129" i="42" s="1"/>
  <c r="Q117" i="42"/>
  <c r="U117" i="42" s="1"/>
  <c r="Q105" i="42"/>
  <c r="U105" i="42" s="1"/>
  <c r="Q93" i="42"/>
  <c r="U93" i="42" s="1"/>
  <c r="Q81" i="42"/>
  <c r="U81" i="42" s="1"/>
  <c r="Q69" i="42"/>
  <c r="U69" i="42" s="1"/>
  <c r="Q57" i="42"/>
  <c r="U57" i="42" s="1"/>
  <c r="Q45" i="42"/>
  <c r="U45" i="42" s="1"/>
  <c r="P21" i="42"/>
  <c r="Q21" i="42"/>
  <c r="Q241" i="42"/>
  <c r="U241" i="42" s="1"/>
  <c r="Q228" i="42"/>
  <c r="U228" i="42" s="1"/>
  <c r="Q132" i="42"/>
  <c r="U132" i="42" s="1"/>
  <c r="Q96" i="42"/>
  <c r="U96" i="42" s="1"/>
  <c r="Q248" i="42"/>
  <c r="U248" i="42" s="1"/>
  <c r="Q236" i="42"/>
  <c r="U236" i="42" s="1"/>
  <c r="Q224" i="42"/>
  <c r="U224" i="42" s="1"/>
  <c r="Q212" i="42"/>
  <c r="U212" i="42" s="1"/>
  <c r="Q200" i="42"/>
  <c r="U200" i="42" s="1"/>
  <c r="Q188" i="42"/>
  <c r="U188" i="42" s="1"/>
  <c r="Q176" i="42"/>
  <c r="U176" i="42" s="1"/>
  <c r="Q164" i="42"/>
  <c r="U164" i="42" s="1"/>
  <c r="Q152" i="42"/>
  <c r="U152" i="42" s="1"/>
  <c r="Q140" i="42"/>
  <c r="U140" i="42" s="1"/>
  <c r="Q128" i="42"/>
  <c r="U128" i="42" s="1"/>
  <c r="Q116" i="42"/>
  <c r="U116" i="42" s="1"/>
  <c r="Q104" i="42"/>
  <c r="U104" i="42" s="1"/>
  <c r="Q92" i="42"/>
  <c r="U92" i="42" s="1"/>
  <c r="Q80" i="42"/>
  <c r="U80" i="42" s="1"/>
  <c r="Q68" i="42"/>
  <c r="U68" i="42" s="1"/>
  <c r="Q56" i="42"/>
  <c r="U56" i="42" s="1"/>
  <c r="Q44" i="42"/>
  <c r="U44" i="42" s="1"/>
  <c r="P20" i="42"/>
  <c r="Q20" i="42"/>
  <c r="Q217" i="42"/>
  <c r="U217" i="42" s="1"/>
  <c r="Q133" i="42"/>
  <c r="U133" i="42" s="1"/>
  <c r="Q49" i="42"/>
  <c r="U49" i="42" s="1"/>
  <c r="Q204" i="42"/>
  <c r="U204" i="42" s="1"/>
  <c r="Q108" i="42"/>
  <c r="U108" i="42" s="1"/>
  <c r="Q259" i="42"/>
  <c r="U259" i="42" s="1"/>
  <c r="Q247" i="42"/>
  <c r="U247" i="42" s="1"/>
  <c r="Q235" i="42"/>
  <c r="U235" i="42" s="1"/>
  <c r="Q223" i="42"/>
  <c r="U223" i="42" s="1"/>
  <c r="Q211" i="42"/>
  <c r="U211" i="42" s="1"/>
  <c r="Q199" i="42"/>
  <c r="U199" i="42" s="1"/>
  <c r="Q187" i="42"/>
  <c r="U187" i="42" s="1"/>
  <c r="Q175" i="42"/>
  <c r="U175" i="42" s="1"/>
  <c r="Q163" i="42"/>
  <c r="U163" i="42" s="1"/>
  <c r="Q151" i="42"/>
  <c r="U151" i="42" s="1"/>
  <c r="Q139" i="42"/>
  <c r="U139" i="42" s="1"/>
  <c r="Q127" i="42"/>
  <c r="U127" i="42" s="1"/>
  <c r="Q115" i="42"/>
  <c r="U115" i="42" s="1"/>
  <c r="Q103" i="42"/>
  <c r="U103" i="42" s="1"/>
  <c r="Q91" i="42"/>
  <c r="U91" i="42" s="1"/>
  <c r="Q79" i="42"/>
  <c r="U79" i="42" s="1"/>
  <c r="Q67" i="42"/>
  <c r="U67" i="42" s="1"/>
  <c r="Q55" i="42"/>
  <c r="U55" i="42" s="1"/>
  <c r="Q43" i="42"/>
  <c r="U43" i="42" s="1"/>
  <c r="P19" i="42"/>
  <c r="Q19" i="42"/>
  <c r="Q169" i="42"/>
  <c r="U169" i="42" s="1"/>
  <c r="Q258" i="42"/>
  <c r="U258" i="42" s="1"/>
  <c r="Q246" i="42"/>
  <c r="U246" i="42"/>
  <c r="Q234" i="42"/>
  <c r="U234" i="42" s="1"/>
  <c r="Q222" i="42"/>
  <c r="U222" i="42" s="1"/>
  <c r="Q210" i="42"/>
  <c r="U210" i="42" s="1"/>
  <c r="Q198" i="42"/>
  <c r="U198" i="42" s="1"/>
  <c r="Q186" i="42"/>
  <c r="U186" i="42" s="1"/>
  <c r="Q174" i="42"/>
  <c r="U174" i="42" s="1"/>
  <c r="Q162" i="42"/>
  <c r="U162" i="42" s="1"/>
  <c r="Q150" i="42"/>
  <c r="U150" i="42" s="1"/>
  <c r="Q138" i="42"/>
  <c r="U138" i="42" s="1"/>
  <c r="Q126" i="42"/>
  <c r="U126" i="42" s="1"/>
  <c r="Q114" i="42"/>
  <c r="U114" i="42" s="1"/>
  <c r="Q102" i="42"/>
  <c r="U102" i="42" s="1"/>
  <c r="Q90" i="42"/>
  <c r="U90" i="42" s="1"/>
  <c r="Q78" i="42"/>
  <c r="U78" i="42" s="1"/>
  <c r="Q66" i="42"/>
  <c r="U66" i="42" s="1"/>
  <c r="Q54" i="42"/>
  <c r="U54" i="42" s="1"/>
  <c r="Q42" i="42"/>
  <c r="U42" i="42" s="1"/>
  <c r="P18" i="42"/>
  <c r="Q18" i="42"/>
  <c r="Q109" i="42"/>
  <c r="U109" i="42" s="1"/>
  <c r="Q240" i="42"/>
  <c r="U240" i="42" s="1"/>
  <c r="Q257" i="42"/>
  <c r="U257" i="42" s="1"/>
  <c r="Q245" i="42"/>
  <c r="U245" i="42" s="1"/>
  <c r="Q233" i="42"/>
  <c r="U233" i="42" s="1"/>
  <c r="Q221" i="42"/>
  <c r="U221" i="42" s="1"/>
  <c r="Q209" i="42"/>
  <c r="U209" i="42" s="1"/>
  <c r="Q197" i="42"/>
  <c r="U197" i="42" s="1"/>
  <c r="Q185" i="42"/>
  <c r="U185" i="42" s="1"/>
  <c r="Q173" i="42"/>
  <c r="U173" i="42" s="1"/>
  <c r="Q161" i="42"/>
  <c r="U161" i="42" s="1"/>
  <c r="Q149" i="42"/>
  <c r="U149" i="42" s="1"/>
  <c r="Q137" i="42"/>
  <c r="U137" i="42" s="1"/>
  <c r="Q125" i="42"/>
  <c r="U125" i="42" s="1"/>
  <c r="Q113" i="42"/>
  <c r="U113" i="42" s="1"/>
  <c r="Q101" i="42"/>
  <c r="U101" i="42" s="1"/>
  <c r="Q89" i="42"/>
  <c r="U89" i="42" s="1"/>
  <c r="Q77" i="42"/>
  <c r="U77" i="42" s="1"/>
  <c r="Q65" i="42"/>
  <c r="U65" i="42" s="1"/>
  <c r="Q53" i="42"/>
  <c r="U53" i="42" s="1"/>
  <c r="Q41" i="42"/>
  <c r="U41" i="42" s="1"/>
  <c r="P17" i="42"/>
  <c r="Q17" i="42"/>
  <c r="Q229" i="42"/>
  <c r="U229" i="42" s="1"/>
  <c r="Q61" i="42"/>
  <c r="U61" i="42" s="1"/>
  <c r="Q192" i="42"/>
  <c r="U192" i="42" s="1"/>
  <c r="Q256" i="42"/>
  <c r="U256" i="42" s="1"/>
  <c r="Q244" i="42"/>
  <c r="U244" i="42" s="1"/>
  <c r="Q232" i="42"/>
  <c r="U232" i="42" s="1"/>
  <c r="Q220" i="42"/>
  <c r="U220" i="42" s="1"/>
  <c r="Q208" i="42"/>
  <c r="U208" i="42" s="1"/>
  <c r="Q196" i="42"/>
  <c r="U196" i="42" s="1"/>
  <c r="Q184" i="42"/>
  <c r="U184" i="42" s="1"/>
  <c r="Q172" i="42"/>
  <c r="U172" i="42" s="1"/>
  <c r="Q160" i="42"/>
  <c r="U160" i="42" s="1"/>
  <c r="Q148" i="42"/>
  <c r="U148" i="42" s="1"/>
  <c r="Q136" i="42"/>
  <c r="U136" i="42" s="1"/>
  <c r="Q124" i="42"/>
  <c r="U124" i="42" s="1"/>
  <c r="Q112" i="42"/>
  <c r="U112" i="42" s="1"/>
  <c r="Q100" i="42"/>
  <c r="U100" i="42" s="1"/>
  <c r="Q88" i="42"/>
  <c r="U88" i="42" s="1"/>
  <c r="Q76" i="42"/>
  <c r="U76" i="42" s="1"/>
  <c r="Q64" i="42"/>
  <c r="U64" i="42" s="1"/>
  <c r="Q52" i="42"/>
  <c r="U52" i="42" s="1"/>
  <c r="Q40" i="42"/>
  <c r="U40" i="42" s="1"/>
  <c r="P16" i="42"/>
  <c r="Q16" i="42" s="1"/>
  <c r="I13" i="55"/>
  <c r="N13" i="55" s="1"/>
  <c r="I12" i="55"/>
  <c r="K101" i="36"/>
  <c r="P252" i="42"/>
  <c r="P240" i="42"/>
  <c r="P232" i="42"/>
  <c r="P220" i="42"/>
  <c r="P212" i="42"/>
  <c r="P200" i="42"/>
  <c r="P196" i="42"/>
  <c r="P184" i="42"/>
  <c r="P176" i="42"/>
  <c r="P164" i="42"/>
  <c r="P156" i="42"/>
  <c r="P144" i="42"/>
  <c r="P136" i="42"/>
  <c r="P128" i="42"/>
  <c r="P120" i="42"/>
  <c r="P108" i="42"/>
  <c r="P92" i="42"/>
  <c r="P84" i="42"/>
  <c r="P72" i="42"/>
  <c r="P259" i="42"/>
  <c r="P255" i="42"/>
  <c r="P251" i="42"/>
  <c r="P247" i="42"/>
  <c r="P243" i="42"/>
  <c r="P239" i="42"/>
  <c r="P235" i="42"/>
  <c r="P231" i="42"/>
  <c r="P227" i="42"/>
  <c r="P223" i="42"/>
  <c r="P219" i="42"/>
  <c r="P215" i="42"/>
  <c r="P211" i="42"/>
  <c r="P207" i="42"/>
  <c r="P203" i="42"/>
  <c r="P199" i="42"/>
  <c r="P195" i="42"/>
  <c r="P191" i="42"/>
  <c r="P187" i="42"/>
  <c r="P183" i="42"/>
  <c r="P179" i="42"/>
  <c r="P175" i="42"/>
  <c r="P171" i="42"/>
  <c r="P167" i="42"/>
  <c r="P163" i="42"/>
  <c r="P159" i="42"/>
  <c r="P155" i="42"/>
  <c r="P151" i="42"/>
  <c r="P147" i="42"/>
  <c r="P143" i="42"/>
  <c r="P139" i="42"/>
  <c r="P135" i="42"/>
  <c r="P131" i="42"/>
  <c r="P127" i="42"/>
  <c r="P123" i="42"/>
  <c r="P119" i="42"/>
  <c r="P115" i="42"/>
  <c r="P111" i="42"/>
  <c r="P107" i="42"/>
  <c r="P103" i="42"/>
  <c r="P99" i="42"/>
  <c r="P95" i="42"/>
  <c r="P91" i="42"/>
  <c r="P87" i="42"/>
  <c r="P83" i="42"/>
  <c r="P79" i="42"/>
  <c r="P75" i="42"/>
  <c r="P71" i="42"/>
  <c r="P67" i="42"/>
  <c r="P63" i="42"/>
  <c r="P59" i="42"/>
  <c r="P55" i="42"/>
  <c r="P51" i="42"/>
  <c r="P47" i="42"/>
  <c r="P43" i="42"/>
  <c r="P39" i="42"/>
  <c r="P35" i="42"/>
  <c r="P31" i="42"/>
  <c r="P27" i="42"/>
  <c r="P23" i="42"/>
  <c r="P248" i="42"/>
  <c r="P224" i="42"/>
  <c r="P208" i="42"/>
  <c r="P188" i="42"/>
  <c r="P168" i="42"/>
  <c r="P152" i="42"/>
  <c r="P132" i="42"/>
  <c r="P112" i="42"/>
  <c r="P100" i="42"/>
  <c r="P80" i="42"/>
  <c r="P64" i="42"/>
  <c r="P52" i="42"/>
  <c r="P40" i="42"/>
  <c r="P24" i="42"/>
  <c r="P250" i="42"/>
  <c r="P238" i="42"/>
  <c r="P230" i="42"/>
  <c r="P218" i="42"/>
  <c r="P206" i="42"/>
  <c r="P198" i="42"/>
  <c r="P186" i="42"/>
  <c r="P174" i="42"/>
  <c r="P162" i="42"/>
  <c r="P150" i="42"/>
  <c r="P138" i="42"/>
  <c r="P130" i="42"/>
  <c r="P118" i="42"/>
  <c r="P106" i="42"/>
  <c r="P94" i="42"/>
  <c r="P86" i="42"/>
  <c r="P74" i="42"/>
  <c r="P58" i="42"/>
  <c r="P22" i="42"/>
  <c r="P256" i="42"/>
  <c r="P244" i="42"/>
  <c r="P236" i="42"/>
  <c r="P228" i="42"/>
  <c r="P216" i="42"/>
  <c r="P204" i="42"/>
  <c r="P192" i="42"/>
  <c r="P180" i="42"/>
  <c r="P172" i="42"/>
  <c r="P160" i="42"/>
  <c r="P148" i="42"/>
  <c r="P140" i="42"/>
  <c r="P124" i="42"/>
  <c r="P116" i="42"/>
  <c r="P104" i="42"/>
  <c r="P96" i="42"/>
  <c r="P88" i="42"/>
  <c r="P76" i="42"/>
  <c r="P68" i="42"/>
  <c r="P60" i="42"/>
  <c r="P56" i="42"/>
  <c r="P48" i="42"/>
  <c r="P44" i="42"/>
  <c r="P36" i="42"/>
  <c r="P32" i="42"/>
  <c r="P28" i="42"/>
  <c r="P258" i="42"/>
  <c r="P254" i="42"/>
  <c r="P246" i="42"/>
  <c r="P242" i="42"/>
  <c r="P234" i="42"/>
  <c r="P226" i="42"/>
  <c r="P222" i="42"/>
  <c r="P214" i="42"/>
  <c r="P210" i="42"/>
  <c r="P202" i="42"/>
  <c r="P194" i="42"/>
  <c r="P190" i="42"/>
  <c r="P182" i="42"/>
  <c r="P178" i="42"/>
  <c r="P170" i="42"/>
  <c r="P166" i="42"/>
  <c r="P158" i="42"/>
  <c r="P154" i="42"/>
  <c r="P146" i="42"/>
  <c r="P142" i="42"/>
  <c r="P134" i="42"/>
  <c r="P126" i="42"/>
  <c r="P122" i="42"/>
  <c r="P114" i="42"/>
  <c r="P110" i="42"/>
  <c r="P102" i="42"/>
  <c r="P98" i="42"/>
  <c r="P90" i="42"/>
  <c r="P82" i="42"/>
  <c r="P78" i="42"/>
  <c r="P70" i="42"/>
  <c r="P66" i="42"/>
  <c r="P62" i="42"/>
  <c r="P54" i="42"/>
  <c r="P50" i="42"/>
  <c r="P46" i="42"/>
  <c r="P42" i="42"/>
  <c r="P38" i="42"/>
  <c r="P34" i="42"/>
  <c r="P30" i="42"/>
  <c r="P26" i="42"/>
  <c r="P257" i="42"/>
  <c r="P253" i="42"/>
  <c r="P249" i="42"/>
  <c r="P245" i="42"/>
  <c r="P241" i="42"/>
  <c r="P237" i="42"/>
  <c r="P233" i="42"/>
  <c r="P229" i="42"/>
  <c r="P225" i="42"/>
  <c r="P221" i="42"/>
  <c r="P217" i="42"/>
  <c r="P213" i="42"/>
  <c r="P209" i="42"/>
  <c r="P205" i="42"/>
  <c r="P201" i="42"/>
  <c r="P197" i="42"/>
  <c r="P193" i="42"/>
  <c r="P189" i="42"/>
  <c r="P185" i="42"/>
  <c r="P181" i="42"/>
  <c r="P177" i="42"/>
  <c r="P173" i="42"/>
  <c r="P169" i="42"/>
  <c r="P165" i="42"/>
  <c r="P161" i="42"/>
  <c r="P157" i="42"/>
  <c r="P153" i="42"/>
  <c r="P149" i="42"/>
  <c r="P145" i="42"/>
  <c r="P141" i="42"/>
  <c r="P137" i="42"/>
  <c r="P133" i="42"/>
  <c r="P129" i="42"/>
  <c r="P125" i="42"/>
  <c r="P121" i="42"/>
  <c r="P117" i="42"/>
  <c r="P113" i="42"/>
  <c r="P109" i="42"/>
  <c r="P105" i="42"/>
  <c r="P101" i="42"/>
  <c r="P97" i="42"/>
  <c r="P93" i="42"/>
  <c r="P89" i="42"/>
  <c r="P85" i="42"/>
  <c r="P81" i="42"/>
  <c r="P77" i="42"/>
  <c r="P73" i="42"/>
  <c r="P69" i="42"/>
  <c r="P65" i="42"/>
  <c r="P61" i="42"/>
  <c r="P57" i="42"/>
  <c r="P53" i="42"/>
  <c r="P49" i="42"/>
  <c r="P45" i="42"/>
  <c r="P41" i="42"/>
  <c r="P37" i="42"/>
  <c r="P33" i="42"/>
  <c r="P29" i="42"/>
  <c r="P25" i="42"/>
  <c r="T156" i="22"/>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T32" i="42"/>
  <c r="U32" i="42" s="1"/>
  <c r="T24" i="42"/>
  <c r="U24" i="42" s="1"/>
  <c r="T31" i="42"/>
  <c r="U31" i="42" s="1"/>
  <c r="T23" i="42"/>
  <c r="U23" i="42" s="1"/>
  <c r="T22" i="42"/>
  <c r="U22" i="42" s="1"/>
  <c r="R19" i="42"/>
  <c r="W19" i="42" s="1"/>
  <c r="T29" i="42"/>
  <c r="U29" i="42" s="1"/>
  <c r="V12" i="42"/>
  <c r="I150" i="22"/>
  <c r="K109" i="36"/>
  <c r="K107" i="36"/>
  <c r="K105" i="36"/>
  <c r="K103" i="36"/>
  <c r="L103" i="36" s="1"/>
  <c r="F21" i="36"/>
  <c r="F27" i="36"/>
  <c r="U227" i="55"/>
  <c r="X12" i="58"/>
  <c r="S238" i="52"/>
  <c r="R238" i="52"/>
  <c r="N238" i="52" s="1"/>
  <c r="U238" i="52" s="1"/>
  <c r="S206" i="52"/>
  <c r="R206" i="52"/>
  <c r="N206" i="52" s="1"/>
  <c r="U206" i="52" s="1"/>
  <c r="S158" i="52"/>
  <c r="R158" i="52"/>
  <c r="N158" i="52" s="1"/>
  <c r="U158" i="52" s="1"/>
  <c r="S142" i="52"/>
  <c r="R142" i="52"/>
  <c r="N142" i="52" s="1"/>
  <c r="U142" i="52" s="1"/>
  <c r="S250" i="52"/>
  <c r="R250" i="52"/>
  <c r="N250" i="52" s="1"/>
  <c r="U250" i="52" s="1"/>
  <c r="S234" i="52"/>
  <c r="R234" i="52"/>
  <c r="N234" i="52" s="1"/>
  <c r="U234" i="52" s="1"/>
  <c r="S218" i="52"/>
  <c r="R218" i="52"/>
  <c r="N218" i="52" s="1"/>
  <c r="U218" i="52" s="1"/>
  <c r="S202" i="52"/>
  <c r="R202" i="52"/>
  <c r="N202" i="52" s="1"/>
  <c r="U202" i="52" s="1"/>
  <c r="S186" i="52"/>
  <c r="R186" i="52"/>
  <c r="N186" i="52" s="1"/>
  <c r="U186" i="52" s="1"/>
  <c r="S170" i="52"/>
  <c r="R170" i="52"/>
  <c r="N170" i="52" s="1"/>
  <c r="U170" i="52" s="1"/>
  <c r="S154" i="52"/>
  <c r="R154" i="52"/>
  <c r="N154" i="52" s="1"/>
  <c r="U154" i="52" s="1"/>
  <c r="S138" i="52"/>
  <c r="R138" i="52"/>
  <c r="N138" i="52" s="1"/>
  <c r="U138" i="52" s="1"/>
  <c r="S122" i="52"/>
  <c r="R122" i="52"/>
  <c r="N122" i="52" s="1"/>
  <c r="U122" i="52" s="1"/>
  <c r="S106" i="52"/>
  <c r="R106" i="52"/>
  <c r="N106" i="52" s="1"/>
  <c r="U106" i="52" s="1"/>
  <c r="S90" i="52"/>
  <c r="R90" i="52"/>
  <c r="N90" i="52" s="1"/>
  <c r="U90" i="52" s="1"/>
  <c r="S74" i="52"/>
  <c r="R74" i="52"/>
  <c r="N74" i="52" s="1"/>
  <c r="U74" i="52" s="1"/>
  <c r="S58" i="52"/>
  <c r="R58" i="52"/>
  <c r="N58" i="52" s="1"/>
  <c r="U58" i="52" s="1"/>
  <c r="S42" i="52"/>
  <c r="R42" i="52"/>
  <c r="N42" i="52" s="1"/>
  <c r="U42" i="52" s="1"/>
  <c r="S26" i="52"/>
  <c r="R26" i="52"/>
  <c r="N26" i="52" s="1"/>
  <c r="U26" i="52" s="1"/>
  <c r="S144" i="52"/>
  <c r="R144" i="52"/>
  <c r="N144" i="52" s="1"/>
  <c r="U144" i="52" s="1"/>
  <c r="S80" i="52"/>
  <c r="R80" i="52"/>
  <c r="N80" i="52" s="1"/>
  <c r="U80" i="52" s="1"/>
  <c r="S64" i="52"/>
  <c r="R64" i="52"/>
  <c r="N64" i="52" s="1"/>
  <c r="U64" i="52" s="1"/>
  <c r="S224" i="52"/>
  <c r="R224" i="52"/>
  <c r="N224" i="52" s="1"/>
  <c r="U224" i="52" s="1"/>
  <c r="S48" i="52"/>
  <c r="R48" i="52"/>
  <c r="N48" i="52" s="1"/>
  <c r="U48" i="52" s="1"/>
  <c r="S32" i="52"/>
  <c r="R32" i="52"/>
  <c r="N32" i="52" s="1"/>
  <c r="U32" i="52" s="1"/>
  <c r="S16" i="52"/>
  <c r="R16" i="52"/>
  <c r="N16" i="52" s="1"/>
  <c r="U16" i="52" s="1"/>
  <c r="S246" i="52"/>
  <c r="R246" i="52"/>
  <c r="N246" i="52" s="1"/>
  <c r="U246" i="52" s="1"/>
  <c r="S230" i="52"/>
  <c r="R230" i="52"/>
  <c r="N230" i="52" s="1"/>
  <c r="U230" i="52" s="1"/>
  <c r="S214" i="52"/>
  <c r="R214" i="52"/>
  <c r="N214" i="52" s="1"/>
  <c r="U214" i="52" s="1"/>
  <c r="S198" i="52"/>
  <c r="R198" i="52"/>
  <c r="N198" i="52" s="1"/>
  <c r="U198" i="52" s="1"/>
  <c r="S182" i="52"/>
  <c r="R182" i="52"/>
  <c r="N182" i="52" s="1"/>
  <c r="U182" i="52" s="1"/>
  <c r="S166" i="52"/>
  <c r="R166" i="52"/>
  <c r="N166" i="52" s="1"/>
  <c r="U166" i="52" s="1"/>
  <c r="S150" i="52"/>
  <c r="R150" i="52"/>
  <c r="N150" i="52" s="1"/>
  <c r="U150" i="52" s="1"/>
  <c r="S134" i="52"/>
  <c r="R134" i="52"/>
  <c r="N134" i="52" s="1"/>
  <c r="U134" i="52" s="1"/>
  <c r="S118" i="52"/>
  <c r="R118" i="52"/>
  <c r="N118" i="52" s="1"/>
  <c r="U118" i="52" s="1"/>
  <c r="S102" i="52"/>
  <c r="R102" i="52"/>
  <c r="N102" i="52" s="1"/>
  <c r="U102" i="52" s="1"/>
  <c r="S86" i="52"/>
  <c r="R86" i="52"/>
  <c r="N86" i="52" s="1"/>
  <c r="U86" i="52" s="1"/>
  <c r="S70" i="52"/>
  <c r="R70" i="52"/>
  <c r="N70" i="52" s="1"/>
  <c r="U70" i="52" s="1"/>
  <c r="S54" i="52"/>
  <c r="R54" i="52"/>
  <c r="N54" i="52" s="1"/>
  <c r="U54" i="52" s="1"/>
  <c r="S38" i="52"/>
  <c r="R38" i="52"/>
  <c r="N38" i="52" s="1"/>
  <c r="U38" i="52" s="1"/>
  <c r="S22" i="52"/>
  <c r="R22" i="52"/>
  <c r="N22" i="52" s="1"/>
  <c r="U22" i="52" s="1"/>
  <c r="S236" i="52"/>
  <c r="R236" i="52"/>
  <c r="N236" i="52" s="1"/>
  <c r="U236" i="52" s="1"/>
  <c r="S220" i="52"/>
  <c r="R220" i="52"/>
  <c r="N220" i="52" s="1"/>
  <c r="U220" i="52" s="1"/>
  <c r="S204" i="52"/>
  <c r="R204" i="52"/>
  <c r="N204" i="52" s="1"/>
  <c r="U204" i="52" s="1"/>
  <c r="S188" i="52"/>
  <c r="R188" i="52"/>
  <c r="N188" i="52" s="1"/>
  <c r="U188" i="52" s="1"/>
  <c r="S172" i="52"/>
  <c r="R172" i="52"/>
  <c r="N172" i="52" s="1"/>
  <c r="U172" i="52" s="1"/>
  <c r="S156" i="52"/>
  <c r="R156" i="52"/>
  <c r="N156" i="52" s="1"/>
  <c r="U156" i="52" s="1"/>
  <c r="S140" i="52"/>
  <c r="R140" i="52"/>
  <c r="N140" i="52" s="1"/>
  <c r="U140" i="52" s="1"/>
  <c r="S124" i="52"/>
  <c r="R124" i="52"/>
  <c r="N124" i="52" s="1"/>
  <c r="U124" i="52" s="1"/>
  <c r="S108" i="52"/>
  <c r="R108" i="52"/>
  <c r="N108" i="52" s="1"/>
  <c r="U108" i="52" s="1"/>
  <c r="S92" i="52"/>
  <c r="R92" i="52"/>
  <c r="N92" i="52" s="1"/>
  <c r="U92" i="52" s="1"/>
  <c r="S76" i="52"/>
  <c r="R76" i="52"/>
  <c r="N76" i="52" s="1"/>
  <c r="U76" i="52" s="1"/>
  <c r="S60" i="52"/>
  <c r="R60" i="52"/>
  <c r="N60" i="52" s="1"/>
  <c r="U60" i="52" s="1"/>
  <c r="S44" i="52"/>
  <c r="R44" i="52"/>
  <c r="N44" i="52" s="1"/>
  <c r="U44" i="52" s="1"/>
  <c r="R28" i="52"/>
  <c r="N28" i="52" s="1"/>
  <c r="U28" i="52" s="1"/>
  <c r="S28" i="52"/>
  <c r="S12" i="52"/>
  <c r="R12" i="52"/>
  <c r="N12" i="52" s="1"/>
  <c r="U12" i="52" s="1"/>
  <c r="S240" i="52"/>
  <c r="R240" i="52"/>
  <c r="N240" i="52" s="1"/>
  <c r="U240" i="52" s="1"/>
  <c r="S208" i="52"/>
  <c r="R208" i="52"/>
  <c r="N208" i="52" s="1"/>
  <c r="U208" i="52" s="1"/>
  <c r="S112" i="52"/>
  <c r="R112" i="52"/>
  <c r="N112" i="52" s="1"/>
  <c r="U112" i="52" s="1"/>
  <c r="S96" i="52"/>
  <c r="R96" i="52"/>
  <c r="N96" i="52" s="1"/>
  <c r="U96" i="52" s="1"/>
  <c r="S252" i="52"/>
  <c r="R252" i="52"/>
  <c r="N252" i="52" s="1"/>
  <c r="U252" i="52" s="1"/>
  <c r="S242" i="52"/>
  <c r="R242" i="52"/>
  <c r="N242" i="52" s="1"/>
  <c r="U242" i="52" s="1"/>
  <c r="S226" i="52"/>
  <c r="R226" i="52"/>
  <c r="N226" i="52" s="1"/>
  <c r="U226" i="52" s="1"/>
  <c r="S210" i="52"/>
  <c r="R210" i="52"/>
  <c r="N210" i="52" s="1"/>
  <c r="U210" i="52" s="1"/>
  <c r="S194" i="52"/>
  <c r="R194" i="52"/>
  <c r="N194" i="52" s="1"/>
  <c r="U194" i="52" s="1"/>
  <c r="S178" i="52"/>
  <c r="R178" i="52"/>
  <c r="N178" i="52" s="1"/>
  <c r="U178" i="52" s="1"/>
  <c r="S162" i="52"/>
  <c r="R162" i="52"/>
  <c r="N162" i="52" s="1"/>
  <c r="U162" i="52" s="1"/>
  <c r="S146" i="52"/>
  <c r="R146" i="52"/>
  <c r="N146" i="52" s="1"/>
  <c r="U146" i="52" s="1"/>
  <c r="S130" i="52"/>
  <c r="R130" i="52"/>
  <c r="N130" i="52" s="1"/>
  <c r="U130" i="52" s="1"/>
  <c r="S114" i="52"/>
  <c r="R114" i="52"/>
  <c r="N114" i="52" s="1"/>
  <c r="U114" i="52" s="1"/>
  <c r="S98" i="52"/>
  <c r="R98" i="52"/>
  <c r="N98" i="52" s="1"/>
  <c r="U98" i="52" s="1"/>
  <c r="S82" i="52"/>
  <c r="R82" i="52"/>
  <c r="N82" i="52" s="1"/>
  <c r="U82" i="52" s="1"/>
  <c r="S66" i="52"/>
  <c r="R66" i="52"/>
  <c r="N66" i="52" s="1"/>
  <c r="U66" i="52" s="1"/>
  <c r="S50" i="52"/>
  <c r="R50" i="52"/>
  <c r="N50" i="52" s="1"/>
  <c r="U50" i="52" s="1"/>
  <c r="S34" i="52"/>
  <c r="R34" i="52"/>
  <c r="N34" i="52" s="1"/>
  <c r="U34" i="52" s="1"/>
  <c r="S18" i="52"/>
  <c r="R18" i="52"/>
  <c r="N18" i="52" s="1"/>
  <c r="U18" i="52" s="1"/>
  <c r="S192" i="52"/>
  <c r="R192" i="52"/>
  <c r="N192" i="52" s="1"/>
  <c r="U192" i="52" s="1"/>
  <c r="S128" i="52"/>
  <c r="R128" i="52"/>
  <c r="N128" i="52" s="1"/>
  <c r="U128" i="52" s="1"/>
  <c r="S248" i="52"/>
  <c r="R248" i="52"/>
  <c r="N248" i="52" s="1"/>
  <c r="U248" i="52" s="1"/>
  <c r="S232" i="52"/>
  <c r="R232" i="52"/>
  <c r="N232" i="52" s="1"/>
  <c r="U232" i="52" s="1"/>
  <c r="S216" i="52"/>
  <c r="R216" i="52"/>
  <c r="N216" i="52" s="1"/>
  <c r="U216" i="52" s="1"/>
  <c r="S200" i="52"/>
  <c r="R200" i="52"/>
  <c r="N200" i="52" s="1"/>
  <c r="U200" i="52" s="1"/>
  <c r="S184" i="52"/>
  <c r="R184" i="52"/>
  <c r="N184" i="52" s="1"/>
  <c r="U184" i="52" s="1"/>
  <c r="S168" i="52"/>
  <c r="R168" i="52"/>
  <c r="N168" i="52" s="1"/>
  <c r="U168" i="52" s="1"/>
  <c r="S152" i="52"/>
  <c r="R152" i="52"/>
  <c r="N152" i="52" s="1"/>
  <c r="U152" i="52" s="1"/>
  <c r="S136" i="52"/>
  <c r="R136" i="52"/>
  <c r="N136" i="52" s="1"/>
  <c r="U136" i="52" s="1"/>
  <c r="S120" i="52"/>
  <c r="R120" i="52"/>
  <c r="N120" i="52" s="1"/>
  <c r="U120" i="52" s="1"/>
  <c r="S104" i="52"/>
  <c r="R104" i="52"/>
  <c r="N104" i="52" s="1"/>
  <c r="U104" i="52" s="1"/>
  <c r="S88" i="52"/>
  <c r="R88" i="52"/>
  <c r="N88" i="52" s="1"/>
  <c r="U88" i="52" s="1"/>
  <c r="S72" i="52"/>
  <c r="R72" i="52"/>
  <c r="N72" i="52" s="1"/>
  <c r="U72" i="52" s="1"/>
  <c r="S56" i="52"/>
  <c r="R56" i="52"/>
  <c r="N56" i="52" s="1"/>
  <c r="U56" i="52" s="1"/>
  <c r="S40" i="52"/>
  <c r="R40" i="52"/>
  <c r="N40" i="52" s="1"/>
  <c r="U40" i="52" s="1"/>
  <c r="S24" i="52"/>
  <c r="R24" i="52"/>
  <c r="N24" i="52" s="1"/>
  <c r="U24" i="52" s="1"/>
  <c r="S256" i="52"/>
  <c r="R256" i="52"/>
  <c r="N256" i="52" s="1"/>
  <c r="U256" i="52" s="1"/>
  <c r="S176" i="52"/>
  <c r="R176" i="52"/>
  <c r="N176" i="52" s="1"/>
  <c r="U176" i="52" s="1"/>
  <c r="S254" i="52"/>
  <c r="R254" i="52"/>
  <c r="N254" i="52" s="1"/>
  <c r="U254" i="52" s="1"/>
  <c r="S222" i="52"/>
  <c r="R222" i="52"/>
  <c r="N222" i="52" s="1"/>
  <c r="U222" i="52" s="1"/>
  <c r="S190" i="52"/>
  <c r="R190" i="52"/>
  <c r="N190" i="52" s="1"/>
  <c r="U190" i="52" s="1"/>
  <c r="S126" i="52"/>
  <c r="R126" i="52"/>
  <c r="N126" i="52" s="1"/>
  <c r="U126" i="52" s="1"/>
  <c r="S110" i="52"/>
  <c r="R110" i="52"/>
  <c r="N110" i="52" s="1"/>
  <c r="U110" i="52" s="1"/>
  <c r="S94" i="52"/>
  <c r="R94" i="52"/>
  <c r="N94" i="52" s="1"/>
  <c r="U94" i="52" s="1"/>
  <c r="S78" i="52"/>
  <c r="R78" i="52"/>
  <c r="N78" i="52" s="1"/>
  <c r="U78" i="52" s="1"/>
  <c r="S62" i="52"/>
  <c r="R62" i="52"/>
  <c r="N62" i="52" s="1"/>
  <c r="U62" i="52" s="1"/>
  <c r="S46" i="52"/>
  <c r="R46" i="52"/>
  <c r="N46" i="52" s="1"/>
  <c r="U46" i="52" s="1"/>
  <c r="S30" i="52"/>
  <c r="R30" i="52"/>
  <c r="N30" i="52" s="1"/>
  <c r="U30" i="52" s="1"/>
  <c r="S14" i="52"/>
  <c r="R14" i="52"/>
  <c r="N14" i="52" s="1"/>
  <c r="U14" i="52" s="1"/>
  <c r="S160" i="52"/>
  <c r="R160" i="52"/>
  <c r="N160" i="52" s="1"/>
  <c r="U160" i="52" s="1"/>
  <c r="S174" i="52"/>
  <c r="R174" i="52"/>
  <c r="N174" i="52" s="1"/>
  <c r="U174" i="52" s="1"/>
  <c r="S244" i="52"/>
  <c r="R244" i="52"/>
  <c r="N244" i="52" s="1"/>
  <c r="U244" i="52" s="1"/>
  <c r="S228" i="52"/>
  <c r="R228" i="52"/>
  <c r="N228" i="52" s="1"/>
  <c r="U228" i="52" s="1"/>
  <c r="S212" i="52"/>
  <c r="R212" i="52"/>
  <c r="N212" i="52" s="1"/>
  <c r="U212" i="52" s="1"/>
  <c r="S196" i="52"/>
  <c r="R196" i="52"/>
  <c r="N196" i="52" s="1"/>
  <c r="U196" i="52" s="1"/>
  <c r="S180" i="52"/>
  <c r="R180" i="52"/>
  <c r="N180" i="52" s="1"/>
  <c r="U180" i="52" s="1"/>
  <c r="S164" i="52"/>
  <c r="R164" i="52"/>
  <c r="N164" i="52" s="1"/>
  <c r="U164" i="52" s="1"/>
  <c r="S148" i="52"/>
  <c r="R148" i="52"/>
  <c r="N148" i="52" s="1"/>
  <c r="U148" i="52" s="1"/>
  <c r="S132" i="52"/>
  <c r="R132" i="52"/>
  <c r="N132" i="52" s="1"/>
  <c r="U132" i="52" s="1"/>
  <c r="S116" i="52"/>
  <c r="R116" i="52"/>
  <c r="N116" i="52" s="1"/>
  <c r="U116" i="52" s="1"/>
  <c r="S100" i="52"/>
  <c r="R100" i="52"/>
  <c r="N100" i="52" s="1"/>
  <c r="U100" i="52" s="1"/>
  <c r="S84" i="52"/>
  <c r="R84" i="52"/>
  <c r="N84" i="52" s="1"/>
  <c r="U84" i="52" s="1"/>
  <c r="S68" i="52"/>
  <c r="R68" i="52"/>
  <c r="N68" i="52" s="1"/>
  <c r="U68" i="52" s="1"/>
  <c r="S52" i="52"/>
  <c r="R52" i="52"/>
  <c r="N52" i="52" s="1"/>
  <c r="U52" i="52" s="1"/>
  <c r="S36" i="52"/>
  <c r="R36" i="52"/>
  <c r="N36" i="52" s="1"/>
  <c r="U36" i="52" s="1"/>
  <c r="S20" i="52"/>
  <c r="R20" i="52"/>
  <c r="N20" i="52" s="1"/>
  <c r="U20" i="52" s="1"/>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U14" i="55"/>
  <c r="U13" i="55"/>
  <c r="V12" i="55"/>
  <c r="R11" i="52"/>
  <c r="N11" i="52" s="1"/>
  <c r="AN10" i="55" a="1"/>
  <c r="AN10" i="55" s="1"/>
  <c r="B12" i="57" s="1"/>
  <c r="P12" i="57" s="1"/>
  <c r="AK10" i="52" a="1"/>
  <c r="AK10" i="52" s="1"/>
  <c r="AM10" i="55" a="1"/>
  <c r="AM10" i="55" s="1"/>
  <c r="AM11" i="55" s="1" a="1"/>
  <c r="AM11" i="55" s="1"/>
  <c r="W258" i="55"/>
  <c r="AJ10" i="52" a="1"/>
  <c r="AJ10" i="52" s="1"/>
  <c r="AJ11" i="52" s="1" a="1"/>
  <c r="AJ11" i="52" s="1"/>
  <c r="T258" i="52"/>
  <c r="AY13" i="55" l="1"/>
  <c r="P7" i="107"/>
  <c r="N12" i="55"/>
  <c r="Q7" i="107" s="1"/>
  <c r="T157" i="22"/>
  <c r="AY12" i="55"/>
  <c r="S7" i="107" s="1"/>
  <c r="I12" i="57"/>
  <c r="K12" i="57"/>
  <c r="AH12" i="57"/>
  <c r="AI12" i="57" s="1"/>
  <c r="B12" i="53"/>
  <c r="R21" i="42"/>
  <c r="R20" i="42"/>
  <c r="W20" i="42" s="1"/>
  <c r="R18" i="42"/>
  <c r="W18" i="42" s="1"/>
  <c r="R17" i="42"/>
  <c r="W17" i="42" s="1"/>
  <c r="R16" i="42"/>
  <c r="W16" i="42" s="1"/>
  <c r="R15" i="42"/>
  <c r="W15" i="42" s="1"/>
  <c r="R14" i="42"/>
  <c r="W14" i="42" s="1"/>
  <c r="Y12" i="58"/>
  <c r="X154" i="22"/>
  <c r="Q258" i="55"/>
  <c r="H21" i="73" s="1"/>
  <c r="F161" i="22"/>
  <c r="D111"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F150" i="22"/>
  <c r="D100" i="36" s="1"/>
  <c r="R10" i="52"/>
  <c r="N10" i="52" s="1"/>
  <c r="D120" i="36"/>
  <c r="D121" i="36"/>
  <c r="S10" i="52"/>
  <c r="F152" i="22"/>
  <c r="D102" i="36" s="1"/>
  <c r="F153" i="22"/>
  <c r="D103" i="36" s="1"/>
  <c r="F154" i="22"/>
  <c r="D104" i="36" s="1"/>
  <c r="F151" i="22"/>
  <c r="D101" i="36" s="1"/>
  <c r="F160" i="22"/>
  <c r="D110" i="36" s="1"/>
  <c r="V227" i="55"/>
  <c r="L105" i="36"/>
  <c r="L107" i="36"/>
  <c r="L101" i="36"/>
  <c r="F156" i="22"/>
  <c r="D106" i="36" s="1"/>
  <c r="L109" i="36"/>
  <c r="F162" i="22"/>
  <c r="D112" i="36" s="1"/>
  <c r="F155" i="22"/>
  <c r="D105" i="36" s="1"/>
  <c r="F30" i="36"/>
  <c r="L12" i="57"/>
  <c r="V133" i="55"/>
  <c r="U96" i="55"/>
  <c r="V213" i="55"/>
  <c r="V245" i="55"/>
  <c r="U149" i="55"/>
  <c r="U157" i="55"/>
  <c r="U72" i="55"/>
  <c r="U173" i="55"/>
  <c r="U37" i="55"/>
  <c r="V69" i="55"/>
  <c r="U221" i="55"/>
  <c r="U120" i="55"/>
  <c r="V101" i="55"/>
  <c r="V237" i="55"/>
  <c r="S25" i="52"/>
  <c r="R25" i="52"/>
  <c r="N25" i="52" s="1"/>
  <c r="U25" i="52" s="1"/>
  <c r="S57" i="52"/>
  <c r="R57" i="52"/>
  <c r="N57" i="52" s="1"/>
  <c r="U57" i="52" s="1"/>
  <c r="S89" i="52"/>
  <c r="R89" i="52"/>
  <c r="N89" i="52" s="1"/>
  <c r="U89" i="52" s="1"/>
  <c r="S121" i="52"/>
  <c r="R121" i="52"/>
  <c r="N121" i="52" s="1"/>
  <c r="U121" i="52" s="1"/>
  <c r="S153" i="52"/>
  <c r="R153" i="52"/>
  <c r="N153" i="52" s="1"/>
  <c r="U153" i="52" s="1"/>
  <c r="S185" i="52"/>
  <c r="R185" i="52"/>
  <c r="N185" i="52" s="1"/>
  <c r="U185" i="52" s="1"/>
  <c r="S217" i="52"/>
  <c r="R217" i="52"/>
  <c r="N217" i="52" s="1"/>
  <c r="U217" i="52" s="1"/>
  <c r="S249" i="52"/>
  <c r="R249" i="52"/>
  <c r="N249" i="52" s="1"/>
  <c r="U249" i="52" s="1"/>
  <c r="S35" i="52"/>
  <c r="R35" i="52"/>
  <c r="N35" i="52" s="1"/>
  <c r="U35" i="52" s="1"/>
  <c r="S67" i="52"/>
  <c r="R67" i="52"/>
  <c r="N67" i="52" s="1"/>
  <c r="U67" i="52" s="1"/>
  <c r="S99" i="52"/>
  <c r="R99" i="52"/>
  <c r="N99" i="52" s="1"/>
  <c r="U99" i="52" s="1"/>
  <c r="S131" i="52"/>
  <c r="R131" i="52"/>
  <c r="N131" i="52" s="1"/>
  <c r="U131" i="52" s="1"/>
  <c r="S163" i="52"/>
  <c r="R163" i="52"/>
  <c r="N163" i="52" s="1"/>
  <c r="U163" i="52" s="1"/>
  <c r="S195" i="52"/>
  <c r="R195" i="52"/>
  <c r="N195" i="52" s="1"/>
  <c r="U195" i="52" s="1"/>
  <c r="S227" i="52"/>
  <c r="R227" i="52"/>
  <c r="N227" i="52" s="1"/>
  <c r="U227" i="52" s="1"/>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R7" i="107" s="1"/>
  <c r="V44" i="55"/>
  <c r="U76" i="55"/>
  <c r="U108" i="55"/>
  <c r="V241" i="55"/>
  <c r="V15" i="55"/>
  <c r="V47" i="55"/>
  <c r="U79" i="55"/>
  <c r="U111" i="55"/>
  <c r="V252" i="55"/>
  <c r="U138" i="55"/>
  <c r="U170" i="55"/>
  <c r="U202" i="55"/>
  <c r="S165" i="52"/>
  <c r="R165" i="52"/>
  <c r="N165" i="52" s="1"/>
  <c r="U165" i="52" s="1"/>
  <c r="S47" i="52"/>
  <c r="R47" i="52"/>
  <c r="N47" i="52" s="1"/>
  <c r="U47" i="52" s="1"/>
  <c r="S29" i="52"/>
  <c r="R29" i="52"/>
  <c r="N29" i="52" s="1"/>
  <c r="U29" i="52" s="1"/>
  <c r="S61" i="52"/>
  <c r="R61" i="52"/>
  <c r="N61" i="52" s="1"/>
  <c r="U61" i="52" s="1"/>
  <c r="S93" i="52"/>
  <c r="R93" i="52"/>
  <c r="N93" i="52" s="1"/>
  <c r="U93" i="52" s="1"/>
  <c r="S125" i="52"/>
  <c r="R125" i="52"/>
  <c r="N125" i="52" s="1"/>
  <c r="U125" i="52" s="1"/>
  <c r="S157" i="52"/>
  <c r="R157" i="52"/>
  <c r="N157" i="52" s="1"/>
  <c r="U157" i="52" s="1"/>
  <c r="S189" i="52"/>
  <c r="R189" i="52"/>
  <c r="N189" i="52" s="1"/>
  <c r="U189" i="52" s="1"/>
  <c r="S221" i="52"/>
  <c r="R221" i="52"/>
  <c r="N221" i="52" s="1"/>
  <c r="U221" i="52" s="1"/>
  <c r="S253" i="52"/>
  <c r="R253" i="52"/>
  <c r="N253" i="52" s="1"/>
  <c r="U253" i="52" s="1"/>
  <c r="S39" i="52"/>
  <c r="R39" i="52"/>
  <c r="N39" i="52" s="1"/>
  <c r="U39" i="52" s="1"/>
  <c r="S71" i="52"/>
  <c r="R71" i="52"/>
  <c r="N71" i="52" s="1"/>
  <c r="U71" i="52" s="1"/>
  <c r="S103" i="52"/>
  <c r="R103" i="52"/>
  <c r="N103" i="52" s="1"/>
  <c r="U103" i="52" s="1"/>
  <c r="S135" i="52"/>
  <c r="R135" i="52"/>
  <c r="N135" i="52" s="1"/>
  <c r="U135" i="52" s="1"/>
  <c r="S167" i="52"/>
  <c r="R167" i="52"/>
  <c r="N167" i="52" s="1"/>
  <c r="U167" i="52" s="1"/>
  <c r="S199" i="52"/>
  <c r="R199" i="52"/>
  <c r="N199" i="52" s="1"/>
  <c r="U199" i="52" s="1"/>
  <c r="S231" i="52"/>
  <c r="R231" i="52"/>
  <c r="N231" i="52" s="1"/>
  <c r="U231" i="52" s="1"/>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N33" i="52" s="1"/>
  <c r="U33" i="52" s="1"/>
  <c r="S65" i="52"/>
  <c r="R65" i="52"/>
  <c r="N65" i="52" s="1"/>
  <c r="U65" i="52" s="1"/>
  <c r="S97" i="52"/>
  <c r="R97" i="52"/>
  <c r="N97" i="52" s="1"/>
  <c r="U97" i="52" s="1"/>
  <c r="S129" i="52"/>
  <c r="R129" i="52"/>
  <c r="N129" i="52" s="1"/>
  <c r="U129" i="52" s="1"/>
  <c r="S161" i="52"/>
  <c r="R161" i="52"/>
  <c r="N161" i="52" s="1"/>
  <c r="U161" i="52" s="1"/>
  <c r="S193" i="52"/>
  <c r="R193" i="52"/>
  <c r="N193" i="52" s="1"/>
  <c r="U193" i="52" s="1"/>
  <c r="S225" i="52"/>
  <c r="R225" i="52"/>
  <c r="N225" i="52" s="1"/>
  <c r="U225" i="52" s="1"/>
  <c r="S257" i="52"/>
  <c r="R257" i="52"/>
  <c r="N257" i="52" s="1"/>
  <c r="U257" i="52" s="1"/>
  <c r="S43" i="52"/>
  <c r="R43" i="52"/>
  <c r="N43" i="52" s="1"/>
  <c r="U43" i="52" s="1"/>
  <c r="S75" i="52"/>
  <c r="R75" i="52"/>
  <c r="N75" i="52" s="1"/>
  <c r="U75" i="52" s="1"/>
  <c r="S107" i="52"/>
  <c r="R107" i="52"/>
  <c r="N107" i="52" s="1"/>
  <c r="U107" i="52" s="1"/>
  <c r="S139" i="52"/>
  <c r="R139" i="52"/>
  <c r="N139" i="52" s="1"/>
  <c r="U139" i="52" s="1"/>
  <c r="S171" i="52"/>
  <c r="R171" i="52"/>
  <c r="N171" i="52" s="1"/>
  <c r="U171" i="52" s="1"/>
  <c r="S203" i="52"/>
  <c r="R203" i="52"/>
  <c r="N203" i="52" s="1"/>
  <c r="U203" i="52" s="1"/>
  <c r="S235" i="52"/>
  <c r="R235" i="52"/>
  <c r="N235" i="52" s="1"/>
  <c r="U235" i="52" s="1"/>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X13" i="55" s="1"/>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N69" i="52" s="1"/>
  <c r="U69" i="52" s="1"/>
  <c r="S197" i="52"/>
  <c r="R197" i="52"/>
  <c r="N197" i="52" s="1"/>
  <c r="U197" i="52" s="1"/>
  <c r="S79" i="52"/>
  <c r="R79" i="52"/>
  <c r="N79" i="52" s="1"/>
  <c r="U79" i="52" s="1"/>
  <c r="S143" i="52"/>
  <c r="R143" i="52"/>
  <c r="N143" i="52" s="1"/>
  <c r="U143" i="52" s="1"/>
  <c r="S207" i="52"/>
  <c r="R207" i="52"/>
  <c r="N207" i="52" s="1"/>
  <c r="U207" i="52" s="1"/>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N41" i="52" s="1"/>
  <c r="U41" i="52" s="1"/>
  <c r="S73" i="52"/>
  <c r="R73" i="52"/>
  <c r="N73" i="52" s="1"/>
  <c r="U73" i="52" s="1"/>
  <c r="S105" i="52"/>
  <c r="R105" i="52"/>
  <c r="N105" i="52" s="1"/>
  <c r="U105" i="52" s="1"/>
  <c r="S137" i="52"/>
  <c r="R137" i="52"/>
  <c r="N137" i="52" s="1"/>
  <c r="U137" i="52" s="1"/>
  <c r="S169" i="52"/>
  <c r="R169" i="52"/>
  <c r="N169" i="52" s="1"/>
  <c r="U169" i="52" s="1"/>
  <c r="S201" i="52"/>
  <c r="R201" i="52"/>
  <c r="N201" i="52" s="1"/>
  <c r="U201" i="52" s="1"/>
  <c r="S233" i="52"/>
  <c r="R233" i="52"/>
  <c r="N233" i="52" s="1"/>
  <c r="U233" i="52" s="1"/>
  <c r="R19" i="52"/>
  <c r="N19" i="52" s="1"/>
  <c r="U19" i="52" s="1"/>
  <c r="S19" i="52"/>
  <c r="S51" i="52"/>
  <c r="R51" i="52"/>
  <c r="N51" i="52" s="1"/>
  <c r="U51" i="52" s="1"/>
  <c r="S83" i="52"/>
  <c r="R83" i="52"/>
  <c r="N83" i="52" s="1"/>
  <c r="U83" i="52" s="1"/>
  <c r="S115" i="52"/>
  <c r="R115" i="52"/>
  <c r="N115" i="52" s="1"/>
  <c r="U115" i="52" s="1"/>
  <c r="S147" i="52"/>
  <c r="R147" i="52"/>
  <c r="N147" i="52" s="1"/>
  <c r="U147" i="52" s="1"/>
  <c r="S179" i="52"/>
  <c r="R179" i="52"/>
  <c r="N179" i="52" s="1"/>
  <c r="U179" i="52" s="1"/>
  <c r="S211" i="52"/>
  <c r="R211" i="52"/>
  <c r="N211" i="52" s="1"/>
  <c r="U211" i="52" s="1"/>
  <c r="S243" i="52"/>
  <c r="R243" i="52"/>
  <c r="N243" i="52" s="1"/>
  <c r="U243" i="52" s="1"/>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N37" i="52" s="1"/>
  <c r="U37" i="52" s="1"/>
  <c r="S133" i="52"/>
  <c r="R133" i="52"/>
  <c r="N133" i="52" s="1"/>
  <c r="U133" i="52" s="1"/>
  <c r="S229" i="52"/>
  <c r="R229" i="52"/>
  <c r="N229" i="52" s="1"/>
  <c r="U229" i="52" s="1"/>
  <c r="S111" i="52"/>
  <c r="R111" i="52"/>
  <c r="N111" i="52" s="1"/>
  <c r="U111" i="52" s="1"/>
  <c r="S175" i="52"/>
  <c r="R175" i="52"/>
  <c r="N175" i="52" s="1"/>
  <c r="U175" i="52" s="1"/>
  <c r="S239" i="52"/>
  <c r="R239" i="52"/>
  <c r="N239" i="52" s="1"/>
  <c r="U239" i="52" s="1"/>
  <c r="R13" i="52"/>
  <c r="N13" i="52" s="1"/>
  <c r="S13" i="52"/>
  <c r="S45" i="52"/>
  <c r="R45" i="52"/>
  <c r="N45" i="52" s="1"/>
  <c r="U45" i="52" s="1"/>
  <c r="S77" i="52"/>
  <c r="R77" i="52"/>
  <c r="N77" i="52" s="1"/>
  <c r="U77" i="52" s="1"/>
  <c r="S109" i="52"/>
  <c r="R109" i="52"/>
  <c r="N109" i="52" s="1"/>
  <c r="U109" i="52" s="1"/>
  <c r="S141" i="52"/>
  <c r="R141" i="52"/>
  <c r="N141" i="52" s="1"/>
  <c r="U141" i="52" s="1"/>
  <c r="S173" i="52"/>
  <c r="R173" i="52"/>
  <c r="N173" i="52" s="1"/>
  <c r="U173" i="52" s="1"/>
  <c r="S205" i="52"/>
  <c r="R205" i="52"/>
  <c r="N205" i="52" s="1"/>
  <c r="U205" i="52" s="1"/>
  <c r="S237" i="52"/>
  <c r="R237" i="52"/>
  <c r="N237" i="52" s="1"/>
  <c r="U237" i="52" s="1"/>
  <c r="S23" i="52"/>
  <c r="R23" i="52"/>
  <c r="N23" i="52" s="1"/>
  <c r="U23" i="52" s="1"/>
  <c r="S55" i="52"/>
  <c r="R55" i="52"/>
  <c r="N55" i="52" s="1"/>
  <c r="U55" i="52" s="1"/>
  <c r="S87" i="52"/>
  <c r="R87" i="52"/>
  <c r="N87" i="52" s="1"/>
  <c r="U87" i="52" s="1"/>
  <c r="S119" i="52"/>
  <c r="R119" i="52"/>
  <c r="N119" i="52" s="1"/>
  <c r="U119" i="52" s="1"/>
  <c r="S151" i="52"/>
  <c r="R151" i="52"/>
  <c r="N151" i="52" s="1"/>
  <c r="U151" i="52" s="1"/>
  <c r="S183" i="52"/>
  <c r="R183" i="52"/>
  <c r="N183" i="52" s="1"/>
  <c r="U183" i="52" s="1"/>
  <c r="S215" i="52"/>
  <c r="R215" i="52"/>
  <c r="N215" i="52" s="1"/>
  <c r="U215" i="52" s="1"/>
  <c r="S247" i="52"/>
  <c r="R247" i="52"/>
  <c r="N247" i="52" s="1"/>
  <c r="U247" i="52" s="1"/>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N101" i="52" s="1"/>
  <c r="U101" i="52" s="1"/>
  <c r="S15" i="52"/>
  <c r="R15" i="52"/>
  <c r="R17" i="52"/>
  <c r="N17" i="52" s="1"/>
  <c r="U17" i="52" s="1"/>
  <c r="S17" i="52"/>
  <c r="S49" i="52"/>
  <c r="R49" i="52"/>
  <c r="N49" i="52" s="1"/>
  <c r="U49" i="52" s="1"/>
  <c r="S81" i="52"/>
  <c r="R81" i="52"/>
  <c r="N81" i="52" s="1"/>
  <c r="U81" i="52" s="1"/>
  <c r="S113" i="52"/>
  <c r="R113" i="52"/>
  <c r="N113" i="52" s="1"/>
  <c r="U113" i="52" s="1"/>
  <c r="S145" i="52"/>
  <c r="R145" i="52"/>
  <c r="N145" i="52" s="1"/>
  <c r="U145" i="52" s="1"/>
  <c r="S177" i="52"/>
  <c r="R177" i="52"/>
  <c r="N177" i="52" s="1"/>
  <c r="U177" i="52" s="1"/>
  <c r="S209" i="52"/>
  <c r="R209" i="52"/>
  <c r="N209" i="52" s="1"/>
  <c r="U209" i="52" s="1"/>
  <c r="S241" i="52"/>
  <c r="R241" i="52"/>
  <c r="N241" i="52" s="1"/>
  <c r="U241" i="52" s="1"/>
  <c r="S27" i="52"/>
  <c r="R27" i="52"/>
  <c r="S59" i="52"/>
  <c r="R59" i="52"/>
  <c r="N59" i="52" s="1"/>
  <c r="U59" i="52" s="1"/>
  <c r="S91" i="52"/>
  <c r="R91" i="52"/>
  <c r="N91" i="52" s="1"/>
  <c r="U91" i="52" s="1"/>
  <c r="S123" i="52"/>
  <c r="R123" i="52"/>
  <c r="N123" i="52" s="1"/>
  <c r="U123" i="52" s="1"/>
  <c r="S155" i="52"/>
  <c r="R155" i="52"/>
  <c r="N155" i="52" s="1"/>
  <c r="U155" i="52" s="1"/>
  <c r="S187" i="52"/>
  <c r="R187" i="52"/>
  <c r="N187" i="52" s="1"/>
  <c r="U187" i="52" s="1"/>
  <c r="S219" i="52"/>
  <c r="R219" i="52"/>
  <c r="N219" i="52" s="1"/>
  <c r="U219" i="52" s="1"/>
  <c r="S251" i="52"/>
  <c r="R251" i="52"/>
  <c r="N251" i="52" s="1"/>
  <c r="U251" i="52" s="1"/>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N21" i="52" s="1"/>
  <c r="U21" i="52" s="1"/>
  <c r="S21" i="52"/>
  <c r="S53" i="52"/>
  <c r="R53" i="52"/>
  <c r="N53" i="52" s="1"/>
  <c r="U53" i="52" s="1"/>
  <c r="S85" i="52"/>
  <c r="R85" i="52"/>
  <c r="N85" i="52" s="1"/>
  <c r="U85" i="52" s="1"/>
  <c r="S117" i="52"/>
  <c r="R117" i="52"/>
  <c r="N117" i="52" s="1"/>
  <c r="U117" i="52" s="1"/>
  <c r="S149" i="52"/>
  <c r="R149" i="52"/>
  <c r="N149" i="52" s="1"/>
  <c r="U149" i="52" s="1"/>
  <c r="S181" i="52"/>
  <c r="R181" i="52"/>
  <c r="N181" i="52" s="1"/>
  <c r="U181" i="52" s="1"/>
  <c r="S213" i="52"/>
  <c r="R213" i="52"/>
  <c r="N213" i="52" s="1"/>
  <c r="U213" i="52" s="1"/>
  <c r="S245" i="52"/>
  <c r="R245" i="52"/>
  <c r="N245" i="52" s="1"/>
  <c r="U245" i="52" s="1"/>
  <c r="S31" i="52"/>
  <c r="R31" i="52"/>
  <c r="N31" i="52" s="1"/>
  <c r="U31" i="52" s="1"/>
  <c r="S63" i="52"/>
  <c r="R63" i="52"/>
  <c r="N63" i="52" s="1"/>
  <c r="U63" i="52" s="1"/>
  <c r="S95" i="52"/>
  <c r="R95" i="52"/>
  <c r="N95" i="52" s="1"/>
  <c r="U95" i="52" s="1"/>
  <c r="S127" i="52"/>
  <c r="R127" i="52"/>
  <c r="N127" i="52" s="1"/>
  <c r="U127" i="52" s="1"/>
  <c r="S159" i="52"/>
  <c r="R159" i="52"/>
  <c r="N159" i="52" s="1"/>
  <c r="U159" i="52" s="1"/>
  <c r="S191" i="52"/>
  <c r="R191" i="52"/>
  <c r="N191" i="52" s="1"/>
  <c r="U191" i="52" s="1"/>
  <c r="S223" i="52"/>
  <c r="R223" i="52"/>
  <c r="N223" i="52" s="1"/>
  <c r="U223" i="52" s="1"/>
  <c r="S255" i="52"/>
  <c r="R255" i="52"/>
  <c r="N255" i="52" s="1"/>
  <c r="U255" i="52" s="1"/>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V10" i="55"/>
  <c r="X10" i="55" s="1"/>
  <c r="AN11" i="55" a="1"/>
  <c r="AN11" i="55" s="1"/>
  <c r="B13" i="57" s="1"/>
  <c r="H12" i="57"/>
  <c r="G12" i="57"/>
  <c r="F12" i="57"/>
  <c r="E12" i="57"/>
  <c r="D12" i="57"/>
  <c r="AK11" i="52" a="1"/>
  <c r="AK11" i="52" s="1"/>
  <c r="B13" i="53" s="1"/>
  <c r="AM12" i="55" a="1"/>
  <c r="AM12" i="55" s="1"/>
  <c r="AM13" i="55" s="1" a="1"/>
  <c r="AM13" i="55" s="1"/>
  <c r="AJ12" i="52" a="1"/>
  <c r="AJ12" i="52" s="1"/>
  <c r="U13" i="52" l="1"/>
  <c r="F159" i="22"/>
  <c r="D109" i="36" s="1"/>
  <c r="H154" i="22"/>
  <c r="N27" i="52"/>
  <c r="U27" i="52" s="1"/>
  <c r="H155" i="22"/>
  <c r="N15" i="52"/>
  <c r="U15" i="52" s="1"/>
  <c r="U10" i="52"/>
  <c r="J159" i="22" s="1"/>
  <c r="X7" i="107"/>
  <c r="Z7" i="107" s="1"/>
  <c r="X12" i="55"/>
  <c r="AK12" i="57"/>
  <c r="C12" i="53"/>
  <c r="N12" i="53" s="1"/>
  <c r="F12" i="53"/>
  <c r="P13" i="57"/>
  <c r="AH13" i="57"/>
  <c r="AI13" i="57" s="1"/>
  <c r="K13" i="57"/>
  <c r="J154" i="22"/>
  <c r="J12" i="53"/>
  <c r="AY258" i="55" a="1"/>
  <c r="AY258" i="55" s="1"/>
  <c r="U258" i="55" a="1"/>
  <c r="U258" i="55" s="1"/>
  <c r="G12" i="53"/>
  <c r="E12" i="53"/>
  <c r="H12" i="53"/>
  <c r="P12" i="53"/>
  <c r="I12" i="53"/>
  <c r="K12" i="53"/>
  <c r="D12"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28" i="36"/>
  <c r="D148" i="36" s="1"/>
  <c r="D122" i="36"/>
  <c r="D142" i="36" s="1"/>
  <c r="L155" i="22"/>
  <c r="L153" i="22"/>
  <c r="L156" i="22"/>
  <c r="T12" i="42"/>
  <c r="U12" i="42" s="1"/>
  <c r="M3" i="42"/>
  <c r="H158" i="22"/>
  <c r="H159" i="22"/>
  <c r="H150" i="22"/>
  <c r="H157" i="22"/>
  <c r="D130" i="36"/>
  <c r="D150" i="36" s="1"/>
  <c r="D132" i="36"/>
  <c r="D152" i="36" s="1"/>
  <c r="N12" i="57"/>
  <c r="O12" i="57" s="1"/>
  <c r="J152" i="22"/>
  <c r="H151" i="22"/>
  <c r="L13" i="57"/>
  <c r="Q12" i="57"/>
  <c r="W12" i="42"/>
  <c r="L157" i="22" s="1"/>
  <c r="R12" i="57"/>
  <c r="V151" i="22"/>
  <c r="V162" i="22"/>
  <c r="H162" i="22"/>
  <c r="D140" i="36"/>
  <c r="D141" i="36"/>
  <c r="H156" i="22"/>
  <c r="H160" i="22"/>
  <c r="AQ12" i="57"/>
  <c r="L13" i="53"/>
  <c r="K13" i="53"/>
  <c r="I13" i="57"/>
  <c r="G13" i="57"/>
  <c r="D13" i="57"/>
  <c r="F13" i="57"/>
  <c r="J13" i="57"/>
  <c r="C13" i="57"/>
  <c r="H13" i="57"/>
  <c r="E13" i="57"/>
  <c r="Y260" i="58"/>
  <c r="AN12" i="55" a="1"/>
  <c r="AN12" i="55" s="1"/>
  <c r="B14" i="57" s="1"/>
  <c r="O14" i="57" s="1"/>
  <c r="N258" i="52"/>
  <c r="AK12" i="52" a="1"/>
  <c r="AK12" i="52" s="1"/>
  <c r="B14" i="53" s="1"/>
  <c r="AM14" i="55" a="1"/>
  <c r="AM14" i="55" s="1"/>
  <c r="AM15" i="55" s="1" a="1"/>
  <c r="AM15" i="55" s="1"/>
  <c r="AM16" i="55" s="1" a="1"/>
  <c r="AM16" i="55" s="1"/>
  <c r="N258" i="55"/>
  <c r="L21" i="73" s="1"/>
  <c r="AJ13" i="52" a="1"/>
  <c r="AJ13" i="52" s="1"/>
  <c r="D149" i="36" l="1"/>
  <c r="AK13" i="57"/>
  <c r="P14" i="57"/>
  <c r="AH14" i="57"/>
  <c r="AI14" i="57" s="1"/>
  <c r="K14" i="57"/>
  <c r="R12" i="53"/>
  <c r="O12" i="53" s="1"/>
  <c r="J151" i="22"/>
  <c r="J158" i="22"/>
  <c r="J162" i="22"/>
  <c r="J156" i="22"/>
  <c r="Q12" i="53"/>
  <c r="O14" i="53"/>
  <c r="H9" i="73"/>
  <c r="F22" i="36"/>
  <c r="E13" i="53"/>
  <c r="C13" i="53"/>
  <c r="N13" i="53" s="1"/>
  <c r="F13" i="53"/>
  <c r="G13" i="53"/>
  <c r="D13" i="53"/>
  <c r="H13" i="53"/>
  <c r="J13" i="53"/>
  <c r="P13" i="53"/>
  <c r="E14" i="53"/>
  <c r="L154" i="22"/>
  <c r="L158" i="22"/>
  <c r="J150" i="22"/>
  <c r="L152" i="22"/>
  <c r="L161" i="22"/>
  <c r="X12" i="57"/>
  <c r="L14" i="57"/>
  <c r="L160" i="22"/>
  <c r="L151" i="22"/>
  <c r="R13" i="57"/>
  <c r="L150" i="22"/>
  <c r="L162" i="22"/>
  <c r="F28" i="36"/>
  <c r="F25" i="36"/>
  <c r="AD12" i="53"/>
  <c r="X258" i="55"/>
  <c r="AT12" i="53"/>
  <c r="W260" i="42"/>
  <c r="U258" i="52"/>
  <c r="AD12" i="57"/>
  <c r="I14" i="57"/>
  <c r="H14" i="57"/>
  <c r="G14" i="57"/>
  <c r="E14" i="57"/>
  <c r="D14" i="57"/>
  <c r="C14" i="57"/>
  <c r="F14" i="57"/>
  <c r="J14" i="57"/>
  <c r="AN13" i="55" a="1"/>
  <c r="AN13" i="55" s="1"/>
  <c r="B15" i="57" s="1"/>
  <c r="O15" i="57" s="1"/>
  <c r="AK13" i="52" a="1"/>
  <c r="AK13" i="52" s="1"/>
  <c r="B15" i="53" s="1"/>
  <c r="AM17" i="55" a="1"/>
  <c r="AM17" i="55" s="1"/>
  <c r="AJ14" i="52" a="1"/>
  <c r="AJ14" i="52" s="1"/>
  <c r="AJ15" i="52" s="1" a="1"/>
  <c r="AJ15" i="52" s="1"/>
  <c r="AB12" i="57" l="1"/>
  <c r="AA12" i="57"/>
  <c r="AK14" i="57"/>
  <c r="E62" i="73"/>
  <c r="F62" i="73" s="1"/>
  <c r="F4" i="110" s="1"/>
  <c r="E4" i="110"/>
  <c r="P15" i="57"/>
  <c r="AH15" i="57"/>
  <c r="AI15" i="57" s="1"/>
  <c r="K15" i="57"/>
  <c r="X12" i="53"/>
  <c r="AC15" i="53"/>
  <c r="O15" i="53"/>
  <c r="N15" i="53"/>
  <c r="K14" i="53"/>
  <c r="AH14" i="53" s="1"/>
  <c r="P14" i="53"/>
  <c r="G14" i="53"/>
  <c r="C14" i="53"/>
  <c r="AC14" i="53" s="1"/>
  <c r="H14" i="53"/>
  <c r="N14" i="53"/>
  <c r="L14" i="53"/>
  <c r="I14" i="53"/>
  <c r="D14" i="53"/>
  <c r="J14" i="53"/>
  <c r="F14" i="53"/>
  <c r="L15" i="57"/>
  <c r="R14" i="57"/>
  <c r="R13" i="53"/>
  <c r="O13" i="53" s="1"/>
  <c r="F31" i="36"/>
  <c r="AD13" i="57"/>
  <c r="AQ14" i="57"/>
  <c r="Q13" i="57"/>
  <c r="AQ13" i="57"/>
  <c r="N13" i="57"/>
  <c r="O13" i="57" s="1"/>
  <c r="N14" i="57"/>
  <c r="AT13" i="53"/>
  <c r="AD13" i="53"/>
  <c r="Q13" i="53"/>
  <c r="AD14" i="57"/>
  <c r="Q14" i="57"/>
  <c r="AK14" i="52" a="1"/>
  <c r="AK14" i="52" s="1"/>
  <c r="B16" i="53" s="1"/>
  <c r="I15" i="57"/>
  <c r="F15" i="57"/>
  <c r="C15" i="57"/>
  <c r="H15" i="57"/>
  <c r="D15" i="57"/>
  <c r="G15" i="57"/>
  <c r="E15" i="57"/>
  <c r="J15" i="57"/>
  <c r="AN14" i="55" a="1"/>
  <c r="AN14" i="55" s="1"/>
  <c r="B16" i="57" s="1"/>
  <c r="O16" i="57" s="1"/>
  <c r="AM18" i="55" a="1"/>
  <c r="AM18" i="55" s="1"/>
  <c r="AJ16" i="52" a="1"/>
  <c r="AJ16" i="52" s="1"/>
  <c r="X13" i="53" l="1"/>
  <c r="AA13" i="53" s="1"/>
  <c r="AE13" i="53" s="1"/>
  <c r="AA12" i="53"/>
  <c r="AE12" i="53" s="1"/>
  <c r="AK15" i="57"/>
  <c r="P16" i="57"/>
  <c r="AH16" i="57"/>
  <c r="AI16" i="57" s="1"/>
  <c r="K16" i="57"/>
  <c r="O16" i="53"/>
  <c r="N16" i="53"/>
  <c r="R14" i="53"/>
  <c r="X14" i="53" s="1"/>
  <c r="AB14" i="53" s="1"/>
  <c r="Q14" i="53"/>
  <c r="AD14" i="53"/>
  <c r="AT14" i="53"/>
  <c r="AC12" i="57"/>
  <c r="AE12" i="57"/>
  <c r="AF12" i="57" s="1"/>
  <c r="X13" i="57"/>
  <c r="AB13" i="57" s="1"/>
  <c r="L16" i="57"/>
  <c r="AG12" i="53"/>
  <c r="AK15" i="52" a="1"/>
  <c r="AK15" i="52" s="1"/>
  <c r="B17" i="53" s="1"/>
  <c r="H16" i="57"/>
  <c r="G16" i="57"/>
  <c r="E16" i="57"/>
  <c r="D16" i="57"/>
  <c r="C16" i="57"/>
  <c r="I16" i="57"/>
  <c r="F16" i="57"/>
  <c r="J16" i="57"/>
  <c r="K15" i="53"/>
  <c r="AH15" i="53" s="1"/>
  <c r="I15" i="53"/>
  <c r="H15" i="53"/>
  <c r="G15" i="53"/>
  <c r="P15" i="53"/>
  <c r="E15" i="53"/>
  <c r="L15" i="53"/>
  <c r="D15" i="53"/>
  <c r="C15" i="53"/>
  <c r="J15" i="53"/>
  <c r="F15" i="53"/>
  <c r="P16" i="53"/>
  <c r="H16" i="53"/>
  <c r="K16" i="53"/>
  <c r="AH16" i="53" s="1"/>
  <c r="G16" i="53"/>
  <c r="F16" i="53"/>
  <c r="J16" i="53"/>
  <c r="D16" i="53"/>
  <c r="C16" i="53"/>
  <c r="L16" i="53"/>
  <c r="I16" i="53"/>
  <c r="E16" i="53"/>
  <c r="AN15" i="55" a="1"/>
  <c r="AN15" i="55" s="1"/>
  <c r="B17" i="57" s="1"/>
  <c r="O17" i="57" s="1"/>
  <c r="AM19" i="55" a="1"/>
  <c r="AM19" i="55" s="1"/>
  <c r="AJ17" i="52" a="1"/>
  <c r="AJ17" i="52" s="1"/>
  <c r="AB13" i="53" l="1"/>
  <c r="AC13" i="53" s="1"/>
  <c r="AB12" i="53"/>
  <c r="AF12" i="53" s="1"/>
  <c r="AK16" i="57"/>
  <c r="P17" i="57"/>
  <c r="AH17" i="57"/>
  <c r="AI17" i="57" s="1"/>
  <c r="K17" i="57"/>
  <c r="X14" i="57"/>
  <c r="AB14" i="57" s="1"/>
  <c r="O17" i="53"/>
  <c r="R15" i="57"/>
  <c r="N17" i="53"/>
  <c r="AA14" i="53"/>
  <c r="AA13" i="57"/>
  <c r="AE13" i="57" s="1"/>
  <c r="AF13" i="57" s="1"/>
  <c r="AE14" i="53"/>
  <c r="AF14" i="53" s="1"/>
  <c r="AC13" i="57"/>
  <c r="L17" i="57"/>
  <c r="AQ15" i="57"/>
  <c r="AG12" i="57"/>
  <c r="AJ12" i="57" s="1"/>
  <c r="AD15" i="57"/>
  <c r="Q15" i="57"/>
  <c r="N15" i="57"/>
  <c r="AG13" i="57"/>
  <c r="AC16" i="53"/>
  <c r="AG13" i="53"/>
  <c r="C17" i="53"/>
  <c r="K17" i="53"/>
  <c r="AH17" i="53" s="1"/>
  <c r="G17" i="53"/>
  <c r="E17" i="53"/>
  <c r="I17" i="53"/>
  <c r="D17" i="53"/>
  <c r="H17" i="53"/>
  <c r="L17" i="53"/>
  <c r="P17" i="53"/>
  <c r="F17" i="53"/>
  <c r="J17" i="53"/>
  <c r="AK16" i="52" a="1"/>
  <c r="AK16" i="52" s="1"/>
  <c r="B18" i="53" s="1"/>
  <c r="J17" i="57"/>
  <c r="E17" i="57"/>
  <c r="C17" i="57"/>
  <c r="I17" i="57"/>
  <c r="H17" i="57"/>
  <c r="F17" i="57"/>
  <c r="D17" i="57"/>
  <c r="G17" i="57"/>
  <c r="AN16" i="55" a="1"/>
  <c r="AN16" i="55" s="1"/>
  <c r="B18" i="57" s="1"/>
  <c r="O18" i="57" s="1"/>
  <c r="AM20" i="55" a="1"/>
  <c r="AM20" i="55" s="1"/>
  <c r="AJ18" i="52" a="1"/>
  <c r="AJ18" i="52" s="1"/>
  <c r="AJ19" i="52" s="1" a="1"/>
  <c r="AJ19" i="52" s="1"/>
  <c r="AF13" i="53" l="1"/>
  <c r="AH13" i="53"/>
  <c r="AC12" i="53"/>
  <c r="AH12" i="53" s="1"/>
  <c r="AK17" i="57"/>
  <c r="AJ13" i="57"/>
  <c r="P18" i="57"/>
  <c r="AH18" i="57"/>
  <c r="AI18" i="57" s="1"/>
  <c r="K18" i="57"/>
  <c r="AA14" i="57"/>
  <c r="AE14" i="57" s="1"/>
  <c r="AF14" i="57" s="1"/>
  <c r="AC17" i="53"/>
  <c r="AQ16" i="57"/>
  <c r="R16" i="57"/>
  <c r="O18" i="53"/>
  <c r="N18" i="53"/>
  <c r="AC14" i="57"/>
  <c r="N17" i="57"/>
  <c r="R16" i="53"/>
  <c r="X16" i="53" s="1"/>
  <c r="AB16" i="53" s="1"/>
  <c r="R15" i="53"/>
  <c r="X15" i="53" s="1"/>
  <c r="AB15" i="53" s="1"/>
  <c r="R17" i="53"/>
  <c r="X17" i="53" s="1"/>
  <c r="AB17" i="53" s="1"/>
  <c r="Q16" i="53"/>
  <c r="AD15" i="53"/>
  <c r="L18" i="57"/>
  <c r="AG14" i="57"/>
  <c r="N16" i="57"/>
  <c r="AD16" i="57"/>
  <c r="Q16" i="57"/>
  <c r="AT15" i="53"/>
  <c r="Q15" i="53"/>
  <c r="AT16" i="53"/>
  <c r="AD16" i="53"/>
  <c r="AT17" i="53"/>
  <c r="AG14" i="53"/>
  <c r="AD17" i="53"/>
  <c r="G18" i="57"/>
  <c r="E18" i="57"/>
  <c r="D18" i="57"/>
  <c r="C18" i="57"/>
  <c r="I18" i="57"/>
  <c r="H18" i="57"/>
  <c r="F18" i="57"/>
  <c r="J18" i="57"/>
  <c r="P18" i="53"/>
  <c r="H18" i="53"/>
  <c r="K18" i="53"/>
  <c r="AH18" i="53" s="1"/>
  <c r="C18" i="53"/>
  <c r="F18" i="53"/>
  <c r="I18" i="53"/>
  <c r="E18" i="53"/>
  <c r="G18" i="53"/>
  <c r="J18" i="53"/>
  <c r="L18" i="53"/>
  <c r="D18" i="53"/>
  <c r="Q17" i="53"/>
  <c r="AK17" i="52" a="1"/>
  <c r="AK17" i="52" s="1"/>
  <c r="B19" i="53" s="1"/>
  <c r="AN17" i="55" a="1"/>
  <c r="AN17" i="55" s="1"/>
  <c r="B19" i="57" s="1"/>
  <c r="O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AK18" i="57" l="1"/>
  <c r="AJ14" i="57"/>
  <c r="P19" i="57"/>
  <c r="AH19" i="57"/>
  <c r="AI19" i="57" s="1"/>
  <c r="K19" i="57"/>
  <c r="X15" i="57"/>
  <c r="AB15" i="57" s="1"/>
  <c r="R17" i="57"/>
  <c r="AC19" i="53"/>
  <c r="O19" i="53"/>
  <c r="Q17" i="57"/>
  <c r="AD17" i="57"/>
  <c r="AQ17" i="57"/>
  <c r="AQ18" i="57"/>
  <c r="N19" i="53"/>
  <c r="AA17" i="53"/>
  <c r="AA15" i="53"/>
  <c r="AA16" i="53"/>
  <c r="AG17" i="53"/>
  <c r="X16" i="57"/>
  <c r="AB16" i="57" s="1"/>
  <c r="N18" i="57"/>
  <c r="AC18" i="53"/>
  <c r="L19" i="57"/>
  <c r="AK18" i="52" a="1"/>
  <c r="AK18" i="52" s="1"/>
  <c r="B20" i="53" s="1"/>
  <c r="I19" i="57"/>
  <c r="F19" i="57"/>
  <c r="E19" i="57"/>
  <c r="C19" i="57"/>
  <c r="J19" i="57"/>
  <c r="G19" i="57"/>
  <c r="H19" i="57"/>
  <c r="D19" i="57"/>
  <c r="L19" i="53"/>
  <c r="K19" i="53"/>
  <c r="AH19" i="53" s="1"/>
  <c r="I19" i="53"/>
  <c r="H19" i="53"/>
  <c r="G19" i="53"/>
  <c r="C19" i="53"/>
  <c r="P19" i="53"/>
  <c r="E19" i="53"/>
  <c r="D19" i="53"/>
  <c r="F19" i="53"/>
  <c r="J19" i="53"/>
  <c r="AN18" i="55" a="1"/>
  <c r="AN18" i="55" s="1"/>
  <c r="B20" i="57" s="1"/>
  <c r="O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K19" i="57" l="1"/>
  <c r="P20" i="57"/>
  <c r="AH20" i="57"/>
  <c r="AI20" i="57" s="1"/>
  <c r="K20" i="57"/>
  <c r="AA15" i="57"/>
  <c r="AE15" i="57" s="1"/>
  <c r="AF15" i="57" s="1"/>
  <c r="AG17" i="57"/>
  <c r="X17" i="57"/>
  <c r="AB17" i="57" s="1"/>
  <c r="AC20" i="53"/>
  <c r="O20" i="53"/>
  <c r="Q18" i="57"/>
  <c r="AD18" i="57"/>
  <c r="R18" i="57"/>
  <c r="R19" i="57"/>
  <c r="N20" i="53"/>
  <c r="AA16" i="57"/>
  <c r="AC15" i="57"/>
  <c r="AE17" i="53"/>
  <c r="AF17" i="53" s="1"/>
  <c r="R18" i="53"/>
  <c r="X18" i="53" s="1"/>
  <c r="AB18" i="53" s="1"/>
  <c r="Q18" i="53"/>
  <c r="AT18" i="53"/>
  <c r="N19" i="57"/>
  <c r="AD18" i="53"/>
  <c r="AE16" i="53"/>
  <c r="AF16" i="53" s="1"/>
  <c r="AE15" i="53"/>
  <c r="AF15" i="53" s="1"/>
  <c r="AE16" i="57"/>
  <c r="AF16" i="57" s="1"/>
  <c r="AC16" i="57"/>
  <c r="L20" i="57"/>
  <c r="AG15" i="57"/>
  <c r="AG16" i="57"/>
  <c r="AG15" i="53"/>
  <c r="AG16" i="53"/>
  <c r="L20" i="53"/>
  <c r="P20" i="53"/>
  <c r="H20" i="53"/>
  <c r="F20" i="53"/>
  <c r="D20" i="53"/>
  <c r="E20" i="53"/>
  <c r="J20" i="53"/>
  <c r="K20" i="53"/>
  <c r="AH20" i="53" s="1"/>
  <c r="G20" i="53"/>
  <c r="C20" i="53"/>
  <c r="I20" i="53"/>
  <c r="AK19" i="52" a="1"/>
  <c r="AK19" i="52" s="1"/>
  <c r="B21" i="53" s="1"/>
  <c r="I20" i="57"/>
  <c r="H20" i="57"/>
  <c r="G20" i="57"/>
  <c r="E20" i="57"/>
  <c r="D20" i="57"/>
  <c r="C20" i="57"/>
  <c r="F20" i="57"/>
  <c r="J20" i="57"/>
  <c r="AN19" i="55" a="1"/>
  <c r="AN19" i="55" s="1"/>
  <c r="B21" i="57" s="1"/>
  <c r="O21" i="57" s="1"/>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A124" i="22"/>
  <c r="C123" i="22"/>
  <c r="A123" i="22"/>
  <c r="C116" i="22"/>
  <c r="A116" i="22"/>
  <c r="C115" i="22"/>
  <c r="A115" i="22"/>
  <c r="C119" i="22"/>
  <c r="A119" i="22"/>
  <c r="L120" i="29"/>
  <c r="M120" i="29"/>
  <c r="D119" i="22" s="1"/>
  <c r="Q120" i="29"/>
  <c r="E130" i="28" s="1"/>
  <c r="O120" i="29"/>
  <c r="C130" i="28" s="1"/>
  <c r="Q114" i="29"/>
  <c r="E129" i="28" s="1"/>
  <c r="O114" i="29"/>
  <c r="C129" i="28" s="1"/>
  <c r="Q134" i="29"/>
  <c r="E128" i="28" s="1"/>
  <c r="O134" i="29"/>
  <c r="C128" i="28" s="1"/>
  <c r="Q133" i="29"/>
  <c r="E127" i="28" s="1"/>
  <c r="O133" i="29"/>
  <c r="C127" i="28" s="1"/>
  <c r="Q132" i="29"/>
  <c r="E126" i="28" s="1"/>
  <c r="O132" i="29"/>
  <c r="C126" i="28" s="1"/>
  <c r="Q131" i="29"/>
  <c r="E125" i="28" s="1"/>
  <c r="O131" i="29"/>
  <c r="C125" i="28" s="1"/>
  <c r="M131" i="29"/>
  <c r="L131" i="29"/>
  <c r="M125" i="29"/>
  <c r="D124" i="22" s="1"/>
  <c r="M124" i="29"/>
  <c r="D123" i="22" s="1"/>
  <c r="Q125" i="29"/>
  <c r="E132" i="28" s="1"/>
  <c r="Q124" i="29"/>
  <c r="E131" i="28" s="1"/>
  <c r="O125" i="29"/>
  <c r="C132" i="28" s="1"/>
  <c r="O124" i="29"/>
  <c r="C131" i="28" s="1"/>
  <c r="Q130" i="29"/>
  <c r="O130" i="29"/>
  <c r="AK20" i="57" l="1"/>
  <c r="AJ16" i="57"/>
  <c r="AJ15" i="57"/>
  <c r="S123" i="22"/>
  <c r="V123" i="22"/>
  <c r="H123" i="22"/>
  <c r="E123" i="22"/>
  <c r="S119" i="22"/>
  <c r="E119" i="22"/>
  <c r="V119" i="22"/>
  <c r="H119" i="22"/>
  <c r="S124" i="22"/>
  <c r="E124" i="22"/>
  <c r="V124" i="22"/>
  <c r="H124" i="22"/>
  <c r="S116" i="22"/>
  <c r="E116" i="22"/>
  <c r="V116" i="22"/>
  <c r="H116" i="22"/>
  <c r="S115" i="22"/>
  <c r="V115" i="22"/>
  <c r="H115" i="22"/>
  <c r="E115" i="22"/>
  <c r="G119" i="22"/>
  <c r="I119" i="22"/>
  <c r="T119" i="22"/>
  <c r="U119" i="22"/>
  <c r="F119" i="22"/>
  <c r="J119" i="22"/>
  <c r="U123" i="22"/>
  <c r="J123" i="22"/>
  <c r="T123" i="22"/>
  <c r="I123" i="22"/>
  <c r="F123" i="22"/>
  <c r="G123" i="22"/>
  <c r="U116" i="22"/>
  <c r="T116" i="22"/>
  <c r="G116" i="22"/>
  <c r="I116" i="22"/>
  <c r="J116" i="22"/>
  <c r="F116" i="22"/>
  <c r="J115" i="22"/>
  <c r="U115" i="22"/>
  <c r="T115" i="22"/>
  <c r="I115" i="22"/>
  <c r="G115" i="22"/>
  <c r="F115" i="22"/>
  <c r="T124" i="22"/>
  <c r="J124" i="22"/>
  <c r="U124" i="22"/>
  <c r="I124" i="22"/>
  <c r="G124" i="22"/>
  <c r="F124" i="22"/>
  <c r="P21" i="57"/>
  <c r="AH21" i="57"/>
  <c r="AI21" i="57" s="1"/>
  <c r="K21" i="57"/>
  <c r="X123" i="22"/>
  <c r="X115" i="22"/>
  <c r="X124" i="22"/>
  <c r="X116" i="22"/>
  <c r="X119" i="22"/>
  <c r="AG18" i="57"/>
  <c r="X18" i="57"/>
  <c r="AB18" i="57" s="1"/>
  <c r="AC21" i="53"/>
  <c r="O21" i="53"/>
  <c r="AQ19" i="57"/>
  <c r="Q19" i="57"/>
  <c r="AD19" i="57"/>
  <c r="N21" i="53"/>
  <c r="AA18" i="53"/>
  <c r="AG18" i="53"/>
  <c r="AA17" i="57"/>
  <c r="AE17" i="57" s="1"/>
  <c r="AF17" i="57" s="1"/>
  <c r="Q19" i="53"/>
  <c r="AD19" i="53"/>
  <c r="AT19" i="53"/>
  <c r="R19" i="53"/>
  <c r="N20" i="57"/>
  <c r="L21" i="57"/>
  <c r="AK20" i="52" a="1"/>
  <c r="AK20" i="52" s="1"/>
  <c r="B22" i="53" s="1"/>
  <c r="G21" i="57"/>
  <c r="J21" i="57"/>
  <c r="F21" i="57"/>
  <c r="C21" i="57"/>
  <c r="H21" i="57"/>
  <c r="E21" i="57"/>
  <c r="I21" i="57"/>
  <c r="D21" i="57"/>
  <c r="K21" i="53"/>
  <c r="AH21" i="53" s="1"/>
  <c r="I21" i="53"/>
  <c r="G21" i="53"/>
  <c r="E21" i="53"/>
  <c r="C21" i="53"/>
  <c r="H21" i="53"/>
  <c r="L21" i="53"/>
  <c r="P21" i="53"/>
  <c r="D21" i="53"/>
  <c r="J21" i="53"/>
  <c r="F21" i="53"/>
  <c r="AN20" i="55" a="1"/>
  <c r="AN20" i="55" s="1"/>
  <c r="B22" i="57" s="1"/>
  <c r="O22" i="57" s="1"/>
  <c r="W123" i="22"/>
  <c r="W124" i="22"/>
  <c r="K123" i="22"/>
  <c r="K124" i="22"/>
  <c r="L123" i="22"/>
  <c r="L124" i="22"/>
  <c r="K115" i="22"/>
  <c r="K116" i="22"/>
  <c r="L116" i="22"/>
  <c r="W116" i="22"/>
  <c r="W115" i="22"/>
  <c r="W119" i="22"/>
  <c r="K119" i="22"/>
  <c r="AK21" i="57" l="1"/>
  <c r="AJ17" i="57"/>
  <c r="P22" i="57"/>
  <c r="AH22" i="57"/>
  <c r="AI22" i="57" s="1"/>
  <c r="K22" i="57"/>
  <c r="X19" i="53"/>
  <c r="AB19" i="53" s="1"/>
  <c r="AG19" i="57"/>
  <c r="X19" i="57"/>
  <c r="AB19" i="57" s="1"/>
  <c r="AD20" i="57"/>
  <c r="AC22" i="53"/>
  <c r="O22" i="53"/>
  <c r="Q20" i="57"/>
  <c r="AQ20" i="57"/>
  <c r="R20" i="57"/>
  <c r="AD21" i="57"/>
  <c r="N22" i="53"/>
  <c r="AC17" i="57"/>
  <c r="AG19" i="53"/>
  <c r="AA18" i="57"/>
  <c r="AE18" i="57" s="1"/>
  <c r="AF18" i="57" s="1"/>
  <c r="AD20" i="53"/>
  <c r="R20" i="53"/>
  <c r="Q20" i="53"/>
  <c r="N21" i="57"/>
  <c r="AT20" i="53"/>
  <c r="AE18" i="53"/>
  <c r="AF18" i="53" s="1"/>
  <c r="L22" i="57"/>
  <c r="AK21" i="52" a="1"/>
  <c r="AK21" i="52" s="1"/>
  <c r="B23" i="53" s="1"/>
  <c r="L22" i="53"/>
  <c r="P22" i="53"/>
  <c r="H22" i="53"/>
  <c r="F22" i="53"/>
  <c r="D22" i="53"/>
  <c r="G22" i="53"/>
  <c r="C22" i="53"/>
  <c r="J22" i="53"/>
  <c r="I22" i="53"/>
  <c r="E22" i="53"/>
  <c r="K22" i="53"/>
  <c r="AH22" i="53" s="1"/>
  <c r="I22" i="57"/>
  <c r="H22" i="57"/>
  <c r="G22" i="57"/>
  <c r="E22" i="57"/>
  <c r="D22" i="57"/>
  <c r="C22" i="57"/>
  <c r="F22" i="57"/>
  <c r="J22" i="57"/>
  <c r="AN21" i="55" a="1"/>
  <c r="AN21" i="55" s="1"/>
  <c r="B23" i="57" s="1"/>
  <c r="O23" i="57" s="1"/>
  <c r="AK22" i="57" l="1"/>
  <c r="AJ18" i="57"/>
  <c r="AA19" i="53"/>
  <c r="P23" i="57"/>
  <c r="K23" i="57"/>
  <c r="AH23" i="57"/>
  <c r="AI23" i="57" s="1"/>
  <c r="X20" i="53"/>
  <c r="AB20" i="53" s="1"/>
  <c r="AG20" i="57"/>
  <c r="X20" i="57"/>
  <c r="AB20" i="57" s="1"/>
  <c r="AC23" i="53"/>
  <c r="O23" i="53"/>
  <c r="Q21" i="57"/>
  <c r="AQ21" i="57"/>
  <c r="R21" i="57"/>
  <c r="AD22" i="57"/>
  <c r="N23" i="53"/>
  <c r="AC18" i="57"/>
  <c r="AG20" i="53"/>
  <c r="AA19" i="57"/>
  <c r="AE19" i="57" s="1"/>
  <c r="AF19" i="57" s="1"/>
  <c r="N22" i="57"/>
  <c r="AT21" i="53"/>
  <c r="Q21" i="53"/>
  <c r="R21" i="53"/>
  <c r="AD21" i="53"/>
  <c r="R22" i="53"/>
  <c r="L23" i="57"/>
  <c r="AT22" i="53"/>
  <c r="AD22" i="53"/>
  <c r="I23" i="57"/>
  <c r="F23" i="57"/>
  <c r="C23" i="57"/>
  <c r="H23" i="57"/>
  <c r="D23" i="57"/>
  <c r="E23" i="57"/>
  <c r="G23" i="57"/>
  <c r="J23" i="57"/>
  <c r="Q22" i="53"/>
  <c r="AK22" i="52" a="1"/>
  <c r="AK22" i="52" s="1"/>
  <c r="B24" i="53" s="1"/>
  <c r="H23" i="53"/>
  <c r="G23" i="53"/>
  <c r="P23" i="53"/>
  <c r="E23" i="53"/>
  <c r="D23" i="53"/>
  <c r="C23" i="53"/>
  <c r="K23" i="53"/>
  <c r="AH23" i="53" s="1"/>
  <c r="I23" i="53"/>
  <c r="L23" i="53"/>
  <c r="F23" i="53"/>
  <c r="J23" i="53"/>
  <c r="AN22" i="55" a="1"/>
  <c r="AN22" i="55" s="1"/>
  <c r="B24" i="57" s="1"/>
  <c r="O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K23" i="57" l="1"/>
  <c r="AJ19" i="57"/>
  <c r="AA20" i="53"/>
  <c r="P24" i="57"/>
  <c r="AH24" i="57"/>
  <c r="AI24" i="57" s="1"/>
  <c r="K24" i="57"/>
  <c r="X21" i="53"/>
  <c r="AB21" i="53" s="1"/>
  <c r="AG21" i="57"/>
  <c r="X21" i="57"/>
  <c r="AB21" i="57" s="1"/>
  <c r="X22" i="53"/>
  <c r="AB22" i="53" s="1"/>
  <c r="AC24" i="53"/>
  <c r="O24" i="53"/>
  <c r="R22" i="57"/>
  <c r="AQ22" i="57"/>
  <c r="Q22" i="57"/>
  <c r="N24" i="53"/>
  <c r="AE20" i="53"/>
  <c r="AF20" i="53" s="1"/>
  <c r="AC19" i="57"/>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N23" i="57"/>
  <c r="AE22" i="53"/>
  <c r="AG21" i="53"/>
  <c r="R23" i="53"/>
  <c r="L24" i="57"/>
  <c r="AT23" i="53"/>
  <c r="AD23" i="53"/>
  <c r="AK23" i="52" a="1"/>
  <c r="AK23" i="52" s="1"/>
  <c r="B25" i="53" s="1"/>
  <c r="H24" i="57"/>
  <c r="G24" i="57"/>
  <c r="E24" i="57"/>
  <c r="D24" i="57"/>
  <c r="C24" i="57"/>
  <c r="I24" i="57"/>
  <c r="F24" i="57"/>
  <c r="J24" i="57"/>
  <c r="Q23" i="53"/>
  <c r="L24" i="53"/>
  <c r="H24" i="53"/>
  <c r="F24" i="53"/>
  <c r="D24" i="53"/>
  <c r="P24" i="53"/>
  <c r="G24" i="53"/>
  <c r="C24" i="53"/>
  <c r="I24" i="53"/>
  <c r="E24" i="53"/>
  <c r="J24" i="53"/>
  <c r="K24" i="53"/>
  <c r="AH24" i="53" s="1"/>
  <c r="AN23" i="55" a="1"/>
  <c r="AN23" i="55" s="1"/>
  <c r="B25" i="57" s="1"/>
  <c r="O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AT12" i="67" s="1"/>
  <c r="Q13" i="67"/>
  <c r="AT13" i="67" s="1"/>
  <c r="Q14" i="67"/>
  <c r="AT14" i="67" s="1"/>
  <c r="Q15" i="67"/>
  <c r="AT15" i="67" s="1"/>
  <c r="Q16" i="67"/>
  <c r="AT16" i="67" s="1"/>
  <c r="Q17" i="67"/>
  <c r="AT17" i="67" s="1"/>
  <c r="Q18" i="67"/>
  <c r="AT18" i="67" s="1"/>
  <c r="Q19" i="67"/>
  <c r="AT19" i="67" s="1"/>
  <c r="Q20" i="67"/>
  <c r="AT20" i="67" s="1"/>
  <c r="Q21" i="67"/>
  <c r="AT21" i="67" s="1"/>
  <c r="Q22" i="67"/>
  <c r="AT22" i="67" s="1"/>
  <c r="Q23" i="67"/>
  <c r="AT23" i="67" s="1"/>
  <c r="Q24" i="67"/>
  <c r="AT24" i="67" s="1"/>
  <c r="Q25" i="67"/>
  <c r="AT25" i="67" s="1"/>
  <c r="Q26" i="67"/>
  <c r="AT26" i="67" s="1"/>
  <c r="Q27" i="67"/>
  <c r="AT27" i="67" s="1"/>
  <c r="Q28" i="67"/>
  <c r="AT28" i="67" s="1"/>
  <c r="Q29" i="67"/>
  <c r="AT29" i="67" s="1"/>
  <c r="Q30" i="67"/>
  <c r="AT30" i="67" s="1"/>
  <c r="Q31" i="67"/>
  <c r="AT31" i="67" s="1"/>
  <c r="Q32" i="67"/>
  <c r="AT32" i="67" s="1"/>
  <c r="Q33" i="67"/>
  <c r="AT33" i="67" s="1"/>
  <c r="Q34" i="67"/>
  <c r="AT34" i="67" s="1"/>
  <c r="Q35" i="67"/>
  <c r="AT35" i="67" s="1"/>
  <c r="Q36" i="67"/>
  <c r="AT36" i="67" s="1"/>
  <c r="Q37" i="67"/>
  <c r="AT37" i="67" s="1"/>
  <c r="Q38" i="67"/>
  <c r="AT38" i="67" s="1"/>
  <c r="Q39" i="67"/>
  <c r="AT39" i="67" s="1"/>
  <c r="Q40" i="67"/>
  <c r="AT40" i="67" s="1"/>
  <c r="Q41" i="67"/>
  <c r="AT41" i="67" s="1"/>
  <c r="Q42" i="67"/>
  <c r="AT42" i="67" s="1"/>
  <c r="Q43" i="67"/>
  <c r="AT43" i="67" s="1"/>
  <c r="Q44" i="67"/>
  <c r="AT44" i="67" s="1"/>
  <c r="Q45" i="67"/>
  <c r="AT45" i="67" s="1"/>
  <c r="Q46" i="67"/>
  <c r="AT46" i="67" s="1"/>
  <c r="Q47" i="67"/>
  <c r="AT47" i="67" s="1"/>
  <c r="Q48" i="67"/>
  <c r="AT48" i="67" s="1"/>
  <c r="Q49" i="67"/>
  <c r="AT49" i="67" s="1"/>
  <c r="Q50" i="67"/>
  <c r="AT50" i="67" s="1"/>
  <c r="Q51" i="67"/>
  <c r="AT51" i="67" s="1"/>
  <c r="Q52" i="67"/>
  <c r="AT52" i="67" s="1"/>
  <c r="Q53" i="67"/>
  <c r="AT53" i="67" s="1"/>
  <c r="Q54" i="67"/>
  <c r="AT54" i="67" s="1"/>
  <c r="Q55" i="67"/>
  <c r="AT55" i="67" s="1"/>
  <c r="Q56" i="67"/>
  <c r="AT56" i="67" s="1"/>
  <c r="Q57" i="67"/>
  <c r="AT57" i="67" s="1"/>
  <c r="Q58" i="67"/>
  <c r="AT58" i="67" s="1"/>
  <c r="Q59" i="67"/>
  <c r="AT59" i="67" s="1"/>
  <c r="Q60" i="67"/>
  <c r="AT60" i="67" s="1"/>
  <c r="Q61" i="67"/>
  <c r="AT61" i="67" s="1"/>
  <c r="Q62" i="67"/>
  <c r="AT62" i="67" s="1"/>
  <c r="Q63" i="67"/>
  <c r="AT63" i="67" s="1"/>
  <c r="Q64" i="67"/>
  <c r="AT64" i="67" s="1"/>
  <c r="Q65" i="67"/>
  <c r="AT65" i="67" s="1"/>
  <c r="Q66" i="67"/>
  <c r="AT66" i="67" s="1"/>
  <c r="Q67" i="67"/>
  <c r="AT67" i="67" s="1"/>
  <c r="Q68" i="67"/>
  <c r="AT68" i="67" s="1"/>
  <c r="Q69" i="67"/>
  <c r="AT69" i="67" s="1"/>
  <c r="Q70" i="67"/>
  <c r="AT70" i="67" s="1"/>
  <c r="Q71" i="67"/>
  <c r="AT71" i="67" s="1"/>
  <c r="Q72" i="67"/>
  <c r="AT72" i="67" s="1"/>
  <c r="Q73" i="67"/>
  <c r="AT73" i="67" s="1"/>
  <c r="Q74" i="67"/>
  <c r="AT74" i="67" s="1"/>
  <c r="Q75" i="67"/>
  <c r="AT75" i="67" s="1"/>
  <c r="Q76" i="67"/>
  <c r="AT76" i="67" s="1"/>
  <c r="Q77" i="67"/>
  <c r="AT77" i="67" s="1"/>
  <c r="Q78" i="67"/>
  <c r="AT78" i="67" s="1"/>
  <c r="Q79" i="67"/>
  <c r="AT79" i="67" s="1"/>
  <c r="Q80" i="67"/>
  <c r="AT80" i="67" s="1"/>
  <c r="Q81" i="67"/>
  <c r="AT81" i="67" s="1"/>
  <c r="Q82" i="67"/>
  <c r="AT82" i="67" s="1"/>
  <c r="Q83" i="67"/>
  <c r="AT83" i="67" s="1"/>
  <c r="Q84" i="67"/>
  <c r="AT84" i="67" s="1"/>
  <c r="Q85" i="67"/>
  <c r="AT85" i="67" s="1"/>
  <c r="Q86" i="67"/>
  <c r="AT86" i="67" s="1"/>
  <c r="Q87" i="67"/>
  <c r="AT87" i="67" s="1"/>
  <c r="Q88" i="67"/>
  <c r="AT88" i="67" s="1"/>
  <c r="Q89" i="67"/>
  <c r="AT89" i="67" s="1"/>
  <c r="Q90" i="67"/>
  <c r="AT90" i="67" s="1"/>
  <c r="Q91" i="67"/>
  <c r="AT91" i="67" s="1"/>
  <c r="Q92" i="67"/>
  <c r="AT92" i="67" s="1"/>
  <c r="Q93" i="67"/>
  <c r="AT93" i="67" s="1"/>
  <c r="Q94" i="67"/>
  <c r="AT94" i="67" s="1"/>
  <c r="Q95" i="67"/>
  <c r="AT95" i="67" s="1"/>
  <c r="Q96" i="67"/>
  <c r="AT96" i="67" s="1"/>
  <c r="Q97" i="67"/>
  <c r="AT97" i="67" s="1"/>
  <c r="Q98" i="67"/>
  <c r="AT98" i="67" s="1"/>
  <c r="Q99" i="67"/>
  <c r="AT99" i="67" s="1"/>
  <c r="Q100" i="67"/>
  <c r="AT100" i="67" s="1"/>
  <c r="Q101" i="67"/>
  <c r="AT101" i="67" s="1"/>
  <c r="Q102" i="67"/>
  <c r="AT102" i="67" s="1"/>
  <c r="Q103" i="67"/>
  <c r="AT103" i="67" s="1"/>
  <c r="Q104" i="67"/>
  <c r="AT104" i="67" s="1"/>
  <c r="Q105" i="67"/>
  <c r="AT105" i="67" s="1"/>
  <c r="Q106" i="67"/>
  <c r="AT106" i="67" s="1"/>
  <c r="Q107" i="67"/>
  <c r="AT107" i="67" s="1"/>
  <c r="Q108" i="67"/>
  <c r="AT108" i="67" s="1"/>
  <c r="Q109" i="67"/>
  <c r="AT109" i="67" s="1"/>
  <c r="Q110" i="67"/>
  <c r="AT110" i="67" s="1"/>
  <c r="Q111" i="67"/>
  <c r="AT111" i="67" s="1"/>
  <c r="Q112" i="67"/>
  <c r="AT112" i="67" s="1"/>
  <c r="Q113" i="67"/>
  <c r="AT113" i="67" s="1"/>
  <c r="Q114" i="67"/>
  <c r="AT114" i="67" s="1"/>
  <c r="Q115" i="67"/>
  <c r="AT115" i="67" s="1"/>
  <c r="Q116" i="67"/>
  <c r="AT116" i="67" s="1"/>
  <c r="Q117" i="67"/>
  <c r="AT117" i="67" s="1"/>
  <c r="Q118" i="67"/>
  <c r="AT118" i="67" s="1"/>
  <c r="Q119" i="67"/>
  <c r="AT119" i="67" s="1"/>
  <c r="Q120" i="67"/>
  <c r="AT120" i="67" s="1"/>
  <c r="Q121" i="67"/>
  <c r="AT121" i="67" s="1"/>
  <c r="Q122" i="67"/>
  <c r="AT122" i="67" s="1"/>
  <c r="Q123" i="67"/>
  <c r="AT123" i="67" s="1"/>
  <c r="Q124" i="67"/>
  <c r="AT124" i="67" s="1"/>
  <c r="Q125" i="67"/>
  <c r="AT125" i="67" s="1"/>
  <c r="Q126" i="67"/>
  <c r="AT126" i="67" s="1"/>
  <c r="Q127" i="67"/>
  <c r="AT127" i="67" s="1"/>
  <c r="Q128" i="67"/>
  <c r="AT128" i="67" s="1"/>
  <c r="Q129" i="67"/>
  <c r="AT129" i="67" s="1"/>
  <c r="Q130" i="67"/>
  <c r="AT130" i="67" s="1"/>
  <c r="Q131" i="67"/>
  <c r="AT131" i="67" s="1"/>
  <c r="Q132" i="67"/>
  <c r="AT132" i="67" s="1"/>
  <c r="Q133" i="67"/>
  <c r="AT133" i="67" s="1"/>
  <c r="Q134" i="67"/>
  <c r="AT134" i="67" s="1"/>
  <c r="Q135" i="67"/>
  <c r="AT135" i="67" s="1"/>
  <c r="Q136" i="67"/>
  <c r="AT136" i="67" s="1"/>
  <c r="Q137" i="67"/>
  <c r="AT137" i="67" s="1"/>
  <c r="Q138" i="67"/>
  <c r="AT138" i="67" s="1"/>
  <c r="Q139" i="67"/>
  <c r="AT139" i="67" s="1"/>
  <c r="Q140" i="67"/>
  <c r="AT140" i="67" s="1"/>
  <c r="Q141" i="67"/>
  <c r="AT141" i="67" s="1"/>
  <c r="Q142" i="67"/>
  <c r="AT142" i="67" s="1"/>
  <c r="Q143" i="67"/>
  <c r="AT143" i="67" s="1"/>
  <c r="Q144" i="67"/>
  <c r="AT144" i="67" s="1"/>
  <c r="Q145" i="67"/>
  <c r="AT145" i="67" s="1"/>
  <c r="Q146" i="67"/>
  <c r="AT146" i="67" s="1"/>
  <c r="Q147" i="67"/>
  <c r="AT147" i="67" s="1"/>
  <c r="Q148" i="67"/>
  <c r="AT148" i="67" s="1"/>
  <c r="Q149" i="67"/>
  <c r="AT149" i="67" s="1"/>
  <c r="Q150" i="67"/>
  <c r="AT150" i="67" s="1"/>
  <c r="Q151" i="67"/>
  <c r="AT151" i="67" s="1"/>
  <c r="Q152" i="67"/>
  <c r="AT152" i="67" s="1"/>
  <c r="Q153" i="67"/>
  <c r="AT153" i="67" s="1"/>
  <c r="Q154" i="67"/>
  <c r="AT154" i="67" s="1"/>
  <c r="Q155" i="67"/>
  <c r="AT155" i="67" s="1"/>
  <c r="Q156" i="67"/>
  <c r="AT156" i="67" s="1"/>
  <c r="Q157" i="67"/>
  <c r="AT157" i="67" s="1"/>
  <c r="Q158" i="67"/>
  <c r="AT158" i="67" s="1"/>
  <c r="Q159" i="67"/>
  <c r="AT159" i="67" s="1"/>
  <c r="Q160" i="67"/>
  <c r="AT160" i="67" s="1"/>
  <c r="Q161" i="67"/>
  <c r="AT161" i="67" s="1"/>
  <c r="Q162" i="67"/>
  <c r="AT162" i="67" s="1"/>
  <c r="Q163" i="67"/>
  <c r="AT163" i="67" s="1"/>
  <c r="Q164" i="67"/>
  <c r="AT164" i="67" s="1"/>
  <c r="Q165" i="67"/>
  <c r="AT165" i="67" s="1"/>
  <c r="Q166" i="67"/>
  <c r="AT166" i="67" s="1"/>
  <c r="Q167" i="67"/>
  <c r="AT167" i="67" s="1"/>
  <c r="Q168" i="67"/>
  <c r="AT168" i="67" s="1"/>
  <c r="Q169" i="67"/>
  <c r="AT169" i="67" s="1"/>
  <c r="Q170" i="67"/>
  <c r="AT170" i="67" s="1"/>
  <c r="Q171" i="67"/>
  <c r="AT171" i="67" s="1"/>
  <c r="Q172" i="67"/>
  <c r="AT172" i="67" s="1"/>
  <c r="Q173" i="67"/>
  <c r="AT173" i="67" s="1"/>
  <c r="Q174" i="67"/>
  <c r="AT174" i="67" s="1"/>
  <c r="Q175" i="67"/>
  <c r="AT175" i="67" s="1"/>
  <c r="Q176" i="67"/>
  <c r="AT176" i="67" s="1"/>
  <c r="Q177" i="67"/>
  <c r="AT177" i="67" s="1"/>
  <c r="Q178" i="67"/>
  <c r="AT178" i="67" s="1"/>
  <c r="Q179" i="67"/>
  <c r="AT179" i="67" s="1"/>
  <c r="Q180" i="67"/>
  <c r="AT180" i="67" s="1"/>
  <c r="Q181" i="67"/>
  <c r="AT181" i="67" s="1"/>
  <c r="Q182" i="67"/>
  <c r="AT182" i="67" s="1"/>
  <c r="Q183" i="67"/>
  <c r="AT183" i="67" s="1"/>
  <c r="Q184" i="67"/>
  <c r="AT184" i="67" s="1"/>
  <c r="Q185" i="67"/>
  <c r="AT185" i="67" s="1"/>
  <c r="Q186" i="67"/>
  <c r="AT186" i="67" s="1"/>
  <c r="Q187" i="67"/>
  <c r="AT187" i="67" s="1"/>
  <c r="Q188" i="67"/>
  <c r="AT188" i="67" s="1"/>
  <c r="Q189" i="67"/>
  <c r="AT189" i="67" s="1"/>
  <c r="Q190" i="67"/>
  <c r="AT190" i="67" s="1"/>
  <c r="Q191" i="67"/>
  <c r="AT191" i="67" s="1"/>
  <c r="Q192" i="67"/>
  <c r="AT192" i="67" s="1"/>
  <c r="Q193" i="67"/>
  <c r="AT193" i="67" s="1"/>
  <c r="Q194" i="67"/>
  <c r="AT194" i="67" s="1"/>
  <c r="Q195" i="67"/>
  <c r="AT195" i="67" s="1"/>
  <c r="Q196" i="67"/>
  <c r="AT196" i="67" s="1"/>
  <c r="Q197" i="67"/>
  <c r="AT197" i="67" s="1"/>
  <c r="Q198" i="67"/>
  <c r="AT198" i="67" s="1"/>
  <c r="Q199" i="67"/>
  <c r="AT199" i="67" s="1"/>
  <c r="Q200" i="67"/>
  <c r="AT200" i="67" s="1"/>
  <c r="Q201" i="67"/>
  <c r="AT201" i="67" s="1"/>
  <c r="Q202" i="67"/>
  <c r="AT202" i="67" s="1"/>
  <c r="Q203" i="67"/>
  <c r="AT203" i="67" s="1"/>
  <c r="Q204" i="67"/>
  <c r="AT204" i="67" s="1"/>
  <c r="Q205" i="67"/>
  <c r="AT205" i="67" s="1"/>
  <c r="Q206" i="67"/>
  <c r="AT206" i="67" s="1"/>
  <c r="Q207" i="67"/>
  <c r="AT207" i="67" s="1"/>
  <c r="Q208" i="67"/>
  <c r="AT208" i="67" s="1"/>
  <c r="Q209" i="67"/>
  <c r="AT209" i="67" s="1"/>
  <c r="Q210" i="67"/>
  <c r="AT210" i="67" s="1"/>
  <c r="Q211" i="67"/>
  <c r="AT211" i="67" s="1"/>
  <c r="Q212" i="67"/>
  <c r="AT212" i="67" s="1"/>
  <c r="Q213" i="67"/>
  <c r="AT213" i="67" s="1"/>
  <c r="Q214" i="67"/>
  <c r="AT214" i="67" s="1"/>
  <c r="Q215" i="67"/>
  <c r="AT215" i="67" s="1"/>
  <c r="Q216" i="67"/>
  <c r="AT216" i="67" s="1"/>
  <c r="Q217" i="67"/>
  <c r="AT217" i="67" s="1"/>
  <c r="Q218" i="67"/>
  <c r="AT218" i="67" s="1"/>
  <c r="Q219" i="67"/>
  <c r="AT219" i="67" s="1"/>
  <c r="Q220" i="67"/>
  <c r="AT220" i="67" s="1"/>
  <c r="Q221" i="67"/>
  <c r="AT221" i="67" s="1"/>
  <c r="Q222" i="67"/>
  <c r="AT222" i="67" s="1"/>
  <c r="Q223" i="67"/>
  <c r="AT223" i="67" s="1"/>
  <c r="Q224" i="67"/>
  <c r="AT224" i="67" s="1"/>
  <c r="Q225" i="67"/>
  <c r="AT225" i="67" s="1"/>
  <c r="Q226" i="67"/>
  <c r="AT226" i="67" s="1"/>
  <c r="Q227" i="67"/>
  <c r="AT227" i="67" s="1"/>
  <c r="Q228" i="67"/>
  <c r="AT228" i="67" s="1"/>
  <c r="Q229" i="67"/>
  <c r="AT229" i="67" s="1"/>
  <c r="Q230" i="67"/>
  <c r="AT230" i="67" s="1"/>
  <c r="Q231" i="67"/>
  <c r="AT231" i="67" s="1"/>
  <c r="Q232" i="67"/>
  <c r="AT232" i="67" s="1"/>
  <c r="Q233" i="67"/>
  <c r="AT233" i="67" s="1"/>
  <c r="Q234" i="67"/>
  <c r="AT234" i="67" s="1"/>
  <c r="Q235" i="67"/>
  <c r="AT235" i="67" s="1"/>
  <c r="Q236" i="67"/>
  <c r="AT236" i="67" s="1"/>
  <c r="Q237" i="67"/>
  <c r="AT237" i="67" s="1"/>
  <c r="Q238" i="67"/>
  <c r="AT238" i="67" s="1"/>
  <c r="Q239" i="67"/>
  <c r="AT239" i="67" s="1"/>
  <c r="Q240" i="67"/>
  <c r="AT240" i="67" s="1"/>
  <c r="Q241" i="67"/>
  <c r="AT241" i="67" s="1"/>
  <c r="Q242" i="67"/>
  <c r="AT242" i="67" s="1"/>
  <c r="Q243" i="67"/>
  <c r="AT243" i="67" s="1"/>
  <c r="Q244" i="67"/>
  <c r="AT244" i="67" s="1"/>
  <c r="Q245" i="67"/>
  <c r="AT245" i="67" s="1"/>
  <c r="Q246" i="67"/>
  <c r="AT246" i="67" s="1"/>
  <c r="Q247" i="67"/>
  <c r="AT247" i="67" s="1"/>
  <c r="Q248" i="67"/>
  <c r="AT248" i="67" s="1"/>
  <c r="Q249" i="67"/>
  <c r="AT249" i="67" s="1"/>
  <c r="Q250" i="67"/>
  <c r="AT250" i="67" s="1"/>
  <c r="Q251" i="67"/>
  <c r="AT251" i="67" s="1"/>
  <c r="Q252" i="67"/>
  <c r="AT252" i="67" s="1"/>
  <c r="Q253" i="67"/>
  <c r="AT253" i="67" s="1"/>
  <c r="Q254" i="67"/>
  <c r="AT254" i="67" s="1"/>
  <c r="Q255" i="67"/>
  <c r="AT255" i="67" s="1"/>
  <c r="Q256" i="67"/>
  <c r="AT256" i="67" s="1"/>
  <c r="Q10" i="67"/>
  <c r="F11" i="67"/>
  <c r="F12" i="67"/>
  <c r="G12" i="67" s="1"/>
  <c r="U12" i="67" s="1"/>
  <c r="F13" i="67"/>
  <c r="G13" i="67" s="1"/>
  <c r="U13" i="67" s="1"/>
  <c r="F14" i="67"/>
  <c r="G14" i="67" s="1"/>
  <c r="U14" i="67" s="1"/>
  <c r="F15" i="67"/>
  <c r="G15" i="67" s="1"/>
  <c r="U15" i="67" s="1"/>
  <c r="F16" i="67"/>
  <c r="G16" i="67" s="1"/>
  <c r="U16" i="67" s="1"/>
  <c r="F17" i="67"/>
  <c r="G17" i="67" s="1"/>
  <c r="U17" i="67" s="1"/>
  <c r="F18" i="67"/>
  <c r="G18" i="67" s="1"/>
  <c r="U18" i="67" s="1"/>
  <c r="F19" i="67"/>
  <c r="G19" i="67" s="1"/>
  <c r="U19" i="67" s="1"/>
  <c r="F20" i="67"/>
  <c r="G20" i="67" s="1"/>
  <c r="U20" i="67" s="1"/>
  <c r="F21" i="67"/>
  <c r="G21" i="67" s="1"/>
  <c r="U21" i="67" s="1"/>
  <c r="F22" i="67"/>
  <c r="G22" i="67" s="1"/>
  <c r="U22" i="67" s="1"/>
  <c r="F23" i="67"/>
  <c r="G23" i="67" s="1"/>
  <c r="U23" i="67" s="1"/>
  <c r="F24" i="67"/>
  <c r="G24" i="67" s="1"/>
  <c r="U24" i="67" s="1"/>
  <c r="F25" i="67"/>
  <c r="G25" i="67" s="1"/>
  <c r="U25" i="67" s="1"/>
  <c r="F26" i="67"/>
  <c r="G26" i="67" s="1"/>
  <c r="U26" i="67" s="1"/>
  <c r="F27" i="67"/>
  <c r="G27" i="67" s="1"/>
  <c r="U27" i="67" s="1"/>
  <c r="F28" i="67"/>
  <c r="G28" i="67" s="1"/>
  <c r="U28" i="67" s="1"/>
  <c r="F29" i="67"/>
  <c r="G29" i="67" s="1"/>
  <c r="U29" i="67" s="1"/>
  <c r="F30" i="67"/>
  <c r="G30" i="67" s="1"/>
  <c r="U30" i="67" s="1"/>
  <c r="F31" i="67"/>
  <c r="G31" i="67" s="1"/>
  <c r="U31" i="67" s="1"/>
  <c r="F32" i="67"/>
  <c r="G32" i="67" s="1"/>
  <c r="U32" i="67" s="1"/>
  <c r="F33" i="67"/>
  <c r="G33" i="67" s="1"/>
  <c r="U33" i="67" s="1"/>
  <c r="F34" i="67"/>
  <c r="G34" i="67" s="1"/>
  <c r="U34" i="67" s="1"/>
  <c r="F35" i="67"/>
  <c r="G35" i="67" s="1"/>
  <c r="U35" i="67" s="1"/>
  <c r="F36" i="67"/>
  <c r="G36" i="67" s="1"/>
  <c r="U36" i="67" s="1"/>
  <c r="F37" i="67"/>
  <c r="G37" i="67" s="1"/>
  <c r="U37" i="67" s="1"/>
  <c r="F38" i="67"/>
  <c r="G38" i="67" s="1"/>
  <c r="U38" i="67" s="1"/>
  <c r="F39" i="67"/>
  <c r="G39" i="67" s="1"/>
  <c r="U39" i="67" s="1"/>
  <c r="F40" i="67"/>
  <c r="G40" i="67" s="1"/>
  <c r="U40" i="67" s="1"/>
  <c r="F41" i="67"/>
  <c r="G41" i="67" s="1"/>
  <c r="U41" i="67" s="1"/>
  <c r="F42" i="67"/>
  <c r="G42" i="67" s="1"/>
  <c r="U42" i="67" s="1"/>
  <c r="F43" i="67"/>
  <c r="G43" i="67" s="1"/>
  <c r="U43" i="67" s="1"/>
  <c r="F44" i="67"/>
  <c r="G44" i="67" s="1"/>
  <c r="U44" i="67" s="1"/>
  <c r="F45" i="67"/>
  <c r="G45" i="67" s="1"/>
  <c r="U45" i="67" s="1"/>
  <c r="F46" i="67"/>
  <c r="G46" i="67" s="1"/>
  <c r="U46" i="67" s="1"/>
  <c r="F47" i="67"/>
  <c r="G47" i="67" s="1"/>
  <c r="U47" i="67" s="1"/>
  <c r="F48" i="67"/>
  <c r="G48" i="67" s="1"/>
  <c r="U48" i="67" s="1"/>
  <c r="F49" i="67"/>
  <c r="G49" i="67" s="1"/>
  <c r="U49" i="67" s="1"/>
  <c r="F50" i="67"/>
  <c r="G50" i="67" s="1"/>
  <c r="U50" i="67" s="1"/>
  <c r="F51" i="67"/>
  <c r="G51" i="67" s="1"/>
  <c r="U51" i="67" s="1"/>
  <c r="F52" i="67"/>
  <c r="G52" i="67" s="1"/>
  <c r="U52" i="67" s="1"/>
  <c r="F53" i="67"/>
  <c r="G53" i="67" s="1"/>
  <c r="U53" i="67" s="1"/>
  <c r="F54" i="67"/>
  <c r="G54" i="67" s="1"/>
  <c r="U54" i="67" s="1"/>
  <c r="F55" i="67"/>
  <c r="G55" i="67" s="1"/>
  <c r="U55" i="67" s="1"/>
  <c r="F56" i="67"/>
  <c r="G56" i="67" s="1"/>
  <c r="U56" i="67" s="1"/>
  <c r="F57" i="67"/>
  <c r="G57" i="67" s="1"/>
  <c r="U57" i="67" s="1"/>
  <c r="F58" i="67"/>
  <c r="G58" i="67" s="1"/>
  <c r="U58" i="67" s="1"/>
  <c r="F59" i="67"/>
  <c r="G59" i="67" s="1"/>
  <c r="U59" i="67" s="1"/>
  <c r="F60" i="67"/>
  <c r="G60" i="67" s="1"/>
  <c r="U60" i="67" s="1"/>
  <c r="F61" i="67"/>
  <c r="G61" i="67" s="1"/>
  <c r="U61" i="67" s="1"/>
  <c r="F62" i="67"/>
  <c r="G62" i="67" s="1"/>
  <c r="U62" i="67" s="1"/>
  <c r="F63" i="67"/>
  <c r="G63" i="67" s="1"/>
  <c r="U63" i="67" s="1"/>
  <c r="F64" i="67"/>
  <c r="G64" i="67" s="1"/>
  <c r="U64" i="67" s="1"/>
  <c r="F65" i="67"/>
  <c r="G65" i="67" s="1"/>
  <c r="U65" i="67" s="1"/>
  <c r="F66" i="67"/>
  <c r="G66" i="67" s="1"/>
  <c r="U66" i="67" s="1"/>
  <c r="F67" i="67"/>
  <c r="G67" i="67" s="1"/>
  <c r="U67" i="67" s="1"/>
  <c r="F68" i="67"/>
  <c r="G68" i="67" s="1"/>
  <c r="U68" i="67" s="1"/>
  <c r="F69" i="67"/>
  <c r="G69" i="67" s="1"/>
  <c r="U69" i="67" s="1"/>
  <c r="F70" i="67"/>
  <c r="G70" i="67" s="1"/>
  <c r="U70" i="67" s="1"/>
  <c r="F71" i="67"/>
  <c r="G71" i="67" s="1"/>
  <c r="U71" i="67" s="1"/>
  <c r="F72" i="67"/>
  <c r="G72" i="67" s="1"/>
  <c r="U72" i="67" s="1"/>
  <c r="F73" i="67"/>
  <c r="G73" i="67" s="1"/>
  <c r="U73" i="67" s="1"/>
  <c r="F74" i="67"/>
  <c r="G74" i="67" s="1"/>
  <c r="U74" i="67" s="1"/>
  <c r="F75" i="67"/>
  <c r="G75" i="67" s="1"/>
  <c r="U75" i="67" s="1"/>
  <c r="F76" i="67"/>
  <c r="G76" i="67" s="1"/>
  <c r="U76" i="67" s="1"/>
  <c r="F77" i="67"/>
  <c r="G77" i="67" s="1"/>
  <c r="U77" i="67" s="1"/>
  <c r="F78" i="67"/>
  <c r="G78" i="67" s="1"/>
  <c r="U78" i="67" s="1"/>
  <c r="F79" i="67"/>
  <c r="G79" i="67" s="1"/>
  <c r="U79" i="67" s="1"/>
  <c r="F80" i="67"/>
  <c r="G80" i="67" s="1"/>
  <c r="U80" i="67" s="1"/>
  <c r="F81" i="67"/>
  <c r="G81" i="67" s="1"/>
  <c r="U81" i="67" s="1"/>
  <c r="F82" i="67"/>
  <c r="G82" i="67" s="1"/>
  <c r="U82" i="67" s="1"/>
  <c r="F83" i="67"/>
  <c r="G83" i="67" s="1"/>
  <c r="U83" i="67" s="1"/>
  <c r="F84" i="67"/>
  <c r="G84" i="67" s="1"/>
  <c r="U84" i="67" s="1"/>
  <c r="F85" i="67"/>
  <c r="G85" i="67" s="1"/>
  <c r="U85" i="67" s="1"/>
  <c r="F86" i="67"/>
  <c r="G86" i="67" s="1"/>
  <c r="U86" i="67" s="1"/>
  <c r="F87" i="67"/>
  <c r="G87" i="67" s="1"/>
  <c r="U87" i="67" s="1"/>
  <c r="F88" i="67"/>
  <c r="G88" i="67" s="1"/>
  <c r="U88" i="67" s="1"/>
  <c r="F89" i="67"/>
  <c r="G89" i="67" s="1"/>
  <c r="U89" i="67" s="1"/>
  <c r="F90" i="67"/>
  <c r="G90" i="67" s="1"/>
  <c r="U90" i="67" s="1"/>
  <c r="F91" i="67"/>
  <c r="G91" i="67" s="1"/>
  <c r="U91" i="67" s="1"/>
  <c r="F92" i="67"/>
  <c r="G92" i="67" s="1"/>
  <c r="U92" i="67" s="1"/>
  <c r="F93" i="67"/>
  <c r="G93" i="67" s="1"/>
  <c r="U93" i="67" s="1"/>
  <c r="F94" i="67"/>
  <c r="G94" i="67" s="1"/>
  <c r="U94" i="67" s="1"/>
  <c r="F95" i="67"/>
  <c r="G95" i="67" s="1"/>
  <c r="U95" i="67" s="1"/>
  <c r="F96" i="67"/>
  <c r="G96" i="67" s="1"/>
  <c r="U96" i="67" s="1"/>
  <c r="F97" i="67"/>
  <c r="G97" i="67" s="1"/>
  <c r="U97" i="67" s="1"/>
  <c r="F98" i="67"/>
  <c r="G98" i="67" s="1"/>
  <c r="U98" i="67" s="1"/>
  <c r="F99" i="67"/>
  <c r="G99" i="67" s="1"/>
  <c r="U99" i="67" s="1"/>
  <c r="F100" i="67"/>
  <c r="G100" i="67" s="1"/>
  <c r="U100" i="67" s="1"/>
  <c r="F101" i="67"/>
  <c r="G101" i="67" s="1"/>
  <c r="U101" i="67" s="1"/>
  <c r="F102" i="67"/>
  <c r="G102" i="67" s="1"/>
  <c r="U102" i="67" s="1"/>
  <c r="F103" i="67"/>
  <c r="G103" i="67" s="1"/>
  <c r="U103" i="67" s="1"/>
  <c r="F104" i="67"/>
  <c r="G104" i="67" s="1"/>
  <c r="U104" i="67" s="1"/>
  <c r="F105" i="67"/>
  <c r="G105" i="67" s="1"/>
  <c r="U105" i="67" s="1"/>
  <c r="F106" i="67"/>
  <c r="G106" i="67" s="1"/>
  <c r="U106" i="67" s="1"/>
  <c r="F107" i="67"/>
  <c r="G107" i="67" s="1"/>
  <c r="U107" i="67" s="1"/>
  <c r="F108" i="67"/>
  <c r="G108" i="67" s="1"/>
  <c r="U108" i="67" s="1"/>
  <c r="F109" i="67"/>
  <c r="G109" i="67" s="1"/>
  <c r="U109" i="67" s="1"/>
  <c r="F110" i="67"/>
  <c r="G110" i="67" s="1"/>
  <c r="U110" i="67" s="1"/>
  <c r="F111" i="67"/>
  <c r="G111" i="67" s="1"/>
  <c r="U111" i="67" s="1"/>
  <c r="F112" i="67"/>
  <c r="G112" i="67" s="1"/>
  <c r="U112" i="67" s="1"/>
  <c r="F113" i="67"/>
  <c r="G113" i="67" s="1"/>
  <c r="U113" i="67" s="1"/>
  <c r="F114" i="67"/>
  <c r="G114" i="67" s="1"/>
  <c r="U114" i="67" s="1"/>
  <c r="F115" i="67"/>
  <c r="G115" i="67" s="1"/>
  <c r="U115" i="67" s="1"/>
  <c r="F116" i="67"/>
  <c r="G116" i="67" s="1"/>
  <c r="U116" i="67" s="1"/>
  <c r="F117" i="67"/>
  <c r="G117" i="67" s="1"/>
  <c r="U117" i="67" s="1"/>
  <c r="F118" i="67"/>
  <c r="G118" i="67" s="1"/>
  <c r="U118" i="67" s="1"/>
  <c r="F119" i="67"/>
  <c r="G119" i="67" s="1"/>
  <c r="U119" i="67" s="1"/>
  <c r="F120" i="67"/>
  <c r="G120" i="67" s="1"/>
  <c r="U120" i="67" s="1"/>
  <c r="F121" i="67"/>
  <c r="G121" i="67" s="1"/>
  <c r="U121" i="67" s="1"/>
  <c r="F122" i="67"/>
  <c r="G122" i="67" s="1"/>
  <c r="U122" i="67" s="1"/>
  <c r="F123" i="67"/>
  <c r="G123" i="67" s="1"/>
  <c r="U123" i="67" s="1"/>
  <c r="F124" i="67"/>
  <c r="G124" i="67" s="1"/>
  <c r="U124" i="67" s="1"/>
  <c r="F125" i="67"/>
  <c r="G125" i="67" s="1"/>
  <c r="U125" i="67" s="1"/>
  <c r="F126" i="67"/>
  <c r="G126" i="67" s="1"/>
  <c r="U126" i="67" s="1"/>
  <c r="F127" i="67"/>
  <c r="G127" i="67" s="1"/>
  <c r="U127" i="67" s="1"/>
  <c r="F128" i="67"/>
  <c r="G128" i="67" s="1"/>
  <c r="U128" i="67" s="1"/>
  <c r="F129" i="67"/>
  <c r="G129" i="67" s="1"/>
  <c r="U129" i="67" s="1"/>
  <c r="F130" i="67"/>
  <c r="G130" i="67" s="1"/>
  <c r="U130" i="67" s="1"/>
  <c r="F131" i="67"/>
  <c r="G131" i="67" s="1"/>
  <c r="U131" i="67" s="1"/>
  <c r="F132" i="67"/>
  <c r="G132" i="67" s="1"/>
  <c r="U132" i="67" s="1"/>
  <c r="F133" i="67"/>
  <c r="G133" i="67" s="1"/>
  <c r="U133" i="67" s="1"/>
  <c r="F134" i="67"/>
  <c r="G134" i="67" s="1"/>
  <c r="U134" i="67" s="1"/>
  <c r="F135" i="67"/>
  <c r="G135" i="67" s="1"/>
  <c r="U135" i="67" s="1"/>
  <c r="F136" i="67"/>
  <c r="G136" i="67" s="1"/>
  <c r="U136" i="67" s="1"/>
  <c r="F137" i="67"/>
  <c r="G137" i="67" s="1"/>
  <c r="U137" i="67" s="1"/>
  <c r="F138" i="67"/>
  <c r="G138" i="67" s="1"/>
  <c r="U138" i="67" s="1"/>
  <c r="F139" i="67"/>
  <c r="G139" i="67" s="1"/>
  <c r="U139" i="67" s="1"/>
  <c r="F140" i="67"/>
  <c r="G140" i="67" s="1"/>
  <c r="U140" i="67" s="1"/>
  <c r="F141" i="67"/>
  <c r="G141" i="67" s="1"/>
  <c r="U141" i="67" s="1"/>
  <c r="F142" i="67"/>
  <c r="G142" i="67" s="1"/>
  <c r="U142" i="67" s="1"/>
  <c r="F143" i="67"/>
  <c r="G143" i="67" s="1"/>
  <c r="U143" i="67" s="1"/>
  <c r="F144" i="67"/>
  <c r="G144" i="67" s="1"/>
  <c r="U144" i="67" s="1"/>
  <c r="F145" i="67"/>
  <c r="G145" i="67" s="1"/>
  <c r="U145" i="67" s="1"/>
  <c r="F146" i="67"/>
  <c r="G146" i="67" s="1"/>
  <c r="U146" i="67" s="1"/>
  <c r="F147" i="67"/>
  <c r="G147" i="67" s="1"/>
  <c r="U147" i="67" s="1"/>
  <c r="F148" i="67"/>
  <c r="G148" i="67" s="1"/>
  <c r="U148" i="67" s="1"/>
  <c r="F149" i="67"/>
  <c r="G149" i="67" s="1"/>
  <c r="U149" i="67" s="1"/>
  <c r="F150" i="67"/>
  <c r="G150" i="67" s="1"/>
  <c r="U150" i="67" s="1"/>
  <c r="F151" i="67"/>
  <c r="G151" i="67" s="1"/>
  <c r="U151" i="67" s="1"/>
  <c r="F152" i="67"/>
  <c r="G152" i="67" s="1"/>
  <c r="U152" i="67" s="1"/>
  <c r="F153" i="67"/>
  <c r="G153" i="67" s="1"/>
  <c r="U153" i="67" s="1"/>
  <c r="F154" i="67"/>
  <c r="G154" i="67" s="1"/>
  <c r="U154" i="67" s="1"/>
  <c r="F155" i="67"/>
  <c r="G155" i="67" s="1"/>
  <c r="U155" i="67" s="1"/>
  <c r="F156" i="67"/>
  <c r="G156" i="67" s="1"/>
  <c r="U156" i="67" s="1"/>
  <c r="F157" i="67"/>
  <c r="G157" i="67" s="1"/>
  <c r="U157" i="67" s="1"/>
  <c r="F158" i="67"/>
  <c r="G158" i="67" s="1"/>
  <c r="U158" i="67" s="1"/>
  <c r="F159" i="67"/>
  <c r="G159" i="67" s="1"/>
  <c r="U159" i="67" s="1"/>
  <c r="F160" i="67"/>
  <c r="G160" i="67" s="1"/>
  <c r="U160" i="67" s="1"/>
  <c r="F161" i="67"/>
  <c r="G161" i="67" s="1"/>
  <c r="U161" i="67" s="1"/>
  <c r="F162" i="67"/>
  <c r="G162" i="67" s="1"/>
  <c r="U162" i="67" s="1"/>
  <c r="F163" i="67"/>
  <c r="G163" i="67" s="1"/>
  <c r="U163" i="67" s="1"/>
  <c r="F164" i="67"/>
  <c r="G164" i="67" s="1"/>
  <c r="U164" i="67" s="1"/>
  <c r="F165" i="67"/>
  <c r="G165" i="67" s="1"/>
  <c r="U165" i="67" s="1"/>
  <c r="F166" i="67"/>
  <c r="G166" i="67" s="1"/>
  <c r="U166" i="67" s="1"/>
  <c r="F167" i="67"/>
  <c r="G167" i="67" s="1"/>
  <c r="U167" i="67" s="1"/>
  <c r="F168" i="67"/>
  <c r="G168" i="67" s="1"/>
  <c r="U168" i="67" s="1"/>
  <c r="F169" i="67"/>
  <c r="G169" i="67" s="1"/>
  <c r="U169" i="67" s="1"/>
  <c r="F170" i="67"/>
  <c r="G170" i="67" s="1"/>
  <c r="U170" i="67" s="1"/>
  <c r="F171" i="67"/>
  <c r="G171" i="67" s="1"/>
  <c r="U171" i="67" s="1"/>
  <c r="F172" i="67"/>
  <c r="G172" i="67" s="1"/>
  <c r="U172" i="67" s="1"/>
  <c r="F173" i="67"/>
  <c r="G173" i="67" s="1"/>
  <c r="U173" i="67" s="1"/>
  <c r="F174" i="67"/>
  <c r="G174" i="67" s="1"/>
  <c r="U174" i="67" s="1"/>
  <c r="F175" i="67"/>
  <c r="G175" i="67" s="1"/>
  <c r="U175" i="67" s="1"/>
  <c r="F176" i="67"/>
  <c r="G176" i="67" s="1"/>
  <c r="U176" i="67" s="1"/>
  <c r="F177" i="67"/>
  <c r="G177" i="67" s="1"/>
  <c r="U177" i="67" s="1"/>
  <c r="F178" i="67"/>
  <c r="G178" i="67" s="1"/>
  <c r="U178" i="67" s="1"/>
  <c r="F179" i="67"/>
  <c r="G179" i="67" s="1"/>
  <c r="U179" i="67" s="1"/>
  <c r="F180" i="67"/>
  <c r="G180" i="67" s="1"/>
  <c r="U180" i="67" s="1"/>
  <c r="F181" i="67"/>
  <c r="G181" i="67" s="1"/>
  <c r="U181" i="67" s="1"/>
  <c r="F182" i="67"/>
  <c r="G182" i="67" s="1"/>
  <c r="U182" i="67" s="1"/>
  <c r="F183" i="67"/>
  <c r="G183" i="67" s="1"/>
  <c r="U183" i="67" s="1"/>
  <c r="F184" i="67"/>
  <c r="G184" i="67" s="1"/>
  <c r="U184" i="67" s="1"/>
  <c r="F185" i="67"/>
  <c r="G185" i="67" s="1"/>
  <c r="U185" i="67" s="1"/>
  <c r="F186" i="67"/>
  <c r="G186" i="67" s="1"/>
  <c r="U186" i="67" s="1"/>
  <c r="F187" i="67"/>
  <c r="G187" i="67" s="1"/>
  <c r="U187" i="67" s="1"/>
  <c r="F188" i="67"/>
  <c r="G188" i="67" s="1"/>
  <c r="U188" i="67" s="1"/>
  <c r="F189" i="67"/>
  <c r="G189" i="67" s="1"/>
  <c r="U189" i="67" s="1"/>
  <c r="F190" i="67"/>
  <c r="G190" i="67" s="1"/>
  <c r="U190" i="67" s="1"/>
  <c r="F191" i="67"/>
  <c r="G191" i="67" s="1"/>
  <c r="U191" i="67" s="1"/>
  <c r="F192" i="67"/>
  <c r="G192" i="67" s="1"/>
  <c r="U192" i="67" s="1"/>
  <c r="F193" i="67"/>
  <c r="G193" i="67" s="1"/>
  <c r="U193" i="67" s="1"/>
  <c r="F194" i="67"/>
  <c r="G194" i="67" s="1"/>
  <c r="U194" i="67" s="1"/>
  <c r="F195" i="67"/>
  <c r="G195" i="67" s="1"/>
  <c r="U195" i="67" s="1"/>
  <c r="F196" i="67"/>
  <c r="G196" i="67" s="1"/>
  <c r="U196" i="67" s="1"/>
  <c r="F197" i="67"/>
  <c r="G197" i="67" s="1"/>
  <c r="U197" i="67" s="1"/>
  <c r="F198" i="67"/>
  <c r="G198" i="67" s="1"/>
  <c r="U198" i="67" s="1"/>
  <c r="F199" i="67"/>
  <c r="G199" i="67" s="1"/>
  <c r="U199" i="67" s="1"/>
  <c r="F200" i="67"/>
  <c r="G200" i="67" s="1"/>
  <c r="U200" i="67" s="1"/>
  <c r="F201" i="67"/>
  <c r="G201" i="67" s="1"/>
  <c r="U201" i="67" s="1"/>
  <c r="F202" i="67"/>
  <c r="G202" i="67" s="1"/>
  <c r="U202" i="67" s="1"/>
  <c r="F203" i="67"/>
  <c r="G203" i="67" s="1"/>
  <c r="U203" i="67" s="1"/>
  <c r="F204" i="67"/>
  <c r="G204" i="67" s="1"/>
  <c r="U204" i="67" s="1"/>
  <c r="F205" i="67"/>
  <c r="G205" i="67" s="1"/>
  <c r="U205" i="67" s="1"/>
  <c r="F206" i="67"/>
  <c r="G206" i="67" s="1"/>
  <c r="U206" i="67" s="1"/>
  <c r="F207" i="67"/>
  <c r="G207" i="67" s="1"/>
  <c r="U207" i="67" s="1"/>
  <c r="F208" i="67"/>
  <c r="G208" i="67" s="1"/>
  <c r="U208" i="67" s="1"/>
  <c r="F209" i="67"/>
  <c r="G209" i="67" s="1"/>
  <c r="U209" i="67" s="1"/>
  <c r="F210" i="67"/>
  <c r="G210" i="67" s="1"/>
  <c r="U210" i="67" s="1"/>
  <c r="F211" i="67"/>
  <c r="G211" i="67" s="1"/>
  <c r="U211" i="67" s="1"/>
  <c r="F212" i="67"/>
  <c r="G212" i="67" s="1"/>
  <c r="U212" i="67" s="1"/>
  <c r="F213" i="67"/>
  <c r="G213" i="67" s="1"/>
  <c r="U213" i="67" s="1"/>
  <c r="F214" i="67"/>
  <c r="G214" i="67" s="1"/>
  <c r="U214" i="67" s="1"/>
  <c r="F215" i="67"/>
  <c r="G215" i="67" s="1"/>
  <c r="U215" i="67" s="1"/>
  <c r="F216" i="67"/>
  <c r="G216" i="67" s="1"/>
  <c r="U216" i="67" s="1"/>
  <c r="F217" i="67"/>
  <c r="G217" i="67" s="1"/>
  <c r="U217" i="67" s="1"/>
  <c r="F218" i="67"/>
  <c r="G218" i="67" s="1"/>
  <c r="U218" i="67" s="1"/>
  <c r="F219" i="67"/>
  <c r="G219" i="67" s="1"/>
  <c r="U219" i="67" s="1"/>
  <c r="F220" i="67"/>
  <c r="G220" i="67" s="1"/>
  <c r="U220" i="67" s="1"/>
  <c r="F221" i="67"/>
  <c r="G221" i="67" s="1"/>
  <c r="U221" i="67" s="1"/>
  <c r="F222" i="67"/>
  <c r="G222" i="67" s="1"/>
  <c r="U222" i="67" s="1"/>
  <c r="F223" i="67"/>
  <c r="G223" i="67" s="1"/>
  <c r="U223" i="67" s="1"/>
  <c r="F224" i="67"/>
  <c r="G224" i="67" s="1"/>
  <c r="U224" i="67" s="1"/>
  <c r="F225" i="67"/>
  <c r="G225" i="67" s="1"/>
  <c r="U225" i="67" s="1"/>
  <c r="F226" i="67"/>
  <c r="G226" i="67" s="1"/>
  <c r="U226" i="67" s="1"/>
  <c r="F227" i="67"/>
  <c r="G227" i="67" s="1"/>
  <c r="U227" i="67" s="1"/>
  <c r="F228" i="67"/>
  <c r="G228" i="67" s="1"/>
  <c r="U228" i="67" s="1"/>
  <c r="F229" i="67"/>
  <c r="G229" i="67" s="1"/>
  <c r="U229" i="67" s="1"/>
  <c r="F230" i="67"/>
  <c r="G230" i="67" s="1"/>
  <c r="U230" i="67" s="1"/>
  <c r="F231" i="67"/>
  <c r="G231" i="67" s="1"/>
  <c r="U231" i="67" s="1"/>
  <c r="F232" i="67"/>
  <c r="G232" i="67" s="1"/>
  <c r="U232" i="67" s="1"/>
  <c r="F233" i="67"/>
  <c r="G233" i="67" s="1"/>
  <c r="U233" i="67" s="1"/>
  <c r="F234" i="67"/>
  <c r="G234" i="67" s="1"/>
  <c r="U234" i="67" s="1"/>
  <c r="F235" i="67"/>
  <c r="G235" i="67" s="1"/>
  <c r="U235" i="67" s="1"/>
  <c r="F236" i="67"/>
  <c r="G236" i="67" s="1"/>
  <c r="U236" i="67" s="1"/>
  <c r="F237" i="67"/>
  <c r="G237" i="67" s="1"/>
  <c r="U237" i="67" s="1"/>
  <c r="F238" i="67"/>
  <c r="G238" i="67" s="1"/>
  <c r="U238" i="67" s="1"/>
  <c r="F239" i="67"/>
  <c r="G239" i="67" s="1"/>
  <c r="U239" i="67" s="1"/>
  <c r="F240" i="67"/>
  <c r="G240" i="67" s="1"/>
  <c r="U240" i="67" s="1"/>
  <c r="F241" i="67"/>
  <c r="G241" i="67" s="1"/>
  <c r="U241" i="67" s="1"/>
  <c r="F242" i="67"/>
  <c r="G242" i="67" s="1"/>
  <c r="U242" i="67" s="1"/>
  <c r="F243" i="67"/>
  <c r="G243" i="67" s="1"/>
  <c r="U243" i="67" s="1"/>
  <c r="F244" i="67"/>
  <c r="G244" i="67" s="1"/>
  <c r="U244" i="67" s="1"/>
  <c r="F245" i="67"/>
  <c r="G245" i="67" s="1"/>
  <c r="U245" i="67" s="1"/>
  <c r="F246" i="67"/>
  <c r="G246" i="67" s="1"/>
  <c r="U246" i="67" s="1"/>
  <c r="F247" i="67"/>
  <c r="G247" i="67" s="1"/>
  <c r="U247" i="67" s="1"/>
  <c r="F248" i="67"/>
  <c r="G248" i="67" s="1"/>
  <c r="U248" i="67" s="1"/>
  <c r="F249" i="67"/>
  <c r="G249" i="67" s="1"/>
  <c r="U249" i="67" s="1"/>
  <c r="F250" i="67"/>
  <c r="G250" i="67" s="1"/>
  <c r="U250" i="67" s="1"/>
  <c r="F251" i="67"/>
  <c r="G251" i="67" s="1"/>
  <c r="U251" i="67" s="1"/>
  <c r="F252" i="67"/>
  <c r="G252" i="67" s="1"/>
  <c r="U252" i="67" s="1"/>
  <c r="F253" i="67"/>
  <c r="G253" i="67" s="1"/>
  <c r="U253" i="67" s="1"/>
  <c r="F254" i="67"/>
  <c r="G254" i="67" s="1"/>
  <c r="U254" i="67" s="1"/>
  <c r="F255" i="67"/>
  <c r="G255" i="67" s="1"/>
  <c r="U255" i="67" s="1"/>
  <c r="F256" i="67"/>
  <c r="G256" i="67" s="1"/>
  <c r="U256" i="67" s="1"/>
  <c r="F257" i="67"/>
  <c r="G257" i="67" s="1"/>
  <c r="U257" i="67" s="1"/>
  <c r="F10" i="67"/>
  <c r="AF22" i="53" l="1"/>
  <c r="AK24" i="57"/>
  <c r="AJ20" i="57"/>
  <c r="R12" i="67"/>
  <c r="AC12" i="67" s="1"/>
  <c r="R13" i="67"/>
  <c r="AC13" i="67" s="1"/>
  <c r="R14" i="67"/>
  <c r="AC14" i="67" s="1"/>
  <c r="R243" i="67"/>
  <c r="AC243" i="67" s="1"/>
  <c r="R187" i="67"/>
  <c r="AC187" i="67" s="1"/>
  <c r="R252" i="67"/>
  <c r="AC252" i="67" s="1"/>
  <c r="R244" i="67"/>
  <c r="AC244" i="67" s="1"/>
  <c r="R236" i="67"/>
  <c r="AC236" i="67" s="1"/>
  <c r="R228" i="67"/>
  <c r="AC228" i="67" s="1"/>
  <c r="R220" i="67"/>
  <c r="AC220" i="67" s="1"/>
  <c r="R212" i="67"/>
  <c r="AC212" i="67" s="1"/>
  <c r="R204" i="67"/>
  <c r="AC204" i="67" s="1"/>
  <c r="R196" i="67"/>
  <c r="AC196" i="67" s="1"/>
  <c r="R188" i="67"/>
  <c r="AC188" i="67" s="1"/>
  <c r="R180" i="67"/>
  <c r="AC180" i="67" s="1"/>
  <c r="R172" i="67"/>
  <c r="AC172" i="67" s="1"/>
  <c r="R164" i="67"/>
  <c r="AC164" i="67" s="1"/>
  <c r="R156" i="67"/>
  <c r="AC156" i="67" s="1"/>
  <c r="R148" i="67"/>
  <c r="AC148" i="67" s="1"/>
  <c r="R140" i="67"/>
  <c r="AC140" i="67" s="1"/>
  <c r="R132" i="67"/>
  <c r="AC132" i="67" s="1"/>
  <c r="R124" i="67"/>
  <c r="AC124" i="67" s="1"/>
  <c r="R116" i="67"/>
  <c r="AC116" i="67" s="1"/>
  <c r="R108" i="67"/>
  <c r="AC108" i="67" s="1"/>
  <c r="R100" i="67"/>
  <c r="AC100" i="67" s="1"/>
  <c r="R92" i="67"/>
  <c r="AC92" i="67" s="1"/>
  <c r="R84" i="67"/>
  <c r="AC84" i="67" s="1"/>
  <c r="R76" i="67"/>
  <c r="AC76" i="67" s="1"/>
  <c r="R68" i="67"/>
  <c r="AC68" i="67" s="1"/>
  <c r="R60" i="67"/>
  <c r="AC60" i="67" s="1"/>
  <c r="R52" i="67"/>
  <c r="AC52" i="67" s="1"/>
  <c r="R44" i="67"/>
  <c r="AC44" i="67" s="1"/>
  <c r="R36" i="67"/>
  <c r="AC36" i="67" s="1"/>
  <c r="R28" i="67"/>
  <c r="AC28" i="67" s="1"/>
  <c r="R20" i="67"/>
  <c r="AC20" i="67" s="1"/>
  <c r="R211" i="67"/>
  <c r="AC211" i="67" s="1"/>
  <c r="R155" i="67"/>
  <c r="AC155" i="67" s="1"/>
  <c r="R107" i="67"/>
  <c r="AC107" i="67" s="1"/>
  <c r="R51" i="67"/>
  <c r="AC51" i="67" s="1"/>
  <c r="R234" i="67"/>
  <c r="AC234" i="67" s="1"/>
  <c r="R178" i="67"/>
  <c r="AC178" i="67" s="1"/>
  <c r="R90" i="67"/>
  <c r="AC90" i="67" s="1"/>
  <c r="R66" i="67"/>
  <c r="AC66" i="67" s="1"/>
  <c r="R26" i="67"/>
  <c r="AC26" i="67" s="1"/>
  <c r="R18" i="67"/>
  <c r="AC18" i="67" s="1"/>
  <c r="R219" i="67"/>
  <c r="AC219" i="67" s="1"/>
  <c r="R91" i="67"/>
  <c r="AC91" i="67" s="1"/>
  <c r="R43" i="67"/>
  <c r="AC43" i="67" s="1"/>
  <c r="R218" i="67"/>
  <c r="AC218" i="67" s="1"/>
  <c r="R186" i="67"/>
  <c r="AC186" i="67" s="1"/>
  <c r="R146" i="67"/>
  <c r="AC146" i="67" s="1"/>
  <c r="R114" i="67"/>
  <c r="AC114" i="67" s="1"/>
  <c r="R42" i="67"/>
  <c r="AC42" i="67" s="1"/>
  <c r="R249" i="67"/>
  <c r="AC249" i="67" s="1"/>
  <c r="R225" i="67"/>
  <c r="AC225" i="67" s="1"/>
  <c r="R209" i="67"/>
  <c r="AC209" i="67" s="1"/>
  <c r="R185" i="67"/>
  <c r="AC185" i="67" s="1"/>
  <c r="R161" i="67"/>
  <c r="AC161" i="67" s="1"/>
  <c r="R145" i="67"/>
  <c r="AC145" i="67" s="1"/>
  <c r="R137" i="67"/>
  <c r="AC137" i="67" s="1"/>
  <c r="R129" i="67"/>
  <c r="AC129" i="67" s="1"/>
  <c r="R121" i="67"/>
  <c r="AC121" i="67" s="1"/>
  <c r="R113" i="67"/>
  <c r="AC113" i="67" s="1"/>
  <c r="R105" i="67"/>
  <c r="AC105" i="67" s="1"/>
  <c r="R97" i="67"/>
  <c r="AC97" i="67" s="1"/>
  <c r="R89" i="67"/>
  <c r="AC89" i="67" s="1"/>
  <c r="R81" i="67"/>
  <c r="AC81" i="67" s="1"/>
  <c r="R73" i="67"/>
  <c r="AC73" i="67" s="1"/>
  <c r="R65" i="67"/>
  <c r="AC65" i="67" s="1"/>
  <c r="R57" i="67"/>
  <c r="AC57" i="67" s="1"/>
  <c r="R49" i="67"/>
  <c r="AC49" i="67" s="1"/>
  <c r="R41" i="67"/>
  <c r="AC41" i="67" s="1"/>
  <c r="R33" i="67"/>
  <c r="AC33" i="67" s="1"/>
  <c r="R25" i="67"/>
  <c r="AC25" i="67" s="1"/>
  <c r="R17" i="67"/>
  <c r="AC17" i="67" s="1"/>
  <c r="R251" i="67"/>
  <c r="AC251" i="67" s="1"/>
  <c r="R203" i="67"/>
  <c r="AC203" i="67" s="1"/>
  <c r="R171" i="67"/>
  <c r="AC171" i="67" s="1"/>
  <c r="R139" i="67"/>
  <c r="AC139" i="67" s="1"/>
  <c r="R99" i="67"/>
  <c r="AC99" i="67" s="1"/>
  <c r="R59" i="67"/>
  <c r="AC59" i="67" s="1"/>
  <c r="R27" i="67"/>
  <c r="AC27" i="67" s="1"/>
  <c r="R242" i="67"/>
  <c r="AC242" i="67" s="1"/>
  <c r="R194" i="67"/>
  <c r="AC194" i="67" s="1"/>
  <c r="R154" i="67"/>
  <c r="AC154" i="67" s="1"/>
  <c r="R130" i="67"/>
  <c r="AC130" i="67" s="1"/>
  <c r="R106" i="67"/>
  <c r="AC106" i="67" s="1"/>
  <c r="R82" i="67"/>
  <c r="AC82" i="67" s="1"/>
  <c r="R58" i="67"/>
  <c r="AC58" i="67" s="1"/>
  <c r="R34" i="67"/>
  <c r="AC34" i="67" s="1"/>
  <c r="R233" i="67"/>
  <c r="AC233" i="67" s="1"/>
  <c r="R217" i="67"/>
  <c r="AC217" i="67" s="1"/>
  <c r="R201" i="67"/>
  <c r="AC201" i="67" s="1"/>
  <c r="R177" i="67"/>
  <c r="AC177" i="67" s="1"/>
  <c r="R153" i="67"/>
  <c r="AC153" i="67" s="1"/>
  <c r="R256" i="67"/>
  <c r="AC256" i="67" s="1"/>
  <c r="R248" i="67"/>
  <c r="AC248" i="67" s="1"/>
  <c r="R240" i="67"/>
  <c r="AC240" i="67" s="1"/>
  <c r="R232" i="67"/>
  <c r="AC232" i="67" s="1"/>
  <c r="R224" i="67"/>
  <c r="AC224" i="67" s="1"/>
  <c r="R216" i="67"/>
  <c r="AC216" i="67" s="1"/>
  <c r="R208" i="67"/>
  <c r="AC208" i="67" s="1"/>
  <c r="R200" i="67"/>
  <c r="AC200" i="67" s="1"/>
  <c r="R192" i="67"/>
  <c r="AC192" i="67" s="1"/>
  <c r="R184" i="67"/>
  <c r="AC184" i="67" s="1"/>
  <c r="R176" i="67"/>
  <c r="AC176" i="67" s="1"/>
  <c r="R168" i="67"/>
  <c r="AC168" i="67" s="1"/>
  <c r="R160" i="67"/>
  <c r="AC160" i="67" s="1"/>
  <c r="R152" i="67"/>
  <c r="AC152" i="67" s="1"/>
  <c r="R144" i="67"/>
  <c r="AC144" i="67" s="1"/>
  <c r="R136" i="67"/>
  <c r="AC136" i="67" s="1"/>
  <c r="R128" i="67"/>
  <c r="AC128" i="67" s="1"/>
  <c r="R120" i="67"/>
  <c r="AC120" i="67" s="1"/>
  <c r="R112" i="67"/>
  <c r="AC112" i="67" s="1"/>
  <c r="R104" i="67"/>
  <c r="AC104" i="67" s="1"/>
  <c r="R96" i="67"/>
  <c r="AC96" i="67" s="1"/>
  <c r="R88" i="67"/>
  <c r="AC88" i="67" s="1"/>
  <c r="R80" i="67"/>
  <c r="AC80" i="67" s="1"/>
  <c r="R72" i="67"/>
  <c r="AC72" i="67" s="1"/>
  <c r="R64" i="67"/>
  <c r="AC64" i="67" s="1"/>
  <c r="R56" i="67"/>
  <c r="AC56" i="67" s="1"/>
  <c r="R48" i="67"/>
  <c r="AC48" i="67" s="1"/>
  <c r="R40" i="67"/>
  <c r="AC40" i="67" s="1"/>
  <c r="R32" i="67"/>
  <c r="AC32" i="67" s="1"/>
  <c r="R24" i="67"/>
  <c r="AC24" i="67" s="1"/>
  <c r="R16" i="67"/>
  <c r="AC16" i="67" s="1"/>
  <c r="R227" i="67"/>
  <c r="AC227" i="67" s="1"/>
  <c r="R179" i="67"/>
  <c r="AC179" i="67" s="1"/>
  <c r="R115" i="67"/>
  <c r="AC115" i="67" s="1"/>
  <c r="R75" i="67"/>
  <c r="AC75" i="67" s="1"/>
  <c r="R35" i="67"/>
  <c r="AC35" i="67" s="1"/>
  <c r="R250" i="67"/>
  <c r="AC250" i="67" s="1"/>
  <c r="R210" i="67"/>
  <c r="AC210" i="67" s="1"/>
  <c r="R170" i="67"/>
  <c r="AC170" i="67" s="1"/>
  <c r="R138" i="67"/>
  <c r="AC138" i="67" s="1"/>
  <c r="R122" i="67"/>
  <c r="AC122" i="67" s="1"/>
  <c r="R98" i="67"/>
  <c r="AC98" i="67" s="1"/>
  <c r="R74" i="67"/>
  <c r="AC74" i="67" s="1"/>
  <c r="R50" i="67"/>
  <c r="AC50" i="67" s="1"/>
  <c r="R257" i="67"/>
  <c r="AC257" i="67" s="1"/>
  <c r="R241" i="67"/>
  <c r="AC241" i="67" s="1"/>
  <c r="R193" i="67"/>
  <c r="AC193" i="67" s="1"/>
  <c r="R169" i="67"/>
  <c r="AC169" i="67" s="1"/>
  <c r="R255" i="67"/>
  <c r="AC255" i="67" s="1"/>
  <c r="R247" i="67"/>
  <c r="AC247" i="67" s="1"/>
  <c r="R239" i="67"/>
  <c r="AC239" i="67" s="1"/>
  <c r="R231" i="67"/>
  <c r="AC231" i="67" s="1"/>
  <c r="R223" i="67"/>
  <c r="AC223" i="67" s="1"/>
  <c r="R215" i="67"/>
  <c r="AC215" i="67" s="1"/>
  <c r="R207" i="67"/>
  <c r="AC207" i="67" s="1"/>
  <c r="R199" i="67"/>
  <c r="AC199" i="67" s="1"/>
  <c r="R191" i="67"/>
  <c r="AC191" i="67" s="1"/>
  <c r="R183" i="67"/>
  <c r="AC183" i="67" s="1"/>
  <c r="R175" i="67"/>
  <c r="AC175" i="67" s="1"/>
  <c r="R167" i="67"/>
  <c r="AC167" i="67" s="1"/>
  <c r="R159" i="67"/>
  <c r="AC159" i="67" s="1"/>
  <c r="R151" i="67"/>
  <c r="AC151" i="67" s="1"/>
  <c r="R143" i="67"/>
  <c r="AC143" i="67" s="1"/>
  <c r="R135" i="67"/>
  <c r="AC135" i="67" s="1"/>
  <c r="R127" i="67"/>
  <c r="AC127" i="67" s="1"/>
  <c r="R119" i="67"/>
  <c r="AC119" i="67" s="1"/>
  <c r="R111" i="67"/>
  <c r="AC111" i="67" s="1"/>
  <c r="R103" i="67"/>
  <c r="AC103" i="67" s="1"/>
  <c r="R95" i="67"/>
  <c r="AC95" i="67" s="1"/>
  <c r="R87" i="67"/>
  <c r="AC87" i="67" s="1"/>
  <c r="R79" i="67"/>
  <c r="AC79" i="67" s="1"/>
  <c r="R71" i="67"/>
  <c r="AC71" i="67" s="1"/>
  <c r="R63" i="67"/>
  <c r="AC63" i="67" s="1"/>
  <c r="R55" i="67"/>
  <c r="AC55" i="67" s="1"/>
  <c r="R47" i="67"/>
  <c r="AC47" i="67" s="1"/>
  <c r="R39" i="67"/>
  <c r="AC39" i="67" s="1"/>
  <c r="R31" i="67"/>
  <c r="AC31" i="67" s="1"/>
  <c r="R23" i="67"/>
  <c r="AC23" i="67" s="1"/>
  <c r="R15" i="67"/>
  <c r="AC15" i="67" s="1"/>
  <c r="R147" i="67"/>
  <c r="AC147" i="67" s="1"/>
  <c r="R123" i="67"/>
  <c r="AC123" i="67" s="1"/>
  <c r="R67" i="67"/>
  <c r="AC67" i="67" s="1"/>
  <c r="R202" i="67"/>
  <c r="AC202" i="67" s="1"/>
  <c r="R254" i="67"/>
  <c r="AC254" i="67" s="1"/>
  <c r="R238" i="67"/>
  <c r="AC238" i="67" s="1"/>
  <c r="R222" i="67"/>
  <c r="AC222" i="67" s="1"/>
  <c r="R206" i="67"/>
  <c r="AC206" i="67" s="1"/>
  <c r="R190" i="67"/>
  <c r="AC190" i="67" s="1"/>
  <c r="R182" i="67"/>
  <c r="AC182" i="67" s="1"/>
  <c r="R174" i="67"/>
  <c r="AC174" i="67" s="1"/>
  <c r="R166" i="67"/>
  <c r="AC166" i="67" s="1"/>
  <c r="R158" i="67"/>
  <c r="AC158" i="67" s="1"/>
  <c r="R150" i="67"/>
  <c r="AC150" i="67" s="1"/>
  <c r="R142" i="67"/>
  <c r="AC142" i="67" s="1"/>
  <c r="R134" i="67"/>
  <c r="AC134" i="67" s="1"/>
  <c r="R126" i="67"/>
  <c r="AC126" i="67" s="1"/>
  <c r="R118" i="67"/>
  <c r="AC118" i="67" s="1"/>
  <c r="R110" i="67"/>
  <c r="AC110" i="67" s="1"/>
  <c r="R102" i="67"/>
  <c r="AC102" i="67" s="1"/>
  <c r="R94" i="67"/>
  <c r="AC94" i="67" s="1"/>
  <c r="R86" i="67"/>
  <c r="AC86" i="67" s="1"/>
  <c r="R78" i="67"/>
  <c r="AC78" i="67" s="1"/>
  <c r="R70" i="67"/>
  <c r="AC70" i="67" s="1"/>
  <c r="R62" i="67"/>
  <c r="AC62" i="67" s="1"/>
  <c r="R54" i="67"/>
  <c r="AC54" i="67" s="1"/>
  <c r="R46" i="67"/>
  <c r="AC46" i="67" s="1"/>
  <c r="R38" i="67"/>
  <c r="AC38" i="67" s="1"/>
  <c r="R30" i="67"/>
  <c r="AC30" i="67" s="1"/>
  <c r="R22" i="67"/>
  <c r="AC22" i="67" s="1"/>
  <c r="R235" i="67"/>
  <c r="AC235" i="67" s="1"/>
  <c r="R195" i="67"/>
  <c r="AC195" i="67" s="1"/>
  <c r="R163" i="67"/>
  <c r="AC163" i="67" s="1"/>
  <c r="R131" i="67"/>
  <c r="AC131" i="67" s="1"/>
  <c r="R83" i="67"/>
  <c r="AC83" i="67" s="1"/>
  <c r="R19" i="67"/>
  <c r="AC19" i="67" s="1"/>
  <c r="R226" i="67"/>
  <c r="AC226" i="67" s="1"/>
  <c r="R162" i="67"/>
  <c r="AC162" i="67" s="1"/>
  <c r="R246" i="67"/>
  <c r="AC246" i="67" s="1"/>
  <c r="R230" i="67"/>
  <c r="AC230" i="67" s="1"/>
  <c r="R214" i="67"/>
  <c r="AC214" i="67" s="1"/>
  <c r="R198" i="67"/>
  <c r="AC198" i="67" s="1"/>
  <c r="R253" i="67"/>
  <c r="AC253" i="67" s="1"/>
  <c r="R245" i="67"/>
  <c r="AC245" i="67" s="1"/>
  <c r="R237" i="67"/>
  <c r="AC237" i="67" s="1"/>
  <c r="R229" i="67"/>
  <c r="AC229" i="67" s="1"/>
  <c r="R221" i="67"/>
  <c r="AC221" i="67" s="1"/>
  <c r="R213" i="67"/>
  <c r="AC213" i="67" s="1"/>
  <c r="R205" i="67"/>
  <c r="AC205" i="67" s="1"/>
  <c r="R197" i="67"/>
  <c r="AC197" i="67" s="1"/>
  <c r="R189" i="67"/>
  <c r="AC189" i="67" s="1"/>
  <c r="R181" i="67"/>
  <c r="AC181" i="67" s="1"/>
  <c r="R173" i="67"/>
  <c r="AC173" i="67" s="1"/>
  <c r="R165" i="67"/>
  <c r="AC165" i="67" s="1"/>
  <c r="R157" i="67"/>
  <c r="AC157" i="67" s="1"/>
  <c r="R149" i="67"/>
  <c r="AC149" i="67" s="1"/>
  <c r="R141" i="67"/>
  <c r="AC141" i="67" s="1"/>
  <c r="R133" i="67"/>
  <c r="AC133" i="67" s="1"/>
  <c r="R125" i="67"/>
  <c r="AC125" i="67" s="1"/>
  <c r="R117" i="67"/>
  <c r="AC117" i="67" s="1"/>
  <c r="R109" i="67"/>
  <c r="AC109" i="67" s="1"/>
  <c r="R101" i="67"/>
  <c r="AC101" i="67" s="1"/>
  <c r="R93" i="67"/>
  <c r="AC93" i="67" s="1"/>
  <c r="R85" i="67"/>
  <c r="AC85" i="67" s="1"/>
  <c r="R77" i="67"/>
  <c r="AC77" i="67" s="1"/>
  <c r="R69" i="67"/>
  <c r="AC69" i="67" s="1"/>
  <c r="R61" i="67"/>
  <c r="AC61" i="67" s="1"/>
  <c r="R53" i="67"/>
  <c r="AC53" i="67" s="1"/>
  <c r="R45" i="67"/>
  <c r="AC45" i="67" s="1"/>
  <c r="R37" i="67"/>
  <c r="AC37" i="67" s="1"/>
  <c r="R29" i="67"/>
  <c r="AC29" i="67" s="1"/>
  <c r="R21" i="67"/>
  <c r="AC21" i="67" s="1"/>
  <c r="AJ11" i="67"/>
  <c r="AI11" i="67"/>
  <c r="AJ10" i="67"/>
  <c r="AI10" i="67"/>
  <c r="AJ14" i="67"/>
  <c r="AI14" i="67"/>
  <c r="AJ13" i="67"/>
  <c r="AI13" i="67"/>
  <c r="AJ12" i="67"/>
  <c r="AI12" i="67"/>
  <c r="Z210" i="67"/>
  <c r="BA210" i="67" s="1"/>
  <c r="Z162" i="67"/>
  <c r="BA162" i="67" s="1"/>
  <c r="Z98" i="67"/>
  <c r="BA98" i="67" s="1"/>
  <c r="Z224" i="67"/>
  <c r="BA224" i="67" s="1"/>
  <c r="Z246" i="67"/>
  <c r="BA246" i="67" s="1"/>
  <c r="Z230" i="67"/>
  <c r="BA230" i="67" s="1"/>
  <c r="Z252" i="67"/>
  <c r="BA252" i="67" s="1"/>
  <c r="Z244" i="67"/>
  <c r="BA244" i="67" s="1"/>
  <c r="Z236" i="67"/>
  <c r="BA236" i="67" s="1"/>
  <c r="Z228" i="67"/>
  <c r="BA228" i="67" s="1"/>
  <c r="Z220" i="67"/>
  <c r="BA220" i="67" s="1"/>
  <c r="Z212" i="67"/>
  <c r="BA212" i="67" s="1"/>
  <c r="Z204" i="67"/>
  <c r="BA204" i="67" s="1"/>
  <c r="Z196" i="67"/>
  <c r="BA196" i="67" s="1"/>
  <c r="Z188" i="67"/>
  <c r="BA188" i="67" s="1"/>
  <c r="Z180" i="67"/>
  <c r="BA180" i="67" s="1"/>
  <c r="Z172" i="67"/>
  <c r="BA172" i="67" s="1"/>
  <c r="Z164" i="67"/>
  <c r="BA164" i="67" s="1"/>
  <c r="Z156" i="67"/>
  <c r="BA156" i="67" s="1"/>
  <c r="Z148" i="67"/>
  <c r="BA148" i="67" s="1"/>
  <c r="Z140" i="67"/>
  <c r="BA140" i="67" s="1"/>
  <c r="Z132" i="67"/>
  <c r="BA132" i="67" s="1"/>
  <c r="Z124" i="67"/>
  <c r="BA124" i="67" s="1"/>
  <c r="Z116" i="67"/>
  <c r="BA116" i="67" s="1"/>
  <c r="Z108" i="67"/>
  <c r="BA108" i="67" s="1"/>
  <c r="Z100" i="67"/>
  <c r="BA100" i="67" s="1"/>
  <c r="Z92" i="67"/>
  <c r="BA92" i="67" s="1"/>
  <c r="Z84" i="67"/>
  <c r="BA84" i="67" s="1"/>
  <c r="Z76" i="67"/>
  <c r="BA76" i="67" s="1"/>
  <c r="Z68" i="67"/>
  <c r="BA68" i="67" s="1"/>
  <c r="Z60" i="67"/>
  <c r="BA60" i="67" s="1"/>
  <c r="Z52" i="67"/>
  <c r="BA52" i="67" s="1"/>
  <c r="Z44" i="67"/>
  <c r="BA44" i="67" s="1"/>
  <c r="Z36" i="67"/>
  <c r="BA36" i="67" s="1"/>
  <c r="Z28" i="67"/>
  <c r="BA28" i="67" s="1"/>
  <c r="Z20" i="67"/>
  <c r="BA20" i="67" s="1"/>
  <c r="AI251" i="67"/>
  <c r="AJ251" i="67"/>
  <c r="AI243" i="67"/>
  <c r="AJ243" i="67"/>
  <c r="AI235" i="67"/>
  <c r="AJ235" i="67"/>
  <c r="AI227" i="67"/>
  <c r="AJ227" i="67"/>
  <c r="AI219" i="67"/>
  <c r="AJ219" i="67"/>
  <c r="AI211" i="67"/>
  <c r="AJ211" i="67"/>
  <c r="AI203" i="67"/>
  <c r="AJ203" i="67"/>
  <c r="AI195" i="67"/>
  <c r="AJ195" i="67"/>
  <c r="AI187" i="67"/>
  <c r="AJ187" i="67"/>
  <c r="AI179" i="67"/>
  <c r="AJ179" i="67"/>
  <c r="AI171" i="67"/>
  <c r="AJ171" i="67"/>
  <c r="AI163" i="67"/>
  <c r="AJ163" i="67"/>
  <c r="AI155" i="67"/>
  <c r="AJ155" i="67"/>
  <c r="AI147" i="67"/>
  <c r="AJ147" i="67"/>
  <c r="AI139" i="67"/>
  <c r="AJ139" i="67"/>
  <c r="AI131" i="67"/>
  <c r="AJ131" i="67"/>
  <c r="AI123" i="67"/>
  <c r="AJ123" i="67"/>
  <c r="AI115" i="67"/>
  <c r="AJ115" i="67"/>
  <c r="AI107" i="67"/>
  <c r="AJ107" i="67"/>
  <c r="AI99" i="67"/>
  <c r="AJ99" i="67"/>
  <c r="AI91" i="67"/>
  <c r="AJ91" i="67"/>
  <c r="AI83" i="67"/>
  <c r="AJ83" i="67"/>
  <c r="AI75" i="67"/>
  <c r="AJ75" i="67"/>
  <c r="AI67" i="67"/>
  <c r="AJ67" i="67"/>
  <c r="AI59" i="67"/>
  <c r="AJ59" i="67"/>
  <c r="AI51" i="67"/>
  <c r="AJ51" i="67"/>
  <c r="AJ43" i="67"/>
  <c r="AI43" i="67"/>
  <c r="AJ35" i="67"/>
  <c r="AI35" i="67"/>
  <c r="AJ27" i="67"/>
  <c r="AI27" i="67"/>
  <c r="AJ19" i="67"/>
  <c r="AI19" i="67"/>
  <c r="Z234" i="67"/>
  <c r="BA234" i="67" s="1"/>
  <c r="Z178" i="67"/>
  <c r="BA178" i="67" s="1"/>
  <c r="Z106" i="67"/>
  <c r="BA106" i="67" s="1"/>
  <c r="Z251" i="67"/>
  <c r="BA251" i="67" s="1"/>
  <c r="Z243" i="67"/>
  <c r="BA243" i="67" s="1"/>
  <c r="Z235" i="67"/>
  <c r="BA235" i="67" s="1"/>
  <c r="Z227" i="67"/>
  <c r="BA227" i="67" s="1"/>
  <c r="Z219" i="67"/>
  <c r="BA219" i="67" s="1"/>
  <c r="Z211" i="67"/>
  <c r="BA211" i="67" s="1"/>
  <c r="Z203" i="67"/>
  <c r="BA203" i="67" s="1"/>
  <c r="Z195" i="67"/>
  <c r="BA195" i="67" s="1"/>
  <c r="Z187" i="67"/>
  <c r="BA187" i="67" s="1"/>
  <c r="Z179" i="67"/>
  <c r="BA179" i="67" s="1"/>
  <c r="Z171" i="67"/>
  <c r="BA171" i="67" s="1"/>
  <c r="Z163" i="67"/>
  <c r="BA163" i="67" s="1"/>
  <c r="Z155" i="67"/>
  <c r="BA155" i="67" s="1"/>
  <c r="Z147" i="67"/>
  <c r="BA147" i="67" s="1"/>
  <c r="Z139" i="67"/>
  <c r="BA139" i="67" s="1"/>
  <c r="Z131" i="67"/>
  <c r="BA131" i="67" s="1"/>
  <c r="Z123" i="67"/>
  <c r="BA123" i="67" s="1"/>
  <c r="Z115" i="67"/>
  <c r="BA115" i="67" s="1"/>
  <c r="Z107" i="67"/>
  <c r="BA107" i="67" s="1"/>
  <c r="Z99" i="67"/>
  <c r="BA99" i="67" s="1"/>
  <c r="Z91" i="67"/>
  <c r="BA91" i="67" s="1"/>
  <c r="Z83" i="67"/>
  <c r="BA83" i="67" s="1"/>
  <c r="Z75" i="67"/>
  <c r="BA75" i="67" s="1"/>
  <c r="Z67" i="67"/>
  <c r="BA67" i="67" s="1"/>
  <c r="Z59" i="67"/>
  <c r="BA59" i="67" s="1"/>
  <c r="Z51" i="67"/>
  <c r="BA51" i="67" s="1"/>
  <c r="Z43" i="67"/>
  <c r="BA43" i="67" s="1"/>
  <c r="Z35" i="67"/>
  <c r="BA35" i="67" s="1"/>
  <c r="Z27" i="67"/>
  <c r="BA27" i="67" s="1"/>
  <c r="AJ250" i="67"/>
  <c r="AI250" i="67"/>
  <c r="AJ242" i="67"/>
  <c r="AI242" i="67"/>
  <c r="AJ234" i="67"/>
  <c r="AI234" i="67"/>
  <c r="AJ226" i="67"/>
  <c r="AI226" i="67"/>
  <c r="AJ218" i="67"/>
  <c r="AI218" i="67"/>
  <c r="AJ210" i="67"/>
  <c r="AI210" i="67"/>
  <c r="AJ202" i="67"/>
  <c r="AI202" i="67"/>
  <c r="AJ194" i="67"/>
  <c r="AI194" i="67"/>
  <c r="AJ186" i="67"/>
  <c r="AI186" i="67"/>
  <c r="AJ178" i="67"/>
  <c r="AI178" i="67"/>
  <c r="AJ170" i="67"/>
  <c r="AI170" i="67"/>
  <c r="AJ162" i="67"/>
  <c r="AI162" i="67"/>
  <c r="AJ154" i="67"/>
  <c r="AI154" i="67"/>
  <c r="AJ146" i="67"/>
  <c r="AI146" i="67"/>
  <c r="AJ138" i="67"/>
  <c r="AI138" i="67"/>
  <c r="AJ130" i="67"/>
  <c r="AI130" i="67"/>
  <c r="AJ122" i="67"/>
  <c r="AI122" i="67"/>
  <c r="AJ114" i="67"/>
  <c r="AI114" i="67"/>
  <c r="AJ106" i="67"/>
  <c r="AI106" i="67"/>
  <c r="AJ98" i="67"/>
  <c r="AI98" i="67"/>
  <c r="AJ90" i="67"/>
  <c r="AI90" i="67"/>
  <c r="AJ82" i="67"/>
  <c r="AI82" i="67"/>
  <c r="AJ74" i="67"/>
  <c r="AI74" i="67"/>
  <c r="AJ66" i="67"/>
  <c r="AI66" i="67"/>
  <c r="AJ58" i="67"/>
  <c r="AI58" i="67"/>
  <c r="AJ50" i="67"/>
  <c r="AI50" i="67"/>
  <c r="AJ42" i="67"/>
  <c r="AI42" i="67"/>
  <c r="AJ34" i="67"/>
  <c r="AI34" i="67"/>
  <c r="AJ26" i="67"/>
  <c r="AI26" i="67"/>
  <c r="AJ18" i="67"/>
  <c r="AI18" i="67"/>
  <c r="Z250" i="67"/>
  <c r="BA250" i="67" s="1"/>
  <c r="Z186" i="67"/>
  <c r="BA186" i="67" s="1"/>
  <c r="Z66" i="67"/>
  <c r="BA66" i="67" s="1"/>
  <c r="Z58" i="67"/>
  <c r="BA58" i="67" s="1"/>
  <c r="Z50" i="67"/>
  <c r="BA50" i="67" s="1"/>
  <c r="Z42" i="67"/>
  <c r="BA42" i="67" s="1"/>
  <c r="Z34" i="67"/>
  <c r="BA34" i="67" s="1"/>
  <c r="Z26" i="67"/>
  <c r="BA26" i="67" s="1"/>
  <c r="AJ249" i="67"/>
  <c r="AI249" i="67"/>
  <c r="AJ241" i="67"/>
  <c r="AI241" i="67"/>
  <c r="AJ233" i="67"/>
  <c r="AI233" i="67"/>
  <c r="AJ225" i="67"/>
  <c r="AI225" i="67"/>
  <c r="AJ217" i="67"/>
  <c r="AI217" i="67"/>
  <c r="AJ209" i="67"/>
  <c r="AI209" i="67"/>
  <c r="AJ201" i="67"/>
  <c r="AI201" i="67"/>
  <c r="AJ193" i="67"/>
  <c r="AI193" i="67"/>
  <c r="AJ185" i="67"/>
  <c r="AI185" i="67"/>
  <c r="AJ177" i="67"/>
  <c r="AI177" i="67"/>
  <c r="AJ169" i="67"/>
  <c r="AI169" i="67"/>
  <c r="AJ161" i="67"/>
  <c r="AI161" i="67"/>
  <c r="AJ153" i="67"/>
  <c r="AI153" i="67"/>
  <c r="AJ145" i="67"/>
  <c r="AI145" i="67"/>
  <c r="AI137" i="67"/>
  <c r="AJ137" i="67"/>
  <c r="AJ129" i="67"/>
  <c r="AI129" i="67"/>
  <c r="AJ121" i="67"/>
  <c r="AI121" i="67"/>
  <c r="AJ113" i="67"/>
  <c r="AI113" i="67"/>
  <c r="AI105" i="67"/>
  <c r="AJ105" i="67"/>
  <c r="AJ97" i="67"/>
  <c r="AI97" i="67"/>
  <c r="AJ89" i="67"/>
  <c r="AI89" i="67"/>
  <c r="AJ81" i="67"/>
  <c r="AI81" i="67"/>
  <c r="AI73" i="67"/>
  <c r="AJ73" i="67"/>
  <c r="AJ65" i="67"/>
  <c r="AI65" i="67"/>
  <c r="AJ57" i="67"/>
  <c r="AI57" i="67"/>
  <c r="AJ49" i="67"/>
  <c r="AI49" i="67"/>
  <c r="AJ41" i="67"/>
  <c r="AI41" i="67"/>
  <c r="AJ33" i="67"/>
  <c r="AI33" i="67"/>
  <c r="AJ25" i="67"/>
  <c r="AI25" i="67"/>
  <c r="AJ17" i="67"/>
  <c r="AI17" i="67"/>
  <c r="Z202" i="67"/>
  <c r="BA202" i="67" s="1"/>
  <c r="Z154" i="67"/>
  <c r="BA154" i="67" s="1"/>
  <c r="Z114" i="67"/>
  <c r="BA114" i="67" s="1"/>
  <c r="Z90" i="67"/>
  <c r="BA90" i="67" s="1"/>
  <c r="Z82" i="67"/>
  <c r="BA82" i="67" s="1"/>
  <c r="Z74" i="67"/>
  <c r="BA74" i="67" s="1"/>
  <c r="Z257" i="67"/>
  <c r="BA257" i="67" s="1"/>
  <c r="Z249" i="67"/>
  <c r="BA249" i="67" s="1"/>
  <c r="Z241" i="67"/>
  <c r="BA241" i="67" s="1"/>
  <c r="Z233" i="67"/>
  <c r="BA233" i="67" s="1"/>
  <c r="Z225" i="67"/>
  <c r="BA225" i="67" s="1"/>
  <c r="Z217" i="67"/>
  <c r="BA217" i="67" s="1"/>
  <c r="Z209" i="67"/>
  <c r="BA209" i="67" s="1"/>
  <c r="Z201" i="67"/>
  <c r="BA201" i="67" s="1"/>
  <c r="Z193" i="67"/>
  <c r="BA193" i="67" s="1"/>
  <c r="Z185" i="67"/>
  <c r="BA185" i="67" s="1"/>
  <c r="Z177" i="67"/>
  <c r="BA177" i="67" s="1"/>
  <c r="Z169" i="67"/>
  <c r="BA169" i="67" s="1"/>
  <c r="Z161" i="67"/>
  <c r="BA161" i="67" s="1"/>
  <c r="Z153" i="67"/>
  <c r="BA153" i="67" s="1"/>
  <c r="Z145" i="67"/>
  <c r="BA145" i="67" s="1"/>
  <c r="Z137" i="67"/>
  <c r="BA137" i="67" s="1"/>
  <c r="Z129" i="67"/>
  <c r="BA129" i="67" s="1"/>
  <c r="Z121" i="67"/>
  <c r="BA121" i="67" s="1"/>
  <c r="Z113" i="67"/>
  <c r="BA113" i="67" s="1"/>
  <c r="Z105" i="67"/>
  <c r="BA105" i="67" s="1"/>
  <c r="Z97" i="67"/>
  <c r="BA97" i="67" s="1"/>
  <c r="Z89" i="67"/>
  <c r="BA89" i="67" s="1"/>
  <c r="Z81" i="67"/>
  <c r="BA81" i="67" s="1"/>
  <c r="Z73" i="67"/>
  <c r="BA73" i="67" s="1"/>
  <c r="Z65" i="67"/>
  <c r="BA65" i="67" s="1"/>
  <c r="Z57" i="67"/>
  <c r="BA57" i="67" s="1"/>
  <c r="Z49" i="67"/>
  <c r="BA49" i="67" s="1"/>
  <c r="Z41" i="67"/>
  <c r="BA41" i="67" s="1"/>
  <c r="Z33" i="67"/>
  <c r="BA33" i="67" s="1"/>
  <c r="Z25" i="67"/>
  <c r="BA25" i="67" s="1"/>
  <c r="AJ256" i="67"/>
  <c r="AI256" i="67"/>
  <c r="AJ248" i="67"/>
  <c r="AI248" i="67"/>
  <c r="AJ240" i="67"/>
  <c r="AI240" i="67"/>
  <c r="AJ232" i="67"/>
  <c r="AI232" i="67"/>
  <c r="AJ224" i="67"/>
  <c r="AI224" i="67"/>
  <c r="AJ216" i="67"/>
  <c r="AI216" i="67"/>
  <c r="AJ208" i="67"/>
  <c r="AI208" i="67"/>
  <c r="AJ200" i="67"/>
  <c r="AI200" i="67"/>
  <c r="AJ192" i="67"/>
  <c r="AI192" i="67"/>
  <c r="AJ184" i="67"/>
  <c r="AI184" i="67"/>
  <c r="AJ176" i="67"/>
  <c r="AI176" i="67"/>
  <c r="AI168" i="67"/>
  <c r="AJ168" i="67"/>
  <c r="AJ160" i="67"/>
  <c r="AI160" i="67"/>
  <c r="AJ152" i="67"/>
  <c r="AI152" i="67"/>
  <c r="AJ144" i="67"/>
  <c r="AI144" i="67"/>
  <c r="AI136" i="67"/>
  <c r="AJ136" i="67"/>
  <c r="AJ128" i="67"/>
  <c r="AI128" i="67"/>
  <c r="AJ120" i="67"/>
  <c r="AI120" i="67"/>
  <c r="AJ112" i="67"/>
  <c r="AI112" i="67"/>
  <c r="AI104" i="67"/>
  <c r="AJ104" i="67"/>
  <c r="AJ96" i="67"/>
  <c r="AI96" i="67"/>
  <c r="AJ88" i="67"/>
  <c r="AI88" i="67"/>
  <c r="AJ80" i="67"/>
  <c r="AI80" i="67"/>
  <c r="AI72" i="67"/>
  <c r="AJ72" i="67"/>
  <c r="AJ64" i="67"/>
  <c r="AI64" i="67"/>
  <c r="AJ56" i="67"/>
  <c r="AI56" i="67"/>
  <c r="AJ48" i="67"/>
  <c r="AI48" i="67"/>
  <c r="AI40" i="67"/>
  <c r="AJ40" i="67"/>
  <c r="AI32" i="67"/>
  <c r="AJ32" i="67"/>
  <c r="AJ24" i="67"/>
  <c r="AI24" i="67"/>
  <c r="AJ16" i="67"/>
  <c r="AI16" i="67"/>
  <c r="Z226" i="67"/>
  <c r="BA226" i="67" s="1"/>
  <c r="Z170" i="67"/>
  <c r="BA170" i="67" s="1"/>
  <c r="Z122" i="67"/>
  <c r="BA122" i="67" s="1"/>
  <c r="Z232" i="67"/>
  <c r="BA232" i="67" s="1"/>
  <c r="Z192" i="67"/>
  <c r="BA192" i="67" s="1"/>
  <c r="Z176" i="67"/>
  <c r="BA176" i="67" s="1"/>
  <c r="Z168" i="67"/>
  <c r="BA168" i="67" s="1"/>
  <c r="Z160" i="67"/>
  <c r="BA160" i="67" s="1"/>
  <c r="Z152" i="67"/>
  <c r="BA152" i="67" s="1"/>
  <c r="Z144" i="67"/>
  <c r="BA144" i="67" s="1"/>
  <c r="Z136" i="67"/>
  <c r="BA136" i="67" s="1"/>
  <c r="Z128" i="67"/>
  <c r="BA128" i="67" s="1"/>
  <c r="Z120" i="67"/>
  <c r="BA120" i="67" s="1"/>
  <c r="Z112" i="67"/>
  <c r="BA112" i="67" s="1"/>
  <c r="Z104" i="67"/>
  <c r="BA104" i="67" s="1"/>
  <c r="Z96" i="67"/>
  <c r="BA96" i="67" s="1"/>
  <c r="Z88" i="67"/>
  <c r="BA88" i="67" s="1"/>
  <c r="Z80" i="67"/>
  <c r="BA80" i="67" s="1"/>
  <c r="Z72" i="67"/>
  <c r="BA72" i="67" s="1"/>
  <c r="Z64" i="67"/>
  <c r="BA64" i="67" s="1"/>
  <c r="Z56" i="67"/>
  <c r="BA56" i="67" s="1"/>
  <c r="Z48" i="67"/>
  <c r="BA48" i="67" s="1"/>
  <c r="Z40" i="67"/>
  <c r="BA40" i="67" s="1"/>
  <c r="Z32" i="67"/>
  <c r="BA32" i="67" s="1"/>
  <c r="Z24" i="67"/>
  <c r="BA24" i="67" s="1"/>
  <c r="AI255" i="67"/>
  <c r="AJ255" i="67"/>
  <c r="AI247" i="67"/>
  <c r="AJ247" i="67"/>
  <c r="AI239" i="67"/>
  <c r="AJ239" i="67"/>
  <c r="AI231" i="67"/>
  <c r="AJ231" i="67"/>
  <c r="AI223" i="67"/>
  <c r="AJ223" i="67"/>
  <c r="AI215" i="67"/>
  <c r="AJ215" i="67"/>
  <c r="AI207" i="67"/>
  <c r="AJ207" i="67"/>
  <c r="AI199" i="67"/>
  <c r="AJ199" i="67"/>
  <c r="AI191" i="67"/>
  <c r="AJ191" i="67"/>
  <c r="AI183" i="67"/>
  <c r="AJ183" i="67"/>
  <c r="AI175" i="67"/>
  <c r="AJ175" i="67"/>
  <c r="AI167" i="67"/>
  <c r="AJ167" i="67"/>
  <c r="AI159" i="67"/>
  <c r="AJ159" i="67"/>
  <c r="AI151" i="67"/>
  <c r="AJ151" i="67"/>
  <c r="AI143" i="67"/>
  <c r="AJ143" i="67"/>
  <c r="AI135" i="67"/>
  <c r="AJ135" i="67"/>
  <c r="AI127" i="67"/>
  <c r="AJ127" i="67"/>
  <c r="AI119" i="67"/>
  <c r="AJ119" i="67"/>
  <c r="AI111" i="67"/>
  <c r="AJ111" i="67"/>
  <c r="AI103" i="67"/>
  <c r="AJ103" i="67"/>
  <c r="AI95" i="67"/>
  <c r="AJ95" i="67"/>
  <c r="AI87" i="67"/>
  <c r="AJ87" i="67"/>
  <c r="AI79" i="67"/>
  <c r="AJ79" i="67"/>
  <c r="AI71" i="67"/>
  <c r="AJ71" i="67"/>
  <c r="AI63" i="67"/>
  <c r="AJ63" i="67"/>
  <c r="AI55" i="67"/>
  <c r="AJ55" i="67"/>
  <c r="AI47" i="67"/>
  <c r="AJ47" i="67"/>
  <c r="AI39" i="67"/>
  <c r="AJ39" i="67"/>
  <c r="AI31" i="67"/>
  <c r="AJ31" i="67"/>
  <c r="AI23" i="67"/>
  <c r="AJ23" i="67"/>
  <c r="AI15" i="67"/>
  <c r="AJ15" i="67"/>
  <c r="Z218" i="67"/>
  <c r="BA218" i="67" s="1"/>
  <c r="Z138" i="67"/>
  <c r="BA138" i="67" s="1"/>
  <c r="Z248" i="67"/>
  <c r="BA248" i="67" s="1"/>
  <c r="Z208" i="67"/>
  <c r="BA208" i="67" s="1"/>
  <c r="Z184" i="67"/>
  <c r="BA184" i="67" s="1"/>
  <c r="Z255" i="67"/>
  <c r="BA255" i="67" s="1"/>
  <c r="Z247" i="67"/>
  <c r="BA247" i="67" s="1"/>
  <c r="Z239" i="67"/>
  <c r="BA239" i="67" s="1"/>
  <c r="Z231" i="67"/>
  <c r="BA231" i="67" s="1"/>
  <c r="Z223" i="67"/>
  <c r="BA223" i="67" s="1"/>
  <c r="Z215" i="67"/>
  <c r="BA215" i="67" s="1"/>
  <c r="Z207" i="67"/>
  <c r="BA207" i="67" s="1"/>
  <c r="Z199" i="67"/>
  <c r="BA199" i="67" s="1"/>
  <c r="Z191" i="67"/>
  <c r="BA191" i="67" s="1"/>
  <c r="Z183" i="67"/>
  <c r="BA183" i="67" s="1"/>
  <c r="Z175" i="67"/>
  <c r="BA175" i="67" s="1"/>
  <c r="Z167" i="67"/>
  <c r="BA167" i="67" s="1"/>
  <c r="Z159" i="67"/>
  <c r="BA159" i="67" s="1"/>
  <c r="Z151" i="67"/>
  <c r="BA151" i="67" s="1"/>
  <c r="Z143" i="67"/>
  <c r="BA143" i="67" s="1"/>
  <c r="Z135" i="67"/>
  <c r="BA135" i="67" s="1"/>
  <c r="Z127" i="67"/>
  <c r="BA127" i="67" s="1"/>
  <c r="Z119" i="67"/>
  <c r="BA119" i="67" s="1"/>
  <c r="Z111" i="67"/>
  <c r="BA111" i="67" s="1"/>
  <c r="Z103" i="67"/>
  <c r="BA103" i="67" s="1"/>
  <c r="Z95" i="67"/>
  <c r="BA95" i="67" s="1"/>
  <c r="Z87" i="67"/>
  <c r="BA87" i="67" s="1"/>
  <c r="Z79" i="67"/>
  <c r="BA79" i="67" s="1"/>
  <c r="Z71" i="67"/>
  <c r="BA71" i="67" s="1"/>
  <c r="Z63" i="67"/>
  <c r="BA63" i="67" s="1"/>
  <c r="Z55" i="67"/>
  <c r="BA55" i="67" s="1"/>
  <c r="Z47" i="67"/>
  <c r="BA47" i="67" s="1"/>
  <c r="Z39" i="67"/>
  <c r="BA39" i="67" s="1"/>
  <c r="Z31" i="67"/>
  <c r="BA31" i="67" s="1"/>
  <c r="Z23" i="67"/>
  <c r="BA23" i="67" s="1"/>
  <c r="AJ254" i="67"/>
  <c r="AI254" i="67"/>
  <c r="AJ246" i="67"/>
  <c r="AI246" i="67"/>
  <c r="AJ238" i="67"/>
  <c r="AI238" i="67"/>
  <c r="AJ230" i="67"/>
  <c r="AI230" i="67"/>
  <c r="AJ222" i="67"/>
  <c r="AI222" i="67"/>
  <c r="AJ214" i="67"/>
  <c r="AI214" i="67"/>
  <c r="AJ206" i="67"/>
  <c r="AI206" i="67"/>
  <c r="AJ198" i="67"/>
  <c r="AI198" i="67"/>
  <c r="AJ190" i="67"/>
  <c r="AI190" i="67"/>
  <c r="AJ182" i="67"/>
  <c r="AI182" i="67"/>
  <c r="AJ174" i="67"/>
  <c r="AI174" i="67"/>
  <c r="AJ166" i="67"/>
  <c r="AI166" i="67"/>
  <c r="AJ158" i="67"/>
  <c r="AI158" i="67"/>
  <c r="AJ150" i="67"/>
  <c r="AI150" i="67"/>
  <c r="AJ142" i="67"/>
  <c r="AI142" i="67"/>
  <c r="AJ134" i="67"/>
  <c r="AI134" i="67"/>
  <c r="AJ126" i="67"/>
  <c r="AI126" i="67"/>
  <c r="AJ118" i="67"/>
  <c r="AI118" i="67"/>
  <c r="AJ110" i="67"/>
  <c r="AI110" i="67"/>
  <c r="AJ102" i="67"/>
  <c r="AI102" i="67"/>
  <c r="AJ94" i="67"/>
  <c r="AI94" i="67"/>
  <c r="AJ86" i="67"/>
  <c r="AI86" i="67"/>
  <c r="AJ78" i="67"/>
  <c r="AI78" i="67"/>
  <c r="AJ70" i="67"/>
  <c r="AI70" i="67"/>
  <c r="AJ62" i="67"/>
  <c r="AI62" i="67"/>
  <c r="AJ54" i="67"/>
  <c r="AI54" i="67"/>
  <c r="AJ46" i="67"/>
  <c r="AI46" i="67"/>
  <c r="AJ38" i="67"/>
  <c r="AI38" i="67"/>
  <c r="AJ30" i="67"/>
  <c r="AI30" i="67"/>
  <c r="AJ22" i="67"/>
  <c r="AI22" i="67"/>
  <c r="Z130" i="67"/>
  <c r="BA130" i="67" s="1"/>
  <c r="Z240" i="67"/>
  <c r="BA240" i="67" s="1"/>
  <c r="Z200" i="67"/>
  <c r="BA200" i="67" s="1"/>
  <c r="Z254" i="67"/>
  <c r="BA254" i="67" s="1"/>
  <c r="Z222" i="67"/>
  <c r="BA222" i="67" s="1"/>
  <c r="Z214" i="67"/>
  <c r="BA214" i="67" s="1"/>
  <c r="Z206" i="67"/>
  <c r="BA206" i="67" s="1"/>
  <c r="Z198" i="67"/>
  <c r="BA198" i="67" s="1"/>
  <c r="Z190" i="67"/>
  <c r="BA190" i="67" s="1"/>
  <c r="Z182" i="67"/>
  <c r="BA182" i="67" s="1"/>
  <c r="Z174" i="67"/>
  <c r="BA174" i="67" s="1"/>
  <c r="Z166" i="67"/>
  <c r="BA166" i="67" s="1"/>
  <c r="Z158" i="67"/>
  <c r="BA158" i="67" s="1"/>
  <c r="Z150" i="67"/>
  <c r="BA150" i="67" s="1"/>
  <c r="Z142" i="67"/>
  <c r="BA142" i="67" s="1"/>
  <c r="Z134" i="67"/>
  <c r="BA134" i="67" s="1"/>
  <c r="Z126" i="67"/>
  <c r="BA126" i="67" s="1"/>
  <c r="Z118" i="67"/>
  <c r="BA118" i="67" s="1"/>
  <c r="Z110" i="67"/>
  <c r="BA110" i="67" s="1"/>
  <c r="Z102" i="67"/>
  <c r="BA102" i="67" s="1"/>
  <c r="Z94" i="67"/>
  <c r="BA94" i="67" s="1"/>
  <c r="Z86" i="67"/>
  <c r="BA86" i="67" s="1"/>
  <c r="Z78" i="67"/>
  <c r="BA78" i="67" s="1"/>
  <c r="Z70" i="67"/>
  <c r="BA70" i="67" s="1"/>
  <c r="Z62" i="67"/>
  <c r="BA62" i="67" s="1"/>
  <c r="Z54" i="67"/>
  <c r="BA54" i="67" s="1"/>
  <c r="Z46" i="67"/>
  <c r="BA46" i="67" s="1"/>
  <c r="Z38" i="67"/>
  <c r="BA38" i="67" s="1"/>
  <c r="Z30" i="67"/>
  <c r="BA30" i="67" s="1"/>
  <c r="Z22" i="67"/>
  <c r="BA22" i="67" s="1"/>
  <c r="AJ253" i="67"/>
  <c r="AI253" i="67"/>
  <c r="AJ245" i="67"/>
  <c r="AI245" i="67"/>
  <c r="AJ237" i="67"/>
  <c r="AI237" i="67"/>
  <c r="AJ229" i="67"/>
  <c r="AI229" i="67"/>
  <c r="AJ221" i="67"/>
  <c r="AI221" i="67"/>
  <c r="AJ213" i="67"/>
  <c r="AI213" i="67"/>
  <c r="AJ205" i="67"/>
  <c r="AI205" i="67"/>
  <c r="AJ197" i="67"/>
  <c r="AI197" i="67"/>
  <c r="AJ189" i="67"/>
  <c r="AI189" i="67"/>
  <c r="AJ181" i="67"/>
  <c r="AI181" i="67"/>
  <c r="AJ173" i="67"/>
  <c r="AI173" i="67"/>
  <c r="AJ165" i="67"/>
  <c r="AI165" i="67"/>
  <c r="AI157" i="67"/>
  <c r="AJ157" i="67"/>
  <c r="AJ149" i="67"/>
  <c r="AI149" i="67"/>
  <c r="AJ141" i="67"/>
  <c r="AI141" i="67"/>
  <c r="AJ133" i="67"/>
  <c r="AI133" i="67"/>
  <c r="AI125" i="67"/>
  <c r="AJ125" i="67"/>
  <c r="AJ117" i="67"/>
  <c r="AI117" i="67"/>
  <c r="AJ109" i="67"/>
  <c r="AI109" i="67"/>
  <c r="AJ101" i="67"/>
  <c r="AI101" i="67"/>
  <c r="AI93" i="67"/>
  <c r="AJ93" i="67"/>
  <c r="AJ85" i="67"/>
  <c r="AI85" i="67"/>
  <c r="AJ77" i="67"/>
  <c r="AI77" i="67"/>
  <c r="AJ69" i="67"/>
  <c r="AI69" i="67"/>
  <c r="AI61" i="67"/>
  <c r="AJ61" i="67"/>
  <c r="AJ53" i="67"/>
  <c r="AI53" i="67"/>
  <c r="AJ45" i="67"/>
  <c r="AI45" i="67"/>
  <c r="AI37" i="67"/>
  <c r="AJ37" i="67"/>
  <c r="AI29" i="67"/>
  <c r="AJ29" i="67"/>
  <c r="AI21" i="67"/>
  <c r="AJ21" i="67"/>
  <c r="Z242" i="67"/>
  <c r="BA242" i="67" s="1"/>
  <c r="Z194" i="67"/>
  <c r="BA194" i="67" s="1"/>
  <c r="Z146" i="67"/>
  <c r="BA146" i="67" s="1"/>
  <c r="Z256" i="67"/>
  <c r="BA256" i="67" s="1"/>
  <c r="Z216" i="67"/>
  <c r="BA216" i="67" s="1"/>
  <c r="Z238" i="67"/>
  <c r="BA238" i="67" s="1"/>
  <c r="Z253" i="67"/>
  <c r="BA253" i="67" s="1"/>
  <c r="Z245" i="67"/>
  <c r="BA245" i="67" s="1"/>
  <c r="Z237" i="67"/>
  <c r="BA237" i="67" s="1"/>
  <c r="Z229" i="67"/>
  <c r="BA229" i="67" s="1"/>
  <c r="Z221" i="67"/>
  <c r="BA221" i="67" s="1"/>
  <c r="Z213" i="67"/>
  <c r="BA213" i="67" s="1"/>
  <c r="Z205" i="67"/>
  <c r="BA205" i="67" s="1"/>
  <c r="Z197" i="67"/>
  <c r="BA197" i="67" s="1"/>
  <c r="Z189" i="67"/>
  <c r="BA189" i="67" s="1"/>
  <c r="Z181" i="67"/>
  <c r="BA181" i="67" s="1"/>
  <c r="Z173" i="67"/>
  <c r="BA173" i="67" s="1"/>
  <c r="Z165" i="67"/>
  <c r="BA165" i="67" s="1"/>
  <c r="Z157" i="67"/>
  <c r="BA157" i="67" s="1"/>
  <c r="Z149" i="67"/>
  <c r="BA149" i="67" s="1"/>
  <c r="Z141" i="67"/>
  <c r="BA141" i="67" s="1"/>
  <c r="Z133" i="67"/>
  <c r="BA133" i="67" s="1"/>
  <c r="Z125" i="67"/>
  <c r="BA125" i="67" s="1"/>
  <c r="Z117" i="67"/>
  <c r="BA117" i="67" s="1"/>
  <c r="Z109" i="67"/>
  <c r="BA109" i="67" s="1"/>
  <c r="Z101" i="67"/>
  <c r="BA101" i="67" s="1"/>
  <c r="Z93" i="67"/>
  <c r="BA93" i="67" s="1"/>
  <c r="Z85" i="67"/>
  <c r="BA85" i="67" s="1"/>
  <c r="Z77" i="67"/>
  <c r="BA77" i="67" s="1"/>
  <c r="Z69" i="67"/>
  <c r="BA69" i="67" s="1"/>
  <c r="Z61" i="67"/>
  <c r="BA61" i="67" s="1"/>
  <c r="Z53" i="67"/>
  <c r="BA53" i="67" s="1"/>
  <c r="Z45" i="67"/>
  <c r="BA45" i="67" s="1"/>
  <c r="Z37" i="67"/>
  <c r="BA37" i="67" s="1"/>
  <c r="Z29" i="67"/>
  <c r="BA29" i="67" s="1"/>
  <c r="Z21" i="67"/>
  <c r="BA21" i="67" s="1"/>
  <c r="AJ252" i="67"/>
  <c r="AI252" i="67"/>
  <c r="AJ244" i="67"/>
  <c r="AI244" i="67"/>
  <c r="AJ236" i="67"/>
  <c r="AI236" i="67"/>
  <c r="AJ228" i="67"/>
  <c r="AI228" i="67"/>
  <c r="AJ220" i="67"/>
  <c r="AI220" i="67"/>
  <c r="AJ212" i="67"/>
  <c r="AI212" i="67"/>
  <c r="AJ204" i="67"/>
  <c r="AI204" i="67"/>
  <c r="AJ196" i="67"/>
  <c r="AI196" i="67"/>
  <c r="AJ188" i="67"/>
  <c r="AI188" i="67"/>
  <c r="AJ180" i="67"/>
  <c r="AI180" i="67"/>
  <c r="AJ172" i="67"/>
  <c r="AI172" i="67"/>
  <c r="AJ164" i="67"/>
  <c r="AI164" i="67"/>
  <c r="AJ156" i="67"/>
  <c r="AI156" i="67"/>
  <c r="AI148" i="67"/>
  <c r="AJ148" i="67"/>
  <c r="AJ140" i="67"/>
  <c r="AI140" i="67"/>
  <c r="AJ132" i="67"/>
  <c r="AI132" i="67"/>
  <c r="AJ124" i="67"/>
  <c r="AI124" i="67"/>
  <c r="AI116" i="67"/>
  <c r="AJ116" i="67"/>
  <c r="AJ108" i="67"/>
  <c r="AI108" i="67"/>
  <c r="AJ100" i="67"/>
  <c r="AI100" i="67"/>
  <c r="AJ92" i="67"/>
  <c r="AI92" i="67"/>
  <c r="AI84" i="67"/>
  <c r="AJ84" i="67"/>
  <c r="AJ76" i="67"/>
  <c r="AI76" i="67"/>
  <c r="AJ68" i="67"/>
  <c r="AI68" i="67"/>
  <c r="AJ60" i="67"/>
  <c r="AI60" i="67"/>
  <c r="AI52" i="67"/>
  <c r="AJ52" i="67"/>
  <c r="AJ44" i="67"/>
  <c r="AI44" i="67"/>
  <c r="AI36" i="67"/>
  <c r="AJ36" i="67"/>
  <c r="AJ28" i="67"/>
  <c r="AI28" i="67"/>
  <c r="AI20" i="67"/>
  <c r="AJ20" i="67"/>
  <c r="Z12" i="67"/>
  <c r="BA12" i="67" s="1"/>
  <c r="Z15" i="67"/>
  <c r="BA15" i="67" s="1"/>
  <c r="Z14" i="67"/>
  <c r="BA14" i="67" s="1"/>
  <c r="Z13" i="67"/>
  <c r="BA13" i="67" s="1"/>
  <c r="Z19" i="67"/>
  <c r="BA19" i="67" s="1"/>
  <c r="Z18" i="67"/>
  <c r="BA18" i="67" s="1"/>
  <c r="Z17" i="67"/>
  <c r="BA17" i="67" s="1"/>
  <c r="Z16" i="67"/>
  <c r="BA16" i="67" s="1"/>
  <c r="P25" i="57"/>
  <c r="AH25" i="57"/>
  <c r="AI25" i="57" s="1"/>
  <c r="K25" i="57"/>
  <c r="G11" i="67"/>
  <c r="U11" i="67" s="1"/>
  <c r="AT11" i="67" s="1"/>
  <c r="AB258" i="67"/>
  <c r="AA22" i="53"/>
  <c r="AA21" i="53"/>
  <c r="AG22" i="57"/>
  <c r="X22" i="57"/>
  <c r="AB22" i="57" s="1"/>
  <c r="X23" i="53"/>
  <c r="AB23" i="53" s="1"/>
  <c r="G10" i="67"/>
  <c r="AD23" i="57"/>
  <c r="AC25" i="53"/>
  <c r="O25" i="53"/>
  <c r="AQ23" i="57"/>
  <c r="Q23" i="57"/>
  <c r="R23" i="57"/>
  <c r="N25" i="53"/>
  <c r="AA19" i="67"/>
  <c r="AA18" i="67"/>
  <c r="AA17" i="67"/>
  <c r="AA16" i="67"/>
  <c r="AA15" i="67"/>
  <c r="AA14" i="67"/>
  <c r="AA13" i="67"/>
  <c r="AA12" i="67"/>
  <c r="P12" i="64"/>
  <c r="P20" i="68"/>
  <c r="P28" i="68"/>
  <c r="Q28" i="68" s="1"/>
  <c r="P36" i="68"/>
  <c r="Q36" i="68" s="1"/>
  <c r="AB36" i="68" s="1"/>
  <c r="P44" i="68"/>
  <c r="Q44" i="68" s="1"/>
  <c r="P52" i="68"/>
  <c r="Q52" i="68" s="1"/>
  <c r="P60" i="68"/>
  <c r="Q60" i="68" s="1"/>
  <c r="P68" i="68"/>
  <c r="Q68" i="68" s="1"/>
  <c r="AB68" i="68" s="1"/>
  <c r="P76" i="68"/>
  <c r="Q76" i="68" s="1"/>
  <c r="P84" i="68"/>
  <c r="Q84" i="68" s="1"/>
  <c r="AB84" i="68" s="1"/>
  <c r="P92" i="68"/>
  <c r="Q92" i="68" s="1"/>
  <c r="P100" i="68"/>
  <c r="Q100" i="68" s="1"/>
  <c r="AB100" i="68" s="1"/>
  <c r="P108" i="68"/>
  <c r="Q108" i="68" s="1"/>
  <c r="P116" i="68"/>
  <c r="Q116" i="68" s="1"/>
  <c r="AB116" i="68" s="1"/>
  <c r="P124" i="68"/>
  <c r="Q124" i="68" s="1"/>
  <c r="P132" i="68"/>
  <c r="Q132" i="68" s="1"/>
  <c r="AB132" i="68" s="1"/>
  <c r="P140" i="68"/>
  <c r="Q140" i="68" s="1"/>
  <c r="P148" i="68"/>
  <c r="Q148" i="68" s="1"/>
  <c r="AB148" i="68" s="1"/>
  <c r="P156" i="68"/>
  <c r="Q156" i="68" s="1"/>
  <c r="P164" i="68"/>
  <c r="Q164" i="68" s="1"/>
  <c r="AB164" i="68" s="1"/>
  <c r="P172" i="68"/>
  <c r="Q172" i="68" s="1"/>
  <c r="P180" i="68"/>
  <c r="Q180" i="68" s="1"/>
  <c r="P188" i="68"/>
  <c r="Q188" i="68" s="1"/>
  <c r="P196" i="68"/>
  <c r="Q196" i="68" s="1"/>
  <c r="AB196" i="68" s="1"/>
  <c r="P204" i="68"/>
  <c r="Q204" i="68" s="1"/>
  <c r="P212" i="68"/>
  <c r="Q212" i="68" s="1"/>
  <c r="AB212" i="68" s="1"/>
  <c r="P220" i="68"/>
  <c r="Q220" i="68" s="1"/>
  <c r="P228" i="68"/>
  <c r="Q228" i="68" s="1"/>
  <c r="AB228" i="68" s="1"/>
  <c r="P236" i="68"/>
  <c r="Q236" i="68" s="1"/>
  <c r="P244" i="68"/>
  <c r="Q244" i="68" s="1"/>
  <c r="P252" i="68"/>
  <c r="Q252" i="68" s="1"/>
  <c r="P17" i="68"/>
  <c r="P25" i="68"/>
  <c r="Q25" i="68" s="1"/>
  <c r="P33" i="68"/>
  <c r="Q33" i="68" s="1"/>
  <c r="AB33" i="68" s="1"/>
  <c r="P41" i="68"/>
  <c r="Q41" i="68" s="1"/>
  <c r="P49" i="68"/>
  <c r="Q49" i="68" s="1"/>
  <c r="AB49" i="68" s="1"/>
  <c r="P57" i="68"/>
  <c r="Q57" i="68" s="1"/>
  <c r="P65" i="68"/>
  <c r="Q65" i="68" s="1"/>
  <c r="AB65" i="68" s="1"/>
  <c r="P73" i="68"/>
  <c r="Q73" i="68" s="1"/>
  <c r="P81" i="68"/>
  <c r="Q81" i="68" s="1"/>
  <c r="AB81" i="68" s="1"/>
  <c r="P89" i="68"/>
  <c r="Q89" i="68" s="1"/>
  <c r="P97" i="68"/>
  <c r="Q97" i="68" s="1"/>
  <c r="P105" i="68"/>
  <c r="Q105" i="68" s="1"/>
  <c r="P113" i="68"/>
  <c r="Q113" i="68" s="1"/>
  <c r="AB113" i="68" s="1"/>
  <c r="P121" i="68"/>
  <c r="Q121" i="68" s="1"/>
  <c r="P129" i="68"/>
  <c r="Q129" i="68" s="1"/>
  <c r="AB129" i="68" s="1"/>
  <c r="P137" i="68"/>
  <c r="Q137" i="68" s="1"/>
  <c r="P145" i="68"/>
  <c r="Q145" i="68" s="1"/>
  <c r="AB145" i="68" s="1"/>
  <c r="P153" i="68"/>
  <c r="Q153" i="68" s="1"/>
  <c r="P161" i="68"/>
  <c r="Q161" i="68" s="1"/>
  <c r="AB161" i="68" s="1"/>
  <c r="P169" i="68"/>
  <c r="Q169" i="68" s="1"/>
  <c r="P177" i="68"/>
  <c r="Q177" i="68" s="1"/>
  <c r="AB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AB62" i="68" s="1"/>
  <c r="P70" i="68"/>
  <c r="Q70" i="68" s="1"/>
  <c r="P78" i="68"/>
  <c r="Q78" i="68" s="1"/>
  <c r="AB78" i="68" s="1"/>
  <c r="P86" i="68"/>
  <c r="Q86" i="68" s="1"/>
  <c r="P94" i="68"/>
  <c r="Q94" i="68" s="1"/>
  <c r="AB94" i="68" s="1"/>
  <c r="P102" i="68"/>
  <c r="Q102" i="68" s="1"/>
  <c r="P110" i="68"/>
  <c r="Q110" i="68" s="1"/>
  <c r="AB110" i="68" s="1"/>
  <c r="P118" i="68"/>
  <c r="Q118" i="68" s="1"/>
  <c r="P126" i="68"/>
  <c r="Q126" i="68" s="1"/>
  <c r="AB126" i="68" s="1"/>
  <c r="P134" i="68"/>
  <c r="Q134" i="68" s="1"/>
  <c r="P142" i="68"/>
  <c r="Q142" i="68" s="1"/>
  <c r="P150" i="68"/>
  <c r="Q150" i="68" s="1"/>
  <c r="P158" i="68"/>
  <c r="Q158" i="68" s="1"/>
  <c r="AB158" i="68" s="1"/>
  <c r="P166" i="68"/>
  <c r="Q166" i="68" s="1"/>
  <c r="P174" i="68"/>
  <c r="Q174" i="68" s="1"/>
  <c r="AB174" i="68" s="1"/>
  <c r="P182" i="68"/>
  <c r="Q182" i="68" s="1"/>
  <c r="P190" i="68"/>
  <c r="Q190" i="68" s="1"/>
  <c r="AB190" i="68" s="1"/>
  <c r="P198" i="68"/>
  <c r="Q198" i="68" s="1"/>
  <c r="P206" i="68"/>
  <c r="Q206" i="68" s="1"/>
  <c r="AB206" i="68" s="1"/>
  <c r="P214" i="68"/>
  <c r="Q214" i="68" s="1"/>
  <c r="P222" i="68"/>
  <c r="Q222" i="68" s="1"/>
  <c r="AB222" i="68" s="1"/>
  <c r="P230" i="68"/>
  <c r="Q230" i="68" s="1"/>
  <c r="P238" i="68"/>
  <c r="Q238" i="68" s="1"/>
  <c r="P246" i="68"/>
  <c r="Q246" i="68" s="1"/>
  <c r="P254" i="68"/>
  <c r="Q254" i="68" s="1"/>
  <c r="AB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AB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AB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AB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N24" i="57"/>
  <c r="AG23" i="53"/>
  <c r="AA21" i="57"/>
  <c r="AE21" i="57" s="1"/>
  <c r="AF21" i="57" s="1"/>
  <c r="AA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R24" i="53"/>
  <c r="X24" i="53" s="1"/>
  <c r="AB24" i="53" s="1"/>
  <c r="AB257" i="68"/>
  <c r="AB244" i="68"/>
  <c r="AB241" i="68"/>
  <c r="AB238" i="68"/>
  <c r="AB180" i="68"/>
  <c r="AB159" i="68"/>
  <c r="AB142" i="68"/>
  <c r="AB125" i="68"/>
  <c r="AB97" i="68"/>
  <c r="AB80" i="68"/>
  <c r="AB52" i="68"/>
  <c r="AB13" i="68"/>
  <c r="L25" i="57"/>
  <c r="AK24" i="52" a="1"/>
  <c r="AK24" i="52" s="1"/>
  <c r="B26" i="53" s="1"/>
  <c r="J25" i="57"/>
  <c r="E25" i="57"/>
  <c r="H25" i="57"/>
  <c r="F25" i="57"/>
  <c r="D25" i="57"/>
  <c r="G25" i="57"/>
  <c r="C25" i="57"/>
  <c r="I25" i="57"/>
  <c r="E25" i="53"/>
  <c r="C25" i="53"/>
  <c r="K25" i="53"/>
  <c r="AH25" i="53" s="1"/>
  <c r="I25" i="53"/>
  <c r="G25" i="53"/>
  <c r="L25" i="53"/>
  <c r="F25" i="53"/>
  <c r="P25" i="53"/>
  <c r="J25" i="53"/>
  <c r="H25" i="53"/>
  <c r="D25" i="53"/>
  <c r="AN24" i="55" a="1"/>
  <c r="AN24" i="55" s="1"/>
  <c r="B26" i="57" s="1"/>
  <c r="O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AT11" i="63" s="1"/>
  <c r="Q12" i="63"/>
  <c r="AT12" i="63" s="1"/>
  <c r="Q13" i="63"/>
  <c r="AT13" i="63" s="1"/>
  <c r="Q15" i="63"/>
  <c r="AT15" i="63" s="1"/>
  <c r="Q16" i="63"/>
  <c r="AT16" i="63" s="1"/>
  <c r="Q17" i="63"/>
  <c r="AT17" i="63" s="1"/>
  <c r="Q18" i="63"/>
  <c r="AT18" i="63" s="1"/>
  <c r="Q19" i="63"/>
  <c r="AT19" i="63" s="1"/>
  <c r="Q20" i="63"/>
  <c r="AT20" i="63" s="1"/>
  <c r="Q21" i="63"/>
  <c r="AT21" i="63" s="1"/>
  <c r="Q22" i="63"/>
  <c r="AT22" i="63" s="1"/>
  <c r="Q23" i="63"/>
  <c r="AT23" i="63" s="1"/>
  <c r="Q24" i="63"/>
  <c r="AT24" i="63" s="1"/>
  <c r="Q25" i="63"/>
  <c r="AT25" i="63" s="1"/>
  <c r="Q26" i="63"/>
  <c r="AT26" i="63" s="1"/>
  <c r="Q27" i="63"/>
  <c r="AT27" i="63" s="1"/>
  <c r="Q28" i="63"/>
  <c r="AT28" i="63" s="1"/>
  <c r="Q29" i="63"/>
  <c r="AT29" i="63" s="1"/>
  <c r="Q30" i="63"/>
  <c r="AT30" i="63" s="1"/>
  <c r="Q31" i="63"/>
  <c r="AT31" i="63" s="1"/>
  <c r="Q32" i="63"/>
  <c r="AT32" i="63" s="1"/>
  <c r="Q33" i="63"/>
  <c r="AT33" i="63" s="1"/>
  <c r="Q34" i="63"/>
  <c r="AT34" i="63" s="1"/>
  <c r="Q35" i="63"/>
  <c r="AT35" i="63" s="1"/>
  <c r="Q36" i="63"/>
  <c r="AT36" i="63" s="1"/>
  <c r="Q37" i="63"/>
  <c r="AT37" i="63" s="1"/>
  <c r="Q38" i="63"/>
  <c r="AT38" i="63" s="1"/>
  <c r="Q39" i="63"/>
  <c r="AT39" i="63" s="1"/>
  <c r="Q40" i="63"/>
  <c r="AT40" i="63" s="1"/>
  <c r="Q41" i="63"/>
  <c r="AT41" i="63" s="1"/>
  <c r="Q42" i="63"/>
  <c r="AT42" i="63" s="1"/>
  <c r="Q43" i="63"/>
  <c r="AT43" i="63" s="1"/>
  <c r="Q44" i="63"/>
  <c r="AT44" i="63" s="1"/>
  <c r="Q45" i="63"/>
  <c r="AT45" i="63" s="1"/>
  <c r="Q46" i="63"/>
  <c r="AT46" i="63" s="1"/>
  <c r="Q47" i="63"/>
  <c r="AT47" i="63" s="1"/>
  <c r="Q48" i="63"/>
  <c r="AT48" i="63" s="1"/>
  <c r="Q49" i="63"/>
  <c r="AT49" i="63" s="1"/>
  <c r="Q50" i="63"/>
  <c r="AT50" i="63" s="1"/>
  <c r="Q51" i="63"/>
  <c r="AT51" i="63" s="1"/>
  <c r="Q52" i="63"/>
  <c r="AT52" i="63" s="1"/>
  <c r="Q53" i="63"/>
  <c r="AT53" i="63" s="1"/>
  <c r="Q54" i="63"/>
  <c r="AT54" i="63" s="1"/>
  <c r="Q55" i="63"/>
  <c r="AT55" i="63" s="1"/>
  <c r="Q56" i="63"/>
  <c r="AT56" i="63" s="1"/>
  <c r="Q57" i="63"/>
  <c r="AT57" i="63" s="1"/>
  <c r="Q58" i="63"/>
  <c r="AT58" i="63" s="1"/>
  <c r="Q59" i="63"/>
  <c r="AT59" i="63" s="1"/>
  <c r="Q60" i="63"/>
  <c r="AT60" i="63" s="1"/>
  <c r="Q61" i="63"/>
  <c r="AT61" i="63" s="1"/>
  <c r="Q62" i="63"/>
  <c r="AT62" i="63" s="1"/>
  <c r="Q63" i="63"/>
  <c r="AT63" i="63" s="1"/>
  <c r="Q64" i="63"/>
  <c r="AT64" i="63" s="1"/>
  <c r="Q65" i="63"/>
  <c r="AT65" i="63" s="1"/>
  <c r="Q66" i="63"/>
  <c r="AT66" i="63" s="1"/>
  <c r="Q67" i="63"/>
  <c r="AT67" i="63" s="1"/>
  <c r="Q68" i="63"/>
  <c r="AT68" i="63" s="1"/>
  <c r="Q69" i="63"/>
  <c r="AT69" i="63" s="1"/>
  <c r="Q70" i="63"/>
  <c r="AT70" i="63" s="1"/>
  <c r="Q71" i="63"/>
  <c r="AT71" i="63" s="1"/>
  <c r="Q72" i="63"/>
  <c r="AT72" i="63" s="1"/>
  <c r="Q73" i="63"/>
  <c r="AT73" i="63" s="1"/>
  <c r="Q74" i="63"/>
  <c r="AT74" i="63" s="1"/>
  <c r="Q75" i="63"/>
  <c r="AT75" i="63" s="1"/>
  <c r="Q76" i="63"/>
  <c r="AT76" i="63" s="1"/>
  <c r="Q77" i="63"/>
  <c r="AT77" i="63" s="1"/>
  <c r="Q78" i="63"/>
  <c r="AT78" i="63" s="1"/>
  <c r="Q79" i="63"/>
  <c r="AT79" i="63" s="1"/>
  <c r="Q80" i="63"/>
  <c r="AT80" i="63" s="1"/>
  <c r="Q81" i="63"/>
  <c r="AT81" i="63" s="1"/>
  <c r="Q82" i="63"/>
  <c r="AT82" i="63" s="1"/>
  <c r="Q83" i="63"/>
  <c r="AT83" i="63" s="1"/>
  <c r="Q84" i="63"/>
  <c r="AT84" i="63" s="1"/>
  <c r="Q85" i="63"/>
  <c r="AT85" i="63" s="1"/>
  <c r="Q86" i="63"/>
  <c r="AT86" i="63" s="1"/>
  <c r="Q87" i="63"/>
  <c r="AT87" i="63" s="1"/>
  <c r="Q88" i="63"/>
  <c r="AT88" i="63" s="1"/>
  <c r="Q89" i="63"/>
  <c r="AT89" i="63" s="1"/>
  <c r="Q90" i="63"/>
  <c r="AT90" i="63" s="1"/>
  <c r="Q91" i="63"/>
  <c r="AT91" i="63" s="1"/>
  <c r="Q92" i="63"/>
  <c r="AT92" i="63" s="1"/>
  <c r="Q93" i="63"/>
  <c r="AT93" i="63" s="1"/>
  <c r="Q94" i="63"/>
  <c r="AT94" i="63" s="1"/>
  <c r="Q95" i="63"/>
  <c r="AT95" i="63" s="1"/>
  <c r="Q96" i="63"/>
  <c r="AT96" i="63" s="1"/>
  <c r="Q97" i="63"/>
  <c r="AT97" i="63" s="1"/>
  <c r="Q98" i="63"/>
  <c r="AT98" i="63" s="1"/>
  <c r="Q99" i="63"/>
  <c r="AT99" i="63" s="1"/>
  <c r="Q100" i="63"/>
  <c r="AT100" i="63" s="1"/>
  <c r="Q101" i="63"/>
  <c r="AT101" i="63" s="1"/>
  <c r="Q102" i="63"/>
  <c r="AT102" i="63" s="1"/>
  <c r="Q103" i="63"/>
  <c r="AT103" i="63" s="1"/>
  <c r="Q104" i="63"/>
  <c r="AT104" i="63" s="1"/>
  <c r="Q105" i="63"/>
  <c r="AT105" i="63" s="1"/>
  <c r="Q106" i="63"/>
  <c r="AT106" i="63" s="1"/>
  <c r="Q107" i="63"/>
  <c r="AT107" i="63" s="1"/>
  <c r="Q108" i="63"/>
  <c r="AT108" i="63" s="1"/>
  <c r="Q109" i="63"/>
  <c r="AT109" i="63" s="1"/>
  <c r="Q110" i="63"/>
  <c r="AT110" i="63" s="1"/>
  <c r="Q111" i="63"/>
  <c r="AT111" i="63" s="1"/>
  <c r="Q112" i="63"/>
  <c r="AT112" i="63" s="1"/>
  <c r="Q113" i="63"/>
  <c r="AT113" i="63" s="1"/>
  <c r="Q114" i="63"/>
  <c r="AT114" i="63" s="1"/>
  <c r="Q115" i="63"/>
  <c r="AT115" i="63" s="1"/>
  <c r="Q116" i="63"/>
  <c r="AT116" i="63" s="1"/>
  <c r="Q117" i="63"/>
  <c r="AT117" i="63" s="1"/>
  <c r="Q118" i="63"/>
  <c r="AT118" i="63" s="1"/>
  <c r="Q119" i="63"/>
  <c r="AT119" i="63" s="1"/>
  <c r="Q120" i="63"/>
  <c r="AT120" i="63" s="1"/>
  <c r="Q121" i="63"/>
  <c r="AT121" i="63" s="1"/>
  <c r="Q122" i="63"/>
  <c r="AT122" i="63" s="1"/>
  <c r="Q123" i="63"/>
  <c r="AT123" i="63" s="1"/>
  <c r="Q124" i="63"/>
  <c r="AT124" i="63" s="1"/>
  <c r="Q125" i="63"/>
  <c r="AT125" i="63" s="1"/>
  <c r="Q126" i="63"/>
  <c r="AT126" i="63" s="1"/>
  <c r="Q127" i="63"/>
  <c r="AT127" i="63" s="1"/>
  <c r="Q128" i="63"/>
  <c r="AT128" i="63" s="1"/>
  <c r="Q129" i="63"/>
  <c r="AT129" i="63" s="1"/>
  <c r="Q130" i="63"/>
  <c r="AT130" i="63" s="1"/>
  <c r="Q131" i="63"/>
  <c r="AT131" i="63" s="1"/>
  <c r="Q132" i="63"/>
  <c r="AT132" i="63" s="1"/>
  <c r="Q133" i="63"/>
  <c r="AT133" i="63" s="1"/>
  <c r="Q134" i="63"/>
  <c r="AT134" i="63" s="1"/>
  <c r="Q135" i="63"/>
  <c r="AT135" i="63" s="1"/>
  <c r="Q136" i="63"/>
  <c r="AT136" i="63" s="1"/>
  <c r="Q137" i="63"/>
  <c r="AT137" i="63" s="1"/>
  <c r="Q138" i="63"/>
  <c r="AT138" i="63" s="1"/>
  <c r="Q139" i="63"/>
  <c r="AT139" i="63" s="1"/>
  <c r="Q140" i="63"/>
  <c r="AT140" i="63" s="1"/>
  <c r="Q141" i="63"/>
  <c r="AT141" i="63" s="1"/>
  <c r="Q142" i="63"/>
  <c r="AT142" i="63" s="1"/>
  <c r="Q143" i="63"/>
  <c r="AT143" i="63" s="1"/>
  <c r="Q144" i="63"/>
  <c r="AT144" i="63" s="1"/>
  <c r="Q145" i="63"/>
  <c r="AT145" i="63" s="1"/>
  <c r="Q146" i="63"/>
  <c r="AT146" i="63" s="1"/>
  <c r="Q147" i="63"/>
  <c r="AT147" i="63" s="1"/>
  <c r="Q148" i="63"/>
  <c r="AT148" i="63" s="1"/>
  <c r="Q149" i="63"/>
  <c r="AT149" i="63" s="1"/>
  <c r="Q150" i="63"/>
  <c r="AT150" i="63" s="1"/>
  <c r="Q151" i="63"/>
  <c r="AT151" i="63" s="1"/>
  <c r="Q152" i="63"/>
  <c r="AT152" i="63" s="1"/>
  <c r="Q153" i="63"/>
  <c r="AT153" i="63" s="1"/>
  <c r="Q154" i="63"/>
  <c r="AT154" i="63" s="1"/>
  <c r="Q155" i="63"/>
  <c r="AT155" i="63" s="1"/>
  <c r="Q156" i="63"/>
  <c r="AT156" i="63" s="1"/>
  <c r="Q157" i="63"/>
  <c r="AT157" i="63" s="1"/>
  <c r="Q158" i="63"/>
  <c r="AT158" i="63" s="1"/>
  <c r="Q159" i="63"/>
  <c r="AT159" i="63" s="1"/>
  <c r="Q160" i="63"/>
  <c r="AT160" i="63" s="1"/>
  <c r="Q161" i="63"/>
  <c r="AT161" i="63" s="1"/>
  <c r="Q162" i="63"/>
  <c r="AT162" i="63" s="1"/>
  <c r="Q163" i="63"/>
  <c r="AT163" i="63" s="1"/>
  <c r="Q164" i="63"/>
  <c r="AT164" i="63" s="1"/>
  <c r="Q165" i="63"/>
  <c r="AT165" i="63" s="1"/>
  <c r="Q166" i="63"/>
  <c r="AT166" i="63" s="1"/>
  <c r="Q167" i="63"/>
  <c r="AT167" i="63" s="1"/>
  <c r="Q168" i="63"/>
  <c r="AT168" i="63" s="1"/>
  <c r="Q169" i="63"/>
  <c r="AT169" i="63" s="1"/>
  <c r="Q170" i="63"/>
  <c r="AT170" i="63" s="1"/>
  <c r="Q171" i="63"/>
  <c r="AT171" i="63" s="1"/>
  <c r="Q172" i="63"/>
  <c r="AT172" i="63" s="1"/>
  <c r="Q173" i="63"/>
  <c r="AT173" i="63" s="1"/>
  <c r="Q174" i="63"/>
  <c r="AT174" i="63" s="1"/>
  <c r="Q175" i="63"/>
  <c r="AT175" i="63" s="1"/>
  <c r="Q176" i="63"/>
  <c r="AT176" i="63" s="1"/>
  <c r="Q177" i="63"/>
  <c r="AT177" i="63" s="1"/>
  <c r="Q178" i="63"/>
  <c r="AT178" i="63" s="1"/>
  <c r="Q179" i="63"/>
  <c r="AT179" i="63" s="1"/>
  <c r="Q180" i="63"/>
  <c r="AT180" i="63" s="1"/>
  <c r="Q181" i="63"/>
  <c r="AT181" i="63" s="1"/>
  <c r="Q182" i="63"/>
  <c r="AT182" i="63" s="1"/>
  <c r="Q183" i="63"/>
  <c r="AT183" i="63" s="1"/>
  <c r="Q184" i="63"/>
  <c r="AT184" i="63" s="1"/>
  <c r="Q185" i="63"/>
  <c r="AT185" i="63" s="1"/>
  <c r="Q186" i="63"/>
  <c r="AT186" i="63" s="1"/>
  <c r="Q187" i="63"/>
  <c r="AT187" i="63" s="1"/>
  <c r="Q188" i="63"/>
  <c r="AT188" i="63" s="1"/>
  <c r="Q189" i="63"/>
  <c r="AT189" i="63" s="1"/>
  <c r="Q190" i="63"/>
  <c r="AT190" i="63" s="1"/>
  <c r="Q191" i="63"/>
  <c r="AT191" i="63" s="1"/>
  <c r="Q192" i="63"/>
  <c r="AT192" i="63" s="1"/>
  <c r="Q193" i="63"/>
  <c r="AT193" i="63" s="1"/>
  <c r="Q194" i="63"/>
  <c r="AT194" i="63" s="1"/>
  <c r="Q195" i="63"/>
  <c r="AT195" i="63" s="1"/>
  <c r="Q196" i="63"/>
  <c r="AT196" i="63" s="1"/>
  <c r="Q197" i="63"/>
  <c r="AT197" i="63" s="1"/>
  <c r="Q198" i="63"/>
  <c r="AT198" i="63" s="1"/>
  <c r="Q199" i="63"/>
  <c r="AT199" i="63" s="1"/>
  <c r="Q200" i="63"/>
  <c r="AT200" i="63" s="1"/>
  <c r="Q201" i="63"/>
  <c r="AT201" i="63" s="1"/>
  <c r="Q202" i="63"/>
  <c r="AT202" i="63" s="1"/>
  <c r="Q203" i="63"/>
  <c r="AT203" i="63" s="1"/>
  <c r="Q204" i="63"/>
  <c r="AT204" i="63" s="1"/>
  <c r="Q205" i="63"/>
  <c r="AT205" i="63" s="1"/>
  <c r="Q206" i="63"/>
  <c r="AT206" i="63" s="1"/>
  <c r="Q207" i="63"/>
  <c r="AT207" i="63" s="1"/>
  <c r="Q208" i="63"/>
  <c r="AT208" i="63" s="1"/>
  <c r="Q209" i="63"/>
  <c r="AT209" i="63" s="1"/>
  <c r="Q210" i="63"/>
  <c r="AT210" i="63" s="1"/>
  <c r="Q211" i="63"/>
  <c r="AT211" i="63" s="1"/>
  <c r="Q212" i="63"/>
  <c r="AT212" i="63" s="1"/>
  <c r="Q213" i="63"/>
  <c r="AT213" i="63" s="1"/>
  <c r="Q214" i="63"/>
  <c r="AT214" i="63" s="1"/>
  <c r="Q215" i="63"/>
  <c r="AT215" i="63" s="1"/>
  <c r="Q216" i="63"/>
  <c r="AT216" i="63" s="1"/>
  <c r="Q217" i="63"/>
  <c r="AT217" i="63" s="1"/>
  <c r="Q218" i="63"/>
  <c r="AT218" i="63" s="1"/>
  <c r="Q219" i="63"/>
  <c r="AT219" i="63" s="1"/>
  <c r="Q220" i="63"/>
  <c r="AT220" i="63" s="1"/>
  <c r="Q221" i="63"/>
  <c r="AT221" i="63" s="1"/>
  <c r="Q222" i="63"/>
  <c r="AT222" i="63" s="1"/>
  <c r="Q223" i="63"/>
  <c r="AT223" i="63" s="1"/>
  <c r="Q224" i="63"/>
  <c r="AT224" i="63" s="1"/>
  <c r="Q225" i="63"/>
  <c r="AT225" i="63" s="1"/>
  <c r="Q226" i="63"/>
  <c r="AT226" i="63" s="1"/>
  <c r="Q227" i="63"/>
  <c r="AT227" i="63" s="1"/>
  <c r="Q228" i="63"/>
  <c r="AT228" i="63" s="1"/>
  <c r="Q229" i="63"/>
  <c r="AT229" i="63" s="1"/>
  <c r="Q230" i="63"/>
  <c r="AT230" i="63" s="1"/>
  <c r="Q231" i="63"/>
  <c r="AT231" i="63" s="1"/>
  <c r="Q232" i="63"/>
  <c r="AT232" i="63" s="1"/>
  <c r="Q233" i="63"/>
  <c r="AT233" i="63" s="1"/>
  <c r="Q234" i="63"/>
  <c r="AT234" i="63" s="1"/>
  <c r="Q235" i="63"/>
  <c r="AT235" i="63" s="1"/>
  <c r="Q236" i="63"/>
  <c r="AT236" i="63" s="1"/>
  <c r="Q237" i="63"/>
  <c r="AT237" i="63" s="1"/>
  <c r="Q238" i="63"/>
  <c r="AT238" i="63" s="1"/>
  <c r="Q239" i="63"/>
  <c r="AT239" i="63" s="1"/>
  <c r="Q240" i="63"/>
  <c r="AT240" i="63" s="1"/>
  <c r="Q241" i="63"/>
  <c r="AT241" i="63" s="1"/>
  <c r="Q242" i="63"/>
  <c r="AT242" i="63" s="1"/>
  <c r="Q243" i="63"/>
  <c r="AT243" i="63" s="1"/>
  <c r="Q244" i="63"/>
  <c r="AT244" i="63" s="1"/>
  <c r="Q245" i="63"/>
  <c r="AT245" i="63" s="1"/>
  <c r="Q246" i="63"/>
  <c r="AT246" i="63" s="1"/>
  <c r="Q247" i="63"/>
  <c r="AT247" i="63" s="1"/>
  <c r="Q248" i="63"/>
  <c r="AT248" i="63" s="1"/>
  <c r="Q249" i="63"/>
  <c r="AT249" i="63" s="1"/>
  <c r="Q250" i="63"/>
  <c r="AT250" i="63" s="1"/>
  <c r="Q251" i="63"/>
  <c r="AT251" i="63" s="1"/>
  <c r="Q252" i="63"/>
  <c r="AT252" i="63" s="1"/>
  <c r="Q253" i="63"/>
  <c r="AT253" i="63" s="1"/>
  <c r="Q254" i="63"/>
  <c r="AT254" i="63" s="1"/>
  <c r="Q255" i="63"/>
  <c r="AT255" i="63" s="1"/>
  <c r="Q256" i="63"/>
  <c r="AT256" i="63" s="1"/>
  <c r="Q257" i="63"/>
  <c r="AT257" i="63" s="1"/>
  <c r="Q10" i="63"/>
  <c r="AT10" i="63" s="1"/>
  <c r="F11" i="63"/>
  <c r="F12" i="63"/>
  <c r="F13" i="63"/>
  <c r="F15" i="63"/>
  <c r="G15" i="63" s="1"/>
  <c r="R15" i="63" s="1"/>
  <c r="Z15" i="63" s="1"/>
  <c r="G16" i="63"/>
  <c r="R16" i="63" s="1"/>
  <c r="Z16" i="63" s="1"/>
  <c r="F17" i="63"/>
  <c r="G17" i="63" s="1"/>
  <c r="R17" i="63" s="1"/>
  <c r="Z17" i="63" s="1"/>
  <c r="F18" i="63"/>
  <c r="G18" i="63" s="1"/>
  <c r="R18" i="63" s="1"/>
  <c r="Z18" i="63" s="1"/>
  <c r="F19" i="63"/>
  <c r="G19" i="63" s="1"/>
  <c r="R19" i="63" s="1"/>
  <c r="Z19" i="63" s="1"/>
  <c r="F20" i="63"/>
  <c r="G20" i="63" s="1"/>
  <c r="R20" i="63" s="1"/>
  <c r="Z20" i="63" s="1"/>
  <c r="F21" i="63"/>
  <c r="G21" i="63" s="1"/>
  <c r="R21" i="63" s="1"/>
  <c r="Z21" i="63" s="1"/>
  <c r="F22" i="63"/>
  <c r="G22" i="63" s="1"/>
  <c r="R22" i="63" s="1"/>
  <c r="Z22" i="63" s="1"/>
  <c r="F23" i="63"/>
  <c r="G23" i="63" s="1"/>
  <c r="R23" i="63" s="1"/>
  <c r="Z23" i="63" s="1"/>
  <c r="F24" i="63"/>
  <c r="G24" i="63" s="1"/>
  <c r="R24" i="63" s="1"/>
  <c r="Z24" i="63" s="1"/>
  <c r="F25" i="63"/>
  <c r="G25" i="63" s="1"/>
  <c r="R25" i="63" s="1"/>
  <c r="Z25" i="63" s="1"/>
  <c r="F26" i="63"/>
  <c r="G26" i="63" s="1"/>
  <c r="R26" i="63" s="1"/>
  <c r="Z26" i="63" s="1"/>
  <c r="F27" i="63"/>
  <c r="G27" i="63" s="1"/>
  <c r="R27" i="63" s="1"/>
  <c r="Z27" i="63" s="1"/>
  <c r="F28" i="63"/>
  <c r="G28" i="63" s="1"/>
  <c r="R28" i="63" s="1"/>
  <c r="Z28" i="63" s="1"/>
  <c r="F29" i="63"/>
  <c r="G29" i="63" s="1"/>
  <c r="R29" i="63" s="1"/>
  <c r="Z29" i="63" s="1"/>
  <c r="F30" i="63"/>
  <c r="G30" i="63" s="1"/>
  <c r="R30" i="63" s="1"/>
  <c r="Z30" i="63" s="1"/>
  <c r="F31" i="63"/>
  <c r="G31" i="63" s="1"/>
  <c r="R31" i="63" s="1"/>
  <c r="Z31" i="63" s="1"/>
  <c r="F32" i="63"/>
  <c r="G32" i="63" s="1"/>
  <c r="R32" i="63" s="1"/>
  <c r="Z32" i="63" s="1"/>
  <c r="F33" i="63"/>
  <c r="G33" i="63" s="1"/>
  <c r="R33" i="63" s="1"/>
  <c r="Z33" i="63" s="1"/>
  <c r="F34" i="63"/>
  <c r="G34" i="63" s="1"/>
  <c r="R34" i="63" s="1"/>
  <c r="Z34" i="63" s="1"/>
  <c r="F35" i="63"/>
  <c r="G35" i="63" s="1"/>
  <c r="R35" i="63" s="1"/>
  <c r="Z35" i="63" s="1"/>
  <c r="F36" i="63"/>
  <c r="G36" i="63" s="1"/>
  <c r="R36" i="63" s="1"/>
  <c r="Z36" i="63" s="1"/>
  <c r="F37" i="63"/>
  <c r="G37" i="63" s="1"/>
  <c r="R37" i="63" s="1"/>
  <c r="Z37" i="63" s="1"/>
  <c r="F38" i="63"/>
  <c r="G38" i="63" s="1"/>
  <c r="R38" i="63" s="1"/>
  <c r="Z38" i="63" s="1"/>
  <c r="F39" i="63"/>
  <c r="G39" i="63" s="1"/>
  <c r="R39" i="63" s="1"/>
  <c r="Z39" i="63" s="1"/>
  <c r="F40" i="63"/>
  <c r="G40" i="63" s="1"/>
  <c r="R40" i="63" s="1"/>
  <c r="Z40" i="63" s="1"/>
  <c r="F41" i="63"/>
  <c r="G41" i="63" s="1"/>
  <c r="R41" i="63" s="1"/>
  <c r="Z41" i="63" s="1"/>
  <c r="F42" i="63"/>
  <c r="G42" i="63" s="1"/>
  <c r="R42" i="63" s="1"/>
  <c r="Z42" i="63" s="1"/>
  <c r="F43" i="63"/>
  <c r="G43" i="63" s="1"/>
  <c r="R43" i="63" s="1"/>
  <c r="Z43" i="63" s="1"/>
  <c r="F44" i="63"/>
  <c r="G44" i="63" s="1"/>
  <c r="R44" i="63" s="1"/>
  <c r="Z44" i="63" s="1"/>
  <c r="F45" i="63"/>
  <c r="G45" i="63" s="1"/>
  <c r="R45" i="63" s="1"/>
  <c r="Z45" i="63" s="1"/>
  <c r="F46" i="63"/>
  <c r="G46" i="63" s="1"/>
  <c r="R46" i="63" s="1"/>
  <c r="Z46" i="63" s="1"/>
  <c r="F47" i="63"/>
  <c r="G47" i="63" s="1"/>
  <c r="R47" i="63" s="1"/>
  <c r="Z47" i="63" s="1"/>
  <c r="F48" i="63"/>
  <c r="G48" i="63" s="1"/>
  <c r="R48" i="63" s="1"/>
  <c r="Z48" i="63" s="1"/>
  <c r="F49" i="63"/>
  <c r="G49" i="63" s="1"/>
  <c r="R49" i="63" s="1"/>
  <c r="Z49" i="63" s="1"/>
  <c r="F50" i="63"/>
  <c r="G50" i="63" s="1"/>
  <c r="R50" i="63" s="1"/>
  <c r="Z50" i="63" s="1"/>
  <c r="F51" i="63"/>
  <c r="G51" i="63" s="1"/>
  <c r="R51" i="63" s="1"/>
  <c r="Z51" i="63" s="1"/>
  <c r="F52" i="63"/>
  <c r="G52" i="63" s="1"/>
  <c r="R52" i="63" s="1"/>
  <c r="Z52" i="63" s="1"/>
  <c r="F53" i="63"/>
  <c r="G53" i="63" s="1"/>
  <c r="R53" i="63" s="1"/>
  <c r="Z53" i="63" s="1"/>
  <c r="F54" i="63"/>
  <c r="G54" i="63" s="1"/>
  <c r="R54" i="63" s="1"/>
  <c r="Z54" i="63" s="1"/>
  <c r="F55" i="63"/>
  <c r="G55" i="63" s="1"/>
  <c r="R55" i="63" s="1"/>
  <c r="Z55" i="63" s="1"/>
  <c r="F56" i="63"/>
  <c r="G56" i="63" s="1"/>
  <c r="R56" i="63" s="1"/>
  <c r="Z56" i="63" s="1"/>
  <c r="F57" i="63"/>
  <c r="G57" i="63" s="1"/>
  <c r="R57" i="63" s="1"/>
  <c r="Z57" i="63" s="1"/>
  <c r="F58" i="63"/>
  <c r="G58" i="63" s="1"/>
  <c r="R58" i="63" s="1"/>
  <c r="Z58" i="63" s="1"/>
  <c r="F59" i="63"/>
  <c r="G59" i="63" s="1"/>
  <c r="R59" i="63" s="1"/>
  <c r="Z59" i="63" s="1"/>
  <c r="F60" i="63"/>
  <c r="G60" i="63" s="1"/>
  <c r="R60" i="63" s="1"/>
  <c r="Z60" i="63" s="1"/>
  <c r="F61" i="63"/>
  <c r="G61" i="63" s="1"/>
  <c r="R61" i="63" s="1"/>
  <c r="Z61" i="63" s="1"/>
  <c r="F62" i="63"/>
  <c r="G62" i="63" s="1"/>
  <c r="R62" i="63" s="1"/>
  <c r="Z62" i="63" s="1"/>
  <c r="F63" i="63"/>
  <c r="G63" i="63" s="1"/>
  <c r="R63" i="63" s="1"/>
  <c r="Z63" i="63" s="1"/>
  <c r="F64" i="63"/>
  <c r="G64" i="63" s="1"/>
  <c r="R64" i="63" s="1"/>
  <c r="Z64" i="63" s="1"/>
  <c r="F65" i="63"/>
  <c r="G65" i="63" s="1"/>
  <c r="R65" i="63" s="1"/>
  <c r="Z65" i="63" s="1"/>
  <c r="F66" i="63"/>
  <c r="G66" i="63" s="1"/>
  <c r="R66" i="63" s="1"/>
  <c r="Z66" i="63" s="1"/>
  <c r="F67" i="63"/>
  <c r="G67" i="63" s="1"/>
  <c r="R67" i="63" s="1"/>
  <c r="Z67" i="63" s="1"/>
  <c r="F68" i="63"/>
  <c r="G68" i="63" s="1"/>
  <c r="R68" i="63" s="1"/>
  <c r="Z68" i="63" s="1"/>
  <c r="F69" i="63"/>
  <c r="G69" i="63" s="1"/>
  <c r="R69" i="63" s="1"/>
  <c r="Z69" i="63" s="1"/>
  <c r="F70" i="63"/>
  <c r="G70" i="63" s="1"/>
  <c r="R70" i="63" s="1"/>
  <c r="Z70" i="63" s="1"/>
  <c r="F71" i="63"/>
  <c r="G71" i="63" s="1"/>
  <c r="R71" i="63" s="1"/>
  <c r="Z71" i="63" s="1"/>
  <c r="F72" i="63"/>
  <c r="G72" i="63" s="1"/>
  <c r="R72" i="63" s="1"/>
  <c r="Z72" i="63" s="1"/>
  <c r="F73" i="63"/>
  <c r="G73" i="63" s="1"/>
  <c r="R73" i="63" s="1"/>
  <c r="Z73" i="63" s="1"/>
  <c r="F74" i="63"/>
  <c r="G74" i="63" s="1"/>
  <c r="R74" i="63" s="1"/>
  <c r="Z74" i="63" s="1"/>
  <c r="F75" i="63"/>
  <c r="G75" i="63" s="1"/>
  <c r="R75" i="63" s="1"/>
  <c r="Z75" i="63" s="1"/>
  <c r="F76" i="63"/>
  <c r="G76" i="63" s="1"/>
  <c r="R76" i="63" s="1"/>
  <c r="Z76" i="63" s="1"/>
  <c r="F77" i="63"/>
  <c r="G77" i="63" s="1"/>
  <c r="R77" i="63" s="1"/>
  <c r="Z77" i="63" s="1"/>
  <c r="F78" i="63"/>
  <c r="G78" i="63" s="1"/>
  <c r="R78" i="63" s="1"/>
  <c r="Z78" i="63" s="1"/>
  <c r="F79" i="63"/>
  <c r="G79" i="63" s="1"/>
  <c r="R79" i="63" s="1"/>
  <c r="Z79" i="63" s="1"/>
  <c r="F80" i="63"/>
  <c r="G80" i="63" s="1"/>
  <c r="R80" i="63" s="1"/>
  <c r="Z80" i="63" s="1"/>
  <c r="F81" i="63"/>
  <c r="G81" i="63" s="1"/>
  <c r="R81" i="63" s="1"/>
  <c r="Z81" i="63" s="1"/>
  <c r="F82" i="63"/>
  <c r="G82" i="63" s="1"/>
  <c r="R82" i="63" s="1"/>
  <c r="Z82" i="63" s="1"/>
  <c r="F83" i="63"/>
  <c r="G83" i="63" s="1"/>
  <c r="R83" i="63" s="1"/>
  <c r="Z83" i="63" s="1"/>
  <c r="F84" i="63"/>
  <c r="G84" i="63" s="1"/>
  <c r="R84" i="63" s="1"/>
  <c r="Z84" i="63" s="1"/>
  <c r="F85" i="63"/>
  <c r="G85" i="63" s="1"/>
  <c r="R85" i="63" s="1"/>
  <c r="Z85" i="63" s="1"/>
  <c r="F86" i="63"/>
  <c r="G86" i="63" s="1"/>
  <c r="R86" i="63" s="1"/>
  <c r="Z86" i="63" s="1"/>
  <c r="F87" i="63"/>
  <c r="G87" i="63" s="1"/>
  <c r="R87" i="63" s="1"/>
  <c r="Z87" i="63" s="1"/>
  <c r="F88" i="63"/>
  <c r="G88" i="63" s="1"/>
  <c r="R88" i="63" s="1"/>
  <c r="Z88" i="63" s="1"/>
  <c r="F89" i="63"/>
  <c r="G89" i="63" s="1"/>
  <c r="R89" i="63" s="1"/>
  <c r="Z89" i="63" s="1"/>
  <c r="F90" i="63"/>
  <c r="G90" i="63" s="1"/>
  <c r="R90" i="63" s="1"/>
  <c r="Z90" i="63" s="1"/>
  <c r="F91" i="63"/>
  <c r="G91" i="63" s="1"/>
  <c r="R91" i="63" s="1"/>
  <c r="Z91" i="63" s="1"/>
  <c r="F92" i="63"/>
  <c r="G92" i="63" s="1"/>
  <c r="R92" i="63" s="1"/>
  <c r="Z92" i="63" s="1"/>
  <c r="F93" i="63"/>
  <c r="G93" i="63" s="1"/>
  <c r="R93" i="63" s="1"/>
  <c r="Z93" i="63" s="1"/>
  <c r="F94" i="63"/>
  <c r="G94" i="63" s="1"/>
  <c r="R94" i="63" s="1"/>
  <c r="Z94" i="63" s="1"/>
  <c r="F95" i="63"/>
  <c r="G95" i="63" s="1"/>
  <c r="R95" i="63" s="1"/>
  <c r="Z95" i="63" s="1"/>
  <c r="F96" i="63"/>
  <c r="G96" i="63" s="1"/>
  <c r="R96" i="63" s="1"/>
  <c r="Z96" i="63" s="1"/>
  <c r="F97" i="63"/>
  <c r="G97" i="63" s="1"/>
  <c r="R97" i="63" s="1"/>
  <c r="Z97" i="63" s="1"/>
  <c r="F98" i="63"/>
  <c r="G98" i="63" s="1"/>
  <c r="R98" i="63" s="1"/>
  <c r="Z98" i="63" s="1"/>
  <c r="F99" i="63"/>
  <c r="G99" i="63" s="1"/>
  <c r="R99" i="63" s="1"/>
  <c r="Z99" i="63" s="1"/>
  <c r="F100" i="63"/>
  <c r="G100" i="63" s="1"/>
  <c r="R100" i="63" s="1"/>
  <c r="Z100" i="63" s="1"/>
  <c r="F101" i="63"/>
  <c r="G101" i="63" s="1"/>
  <c r="R101" i="63" s="1"/>
  <c r="Z101" i="63" s="1"/>
  <c r="F102" i="63"/>
  <c r="G102" i="63" s="1"/>
  <c r="R102" i="63" s="1"/>
  <c r="Z102" i="63" s="1"/>
  <c r="F103" i="63"/>
  <c r="G103" i="63" s="1"/>
  <c r="R103" i="63" s="1"/>
  <c r="Z103" i="63" s="1"/>
  <c r="F104" i="63"/>
  <c r="G104" i="63" s="1"/>
  <c r="R104" i="63" s="1"/>
  <c r="Z104" i="63" s="1"/>
  <c r="F105" i="63"/>
  <c r="G105" i="63" s="1"/>
  <c r="R105" i="63" s="1"/>
  <c r="Z105" i="63" s="1"/>
  <c r="F106" i="63"/>
  <c r="G106" i="63" s="1"/>
  <c r="R106" i="63" s="1"/>
  <c r="Z106" i="63" s="1"/>
  <c r="F107" i="63"/>
  <c r="G107" i="63" s="1"/>
  <c r="R107" i="63" s="1"/>
  <c r="Z107" i="63" s="1"/>
  <c r="F108" i="63"/>
  <c r="G108" i="63" s="1"/>
  <c r="R108" i="63" s="1"/>
  <c r="Z108" i="63" s="1"/>
  <c r="F109" i="63"/>
  <c r="G109" i="63" s="1"/>
  <c r="R109" i="63" s="1"/>
  <c r="Z109" i="63" s="1"/>
  <c r="F110" i="63"/>
  <c r="G110" i="63" s="1"/>
  <c r="R110" i="63" s="1"/>
  <c r="Z110" i="63" s="1"/>
  <c r="F111" i="63"/>
  <c r="G111" i="63" s="1"/>
  <c r="R111" i="63" s="1"/>
  <c r="Z111" i="63" s="1"/>
  <c r="F112" i="63"/>
  <c r="G112" i="63" s="1"/>
  <c r="R112" i="63" s="1"/>
  <c r="Z112" i="63" s="1"/>
  <c r="F113" i="63"/>
  <c r="G113" i="63" s="1"/>
  <c r="R113" i="63" s="1"/>
  <c r="Z113" i="63" s="1"/>
  <c r="F114" i="63"/>
  <c r="G114" i="63" s="1"/>
  <c r="R114" i="63" s="1"/>
  <c r="Z114" i="63" s="1"/>
  <c r="F115" i="63"/>
  <c r="G115" i="63" s="1"/>
  <c r="R115" i="63" s="1"/>
  <c r="Z115" i="63" s="1"/>
  <c r="F116" i="63"/>
  <c r="G116" i="63" s="1"/>
  <c r="R116" i="63" s="1"/>
  <c r="Z116" i="63" s="1"/>
  <c r="F117" i="63"/>
  <c r="G117" i="63" s="1"/>
  <c r="R117" i="63" s="1"/>
  <c r="Z117" i="63" s="1"/>
  <c r="F118" i="63"/>
  <c r="G118" i="63" s="1"/>
  <c r="R118" i="63" s="1"/>
  <c r="Z118" i="63" s="1"/>
  <c r="F119" i="63"/>
  <c r="G119" i="63" s="1"/>
  <c r="R119" i="63" s="1"/>
  <c r="Z119" i="63" s="1"/>
  <c r="F120" i="63"/>
  <c r="G120" i="63" s="1"/>
  <c r="R120" i="63" s="1"/>
  <c r="Z120" i="63" s="1"/>
  <c r="F121" i="63"/>
  <c r="G121" i="63" s="1"/>
  <c r="R121" i="63" s="1"/>
  <c r="Z121" i="63" s="1"/>
  <c r="F122" i="63"/>
  <c r="G122" i="63" s="1"/>
  <c r="R122" i="63" s="1"/>
  <c r="Z122" i="63" s="1"/>
  <c r="F123" i="63"/>
  <c r="G123" i="63" s="1"/>
  <c r="R123" i="63" s="1"/>
  <c r="Z123" i="63" s="1"/>
  <c r="F124" i="63"/>
  <c r="G124" i="63" s="1"/>
  <c r="R124" i="63" s="1"/>
  <c r="Z124" i="63" s="1"/>
  <c r="F125" i="63"/>
  <c r="G125" i="63" s="1"/>
  <c r="R125" i="63" s="1"/>
  <c r="Z125" i="63" s="1"/>
  <c r="F126" i="63"/>
  <c r="G126" i="63" s="1"/>
  <c r="R126" i="63" s="1"/>
  <c r="Z126" i="63" s="1"/>
  <c r="F127" i="63"/>
  <c r="G127" i="63" s="1"/>
  <c r="R127" i="63" s="1"/>
  <c r="Z127" i="63" s="1"/>
  <c r="F128" i="63"/>
  <c r="G128" i="63" s="1"/>
  <c r="R128" i="63" s="1"/>
  <c r="Z128" i="63" s="1"/>
  <c r="F129" i="63"/>
  <c r="G129" i="63" s="1"/>
  <c r="R129" i="63" s="1"/>
  <c r="Z129" i="63" s="1"/>
  <c r="F130" i="63"/>
  <c r="G130" i="63" s="1"/>
  <c r="R130" i="63" s="1"/>
  <c r="Z130" i="63" s="1"/>
  <c r="F131" i="63"/>
  <c r="G131" i="63" s="1"/>
  <c r="R131" i="63" s="1"/>
  <c r="Z131" i="63" s="1"/>
  <c r="F132" i="63"/>
  <c r="G132" i="63" s="1"/>
  <c r="R132" i="63" s="1"/>
  <c r="Z132" i="63" s="1"/>
  <c r="F133" i="63"/>
  <c r="G133" i="63" s="1"/>
  <c r="R133" i="63" s="1"/>
  <c r="Z133" i="63" s="1"/>
  <c r="F134" i="63"/>
  <c r="G134" i="63" s="1"/>
  <c r="R134" i="63" s="1"/>
  <c r="Z134" i="63" s="1"/>
  <c r="F135" i="63"/>
  <c r="G135" i="63" s="1"/>
  <c r="R135" i="63" s="1"/>
  <c r="Z135" i="63" s="1"/>
  <c r="F136" i="63"/>
  <c r="G136" i="63" s="1"/>
  <c r="R136" i="63" s="1"/>
  <c r="Z136" i="63" s="1"/>
  <c r="F137" i="63"/>
  <c r="G137" i="63" s="1"/>
  <c r="R137" i="63" s="1"/>
  <c r="Z137" i="63" s="1"/>
  <c r="F138" i="63"/>
  <c r="G138" i="63" s="1"/>
  <c r="R138" i="63" s="1"/>
  <c r="Z138" i="63" s="1"/>
  <c r="F139" i="63"/>
  <c r="G139" i="63" s="1"/>
  <c r="R139" i="63" s="1"/>
  <c r="Z139" i="63" s="1"/>
  <c r="F140" i="63"/>
  <c r="G140" i="63" s="1"/>
  <c r="R140" i="63" s="1"/>
  <c r="Z140" i="63" s="1"/>
  <c r="F141" i="63"/>
  <c r="G141" i="63" s="1"/>
  <c r="R141" i="63" s="1"/>
  <c r="Z141" i="63" s="1"/>
  <c r="F142" i="63"/>
  <c r="G142" i="63" s="1"/>
  <c r="R142" i="63" s="1"/>
  <c r="Z142" i="63" s="1"/>
  <c r="F143" i="63"/>
  <c r="G143" i="63" s="1"/>
  <c r="R143" i="63" s="1"/>
  <c r="Z143" i="63" s="1"/>
  <c r="F144" i="63"/>
  <c r="G144" i="63" s="1"/>
  <c r="R144" i="63" s="1"/>
  <c r="Z144" i="63" s="1"/>
  <c r="F145" i="63"/>
  <c r="G145" i="63" s="1"/>
  <c r="R145" i="63" s="1"/>
  <c r="Z145" i="63" s="1"/>
  <c r="F146" i="63"/>
  <c r="G146" i="63" s="1"/>
  <c r="R146" i="63" s="1"/>
  <c r="Z146" i="63" s="1"/>
  <c r="F147" i="63"/>
  <c r="G147" i="63" s="1"/>
  <c r="R147" i="63" s="1"/>
  <c r="Z147" i="63" s="1"/>
  <c r="F148" i="63"/>
  <c r="G148" i="63" s="1"/>
  <c r="R148" i="63" s="1"/>
  <c r="Z148" i="63" s="1"/>
  <c r="F149" i="63"/>
  <c r="G149" i="63" s="1"/>
  <c r="R149" i="63" s="1"/>
  <c r="Z149" i="63" s="1"/>
  <c r="F150" i="63"/>
  <c r="G150" i="63" s="1"/>
  <c r="R150" i="63" s="1"/>
  <c r="Z150" i="63" s="1"/>
  <c r="F151" i="63"/>
  <c r="G151" i="63" s="1"/>
  <c r="R151" i="63" s="1"/>
  <c r="Z151" i="63" s="1"/>
  <c r="F152" i="63"/>
  <c r="G152" i="63" s="1"/>
  <c r="R152" i="63" s="1"/>
  <c r="Z152" i="63" s="1"/>
  <c r="F153" i="63"/>
  <c r="G153" i="63" s="1"/>
  <c r="R153" i="63" s="1"/>
  <c r="Z153" i="63" s="1"/>
  <c r="F154" i="63"/>
  <c r="G154" i="63" s="1"/>
  <c r="R154" i="63" s="1"/>
  <c r="Z154" i="63" s="1"/>
  <c r="F155" i="63"/>
  <c r="G155" i="63" s="1"/>
  <c r="R155" i="63" s="1"/>
  <c r="Z155" i="63" s="1"/>
  <c r="F156" i="63"/>
  <c r="G156" i="63" s="1"/>
  <c r="R156" i="63" s="1"/>
  <c r="Z156" i="63" s="1"/>
  <c r="F157" i="63"/>
  <c r="G157" i="63" s="1"/>
  <c r="R157" i="63" s="1"/>
  <c r="Z157" i="63" s="1"/>
  <c r="F158" i="63"/>
  <c r="G158" i="63" s="1"/>
  <c r="R158" i="63" s="1"/>
  <c r="Z158" i="63" s="1"/>
  <c r="F159" i="63"/>
  <c r="G159" i="63" s="1"/>
  <c r="R159" i="63" s="1"/>
  <c r="Z159" i="63" s="1"/>
  <c r="F160" i="63"/>
  <c r="G160" i="63" s="1"/>
  <c r="R160" i="63" s="1"/>
  <c r="Z160" i="63" s="1"/>
  <c r="F161" i="63"/>
  <c r="G161" i="63" s="1"/>
  <c r="R161" i="63" s="1"/>
  <c r="Z161" i="63" s="1"/>
  <c r="F162" i="63"/>
  <c r="G162" i="63" s="1"/>
  <c r="R162" i="63" s="1"/>
  <c r="Z162" i="63" s="1"/>
  <c r="F163" i="63"/>
  <c r="G163" i="63" s="1"/>
  <c r="R163" i="63" s="1"/>
  <c r="Z163" i="63" s="1"/>
  <c r="F164" i="63"/>
  <c r="G164" i="63" s="1"/>
  <c r="R164" i="63" s="1"/>
  <c r="Z164" i="63" s="1"/>
  <c r="F165" i="63"/>
  <c r="G165" i="63" s="1"/>
  <c r="R165" i="63" s="1"/>
  <c r="Z165" i="63" s="1"/>
  <c r="F166" i="63"/>
  <c r="G166" i="63" s="1"/>
  <c r="R166" i="63" s="1"/>
  <c r="Z166" i="63" s="1"/>
  <c r="F167" i="63"/>
  <c r="G167" i="63" s="1"/>
  <c r="R167" i="63" s="1"/>
  <c r="Z167" i="63" s="1"/>
  <c r="F168" i="63"/>
  <c r="G168" i="63" s="1"/>
  <c r="R168" i="63" s="1"/>
  <c r="Z168" i="63" s="1"/>
  <c r="F169" i="63"/>
  <c r="G169" i="63" s="1"/>
  <c r="R169" i="63" s="1"/>
  <c r="Z169" i="63" s="1"/>
  <c r="F170" i="63"/>
  <c r="G170" i="63" s="1"/>
  <c r="R170" i="63" s="1"/>
  <c r="Z170" i="63" s="1"/>
  <c r="F171" i="63"/>
  <c r="G171" i="63" s="1"/>
  <c r="R171" i="63" s="1"/>
  <c r="Z171" i="63" s="1"/>
  <c r="F172" i="63"/>
  <c r="G172" i="63" s="1"/>
  <c r="R172" i="63" s="1"/>
  <c r="Z172" i="63" s="1"/>
  <c r="F173" i="63"/>
  <c r="G173" i="63" s="1"/>
  <c r="R173" i="63" s="1"/>
  <c r="Z173" i="63" s="1"/>
  <c r="F174" i="63"/>
  <c r="G174" i="63" s="1"/>
  <c r="R174" i="63" s="1"/>
  <c r="Z174" i="63" s="1"/>
  <c r="F175" i="63"/>
  <c r="G175" i="63" s="1"/>
  <c r="R175" i="63" s="1"/>
  <c r="Z175" i="63" s="1"/>
  <c r="F176" i="63"/>
  <c r="G176" i="63" s="1"/>
  <c r="R176" i="63" s="1"/>
  <c r="Z176" i="63" s="1"/>
  <c r="F177" i="63"/>
  <c r="G177" i="63" s="1"/>
  <c r="R177" i="63" s="1"/>
  <c r="Z177" i="63" s="1"/>
  <c r="F178" i="63"/>
  <c r="G178" i="63" s="1"/>
  <c r="R178" i="63" s="1"/>
  <c r="Z178" i="63" s="1"/>
  <c r="F179" i="63"/>
  <c r="G179" i="63" s="1"/>
  <c r="R179" i="63" s="1"/>
  <c r="Z179" i="63" s="1"/>
  <c r="F180" i="63"/>
  <c r="G180" i="63" s="1"/>
  <c r="R180" i="63" s="1"/>
  <c r="Z180" i="63" s="1"/>
  <c r="F181" i="63"/>
  <c r="G181" i="63" s="1"/>
  <c r="R181" i="63" s="1"/>
  <c r="Z181" i="63" s="1"/>
  <c r="F182" i="63"/>
  <c r="G182" i="63" s="1"/>
  <c r="R182" i="63" s="1"/>
  <c r="Z182" i="63" s="1"/>
  <c r="F183" i="63"/>
  <c r="G183" i="63" s="1"/>
  <c r="R183" i="63" s="1"/>
  <c r="Z183" i="63" s="1"/>
  <c r="F184" i="63"/>
  <c r="G184" i="63" s="1"/>
  <c r="R184" i="63" s="1"/>
  <c r="Z184" i="63" s="1"/>
  <c r="F185" i="63"/>
  <c r="G185" i="63" s="1"/>
  <c r="R185" i="63" s="1"/>
  <c r="Z185" i="63" s="1"/>
  <c r="F186" i="63"/>
  <c r="G186" i="63" s="1"/>
  <c r="R186" i="63" s="1"/>
  <c r="Z186" i="63" s="1"/>
  <c r="F187" i="63"/>
  <c r="G187" i="63" s="1"/>
  <c r="R187" i="63" s="1"/>
  <c r="Z187" i="63" s="1"/>
  <c r="F188" i="63"/>
  <c r="G188" i="63" s="1"/>
  <c r="R188" i="63" s="1"/>
  <c r="Z188" i="63" s="1"/>
  <c r="F189" i="63"/>
  <c r="G189" i="63" s="1"/>
  <c r="R189" i="63" s="1"/>
  <c r="Z189" i="63" s="1"/>
  <c r="F190" i="63"/>
  <c r="G190" i="63" s="1"/>
  <c r="R190" i="63" s="1"/>
  <c r="Z190" i="63" s="1"/>
  <c r="F191" i="63"/>
  <c r="G191" i="63" s="1"/>
  <c r="R191" i="63" s="1"/>
  <c r="Z191" i="63" s="1"/>
  <c r="F192" i="63"/>
  <c r="G192" i="63" s="1"/>
  <c r="R192" i="63" s="1"/>
  <c r="Z192" i="63" s="1"/>
  <c r="F193" i="63"/>
  <c r="G193" i="63" s="1"/>
  <c r="R193" i="63" s="1"/>
  <c r="Z193" i="63" s="1"/>
  <c r="F194" i="63"/>
  <c r="G194" i="63" s="1"/>
  <c r="R194" i="63" s="1"/>
  <c r="Z194" i="63" s="1"/>
  <c r="F195" i="63"/>
  <c r="G195" i="63" s="1"/>
  <c r="R195" i="63" s="1"/>
  <c r="Z195" i="63" s="1"/>
  <c r="F196" i="63"/>
  <c r="G196" i="63" s="1"/>
  <c r="R196" i="63" s="1"/>
  <c r="Z196" i="63" s="1"/>
  <c r="F197" i="63"/>
  <c r="G197" i="63" s="1"/>
  <c r="R197" i="63" s="1"/>
  <c r="Z197" i="63" s="1"/>
  <c r="F198" i="63"/>
  <c r="G198" i="63" s="1"/>
  <c r="R198" i="63" s="1"/>
  <c r="Z198" i="63" s="1"/>
  <c r="F199" i="63"/>
  <c r="G199" i="63" s="1"/>
  <c r="R199" i="63" s="1"/>
  <c r="Z199" i="63" s="1"/>
  <c r="F200" i="63"/>
  <c r="G200" i="63" s="1"/>
  <c r="R200" i="63" s="1"/>
  <c r="Z200" i="63" s="1"/>
  <c r="F201" i="63"/>
  <c r="G201" i="63" s="1"/>
  <c r="R201" i="63" s="1"/>
  <c r="Z201" i="63" s="1"/>
  <c r="F202" i="63"/>
  <c r="G202" i="63" s="1"/>
  <c r="R202" i="63" s="1"/>
  <c r="Z202" i="63" s="1"/>
  <c r="F203" i="63"/>
  <c r="G203" i="63" s="1"/>
  <c r="R203" i="63" s="1"/>
  <c r="Z203" i="63" s="1"/>
  <c r="F204" i="63"/>
  <c r="G204" i="63" s="1"/>
  <c r="R204" i="63" s="1"/>
  <c r="Z204" i="63" s="1"/>
  <c r="F205" i="63"/>
  <c r="G205" i="63" s="1"/>
  <c r="R205" i="63" s="1"/>
  <c r="Z205" i="63" s="1"/>
  <c r="F206" i="63"/>
  <c r="G206" i="63" s="1"/>
  <c r="R206" i="63" s="1"/>
  <c r="Z206" i="63" s="1"/>
  <c r="F207" i="63"/>
  <c r="G207" i="63" s="1"/>
  <c r="R207" i="63" s="1"/>
  <c r="Z207" i="63" s="1"/>
  <c r="F208" i="63"/>
  <c r="G208" i="63" s="1"/>
  <c r="R208" i="63" s="1"/>
  <c r="Z208" i="63" s="1"/>
  <c r="F209" i="63"/>
  <c r="G209" i="63" s="1"/>
  <c r="R209" i="63" s="1"/>
  <c r="Z209" i="63" s="1"/>
  <c r="F210" i="63"/>
  <c r="G210" i="63" s="1"/>
  <c r="R210" i="63" s="1"/>
  <c r="Z210" i="63" s="1"/>
  <c r="F211" i="63"/>
  <c r="G211" i="63" s="1"/>
  <c r="R211" i="63" s="1"/>
  <c r="Z211" i="63" s="1"/>
  <c r="F212" i="63"/>
  <c r="G212" i="63" s="1"/>
  <c r="R212" i="63" s="1"/>
  <c r="Z212" i="63" s="1"/>
  <c r="F213" i="63"/>
  <c r="G213" i="63" s="1"/>
  <c r="R213" i="63" s="1"/>
  <c r="Z213" i="63" s="1"/>
  <c r="F214" i="63"/>
  <c r="G214" i="63" s="1"/>
  <c r="R214" i="63" s="1"/>
  <c r="Z214" i="63" s="1"/>
  <c r="F215" i="63"/>
  <c r="G215" i="63" s="1"/>
  <c r="R215" i="63" s="1"/>
  <c r="Z215" i="63" s="1"/>
  <c r="F216" i="63"/>
  <c r="G216" i="63" s="1"/>
  <c r="R216" i="63" s="1"/>
  <c r="Z216" i="63" s="1"/>
  <c r="F217" i="63"/>
  <c r="G217" i="63" s="1"/>
  <c r="R217" i="63" s="1"/>
  <c r="Z217" i="63" s="1"/>
  <c r="F218" i="63"/>
  <c r="G218" i="63" s="1"/>
  <c r="R218" i="63" s="1"/>
  <c r="Z218" i="63" s="1"/>
  <c r="F219" i="63"/>
  <c r="G219" i="63" s="1"/>
  <c r="R219" i="63" s="1"/>
  <c r="Z219" i="63" s="1"/>
  <c r="F220" i="63"/>
  <c r="G220" i="63" s="1"/>
  <c r="R220" i="63" s="1"/>
  <c r="Z220" i="63" s="1"/>
  <c r="F221" i="63"/>
  <c r="G221" i="63" s="1"/>
  <c r="R221" i="63" s="1"/>
  <c r="Z221" i="63" s="1"/>
  <c r="F222" i="63"/>
  <c r="G222" i="63" s="1"/>
  <c r="R222" i="63" s="1"/>
  <c r="Z222" i="63" s="1"/>
  <c r="F223" i="63"/>
  <c r="G223" i="63" s="1"/>
  <c r="R223" i="63" s="1"/>
  <c r="Z223" i="63" s="1"/>
  <c r="F224" i="63"/>
  <c r="G224" i="63" s="1"/>
  <c r="R224" i="63" s="1"/>
  <c r="Z224" i="63" s="1"/>
  <c r="F225" i="63"/>
  <c r="G225" i="63" s="1"/>
  <c r="R225" i="63" s="1"/>
  <c r="Z225" i="63" s="1"/>
  <c r="F226" i="63"/>
  <c r="G226" i="63" s="1"/>
  <c r="R226" i="63" s="1"/>
  <c r="Z226" i="63" s="1"/>
  <c r="F227" i="63"/>
  <c r="G227" i="63" s="1"/>
  <c r="R227" i="63" s="1"/>
  <c r="Z227" i="63" s="1"/>
  <c r="F228" i="63"/>
  <c r="G228" i="63" s="1"/>
  <c r="R228" i="63" s="1"/>
  <c r="Z228" i="63" s="1"/>
  <c r="F229" i="63"/>
  <c r="G229" i="63" s="1"/>
  <c r="R229" i="63" s="1"/>
  <c r="Z229" i="63" s="1"/>
  <c r="F230" i="63"/>
  <c r="G230" i="63" s="1"/>
  <c r="R230" i="63" s="1"/>
  <c r="Z230" i="63" s="1"/>
  <c r="F231" i="63"/>
  <c r="G231" i="63" s="1"/>
  <c r="R231" i="63" s="1"/>
  <c r="Z231" i="63" s="1"/>
  <c r="F232" i="63"/>
  <c r="G232" i="63" s="1"/>
  <c r="R232" i="63" s="1"/>
  <c r="Z232" i="63" s="1"/>
  <c r="F233" i="63"/>
  <c r="G233" i="63" s="1"/>
  <c r="R233" i="63" s="1"/>
  <c r="Z233" i="63" s="1"/>
  <c r="F234" i="63"/>
  <c r="G234" i="63" s="1"/>
  <c r="R234" i="63" s="1"/>
  <c r="Z234" i="63" s="1"/>
  <c r="F235" i="63"/>
  <c r="G235" i="63" s="1"/>
  <c r="R235" i="63" s="1"/>
  <c r="Z235" i="63" s="1"/>
  <c r="F236" i="63"/>
  <c r="G236" i="63" s="1"/>
  <c r="R236" i="63" s="1"/>
  <c r="Z236" i="63" s="1"/>
  <c r="F237" i="63"/>
  <c r="G237" i="63" s="1"/>
  <c r="R237" i="63" s="1"/>
  <c r="Z237" i="63" s="1"/>
  <c r="F238" i="63"/>
  <c r="G238" i="63" s="1"/>
  <c r="R238" i="63" s="1"/>
  <c r="Z238" i="63" s="1"/>
  <c r="F239" i="63"/>
  <c r="G239" i="63" s="1"/>
  <c r="R239" i="63" s="1"/>
  <c r="Z239" i="63" s="1"/>
  <c r="F240" i="63"/>
  <c r="G240" i="63" s="1"/>
  <c r="R240" i="63" s="1"/>
  <c r="Z240" i="63" s="1"/>
  <c r="F241" i="63"/>
  <c r="G241" i="63" s="1"/>
  <c r="R241" i="63" s="1"/>
  <c r="Z241" i="63" s="1"/>
  <c r="F242" i="63"/>
  <c r="G242" i="63" s="1"/>
  <c r="R242" i="63" s="1"/>
  <c r="Z242" i="63" s="1"/>
  <c r="F243" i="63"/>
  <c r="G243" i="63" s="1"/>
  <c r="R243" i="63" s="1"/>
  <c r="Z243" i="63" s="1"/>
  <c r="F244" i="63"/>
  <c r="G244" i="63" s="1"/>
  <c r="R244" i="63" s="1"/>
  <c r="Z244" i="63" s="1"/>
  <c r="F245" i="63"/>
  <c r="G245" i="63" s="1"/>
  <c r="R245" i="63" s="1"/>
  <c r="Z245" i="63" s="1"/>
  <c r="F246" i="63"/>
  <c r="G246" i="63" s="1"/>
  <c r="R246" i="63" s="1"/>
  <c r="Z246" i="63" s="1"/>
  <c r="F247" i="63"/>
  <c r="G247" i="63" s="1"/>
  <c r="R247" i="63" s="1"/>
  <c r="Z247" i="63" s="1"/>
  <c r="F248" i="63"/>
  <c r="G248" i="63" s="1"/>
  <c r="R248" i="63" s="1"/>
  <c r="Z248" i="63" s="1"/>
  <c r="F249" i="63"/>
  <c r="G249" i="63" s="1"/>
  <c r="R249" i="63" s="1"/>
  <c r="Z249" i="63" s="1"/>
  <c r="F250" i="63"/>
  <c r="G250" i="63" s="1"/>
  <c r="R250" i="63" s="1"/>
  <c r="Z250" i="63" s="1"/>
  <c r="F251" i="63"/>
  <c r="G251" i="63" s="1"/>
  <c r="R251" i="63" s="1"/>
  <c r="Z251" i="63" s="1"/>
  <c r="F252" i="63"/>
  <c r="G252" i="63" s="1"/>
  <c r="R252" i="63" s="1"/>
  <c r="Z252" i="63" s="1"/>
  <c r="F253" i="63"/>
  <c r="G253" i="63" s="1"/>
  <c r="R253" i="63" s="1"/>
  <c r="Z253" i="63" s="1"/>
  <c r="F254" i="63"/>
  <c r="G254" i="63" s="1"/>
  <c r="R254" i="63" s="1"/>
  <c r="Z254" i="63" s="1"/>
  <c r="F255" i="63"/>
  <c r="G255" i="63" s="1"/>
  <c r="R255" i="63" s="1"/>
  <c r="Z255" i="63" s="1"/>
  <c r="F256" i="63"/>
  <c r="G256" i="63" s="1"/>
  <c r="R256" i="63" s="1"/>
  <c r="Z256" i="63" s="1"/>
  <c r="F257" i="63"/>
  <c r="G257" i="63" s="1"/>
  <c r="R257" i="63" s="1"/>
  <c r="Z257" i="63" s="1"/>
  <c r="F10" i="63"/>
  <c r="Y258" i="63" s="1"/>
  <c r="AJ259" i="69"/>
  <c r="AJ258" i="69"/>
  <c r="B3" i="69"/>
  <c r="D260" i="68"/>
  <c r="B3" i="68"/>
  <c r="AN257" i="67"/>
  <c r="AM257" i="67"/>
  <c r="AN256" i="67"/>
  <c r="AM256" i="67"/>
  <c r="AN255" i="67"/>
  <c r="AM255" i="67"/>
  <c r="AN254" i="67"/>
  <c r="AM254" i="67"/>
  <c r="AN253" i="67"/>
  <c r="AM253" i="67"/>
  <c r="AN252" i="67"/>
  <c r="AM252" i="67"/>
  <c r="AN251" i="67"/>
  <c r="AM251" i="67"/>
  <c r="AN250" i="67"/>
  <c r="AM250" i="67"/>
  <c r="AN249" i="67"/>
  <c r="AM249" i="67"/>
  <c r="AN248" i="67"/>
  <c r="AM248" i="67"/>
  <c r="AN247" i="67"/>
  <c r="AM247" i="67"/>
  <c r="AN246" i="67"/>
  <c r="AM246" i="67"/>
  <c r="AN245" i="67"/>
  <c r="AM245" i="67"/>
  <c r="AN244" i="67"/>
  <c r="AM244" i="67"/>
  <c r="AN243" i="67"/>
  <c r="AM243" i="67"/>
  <c r="AN242" i="67"/>
  <c r="AM242" i="67"/>
  <c r="AN241" i="67"/>
  <c r="AM241" i="67"/>
  <c r="AN240" i="67"/>
  <c r="AM240" i="67"/>
  <c r="AN239" i="67"/>
  <c r="AM239" i="67"/>
  <c r="AN238" i="67"/>
  <c r="AM238" i="67"/>
  <c r="AN237" i="67"/>
  <c r="AM237" i="67"/>
  <c r="AN236" i="67"/>
  <c r="AM236" i="67"/>
  <c r="AN235" i="67"/>
  <c r="AM235" i="67"/>
  <c r="AN234" i="67"/>
  <c r="AM234" i="67"/>
  <c r="AN233" i="67"/>
  <c r="AM233" i="67"/>
  <c r="AN232" i="67"/>
  <c r="AM232" i="67"/>
  <c r="AN231" i="67"/>
  <c r="AM231" i="67"/>
  <c r="AN230" i="67"/>
  <c r="AM230" i="67"/>
  <c r="AN229" i="67"/>
  <c r="AM229" i="67"/>
  <c r="AN228" i="67"/>
  <c r="AM228" i="67"/>
  <c r="AN227" i="67"/>
  <c r="AM227" i="67"/>
  <c r="AN226" i="67"/>
  <c r="AM226" i="67"/>
  <c r="AN225" i="67"/>
  <c r="AM225" i="67"/>
  <c r="AN224" i="67"/>
  <c r="AM224" i="67"/>
  <c r="AN223" i="67"/>
  <c r="AM223" i="67"/>
  <c r="AN222" i="67"/>
  <c r="AM222" i="67"/>
  <c r="AN221" i="67"/>
  <c r="AM221" i="67"/>
  <c r="AN220" i="67"/>
  <c r="AM220" i="67"/>
  <c r="AN219" i="67"/>
  <c r="AM219" i="67"/>
  <c r="AN218" i="67"/>
  <c r="AM218" i="67"/>
  <c r="AN217" i="67"/>
  <c r="AM217" i="67"/>
  <c r="AN216" i="67"/>
  <c r="AM216" i="67"/>
  <c r="AN215" i="67"/>
  <c r="AM215" i="67"/>
  <c r="AN214" i="67"/>
  <c r="AM214" i="67"/>
  <c r="AN213" i="67"/>
  <c r="AM213" i="67"/>
  <c r="AN212" i="67"/>
  <c r="AM212" i="67"/>
  <c r="AN211" i="67"/>
  <c r="AM211" i="67"/>
  <c r="AN210" i="67"/>
  <c r="AM210" i="67"/>
  <c r="AN209" i="67"/>
  <c r="AM209" i="67"/>
  <c r="AN208" i="67"/>
  <c r="AM208" i="67"/>
  <c r="AN207" i="67"/>
  <c r="AM207" i="67"/>
  <c r="AN206" i="67"/>
  <c r="AM206" i="67"/>
  <c r="AN205" i="67"/>
  <c r="AM205" i="67"/>
  <c r="AN204" i="67"/>
  <c r="AM204" i="67"/>
  <c r="AN203" i="67"/>
  <c r="AM203" i="67"/>
  <c r="AN202" i="67"/>
  <c r="AM202" i="67"/>
  <c r="AN201" i="67"/>
  <c r="AM201" i="67"/>
  <c r="AN200" i="67"/>
  <c r="AM200" i="67"/>
  <c r="AN199" i="67"/>
  <c r="AM199" i="67"/>
  <c r="AN198" i="67"/>
  <c r="AM198" i="67"/>
  <c r="AN197" i="67"/>
  <c r="AM197" i="67"/>
  <c r="AN196" i="67"/>
  <c r="AM196" i="67"/>
  <c r="AN195" i="67"/>
  <c r="AM195" i="67"/>
  <c r="AN194" i="67"/>
  <c r="AM194" i="67"/>
  <c r="AN193" i="67"/>
  <c r="AM193" i="67"/>
  <c r="AN192" i="67"/>
  <c r="AM192" i="67"/>
  <c r="AN191" i="67"/>
  <c r="AM191" i="67"/>
  <c r="AN190" i="67"/>
  <c r="AM190" i="67"/>
  <c r="AN189" i="67"/>
  <c r="AM189" i="67"/>
  <c r="AN188" i="67"/>
  <c r="AM188" i="67"/>
  <c r="AN187" i="67"/>
  <c r="AM187" i="67"/>
  <c r="AN186" i="67"/>
  <c r="AM186" i="67"/>
  <c r="AN185" i="67"/>
  <c r="AM185" i="67"/>
  <c r="AN184" i="67"/>
  <c r="AM184" i="67"/>
  <c r="AN183" i="67"/>
  <c r="AM183" i="67"/>
  <c r="AN182" i="67"/>
  <c r="AM182" i="67"/>
  <c r="AN181" i="67"/>
  <c r="AM181" i="67"/>
  <c r="AN180" i="67"/>
  <c r="AM180" i="67"/>
  <c r="AN179" i="67"/>
  <c r="AM179" i="67"/>
  <c r="AN178" i="67"/>
  <c r="AM178" i="67"/>
  <c r="AN177" i="67"/>
  <c r="AM177" i="67"/>
  <c r="AN176" i="67"/>
  <c r="AM176" i="67"/>
  <c r="AN175" i="67"/>
  <c r="AM175" i="67"/>
  <c r="AN174" i="67"/>
  <c r="AM174" i="67"/>
  <c r="AN173" i="67"/>
  <c r="AM173" i="67"/>
  <c r="AN172" i="67"/>
  <c r="AM172" i="67"/>
  <c r="AN171" i="67"/>
  <c r="AM171" i="67"/>
  <c r="AN170" i="67"/>
  <c r="AM170" i="67"/>
  <c r="AN169" i="67"/>
  <c r="AM169" i="67"/>
  <c r="AN168" i="67"/>
  <c r="AM168" i="67"/>
  <c r="AN167" i="67"/>
  <c r="AM167" i="67"/>
  <c r="AN166" i="67"/>
  <c r="AM166" i="67"/>
  <c r="AN165" i="67"/>
  <c r="AM165" i="67"/>
  <c r="AN164" i="67"/>
  <c r="AM164" i="67"/>
  <c r="AN163" i="67"/>
  <c r="AM163" i="67"/>
  <c r="AN162" i="67"/>
  <c r="AM162" i="67"/>
  <c r="AN161" i="67"/>
  <c r="AM161" i="67"/>
  <c r="AN160" i="67"/>
  <c r="AM160" i="67"/>
  <c r="AN159" i="67"/>
  <c r="AM159" i="67"/>
  <c r="AN158" i="67"/>
  <c r="AM158" i="67"/>
  <c r="AN157" i="67"/>
  <c r="AM157" i="67"/>
  <c r="AN156" i="67"/>
  <c r="AM156" i="67"/>
  <c r="AN155" i="67"/>
  <c r="AM155" i="67"/>
  <c r="AN154" i="67"/>
  <c r="AM154" i="67"/>
  <c r="AN153" i="67"/>
  <c r="AM153" i="67"/>
  <c r="AN152" i="67"/>
  <c r="AM152" i="67"/>
  <c r="AN151" i="67"/>
  <c r="AM151" i="67"/>
  <c r="AN150" i="67"/>
  <c r="AM150" i="67"/>
  <c r="AN149" i="67"/>
  <c r="AM149" i="67"/>
  <c r="AN148" i="67"/>
  <c r="AM148" i="67"/>
  <c r="AN147" i="67"/>
  <c r="AM147" i="67"/>
  <c r="AN146" i="67"/>
  <c r="AM146" i="67"/>
  <c r="AN145" i="67"/>
  <c r="AM145" i="67"/>
  <c r="AN144" i="67"/>
  <c r="AM144" i="67"/>
  <c r="AN143" i="67"/>
  <c r="AM143" i="67"/>
  <c r="AN142" i="67"/>
  <c r="AM142" i="67"/>
  <c r="AN141" i="67"/>
  <c r="AM141" i="67"/>
  <c r="AN140" i="67"/>
  <c r="AM140" i="67"/>
  <c r="AN139" i="67"/>
  <c r="AM139" i="67"/>
  <c r="AN138" i="67"/>
  <c r="AM138" i="67"/>
  <c r="AN137" i="67"/>
  <c r="AM137" i="67"/>
  <c r="AN136" i="67"/>
  <c r="AM136" i="67"/>
  <c r="AN135" i="67"/>
  <c r="AM135" i="67"/>
  <c r="AN134" i="67"/>
  <c r="AM134" i="67"/>
  <c r="AN133" i="67"/>
  <c r="AM133" i="67"/>
  <c r="AN132" i="67"/>
  <c r="AM132" i="67"/>
  <c r="AN131" i="67"/>
  <c r="AM131" i="67"/>
  <c r="AN130" i="67"/>
  <c r="AM130" i="67"/>
  <c r="AN129" i="67"/>
  <c r="AM129" i="67"/>
  <c r="AN128" i="67"/>
  <c r="AM128" i="67"/>
  <c r="AN127" i="67"/>
  <c r="AM127" i="67"/>
  <c r="AN126" i="67"/>
  <c r="AM126" i="67"/>
  <c r="AN125" i="67"/>
  <c r="AM125" i="67"/>
  <c r="AN124" i="67"/>
  <c r="AM124" i="67"/>
  <c r="AN123" i="67"/>
  <c r="AM123" i="67"/>
  <c r="AN122" i="67"/>
  <c r="AM122" i="67"/>
  <c r="AN121" i="67"/>
  <c r="AM121" i="67"/>
  <c r="AN120" i="67"/>
  <c r="AM120" i="67"/>
  <c r="AN119" i="67"/>
  <c r="AM119" i="67"/>
  <c r="AN118" i="67"/>
  <c r="AM118" i="67"/>
  <c r="AN117" i="67"/>
  <c r="AM117" i="67"/>
  <c r="AN116" i="67"/>
  <c r="AM116" i="67"/>
  <c r="AN115" i="67"/>
  <c r="AM115" i="67"/>
  <c r="AN114" i="67"/>
  <c r="AM114" i="67"/>
  <c r="AN113" i="67"/>
  <c r="AM113" i="67"/>
  <c r="AN112" i="67"/>
  <c r="AM112" i="67"/>
  <c r="AN111" i="67"/>
  <c r="AM111" i="67"/>
  <c r="AN110" i="67"/>
  <c r="AM110" i="67"/>
  <c r="AN109" i="67"/>
  <c r="AM109" i="67"/>
  <c r="AN108" i="67"/>
  <c r="AM108" i="67"/>
  <c r="AN107" i="67"/>
  <c r="AM107" i="67"/>
  <c r="AN106" i="67"/>
  <c r="AM106" i="67"/>
  <c r="AN105" i="67"/>
  <c r="AM105" i="67"/>
  <c r="AN104" i="67"/>
  <c r="AM104" i="67"/>
  <c r="AN103" i="67"/>
  <c r="AM103" i="67"/>
  <c r="AN102" i="67"/>
  <c r="AM102" i="67"/>
  <c r="AN101" i="67"/>
  <c r="AM101" i="67"/>
  <c r="AN100" i="67"/>
  <c r="AM100" i="67"/>
  <c r="AN99" i="67"/>
  <c r="AM99" i="67"/>
  <c r="AN98" i="67"/>
  <c r="AM98" i="67"/>
  <c r="AN97" i="67"/>
  <c r="AM97" i="67"/>
  <c r="AN96" i="67"/>
  <c r="AM96" i="67"/>
  <c r="AN95" i="67"/>
  <c r="AM95" i="67"/>
  <c r="AN94" i="67"/>
  <c r="AM94" i="67"/>
  <c r="AN93" i="67"/>
  <c r="AM93" i="67"/>
  <c r="AN92" i="67"/>
  <c r="AM92" i="67"/>
  <c r="AN91" i="67"/>
  <c r="AM91" i="67"/>
  <c r="AN90" i="67"/>
  <c r="AM90" i="67"/>
  <c r="AN89" i="67"/>
  <c r="AM89" i="67"/>
  <c r="AN88" i="67"/>
  <c r="AM88" i="67"/>
  <c r="AN87" i="67"/>
  <c r="AM87" i="67"/>
  <c r="AN86" i="67"/>
  <c r="AM86" i="67"/>
  <c r="AN85" i="67"/>
  <c r="AM85" i="67"/>
  <c r="AN84" i="67"/>
  <c r="AM84" i="67"/>
  <c r="AN83" i="67"/>
  <c r="AM83" i="67"/>
  <c r="AN82" i="67"/>
  <c r="AM82" i="67"/>
  <c r="AN81" i="67"/>
  <c r="AM81" i="67"/>
  <c r="AN80" i="67"/>
  <c r="AM80" i="67"/>
  <c r="AN79" i="67"/>
  <c r="AM79" i="67"/>
  <c r="AN78" i="67"/>
  <c r="AM78" i="67"/>
  <c r="AN77" i="67"/>
  <c r="AM77" i="67"/>
  <c r="AN76" i="67"/>
  <c r="AM76" i="67"/>
  <c r="AN75" i="67"/>
  <c r="AM75" i="67"/>
  <c r="AN74" i="67"/>
  <c r="AM74" i="67"/>
  <c r="AN73" i="67"/>
  <c r="AM73" i="67"/>
  <c r="AN72" i="67"/>
  <c r="AM72" i="67"/>
  <c r="AN71" i="67"/>
  <c r="AM71" i="67"/>
  <c r="AN70" i="67"/>
  <c r="AM70" i="67"/>
  <c r="AN69" i="67"/>
  <c r="AM69" i="67"/>
  <c r="AN68" i="67"/>
  <c r="AM68" i="67"/>
  <c r="AN67" i="67"/>
  <c r="AM67" i="67"/>
  <c r="AN66" i="67"/>
  <c r="AM66" i="67"/>
  <c r="AN65" i="67"/>
  <c r="AM65" i="67"/>
  <c r="AN64" i="67"/>
  <c r="AM64" i="67"/>
  <c r="AN63" i="67"/>
  <c r="AM63" i="67"/>
  <c r="AN62" i="67"/>
  <c r="AM62" i="67"/>
  <c r="AN61" i="67"/>
  <c r="AM61" i="67"/>
  <c r="AN60" i="67"/>
  <c r="AM60" i="67"/>
  <c r="AN59" i="67"/>
  <c r="AM59" i="67"/>
  <c r="AN58" i="67"/>
  <c r="AM58" i="67"/>
  <c r="AN57" i="67"/>
  <c r="AM57" i="67"/>
  <c r="AN56" i="67"/>
  <c r="AM56" i="67"/>
  <c r="AN55" i="67"/>
  <c r="AM55" i="67"/>
  <c r="AN54" i="67"/>
  <c r="AM54" i="67"/>
  <c r="AN53" i="67"/>
  <c r="AM53" i="67"/>
  <c r="AN52" i="67"/>
  <c r="AM52" i="67"/>
  <c r="AN51" i="67"/>
  <c r="AM51" i="67"/>
  <c r="AN50" i="67"/>
  <c r="AM50" i="67"/>
  <c r="AN49" i="67"/>
  <c r="AM49" i="67"/>
  <c r="AN48" i="67"/>
  <c r="AM48" i="67"/>
  <c r="AN47" i="67"/>
  <c r="AM47" i="67"/>
  <c r="AN46" i="67"/>
  <c r="AM46" i="67"/>
  <c r="AN45" i="67"/>
  <c r="AM45" i="67"/>
  <c r="AN44" i="67"/>
  <c r="AM44" i="67"/>
  <c r="AN43" i="67"/>
  <c r="AM43" i="67"/>
  <c r="AN42" i="67"/>
  <c r="AM42" i="67"/>
  <c r="AN41" i="67"/>
  <c r="AM41" i="67"/>
  <c r="AN40" i="67"/>
  <c r="AM40" i="67"/>
  <c r="AN39" i="67"/>
  <c r="AM39" i="67"/>
  <c r="AN38" i="67"/>
  <c r="AM38" i="67"/>
  <c r="AN37" i="67"/>
  <c r="AM37" i="67"/>
  <c r="AN36" i="67"/>
  <c r="AM36" i="67"/>
  <c r="AN35" i="67"/>
  <c r="AM35" i="67"/>
  <c r="AN34" i="67"/>
  <c r="AM34" i="67"/>
  <c r="AN33" i="67"/>
  <c r="AM33" i="67"/>
  <c r="AN32" i="67"/>
  <c r="AM32" i="67"/>
  <c r="AN31" i="67"/>
  <c r="AM31" i="67"/>
  <c r="AN30" i="67"/>
  <c r="AM30" i="67"/>
  <c r="AN29" i="67"/>
  <c r="AM29" i="67"/>
  <c r="AN28" i="67"/>
  <c r="AM28" i="67"/>
  <c r="AN27" i="67"/>
  <c r="AM27" i="67"/>
  <c r="AN26" i="67"/>
  <c r="AM26" i="67"/>
  <c r="AN25" i="67"/>
  <c r="AM25" i="67"/>
  <c r="AN24" i="67"/>
  <c r="AM24" i="67"/>
  <c r="AN23" i="67"/>
  <c r="AM23" i="67"/>
  <c r="AN22" i="67"/>
  <c r="AM22" i="67"/>
  <c r="AN21" i="67"/>
  <c r="AM21" i="67"/>
  <c r="AN20" i="67"/>
  <c r="AM20" i="67"/>
  <c r="AN19" i="67"/>
  <c r="AM19" i="67"/>
  <c r="AN18" i="67"/>
  <c r="AM18" i="67"/>
  <c r="AN17" i="67"/>
  <c r="AM17" i="67"/>
  <c r="AN16" i="67"/>
  <c r="AM16" i="67"/>
  <c r="AN15" i="67"/>
  <c r="AM15" i="67"/>
  <c r="AN14" i="67"/>
  <c r="AM14" i="67"/>
  <c r="AN13" i="67"/>
  <c r="AM13" i="67"/>
  <c r="AN12" i="67"/>
  <c r="AM12" i="67"/>
  <c r="AN11" i="67"/>
  <c r="AM11" i="67"/>
  <c r="AN10" i="67"/>
  <c r="AM10" i="67"/>
  <c r="B3" i="67"/>
  <c r="B3" i="65"/>
  <c r="D260" i="64"/>
  <c r="B3" i="64"/>
  <c r="AK257" i="63"/>
  <c r="AJ257" i="63"/>
  <c r="AK256" i="63"/>
  <c r="AJ256" i="63"/>
  <c r="AK255" i="63"/>
  <c r="AJ255" i="63"/>
  <c r="AK254" i="63"/>
  <c r="AJ254" i="63"/>
  <c r="AK253" i="63"/>
  <c r="AJ253" i="63"/>
  <c r="AK252" i="63"/>
  <c r="AJ252" i="63"/>
  <c r="AK251" i="63"/>
  <c r="AJ251" i="63"/>
  <c r="AK250" i="63"/>
  <c r="AJ250" i="63"/>
  <c r="AK249" i="63"/>
  <c r="AJ249" i="63"/>
  <c r="AK248" i="63"/>
  <c r="AJ248" i="63"/>
  <c r="AK247" i="63"/>
  <c r="AJ247" i="63"/>
  <c r="AK246" i="63"/>
  <c r="AJ246" i="63"/>
  <c r="AK245" i="63"/>
  <c r="AJ245" i="63"/>
  <c r="AK244" i="63"/>
  <c r="AJ244" i="63"/>
  <c r="AK243" i="63"/>
  <c r="AJ243" i="63"/>
  <c r="AK242" i="63"/>
  <c r="AJ242" i="63"/>
  <c r="AK241" i="63"/>
  <c r="AJ241" i="63"/>
  <c r="AK240" i="63"/>
  <c r="AJ240" i="63"/>
  <c r="AK239" i="63"/>
  <c r="AJ239" i="63"/>
  <c r="AK238" i="63"/>
  <c r="AJ238" i="63"/>
  <c r="AK237" i="63"/>
  <c r="AJ237" i="63"/>
  <c r="AK236" i="63"/>
  <c r="AJ236" i="63"/>
  <c r="AK235" i="63"/>
  <c r="AJ235" i="63"/>
  <c r="AK234" i="63"/>
  <c r="AJ234" i="63"/>
  <c r="AK233" i="63"/>
  <c r="AJ233" i="63"/>
  <c r="AK232" i="63"/>
  <c r="AJ232" i="63"/>
  <c r="AK231" i="63"/>
  <c r="AJ231" i="63"/>
  <c r="AK230" i="63"/>
  <c r="AJ230" i="63"/>
  <c r="AK229" i="63"/>
  <c r="AJ229" i="63"/>
  <c r="AK228" i="63"/>
  <c r="AJ228" i="63"/>
  <c r="AK227" i="63"/>
  <c r="AJ227" i="63"/>
  <c r="AK226" i="63"/>
  <c r="AJ226" i="63"/>
  <c r="AK225" i="63"/>
  <c r="AJ225" i="63"/>
  <c r="AK224" i="63"/>
  <c r="AJ224" i="63"/>
  <c r="AK223" i="63"/>
  <c r="AJ223" i="63"/>
  <c r="AK222" i="63"/>
  <c r="AJ222" i="63"/>
  <c r="AK221" i="63"/>
  <c r="AJ221" i="63"/>
  <c r="AK220" i="63"/>
  <c r="AJ220" i="63"/>
  <c r="AK219" i="63"/>
  <c r="AJ219" i="63"/>
  <c r="AK218" i="63"/>
  <c r="AJ218" i="63"/>
  <c r="AK217" i="63"/>
  <c r="AJ217" i="63"/>
  <c r="AK216" i="63"/>
  <c r="AJ216" i="63"/>
  <c r="AK215" i="63"/>
  <c r="AJ215" i="63"/>
  <c r="AK214" i="63"/>
  <c r="AJ214" i="63"/>
  <c r="AK213" i="63"/>
  <c r="AJ213" i="63"/>
  <c r="AK212" i="63"/>
  <c r="AJ212" i="63"/>
  <c r="AK211" i="63"/>
  <c r="AJ211" i="63"/>
  <c r="AK210" i="63"/>
  <c r="AJ210" i="63"/>
  <c r="AK209" i="63"/>
  <c r="AJ209" i="63"/>
  <c r="AK208" i="63"/>
  <c r="AJ208" i="63"/>
  <c r="AK207" i="63"/>
  <c r="AJ207" i="63"/>
  <c r="AK206" i="63"/>
  <c r="AJ206" i="63"/>
  <c r="AK205" i="63"/>
  <c r="AJ205" i="63"/>
  <c r="AK204" i="63"/>
  <c r="AJ204" i="63"/>
  <c r="AK203" i="63"/>
  <c r="AJ203" i="63"/>
  <c r="AK202" i="63"/>
  <c r="AJ202" i="63"/>
  <c r="AK201" i="63"/>
  <c r="AJ201" i="63"/>
  <c r="AK200" i="63"/>
  <c r="AJ200" i="63"/>
  <c r="AK199" i="63"/>
  <c r="AJ199" i="63"/>
  <c r="AK198" i="63"/>
  <c r="AJ198" i="63"/>
  <c r="AK197" i="63"/>
  <c r="AJ197" i="63"/>
  <c r="AK196" i="63"/>
  <c r="AJ196" i="63"/>
  <c r="AK195" i="63"/>
  <c r="AJ195" i="63"/>
  <c r="AK194" i="63"/>
  <c r="AJ194" i="63"/>
  <c r="AK193" i="63"/>
  <c r="AJ193" i="63"/>
  <c r="AK192" i="63"/>
  <c r="AJ192" i="63"/>
  <c r="AK191" i="63"/>
  <c r="AJ191" i="63"/>
  <c r="AK190" i="63"/>
  <c r="AJ190" i="63"/>
  <c r="AK189" i="63"/>
  <c r="AJ189" i="63"/>
  <c r="AK188" i="63"/>
  <c r="AJ188" i="63"/>
  <c r="AK187" i="63"/>
  <c r="AJ187" i="63"/>
  <c r="AK186" i="63"/>
  <c r="AJ186" i="63"/>
  <c r="AK185" i="63"/>
  <c r="AJ185" i="63"/>
  <c r="AK184" i="63"/>
  <c r="AJ184" i="63"/>
  <c r="AK183" i="63"/>
  <c r="AJ183" i="63"/>
  <c r="AK182" i="63"/>
  <c r="AJ182" i="63"/>
  <c r="AK181" i="63"/>
  <c r="AJ181" i="63"/>
  <c r="AK180" i="63"/>
  <c r="AJ180" i="63"/>
  <c r="AK179" i="63"/>
  <c r="AJ179" i="63"/>
  <c r="AK178" i="63"/>
  <c r="AJ178" i="63"/>
  <c r="AK177" i="63"/>
  <c r="AJ177" i="63"/>
  <c r="AK176" i="63"/>
  <c r="AJ176" i="63"/>
  <c r="AK175" i="63"/>
  <c r="AJ175" i="63"/>
  <c r="AK174" i="63"/>
  <c r="AJ174" i="63"/>
  <c r="AK173" i="63"/>
  <c r="AJ173" i="63"/>
  <c r="AK172" i="63"/>
  <c r="AJ172" i="63"/>
  <c r="AK171" i="63"/>
  <c r="AJ171" i="63"/>
  <c r="AK170" i="63"/>
  <c r="AJ170" i="63"/>
  <c r="AK169" i="63"/>
  <c r="AJ169" i="63"/>
  <c r="AK168" i="63"/>
  <c r="AJ168" i="63"/>
  <c r="AK167" i="63"/>
  <c r="AJ167" i="63"/>
  <c r="AK166" i="63"/>
  <c r="AJ166" i="63"/>
  <c r="AK165" i="63"/>
  <c r="AJ165" i="63"/>
  <c r="AK164" i="63"/>
  <c r="AJ164" i="63"/>
  <c r="AK163" i="63"/>
  <c r="AJ163" i="63"/>
  <c r="AK162" i="63"/>
  <c r="AJ162" i="63"/>
  <c r="AK161" i="63"/>
  <c r="AJ161" i="63"/>
  <c r="AK160" i="63"/>
  <c r="AJ160" i="63"/>
  <c r="AK159" i="63"/>
  <c r="AJ159" i="63"/>
  <c r="AK158" i="63"/>
  <c r="AJ158" i="63"/>
  <c r="AK157" i="63"/>
  <c r="AJ157" i="63"/>
  <c r="AK156" i="63"/>
  <c r="AJ156" i="63"/>
  <c r="AK155" i="63"/>
  <c r="AJ155" i="63"/>
  <c r="AK154" i="63"/>
  <c r="AJ154" i="63"/>
  <c r="AK153" i="63"/>
  <c r="AJ153" i="63"/>
  <c r="AK152" i="63"/>
  <c r="AJ152" i="63"/>
  <c r="AK151" i="63"/>
  <c r="AJ151" i="63"/>
  <c r="AK150" i="63"/>
  <c r="AJ150" i="63"/>
  <c r="AK149" i="63"/>
  <c r="AJ149" i="63"/>
  <c r="AK148" i="63"/>
  <c r="AJ148" i="63"/>
  <c r="AK147" i="63"/>
  <c r="AJ147" i="63"/>
  <c r="AK146" i="63"/>
  <c r="AJ146" i="63"/>
  <c r="AK145" i="63"/>
  <c r="AJ145" i="63"/>
  <c r="AK144" i="63"/>
  <c r="AJ144" i="63"/>
  <c r="AK143" i="63"/>
  <c r="AJ143" i="63"/>
  <c r="AK142" i="63"/>
  <c r="AJ142" i="63"/>
  <c r="AK141" i="63"/>
  <c r="AJ141" i="63"/>
  <c r="AK140" i="63"/>
  <c r="AJ140" i="63"/>
  <c r="AK139" i="63"/>
  <c r="AJ139" i="63"/>
  <c r="AK138" i="63"/>
  <c r="AJ138" i="63"/>
  <c r="AK137" i="63"/>
  <c r="AJ137" i="63"/>
  <c r="AK136" i="63"/>
  <c r="AJ136" i="63"/>
  <c r="AK135" i="63"/>
  <c r="AJ135" i="63"/>
  <c r="AK134" i="63"/>
  <c r="AJ134" i="63"/>
  <c r="AK133" i="63"/>
  <c r="AJ133" i="63"/>
  <c r="AK132" i="63"/>
  <c r="AJ132" i="63"/>
  <c r="AK131" i="63"/>
  <c r="AJ131" i="63"/>
  <c r="AK130" i="63"/>
  <c r="AJ130" i="63"/>
  <c r="AK129" i="63"/>
  <c r="AJ129" i="63"/>
  <c r="AK128" i="63"/>
  <c r="AJ128" i="63"/>
  <c r="AK127" i="63"/>
  <c r="AJ127" i="63"/>
  <c r="AK126" i="63"/>
  <c r="AJ126" i="63"/>
  <c r="AK125" i="63"/>
  <c r="AJ125" i="63"/>
  <c r="AK124" i="63"/>
  <c r="AJ124" i="63"/>
  <c r="AK123" i="63"/>
  <c r="AJ123" i="63"/>
  <c r="AK122" i="63"/>
  <c r="AJ122" i="63"/>
  <c r="AK121" i="63"/>
  <c r="AJ121" i="63"/>
  <c r="AK120" i="63"/>
  <c r="AJ120" i="63"/>
  <c r="AK119" i="63"/>
  <c r="AJ119" i="63"/>
  <c r="AK118" i="63"/>
  <c r="AJ118" i="63"/>
  <c r="AK117" i="63"/>
  <c r="AJ117" i="63"/>
  <c r="AK116" i="63"/>
  <c r="AJ116" i="63"/>
  <c r="AK115" i="63"/>
  <c r="AJ115" i="63"/>
  <c r="AK114" i="63"/>
  <c r="AJ114" i="63"/>
  <c r="AK113" i="63"/>
  <c r="AJ113" i="63"/>
  <c r="AK112" i="63"/>
  <c r="AJ112" i="63"/>
  <c r="AK111" i="63"/>
  <c r="AJ111" i="63"/>
  <c r="AK110" i="63"/>
  <c r="AJ110" i="63"/>
  <c r="AK109" i="63"/>
  <c r="AJ109" i="63"/>
  <c r="AK108" i="63"/>
  <c r="AJ108" i="63"/>
  <c r="AK107" i="63"/>
  <c r="AJ107" i="63"/>
  <c r="AK106" i="63"/>
  <c r="AJ106" i="63"/>
  <c r="AK105" i="63"/>
  <c r="AJ105" i="63"/>
  <c r="AK104" i="63"/>
  <c r="AJ104" i="63"/>
  <c r="AK103" i="63"/>
  <c r="AJ103" i="63"/>
  <c r="AK102" i="63"/>
  <c r="AJ102" i="63"/>
  <c r="AK101" i="63"/>
  <c r="AJ101" i="63"/>
  <c r="AK100" i="63"/>
  <c r="AJ100" i="63"/>
  <c r="AK99" i="63"/>
  <c r="AJ99" i="63"/>
  <c r="AK98" i="63"/>
  <c r="AJ98" i="63"/>
  <c r="AK97" i="63"/>
  <c r="AJ97" i="63"/>
  <c r="AK96" i="63"/>
  <c r="AJ96" i="63"/>
  <c r="AK95" i="63"/>
  <c r="AJ95" i="63"/>
  <c r="AK94" i="63"/>
  <c r="AJ94" i="63"/>
  <c r="AK93" i="63"/>
  <c r="AJ93" i="63"/>
  <c r="AK92" i="63"/>
  <c r="AJ92" i="63"/>
  <c r="AK91" i="63"/>
  <c r="AJ91" i="63"/>
  <c r="AK90" i="63"/>
  <c r="AJ90" i="63"/>
  <c r="AK89" i="63"/>
  <c r="AJ89" i="63"/>
  <c r="AK88" i="63"/>
  <c r="AJ88" i="63"/>
  <c r="AK87" i="63"/>
  <c r="AJ87" i="63"/>
  <c r="AK86" i="63"/>
  <c r="AJ86" i="63"/>
  <c r="AK85" i="63"/>
  <c r="AJ85" i="63"/>
  <c r="AK84" i="63"/>
  <c r="AJ84" i="63"/>
  <c r="AK83" i="63"/>
  <c r="AJ83" i="63"/>
  <c r="AK82" i="63"/>
  <c r="AJ82" i="63"/>
  <c r="AK81" i="63"/>
  <c r="AJ81" i="63"/>
  <c r="AK80" i="63"/>
  <c r="AJ80" i="63"/>
  <c r="AK79" i="63"/>
  <c r="AJ79" i="63"/>
  <c r="AK78" i="63"/>
  <c r="AJ78" i="63"/>
  <c r="AK77" i="63"/>
  <c r="AJ77" i="63"/>
  <c r="AK76" i="63"/>
  <c r="AJ76" i="63"/>
  <c r="AK75" i="63"/>
  <c r="AJ75" i="63"/>
  <c r="AK74" i="63"/>
  <c r="AJ74" i="63"/>
  <c r="AK73" i="63"/>
  <c r="AJ73" i="63"/>
  <c r="AK72" i="63"/>
  <c r="AJ72" i="63"/>
  <c r="AK71" i="63"/>
  <c r="AJ71" i="63"/>
  <c r="AK70" i="63"/>
  <c r="AJ70" i="63"/>
  <c r="AK69" i="63"/>
  <c r="AJ69" i="63"/>
  <c r="AK68" i="63"/>
  <c r="AJ68" i="63"/>
  <c r="AK67" i="63"/>
  <c r="AJ67" i="63"/>
  <c r="AK66" i="63"/>
  <c r="AJ66" i="63"/>
  <c r="AK65" i="63"/>
  <c r="AJ65" i="63"/>
  <c r="AK64" i="63"/>
  <c r="AJ64" i="63"/>
  <c r="AK63" i="63"/>
  <c r="AJ63" i="63"/>
  <c r="AK62" i="63"/>
  <c r="AJ62" i="63"/>
  <c r="AK61" i="63"/>
  <c r="AJ61" i="63"/>
  <c r="AK60" i="63"/>
  <c r="AJ60" i="63"/>
  <c r="AK59" i="63"/>
  <c r="AJ59" i="63"/>
  <c r="AK58" i="63"/>
  <c r="AJ58" i="63"/>
  <c r="AK57" i="63"/>
  <c r="AJ57" i="63"/>
  <c r="AK56" i="63"/>
  <c r="AJ56" i="63"/>
  <c r="AK55" i="63"/>
  <c r="AJ55" i="63"/>
  <c r="AK54" i="63"/>
  <c r="AJ54" i="63"/>
  <c r="AK53" i="63"/>
  <c r="AJ53" i="63"/>
  <c r="AK52" i="63"/>
  <c r="AJ52" i="63"/>
  <c r="AK51" i="63"/>
  <c r="AJ51" i="63"/>
  <c r="AK50" i="63"/>
  <c r="AJ50" i="63"/>
  <c r="AK49" i="63"/>
  <c r="AJ49" i="63"/>
  <c r="AK48" i="63"/>
  <c r="AJ48" i="63"/>
  <c r="AK47" i="63"/>
  <c r="AJ47" i="63"/>
  <c r="AK46" i="63"/>
  <c r="AJ46" i="63"/>
  <c r="AK45" i="63"/>
  <c r="AJ45" i="63"/>
  <c r="AK44" i="63"/>
  <c r="AJ44" i="63"/>
  <c r="AK43" i="63"/>
  <c r="AJ43" i="63"/>
  <c r="AK42" i="63"/>
  <c r="AJ42" i="63"/>
  <c r="AK41" i="63"/>
  <c r="AJ41" i="63"/>
  <c r="AK40" i="63"/>
  <c r="AJ40" i="63"/>
  <c r="AK39" i="63"/>
  <c r="AJ39" i="63"/>
  <c r="AK38" i="63"/>
  <c r="AJ38" i="63"/>
  <c r="AK37" i="63"/>
  <c r="AJ37" i="63"/>
  <c r="AK36" i="63"/>
  <c r="AJ36" i="63"/>
  <c r="AK35" i="63"/>
  <c r="AJ35" i="63"/>
  <c r="AK34" i="63"/>
  <c r="AJ34" i="63"/>
  <c r="AK33" i="63"/>
  <c r="AJ33" i="63"/>
  <c r="AK32" i="63"/>
  <c r="AJ32" i="63"/>
  <c r="AK31" i="63"/>
  <c r="AJ31" i="63"/>
  <c r="AK30" i="63"/>
  <c r="AJ30" i="63"/>
  <c r="AK29" i="63"/>
  <c r="AJ29" i="63"/>
  <c r="AK28" i="63"/>
  <c r="AJ28" i="63"/>
  <c r="AK27" i="63"/>
  <c r="AJ27" i="63"/>
  <c r="AK26" i="63"/>
  <c r="AJ26" i="63"/>
  <c r="AK25" i="63"/>
  <c r="AJ25" i="63"/>
  <c r="AK24" i="63"/>
  <c r="AJ24" i="63"/>
  <c r="AK23" i="63"/>
  <c r="AJ23" i="63"/>
  <c r="AK22" i="63"/>
  <c r="AJ22" i="63"/>
  <c r="AK21" i="63"/>
  <c r="AJ21" i="63"/>
  <c r="AK20" i="63"/>
  <c r="AJ20" i="63"/>
  <c r="AK19" i="63"/>
  <c r="AJ19" i="63"/>
  <c r="AK18" i="63"/>
  <c r="AJ18" i="63"/>
  <c r="AK17" i="63"/>
  <c r="AJ17" i="63"/>
  <c r="AK16" i="63"/>
  <c r="AJ16" i="63"/>
  <c r="AK15" i="63"/>
  <c r="AJ15" i="63"/>
  <c r="AK13" i="63"/>
  <c r="AJ13" i="63"/>
  <c r="AK12" i="63"/>
  <c r="AJ12" i="63"/>
  <c r="AK11" i="63"/>
  <c r="AJ11" i="63"/>
  <c r="AK10" i="63"/>
  <c r="AJ10" i="63"/>
  <c r="B3" i="63"/>
  <c r="AA11" i="67" l="1"/>
  <c r="U10" i="67"/>
  <c r="AK25" i="57"/>
  <c r="AJ21" i="57"/>
  <c r="R11" i="67"/>
  <c r="R10" i="67"/>
  <c r="AD7" i="107" s="1"/>
  <c r="W252" i="63"/>
  <c r="W256" i="63"/>
  <c r="W248" i="63"/>
  <c r="W240" i="63"/>
  <c r="W232" i="63"/>
  <c r="W224" i="63"/>
  <c r="W216" i="63"/>
  <c r="W208" i="63"/>
  <c r="W200" i="63"/>
  <c r="W192" i="63"/>
  <c r="W184" i="63"/>
  <c r="W176" i="63"/>
  <c r="W168" i="63"/>
  <c r="W160" i="63"/>
  <c r="W152" i="63"/>
  <c r="W144" i="63"/>
  <c r="W136" i="63"/>
  <c r="W128" i="63"/>
  <c r="W120" i="63"/>
  <c r="W112" i="63"/>
  <c r="W104" i="63"/>
  <c r="W96" i="63"/>
  <c r="W88" i="63"/>
  <c r="W80" i="63"/>
  <c r="W72" i="63"/>
  <c r="W64" i="63"/>
  <c r="W56" i="63"/>
  <c r="W48" i="63"/>
  <c r="W40" i="63"/>
  <c r="W32" i="63"/>
  <c r="W24" i="63"/>
  <c r="W16" i="63"/>
  <c r="AF255" i="63"/>
  <c r="AE255" i="63"/>
  <c r="AF247" i="63"/>
  <c r="AE247" i="63"/>
  <c r="AF239" i="63"/>
  <c r="AE239" i="63"/>
  <c r="AF231" i="63"/>
  <c r="AE231" i="63"/>
  <c r="AF223" i="63"/>
  <c r="AE223" i="63"/>
  <c r="AF215" i="63"/>
  <c r="AE215" i="63"/>
  <c r="AF207" i="63"/>
  <c r="AE207" i="63"/>
  <c r="AF199" i="63"/>
  <c r="AE199" i="63"/>
  <c r="AF191" i="63"/>
  <c r="AE191" i="63"/>
  <c r="AF183" i="63"/>
  <c r="AE183" i="63"/>
  <c r="AF175" i="63"/>
  <c r="AE175" i="63"/>
  <c r="AF167" i="63"/>
  <c r="AE167" i="63"/>
  <c r="AF159" i="63"/>
  <c r="AE159" i="63"/>
  <c r="AF151" i="63"/>
  <c r="AE151" i="63"/>
  <c r="AF143" i="63"/>
  <c r="AE143" i="63"/>
  <c r="AF135" i="63"/>
  <c r="AE135" i="63"/>
  <c r="AF127" i="63"/>
  <c r="AE127" i="63"/>
  <c r="AF119" i="63"/>
  <c r="AE119" i="63"/>
  <c r="AF111" i="63"/>
  <c r="AE111" i="63"/>
  <c r="AF103" i="63"/>
  <c r="AE103" i="63"/>
  <c r="AF95" i="63"/>
  <c r="AE95" i="63"/>
  <c r="AF87" i="63"/>
  <c r="AE87" i="63"/>
  <c r="AF79" i="63"/>
  <c r="AE79" i="63"/>
  <c r="AF71" i="63"/>
  <c r="AE71" i="63"/>
  <c r="AF63" i="63"/>
  <c r="AE63" i="63"/>
  <c r="AF55" i="63"/>
  <c r="AE55" i="63"/>
  <c r="AF47" i="63"/>
  <c r="AE47" i="63"/>
  <c r="AF39" i="63"/>
  <c r="AE39" i="63"/>
  <c r="AF31" i="63"/>
  <c r="AE31" i="63"/>
  <c r="AF23" i="63"/>
  <c r="AE23" i="63"/>
  <c r="AF15" i="63"/>
  <c r="AE15" i="63"/>
  <c r="W255" i="63"/>
  <c r="W247" i="63"/>
  <c r="W239" i="63"/>
  <c r="W231" i="63"/>
  <c r="W223" i="63"/>
  <c r="W215" i="63"/>
  <c r="W207" i="63"/>
  <c r="W199" i="63"/>
  <c r="W191" i="63"/>
  <c r="W183" i="63"/>
  <c r="W175" i="63"/>
  <c r="W167" i="63"/>
  <c r="W159" i="63"/>
  <c r="W151" i="63"/>
  <c r="W143" i="63"/>
  <c r="W135" i="63"/>
  <c r="W127" i="63"/>
  <c r="W119" i="63"/>
  <c r="W111" i="63"/>
  <c r="W103" i="63"/>
  <c r="W95" i="63"/>
  <c r="W87" i="63"/>
  <c r="W79" i="63"/>
  <c r="W71" i="63"/>
  <c r="W63" i="63"/>
  <c r="W55" i="63"/>
  <c r="W47" i="63"/>
  <c r="W39" i="63"/>
  <c r="W31" i="63"/>
  <c r="W23" i="63"/>
  <c r="W15" i="63"/>
  <c r="AF254" i="63"/>
  <c r="AE254" i="63"/>
  <c r="AF246" i="63"/>
  <c r="AE246" i="63"/>
  <c r="AF238" i="63"/>
  <c r="AE238" i="63"/>
  <c r="AF230" i="63"/>
  <c r="AE230" i="63"/>
  <c r="AF222" i="63"/>
  <c r="AE222" i="63"/>
  <c r="AF214" i="63"/>
  <c r="AE214" i="63"/>
  <c r="AF206" i="63"/>
  <c r="AE206" i="63"/>
  <c r="AF198" i="63"/>
  <c r="AE198" i="63"/>
  <c r="AE190" i="63"/>
  <c r="AF190" i="63"/>
  <c r="AF182" i="63"/>
  <c r="AE182" i="63"/>
  <c r="AE174" i="63"/>
  <c r="AF174" i="63"/>
  <c r="AF166" i="63"/>
  <c r="AE166" i="63"/>
  <c r="AE158" i="63"/>
  <c r="AF158" i="63"/>
  <c r="AE150" i="63"/>
  <c r="AF150" i="63"/>
  <c r="AE142" i="63"/>
  <c r="AF142" i="63"/>
  <c r="AE134" i="63"/>
  <c r="AF134" i="63"/>
  <c r="AE126" i="63"/>
  <c r="AF126" i="63"/>
  <c r="AE118" i="63"/>
  <c r="AF118" i="63"/>
  <c r="AE110" i="63"/>
  <c r="AF110" i="63"/>
  <c r="AE102" i="63"/>
  <c r="AF102" i="63"/>
  <c r="AE94" i="63"/>
  <c r="AF94" i="63"/>
  <c r="AE86" i="63"/>
  <c r="AF86" i="63"/>
  <c r="AE78" i="63"/>
  <c r="AF78" i="63"/>
  <c r="AE70" i="63"/>
  <c r="AF70" i="63"/>
  <c r="AE62" i="63"/>
  <c r="AF62" i="63"/>
  <c r="AE54" i="63"/>
  <c r="AF54" i="63"/>
  <c r="AE46" i="63"/>
  <c r="AF46" i="63"/>
  <c r="AE38" i="63"/>
  <c r="AF38" i="63"/>
  <c r="AE30" i="63"/>
  <c r="AF30" i="63"/>
  <c r="AE22" i="63"/>
  <c r="AF22" i="63"/>
  <c r="AF13" i="63"/>
  <c r="AE13" i="63"/>
  <c r="W254" i="63"/>
  <c r="W246" i="63"/>
  <c r="W238" i="63"/>
  <c r="W230" i="63"/>
  <c r="W222" i="63"/>
  <c r="W214" i="63"/>
  <c r="W206" i="63"/>
  <c r="W198" i="63"/>
  <c r="W190" i="63"/>
  <c r="W182" i="63"/>
  <c r="W174" i="63"/>
  <c r="W166" i="63"/>
  <c r="W158" i="63"/>
  <c r="W150" i="63"/>
  <c r="W142" i="63"/>
  <c r="W134" i="63"/>
  <c r="W126" i="63"/>
  <c r="W118" i="63"/>
  <c r="W110" i="63"/>
  <c r="W102" i="63"/>
  <c r="W94" i="63"/>
  <c r="W86" i="63"/>
  <c r="W78" i="63"/>
  <c r="W70" i="63"/>
  <c r="W62" i="63"/>
  <c r="W54" i="63"/>
  <c r="W46" i="63"/>
  <c r="W38" i="63"/>
  <c r="W30" i="63"/>
  <c r="W22" i="63"/>
  <c r="AF253" i="63"/>
  <c r="AE253" i="63"/>
  <c r="AF245" i="63"/>
  <c r="AE245" i="63"/>
  <c r="AF237" i="63"/>
  <c r="AE237" i="63"/>
  <c r="AF229" i="63"/>
  <c r="AE229" i="63"/>
  <c r="AF221" i="63"/>
  <c r="AE221" i="63"/>
  <c r="AF213" i="63"/>
  <c r="AE213" i="63"/>
  <c r="AF205" i="63"/>
  <c r="AE205" i="63"/>
  <c r="AF197" i="63"/>
  <c r="AE197" i="63"/>
  <c r="AF189" i="63"/>
  <c r="AE189" i="63"/>
  <c r="AF181" i="63"/>
  <c r="AE181" i="63"/>
  <c r="AF173" i="63"/>
  <c r="AE173" i="63"/>
  <c r="AF165" i="63"/>
  <c r="AE165" i="63"/>
  <c r="AF157" i="63"/>
  <c r="AE157" i="63"/>
  <c r="AF149" i="63"/>
  <c r="AE149" i="63"/>
  <c r="AF141" i="63"/>
  <c r="AE141" i="63"/>
  <c r="AF133" i="63"/>
  <c r="AE133" i="63"/>
  <c r="AF125" i="63"/>
  <c r="AE125" i="63"/>
  <c r="AF117" i="63"/>
  <c r="AE117" i="63"/>
  <c r="AF109" i="63"/>
  <c r="AE109" i="63"/>
  <c r="AF101" i="63"/>
  <c r="AE101" i="63"/>
  <c r="AF93" i="63"/>
  <c r="AE93" i="63"/>
  <c r="AF85" i="63"/>
  <c r="AE85" i="63"/>
  <c r="AF77" i="63"/>
  <c r="AE77" i="63"/>
  <c r="AF69" i="63"/>
  <c r="AE69" i="63"/>
  <c r="AF61" i="63"/>
  <c r="AE61" i="63"/>
  <c r="AF53" i="63"/>
  <c r="AE53" i="63"/>
  <c r="AF45" i="63"/>
  <c r="AE45" i="63"/>
  <c r="AF37" i="63"/>
  <c r="AE37" i="63"/>
  <c r="AF29" i="63"/>
  <c r="AE29" i="63"/>
  <c r="AF21" i="63"/>
  <c r="AE21" i="63"/>
  <c r="AF12" i="63"/>
  <c r="AE12" i="63"/>
  <c r="W253" i="63"/>
  <c r="W245" i="63"/>
  <c r="W237" i="63"/>
  <c r="W229" i="63"/>
  <c r="W221" i="63"/>
  <c r="W213" i="63"/>
  <c r="W205" i="63"/>
  <c r="W197" i="63"/>
  <c r="W189" i="63"/>
  <c r="W181" i="63"/>
  <c r="W173" i="63"/>
  <c r="W165" i="63"/>
  <c r="W157" i="63"/>
  <c r="W149" i="63"/>
  <c r="W141" i="63"/>
  <c r="W133" i="63"/>
  <c r="W125" i="63"/>
  <c r="W117" i="63"/>
  <c r="W109" i="63"/>
  <c r="W101" i="63"/>
  <c r="W93" i="63"/>
  <c r="W85" i="63"/>
  <c r="W77" i="63"/>
  <c r="W69" i="63"/>
  <c r="W61" i="63"/>
  <c r="W53" i="63"/>
  <c r="W45" i="63"/>
  <c r="W37" i="63"/>
  <c r="W29" i="63"/>
  <c r="W21" i="63"/>
  <c r="AF252" i="63"/>
  <c r="AE252" i="63"/>
  <c r="AE244" i="63"/>
  <c r="AF244" i="63"/>
  <c r="AF236" i="63"/>
  <c r="AE236" i="63"/>
  <c r="AE228" i="63"/>
  <c r="AF228" i="63"/>
  <c r="AF220" i="63"/>
  <c r="AE220" i="63"/>
  <c r="AE212" i="63"/>
  <c r="AF212" i="63"/>
  <c r="AF204" i="63"/>
  <c r="AE204" i="63"/>
  <c r="AE196" i="63"/>
  <c r="AF196" i="63"/>
  <c r="AF188" i="63"/>
  <c r="AE188" i="63"/>
  <c r="AF180" i="63"/>
  <c r="AE180" i="63"/>
  <c r="AE172" i="63"/>
  <c r="AF172" i="63"/>
  <c r="AE164" i="63"/>
  <c r="AF164" i="63"/>
  <c r="AF156" i="63"/>
  <c r="AE156" i="63"/>
  <c r="AE148" i="63"/>
  <c r="AF148" i="63"/>
  <c r="AF140" i="63"/>
  <c r="AE140" i="63"/>
  <c r="AE132" i="63"/>
  <c r="AF132" i="63"/>
  <c r="AF124" i="63"/>
  <c r="AE124" i="63"/>
  <c r="AE116" i="63"/>
  <c r="AF116" i="63"/>
  <c r="AF108" i="63"/>
  <c r="AE108" i="63"/>
  <c r="AE100" i="63"/>
  <c r="AF100" i="63"/>
  <c r="AF92" i="63"/>
  <c r="AE92" i="63"/>
  <c r="AE84" i="63"/>
  <c r="AF84" i="63"/>
  <c r="AF76" i="63"/>
  <c r="AE76" i="63"/>
  <c r="AE68" i="63"/>
  <c r="AF68" i="63"/>
  <c r="AF60" i="63"/>
  <c r="AE60" i="63"/>
  <c r="AE52" i="63"/>
  <c r="AF52" i="63"/>
  <c r="AF44" i="63"/>
  <c r="AE44" i="63"/>
  <c r="AF36" i="63"/>
  <c r="AE36" i="63"/>
  <c r="AF28" i="63"/>
  <c r="AE28" i="63"/>
  <c r="AF20" i="63"/>
  <c r="AE20" i="63"/>
  <c r="AE11" i="63"/>
  <c r="AF11" i="63"/>
  <c r="W244" i="63"/>
  <c r="W236" i="63"/>
  <c r="W228" i="63"/>
  <c r="W220" i="63"/>
  <c r="W212" i="63"/>
  <c r="W204" i="63"/>
  <c r="W196" i="63"/>
  <c r="W188" i="63"/>
  <c r="W180" i="63"/>
  <c r="W172" i="63"/>
  <c r="W164" i="63"/>
  <c r="W156" i="63"/>
  <c r="W148" i="63"/>
  <c r="W140" i="63"/>
  <c r="W132" i="63"/>
  <c r="W124" i="63"/>
  <c r="W116" i="63"/>
  <c r="W108" i="63"/>
  <c r="W100" i="63"/>
  <c r="W92" i="63"/>
  <c r="W84" i="63"/>
  <c r="W76" i="63"/>
  <c r="W68" i="63"/>
  <c r="W60" i="63"/>
  <c r="W52" i="63"/>
  <c r="W44" i="63"/>
  <c r="W36" i="63"/>
  <c r="W28" i="63"/>
  <c r="W20" i="63"/>
  <c r="AF251" i="63"/>
  <c r="AE251" i="63"/>
  <c r="AE243" i="63"/>
  <c r="AF243" i="63"/>
  <c r="AF235" i="63"/>
  <c r="AE235" i="63"/>
  <c r="AE227" i="63"/>
  <c r="AF227" i="63"/>
  <c r="AF219" i="63"/>
  <c r="AE219" i="63"/>
  <c r="AE211" i="63"/>
  <c r="AF211" i="63"/>
  <c r="AF203" i="63"/>
  <c r="AE203" i="63"/>
  <c r="AE195" i="63"/>
  <c r="AF195" i="63"/>
  <c r="AF187" i="63"/>
  <c r="AE187" i="63"/>
  <c r="AF179" i="63"/>
  <c r="AE179" i="63"/>
  <c r="AF171" i="63"/>
  <c r="AE171" i="63"/>
  <c r="AE163" i="63"/>
  <c r="AF163" i="63"/>
  <c r="AE155" i="63"/>
  <c r="AF155" i="63"/>
  <c r="AE147" i="63"/>
  <c r="AF147" i="63"/>
  <c r="AE139" i="63"/>
  <c r="AF139" i="63"/>
  <c r="AE131" i="63"/>
  <c r="AF131" i="63"/>
  <c r="AE123" i="63"/>
  <c r="AF123" i="63"/>
  <c r="AE115" i="63"/>
  <c r="AF115" i="63"/>
  <c r="AE107" i="63"/>
  <c r="AF107" i="63"/>
  <c r="AE99" i="63"/>
  <c r="AF99" i="63"/>
  <c r="AE91" i="63"/>
  <c r="AF91" i="63"/>
  <c r="AE83" i="63"/>
  <c r="AF83" i="63"/>
  <c r="AE75" i="63"/>
  <c r="AF75" i="63"/>
  <c r="AE67" i="63"/>
  <c r="AF67" i="63"/>
  <c r="AE59" i="63"/>
  <c r="AF59" i="63"/>
  <c r="AE51" i="63"/>
  <c r="AF51" i="63"/>
  <c r="AE43" i="63"/>
  <c r="AF43" i="63"/>
  <c r="AE35" i="63"/>
  <c r="AF35" i="63"/>
  <c r="AE27" i="63"/>
  <c r="AF27" i="63"/>
  <c r="AE19" i="63"/>
  <c r="AF19" i="63"/>
  <c r="W251" i="63"/>
  <c r="W243" i="63"/>
  <c r="W235" i="63"/>
  <c r="W227" i="63"/>
  <c r="W219" i="63"/>
  <c r="W211" i="63"/>
  <c r="W203" i="63"/>
  <c r="W195" i="63"/>
  <c r="W187" i="63"/>
  <c r="W179" i="63"/>
  <c r="W171" i="63"/>
  <c r="W163" i="63"/>
  <c r="W155" i="63"/>
  <c r="W147" i="63"/>
  <c r="W139" i="63"/>
  <c r="W131" i="63"/>
  <c r="W123" i="63"/>
  <c r="W115" i="63"/>
  <c r="W107" i="63"/>
  <c r="W99" i="63"/>
  <c r="W91" i="63"/>
  <c r="W83" i="63"/>
  <c r="W75" i="63"/>
  <c r="W67" i="63"/>
  <c r="W59" i="63"/>
  <c r="W51" i="63"/>
  <c r="W43" i="63"/>
  <c r="W35" i="63"/>
  <c r="W27" i="63"/>
  <c r="W19" i="63"/>
  <c r="AF250" i="63"/>
  <c r="AE250" i="63"/>
  <c r="AF242" i="63"/>
  <c r="AE242" i="63"/>
  <c r="AF234" i="63"/>
  <c r="AE234" i="63"/>
  <c r="AF226" i="63"/>
  <c r="AE226" i="63"/>
  <c r="AF218" i="63"/>
  <c r="AE218" i="63"/>
  <c r="AF210" i="63"/>
  <c r="AE210" i="63"/>
  <c r="AF202" i="63"/>
  <c r="AE202" i="63"/>
  <c r="AF194" i="63"/>
  <c r="AE194" i="63"/>
  <c r="AF186" i="63"/>
  <c r="AE186" i="63"/>
  <c r="AF178" i="63"/>
  <c r="AE178" i="63"/>
  <c r="AF170" i="63"/>
  <c r="AE170" i="63"/>
  <c r="AF162" i="63"/>
  <c r="AE162" i="63"/>
  <c r="AF154" i="63"/>
  <c r="AE154" i="63"/>
  <c r="AF146" i="63"/>
  <c r="AE146" i="63"/>
  <c r="AF138" i="63"/>
  <c r="AE138" i="63"/>
  <c r="AF130" i="63"/>
  <c r="AE130" i="63"/>
  <c r="AF122" i="63"/>
  <c r="AE122" i="63"/>
  <c r="AF114" i="63"/>
  <c r="AE114" i="63"/>
  <c r="AF106" i="63"/>
  <c r="AE106" i="63"/>
  <c r="AF98" i="63"/>
  <c r="AE98" i="63"/>
  <c r="AF90" i="63"/>
  <c r="AE90" i="63"/>
  <c r="AF82" i="63"/>
  <c r="AE82" i="63"/>
  <c r="AF74" i="63"/>
  <c r="AE74" i="63"/>
  <c r="AF66" i="63"/>
  <c r="AE66" i="63"/>
  <c r="AF58" i="63"/>
  <c r="AE58" i="63"/>
  <c r="AF50" i="63"/>
  <c r="AE50" i="63"/>
  <c r="AF42" i="63"/>
  <c r="AE42" i="63"/>
  <c r="AF34" i="63"/>
  <c r="AE34" i="63"/>
  <c r="AF26" i="63"/>
  <c r="AE26" i="63"/>
  <c r="AF18" i="63"/>
  <c r="AE18" i="63"/>
  <c r="W250" i="63"/>
  <c r="W242" i="63"/>
  <c r="W234" i="63"/>
  <c r="W226" i="63"/>
  <c r="W218" i="63"/>
  <c r="W210" i="63"/>
  <c r="W202" i="63"/>
  <c r="W194" i="63"/>
  <c r="W186" i="63"/>
  <c r="W178" i="63"/>
  <c r="W170" i="63"/>
  <c r="W162" i="63"/>
  <c r="W154" i="63"/>
  <c r="W146" i="63"/>
  <c r="W138" i="63"/>
  <c r="W130" i="63"/>
  <c r="W122" i="63"/>
  <c r="W114" i="63"/>
  <c r="W106" i="63"/>
  <c r="W98" i="63"/>
  <c r="W90" i="63"/>
  <c r="W82" i="63"/>
  <c r="W74" i="63"/>
  <c r="W66" i="63"/>
  <c r="W58" i="63"/>
  <c r="W50" i="63"/>
  <c r="W42" i="63"/>
  <c r="W34" i="63"/>
  <c r="W26" i="63"/>
  <c r="W18" i="63"/>
  <c r="AE257" i="63"/>
  <c r="AF257" i="63"/>
  <c r="AF249" i="63"/>
  <c r="AE249" i="63"/>
  <c r="AE241" i="63"/>
  <c r="AF241" i="63"/>
  <c r="AF233" i="63"/>
  <c r="AE233" i="63"/>
  <c r="AE225" i="63"/>
  <c r="AF225" i="63"/>
  <c r="AF217" i="63"/>
  <c r="AE217" i="63"/>
  <c r="AE209" i="63"/>
  <c r="AF209" i="63"/>
  <c r="AF201" i="63"/>
  <c r="AE201" i="63"/>
  <c r="AE193" i="63"/>
  <c r="AF193" i="63"/>
  <c r="AF185" i="63"/>
  <c r="AE185" i="63"/>
  <c r="AE177" i="63"/>
  <c r="AF177" i="63"/>
  <c r="AE169" i="63"/>
  <c r="AF169" i="63"/>
  <c r="AE161" i="63"/>
  <c r="AF161" i="63"/>
  <c r="AE153" i="63"/>
  <c r="AF153" i="63"/>
  <c r="AE145" i="63"/>
  <c r="AF145" i="63"/>
  <c r="AE137" i="63"/>
  <c r="AF137" i="63"/>
  <c r="AE129" i="63"/>
  <c r="AF129" i="63"/>
  <c r="AE121" i="63"/>
  <c r="AF121" i="63"/>
  <c r="AE113" i="63"/>
  <c r="AF113" i="63"/>
  <c r="AE105" i="63"/>
  <c r="AF105" i="63"/>
  <c r="AE97" i="63"/>
  <c r="AF97" i="63"/>
  <c r="AE89" i="63"/>
  <c r="AF89" i="63"/>
  <c r="AE81" i="63"/>
  <c r="AF81" i="63"/>
  <c r="AE73" i="63"/>
  <c r="AF73" i="63"/>
  <c r="AE65" i="63"/>
  <c r="AF65" i="63"/>
  <c r="AE57" i="63"/>
  <c r="AF57" i="63"/>
  <c r="AE49" i="63"/>
  <c r="AF49" i="63"/>
  <c r="AE41" i="63"/>
  <c r="AF41" i="63"/>
  <c r="AE33" i="63"/>
  <c r="AF33" i="63"/>
  <c r="AE25" i="63"/>
  <c r="AF25" i="63"/>
  <c r="AE17" i="63"/>
  <c r="AF17" i="63"/>
  <c r="W257" i="63"/>
  <c r="W249" i="63"/>
  <c r="W241" i="63"/>
  <c r="W233" i="63"/>
  <c r="W225" i="63"/>
  <c r="W217" i="63"/>
  <c r="W209" i="63"/>
  <c r="W201" i="63"/>
  <c r="W193" i="63"/>
  <c r="W185" i="63"/>
  <c r="W177" i="63"/>
  <c r="W169" i="63"/>
  <c r="W161" i="63"/>
  <c r="W153" i="63"/>
  <c r="W145" i="63"/>
  <c r="W137" i="63"/>
  <c r="W129" i="63"/>
  <c r="W121" i="63"/>
  <c r="W113" i="63"/>
  <c r="W105" i="63"/>
  <c r="W97" i="63"/>
  <c r="W89" i="63"/>
  <c r="W81" i="63"/>
  <c r="W73" i="63"/>
  <c r="W65" i="63"/>
  <c r="W57" i="63"/>
  <c r="W49" i="63"/>
  <c r="W41" i="63"/>
  <c r="W33" i="63"/>
  <c r="W25" i="63"/>
  <c r="W17" i="63"/>
  <c r="AF256" i="63"/>
  <c r="AE256" i="63"/>
  <c r="AF248" i="63"/>
  <c r="AE248" i="63"/>
  <c r="AF240" i="63"/>
  <c r="AE240" i="63"/>
  <c r="AF232" i="63"/>
  <c r="AE232" i="63"/>
  <c r="AF224" i="63"/>
  <c r="AE224" i="63"/>
  <c r="AF216" i="63"/>
  <c r="AE216" i="63"/>
  <c r="AF208" i="63"/>
  <c r="AE208" i="63"/>
  <c r="AF200" i="63"/>
  <c r="AE200" i="63"/>
  <c r="AE192" i="63"/>
  <c r="AF192" i="63"/>
  <c r="AE184" i="63"/>
  <c r="AF184" i="63"/>
  <c r="AE176" i="63"/>
  <c r="AF176" i="63"/>
  <c r="AE168" i="63"/>
  <c r="AF168" i="63"/>
  <c r="AE160" i="63"/>
  <c r="AF160" i="63"/>
  <c r="AE152" i="63"/>
  <c r="AF152" i="63"/>
  <c r="AE144" i="63"/>
  <c r="AF144" i="63"/>
  <c r="AE136" i="63"/>
  <c r="AF136" i="63"/>
  <c r="AE128" i="63"/>
  <c r="AF128" i="63"/>
  <c r="AE120" i="63"/>
  <c r="AF120" i="63"/>
  <c r="AE112" i="63"/>
  <c r="AF112" i="63"/>
  <c r="AE104" i="63"/>
  <c r="AF104" i="63"/>
  <c r="AE96" i="63"/>
  <c r="AF96" i="63"/>
  <c r="AE88" i="63"/>
  <c r="AF88" i="63"/>
  <c r="AE80" i="63"/>
  <c r="AF80" i="63"/>
  <c r="AE72" i="63"/>
  <c r="AF72" i="63"/>
  <c r="AE64" i="63"/>
  <c r="AF64" i="63"/>
  <c r="AE56" i="63"/>
  <c r="AF56" i="63"/>
  <c r="AE48" i="63"/>
  <c r="AF48" i="63"/>
  <c r="AE40" i="63"/>
  <c r="AF40" i="63"/>
  <c r="AE32" i="63"/>
  <c r="AF32" i="63"/>
  <c r="AE24" i="63"/>
  <c r="AF24" i="63"/>
  <c r="AE16" i="63"/>
  <c r="AF16" i="63"/>
  <c r="AF10" i="63"/>
  <c r="AE10" i="63"/>
  <c r="AA23" i="53"/>
  <c r="Z11" i="67"/>
  <c r="BA11" i="67" s="1"/>
  <c r="Z10" i="67"/>
  <c r="X176" i="22"/>
  <c r="X172" i="22"/>
  <c r="P26" i="57"/>
  <c r="AH26" i="57"/>
  <c r="AI26" i="57" s="1"/>
  <c r="K26" i="57"/>
  <c r="AA10" i="67"/>
  <c r="T174" i="22"/>
  <c r="D185" i="36" s="1"/>
  <c r="AI258" i="67"/>
  <c r="G13" i="63"/>
  <c r="R13" i="63" s="1"/>
  <c r="Z13" i="63" s="1"/>
  <c r="G12" i="63"/>
  <c r="R12" i="63" s="1"/>
  <c r="Z12" i="63" s="1"/>
  <c r="AG23" i="57"/>
  <c r="X23" i="57"/>
  <c r="AB23" i="57" s="1"/>
  <c r="G11" i="63"/>
  <c r="R11" i="63" s="1"/>
  <c r="AC26" i="53"/>
  <c r="O26" i="53"/>
  <c r="AD24" i="57"/>
  <c r="Q24" i="57"/>
  <c r="AQ24" i="57"/>
  <c r="R24" i="57"/>
  <c r="Q12" i="64"/>
  <c r="AB40" i="68"/>
  <c r="AB215" i="68"/>
  <c r="AB77" i="68"/>
  <c r="AB104" i="68"/>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X170" i="63"/>
  <c r="P2" i="68"/>
  <c r="AC21" i="57"/>
  <c r="N25" i="57"/>
  <c r="AT24" i="53"/>
  <c r="Q24" i="53"/>
  <c r="AD24" i="53"/>
  <c r="AA22" i="57"/>
  <c r="AE22" i="57" s="1"/>
  <c r="AF22" i="57" s="1"/>
  <c r="S44" i="64"/>
  <c r="T44" i="64" s="1"/>
  <c r="S13" i="64"/>
  <c r="T13" i="64" s="1"/>
  <c r="U13" i="64" s="1"/>
  <c r="X32" i="63"/>
  <c r="X31" i="63"/>
  <c r="X30" i="63"/>
  <c r="X29" i="63"/>
  <c r="X28" i="63"/>
  <c r="X27" i="63"/>
  <c r="X26" i="63"/>
  <c r="X25" i="63"/>
  <c r="X24" i="63"/>
  <c r="X23" i="63"/>
  <c r="X22" i="63"/>
  <c r="X21" i="63"/>
  <c r="X20" i="63"/>
  <c r="X19" i="63"/>
  <c r="X18" i="63"/>
  <c r="X17" i="63"/>
  <c r="X16" i="63"/>
  <c r="X256" i="63"/>
  <c r="X47" i="63"/>
  <c r="X38" i="63"/>
  <c r="Q259" i="64"/>
  <c r="T259" i="64"/>
  <c r="Q258" i="64"/>
  <c r="T258" i="64"/>
  <c r="X15" i="63"/>
  <c r="D186" i="36"/>
  <c r="V175" i="22"/>
  <c r="X13" i="63"/>
  <c r="X12" i="63"/>
  <c r="AE21" i="53"/>
  <c r="AF21" i="53" s="1"/>
  <c r="X248" i="63"/>
  <c r="R25" i="53"/>
  <c r="X25" i="53" s="1"/>
  <c r="AB25" i="53" s="1"/>
  <c r="G10" i="63"/>
  <c r="R10" i="63" s="1"/>
  <c r="L26" i="57"/>
  <c r="AT25" i="53"/>
  <c r="AD25" i="53"/>
  <c r="Q25" i="53"/>
  <c r="AK25" i="52" a="1"/>
  <c r="AK25" i="52" s="1"/>
  <c r="B27" i="53" s="1"/>
  <c r="G26" i="57"/>
  <c r="E26" i="57"/>
  <c r="D26" i="57"/>
  <c r="C26" i="57"/>
  <c r="I26" i="57"/>
  <c r="H26" i="57"/>
  <c r="F26" i="57"/>
  <c r="J26" i="57"/>
  <c r="P26" i="53"/>
  <c r="L26" i="53"/>
  <c r="H26" i="53"/>
  <c r="D26" i="53"/>
  <c r="F26" i="53"/>
  <c r="I26" i="53"/>
  <c r="E26" i="53"/>
  <c r="K26" i="53"/>
  <c r="AH26" i="53" s="1"/>
  <c r="J26" i="53"/>
  <c r="G26" i="53"/>
  <c r="C26" i="53"/>
  <c r="AN25" i="55" a="1"/>
  <c r="AN25" i="55" s="1"/>
  <c r="B27" i="57" s="1"/>
  <c r="O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R10" i="67" a="1"/>
  <c r="AR10" i="67" s="1"/>
  <c r="AR11" i="67" s="1" a="1"/>
  <c r="AR11" i="67" s="1"/>
  <c r="AR12" i="67" s="1" a="1"/>
  <c r="AR12" i="67" s="1"/>
  <c r="AS10" i="67" a="1"/>
  <c r="AS10" i="67" s="1"/>
  <c r="AC7" i="107" l="1"/>
  <c r="AT10" i="67"/>
  <c r="AC11" i="67"/>
  <c r="BA10" i="67"/>
  <c r="AF7" i="107" s="1"/>
  <c r="AE7" i="107"/>
  <c r="AC10" i="67"/>
  <c r="AC258" i="67" s="1"/>
  <c r="AK26" i="57"/>
  <c r="AJ22" i="57"/>
  <c r="AT258" i="67"/>
  <c r="V172" i="22"/>
  <c r="W12" i="63"/>
  <c r="W13" i="63"/>
  <c r="W11" i="63"/>
  <c r="Z11" i="63" s="1"/>
  <c r="W10" i="63"/>
  <c r="P27" i="57"/>
  <c r="AH27" i="57"/>
  <c r="AI27" i="57" s="1"/>
  <c r="K27" i="57"/>
  <c r="V176" i="22"/>
  <c r="AA258" i="67" a="1"/>
  <c r="AA258" i="67" s="1"/>
  <c r="V173" i="22"/>
  <c r="Z258" i="67" a="1"/>
  <c r="Z258" i="67" s="1"/>
  <c r="X11" i="63"/>
  <c r="AG24" i="57"/>
  <c r="X24" i="57"/>
  <c r="AB24" i="57" s="1"/>
  <c r="S12" i="64"/>
  <c r="T12" i="64" s="1"/>
  <c r="U12" i="64" s="1"/>
  <c r="Z12" i="64" s="1"/>
  <c r="AC27" i="53"/>
  <c r="O27" i="53"/>
  <c r="AD25" i="57"/>
  <c r="R25" i="57"/>
  <c r="Q25" i="57"/>
  <c r="AQ25" i="57"/>
  <c r="AA25" i="53"/>
  <c r="N27" i="53"/>
  <c r="AB16" i="68"/>
  <c r="AB19" i="68"/>
  <c r="AB18" i="68"/>
  <c r="AB15" i="68"/>
  <c r="AB21" i="68"/>
  <c r="AB20" i="68"/>
  <c r="AB17" i="68"/>
  <c r="AB14" i="68"/>
  <c r="Z17" i="64"/>
  <c r="Z16" i="64"/>
  <c r="V2" i="64"/>
  <c r="AC22" i="57"/>
  <c r="N26" i="57"/>
  <c r="AG24" i="53"/>
  <c r="AE25" i="53"/>
  <c r="AF25" i="53" s="1"/>
  <c r="AE24" i="53"/>
  <c r="AF24" i="53" s="1"/>
  <c r="AE23" i="53"/>
  <c r="AF23" i="53" s="1"/>
  <c r="AA23" i="57"/>
  <c r="AE23" i="57" s="1"/>
  <c r="AF23" i="57" s="1"/>
  <c r="Z44" i="64"/>
  <c r="R26" i="53"/>
  <c r="X26" i="53" s="1"/>
  <c r="AB26" i="53" s="1"/>
  <c r="X10" i="63"/>
  <c r="Z15" i="64"/>
  <c r="Z14" i="64"/>
  <c r="Z13" i="64"/>
  <c r="L27" i="57"/>
  <c r="AT26" i="53"/>
  <c r="AD26" i="53"/>
  <c r="AK26" i="52" a="1"/>
  <c r="AK26" i="52" s="1"/>
  <c r="B28" i="53" s="1"/>
  <c r="Q26" i="53"/>
  <c r="H27" i="53"/>
  <c r="G27" i="53"/>
  <c r="P27" i="53"/>
  <c r="E27" i="53"/>
  <c r="D27" i="53"/>
  <c r="C27" i="53"/>
  <c r="L27" i="53"/>
  <c r="K27" i="53"/>
  <c r="AH27" i="53" s="1"/>
  <c r="I27" i="53"/>
  <c r="F27" i="53"/>
  <c r="J27" i="53"/>
  <c r="I27" i="57"/>
  <c r="F27" i="57"/>
  <c r="E27" i="57"/>
  <c r="C27" i="57"/>
  <c r="J27" i="57"/>
  <c r="H27" i="57"/>
  <c r="D27" i="57"/>
  <c r="G27" i="57"/>
  <c r="AN26" i="55" a="1"/>
  <c r="AN26" i="55" s="1"/>
  <c r="B28" i="57" s="1"/>
  <c r="O28" i="57" s="1"/>
  <c r="AS11" i="67" a="1"/>
  <c r="AS11" i="67" s="1"/>
  <c r="B12" i="69"/>
  <c r="AM12" i="69" s="1"/>
  <c r="AR13" i="67" a="1"/>
  <c r="AR13" i="67" s="1"/>
  <c r="Z10" i="63" l="1"/>
  <c r="AK27" i="57"/>
  <c r="AJ23" i="57"/>
  <c r="BA258" i="67" a="1"/>
  <c r="BA258" i="67" s="1"/>
  <c r="H172" i="22"/>
  <c r="C12" i="69"/>
  <c r="U258" i="67"/>
  <c r="H22" i="73" s="1"/>
  <c r="BF12" i="69"/>
  <c r="BE12" i="69"/>
  <c r="BC12" i="69"/>
  <c r="T173" i="22"/>
  <c r="D184" i="36" s="1"/>
  <c r="T176" i="22"/>
  <c r="D187" i="36" s="1"/>
  <c r="P28" i="57"/>
  <c r="AH28" i="57"/>
  <c r="AI28" i="57" s="1"/>
  <c r="K28" i="57"/>
  <c r="AZ12" i="69"/>
  <c r="AA26" i="53"/>
  <c r="AG25" i="57"/>
  <c r="X25" i="57"/>
  <c r="AB25" i="57" s="1"/>
  <c r="AC28" i="53"/>
  <c r="O28" i="53"/>
  <c r="AQ26" i="57"/>
  <c r="R26" i="57"/>
  <c r="Q26" i="57"/>
  <c r="AD26" i="57"/>
  <c r="N28" i="53"/>
  <c r="AC260" i="68"/>
  <c r="AB260" i="68"/>
  <c r="L12" i="69"/>
  <c r="M12" i="69" s="1"/>
  <c r="L175" i="22"/>
  <c r="L174" i="22"/>
  <c r="AA24" i="57"/>
  <c r="AE24" i="57" s="1"/>
  <c r="AF24" i="57" s="1"/>
  <c r="AC24" i="57"/>
  <c r="AC23" i="57"/>
  <c r="N27" i="57"/>
  <c r="AG25" i="53"/>
  <c r="AG26" i="53"/>
  <c r="L173" i="22"/>
  <c r="L172" i="22"/>
  <c r="L176" i="22"/>
  <c r="Z260" i="64"/>
  <c r="L28" i="57"/>
  <c r="P28" i="53"/>
  <c r="F28" i="53"/>
  <c r="K28" i="53"/>
  <c r="AH28" i="53" s="1"/>
  <c r="E28" i="53"/>
  <c r="I28" i="53"/>
  <c r="J28" i="53"/>
  <c r="G28" i="53"/>
  <c r="AK27" i="52" a="1"/>
  <c r="AK27" i="52" s="1"/>
  <c r="B29" i="53" s="1"/>
  <c r="C28" i="53"/>
  <c r="H28" i="53"/>
  <c r="D28" i="53"/>
  <c r="L28" i="53"/>
  <c r="I28" i="57"/>
  <c r="H28" i="57"/>
  <c r="G28" i="57"/>
  <c r="E28" i="57"/>
  <c r="D28" i="57"/>
  <c r="C28" i="57"/>
  <c r="F28" i="57"/>
  <c r="J28" i="57"/>
  <c r="AN27" i="55" a="1"/>
  <c r="AN27" i="55" s="1"/>
  <c r="B29" i="57" s="1"/>
  <c r="O29" i="57" s="1"/>
  <c r="B13" i="69"/>
  <c r="AM13" i="69" s="1"/>
  <c r="AN13" i="69" s="1"/>
  <c r="AS12" i="67" a="1"/>
  <c r="AS12" i="67" s="1"/>
  <c r="B14" i="69" s="1"/>
  <c r="AM14" i="69" s="1"/>
  <c r="AN14" i="69" s="1"/>
  <c r="AR14" i="67" a="1"/>
  <c r="AR14" i="67" s="1"/>
  <c r="AR15" i="67" s="1" a="1"/>
  <c r="AR15" i="67" s="1"/>
  <c r="L125" i="29"/>
  <c r="L124" i="29"/>
  <c r="M132" i="29"/>
  <c r="L132" i="29"/>
  <c r="M133" i="29"/>
  <c r="L133" i="29"/>
  <c r="M134" i="29"/>
  <c r="L134" i="29"/>
  <c r="AK28" i="57" l="1"/>
  <c r="AJ24" i="57"/>
  <c r="R258" i="67"/>
  <c r="L22" i="73" s="1"/>
  <c r="AN12" i="69"/>
  <c r="BC14" i="69"/>
  <c r="BF14" i="69"/>
  <c r="BD14" i="69"/>
  <c r="BE14" i="69"/>
  <c r="BC13" i="69"/>
  <c r="BF13" i="69"/>
  <c r="BE13" i="69"/>
  <c r="P29" i="57"/>
  <c r="AH29" i="57"/>
  <c r="AI29" i="57" s="1"/>
  <c r="K29" i="57"/>
  <c r="Q12" i="69"/>
  <c r="L14" i="69"/>
  <c r="M14" i="69" s="1"/>
  <c r="AZ14" i="69"/>
  <c r="L13" i="69"/>
  <c r="M13" i="69" s="1"/>
  <c r="AZ13" i="69"/>
  <c r="AG26" i="57"/>
  <c r="X26" i="57"/>
  <c r="AB26" i="57" s="1"/>
  <c r="Q27" i="57"/>
  <c r="AD27" i="57"/>
  <c r="R27" i="57"/>
  <c r="AC29" i="53"/>
  <c r="O29" i="53"/>
  <c r="AQ27" i="57"/>
  <c r="N29" i="53"/>
  <c r="AA25" i="57"/>
  <c r="AE25" i="57" s="1"/>
  <c r="AF25" i="57" s="1"/>
  <c r="AC25" i="57"/>
  <c r="N28" i="57"/>
  <c r="AD27" i="53"/>
  <c r="Q27" i="53"/>
  <c r="AT27" i="53"/>
  <c r="R27" i="53"/>
  <c r="D116" i="22"/>
  <c r="L29" i="57"/>
  <c r="H29" i="53"/>
  <c r="F29" i="53"/>
  <c r="K29" i="53"/>
  <c r="AH29" i="53" s="1"/>
  <c r="C29" i="53"/>
  <c r="L29" i="53"/>
  <c r="G29" i="53"/>
  <c r="E29" i="53"/>
  <c r="D29" i="53"/>
  <c r="P29" i="53"/>
  <c r="AK28" i="52" a="1"/>
  <c r="AK28" i="52" s="1"/>
  <c r="B30" i="53" s="1"/>
  <c r="J29" i="53"/>
  <c r="I29" i="53"/>
  <c r="J29" i="57"/>
  <c r="G29" i="57"/>
  <c r="H29" i="57"/>
  <c r="D29" i="57"/>
  <c r="C29" i="57"/>
  <c r="F29" i="57"/>
  <c r="E29" i="57"/>
  <c r="I29" i="57"/>
  <c r="AN28" i="55" a="1"/>
  <c r="AN28" i="55" s="1"/>
  <c r="B30" i="57" s="1"/>
  <c r="O30" i="57" s="1"/>
  <c r="AS13" i="67" a="1"/>
  <c r="AS13" i="67" s="1"/>
  <c r="D12" i="69"/>
  <c r="C14" i="69"/>
  <c r="AP14" i="69" s="1"/>
  <c r="C13" i="69"/>
  <c r="AR16" i="67" a="1"/>
  <c r="AR16" i="67" s="1"/>
  <c r="AR17" i="67" s="1" a="1"/>
  <c r="AR17" i="67" s="1"/>
  <c r="M130" i="29"/>
  <c r="L130"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D133" i="22"/>
  <c r="C133" i="22"/>
  <c r="D132" i="22"/>
  <c r="C132" i="22"/>
  <c r="A130" i="22"/>
  <c r="A129" i="22"/>
  <c r="C129" i="22"/>
  <c r="AK29" i="57" l="1"/>
  <c r="AJ25" i="57"/>
  <c r="S130" i="22"/>
  <c r="V130" i="22"/>
  <c r="E130" i="22"/>
  <c r="H130" i="22"/>
  <c r="S136" i="22"/>
  <c r="E136" i="22"/>
  <c r="V136" i="22"/>
  <c r="H136" i="22"/>
  <c r="S137" i="22"/>
  <c r="H137" i="22"/>
  <c r="E137" i="22"/>
  <c r="V137" i="22"/>
  <c r="S139" i="22"/>
  <c r="V139" i="22"/>
  <c r="H139" i="22"/>
  <c r="E139" i="22"/>
  <c r="S131" i="22"/>
  <c r="V131" i="22"/>
  <c r="H131" i="22"/>
  <c r="E131" i="22"/>
  <c r="S133" i="22"/>
  <c r="E133" i="22"/>
  <c r="H133" i="22"/>
  <c r="S132" i="22"/>
  <c r="H132" i="22"/>
  <c r="E132" i="22"/>
  <c r="S140" i="22"/>
  <c r="H140" i="22"/>
  <c r="E140" i="22"/>
  <c r="V140" i="22"/>
  <c r="S129" i="22"/>
  <c r="H129" i="22"/>
  <c r="E129" i="22"/>
  <c r="V129" i="22"/>
  <c r="S138" i="22"/>
  <c r="H138" i="22"/>
  <c r="V138" i="22"/>
  <c r="E138" i="22"/>
  <c r="U132" i="22"/>
  <c r="G132" i="22"/>
  <c r="I132" i="22"/>
  <c r="U129" i="22"/>
  <c r="T129" i="22"/>
  <c r="J129" i="22"/>
  <c r="I129" i="22"/>
  <c r="F129" i="22"/>
  <c r="G129" i="22"/>
  <c r="U133" i="22"/>
  <c r="G133" i="22"/>
  <c r="U130" i="22"/>
  <c r="I130" i="22"/>
  <c r="T130" i="22"/>
  <c r="F130" i="22"/>
  <c r="J130" i="22"/>
  <c r="G130" i="22"/>
  <c r="U136" i="22"/>
  <c r="T136" i="22"/>
  <c r="J136" i="22"/>
  <c r="F136" i="22"/>
  <c r="G136" i="22"/>
  <c r="I136" i="22"/>
  <c r="I137" i="22"/>
  <c r="U137" i="22"/>
  <c r="T137" i="22"/>
  <c r="J137" i="22"/>
  <c r="F137" i="22"/>
  <c r="G137" i="22"/>
  <c r="U138" i="22"/>
  <c r="T138" i="22"/>
  <c r="J138" i="22"/>
  <c r="F138" i="22"/>
  <c r="I138" i="22"/>
  <c r="G138" i="22"/>
  <c r="T139" i="22"/>
  <c r="U139" i="22"/>
  <c r="J139" i="22"/>
  <c r="F139" i="22"/>
  <c r="G139" i="22"/>
  <c r="I139" i="22"/>
  <c r="T140" i="22"/>
  <c r="U140" i="22"/>
  <c r="F140" i="22"/>
  <c r="J140" i="22"/>
  <c r="I140" i="22"/>
  <c r="G140" i="22"/>
  <c r="T131" i="22"/>
  <c r="U131" i="22"/>
  <c r="G131" i="22"/>
  <c r="I131" i="22"/>
  <c r="BD12" i="69"/>
  <c r="P14" i="69"/>
  <c r="P30" i="57"/>
  <c r="AH30" i="57"/>
  <c r="AI30" i="57" s="1"/>
  <c r="K30" i="57"/>
  <c r="Q14" i="69"/>
  <c r="Q13" i="69"/>
  <c r="X137" i="22"/>
  <c r="X139" i="22"/>
  <c r="X131" i="22"/>
  <c r="X132" i="22"/>
  <c r="X130" i="22"/>
  <c r="X136" i="22"/>
  <c r="X138" i="22"/>
  <c r="X140" i="22"/>
  <c r="X129" i="22"/>
  <c r="X27" i="53"/>
  <c r="AB27" i="53" s="1"/>
  <c r="AG27" i="57"/>
  <c r="X27" i="57"/>
  <c r="AB27" i="57" s="1"/>
  <c r="AC30" i="53"/>
  <c r="O30" i="53"/>
  <c r="AE12" i="69"/>
  <c r="AD28" i="57"/>
  <c r="Q28" i="57"/>
  <c r="AQ28" i="57"/>
  <c r="R28" i="57"/>
  <c r="N30" i="53"/>
  <c r="AA26" i="57"/>
  <c r="AE26" i="57" s="1"/>
  <c r="AF26" i="57" s="1"/>
  <c r="AC26" i="57"/>
  <c r="N29" i="57"/>
  <c r="R28" i="53"/>
  <c r="AD28" i="53"/>
  <c r="AT28" i="53"/>
  <c r="AG27" i="53"/>
  <c r="Q28" i="53"/>
  <c r="AE26" i="53"/>
  <c r="AF26" i="53" s="1"/>
  <c r="U12" i="69"/>
  <c r="R29" i="53"/>
  <c r="AY12" i="69"/>
  <c r="D129" i="22"/>
  <c r="W136" i="22"/>
  <c r="L30" i="57"/>
  <c r="AT29" i="53"/>
  <c r="L30" i="53"/>
  <c r="AD29" i="53"/>
  <c r="Q29" i="53"/>
  <c r="AK29" i="52" a="1"/>
  <c r="AK29" i="52" s="1"/>
  <c r="B31" i="53" s="1"/>
  <c r="G30" i="53"/>
  <c r="I30" i="53"/>
  <c r="P30" i="53"/>
  <c r="J30" i="53"/>
  <c r="D30" i="53"/>
  <c r="E30" i="53"/>
  <c r="K30" i="53"/>
  <c r="AH30" i="53" s="1"/>
  <c r="C30" i="53"/>
  <c r="F30" i="53"/>
  <c r="H30" i="53"/>
  <c r="I30" i="57"/>
  <c r="H30" i="57"/>
  <c r="G30" i="57"/>
  <c r="E30" i="57"/>
  <c r="D30" i="57"/>
  <c r="C30" i="57"/>
  <c r="F30" i="57"/>
  <c r="J30" i="57"/>
  <c r="AN29" i="55" a="1"/>
  <c r="AN29" i="55" s="1"/>
  <c r="B31" i="57" s="1"/>
  <c r="O31" i="57" s="1"/>
  <c r="AS14" i="67" a="1"/>
  <c r="AS14" i="67" s="1"/>
  <c r="B16" i="69" s="1"/>
  <c r="AM16" i="69" s="1"/>
  <c r="AN16" i="69" s="1"/>
  <c r="B15" i="69"/>
  <c r="AM15" i="69" s="1"/>
  <c r="AN15" i="69" s="1"/>
  <c r="D13" i="69"/>
  <c r="E13" i="69" s="1"/>
  <c r="D14" i="69"/>
  <c r="E14" i="69" s="1"/>
  <c r="R12" i="69"/>
  <c r="S12" i="69" s="1"/>
  <c r="E12" i="69"/>
  <c r="AR18" i="67" a="1"/>
  <c r="AR18" i="67" s="1"/>
  <c r="W135" i="22"/>
  <c r="W129" i="22"/>
  <c r="L129" i="22"/>
  <c r="W133" i="22"/>
  <c r="W137" i="22"/>
  <c r="W132" i="22"/>
  <c r="L139" i="22"/>
  <c r="K139" i="22"/>
  <c r="L140" i="22"/>
  <c r="K140" i="22"/>
  <c r="L136" i="22"/>
  <c r="L137" i="22"/>
  <c r="L138" i="22"/>
  <c r="K132" i="22"/>
  <c r="K133" i="22"/>
  <c r="K135" i="22"/>
  <c r="K136" i="22"/>
  <c r="K137" i="22"/>
  <c r="K138" i="22"/>
  <c r="W138" i="22"/>
  <c r="W139" i="22"/>
  <c r="W140" i="22"/>
  <c r="K129" i="22"/>
  <c r="BD13" i="69" l="1"/>
  <c r="AK30" i="57"/>
  <c r="AJ26" i="57"/>
  <c r="AA27" i="53"/>
  <c r="BC16" i="69"/>
  <c r="BE16" i="69"/>
  <c r="BF16" i="69"/>
  <c r="BD16" i="69"/>
  <c r="BC15" i="69"/>
  <c r="BF15" i="69"/>
  <c r="BD15" i="69"/>
  <c r="BE15" i="69"/>
  <c r="P31" i="57"/>
  <c r="AH31" i="57"/>
  <c r="AI31" i="57" s="1"/>
  <c r="K31" i="57"/>
  <c r="AX14" i="69"/>
  <c r="AW14" i="69"/>
  <c r="AX13" i="69"/>
  <c r="AW13" i="69"/>
  <c r="AX12" i="69"/>
  <c r="AW12" i="69"/>
  <c r="L15" i="69"/>
  <c r="M15" i="69" s="1"/>
  <c r="AZ15" i="69"/>
  <c r="L16" i="69"/>
  <c r="M16" i="69" s="1"/>
  <c r="AZ16" i="69"/>
  <c r="F14" i="69"/>
  <c r="G14" i="69" s="1"/>
  <c r="H14" i="69" s="1"/>
  <c r="I14" i="69" s="1"/>
  <c r="J14" i="69" s="1"/>
  <c r="K14" i="69" s="1"/>
  <c r="F13" i="69"/>
  <c r="G13" i="69" s="1"/>
  <c r="H13" i="69" s="1"/>
  <c r="I13" i="69" s="1"/>
  <c r="J13" i="69" s="1"/>
  <c r="K13" i="69" s="1"/>
  <c r="F12" i="69"/>
  <c r="G12" i="69" s="1"/>
  <c r="H12" i="69" s="1"/>
  <c r="I12" i="69" s="1"/>
  <c r="J12" i="69" s="1"/>
  <c r="U14" i="69"/>
  <c r="AH14" i="69"/>
  <c r="AG28" i="57"/>
  <c r="X28" i="57"/>
  <c r="AB28" i="57" s="1"/>
  <c r="X28" i="53"/>
  <c r="AB28" i="53" s="1"/>
  <c r="X29" i="53"/>
  <c r="AB29" i="53" s="1"/>
  <c r="R29" i="57"/>
  <c r="AC31" i="53"/>
  <c r="O31" i="53"/>
  <c r="AD29" i="57"/>
  <c r="AQ29" i="57"/>
  <c r="Q29" i="57"/>
  <c r="U13" i="69"/>
  <c r="N31" i="53"/>
  <c r="AA27" i="57"/>
  <c r="AE27" i="57" s="1"/>
  <c r="AF27" i="57" s="1"/>
  <c r="AC27" i="57"/>
  <c r="N30" i="57"/>
  <c r="AG28" i="53"/>
  <c r="AG29" i="53"/>
  <c r="AE27" i="53"/>
  <c r="AF27" i="53" s="1"/>
  <c r="R30" i="53"/>
  <c r="X30" i="53" s="1"/>
  <c r="AB30" i="53" s="1"/>
  <c r="AY14" i="69"/>
  <c r="AY13" i="69"/>
  <c r="L31" i="57"/>
  <c r="AT30" i="53"/>
  <c r="AD30" i="53"/>
  <c r="Q30" i="53"/>
  <c r="AK30" i="52" a="1"/>
  <c r="AK30" i="52" s="1"/>
  <c r="B32" i="53" s="1"/>
  <c r="F31" i="53"/>
  <c r="K31" i="53"/>
  <c r="AH31" i="53" s="1"/>
  <c r="P31" i="53"/>
  <c r="H31" i="53"/>
  <c r="L31" i="53"/>
  <c r="J31" i="53"/>
  <c r="I31" i="53"/>
  <c r="C31" i="53"/>
  <c r="E31" i="53"/>
  <c r="G31" i="53"/>
  <c r="D31" i="53"/>
  <c r="I31" i="57"/>
  <c r="F31" i="57"/>
  <c r="C31" i="57"/>
  <c r="E31" i="57"/>
  <c r="J31" i="57"/>
  <c r="H31" i="57"/>
  <c r="D31" i="57"/>
  <c r="G31" i="57"/>
  <c r="AN30" i="55" a="1"/>
  <c r="AN30" i="55" s="1"/>
  <c r="B32" i="57" s="1"/>
  <c r="O32" i="57" s="1"/>
  <c r="AE14" i="69"/>
  <c r="R14" i="69"/>
  <c r="S14" i="69" s="1"/>
  <c r="AS15" i="67" a="1"/>
  <c r="AS15" i="67" s="1"/>
  <c r="AE13" i="69"/>
  <c r="R13" i="69"/>
  <c r="S13" i="69" s="1"/>
  <c r="C15" i="69"/>
  <c r="AP15" i="69" s="1"/>
  <c r="C16" i="69"/>
  <c r="AP16" i="69" s="1"/>
  <c r="AR19" i="67" a="1"/>
  <c r="AR19" i="67" s="1"/>
  <c r="E124" i="28"/>
  <c r="D124" i="28"/>
  <c r="C124" i="28"/>
  <c r="B124" i="28"/>
  <c r="D131" i="22"/>
  <c r="C131" i="22"/>
  <c r="AK31" i="57" l="1"/>
  <c r="AJ27" i="57"/>
  <c r="AA28" i="53"/>
  <c r="P16" i="69"/>
  <c r="P15" i="69"/>
  <c r="P32" i="57"/>
  <c r="AH32" i="57"/>
  <c r="AI32" i="57" s="1"/>
  <c r="K32" i="57"/>
  <c r="Q15" i="69"/>
  <c r="Q16" i="69"/>
  <c r="O12" i="69"/>
  <c r="P12" i="69" s="1"/>
  <c r="AA29" i="53"/>
  <c r="AG29" i="57"/>
  <c r="X29" i="57"/>
  <c r="AB29" i="57" s="1"/>
  <c r="AA30" i="53"/>
  <c r="R30" i="57"/>
  <c r="O32" i="53"/>
  <c r="AD30" i="57"/>
  <c r="AQ30" i="57"/>
  <c r="Q30" i="57"/>
  <c r="N32" i="53"/>
  <c r="O14" i="69"/>
  <c r="O13" i="69"/>
  <c r="P13" i="69" s="1"/>
  <c r="K12" i="69"/>
  <c r="AA28" i="57"/>
  <c r="AE28" i="57" s="1"/>
  <c r="AF28" i="57" s="1"/>
  <c r="AC28" i="57"/>
  <c r="N31" i="57"/>
  <c r="AE29" i="53"/>
  <c r="AF29" i="53" s="1"/>
  <c r="AE28" i="53"/>
  <c r="AF28" i="53" s="1"/>
  <c r="AG30" i="53"/>
  <c r="R31" i="53"/>
  <c r="X31" i="53" s="1"/>
  <c r="AB31" i="53" s="1"/>
  <c r="L32" i="57"/>
  <c r="AT31" i="53"/>
  <c r="AD31" i="53"/>
  <c r="AK31" i="52" a="1"/>
  <c r="AK31" i="52" s="1"/>
  <c r="B33" i="53" s="1"/>
  <c r="L32" i="53"/>
  <c r="C32" i="53"/>
  <c r="G32" i="53"/>
  <c r="P32" i="53"/>
  <c r="E32" i="53"/>
  <c r="F32" i="53"/>
  <c r="Q31" i="53"/>
  <c r="J32" i="53"/>
  <c r="I32" i="53"/>
  <c r="H32" i="53"/>
  <c r="D32" i="53"/>
  <c r="K32" i="53"/>
  <c r="AH32" i="53" s="1"/>
  <c r="H32" i="57"/>
  <c r="G32" i="57"/>
  <c r="E32" i="57"/>
  <c r="D32" i="57"/>
  <c r="C32" i="57"/>
  <c r="I32" i="57"/>
  <c r="F32" i="57"/>
  <c r="J32" i="57"/>
  <c r="AN31" i="55" a="1"/>
  <c r="AN31" i="55" s="1"/>
  <c r="B33" i="57" s="1"/>
  <c r="O33" i="57" s="1"/>
  <c r="AS16" i="67" a="1"/>
  <c r="AS16" i="67" s="1"/>
  <c r="B18" i="69" s="1"/>
  <c r="AM18" i="69" s="1"/>
  <c r="AN18" i="69" s="1"/>
  <c r="B17" i="69"/>
  <c r="AM17" i="69" s="1"/>
  <c r="AN17" i="69" s="1"/>
  <c r="D16" i="69"/>
  <c r="E16" i="69" s="1"/>
  <c r="D15" i="69"/>
  <c r="AR20" i="67" a="1"/>
  <c r="AR20" i="67" s="1"/>
  <c r="W131" i="22"/>
  <c r="K131" i="22"/>
  <c r="L131" i="22"/>
  <c r="Y4" i="28"/>
  <c r="Z4" i="28" s="1"/>
  <c r="Y5" i="28"/>
  <c r="Y6" i="28"/>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AK32" i="57" l="1"/>
  <c r="AJ28" i="57"/>
  <c r="BC18" i="69"/>
  <c r="BE18" i="69"/>
  <c r="BF18" i="69"/>
  <c r="BD18" i="69"/>
  <c r="BC17" i="69"/>
  <c r="BE17" i="69"/>
  <c r="BF17" i="69"/>
  <c r="BD17" i="69"/>
  <c r="P33" i="57"/>
  <c r="AH33" i="57"/>
  <c r="AI33" i="57" s="1"/>
  <c r="K33" i="57"/>
  <c r="AW16" i="69"/>
  <c r="AX16" i="69"/>
  <c r="Y12" i="69"/>
  <c r="AB12" i="69" s="1"/>
  <c r="AC12" i="69" s="1"/>
  <c r="L17" i="69"/>
  <c r="M17" i="69" s="1"/>
  <c r="AZ17" i="69"/>
  <c r="L18" i="69"/>
  <c r="M18" i="69" s="1"/>
  <c r="AZ18" i="69"/>
  <c r="AH15" i="69"/>
  <c r="F16" i="69"/>
  <c r="G16" i="69" s="1"/>
  <c r="H16" i="69" s="1"/>
  <c r="I16" i="69" s="1"/>
  <c r="J16" i="69" s="1"/>
  <c r="K16" i="69" s="1"/>
  <c r="U16" i="69"/>
  <c r="AH16" i="69"/>
  <c r="Y13" i="69"/>
  <c r="AB13" i="69" s="1"/>
  <c r="AC13" i="69" s="1"/>
  <c r="Y14" i="69"/>
  <c r="AB14" i="69" s="1"/>
  <c r="AC14" i="69" s="1"/>
  <c r="AD14" i="69" s="1"/>
  <c r="AG30" i="57"/>
  <c r="X30" i="57"/>
  <c r="AB30" i="57" s="1"/>
  <c r="AA31" i="53"/>
  <c r="R31" i="57"/>
  <c r="O33" i="53"/>
  <c r="AQ31" i="57"/>
  <c r="Q31" i="57"/>
  <c r="AD31" i="57"/>
  <c r="U15" i="69"/>
  <c r="N33" i="53"/>
  <c r="AF14" i="69"/>
  <c r="U11" i="46"/>
  <c r="AA29" i="57"/>
  <c r="AE29" i="57" s="1"/>
  <c r="AF29" i="57" s="1"/>
  <c r="AC29" i="57"/>
  <c r="N32" i="57"/>
  <c r="AG31" i="53"/>
  <c r="AC32" i="53"/>
  <c r="W7" i="78"/>
  <c r="U7" i="78"/>
  <c r="U10" i="78" s="1"/>
  <c r="W6" i="78"/>
  <c r="U6" i="78"/>
  <c r="AY15" i="69"/>
  <c r="AY16" i="69"/>
  <c r="L33" i="57"/>
  <c r="K33" i="53"/>
  <c r="AH33" i="53" s="1"/>
  <c r="AK32" i="52" a="1"/>
  <c r="AK32" i="52" s="1"/>
  <c r="B34" i="53" s="1"/>
  <c r="H33" i="53"/>
  <c r="G33" i="53"/>
  <c r="L33" i="53"/>
  <c r="F33" i="53"/>
  <c r="I33" i="53"/>
  <c r="J33" i="53"/>
  <c r="E33" i="53"/>
  <c r="P33" i="53"/>
  <c r="D33" i="53"/>
  <c r="C33" i="53"/>
  <c r="J33" i="57"/>
  <c r="E33" i="57"/>
  <c r="C33" i="57"/>
  <c r="H33" i="57"/>
  <c r="I33" i="57"/>
  <c r="D33" i="57"/>
  <c r="F33" i="57"/>
  <c r="G33" i="57"/>
  <c r="AN32" i="55" a="1"/>
  <c r="AN32" i="55" s="1"/>
  <c r="B34" i="57" s="1"/>
  <c r="O34" i="57" s="1"/>
  <c r="AS17" i="67" a="1"/>
  <c r="AS17" i="67" s="1"/>
  <c r="B19" i="69" s="1"/>
  <c r="AM19" i="69" s="1"/>
  <c r="AN19" i="69" s="1"/>
  <c r="C17" i="69"/>
  <c r="C18" i="69"/>
  <c r="AE16" i="69"/>
  <c r="R16" i="69"/>
  <c r="S16" i="69" s="1"/>
  <c r="AE15" i="69"/>
  <c r="R15" i="69"/>
  <c r="S15" i="69" s="1"/>
  <c r="E15" i="69"/>
  <c r="AR21" i="67" a="1"/>
  <c r="AR21" i="67" s="1"/>
  <c r="AR22" i="67" s="1" a="1"/>
  <c r="AR22" i="67" s="1"/>
  <c r="AR23" i="67" s="1" a="1"/>
  <c r="AR23" i="67" s="1"/>
  <c r="AR24" i="67" s="1" a="1"/>
  <c r="AR24" i="67" s="1"/>
  <c r="AR25" i="67" s="1" a="1"/>
  <c r="AR25" i="67" s="1"/>
  <c r="AR26" i="67" s="1" a="1"/>
  <c r="AR26" i="67" s="1"/>
  <c r="AR27" i="67" s="1" a="1"/>
  <c r="AR27" i="67" s="1"/>
  <c r="AR28" i="67" s="1" a="1"/>
  <c r="AR28" i="67" s="1"/>
  <c r="AR29" i="67" s="1" a="1"/>
  <c r="AR29" i="67" s="1"/>
  <c r="AR30" i="67" s="1" a="1"/>
  <c r="AR30" i="67" s="1"/>
  <c r="AR31" i="67" s="1" a="1"/>
  <c r="AR31" i="67" s="1"/>
  <c r="AR32" i="67" s="1" a="1"/>
  <c r="AR32" i="67" s="1"/>
  <c r="AR33" i="67" s="1" a="1"/>
  <c r="AR33" i="67" s="1"/>
  <c r="AR34" i="67" s="1" a="1"/>
  <c r="AR34" i="67" s="1"/>
  <c r="AR35" i="67" s="1" a="1"/>
  <c r="AR35" i="67" s="1"/>
  <c r="AR36" i="67" s="1" a="1"/>
  <c r="AR36" i="67" s="1"/>
  <c r="AR37" i="67" s="1" a="1"/>
  <c r="AR37" i="67" s="1"/>
  <c r="AR38" i="67" s="1" a="1"/>
  <c r="AR38" i="67" s="1"/>
  <c r="AR39" i="67" s="1" a="1"/>
  <c r="AR39" i="67" s="1"/>
  <c r="AR40" i="67" s="1" a="1"/>
  <c r="AR40" i="67" s="1"/>
  <c r="AR41" i="67" s="1" a="1"/>
  <c r="AR41" i="67" s="1"/>
  <c r="AR42" i="67" s="1" a="1"/>
  <c r="AR42" i="67" s="1"/>
  <c r="AR43" i="67" s="1" a="1"/>
  <c r="AR43" i="67" s="1"/>
  <c r="AR44" i="67" s="1" a="1"/>
  <c r="AR44" i="67" s="1"/>
  <c r="AR45" i="67" s="1" a="1"/>
  <c r="AR45" i="67" s="1"/>
  <c r="AR46" i="67" s="1" a="1"/>
  <c r="AR46" i="67" s="1"/>
  <c r="AR47" i="67" s="1" a="1"/>
  <c r="AR47" i="67" s="1"/>
  <c r="AR48" i="67" s="1" a="1"/>
  <c r="AR48" i="67" s="1"/>
  <c r="AR49" i="67" s="1" a="1"/>
  <c r="AR49" i="67" s="1"/>
  <c r="AR50" i="67" s="1" a="1"/>
  <c r="AR50" i="67" s="1"/>
  <c r="AR51" i="67" s="1" a="1"/>
  <c r="AR51" i="67" s="1"/>
  <c r="AR52" i="67" s="1" a="1"/>
  <c r="AR52" i="67" s="1"/>
  <c r="AR53" i="67" s="1" a="1"/>
  <c r="AR53" i="67" s="1"/>
  <c r="AR54" i="67" s="1" a="1"/>
  <c r="AR54" i="67" s="1"/>
  <c r="AR55" i="67" s="1" a="1"/>
  <c r="AR55" i="67" s="1"/>
  <c r="AR56" i="67" s="1" a="1"/>
  <c r="AR56" i="67" s="1"/>
  <c r="AR57" i="67" s="1" a="1"/>
  <c r="AR57" i="67" s="1"/>
  <c r="AR58" i="67" s="1" a="1"/>
  <c r="AR58" i="67" s="1"/>
  <c r="AR59" i="67" s="1" a="1"/>
  <c r="AR59" i="67" s="1"/>
  <c r="AR60" i="67" s="1" a="1"/>
  <c r="AR60" i="67" s="1"/>
  <c r="AR61" i="67" s="1" a="1"/>
  <c r="AR61" i="67" s="1"/>
  <c r="AR62" i="67" s="1" a="1"/>
  <c r="AR62" i="67" s="1"/>
  <c r="AR63" i="67" s="1" a="1"/>
  <c r="AR63" i="67" s="1"/>
  <c r="AR64" i="67" s="1" a="1"/>
  <c r="AR64" i="67" s="1"/>
  <c r="AR65" i="67" s="1" a="1"/>
  <c r="AR65" i="67" s="1"/>
  <c r="AR66" i="67" s="1" a="1"/>
  <c r="AR66" i="67" s="1"/>
  <c r="AR67" i="67" s="1" a="1"/>
  <c r="AR67" i="67" s="1"/>
  <c r="AR68" i="67" s="1" a="1"/>
  <c r="AR68" i="67" s="1"/>
  <c r="AR69" i="67" s="1" a="1"/>
  <c r="AR69" i="67" s="1"/>
  <c r="AR70" i="67" s="1" a="1"/>
  <c r="AR70" i="67" s="1"/>
  <c r="AR71" i="67" s="1" a="1"/>
  <c r="AR71" i="67" s="1"/>
  <c r="AR72" i="67" s="1" a="1"/>
  <c r="AR72" i="67" s="1"/>
  <c r="AR73" i="67" s="1" a="1"/>
  <c r="AR73" i="67" s="1"/>
  <c r="AR74" i="67" s="1" a="1"/>
  <c r="AR74" i="67" s="1"/>
  <c r="AR75" i="67" s="1" a="1"/>
  <c r="AR75" i="67" s="1"/>
  <c r="AR76" i="67" s="1" a="1"/>
  <c r="AR76" i="67" s="1"/>
  <c r="AR77" i="67" s="1" a="1"/>
  <c r="AR77" i="67" s="1"/>
  <c r="AR78" i="67" s="1" a="1"/>
  <c r="AR78" i="67" s="1"/>
  <c r="AR79" i="67" s="1" a="1"/>
  <c r="AR79" i="67" s="1"/>
  <c r="AR80" i="67" s="1" a="1"/>
  <c r="AR80" i="67" s="1"/>
  <c r="AR81" i="67" s="1" a="1"/>
  <c r="AR81" i="67" s="1"/>
  <c r="AR82" i="67" s="1" a="1"/>
  <c r="AR82" i="67" s="1"/>
  <c r="AR83" i="67" s="1" a="1"/>
  <c r="AR83" i="67" s="1"/>
  <c r="AR84" i="67" s="1" a="1"/>
  <c r="AR84" i="67" s="1"/>
  <c r="AR85" i="67" s="1" a="1"/>
  <c r="AR85" i="67" s="1"/>
  <c r="AR86" i="67" s="1" a="1"/>
  <c r="AR86" i="67" s="1"/>
  <c r="AR87" i="67" s="1" a="1"/>
  <c r="AR87" i="67" s="1"/>
  <c r="AR88" i="67" s="1" a="1"/>
  <c r="AR88" i="67" s="1"/>
  <c r="AR89" i="67" s="1" a="1"/>
  <c r="AR89" i="67" s="1"/>
  <c r="AR90" i="67" s="1" a="1"/>
  <c r="AR90" i="67" s="1"/>
  <c r="AR91" i="67" s="1" a="1"/>
  <c r="AR91" i="67" s="1"/>
  <c r="AR92" i="67" s="1" a="1"/>
  <c r="AR92" i="67" s="1"/>
  <c r="AR93" i="67" s="1" a="1"/>
  <c r="AR93" i="67" s="1"/>
  <c r="AR94" i="67" s="1" a="1"/>
  <c r="AR94" i="67" s="1"/>
  <c r="AR95" i="67" s="1" a="1"/>
  <c r="AR95" i="67" s="1"/>
  <c r="AR96" i="67" s="1" a="1"/>
  <c r="AR96" i="67" s="1"/>
  <c r="AR97" i="67" s="1" a="1"/>
  <c r="AR97" i="67" s="1"/>
  <c r="AR98" i="67" s="1" a="1"/>
  <c r="AR98" i="67" s="1"/>
  <c r="AR99" i="67" s="1" a="1"/>
  <c r="AR99" i="67" s="1"/>
  <c r="AR100" i="67" s="1" a="1"/>
  <c r="AR100" i="67" s="1"/>
  <c r="AR101" i="67" s="1" a="1"/>
  <c r="AR101" i="67" s="1"/>
  <c r="AR102" i="67" s="1" a="1"/>
  <c r="AR102" i="67" s="1"/>
  <c r="AR103" i="67" s="1" a="1"/>
  <c r="AR103" i="67" s="1"/>
  <c r="AR104" i="67" s="1" a="1"/>
  <c r="AR104" i="67" s="1"/>
  <c r="AR105" i="67" s="1" a="1"/>
  <c r="AR105" i="67" s="1"/>
  <c r="AR106" i="67" s="1" a="1"/>
  <c r="AR106" i="67" s="1"/>
  <c r="AR107" i="67" s="1" a="1"/>
  <c r="AR107" i="67" s="1"/>
  <c r="AR108" i="67" s="1" a="1"/>
  <c r="AR108" i="67" s="1"/>
  <c r="AR109" i="67" s="1" a="1"/>
  <c r="AR109" i="67" s="1"/>
  <c r="AR110" i="67" s="1" a="1"/>
  <c r="AR110" i="67" s="1"/>
  <c r="AR111" i="67" s="1" a="1"/>
  <c r="AR111" i="67" s="1"/>
  <c r="AR112" i="67" s="1" a="1"/>
  <c r="AR112" i="67" s="1"/>
  <c r="AR113" i="67" s="1" a="1"/>
  <c r="AR113" i="67" s="1"/>
  <c r="AR114" i="67" s="1" a="1"/>
  <c r="AR114" i="67" s="1"/>
  <c r="AR115" i="67" s="1" a="1"/>
  <c r="AR115" i="67" s="1"/>
  <c r="AR116" i="67" s="1" a="1"/>
  <c r="AR116" i="67" s="1"/>
  <c r="AR117" i="67" s="1" a="1"/>
  <c r="AR117" i="67" s="1"/>
  <c r="AR118" i="67" s="1" a="1"/>
  <c r="AR118" i="67" s="1"/>
  <c r="AR119" i="67" s="1" a="1"/>
  <c r="AR119" i="67" s="1"/>
  <c r="AR120" i="67" s="1" a="1"/>
  <c r="AR120" i="67" s="1"/>
  <c r="AR121" i="67" s="1" a="1"/>
  <c r="AR121" i="67" s="1"/>
  <c r="AR122" i="67" s="1" a="1"/>
  <c r="AR122" i="67" s="1"/>
  <c r="AR123" i="67" s="1" a="1"/>
  <c r="AR123" i="67" s="1"/>
  <c r="AR124" i="67" s="1" a="1"/>
  <c r="AR124" i="67" s="1"/>
  <c r="AR125" i="67" s="1" a="1"/>
  <c r="AR125" i="67" s="1"/>
  <c r="AR126" i="67" s="1" a="1"/>
  <c r="AR126" i="67" s="1"/>
  <c r="AR127" i="67" s="1" a="1"/>
  <c r="AR127" i="67" s="1"/>
  <c r="AR128" i="67" s="1" a="1"/>
  <c r="AR128" i="67" s="1"/>
  <c r="AR129" i="67" s="1" a="1"/>
  <c r="AR129" i="67" s="1"/>
  <c r="AR130" i="67" s="1" a="1"/>
  <c r="AR130" i="67" s="1"/>
  <c r="AR131" i="67" s="1" a="1"/>
  <c r="AR131" i="67" s="1"/>
  <c r="AR132" i="67" s="1" a="1"/>
  <c r="AR132" i="67" s="1"/>
  <c r="AR133" i="67" s="1" a="1"/>
  <c r="AR133" i="67" s="1"/>
  <c r="AR134" i="67" s="1" a="1"/>
  <c r="AR134" i="67" s="1"/>
  <c r="AR135" i="67" s="1" a="1"/>
  <c r="AR135" i="67" s="1"/>
  <c r="AR136" i="67" s="1" a="1"/>
  <c r="AR136" i="67" s="1"/>
  <c r="AR137" i="67" s="1" a="1"/>
  <c r="AR137" i="67" s="1"/>
  <c r="AR138" i="67" s="1" a="1"/>
  <c r="AR138" i="67" s="1"/>
  <c r="AR139" i="67" s="1" a="1"/>
  <c r="AR139" i="67" s="1"/>
  <c r="AR140" i="67" s="1" a="1"/>
  <c r="AR140" i="67" s="1"/>
  <c r="AR141" i="67" s="1" a="1"/>
  <c r="AR141" i="67" s="1"/>
  <c r="AR142" i="67" s="1" a="1"/>
  <c r="AR142" i="67" s="1"/>
  <c r="AR143" i="67" s="1" a="1"/>
  <c r="AR143" i="67" s="1"/>
  <c r="AR144" i="67" s="1" a="1"/>
  <c r="AR144" i="67" s="1"/>
  <c r="AR145" i="67" s="1" a="1"/>
  <c r="AR145" i="67" s="1"/>
  <c r="AR146" i="67" s="1" a="1"/>
  <c r="AR146" i="67" s="1"/>
  <c r="AR147" i="67" s="1" a="1"/>
  <c r="AR147" i="67" s="1"/>
  <c r="AR148" i="67" s="1" a="1"/>
  <c r="AR148" i="67" s="1"/>
  <c r="AR149" i="67" s="1" a="1"/>
  <c r="AR149" i="67" s="1"/>
  <c r="AR150" i="67" s="1" a="1"/>
  <c r="AR150" i="67" s="1"/>
  <c r="AR151" i="67" s="1" a="1"/>
  <c r="AR151" i="67" s="1"/>
  <c r="AR152" i="67" s="1" a="1"/>
  <c r="AR152" i="67" s="1"/>
  <c r="AR153" i="67" s="1" a="1"/>
  <c r="AR153" i="67" s="1"/>
  <c r="AR154" i="67" s="1" a="1"/>
  <c r="AR154" i="67" s="1"/>
  <c r="AR155" i="67" s="1" a="1"/>
  <c r="AR155" i="67" s="1"/>
  <c r="AR156" i="67" s="1" a="1"/>
  <c r="AR156" i="67" s="1"/>
  <c r="AR157" i="67" s="1" a="1"/>
  <c r="AR157" i="67" s="1"/>
  <c r="AR158" i="67" s="1" a="1"/>
  <c r="AR158" i="67" s="1"/>
  <c r="AR159" i="67" s="1" a="1"/>
  <c r="AR159" i="67" s="1"/>
  <c r="AR160" i="67" s="1" a="1"/>
  <c r="AR160" i="67" s="1"/>
  <c r="AR161" i="67" s="1" a="1"/>
  <c r="AR161" i="67" s="1"/>
  <c r="AR162" i="67" s="1" a="1"/>
  <c r="AR162" i="67" s="1"/>
  <c r="AR163" i="67" s="1" a="1"/>
  <c r="AR163" i="67" s="1"/>
  <c r="AR164" i="67" s="1" a="1"/>
  <c r="AR164" i="67" s="1"/>
  <c r="AR165" i="67" s="1" a="1"/>
  <c r="AR165" i="67" s="1"/>
  <c r="AR166" i="67" s="1" a="1"/>
  <c r="AR166" i="67" s="1"/>
  <c r="AR167" i="67" s="1" a="1"/>
  <c r="AR167" i="67" s="1"/>
  <c r="AR168" i="67" s="1" a="1"/>
  <c r="AR168" i="67" s="1"/>
  <c r="AR169" i="67" s="1" a="1"/>
  <c r="AR169" i="67" s="1"/>
  <c r="AR170" i="67" s="1" a="1"/>
  <c r="AR170" i="67" s="1"/>
  <c r="AR171" i="67" s="1" a="1"/>
  <c r="AR171" i="67" s="1"/>
  <c r="AR172" i="67" s="1" a="1"/>
  <c r="AR172" i="67" s="1"/>
  <c r="AR173" i="67" s="1" a="1"/>
  <c r="AR173" i="67" s="1"/>
  <c r="AR174" i="67" s="1" a="1"/>
  <c r="AR174" i="67" s="1"/>
  <c r="AR175" i="67" s="1" a="1"/>
  <c r="AR175" i="67" s="1"/>
  <c r="AR176" i="67" s="1" a="1"/>
  <c r="AR176" i="67" s="1"/>
  <c r="AR177" i="67" s="1" a="1"/>
  <c r="AR177" i="67" s="1"/>
  <c r="AR178" i="67" s="1" a="1"/>
  <c r="AR178" i="67" s="1"/>
  <c r="AR179" i="67" s="1" a="1"/>
  <c r="AR179" i="67" s="1"/>
  <c r="AR180" i="67" s="1" a="1"/>
  <c r="AR180" i="67" s="1"/>
  <c r="AR181" i="67" s="1" a="1"/>
  <c r="AR181" i="67" s="1"/>
  <c r="AR182" i="67" s="1" a="1"/>
  <c r="AR182" i="67" s="1"/>
  <c r="AR183" i="67" s="1" a="1"/>
  <c r="AR183" i="67" s="1"/>
  <c r="AR184" i="67" s="1" a="1"/>
  <c r="AR184" i="67" s="1"/>
  <c r="AR185" i="67" s="1" a="1"/>
  <c r="AR185" i="67" s="1"/>
  <c r="AR186" i="67" s="1" a="1"/>
  <c r="AR186" i="67" s="1"/>
  <c r="AR187" i="67" s="1" a="1"/>
  <c r="AR187" i="67" s="1"/>
  <c r="AR188" i="67" s="1" a="1"/>
  <c r="AR188" i="67" s="1"/>
  <c r="AR189" i="67" s="1" a="1"/>
  <c r="AR189" i="67" s="1"/>
  <c r="AR190" i="67" s="1" a="1"/>
  <c r="AR190" i="67" s="1"/>
  <c r="AR191" i="67" s="1" a="1"/>
  <c r="AR191" i="67" s="1"/>
  <c r="AR192" i="67" s="1" a="1"/>
  <c r="AR192" i="67" s="1"/>
  <c r="AR193" i="67" s="1" a="1"/>
  <c r="AR193" i="67" s="1"/>
  <c r="AR194" i="67" s="1" a="1"/>
  <c r="AR194" i="67" s="1"/>
  <c r="AR195" i="67" s="1" a="1"/>
  <c r="AR195" i="67" s="1"/>
  <c r="AR196" i="67" s="1" a="1"/>
  <c r="AR196" i="67" s="1"/>
  <c r="AR197" i="67" s="1" a="1"/>
  <c r="AR197" i="67" s="1"/>
  <c r="AR198" i="67" s="1" a="1"/>
  <c r="AR198" i="67" s="1"/>
  <c r="AR199" i="67" s="1" a="1"/>
  <c r="AR199" i="67" s="1"/>
  <c r="AR200" i="67" s="1" a="1"/>
  <c r="AR200" i="67" s="1"/>
  <c r="AR201" i="67" s="1" a="1"/>
  <c r="AR201" i="67" s="1"/>
  <c r="AR202" i="67" s="1" a="1"/>
  <c r="AR202" i="67" s="1"/>
  <c r="AR203" i="67" s="1" a="1"/>
  <c r="AR203" i="67" s="1"/>
  <c r="AR204" i="67" s="1" a="1"/>
  <c r="AR204" i="67" s="1"/>
  <c r="AR205" i="67" s="1" a="1"/>
  <c r="AR205" i="67" s="1"/>
  <c r="AR206" i="67" s="1" a="1"/>
  <c r="AR206" i="67" s="1"/>
  <c r="AR207" i="67" s="1" a="1"/>
  <c r="AR207" i="67" s="1"/>
  <c r="AR208" i="67" s="1" a="1"/>
  <c r="AR208" i="67" s="1"/>
  <c r="AR209" i="67" s="1" a="1"/>
  <c r="AR209" i="67" s="1"/>
  <c r="AR210" i="67" s="1" a="1"/>
  <c r="AR210" i="67" s="1"/>
  <c r="AR211" i="67" s="1" a="1"/>
  <c r="AR211" i="67" s="1"/>
  <c r="AR212" i="67" s="1" a="1"/>
  <c r="AR212" i="67" s="1"/>
  <c r="AR213" i="67" s="1" a="1"/>
  <c r="AR213" i="67" s="1"/>
  <c r="AR214" i="67" s="1" a="1"/>
  <c r="AR214" i="67" s="1"/>
  <c r="AR215" i="67" s="1" a="1"/>
  <c r="AR215" i="67" s="1"/>
  <c r="AR216" i="67" s="1" a="1"/>
  <c r="AR216" i="67" s="1"/>
  <c r="AR217" i="67" s="1" a="1"/>
  <c r="AR217" i="67" s="1"/>
  <c r="AR218" i="67" s="1" a="1"/>
  <c r="AR218" i="67" s="1"/>
  <c r="AR219" i="67" s="1" a="1"/>
  <c r="AR219" i="67" s="1"/>
  <c r="AR220" i="67" s="1" a="1"/>
  <c r="AR220" i="67" s="1"/>
  <c r="AR221" i="67" s="1" a="1"/>
  <c r="AR221" i="67" s="1"/>
  <c r="AR222" i="67" s="1" a="1"/>
  <c r="AR222" i="67" s="1"/>
  <c r="AR223" i="67" s="1" a="1"/>
  <c r="AR223" i="67" s="1"/>
  <c r="AR224" i="67" s="1" a="1"/>
  <c r="AR224" i="67" s="1"/>
  <c r="AR225" i="67" s="1" a="1"/>
  <c r="AR225" i="67" s="1"/>
  <c r="AR226" i="67" s="1" a="1"/>
  <c r="AR226" i="67" s="1"/>
  <c r="AR227" i="67" s="1" a="1"/>
  <c r="AR227" i="67" s="1"/>
  <c r="AR228" i="67" s="1" a="1"/>
  <c r="AR228" i="67" s="1"/>
  <c r="AR229" i="67" s="1" a="1"/>
  <c r="AR229" i="67" s="1"/>
  <c r="AR230" i="67" s="1" a="1"/>
  <c r="AR230" i="67" s="1"/>
  <c r="AR231" i="67" s="1" a="1"/>
  <c r="AR231" i="67" s="1"/>
  <c r="AR232" i="67" s="1" a="1"/>
  <c r="AR232" i="67" s="1"/>
  <c r="AR233" i="67" s="1" a="1"/>
  <c r="AR233" i="67" s="1"/>
  <c r="AR234" i="67" s="1" a="1"/>
  <c r="AR234" i="67" s="1"/>
  <c r="AR235" i="67" s="1" a="1"/>
  <c r="AR235" i="67" s="1"/>
  <c r="AR236" i="67" s="1" a="1"/>
  <c r="AR236" i="67" s="1"/>
  <c r="AR237" i="67" s="1" a="1"/>
  <c r="AR237" i="67" s="1"/>
  <c r="AR238" i="67" s="1" a="1"/>
  <c r="AR238" i="67" s="1"/>
  <c r="AR239" i="67" s="1" a="1"/>
  <c r="AR239" i="67" s="1"/>
  <c r="AR240" i="67" s="1" a="1"/>
  <c r="AR240" i="67" s="1"/>
  <c r="AR241" i="67" s="1" a="1"/>
  <c r="AR241" i="67" s="1"/>
  <c r="AR242" i="67" s="1" a="1"/>
  <c r="AR242" i="67" s="1"/>
  <c r="AR243" i="67" s="1" a="1"/>
  <c r="AR243" i="67" s="1"/>
  <c r="AR244" i="67" s="1" a="1"/>
  <c r="AR244" i="67" s="1"/>
  <c r="AR245" i="67" s="1" a="1"/>
  <c r="AR245" i="67" s="1"/>
  <c r="AR246" i="67" s="1" a="1"/>
  <c r="AR246" i="67" s="1"/>
  <c r="AR247" i="67" s="1" a="1"/>
  <c r="AR247" i="67" s="1"/>
  <c r="AR248" i="67" s="1" a="1"/>
  <c r="AR248" i="67" s="1"/>
  <c r="AR249" i="67" s="1" a="1"/>
  <c r="AR249" i="67" s="1"/>
  <c r="AR250" i="67" s="1" a="1"/>
  <c r="AR250" i="67" s="1"/>
  <c r="AR251" i="67" s="1" a="1"/>
  <c r="AR251" i="67" s="1"/>
  <c r="AR252" i="67" s="1" a="1"/>
  <c r="AR252" i="67" s="1"/>
  <c r="AR253" i="67" s="1" a="1"/>
  <c r="AR253" i="67" s="1"/>
  <c r="AR254" i="67" s="1" a="1"/>
  <c r="AR254" i="67" s="1"/>
  <c r="AR255" i="67" s="1" a="1"/>
  <c r="AR255" i="67" s="1"/>
  <c r="AR256" i="67" s="1" a="1"/>
  <c r="AR256" i="67" s="1"/>
  <c r="AR257" i="67" s="1" a="1"/>
  <c r="AR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K33" i="57" l="1"/>
  <c r="P18" i="69"/>
  <c r="AP18" i="69"/>
  <c r="P17" i="69"/>
  <c r="AP17" i="69"/>
  <c r="AJ29" i="57"/>
  <c r="BC19" i="69"/>
  <c r="BD19" i="69"/>
  <c r="BE19" i="69"/>
  <c r="BF19" i="69"/>
  <c r="P34" i="57"/>
  <c r="AH34" i="57"/>
  <c r="AI34" i="57" s="1"/>
  <c r="K34" i="57"/>
  <c r="AX15" i="69"/>
  <c r="AW15" i="69"/>
  <c r="L19" i="69"/>
  <c r="M19" i="69" s="1"/>
  <c r="AZ19" i="69"/>
  <c r="F15" i="69"/>
  <c r="G15" i="69" s="1"/>
  <c r="H15" i="69" s="1"/>
  <c r="I15" i="69" s="1"/>
  <c r="J15" i="69" s="1"/>
  <c r="K15" i="69" s="1"/>
  <c r="Q18" i="69"/>
  <c r="W10" i="78"/>
  <c r="AG14" i="69"/>
  <c r="AG31" i="57"/>
  <c r="X31" i="57"/>
  <c r="AB31" i="57" s="1"/>
  <c r="AD32" i="57"/>
  <c r="O34" i="53"/>
  <c r="AQ32" i="57"/>
  <c r="Q32" i="57"/>
  <c r="R32" i="57"/>
  <c r="N34" i="53"/>
  <c r="O16" i="69"/>
  <c r="O15" i="69"/>
  <c r="AO14" i="69"/>
  <c r="AD13" i="69"/>
  <c r="AF13" i="69"/>
  <c r="AG13" i="69" s="1"/>
  <c r="AH13" i="69" s="1"/>
  <c r="AP13" i="69" s="1"/>
  <c r="AA30" i="57"/>
  <c r="AE30" i="57" s="1"/>
  <c r="AF30" i="57" s="1"/>
  <c r="AD12" i="69"/>
  <c r="AF12" i="69"/>
  <c r="AG12" i="69" s="1"/>
  <c r="AH12" i="69" s="1"/>
  <c r="AC30" i="57"/>
  <c r="N33" i="57"/>
  <c r="Q32" i="53"/>
  <c r="R32" i="53"/>
  <c r="X32" i="53" s="1"/>
  <c r="AB32" i="53" s="1"/>
  <c r="AD32" i="53"/>
  <c r="AT32" i="53"/>
  <c r="AE30" i="53"/>
  <c r="AF30" i="53" s="1"/>
  <c r="AC33" i="53"/>
  <c r="C19" i="69"/>
  <c r="L34" i="57"/>
  <c r="AK33" i="52" a="1"/>
  <c r="AK33" i="52" s="1"/>
  <c r="B35" i="53" s="1"/>
  <c r="F34" i="53"/>
  <c r="H34" i="53"/>
  <c r="D34" i="53"/>
  <c r="C34" i="53"/>
  <c r="L34" i="53"/>
  <c r="I34" i="53"/>
  <c r="G34" i="53"/>
  <c r="P34" i="53"/>
  <c r="K34" i="53"/>
  <c r="AH34" i="53" s="1"/>
  <c r="J34" i="53"/>
  <c r="E34" i="53"/>
  <c r="G34" i="57"/>
  <c r="E34" i="57"/>
  <c r="D34" i="57"/>
  <c r="C34" i="57"/>
  <c r="I34" i="57"/>
  <c r="H34" i="57"/>
  <c r="F34" i="57"/>
  <c r="J34" i="57"/>
  <c r="AN33" i="55" a="1"/>
  <c r="AN33" i="55" s="1"/>
  <c r="B35" i="57" s="1"/>
  <c r="O35" i="57" s="1"/>
  <c r="AS18" i="67" a="1"/>
  <c r="AS18" i="67" s="1"/>
  <c r="B20" i="69" s="1"/>
  <c r="AM20" i="69" s="1"/>
  <c r="AN20" i="69" s="1"/>
  <c r="D18" i="69"/>
  <c r="E18" i="69" s="1"/>
  <c r="D17" i="69"/>
  <c r="AP12" i="69" l="1"/>
  <c r="AG7" i="107" s="1"/>
  <c r="AK7" i="107" s="1"/>
  <c r="P19" i="69"/>
  <c r="AP19" i="69"/>
  <c r="AK34" i="57"/>
  <c r="AJ30" i="57"/>
  <c r="BC20" i="69"/>
  <c r="BD20" i="69"/>
  <c r="BE20" i="69"/>
  <c r="BF20" i="69"/>
  <c r="P35" i="57"/>
  <c r="AH35" i="57"/>
  <c r="AI35" i="57" s="1"/>
  <c r="K35" i="57"/>
  <c r="AX18" i="69"/>
  <c r="AW18" i="69"/>
  <c r="L20" i="69"/>
  <c r="M20" i="69" s="1"/>
  <c r="AZ20" i="69"/>
  <c r="AH17" i="69"/>
  <c r="Q17" i="69"/>
  <c r="F18" i="69"/>
  <c r="G18" i="69" s="1"/>
  <c r="H18" i="69" s="1"/>
  <c r="I18" i="69" s="1"/>
  <c r="J18" i="69" s="1"/>
  <c r="K18" i="69" s="1"/>
  <c r="U18" i="69"/>
  <c r="AH18" i="69"/>
  <c r="Y15" i="69"/>
  <c r="Y16" i="69"/>
  <c r="AB16" i="69" s="1"/>
  <c r="AC16" i="69" s="1"/>
  <c r="AD16" i="69" s="1"/>
  <c r="AG32" i="57"/>
  <c r="X32" i="57"/>
  <c r="AB32" i="57" s="1"/>
  <c r="O35" i="53"/>
  <c r="AD33" i="57"/>
  <c r="R33" i="57"/>
  <c r="AQ33" i="57"/>
  <c r="Q33" i="57"/>
  <c r="U17" i="69"/>
  <c r="N35" i="53"/>
  <c r="AA32" i="53"/>
  <c r="AF16" i="69"/>
  <c r="AO13" i="69"/>
  <c r="AO12" i="69"/>
  <c r="AH7" i="107" s="1"/>
  <c r="AA31" i="57"/>
  <c r="AE31" i="57" s="1"/>
  <c r="AF31" i="57" s="1"/>
  <c r="AC31" i="57"/>
  <c r="N34" i="57"/>
  <c r="AG32" i="53"/>
  <c r="AD33" i="53"/>
  <c r="AE31" i="53"/>
  <c r="AF31" i="53" s="1"/>
  <c r="AT33" i="53"/>
  <c r="AE32" i="53"/>
  <c r="AF32" i="53" s="1"/>
  <c r="Q33" i="53"/>
  <c r="R33" i="53"/>
  <c r="X33" i="53" s="1"/>
  <c r="AB33" i="53" s="1"/>
  <c r="D19" i="69"/>
  <c r="E19" i="69" s="1"/>
  <c r="AY18" i="69"/>
  <c r="AY17" i="69"/>
  <c r="L35" i="57"/>
  <c r="E35" i="53"/>
  <c r="J35" i="53"/>
  <c r="K35" i="53"/>
  <c r="AH35" i="53" s="1"/>
  <c r="P35" i="53"/>
  <c r="F35" i="53"/>
  <c r="D35" i="53"/>
  <c r="G35" i="53"/>
  <c r="H35" i="53"/>
  <c r="L35" i="53"/>
  <c r="AK34" i="52" a="1"/>
  <c r="AK34" i="52" s="1"/>
  <c r="B36" i="53" s="1"/>
  <c r="I35" i="53"/>
  <c r="C35" i="53"/>
  <c r="I35" i="57"/>
  <c r="F35" i="57"/>
  <c r="E35" i="57"/>
  <c r="C35" i="57"/>
  <c r="J35" i="57"/>
  <c r="H35" i="57"/>
  <c r="D35" i="57"/>
  <c r="G35" i="57"/>
  <c r="AN34" i="55" a="1"/>
  <c r="AN34" i="55" s="1"/>
  <c r="B36" i="57" s="1"/>
  <c r="O36" i="57" s="1"/>
  <c r="AS19" i="67" a="1"/>
  <c r="AS19" i="67" s="1"/>
  <c r="B21" i="69" s="1"/>
  <c r="AM21" i="69" s="1"/>
  <c r="AN21" i="69" s="1"/>
  <c r="C20" i="69"/>
  <c r="E17" i="69"/>
  <c r="AE17" i="69"/>
  <c r="R17" i="69"/>
  <c r="S17" i="69" s="1"/>
  <c r="AE18" i="69"/>
  <c r="R18" i="69"/>
  <c r="S18" i="69" s="1"/>
  <c r="J40" i="36"/>
  <c r="J42" i="36"/>
  <c r="J44" i="36"/>
  <c r="J46" i="36"/>
  <c r="J48" i="36"/>
  <c r="AM7" i="107" l="1"/>
  <c r="P20" i="69"/>
  <c r="AP20" i="69"/>
  <c r="AK35" i="57"/>
  <c r="AJ31" i="57"/>
  <c r="BC21" i="69"/>
  <c r="BF21" i="69"/>
  <c r="BD21" i="69"/>
  <c r="BE21" i="69"/>
  <c r="P36" i="57"/>
  <c r="AH36" i="57"/>
  <c r="AI36" i="57" s="1"/>
  <c r="K36" i="57"/>
  <c r="AX17" i="69"/>
  <c r="AW17" i="69"/>
  <c r="AX19" i="69"/>
  <c r="AW19" i="69"/>
  <c r="L21" i="69"/>
  <c r="M21" i="69" s="1"/>
  <c r="AZ21" i="69"/>
  <c r="AH19" i="69"/>
  <c r="Q19" i="69"/>
  <c r="U19" i="69"/>
  <c r="F19" i="69"/>
  <c r="G19" i="69" s="1"/>
  <c r="H19" i="69" s="1"/>
  <c r="I19" i="69" s="1"/>
  <c r="J19" i="69" s="1"/>
  <c r="K19" i="69" s="1"/>
  <c r="F17" i="69"/>
  <c r="G17" i="69" s="1"/>
  <c r="H17" i="69" s="1"/>
  <c r="I17" i="69" s="1"/>
  <c r="J17" i="69" s="1"/>
  <c r="K17" i="69" s="1"/>
  <c r="AG16" i="69"/>
  <c r="AG33" i="57"/>
  <c r="X33" i="57"/>
  <c r="AB33" i="57" s="1"/>
  <c r="R34" i="57"/>
  <c r="O36" i="53"/>
  <c r="Q34" i="57"/>
  <c r="AD34" i="57"/>
  <c r="AQ34" i="57"/>
  <c r="N36" i="53"/>
  <c r="R34" i="53"/>
  <c r="AC34" i="53"/>
  <c r="AA33" i="53"/>
  <c r="O17" i="69"/>
  <c r="O18" i="69"/>
  <c r="AO16" i="69"/>
  <c r="AA32" i="57"/>
  <c r="AE32" i="57" s="1"/>
  <c r="AF32" i="57" s="1"/>
  <c r="N35" i="57"/>
  <c r="AC32" i="57"/>
  <c r="Q34" i="53"/>
  <c r="AC35" i="53"/>
  <c r="AD34" i="53"/>
  <c r="AT34" i="53"/>
  <c r="AG33" i="53"/>
  <c r="AB15" i="69"/>
  <c r="R19" i="69"/>
  <c r="S19" i="69" s="1"/>
  <c r="AE19" i="69"/>
  <c r="AY19" i="69"/>
  <c r="D20" i="69"/>
  <c r="E20" i="69" s="1"/>
  <c r="L36" i="57"/>
  <c r="L36" i="53"/>
  <c r="AK35" i="52" a="1"/>
  <c r="AK35" i="52" s="1"/>
  <c r="B37" i="53" s="1"/>
  <c r="C36" i="53"/>
  <c r="J36" i="53"/>
  <c r="F36" i="53"/>
  <c r="I36" i="53"/>
  <c r="G36" i="53"/>
  <c r="D36" i="53"/>
  <c r="H36" i="53"/>
  <c r="E36" i="53"/>
  <c r="K36" i="53"/>
  <c r="AH36" i="53" s="1"/>
  <c r="P36" i="53"/>
  <c r="I36" i="57"/>
  <c r="H36" i="57"/>
  <c r="G36" i="57"/>
  <c r="E36" i="57"/>
  <c r="D36" i="57"/>
  <c r="C36" i="57"/>
  <c r="F36" i="57"/>
  <c r="J36" i="57"/>
  <c r="AN35" i="55" a="1"/>
  <c r="AN35" i="55" s="1"/>
  <c r="B37" i="57" s="1"/>
  <c r="O37" i="57" s="1"/>
  <c r="AS20" i="67" a="1"/>
  <c r="AS20" i="67" s="1"/>
  <c r="AS21" i="67" s="1" a="1"/>
  <c r="AS21" i="67" s="1"/>
  <c r="C21" i="69"/>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4" i="29"/>
  <c r="E3" i="28" s="1"/>
  <c r="Q129" i="29"/>
  <c r="E41" i="28" s="1"/>
  <c r="O129" i="29"/>
  <c r="C41" i="28" s="1"/>
  <c r="M129" i="29"/>
  <c r="L129" i="29"/>
  <c r="Q128" i="29"/>
  <c r="E45" i="28" s="1"/>
  <c r="O128" i="29"/>
  <c r="C45" i="28" s="1"/>
  <c r="M128" i="29"/>
  <c r="L128" i="29"/>
  <c r="Q127" i="29"/>
  <c r="E43" i="28" s="1"/>
  <c r="O127" i="29"/>
  <c r="C43" i="28" s="1"/>
  <c r="M127" i="29"/>
  <c r="L127" i="29"/>
  <c r="Q126" i="29"/>
  <c r="E44" i="28" s="1"/>
  <c r="O126" i="29"/>
  <c r="C44" i="28" s="1"/>
  <c r="M126" i="29"/>
  <c r="L126" i="29"/>
  <c r="Q123" i="29"/>
  <c r="E42" i="28" s="1"/>
  <c r="O123" i="29"/>
  <c r="C42" i="28" s="1"/>
  <c r="M123" i="29"/>
  <c r="L123" i="29"/>
  <c r="Q122" i="29"/>
  <c r="E46" i="28" s="1"/>
  <c r="O122" i="29"/>
  <c r="C46" i="28" s="1"/>
  <c r="M122" i="29"/>
  <c r="L122" i="29"/>
  <c r="Q121" i="29"/>
  <c r="E47" i="28" s="1"/>
  <c r="O121" i="29"/>
  <c r="C47" i="28" s="1"/>
  <c r="M121" i="29"/>
  <c r="L121" i="29"/>
  <c r="Q119" i="29"/>
  <c r="E52" i="28" s="1"/>
  <c r="O119" i="29"/>
  <c r="C52" i="28" s="1"/>
  <c r="M119" i="29"/>
  <c r="L119" i="29"/>
  <c r="Q118" i="29"/>
  <c r="E51" i="28" s="1"/>
  <c r="O118" i="29"/>
  <c r="C51" i="28" s="1"/>
  <c r="M118" i="29"/>
  <c r="L118" i="29"/>
  <c r="Q113" i="29"/>
  <c r="E4" i="28" s="1"/>
  <c r="O113" i="29"/>
  <c r="C4" i="28" s="1"/>
  <c r="Q117" i="29"/>
  <c r="E49" i="28" s="1"/>
  <c r="O117" i="29"/>
  <c r="C49" i="28" s="1"/>
  <c r="M117" i="29"/>
  <c r="L117" i="29"/>
  <c r="Q116" i="29"/>
  <c r="E50" i="28" s="1"/>
  <c r="O116" i="29"/>
  <c r="C50" i="28" s="1"/>
  <c r="M116" i="29"/>
  <c r="L116" i="29"/>
  <c r="Q115" i="29"/>
  <c r="E48" i="28" s="1"/>
  <c r="O115" i="29"/>
  <c r="C48" i="28" s="1"/>
  <c r="M115" i="29"/>
  <c r="L115" i="29"/>
  <c r="Q112" i="29"/>
  <c r="E65" i="28" s="1"/>
  <c r="O112" i="29"/>
  <c r="C65" i="28" s="1"/>
  <c r="Q111" i="29"/>
  <c r="E64" i="28" s="1"/>
  <c r="O111" i="29"/>
  <c r="C64" i="28" s="1"/>
  <c r="Q110" i="29"/>
  <c r="E69" i="28" s="1"/>
  <c r="O110" i="29"/>
  <c r="C69" i="28" s="1"/>
  <c r="Q109" i="29"/>
  <c r="E68" i="28" s="1"/>
  <c r="O109" i="29"/>
  <c r="C68" i="28" s="1"/>
  <c r="Q108" i="29"/>
  <c r="E71" i="28" s="1"/>
  <c r="O108" i="29"/>
  <c r="C71" i="28" s="1"/>
  <c r="Q107" i="29"/>
  <c r="E70" i="28" s="1"/>
  <c r="O107" i="29"/>
  <c r="C70" i="28" s="1"/>
  <c r="Q106" i="29"/>
  <c r="E67" i="28" s="1"/>
  <c r="O106" i="29"/>
  <c r="C67" i="28" s="1"/>
  <c r="Q105" i="29"/>
  <c r="E66" i="28" s="1"/>
  <c r="O105" i="29"/>
  <c r="C66" i="28" s="1"/>
  <c r="O104" i="29"/>
  <c r="C3" i="28" s="1"/>
  <c r="P21" i="69" l="1"/>
  <c r="AP21" i="69"/>
  <c r="AK36" i="57"/>
  <c r="AJ32" i="57"/>
  <c r="P37" i="57"/>
  <c r="AH37" i="57"/>
  <c r="AI37" i="57" s="1"/>
  <c r="K37" i="57"/>
  <c r="AW20" i="69"/>
  <c r="AX20" i="69"/>
  <c r="Y17" i="69"/>
  <c r="AB17" i="69" s="1"/>
  <c r="AH20" i="69"/>
  <c r="Q20" i="69"/>
  <c r="F20" i="69"/>
  <c r="G20" i="69" s="1"/>
  <c r="H20" i="69" s="1"/>
  <c r="I20" i="69" s="1"/>
  <c r="J20" i="69" s="1"/>
  <c r="K20" i="69" s="1"/>
  <c r="Q21" i="69"/>
  <c r="Y18" i="69"/>
  <c r="AB18" i="69" s="1"/>
  <c r="AC18" i="69" s="1"/>
  <c r="AC36" i="53"/>
  <c r="AG34" i="57"/>
  <c r="X34" i="57"/>
  <c r="AB34" i="57" s="1"/>
  <c r="X34" i="53"/>
  <c r="AB34" i="53" s="1"/>
  <c r="O37" i="53"/>
  <c r="Q35" i="57"/>
  <c r="AQ35" i="57"/>
  <c r="AD35" i="57"/>
  <c r="R35" i="57"/>
  <c r="U20" i="69"/>
  <c r="N37" i="53"/>
  <c r="O19" i="69"/>
  <c r="AC15" i="69"/>
  <c r="AA33" i="57"/>
  <c r="AE33" i="57" s="1"/>
  <c r="AF33" i="57" s="1"/>
  <c r="AC33" i="57"/>
  <c r="N36" i="57"/>
  <c r="AD35" i="53"/>
  <c r="AE33" i="53"/>
  <c r="AF33" i="53" s="1"/>
  <c r="AG34" i="53"/>
  <c r="Q35" i="53"/>
  <c r="AT35" i="53"/>
  <c r="R35" i="53"/>
  <c r="X35" i="53" s="1"/>
  <c r="AB35" i="53" s="1"/>
  <c r="R36" i="53"/>
  <c r="X36" i="53" s="1"/>
  <c r="AB36" i="53" s="1"/>
  <c r="D21" i="69"/>
  <c r="E21" i="69" s="1"/>
  <c r="D115" i="22"/>
  <c r="AY20" i="69"/>
  <c r="L37" i="57"/>
  <c r="AT36" i="53"/>
  <c r="Q36" i="53"/>
  <c r="AD36" i="53"/>
  <c r="I37" i="53"/>
  <c r="C37" i="53"/>
  <c r="F37" i="53"/>
  <c r="L37" i="53"/>
  <c r="K37" i="53"/>
  <c r="AH37" i="53" s="1"/>
  <c r="E37" i="53"/>
  <c r="P37" i="53"/>
  <c r="H37" i="53"/>
  <c r="G37" i="53"/>
  <c r="AK36" i="52" a="1"/>
  <c r="AK36" i="52" s="1"/>
  <c r="B38" i="53" s="1"/>
  <c r="J37" i="53"/>
  <c r="D37" i="53"/>
  <c r="G37" i="57"/>
  <c r="I37" i="57"/>
  <c r="J37" i="57"/>
  <c r="F37" i="57"/>
  <c r="H37" i="57"/>
  <c r="E37" i="57"/>
  <c r="D37" i="57"/>
  <c r="C37" i="57"/>
  <c r="AN36" i="55" a="1"/>
  <c r="AN36" i="55" s="1"/>
  <c r="B38" i="57" s="1"/>
  <c r="O38" i="57" s="1"/>
  <c r="AE20" i="69"/>
  <c r="R20" i="69"/>
  <c r="S20" i="69" s="1"/>
  <c r="B22" i="69"/>
  <c r="AM22" i="69" s="1"/>
  <c r="AN22" i="69" s="1"/>
  <c r="AS22" i="67" a="1"/>
  <c r="AS22" i="67" s="1"/>
  <c r="B23" i="69"/>
  <c r="AM23" i="69" s="1"/>
  <c r="AN23" i="69" s="1"/>
  <c r="AK37" i="57" l="1"/>
  <c r="AJ33" i="57"/>
  <c r="BC23" i="69"/>
  <c r="BF23" i="69"/>
  <c r="BD23" i="69"/>
  <c r="BE23" i="69"/>
  <c r="BC22" i="69"/>
  <c r="BF22" i="69"/>
  <c r="BD22" i="69"/>
  <c r="BE22" i="69"/>
  <c r="AH38" i="57"/>
  <c r="AI38" i="57" s="1"/>
  <c r="K38" i="57"/>
  <c r="AX21" i="69"/>
  <c r="AW21" i="69"/>
  <c r="L23" i="69"/>
  <c r="M23" i="69" s="1"/>
  <c r="AZ23" i="69"/>
  <c r="L22" i="69"/>
  <c r="M22" i="69" s="1"/>
  <c r="AZ22" i="69"/>
  <c r="F21" i="69"/>
  <c r="G21" i="69" s="1"/>
  <c r="H21" i="69" s="1"/>
  <c r="I21" i="69" s="1"/>
  <c r="J21" i="69" s="1"/>
  <c r="K21" i="69" s="1"/>
  <c r="U21" i="69"/>
  <c r="AH21" i="69"/>
  <c r="Y19" i="69"/>
  <c r="AB19" i="69" s="1"/>
  <c r="AC19" i="69" s="1"/>
  <c r="AG35" i="57"/>
  <c r="X35" i="57"/>
  <c r="AB35" i="57" s="1"/>
  <c r="AA34" i="53"/>
  <c r="AC38" i="53"/>
  <c r="O38" i="53"/>
  <c r="AD36" i="57"/>
  <c r="R36" i="57"/>
  <c r="Q36" i="57"/>
  <c r="AQ36" i="57"/>
  <c r="N38" i="53"/>
  <c r="AA36" i="53"/>
  <c r="AA35" i="53"/>
  <c r="O20" i="69"/>
  <c r="AD18" i="69"/>
  <c r="AF18" i="69"/>
  <c r="AG18" i="69" s="1"/>
  <c r="AD15" i="69"/>
  <c r="AF15" i="69"/>
  <c r="AG15" i="69" s="1"/>
  <c r="O22" i="69"/>
  <c r="P38" i="57"/>
  <c r="AC17" i="69"/>
  <c r="AA34" i="57"/>
  <c r="AE34" i="57" s="1"/>
  <c r="AF34" i="57" s="1"/>
  <c r="AC34" i="57"/>
  <c r="N37" i="57"/>
  <c r="AG36" i="53"/>
  <c r="AC37" i="53"/>
  <c r="AE34" i="53"/>
  <c r="AF34" i="53" s="1"/>
  <c r="AG35" i="53"/>
  <c r="O23" i="69"/>
  <c r="AY21" i="69"/>
  <c r="L38" i="57"/>
  <c r="N38" i="57"/>
  <c r="H38" i="53"/>
  <c r="AK37" i="52" a="1"/>
  <c r="AK37" i="52" s="1"/>
  <c r="B39" i="53" s="1"/>
  <c r="K38" i="53"/>
  <c r="AH38" i="53" s="1"/>
  <c r="D38" i="53"/>
  <c r="C38" i="53"/>
  <c r="G38" i="53"/>
  <c r="I38" i="53"/>
  <c r="F38" i="53"/>
  <c r="P38" i="53"/>
  <c r="L38" i="53"/>
  <c r="E38" i="53"/>
  <c r="J38" i="53"/>
  <c r="D38" i="57"/>
  <c r="I38" i="57"/>
  <c r="H38" i="57"/>
  <c r="G38" i="57"/>
  <c r="E38" i="57"/>
  <c r="C38" i="57"/>
  <c r="F38" i="57"/>
  <c r="J38" i="57"/>
  <c r="AN37" i="55" a="1"/>
  <c r="AN37" i="55" s="1"/>
  <c r="B39" i="57" s="1"/>
  <c r="O39" i="57" s="1"/>
  <c r="R21" i="69"/>
  <c r="S21" i="69" s="1"/>
  <c r="AE21" i="69"/>
  <c r="C22" i="69"/>
  <c r="C23" i="69"/>
  <c r="AS23" i="67" a="1"/>
  <c r="AS23" i="67" s="1"/>
  <c r="B24" i="69"/>
  <c r="AM24" i="69" s="1"/>
  <c r="AN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D130" i="22"/>
  <c r="C130" i="22"/>
  <c r="D128" i="22"/>
  <c r="C128" i="22"/>
  <c r="A128" i="22"/>
  <c r="D127" i="22"/>
  <c r="C127" i="22"/>
  <c r="A127" i="22"/>
  <c r="D126" i="22"/>
  <c r="C126" i="22"/>
  <c r="A126" i="22"/>
  <c r="D125" i="22"/>
  <c r="C125" i="22"/>
  <c r="A125" i="22"/>
  <c r="D122" i="22"/>
  <c r="C122" i="22"/>
  <c r="A122" i="22"/>
  <c r="D121" i="22"/>
  <c r="C121" i="22"/>
  <c r="A121" i="22"/>
  <c r="D120" i="22"/>
  <c r="C120" i="22"/>
  <c r="A120" i="22"/>
  <c r="D118" i="22"/>
  <c r="C118" i="22"/>
  <c r="A118" i="22"/>
  <c r="D117" i="22"/>
  <c r="C117" i="22"/>
  <c r="A117" i="22"/>
  <c r="D114" i="22"/>
  <c r="C114" i="22"/>
  <c r="A114" i="22"/>
  <c r="D113" i="22"/>
  <c r="C113" i="22"/>
  <c r="A113" i="22"/>
  <c r="D112" i="22"/>
  <c r="C112" i="22"/>
  <c r="A112" i="22"/>
  <c r="D111" i="22"/>
  <c r="C111" i="22"/>
  <c r="A111" i="22"/>
  <c r="D110" i="22"/>
  <c r="C110" i="22"/>
  <c r="A110" i="22"/>
  <c r="D109" i="22"/>
  <c r="C109" i="22"/>
  <c r="A109" i="22"/>
  <c r="D108" i="22"/>
  <c r="C108" i="22"/>
  <c r="A108" i="22"/>
  <c r="D107" i="22"/>
  <c r="C107" i="22"/>
  <c r="A107" i="22"/>
  <c r="D106" i="22"/>
  <c r="C106" i="22"/>
  <c r="A106" i="22"/>
  <c r="D105" i="22"/>
  <c r="C105" i="22"/>
  <c r="A105" i="22"/>
  <c r="D104" i="22"/>
  <c r="C104" i="22"/>
  <c r="A104" i="22"/>
  <c r="D103" i="22"/>
  <c r="C103" i="22"/>
  <c r="A103" i="22"/>
  <c r="AK38" i="57" l="1"/>
  <c r="P23" i="69"/>
  <c r="AP23" i="69"/>
  <c r="P22" i="69"/>
  <c r="AP22" i="69"/>
  <c r="AJ34" i="57"/>
  <c r="S113" i="22"/>
  <c r="H113" i="22"/>
  <c r="E113" i="22"/>
  <c r="V113" i="22"/>
  <c r="S104" i="22"/>
  <c r="E104" i="22"/>
  <c r="V104" i="22"/>
  <c r="H104" i="22"/>
  <c r="S107" i="22"/>
  <c r="H107" i="22"/>
  <c r="E107" i="22"/>
  <c r="V107" i="22"/>
  <c r="S110" i="22"/>
  <c r="V110" i="22"/>
  <c r="E110" i="22"/>
  <c r="H110" i="22"/>
  <c r="S121" i="22"/>
  <c r="H121" i="22"/>
  <c r="E121" i="22"/>
  <c r="V121" i="22"/>
  <c r="S108" i="22"/>
  <c r="H108" i="22"/>
  <c r="E108" i="22"/>
  <c r="V108" i="22"/>
  <c r="S118" i="22"/>
  <c r="V118" i="22"/>
  <c r="E118" i="22"/>
  <c r="H118" i="22"/>
  <c r="S103" i="22"/>
  <c r="V103" i="22"/>
  <c r="H103" i="22"/>
  <c r="E103" i="22"/>
  <c r="S111" i="22"/>
  <c r="V111" i="22"/>
  <c r="H111" i="22"/>
  <c r="E111" i="22"/>
  <c r="S122" i="22"/>
  <c r="E122" i="22"/>
  <c r="H122" i="22"/>
  <c r="V122" i="22"/>
  <c r="S106" i="22"/>
  <c r="E106" i="22"/>
  <c r="H106" i="22"/>
  <c r="V106" i="22"/>
  <c r="S114" i="22"/>
  <c r="E114" i="22"/>
  <c r="H114" i="22"/>
  <c r="V114" i="22"/>
  <c r="S127" i="22"/>
  <c r="H127" i="22"/>
  <c r="E127" i="22"/>
  <c r="V127" i="22"/>
  <c r="S126" i="22"/>
  <c r="V126" i="22"/>
  <c r="E126" i="22"/>
  <c r="H126" i="22"/>
  <c r="S109" i="22"/>
  <c r="E109" i="22"/>
  <c r="V109" i="22"/>
  <c r="H109" i="22"/>
  <c r="S120" i="22"/>
  <c r="V120" i="22"/>
  <c r="E120" i="22"/>
  <c r="H120" i="22"/>
  <c r="S105" i="22"/>
  <c r="E105" i="22"/>
  <c r="V105" i="22"/>
  <c r="H105" i="22"/>
  <c r="S112" i="22"/>
  <c r="E112" i="22"/>
  <c r="V112" i="22"/>
  <c r="H112" i="22"/>
  <c r="S125" i="22"/>
  <c r="E125" i="22"/>
  <c r="H125" i="22"/>
  <c r="V125" i="22"/>
  <c r="S117" i="22"/>
  <c r="H117" i="22"/>
  <c r="E117" i="22"/>
  <c r="V117" i="22"/>
  <c r="S128" i="22"/>
  <c r="E128" i="22"/>
  <c r="H128" i="22"/>
  <c r="V128" i="22"/>
  <c r="T104" i="22"/>
  <c r="J104" i="22"/>
  <c r="U104" i="22"/>
  <c r="I104" i="22"/>
  <c r="G104" i="22"/>
  <c r="F104" i="22"/>
  <c r="F105" i="22"/>
  <c r="T105" i="22"/>
  <c r="I105" i="22"/>
  <c r="J105" i="22"/>
  <c r="U105" i="22"/>
  <c r="G105" i="22"/>
  <c r="U106" i="22"/>
  <c r="T106" i="22"/>
  <c r="J106" i="22"/>
  <c r="I106" i="22"/>
  <c r="G106" i="22"/>
  <c r="F106" i="22"/>
  <c r="U107" i="22"/>
  <c r="T107" i="22"/>
  <c r="J107" i="22"/>
  <c r="G107" i="22"/>
  <c r="F107" i="22"/>
  <c r="I107" i="22"/>
  <c r="T108" i="22"/>
  <c r="U108" i="22"/>
  <c r="I108" i="22"/>
  <c r="F108" i="22"/>
  <c r="J108" i="22"/>
  <c r="G108" i="22"/>
  <c r="U109" i="22"/>
  <c r="J109" i="22"/>
  <c r="T109" i="22"/>
  <c r="I109" i="22"/>
  <c r="F109" i="22"/>
  <c r="G109" i="22"/>
  <c r="T110" i="22"/>
  <c r="U110" i="22"/>
  <c r="J110" i="22"/>
  <c r="I110" i="22"/>
  <c r="G110" i="22"/>
  <c r="F110" i="22"/>
  <c r="U111" i="22"/>
  <c r="T111" i="22"/>
  <c r="J111" i="22"/>
  <c r="I111" i="22"/>
  <c r="G111" i="22"/>
  <c r="F111" i="22"/>
  <c r="U112" i="22"/>
  <c r="T112" i="22"/>
  <c r="J112" i="22"/>
  <c r="G112" i="22"/>
  <c r="I112" i="22"/>
  <c r="F112" i="22"/>
  <c r="U113" i="22"/>
  <c r="T113" i="22"/>
  <c r="J113" i="22"/>
  <c r="F113" i="22"/>
  <c r="I113" i="22"/>
  <c r="G113" i="22"/>
  <c r="U114" i="22"/>
  <c r="J114" i="22"/>
  <c r="I114" i="22"/>
  <c r="T114" i="22"/>
  <c r="G114" i="22"/>
  <c r="F114" i="22"/>
  <c r="I117" i="22"/>
  <c r="U117" i="22"/>
  <c r="J117" i="22"/>
  <c r="T117" i="22"/>
  <c r="G117" i="22"/>
  <c r="F117" i="22"/>
  <c r="T118" i="22"/>
  <c r="J118" i="22"/>
  <c r="F118" i="22"/>
  <c r="U118" i="22"/>
  <c r="I118" i="22"/>
  <c r="G118" i="22"/>
  <c r="J120" i="22"/>
  <c r="U120" i="22"/>
  <c r="T120" i="22"/>
  <c r="F120" i="22"/>
  <c r="I120" i="22"/>
  <c r="G120" i="22"/>
  <c r="T121" i="22"/>
  <c r="F121" i="22"/>
  <c r="I121" i="22"/>
  <c r="U121" i="22"/>
  <c r="G121" i="22"/>
  <c r="J121" i="22"/>
  <c r="U122" i="22"/>
  <c r="T122" i="22"/>
  <c r="J122" i="22"/>
  <c r="G122" i="22"/>
  <c r="F122" i="22"/>
  <c r="I122" i="22"/>
  <c r="J125" i="22"/>
  <c r="T125" i="22"/>
  <c r="I125" i="22"/>
  <c r="U125" i="22"/>
  <c r="G125" i="22"/>
  <c r="F125" i="22"/>
  <c r="T126" i="22"/>
  <c r="I126" i="22"/>
  <c r="G126" i="22"/>
  <c r="J126" i="22"/>
  <c r="U126" i="22"/>
  <c r="F126" i="22"/>
  <c r="U127" i="22"/>
  <c r="T127" i="22"/>
  <c r="J127" i="22"/>
  <c r="I127" i="22"/>
  <c r="G127" i="22"/>
  <c r="F127" i="22"/>
  <c r="U128" i="22"/>
  <c r="T128" i="22"/>
  <c r="I128" i="22"/>
  <c r="J128" i="22"/>
  <c r="G128" i="22"/>
  <c r="F128" i="22"/>
  <c r="U103" i="22"/>
  <c r="G103" i="22"/>
  <c r="T103" i="22"/>
  <c r="J103" i="22"/>
  <c r="F103" i="22"/>
  <c r="I103" i="22"/>
  <c r="BC24" i="69"/>
  <c r="BE24" i="69"/>
  <c r="BF24" i="69"/>
  <c r="BD24" i="69"/>
  <c r="K39" i="57"/>
  <c r="AH39" i="57"/>
  <c r="AI39" i="57" s="1"/>
  <c r="L24" i="69"/>
  <c r="M24" i="69" s="1"/>
  <c r="AZ24" i="69"/>
  <c r="X107" i="22"/>
  <c r="X109" i="22"/>
  <c r="X111" i="22"/>
  <c r="X113" i="22"/>
  <c r="X117" i="22"/>
  <c r="X120" i="22"/>
  <c r="X122" i="22"/>
  <c r="X126" i="22"/>
  <c r="X128" i="22"/>
  <c r="X105" i="22"/>
  <c r="X103" i="22"/>
  <c r="X104" i="22"/>
  <c r="X106" i="22"/>
  <c r="X108" i="22"/>
  <c r="X110" i="22"/>
  <c r="X112" i="22"/>
  <c r="X114" i="22"/>
  <c r="X118" i="22"/>
  <c r="X121" i="22"/>
  <c r="X125" i="22"/>
  <c r="X127" i="22"/>
  <c r="Y20" i="69"/>
  <c r="AB20" i="69" s="1"/>
  <c r="AC20" i="69" s="1"/>
  <c r="AD20" i="69" s="1"/>
  <c r="AG38" i="57"/>
  <c r="AG36" i="57"/>
  <c r="X36" i="57"/>
  <c r="AB36" i="57" s="1"/>
  <c r="AC39" i="53"/>
  <c r="O39" i="53"/>
  <c r="Q23" i="69"/>
  <c r="Q22" i="69"/>
  <c r="Q37" i="57"/>
  <c r="AQ37" i="57"/>
  <c r="R37" i="57"/>
  <c r="AD37" i="57"/>
  <c r="N39" i="53"/>
  <c r="O21" i="69"/>
  <c r="AF20" i="69"/>
  <c r="AD19" i="69"/>
  <c r="AF19" i="69"/>
  <c r="AG19" i="69" s="1"/>
  <c r="AO18" i="69"/>
  <c r="AD17" i="69"/>
  <c r="AF17" i="69"/>
  <c r="AG17" i="69" s="1"/>
  <c r="AO15" i="69"/>
  <c r="AA35" i="57"/>
  <c r="AE35" i="57" s="1"/>
  <c r="AF35" i="57" s="1"/>
  <c r="P39" i="57"/>
  <c r="AC35" i="57"/>
  <c r="AD37" i="53"/>
  <c r="R37" i="53"/>
  <c r="X37" i="53" s="1"/>
  <c r="AB37" i="53" s="1"/>
  <c r="AT37" i="53"/>
  <c r="Q37" i="53"/>
  <c r="O24" i="69"/>
  <c r="AO23" i="69"/>
  <c r="AE38" i="53"/>
  <c r="R38" i="53"/>
  <c r="X38" i="53" s="1"/>
  <c r="AB38" i="53" s="1"/>
  <c r="AO22" i="69"/>
  <c r="L39" i="57"/>
  <c r="AT38" i="53"/>
  <c r="AG38" i="53"/>
  <c r="N39" i="57"/>
  <c r="C39" i="53"/>
  <c r="AD38" i="53"/>
  <c r="Q38" i="53"/>
  <c r="F39" i="53"/>
  <c r="G39" i="53"/>
  <c r="K39" i="53"/>
  <c r="AH39" i="53" s="1"/>
  <c r="D39" i="53"/>
  <c r="H39" i="53"/>
  <c r="L39" i="53"/>
  <c r="AK38" i="52" a="1"/>
  <c r="AK38" i="52" s="1"/>
  <c r="B40" i="53" s="1"/>
  <c r="P39" i="53"/>
  <c r="J39" i="53"/>
  <c r="E39" i="53"/>
  <c r="I39" i="53"/>
  <c r="F39" i="57"/>
  <c r="I39" i="57"/>
  <c r="C39" i="57"/>
  <c r="H39" i="57"/>
  <c r="D39" i="57"/>
  <c r="E39" i="57"/>
  <c r="G39" i="57"/>
  <c r="J39" i="57"/>
  <c r="AN38" i="55" a="1"/>
  <c r="AN38" i="55" s="1"/>
  <c r="B40" i="57" s="1"/>
  <c r="O40" i="57" s="1"/>
  <c r="D22" i="69"/>
  <c r="E22" i="69" s="1"/>
  <c r="AS24" i="67" a="1"/>
  <c r="AS24" i="67" s="1"/>
  <c r="B25" i="69"/>
  <c r="AM25" i="69" s="1"/>
  <c r="AN25" i="69" s="1"/>
  <c r="D23" i="69"/>
  <c r="E23" i="69" s="1"/>
  <c r="C24" i="69"/>
  <c r="W112" i="22"/>
  <c r="W113" i="22"/>
  <c r="W118" i="22"/>
  <c r="W110" i="22"/>
  <c r="L110" i="22"/>
  <c r="W106" i="22"/>
  <c r="L108" i="22"/>
  <c r="L121" i="22"/>
  <c r="W108" i="22"/>
  <c r="K105" i="22"/>
  <c r="K118" i="22"/>
  <c r="L120" i="22"/>
  <c r="L105" i="22"/>
  <c r="K113" i="22"/>
  <c r="K112" i="22"/>
  <c r="K106" i="22"/>
  <c r="K108" i="22"/>
  <c r="K110" i="22"/>
  <c r="L112" i="22"/>
  <c r="W103" i="22"/>
  <c r="K103" i="22"/>
  <c r="W114" i="22"/>
  <c r="K114" i="22"/>
  <c r="L111" i="22"/>
  <c r="L114" i="22"/>
  <c r="W117" i="22"/>
  <c r="K117" i="22"/>
  <c r="W111" i="22"/>
  <c r="K111" i="22"/>
  <c r="W125" i="22"/>
  <c r="K125" i="22"/>
  <c r="L125" i="22"/>
  <c r="W107" i="22"/>
  <c r="K107" i="22"/>
  <c r="K104" i="22"/>
  <c r="W104" i="22"/>
  <c r="W105" i="22"/>
  <c r="W109" i="22"/>
  <c r="K109" i="22"/>
  <c r="L122" i="22"/>
  <c r="W122" i="22"/>
  <c r="K122" i="22"/>
  <c r="K120" i="22"/>
  <c r="W120" i="22"/>
  <c r="K121" i="22"/>
  <c r="W121" i="22"/>
  <c r="K127" i="22"/>
  <c r="W127" i="22"/>
  <c r="K130" i="22"/>
  <c r="W130" i="22"/>
  <c r="K126" i="22"/>
  <c r="W126" i="22"/>
  <c r="K128" i="22"/>
  <c r="W128" i="22"/>
  <c r="L126" i="22"/>
  <c r="L128" i="22"/>
  <c r="AF38" i="53" l="1"/>
  <c r="P24" i="69"/>
  <c r="AP24" i="69"/>
  <c r="AK39" i="57"/>
  <c r="AJ35" i="57"/>
  <c r="BC25" i="69"/>
  <c r="BE25" i="69"/>
  <c r="BF25" i="69"/>
  <c r="BD25" i="69"/>
  <c r="AH40" i="57"/>
  <c r="AI40" i="57" s="1"/>
  <c r="K40" i="57"/>
  <c r="AX23" i="69"/>
  <c r="AW23" i="69"/>
  <c r="AX22" i="69"/>
  <c r="AW22" i="69"/>
  <c r="L25" i="69"/>
  <c r="M25" i="69" s="1"/>
  <c r="AZ25" i="69"/>
  <c r="U22" i="69"/>
  <c r="AH22" i="69"/>
  <c r="F22" i="69"/>
  <c r="G22" i="69" s="1"/>
  <c r="H22" i="69" s="1"/>
  <c r="I22" i="69" s="1"/>
  <c r="J22" i="69" s="1"/>
  <c r="K22" i="69" s="1"/>
  <c r="F23" i="69"/>
  <c r="G23" i="69" s="1"/>
  <c r="H23" i="69" s="1"/>
  <c r="I23" i="69" s="1"/>
  <c r="J23" i="69" s="1"/>
  <c r="K23" i="69" s="1"/>
  <c r="U23" i="69"/>
  <c r="AH23" i="69"/>
  <c r="Y21" i="69"/>
  <c r="AB21" i="69" s="1"/>
  <c r="AC21" i="69" s="1"/>
  <c r="AG20" i="69"/>
  <c r="AG37" i="57"/>
  <c r="X37" i="57"/>
  <c r="AB37" i="57" s="1"/>
  <c r="AG39" i="57"/>
  <c r="AE38" i="57"/>
  <c r="AC40" i="53"/>
  <c r="O40" i="53"/>
  <c r="Q24" i="69"/>
  <c r="AC38" i="57"/>
  <c r="Q38" i="57"/>
  <c r="AD38" i="57"/>
  <c r="AQ38" i="57"/>
  <c r="R38" i="57"/>
  <c r="N40" i="53"/>
  <c r="AA37" i="53"/>
  <c r="AA38" i="53"/>
  <c r="AO20" i="69"/>
  <c r="AO19" i="69"/>
  <c r="AO17" i="69"/>
  <c r="AF22" i="69"/>
  <c r="AF23" i="69"/>
  <c r="P40" i="57"/>
  <c r="AA36" i="57"/>
  <c r="AE36" i="57" s="1"/>
  <c r="AF36" i="57" s="1"/>
  <c r="AC36" i="57"/>
  <c r="AG37" i="53"/>
  <c r="AE36" i="53"/>
  <c r="AF36" i="53" s="1"/>
  <c r="AE35" i="53"/>
  <c r="AF35" i="53" s="1"/>
  <c r="AO24" i="69"/>
  <c r="O25" i="69"/>
  <c r="AE39" i="53"/>
  <c r="R39" i="53"/>
  <c r="X39" i="53" s="1"/>
  <c r="AB39" i="53" s="1"/>
  <c r="AY22" i="69"/>
  <c r="AY23" i="69"/>
  <c r="L40" i="57"/>
  <c r="AT39" i="53"/>
  <c r="AG39" i="53"/>
  <c r="N40" i="57"/>
  <c r="H40" i="53"/>
  <c r="AD39" i="53"/>
  <c r="AK39" i="52" a="1"/>
  <c r="AK39" i="52" s="1"/>
  <c r="B41" i="53" s="1"/>
  <c r="G40" i="53"/>
  <c r="E40" i="53"/>
  <c r="D40" i="53"/>
  <c r="J40" i="53"/>
  <c r="F40" i="53"/>
  <c r="P40" i="53"/>
  <c r="Q39" i="53"/>
  <c r="K40" i="53"/>
  <c r="AH40" i="53" s="1"/>
  <c r="L40" i="53"/>
  <c r="I40" i="53"/>
  <c r="C40" i="53"/>
  <c r="G40" i="57"/>
  <c r="E40" i="57"/>
  <c r="D40" i="57"/>
  <c r="C40" i="57"/>
  <c r="H40" i="57"/>
  <c r="I40" i="57"/>
  <c r="F40" i="57"/>
  <c r="J40" i="57"/>
  <c r="AN39" i="55" a="1"/>
  <c r="AN39" i="55" s="1"/>
  <c r="B41" i="57" s="1"/>
  <c r="O41" i="57" s="1"/>
  <c r="AE22" i="69"/>
  <c r="R22" i="69"/>
  <c r="S22" i="69" s="1"/>
  <c r="D24" i="69"/>
  <c r="E24" i="69" s="1"/>
  <c r="R23" i="69"/>
  <c r="S23" i="69" s="1"/>
  <c r="AE23" i="69"/>
  <c r="C25" i="69"/>
  <c r="AS25" i="67" a="1"/>
  <c r="AS25" i="67" s="1"/>
  <c r="B26" i="69"/>
  <c r="AM26" i="69" s="1"/>
  <c r="AN26" i="69" s="1"/>
  <c r="AF39" i="53" l="1"/>
  <c r="P25" i="69"/>
  <c r="AP25" i="69"/>
  <c r="AK40" i="57"/>
  <c r="AJ36" i="57"/>
  <c r="BC26" i="69"/>
  <c r="BE26" i="69"/>
  <c r="BF26" i="69"/>
  <c r="BD26" i="69"/>
  <c r="AH41" i="57"/>
  <c r="AI41" i="57" s="1"/>
  <c r="K41" i="57"/>
  <c r="AW24" i="69"/>
  <c r="AX24" i="69"/>
  <c r="L26" i="69"/>
  <c r="M26" i="69" s="1"/>
  <c r="AZ26" i="69"/>
  <c r="Y23" i="69"/>
  <c r="AB23" i="69" s="1"/>
  <c r="F24" i="69"/>
  <c r="G24" i="69" s="1"/>
  <c r="H24" i="69" s="1"/>
  <c r="I24" i="69" s="1"/>
  <c r="J24" i="69" s="1"/>
  <c r="K24" i="69" s="1"/>
  <c r="U24" i="69"/>
  <c r="AH24" i="69"/>
  <c r="Y22" i="69"/>
  <c r="AB22" i="69" s="1"/>
  <c r="AC22" i="69" s="1"/>
  <c r="AD22" i="69" s="1"/>
  <c r="X38" i="57"/>
  <c r="AB38" i="57" s="1"/>
  <c r="AG40" i="57"/>
  <c r="AC41" i="53"/>
  <c r="O41" i="53"/>
  <c r="Q25" i="69"/>
  <c r="R39" i="57"/>
  <c r="AC39" i="57"/>
  <c r="Q39" i="57"/>
  <c r="AD39" i="57"/>
  <c r="AQ39" i="57"/>
  <c r="AE39" i="57"/>
  <c r="N41" i="53"/>
  <c r="AA39" i="53"/>
  <c r="AD21" i="69"/>
  <c r="AF21" i="69"/>
  <c r="AG21" i="69" s="1"/>
  <c r="AF24" i="69"/>
  <c r="P41" i="57"/>
  <c r="AA37" i="57"/>
  <c r="AE37" i="57" s="1"/>
  <c r="AF37" i="57" s="1"/>
  <c r="AC37" i="57"/>
  <c r="AE37" i="53"/>
  <c r="AF37" i="53" s="1"/>
  <c r="O26" i="69"/>
  <c r="AO25" i="69"/>
  <c r="AE40" i="53"/>
  <c r="R40" i="53"/>
  <c r="X40" i="53" s="1"/>
  <c r="AB40" i="53" s="1"/>
  <c r="AY24" i="69"/>
  <c r="L41" i="57"/>
  <c r="AG40" i="53"/>
  <c r="AT40" i="53"/>
  <c r="N41" i="57"/>
  <c r="I41" i="53"/>
  <c r="AD40" i="53"/>
  <c r="D41" i="53"/>
  <c r="K41" i="53"/>
  <c r="AH41" i="53" s="1"/>
  <c r="P41" i="53"/>
  <c r="J41" i="53"/>
  <c r="E41" i="53"/>
  <c r="L41" i="53"/>
  <c r="F41" i="53"/>
  <c r="G41" i="53"/>
  <c r="Q40" i="53"/>
  <c r="AK40" i="52" a="1"/>
  <c r="AK40" i="52" s="1"/>
  <c r="B42" i="53" s="1"/>
  <c r="H41" i="53"/>
  <c r="C41" i="53"/>
  <c r="J41" i="57"/>
  <c r="E41" i="57"/>
  <c r="C41" i="57"/>
  <c r="I41" i="57"/>
  <c r="H41" i="57"/>
  <c r="D41" i="57"/>
  <c r="G41" i="57"/>
  <c r="F41" i="57"/>
  <c r="AN40" i="55" a="1"/>
  <c r="AN40" i="55" s="1"/>
  <c r="B42" i="57" s="1"/>
  <c r="O42" i="57" s="1"/>
  <c r="AS26" i="67" a="1"/>
  <c r="AS26" i="67" s="1"/>
  <c r="B27" i="69"/>
  <c r="AM27" i="69" s="1"/>
  <c r="AN27" i="69" s="1"/>
  <c r="D25" i="69"/>
  <c r="E25" i="69" s="1"/>
  <c r="AE24" i="69"/>
  <c r="R24" i="69"/>
  <c r="S24" i="69" s="1"/>
  <c r="C26" i="69"/>
  <c r="AF38" i="57" l="1"/>
  <c r="AF40" i="53"/>
  <c r="P26" i="69"/>
  <c r="AP26" i="69"/>
  <c r="AK41" i="57"/>
  <c r="AJ37" i="57"/>
  <c r="BC27" i="69"/>
  <c r="BD27" i="69"/>
  <c r="BE27" i="69"/>
  <c r="BF27" i="69"/>
  <c r="AH42" i="57"/>
  <c r="AI42" i="57" s="1"/>
  <c r="K42" i="57"/>
  <c r="AX25" i="69"/>
  <c r="AW25" i="69"/>
  <c r="L27" i="69"/>
  <c r="M27" i="69" s="1"/>
  <c r="AZ27" i="69"/>
  <c r="Y24" i="69"/>
  <c r="AB24" i="69" s="1"/>
  <c r="AC24" i="69" s="1"/>
  <c r="AD24" i="69" s="1"/>
  <c r="AG23" i="69"/>
  <c r="F25" i="69"/>
  <c r="G25" i="69" s="1"/>
  <c r="H25" i="69" s="1"/>
  <c r="I25" i="69" s="1"/>
  <c r="J25" i="69" s="1"/>
  <c r="K25" i="69" s="1"/>
  <c r="U25" i="69"/>
  <c r="AH25" i="69"/>
  <c r="AG22" i="69"/>
  <c r="X39" i="57"/>
  <c r="AG41" i="57"/>
  <c r="AC42" i="53"/>
  <c r="O42" i="53"/>
  <c r="Q26" i="69"/>
  <c r="AA38" i="57"/>
  <c r="AQ40" i="57"/>
  <c r="AD40" i="57"/>
  <c r="R40" i="57"/>
  <c r="AE40" i="57"/>
  <c r="Q40" i="57"/>
  <c r="AC40" i="57"/>
  <c r="N42" i="53"/>
  <c r="AA40" i="53"/>
  <c r="AO21" i="69"/>
  <c r="AF25" i="69"/>
  <c r="P42" i="57"/>
  <c r="AC23" i="69"/>
  <c r="AD23" i="69" s="1"/>
  <c r="O27" i="69"/>
  <c r="AO26" i="69"/>
  <c r="AE41" i="53"/>
  <c r="R41" i="53"/>
  <c r="X41" i="53" s="1"/>
  <c r="AB41" i="53" s="1"/>
  <c r="AY25" i="69"/>
  <c r="L42" i="57"/>
  <c r="AG41" i="53"/>
  <c r="AT41" i="53"/>
  <c r="N42" i="57"/>
  <c r="D42" i="53"/>
  <c r="AD41" i="53"/>
  <c r="K42" i="53"/>
  <c r="AH42" i="53" s="1"/>
  <c r="L42" i="53"/>
  <c r="H42" i="53"/>
  <c r="J42" i="53"/>
  <c r="P42" i="53"/>
  <c r="Q41" i="53"/>
  <c r="C42" i="53"/>
  <c r="G42" i="53"/>
  <c r="F42" i="53"/>
  <c r="AK41" i="52" a="1"/>
  <c r="AK41" i="52" s="1"/>
  <c r="B43" i="53" s="1"/>
  <c r="I42" i="53"/>
  <c r="E42" i="53"/>
  <c r="I42" i="57"/>
  <c r="E42" i="57"/>
  <c r="D42" i="57"/>
  <c r="C42" i="57"/>
  <c r="H42" i="57"/>
  <c r="G42" i="57"/>
  <c r="F42" i="57"/>
  <c r="J42" i="57"/>
  <c r="AN41" i="55" a="1"/>
  <c r="AN41" i="55" s="1"/>
  <c r="B43" i="57" s="1"/>
  <c r="O43" i="57" s="1"/>
  <c r="AS27" i="67" a="1"/>
  <c r="AS27" i="67" s="1"/>
  <c r="B28" i="69"/>
  <c r="AM28" i="69" s="1"/>
  <c r="AN28" i="69" s="1"/>
  <c r="R25" i="69"/>
  <c r="S25" i="69" s="1"/>
  <c r="AE25" i="69"/>
  <c r="D26" i="69"/>
  <c r="E26" i="69" s="1"/>
  <c r="C27" i="69"/>
  <c r="AA39" i="57" l="1"/>
  <c r="AB39" i="57"/>
  <c r="AF39" i="57" s="1"/>
  <c r="AF41" i="53"/>
  <c r="P27" i="69"/>
  <c r="AP27" i="69"/>
  <c r="AK42" i="57"/>
  <c r="AJ38" i="57"/>
  <c r="BC28" i="69"/>
  <c r="BD28" i="69"/>
  <c r="BE28" i="69"/>
  <c r="BF28" i="69"/>
  <c r="AH43" i="57"/>
  <c r="AI43" i="57" s="1"/>
  <c r="K43" i="57"/>
  <c r="AX26" i="69"/>
  <c r="AW26" i="69"/>
  <c r="L28" i="69"/>
  <c r="M28" i="69" s="1"/>
  <c r="AZ28" i="69"/>
  <c r="AG24" i="69"/>
  <c r="Y25" i="69"/>
  <c r="AB25" i="69" s="1"/>
  <c r="F26" i="69"/>
  <c r="G26" i="69" s="1"/>
  <c r="H26" i="69" s="1"/>
  <c r="I26" i="69" s="1"/>
  <c r="J26" i="69" s="1"/>
  <c r="K26" i="69" s="1"/>
  <c r="U26" i="69"/>
  <c r="AH26" i="69"/>
  <c r="X40" i="57"/>
  <c r="AB40" i="57" s="1"/>
  <c r="AG42" i="57"/>
  <c r="AC43" i="53"/>
  <c r="O43" i="53"/>
  <c r="Q27" i="69"/>
  <c r="R41" i="57"/>
  <c r="AD41" i="57"/>
  <c r="AE41" i="57"/>
  <c r="Q41" i="57"/>
  <c r="AC41" i="57"/>
  <c r="AQ41" i="57"/>
  <c r="N43" i="53"/>
  <c r="AA41" i="53"/>
  <c r="AF26" i="69"/>
  <c r="P43" i="57"/>
  <c r="O28" i="69"/>
  <c r="AO27" i="69"/>
  <c r="AE42" i="53"/>
  <c r="R42" i="53"/>
  <c r="X42" i="53" s="1"/>
  <c r="AB42" i="53" s="1"/>
  <c r="AY26" i="69"/>
  <c r="L43" i="57"/>
  <c r="AT42" i="53"/>
  <c r="AG42" i="53"/>
  <c r="N43" i="57"/>
  <c r="L43" i="53"/>
  <c r="AD42" i="53"/>
  <c r="Q42" i="53"/>
  <c r="P43" i="53"/>
  <c r="K43" i="53"/>
  <c r="AH43" i="53" s="1"/>
  <c r="F43" i="53"/>
  <c r="E43" i="53"/>
  <c r="I43" i="53"/>
  <c r="C43" i="53"/>
  <c r="J43" i="53"/>
  <c r="G43" i="53"/>
  <c r="AK42" i="52" a="1"/>
  <c r="AK42" i="52" s="1"/>
  <c r="B44" i="53" s="1"/>
  <c r="D43" i="53"/>
  <c r="H43" i="53"/>
  <c r="F43" i="57"/>
  <c r="E43" i="57"/>
  <c r="C43" i="57"/>
  <c r="J43" i="57"/>
  <c r="I43" i="57"/>
  <c r="H43" i="57"/>
  <c r="D43" i="57"/>
  <c r="G43" i="57"/>
  <c r="AN42" i="55" a="1"/>
  <c r="AN42" i="55" s="1"/>
  <c r="B44" i="57" s="1"/>
  <c r="O44" i="57" s="1"/>
  <c r="D27" i="69"/>
  <c r="E27" i="69" s="1"/>
  <c r="AE26" i="69"/>
  <c r="R26" i="69"/>
  <c r="S26" i="69" s="1"/>
  <c r="C28" i="69"/>
  <c r="AS28" i="67" a="1"/>
  <c r="AS28" i="67" s="1"/>
  <c r="B29" i="69"/>
  <c r="AM29" i="69" s="1"/>
  <c r="AN29" i="69" s="1"/>
  <c r="AF40" i="57" l="1"/>
  <c r="AF42" i="53"/>
  <c r="P28" i="69"/>
  <c r="AP28" i="69"/>
  <c r="AK43" i="57"/>
  <c r="AJ39" i="57"/>
  <c r="BC29" i="69"/>
  <c r="BF29" i="69"/>
  <c r="BD29" i="69"/>
  <c r="BE29" i="69"/>
  <c r="AH44" i="57"/>
  <c r="AI44" i="57" s="1"/>
  <c r="K44" i="57"/>
  <c r="AX27" i="69"/>
  <c r="AW27" i="69"/>
  <c r="L29" i="69"/>
  <c r="M29" i="69" s="1"/>
  <c r="AZ29" i="69"/>
  <c r="Y26" i="69"/>
  <c r="AB26" i="69" s="1"/>
  <c r="AG25" i="69"/>
  <c r="U27" i="69"/>
  <c r="AH27" i="69"/>
  <c r="F27" i="69"/>
  <c r="G27" i="69" s="1"/>
  <c r="H27" i="69" s="1"/>
  <c r="I27" i="69" s="1"/>
  <c r="J27" i="69" s="1"/>
  <c r="K27" i="69" s="1"/>
  <c r="AG43" i="57"/>
  <c r="X41" i="57"/>
  <c r="AC44" i="53"/>
  <c r="O44" i="53"/>
  <c r="Q28" i="69"/>
  <c r="AA40" i="57"/>
  <c r="Q42" i="57"/>
  <c r="AQ42" i="57"/>
  <c r="AC42" i="57"/>
  <c r="AE42" i="57"/>
  <c r="AD42" i="57"/>
  <c r="R42" i="57"/>
  <c r="AE43" i="57"/>
  <c r="N44" i="53"/>
  <c r="AA42" i="53"/>
  <c r="AF27" i="69"/>
  <c r="P44" i="57"/>
  <c r="AC25" i="69"/>
  <c r="AD25" i="69" s="1"/>
  <c r="AO28" i="69"/>
  <c r="O29" i="69"/>
  <c r="AE43" i="53"/>
  <c r="R43" i="53"/>
  <c r="X43" i="53" s="1"/>
  <c r="AB43" i="53" s="1"/>
  <c r="AY27" i="69"/>
  <c r="L44" i="57"/>
  <c r="AG43" i="53"/>
  <c r="AT43" i="53"/>
  <c r="N44" i="57"/>
  <c r="E44" i="53"/>
  <c r="Q43" i="53"/>
  <c r="AD43" i="53"/>
  <c r="AK43" i="52" a="1"/>
  <c r="AK43" i="52" s="1"/>
  <c r="B45" i="53" s="1"/>
  <c r="H44" i="53"/>
  <c r="D44" i="53"/>
  <c r="P44" i="53"/>
  <c r="F44" i="53"/>
  <c r="K44" i="53"/>
  <c r="AH44" i="53" s="1"/>
  <c r="I44" i="53"/>
  <c r="J44" i="53"/>
  <c r="C44" i="53"/>
  <c r="G44" i="53"/>
  <c r="L44" i="53"/>
  <c r="H44" i="57"/>
  <c r="G44" i="57"/>
  <c r="E44" i="57"/>
  <c r="D44" i="57"/>
  <c r="C44" i="57"/>
  <c r="I44" i="57"/>
  <c r="F44" i="57"/>
  <c r="J44" i="57"/>
  <c r="AN43" i="55" a="1"/>
  <c r="AN43" i="55" s="1"/>
  <c r="B45" i="57" s="1"/>
  <c r="O45" i="57" s="1"/>
  <c r="AS29" i="67" a="1"/>
  <c r="AS29" i="67" s="1"/>
  <c r="B30" i="69"/>
  <c r="AM30" i="69" s="1"/>
  <c r="AN30" i="69" s="1"/>
  <c r="C29" i="69"/>
  <c r="D28" i="69"/>
  <c r="E28" i="69" s="1"/>
  <c r="AE27" i="69"/>
  <c r="R27" i="69"/>
  <c r="S27" i="69" s="1"/>
  <c r="C41" i="33"/>
  <c r="AA41" i="57" l="1"/>
  <c r="AB41" i="57"/>
  <c r="AF41" i="57" s="1"/>
  <c r="AF43" i="53"/>
  <c r="P29" i="69"/>
  <c r="AP29" i="69"/>
  <c r="AK44" i="57"/>
  <c r="AJ40" i="57"/>
  <c r="BC30" i="69"/>
  <c r="BF30" i="69"/>
  <c r="BD30" i="69"/>
  <c r="BE30" i="69"/>
  <c r="AH45" i="57"/>
  <c r="AI45" i="57" s="1"/>
  <c r="K45" i="57"/>
  <c r="AW28" i="69"/>
  <c r="AX28" i="69"/>
  <c r="L30" i="69"/>
  <c r="M30" i="69" s="1"/>
  <c r="AZ30" i="69"/>
  <c r="AG26" i="69"/>
  <c r="U28" i="69"/>
  <c r="AH28" i="69"/>
  <c r="F28" i="69"/>
  <c r="G28" i="69" s="1"/>
  <c r="H28" i="69" s="1"/>
  <c r="I28" i="69" s="1"/>
  <c r="J28" i="69" s="1"/>
  <c r="K28" i="69" s="1"/>
  <c r="Y27" i="69"/>
  <c r="AB27" i="69" s="1"/>
  <c r="AC27" i="69" s="1"/>
  <c r="AD27" i="69" s="1"/>
  <c r="X42" i="57"/>
  <c r="AB42" i="57" s="1"/>
  <c r="AG44" i="57"/>
  <c r="AC45" i="53"/>
  <c r="O45" i="53"/>
  <c r="Q29" i="69"/>
  <c r="AQ43" i="57"/>
  <c r="AD43" i="57"/>
  <c r="Q43" i="57"/>
  <c r="AC43" i="57"/>
  <c r="R43" i="57"/>
  <c r="N45" i="53"/>
  <c r="AA43" i="53"/>
  <c r="AF28" i="69"/>
  <c r="P45" i="57"/>
  <c r="AC26" i="69"/>
  <c r="AD26" i="69" s="1"/>
  <c r="O30" i="69"/>
  <c r="AO29" i="69"/>
  <c r="AE44" i="53"/>
  <c r="R44" i="53"/>
  <c r="X44" i="53" s="1"/>
  <c r="AB44" i="53" s="1"/>
  <c r="AY28" i="69"/>
  <c r="L45" i="57"/>
  <c r="AT44" i="53"/>
  <c r="AG44" i="53"/>
  <c r="N45" i="57"/>
  <c r="Q44" i="53"/>
  <c r="AD44" i="53"/>
  <c r="AK44" i="52" a="1"/>
  <c r="AK44" i="52" s="1"/>
  <c r="B46" i="53" s="1"/>
  <c r="L45" i="53"/>
  <c r="C45" i="53"/>
  <c r="I45" i="53"/>
  <c r="F45" i="53"/>
  <c r="K45" i="53"/>
  <c r="AH45" i="53" s="1"/>
  <c r="J45" i="53"/>
  <c r="D45" i="53"/>
  <c r="G45" i="53"/>
  <c r="P45" i="53"/>
  <c r="H45" i="53"/>
  <c r="E45" i="53"/>
  <c r="C45" i="57"/>
  <c r="J45" i="57"/>
  <c r="F45" i="57"/>
  <c r="I45" i="57"/>
  <c r="H45" i="57"/>
  <c r="D45" i="57"/>
  <c r="G45" i="57"/>
  <c r="E45" i="57"/>
  <c r="AN44" i="55" a="1"/>
  <c r="AN44" i="55" s="1"/>
  <c r="B46" i="57" s="1"/>
  <c r="O46" i="57" s="1"/>
  <c r="D29" i="69"/>
  <c r="E29" i="69" s="1"/>
  <c r="AE28" i="69"/>
  <c r="R28" i="69"/>
  <c r="S28" i="69" s="1"/>
  <c r="C30" i="69"/>
  <c r="AS30" i="67" a="1"/>
  <c r="AS30" i="67" s="1"/>
  <c r="B31" i="69"/>
  <c r="AM31" i="69" s="1"/>
  <c r="AN31" i="69" s="1"/>
  <c r="B2" i="73"/>
  <c r="B2" i="36"/>
  <c r="AF44" i="53" l="1"/>
  <c r="AF42" i="57"/>
  <c r="P30" i="69"/>
  <c r="AP30" i="69"/>
  <c r="AK45" i="57"/>
  <c r="AJ41" i="57"/>
  <c r="BC31" i="69"/>
  <c r="BF31" i="69"/>
  <c r="BD31" i="69"/>
  <c r="BE31" i="69"/>
  <c r="AH46" i="57"/>
  <c r="AI46" i="57" s="1"/>
  <c r="K46" i="57"/>
  <c r="AX29" i="69"/>
  <c r="AW29" i="69"/>
  <c r="L31" i="69"/>
  <c r="M31" i="69" s="1"/>
  <c r="AZ31" i="69"/>
  <c r="Y28" i="69"/>
  <c r="AB28" i="69" s="1"/>
  <c r="F29" i="69"/>
  <c r="G29" i="69" s="1"/>
  <c r="H29" i="69" s="1"/>
  <c r="I29" i="69" s="1"/>
  <c r="J29" i="69" s="1"/>
  <c r="K29" i="69" s="1"/>
  <c r="U29" i="69"/>
  <c r="AH29" i="69"/>
  <c r="AG27" i="69"/>
  <c r="X43" i="57"/>
  <c r="AG45" i="57"/>
  <c r="AC46" i="53"/>
  <c r="O46" i="53"/>
  <c r="Q30" i="69"/>
  <c r="AQ44" i="57"/>
  <c r="Q44" i="57"/>
  <c r="AD44" i="57"/>
  <c r="AA42" i="57"/>
  <c r="R44" i="57"/>
  <c r="AE44" i="57"/>
  <c r="AC44" i="57"/>
  <c r="N46" i="53"/>
  <c r="AA44" i="53"/>
  <c r="AF29" i="69"/>
  <c r="P46" i="57"/>
  <c r="AO30" i="69"/>
  <c r="O31" i="69"/>
  <c r="AE45" i="53"/>
  <c r="R45" i="53"/>
  <c r="X45" i="53" s="1"/>
  <c r="AB45" i="53" s="1"/>
  <c r="AY29" i="69"/>
  <c r="L46" i="57"/>
  <c r="AG45" i="53"/>
  <c r="AD45" i="53"/>
  <c r="AT45" i="53"/>
  <c r="N46" i="57"/>
  <c r="Q45" i="53"/>
  <c r="H46" i="53"/>
  <c r="AK45" i="52" a="1"/>
  <c r="AK45" i="52" s="1"/>
  <c r="B47" i="53" s="1"/>
  <c r="K46" i="53"/>
  <c r="AH46" i="53" s="1"/>
  <c r="G46" i="53"/>
  <c r="D46" i="53"/>
  <c r="E46" i="53"/>
  <c r="J46" i="53"/>
  <c r="C46" i="53"/>
  <c r="P46" i="53"/>
  <c r="F46" i="53"/>
  <c r="I46" i="53"/>
  <c r="L46" i="53"/>
  <c r="D46" i="57"/>
  <c r="I46" i="57"/>
  <c r="H46" i="57"/>
  <c r="G46" i="57"/>
  <c r="E46" i="57"/>
  <c r="C46" i="57"/>
  <c r="F46" i="57"/>
  <c r="J46" i="57"/>
  <c r="AN45" i="55" a="1"/>
  <c r="AN45" i="55" s="1"/>
  <c r="B47" i="57" s="1"/>
  <c r="O47" i="57" s="1"/>
  <c r="AS31" i="67" a="1"/>
  <c r="AS31" i="67" s="1"/>
  <c r="B32" i="69"/>
  <c r="AM32" i="69" s="1"/>
  <c r="AN32" i="69" s="1"/>
  <c r="R29" i="69"/>
  <c r="S29" i="69" s="1"/>
  <c r="AE29" i="69"/>
  <c r="D30" i="69"/>
  <c r="E30" i="69" s="1"/>
  <c r="C31" i="69"/>
  <c r="AB43" i="57" l="1"/>
  <c r="AF43" i="57" s="1"/>
  <c r="AF45" i="53"/>
  <c r="P31" i="69"/>
  <c r="AP31" i="69"/>
  <c r="AK46" i="57"/>
  <c r="AJ42" i="57"/>
  <c r="BC32" i="69"/>
  <c r="BE32" i="69"/>
  <c r="BF32" i="69"/>
  <c r="BD32" i="69"/>
  <c r="AH47" i="57"/>
  <c r="AI47" i="57" s="1"/>
  <c r="K47" i="57"/>
  <c r="AX30" i="69"/>
  <c r="AW30" i="69"/>
  <c r="L32" i="69"/>
  <c r="M32" i="69" s="1"/>
  <c r="AZ32" i="69"/>
  <c r="Y29" i="69"/>
  <c r="AB29" i="69" s="1"/>
  <c r="AG28" i="69"/>
  <c r="U30" i="69"/>
  <c r="AH30" i="69"/>
  <c r="F30" i="69"/>
  <c r="G30" i="69" s="1"/>
  <c r="H30" i="69" s="1"/>
  <c r="I30" i="69" s="1"/>
  <c r="J30" i="69" s="1"/>
  <c r="K30" i="69" s="1"/>
  <c r="X44" i="57"/>
  <c r="AB44" i="57" s="1"/>
  <c r="AG46" i="57"/>
  <c r="AC47" i="53"/>
  <c r="O47" i="53"/>
  <c r="Q31" i="69"/>
  <c r="AQ45" i="57"/>
  <c r="Q45" i="57"/>
  <c r="AC45" i="57"/>
  <c r="R45" i="57"/>
  <c r="AD45" i="57"/>
  <c r="AE45" i="57"/>
  <c r="AA43" i="57"/>
  <c r="N47" i="53"/>
  <c r="AA45" i="53"/>
  <c r="AF30" i="69"/>
  <c r="P47" i="57"/>
  <c r="AC28" i="69"/>
  <c r="AD28" i="69" s="1"/>
  <c r="AO31" i="69"/>
  <c r="O32" i="69"/>
  <c r="AE46" i="53"/>
  <c r="R46" i="53"/>
  <c r="X46" i="53" s="1"/>
  <c r="AB46" i="53" s="1"/>
  <c r="AY30" i="69"/>
  <c r="L47" i="57"/>
  <c r="AT46" i="53"/>
  <c r="AG46" i="53"/>
  <c r="N47" i="57"/>
  <c r="K47" i="53"/>
  <c r="AH47" i="53" s="1"/>
  <c r="AD46" i="53"/>
  <c r="Q46" i="53"/>
  <c r="J47" i="53"/>
  <c r="C47" i="53"/>
  <c r="G47" i="53"/>
  <c r="D47" i="53"/>
  <c r="H47" i="53"/>
  <c r="E47" i="53"/>
  <c r="I47" i="53"/>
  <c r="AK46" i="52" a="1"/>
  <c r="AK46" i="52" s="1"/>
  <c r="B48" i="53" s="1"/>
  <c r="L47" i="53"/>
  <c r="F47" i="53"/>
  <c r="P47" i="53"/>
  <c r="F47" i="57"/>
  <c r="I47" i="57"/>
  <c r="C47" i="57"/>
  <c r="E47" i="57"/>
  <c r="J47" i="57"/>
  <c r="H47" i="57"/>
  <c r="D47" i="57"/>
  <c r="G47" i="57"/>
  <c r="AN46" i="55" a="1"/>
  <c r="AN46" i="55" s="1"/>
  <c r="B48" i="57" s="1"/>
  <c r="O48" i="57" s="1"/>
  <c r="AS32" i="67" a="1"/>
  <c r="AS32" i="67" s="1"/>
  <c r="B33" i="69"/>
  <c r="AM33" i="69" s="1"/>
  <c r="AN33" i="69" s="1"/>
  <c r="C32" i="69"/>
  <c r="R30" i="69"/>
  <c r="S30" i="69" s="1"/>
  <c r="AE30" i="69"/>
  <c r="D31" i="69"/>
  <c r="E31" i="69" s="1"/>
  <c r="H4" i="32"/>
  <c r="AF46" i="53" l="1"/>
  <c r="AF44" i="57"/>
  <c r="P32" i="69"/>
  <c r="AP32" i="69"/>
  <c r="AK47" i="57"/>
  <c r="AJ43" i="57"/>
  <c r="BC33" i="69"/>
  <c r="BE33" i="69"/>
  <c r="BF33" i="69"/>
  <c r="BD33" i="69"/>
  <c r="AH48" i="57"/>
  <c r="AI48" i="57" s="1"/>
  <c r="K48" i="57"/>
  <c r="AX31" i="69"/>
  <c r="AW31" i="69"/>
  <c r="L33" i="69"/>
  <c r="M33" i="69" s="1"/>
  <c r="AZ33" i="69"/>
  <c r="AG29" i="69"/>
  <c r="U31" i="69"/>
  <c r="AH31" i="69"/>
  <c r="F31" i="69"/>
  <c r="G31" i="69" s="1"/>
  <c r="H31" i="69" s="1"/>
  <c r="I31" i="69" s="1"/>
  <c r="J31" i="69" s="1"/>
  <c r="K31" i="69" s="1"/>
  <c r="Y30" i="69"/>
  <c r="AB30" i="69" s="1"/>
  <c r="AC30" i="69" s="1"/>
  <c r="AD30" i="69" s="1"/>
  <c r="X45" i="57"/>
  <c r="AB45" i="57" s="1"/>
  <c r="AG47" i="57"/>
  <c r="AC48" i="53"/>
  <c r="O48" i="53"/>
  <c r="Q32" i="69"/>
  <c r="AA44" i="57"/>
  <c r="AE46" i="57"/>
  <c r="AD46" i="57"/>
  <c r="R46" i="57"/>
  <c r="Q46" i="57"/>
  <c r="AC46" i="57"/>
  <c r="AQ46" i="57"/>
  <c r="N48" i="53"/>
  <c r="AA46" i="53"/>
  <c r="AF31" i="69"/>
  <c r="P48" i="57"/>
  <c r="AC29" i="69"/>
  <c r="AD29" i="69" s="1"/>
  <c r="AO32" i="69"/>
  <c r="O33" i="69"/>
  <c r="AE47" i="53"/>
  <c r="R47" i="53"/>
  <c r="X47" i="53" s="1"/>
  <c r="AB47" i="53" s="1"/>
  <c r="AY31" i="69"/>
  <c r="L48" i="57"/>
  <c r="AG47" i="53"/>
  <c r="AT47" i="53"/>
  <c r="N48" i="57"/>
  <c r="AD47" i="53"/>
  <c r="AK47" i="52" a="1"/>
  <c r="AK47" i="52" s="1"/>
  <c r="B49" i="53" s="1"/>
  <c r="F48" i="53"/>
  <c r="C48" i="53"/>
  <c r="P48" i="53"/>
  <c r="Q47" i="53"/>
  <c r="L48" i="53"/>
  <c r="J48" i="53"/>
  <c r="K48" i="53"/>
  <c r="AH48" i="53" s="1"/>
  <c r="H48" i="53"/>
  <c r="G48" i="53"/>
  <c r="I48" i="53"/>
  <c r="D48" i="53"/>
  <c r="E48" i="53"/>
  <c r="G48" i="57"/>
  <c r="E48" i="57"/>
  <c r="D48" i="57"/>
  <c r="C48" i="57"/>
  <c r="I48" i="57"/>
  <c r="H48" i="57"/>
  <c r="F48" i="57"/>
  <c r="J48" i="57"/>
  <c r="AN47" i="55" a="1"/>
  <c r="AN47" i="55" s="1"/>
  <c r="B49" i="57" s="1"/>
  <c r="O49" i="57" s="1"/>
  <c r="AS33" i="67" a="1"/>
  <c r="AS33" i="67" s="1"/>
  <c r="B34" i="69"/>
  <c r="AM34" i="69" s="1"/>
  <c r="AN34" i="69" s="1"/>
  <c r="D32" i="69"/>
  <c r="E32" i="69" s="1"/>
  <c r="AE31" i="69"/>
  <c r="R31" i="69"/>
  <c r="S31" i="69" s="1"/>
  <c r="C33" i="69"/>
  <c r="AF45" i="57" l="1"/>
  <c r="AF47" i="53"/>
  <c r="P33" i="69"/>
  <c r="AP33" i="69"/>
  <c r="AK48" i="57"/>
  <c r="AJ44" i="57"/>
  <c r="BC34" i="69"/>
  <c r="BE34" i="69"/>
  <c r="BF34" i="69"/>
  <c r="BD34" i="69"/>
  <c r="AH49" i="57"/>
  <c r="AI49" i="57" s="1"/>
  <c r="K49" i="57"/>
  <c r="AW32" i="69"/>
  <c r="AX32" i="69"/>
  <c r="L34" i="69"/>
  <c r="M34" i="69" s="1"/>
  <c r="AZ34" i="69"/>
  <c r="F32" i="69"/>
  <c r="G32" i="69" s="1"/>
  <c r="H32" i="69" s="1"/>
  <c r="I32" i="69" s="1"/>
  <c r="J32" i="69" s="1"/>
  <c r="K32" i="69" s="1"/>
  <c r="U32" i="69"/>
  <c r="AH32" i="69"/>
  <c r="Y31" i="69"/>
  <c r="AB31" i="69" s="1"/>
  <c r="AG30" i="69"/>
  <c r="X46" i="57"/>
  <c r="AB46" i="57" s="1"/>
  <c r="AG48" i="57"/>
  <c r="AC49" i="53"/>
  <c r="O49" i="53"/>
  <c r="Q33" i="69"/>
  <c r="AA45" i="57"/>
  <c r="R47" i="57"/>
  <c r="AC47" i="57"/>
  <c r="Q47" i="57"/>
  <c r="AD47" i="57"/>
  <c r="AE47" i="57"/>
  <c r="AQ47" i="57"/>
  <c r="N49" i="53"/>
  <c r="AA47" i="53"/>
  <c r="AF32" i="69"/>
  <c r="P49" i="57"/>
  <c r="AO33" i="69"/>
  <c r="O34" i="69"/>
  <c r="AE48" i="53"/>
  <c r="R48" i="53"/>
  <c r="X48" i="53" s="1"/>
  <c r="AB48" i="53" s="1"/>
  <c r="AY32" i="69"/>
  <c r="L49" i="57"/>
  <c r="AG48" i="53"/>
  <c r="AT48" i="53"/>
  <c r="N49" i="57"/>
  <c r="AD48" i="53"/>
  <c r="Q48" i="53"/>
  <c r="F49" i="53"/>
  <c r="H49" i="53"/>
  <c r="I49" i="53"/>
  <c r="C49" i="53"/>
  <c r="D49" i="53"/>
  <c r="K49" i="53"/>
  <c r="AH49" i="53" s="1"/>
  <c r="P49" i="53"/>
  <c r="E49" i="53"/>
  <c r="AK48" i="52" a="1"/>
  <c r="AK48" i="52" s="1"/>
  <c r="B50" i="53" s="1"/>
  <c r="J49" i="53"/>
  <c r="L49" i="53"/>
  <c r="G49" i="53"/>
  <c r="E49" i="57"/>
  <c r="G49" i="57"/>
  <c r="F49" i="57"/>
  <c r="I49" i="57"/>
  <c r="H49" i="57"/>
  <c r="D49" i="57"/>
  <c r="C49" i="57"/>
  <c r="J49" i="57"/>
  <c r="AN48" i="55" a="1"/>
  <c r="AN48" i="55" s="1"/>
  <c r="B50" i="57" s="1"/>
  <c r="O50" i="57" s="1"/>
  <c r="AE32" i="69"/>
  <c r="R32" i="69"/>
  <c r="S32" i="69" s="1"/>
  <c r="D33" i="69"/>
  <c r="E33" i="69" s="1"/>
  <c r="C34" i="69"/>
  <c r="AS34" i="67" a="1"/>
  <c r="AS34" i="67" s="1"/>
  <c r="B35" i="69"/>
  <c r="AM35" i="69" s="1"/>
  <c r="AN35" i="69" s="1"/>
  <c r="D3" i="71"/>
  <c r="AF46" i="57" l="1"/>
  <c r="AF48" i="53"/>
  <c r="P34" i="69"/>
  <c r="AP34" i="69"/>
  <c r="AK49" i="57"/>
  <c r="AJ45" i="57"/>
  <c r="BC35" i="69"/>
  <c r="BD35" i="69"/>
  <c r="BE35" i="69"/>
  <c r="BF35" i="69"/>
  <c r="AH50" i="57"/>
  <c r="AI50" i="57" s="1"/>
  <c r="K50" i="57"/>
  <c r="AX33" i="69"/>
  <c r="AW33" i="69"/>
  <c r="L35" i="69"/>
  <c r="M35" i="69" s="1"/>
  <c r="AZ35" i="69"/>
  <c r="Y32" i="69"/>
  <c r="AB32" i="69" s="1"/>
  <c r="AG31" i="69"/>
  <c r="U33" i="69"/>
  <c r="AH33" i="69"/>
  <c r="F33" i="69"/>
  <c r="G33" i="69" s="1"/>
  <c r="H33" i="69" s="1"/>
  <c r="I33" i="69" s="1"/>
  <c r="J33" i="69" s="1"/>
  <c r="K33" i="69" s="1"/>
  <c r="X47" i="57"/>
  <c r="AB47" i="57" s="1"/>
  <c r="AG49" i="57"/>
  <c r="AA46" i="57"/>
  <c r="AC50" i="53"/>
  <c r="O50" i="53"/>
  <c r="Q34" i="69"/>
  <c r="AD48" i="57"/>
  <c r="AQ48" i="57"/>
  <c r="AE48" i="57"/>
  <c r="Q48" i="57"/>
  <c r="AC48" i="57"/>
  <c r="R48" i="57"/>
  <c r="N50" i="53"/>
  <c r="AA48" i="53"/>
  <c r="AF33" i="69"/>
  <c r="P50" i="57"/>
  <c r="AC31" i="69"/>
  <c r="AD31" i="69" s="1"/>
  <c r="AO34" i="69"/>
  <c r="O35" i="69"/>
  <c r="AE49" i="53"/>
  <c r="R49" i="53"/>
  <c r="X49" i="53" s="1"/>
  <c r="AB49" i="53" s="1"/>
  <c r="AY33" i="69"/>
  <c r="L50" i="57"/>
  <c r="AT49" i="53"/>
  <c r="AG49" i="53"/>
  <c r="N50" i="57"/>
  <c r="H50" i="53"/>
  <c r="Q49" i="53"/>
  <c r="AD49" i="53"/>
  <c r="F50" i="53"/>
  <c r="K50" i="53"/>
  <c r="AH50" i="53" s="1"/>
  <c r="P50" i="53"/>
  <c r="L50" i="53"/>
  <c r="C50" i="53"/>
  <c r="E50" i="53"/>
  <c r="J50" i="53"/>
  <c r="AK49" i="52" a="1"/>
  <c r="AK49" i="52" s="1"/>
  <c r="B51" i="53" s="1"/>
  <c r="G50" i="53"/>
  <c r="I50" i="53"/>
  <c r="D50" i="53"/>
  <c r="H50" i="57"/>
  <c r="G50" i="57"/>
  <c r="E50" i="57"/>
  <c r="D50" i="57"/>
  <c r="C50" i="57"/>
  <c r="I50" i="57"/>
  <c r="F50" i="57"/>
  <c r="J50" i="57"/>
  <c r="AN49" i="55" a="1"/>
  <c r="AN49" i="55" s="1"/>
  <c r="B51" i="57" s="1"/>
  <c r="O51" i="57" s="1"/>
  <c r="AS35" i="67" a="1"/>
  <c r="AS35" i="67" s="1"/>
  <c r="B36" i="69"/>
  <c r="AM36" i="69" s="1"/>
  <c r="AN36" i="69" s="1"/>
  <c r="D34" i="69"/>
  <c r="E34" i="69" s="1"/>
  <c r="C35" i="69"/>
  <c r="AE33" i="69"/>
  <c r="R33" i="69"/>
  <c r="S33" i="69" s="1"/>
  <c r="AF49" i="53" l="1"/>
  <c r="AF47" i="57"/>
  <c r="P35" i="69"/>
  <c r="AP35" i="69"/>
  <c r="AK50" i="57"/>
  <c r="AJ46" i="57"/>
  <c r="BC36" i="69"/>
  <c r="BD36" i="69"/>
  <c r="BE36" i="69"/>
  <c r="BF36" i="69"/>
  <c r="AH51" i="57"/>
  <c r="AI51" i="57" s="1"/>
  <c r="K51" i="57"/>
  <c r="AX34" i="69"/>
  <c r="AW34" i="69"/>
  <c r="L36" i="69"/>
  <c r="M36" i="69" s="1"/>
  <c r="AZ36" i="69"/>
  <c r="AG32" i="69"/>
  <c r="F34" i="69"/>
  <c r="G34" i="69" s="1"/>
  <c r="H34" i="69" s="1"/>
  <c r="I34" i="69" s="1"/>
  <c r="J34" i="69" s="1"/>
  <c r="K34" i="69" s="1"/>
  <c r="U34" i="69"/>
  <c r="AH34" i="69"/>
  <c r="X48" i="57"/>
  <c r="AB48" i="57" s="1"/>
  <c r="Y33" i="69"/>
  <c r="AB33" i="69" s="1"/>
  <c r="AC33" i="69" s="1"/>
  <c r="AD33" i="69" s="1"/>
  <c r="AG50" i="57"/>
  <c r="AC51" i="53"/>
  <c r="O51" i="53"/>
  <c r="Q35" i="69"/>
  <c r="AA47" i="57"/>
  <c r="AC49" i="57"/>
  <c r="AE49" i="57"/>
  <c r="AQ49" i="57"/>
  <c r="Q49" i="57"/>
  <c r="AD49" i="57"/>
  <c r="R49" i="57"/>
  <c r="N51" i="53"/>
  <c r="AA49" i="53"/>
  <c r="AF34" i="69"/>
  <c r="P51" i="57"/>
  <c r="AC32" i="69"/>
  <c r="AD32" i="69" s="1"/>
  <c r="AO35" i="69"/>
  <c r="O36" i="69"/>
  <c r="AE50" i="53"/>
  <c r="R50" i="53"/>
  <c r="X50" i="53" s="1"/>
  <c r="AB50" i="53" s="1"/>
  <c r="AY34" i="69"/>
  <c r="L51" i="57"/>
  <c r="AT50" i="53"/>
  <c r="AG50" i="53"/>
  <c r="N51" i="57"/>
  <c r="Q50" i="53"/>
  <c r="AD50" i="53"/>
  <c r="AK50" i="52" a="1"/>
  <c r="AK50" i="52" s="1"/>
  <c r="B52" i="53" s="1"/>
  <c r="P51" i="53"/>
  <c r="I51" i="53"/>
  <c r="F51" i="53"/>
  <c r="E51" i="53"/>
  <c r="H51" i="53"/>
  <c r="L51" i="53"/>
  <c r="C51" i="53"/>
  <c r="K51" i="53"/>
  <c r="AH51" i="53" s="1"/>
  <c r="J51" i="53"/>
  <c r="D51" i="53"/>
  <c r="G51" i="53"/>
  <c r="I51" i="57"/>
  <c r="G51" i="57"/>
  <c r="E51" i="57"/>
  <c r="C51" i="57"/>
  <c r="J51" i="57"/>
  <c r="D51" i="57"/>
  <c r="H51" i="57"/>
  <c r="F51" i="57"/>
  <c r="AN50" i="55" a="1"/>
  <c r="AN50" i="55" s="1"/>
  <c r="B52" i="57" s="1"/>
  <c r="O52" i="57" s="1"/>
  <c r="AS36" i="67" a="1"/>
  <c r="AS36" i="67" s="1"/>
  <c r="B37" i="69"/>
  <c r="AM37" i="69" s="1"/>
  <c r="AN37" i="69" s="1"/>
  <c r="R34" i="69"/>
  <c r="S34" i="69" s="1"/>
  <c r="AE34" i="69"/>
  <c r="D35" i="69"/>
  <c r="E35" i="69" s="1"/>
  <c r="C36" i="69"/>
  <c r="AF48" i="57" l="1"/>
  <c r="AF50" i="53"/>
  <c r="P36" i="69"/>
  <c r="AP36" i="69"/>
  <c r="AK51" i="57"/>
  <c r="AJ47" i="57"/>
  <c r="BC37" i="69"/>
  <c r="BF37" i="69"/>
  <c r="BD37" i="69"/>
  <c r="BE37" i="69"/>
  <c r="AH52" i="57"/>
  <c r="AI52" i="57" s="1"/>
  <c r="K52" i="57"/>
  <c r="AX35" i="69"/>
  <c r="AW35" i="69"/>
  <c r="L37" i="69"/>
  <c r="M37" i="69" s="1"/>
  <c r="AZ37" i="69"/>
  <c r="Y34" i="69"/>
  <c r="AB34" i="69" s="1"/>
  <c r="AC34" i="69" s="1"/>
  <c r="AD34" i="69" s="1"/>
  <c r="U35" i="69"/>
  <c r="AH35" i="69"/>
  <c r="F35" i="69"/>
  <c r="G35" i="69" s="1"/>
  <c r="H35" i="69" s="1"/>
  <c r="I35" i="69" s="1"/>
  <c r="J35" i="69" s="1"/>
  <c r="K35" i="69" s="1"/>
  <c r="AG33" i="69"/>
  <c r="AG51" i="57"/>
  <c r="X49" i="57"/>
  <c r="AB49" i="57" s="1"/>
  <c r="AC52" i="53"/>
  <c r="O52" i="53"/>
  <c r="Q36" i="69"/>
  <c r="AA48" i="57"/>
  <c r="AE50" i="57"/>
  <c r="AQ50" i="57"/>
  <c r="R50" i="57"/>
  <c r="Q50" i="57"/>
  <c r="AD50" i="57"/>
  <c r="AC50" i="57"/>
  <c r="N52" i="53"/>
  <c r="AA50" i="53"/>
  <c r="AF35" i="69"/>
  <c r="P52" i="57"/>
  <c r="O37" i="69"/>
  <c r="AO36" i="69"/>
  <c r="AE51" i="53"/>
  <c r="R51" i="53"/>
  <c r="X51" i="53" s="1"/>
  <c r="AB51" i="53" s="1"/>
  <c r="AY35" i="69"/>
  <c r="L52" i="57"/>
  <c r="AG51" i="53"/>
  <c r="AT51" i="53"/>
  <c r="N52" i="57"/>
  <c r="AD51" i="53"/>
  <c r="Q51" i="53"/>
  <c r="I52" i="53"/>
  <c r="K52" i="53"/>
  <c r="AH52" i="53" s="1"/>
  <c r="H52" i="53"/>
  <c r="L52" i="53"/>
  <c r="E52" i="53"/>
  <c r="C52" i="53"/>
  <c r="D52" i="53"/>
  <c r="P52" i="53"/>
  <c r="AK51" i="52" a="1"/>
  <c r="AK51" i="52" s="1"/>
  <c r="B53" i="53" s="1"/>
  <c r="J52" i="53"/>
  <c r="G52" i="53"/>
  <c r="F52" i="53"/>
  <c r="H52" i="57"/>
  <c r="G52" i="57"/>
  <c r="E52" i="57"/>
  <c r="D52" i="57"/>
  <c r="C52" i="57"/>
  <c r="I52" i="57"/>
  <c r="J52" i="57"/>
  <c r="F52" i="57"/>
  <c r="AN51" i="55" a="1"/>
  <c r="AN51" i="55" s="1"/>
  <c r="B53" i="57" s="1"/>
  <c r="O53" i="57" s="1"/>
  <c r="AE35" i="69"/>
  <c r="R35" i="69"/>
  <c r="S35" i="69" s="1"/>
  <c r="D36" i="69"/>
  <c r="E36" i="69" s="1"/>
  <c r="C37" i="69"/>
  <c r="AS37" i="67" a="1"/>
  <c r="AS37" i="67" s="1"/>
  <c r="B38" i="69"/>
  <c r="AM38" i="69" s="1"/>
  <c r="AN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AF49" i="57" l="1"/>
  <c r="AF51" i="53"/>
  <c r="P37" i="69"/>
  <c r="AP37" i="69"/>
  <c r="AK52" i="57"/>
  <c r="AJ48" i="57"/>
  <c r="L13" i="59"/>
  <c r="L15" i="59"/>
  <c r="L252" i="59"/>
  <c r="Y252" i="59" s="1"/>
  <c r="L156" i="59"/>
  <c r="L60" i="59"/>
  <c r="Y60" i="59" s="1"/>
  <c r="L253" i="59"/>
  <c r="Y253" i="59" s="1"/>
  <c r="L237" i="59"/>
  <c r="Y237" i="59" s="1"/>
  <c r="L221" i="59"/>
  <c r="L205" i="59"/>
  <c r="Y205" i="59" s="1"/>
  <c r="L189" i="59"/>
  <c r="Y189" i="59" s="1"/>
  <c r="L173" i="59"/>
  <c r="Y173" i="59" s="1"/>
  <c r="L157" i="59"/>
  <c r="L141" i="59"/>
  <c r="Y141" i="59" s="1"/>
  <c r="L125" i="59"/>
  <c r="Y125" i="59" s="1"/>
  <c r="L109" i="59"/>
  <c r="Y109" i="59" s="1"/>
  <c r="L93" i="59"/>
  <c r="L77" i="59"/>
  <c r="Y77" i="59" s="1"/>
  <c r="L61" i="59"/>
  <c r="Y61" i="59" s="1"/>
  <c r="L45" i="59"/>
  <c r="L29" i="59"/>
  <c r="L244" i="59"/>
  <c r="Y244" i="59" s="1"/>
  <c r="L44" i="59"/>
  <c r="L243" i="59"/>
  <c r="Y243" i="59" s="1"/>
  <c r="L227" i="59"/>
  <c r="L211" i="59"/>
  <c r="Y211" i="59" s="1"/>
  <c r="L195" i="59"/>
  <c r="Y195" i="59" s="1"/>
  <c r="L179" i="59"/>
  <c r="Y179" i="59" s="1"/>
  <c r="L163" i="59"/>
  <c r="L147" i="59"/>
  <c r="Y147" i="59" s="1"/>
  <c r="L131" i="59"/>
  <c r="Y131" i="59" s="1"/>
  <c r="L115" i="59"/>
  <c r="Y115" i="59" s="1"/>
  <c r="L99" i="59"/>
  <c r="L83" i="59"/>
  <c r="Y83" i="59" s="1"/>
  <c r="L67" i="59"/>
  <c r="Y67" i="59" s="1"/>
  <c r="L51" i="59"/>
  <c r="L35" i="59"/>
  <c r="L19" i="59"/>
  <c r="L164" i="59"/>
  <c r="Y164" i="59" s="1"/>
  <c r="L76" i="59"/>
  <c r="Y76" i="59" s="1"/>
  <c r="L258" i="59"/>
  <c r="L242" i="59"/>
  <c r="Y242" i="59" s="1"/>
  <c r="L226" i="59"/>
  <c r="Y226" i="59" s="1"/>
  <c r="L210" i="59"/>
  <c r="Y210" i="59" s="1"/>
  <c r="L194" i="59"/>
  <c r="Y194" i="59" s="1"/>
  <c r="L178" i="59"/>
  <c r="Y178" i="59" s="1"/>
  <c r="L162" i="59"/>
  <c r="Y162" i="59" s="1"/>
  <c r="L146" i="59"/>
  <c r="Y146" i="59" s="1"/>
  <c r="L130" i="59"/>
  <c r="Y130" i="59" s="1"/>
  <c r="L114" i="59"/>
  <c r="Y114" i="59" s="1"/>
  <c r="L98" i="59"/>
  <c r="Y98" i="59" s="1"/>
  <c r="L82" i="59"/>
  <c r="Y82" i="59" s="1"/>
  <c r="L66" i="59"/>
  <c r="Y66" i="59" s="1"/>
  <c r="L50" i="59"/>
  <c r="L34" i="59"/>
  <c r="L18" i="59"/>
  <c r="L148" i="59"/>
  <c r="L257" i="59"/>
  <c r="Y257" i="59" s="1"/>
  <c r="L241" i="59"/>
  <c r="Y241" i="59" s="1"/>
  <c r="L225" i="59"/>
  <c r="Y225" i="59" s="1"/>
  <c r="L209" i="59"/>
  <c r="Y209" i="59" s="1"/>
  <c r="L193" i="59"/>
  <c r="Y193" i="59" s="1"/>
  <c r="L177" i="59"/>
  <c r="Y177" i="59" s="1"/>
  <c r="L161" i="59"/>
  <c r="Y161" i="59" s="1"/>
  <c r="L145" i="59"/>
  <c r="Y145" i="59" s="1"/>
  <c r="L129" i="59"/>
  <c r="Y129" i="59" s="1"/>
  <c r="L113" i="59"/>
  <c r="Y113" i="59" s="1"/>
  <c r="L97" i="59"/>
  <c r="Y97" i="59" s="1"/>
  <c r="L81" i="59"/>
  <c r="Y81" i="59" s="1"/>
  <c r="L65" i="59"/>
  <c r="Y65" i="59" s="1"/>
  <c r="L49" i="59"/>
  <c r="L33" i="59"/>
  <c r="L17" i="59"/>
  <c r="L188" i="59"/>
  <c r="Y188" i="59" s="1"/>
  <c r="L92" i="59"/>
  <c r="Y92" i="59" s="1"/>
  <c r="L240" i="59"/>
  <c r="Y240" i="59" s="1"/>
  <c r="L224" i="59"/>
  <c r="L208" i="59"/>
  <c r="Y208" i="59" s="1"/>
  <c r="L192" i="59"/>
  <c r="Y192" i="59" s="1"/>
  <c r="L176" i="59"/>
  <c r="Y176" i="59" s="1"/>
  <c r="L160" i="59"/>
  <c r="L144" i="59"/>
  <c r="Y144" i="59" s="1"/>
  <c r="L128" i="59"/>
  <c r="Y128" i="59" s="1"/>
  <c r="L112" i="59"/>
  <c r="Y112" i="59" s="1"/>
  <c r="L96" i="59"/>
  <c r="L80" i="59"/>
  <c r="Y80" i="59" s="1"/>
  <c r="L11" i="11"/>
  <c r="U11" i="11" s="1"/>
  <c r="Q11" i="11" s="1"/>
  <c r="L12" i="59"/>
  <c r="L14" i="59"/>
  <c r="L196" i="59"/>
  <c r="Y196" i="59" s="1"/>
  <c r="L100" i="59"/>
  <c r="Y100" i="59" s="1"/>
  <c r="L248" i="59"/>
  <c r="Y248" i="59" s="1"/>
  <c r="L245" i="59"/>
  <c r="L229" i="59"/>
  <c r="Y229" i="59" s="1"/>
  <c r="L213" i="59"/>
  <c r="Y213" i="59" s="1"/>
  <c r="L197" i="59"/>
  <c r="Y197" i="59" s="1"/>
  <c r="L181" i="59"/>
  <c r="L165" i="59"/>
  <c r="Y165" i="59" s="1"/>
  <c r="L149" i="59"/>
  <c r="Y149" i="59" s="1"/>
  <c r="L133" i="59"/>
  <c r="Y133" i="59" s="1"/>
  <c r="L117" i="59"/>
  <c r="L101" i="59"/>
  <c r="Y101" i="59" s="1"/>
  <c r="L85" i="59"/>
  <c r="Y85" i="59" s="1"/>
  <c r="L69" i="59"/>
  <c r="Y69" i="59" s="1"/>
  <c r="L53" i="59"/>
  <c r="L37" i="59"/>
  <c r="L21" i="59"/>
  <c r="L132" i="59"/>
  <c r="Y132" i="59" s="1"/>
  <c r="L251" i="59"/>
  <c r="Y251" i="59" s="1"/>
  <c r="L235" i="59"/>
  <c r="Y235" i="59" s="1"/>
  <c r="L219" i="59"/>
  <c r="Y219" i="59" s="1"/>
  <c r="L203" i="59"/>
  <c r="Y203" i="59" s="1"/>
  <c r="L187" i="59"/>
  <c r="Y187" i="59" s="1"/>
  <c r="L171" i="59"/>
  <c r="Y171" i="59" s="1"/>
  <c r="L155" i="59"/>
  <c r="Y155" i="59" s="1"/>
  <c r="L139" i="59"/>
  <c r="Y139" i="59" s="1"/>
  <c r="L123" i="59"/>
  <c r="Y123" i="59" s="1"/>
  <c r="L107" i="59"/>
  <c r="Y107" i="59" s="1"/>
  <c r="L91" i="59"/>
  <c r="Y91" i="59" s="1"/>
  <c r="L75" i="59"/>
  <c r="Y75" i="59" s="1"/>
  <c r="L59" i="59"/>
  <c r="Y59" i="59" s="1"/>
  <c r="L43" i="59"/>
  <c r="L27" i="59"/>
  <c r="L212" i="59"/>
  <c r="Y212" i="59" s="1"/>
  <c r="L108" i="59"/>
  <c r="Y108" i="59" s="1"/>
  <c r="L28" i="59"/>
  <c r="L250" i="59"/>
  <c r="Y250" i="59" s="1"/>
  <c r="L234" i="59"/>
  <c r="Y234" i="59" s="1"/>
  <c r="L218" i="59"/>
  <c r="L202" i="59"/>
  <c r="Y202" i="59" s="1"/>
  <c r="L186" i="59"/>
  <c r="Y186" i="59" s="1"/>
  <c r="L170" i="59"/>
  <c r="Y170" i="59" s="1"/>
  <c r="L154" i="59"/>
  <c r="L138" i="59"/>
  <c r="Y138" i="59" s="1"/>
  <c r="L122" i="59"/>
  <c r="Y122" i="59" s="1"/>
  <c r="L106" i="59"/>
  <c r="Y106" i="59" s="1"/>
  <c r="L90" i="59"/>
  <c r="L74" i="59"/>
  <c r="Y74" i="59" s="1"/>
  <c r="L58" i="59"/>
  <c r="Y58" i="59" s="1"/>
  <c r="L42" i="59"/>
  <c r="L26" i="59"/>
  <c r="L220" i="59"/>
  <c r="Y220" i="59" s="1"/>
  <c r="L36" i="59"/>
  <c r="L249" i="59"/>
  <c r="Y249" i="59" s="1"/>
  <c r="L233" i="59"/>
  <c r="L217" i="59"/>
  <c r="Y217" i="59" s="1"/>
  <c r="L201" i="59"/>
  <c r="Y201" i="59" s="1"/>
  <c r="L185" i="59"/>
  <c r="Y185" i="59" s="1"/>
  <c r="L169" i="59"/>
  <c r="L153" i="59"/>
  <c r="Y153" i="59" s="1"/>
  <c r="L137" i="59"/>
  <c r="Y137" i="59" s="1"/>
  <c r="L121" i="59"/>
  <c r="Y121" i="59" s="1"/>
  <c r="L105" i="59"/>
  <c r="L89" i="59"/>
  <c r="Y89" i="59" s="1"/>
  <c r="L73" i="59"/>
  <c r="Y73" i="59" s="1"/>
  <c r="L57" i="59"/>
  <c r="Y57" i="59" s="1"/>
  <c r="L41" i="59"/>
  <c r="L25" i="59"/>
  <c r="L236" i="59"/>
  <c r="Y236" i="59" s="1"/>
  <c r="L140" i="59"/>
  <c r="Y140" i="59" s="1"/>
  <c r="L52" i="59"/>
  <c r="L232" i="59"/>
  <c r="Y232" i="59" s="1"/>
  <c r="L216" i="59"/>
  <c r="Y216" i="59" s="1"/>
  <c r="L200" i="59"/>
  <c r="Y200" i="59" s="1"/>
  <c r="L184" i="59"/>
  <c r="Y184" i="59" s="1"/>
  <c r="L168" i="59"/>
  <c r="Y168" i="59" s="1"/>
  <c r="L152" i="59"/>
  <c r="Y152" i="59" s="1"/>
  <c r="L136" i="59"/>
  <c r="Y136" i="59" s="1"/>
  <c r="L120" i="59"/>
  <c r="Y120" i="59" s="1"/>
  <c r="L104" i="59"/>
  <c r="Y104" i="59" s="1"/>
  <c r="L88" i="59"/>
  <c r="Y88" i="59" s="1"/>
  <c r="L72" i="59"/>
  <c r="Y72" i="59" s="1"/>
  <c r="L56" i="59"/>
  <c r="Y56" i="59" s="1"/>
  <c r="L40" i="59"/>
  <c r="L24" i="59"/>
  <c r="L204" i="59"/>
  <c r="Y204" i="59" s="1"/>
  <c r="L116" i="59"/>
  <c r="L256" i="59"/>
  <c r="Y256" i="59" s="1"/>
  <c r="L247" i="59"/>
  <c r="Y247" i="59" s="1"/>
  <c r="L231" i="59"/>
  <c r="Y231" i="59" s="1"/>
  <c r="L215" i="59"/>
  <c r="L199" i="59"/>
  <c r="Y199" i="59" s="1"/>
  <c r="L183" i="59"/>
  <c r="Y183" i="59" s="1"/>
  <c r="L167" i="59"/>
  <c r="Y167" i="59" s="1"/>
  <c r="L151" i="59"/>
  <c r="L135" i="59"/>
  <c r="Y135" i="59" s="1"/>
  <c r="L119" i="59"/>
  <c r="Y119" i="59" s="1"/>
  <c r="L103" i="59"/>
  <c r="Y103" i="59" s="1"/>
  <c r="L87" i="59"/>
  <c r="L71" i="59"/>
  <c r="Y71" i="59" s="1"/>
  <c r="L55" i="59"/>
  <c r="Y55" i="59" s="1"/>
  <c r="L39" i="59"/>
  <c r="L23" i="59"/>
  <c r="L180" i="59"/>
  <c r="Y180" i="59" s="1"/>
  <c r="L84" i="59"/>
  <c r="Y84" i="59" s="1"/>
  <c r="L254" i="59"/>
  <c r="Y254" i="59" s="1"/>
  <c r="L238" i="59"/>
  <c r="L222" i="59"/>
  <c r="Y222" i="59" s="1"/>
  <c r="L206" i="59"/>
  <c r="Y206" i="59" s="1"/>
  <c r="L190" i="59"/>
  <c r="Y190" i="59" s="1"/>
  <c r="L174" i="59"/>
  <c r="L158" i="59"/>
  <c r="Y158" i="59" s="1"/>
  <c r="L142" i="59"/>
  <c r="Y142" i="59" s="1"/>
  <c r="L126" i="59"/>
  <c r="Y126" i="59" s="1"/>
  <c r="L110" i="59"/>
  <c r="L94" i="59"/>
  <c r="Y94" i="59" s="1"/>
  <c r="L78" i="59"/>
  <c r="Y78" i="59" s="1"/>
  <c r="L62" i="59"/>
  <c r="Y62" i="59" s="1"/>
  <c r="L46" i="59"/>
  <c r="L30" i="59"/>
  <c r="L64" i="59"/>
  <c r="Y64" i="59" s="1"/>
  <c r="L48" i="59"/>
  <c r="L32" i="59"/>
  <c r="L16" i="59"/>
  <c r="L172" i="59"/>
  <c r="Y172" i="59" s="1"/>
  <c r="L68" i="59"/>
  <c r="Y68" i="59" s="1"/>
  <c r="L255" i="59"/>
  <c r="L239" i="59"/>
  <c r="Y239" i="59" s="1"/>
  <c r="L223" i="59"/>
  <c r="Y223" i="59" s="1"/>
  <c r="L207" i="59"/>
  <c r="Y207" i="59" s="1"/>
  <c r="L191" i="59"/>
  <c r="L175" i="59"/>
  <c r="Y175" i="59" s="1"/>
  <c r="L159" i="59"/>
  <c r="Y159" i="59" s="1"/>
  <c r="L143" i="59"/>
  <c r="Y143" i="59" s="1"/>
  <c r="L127" i="59"/>
  <c r="L111" i="59"/>
  <c r="Y111" i="59" s="1"/>
  <c r="L95" i="59"/>
  <c r="L79" i="59"/>
  <c r="Y79" i="59" s="1"/>
  <c r="L63" i="59"/>
  <c r="L47" i="59"/>
  <c r="L31" i="59"/>
  <c r="L228" i="59"/>
  <c r="Y228" i="59" s="1"/>
  <c r="L124" i="59"/>
  <c r="L20" i="59"/>
  <c r="L246" i="59"/>
  <c r="L230" i="59"/>
  <c r="L214" i="59"/>
  <c r="L198" i="59"/>
  <c r="Y198" i="59" s="1"/>
  <c r="L182" i="59"/>
  <c r="L166" i="59"/>
  <c r="Y166" i="59" s="1"/>
  <c r="L150" i="59"/>
  <c r="L134" i="59"/>
  <c r="Y134" i="59" s="1"/>
  <c r="L118" i="59"/>
  <c r="L102" i="59"/>
  <c r="Y102" i="59" s="1"/>
  <c r="L86" i="59"/>
  <c r="L70" i="59"/>
  <c r="Y70" i="59" s="1"/>
  <c r="L54" i="59"/>
  <c r="Y54" i="59" s="1"/>
  <c r="L38" i="59"/>
  <c r="L22" i="59"/>
  <c r="BC38" i="69"/>
  <c r="BF38" i="69"/>
  <c r="BD38" i="69"/>
  <c r="BE38" i="69"/>
  <c r="AH53" i="57"/>
  <c r="AI53" i="57" s="1"/>
  <c r="K53" i="57"/>
  <c r="AW36" i="69"/>
  <c r="AX36" i="69"/>
  <c r="L38" i="69"/>
  <c r="M38" i="69" s="1"/>
  <c r="AZ38" i="69"/>
  <c r="AG34" i="69"/>
  <c r="Y35" i="69"/>
  <c r="AB35" i="69" s="1"/>
  <c r="F36" i="69"/>
  <c r="G36" i="69" s="1"/>
  <c r="H36" i="69" s="1"/>
  <c r="I36" i="69" s="1"/>
  <c r="J36" i="69" s="1"/>
  <c r="K36" i="69" s="1"/>
  <c r="U36" i="69"/>
  <c r="AH36" i="69"/>
  <c r="L16" i="11"/>
  <c r="V16" i="11" s="1"/>
  <c r="L20" i="11"/>
  <c r="V20" i="11" s="1"/>
  <c r="L24" i="11"/>
  <c r="V24" i="11" s="1"/>
  <c r="L28" i="11"/>
  <c r="V28" i="11" s="1"/>
  <c r="L32" i="11"/>
  <c r="V32" i="11" s="1"/>
  <c r="L36" i="11"/>
  <c r="V36" i="11" s="1"/>
  <c r="L40" i="11"/>
  <c r="V40" i="11" s="1"/>
  <c r="L44" i="11"/>
  <c r="V44" i="11" s="1"/>
  <c r="L48" i="11"/>
  <c r="V48" i="11" s="1"/>
  <c r="L52" i="11"/>
  <c r="V52" i="11" s="1"/>
  <c r="L56" i="11"/>
  <c r="V56" i="11" s="1"/>
  <c r="L60" i="11"/>
  <c r="V60" i="11" s="1"/>
  <c r="L64" i="11"/>
  <c r="V64" i="11" s="1"/>
  <c r="L68" i="11"/>
  <c r="V68" i="11" s="1"/>
  <c r="L72" i="11"/>
  <c r="V72" i="11" s="1"/>
  <c r="L76" i="11"/>
  <c r="V76" i="11" s="1"/>
  <c r="L80" i="11"/>
  <c r="V80" i="11" s="1"/>
  <c r="L84" i="11"/>
  <c r="V84" i="11" s="1"/>
  <c r="L88" i="11"/>
  <c r="V88" i="11" s="1"/>
  <c r="L92" i="11"/>
  <c r="V92" i="11" s="1"/>
  <c r="L96" i="11"/>
  <c r="V96" i="11" s="1"/>
  <c r="L100" i="11"/>
  <c r="V100" i="11" s="1"/>
  <c r="L104" i="11"/>
  <c r="V104" i="11" s="1"/>
  <c r="L108" i="11"/>
  <c r="V108" i="11" s="1"/>
  <c r="L112" i="11"/>
  <c r="V112" i="11" s="1"/>
  <c r="L116" i="11"/>
  <c r="V116" i="11" s="1"/>
  <c r="L120" i="11"/>
  <c r="V120" i="11" s="1"/>
  <c r="L124" i="11"/>
  <c r="V124" i="11" s="1"/>
  <c r="L128" i="11"/>
  <c r="V128" i="11" s="1"/>
  <c r="L132" i="11"/>
  <c r="V132" i="11" s="1"/>
  <c r="L136" i="11"/>
  <c r="V136" i="11" s="1"/>
  <c r="L140" i="11"/>
  <c r="V140" i="11" s="1"/>
  <c r="L144" i="11"/>
  <c r="V144" i="11" s="1"/>
  <c r="L148" i="11"/>
  <c r="V148" i="11" s="1"/>
  <c r="L152" i="11"/>
  <c r="V152" i="11" s="1"/>
  <c r="L156" i="11"/>
  <c r="V156" i="11" s="1"/>
  <c r="L160" i="11"/>
  <c r="V160" i="11" s="1"/>
  <c r="L164" i="11"/>
  <c r="V164" i="11" s="1"/>
  <c r="L168" i="11"/>
  <c r="V168" i="11" s="1"/>
  <c r="L172" i="11"/>
  <c r="V172" i="11" s="1"/>
  <c r="L176" i="11"/>
  <c r="V176" i="11" s="1"/>
  <c r="L180" i="11"/>
  <c r="V180" i="11" s="1"/>
  <c r="L184" i="11"/>
  <c r="V184" i="11" s="1"/>
  <c r="L188" i="11"/>
  <c r="V188" i="11" s="1"/>
  <c r="L192" i="11"/>
  <c r="V192" i="11" s="1"/>
  <c r="L196" i="11"/>
  <c r="V196" i="11" s="1"/>
  <c r="L200" i="11"/>
  <c r="V200" i="11" s="1"/>
  <c r="L204" i="11"/>
  <c r="V204" i="11" s="1"/>
  <c r="L208" i="11"/>
  <c r="V208" i="11" s="1"/>
  <c r="L212" i="11"/>
  <c r="V212" i="11" s="1"/>
  <c r="L216" i="11"/>
  <c r="V216" i="11" s="1"/>
  <c r="L220" i="11"/>
  <c r="V220" i="11" s="1"/>
  <c r="L224" i="11"/>
  <c r="V224" i="11" s="1"/>
  <c r="L228" i="11"/>
  <c r="V228" i="11" s="1"/>
  <c r="L232" i="11"/>
  <c r="V232" i="11" s="1"/>
  <c r="L236" i="11"/>
  <c r="V236" i="11" s="1"/>
  <c r="L240" i="11"/>
  <c r="V240" i="11" s="1"/>
  <c r="L244" i="11"/>
  <c r="V244" i="11" s="1"/>
  <c r="L248" i="11"/>
  <c r="V248" i="11" s="1"/>
  <c r="L252" i="11"/>
  <c r="V252" i="11" s="1"/>
  <c r="L256" i="11"/>
  <c r="V256" i="11" s="1"/>
  <c r="L17" i="11"/>
  <c r="V17" i="11" s="1"/>
  <c r="L21" i="11"/>
  <c r="V21" i="11" s="1"/>
  <c r="L25" i="11"/>
  <c r="V25" i="11" s="1"/>
  <c r="L29" i="11"/>
  <c r="V29" i="11" s="1"/>
  <c r="L33" i="11"/>
  <c r="V33" i="11" s="1"/>
  <c r="L37" i="11"/>
  <c r="V37" i="11" s="1"/>
  <c r="L41" i="11"/>
  <c r="V41" i="11" s="1"/>
  <c r="L45" i="11"/>
  <c r="V45" i="11" s="1"/>
  <c r="L49" i="11"/>
  <c r="V49" i="11" s="1"/>
  <c r="L53" i="11"/>
  <c r="V53" i="11" s="1"/>
  <c r="L57" i="11"/>
  <c r="V57" i="11" s="1"/>
  <c r="L61" i="11"/>
  <c r="V61" i="11" s="1"/>
  <c r="L65" i="11"/>
  <c r="V65" i="11" s="1"/>
  <c r="L69" i="11"/>
  <c r="V69" i="11" s="1"/>
  <c r="L73" i="11"/>
  <c r="V73" i="11" s="1"/>
  <c r="L77" i="11"/>
  <c r="V77" i="11" s="1"/>
  <c r="L81" i="11"/>
  <c r="V81" i="11" s="1"/>
  <c r="L85" i="11"/>
  <c r="V85" i="11" s="1"/>
  <c r="L89" i="11"/>
  <c r="V89" i="11" s="1"/>
  <c r="L93" i="11"/>
  <c r="V93" i="11" s="1"/>
  <c r="L97" i="11"/>
  <c r="V97" i="11" s="1"/>
  <c r="L101" i="11"/>
  <c r="V101" i="11" s="1"/>
  <c r="L105" i="11"/>
  <c r="V105" i="11" s="1"/>
  <c r="L109" i="11"/>
  <c r="V109" i="11" s="1"/>
  <c r="L113" i="11"/>
  <c r="V113" i="11" s="1"/>
  <c r="L117" i="11"/>
  <c r="V117" i="11" s="1"/>
  <c r="L121" i="11"/>
  <c r="V121" i="11" s="1"/>
  <c r="L125" i="11"/>
  <c r="V125" i="11" s="1"/>
  <c r="L129" i="11"/>
  <c r="V129" i="11" s="1"/>
  <c r="L133" i="11"/>
  <c r="V133" i="11" s="1"/>
  <c r="L137" i="11"/>
  <c r="V137" i="11" s="1"/>
  <c r="L141" i="11"/>
  <c r="V141" i="11" s="1"/>
  <c r="L145" i="11"/>
  <c r="V145" i="11" s="1"/>
  <c r="L149" i="11"/>
  <c r="V149" i="11" s="1"/>
  <c r="L153" i="11"/>
  <c r="V153" i="11" s="1"/>
  <c r="L157" i="11"/>
  <c r="V157" i="11" s="1"/>
  <c r="L161" i="11"/>
  <c r="V161" i="11" s="1"/>
  <c r="L165" i="11"/>
  <c r="V165" i="11" s="1"/>
  <c r="L169" i="11"/>
  <c r="V169" i="11" s="1"/>
  <c r="L173" i="11"/>
  <c r="V173" i="11" s="1"/>
  <c r="L177" i="11"/>
  <c r="V177" i="11" s="1"/>
  <c r="L181" i="11"/>
  <c r="V181" i="11" s="1"/>
  <c r="L185" i="11"/>
  <c r="V185" i="11" s="1"/>
  <c r="B14" i="11"/>
  <c r="B18" i="11"/>
  <c r="B22" i="11"/>
  <c r="B26" i="11"/>
  <c r="B30" i="11"/>
  <c r="B34" i="11"/>
  <c r="B38" i="11"/>
  <c r="B42" i="11"/>
  <c r="B46" i="11"/>
  <c r="B50" i="11"/>
  <c r="B54" i="11"/>
  <c r="B58" i="11"/>
  <c r="B62" i="11"/>
  <c r="B66" i="11"/>
  <c r="B70" i="11"/>
  <c r="B74" i="11"/>
  <c r="B78" i="11"/>
  <c r="B82" i="11"/>
  <c r="B86" i="11"/>
  <c r="B90" i="11"/>
  <c r="B94" i="11"/>
  <c r="B98" i="11"/>
  <c r="B102" i="11"/>
  <c r="B106" i="11"/>
  <c r="B110" i="11"/>
  <c r="B114" i="11"/>
  <c r="B118" i="11"/>
  <c r="B122" i="11"/>
  <c r="L15" i="11"/>
  <c r="V15" i="11" s="1"/>
  <c r="L23" i="11"/>
  <c r="V23" i="11" s="1"/>
  <c r="L31" i="11"/>
  <c r="V31" i="11" s="1"/>
  <c r="L39" i="11"/>
  <c r="V39" i="11" s="1"/>
  <c r="L47" i="11"/>
  <c r="V47" i="11" s="1"/>
  <c r="L55" i="11"/>
  <c r="V55" i="11" s="1"/>
  <c r="L63" i="11"/>
  <c r="V63" i="11" s="1"/>
  <c r="L71" i="11"/>
  <c r="V71" i="11" s="1"/>
  <c r="L79" i="11"/>
  <c r="V79" i="11" s="1"/>
  <c r="L87" i="11"/>
  <c r="V87" i="11" s="1"/>
  <c r="L95" i="11"/>
  <c r="V95" i="11" s="1"/>
  <c r="L103" i="11"/>
  <c r="V103" i="11" s="1"/>
  <c r="L111" i="11"/>
  <c r="V111" i="11" s="1"/>
  <c r="L119" i="11"/>
  <c r="V119" i="11" s="1"/>
  <c r="L127" i="11"/>
  <c r="V127" i="11" s="1"/>
  <c r="L135" i="11"/>
  <c r="V135" i="11" s="1"/>
  <c r="L143" i="11"/>
  <c r="V143" i="11" s="1"/>
  <c r="L151" i="11"/>
  <c r="V151" i="11" s="1"/>
  <c r="L159" i="11"/>
  <c r="V159" i="11" s="1"/>
  <c r="L167" i="11"/>
  <c r="V167" i="11" s="1"/>
  <c r="L175" i="11"/>
  <c r="V175" i="11" s="1"/>
  <c r="L183" i="11"/>
  <c r="V183" i="11" s="1"/>
  <c r="L191" i="11"/>
  <c r="V191" i="11" s="1"/>
  <c r="L199" i="11"/>
  <c r="V199" i="11" s="1"/>
  <c r="L207" i="11"/>
  <c r="V207" i="11" s="1"/>
  <c r="L215" i="11"/>
  <c r="V215" i="11" s="1"/>
  <c r="L223" i="11"/>
  <c r="V223" i="11" s="1"/>
  <c r="L231" i="11"/>
  <c r="V231" i="11" s="1"/>
  <c r="L239" i="11"/>
  <c r="V239" i="11" s="1"/>
  <c r="L247" i="11"/>
  <c r="V247" i="11" s="1"/>
  <c r="L255" i="11"/>
  <c r="V255" i="11" s="1"/>
  <c r="B15" i="11"/>
  <c r="B20" i="11"/>
  <c r="B25" i="11"/>
  <c r="B31" i="11"/>
  <c r="B36" i="11"/>
  <c r="B41" i="11"/>
  <c r="B47" i="11"/>
  <c r="B52" i="11"/>
  <c r="B57" i="11"/>
  <c r="B63" i="11"/>
  <c r="B68" i="11"/>
  <c r="B73" i="11"/>
  <c r="B79" i="11"/>
  <c r="B84" i="11"/>
  <c r="B89" i="11"/>
  <c r="B95" i="11"/>
  <c r="B100" i="11"/>
  <c r="B105" i="11"/>
  <c r="B111" i="11"/>
  <c r="B116" i="11"/>
  <c r="B121" i="11"/>
  <c r="L18" i="11"/>
  <c r="V18" i="11" s="1"/>
  <c r="L26" i="11"/>
  <c r="V26" i="11" s="1"/>
  <c r="L34" i="11"/>
  <c r="V34" i="11" s="1"/>
  <c r="L42" i="11"/>
  <c r="V42" i="11" s="1"/>
  <c r="L50" i="11"/>
  <c r="V50" i="11" s="1"/>
  <c r="L58" i="11"/>
  <c r="V58" i="11" s="1"/>
  <c r="L66" i="11"/>
  <c r="V66" i="11" s="1"/>
  <c r="L74" i="11"/>
  <c r="V74" i="11" s="1"/>
  <c r="L82" i="11"/>
  <c r="V82" i="11" s="1"/>
  <c r="L90" i="11"/>
  <c r="V90" i="11" s="1"/>
  <c r="L98" i="11"/>
  <c r="V98" i="11" s="1"/>
  <c r="L106" i="11"/>
  <c r="V106" i="11" s="1"/>
  <c r="L114" i="11"/>
  <c r="V114" i="11" s="1"/>
  <c r="L122" i="11"/>
  <c r="V122" i="11" s="1"/>
  <c r="L130" i="11"/>
  <c r="V130" i="11" s="1"/>
  <c r="L138" i="11"/>
  <c r="V138" i="11" s="1"/>
  <c r="L146" i="11"/>
  <c r="V146" i="11" s="1"/>
  <c r="L154" i="11"/>
  <c r="V154" i="11" s="1"/>
  <c r="L162" i="11"/>
  <c r="V162" i="11" s="1"/>
  <c r="L170" i="11"/>
  <c r="V170" i="11" s="1"/>
  <c r="L178" i="11"/>
  <c r="V178" i="11" s="1"/>
  <c r="L186" i="11"/>
  <c r="V186" i="11" s="1"/>
  <c r="L194" i="11"/>
  <c r="V194" i="11" s="1"/>
  <c r="L202" i="11"/>
  <c r="V202" i="11" s="1"/>
  <c r="L210" i="11"/>
  <c r="V210" i="11" s="1"/>
  <c r="L218" i="11"/>
  <c r="V218" i="11" s="1"/>
  <c r="L226" i="11"/>
  <c r="V226" i="11" s="1"/>
  <c r="L234" i="11"/>
  <c r="V234" i="11" s="1"/>
  <c r="L242" i="11"/>
  <c r="V242" i="11" s="1"/>
  <c r="L250" i="11"/>
  <c r="V250" i="11" s="1"/>
  <c r="L258" i="11"/>
  <c r="V258" i="11" s="1"/>
  <c r="B16" i="11"/>
  <c r="B21" i="11"/>
  <c r="B27" i="11"/>
  <c r="B32" i="11"/>
  <c r="B37" i="11"/>
  <c r="B43" i="11"/>
  <c r="B48" i="11"/>
  <c r="L19" i="11"/>
  <c r="V19" i="11" s="1"/>
  <c r="L27" i="11"/>
  <c r="V27" i="11" s="1"/>
  <c r="L35" i="11"/>
  <c r="V35" i="11" s="1"/>
  <c r="L43" i="11"/>
  <c r="V43" i="11" s="1"/>
  <c r="L51" i="11"/>
  <c r="V51" i="11" s="1"/>
  <c r="L59" i="11"/>
  <c r="V59" i="11" s="1"/>
  <c r="L67" i="11"/>
  <c r="V67" i="11" s="1"/>
  <c r="L75" i="11"/>
  <c r="V75" i="11" s="1"/>
  <c r="L83" i="11"/>
  <c r="V83" i="11" s="1"/>
  <c r="L91" i="11"/>
  <c r="V91" i="11" s="1"/>
  <c r="L99" i="11"/>
  <c r="V99" i="11" s="1"/>
  <c r="L107" i="11"/>
  <c r="V107" i="11" s="1"/>
  <c r="L115" i="11"/>
  <c r="V115" i="11" s="1"/>
  <c r="L123" i="11"/>
  <c r="V123" i="11" s="1"/>
  <c r="L131" i="11"/>
  <c r="V131" i="11" s="1"/>
  <c r="L139" i="11"/>
  <c r="V139" i="11" s="1"/>
  <c r="L147" i="11"/>
  <c r="V147" i="11" s="1"/>
  <c r="L155" i="11"/>
  <c r="V155" i="11" s="1"/>
  <c r="L163" i="11"/>
  <c r="V163" i="11" s="1"/>
  <c r="L171" i="11"/>
  <c r="V171" i="11" s="1"/>
  <c r="L179" i="11"/>
  <c r="V179" i="11" s="1"/>
  <c r="L187" i="11"/>
  <c r="V187" i="11" s="1"/>
  <c r="L195" i="11"/>
  <c r="V195" i="11" s="1"/>
  <c r="L203" i="11"/>
  <c r="V203" i="11" s="1"/>
  <c r="L211" i="11"/>
  <c r="V211" i="11" s="1"/>
  <c r="L219" i="11"/>
  <c r="V219" i="11" s="1"/>
  <c r="L227" i="11"/>
  <c r="V227" i="11" s="1"/>
  <c r="L235" i="11"/>
  <c r="V235" i="11" s="1"/>
  <c r="L243" i="11"/>
  <c r="V243" i="11" s="1"/>
  <c r="L251" i="11"/>
  <c r="V251" i="11" s="1"/>
  <c r="L14" i="11"/>
  <c r="V14" i="11" s="1"/>
  <c r="L22" i="11"/>
  <c r="V22" i="11" s="1"/>
  <c r="L30" i="11"/>
  <c r="V30" i="11" s="1"/>
  <c r="L38" i="11"/>
  <c r="V38" i="11" s="1"/>
  <c r="L46" i="11"/>
  <c r="V46" i="11" s="1"/>
  <c r="L54" i="11"/>
  <c r="V54" i="11" s="1"/>
  <c r="L62" i="11"/>
  <c r="V62" i="11" s="1"/>
  <c r="L70" i="11"/>
  <c r="V70" i="11" s="1"/>
  <c r="L78" i="11"/>
  <c r="V78" i="11" s="1"/>
  <c r="L86" i="11"/>
  <c r="V86" i="11" s="1"/>
  <c r="L94" i="11"/>
  <c r="V94" i="11" s="1"/>
  <c r="L102" i="11"/>
  <c r="V102" i="11" s="1"/>
  <c r="L110" i="11"/>
  <c r="V110" i="11" s="1"/>
  <c r="L118" i="11"/>
  <c r="V118" i="11" s="1"/>
  <c r="L126" i="11"/>
  <c r="V126" i="11" s="1"/>
  <c r="L134" i="11"/>
  <c r="V134" i="11" s="1"/>
  <c r="L142" i="11"/>
  <c r="V142" i="11" s="1"/>
  <c r="L150" i="11"/>
  <c r="V150" i="11" s="1"/>
  <c r="L158" i="11"/>
  <c r="V158" i="11" s="1"/>
  <c r="L166" i="11"/>
  <c r="V166" i="11" s="1"/>
  <c r="L174" i="11"/>
  <c r="V174" i="11" s="1"/>
  <c r="L182" i="11"/>
  <c r="V182" i="11" s="1"/>
  <c r="L190" i="11"/>
  <c r="V190" i="11" s="1"/>
  <c r="L198" i="11"/>
  <c r="V198" i="11" s="1"/>
  <c r="L206" i="11"/>
  <c r="V206" i="11" s="1"/>
  <c r="L214" i="11"/>
  <c r="V214" i="11" s="1"/>
  <c r="L222" i="11"/>
  <c r="V222" i="11" s="1"/>
  <c r="L230" i="11"/>
  <c r="V230" i="11" s="1"/>
  <c r="L238" i="11"/>
  <c r="V238" i="11" s="1"/>
  <c r="L246" i="11"/>
  <c r="V246" i="11" s="1"/>
  <c r="L254" i="11"/>
  <c r="V254" i="11" s="1"/>
  <c r="B19" i="11"/>
  <c r="B24" i="11"/>
  <c r="B29" i="11"/>
  <c r="B35" i="11"/>
  <c r="B40" i="11"/>
  <c r="B45" i="11"/>
  <c r="B51" i="11"/>
  <c r="B56" i="11"/>
  <c r="B61" i="11"/>
  <c r="B67" i="11"/>
  <c r="B72" i="11"/>
  <c r="B77" i="11"/>
  <c r="B83" i="11"/>
  <c r="B88" i="11"/>
  <c r="B93" i="11"/>
  <c r="B99" i="11"/>
  <c r="B104" i="11"/>
  <c r="B109" i="11"/>
  <c r="B115" i="11"/>
  <c r="B120" i="11"/>
  <c r="B125" i="11"/>
  <c r="B129" i="11"/>
  <c r="B133" i="11"/>
  <c r="B137" i="11"/>
  <c r="B141" i="11"/>
  <c r="B145" i="11"/>
  <c r="B149" i="11"/>
  <c r="B153" i="11"/>
  <c r="B157" i="11"/>
  <c r="B161" i="11"/>
  <c r="B165" i="11"/>
  <c r="B169" i="11"/>
  <c r="B173" i="11"/>
  <c r="B177" i="11"/>
  <c r="B181" i="11"/>
  <c r="B185" i="11"/>
  <c r="B189" i="11"/>
  <c r="B193" i="11"/>
  <c r="B197" i="11"/>
  <c r="B201" i="11"/>
  <c r="B205" i="11"/>
  <c r="B209" i="11"/>
  <c r="B213" i="11"/>
  <c r="B217" i="11"/>
  <c r="B221" i="11"/>
  <c r="B225" i="11"/>
  <c r="B229" i="11"/>
  <c r="B233" i="11"/>
  <c r="B237" i="11"/>
  <c r="B241" i="11"/>
  <c r="B245" i="11"/>
  <c r="B249" i="11"/>
  <c r="B253" i="11"/>
  <c r="B257" i="11"/>
  <c r="B17" i="11"/>
  <c r="B39" i="11"/>
  <c r="B55" i="11"/>
  <c r="B65" i="11"/>
  <c r="B76" i="11"/>
  <c r="B87" i="11"/>
  <c r="B97" i="11"/>
  <c r="B108" i="11"/>
  <c r="B119" i="11"/>
  <c r="B127" i="11"/>
  <c r="B132" i="11"/>
  <c r="B138" i="11"/>
  <c r="B143" i="11"/>
  <c r="B148" i="11"/>
  <c r="B154" i="11"/>
  <c r="B159" i="11"/>
  <c r="B164" i="11"/>
  <c r="B170" i="11"/>
  <c r="B175" i="11"/>
  <c r="B180" i="11"/>
  <c r="B186" i="11"/>
  <c r="B191" i="11"/>
  <c r="B196" i="11"/>
  <c r="B202" i="11"/>
  <c r="B207" i="11"/>
  <c r="B212" i="11"/>
  <c r="B218" i="11"/>
  <c r="B223" i="11"/>
  <c r="B228" i="11"/>
  <c r="B234" i="11"/>
  <c r="B239" i="11"/>
  <c r="B244" i="11"/>
  <c r="B250" i="11"/>
  <c r="B255" i="11"/>
  <c r="B85" i="11"/>
  <c r="B147" i="11"/>
  <c r="B168" i="11"/>
  <c r="B190" i="11"/>
  <c r="B206" i="11"/>
  <c r="B222" i="11"/>
  <c r="B243" i="11"/>
  <c r="B23" i="11"/>
  <c r="B44" i="11"/>
  <c r="B59" i="11"/>
  <c r="B69" i="11"/>
  <c r="B80" i="11"/>
  <c r="B91" i="11"/>
  <c r="B101" i="11"/>
  <c r="B112" i="11"/>
  <c r="B123" i="11"/>
  <c r="B128" i="11"/>
  <c r="B134" i="11"/>
  <c r="B139" i="11"/>
  <c r="B144" i="11"/>
  <c r="B150" i="11"/>
  <c r="B155" i="11"/>
  <c r="B160" i="11"/>
  <c r="B166" i="11"/>
  <c r="B171" i="11"/>
  <c r="B176" i="11"/>
  <c r="B182" i="11"/>
  <c r="B187" i="11"/>
  <c r="B192" i="11"/>
  <c r="B198" i="11"/>
  <c r="B203" i="11"/>
  <c r="B208" i="11"/>
  <c r="B214" i="11"/>
  <c r="B219" i="11"/>
  <c r="B224" i="11"/>
  <c r="B230" i="11"/>
  <c r="B235" i="11"/>
  <c r="B240" i="11"/>
  <c r="B246" i="11"/>
  <c r="B251" i="11"/>
  <c r="B256" i="11"/>
  <c r="B33" i="11"/>
  <c r="B75" i="11"/>
  <c r="B96" i="11"/>
  <c r="B126" i="11"/>
  <c r="B142" i="11"/>
  <c r="B163" i="11"/>
  <c r="B179" i="11"/>
  <c r="B195" i="11"/>
  <c r="B216" i="11"/>
  <c r="B238" i="11"/>
  <c r="B11" i="11"/>
  <c r="B28" i="11"/>
  <c r="B49" i="11"/>
  <c r="B60" i="11"/>
  <c r="B71" i="11"/>
  <c r="B81" i="11"/>
  <c r="B92" i="11"/>
  <c r="B103" i="11"/>
  <c r="B113" i="11"/>
  <c r="B124" i="11"/>
  <c r="B130" i="11"/>
  <c r="B135" i="11"/>
  <c r="B140" i="11"/>
  <c r="B146" i="11"/>
  <c r="B151" i="11"/>
  <c r="B156" i="11"/>
  <c r="B162" i="11"/>
  <c r="B167" i="11"/>
  <c r="B172" i="11"/>
  <c r="B178" i="11"/>
  <c r="B183" i="11"/>
  <c r="B188" i="11"/>
  <c r="B194" i="11"/>
  <c r="B199" i="11"/>
  <c r="B204" i="11"/>
  <c r="B210" i="11"/>
  <c r="B215" i="11"/>
  <c r="B220" i="11"/>
  <c r="B226" i="11"/>
  <c r="B231" i="11"/>
  <c r="B236" i="11"/>
  <c r="B242" i="11"/>
  <c r="B247" i="11"/>
  <c r="B252" i="11"/>
  <c r="B258" i="11"/>
  <c r="B64" i="11"/>
  <c r="B107" i="11"/>
  <c r="B136" i="11"/>
  <c r="B158" i="11"/>
  <c r="B174" i="11"/>
  <c r="B200" i="11"/>
  <c r="B227" i="11"/>
  <c r="B254" i="11"/>
  <c r="B53" i="11"/>
  <c r="B117" i="11"/>
  <c r="B131" i="11"/>
  <c r="B152" i="11"/>
  <c r="B184" i="11"/>
  <c r="B211" i="11"/>
  <c r="B232" i="11"/>
  <c r="B248" i="11"/>
  <c r="L253" i="11"/>
  <c r="V253" i="11" s="1"/>
  <c r="L237" i="11"/>
  <c r="V237" i="11" s="1"/>
  <c r="L221" i="11"/>
  <c r="V221" i="11" s="1"/>
  <c r="L205" i="11"/>
  <c r="V205" i="11" s="1"/>
  <c r="L189" i="11"/>
  <c r="V189" i="11" s="1"/>
  <c r="L249" i="11"/>
  <c r="V249" i="11" s="1"/>
  <c r="L233" i="11"/>
  <c r="V233" i="11" s="1"/>
  <c r="L217" i="11"/>
  <c r="V217" i="11" s="1"/>
  <c r="L201" i="11"/>
  <c r="V201" i="11" s="1"/>
  <c r="L12" i="11"/>
  <c r="B13" i="11"/>
  <c r="L245" i="11"/>
  <c r="V245" i="11" s="1"/>
  <c r="L229" i="11"/>
  <c r="V229" i="11" s="1"/>
  <c r="L213" i="11"/>
  <c r="V213" i="11" s="1"/>
  <c r="L197" i="11"/>
  <c r="V197" i="11" s="1"/>
  <c r="L257" i="11"/>
  <c r="V257" i="11" s="1"/>
  <c r="L241" i="11"/>
  <c r="V241" i="11" s="1"/>
  <c r="L225" i="11"/>
  <c r="V225" i="11" s="1"/>
  <c r="L209" i="11"/>
  <c r="V209" i="11" s="1"/>
  <c r="L193" i="11"/>
  <c r="V193" i="11" s="1"/>
  <c r="B12" i="11"/>
  <c r="L13" i="11"/>
  <c r="V13" i="11" s="1"/>
  <c r="A11" i="46"/>
  <c r="X101" i="59"/>
  <c r="T101" i="59" s="1"/>
  <c r="X149" i="59"/>
  <c r="T149" i="59" s="1"/>
  <c r="X165" i="59"/>
  <c r="T165" i="59" s="1"/>
  <c r="X229" i="59"/>
  <c r="T229" i="59" s="1"/>
  <c r="X74" i="59"/>
  <c r="T74" i="59" s="1"/>
  <c r="X138" i="59"/>
  <c r="T138" i="59" s="1"/>
  <c r="X202" i="59"/>
  <c r="T202" i="59" s="1"/>
  <c r="X235" i="59"/>
  <c r="T235" i="59" s="1"/>
  <c r="X251" i="59"/>
  <c r="T251" i="59" s="1"/>
  <c r="X207" i="59"/>
  <c r="T207" i="59" s="1"/>
  <c r="X257" i="59"/>
  <c r="T257" i="59" s="1"/>
  <c r="X196" i="59"/>
  <c r="T196" i="59" s="1"/>
  <c r="X89" i="59"/>
  <c r="T89" i="59" s="1"/>
  <c r="X201" i="59"/>
  <c r="T201" i="59" s="1"/>
  <c r="X217" i="59"/>
  <c r="T217" i="59" s="1"/>
  <c r="X222" i="59"/>
  <c r="T222" i="59" s="1"/>
  <c r="X67" i="59"/>
  <c r="T67" i="59" s="1"/>
  <c r="X83" i="59"/>
  <c r="T83" i="59" s="1"/>
  <c r="X147" i="59"/>
  <c r="T147" i="59" s="1"/>
  <c r="X179" i="59"/>
  <c r="T179" i="59" s="1"/>
  <c r="X195" i="59"/>
  <c r="T195" i="59" s="1"/>
  <c r="X211" i="59"/>
  <c r="T211" i="59" s="1"/>
  <c r="X244" i="59"/>
  <c r="T244" i="59" s="1"/>
  <c r="X56" i="59"/>
  <c r="T56" i="59" s="1"/>
  <c r="X104" i="59"/>
  <c r="T104" i="59" s="1"/>
  <c r="X120" i="59"/>
  <c r="T120" i="59" s="1"/>
  <c r="X168" i="59"/>
  <c r="T168" i="59" s="1"/>
  <c r="X184" i="59"/>
  <c r="T184" i="59" s="1"/>
  <c r="B57" i="59"/>
  <c r="B73" i="59"/>
  <c r="B89" i="59"/>
  <c r="B121" i="59"/>
  <c r="B137" i="59"/>
  <c r="B153" i="59"/>
  <c r="B169" i="59"/>
  <c r="B185" i="59"/>
  <c r="B201" i="59"/>
  <c r="B217" i="59"/>
  <c r="B234" i="59"/>
  <c r="B250" i="59"/>
  <c r="B62" i="59"/>
  <c r="B78" i="59"/>
  <c r="B94" i="59"/>
  <c r="B110" i="59"/>
  <c r="B126" i="59"/>
  <c r="B142" i="59"/>
  <c r="B158" i="59"/>
  <c r="B174" i="59"/>
  <c r="B190" i="59"/>
  <c r="B206" i="59"/>
  <c r="B222" i="59"/>
  <c r="B239" i="59"/>
  <c r="B256" i="59"/>
  <c r="B67" i="59"/>
  <c r="B83" i="59"/>
  <c r="B99" i="59"/>
  <c r="B111" i="59"/>
  <c r="B115" i="59"/>
  <c r="B131" i="59"/>
  <c r="B147" i="59"/>
  <c r="B163" i="59"/>
  <c r="B179" i="59"/>
  <c r="B195" i="59"/>
  <c r="B211" i="59"/>
  <c r="B227" i="59"/>
  <c r="B244" i="59"/>
  <c r="B56" i="59"/>
  <c r="B68" i="59"/>
  <c r="B72" i="59"/>
  <c r="B84" i="59"/>
  <c r="B88" i="59"/>
  <c r="B104" i="59"/>
  <c r="B120" i="59"/>
  <c r="B136" i="59"/>
  <c r="B152" i="59"/>
  <c r="B168" i="59"/>
  <c r="B184" i="59"/>
  <c r="B200" i="59"/>
  <c r="B216" i="59"/>
  <c r="B233" i="59"/>
  <c r="B249" i="59"/>
  <c r="B65" i="59"/>
  <c r="B81" i="59"/>
  <c r="B97" i="59"/>
  <c r="B109" i="59"/>
  <c r="B161" i="59"/>
  <c r="B193" i="59"/>
  <c r="B209" i="59"/>
  <c r="B225" i="59"/>
  <c r="B242" i="59"/>
  <c r="X61" i="59"/>
  <c r="T61" i="59" s="1"/>
  <c r="X77" i="59"/>
  <c r="T77" i="59" s="1"/>
  <c r="X141" i="59"/>
  <c r="T141" i="59" s="1"/>
  <c r="X173" i="59"/>
  <c r="T173" i="59" s="1"/>
  <c r="X189" i="59"/>
  <c r="T189" i="59" s="1"/>
  <c r="X205" i="59"/>
  <c r="T205" i="59" s="1"/>
  <c r="X66" i="59"/>
  <c r="T66" i="59" s="1"/>
  <c r="X82" i="59"/>
  <c r="T82" i="59" s="1"/>
  <c r="X98" i="59"/>
  <c r="T98" i="59" s="1"/>
  <c r="X114" i="59"/>
  <c r="T114" i="59" s="1"/>
  <c r="X130" i="59"/>
  <c r="T130" i="59" s="1"/>
  <c r="X146" i="59"/>
  <c r="T146" i="59" s="1"/>
  <c r="X178" i="59"/>
  <c r="T178" i="59" s="1"/>
  <c r="X194" i="59"/>
  <c r="T194" i="59" s="1"/>
  <c r="X210" i="59"/>
  <c r="T210" i="59" s="1"/>
  <c r="X226" i="59"/>
  <c r="T226" i="59" s="1"/>
  <c r="X135" i="59"/>
  <c r="T135" i="59" s="1"/>
  <c r="X199" i="59"/>
  <c r="T199" i="59" s="1"/>
  <c r="X232" i="59"/>
  <c r="T232" i="59" s="1"/>
  <c r="X60" i="59"/>
  <c r="T60" i="59" s="1"/>
  <c r="X92" i="59"/>
  <c r="T92" i="59" s="1"/>
  <c r="X108" i="59"/>
  <c r="T108" i="59" s="1"/>
  <c r="X140" i="59"/>
  <c r="T140" i="59" s="1"/>
  <c r="X188" i="59"/>
  <c r="T188" i="59" s="1"/>
  <c r="X220" i="59"/>
  <c r="T220" i="59" s="1"/>
  <c r="B53" i="59"/>
  <c r="B69" i="59"/>
  <c r="B85" i="59"/>
  <c r="B101" i="59"/>
  <c r="B113" i="59"/>
  <c r="B117" i="59"/>
  <c r="B133" i="59"/>
  <c r="B149" i="59"/>
  <c r="B165" i="59"/>
  <c r="B181" i="59"/>
  <c r="B197" i="59"/>
  <c r="B213" i="59"/>
  <c r="B229" i="59"/>
  <c r="B246" i="59"/>
  <c r="B58" i="59"/>
  <c r="B74" i="59"/>
  <c r="B90" i="59"/>
  <c r="B106" i="59"/>
  <c r="B122" i="59"/>
  <c r="B138" i="59"/>
  <c r="B154" i="59"/>
  <c r="B170" i="59"/>
  <c r="B186" i="59"/>
  <c r="B202" i="59"/>
  <c r="B218" i="59"/>
  <c r="B235" i="59"/>
  <c r="B251" i="59"/>
  <c r="B63" i="59"/>
  <c r="B79" i="59"/>
  <c r="B95" i="59"/>
  <c r="B107" i="59"/>
  <c r="B127" i="59"/>
  <c r="B143" i="59"/>
  <c r="B159" i="59"/>
  <c r="B175" i="59"/>
  <c r="B191" i="59"/>
  <c r="B207" i="59"/>
  <c r="B223" i="59"/>
  <c r="B240" i="59"/>
  <c r="B257" i="59"/>
  <c r="B100" i="59"/>
  <c r="B116" i="59"/>
  <c r="B132" i="59"/>
  <c r="B148" i="59"/>
  <c r="B164" i="59"/>
  <c r="B180" i="59"/>
  <c r="B196" i="59"/>
  <c r="B212" i="59"/>
  <c r="B228" i="59"/>
  <c r="B245" i="59"/>
  <c r="B129" i="59"/>
  <c r="B145" i="59"/>
  <c r="B177" i="59"/>
  <c r="X65" i="59"/>
  <c r="T65" i="59" s="1"/>
  <c r="X81" i="59"/>
  <c r="T81" i="59" s="1"/>
  <c r="X97" i="59"/>
  <c r="T97" i="59" s="1"/>
  <c r="X113" i="59"/>
  <c r="T113" i="59" s="1"/>
  <c r="X129" i="59"/>
  <c r="T129" i="59" s="1"/>
  <c r="X145" i="59"/>
  <c r="T145" i="59" s="1"/>
  <c r="X193" i="59"/>
  <c r="T193" i="59" s="1"/>
  <c r="X209" i="59"/>
  <c r="T209" i="59" s="1"/>
  <c r="X225" i="59"/>
  <c r="T225" i="59" s="1"/>
  <c r="X242" i="59"/>
  <c r="T242" i="59" s="1"/>
  <c r="X134" i="59"/>
  <c r="T134" i="59" s="1"/>
  <c r="X198" i="59"/>
  <c r="T198" i="59" s="1"/>
  <c r="X247" i="59"/>
  <c r="T247" i="59" s="1"/>
  <c r="X59" i="59"/>
  <c r="T59" i="59" s="1"/>
  <c r="X107" i="59"/>
  <c r="T107" i="59" s="1"/>
  <c r="X123" i="59"/>
  <c r="T123" i="59" s="1"/>
  <c r="X155" i="59"/>
  <c r="T155" i="59" s="1"/>
  <c r="X171" i="59"/>
  <c r="T171" i="59" s="1"/>
  <c r="X187" i="59"/>
  <c r="T187" i="59" s="1"/>
  <c r="X252" i="59"/>
  <c r="T252" i="59" s="1"/>
  <c r="X80" i="59"/>
  <c r="T80" i="59" s="1"/>
  <c r="X112" i="59"/>
  <c r="T112" i="59" s="1"/>
  <c r="X128" i="59"/>
  <c r="T128" i="59" s="1"/>
  <c r="X144" i="59"/>
  <c r="T144" i="59" s="1"/>
  <c r="X208" i="59"/>
  <c r="T208" i="59" s="1"/>
  <c r="X241" i="59"/>
  <c r="T241" i="59" s="1"/>
  <c r="B157" i="59"/>
  <c r="B98" i="59"/>
  <c r="B194" i="59"/>
  <c r="B203" i="59"/>
  <c r="B96" i="59"/>
  <c r="B224" i="59"/>
  <c r="B173" i="59"/>
  <c r="B238" i="59"/>
  <c r="B54" i="59"/>
  <c r="B86" i="59"/>
  <c r="B118" i="59"/>
  <c r="B150" i="59"/>
  <c r="B182" i="59"/>
  <c r="B214" i="59"/>
  <c r="B247" i="59"/>
  <c r="B75" i="59"/>
  <c r="B135" i="59"/>
  <c r="B167" i="59"/>
  <c r="B199" i="59"/>
  <c r="B232" i="59"/>
  <c r="B60" i="59"/>
  <c r="B92" i="59"/>
  <c r="B124" i="59"/>
  <c r="B156" i="59"/>
  <c r="B188" i="59"/>
  <c r="B220" i="59"/>
  <c r="B253" i="59"/>
  <c r="B155" i="59"/>
  <c r="B252" i="59"/>
  <c r="B221" i="59"/>
  <c r="B226" i="59"/>
  <c r="B87" i="59"/>
  <c r="B139" i="59"/>
  <c r="B64" i="59"/>
  <c r="B160" i="59"/>
  <c r="B258" i="59"/>
  <c r="B61" i="59"/>
  <c r="B105" i="59"/>
  <c r="B125" i="59"/>
  <c r="B189" i="59"/>
  <c r="B254" i="59"/>
  <c r="B82" i="59"/>
  <c r="B114" i="59"/>
  <c r="B146" i="59"/>
  <c r="B178" i="59"/>
  <c r="B210" i="59"/>
  <c r="B243" i="59"/>
  <c r="B71" i="59"/>
  <c r="B103" i="59"/>
  <c r="B123" i="59"/>
  <c r="B187" i="59"/>
  <c r="B219" i="59"/>
  <c r="B80" i="59"/>
  <c r="B112" i="59"/>
  <c r="B144" i="59"/>
  <c r="B176" i="59"/>
  <c r="B208" i="59"/>
  <c r="B241" i="59"/>
  <c r="B162" i="59"/>
  <c r="B55" i="59"/>
  <c r="B171" i="59"/>
  <c r="B128" i="59"/>
  <c r="B77" i="59"/>
  <c r="B141" i="59"/>
  <c r="B205" i="59"/>
  <c r="B70" i="59"/>
  <c r="B102" i="59"/>
  <c r="B134" i="59"/>
  <c r="B166" i="59"/>
  <c r="B198" i="59"/>
  <c r="B231" i="59"/>
  <c r="B59" i="59"/>
  <c r="B91" i="59"/>
  <c r="B119" i="59"/>
  <c r="B151" i="59"/>
  <c r="B183" i="59"/>
  <c r="B215" i="59"/>
  <c r="B248" i="59"/>
  <c r="B76" i="59"/>
  <c r="B108" i="59"/>
  <c r="B140" i="59"/>
  <c r="B172" i="59"/>
  <c r="B204" i="59"/>
  <c r="B237" i="59"/>
  <c r="B93" i="59"/>
  <c r="B66" i="59"/>
  <c r="B130" i="59"/>
  <c r="B236" i="59"/>
  <c r="B192" i="59"/>
  <c r="X50" i="57"/>
  <c r="AB50" i="57" s="1"/>
  <c r="AG52" i="57"/>
  <c r="AC53" i="53"/>
  <c r="O53" i="53"/>
  <c r="Q37" i="69"/>
  <c r="AA49" i="57"/>
  <c r="Q51" i="57"/>
  <c r="AD51" i="57"/>
  <c r="AC51" i="57"/>
  <c r="AE51" i="57"/>
  <c r="AQ51" i="57"/>
  <c r="R51" i="57"/>
  <c r="N53" i="53"/>
  <c r="AA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K239" i="46"/>
  <c r="K242" i="46"/>
  <c r="K162" i="46"/>
  <c r="K106" i="46"/>
  <c r="K36" i="46"/>
  <c r="K228" i="71"/>
  <c r="K196" i="71"/>
  <c r="K148" i="71"/>
  <c r="K96" i="71"/>
  <c r="K36" i="71"/>
  <c r="K14" i="46"/>
  <c r="K252" i="71"/>
  <c r="K220" i="71"/>
  <c r="K184" i="71"/>
  <c r="K132" i="71"/>
  <c r="K84" i="71"/>
  <c r="K20" i="71"/>
  <c r="K255" i="46"/>
  <c r="K178" i="46"/>
  <c r="K146" i="46"/>
  <c r="K98" i="46"/>
  <c r="K244" i="71"/>
  <c r="K212" i="71"/>
  <c r="K172" i="71"/>
  <c r="K120" i="71"/>
  <c r="K68" i="71"/>
  <c r="K30" i="46"/>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K181" i="46"/>
  <c r="K242" i="71"/>
  <c r="K186" i="71"/>
  <c r="K154" i="71"/>
  <c r="K122" i="71"/>
  <c r="K90" i="71"/>
  <c r="K58" i="71"/>
  <c r="K26" i="71"/>
  <c r="K117" i="46"/>
  <c r="K241" i="71"/>
  <c r="K225" i="71"/>
  <c r="K209" i="71"/>
  <c r="K193" i="71"/>
  <c r="K185" i="71"/>
  <c r="K169" i="71"/>
  <c r="K153" i="71"/>
  <c r="K145" i="71"/>
  <c r="K129" i="71"/>
  <c r="K121" i="71"/>
  <c r="K105" i="71"/>
  <c r="K89" i="71"/>
  <c r="K77" i="71"/>
  <c r="K65" i="71"/>
  <c r="K49" i="71"/>
  <c r="K41" i="71"/>
  <c r="K25" i="71"/>
  <c r="K13" i="71"/>
  <c r="K194" i="71"/>
  <c r="K162" i="71"/>
  <c r="K130" i="71"/>
  <c r="K98" i="71"/>
  <c r="K66" i="71"/>
  <c r="K34" i="71"/>
  <c r="K245" i="46"/>
  <c r="K210" i="71"/>
  <c r="K170" i="71"/>
  <c r="K138" i="71"/>
  <c r="K106" i="71"/>
  <c r="K74" i="71"/>
  <c r="K42" i="71"/>
  <c r="K233" i="71"/>
  <c r="K217" i="71"/>
  <c r="K201" i="71"/>
  <c r="K189" i="71"/>
  <c r="K177" i="71"/>
  <c r="K165" i="71"/>
  <c r="K149" i="71"/>
  <c r="K137" i="71"/>
  <c r="K125" i="71"/>
  <c r="K113" i="71"/>
  <c r="K101" i="71"/>
  <c r="K81" i="71"/>
  <c r="K73" i="71"/>
  <c r="K57" i="71"/>
  <c r="K45" i="71"/>
  <c r="K33" i="71"/>
  <c r="K17" i="71"/>
  <c r="K252" i="46"/>
  <c r="K244" i="46"/>
  <c r="K236" i="46"/>
  <c r="K228" i="46"/>
  <c r="K220" i="46"/>
  <c r="K212" i="46"/>
  <c r="K200" i="46"/>
  <c r="K192" i="46"/>
  <c r="K180" i="46"/>
  <c r="K172" i="46"/>
  <c r="K156" i="46"/>
  <c r="K144" i="46"/>
  <c r="K108" i="46"/>
  <c r="K80" i="46"/>
  <c r="K44" i="46"/>
  <c r="K226" i="71"/>
  <c r="K178" i="71"/>
  <c r="K146" i="71"/>
  <c r="K114" i="71"/>
  <c r="K82" i="71"/>
  <c r="K50" i="71"/>
  <c r="K18" i="71"/>
  <c r="K240" i="46"/>
  <c r="K208" i="46"/>
  <c r="K160" i="46"/>
  <c r="K64" i="46"/>
  <c r="K183" i="71"/>
  <c r="K135" i="71"/>
  <c r="K103" i="71"/>
  <c r="K87" i="71"/>
  <c r="K55" i="71"/>
  <c r="K248" i="46"/>
  <c r="K216" i="46"/>
  <c r="K176" i="46"/>
  <c r="K104" i="46"/>
  <c r="K176" i="71"/>
  <c r="K152" i="71"/>
  <c r="K136" i="71"/>
  <c r="K112" i="71"/>
  <c r="K88" i="71"/>
  <c r="K72" i="71"/>
  <c r="K56" i="71"/>
  <c r="K40" i="71"/>
  <c r="K24" i="71"/>
  <c r="K215" i="46"/>
  <c r="K191" i="46"/>
  <c r="K175" i="46"/>
  <c r="K159" i="46"/>
  <c r="K135" i="46"/>
  <c r="K103" i="46"/>
  <c r="K79" i="46"/>
  <c r="K63" i="46"/>
  <c r="K34" i="46"/>
  <c r="K127" i="71"/>
  <c r="K95" i="71"/>
  <c r="K63" i="71"/>
  <c r="K31" i="71"/>
  <c r="K15" i="71"/>
  <c r="K256" i="46"/>
  <c r="K224" i="46"/>
  <c r="K188" i="46"/>
  <c r="K128" i="46"/>
  <c r="K191" i="71"/>
  <c r="K175" i="71"/>
  <c r="K159" i="71"/>
  <c r="K143" i="71"/>
  <c r="K111" i="71"/>
  <c r="K79" i="71"/>
  <c r="K47" i="71"/>
  <c r="K232" i="46"/>
  <c r="K196" i="46"/>
  <c r="K148" i="46"/>
  <c r="K192" i="71"/>
  <c r="K168" i="71"/>
  <c r="K144" i="71"/>
  <c r="K128" i="71"/>
  <c r="K104" i="71"/>
  <c r="K80" i="71"/>
  <c r="K64" i="71"/>
  <c r="K48" i="71"/>
  <c r="K32" i="71"/>
  <c r="K16" i="71"/>
  <c r="K199" i="46"/>
  <c r="K183" i="46"/>
  <c r="K171" i="46"/>
  <c r="K143" i="46"/>
  <c r="K127" i="46"/>
  <c r="K87" i="46"/>
  <c r="K71" i="46"/>
  <c r="K167" i="71"/>
  <c r="K151" i="71"/>
  <c r="K119" i="71"/>
  <c r="K71" i="71"/>
  <c r="K39" i="71"/>
  <c r="K23" i="71"/>
  <c r="A12" i="46"/>
  <c r="A13" i="46"/>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A34" i="71"/>
  <c r="A180" i="71"/>
  <c r="A240" i="71"/>
  <c r="A58" i="71"/>
  <c r="A189" i="71"/>
  <c r="A241" i="71"/>
  <c r="A80" i="71"/>
  <c r="A199" i="71"/>
  <c r="A245" i="71"/>
  <c r="A95" i="71"/>
  <c r="A207" i="71"/>
  <c r="A249" i="71"/>
  <c r="A117" i="71"/>
  <c r="A217" i="71"/>
  <c r="A250" i="71"/>
  <c r="A132" i="71"/>
  <c r="A224" i="71"/>
  <c r="A254" i="71"/>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A22" i="46"/>
  <c r="A31" i="46"/>
  <c r="A40" i="46"/>
  <c r="A49" i="46"/>
  <c r="A58" i="46"/>
  <c r="A67" i="46"/>
  <c r="A77" i="46"/>
  <c r="A86" i="46"/>
  <c r="A95" i="46"/>
  <c r="A104" i="46"/>
  <c r="A113" i="46"/>
  <c r="A122" i="46"/>
  <c r="A131" i="46"/>
  <c r="A141" i="46"/>
  <c r="A150" i="46"/>
  <c r="A159" i="46"/>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A188" i="46"/>
  <c r="A156" i="71"/>
  <c r="A203" i="71"/>
  <c r="A252" i="46"/>
  <c r="A228" i="46"/>
  <c r="A156" i="46"/>
  <c r="A100" i="46"/>
  <c r="A84" i="46"/>
  <c r="A68" i="46"/>
  <c r="A52" i="46"/>
  <c r="A204" i="71"/>
  <c r="A84" i="71"/>
  <c r="A60" i="71"/>
  <c r="A36" i="71"/>
  <c r="A195" i="71"/>
  <c r="A163" i="71"/>
  <c r="A131" i="71"/>
  <c r="A99" i="71"/>
  <c r="A67" i="71"/>
  <c r="A35" i="71"/>
  <c r="A204" i="46"/>
  <c r="A220" i="71"/>
  <c r="A12" i="71"/>
  <c r="A251" i="71"/>
  <c r="A11" i="71"/>
  <c r="A180" i="46"/>
  <c r="A132" i="46"/>
  <c r="A116" i="46"/>
  <c r="A28" i="46"/>
  <c r="A148" i="71"/>
  <c r="A124" i="71"/>
  <c r="A100" i="71"/>
  <c r="A252" i="71"/>
  <c r="A243" i="71"/>
  <c r="A187" i="71"/>
  <c r="A155" i="71"/>
  <c r="A123" i="71"/>
  <c r="A91" i="71"/>
  <c r="A59" i="71"/>
  <c r="A27" i="71"/>
  <c r="A196" i="46"/>
  <c r="A172" i="46"/>
  <c r="A92" i="46"/>
  <c r="A76" i="46"/>
  <c r="A60" i="46"/>
  <c r="A164" i="71"/>
  <c r="K11" i="71"/>
  <c r="A227" i="71"/>
  <c r="A179" i="71"/>
  <c r="A147" i="71"/>
  <c r="A115" i="71"/>
  <c r="A83" i="71"/>
  <c r="A51" i="71"/>
  <c r="A19" i="71"/>
  <c r="K11" i="46"/>
  <c r="A108" i="46"/>
  <c r="A212" i="71"/>
  <c r="A188" i="71"/>
  <c r="A140" i="71"/>
  <c r="A116" i="71"/>
  <c r="A92" i="71"/>
  <c r="A219" i="71"/>
  <c r="A236" i="46"/>
  <c r="A212" i="46"/>
  <c r="A164" i="46"/>
  <c r="A140" i="46"/>
  <c r="A124" i="46"/>
  <c r="A36" i="46"/>
  <c r="A20" i="46"/>
  <c r="A20" i="71"/>
  <c r="A211" i="71"/>
  <c r="A171" i="71"/>
  <c r="A139" i="71"/>
  <c r="A107" i="71"/>
  <c r="A75" i="71"/>
  <c r="A43" i="71"/>
  <c r="A220" i="46"/>
  <c r="A44" i="71"/>
  <c r="A52" i="71"/>
  <c r="A148" i="46"/>
  <c r="A235" i="71"/>
  <c r="A44" i="46"/>
  <c r="A244" i="46"/>
  <c r="A76" i="71"/>
  <c r="A28" i="71"/>
  <c r="AF36" i="69"/>
  <c r="P53" i="57"/>
  <c r="AO37" i="69"/>
  <c r="O38" i="69"/>
  <c r="AE52" i="53"/>
  <c r="R52" i="53"/>
  <c r="X52" i="53" s="1"/>
  <c r="AB52" i="53" s="1"/>
  <c r="AY36" i="69"/>
  <c r="L53" i="57"/>
  <c r="AT52" i="53"/>
  <c r="AG52" i="53"/>
  <c r="N53" i="57"/>
  <c r="AD52" i="53"/>
  <c r="Q52" i="53"/>
  <c r="C53" i="53"/>
  <c r="K53" i="53"/>
  <c r="AH53" i="53" s="1"/>
  <c r="AK52" i="52" a="1"/>
  <c r="AK52" i="52" s="1"/>
  <c r="B54" i="53" s="1"/>
  <c r="D53" i="53"/>
  <c r="H53" i="53"/>
  <c r="I53" i="53"/>
  <c r="F53" i="53"/>
  <c r="P53" i="53"/>
  <c r="E53" i="53"/>
  <c r="J53" i="53"/>
  <c r="L53" i="53"/>
  <c r="G53" i="53"/>
  <c r="I53" i="57"/>
  <c r="G53" i="57"/>
  <c r="E53" i="57"/>
  <c r="C53" i="57"/>
  <c r="D53" i="57"/>
  <c r="F53" i="57"/>
  <c r="H53" i="57"/>
  <c r="J53" i="57"/>
  <c r="AN52" i="55" a="1"/>
  <c r="AN52" i="55" s="1"/>
  <c r="B54" i="57" s="1"/>
  <c r="O54" i="57" s="1"/>
  <c r="AS38" i="67" a="1"/>
  <c r="AS38" i="67" s="1"/>
  <c r="B39" i="69"/>
  <c r="AM39" i="69" s="1"/>
  <c r="AN39" i="69" s="1"/>
  <c r="D37" i="69"/>
  <c r="E37" i="69" s="1"/>
  <c r="AE36" i="69"/>
  <c r="R36" i="69"/>
  <c r="S36" i="69" s="1"/>
  <c r="C38" i="69"/>
  <c r="X119" i="59" l="1"/>
  <c r="T119" i="59" s="1"/>
  <c r="X100" i="59"/>
  <c r="T100" i="59" s="1"/>
  <c r="X64" i="59"/>
  <c r="T64" i="59" s="1"/>
  <c r="AF50" i="57"/>
  <c r="AF52" i="53"/>
  <c r="X216" i="59"/>
  <c r="T216" i="59" s="1"/>
  <c r="X250" i="59"/>
  <c r="T250" i="59" s="1"/>
  <c r="X73" i="59"/>
  <c r="T73" i="59" s="1"/>
  <c r="X58" i="59"/>
  <c r="T58" i="59" s="1"/>
  <c r="X88" i="59"/>
  <c r="T88" i="59" s="1"/>
  <c r="X186" i="59"/>
  <c r="T186" i="59" s="1"/>
  <c r="X142" i="59"/>
  <c r="T142" i="59" s="1"/>
  <c r="X84" i="59"/>
  <c r="T84" i="59" s="1"/>
  <c r="P38" i="69"/>
  <c r="AP38" i="69"/>
  <c r="AK53" i="57"/>
  <c r="X175" i="59"/>
  <c r="T175" i="59" s="1"/>
  <c r="AJ50" i="57"/>
  <c r="AJ49" i="57"/>
  <c r="AY247" i="59"/>
  <c r="AY222" i="59"/>
  <c r="AY252" i="59"/>
  <c r="AY198" i="59"/>
  <c r="AY113" i="59"/>
  <c r="AY199" i="59"/>
  <c r="AY130" i="59"/>
  <c r="AY141" i="59"/>
  <c r="AY244" i="59"/>
  <c r="AY138" i="59"/>
  <c r="AY129" i="59"/>
  <c r="AY100" i="59"/>
  <c r="AY134" i="59"/>
  <c r="AY77" i="59"/>
  <c r="AY208" i="59"/>
  <c r="AY171" i="59"/>
  <c r="AY242" i="59"/>
  <c r="AY81" i="59"/>
  <c r="AY98" i="59"/>
  <c r="AY61" i="59"/>
  <c r="AY184" i="59"/>
  <c r="AY195" i="59"/>
  <c r="AY217" i="59"/>
  <c r="AY207" i="59"/>
  <c r="AY146" i="59"/>
  <c r="AY97" i="59"/>
  <c r="AY144" i="59"/>
  <c r="AY155" i="59"/>
  <c r="AY225" i="59"/>
  <c r="AY65" i="59"/>
  <c r="AY140" i="59"/>
  <c r="AY226" i="59"/>
  <c r="AY82" i="59"/>
  <c r="AY168" i="59"/>
  <c r="AY179" i="59"/>
  <c r="AY201" i="59"/>
  <c r="AY229" i="59"/>
  <c r="AY64" i="59"/>
  <c r="AY135" i="59"/>
  <c r="AY216" i="59"/>
  <c r="AY74" i="59"/>
  <c r="AY119" i="59"/>
  <c r="AY128" i="59"/>
  <c r="AY123" i="59"/>
  <c r="AY209" i="59"/>
  <c r="AY108" i="59"/>
  <c r="AY210" i="59"/>
  <c r="AY66" i="59"/>
  <c r="AY120" i="59"/>
  <c r="AY147" i="59"/>
  <c r="AY89" i="59"/>
  <c r="AY251" i="59"/>
  <c r="AY165" i="59"/>
  <c r="AY232" i="59"/>
  <c r="AY56" i="59"/>
  <c r="AY187" i="59"/>
  <c r="AY114" i="59"/>
  <c r="AY211" i="59"/>
  <c r="AY257" i="59"/>
  <c r="AY112" i="59"/>
  <c r="AY107" i="59"/>
  <c r="AY193" i="59"/>
  <c r="AY92" i="59"/>
  <c r="AY194" i="59"/>
  <c r="AY205" i="59"/>
  <c r="AY104" i="59"/>
  <c r="AY83" i="59"/>
  <c r="AY235" i="59"/>
  <c r="AY149" i="59"/>
  <c r="AY173" i="59"/>
  <c r="AY241" i="59"/>
  <c r="AY220" i="59"/>
  <c r="AY250" i="59"/>
  <c r="AY188" i="59"/>
  <c r="AY80" i="59"/>
  <c r="AY59" i="59"/>
  <c r="AY145" i="59"/>
  <c r="AY60" i="59"/>
  <c r="AY178" i="59"/>
  <c r="AY189" i="59"/>
  <c r="AY67" i="59"/>
  <c r="AY196" i="59"/>
  <c r="AY202" i="59"/>
  <c r="AY101" i="59"/>
  <c r="V12" i="11"/>
  <c r="U12" i="11"/>
  <c r="Q12" i="11" s="1"/>
  <c r="X115" i="59"/>
  <c r="T115" i="59" s="1"/>
  <c r="X176" i="59"/>
  <c r="T176" i="59" s="1"/>
  <c r="X203" i="59"/>
  <c r="T203" i="59" s="1"/>
  <c r="X161" i="59"/>
  <c r="T161" i="59" s="1"/>
  <c r="X167" i="59"/>
  <c r="T167" i="59" s="1"/>
  <c r="X162" i="59"/>
  <c r="T162" i="59" s="1"/>
  <c r="X136" i="59"/>
  <c r="T136" i="59" s="1"/>
  <c r="X62" i="59"/>
  <c r="T62" i="59" s="1"/>
  <c r="X228" i="59"/>
  <c r="T228" i="59" s="1"/>
  <c r="X143" i="59"/>
  <c r="T143" i="59" s="1"/>
  <c r="X243" i="59"/>
  <c r="T243" i="59" s="1"/>
  <c r="X109" i="59"/>
  <c r="T109" i="59" s="1"/>
  <c r="X166" i="59"/>
  <c r="T166" i="59" s="1"/>
  <c r="X253" i="59"/>
  <c r="T253" i="59" s="1"/>
  <c r="X76" i="59"/>
  <c r="T76" i="59" s="1"/>
  <c r="X249" i="59"/>
  <c r="T249" i="59" s="1"/>
  <c r="X68" i="59"/>
  <c r="T68" i="59" s="1"/>
  <c r="X197" i="59"/>
  <c r="T197" i="59" s="1"/>
  <c r="X237" i="59"/>
  <c r="T237" i="59" s="1"/>
  <c r="X121" i="59"/>
  <c r="T121" i="59" s="1"/>
  <c r="X75" i="59"/>
  <c r="T75" i="59" s="1"/>
  <c r="X190" i="59"/>
  <c r="T190" i="59" s="1"/>
  <c r="X106" i="59"/>
  <c r="T106" i="59" s="1"/>
  <c r="X69" i="59"/>
  <c r="T69" i="59" s="1"/>
  <c r="X234" i="59"/>
  <c r="T234" i="59" s="1"/>
  <c r="X219" i="59"/>
  <c r="T219" i="59" s="1"/>
  <c r="X204" i="59"/>
  <c r="T204" i="59" s="1"/>
  <c r="X70" i="59"/>
  <c r="T70" i="59" s="1"/>
  <c r="X172" i="59"/>
  <c r="T172" i="59" s="1"/>
  <c r="X183" i="59"/>
  <c r="T183" i="59" s="1"/>
  <c r="X78" i="59"/>
  <c r="T78" i="59" s="1"/>
  <c r="X213" i="59"/>
  <c r="T213" i="59" s="1"/>
  <c r="X192" i="59"/>
  <c r="T192" i="59" s="1"/>
  <c r="X236" i="59"/>
  <c r="T236" i="59" s="1"/>
  <c r="X91" i="59"/>
  <c r="T91" i="59" s="1"/>
  <c r="X54" i="59"/>
  <c r="T54" i="59" s="1"/>
  <c r="X122" i="59"/>
  <c r="T122" i="59" s="1"/>
  <c r="X71" i="59"/>
  <c r="T71" i="59" s="1"/>
  <c r="X152" i="59"/>
  <c r="T152" i="59" s="1"/>
  <c r="X206" i="59"/>
  <c r="T206" i="59" s="1"/>
  <c r="X159" i="59"/>
  <c r="T159" i="59" s="1"/>
  <c r="X55" i="59"/>
  <c r="T55" i="59" s="1"/>
  <c r="X164" i="59"/>
  <c r="T164" i="59" s="1"/>
  <c r="X85" i="59"/>
  <c r="T85" i="59" s="1"/>
  <c r="X177" i="59"/>
  <c r="T177" i="59" s="1"/>
  <c r="X125" i="59"/>
  <c r="T125" i="59" s="1"/>
  <c r="X153" i="59"/>
  <c r="T153" i="59" s="1"/>
  <c r="X131" i="59"/>
  <c r="T131" i="59" s="1"/>
  <c r="X94" i="59"/>
  <c r="T94" i="59" s="1"/>
  <c r="X137" i="59"/>
  <c r="T137" i="59" s="1"/>
  <c r="X223" i="59"/>
  <c r="T223" i="59" s="1"/>
  <c r="V11" i="11"/>
  <c r="AD11" i="11"/>
  <c r="X103" i="59"/>
  <c r="T103" i="59" s="1"/>
  <c r="X200" i="59"/>
  <c r="T200" i="59" s="1"/>
  <c r="X72" i="59"/>
  <c r="T72" i="59" s="1"/>
  <c r="X158" i="59"/>
  <c r="T158" i="59" s="1"/>
  <c r="X57" i="59"/>
  <c r="T57" i="59" s="1"/>
  <c r="X248" i="59"/>
  <c r="T248" i="59" s="1"/>
  <c r="X111" i="59"/>
  <c r="T111" i="59" s="1"/>
  <c r="X102" i="59"/>
  <c r="T102" i="59" s="1"/>
  <c r="X126" i="59"/>
  <c r="T126" i="59" s="1"/>
  <c r="X185" i="59"/>
  <c r="T185" i="59" s="1"/>
  <c r="X212" i="59"/>
  <c r="T212" i="59" s="1"/>
  <c r="X79" i="59"/>
  <c r="T79" i="59" s="1"/>
  <c r="X133" i="59"/>
  <c r="T133" i="59" s="1"/>
  <c r="X256" i="59"/>
  <c r="T256" i="59" s="1"/>
  <c r="X240" i="59"/>
  <c r="T240" i="59" s="1"/>
  <c r="X239" i="59"/>
  <c r="T239" i="59" s="1"/>
  <c r="X180" i="59"/>
  <c r="T180" i="59" s="1"/>
  <c r="X231" i="59"/>
  <c r="T231" i="59" s="1"/>
  <c r="X132" i="59"/>
  <c r="T132" i="59" s="1"/>
  <c r="X139" i="59"/>
  <c r="T139" i="59" s="1"/>
  <c r="X254" i="59"/>
  <c r="T254" i="59" s="1"/>
  <c r="X170" i="59"/>
  <c r="T170" i="59" s="1"/>
  <c r="X150" i="59"/>
  <c r="T150" i="59" s="1"/>
  <c r="Y150" i="59"/>
  <c r="X124" i="59"/>
  <c r="T124" i="59" s="1"/>
  <c r="Y124" i="59"/>
  <c r="X127" i="59"/>
  <c r="T127" i="59" s="1"/>
  <c r="Y127" i="59"/>
  <c r="X174" i="59"/>
  <c r="T174" i="59" s="1"/>
  <c r="Y174" i="59"/>
  <c r="X151" i="59"/>
  <c r="T151" i="59" s="1"/>
  <c r="Y151" i="59"/>
  <c r="X116" i="59"/>
  <c r="T116" i="59" s="1"/>
  <c r="Y116" i="59"/>
  <c r="X105" i="59"/>
  <c r="T105" i="59" s="1"/>
  <c r="Y105" i="59"/>
  <c r="X233" i="59"/>
  <c r="T233" i="59" s="1"/>
  <c r="Y233" i="59"/>
  <c r="X90" i="59"/>
  <c r="T90" i="59" s="1"/>
  <c r="Y90" i="59"/>
  <c r="X218" i="59"/>
  <c r="T218" i="59" s="1"/>
  <c r="Y218" i="59"/>
  <c r="X53" i="59"/>
  <c r="T53" i="59" s="1"/>
  <c r="Y53" i="59"/>
  <c r="X181" i="59"/>
  <c r="T181" i="59" s="1"/>
  <c r="Y181" i="59"/>
  <c r="X160" i="59"/>
  <c r="T160" i="59" s="1"/>
  <c r="Y160" i="59"/>
  <c r="X148" i="59"/>
  <c r="T148" i="59" s="1"/>
  <c r="Y148" i="59"/>
  <c r="X258" i="59"/>
  <c r="T258" i="59" s="1"/>
  <c r="Y258" i="59"/>
  <c r="X99" i="59"/>
  <c r="T99" i="59" s="1"/>
  <c r="Y99" i="59"/>
  <c r="X227" i="59"/>
  <c r="T227" i="59" s="1"/>
  <c r="Y227" i="59"/>
  <c r="X93" i="59"/>
  <c r="T93" i="59" s="1"/>
  <c r="Y93" i="59"/>
  <c r="X221" i="59"/>
  <c r="T221" i="59" s="1"/>
  <c r="Y221" i="59"/>
  <c r="X182" i="59"/>
  <c r="T182" i="59" s="1"/>
  <c r="Y182" i="59"/>
  <c r="X86" i="59"/>
  <c r="T86" i="59" s="1"/>
  <c r="Y86" i="59"/>
  <c r="X214" i="59"/>
  <c r="T214" i="59" s="1"/>
  <c r="Y214" i="59"/>
  <c r="X63" i="59"/>
  <c r="T63" i="59" s="1"/>
  <c r="Y63" i="59"/>
  <c r="X191" i="59"/>
  <c r="T191" i="59" s="1"/>
  <c r="Y191" i="59"/>
  <c r="X110" i="59"/>
  <c r="T110" i="59" s="1"/>
  <c r="Y110" i="59"/>
  <c r="X238" i="59"/>
  <c r="T238" i="59" s="1"/>
  <c r="Y238" i="59"/>
  <c r="X87" i="59"/>
  <c r="T87" i="59" s="1"/>
  <c r="Y87" i="59"/>
  <c r="X215" i="59"/>
  <c r="T215" i="59" s="1"/>
  <c r="Y215" i="59"/>
  <c r="X169" i="59"/>
  <c r="T169" i="59" s="1"/>
  <c r="Y169" i="59"/>
  <c r="X154" i="59"/>
  <c r="T154" i="59" s="1"/>
  <c r="Y154" i="59"/>
  <c r="X117" i="59"/>
  <c r="T117" i="59" s="1"/>
  <c r="Y117" i="59"/>
  <c r="X245" i="59"/>
  <c r="T245" i="59" s="1"/>
  <c r="Y245" i="59"/>
  <c r="X96" i="59"/>
  <c r="T96" i="59" s="1"/>
  <c r="Y96" i="59"/>
  <c r="X224" i="59"/>
  <c r="T224" i="59" s="1"/>
  <c r="Y224" i="59"/>
  <c r="X163" i="59"/>
  <c r="T163" i="59" s="1"/>
  <c r="Y163" i="59"/>
  <c r="X157" i="59"/>
  <c r="T157" i="59" s="1"/>
  <c r="Y157" i="59"/>
  <c r="X156" i="59"/>
  <c r="T156" i="59" s="1"/>
  <c r="Y156" i="59"/>
  <c r="X118" i="59"/>
  <c r="T118" i="59" s="1"/>
  <c r="Y118" i="59"/>
  <c r="X246" i="59"/>
  <c r="T246" i="59" s="1"/>
  <c r="Y246" i="59"/>
  <c r="X95" i="59"/>
  <c r="T95" i="59" s="1"/>
  <c r="Y95" i="59"/>
  <c r="BC39" i="69"/>
  <c r="BF39" i="69"/>
  <c r="BD39" i="69"/>
  <c r="BE39" i="69"/>
  <c r="U15" i="11"/>
  <c r="Q15" i="11" s="1"/>
  <c r="X15" i="11" s="1"/>
  <c r="U257" i="11"/>
  <c r="Q257" i="11" s="1"/>
  <c r="U217" i="11"/>
  <c r="Q217" i="11" s="1"/>
  <c r="U238" i="11"/>
  <c r="Q238" i="11" s="1"/>
  <c r="U174" i="11"/>
  <c r="Q174" i="11" s="1"/>
  <c r="U110" i="11"/>
  <c r="Q110" i="11" s="1"/>
  <c r="U46" i="11"/>
  <c r="Q46" i="11" s="1"/>
  <c r="U235" i="11"/>
  <c r="Q235" i="11" s="1"/>
  <c r="U171" i="11"/>
  <c r="Q171" i="11" s="1"/>
  <c r="U107" i="11"/>
  <c r="Q107" i="11" s="1"/>
  <c r="U43" i="11"/>
  <c r="Q43" i="11" s="1"/>
  <c r="U218" i="11"/>
  <c r="Q218" i="11" s="1"/>
  <c r="U154" i="11"/>
  <c r="Q154" i="11" s="1"/>
  <c r="U90" i="11"/>
  <c r="Q90" i="11" s="1"/>
  <c r="U26" i="11"/>
  <c r="Q26" i="11" s="1"/>
  <c r="U247" i="11"/>
  <c r="Q247" i="11" s="1"/>
  <c r="U183" i="11"/>
  <c r="Q183" i="11" s="1"/>
  <c r="U119" i="11"/>
  <c r="Q119" i="11" s="1"/>
  <c r="U55" i="11"/>
  <c r="Q55" i="11" s="1"/>
  <c r="U161" i="11"/>
  <c r="Q161" i="11" s="1"/>
  <c r="U129" i="11"/>
  <c r="Q129" i="11" s="1"/>
  <c r="U97" i="11"/>
  <c r="Q97" i="11" s="1"/>
  <c r="U65" i="11"/>
  <c r="Q65" i="11" s="1"/>
  <c r="U33" i="11"/>
  <c r="Q33" i="11" s="1"/>
  <c r="U244" i="11"/>
  <c r="Q244" i="11" s="1"/>
  <c r="U212" i="11"/>
  <c r="Q212" i="11" s="1"/>
  <c r="U180" i="11"/>
  <c r="Q180" i="11" s="1"/>
  <c r="U148" i="11"/>
  <c r="Q148" i="11" s="1"/>
  <c r="U116" i="11"/>
  <c r="Q116" i="11" s="1"/>
  <c r="U84" i="11"/>
  <c r="Q84" i="11" s="1"/>
  <c r="U52" i="11"/>
  <c r="Q52" i="11" s="1"/>
  <c r="U20" i="11"/>
  <c r="Q20" i="11" s="1"/>
  <c r="X20" i="11" s="1"/>
  <c r="AQ20" i="11" s="1"/>
  <c r="U197" i="11"/>
  <c r="Q197" i="11" s="1"/>
  <c r="U233" i="11"/>
  <c r="Q233" i="11" s="1"/>
  <c r="U230" i="11"/>
  <c r="Q230" i="11" s="1"/>
  <c r="U166" i="11"/>
  <c r="Q166" i="11" s="1"/>
  <c r="U102" i="11"/>
  <c r="Q102" i="11" s="1"/>
  <c r="U38" i="11"/>
  <c r="Q38" i="11" s="1"/>
  <c r="U227" i="11"/>
  <c r="Q227" i="11" s="1"/>
  <c r="U163" i="11"/>
  <c r="Q163" i="11" s="1"/>
  <c r="U99" i="11"/>
  <c r="Q99" i="11" s="1"/>
  <c r="U35" i="11"/>
  <c r="Q35" i="11" s="1"/>
  <c r="U210" i="11"/>
  <c r="Q210" i="11" s="1"/>
  <c r="U146" i="11"/>
  <c r="Q146" i="11" s="1"/>
  <c r="U82" i="11"/>
  <c r="Q82" i="11" s="1"/>
  <c r="U18" i="11"/>
  <c r="Q18" i="11" s="1"/>
  <c r="X18" i="11" s="1"/>
  <c r="AQ18" i="11" s="1"/>
  <c r="U239" i="11"/>
  <c r="Q239" i="11" s="1"/>
  <c r="U175" i="11"/>
  <c r="Q175" i="11" s="1"/>
  <c r="U111" i="11"/>
  <c r="Q111" i="11" s="1"/>
  <c r="U47" i="11"/>
  <c r="Q47" i="11" s="1"/>
  <c r="U157" i="11"/>
  <c r="Q157" i="11" s="1"/>
  <c r="U125" i="11"/>
  <c r="Q125" i="11" s="1"/>
  <c r="U93" i="11"/>
  <c r="Q93" i="11" s="1"/>
  <c r="U61" i="11"/>
  <c r="Q61" i="11" s="1"/>
  <c r="U29" i="11"/>
  <c r="Q29" i="11" s="1"/>
  <c r="U240" i="11"/>
  <c r="Q240" i="11" s="1"/>
  <c r="U208" i="11"/>
  <c r="Q208" i="11" s="1"/>
  <c r="U176" i="11"/>
  <c r="Q176" i="11" s="1"/>
  <c r="U144" i="11"/>
  <c r="Q144" i="11" s="1"/>
  <c r="U112" i="11"/>
  <c r="Q112" i="11" s="1"/>
  <c r="U80" i="11"/>
  <c r="Q80" i="11" s="1"/>
  <c r="U48" i="11"/>
  <c r="Q48" i="11" s="1"/>
  <c r="U16" i="11"/>
  <c r="U213" i="11"/>
  <c r="Q213" i="11" s="1"/>
  <c r="U249" i="11"/>
  <c r="Q249" i="11" s="1"/>
  <c r="U222" i="11"/>
  <c r="Q222" i="11" s="1"/>
  <c r="U158" i="11"/>
  <c r="Q158" i="11" s="1"/>
  <c r="U94" i="11"/>
  <c r="Q94" i="11" s="1"/>
  <c r="U30" i="11"/>
  <c r="Q30" i="11" s="1"/>
  <c r="U219" i="11"/>
  <c r="Q219" i="11" s="1"/>
  <c r="U155" i="11"/>
  <c r="Q155" i="11" s="1"/>
  <c r="U91" i="11"/>
  <c r="Q91" i="11" s="1"/>
  <c r="U27" i="11"/>
  <c r="Q27" i="11" s="1"/>
  <c r="U202" i="11"/>
  <c r="Q202" i="11" s="1"/>
  <c r="U138" i="11"/>
  <c r="Q138" i="11" s="1"/>
  <c r="U74" i="11"/>
  <c r="Q74" i="11" s="1"/>
  <c r="U231" i="11"/>
  <c r="Q231" i="11" s="1"/>
  <c r="U167" i="11"/>
  <c r="Q167" i="11" s="1"/>
  <c r="U103" i="11"/>
  <c r="Q103" i="11" s="1"/>
  <c r="U39" i="11"/>
  <c r="Q39" i="11" s="1"/>
  <c r="U185" i="11"/>
  <c r="Q185" i="11" s="1"/>
  <c r="U153" i="11"/>
  <c r="Q153" i="11" s="1"/>
  <c r="U121" i="11"/>
  <c r="Q121" i="11" s="1"/>
  <c r="U89" i="11"/>
  <c r="Q89" i="11" s="1"/>
  <c r="U57" i="11"/>
  <c r="Q57" i="11" s="1"/>
  <c r="U25" i="11"/>
  <c r="Q25" i="11" s="1"/>
  <c r="U236" i="11"/>
  <c r="Q236" i="11" s="1"/>
  <c r="U204" i="11"/>
  <c r="Q204" i="11" s="1"/>
  <c r="U172" i="11"/>
  <c r="Q172" i="11" s="1"/>
  <c r="U140" i="11"/>
  <c r="Q140" i="11" s="1"/>
  <c r="U108" i="11"/>
  <c r="Q108" i="11" s="1"/>
  <c r="U76" i="11"/>
  <c r="Q76" i="11" s="1"/>
  <c r="U44" i="11"/>
  <c r="Q44" i="11" s="1"/>
  <c r="U229" i="11"/>
  <c r="Q229" i="11" s="1"/>
  <c r="U189" i="11"/>
  <c r="Q189" i="11" s="1"/>
  <c r="U214" i="11"/>
  <c r="Q214" i="11" s="1"/>
  <c r="U150" i="11"/>
  <c r="Q150" i="11" s="1"/>
  <c r="U86" i="11"/>
  <c r="Q86" i="11" s="1"/>
  <c r="U22" i="11"/>
  <c r="Q22" i="11" s="1"/>
  <c r="U211" i="11"/>
  <c r="Q211" i="11" s="1"/>
  <c r="U147" i="11"/>
  <c r="Q147" i="11" s="1"/>
  <c r="U83" i="11"/>
  <c r="Q83" i="11" s="1"/>
  <c r="U19" i="11"/>
  <c r="Q19" i="11" s="1"/>
  <c r="X19" i="11" s="1"/>
  <c r="AQ19" i="11" s="1"/>
  <c r="U258" i="11"/>
  <c r="Q258" i="11" s="1"/>
  <c r="U194" i="11"/>
  <c r="Q194" i="11" s="1"/>
  <c r="U130" i="11"/>
  <c r="Q130" i="11" s="1"/>
  <c r="U66" i="11"/>
  <c r="Q66" i="11" s="1"/>
  <c r="U223" i="11"/>
  <c r="Q223" i="11" s="1"/>
  <c r="U159" i="11"/>
  <c r="Q159" i="11" s="1"/>
  <c r="U95" i="11"/>
  <c r="Q95" i="11" s="1"/>
  <c r="U31" i="11"/>
  <c r="Q31" i="11" s="1"/>
  <c r="U181" i="11"/>
  <c r="Q181" i="11" s="1"/>
  <c r="U149" i="11"/>
  <c r="Q149" i="11" s="1"/>
  <c r="U117" i="11"/>
  <c r="Q117" i="11" s="1"/>
  <c r="U85" i="11"/>
  <c r="Q85" i="11" s="1"/>
  <c r="U53" i="11"/>
  <c r="Q53" i="11" s="1"/>
  <c r="U21" i="11"/>
  <c r="Q21" i="11" s="1"/>
  <c r="U232" i="11"/>
  <c r="Q232" i="11" s="1"/>
  <c r="U200" i="11"/>
  <c r="Q200" i="11" s="1"/>
  <c r="U168" i="11"/>
  <c r="Q168" i="11" s="1"/>
  <c r="U136" i="11"/>
  <c r="Q136" i="11" s="1"/>
  <c r="U104" i="11"/>
  <c r="Q104" i="11" s="1"/>
  <c r="U72" i="11"/>
  <c r="Q72" i="11" s="1"/>
  <c r="U40" i="11"/>
  <c r="Q40" i="11" s="1"/>
  <c r="U193" i="11"/>
  <c r="Q193" i="11" s="1"/>
  <c r="U245" i="11"/>
  <c r="Q245" i="11" s="1"/>
  <c r="U205" i="11"/>
  <c r="Q205" i="11" s="1"/>
  <c r="U206" i="11"/>
  <c r="Q206" i="11" s="1"/>
  <c r="U142" i="11"/>
  <c r="Q142" i="11" s="1"/>
  <c r="U78" i="11"/>
  <c r="Q78" i="11" s="1"/>
  <c r="U203" i="11"/>
  <c r="Q203" i="11" s="1"/>
  <c r="U139" i="11"/>
  <c r="Q139" i="11" s="1"/>
  <c r="U75" i="11"/>
  <c r="Q75" i="11" s="1"/>
  <c r="U250" i="11"/>
  <c r="Q250" i="11" s="1"/>
  <c r="U186" i="11"/>
  <c r="Q186" i="11" s="1"/>
  <c r="U122" i="11"/>
  <c r="Q122" i="11" s="1"/>
  <c r="U58" i="11"/>
  <c r="Q58" i="11" s="1"/>
  <c r="U215" i="11"/>
  <c r="Q215" i="11" s="1"/>
  <c r="U151" i="11"/>
  <c r="Q151" i="11" s="1"/>
  <c r="U87" i="11"/>
  <c r="Q87" i="11" s="1"/>
  <c r="U23" i="11"/>
  <c r="Q23" i="11" s="1"/>
  <c r="U177" i="11"/>
  <c r="Q177" i="11" s="1"/>
  <c r="U145" i="11"/>
  <c r="Q145" i="11" s="1"/>
  <c r="U113" i="11"/>
  <c r="Q113" i="11" s="1"/>
  <c r="U81" i="11"/>
  <c r="Q81" i="11" s="1"/>
  <c r="U49" i="11"/>
  <c r="Q49" i="11" s="1"/>
  <c r="U17" i="11"/>
  <c r="U228" i="11"/>
  <c r="Q228" i="11" s="1"/>
  <c r="U196" i="11"/>
  <c r="Q196" i="11" s="1"/>
  <c r="U164" i="11"/>
  <c r="Q164" i="11" s="1"/>
  <c r="U132" i="11"/>
  <c r="Q132" i="11" s="1"/>
  <c r="U100" i="11"/>
  <c r="Q100" i="11" s="1"/>
  <c r="U68" i="11"/>
  <c r="Q68" i="11" s="1"/>
  <c r="U36" i="11"/>
  <c r="Q36" i="11" s="1"/>
  <c r="U209" i="11"/>
  <c r="Q209" i="11" s="1"/>
  <c r="U221" i="11"/>
  <c r="Q221" i="11" s="1"/>
  <c r="U198" i="11"/>
  <c r="Q198" i="11" s="1"/>
  <c r="U134" i="11"/>
  <c r="Q134" i="11" s="1"/>
  <c r="U70" i="11"/>
  <c r="Q70" i="11" s="1"/>
  <c r="U195" i="11"/>
  <c r="Q195" i="11" s="1"/>
  <c r="U131" i="11"/>
  <c r="Q131" i="11" s="1"/>
  <c r="U67" i="11"/>
  <c r="Q67" i="11" s="1"/>
  <c r="U242" i="11"/>
  <c r="Q242" i="11" s="1"/>
  <c r="U178" i="11"/>
  <c r="Q178" i="11" s="1"/>
  <c r="U114" i="11"/>
  <c r="Q114" i="11" s="1"/>
  <c r="U50" i="11"/>
  <c r="Q50" i="11" s="1"/>
  <c r="U207" i="11"/>
  <c r="Q207" i="11" s="1"/>
  <c r="U143" i="11"/>
  <c r="Q143" i="11" s="1"/>
  <c r="U79" i="11"/>
  <c r="Q79" i="11" s="1"/>
  <c r="U173" i="11"/>
  <c r="Q173" i="11" s="1"/>
  <c r="U141" i="11"/>
  <c r="Q141" i="11" s="1"/>
  <c r="U109" i="11"/>
  <c r="Q109" i="11" s="1"/>
  <c r="U77" i="11"/>
  <c r="Q77" i="11" s="1"/>
  <c r="U45" i="11"/>
  <c r="Q45" i="11" s="1"/>
  <c r="U256" i="11"/>
  <c r="Q256" i="11" s="1"/>
  <c r="U224" i="11"/>
  <c r="Q224" i="11" s="1"/>
  <c r="U192" i="11"/>
  <c r="Q192" i="11" s="1"/>
  <c r="U160" i="11"/>
  <c r="Q160" i="11" s="1"/>
  <c r="U128" i="11"/>
  <c r="Q128" i="11" s="1"/>
  <c r="U96" i="11"/>
  <c r="Q96" i="11" s="1"/>
  <c r="U64" i="11"/>
  <c r="Q64" i="11" s="1"/>
  <c r="U32" i="11"/>
  <c r="Q32" i="11" s="1"/>
  <c r="U225" i="11"/>
  <c r="Q225" i="11" s="1"/>
  <c r="U237" i="11"/>
  <c r="Q237" i="11" s="1"/>
  <c r="U254" i="11"/>
  <c r="Q254" i="11" s="1"/>
  <c r="U190" i="11"/>
  <c r="Q190" i="11" s="1"/>
  <c r="U126" i="11"/>
  <c r="Q126" i="11" s="1"/>
  <c r="U62" i="11"/>
  <c r="Q62" i="11" s="1"/>
  <c r="U251" i="11"/>
  <c r="Q251" i="11" s="1"/>
  <c r="U187" i="11"/>
  <c r="Q187" i="11" s="1"/>
  <c r="U123" i="11"/>
  <c r="Q123" i="11" s="1"/>
  <c r="U59" i="11"/>
  <c r="Q59" i="11" s="1"/>
  <c r="U234" i="11"/>
  <c r="Q234" i="11" s="1"/>
  <c r="U170" i="11"/>
  <c r="Q170" i="11" s="1"/>
  <c r="U106" i="11"/>
  <c r="Q106" i="11" s="1"/>
  <c r="U42" i="11"/>
  <c r="Q42" i="11" s="1"/>
  <c r="U199" i="11"/>
  <c r="Q199" i="11" s="1"/>
  <c r="U135" i="11"/>
  <c r="Q135" i="11" s="1"/>
  <c r="U71" i="11"/>
  <c r="Q71" i="11" s="1"/>
  <c r="U169" i="11"/>
  <c r="Q169" i="11" s="1"/>
  <c r="U137" i="11"/>
  <c r="Q137" i="11" s="1"/>
  <c r="U105" i="11"/>
  <c r="Q105" i="11" s="1"/>
  <c r="U73" i="11"/>
  <c r="Q73" i="11" s="1"/>
  <c r="U41" i="11"/>
  <c r="Q41" i="11" s="1"/>
  <c r="U252" i="11"/>
  <c r="Q252" i="11" s="1"/>
  <c r="U220" i="11"/>
  <c r="Q220" i="11" s="1"/>
  <c r="U188" i="11"/>
  <c r="Q188" i="11" s="1"/>
  <c r="U156" i="11"/>
  <c r="Q156" i="11" s="1"/>
  <c r="U124" i="11"/>
  <c r="Q124" i="11" s="1"/>
  <c r="U92" i="11"/>
  <c r="Q92" i="11" s="1"/>
  <c r="U60" i="11"/>
  <c r="Q60" i="11" s="1"/>
  <c r="U28" i="11"/>
  <c r="Q28" i="11" s="1"/>
  <c r="U241" i="11"/>
  <c r="Q241" i="11" s="1"/>
  <c r="U201" i="11"/>
  <c r="Q201" i="11" s="1"/>
  <c r="U253" i="11"/>
  <c r="Q253" i="11" s="1"/>
  <c r="U246" i="11"/>
  <c r="Q246" i="11" s="1"/>
  <c r="U182" i="11"/>
  <c r="Q182" i="11" s="1"/>
  <c r="U118" i="11"/>
  <c r="Q118" i="11" s="1"/>
  <c r="U54" i="11"/>
  <c r="Q54" i="11" s="1"/>
  <c r="U243" i="11"/>
  <c r="Q243" i="11" s="1"/>
  <c r="U179" i="11"/>
  <c r="Q179" i="11" s="1"/>
  <c r="U115" i="11"/>
  <c r="Q115" i="11" s="1"/>
  <c r="U51" i="11"/>
  <c r="Q51" i="11" s="1"/>
  <c r="U226" i="11"/>
  <c r="Q226" i="11" s="1"/>
  <c r="U162" i="11"/>
  <c r="Q162" i="11" s="1"/>
  <c r="U98" i="11"/>
  <c r="Q98" i="11" s="1"/>
  <c r="U34" i="11"/>
  <c r="Q34" i="11" s="1"/>
  <c r="U255" i="11"/>
  <c r="Q255" i="11" s="1"/>
  <c r="U191" i="11"/>
  <c r="Q191" i="11" s="1"/>
  <c r="U127" i="11"/>
  <c r="Q127" i="11" s="1"/>
  <c r="U63" i="11"/>
  <c r="Q63" i="11" s="1"/>
  <c r="U165" i="11"/>
  <c r="Q165" i="11" s="1"/>
  <c r="U133" i="11"/>
  <c r="Q133" i="11" s="1"/>
  <c r="U101" i="11"/>
  <c r="Q101" i="11" s="1"/>
  <c r="U69" i="11"/>
  <c r="Q69" i="11" s="1"/>
  <c r="U37" i="11"/>
  <c r="Q37" i="11" s="1"/>
  <c r="U248" i="11"/>
  <c r="Q248" i="11" s="1"/>
  <c r="U216" i="11"/>
  <c r="Q216" i="11" s="1"/>
  <c r="U184" i="11"/>
  <c r="Q184" i="11" s="1"/>
  <c r="U152" i="11"/>
  <c r="Q152" i="11" s="1"/>
  <c r="U120" i="11"/>
  <c r="Q120" i="11" s="1"/>
  <c r="U88" i="11"/>
  <c r="Q88" i="11" s="1"/>
  <c r="U56" i="11"/>
  <c r="Q56" i="11" s="1"/>
  <c r="U24" i="11"/>
  <c r="Q24" i="11" s="1"/>
  <c r="U14" i="11"/>
  <c r="Q14" i="11" s="1"/>
  <c r="X14" i="11" s="1"/>
  <c r="U13" i="11"/>
  <c r="Q13" i="11" s="1"/>
  <c r="X13" i="11" s="1"/>
  <c r="AH54" i="57"/>
  <c r="AI54" i="57" s="1"/>
  <c r="K54" i="57"/>
  <c r="AX37" i="69"/>
  <c r="AW37" i="69"/>
  <c r="AG35" i="69"/>
  <c r="L39" i="69"/>
  <c r="M39" i="69" s="1"/>
  <c r="AZ39" i="69"/>
  <c r="Y36" i="69"/>
  <c r="AB36" i="69" s="1"/>
  <c r="U37" i="69"/>
  <c r="AH37" i="69"/>
  <c r="F37" i="69"/>
  <c r="G37" i="69" s="1"/>
  <c r="H37" i="69" s="1"/>
  <c r="I37" i="69" s="1"/>
  <c r="J37" i="69" s="1"/>
  <c r="K37" i="69" s="1"/>
  <c r="X51" i="57"/>
  <c r="AB51" i="57" s="1"/>
  <c r="AG53" i="57"/>
  <c r="AC52" i="57"/>
  <c r="AC54" i="53"/>
  <c r="O54" i="53"/>
  <c r="Q38" i="69"/>
  <c r="AQ52" i="57"/>
  <c r="AE52" i="57"/>
  <c r="AD52" i="57"/>
  <c r="Q52" i="57"/>
  <c r="R52" i="57"/>
  <c r="AA50" i="57"/>
  <c r="N54" i="53"/>
  <c r="AA52" i="53"/>
  <c r="AF37" i="69"/>
  <c r="P54" i="57"/>
  <c r="AC35" i="69"/>
  <c r="AD35" i="69" s="1"/>
  <c r="O39" i="69"/>
  <c r="AO38" i="69"/>
  <c r="AE53" i="53"/>
  <c r="R53" i="53"/>
  <c r="X53" i="53" s="1"/>
  <c r="AB53" i="53" s="1"/>
  <c r="AY37" i="69"/>
  <c r="L54" i="57"/>
  <c r="AG53" i="53"/>
  <c r="AT53" i="53"/>
  <c r="N54" i="57"/>
  <c r="L54" i="53"/>
  <c r="AD53" i="53"/>
  <c r="Q53" i="53"/>
  <c r="G54" i="53"/>
  <c r="D54" i="53"/>
  <c r="J54" i="53"/>
  <c r="AK53" i="52" a="1"/>
  <c r="AK53" i="52" s="1"/>
  <c r="B55" i="53" s="1"/>
  <c r="H54" i="53"/>
  <c r="C54" i="53"/>
  <c r="E54" i="53"/>
  <c r="P54" i="53"/>
  <c r="K54" i="53"/>
  <c r="AH54" i="53" s="1"/>
  <c r="I54" i="53"/>
  <c r="F54" i="53"/>
  <c r="E54" i="57"/>
  <c r="I54" i="57"/>
  <c r="H54" i="57"/>
  <c r="G54" i="57"/>
  <c r="D54" i="57"/>
  <c r="C54" i="57"/>
  <c r="F54" i="57"/>
  <c r="J54" i="57"/>
  <c r="AN53" i="55" a="1"/>
  <c r="AN53" i="55" s="1"/>
  <c r="B55" i="57" s="1"/>
  <c r="O55" i="57" s="1"/>
  <c r="AE37" i="69"/>
  <c r="R37" i="69"/>
  <c r="S37" i="69" s="1"/>
  <c r="D38" i="69"/>
  <c r="E38" i="69" s="1"/>
  <c r="C39" i="69"/>
  <c r="AS39" i="67" a="1"/>
  <c r="AS39" i="67" s="1"/>
  <c r="B40" i="69"/>
  <c r="AM40" i="69" s="1"/>
  <c r="AN40" i="69" s="1"/>
  <c r="B26" i="72"/>
  <c r="B25" i="72"/>
  <c r="B24" i="72"/>
  <c r="B23" i="72"/>
  <c r="B22" i="72"/>
  <c r="B21" i="72"/>
  <c r="B20" i="72"/>
  <c r="B19" i="72"/>
  <c r="B18" i="72"/>
  <c r="B17" i="72"/>
  <c r="X12" i="11" l="1"/>
  <c r="Q17" i="11"/>
  <c r="X17" i="11" s="1"/>
  <c r="AQ17" i="11" s="1"/>
  <c r="H134" i="22"/>
  <c r="Q16" i="11"/>
  <c r="H80" i="22"/>
  <c r="AY88" i="59"/>
  <c r="AF51" i="57"/>
  <c r="AF53" i="53"/>
  <c r="AY186" i="59"/>
  <c r="AY73" i="59"/>
  <c r="AY142" i="59"/>
  <c r="AY58" i="59"/>
  <c r="AY84" i="59"/>
  <c r="AY175" i="59"/>
  <c r="P39" i="69"/>
  <c r="AP39" i="69"/>
  <c r="AK54" i="57"/>
  <c r="AY246" i="59"/>
  <c r="AY163" i="59"/>
  <c r="AY117" i="59"/>
  <c r="AY87" i="59"/>
  <c r="AY63" i="59"/>
  <c r="AY221" i="59"/>
  <c r="AY258" i="59"/>
  <c r="AY53" i="59"/>
  <c r="AY105" i="59"/>
  <c r="AY127" i="59"/>
  <c r="AY132" i="59"/>
  <c r="AY212" i="59"/>
  <c r="AY72" i="59"/>
  <c r="AY131" i="59"/>
  <c r="AY206" i="59"/>
  <c r="AY213" i="59"/>
  <c r="AY69" i="59"/>
  <c r="AY249" i="59"/>
  <c r="AY62" i="59"/>
  <c r="AY231" i="59"/>
  <c r="AY185" i="59"/>
  <c r="AY200" i="59"/>
  <c r="AY153" i="59"/>
  <c r="AY152" i="59"/>
  <c r="AY78" i="59"/>
  <c r="AY106" i="59"/>
  <c r="AY76" i="59"/>
  <c r="AY136" i="59"/>
  <c r="AY118" i="59"/>
  <c r="AY224" i="59"/>
  <c r="AY154" i="59"/>
  <c r="AY238" i="59"/>
  <c r="AY214" i="59"/>
  <c r="AY93" i="59"/>
  <c r="AY148" i="59"/>
  <c r="AY218" i="59"/>
  <c r="AY116" i="59"/>
  <c r="AY124" i="59"/>
  <c r="AY180" i="59"/>
  <c r="AY126" i="59"/>
  <c r="AY103" i="59"/>
  <c r="AY125" i="59"/>
  <c r="AY71" i="59"/>
  <c r="AY183" i="59"/>
  <c r="AY190" i="59"/>
  <c r="AY253" i="59"/>
  <c r="AY162" i="59"/>
  <c r="AY239" i="59"/>
  <c r="AY102" i="59"/>
  <c r="AY177" i="59"/>
  <c r="AY122" i="59"/>
  <c r="AY172" i="59"/>
  <c r="AY75" i="59"/>
  <c r="AY166" i="59"/>
  <c r="AY167" i="59"/>
  <c r="AY156" i="59"/>
  <c r="AY96" i="59"/>
  <c r="AY169" i="59"/>
  <c r="AY110" i="59"/>
  <c r="AY86" i="59"/>
  <c r="AY227" i="59"/>
  <c r="AY160" i="59"/>
  <c r="AY90" i="59"/>
  <c r="AY151" i="59"/>
  <c r="AY150" i="59"/>
  <c r="AY240" i="59"/>
  <c r="AY111" i="59"/>
  <c r="AY85" i="59"/>
  <c r="AY54" i="59"/>
  <c r="AY70" i="59"/>
  <c r="AY121" i="59"/>
  <c r="AY109" i="59"/>
  <c r="AY161" i="59"/>
  <c r="AY170" i="59"/>
  <c r="AY256" i="59"/>
  <c r="AY248" i="59"/>
  <c r="AY223" i="59"/>
  <c r="AY164" i="59"/>
  <c r="AY91" i="59"/>
  <c r="AY204" i="59"/>
  <c r="AY237" i="59"/>
  <c r="AY243" i="59"/>
  <c r="AY203" i="59"/>
  <c r="AY95" i="59"/>
  <c r="AY157" i="59"/>
  <c r="AY245" i="59"/>
  <c r="AY215" i="59"/>
  <c r="AY191" i="59"/>
  <c r="AY182" i="59"/>
  <c r="AY99" i="59"/>
  <c r="AY181" i="59"/>
  <c r="AY233" i="59"/>
  <c r="AY174" i="59"/>
  <c r="AY254" i="59"/>
  <c r="AY133" i="59"/>
  <c r="AY57" i="59"/>
  <c r="AY137" i="59"/>
  <c r="AY55" i="59"/>
  <c r="AY236" i="59"/>
  <c r="AY219" i="59"/>
  <c r="AY197" i="59"/>
  <c r="AY143" i="59"/>
  <c r="AY176" i="59"/>
  <c r="AY139" i="59"/>
  <c r="AY79" i="59"/>
  <c r="AY158" i="59"/>
  <c r="AY94" i="59"/>
  <c r="AY159" i="59"/>
  <c r="AY192" i="59"/>
  <c r="AY234" i="59"/>
  <c r="AY68" i="59"/>
  <c r="AY228" i="59"/>
  <c r="AY115" i="59"/>
  <c r="F131" i="22"/>
  <c r="BC40" i="69"/>
  <c r="BE40" i="69"/>
  <c r="BF40" i="69"/>
  <c r="BD40" i="69"/>
  <c r="K55" i="57"/>
  <c r="AH55" i="57"/>
  <c r="AI55" i="57" s="1"/>
  <c r="AX38" i="69"/>
  <c r="AW38" i="69"/>
  <c r="L40" i="69"/>
  <c r="M40" i="69" s="1"/>
  <c r="AZ40" i="69"/>
  <c r="AG36" i="69"/>
  <c r="Y37" i="69"/>
  <c r="AB37" i="69" s="1"/>
  <c r="U38" i="69"/>
  <c r="AH38" i="69"/>
  <c r="F38" i="69"/>
  <c r="G38" i="69" s="1"/>
  <c r="H38" i="69" s="1"/>
  <c r="I38" i="69" s="1"/>
  <c r="J38" i="69" s="1"/>
  <c r="K38" i="69" s="1"/>
  <c r="X52" i="57"/>
  <c r="AB52" i="57" s="1"/>
  <c r="AG54" i="57"/>
  <c r="AC55" i="53"/>
  <c r="O55" i="53"/>
  <c r="Q39" i="69"/>
  <c r="AE53" i="57"/>
  <c r="AQ53" i="57"/>
  <c r="AD53" i="57"/>
  <c r="AA51" i="57"/>
  <c r="Q53" i="57"/>
  <c r="AC53" i="57"/>
  <c r="R53" i="57"/>
  <c r="N55" i="53"/>
  <c r="AA53" i="53"/>
  <c r="AF38" i="69"/>
  <c r="P55" i="57"/>
  <c r="AC36" i="69"/>
  <c r="AD36" i="69" s="1"/>
  <c r="O40" i="69"/>
  <c r="AO39" i="69"/>
  <c r="AE54" i="53"/>
  <c r="R54" i="53"/>
  <c r="X54" i="53" s="1"/>
  <c r="AB54" i="53" s="1"/>
  <c r="AY38" i="69"/>
  <c r="L55" i="57"/>
  <c r="AG54" i="53"/>
  <c r="AT54" i="53"/>
  <c r="N55" i="57"/>
  <c r="G55" i="53"/>
  <c r="Q54" i="53"/>
  <c r="AD54" i="53"/>
  <c r="AK54" i="52" a="1"/>
  <c r="AK54" i="52" s="1"/>
  <c r="B56" i="53" s="1"/>
  <c r="F55" i="53"/>
  <c r="H55" i="53"/>
  <c r="I55" i="53"/>
  <c r="C55" i="53"/>
  <c r="E55" i="53"/>
  <c r="K55" i="53"/>
  <c r="AH55" i="53" s="1"/>
  <c r="P55" i="53"/>
  <c r="J55" i="53"/>
  <c r="L55" i="53"/>
  <c r="D55" i="53"/>
  <c r="G55" i="57"/>
  <c r="I55" i="57"/>
  <c r="C55" i="57"/>
  <c r="E55" i="57"/>
  <c r="F55" i="57"/>
  <c r="J55" i="57"/>
  <c r="D55" i="57"/>
  <c r="H55" i="57"/>
  <c r="AN54" i="55" a="1"/>
  <c r="AN54" i="55" s="1"/>
  <c r="B56" i="57" s="1"/>
  <c r="O56" i="57" s="1"/>
  <c r="AS40" i="67" a="1"/>
  <c r="AS40" i="67" s="1"/>
  <c r="B41" i="69"/>
  <c r="AM41" i="69" s="1"/>
  <c r="AN41" i="69" s="1"/>
  <c r="D39" i="69"/>
  <c r="E39" i="69" s="1"/>
  <c r="R38" i="69"/>
  <c r="S38" i="69" s="1"/>
  <c r="AE38" i="69"/>
  <c r="C40" i="69"/>
  <c r="L15" i="29"/>
  <c r="F80" i="22" l="1"/>
  <c r="X16" i="11"/>
  <c r="J80" i="22" s="1"/>
  <c r="AF54" i="53"/>
  <c r="AF52" i="57"/>
  <c r="P40" i="69"/>
  <c r="AP40" i="69"/>
  <c r="AK55" i="57"/>
  <c r="AJ51" i="57"/>
  <c r="F132" i="22"/>
  <c r="BC41" i="69"/>
  <c r="BE41" i="69"/>
  <c r="BF41" i="69"/>
  <c r="BD41" i="69"/>
  <c r="AH56" i="57"/>
  <c r="AI56" i="57" s="1"/>
  <c r="K56" i="57"/>
  <c r="AX39" i="69"/>
  <c r="AW39" i="69"/>
  <c r="L41" i="69"/>
  <c r="M41" i="69" s="1"/>
  <c r="AZ41" i="69"/>
  <c r="Y38" i="69"/>
  <c r="AB38" i="69" s="1"/>
  <c r="AG37" i="69"/>
  <c r="F39" i="69"/>
  <c r="G39" i="69" s="1"/>
  <c r="H39" i="69" s="1"/>
  <c r="I39" i="69" s="1"/>
  <c r="J39" i="69" s="1"/>
  <c r="K39" i="69" s="1"/>
  <c r="U39" i="69"/>
  <c r="AH39" i="69"/>
  <c r="X53" i="57"/>
  <c r="AB53" i="57" s="1"/>
  <c r="AG55" i="57"/>
  <c r="AC56" i="53"/>
  <c r="O56" i="53"/>
  <c r="Q40" i="69"/>
  <c r="AA52" i="57"/>
  <c r="AE54" i="57"/>
  <c r="R54" i="57"/>
  <c r="Q54" i="57"/>
  <c r="AD54" i="57"/>
  <c r="AQ54" i="57"/>
  <c r="AC54" i="57"/>
  <c r="N56" i="53"/>
  <c r="AA54" i="53"/>
  <c r="AF39" i="69"/>
  <c r="P56" i="57"/>
  <c r="AC37" i="69"/>
  <c r="AD37" i="69" s="1"/>
  <c r="O41" i="69"/>
  <c r="AO40" i="69"/>
  <c r="AE55" i="53"/>
  <c r="R55" i="53"/>
  <c r="X55" i="53" s="1"/>
  <c r="AB55" i="53" s="1"/>
  <c r="AY39" i="69"/>
  <c r="L56" i="57"/>
  <c r="AG55" i="53"/>
  <c r="AT55" i="53"/>
  <c r="N56" i="57"/>
  <c r="F56" i="53"/>
  <c r="AD55" i="53"/>
  <c r="Q55" i="53"/>
  <c r="AK55" i="52" a="1"/>
  <c r="AK55" i="52" s="1"/>
  <c r="B57" i="53" s="1"/>
  <c r="D56" i="53"/>
  <c r="L56" i="53"/>
  <c r="I56" i="53"/>
  <c r="C56" i="53"/>
  <c r="G56" i="53"/>
  <c r="E56" i="53"/>
  <c r="P56" i="53"/>
  <c r="H56" i="53"/>
  <c r="J56" i="53"/>
  <c r="K56" i="53"/>
  <c r="AH56" i="53" s="1"/>
  <c r="I56" i="57"/>
  <c r="C56" i="57"/>
  <c r="J56" i="57"/>
  <c r="F56" i="57"/>
  <c r="E56" i="57"/>
  <c r="H56" i="57"/>
  <c r="D56" i="57"/>
  <c r="G56" i="57"/>
  <c r="AN55" i="55" a="1"/>
  <c r="AN55" i="55" s="1"/>
  <c r="B57" i="57" s="1"/>
  <c r="O57" i="57" s="1"/>
  <c r="AS41" i="67" a="1"/>
  <c r="AS41" i="67" s="1"/>
  <c r="B42" i="69"/>
  <c r="AM42" i="69" s="1"/>
  <c r="AN42" i="69" s="1"/>
  <c r="C41" i="69"/>
  <c r="D40" i="69"/>
  <c r="E40" i="69" s="1"/>
  <c r="R39" i="69"/>
  <c r="S39" i="69" s="1"/>
  <c r="AE39" i="69"/>
  <c r="AF53" i="57" l="1"/>
  <c r="AF55" i="53"/>
  <c r="P41" i="69"/>
  <c r="AP41" i="69"/>
  <c r="AK56" i="57"/>
  <c r="AJ52" i="57"/>
  <c r="J132" i="22"/>
  <c r="J131" i="22"/>
  <c r="BC42" i="69"/>
  <c r="BE42" i="69"/>
  <c r="BF42" i="69"/>
  <c r="BD42" i="69"/>
  <c r="AH57" i="57"/>
  <c r="AI57" i="57" s="1"/>
  <c r="K57" i="57"/>
  <c r="AW40" i="69"/>
  <c r="AX40" i="69"/>
  <c r="L42" i="69"/>
  <c r="M42" i="69" s="1"/>
  <c r="AZ42" i="69"/>
  <c r="Y39" i="69"/>
  <c r="AG39" i="69" s="1"/>
  <c r="AG38" i="69"/>
  <c r="U40" i="69"/>
  <c r="AH40" i="69"/>
  <c r="F40" i="69"/>
  <c r="G40" i="69" s="1"/>
  <c r="H40" i="69" s="1"/>
  <c r="I40" i="69" s="1"/>
  <c r="J40" i="69" s="1"/>
  <c r="K40" i="69" s="1"/>
  <c r="X54" i="57"/>
  <c r="AB54" i="57" s="1"/>
  <c r="AG56" i="57"/>
  <c r="AC57" i="53"/>
  <c r="O57" i="53"/>
  <c r="Q41" i="69"/>
  <c r="AA53" i="57"/>
  <c r="AE55" i="57"/>
  <c r="AQ55" i="57"/>
  <c r="AD55" i="57"/>
  <c r="R55" i="57"/>
  <c r="Q55" i="57"/>
  <c r="AC55" i="57"/>
  <c r="N57" i="53"/>
  <c r="AA55" i="53"/>
  <c r="AF40" i="69"/>
  <c r="P57" i="57"/>
  <c r="AC38" i="69"/>
  <c r="AD38" i="69" s="1"/>
  <c r="AO41" i="69"/>
  <c r="O42" i="69"/>
  <c r="AE56" i="53"/>
  <c r="R56" i="53"/>
  <c r="X56" i="53" s="1"/>
  <c r="AB56" i="53" s="1"/>
  <c r="AY40" i="69"/>
  <c r="L57" i="57"/>
  <c r="AG56" i="53"/>
  <c r="AT56" i="53"/>
  <c r="N57" i="57"/>
  <c r="C57" i="53"/>
  <c r="Q56" i="53"/>
  <c r="AD56" i="53"/>
  <c r="H57" i="53"/>
  <c r="F57" i="53"/>
  <c r="K57" i="53"/>
  <c r="AH57" i="53" s="1"/>
  <c r="E57" i="53"/>
  <c r="L57" i="53"/>
  <c r="J57" i="53"/>
  <c r="G57" i="53"/>
  <c r="AK56" i="52" a="1"/>
  <c r="AK56" i="52" s="1"/>
  <c r="B58" i="53" s="1"/>
  <c r="D57" i="53"/>
  <c r="P57" i="53"/>
  <c r="I57" i="53"/>
  <c r="I57" i="57"/>
  <c r="E57" i="57"/>
  <c r="D57" i="57"/>
  <c r="C57" i="57"/>
  <c r="H57" i="57"/>
  <c r="G57" i="57"/>
  <c r="F57" i="57"/>
  <c r="J57" i="57"/>
  <c r="AN56" i="55" a="1"/>
  <c r="AN56" i="55" s="1"/>
  <c r="B58" i="57" s="1"/>
  <c r="O58" i="57" s="1"/>
  <c r="AE40" i="69"/>
  <c r="R40" i="69"/>
  <c r="S40" i="69" s="1"/>
  <c r="D41" i="69"/>
  <c r="E41" i="69" s="1"/>
  <c r="C42" i="69"/>
  <c r="AS42" i="67" a="1"/>
  <c r="AS42" i="67" s="1"/>
  <c r="B43" i="69"/>
  <c r="AM43" i="69" s="1"/>
  <c r="AN43" i="69" s="1"/>
  <c r="B3" i="73"/>
  <c r="AF54" i="57" l="1"/>
  <c r="AF56" i="53"/>
  <c r="P42" i="69"/>
  <c r="AP42" i="69"/>
  <c r="AK57" i="57"/>
  <c r="AJ53" i="57"/>
  <c r="BC43" i="69"/>
  <c r="BD43" i="69"/>
  <c r="BE43" i="69"/>
  <c r="BF43" i="69"/>
  <c r="AH58" i="57"/>
  <c r="AI58" i="57" s="1"/>
  <c r="K58" i="57"/>
  <c r="AX41" i="69"/>
  <c r="AW41" i="69"/>
  <c r="L43" i="69"/>
  <c r="M43" i="69" s="1"/>
  <c r="AZ43" i="69"/>
  <c r="AB39" i="69"/>
  <c r="AC39" i="69" s="1"/>
  <c r="AD39" i="69" s="1"/>
  <c r="Y40" i="69"/>
  <c r="AG40" i="69" s="1"/>
  <c r="U41" i="69"/>
  <c r="AH41" i="69"/>
  <c r="F41" i="69"/>
  <c r="G41" i="69" s="1"/>
  <c r="H41" i="69" s="1"/>
  <c r="I41" i="69" s="1"/>
  <c r="J41" i="69" s="1"/>
  <c r="K41" i="69" s="1"/>
  <c r="X55" i="57"/>
  <c r="AB55" i="57" s="1"/>
  <c r="AG57" i="57"/>
  <c r="AC58" i="53"/>
  <c r="O58" i="53"/>
  <c r="Q42" i="69"/>
  <c r="AA54" i="57"/>
  <c r="AQ56" i="57"/>
  <c r="AC56" i="57"/>
  <c r="AE56" i="57"/>
  <c r="Q56" i="57"/>
  <c r="AD56" i="57"/>
  <c r="R56" i="57"/>
  <c r="N58" i="53"/>
  <c r="AA56" i="53"/>
  <c r="AF41" i="69"/>
  <c r="P58" i="57"/>
  <c r="O43" i="69"/>
  <c r="AO42" i="69"/>
  <c r="AE57" i="53"/>
  <c r="R57" i="53"/>
  <c r="X57" i="53" s="1"/>
  <c r="AB57" i="53" s="1"/>
  <c r="AY41" i="69"/>
  <c r="L58" i="57"/>
  <c r="AG57" i="53"/>
  <c r="AT57" i="53"/>
  <c r="N58" i="57"/>
  <c r="AD57" i="53"/>
  <c r="Q57" i="53"/>
  <c r="K58" i="53"/>
  <c r="AH58" i="53" s="1"/>
  <c r="P58" i="53"/>
  <c r="I58" i="53"/>
  <c r="E58" i="53"/>
  <c r="H58" i="53"/>
  <c r="AK57" i="52" a="1"/>
  <c r="AK57" i="52" s="1"/>
  <c r="B59" i="53" s="1"/>
  <c r="J58" i="53"/>
  <c r="D58" i="53"/>
  <c r="L58" i="53"/>
  <c r="C58" i="53"/>
  <c r="G58" i="53"/>
  <c r="F58" i="53"/>
  <c r="D58" i="57"/>
  <c r="G58" i="57"/>
  <c r="F58" i="57"/>
  <c r="E58" i="57"/>
  <c r="I58" i="57"/>
  <c r="C58" i="57"/>
  <c r="H58" i="57"/>
  <c r="J58" i="57"/>
  <c r="AN57" i="55" a="1"/>
  <c r="AN57" i="55" s="1"/>
  <c r="B59" i="57" s="1"/>
  <c r="O59" i="57" s="1"/>
  <c r="C43" i="69"/>
  <c r="D42" i="69"/>
  <c r="E42" i="69" s="1"/>
  <c r="R41" i="69"/>
  <c r="S41" i="69" s="1"/>
  <c r="AE41" i="69"/>
  <c r="AS43" i="67" a="1"/>
  <c r="AS43" i="67" s="1"/>
  <c r="B44" i="69"/>
  <c r="AM44" i="69" s="1"/>
  <c r="AN44" i="69" s="1"/>
  <c r="AF55" i="57" l="1"/>
  <c r="AF57" i="53"/>
  <c r="P43" i="69"/>
  <c r="AP43" i="69"/>
  <c r="AK58" i="57"/>
  <c r="AJ54" i="57"/>
  <c r="BC44" i="69"/>
  <c r="BD44" i="69"/>
  <c r="BE44" i="69"/>
  <c r="BF44" i="69"/>
  <c r="AH59" i="57"/>
  <c r="AI59" i="57" s="1"/>
  <c r="K59" i="57"/>
  <c r="AX42" i="69"/>
  <c r="AW42" i="69"/>
  <c r="L44" i="69"/>
  <c r="M44" i="69" s="1"/>
  <c r="AZ44" i="69"/>
  <c r="AB40" i="69"/>
  <c r="AC40" i="69" s="1"/>
  <c r="AD40" i="69" s="1"/>
  <c r="F42" i="69"/>
  <c r="G42" i="69" s="1"/>
  <c r="H42" i="69" s="1"/>
  <c r="I42" i="69" s="1"/>
  <c r="J42" i="69" s="1"/>
  <c r="K42" i="69" s="1"/>
  <c r="U42" i="69"/>
  <c r="AH42" i="69"/>
  <c r="Y41" i="69"/>
  <c r="AG41" i="69" s="1"/>
  <c r="X56" i="57"/>
  <c r="AB56" i="57" s="1"/>
  <c r="AG58" i="57"/>
  <c r="AC59" i="53"/>
  <c r="O59" i="53"/>
  <c r="Q43" i="69"/>
  <c r="AA55" i="57"/>
  <c r="AQ57" i="57"/>
  <c r="R57" i="57"/>
  <c r="Q57" i="57"/>
  <c r="AD57" i="57"/>
  <c r="AE57" i="57"/>
  <c r="AC57" i="57"/>
  <c r="N59" i="53"/>
  <c r="AA57" i="53"/>
  <c r="AF42" i="69"/>
  <c r="P59" i="57"/>
  <c r="O44" i="69"/>
  <c r="AO43" i="69"/>
  <c r="AE58" i="53"/>
  <c r="R58" i="53"/>
  <c r="X58" i="53" s="1"/>
  <c r="AB58" i="53" s="1"/>
  <c r="AY42" i="69"/>
  <c r="L59" i="57"/>
  <c r="AG58" i="53"/>
  <c r="AT58" i="53"/>
  <c r="N59" i="57"/>
  <c r="H59" i="53"/>
  <c r="Q58" i="53"/>
  <c r="AD58" i="53"/>
  <c r="AK58" i="52" a="1"/>
  <c r="AK58" i="52" s="1"/>
  <c r="B60" i="53" s="1"/>
  <c r="K59" i="53"/>
  <c r="AH59" i="53" s="1"/>
  <c r="P59" i="53"/>
  <c r="I59" i="53"/>
  <c r="C59" i="53"/>
  <c r="E59" i="53"/>
  <c r="J59" i="53"/>
  <c r="L59" i="53"/>
  <c r="D59" i="53"/>
  <c r="G59" i="53"/>
  <c r="F59" i="53"/>
  <c r="G59" i="57"/>
  <c r="E59" i="57"/>
  <c r="D59" i="57"/>
  <c r="C59" i="57"/>
  <c r="I59" i="57"/>
  <c r="H59" i="57"/>
  <c r="F59" i="57"/>
  <c r="J59" i="57"/>
  <c r="AN58" i="55" a="1"/>
  <c r="AN58" i="55" s="1"/>
  <c r="B60" i="57" s="1"/>
  <c r="O60" i="57" s="1"/>
  <c r="C44" i="69"/>
  <c r="D43" i="69"/>
  <c r="E43" i="69" s="1"/>
  <c r="R42" i="69"/>
  <c r="S42" i="69" s="1"/>
  <c r="AE42" i="69"/>
  <c r="AS44" i="67" a="1"/>
  <c r="AS44" i="67" s="1"/>
  <c r="B45" i="69"/>
  <c r="AM45" i="69" s="1"/>
  <c r="AN45" i="69" s="1"/>
  <c r="AF58" i="53" l="1"/>
  <c r="AF56" i="57"/>
  <c r="AK59" i="57"/>
  <c r="P44" i="69"/>
  <c r="AP44" i="69"/>
  <c r="AJ55" i="57"/>
  <c r="BC45" i="69"/>
  <c r="BF45" i="69"/>
  <c r="BD45" i="69"/>
  <c r="BE45" i="69"/>
  <c r="AH60" i="57"/>
  <c r="AI60" i="57" s="1"/>
  <c r="K60" i="57"/>
  <c r="AX43" i="69"/>
  <c r="AW43" i="69"/>
  <c r="L45" i="69"/>
  <c r="M45" i="69" s="1"/>
  <c r="AZ45" i="69"/>
  <c r="Y42" i="69"/>
  <c r="AB42" i="69" s="1"/>
  <c r="AB41" i="69"/>
  <c r="AC41" i="69" s="1"/>
  <c r="AD41" i="69" s="1"/>
  <c r="F43" i="69"/>
  <c r="G43" i="69" s="1"/>
  <c r="H43" i="69" s="1"/>
  <c r="I43" i="69" s="1"/>
  <c r="J43" i="69" s="1"/>
  <c r="K43" i="69" s="1"/>
  <c r="U43" i="69"/>
  <c r="AH43" i="69"/>
  <c r="X57" i="57"/>
  <c r="AB57" i="57" s="1"/>
  <c r="AG59" i="57"/>
  <c r="AQ58" i="57"/>
  <c r="AC60" i="53"/>
  <c r="O60" i="53"/>
  <c r="Q44" i="69"/>
  <c r="AA56" i="57"/>
  <c r="Q58" i="57"/>
  <c r="AC58" i="57"/>
  <c r="AD58" i="57"/>
  <c r="AE58" i="57"/>
  <c r="R58" i="57"/>
  <c r="N60" i="53"/>
  <c r="AA58" i="53"/>
  <c r="AF43" i="69"/>
  <c r="P60" i="57"/>
  <c r="AO44" i="69"/>
  <c r="O45" i="69"/>
  <c r="AE59" i="53"/>
  <c r="R59" i="53"/>
  <c r="X59" i="53" s="1"/>
  <c r="AB59" i="53" s="1"/>
  <c r="AY43" i="69"/>
  <c r="L60" i="57"/>
  <c r="AG59" i="53"/>
  <c r="AT59" i="53"/>
  <c r="N60" i="57"/>
  <c r="Q59" i="53"/>
  <c r="AD59" i="53"/>
  <c r="J60" i="53"/>
  <c r="K60" i="53"/>
  <c r="AH60" i="53" s="1"/>
  <c r="E60" i="53"/>
  <c r="F60" i="53"/>
  <c r="P60" i="53"/>
  <c r="I60" i="53"/>
  <c r="L60" i="53"/>
  <c r="C60" i="53"/>
  <c r="AK59" i="52" a="1"/>
  <c r="AK59" i="52" s="1"/>
  <c r="B61" i="53" s="1"/>
  <c r="D60" i="53"/>
  <c r="H60" i="53"/>
  <c r="G60" i="53"/>
  <c r="I60" i="57"/>
  <c r="F60" i="57"/>
  <c r="C60" i="57"/>
  <c r="H60" i="57"/>
  <c r="D60" i="57"/>
  <c r="G60" i="57"/>
  <c r="E60" i="57"/>
  <c r="J60" i="57"/>
  <c r="AN59" i="55" a="1"/>
  <c r="AN59" i="55" s="1"/>
  <c r="B61" i="57" s="1"/>
  <c r="O61" i="57" s="1"/>
  <c r="R43" i="69"/>
  <c r="S43" i="69" s="1"/>
  <c r="AE43" i="69"/>
  <c r="C45" i="69"/>
  <c r="AS45" i="67" a="1"/>
  <c r="AS45" i="67" s="1"/>
  <c r="B46" i="69"/>
  <c r="AM46" i="69" s="1"/>
  <c r="AN46" i="69" s="1"/>
  <c r="D44" i="69"/>
  <c r="E44" i="69" s="1"/>
  <c r="AF57" i="57" l="1"/>
  <c r="AF59" i="53"/>
  <c r="P45" i="69"/>
  <c r="AP45" i="69"/>
  <c r="AK60" i="57"/>
  <c r="AJ56" i="57"/>
  <c r="BC46" i="69"/>
  <c r="BF46" i="69"/>
  <c r="BD46" i="69"/>
  <c r="BE46" i="69"/>
  <c r="AH61" i="57"/>
  <c r="AI61" i="57" s="1"/>
  <c r="K61" i="57"/>
  <c r="AW44" i="69"/>
  <c r="AX44" i="69"/>
  <c r="L46" i="69"/>
  <c r="M46" i="69" s="1"/>
  <c r="AZ46" i="69"/>
  <c r="Y43" i="69"/>
  <c r="AB43" i="69" s="1"/>
  <c r="AC43" i="69" s="1"/>
  <c r="AD43" i="69" s="1"/>
  <c r="AG42" i="69"/>
  <c r="F44" i="69"/>
  <c r="G44" i="69" s="1"/>
  <c r="H44" i="69" s="1"/>
  <c r="I44" i="69" s="1"/>
  <c r="J44" i="69" s="1"/>
  <c r="K44" i="69" s="1"/>
  <c r="U44" i="69"/>
  <c r="AH44" i="69"/>
  <c r="AG60" i="57"/>
  <c r="X58" i="57"/>
  <c r="AB58" i="57" s="1"/>
  <c r="Q59" i="57"/>
  <c r="AC61" i="53"/>
  <c r="O61" i="53"/>
  <c r="Q45" i="69"/>
  <c r="AQ59" i="57"/>
  <c r="R59" i="57"/>
  <c r="AA57" i="57"/>
  <c r="AD59" i="57"/>
  <c r="AC59" i="57"/>
  <c r="AE59" i="57"/>
  <c r="N61" i="53"/>
  <c r="AA59" i="53"/>
  <c r="AF44" i="69"/>
  <c r="P61" i="57"/>
  <c r="AC42" i="69"/>
  <c r="AD42" i="69" s="1"/>
  <c r="O46" i="69"/>
  <c r="AO45" i="69"/>
  <c r="AE60" i="53"/>
  <c r="R60" i="53"/>
  <c r="X60" i="53" s="1"/>
  <c r="AB60" i="53" s="1"/>
  <c r="AY44" i="69"/>
  <c r="L61" i="57"/>
  <c r="AT60" i="53"/>
  <c r="AG60" i="53"/>
  <c r="N61" i="57"/>
  <c r="AD60" i="53"/>
  <c r="Q60" i="53"/>
  <c r="AK60" i="52" a="1"/>
  <c r="AK60" i="52" s="1"/>
  <c r="B62" i="53" s="1"/>
  <c r="H61" i="53"/>
  <c r="F61" i="53"/>
  <c r="I61" i="53"/>
  <c r="C61" i="53"/>
  <c r="L61" i="53"/>
  <c r="P61" i="53"/>
  <c r="K61" i="53"/>
  <c r="AH61" i="53" s="1"/>
  <c r="E61" i="53"/>
  <c r="D61" i="53"/>
  <c r="J61" i="53"/>
  <c r="G61" i="53"/>
  <c r="G61" i="57"/>
  <c r="C61" i="57"/>
  <c r="I61" i="57"/>
  <c r="H61" i="57"/>
  <c r="E61" i="57"/>
  <c r="D61" i="57"/>
  <c r="J61" i="57"/>
  <c r="F61" i="57"/>
  <c r="AN60" i="55" a="1"/>
  <c r="AN60" i="55" s="1"/>
  <c r="B62" i="57" s="1"/>
  <c r="O62" i="57" s="1"/>
  <c r="R44" i="69"/>
  <c r="S44" i="69" s="1"/>
  <c r="AE44" i="69"/>
  <c r="C46" i="69"/>
  <c r="AS46" i="67" a="1"/>
  <c r="AS46" i="67" s="1"/>
  <c r="B47" i="69"/>
  <c r="AM47" i="69" s="1"/>
  <c r="AN47" i="69" s="1"/>
  <c r="D45" i="69"/>
  <c r="E45" i="69" s="1"/>
  <c r="AF58" i="57" l="1"/>
  <c r="AF60" i="53"/>
  <c r="P46" i="69"/>
  <c r="AP46" i="69"/>
  <c r="AK61" i="57"/>
  <c r="AJ57" i="57"/>
  <c r="BC47" i="69"/>
  <c r="BF47" i="69"/>
  <c r="BD47" i="69"/>
  <c r="BE47" i="69"/>
  <c r="AH62" i="57"/>
  <c r="AI62" i="57" s="1"/>
  <c r="K62" i="57"/>
  <c r="AX45" i="69"/>
  <c r="AW45" i="69"/>
  <c r="L47" i="69"/>
  <c r="M47" i="69" s="1"/>
  <c r="AZ47" i="69"/>
  <c r="AG43" i="69"/>
  <c r="Y44" i="69"/>
  <c r="AG44" i="69" s="1"/>
  <c r="F45" i="69"/>
  <c r="G45" i="69" s="1"/>
  <c r="H45" i="69" s="1"/>
  <c r="I45" i="69" s="1"/>
  <c r="J45" i="69" s="1"/>
  <c r="K45" i="69" s="1"/>
  <c r="U45" i="69"/>
  <c r="AH45" i="69"/>
  <c r="X59" i="57"/>
  <c r="AB59" i="57" s="1"/>
  <c r="AG61" i="57"/>
  <c r="AC62" i="53"/>
  <c r="O62" i="53"/>
  <c r="Q46" i="69"/>
  <c r="AQ60" i="57"/>
  <c r="AE60" i="57"/>
  <c r="AA58" i="57"/>
  <c r="AD60" i="57"/>
  <c r="Q60" i="57"/>
  <c r="R60" i="57"/>
  <c r="AC60" i="57"/>
  <c r="N62" i="53"/>
  <c r="AA60" i="53"/>
  <c r="AF45" i="69"/>
  <c r="P62" i="57"/>
  <c r="O47" i="69"/>
  <c r="AO46" i="69"/>
  <c r="AE61" i="53"/>
  <c r="R61" i="53"/>
  <c r="X61" i="53" s="1"/>
  <c r="AB61" i="53" s="1"/>
  <c r="AY45" i="69"/>
  <c r="L62" i="57"/>
  <c r="AG61" i="53"/>
  <c r="AT61" i="53"/>
  <c r="N62" i="57"/>
  <c r="H62" i="53"/>
  <c r="AD61" i="53"/>
  <c r="Q61" i="53"/>
  <c r="F62" i="53"/>
  <c r="E62" i="53"/>
  <c r="I62" i="53"/>
  <c r="C62" i="53"/>
  <c r="G62" i="53"/>
  <c r="K62" i="53"/>
  <c r="AH62" i="53" s="1"/>
  <c r="J62" i="53"/>
  <c r="AK61" i="52" a="1"/>
  <c r="AK61" i="52" s="1"/>
  <c r="B63" i="53" s="1"/>
  <c r="L62" i="53"/>
  <c r="P62" i="53"/>
  <c r="D62" i="53"/>
  <c r="E62" i="57"/>
  <c r="J62" i="57"/>
  <c r="G62" i="57"/>
  <c r="C62" i="57"/>
  <c r="F62" i="57"/>
  <c r="H62" i="57"/>
  <c r="D62" i="57"/>
  <c r="I62" i="57"/>
  <c r="AN61" i="55" a="1"/>
  <c r="AN61" i="55" s="1"/>
  <c r="B63" i="57" s="1"/>
  <c r="O63" i="57" s="1"/>
  <c r="AS47" i="67" a="1"/>
  <c r="AS47" i="67" s="1"/>
  <c r="B48" i="69"/>
  <c r="AM48" i="69" s="1"/>
  <c r="AN48" i="69" s="1"/>
  <c r="R45" i="69"/>
  <c r="S45" i="69" s="1"/>
  <c r="AE45" i="69"/>
  <c r="C47" i="69"/>
  <c r="D46" i="69"/>
  <c r="E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AF59" i="57" l="1"/>
  <c r="AF61" i="53"/>
  <c r="P47" i="69"/>
  <c r="AP47" i="69"/>
  <c r="AK62" i="57"/>
  <c r="AJ58" i="57"/>
  <c r="BC48" i="69"/>
  <c r="BE48" i="69"/>
  <c r="BF48" i="69"/>
  <c r="BD48" i="69"/>
  <c r="AH63" i="57"/>
  <c r="AI63" i="57" s="1"/>
  <c r="K63" i="57"/>
  <c r="AX46" i="69"/>
  <c r="AW46" i="69"/>
  <c r="L48" i="69"/>
  <c r="M48" i="69" s="1"/>
  <c r="AZ48" i="69"/>
  <c r="Y45" i="69"/>
  <c r="AB45" i="69" s="1"/>
  <c r="AB44" i="69"/>
  <c r="AC44" i="69" s="1"/>
  <c r="AD44" i="69" s="1"/>
  <c r="F46" i="69"/>
  <c r="G46" i="69" s="1"/>
  <c r="H46" i="69" s="1"/>
  <c r="I46" i="69" s="1"/>
  <c r="J46" i="69" s="1"/>
  <c r="K46" i="69" s="1"/>
  <c r="U46" i="69"/>
  <c r="AH46" i="69"/>
  <c r="X60" i="57"/>
  <c r="AB60" i="57" s="1"/>
  <c r="AG62" i="57"/>
  <c r="AA59" i="57"/>
  <c r="AD61" i="57"/>
  <c r="AC63" i="53"/>
  <c r="O63" i="53"/>
  <c r="Q47" i="69"/>
  <c r="R61" i="57"/>
  <c r="AQ61" i="57"/>
  <c r="Q61" i="57"/>
  <c r="AE61" i="57"/>
  <c r="AC61" i="57"/>
  <c r="N63" i="53"/>
  <c r="AA61" i="53"/>
  <c r="AF46" i="69"/>
  <c r="P63" i="57"/>
  <c r="AO47" i="69"/>
  <c r="O48" i="69"/>
  <c r="AE62" i="53"/>
  <c r="R62" i="53"/>
  <c r="X62" i="53" s="1"/>
  <c r="AB62" i="53" s="1"/>
  <c r="AY46" i="69"/>
  <c r="L63" i="57"/>
  <c r="AG62" i="53"/>
  <c r="AT62" i="53"/>
  <c r="N63" i="57"/>
  <c r="P63" i="53"/>
  <c r="Q62" i="53"/>
  <c r="AD62" i="53"/>
  <c r="AK62" i="52" a="1"/>
  <c r="AK62" i="52" s="1"/>
  <c r="B64" i="53" s="1"/>
  <c r="J63" i="53"/>
  <c r="I63" i="53"/>
  <c r="C63" i="53"/>
  <c r="E63" i="53"/>
  <c r="G63" i="53"/>
  <c r="D63" i="53"/>
  <c r="H63" i="53"/>
  <c r="L63" i="53"/>
  <c r="F63" i="53"/>
  <c r="K63" i="53"/>
  <c r="AH63" i="53" s="1"/>
  <c r="D63" i="57"/>
  <c r="I63" i="57"/>
  <c r="H63" i="57"/>
  <c r="G63" i="57"/>
  <c r="E63" i="57"/>
  <c r="C63" i="57"/>
  <c r="F63" i="57"/>
  <c r="J63" i="57"/>
  <c r="AN62" i="55" a="1"/>
  <c r="AN62" i="55" s="1"/>
  <c r="B64" i="57" s="1"/>
  <c r="O64" i="57" s="1"/>
  <c r="AS48" i="67" a="1"/>
  <c r="AS48" i="67" s="1"/>
  <c r="B49" i="69"/>
  <c r="AM49" i="69" s="1"/>
  <c r="AN49" i="69" s="1"/>
  <c r="R46" i="69"/>
  <c r="S46" i="69" s="1"/>
  <c r="AE46" i="69"/>
  <c r="C48" i="69"/>
  <c r="D47" i="69"/>
  <c r="E47" i="69" s="1"/>
  <c r="AF62" i="53" l="1"/>
  <c r="AF60" i="57"/>
  <c r="P48" i="69"/>
  <c r="AP48" i="69"/>
  <c r="AK63" i="57"/>
  <c r="AJ59" i="57"/>
  <c r="BC49" i="69"/>
  <c r="BE49" i="69"/>
  <c r="BF49" i="69"/>
  <c r="BD49" i="69"/>
  <c r="AH64" i="57"/>
  <c r="AI64" i="57" s="1"/>
  <c r="K64" i="57"/>
  <c r="Y46" i="69"/>
  <c r="AB46" i="69" s="1"/>
  <c r="AX47" i="69"/>
  <c r="AW47" i="69"/>
  <c r="L49" i="69"/>
  <c r="M49" i="69" s="1"/>
  <c r="AZ49" i="69"/>
  <c r="AG45" i="69"/>
  <c r="F47" i="69"/>
  <c r="G47" i="69" s="1"/>
  <c r="H47" i="69" s="1"/>
  <c r="I47" i="69" s="1"/>
  <c r="J47" i="69" s="1"/>
  <c r="K47" i="69" s="1"/>
  <c r="U47" i="69"/>
  <c r="AH47" i="69"/>
  <c r="X61" i="57"/>
  <c r="AB61" i="57" s="1"/>
  <c r="AG63" i="57"/>
  <c r="AC64" i="53"/>
  <c r="O64" i="53"/>
  <c r="Q48" i="69"/>
  <c r="Q62" i="57"/>
  <c r="AC62" i="57"/>
  <c r="AA60" i="57"/>
  <c r="AE62" i="57"/>
  <c r="AQ62" i="57"/>
  <c r="AD62" i="57"/>
  <c r="R62" i="57"/>
  <c r="N64" i="53"/>
  <c r="AA62" i="53"/>
  <c r="AF47" i="69"/>
  <c r="P64" i="57"/>
  <c r="AC45" i="69"/>
  <c r="AD45" i="69" s="1"/>
  <c r="AO48" i="69"/>
  <c r="O49" i="69"/>
  <c r="AE63" i="53"/>
  <c r="R63" i="53"/>
  <c r="X63" i="53" s="1"/>
  <c r="AB63" i="53" s="1"/>
  <c r="AY47" i="69"/>
  <c r="L64" i="57"/>
  <c r="AG63" i="53"/>
  <c r="AT63" i="53"/>
  <c r="N64" i="57"/>
  <c r="P64" i="53"/>
  <c r="Q63" i="53"/>
  <c r="AD63" i="53"/>
  <c r="G64" i="53"/>
  <c r="E64" i="53"/>
  <c r="C64" i="53"/>
  <c r="L64" i="53"/>
  <c r="H64" i="53"/>
  <c r="AK63" i="52" a="1"/>
  <c r="AK63" i="52" s="1"/>
  <c r="B65" i="53" s="1"/>
  <c r="F64" i="53"/>
  <c r="J64" i="53"/>
  <c r="I64" i="53"/>
  <c r="D64" i="53"/>
  <c r="K64" i="53"/>
  <c r="AH64" i="53" s="1"/>
  <c r="E64" i="57"/>
  <c r="J64" i="57"/>
  <c r="I64" i="57"/>
  <c r="F64" i="57"/>
  <c r="C64" i="57"/>
  <c r="H64" i="57"/>
  <c r="D64" i="57"/>
  <c r="G64" i="57"/>
  <c r="AN63" i="55" a="1"/>
  <c r="AN63" i="55" s="1"/>
  <c r="B65" i="57" s="1"/>
  <c r="O65" i="57" s="1"/>
  <c r="D48" i="69"/>
  <c r="E48" i="69" s="1"/>
  <c r="AE47" i="69"/>
  <c r="R47" i="69"/>
  <c r="S47" i="69" s="1"/>
  <c r="C49" i="69"/>
  <c r="AS49" i="67" a="1"/>
  <c r="AS49" i="67" s="1"/>
  <c r="B50" i="69"/>
  <c r="AM50" i="69" s="1"/>
  <c r="AN50" i="69" s="1"/>
  <c r="M15" i="29"/>
  <c r="A96" i="22"/>
  <c r="C96" i="22"/>
  <c r="A97" i="22"/>
  <c r="C97" i="22"/>
  <c r="A98" i="22"/>
  <c r="C98" i="22"/>
  <c r="A99" i="22"/>
  <c r="C99" i="22"/>
  <c r="A100" i="22"/>
  <c r="C100" i="22"/>
  <c r="A101" i="22"/>
  <c r="C101" i="22"/>
  <c r="A102" i="22"/>
  <c r="C102" i="22"/>
  <c r="A5" i="22"/>
  <c r="C5" i="22"/>
  <c r="A6" i="22"/>
  <c r="C6" i="22"/>
  <c r="A7" i="22"/>
  <c r="C7" i="22"/>
  <c r="A8" i="22"/>
  <c r="C8" i="22"/>
  <c r="A9" i="22"/>
  <c r="C9" i="22"/>
  <c r="A10" i="22"/>
  <c r="C10" i="22"/>
  <c r="A11" i="22"/>
  <c r="C11" i="22"/>
  <c r="A12" i="22"/>
  <c r="C12" i="22"/>
  <c r="A13" i="22"/>
  <c r="C13" i="22"/>
  <c r="A14" i="22"/>
  <c r="C14" i="22"/>
  <c r="A15" i="22"/>
  <c r="C15" i="22"/>
  <c r="A16" i="22"/>
  <c r="C16" i="22"/>
  <c r="A17" i="22"/>
  <c r="C17" i="22"/>
  <c r="A18" i="22"/>
  <c r="C18" i="22"/>
  <c r="A19" i="22"/>
  <c r="C19" i="22"/>
  <c r="A20" i="22"/>
  <c r="C20" i="22"/>
  <c r="A21" i="22"/>
  <c r="C21" i="22"/>
  <c r="A22" i="22"/>
  <c r="C22" i="22"/>
  <c r="A23" i="22"/>
  <c r="C23" i="22"/>
  <c r="A24" i="22"/>
  <c r="C24" i="22"/>
  <c r="A25" i="22"/>
  <c r="C25" i="22"/>
  <c r="A26" i="22"/>
  <c r="C26" i="22"/>
  <c r="A27" i="22"/>
  <c r="C27" i="22"/>
  <c r="A28" i="22"/>
  <c r="C28" i="22"/>
  <c r="A29" i="22"/>
  <c r="C29" i="22"/>
  <c r="A30" i="22"/>
  <c r="C30" i="22"/>
  <c r="A31" i="22"/>
  <c r="C31" i="22"/>
  <c r="A32" i="22"/>
  <c r="C32" i="22"/>
  <c r="A33" i="22"/>
  <c r="C33" i="22"/>
  <c r="A34" i="22"/>
  <c r="C34" i="22"/>
  <c r="A35" i="22"/>
  <c r="C35" i="22"/>
  <c r="A36" i="22"/>
  <c r="C36" i="22"/>
  <c r="A37" i="22"/>
  <c r="C37" i="22"/>
  <c r="A39" i="22"/>
  <c r="C39" i="22"/>
  <c r="A40" i="22"/>
  <c r="C40" i="22"/>
  <c r="A42" i="22"/>
  <c r="C42" i="22"/>
  <c r="A43" i="22"/>
  <c r="C43" i="22"/>
  <c r="A44" i="22"/>
  <c r="C44" i="22"/>
  <c r="A45" i="22"/>
  <c r="C45" i="22"/>
  <c r="A46" i="22"/>
  <c r="C46" i="22"/>
  <c r="A47" i="22"/>
  <c r="C47" i="22"/>
  <c r="A48" i="22"/>
  <c r="C48" i="22"/>
  <c r="A49" i="22"/>
  <c r="C49" i="22"/>
  <c r="A50" i="22"/>
  <c r="C50" i="22"/>
  <c r="A51" i="22"/>
  <c r="C51" i="22"/>
  <c r="A52" i="22"/>
  <c r="C52" i="22"/>
  <c r="A53" i="22"/>
  <c r="C53" i="22"/>
  <c r="A54" i="22"/>
  <c r="C54" i="22"/>
  <c r="A56" i="22"/>
  <c r="C56" i="22"/>
  <c r="A57" i="22"/>
  <c r="C57" i="22"/>
  <c r="A58" i="22"/>
  <c r="C58" i="22"/>
  <c r="A59" i="22"/>
  <c r="C59" i="22"/>
  <c r="A60" i="22"/>
  <c r="C60" i="22"/>
  <c r="A41" i="22"/>
  <c r="C41" i="22"/>
  <c r="A61" i="22"/>
  <c r="C61" i="22"/>
  <c r="A62" i="22"/>
  <c r="C62" i="22"/>
  <c r="A63" i="22"/>
  <c r="C63" i="22"/>
  <c r="A64" i="22"/>
  <c r="C64" i="22"/>
  <c r="A65" i="22"/>
  <c r="C65" i="22"/>
  <c r="A66" i="22"/>
  <c r="C66" i="22"/>
  <c r="A67" i="22"/>
  <c r="C67" i="22"/>
  <c r="A68" i="22"/>
  <c r="C68" i="22"/>
  <c r="A69" i="22"/>
  <c r="C69" i="22"/>
  <c r="A70" i="22"/>
  <c r="C70" i="22"/>
  <c r="A71" i="22"/>
  <c r="C71" i="22"/>
  <c r="A72" i="22"/>
  <c r="C72" i="22"/>
  <c r="A73" i="22"/>
  <c r="C73" i="22"/>
  <c r="A74" i="22"/>
  <c r="C74" i="22"/>
  <c r="A75" i="22"/>
  <c r="C75" i="22"/>
  <c r="A76" i="22"/>
  <c r="C76" i="22"/>
  <c r="A77" i="22"/>
  <c r="C77" i="22"/>
  <c r="A78" i="22"/>
  <c r="C78" i="22"/>
  <c r="A79" i="22"/>
  <c r="C79" i="22"/>
  <c r="A81" i="22"/>
  <c r="C81" i="22"/>
  <c r="A82" i="22"/>
  <c r="C82" i="22"/>
  <c r="A83" i="22"/>
  <c r="C83" i="22"/>
  <c r="A84" i="22"/>
  <c r="C84" i="22"/>
  <c r="A85" i="22"/>
  <c r="C85" i="22"/>
  <c r="A86" i="22"/>
  <c r="C86" i="22"/>
  <c r="A87" i="22"/>
  <c r="C87" i="22"/>
  <c r="A88" i="22"/>
  <c r="C88" i="22"/>
  <c r="A89" i="22"/>
  <c r="C89" i="22"/>
  <c r="A90" i="22"/>
  <c r="C90" i="22"/>
  <c r="A91" i="22"/>
  <c r="C91" i="22"/>
  <c r="A92" i="22"/>
  <c r="C92" i="22"/>
  <c r="A93" i="22"/>
  <c r="C93" i="22"/>
  <c r="A94" i="22"/>
  <c r="C94" i="22"/>
  <c r="A95" i="22"/>
  <c r="C95" i="22"/>
  <c r="C4" i="22"/>
  <c r="A4" i="22"/>
  <c r="AF61" i="57" l="1"/>
  <c r="AF63" i="53"/>
  <c r="P49" i="69"/>
  <c r="AP49" i="69"/>
  <c r="AK64" i="57"/>
  <c r="AJ60" i="57"/>
  <c r="S94" i="22"/>
  <c r="H94" i="22"/>
  <c r="E94" i="22"/>
  <c r="V94" i="22"/>
  <c r="S90" i="22"/>
  <c r="E90" i="22"/>
  <c r="H90" i="22"/>
  <c r="V90" i="22"/>
  <c r="S82" i="22"/>
  <c r="H82" i="22"/>
  <c r="V82" i="22"/>
  <c r="E82" i="22"/>
  <c r="S77" i="22"/>
  <c r="V77" i="22"/>
  <c r="H77" i="22"/>
  <c r="E77" i="22"/>
  <c r="S73" i="22"/>
  <c r="H73" i="22"/>
  <c r="E73" i="22"/>
  <c r="V73" i="22"/>
  <c r="S69" i="22"/>
  <c r="V69" i="22"/>
  <c r="E69" i="22"/>
  <c r="H69" i="22"/>
  <c r="S65" i="22"/>
  <c r="H65" i="22"/>
  <c r="E65" i="22"/>
  <c r="V65" i="22"/>
  <c r="S61" i="22"/>
  <c r="H61" i="22"/>
  <c r="V61" i="22"/>
  <c r="E61" i="22"/>
  <c r="S58" i="22"/>
  <c r="E58" i="22"/>
  <c r="H58" i="22"/>
  <c r="V58" i="22"/>
  <c r="S53" i="22"/>
  <c r="E53" i="22"/>
  <c r="V53" i="22"/>
  <c r="H53" i="22"/>
  <c r="S49" i="22"/>
  <c r="H49" i="22"/>
  <c r="E49" i="22"/>
  <c r="V49" i="22"/>
  <c r="S45" i="22"/>
  <c r="V45" i="22"/>
  <c r="H45" i="22"/>
  <c r="E45" i="22"/>
  <c r="S40" i="22"/>
  <c r="E40" i="22"/>
  <c r="H40" i="22"/>
  <c r="V40" i="22"/>
  <c r="S35" i="22"/>
  <c r="E35" i="22"/>
  <c r="V35" i="22"/>
  <c r="H35" i="22"/>
  <c r="S31" i="22"/>
  <c r="E31" i="22"/>
  <c r="H31" i="22"/>
  <c r="V31" i="22"/>
  <c r="S27" i="22"/>
  <c r="E27" i="22"/>
  <c r="V27" i="22"/>
  <c r="H27" i="22"/>
  <c r="S23" i="22"/>
  <c r="H23" i="22"/>
  <c r="V23" i="22"/>
  <c r="E23" i="22"/>
  <c r="S19" i="22"/>
  <c r="E19" i="22"/>
  <c r="S15" i="22"/>
  <c r="V15" i="22"/>
  <c r="E15" i="22"/>
  <c r="H15" i="22"/>
  <c r="S11" i="22"/>
  <c r="H11" i="22"/>
  <c r="V11" i="22"/>
  <c r="E11" i="22"/>
  <c r="S7" i="22"/>
  <c r="V7" i="22"/>
  <c r="E7" i="22"/>
  <c r="S101" i="22"/>
  <c r="E101" i="22"/>
  <c r="V101" i="22"/>
  <c r="H101" i="22"/>
  <c r="S97" i="22"/>
  <c r="E97" i="22"/>
  <c r="AW100" i="22" s="1"/>
  <c r="V97" i="22"/>
  <c r="H97" i="22"/>
  <c r="S86" i="22"/>
  <c r="H86" i="22"/>
  <c r="E86" i="22"/>
  <c r="V86" i="22"/>
  <c r="S93" i="22"/>
  <c r="E93" i="22"/>
  <c r="H93" i="22"/>
  <c r="V93" i="22"/>
  <c r="S89" i="22"/>
  <c r="E89" i="22"/>
  <c r="V89" i="22"/>
  <c r="H89" i="22"/>
  <c r="S85" i="22"/>
  <c r="E85" i="22"/>
  <c r="V85" i="22"/>
  <c r="H85" i="22"/>
  <c r="S81" i="22"/>
  <c r="V81" i="22"/>
  <c r="H81" i="22"/>
  <c r="E81" i="22"/>
  <c r="S76" i="22"/>
  <c r="H76" i="22"/>
  <c r="E76" i="22"/>
  <c r="S72" i="22"/>
  <c r="E72" i="22"/>
  <c r="H72" i="22"/>
  <c r="S68" i="22"/>
  <c r="H68" i="22"/>
  <c r="E68" i="22"/>
  <c r="V68" i="22"/>
  <c r="S64" i="22"/>
  <c r="E64" i="22"/>
  <c r="V64" i="22"/>
  <c r="H64" i="22"/>
  <c r="S41" i="22"/>
  <c r="E41" i="22"/>
  <c r="V41" i="22"/>
  <c r="H41" i="22"/>
  <c r="S57" i="22"/>
  <c r="H57" i="22"/>
  <c r="E57" i="22"/>
  <c r="V57" i="22"/>
  <c r="S52" i="22"/>
  <c r="V52" i="22"/>
  <c r="E52" i="22"/>
  <c r="H52" i="22"/>
  <c r="S48" i="22"/>
  <c r="E48" i="22"/>
  <c r="H48" i="22"/>
  <c r="V48" i="22"/>
  <c r="S44" i="22"/>
  <c r="V44" i="22"/>
  <c r="E44" i="22"/>
  <c r="H44" i="22"/>
  <c r="S39" i="22"/>
  <c r="E39" i="22"/>
  <c r="V39" i="22"/>
  <c r="H39" i="22"/>
  <c r="S34" i="22"/>
  <c r="E34" i="22"/>
  <c r="H34" i="22"/>
  <c r="V34" i="22"/>
  <c r="S30" i="22"/>
  <c r="H30" i="22"/>
  <c r="E30" i="22"/>
  <c r="V30" i="22"/>
  <c r="S26" i="22"/>
  <c r="E26" i="22"/>
  <c r="H26" i="22"/>
  <c r="V26" i="22"/>
  <c r="S22" i="22"/>
  <c r="H22" i="22"/>
  <c r="E22" i="22"/>
  <c r="S18" i="22"/>
  <c r="V18" i="22"/>
  <c r="H18" i="22"/>
  <c r="E18" i="22"/>
  <c r="S14" i="22"/>
  <c r="H14" i="22"/>
  <c r="E14" i="22"/>
  <c r="V14" i="22"/>
  <c r="S10" i="22"/>
  <c r="V10" i="22"/>
  <c r="H10" i="22"/>
  <c r="E10" i="22"/>
  <c r="S6" i="22"/>
  <c r="H6" i="22"/>
  <c r="E6" i="22"/>
  <c r="V6" i="22"/>
  <c r="S100" i="22"/>
  <c r="V100" i="22"/>
  <c r="H100" i="22"/>
  <c r="E100" i="22"/>
  <c r="S96" i="22"/>
  <c r="E96" i="22"/>
  <c r="AW99" i="22" s="1"/>
  <c r="H96" i="22"/>
  <c r="V96" i="22"/>
  <c r="S4" i="22"/>
  <c r="E4" i="22"/>
  <c r="V4" i="22"/>
  <c r="H4" i="22"/>
  <c r="BG22" i="22"/>
  <c r="BG20" i="22"/>
  <c r="BG21" i="22"/>
  <c r="BG23" i="22"/>
  <c r="BG24" i="22"/>
  <c r="S88" i="22"/>
  <c r="V88" i="22"/>
  <c r="H88" i="22"/>
  <c r="E88" i="22"/>
  <c r="S84" i="22"/>
  <c r="H84" i="22"/>
  <c r="E84" i="22"/>
  <c r="V84" i="22"/>
  <c r="S79" i="22"/>
  <c r="V79" i="22"/>
  <c r="H79" i="22"/>
  <c r="E79" i="22"/>
  <c r="S75" i="22"/>
  <c r="V75" i="22"/>
  <c r="H75" i="22"/>
  <c r="E75" i="22"/>
  <c r="S71" i="22"/>
  <c r="H71" i="22"/>
  <c r="E71" i="22"/>
  <c r="V71" i="22"/>
  <c r="S67" i="22"/>
  <c r="V67" i="22"/>
  <c r="H67" i="22"/>
  <c r="E67" i="22"/>
  <c r="S63" i="22"/>
  <c r="H63" i="22"/>
  <c r="E63" i="22"/>
  <c r="AW150" i="22" s="1"/>
  <c r="V63" i="22"/>
  <c r="S60" i="22"/>
  <c r="E60" i="22"/>
  <c r="V60" i="22"/>
  <c r="H60" i="22"/>
  <c r="S56" i="22"/>
  <c r="E56" i="22"/>
  <c r="H56" i="22"/>
  <c r="V56" i="22"/>
  <c r="S51" i="22"/>
  <c r="V51" i="22"/>
  <c r="H51" i="22"/>
  <c r="E51" i="22"/>
  <c r="S47" i="22"/>
  <c r="V47" i="22"/>
  <c r="E47" i="22"/>
  <c r="H47" i="22"/>
  <c r="S43" i="22"/>
  <c r="H43" i="22"/>
  <c r="E43" i="22"/>
  <c r="V43" i="22"/>
  <c r="S37" i="22"/>
  <c r="V37" i="22"/>
  <c r="H37" i="22"/>
  <c r="E37" i="22"/>
  <c r="S33" i="22"/>
  <c r="E33" i="22"/>
  <c r="V33" i="22"/>
  <c r="H33" i="22"/>
  <c r="S29" i="22"/>
  <c r="H29" i="22"/>
  <c r="V29" i="22"/>
  <c r="E29" i="22"/>
  <c r="S25" i="22"/>
  <c r="E25" i="22"/>
  <c r="V25" i="22"/>
  <c r="H25" i="22"/>
  <c r="S21" i="22"/>
  <c r="H21" i="22"/>
  <c r="E21" i="22"/>
  <c r="V21" i="22"/>
  <c r="S17" i="22"/>
  <c r="H17" i="22"/>
  <c r="V17" i="22"/>
  <c r="E17" i="22"/>
  <c r="S13" i="22"/>
  <c r="H13" i="22"/>
  <c r="V13" i="22"/>
  <c r="E13" i="22"/>
  <c r="S9" i="22"/>
  <c r="H9" i="22"/>
  <c r="V9" i="22"/>
  <c r="E9" i="22"/>
  <c r="S5" i="22"/>
  <c r="H5" i="22"/>
  <c r="V5" i="22"/>
  <c r="E5" i="22"/>
  <c r="S99" i="22"/>
  <c r="E99" i="22"/>
  <c r="V99" i="22"/>
  <c r="H99" i="22"/>
  <c r="S92" i="22"/>
  <c r="V92" i="22"/>
  <c r="E92" i="22"/>
  <c r="S95" i="22"/>
  <c r="E95" i="22"/>
  <c r="V95" i="22"/>
  <c r="H95" i="22"/>
  <c r="S91" i="22"/>
  <c r="E91" i="22"/>
  <c r="V91" i="22"/>
  <c r="H91" i="22"/>
  <c r="S87" i="22"/>
  <c r="H87" i="22"/>
  <c r="V87" i="22"/>
  <c r="E87" i="22"/>
  <c r="S83" i="22"/>
  <c r="E83" i="22"/>
  <c r="V83" i="22"/>
  <c r="H83" i="22"/>
  <c r="S78" i="22"/>
  <c r="H78" i="22"/>
  <c r="E78" i="22"/>
  <c r="V78" i="22"/>
  <c r="S74" i="22"/>
  <c r="H74" i="22"/>
  <c r="V74" i="22"/>
  <c r="E74" i="22"/>
  <c r="S70" i="22"/>
  <c r="H70" i="22"/>
  <c r="E70" i="22"/>
  <c r="V70" i="22"/>
  <c r="S66" i="22"/>
  <c r="V66" i="22"/>
  <c r="E66" i="22"/>
  <c r="H66" i="22"/>
  <c r="S62" i="22"/>
  <c r="E62" i="22"/>
  <c r="V62" i="22"/>
  <c r="H62" i="22"/>
  <c r="S59" i="22"/>
  <c r="V59" i="22"/>
  <c r="H59" i="22"/>
  <c r="E59" i="22"/>
  <c r="S54" i="22"/>
  <c r="E54" i="22"/>
  <c r="H54" i="22"/>
  <c r="S50" i="22"/>
  <c r="E50" i="22"/>
  <c r="H50" i="22"/>
  <c r="V50" i="22"/>
  <c r="S46" i="22"/>
  <c r="E46" i="22"/>
  <c r="V46" i="22"/>
  <c r="H46" i="22"/>
  <c r="S42" i="22"/>
  <c r="E42" i="22"/>
  <c r="H42" i="22"/>
  <c r="V42" i="22"/>
  <c r="S36" i="22"/>
  <c r="V36" i="22"/>
  <c r="H36" i="22"/>
  <c r="E36" i="22"/>
  <c r="S32" i="22"/>
  <c r="E32" i="22"/>
  <c r="H32" i="22"/>
  <c r="V32" i="22"/>
  <c r="S28" i="22"/>
  <c r="V28" i="22"/>
  <c r="E28" i="22"/>
  <c r="H28" i="22"/>
  <c r="S24" i="22"/>
  <c r="H24" i="22"/>
  <c r="V24" i="22"/>
  <c r="E24" i="22"/>
  <c r="S20" i="22"/>
  <c r="E20" i="22"/>
  <c r="S16" i="22"/>
  <c r="V16" i="22"/>
  <c r="H16" i="22"/>
  <c r="E16" i="22"/>
  <c r="S12" i="22"/>
  <c r="E12" i="22"/>
  <c r="V12" i="22"/>
  <c r="H12" i="22"/>
  <c r="S8" i="22"/>
  <c r="H8" i="22"/>
  <c r="E8" i="22"/>
  <c r="V8" i="22"/>
  <c r="S102" i="22"/>
  <c r="E102" i="22"/>
  <c r="AW19" i="22" s="1"/>
  <c r="S98" i="22"/>
  <c r="E98" i="22"/>
  <c r="H98" i="22"/>
  <c r="V98" i="22"/>
  <c r="T94" i="22"/>
  <c r="G94" i="22"/>
  <c r="U94" i="22"/>
  <c r="T77" i="22"/>
  <c r="U77" i="22"/>
  <c r="J77" i="22"/>
  <c r="I77" i="22"/>
  <c r="G77" i="22"/>
  <c r="F77" i="22"/>
  <c r="F70" i="22"/>
  <c r="U70" i="22"/>
  <c r="T70" i="22"/>
  <c r="J70" i="22"/>
  <c r="I70" i="22"/>
  <c r="G70" i="22"/>
  <c r="U66" i="22"/>
  <c r="T66" i="22"/>
  <c r="J66" i="22"/>
  <c r="I66" i="22"/>
  <c r="G66" i="22"/>
  <c r="F66" i="22"/>
  <c r="F54" i="22"/>
  <c r="U54" i="22"/>
  <c r="I54" i="22"/>
  <c r="G54" i="22"/>
  <c r="J54" i="22"/>
  <c r="U50" i="22"/>
  <c r="I50" i="22"/>
  <c r="G50" i="22"/>
  <c r="T50" i="22"/>
  <c r="J50" i="22"/>
  <c r="F50" i="22"/>
  <c r="T46" i="22"/>
  <c r="U46" i="22"/>
  <c r="I46" i="22"/>
  <c r="G46" i="22"/>
  <c r="J46" i="22"/>
  <c r="F46" i="22"/>
  <c r="U42" i="22"/>
  <c r="J42" i="22"/>
  <c r="G42" i="22"/>
  <c r="F42" i="22"/>
  <c r="I42" i="22"/>
  <c r="I36" i="22"/>
  <c r="T36" i="22"/>
  <c r="U36" i="22"/>
  <c r="G36" i="22"/>
  <c r="F36" i="22"/>
  <c r="J36" i="22"/>
  <c r="U32" i="22"/>
  <c r="T32" i="22"/>
  <c r="I32" i="22"/>
  <c r="J32" i="22"/>
  <c r="G32" i="22"/>
  <c r="F32" i="22"/>
  <c r="U28" i="22"/>
  <c r="T28" i="22"/>
  <c r="G28" i="22"/>
  <c r="U24" i="22"/>
  <c r="T24" i="22"/>
  <c r="I24" i="22"/>
  <c r="J24" i="22"/>
  <c r="F24" i="22"/>
  <c r="G24" i="22"/>
  <c r="U20" i="22"/>
  <c r="G20" i="22"/>
  <c r="U16" i="22"/>
  <c r="G16" i="22"/>
  <c r="U12" i="22"/>
  <c r="I12" i="22"/>
  <c r="T12" i="22"/>
  <c r="G12" i="22"/>
  <c r="J12" i="22"/>
  <c r="F12" i="22"/>
  <c r="X102" i="22"/>
  <c r="G102" i="22"/>
  <c r="U102" i="22"/>
  <c r="F98" i="22"/>
  <c r="T98" i="22"/>
  <c r="U98" i="22"/>
  <c r="J98" i="22"/>
  <c r="I98" i="22"/>
  <c r="G98" i="22"/>
  <c r="U95" i="22"/>
  <c r="T95" i="22"/>
  <c r="J95" i="22"/>
  <c r="I95" i="22"/>
  <c r="G95" i="22"/>
  <c r="F95" i="22"/>
  <c r="T91" i="22"/>
  <c r="U91" i="22"/>
  <c r="G91" i="22"/>
  <c r="I91" i="22"/>
  <c r="F91" i="22"/>
  <c r="T87" i="22"/>
  <c r="G87" i="22"/>
  <c r="U87" i="22"/>
  <c r="F87" i="22"/>
  <c r="I87" i="22"/>
  <c r="BG17" i="22" s="1"/>
  <c r="J87" i="22"/>
  <c r="U83" i="22"/>
  <c r="I83" i="22"/>
  <c r="BG13" i="22" s="1"/>
  <c r="T83" i="22"/>
  <c r="J83" i="22"/>
  <c r="G83" i="22"/>
  <c r="F83" i="22"/>
  <c r="J78" i="22"/>
  <c r="I78" i="22"/>
  <c r="G78" i="22"/>
  <c r="T78" i="22"/>
  <c r="U78" i="22"/>
  <c r="F78" i="22"/>
  <c r="T75" i="22"/>
  <c r="J75" i="22"/>
  <c r="U75" i="22"/>
  <c r="I75" i="22"/>
  <c r="G75" i="22"/>
  <c r="F75" i="22"/>
  <c r="T71" i="22"/>
  <c r="G71" i="22"/>
  <c r="U71" i="22"/>
  <c r="I71" i="22"/>
  <c r="F71" i="22"/>
  <c r="J71" i="22"/>
  <c r="T67" i="22"/>
  <c r="U67" i="22"/>
  <c r="J67" i="22"/>
  <c r="F67" i="22"/>
  <c r="G67" i="22"/>
  <c r="I67" i="22"/>
  <c r="T63" i="22"/>
  <c r="U63" i="22"/>
  <c r="J63" i="22"/>
  <c r="I63" i="22"/>
  <c r="G63" i="22"/>
  <c r="F63" i="22"/>
  <c r="I60" i="22"/>
  <c r="J60" i="22"/>
  <c r="U60" i="22"/>
  <c r="T60" i="22"/>
  <c r="F60" i="22"/>
  <c r="G60" i="22"/>
  <c r="U56" i="22"/>
  <c r="J56" i="22"/>
  <c r="T56" i="22"/>
  <c r="F56" i="22"/>
  <c r="I56" i="22"/>
  <c r="G56" i="22"/>
  <c r="T51" i="22"/>
  <c r="U51" i="22"/>
  <c r="J51" i="22"/>
  <c r="F51" i="22"/>
  <c r="G51" i="22"/>
  <c r="I51" i="22"/>
  <c r="BG10" i="22" s="1"/>
  <c r="T47" i="22"/>
  <c r="U47" i="22"/>
  <c r="I47" i="22"/>
  <c r="J47" i="22"/>
  <c r="G47" i="22"/>
  <c r="F47" i="22"/>
  <c r="T43" i="22"/>
  <c r="J43" i="22"/>
  <c r="U43" i="22"/>
  <c r="F43" i="22"/>
  <c r="I43" i="22"/>
  <c r="G43" i="22"/>
  <c r="T37" i="22"/>
  <c r="U37" i="22"/>
  <c r="G37" i="22"/>
  <c r="J37" i="22"/>
  <c r="F37" i="22"/>
  <c r="I37" i="22"/>
  <c r="U33" i="22"/>
  <c r="T33" i="22"/>
  <c r="J33" i="22"/>
  <c r="I33" i="22"/>
  <c r="F33" i="22"/>
  <c r="G33" i="22"/>
  <c r="U29" i="22"/>
  <c r="T29" i="22"/>
  <c r="G29" i="22"/>
  <c r="U25" i="22"/>
  <c r="F25" i="22"/>
  <c r="I25" i="22"/>
  <c r="T25" i="22"/>
  <c r="J25" i="22"/>
  <c r="G25" i="22"/>
  <c r="T21" i="22"/>
  <c r="U21" i="22"/>
  <c r="G21" i="22"/>
  <c r="U17" i="22"/>
  <c r="I17" i="22"/>
  <c r="J17" i="22"/>
  <c r="G17" i="22"/>
  <c r="F17" i="22"/>
  <c r="T13" i="22"/>
  <c r="U13" i="22"/>
  <c r="J13" i="22"/>
  <c r="G13" i="22"/>
  <c r="I13" i="22"/>
  <c r="F13" i="22"/>
  <c r="U9" i="22"/>
  <c r="J9" i="22"/>
  <c r="I9" i="22"/>
  <c r="T9" i="22"/>
  <c r="F9" i="22"/>
  <c r="G9" i="22"/>
  <c r="J5" i="22"/>
  <c r="U5" i="22"/>
  <c r="F5" i="22"/>
  <c r="I5" i="22"/>
  <c r="T5" i="22"/>
  <c r="G5" i="22"/>
  <c r="T99" i="22"/>
  <c r="J99" i="22"/>
  <c r="U99" i="22"/>
  <c r="I99" i="22"/>
  <c r="G99" i="22"/>
  <c r="F99" i="22"/>
  <c r="F4" i="22"/>
  <c r="I4" i="22"/>
  <c r="U4" i="22"/>
  <c r="T4" i="22"/>
  <c r="J4" i="22"/>
  <c r="G4" i="22"/>
  <c r="K4" i="22"/>
  <c r="U86" i="22"/>
  <c r="J86" i="22"/>
  <c r="I86" i="22"/>
  <c r="BG16" i="22" s="1"/>
  <c r="G86" i="22"/>
  <c r="T86" i="22"/>
  <c r="F86" i="22"/>
  <c r="U74" i="22"/>
  <c r="T74" i="22"/>
  <c r="F74" i="22"/>
  <c r="J74" i="22"/>
  <c r="I74" i="22"/>
  <c r="G74" i="22"/>
  <c r="X8" i="22"/>
  <c r="T8" i="22"/>
  <c r="I8" i="22"/>
  <c r="U8" i="22"/>
  <c r="J8" i="22"/>
  <c r="F8" i="22"/>
  <c r="G8" i="22"/>
  <c r="T92" i="22"/>
  <c r="U92" i="22"/>
  <c r="G92" i="22"/>
  <c r="I92" i="22"/>
  <c r="F92" i="22"/>
  <c r="U88" i="22"/>
  <c r="T88" i="22"/>
  <c r="I88" i="22"/>
  <c r="J88" i="22"/>
  <c r="G88" i="22"/>
  <c r="F88" i="22"/>
  <c r="T84" i="22"/>
  <c r="I84" i="22"/>
  <c r="BG14" i="22" s="1"/>
  <c r="U84" i="22"/>
  <c r="G84" i="22"/>
  <c r="J84" i="22"/>
  <c r="F84" i="22"/>
  <c r="U79" i="22"/>
  <c r="J79" i="22"/>
  <c r="I79" i="22"/>
  <c r="T79" i="22"/>
  <c r="G79" i="22"/>
  <c r="F79" i="22"/>
  <c r="U76" i="22"/>
  <c r="G76" i="22"/>
  <c r="U72" i="22"/>
  <c r="I72" i="22"/>
  <c r="F72" i="22"/>
  <c r="J72" i="22"/>
  <c r="G72" i="22"/>
  <c r="U68" i="22"/>
  <c r="T68" i="22"/>
  <c r="G68" i="22"/>
  <c r="I68" i="22"/>
  <c r="F68" i="22"/>
  <c r="U64" i="22"/>
  <c r="I64" i="22"/>
  <c r="T64" i="22"/>
  <c r="J64" i="22"/>
  <c r="G64" i="22"/>
  <c r="F64" i="22"/>
  <c r="T41" i="22"/>
  <c r="I41" i="22"/>
  <c r="J41" i="22"/>
  <c r="U41" i="22"/>
  <c r="F41" i="22"/>
  <c r="G41" i="22"/>
  <c r="I57" i="22"/>
  <c r="BG11" i="22" s="1"/>
  <c r="T57" i="22"/>
  <c r="U57" i="22"/>
  <c r="G57" i="22"/>
  <c r="J57" i="22"/>
  <c r="F57" i="22"/>
  <c r="U52" i="22"/>
  <c r="G52" i="22"/>
  <c r="I52" i="22"/>
  <c r="F52" i="22"/>
  <c r="U44" i="22"/>
  <c r="T44" i="22"/>
  <c r="I44" i="22"/>
  <c r="G44" i="22"/>
  <c r="F44" i="22"/>
  <c r="J44" i="22"/>
  <c r="U39" i="22"/>
  <c r="G39" i="22"/>
  <c r="T39" i="22"/>
  <c r="J39" i="22"/>
  <c r="F39" i="22"/>
  <c r="I39" i="22"/>
  <c r="T34" i="22"/>
  <c r="I34" i="22"/>
  <c r="BG8" i="22" s="1"/>
  <c r="G34" i="22"/>
  <c r="U34" i="22"/>
  <c r="F34" i="22"/>
  <c r="J34" i="22"/>
  <c r="X30" i="22"/>
  <c r="I30" i="22"/>
  <c r="G30" i="22"/>
  <c r="U30" i="22"/>
  <c r="J30" i="22"/>
  <c r="T30" i="22"/>
  <c r="F30" i="22"/>
  <c r="U26" i="22"/>
  <c r="T26" i="22"/>
  <c r="J26" i="22"/>
  <c r="I26" i="22"/>
  <c r="BG7" i="22" s="1"/>
  <c r="G26" i="22"/>
  <c r="F26" i="22"/>
  <c r="U22" i="22"/>
  <c r="F22" i="22"/>
  <c r="J22" i="22"/>
  <c r="I22" i="22"/>
  <c r="G22" i="22"/>
  <c r="G18" i="22"/>
  <c r="U18" i="22"/>
  <c r="I18" i="22"/>
  <c r="BG5" i="22" s="1"/>
  <c r="F18" i="22"/>
  <c r="G14" i="22"/>
  <c r="T14" i="22"/>
  <c r="U14" i="22"/>
  <c r="U10" i="22"/>
  <c r="T10" i="22"/>
  <c r="J10" i="22"/>
  <c r="I10" i="22"/>
  <c r="G10" i="22"/>
  <c r="F10" i="22"/>
  <c r="T6" i="22"/>
  <c r="I6" i="22"/>
  <c r="U6" i="22"/>
  <c r="G6" i="22"/>
  <c r="F6" i="22"/>
  <c r="J6" i="22"/>
  <c r="U100" i="22"/>
  <c r="I100" i="22"/>
  <c r="T100" i="22"/>
  <c r="J100" i="22"/>
  <c r="G100" i="22"/>
  <c r="F100" i="22"/>
  <c r="U96" i="22"/>
  <c r="T96" i="22"/>
  <c r="G96" i="22"/>
  <c r="U90" i="22"/>
  <c r="T90" i="22"/>
  <c r="G90" i="22"/>
  <c r="I90" i="22"/>
  <c r="F90" i="22"/>
  <c r="T82" i="22"/>
  <c r="U82" i="22"/>
  <c r="G82" i="22"/>
  <c r="I82" i="22"/>
  <c r="BG12" i="22" s="1"/>
  <c r="F82" i="22"/>
  <c r="T62" i="22"/>
  <c r="J62" i="22"/>
  <c r="I62" i="22"/>
  <c r="G62" i="22"/>
  <c r="U62" i="22"/>
  <c r="F62" i="22"/>
  <c r="U59" i="22"/>
  <c r="J59" i="22"/>
  <c r="T59" i="22"/>
  <c r="I59" i="22"/>
  <c r="F59" i="22"/>
  <c r="G59" i="22"/>
  <c r="T93" i="22"/>
  <c r="J93" i="22"/>
  <c r="U93" i="22"/>
  <c r="G93" i="22"/>
  <c r="I93" i="22"/>
  <c r="F93" i="22"/>
  <c r="U89" i="22"/>
  <c r="I89" i="22"/>
  <c r="BG18" i="22" s="1"/>
  <c r="T89" i="22"/>
  <c r="F89" i="22"/>
  <c r="J89" i="22"/>
  <c r="G89" i="22"/>
  <c r="F85" i="22"/>
  <c r="I85" i="22"/>
  <c r="BG15" i="22" s="1"/>
  <c r="T85" i="22"/>
  <c r="U85" i="22"/>
  <c r="J85" i="22"/>
  <c r="G85" i="22"/>
  <c r="U81" i="22"/>
  <c r="I81" i="22"/>
  <c r="T81" i="22"/>
  <c r="J81" i="22"/>
  <c r="F81" i="22"/>
  <c r="G81" i="22"/>
  <c r="T73" i="22"/>
  <c r="U73" i="22"/>
  <c r="J73" i="22"/>
  <c r="I73" i="22"/>
  <c r="G73" i="22"/>
  <c r="F73" i="22"/>
  <c r="U69" i="22"/>
  <c r="T69" i="22"/>
  <c r="G69" i="22"/>
  <c r="I69" i="22"/>
  <c r="F69" i="22"/>
  <c r="U65" i="22"/>
  <c r="J65" i="22"/>
  <c r="F65" i="22"/>
  <c r="I65" i="22"/>
  <c r="T65" i="22"/>
  <c r="G65" i="22"/>
  <c r="U61" i="22"/>
  <c r="G61" i="22"/>
  <c r="I61" i="22"/>
  <c r="F61" i="22"/>
  <c r="U58" i="22"/>
  <c r="J58" i="22"/>
  <c r="T58" i="22"/>
  <c r="I58" i="22"/>
  <c r="G58" i="22"/>
  <c r="F58" i="22"/>
  <c r="U53" i="22"/>
  <c r="J53" i="22"/>
  <c r="T53" i="22"/>
  <c r="I53" i="22"/>
  <c r="F53" i="22"/>
  <c r="G53" i="22"/>
  <c r="U49" i="22"/>
  <c r="T49" i="22"/>
  <c r="I49" i="22"/>
  <c r="J49" i="22"/>
  <c r="F49" i="22"/>
  <c r="G49" i="22"/>
  <c r="U45" i="22"/>
  <c r="J45" i="22"/>
  <c r="F45" i="22"/>
  <c r="I45" i="22"/>
  <c r="T45" i="22"/>
  <c r="G45" i="22"/>
  <c r="J40" i="22"/>
  <c r="I40" i="22"/>
  <c r="BG9" i="22" s="1"/>
  <c r="U40" i="22"/>
  <c r="T40" i="22"/>
  <c r="G40" i="22"/>
  <c r="F40" i="22"/>
  <c r="T35" i="22"/>
  <c r="U35" i="22"/>
  <c r="G35" i="22"/>
  <c r="T31" i="22"/>
  <c r="U31" i="22"/>
  <c r="J31" i="22"/>
  <c r="I31" i="22"/>
  <c r="F31" i="22"/>
  <c r="G31" i="22"/>
  <c r="T27" i="22"/>
  <c r="J27" i="22"/>
  <c r="U27" i="22"/>
  <c r="G27" i="22"/>
  <c r="I27" i="22"/>
  <c r="F27" i="22"/>
  <c r="T23" i="22"/>
  <c r="J23" i="22"/>
  <c r="G23" i="22"/>
  <c r="U23" i="22"/>
  <c r="I23" i="22"/>
  <c r="F23" i="22"/>
  <c r="U19" i="22"/>
  <c r="G19" i="22"/>
  <c r="X15" i="22"/>
  <c r="U15" i="22"/>
  <c r="G15" i="22"/>
  <c r="T11" i="22"/>
  <c r="U11" i="22"/>
  <c r="G11" i="22"/>
  <c r="F11" i="22"/>
  <c r="J11" i="22"/>
  <c r="I11" i="22"/>
  <c r="T7" i="22"/>
  <c r="G7" i="22"/>
  <c r="U7" i="22"/>
  <c r="F7" i="22"/>
  <c r="I7" i="22"/>
  <c r="U101" i="22"/>
  <c r="G101" i="22"/>
  <c r="U97" i="22"/>
  <c r="T97" i="22"/>
  <c r="I97" i="22"/>
  <c r="J97" i="22"/>
  <c r="G97" i="22"/>
  <c r="F97" i="22"/>
  <c r="BC50" i="69"/>
  <c r="BE50" i="69"/>
  <c r="BF50" i="69"/>
  <c r="BD50" i="69"/>
  <c r="AH65" i="57"/>
  <c r="AI65" i="57" s="1"/>
  <c r="K65" i="57"/>
  <c r="AG46" i="69"/>
  <c r="AW48" i="69"/>
  <c r="AX48" i="69"/>
  <c r="L50" i="69"/>
  <c r="M50" i="69" s="1"/>
  <c r="AZ50" i="69"/>
  <c r="Y47" i="69"/>
  <c r="AB47" i="69" s="1"/>
  <c r="F48" i="69"/>
  <c r="G48" i="69" s="1"/>
  <c r="H48" i="69" s="1"/>
  <c r="I48" i="69" s="1"/>
  <c r="J48" i="69" s="1"/>
  <c r="K48" i="69" s="1"/>
  <c r="U48" i="69"/>
  <c r="AH48" i="69"/>
  <c r="U48" i="22"/>
  <c r="I48" i="22"/>
  <c r="T48" i="22"/>
  <c r="J48" i="22"/>
  <c r="G48" i="22"/>
  <c r="F48" i="22"/>
  <c r="X82" i="22"/>
  <c r="X70" i="22"/>
  <c r="X54" i="22"/>
  <c r="X46" i="22"/>
  <c r="X36" i="22"/>
  <c r="X12" i="22"/>
  <c r="X78" i="22"/>
  <c r="X75" i="22"/>
  <c r="X67" i="22"/>
  <c r="X60" i="22"/>
  <c r="X51" i="22"/>
  <c r="X43" i="22"/>
  <c r="X25" i="22"/>
  <c r="X17" i="22"/>
  <c r="X9" i="22"/>
  <c r="X99" i="22"/>
  <c r="X93" i="22"/>
  <c r="X92" i="22"/>
  <c r="X84" i="22"/>
  <c r="X72" i="22"/>
  <c r="X64" i="22"/>
  <c r="X57" i="22"/>
  <c r="X48" i="22"/>
  <c r="X39" i="22"/>
  <c r="X6" i="22"/>
  <c r="X89" i="22"/>
  <c r="X81" i="22"/>
  <c r="X69" i="22"/>
  <c r="X61" i="22"/>
  <c r="X53" i="22"/>
  <c r="X45" i="22"/>
  <c r="X35" i="22"/>
  <c r="X27" i="22"/>
  <c r="X19" i="22"/>
  <c r="X11" i="22"/>
  <c r="X101" i="22"/>
  <c r="X95" i="22"/>
  <c r="AW104" i="22"/>
  <c r="AW73" i="22"/>
  <c r="X86" i="22"/>
  <c r="X77" i="22"/>
  <c r="X74" i="22"/>
  <c r="X66" i="22"/>
  <c r="X59" i="22"/>
  <c r="X50" i="22"/>
  <c r="X42" i="22"/>
  <c r="X16" i="22"/>
  <c r="X98" i="22"/>
  <c r="X24" i="22"/>
  <c r="AK18" i="22"/>
  <c r="C52" i="36" s="1"/>
  <c r="AK35" i="22"/>
  <c r="C72" i="36" s="1"/>
  <c r="X91" i="22"/>
  <c r="X83" i="22"/>
  <c r="X71" i="22"/>
  <c r="X63" i="22"/>
  <c r="X56" i="22"/>
  <c r="X37" i="22"/>
  <c r="X29" i="22"/>
  <c r="X21" i="22"/>
  <c r="X13" i="22"/>
  <c r="X5" i="22"/>
  <c r="X94" i="22"/>
  <c r="X88" i="22"/>
  <c r="X79" i="22"/>
  <c r="X68" i="22"/>
  <c r="X41" i="22"/>
  <c r="X52" i="22"/>
  <c r="X44" i="22"/>
  <c r="X34" i="22"/>
  <c r="X26" i="22"/>
  <c r="X10" i="22"/>
  <c r="X100" i="22"/>
  <c r="X85" i="22"/>
  <c r="X73" i="22"/>
  <c r="X65" i="22"/>
  <c r="X58" i="22"/>
  <c r="X49" i="22"/>
  <c r="X40" i="22"/>
  <c r="X31" i="22"/>
  <c r="X23" i="22"/>
  <c r="X7" i="22"/>
  <c r="X97" i="22"/>
  <c r="AG64" i="57"/>
  <c r="X62" i="57"/>
  <c r="AB62" i="57" s="1"/>
  <c r="AC65" i="53"/>
  <c r="O65" i="53"/>
  <c r="Q49" i="69"/>
  <c r="AA61" i="57"/>
  <c r="AQ63" i="57"/>
  <c r="AC63" i="57"/>
  <c r="AD63" i="57"/>
  <c r="AE63" i="57"/>
  <c r="Q63" i="57"/>
  <c r="R63" i="57"/>
  <c r="N65" i="53"/>
  <c r="AA63" i="53"/>
  <c r="AW151" i="22"/>
  <c r="AW80" i="22"/>
  <c r="AW134" i="22"/>
  <c r="AF48" i="69"/>
  <c r="P65" i="57"/>
  <c r="AC46" i="69"/>
  <c r="AD46" i="69" s="1"/>
  <c r="O50" i="69"/>
  <c r="AO49" i="69"/>
  <c r="AE64" i="53"/>
  <c r="R64" i="53"/>
  <c r="X64" i="53" s="1"/>
  <c r="AB64" i="53" s="1"/>
  <c r="AK34" i="22"/>
  <c r="C73" i="36" s="1"/>
  <c r="AW71" i="22"/>
  <c r="AW70" i="22"/>
  <c r="AW66" i="22"/>
  <c r="AW62" i="22"/>
  <c r="AW69" i="22"/>
  <c r="AW65" i="22"/>
  <c r="AW72" i="22"/>
  <c r="AW68" i="22"/>
  <c r="AW64" i="22"/>
  <c r="AW67" i="22"/>
  <c r="AW63" i="22"/>
  <c r="AW24" i="22"/>
  <c r="D16" i="22"/>
  <c r="AW103" i="22"/>
  <c r="AY48" i="69"/>
  <c r="L65" i="57"/>
  <c r="AG64" i="53"/>
  <c r="Q64" i="53"/>
  <c r="AT64" i="53"/>
  <c r="N65" i="57"/>
  <c r="I65" i="53"/>
  <c r="AD64" i="53"/>
  <c r="AK64" i="52" a="1"/>
  <c r="AK64" i="52" s="1"/>
  <c r="B66" i="53" s="1"/>
  <c r="J65" i="53"/>
  <c r="E65" i="53"/>
  <c r="H65" i="53"/>
  <c r="G65" i="53"/>
  <c r="P65" i="53"/>
  <c r="D65" i="53"/>
  <c r="C65" i="53"/>
  <c r="K65" i="53"/>
  <c r="AH65" i="53" s="1"/>
  <c r="L65" i="53"/>
  <c r="F65" i="53"/>
  <c r="G65" i="57"/>
  <c r="C65" i="57"/>
  <c r="I65" i="57"/>
  <c r="H65" i="57"/>
  <c r="E65" i="57"/>
  <c r="D65" i="57"/>
  <c r="F65" i="57"/>
  <c r="J65" i="57"/>
  <c r="AW139" i="22"/>
  <c r="AW102" i="22"/>
  <c r="AW101" i="22"/>
  <c r="AK16" i="22"/>
  <c r="AK33" i="22"/>
  <c r="AN64" i="55" a="1"/>
  <c r="AN64" i="55" s="1"/>
  <c r="B66" i="57" s="1"/>
  <c r="O66" i="57" s="1"/>
  <c r="D49" i="69"/>
  <c r="E49" i="69" s="1"/>
  <c r="C50" i="69"/>
  <c r="AS50" i="67" a="1"/>
  <c r="AS50" i="67" s="1"/>
  <c r="B51" i="69"/>
  <c r="AM51" i="69" s="1"/>
  <c r="AN51" i="69" s="1"/>
  <c r="AE48" i="69"/>
  <c r="R48" i="69"/>
  <c r="S48" i="69" s="1"/>
  <c r="AK30" i="22"/>
  <c r="C68" i="36" s="1"/>
  <c r="AK32" i="22"/>
  <c r="C70" i="36" s="1"/>
  <c r="AK29" i="22"/>
  <c r="C67" i="36" s="1"/>
  <c r="AK31" i="22"/>
  <c r="C69" i="36" s="1"/>
  <c r="K100" i="22"/>
  <c r="K102" i="22"/>
  <c r="AW21" i="22"/>
  <c r="AW147" i="22"/>
  <c r="AW146" i="22"/>
  <c r="AW23" i="22"/>
  <c r="AW148" i="22"/>
  <c r="AW144" i="22"/>
  <c r="AW22" i="22"/>
  <c r="AW140" i="22"/>
  <c r="AW145" i="22"/>
  <c r="AW143" i="22"/>
  <c r="AW141" i="22"/>
  <c r="AW142" i="22"/>
  <c r="AW20" i="22"/>
  <c r="AK12" i="22"/>
  <c r="AK13" i="22"/>
  <c r="AK14" i="22"/>
  <c r="AK15" i="22"/>
  <c r="K99" i="22"/>
  <c r="W97" i="22"/>
  <c r="K97" i="22"/>
  <c r="W101" i="22"/>
  <c r="K101" i="22"/>
  <c r="W99" i="22"/>
  <c r="W102" i="22"/>
  <c r="W98" i="22"/>
  <c r="K98"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E89" i="28"/>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F62" i="57" l="1"/>
  <c r="AF64" i="53"/>
  <c r="P50" i="69"/>
  <c r="AP50" i="69"/>
  <c r="AK65" i="57"/>
  <c r="AJ61" i="57"/>
  <c r="BC51" i="69"/>
  <c r="BD51" i="69"/>
  <c r="BE51" i="69"/>
  <c r="BF51" i="69"/>
  <c r="AH66" i="57"/>
  <c r="AI66" i="57" s="1"/>
  <c r="K66" i="57"/>
  <c r="AX49" i="69"/>
  <c r="AW49" i="69"/>
  <c r="L51" i="69"/>
  <c r="M51" i="69" s="1"/>
  <c r="AZ51" i="69"/>
  <c r="Y48" i="69"/>
  <c r="AB48" i="69" s="1"/>
  <c r="AG47" i="69"/>
  <c r="F49" i="69"/>
  <c r="G49" i="69" s="1"/>
  <c r="H49" i="69" s="1"/>
  <c r="I49" i="69" s="1"/>
  <c r="J49" i="69" s="1"/>
  <c r="K49" i="69" s="1"/>
  <c r="U49" i="69"/>
  <c r="AH49" i="69"/>
  <c r="O11" i="46"/>
  <c r="AK17" i="22"/>
  <c r="C53" i="36" s="1"/>
  <c r="C92" i="36" s="1"/>
  <c r="AW105" i="22"/>
  <c r="AK26" i="22"/>
  <c r="AK9" i="22"/>
  <c r="X63" i="57"/>
  <c r="AB63" i="57" s="1"/>
  <c r="AG65" i="57"/>
  <c r="AC66" i="53"/>
  <c r="O66" i="53"/>
  <c r="Q50" i="69"/>
  <c r="AA62" i="57"/>
  <c r="AD64" i="57"/>
  <c r="AQ64" i="57"/>
  <c r="Q64" i="57"/>
  <c r="R64" i="57"/>
  <c r="AE64" i="57"/>
  <c r="AC64" i="57"/>
  <c r="N66" i="53"/>
  <c r="AA64" i="53"/>
  <c r="C71" i="36"/>
  <c r="C51" i="36"/>
  <c r="O11" i="71"/>
  <c r="AF49" i="69"/>
  <c r="P66" i="57"/>
  <c r="AC47" i="69"/>
  <c r="AD47" i="69" s="1"/>
  <c r="O51" i="69"/>
  <c r="AO50" i="69"/>
  <c r="O187" i="71"/>
  <c r="S187" i="71" s="1"/>
  <c r="O91" i="71"/>
  <c r="S91" i="71" s="1"/>
  <c r="O75" i="71"/>
  <c r="S75" i="71" s="1"/>
  <c r="O59" i="71"/>
  <c r="S59" i="71" s="1"/>
  <c r="O43" i="71"/>
  <c r="S43" i="71" s="1"/>
  <c r="O27" i="71"/>
  <c r="S27" i="71" s="1"/>
  <c r="O147" i="71"/>
  <c r="S147" i="71" s="1"/>
  <c r="O114" i="71"/>
  <c r="S114" i="71" s="1"/>
  <c r="O154" i="71"/>
  <c r="S154" i="71" s="1"/>
  <c r="O106" i="71"/>
  <c r="S106" i="71" s="1"/>
  <c r="O252" i="71"/>
  <c r="S252" i="71" s="1"/>
  <c r="O220" i="71"/>
  <c r="S220" i="71" s="1"/>
  <c r="O188" i="71"/>
  <c r="S188" i="71" s="1"/>
  <c r="O88" i="71"/>
  <c r="S88" i="71" s="1"/>
  <c r="O72" i="71"/>
  <c r="S72" i="71" s="1"/>
  <c r="O56" i="71"/>
  <c r="S56" i="71" s="1"/>
  <c r="O40" i="71"/>
  <c r="S40" i="71" s="1"/>
  <c r="O24" i="71"/>
  <c r="S24" i="71" s="1"/>
  <c r="O248" i="71"/>
  <c r="S248" i="71" s="1"/>
  <c r="O216" i="71"/>
  <c r="S216" i="71" s="1"/>
  <c r="O184" i="71"/>
  <c r="S184" i="71" s="1"/>
  <c r="O152" i="71"/>
  <c r="S152" i="71" s="1"/>
  <c r="O104" i="71"/>
  <c r="S104" i="71" s="1"/>
  <c r="O251" i="71"/>
  <c r="S251" i="71" s="1"/>
  <c r="O219" i="71"/>
  <c r="S219" i="71" s="1"/>
  <c r="O159" i="71"/>
  <c r="S159" i="71" s="1"/>
  <c r="O127" i="71"/>
  <c r="S127" i="71" s="1"/>
  <c r="O111" i="71"/>
  <c r="S111" i="71" s="1"/>
  <c r="O247" i="71"/>
  <c r="S247" i="71" s="1"/>
  <c r="O215" i="71"/>
  <c r="S215" i="71" s="1"/>
  <c r="O183" i="71"/>
  <c r="S183" i="71" s="1"/>
  <c r="O13" i="71"/>
  <c r="O230" i="71"/>
  <c r="S230" i="71" s="1"/>
  <c r="O198" i="71"/>
  <c r="S198" i="71" s="1"/>
  <c r="O166" i="71"/>
  <c r="S166" i="71" s="1"/>
  <c r="O134" i="71"/>
  <c r="S134" i="71" s="1"/>
  <c r="O94" i="71"/>
  <c r="S94" i="71" s="1"/>
  <c r="O78" i="71"/>
  <c r="S78" i="71" s="1"/>
  <c r="O62" i="71"/>
  <c r="S62" i="71" s="1"/>
  <c r="O46" i="71"/>
  <c r="S46" i="71" s="1"/>
  <c r="O30" i="71"/>
  <c r="S30" i="71" s="1"/>
  <c r="O250" i="71"/>
  <c r="S250" i="71" s="1"/>
  <c r="O218" i="71"/>
  <c r="S218" i="71" s="1"/>
  <c r="O190" i="71"/>
  <c r="S190" i="71" s="1"/>
  <c r="O233" i="71"/>
  <c r="S233" i="71" s="1"/>
  <c r="O201" i="71"/>
  <c r="S201" i="71" s="1"/>
  <c r="O169" i="71"/>
  <c r="S169" i="71" s="1"/>
  <c r="O141" i="71"/>
  <c r="S141" i="71" s="1"/>
  <c r="O117" i="71"/>
  <c r="S117" i="71" s="1"/>
  <c r="O97" i="71"/>
  <c r="S97" i="71" s="1"/>
  <c r="O81" i="71"/>
  <c r="S81" i="71" s="1"/>
  <c r="O65" i="71"/>
  <c r="S65" i="71" s="1"/>
  <c r="O49" i="71"/>
  <c r="S49" i="71" s="1"/>
  <c r="O33" i="71"/>
  <c r="S33" i="71" s="1"/>
  <c r="O17" i="71"/>
  <c r="O229" i="71"/>
  <c r="S229" i="71" s="1"/>
  <c r="O197" i="71"/>
  <c r="S197" i="71" s="1"/>
  <c r="O161" i="71"/>
  <c r="S161" i="71" s="1"/>
  <c r="O129" i="71"/>
  <c r="S129" i="71" s="1"/>
  <c r="O148" i="71"/>
  <c r="S148" i="71" s="1"/>
  <c r="O100" i="71"/>
  <c r="S100" i="71" s="1"/>
  <c r="O84" i="71"/>
  <c r="S84" i="71" s="1"/>
  <c r="O68" i="71"/>
  <c r="S68" i="71" s="1"/>
  <c r="O52" i="71"/>
  <c r="S52" i="71" s="1"/>
  <c r="O36" i="71"/>
  <c r="S36" i="71" s="1"/>
  <c r="O20" i="71"/>
  <c r="S20" i="71" s="1"/>
  <c r="O12" i="71"/>
  <c r="O179" i="71"/>
  <c r="S179" i="71" s="1"/>
  <c r="O123" i="71"/>
  <c r="S123" i="71" s="1"/>
  <c r="O139" i="71"/>
  <c r="S139" i="71" s="1"/>
  <c r="O90" i="71"/>
  <c r="S90" i="71" s="1"/>
  <c r="O74" i="71"/>
  <c r="S74" i="71" s="1"/>
  <c r="O58" i="71"/>
  <c r="S58" i="71" s="1"/>
  <c r="O42" i="71"/>
  <c r="S42" i="71" s="1"/>
  <c r="O26" i="71"/>
  <c r="S26" i="71" s="1"/>
  <c r="O146" i="71"/>
  <c r="S146" i="71" s="1"/>
  <c r="O244" i="71"/>
  <c r="S244" i="71" s="1"/>
  <c r="O212" i="71"/>
  <c r="S212" i="71" s="1"/>
  <c r="O180" i="71"/>
  <c r="S180" i="71" s="1"/>
  <c r="O120" i="71"/>
  <c r="S120" i="71" s="1"/>
  <c r="O240" i="71"/>
  <c r="S240" i="71" s="1"/>
  <c r="O208" i="71"/>
  <c r="S208" i="71" s="1"/>
  <c r="O176" i="71"/>
  <c r="S176" i="71" s="1"/>
  <c r="O144" i="71"/>
  <c r="S144" i="71" s="1"/>
  <c r="O243" i="71"/>
  <c r="S243" i="71" s="1"/>
  <c r="O211" i="71"/>
  <c r="S211" i="71" s="1"/>
  <c r="O151" i="71"/>
  <c r="S151" i="71" s="1"/>
  <c r="O103" i="71"/>
  <c r="S103" i="71" s="1"/>
  <c r="O87" i="71"/>
  <c r="S87" i="71" s="1"/>
  <c r="O71" i="71"/>
  <c r="S71" i="71" s="1"/>
  <c r="O55" i="71"/>
  <c r="S55" i="71" s="1"/>
  <c r="O39" i="71"/>
  <c r="S39" i="71" s="1"/>
  <c r="O23" i="71"/>
  <c r="S23" i="71" s="1"/>
  <c r="O239" i="71"/>
  <c r="S239" i="71" s="1"/>
  <c r="O207" i="71"/>
  <c r="S207" i="71" s="1"/>
  <c r="O175" i="71"/>
  <c r="S175" i="71" s="1"/>
  <c r="O254" i="71"/>
  <c r="S254" i="71" s="1"/>
  <c r="O222" i="71"/>
  <c r="S222" i="71" s="1"/>
  <c r="O186" i="71"/>
  <c r="S186" i="71" s="1"/>
  <c r="O158" i="71"/>
  <c r="S158" i="71" s="1"/>
  <c r="O126" i="71"/>
  <c r="S126" i="71" s="1"/>
  <c r="O110" i="71"/>
  <c r="S110" i="71" s="1"/>
  <c r="O242" i="71"/>
  <c r="S242" i="71" s="1"/>
  <c r="O210" i="71"/>
  <c r="S210" i="71" s="1"/>
  <c r="O182" i="71"/>
  <c r="S182" i="71" s="1"/>
  <c r="O14" i="71"/>
  <c r="O225" i="71"/>
  <c r="S225" i="71" s="1"/>
  <c r="O193" i="71"/>
  <c r="S193" i="71" s="1"/>
  <c r="O165" i="71"/>
  <c r="S165" i="71" s="1"/>
  <c r="O133" i="71"/>
  <c r="S133" i="71" s="1"/>
  <c r="O113" i="71"/>
  <c r="S113" i="71" s="1"/>
  <c r="O93" i="71"/>
  <c r="S93" i="71" s="1"/>
  <c r="O77" i="71"/>
  <c r="S77" i="71" s="1"/>
  <c r="O61" i="71"/>
  <c r="S61" i="71" s="1"/>
  <c r="O45" i="71"/>
  <c r="S45" i="71" s="1"/>
  <c r="O29" i="71"/>
  <c r="S29" i="71" s="1"/>
  <c r="O253" i="71"/>
  <c r="S253" i="71" s="1"/>
  <c r="O221" i="71"/>
  <c r="S221" i="71" s="1"/>
  <c r="O189" i="71"/>
  <c r="S189" i="71" s="1"/>
  <c r="O153" i="71"/>
  <c r="S153" i="71" s="1"/>
  <c r="O105" i="71"/>
  <c r="S105" i="71" s="1"/>
  <c r="O172" i="71"/>
  <c r="S172" i="71" s="1"/>
  <c r="O140" i="71"/>
  <c r="S140" i="71" s="1"/>
  <c r="O116" i="71"/>
  <c r="S116" i="71" s="1"/>
  <c r="O203" i="71"/>
  <c r="S203" i="71" s="1"/>
  <c r="O171" i="71"/>
  <c r="S171" i="71" s="1"/>
  <c r="O99" i="71"/>
  <c r="S99" i="71" s="1"/>
  <c r="O83" i="71"/>
  <c r="S83" i="71" s="1"/>
  <c r="O67" i="71"/>
  <c r="S67" i="71" s="1"/>
  <c r="O51" i="71"/>
  <c r="S51" i="71" s="1"/>
  <c r="O35" i="71"/>
  <c r="S35" i="71" s="1"/>
  <c r="O19" i="71"/>
  <c r="O163" i="71"/>
  <c r="S163" i="71" s="1"/>
  <c r="O131" i="71"/>
  <c r="S131" i="71" s="1"/>
  <c r="O122" i="71"/>
  <c r="S122" i="71" s="1"/>
  <c r="O138" i="71"/>
  <c r="S138" i="71" s="1"/>
  <c r="O236" i="71"/>
  <c r="S236" i="71" s="1"/>
  <c r="O204" i="71"/>
  <c r="S204" i="71" s="1"/>
  <c r="O96" i="71"/>
  <c r="S96" i="71" s="1"/>
  <c r="O80" i="71"/>
  <c r="S80" i="71" s="1"/>
  <c r="O64" i="71"/>
  <c r="S64" i="71" s="1"/>
  <c r="O48" i="71"/>
  <c r="S48" i="71" s="1"/>
  <c r="O32" i="71"/>
  <c r="S32" i="71" s="1"/>
  <c r="O16" i="71"/>
  <c r="S16" i="71" s="1"/>
  <c r="O232" i="71"/>
  <c r="S232" i="71" s="1"/>
  <c r="O200" i="71"/>
  <c r="S200" i="71" s="1"/>
  <c r="O168" i="71"/>
  <c r="S168" i="71" s="1"/>
  <c r="O136" i="71"/>
  <c r="S136" i="71" s="1"/>
  <c r="O235" i="71"/>
  <c r="S235" i="71" s="1"/>
  <c r="O143" i="71"/>
  <c r="S143" i="71" s="1"/>
  <c r="O119" i="71"/>
  <c r="S119" i="71" s="1"/>
  <c r="O231" i="71"/>
  <c r="S231" i="71" s="1"/>
  <c r="O199" i="71"/>
  <c r="S199" i="71" s="1"/>
  <c r="O246" i="71"/>
  <c r="S246" i="71" s="1"/>
  <c r="O214" i="71"/>
  <c r="S214" i="71" s="1"/>
  <c r="O178" i="71"/>
  <c r="S178" i="71" s="1"/>
  <c r="O150" i="71"/>
  <c r="S150" i="71" s="1"/>
  <c r="O102" i="71"/>
  <c r="S102" i="71" s="1"/>
  <c r="O86" i="71"/>
  <c r="S86" i="71" s="1"/>
  <c r="O70" i="71"/>
  <c r="S70" i="71" s="1"/>
  <c r="O54" i="71"/>
  <c r="S54" i="71" s="1"/>
  <c r="O38" i="71"/>
  <c r="S38" i="71" s="1"/>
  <c r="O22" i="71"/>
  <c r="S22" i="71" s="1"/>
  <c r="O234" i="71"/>
  <c r="S234" i="71" s="1"/>
  <c r="O202" i="71"/>
  <c r="S202" i="71" s="1"/>
  <c r="O174" i="71"/>
  <c r="S174" i="71" s="1"/>
  <c r="O249" i="71"/>
  <c r="S249" i="71" s="1"/>
  <c r="O217" i="71"/>
  <c r="S217" i="71" s="1"/>
  <c r="O185" i="71"/>
  <c r="S185" i="71" s="1"/>
  <c r="O157" i="71"/>
  <c r="S157" i="71" s="1"/>
  <c r="O125" i="71"/>
  <c r="S125" i="71" s="1"/>
  <c r="O109" i="71"/>
  <c r="S109" i="71" s="1"/>
  <c r="O89" i="71"/>
  <c r="S89" i="71" s="1"/>
  <c r="O73" i="71"/>
  <c r="S73" i="71" s="1"/>
  <c r="O57" i="71"/>
  <c r="S57" i="71" s="1"/>
  <c r="O41" i="71"/>
  <c r="S41" i="71" s="1"/>
  <c r="O25" i="71"/>
  <c r="S25" i="71" s="1"/>
  <c r="O245" i="71"/>
  <c r="S245" i="71" s="1"/>
  <c r="O213" i="71"/>
  <c r="S213" i="71" s="1"/>
  <c r="O181" i="71"/>
  <c r="S181" i="71" s="1"/>
  <c r="O145" i="71"/>
  <c r="S145" i="71" s="1"/>
  <c r="O164" i="71"/>
  <c r="S164" i="71" s="1"/>
  <c r="O132" i="71"/>
  <c r="S132" i="71" s="1"/>
  <c r="O92" i="71"/>
  <c r="S92" i="71" s="1"/>
  <c r="O76" i="71"/>
  <c r="S76" i="71" s="1"/>
  <c r="O60" i="71"/>
  <c r="S60" i="71" s="1"/>
  <c r="O44" i="71"/>
  <c r="S44" i="71" s="1"/>
  <c r="O28" i="71"/>
  <c r="S28" i="71" s="1"/>
  <c r="O195" i="71"/>
  <c r="S195" i="71" s="1"/>
  <c r="O115" i="71"/>
  <c r="S115" i="71" s="1"/>
  <c r="O155" i="71"/>
  <c r="S155" i="71" s="1"/>
  <c r="O107" i="71"/>
  <c r="S107" i="71" s="1"/>
  <c r="O170" i="71"/>
  <c r="S170" i="71" s="1"/>
  <c r="O98" i="71"/>
  <c r="S98" i="71" s="1"/>
  <c r="O82" i="71"/>
  <c r="S82" i="71" s="1"/>
  <c r="O66" i="71"/>
  <c r="S66" i="71" s="1"/>
  <c r="O50" i="71"/>
  <c r="S50" i="71" s="1"/>
  <c r="O34" i="71"/>
  <c r="S34" i="71" s="1"/>
  <c r="O18" i="71"/>
  <c r="O162" i="71"/>
  <c r="S162" i="71" s="1"/>
  <c r="O130" i="71"/>
  <c r="S130" i="71" s="1"/>
  <c r="O15" i="71"/>
  <c r="O228" i="71"/>
  <c r="S228" i="71" s="1"/>
  <c r="O196" i="71"/>
  <c r="S196" i="71" s="1"/>
  <c r="O112" i="71"/>
  <c r="S112" i="71" s="1"/>
  <c r="O256" i="71"/>
  <c r="S256" i="71" s="1"/>
  <c r="O224" i="71"/>
  <c r="S224" i="71" s="1"/>
  <c r="O192" i="71"/>
  <c r="S192" i="71" s="1"/>
  <c r="O160" i="71"/>
  <c r="S160" i="71" s="1"/>
  <c r="O128" i="71"/>
  <c r="S128" i="71" s="1"/>
  <c r="O227" i="71"/>
  <c r="S227" i="71" s="1"/>
  <c r="O167" i="71"/>
  <c r="S167" i="71" s="1"/>
  <c r="O135" i="71"/>
  <c r="S135" i="71" s="1"/>
  <c r="O95" i="71"/>
  <c r="S95" i="71" s="1"/>
  <c r="O79" i="71"/>
  <c r="S79" i="71" s="1"/>
  <c r="O63" i="71"/>
  <c r="S63" i="71" s="1"/>
  <c r="O47" i="71"/>
  <c r="S47" i="71" s="1"/>
  <c r="O31" i="71"/>
  <c r="S31" i="71" s="1"/>
  <c r="O255" i="71"/>
  <c r="S255" i="71" s="1"/>
  <c r="O223" i="71"/>
  <c r="S223" i="71" s="1"/>
  <c r="O191" i="71"/>
  <c r="S191" i="71" s="1"/>
  <c r="O238" i="71"/>
  <c r="S238" i="71" s="1"/>
  <c r="O206" i="71"/>
  <c r="S206" i="71" s="1"/>
  <c r="O142" i="71"/>
  <c r="S142" i="71" s="1"/>
  <c r="O118" i="71"/>
  <c r="S118" i="71" s="1"/>
  <c r="O226" i="71"/>
  <c r="S226" i="71" s="1"/>
  <c r="O194" i="71"/>
  <c r="S194" i="71" s="1"/>
  <c r="O241" i="71"/>
  <c r="S241" i="71" s="1"/>
  <c r="O209" i="71"/>
  <c r="S209" i="71" s="1"/>
  <c r="O177" i="71"/>
  <c r="S177" i="71" s="1"/>
  <c r="O149" i="71"/>
  <c r="S149" i="71" s="1"/>
  <c r="O121" i="71"/>
  <c r="S121" i="71" s="1"/>
  <c r="O101" i="71"/>
  <c r="S101" i="71" s="1"/>
  <c r="O85" i="71"/>
  <c r="S85" i="71" s="1"/>
  <c r="O69" i="71"/>
  <c r="S69" i="71" s="1"/>
  <c r="O53" i="71"/>
  <c r="S53" i="71" s="1"/>
  <c r="O37" i="71"/>
  <c r="S37" i="71" s="1"/>
  <c r="O21" i="71"/>
  <c r="S21" i="71" s="1"/>
  <c r="O237" i="71"/>
  <c r="S237" i="71" s="1"/>
  <c r="O205" i="71"/>
  <c r="S205" i="71" s="1"/>
  <c r="O173" i="71"/>
  <c r="S173" i="71" s="1"/>
  <c r="O137" i="71"/>
  <c r="S137" i="71" s="1"/>
  <c r="O156" i="71"/>
  <c r="S156" i="71" s="1"/>
  <c r="O124" i="71"/>
  <c r="S124" i="71" s="1"/>
  <c r="O108" i="71"/>
  <c r="S108" i="71" s="1"/>
  <c r="AE65" i="53"/>
  <c r="R65" i="53"/>
  <c r="X65" i="53" s="1"/>
  <c r="AB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T65" i="53"/>
  <c r="N66" i="57"/>
  <c r="P66" i="53"/>
  <c r="AD65" i="53"/>
  <c r="Q65" i="53"/>
  <c r="G66" i="53"/>
  <c r="I66" i="53"/>
  <c r="AK65" i="52" a="1"/>
  <c r="AK65" i="52" s="1"/>
  <c r="B67" i="53" s="1"/>
  <c r="C66" i="53"/>
  <c r="F66" i="53"/>
  <c r="H66" i="53"/>
  <c r="L66" i="53"/>
  <c r="E66" i="53"/>
  <c r="K66" i="53"/>
  <c r="AH66" i="53" s="1"/>
  <c r="J66" i="53"/>
  <c r="D66" i="53"/>
  <c r="E66" i="57"/>
  <c r="J66" i="57"/>
  <c r="H66" i="57"/>
  <c r="D66" i="57"/>
  <c r="F66" i="57"/>
  <c r="I66" i="57"/>
  <c r="C66" i="57"/>
  <c r="G66" i="57"/>
  <c r="AN65" i="55" a="1"/>
  <c r="AN65" i="55" s="1"/>
  <c r="B67" i="57" s="1"/>
  <c r="O67" i="57" s="1"/>
  <c r="C51" i="69"/>
  <c r="AS51" i="67" a="1"/>
  <c r="AS51" i="67" s="1"/>
  <c r="B52" i="69"/>
  <c r="AM52" i="69" s="1"/>
  <c r="AN52" i="69" s="1"/>
  <c r="D50" i="69"/>
  <c r="E50" i="69" s="1"/>
  <c r="R49" i="69"/>
  <c r="S49" i="69" s="1"/>
  <c r="AE49" i="69"/>
  <c r="C18" i="28"/>
  <c r="E5" i="28"/>
  <c r="C9" i="28"/>
  <c r="C5" i="28"/>
  <c r="O106" i="46"/>
  <c r="O90" i="46"/>
  <c r="O74" i="46"/>
  <c r="O58" i="46"/>
  <c r="O251" i="46"/>
  <c r="O217" i="46"/>
  <c r="O185" i="46"/>
  <c r="O153" i="46"/>
  <c r="O121" i="46"/>
  <c r="O71" i="46"/>
  <c r="O26" i="46"/>
  <c r="O253" i="46"/>
  <c r="O214" i="46"/>
  <c r="O182" i="46"/>
  <c r="O150" i="46"/>
  <c r="O118" i="46"/>
  <c r="O73" i="46"/>
  <c r="O23" i="46"/>
  <c r="S23" i="46" s="1"/>
  <c r="O236" i="46"/>
  <c r="O173" i="46"/>
  <c r="S173" i="46" s="1"/>
  <c r="O109" i="46"/>
  <c r="O14" i="46"/>
  <c r="O197" i="46"/>
  <c r="O159" i="46"/>
  <c r="O85" i="46"/>
  <c r="O215" i="46"/>
  <c r="O151" i="46"/>
  <c r="O61" i="46"/>
  <c r="O160" i="46"/>
  <c r="O22" i="46"/>
  <c r="S22" i="46" s="1"/>
  <c r="O175" i="46"/>
  <c r="O104" i="46"/>
  <c r="O88" i="46"/>
  <c r="O72" i="46"/>
  <c r="O56" i="46"/>
  <c r="O248" i="46"/>
  <c r="O212" i="46"/>
  <c r="O180" i="46"/>
  <c r="O148" i="46"/>
  <c r="O116" i="46"/>
  <c r="O63" i="46"/>
  <c r="O21" i="46"/>
  <c r="O250" i="46"/>
  <c r="O211" i="46"/>
  <c r="O179" i="46"/>
  <c r="O147" i="46"/>
  <c r="O115" i="46"/>
  <c r="O65" i="46"/>
  <c r="O20" i="46"/>
  <c r="O226" i="46"/>
  <c r="O168" i="46"/>
  <c r="O99" i="46"/>
  <c r="O181" i="46"/>
  <c r="O154" i="46"/>
  <c r="O16" i="46"/>
  <c r="R16" i="46" s="1"/>
  <c r="V16" i="46" s="1"/>
  <c r="O210" i="46"/>
  <c r="O146" i="46"/>
  <c r="O45" i="46"/>
  <c r="O149" i="46"/>
  <c r="O17" i="46"/>
  <c r="O170" i="46"/>
  <c r="O102" i="46"/>
  <c r="O86" i="46"/>
  <c r="O70" i="46"/>
  <c r="O54" i="46"/>
  <c r="O243" i="46"/>
  <c r="O209" i="46"/>
  <c r="O177" i="46"/>
  <c r="O100" i="46"/>
  <c r="O84" i="46"/>
  <c r="O68" i="46"/>
  <c r="O52" i="46"/>
  <c r="O240" i="46"/>
  <c r="O204" i="46"/>
  <c r="O172" i="46"/>
  <c r="O140" i="46"/>
  <c r="O108" i="46"/>
  <c r="O47" i="46"/>
  <c r="O13" i="46"/>
  <c r="O242" i="46"/>
  <c r="O203" i="46"/>
  <c r="O171" i="46"/>
  <c r="O139" i="46"/>
  <c r="O107" i="46"/>
  <c r="O49" i="46"/>
  <c r="O12" i="46"/>
  <c r="O216" i="46"/>
  <c r="O152" i="46"/>
  <c r="O67" i="46"/>
  <c r="O133" i="46"/>
  <c r="O254" i="46"/>
  <c r="O138" i="46"/>
  <c r="O194" i="46"/>
  <c r="O130" i="46"/>
  <c r="O35" i="46"/>
  <c r="O239" i="46"/>
  <c r="O117" i="46"/>
  <c r="O238" i="46"/>
  <c r="O53" i="46"/>
  <c r="O229" i="46"/>
  <c r="O94" i="46"/>
  <c r="O78" i="46"/>
  <c r="O62" i="46"/>
  <c r="O46" i="46"/>
  <c r="O225" i="46"/>
  <c r="O193" i="46"/>
  <c r="O161" i="46"/>
  <c r="O129" i="46"/>
  <c r="O87" i="46"/>
  <c r="O34" i="46"/>
  <c r="O227" i="46"/>
  <c r="O92" i="46"/>
  <c r="O76" i="46"/>
  <c r="O60" i="46"/>
  <c r="O44" i="46"/>
  <c r="O256" i="46"/>
  <c r="O220" i="46"/>
  <c r="O188" i="46"/>
  <c r="O156" i="46"/>
  <c r="O124" i="46"/>
  <c r="O79" i="46"/>
  <c r="O29" i="46"/>
  <c r="O219" i="46"/>
  <c r="O187" i="46"/>
  <c r="O155" i="46"/>
  <c r="O123" i="46"/>
  <c r="O81" i="46"/>
  <c r="O28" i="46"/>
  <c r="O247" i="46"/>
  <c r="O184" i="46"/>
  <c r="O120" i="46"/>
  <c r="O25" i="46"/>
  <c r="S25" i="46" s="1"/>
  <c r="O224" i="46"/>
  <c r="O33" i="46"/>
  <c r="O202" i="46"/>
  <c r="O101" i="46"/>
  <c r="O241" i="46"/>
  <c r="O162" i="46"/>
  <c r="O77" i="46"/>
  <c r="O165" i="46"/>
  <c r="O38" i="46"/>
  <c r="S38" i="46" s="1"/>
  <c r="O186" i="46"/>
  <c r="O66" i="46"/>
  <c r="O169" i="46"/>
  <c r="O55" i="46"/>
  <c r="O198" i="46"/>
  <c r="O134" i="46"/>
  <c r="O39" i="46"/>
  <c r="O205" i="46"/>
  <c r="O51" i="46"/>
  <c r="O128" i="46"/>
  <c r="O127" i="46"/>
  <c r="O183" i="46"/>
  <c r="O24" i="46"/>
  <c r="S24" i="46" s="1"/>
  <c r="O112" i="46"/>
  <c r="O32" i="46"/>
  <c r="O64" i="46"/>
  <c r="O164" i="46"/>
  <c r="O42" i="46"/>
  <c r="O195" i="46"/>
  <c r="O131" i="46"/>
  <c r="O36" i="46"/>
  <c r="O200" i="46"/>
  <c r="O41" i="46"/>
  <c r="O91" i="46"/>
  <c r="O122" i="46"/>
  <c r="O178" i="46"/>
  <c r="O19" i="46"/>
  <c r="O59" i="46"/>
  <c r="O27" i="46"/>
  <c r="O233" i="46"/>
  <c r="O50" i="46"/>
  <c r="O145" i="46"/>
  <c r="O37" i="46"/>
  <c r="O190" i="46"/>
  <c r="O126" i="46"/>
  <c r="O31" i="46"/>
  <c r="O189" i="46"/>
  <c r="O30" i="46"/>
  <c r="O75" i="46"/>
  <c r="O111" i="46"/>
  <c r="O167" i="46"/>
  <c r="O43" i="46"/>
  <c r="O231" i="46"/>
  <c r="O48" i="46"/>
  <c r="O137" i="46"/>
  <c r="O18" i="46"/>
  <c r="O245" i="46"/>
  <c r="O174" i="46"/>
  <c r="O110" i="46"/>
  <c r="O15" i="46"/>
  <c r="O157" i="46"/>
  <c r="O135" i="46"/>
  <c r="O244" i="46"/>
  <c r="O98" i="46"/>
  <c r="O235" i="46"/>
  <c r="O132" i="46"/>
  <c r="O237" i="46"/>
  <c r="O166" i="46"/>
  <c r="O105" i="46"/>
  <c r="O141" i="46"/>
  <c r="O249" i="46"/>
  <c r="O119" i="46"/>
  <c r="O213" i="46"/>
  <c r="O223" i="46"/>
  <c r="O82" i="46"/>
  <c r="O201" i="46"/>
  <c r="O103" i="46"/>
  <c r="O222" i="46"/>
  <c r="O158" i="46"/>
  <c r="O89" i="46"/>
  <c r="O252" i="46"/>
  <c r="O125" i="46"/>
  <c r="O234" i="46"/>
  <c r="O207" i="46"/>
  <c r="O246" i="46"/>
  <c r="O93" i="46"/>
  <c r="O192" i="46"/>
  <c r="O191" i="46"/>
  <c r="O221" i="46"/>
  <c r="O199" i="46"/>
  <c r="O232" i="46"/>
  <c r="O136" i="46"/>
  <c r="O114" i="46"/>
  <c r="O206" i="46"/>
  <c r="O83" i="46"/>
  <c r="O40" i="46"/>
  <c r="O230" i="46"/>
  <c r="O163" i="46"/>
  <c r="O255" i="46"/>
  <c r="O208" i="46"/>
  <c r="O96" i="46"/>
  <c r="O113" i="46"/>
  <c r="O97" i="46"/>
  <c r="O228" i="46"/>
  <c r="O218" i="46"/>
  <c r="O80" i="46"/>
  <c r="O95" i="46"/>
  <c r="O57" i="46"/>
  <c r="O143" i="46"/>
  <c r="O69" i="46"/>
  <c r="O176" i="46"/>
  <c r="O144" i="46"/>
  <c r="O142" i="46"/>
  <c r="O196" i="46"/>
  <c r="M4" i="29"/>
  <c r="M5" i="29"/>
  <c r="M6" i="29"/>
  <c r="M7" i="29"/>
  <c r="M8" i="29"/>
  <c r="M9" i="29"/>
  <c r="M10" i="29"/>
  <c r="M11" i="29"/>
  <c r="M12" i="29"/>
  <c r="M13" i="29"/>
  <c r="M14" i="29"/>
  <c r="M16"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K5" i="22"/>
  <c r="AW82" i="22"/>
  <c r="K6" i="22"/>
  <c r="AW83" i="22"/>
  <c r="K7" i="22"/>
  <c r="K8" i="22"/>
  <c r="AW118" i="22"/>
  <c r="K9" i="22"/>
  <c r="AW114" i="22"/>
  <c r="K10" i="22"/>
  <c r="AW115" i="22"/>
  <c r="K11" i="22"/>
  <c r="AW116" i="22"/>
  <c r="K12" i="22"/>
  <c r="AW117" i="22"/>
  <c r="K13" i="22"/>
  <c r="AW30" i="22"/>
  <c r="K14" i="22"/>
  <c r="AW120" i="22"/>
  <c r="K15" i="22"/>
  <c r="AW31" i="22"/>
  <c r="K16" i="22"/>
  <c r="AW32" i="22"/>
  <c r="K17" i="22"/>
  <c r="K18" i="22"/>
  <c r="K19" i="22"/>
  <c r="AW119" i="22"/>
  <c r="K20" i="22"/>
  <c r="AW84" i="22"/>
  <c r="K21" i="22"/>
  <c r="AW85" i="22"/>
  <c r="K22" i="22"/>
  <c r="K23" i="22"/>
  <c r="AW86" i="22"/>
  <c r="K24" i="22"/>
  <c r="AW34" i="22"/>
  <c r="K25" i="22"/>
  <c r="K26" i="22"/>
  <c r="K27" i="22"/>
  <c r="AW88" i="22"/>
  <c r="K28" i="22"/>
  <c r="K29" i="22"/>
  <c r="K30" i="22"/>
  <c r="K31" i="22"/>
  <c r="K32" i="22"/>
  <c r="K33" i="22"/>
  <c r="K34" i="22"/>
  <c r="AW121" i="22"/>
  <c r="K35" i="22"/>
  <c r="K36" i="22"/>
  <c r="AW149" i="22"/>
  <c r="K37" i="22"/>
  <c r="K39" i="22"/>
  <c r="K40" i="22"/>
  <c r="K42" i="22"/>
  <c r="K43" i="22"/>
  <c r="K44" i="22"/>
  <c r="K45" i="22"/>
  <c r="K46" i="22"/>
  <c r="K47" i="22"/>
  <c r="AW93" i="22"/>
  <c r="K48" i="22"/>
  <c r="K49" i="22"/>
  <c r="K50" i="22"/>
  <c r="K51" i="22"/>
  <c r="K52" i="22"/>
  <c r="K53" i="22"/>
  <c r="K54" i="22"/>
  <c r="K56" i="22"/>
  <c r="K57" i="22"/>
  <c r="K58" i="22"/>
  <c r="K59" i="22"/>
  <c r="AW125" i="22"/>
  <c r="K60" i="22"/>
  <c r="K41" i="22"/>
  <c r="K61" i="22"/>
  <c r="AW124" i="22"/>
  <c r="K62" i="22"/>
  <c r="K63" i="22"/>
  <c r="K64" i="22"/>
  <c r="K65" i="22"/>
  <c r="K66" i="22"/>
  <c r="K67" i="22"/>
  <c r="K68" i="22"/>
  <c r="K69" i="22"/>
  <c r="K70" i="22"/>
  <c r="K71" i="22"/>
  <c r="K72" i="22"/>
  <c r="AW57" i="22"/>
  <c r="K73" i="22"/>
  <c r="AW131" i="22"/>
  <c r="K74" i="22"/>
  <c r="K75" i="22"/>
  <c r="K76" i="22"/>
  <c r="K77" i="22"/>
  <c r="AW159" i="22"/>
  <c r="K78" i="22"/>
  <c r="K79" i="22"/>
  <c r="K81" i="22"/>
  <c r="K82" i="22"/>
  <c r="AW9" i="22"/>
  <c r="K83" i="22"/>
  <c r="K84" i="22"/>
  <c r="K85" i="22"/>
  <c r="K86" i="22"/>
  <c r="K87" i="22"/>
  <c r="AW58" i="22"/>
  <c r="K88" i="22"/>
  <c r="K89" i="22"/>
  <c r="AW52" i="22"/>
  <c r="K90" i="22"/>
  <c r="AW60" i="22"/>
  <c r="K91" i="22"/>
  <c r="K92" i="22"/>
  <c r="K93" i="22"/>
  <c r="K94" i="22"/>
  <c r="AW98" i="22"/>
  <c r="K95" i="22"/>
  <c r="R15" i="71" l="1"/>
  <c r="V15" i="71" s="1"/>
  <c r="R14" i="71"/>
  <c r="V14" i="71" s="1"/>
  <c r="R13" i="71"/>
  <c r="V13" i="71" s="1"/>
  <c r="R12" i="71"/>
  <c r="V12" i="71" s="1"/>
  <c r="W18" i="71"/>
  <c r="X18" i="71" s="1"/>
  <c r="S18" i="71"/>
  <c r="W17" i="71"/>
  <c r="X17" i="71" s="1"/>
  <c r="S17" i="71"/>
  <c r="W19" i="71"/>
  <c r="X19" i="71" s="1"/>
  <c r="S19" i="71"/>
  <c r="R21" i="46"/>
  <c r="V21" i="46" s="1"/>
  <c r="W21" i="46" s="1"/>
  <c r="X21" i="46" s="1"/>
  <c r="R19" i="46"/>
  <c r="V19" i="46" s="1"/>
  <c r="W19" i="46" s="1"/>
  <c r="R17" i="46"/>
  <c r="V17" i="46" s="1"/>
  <c r="W17" i="46" s="1"/>
  <c r="X17" i="46" s="1"/>
  <c r="R15" i="46"/>
  <c r="V15" i="46" s="1"/>
  <c r="W15" i="46" s="1"/>
  <c r="R14" i="46"/>
  <c r="V14" i="46" s="1"/>
  <c r="W14" i="46" s="1"/>
  <c r="R20" i="46"/>
  <c r="V20" i="46" s="1"/>
  <c r="W20" i="46" s="1"/>
  <c r="R18" i="46"/>
  <c r="V18" i="46" s="1"/>
  <c r="W18" i="46" s="1"/>
  <c r="X18" i="46" s="1"/>
  <c r="R13" i="46"/>
  <c r="V13" i="46" s="1"/>
  <c r="W13" i="46" s="1"/>
  <c r="S16" i="46"/>
  <c r="W16" i="46"/>
  <c r="R12" i="46"/>
  <c r="V12" i="46" s="1"/>
  <c r="W12" i="46" s="1"/>
  <c r="S223" i="46"/>
  <c r="T223" i="46" s="1"/>
  <c r="Y223" i="46" s="1"/>
  <c r="S240" i="46"/>
  <c r="T240" i="46" s="1"/>
  <c r="Y240" i="46" s="1"/>
  <c r="S143" i="46"/>
  <c r="T143" i="46" s="1"/>
  <c r="Y143" i="46" s="1"/>
  <c r="S230" i="46"/>
  <c r="T230" i="46" s="1"/>
  <c r="Y230" i="46" s="1"/>
  <c r="S246" i="46"/>
  <c r="T246" i="46" s="1"/>
  <c r="Y246" i="46" s="1"/>
  <c r="S213" i="46"/>
  <c r="T213" i="46" s="1"/>
  <c r="Y213" i="46" s="1"/>
  <c r="S157" i="46"/>
  <c r="T157" i="46" s="1"/>
  <c r="Y157" i="46" s="1"/>
  <c r="S75" i="46"/>
  <c r="T75" i="46" s="1"/>
  <c r="Y75" i="46" s="1"/>
  <c r="S32" i="46"/>
  <c r="T32" i="46" s="1"/>
  <c r="S169" i="46"/>
  <c r="T169" i="46" s="1"/>
  <c r="Y169" i="46" s="1"/>
  <c r="S124" i="46"/>
  <c r="T124" i="46" s="1"/>
  <c r="Y124" i="46" s="1"/>
  <c r="S129" i="46"/>
  <c r="T129" i="46" s="1"/>
  <c r="Y129" i="46" s="1"/>
  <c r="S239" i="46"/>
  <c r="T239" i="46" s="1"/>
  <c r="Y239" i="46" s="1"/>
  <c r="S107" i="46"/>
  <c r="T107" i="46" s="1"/>
  <c r="Y107" i="46" s="1"/>
  <c r="S52" i="46"/>
  <c r="T52" i="46" s="1"/>
  <c r="Y52" i="46" s="1"/>
  <c r="S65" i="46"/>
  <c r="T65" i="46" s="1"/>
  <c r="Y65" i="46" s="1"/>
  <c r="S248" i="46"/>
  <c r="T248" i="46" s="1"/>
  <c r="Y248" i="46" s="1"/>
  <c r="S159" i="46"/>
  <c r="T159" i="46" s="1"/>
  <c r="Y159" i="46" s="1"/>
  <c r="S253" i="46"/>
  <c r="T253" i="46" s="1"/>
  <c r="Y253" i="46" s="1"/>
  <c r="S111" i="46"/>
  <c r="T111" i="46" s="1"/>
  <c r="Y111" i="46" s="1"/>
  <c r="S170" i="46"/>
  <c r="T170" i="46" s="1"/>
  <c r="Y170" i="46" s="1"/>
  <c r="S57" i="46"/>
  <c r="T57" i="46" s="1"/>
  <c r="Y57" i="46" s="1"/>
  <c r="S40" i="46"/>
  <c r="T40" i="46" s="1"/>
  <c r="Y40" i="46" s="1"/>
  <c r="S207" i="46"/>
  <c r="T207" i="46" s="1"/>
  <c r="Y207" i="46" s="1"/>
  <c r="S119" i="46"/>
  <c r="T119" i="46" s="1"/>
  <c r="Y119" i="46" s="1"/>
  <c r="S30" i="46"/>
  <c r="T30" i="46" s="1"/>
  <c r="S178" i="46"/>
  <c r="T178" i="46" s="1"/>
  <c r="Y178" i="46" s="1"/>
  <c r="S112" i="46"/>
  <c r="T112" i="46" s="1"/>
  <c r="Y112" i="46" s="1"/>
  <c r="S66" i="46"/>
  <c r="T66" i="46" s="1"/>
  <c r="Y66" i="46" s="1"/>
  <c r="S120" i="46"/>
  <c r="T120" i="46" s="1"/>
  <c r="Y120" i="46" s="1"/>
  <c r="S156" i="46"/>
  <c r="T156" i="46" s="1"/>
  <c r="Y156" i="46" s="1"/>
  <c r="S161" i="46"/>
  <c r="T161" i="46" s="1"/>
  <c r="Y161" i="46" s="1"/>
  <c r="S35" i="46"/>
  <c r="T35" i="46" s="1"/>
  <c r="S139" i="46"/>
  <c r="T139" i="46" s="1"/>
  <c r="Y139" i="46" s="1"/>
  <c r="S68" i="46"/>
  <c r="T68" i="46" s="1"/>
  <c r="Y68" i="46" s="1"/>
  <c r="S149" i="46"/>
  <c r="T149" i="46" s="1"/>
  <c r="Y149" i="46" s="1"/>
  <c r="S115" i="46"/>
  <c r="T115" i="46" s="1"/>
  <c r="Y115" i="46" s="1"/>
  <c r="S56" i="46"/>
  <c r="T56" i="46" s="1"/>
  <c r="Y56" i="46" s="1"/>
  <c r="S197" i="46"/>
  <c r="T197" i="46" s="1"/>
  <c r="Y197" i="46" s="1"/>
  <c r="S26" i="46"/>
  <c r="T26" i="46" s="1"/>
  <c r="S59" i="46"/>
  <c r="T59" i="46" s="1"/>
  <c r="Y59" i="46" s="1"/>
  <c r="S106" i="46"/>
  <c r="T106" i="46" s="1"/>
  <c r="Y106" i="46" s="1"/>
  <c r="S95" i="46"/>
  <c r="T95" i="46" s="1"/>
  <c r="Y95" i="46" s="1"/>
  <c r="S83" i="46"/>
  <c r="T83" i="46" s="1"/>
  <c r="Y83" i="46" s="1"/>
  <c r="S234" i="46"/>
  <c r="T234" i="46" s="1"/>
  <c r="Y234" i="46" s="1"/>
  <c r="S249" i="46"/>
  <c r="T249" i="46" s="1"/>
  <c r="Y249" i="46" s="1"/>
  <c r="S110" i="46"/>
  <c r="T110" i="46" s="1"/>
  <c r="Y110" i="46" s="1"/>
  <c r="S189" i="46"/>
  <c r="T189" i="46" s="1"/>
  <c r="Y189" i="46" s="1"/>
  <c r="S122" i="46"/>
  <c r="T122" i="46" s="1"/>
  <c r="Y122" i="46" s="1"/>
  <c r="S186" i="46"/>
  <c r="T186" i="46" s="1"/>
  <c r="Y186" i="46" s="1"/>
  <c r="S184" i="46"/>
  <c r="T184" i="46" s="1"/>
  <c r="Y184" i="46" s="1"/>
  <c r="S188" i="46"/>
  <c r="T188" i="46" s="1"/>
  <c r="Y188" i="46" s="1"/>
  <c r="S193" i="46"/>
  <c r="T193" i="46" s="1"/>
  <c r="Y193" i="46" s="1"/>
  <c r="S130" i="46"/>
  <c r="T130" i="46" s="1"/>
  <c r="Y130" i="46" s="1"/>
  <c r="S171" i="46"/>
  <c r="T171" i="46" s="1"/>
  <c r="Y171" i="46" s="1"/>
  <c r="S84" i="46"/>
  <c r="T84" i="46" s="1"/>
  <c r="Y84" i="46" s="1"/>
  <c r="S45" i="46"/>
  <c r="T45" i="46" s="1"/>
  <c r="Y45" i="46" s="1"/>
  <c r="S147" i="46"/>
  <c r="T147" i="46" s="1"/>
  <c r="Y147" i="46" s="1"/>
  <c r="S72" i="46"/>
  <c r="T72" i="46" s="1"/>
  <c r="Y72" i="46" s="1"/>
  <c r="S71" i="46"/>
  <c r="T71" i="46" s="1"/>
  <c r="Y71" i="46" s="1"/>
  <c r="S224" i="46"/>
  <c r="T224" i="46" s="1"/>
  <c r="Y224" i="46" s="1"/>
  <c r="S85" i="46"/>
  <c r="T85" i="46" s="1"/>
  <c r="Y85" i="46" s="1"/>
  <c r="S80" i="46"/>
  <c r="T80" i="46" s="1"/>
  <c r="Y80" i="46" s="1"/>
  <c r="S206" i="46"/>
  <c r="T206" i="46" s="1"/>
  <c r="Y206" i="46" s="1"/>
  <c r="S125" i="46"/>
  <c r="T125" i="46" s="1"/>
  <c r="Y125" i="46" s="1"/>
  <c r="S141" i="46"/>
  <c r="T141" i="46" s="1"/>
  <c r="Y141" i="46" s="1"/>
  <c r="S174" i="46"/>
  <c r="T174" i="46" s="1"/>
  <c r="Y174" i="46" s="1"/>
  <c r="S31" i="46"/>
  <c r="T31" i="46" s="1"/>
  <c r="S91" i="46"/>
  <c r="T91" i="46" s="1"/>
  <c r="Y91" i="46" s="1"/>
  <c r="S183" i="46"/>
  <c r="T183" i="46" s="1"/>
  <c r="Y183" i="46" s="1"/>
  <c r="S247" i="46"/>
  <c r="T247" i="46" s="1"/>
  <c r="Y247" i="46" s="1"/>
  <c r="S220" i="46"/>
  <c r="T220" i="46" s="1"/>
  <c r="Y220" i="46" s="1"/>
  <c r="S225" i="46"/>
  <c r="T225" i="46" s="1"/>
  <c r="Y225" i="46" s="1"/>
  <c r="S194" i="46"/>
  <c r="T194" i="46" s="1"/>
  <c r="Y194" i="46" s="1"/>
  <c r="S203" i="46"/>
  <c r="T203" i="46" s="1"/>
  <c r="Y203" i="46" s="1"/>
  <c r="S100" i="46"/>
  <c r="T100" i="46" s="1"/>
  <c r="Y100" i="46" s="1"/>
  <c r="S146" i="46"/>
  <c r="T146" i="46" s="1"/>
  <c r="Y146" i="46" s="1"/>
  <c r="S179" i="46"/>
  <c r="T179" i="46" s="1"/>
  <c r="Y179" i="46" s="1"/>
  <c r="S88" i="46"/>
  <c r="T88" i="46" s="1"/>
  <c r="Y88" i="46" s="1"/>
  <c r="S109" i="46"/>
  <c r="T109" i="46" s="1"/>
  <c r="Y109" i="46" s="1"/>
  <c r="S121" i="46"/>
  <c r="T121" i="46" s="1"/>
  <c r="Y121" i="46" s="1"/>
  <c r="S135" i="46"/>
  <c r="T135" i="46" s="1"/>
  <c r="Y135" i="46" s="1"/>
  <c r="S218" i="46"/>
  <c r="T218" i="46" s="1"/>
  <c r="Y218" i="46" s="1"/>
  <c r="S114" i="46"/>
  <c r="T114" i="46" s="1"/>
  <c r="Y114" i="46" s="1"/>
  <c r="S252" i="46"/>
  <c r="T252" i="46" s="1"/>
  <c r="Y252" i="46" s="1"/>
  <c r="S105" i="46"/>
  <c r="T105" i="46" s="1"/>
  <c r="Y105" i="46" s="1"/>
  <c r="S245" i="46"/>
  <c r="T245" i="46" s="1"/>
  <c r="Y245" i="46" s="1"/>
  <c r="S126" i="46"/>
  <c r="T126" i="46" s="1"/>
  <c r="Y126" i="46" s="1"/>
  <c r="S41" i="46"/>
  <c r="T41" i="46" s="1"/>
  <c r="Y41" i="46" s="1"/>
  <c r="S127" i="46"/>
  <c r="T127" i="46" s="1"/>
  <c r="Y127" i="46" s="1"/>
  <c r="S165" i="46"/>
  <c r="T165" i="46" s="1"/>
  <c r="Y165" i="46" s="1"/>
  <c r="S28" i="46"/>
  <c r="T28" i="46" s="1"/>
  <c r="S256" i="46"/>
  <c r="T256" i="46" s="1"/>
  <c r="Y256" i="46" s="1"/>
  <c r="S46" i="46"/>
  <c r="T46" i="46" s="1"/>
  <c r="Y46" i="46" s="1"/>
  <c r="S138" i="46"/>
  <c r="T138" i="46" s="1"/>
  <c r="Y138" i="46" s="1"/>
  <c r="S242" i="46"/>
  <c r="T242" i="46" s="1"/>
  <c r="Y242" i="46" s="1"/>
  <c r="S177" i="46"/>
  <c r="T177" i="46" s="1"/>
  <c r="Y177" i="46" s="1"/>
  <c r="S210" i="46"/>
  <c r="T210" i="46" s="1"/>
  <c r="S211" i="46"/>
  <c r="T211" i="46" s="1"/>
  <c r="Y211" i="46" s="1"/>
  <c r="S104" i="46"/>
  <c r="T104" i="46" s="1"/>
  <c r="Y104" i="46" s="1"/>
  <c r="S153" i="46"/>
  <c r="T153" i="46" s="1"/>
  <c r="Y153" i="46" s="1"/>
  <c r="S69" i="46"/>
  <c r="T69" i="46" s="1"/>
  <c r="Y69" i="46" s="1"/>
  <c r="S87" i="46"/>
  <c r="T87" i="46" s="1"/>
  <c r="Y87" i="46" s="1"/>
  <c r="S228" i="46"/>
  <c r="T228" i="46" s="1"/>
  <c r="Y228" i="46" s="1"/>
  <c r="S136" i="46"/>
  <c r="T136" i="46" s="1"/>
  <c r="Y136" i="46" s="1"/>
  <c r="S89" i="46"/>
  <c r="T89" i="46" s="1"/>
  <c r="Y89" i="46" s="1"/>
  <c r="S166" i="46"/>
  <c r="T166" i="46" s="1"/>
  <c r="Y166" i="46" s="1"/>
  <c r="S190" i="46"/>
  <c r="T190" i="46" s="1"/>
  <c r="Y190" i="46" s="1"/>
  <c r="S200" i="46"/>
  <c r="T200" i="46" s="1"/>
  <c r="Y200" i="46" s="1"/>
  <c r="S128" i="46"/>
  <c r="T128" i="46" s="1"/>
  <c r="Y128" i="46" s="1"/>
  <c r="S77" i="46"/>
  <c r="T77" i="46" s="1"/>
  <c r="Y77" i="46" s="1"/>
  <c r="S81" i="46"/>
  <c r="T81" i="46" s="1"/>
  <c r="Y81" i="46" s="1"/>
  <c r="S44" i="46"/>
  <c r="T44" i="46" s="1"/>
  <c r="Y44" i="46" s="1"/>
  <c r="S62" i="46"/>
  <c r="T62" i="46" s="1"/>
  <c r="Y62" i="46" s="1"/>
  <c r="S254" i="46"/>
  <c r="T254" i="46" s="1"/>
  <c r="S209" i="46"/>
  <c r="T209" i="46" s="1"/>
  <c r="Y209" i="46" s="1"/>
  <c r="S250" i="46"/>
  <c r="T250" i="46" s="1"/>
  <c r="Y250" i="46" s="1"/>
  <c r="S175" i="46"/>
  <c r="T175" i="46" s="1"/>
  <c r="Y175" i="46" s="1"/>
  <c r="S236" i="46"/>
  <c r="T236" i="46" s="1"/>
  <c r="Y236" i="46" s="1"/>
  <c r="S185" i="46"/>
  <c r="T185" i="46" s="1"/>
  <c r="Y185" i="46" s="1"/>
  <c r="S93" i="46"/>
  <c r="T93" i="46" s="1"/>
  <c r="Y93" i="46" s="1"/>
  <c r="S49" i="46"/>
  <c r="T49" i="46" s="1"/>
  <c r="Y49" i="46" s="1"/>
  <c r="S97" i="46"/>
  <c r="T97" i="46" s="1"/>
  <c r="Y97" i="46" s="1"/>
  <c r="S232" i="46"/>
  <c r="T232" i="46" s="1"/>
  <c r="Y232" i="46" s="1"/>
  <c r="S158" i="46"/>
  <c r="T158" i="46" s="1"/>
  <c r="Y158" i="46" s="1"/>
  <c r="S237" i="46"/>
  <c r="T237" i="46" s="1"/>
  <c r="Y237" i="46" s="1"/>
  <c r="S137" i="46"/>
  <c r="T137" i="46" s="1"/>
  <c r="Y137" i="46" s="1"/>
  <c r="S37" i="46"/>
  <c r="T37" i="46" s="1"/>
  <c r="Y37" i="46" s="1"/>
  <c r="S36" i="46"/>
  <c r="T36" i="46" s="1"/>
  <c r="S51" i="46"/>
  <c r="T51" i="46" s="1"/>
  <c r="Y51" i="46" s="1"/>
  <c r="S162" i="46"/>
  <c r="T162" i="46" s="1"/>
  <c r="Y162" i="46" s="1"/>
  <c r="S123" i="46"/>
  <c r="T123" i="46" s="1"/>
  <c r="Y123" i="46" s="1"/>
  <c r="S60" i="46"/>
  <c r="T60" i="46" s="1"/>
  <c r="Y60" i="46" s="1"/>
  <c r="S78" i="46"/>
  <c r="T78" i="46" s="1"/>
  <c r="Y78" i="46" s="1"/>
  <c r="S133" i="46"/>
  <c r="T133" i="46" s="1"/>
  <c r="Y133" i="46" s="1"/>
  <c r="S47" i="46"/>
  <c r="T47" i="46" s="1"/>
  <c r="Y47" i="46" s="1"/>
  <c r="S243" i="46"/>
  <c r="T243" i="46" s="1"/>
  <c r="Y243" i="46" s="1"/>
  <c r="S154" i="46"/>
  <c r="T154" i="46" s="1"/>
  <c r="Y154" i="46" s="1"/>
  <c r="S217" i="46"/>
  <c r="T217" i="46" s="1"/>
  <c r="Y217" i="46" s="1"/>
  <c r="S163" i="46"/>
  <c r="T163" i="46" s="1"/>
  <c r="Y163" i="46" s="1"/>
  <c r="S117" i="46"/>
  <c r="T117" i="46" s="1"/>
  <c r="Y117" i="46" s="1"/>
  <c r="S196" i="46"/>
  <c r="T196" i="46" s="1"/>
  <c r="Y196" i="46" s="1"/>
  <c r="S113" i="46"/>
  <c r="T113" i="46" s="1"/>
  <c r="Y113" i="46" s="1"/>
  <c r="S199" i="46"/>
  <c r="T199" i="46" s="1"/>
  <c r="Y199" i="46" s="1"/>
  <c r="S222" i="46"/>
  <c r="T222" i="46" s="1"/>
  <c r="Y222" i="46" s="1"/>
  <c r="S132" i="46"/>
  <c r="T132" i="46" s="1"/>
  <c r="Y132" i="46" s="1"/>
  <c r="S48" i="46"/>
  <c r="T48" i="46" s="1"/>
  <c r="Y48" i="46" s="1"/>
  <c r="S145" i="46"/>
  <c r="T145" i="46" s="1"/>
  <c r="Y145" i="46" s="1"/>
  <c r="S131" i="46"/>
  <c r="T131" i="46" s="1"/>
  <c r="Y131" i="46" s="1"/>
  <c r="S205" i="46"/>
  <c r="T205" i="46" s="1"/>
  <c r="Y205" i="46" s="1"/>
  <c r="S241" i="46"/>
  <c r="T241" i="46" s="1"/>
  <c r="Y241" i="46" s="1"/>
  <c r="S155" i="46"/>
  <c r="T155" i="46" s="1"/>
  <c r="Y155" i="46" s="1"/>
  <c r="S76" i="46"/>
  <c r="T76" i="46" s="1"/>
  <c r="Y76" i="46" s="1"/>
  <c r="S94" i="46"/>
  <c r="T94" i="46" s="1"/>
  <c r="Y94" i="46" s="1"/>
  <c r="S67" i="46"/>
  <c r="T67" i="46" s="1"/>
  <c r="Y67" i="46" s="1"/>
  <c r="S108" i="46"/>
  <c r="T108" i="46" s="1"/>
  <c r="Y108" i="46" s="1"/>
  <c r="S54" i="46"/>
  <c r="T54" i="46" s="1"/>
  <c r="Y54" i="46" s="1"/>
  <c r="S181" i="46"/>
  <c r="T181" i="46" s="1"/>
  <c r="Y181" i="46" s="1"/>
  <c r="S63" i="46"/>
  <c r="T63" i="46" s="1"/>
  <c r="Y63" i="46" s="1"/>
  <c r="S160" i="46"/>
  <c r="T160" i="46" s="1"/>
  <c r="Y160" i="46" s="1"/>
  <c r="S73" i="46"/>
  <c r="T73" i="46" s="1"/>
  <c r="Y73" i="46" s="1"/>
  <c r="S251" i="46"/>
  <c r="T251" i="46" s="1"/>
  <c r="Y251" i="46" s="1"/>
  <c r="S64" i="46"/>
  <c r="T64" i="46" s="1"/>
  <c r="Y64" i="46" s="1"/>
  <c r="S212" i="46"/>
  <c r="T212" i="46" s="1"/>
  <c r="Y212" i="46" s="1"/>
  <c r="S142" i="46"/>
  <c r="T142" i="46" s="1"/>
  <c r="Y142" i="46" s="1"/>
  <c r="S96" i="46"/>
  <c r="T96" i="46" s="1"/>
  <c r="Y96" i="46" s="1"/>
  <c r="S221" i="46"/>
  <c r="T221" i="46" s="1"/>
  <c r="Y221" i="46" s="1"/>
  <c r="S103" i="46"/>
  <c r="T103" i="46" s="1"/>
  <c r="Y103" i="46" s="1"/>
  <c r="S235" i="46"/>
  <c r="T235" i="46" s="1"/>
  <c r="Y235" i="46" s="1"/>
  <c r="S231" i="46"/>
  <c r="T231" i="46" s="1"/>
  <c r="Y231" i="46" s="1"/>
  <c r="S50" i="46"/>
  <c r="T50" i="46" s="1"/>
  <c r="Y50" i="46" s="1"/>
  <c r="S195" i="46"/>
  <c r="T195" i="46" s="1"/>
  <c r="Y195" i="46" s="1"/>
  <c r="S39" i="46"/>
  <c r="T39" i="46" s="1"/>
  <c r="Y39" i="46" s="1"/>
  <c r="S101" i="46"/>
  <c r="T101" i="46" s="1"/>
  <c r="Y101" i="46" s="1"/>
  <c r="S187" i="46"/>
  <c r="T187" i="46" s="1"/>
  <c r="Y187" i="46" s="1"/>
  <c r="S92" i="46"/>
  <c r="T92" i="46" s="1"/>
  <c r="Y92" i="46" s="1"/>
  <c r="S229" i="46"/>
  <c r="T229" i="46" s="1"/>
  <c r="Y229" i="46" s="1"/>
  <c r="S152" i="46"/>
  <c r="T152" i="46" s="1"/>
  <c r="Y152" i="46" s="1"/>
  <c r="S140" i="46"/>
  <c r="T140" i="46" s="1"/>
  <c r="Y140" i="46" s="1"/>
  <c r="S70" i="46"/>
  <c r="T70" i="46" s="1"/>
  <c r="Y70" i="46" s="1"/>
  <c r="S99" i="46"/>
  <c r="T99" i="46" s="1"/>
  <c r="Y99" i="46" s="1"/>
  <c r="S116" i="46"/>
  <c r="T116" i="46" s="1"/>
  <c r="Y116" i="46" s="1"/>
  <c r="S61" i="46"/>
  <c r="T61" i="46" s="1"/>
  <c r="Y61" i="46" s="1"/>
  <c r="S118" i="46"/>
  <c r="T118" i="46" s="1"/>
  <c r="Y118" i="46" s="1"/>
  <c r="S58" i="46"/>
  <c r="T58" i="46" s="1"/>
  <c r="Y58" i="46" s="1"/>
  <c r="S55" i="46"/>
  <c r="T55" i="46" s="1"/>
  <c r="Y55" i="46" s="1"/>
  <c r="S214" i="46"/>
  <c r="T214" i="46" s="1"/>
  <c r="Y214" i="46" s="1"/>
  <c r="S144" i="46"/>
  <c r="T144" i="46" s="1"/>
  <c r="Y144" i="46" s="1"/>
  <c r="S208" i="46"/>
  <c r="T208" i="46" s="1"/>
  <c r="Y208" i="46" s="1"/>
  <c r="S191" i="46"/>
  <c r="T191" i="46" s="1"/>
  <c r="Y191" i="46" s="1"/>
  <c r="S201" i="46"/>
  <c r="T201" i="46" s="1"/>
  <c r="Y201" i="46" s="1"/>
  <c r="S98" i="46"/>
  <c r="T98" i="46" s="1"/>
  <c r="Y98" i="46" s="1"/>
  <c r="S43" i="46"/>
  <c r="T43" i="46" s="1"/>
  <c r="Y43" i="46" s="1"/>
  <c r="S233" i="46"/>
  <c r="T233" i="46" s="1"/>
  <c r="Y233" i="46" s="1"/>
  <c r="S42" i="46"/>
  <c r="T42" i="46" s="1"/>
  <c r="Y42" i="46" s="1"/>
  <c r="S134" i="46"/>
  <c r="T134" i="46" s="1"/>
  <c r="Y134" i="46" s="1"/>
  <c r="S202" i="46"/>
  <c r="T202" i="46" s="1"/>
  <c r="Y202" i="46" s="1"/>
  <c r="S219" i="46"/>
  <c r="T219" i="46" s="1"/>
  <c r="Y219" i="46" s="1"/>
  <c r="S227" i="46"/>
  <c r="T227" i="46" s="1"/>
  <c r="Y227" i="46" s="1"/>
  <c r="S53" i="46"/>
  <c r="T53" i="46" s="1"/>
  <c r="Y53" i="46" s="1"/>
  <c r="S216" i="46"/>
  <c r="T216" i="46" s="1"/>
  <c r="Y216" i="46" s="1"/>
  <c r="S172" i="46"/>
  <c r="T172" i="46" s="1"/>
  <c r="Y172" i="46" s="1"/>
  <c r="S86" i="46"/>
  <c r="T86" i="46" s="1"/>
  <c r="Y86" i="46" s="1"/>
  <c r="S168" i="46"/>
  <c r="T168" i="46" s="1"/>
  <c r="Y168" i="46" s="1"/>
  <c r="S148" i="46"/>
  <c r="T148" i="46" s="1"/>
  <c r="Y148" i="46" s="1"/>
  <c r="S151" i="46"/>
  <c r="T151" i="46" s="1"/>
  <c r="Y151" i="46" s="1"/>
  <c r="S150" i="46"/>
  <c r="T150" i="46" s="1"/>
  <c r="Y150" i="46" s="1"/>
  <c r="S74" i="46"/>
  <c r="T74" i="46" s="1"/>
  <c r="Y74" i="46" s="1"/>
  <c r="S79" i="46"/>
  <c r="T79" i="46" s="1"/>
  <c r="Y79" i="46" s="1"/>
  <c r="S176" i="46"/>
  <c r="T176" i="46" s="1"/>
  <c r="Y176" i="46" s="1"/>
  <c r="S255" i="46"/>
  <c r="T255" i="46" s="1"/>
  <c r="S192" i="46"/>
  <c r="T192" i="46" s="1"/>
  <c r="Y192" i="46" s="1"/>
  <c r="S82" i="46"/>
  <c r="T82" i="46" s="1"/>
  <c r="Y82" i="46" s="1"/>
  <c r="S244" i="46"/>
  <c r="T244" i="46" s="1"/>
  <c r="Y244" i="46" s="1"/>
  <c r="S167" i="46"/>
  <c r="T167" i="46" s="1"/>
  <c r="Y167" i="46" s="1"/>
  <c r="S27" i="46"/>
  <c r="T27" i="46" s="1"/>
  <c r="S164" i="46"/>
  <c r="T164" i="46" s="1"/>
  <c r="Y164" i="46" s="1"/>
  <c r="S198" i="46"/>
  <c r="T198" i="46" s="1"/>
  <c r="Y198" i="46" s="1"/>
  <c r="S33" i="46"/>
  <c r="T33" i="46" s="1"/>
  <c r="S29" i="46"/>
  <c r="T29" i="46" s="1"/>
  <c r="S34" i="46"/>
  <c r="T34" i="46" s="1"/>
  <c r="S238" i="46"/>
  <c r="T238" i="46" s="1"/>
  <c r="Y238" i="46" s="1"/>
  <c r="S204" i="46"/>
  <c r="T204" i="46" s="1"/>
  <c r="Y204" i="46" s="1"/>
  <c r="S102" i="46"/>
  <c r="T102" i="46" s="1"/>
  <c r="Y102" i="46" s="1"/>
  <c r="S226" i="46"/>
  <c r="T226" i="46" s="1"/>
  <c r="Y226" i="46" s="1"/>
  <c r="S180" i="46"/>
  <c r="T180" i="46" s="1"/>
  <c r="Y180" i="46" s="1"/>
  <c r="S215" i="46"/>
  <c r="T215" i="46" s="1"/>
  <c r="Y215" i="46" s="1"/>
  <c r="S182" i="46"/>
  <c r="T182" i="46" s="1"/>
  <c r="Y182" i="46" s="1"/>
  <c r="S90" i="46"/>
  <c r="T90" i="46" s="1"/>
  <c r="Y90" i="46" s="1"/>
  <c r="AF63" i="57"/>
  <c r="AF65" i="53"/>
  <c r="P51" i="69"/>
  <c r="AP51" i="69"/>
  <c r="AK66" i="57"/>
  <c r="AJ62" i="57"/>
  <c r="BC52" i="69"/>
  <c r="BD52" i="69"/>
  <c r="BE52" i="69"/>
  <c r="BF52" i="69"/>
  <c r="F134" i="22"/>
  <c r="AH67" i="57"/>
  <c r="AI67" i="57" s="1"/>
  <c r="K67" i="57"/>
  <c r="AX50" i="69"/>
  <c r="AW50" i="69"/>
  <c r="X38" i="46"/>
  <c r="L52" i="69"/>
  <c r="M52" i="69" s="1"/>
  <c r="AZ52" i="69"/>
  <c r="Y49" i="69"/>
  <c r="AB49" i="69" s="1"/>
  <c r="AG48" i="69"/>
  <c r="U50" i="69"/>
  <c r="AH50" i="69"/>
  <c r="F50" i="69"/>
  <c r="G50" i="69" s="1"/>
  <c r="H50" i="69" s="1"/>
  <c r="I50" i="69" s="1"/>
  <c r="J50" i="69" s="1"/>
  <c r="K50" i="69" s="1"/>
  <c r="W16" i="71"/>
  <c r="X16" i="71" s="1"/>
  <c r="W15" i="71"/>
  <c r="X15" i="71" s="1"/>
  <c r="W14" i="71"/>
  <c r="X14" i="71" s="1"/>
  <c r="W13" i="71"/>
  <c r="X13" i="71" s="1"/>
  <c r="AG66" i="57"/>
  <c r="X64" i="57"/>
  <c r="AB64" i="57" s="1"/>
  <c r="AD65" i="57"/>
  <c r="AC67" i="53"/>
  <c r="O67" i="53"/>
  <c r="Q51" i="69"/>
  <c r="AE65" i="57"/>
  <c r="AA63" i="57"/>
  <c r="Q65" i="57"/>
  <c r="R65" i="57"/>
  <c r="AQ65" i="57"/>
  <c r="AC65" i="57"/>
  <c r="N67" i="53"/>
  <c r="AA65" i="53"/>
  <c r="C90" i="36"/>
  <c r="X25" i="46"/>
  <c r="X24" i="46"/>
  <c r="X23" i="46"/>
  <c r="X22" i="46"/>
  <c r="X20" i="46"/>
  <c r="X19" i="46"/>
  <c r="C91" i="36"/>
  <c r="X173" i="46"/>
  <c r="AF50" i="69"/>
  <c r="P67" i="57"/>
  <c r="AC48" i="69"/>
  <c r="AD48" i="69" s="1"/>
  <c r="AO51" i="69"/>
  <c r="O52" i="69"/>
  <c r="AE66" i="53"/>
  <c r="R66" i="53"/>
  <c r="X66" i="53" s="1"/>
  <c r="AB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AY50" i="69"/>
  <c r="L67" i="57"/>
  <c r="AG66" i="53"/>
  <c r="AT66" i="53"/>
  <c r="N67" i="57"/>
  <c r="G67" i="53"/>
  <c r="AD66" i="53"/>
  <c r="D17" i="22"/>
  <c r="Q66" i="53"/>
  <c r="H67" i="53"/>
  <c r="C67" i="53"/>
  <c r="E67" i="53"/>
  <c r="J67" i="53"/>
  <c r="I67" i="53"/>
  <c r="P67" i="53"/>
  <c r="AK66" i="52" a="1"/>
  <c r="AK66" i="52" s="1"/>
  <c r="B68" i="53" s="1"/>
  <c r="L67" i="53"/>
  <c r="F67" i="53"/>
  <c r="K67" i="53"/>
  <c r="AH67" i="53" s="1"/>
  <c r="D67" i="53"/>
  <c r="L117" i="22"/>
  <c r="D31" i="22"/>
  <c r="D14" i="22"/>
  <c r="D67" i="57"/>
  <c r="I67" i="57"/>
  <c r="H67" i="57"/>
  <c r="G67" i="57"/>
  <c r="E67" i="57"/>
  <c r="C67" i="57"/>
  <c r="F67" i="57"/>
  <c r="J67" i="57"/>
  <c r="AN66" i="55" a="1"/>
  <c r="AN66" i="55" s="1"/>
  <c r="B68" i="57" s="1"/>
  <c r="O68" i="57" s="1"/>
  <c r="R50" i="69"/>
  <c r="S50" i="69" s="1"/>
  <c r="AE50" i="69"/>
  <c r="C52" i="69"/>
  <c r="AS52" i="67" a="1"/>
  <c r="AS52" i="67" s="1"/>
  <c r="B53" i="69"/>
  <c r="AM53" i="69" s="1"/>
  <c r="AN53" i="69" s="1"/>
  <c r="D51" i="69"/>
  <c r="E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S15" i="71" l="1"/>
  <c r="T15" i="71" s="1"/>
  <c r="AB15" i="71" s="1"/>
  <c r="R11" i="71"/>
  <c r="S11" i="71" s="1"/>
  <c r="S14" i="71"/>
  <c r="T14" i="71" s="1"/>
  <c r="AB14" i="71" s="1"/>
  <c r="S12" i="71"/>
  <c r="S13" i="71"/>
  <c r="T13" i="71" s="1"/>
  <c r="S21" i="46"/>
  <c r="T21" i="46" s="1"/>
  <c r="S13" i="46"/>
  <c r="S18" i="46"/>
  <c r="T18" i="46" s="1"/>
  <c r="S15" i="46"/>
  <c r="T15" i="46" s="1"/>
  <c r="S12" i="46"/>
  <c r="S20" i="46"/>
  <c r="T20" i="46" s="1"/>
  <c r="S14" i="46"/>
  <c r="S17" i="46"/>
  <c r="T17" i="46" s="1"/>
  <c r="S19" i="46"/>
  <c r="T19" i="46" s="1"/>
  <c r="AF64" i="57"/>
  <c r="AF66" i="53"/>
  <c r="P52" i="69"/>
  <c r="AP52" i="69"/>
  <c r="AK67" i="57"/>
  <c r="AJ63" i="57"/>
  <c r="I133" i="22"/>
  <c r="I135" i="22"/>
  <c r="BC53" i="69"/>
  <c r="BF53" i="69"/>
  <c r="BD53" i="69"/>
  <c r="BE53" i="69"/>
  <c r="F35" i="22"/>
  <c r="F14" i="22"/>
  <c r="AH68" i="57"/>
  <c r="AI68" i="57" s="1"/>
  <c r="K68" i="57"/>
  <c r="AX51" i="69"/>
  <c r="AW51" i="69"/>
  <c r="T38" i="46"/>
  <c r="Y38" i="46" s="1"/>
  <c r="L53" i="69"/>
  <c r="M53" i="69" s="1"/>
  <c r="AZ53" i="69"/>
  <c r="AG49" i="69"/>
  <c r="I21" i="22"/>
  <c r="Y50" i="69"/>
  <c r="AB50" i="69" s="1"/>
  <c r="U51" i="69"/>
  <c r="AH51" i="69"/>
  <c r="F51" i="69"/>
  <c r="G51" i="69" s="1"/>
  <c r="H51" i="69" s="1"/>
  <c r="I51" i="69" s="1"/>
  <c r="J51" i="69" s="1"/>
  <c r="K51" i="69" s="1"/>
  <c r="T16" i="71"/>
  <c r="X15" i="46"/>
  <c r="X65" i="57"/>
  <c r="AB65" i="57" s="1"/>
  <c r="AG67" i="57"/>
  <c r="AA64" i="57"/>
  <c r="AC68" i="53"/>
  <c r="O68" i="53"/>
  <c r="Q52" i="69"/>
  <c r="R66" i="57"/>
  <c r="AQ66" i="57"/>
  <c r="AD66" i="57"/>
  <c r="Q66" i="57"/>
  <c r="AC66" i="57"/>
  <c r="AE66" i="57"/>
  <c r="N68" i="53"/>
  <c r="AA66" i="53"/>
  <c r="T25" i="46"/>
  <c r="T24" i="46"/>
  <c r="T23" i="46"/>
  <c r="T22" i="46"/>
  <c r="T173" i="46"/>
  <c r="Y173" i="46"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204" i="71"/>
  <c r="T157" i="7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X12" i="46"/>
  <c r="AF51" i="69"/>
  <c r="P68" i="57"/>
  <c r="X13" i="46"/>
  <c r="T13" i="46"/>
  <c r="T16" i="46"/>
  <c r="AC49" i="69"/>
  <c r="AD49" i="69" s="1"/>
  <c r="W12" i="71"/>
  <c r="X12" i="71" s="1"/>
  <c r="T12" i="71"/>
  <c r="O53" i="69"/>
  <c r="AO52" i="69"/>
  <c r="T14" i="46"/>
  <c r="T12" i="46"/>
  <c r="AE67" i="53"/>
  <c r="Y210" i="46"/>
  <c r="R67" i="53"/>
  <c r="X67" i="53" s="1"/>
  <c r="AB67" i="53" s="1"/>
  <c r="Y255" i="46"/>
  <c r="Y254" i="46"/>
  <c r="AY51" i="69"/>
  <c r="L68" i="57"/>
  <c r="AG67" i="53"/>
  <c r="AT67" i="53"/>
  <c r="N68" i="57"/>
  <c r="H68" i="53"/>
  <c r="Q67" i="53"/>
  <c r="AD67" i="53"/>
  <c r="C68" i="53"/>
  <c r="P68" i="53"/>
  <c r="E68" i="53"/>
  <c r="G68" i="53"/>
  <c r="L68" i="53"/>
  <c r="AK67" i="52" a="1"/>
  <c r="AK67" i="52" s="1"/>
  <c r="B69" i="53" s="1"/>
  <c r="I68" i="53"/>
  <c r="K68" i="53"/>
  <c r="AH68" i="53" s="1"/>
  <c r="F68" i="53"/>
  <c r="J68" i="53"/>
  <c r="D68" i="53"/>
  <c r="F68" i="57"/>
  <c r="I68" i="57"/>
  <c r="C68" i="57"/>
  <c r="D68" i="57"/>
  <c r="G68" i="57"/>
  <c r="E68" i="57"/>
  <c r="J68" i="57"/>
  <c r="H68" i="57"/>
  <c r="AN67" i="55" a="1"/>
  <c r="AN67" i="55" s="1"/>
  <c r="B69" i="57" s="1"/>
  <c r="O69" i="57" s="1"/>
  <c r="L130" i="22"/>
  <c r="R51" i="69"/>
  <c r="S51" i="69" s="1"/>
  <c r="AE51" i="69"/>
  <c r="C53" i="69"/>
  <c r="AS53" i="67" a="1"/>
  <c r="AS53" i="67" s="1"/>
  <c r="B54" i="69"/>
  <c r="AM54" i="69" s="1"/>
  <c r="AN54" i="69" s="1"/>
  <c r="D52" i="69"/>
  <c r="E52" i="69" s="1"/>
  <c r="V11" i="71" l="1"/>
  <c r="AB12" i="71"/>
  <c r="X62" i="22"/>
  <c r="X18" i="22"/>
  <c r="AB13" i="71"/>
  <c r="X33" i="22" s="1"/>
  <c r="AF65" i="57"/>
  <c r="AF67" i="53"/>
  <c r="T11" i="71"/>
  <c r="P53" i="69"/>
  <c r="AP53" i="69"/>
  <c r="AK68" i="57"/>
  <c r="AJ64" i="57"/>
  <c r="F76" i="22"/>
  <c r="F21" i="22"/>
  <c r="I35" i="22"/>
  <c r="I76" i="22"/>
  <c r="BC54" i="69"/>
  <c r="BF54" i="69"/>
  <c r="BD54" i="69"/>
  <c r="BE54" i="69"/>
  <c r="I134" i="22"/>
  <c r="I14" i="22"/>
  <c r="AH69" i="57"/>
  <c r="AI69" i="57" s="1"/>
  <c r="K69" i="57"/>
  <c r="AW52" i="69"/>
  <c r="AX52" i="69"/>
  <c r="L54" i="69"/>
  <c r="M54" i="69" s="1"/>
  <c r="AZ54" i="69"/>
  <c r="I94" i="22"/>
  <c r="K6" i="46"/>
  <c r="Y51" i="69"/>
  <c r="AB51" i="69" s="1"/>
  <c r="AG50" i="69"/>
  <c r="U52" i="69"/>
  <c r="AH52" i="69"/>
  <c r="F52" i="69"/>
  <c r="G52" i="69" s="1"/>
  <c r="H52" i="69" s="1"/>
  <c r="I52" i="69" s="1"/>
  <c r="J52" i="69" s="1"/>
  <c r="K52" i="69" s="1"/>
  <c r="I20" i="22"/>
  <c r="X135" i="22"/>
  <c r="X16" i="46"/>
  <c r="Y16" i="46" s="1"/>
  <c r="X14" i="46"/>
  <c r="Y14" i="46" s="1"/>
  <c r="X32" i="22"/>
  <c r="X87" i="22"/>
  <c r="AG68" i="57"/>
  <c r="X66" i="57"/>
  <c r="AB66" i="57" s="1"/>
  <c r="AA65" i="57"/>
  <c r="AC69" i="53"/>
  <c r="O69" i="53"/>
  <c r="Q53" i="69"/>
  <c r="Q67" i="57"/>
  <c r="AD67" i="57"/>
  <c r="AE67" i="57"/>
  <c r="R67" i="57"/>
  <c r="AQ67" i="57"/>
  <c r="AC67" i="57"/>
  <c r="AC68" i="57"/>
  <c r="N69" i="53"/>
  <c r="AA67" i="53"/>
  <c r="AA23" i="71"/>
  <c r="AA20" i="71"/>
  <c r="AA13" i="71"/>
  <c r="AA16" i="71"/>
  <c r="AA22"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P69" i="57"/>
  <c r="AC50" i="69"/>
  <c r="AD50" i="69" s="1"/>
  <c r="O2" i="71"/>
  <c r="AA12" i="71"/>
  <c r="O54" i="69"/>
  <c r="AO53" i="69"/>
  <c r="AE68"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AB68" i="53" s="1"/>
  <c r="L115" i="22"/>
  <c r="L119" i="22"/>
  <c r="Y15" i="46"/>
  <c r="Y12" i="46"/>
  <c r="Y13" i="46"/>
  <c r="AY52" i="69"/>
  <c r="L69" i="57"/>
  <c r="AG68" i="53"/>
  <c r="AT68" i="53"/>
  <c r="N69" i="57"/>
  <c r="C69" i="53"/>
  <c r="Q68" i="53"/>
  <c r="AD68" i="53"/>
  <c r="P69" i="53"/>
  <c r="L69" i="53"/>
  <c r="I69" i="53"/>
  <c r="E69" i="53"/>
  <c r="F69" i="53"/>
  <c r="H69" i="53"/>
  <c r="K69" i="53"/>
  <c r="AH69" i="53" s="1"/>
  <c r="G69" i="53"/>
  <c r="J69" i="53"/>
  <c r="D69" i="53"/>
  <c r="AK68" i="52" a="1"/>
  <c r="AK68" i="52" s="1"/>
  <c r="B70" i="53" s="1"/>
  <c r="I69" i="57"/>
  <c r="E69" i="57"/>
  <c r="D69" i="57"/>
  <c r="C69" i="57"/>
  <c r="H69" i="57"/>
  <c r="G69" i="57"/>
  <c r="J69" i="57"/>
  <c r="F69" i="57"/>
  <c r="AN68" i="55" a="1"/>
  <c r="AN68" i="55" s="1"/>
  <c r="B70" i="57" s="1"/>
  <c r="O70" i="57" s="1"/>
  <c r="AS54" i="67" a="1"/>
  <c r="AS54" i="67" s="1"/>
  <c r="B55" i="69"/>
  <c r="AM55" i="69" s="1"/>
  <c r="AN55" i="69" s="1"/>
  <c r="D53" i="69"/>
  <c r="E53" i="69" s="1"/>
  <c r="C54" i="69"/>
  <c r="R52" i="69"/>
  <c r="S52" i="69" s="1"/>
  <c r="AE52" i="69"/>
  <c r="L107" i="22" l="1"/>
  <c r="L38" i="22"/>
  <c r="AF66" i="57"/>
  <c r="AF68" i="53"/>
  <c r="P54" i="69"/>
  <c r="AP54" i="69"/>
  <c r="AK69" i="57"/>
  <c r="AJ65" i="57"/>
  <c r="BC55" i="69"/>
  <c r="BF55" i="69"/>
  <c r="BD55" i="69"/>
  <c r="BE55" i="69"/>
  <c r="AH70" i="57"/>
  <c r="AI70" i="57" s="1"/>
  <c r="K70" i="57"/>
  <c r="AX53" i="69"/>
  <c r="AW53" i="69"/>
  <c r="L55" i="69"/>
  <c r="M55" i="69" s="1"/>
  <c r="AZ55" i="69"/>
  <c r="F20" i="22"/>
  <c r="F133" i="22"/>
  <c r="AG51" i="69"/>
  <c r="Y52" i="69"/>
  <c r="AB52" i="69" s="1"/>
  <c r="AC52" i="69" s="1"/>
  <c r="AD52" i="69" s="1"/>
  <c r="F53" i="69"/>
  <c r="G53" i="69" s="1"/>
  <c r="H53" i="69" s="1"/>
  <c r="I53" i="69" s="1"/>
  <c r="J53" i="69" s="1"/>
  <c r="K53" i="69" s="1"/>
  <c r="U53" i="69"/>
  <c r="AH53" i="69"/>
  <c r="I28" i="22"/>
  <c r="F28" i="22"/>
  <c r="I29" i="22"/>
  <c r="I16" i="22"/>
  <c r="I19" i="22"/>
  <c r="BG6" i="22" s="1"/>
  <c r="I15" i="22"/>
  <c r="I96" i="22"/>
  <c r="F15" i="22"/>
  <c r="F96" i="22"/>
  <c r="AA66" i="57"/>
  <c r="AG69" i="57"/>
  <c r="X67" i="57"/>
  <c r="AB67" i="57" s="1"/>
  <c r="AC70" i="53"/>
  <c r="O70" i="53"/>
  <c r="Q54" i="69"/>
  <c r="R68" i="57"/>
  <c r="AQ68" i="57"/>
  <c r="AD68" i="57"/>
  <c r="AE68" i="57"/>
  <c r="Q68" i="57"/>
  <c r="N70" i="53"/>
  <c r="AA68" i="53"/>
  <c r="W11" i="71"/>
  <c r="X11" i="71" s="1"/>
  <c r="AB11" i="71" s="1"/>
  <c r="X22" i="22" s="1"/>
  <c r="L103" i="22"/>
  <c r="AA27" i="71"/>
  <c r="AF53" i="69"/>
  <c r="P70" i="57"/>
  <c r="AC51" i="69"/>
  <c r="AD51" i="69" s="1"/>
  <c r="AO54" i="69"/>
  <c r="O55" i="69"/>
  <c r="AE69" i="53"/>
  <c r="R69" i="53"/>
  <c r="X69" i="53" s="1"/>
  <c r="AB69" i="53" s="1"/>
  <c r="AY53" i="69"/>
  <c r="L70" i="57"/>
  <c r="AA15" i="71"/>
  <c r="AT69" i="53"/>
  <c r="AG69" i="53"/>
  <c r="N70" i="57"/>
  <c r="P70" i="53"/>
  <c r="AD69" i="53"/>
  <c r="Q69" i="53"/>
  <c r="C70" i="53"/>
  <c r="D70" i="53"/>
  <c r="J70" i="53"/>
  <c r="E70" i="53"/>
  <c r="H70" i="53"/>
  <c r="F70" i="53"/>
  <c r="G70" i="53"/>
  <c r="I70" i="53"/>
  <c r="L70" i="53"/>
  <c r="AK69" i="52" a="1"/>
  <c r="AK69" i="52" s="1"/>
  <c r="B71" i="53" s="1"/>
  <c r="K70" i="53"/>
  <c r="AH70" i="53" s="1"/>
  <c r="F70" i="57"/>
  <c r="E70" i="57"/>
  <c r="H70" i="57"/>
  <c r="J70" i="57"/>
  <c r="D70" i="57"/>
  <c r="I70" i="57"/>
  <c r="C70" i="57"/>
  <c r="G70" i="57"/>
  <c r="AN69" i="55" a="1"/>
  <c r="AN69" i="55" s="1"/>
  <c r="B71" i="57" s="1"/>
  <c r="O71" i="57" s="1"/>
  <c r="D54" i="69"/>
  <c r="E54" i="69" s="1"/>
  <c r="R53" i="69"/>
  <c r="S53" i="69" s="1"/>
  <c r="AE53" i="69"/>
  <c r="C55" i="69"/>
  <c r="AS55" i="67" a="1"/>
  <c r="AS55" i="67" s="1"/>
  <c r="B56" i="69"/>
  <c r="AM56" i="69" s="1"/>
  <c r="AN56" i="69" s="1"/>
  <c r="AK258" i="59"/>
  <c r="AK257" i="59"/>
  <c r="AK256" i="59"/>
  <c r="AK255" i="59"/>
  <c r="AK254" i="59"/>
  <c r="AK253" i="59"/>
  <c r="AK252" i="59"/>
  <c r="AK251" i="59"/>
  <c r="AK250" i="59"/>
  <c r="AK249" i="59"/>
  <c r="AK248" i="59"/>
  <c r="AK247" i="59"/>
  <c r="AK246" i="59"/>
  <c r="AK245" i="59"/>
  <c r="AK244" i="59"/>
  <c r="AK243" i="59"/>
  <c r="AK242" i="59"/>
  <c r="AK241" i="59"/>
  <c r="AK240" i="59"/>
  <c r="AK239" i="59"/>
  <c r="AK238" i="59"/>
  <c r="AK237" i="59"/>
  <c r="AK236" i="59"/>
  <c r="AK235" i="59"/>
  <c r="AK234" i="59"/>
  <c r="AK233" i="59"/>
  <c r="AK232" i="59"/>
  <c r="AK231" i="59"/>
  <c r="AK230" i="59"/>
  <c r="AK229" i="59"/>
  <c r="AK228" i="59"/>
  <c r="AK227" i="59"/>
  <c r="AK226" i="59"/>
  <c r="AK225" i="59"/>
  <c r="AK224" i="59"/>
  <c r="AK223" i="59"/>
  <c r="AK222" i="59"/>
  <c r="AK221" i="59"/>
  <c r="AK220" i="59"/>
  <c r="AK219" i="59"/>
  <c r="AK218" i="59"/>
  <c r="AK217" i="59"/>
  <c r="AK216" i="59"/>
  <c r="AK215" i="59"/>
  <c r="AK214" i="59"/>
  <c r="AK213" i="59"/>
  <c r="AK212" i="59"/>
  <c r="AK211" i="59"/>
  <c r="AK210" i="59"/>
  <c r="AK209" i="59"/>
  <c r="AK208" i="59"/>
  <c r="AK207" i="59"/>
  <c r="AK206" i="59"/>
  <c r="AK205" i="59"/>
  <c r="AK204" i="59"/>
  <c r="AK203" i="59"/>
  <c r="AK202" i="59"/>
  <c r="AK201" i="59"/>
  <c r="AK200" i="59"/>
  <c r="AK199" i="59"/>
  <c r="AK198" i="59"/>
  <c r="AK197" i="59"/>
  <c r="AK196" i="59"/>
  <c r="AK195" i="59"/>
  <c r="AK194" i="59"/>
  <c r="AK193" i="59"/>
  <c r="AK192" i="59"/>
  <c r="AK191" i="59"/>
  <c r="AK190" i="59"/>
  <c r="AK189" i="59"/>
  <c r="AK188" i="59"/>
  <c r="AK187" i="59"/>
  <c r="AK186" i="59"/>
  <c r="AK185" i="59"/>
  <c r="AK184" i="59"/>
  <c r="AK183" i="59"/>
  <c r="AK182" i="59"/>
  <c r="AK181" i="59"/>
  <c r="AK180" i="59"/>
  <c r="AK179" i="59"/>
  <c r="AK178" i="59"/>
  <c r="AK177" i="59"/>
  <c r="AK176" i="59"/>
  <c r="AK175" i="59"/>
  <c r="AK174" i="59"/>
  <c r="AK173" i="59"/>
  <c r="AK172" i="59"/>
  <c r="AK171" i="59"/>
  <c r="AK170" i="59"/>
  <c r="AK169" i="59"/>
  <c r="AK168" i="59"/>
  <c r="AK167" i="59"/>
  <c r="AK166" i="59"/>
  <c r="AK165" i="59"/>
  <c r="AK164" i="59"/>
  <c r="AK163" i="59"/>
  <c r="AK162" i="59"/>
  <c r="AK161" i="59"/>
  <c r="AK160" i="59"/>
  <c r="AK159" i="59"/>
  <c r="AK158" i="59"/>
  <c r="AK157" i="59"/>
  <c r="AK156" i="59"/>
  <c r="AK155" i="59"/>
  <c r="AK154" i="59"/>
  <c r="AK153" i="59"/>
  <c r="AK152" i="59"/>
  <c r="AK151" i="59"/>
  <c r="AK150" i="59"/>
  <c r="AK149" i="59"/>
  <c r="AK148" i="59"/>
  <c r="AK147" i="59"/>
  <c r="AK146" i="59"/>
  <c r="AK145" i="59"/>
  <c r="AK144" i="59"/>
  <c r="AK143" i="59"/>
  <c r="AK142" i="59"/>
  <c r="AK141" i="59"/>
  <c r="AK140" i="59"/>
  <c r="AK139" i="59"/>
  <c r="AK138" i="59"/>
  <c r="AK137" i="59"/>
  <c r="AK136" i="59"/>
  <c r="AK135" i="59"/>
  <c r="AK134" i="59"/>
  <c r="AK133" i="59"/>
  <c r="AK132" i="59"/>
  <c r="AK131" i="59"/>
  <c r="AK130" i="59"/>
  <c r="AK129" i="59"/>
  <c r="AK128" i="59"/>
  <c r="AK127" i="59"/>
  <c r="AK126" i="59"/>
  <c r="AK125" i="59"/>
  <c r="AK124" i="59"/>
  <c r="AK123" i="59"/>
  <c r="AK122" i="59"/>
  <c r="AK121" i="59"/>
  <c r="AK120" i="59"/>
  <c r="AK119" i="59"/>
  <c r="AK118" i="59"/>
  <c r="AK117" i="59"/>
  <c r="AK116" i="59"/>
  <c r="AK115" i="59"/>
  <c r="AK114" i="59"/>
  <c r="AK113" i="59"/>
  <c r="AK112" i="59"/>
  <c r="AK111" i="59"/>
  <c r="AK110" i="59"/>
  <c r="AK109" i="59"/>
  <c r="AK108" i="59"/>
  <c r="AK107" i="59"/>
  <c r="AK106" i="59"/>
  <c r="AK105" i="59"/>
  <c r="AK104" i="59"/>
  <c r="AK103" i="59"/>
  <c r="AK102" i="59"/>
  <c r="AK101" i="59"/>
  <c r="AK100" i="59"/>
  <c r="AK99" i="59"/>
  <c r="AK98" i="59"/>
  <c r="AK97" i="59"/>
  <c r="AK96" i="59"/>
  <c r="AK95" i="59"/>
  <c r="AK94" i="59"/>
  <c r="AK93" i="59"/>
  <c r="AK92" i="59"/>
  <c r="AK91" i="59"/>
  <c r="AK90" i="59"/>
  <c r="AK89" i="59"/>
  <c r="AK88" i="59"/>
  <c r="AK87" i="59"/>
  <c r="AK86" i="59"/>
  <c r="AK85" i="59"/>
  <c r="AK84" i="59"/>
  <c r="AK83" i="59"/>
  <c r="AK82" i="59"/>
  <c r="AK81" i="59"/>
  <c r="AK80" i="59"/>
  <c r="AK79" i="59"/>
  <c r="AK78" i="59"/>
  <c r="AK77" i="59"/>
  <c r="AK76" i="59"/>
  <c r="AK75" i="59"/>
  <c r="AK74" i="59"/>
  <c r="AK73" i="59"/>
  <c r="AK72" i="59"/>
  <c r="AK71" i="59"/>
  <c r="AK70" i="59"/>
  <c r="AK69" i="59"/>
  <c r="AK68" i="59"/>
  <c r="AK67" i="59"/>
  <c r="AK66" i="59"/>
  <c r="AK65" i="59"/>
  <c r="AK64" i="59"/>
  <c r="AK63" i="59"/>
  <c r="AK62" i="59"/>
  <c r="AK61" i="59"/>
  <c r="AK60" i="59"/>
  <c r="AK59" i="59"/>
  <c r="AK58" i="59"/>
  <c r="AK57" i="59"/>
  <c r="AK56" i="59"/>
  <c r="AK55" i="59"/>
  <c r="AK54" i="59"/>
  <c r="AK53" i="59"/>
  <c r="AK52" i="59"/>
  <c r="AK51" i="59"/>
  <c r="AK50" i="59"/>
  <c r="AK49" i="59"/>
  <c r="AK48" i="59"/>
  <c r="AK47" i="59"/>
  <c r="AK46" i="59"/>
  <c r="AK45" i="59"/>
  <c r="AK44" i="59"/>
  <c r="AK43" i="59"/>
  <c r="AK42" i="59"/>
  <c r="AK41" i="59"/>
  <c r="AK40" i="59"/>
  <c r="AK39" i="59"/>
  <c r="AK38" i="59"/>
  <c r="AK37" i="59"/>
  <c r="AK36" i="59"/>
  <c r="AK35" i="59"/>
  <c r="AK34" i="59"/>
  <c r="AK33" i="59"/>
  <c r="AK32" i="59"/>
  <c r="AK31" i="59"/>
  <c r="AK30" i="59"/>
  <c r="AK29" i="59"/>
  <c r="AK28" i="59"/>
  <c r="AK27" i="59"/>
  <c r="AK26" i="59"/>
  <c r="AK25" i="59"/>
  <c r="AK24" i="59"/>
  <c r="AK23" i="59"/>
  <c r="AK22" i="59"/>
  <c r="AK21" i="59"/>
  <c r="AK20" i="59"/>
  <c r="AK19" i="59"/>
  <c r="AK18" i="59"/>
  <c r="AK17" i="59"/>
  <c r="AK16" i="59"/>
  <c r="AK15" i="59"/>
  <c r="AK14" i="59"/>
  <c r="AK13" i="59"/>
  <c r="AK12" i="59"/>
  <c r="I7" i="107" l="1"/>
  <c r="X38" i="22"/>
  <c r="AF67" i="57"/>
  <c r="AF69" i="53"/>
  <c r="AK70" i="57"/>
  <c r="P55" i="69"/>
  <c r="AP55" i="69"/>
  <c r="AJ66" i="57"/>
  <c r="BC56" i="69"/>
  <c r="BE56" i="69"/>
  <c r="BF56" i="69"/>
  <c r="BD56" i="69"/>
  <c r="X28" i="22"/>
  <c r="X47" i="22"/>
  <c r="K71" i="57"/>
  <c r="AH71" i="57"/>
  <c r="AI71" i="57" s="1"/>
  <c r="AX54" i="69"/>
  <c r="AW54" i="69"/>
  <c r="X90" i="22"/>
  <c r="X133" i="22"/>
  <c r="L56" i="69"/>
  <c r="M56" i="69" s="1"/>
  <c r="AZ56" i="69"/>
  <c r="Y53" i="69"/>
  <c r="AB53" i="69" s="1"/>
  <c r="AC53" i="69" s="1"/>
  <c r="AD53" i="69" s="1"/>
  <c r="AG52" i="69"/>
  <c r="F54" i="69"/>
  <c r="G54" i="69" s="1"/>
  <c r="H54" i="69" s="1"/>
  <c r="I54" i="69" s="1"/>
  <c r="J54" i="69" s="1"/>
  <c r="K54" i="69" s="1"/>
  <c r="U54" i="69"/>
  <c r="AH54" i="69"/>
  <c r="F29" i="22"/>
  <c r="F16" i="22"/>
  <c r="X76" i="22"/>
  <c r="X4" i="22"/>
  <c r="X20" i="22"/>
  <c r="X14" i="22"/>
  <c r="AG70" i="57"/>
  <c r="X68" i="57"/>
  <c r="AB68" i="57" s="1"/>
  <c r="AC71" i="53"/>
  <c r="O71" i="53"/>
  <c r="Q55" i="69"/>
  <c r="AA67" i="57"/>
  <c r="AE69" i="57"/>
  <c r="AQ69" i="57"/>
  <c r="AD69" i="57"/>
  <c r="Q69" i="57"/>
  <c r="R69" i="57"/>
  <c r="AC69" i="57"/>
  <c r="N71" i="53"/>
  <c r="AA69" i="53"/>
  <c r="AA11" i="71"/>
  <c r="AP11" i="59" a="1"/>
  <c r="AP11" i="59" s="1"/>
  <c r="AF54" i="69"/>
  <c r="P71" i="57"/>
  <c r="AO55" i="69"/>
  <c r="O56" i="69"/>
  <c r="AE70" i="53"/>
  <c r="R70" i="53"/>
  <c r="X70" i="53" s="1"/>
  <c r="AB70" i="53" s="1"/>
  <c r="AY54" i="69"/>
  <c r="L71" i="57"/>
  <c r="Q70" i="53"/>
  <c r="AT70" i="53"/>
  <c r="AG70" i="53"/>
  <c r="N71" i="57"/>
  <c r="L71" i="53"/>
  <c r="AD70" i="53"/>
  <c r="J71" i="53"/>
  <c r="D71" i="53"/>
  <c r="I71" i="53"/>
  <c r="C71" i="53"/>
  <c r="F71" i="53"/>
  <c r="K71" i="53"/>
  <c r="AH71" i="53" s="1"/>
  <c r="E71" i="53"/>
  <c r="P71" i="53"/>
  <c r="AK70" i="52" a="1"/>
  <c r="AK70" i="52" s="1"/>
  <c r="B72" i="53" s="1"/>
  <c r="G71" i="53"/>
  <c r="H71" i="53"/>
  <c r="G71" i="57"/>
  <c r="E71" i="57"/>
  <c r="D71" i="57"/>
  <c r="C71" i="57"/>
  <c r="I71" i="57"/>
  <c r="H71" i="57"/>
  <c r="F71" i="57"/>
  <c r="J71" i="57"/>
  <c r="AN70" i="55" a="1"/>
  <c r="AN70" i="55" s="1"/>
  <c r="B72" i="57" s="1"/>
  <c r="O72" i="57" s="1"/>
  <c r="D55" i="69"/>
  <c r="E55" i="69" s="1"/>
  <c r="AE54" i="69"/>
  <c r="R54" i="69"/>
  <c r="S54" i="69" s="1"/>
  <c r="C56" i="69"/>
  <c r="AS56" i="67" a="1"/>
  <c r="AS56" i="67" s="1"/>
  <c r="B57" i="69"/>
  <c r="AM57" i="69" s="1"/>
  <c r="AN57" i="69" s="1"/>
  <c r="S7" i="78"/>
  <c r="S6" i="78"/>
  <c r="AA257" i="71" l="1"/>
  <c r="J7" i="107"/>
  <c r="AF70" i="53"/>
  <c r="AF68" i="57"/>
  <c r="P56" i="69"/>
  <c r="AP56" i="69"/>
  <c r="AK71" i="57"/>
  <c r="AJ67" i="57"/>
  <c r="BC57" i="69"/>
  <c r="BE57" i="69"/>
  <c r="BF57" i="69"/>
  <c r="BD57" i="69"/>
  <c r="AH72" i="57"/>
  <c r="AI72" i="57" s="1"/>
  <c r="K72" i="57"/>
  <c r="AW55" i="69"/>
  <c r="AX55" i="69"/>
  <c r="L57" i="69"/>
  <c r="M57" i="69" s="1"/>
  <c r="AZ57" i="69"/>
  <c r="AG53" i="69"/>
  <c r="Y54" i="69"/>
  <c r="AB54" i="69" s="1"/>
  <c r="AC54" i="69" s="1"/>
  <c r="AD54" i="69" s="1"/>
  <c r="F55" i="69"/>
  <c r="G55" i="69" s="1"/>
  <c r="H55" i="69" s="1"/>
  <c r="I55" i="69" s="1"/>
  <c r="J55" i="69" s="1"/>
  <c r="K55" i="69" s="1"/>
  <c r="U55" i="69"/>
  <c r="AH55" i="69"/>
  <c r="S10" i="78"/>
  <c r="J38" i="59"/>
  <c r="Y38" i="59" s="1"/>
  <c r="J20" i="59"/>
  <c r="J42" i="59"/>
  <c r="Y42" i="59" s="1"/>
  <c r="J34" i="59"/>
  <c r="J26" i="59"/>
  <c r="Y26" i="59" s="1"/>
  <c r="J30" i="59"/>
  <c r="J18" i="59"/>
  <c r="AW42" i="59"/>
  <c r="AJ42" i="59"/>
  <c r="B42" i="59"/>
  <c r="AW30" i="59"/>
  <c r="AJ30" i="59"/>
  <c r="B30" i="59"/>
  <c r="AW18" i="59"/>
  <c r="AJ18" i="59"/>
  <c r="B18" i="59"/>
  <c r="AW26" i="59"/>
  <c r="AJ26" i="59"/>
  <c r="B26" i="59"/>
  <c r="AW34" i="59"/>
  <c r="AJ34" i="59"/>
  <c r="B34" i="59"/>
  <c r="AW20" i="59"/>
  <c r="B20" i="59"/>
  <c r="AJ20" i="59"/>
  <c r="AW38" i="59"/>
  <c r="AJ38" i="59"/>
  <c r="B38" i="59"/>
  <c r="X69" i="57"/>
  <c r="AB69" i="57" s="1"/>
  <c r="AG71" i="57"/>
  <c r="AC72" i="53"/>
  <c r="O72" i="53"/>
  <c r="Q56" i="69"/>
  <c r="AA68" i="57"/>
  <c r="R70" i="57"/>
  <c r="AC70" i="57"/>
  <c r="Q70" i="57"/>
  <c r="AE70" i="57"/>
  <c r="AD70" i="57"/>
  <c r="AQ70" i="57"/>
  <c r="AB257" i="71"/>
  <c r="X96" i="22"/>
  <c r="N72" i="53"/>
  <c r="AA70" i="53"/>
  <c r="AF55" i="69"/>
  <c r="P72" i="57"/>
  <c r="AO56" i="69"/>
  <c r="O57" i="69"/>
  <c r="AE71" i="53"/>
  <c r="R71" i="53"/>
  <c r="X71" i="53" s="1"/>
  <c r="AB71" i="53" s="1"/>
  <c r="AY55" i="69"/>
  <c r="L72" i="57"/>
  <c r="AG71" i="53"/>
  <c r="AT71" i="53"/>
  <c r="N72" i="57"/>
  <c r="L72" i="53"/>
  <c r="AD71" i="53"/>
  <c r="Q71" i="53"/>
  <c r="AK71" i="52" a="1"/>
  <c r="AK71" i="52" s="1"/>
  <c r="B73" i="53" s="1"/>
  <c r="P72" i="53"/>
  <c r="E72" i="53"/>
  <c r="D72" i="53"/>
  <c r="C72" i="53"/>
  <c r="F72" i="53"/>
  <c r="K72" i="53"/>
  <c r="AH72" i="53" s="1"/>
  <c r="H72" i="53"/>
  <c r="G72" i="53"/>
  <c r="J72" i="53"/>
  <c r="I72" i="53"/>
  <c r="I72" i="57"/>
  <c r="F72" i="57"/>
  <c r="E72" i="57"/>
  <c r="C72" i="57"/>
  <c r="J72" i="57"/>
  <c r="H72" i="57"/>
  <c r="D72" i="57"/>
  <c r="G72" i="57"/>
  <c r="AN71" i="55" a="1"/>
  <c r="AN71" i="55" s="1"/>
  <c r="B73" i="57" s="1"/>
  <c r="O73" i="57" s="1"/>
  <c r="C57" i="69"/>
  <c r="D56" i="69"/>
  <c r="E56" i="69" s="1"/>
  <c r="AS57" i="67" a="1"/>
  <c r="AS57" i="67" s="1"/>
  <c r="B58" i="69"/>
  <c r="AM58" i="69" s="1"/>
  <c r="AN58" i="69" s="1"/>
  <c r="AE55" i="69"/>
  <c r="R55" i="69"/>
  <c r="S55" i="69" s="1"/>
  <c r="AP12" i="59" a="1"/>
  <c r="AP12" i="59" s="1"/>
  <c r="E13" i="50" s="1"/>
  <c r="T13" i="50" s="1"/>
  <c r="E12" i="50"/>
  <c r="L7" i="29"/>
  <c r="AF69" i="57" l="1"/>
  <c r="AF71" i="53"/>
  <c r="P57" i="69"/>
  <c r="AP57" i="69"/>
  <c r="AK72" i="57"/>
  <c r="AJ68" i="57"/>
  <c r="X34" i="59"/>
  <c r="T34" i="59" s="1"/>
  <c r="Y34" i="59"/>
  <c r="X30" i="59"/>
  <c r="T30" i="59" s="1"/>
  <c r="Y30" i="59"/>
  <c r="X20" i="59"/>
  <c r="T20" i="59" s="1"/>
  <c r="Y20" i="59"/>
  <c r="X18" i="59"/>
  <c r="T18" i="59" s="1"/>
  <c r="Y18" i="59"/>
  <c r="AQ13" i="50"/>
  <c r="BC58" i="69"/>
  <c r="BE58" i="69"/>
  <c r="BF58" i="69"/>
  <c r="BD58" i="69"/>
  <c r="AH73" i="57"/>
  <c r="AI73" i="57" s="1"/>
  <c r="K73" i="57"/>
  <c r="AY12" i="50"/>
  <c r="AQ12" i="50"/>
  <c r="L12" i="50"/>
  <c r="AW56" i="69"/>
  <c r="AX56" i="69"/>
  <c r="L58" i="69"/>
  <c r="M58" i="69" s="1"/>
  <c r="AZ58" i="69"/>
  <c r="X26" i="59"/>
  <c r="T26" i="59" s="1"/>
  <c r="X38" i="59"/>
  <c r="T38" i="59" s="1"/>
  <c r="X42" i="59"/>
  <c r="T42" i="59" s="1"/>
  <c r="Y55" i="69"/>
  <c r="AB55" i="69" s="1"/>
  <c r="AG54" i="69"/>
  <c r="F56" i="69"/>
  <c r="G56" i="69" s="1"/>
  <c r="H56" i="69" s="1"/>
  <c r="I56" i="69" s="1"/>
  <c r="J56" i="69" s="1"/>
  <c r="K56" i="69" s="1"/>
  <c r="U56" i="69"/>
  <c r="AH56" i="69"/>
  <c r="AY13" i="50"/>
  <c r="F13" i="50"/>
  <c r="F12" i="50"/>
  <c r="J255" i="59"/>
  <c r="J35" i="59"/>
  <c r="J28" i="59"/>
  <c r="J33" i="59"/>
  <c r="J39" i="59"/>
  <c r="J31" i="59"/>
  <c r="J48" i="59"/>
  <c r="J25" i="59"/>
  <c r="J45" i="59"/>
  <c r="J19" i="59"/>
  <c r="J27" i="59"/>
  <c r="J24" i="59"/>
  <c r="Y24" i="59" s="1"/>
  <c r="J36" i="59"/>
  <c r="J40" i="59"/>
  <c r="Y40" i="59" s="1"/>
  <c r="J37" i="59"/>
  <c r="Y37" i="59" s="1"/>
  <c r="AW29" i="59"/>
  <c r="AJ29" i="59"/>
  <c r="B29" i="59"/>
  <c r="AW35" i="59"/>
  <c r="AJ35" i="59"/>
  <c r="B35" i="59"/>
  <c r="AW19" i="59"/>
  <c r="AJ19" i="59"/>
  <c r="B19" i="59"/>
  <c r="AW33" i="59"/>
  <c r="AJ33" i="59"/>
  <c r="B33" i="59"/>
  <c r="AW48" i="59"/>
  <c r="AJ48" i="59"/>
  <c r="B48" i="59"/>
  <c r="AW45" i="59"/>
  <c r="AJ45" i="59"/>
  <c r="B45" i="59"/>
  <c r="AW40" i="59"/>
  <c r="AJ40" i="59"/>
  <c r="B40" i="59"/>
  <c r="AW36" i="59"/>
  <c r="AJ36" i="59"/>
  <c r="B36" i="59"/>
  <c r="AW255" i="59"/>
  <c r="AJ255" i="59"/>
  <c r="B255" i="59"/>
  <c r="AW50" i="59"/>
  <c r="AJ50" i="59"/>
  <c r="B50" i="59"/>
  <c r="AW39" i="59"/>
  <c r="AJ39" i="59"/>
  <c r="B39" i="59"/>
  <c r="AW37" i="59"/>
  <c r="AJ37" i="59"/>
  <c r="B37" i="59"/>
  <c r="AW28" i="59"/>
  <c r="AJ28" i="59"/>
  <c r="B28" i="59"/>
  <c r="AW47" i="59"/>
  <c r="AJ47" i="59"/>
  <c r="B47" i="59"/>
  <c r="AW24" i="59"/>
  <c r="AJ24" i="59"/>
  <c r="B24" i="59"/>
  <c r="AW27" i="59"/>
  <c r="AJ27" i="59"/>
  <c r="B27" i="59"/>
  <c r="AW25" i="59"/>
  <c r="AJ25" i="59"/>
  <c r="B25" i="59"/>
  <c r="AW31" i="59"/>
  <c r="AJ31" i="59"/>
  <c r="B31" i="59"/>
  <c r="AW17" i="59"/>
  <c r="I17" i="59" s="1"/>
  <c r="J17" i="59" s="1"/>
  <c r="AJ17" i="59"/>
  <c r="B17" i="59"/>
  <c r="X70" i="57"/>
  <c r="AB70" i="57" s="1"/>
  <c r="AG72" i="57"/>
  <c r="AC73" i="53"/>
  <c r="O73" i="53"/>
  <c r="Q57" i="69"/>
  <c r="Q71" i="57"/>
  <c r="R71" i="57"/>
  <c r="AD71" i="57"/>
  <c r="AA69" i="57"/>
  <c r="AQ71" i="57"/>
  <c r="AC71" i="57"/>
  <c r="AE71" i="57"/>
  <c r="N73" i="53"/>
  <c r="AA71" i="53"/>
  <c r="O12" i="50"/>
  <c r="AF56" i="69"/>
  <c r="P73" i="57"/>
  <c r="AO57" i="69"/>
  <c r="O58" i="69"/>
  <c r="AE72" i="53"/>
  <c r="R72" i="53"/>
  <c r="X72" i="53" s="1"/>
  <c r="AB72" i="53" s="1"/>
  <c r="AL30" i="22"/>
  <c r="AL32" i="22"/>
  <c r="AY56" i="69"/>
  <c r="L73" i="57"/>
  <c r="AT72" i="53"/>
  <c r="AG72" i="53"/>
  <c r="N73" i="57"/>
  <c r="Q72" i="53"/>
  <c r="AD72" i="53"/>
  <c r="P73" i="53"/>
  <c r="J73" i="53"/>
  <c r="G73" i="53"/>
  <c r="L73" i="53"/>
  <c r="F73" i="53"/>
  <c r="I73" i="53"/>
  <c r="AK72" i="52" a="1"/>
  <c r="AK72" i="52" s="1"/>
  <c r="B74" i="53" s="1"/>
  <c r="H73" i="53"/>
  <c r="C73" i="53"/>
  <c r="K73" i="53"/>
  <c r="AH73" i="53" s="1"/>
  <c r="D73" i="53"/>
  <c r="E73" i="53"/>
  <c r="A13" i="50"/>
  <c r="M13" i="50"/>
  <c r="G13" i="50"/>
  <c r="B13" i="50"/>
  <c r="J13" i="50"/>
  <c r="L13" i="50"/>
  <c r="B12" i="50"/>
  <c r="A12" i="50"/>
  <c r="J12" i="50"/>
  <c r="G12" i="50"/>
  <c r="C73" i="57"/>
  <c r="I73" i="57"/>
  <c r="H73" i="57"/>
  <c r="G73" i="57"/>
  <c r="E73" i="57"/>
  <c r="D73" i="57"/>
  <c r="F73" i="57"/>
  <c r="J73" i="57"/>
  <c r="AN72" i="55" a="1"/>
  <c r="AN72" i="55" s="1"/>
  <c r="B74" i="57" s="1"/>
  <c r="O74" i="57" s="1"/>
  <c r="R56" i="69"/>
  <c r="S56" i="69" s="1"/>
  <c r="AE56" i="69"/>
  <c r="D57" i="69"/>
  <c r="E57" i="69" s="1"/>
  <c r="C58" i="69"/>
  <c r="AS58" i="67" a="1"/>
  <c r="AS58" i="67" s="1"/>
  <c r="B59" i="69"/>
  <c r="AM59" i="69" s="1"/>
  <c r="AN59" i="69" s="1"/>
  <c r="AP13" i="59" a="1"/>
  <c r="AP13" i="59" s="1"/>
  <c r="E14" i="50" s="1"/>
  <c r="T14" i="50" s="1"/>
  <c r="Y17" i="59" l="1"/>
  <c r="Q17" i="59"/>
  <c r="AF70" i="57"/>
  <c r="AF72" i="53"/>
  <c r="P58" i="69"/>
  <c r="AP58" i="69"/>
  <c r="AK73" i="57"/>
  <c r="AJ69" i="57"/>
  <c r="AY18" i="59"/>
  <c r="AY20" i="59"/>
  <c r="AY42" i="59"/>
  <c r="AY38" i="59"/>
  <c r="AY30" i="59"/>
  <c r="AY26" i="59"/>
  <c r="AY34" i="59"/>
  <c r="X45" i="59"/>
  <c r="T45" i="59" s="1"/>
  <c r="Y45" i="59"/>
  <c r="X25" i="59"/>
  <c r="T25" i="59" s="1"/>
  <c r="Y25" i="59"/>
  <c r="X48" i="59"/>
  <c r="T48" i="59" s="1"/>
  <c r="Y48" i="59"/>
  <c r="X31" i="59"/>
  <c r="T31" i="59" s="1"/>
  <c r="Y31" i="59"/>
  <c r="X36" i="59"/>
  <c r="T36" i="59" s="1"/>
  <c r="Y36" i="59"/>
  <c r="X39" i="59"/>
  <c r="T39" i="59" s="1"/>
  <c r="Y39" i="59"/>
  <c r="X255" i="59"/>
  <c r="T255" i="59" s="1"/>
  <c r="Y255" i="59"/>
  <c r="X33" i="59"/>
  <c r="T33" i="59" s="1"/>
  <c r="Y33" i="59"/>
  <c r="X27" i="59"/>
  <c r="T27" i="59" s="1"/>
  <c r="Y27" i="59"/>
  <c r="X28" i="59"/>
  <c r="T28" i="59" s="1"/>
  <c r="Y28" i="59"/>
  <c r="X19" i="59"/>
  <c r="T19" i="59" s="1"/>
  <c r="Y19" i="59"/>
  <c r="X35" i="59"/>
  <c r="T35" i="59" s="1"/>
  <c r="Y35" i="59"/>
  <c r="AK14" i="50"/>
  <c r="AO13" i="50"/>
  <c r="AO12" i="50"/>
  <c r="BC59" i="69"/>
  <c r="BD59" i="69"/>
  <c r="BE59" i="69"/>
  <c r="BF59" i="69"/>
  <c r="AH74" i="57"/>
  <c r="AI74" i="57" s="1"/>
  <c r="K74" i="57"/>
  <c r="P13" i="50"/>
  <c r="P12" i="50"/>
  <c r="N14" i="50"/>
  <c r="AQ14" i="50"/>
  <c r="AX57" i="69"/>
  <c r="AW57" i="69"/>
  <c r="L59" i="69"/>
  <c r="M59" i="69" s="1"/>
  <c r="AZ59" i="69"/>
  <c r="AG55" i="69"/>
  <c r="F57" i="69"/>
  <c r="G57" i="69" s="1"/>
  <c r="H57" i="69" s="1"/>
  <c r="I57" i="69" s="1"/>
  <c r="J57" i="69" s="1"/>
  <c r="K57" i="69" s="1"/>
  <c r="U57" i="69"/>
  <c r="AH57" i="69"/>
  <c r="F14" i="50"/>
  <c r="U14" i="50" s="1"/>
  <c r="AY14" i="50"/>
  <c r="J49" i="59"/>
  <c r="J41" i="59"/>
  <c r="J52" i="59"/>
  <c r="J44" i="59"/>
  <c r="X17" i="59"/>
  <c r="T17" i="59" s="1"/>
  <c r="AA17" i="59" s="1"/>
  <c r="AU17" i="59" s="1"/>
  <c r="X37" i="59"/>
  <c r="T37" i="59" s="1"/>
  <c r="X40" i="59"/>
  <c r="T40" i="59" s="1"/>
  <c r="X24" i="59"/>
  <c r="T24" i="59" s="1"/>
  <c r="J29" i="59"/>
  <c r="J50" i="59"/>
  <c r="J47" i="59"/>
  <c r="J46" i="59"/>
  <c r="J43" i="59"/>
  <c r="J51" i="59"/>
  <c r="J32" i="59"/>
  <c r="J230" i="59"/>
  <c r="K13" i="50"/>
  <c r="AW43" i="59"/>
  <c r="AJ43" i="59"/>
  <c r="B43" i="59"/>
  <c r="AW51" i="59"/>
  <c r="AJ51" i="59"/>
  <c r="B51" i="59"/>
  <c r="AW32" i="59"/>
  <c r="AJ32" i="59"/>
  <c r="B32" i="59"/>
  <c r="AW230" i="59"/>
  <c r="AJ230" i="59"/>
  <c r="B230" i="59"/>
  <c r="AW13" i="59"/>
  <c r="I13" i="59" s="1"/>
  <c r="J13" i="59" s="1"/>
  <c r="Q13" i="59" s="1"/>
  <c r="AJ13" i="59"/>
  <c r="B13" i="59"/>
  <c r="AW12" i="59"/>
  <c r="I12" i="59" s="1"/>
  <c r="AJ12" i="59"/>
  <c r="B12" i="59"/>
  <c r="AW41" i="59"/>
  <c r="AJ41" i="59"/>
  <c r="B41" i="59"/>
  <c r="AW52" i="59"/>
  <c r="AJ52" i="59"/>
  <c r="B52" i="59"/>
  <c r="AW14" i="59"/>
  <c r="I14" i="59" s="1"/>
  <c r="J14" i="59" s="1"/>
  <c r="Q14" i="59" s="1"/>
  <c r="AJ14" i="59"/>
  <c r="B14" i="59"/>
  <c r="AW49" i="59"/>
  <c r="AJ49" i="59"/>
  <c r="B49" i="59"/>
  <c r="AW44" i="59"/>
  <c r="AJ44" i="59"/>
  <c r="B44" i="59"/>
  <c r="AW16" i="59"/>
  <c r="I16" i="59" s="1"/>
  <c r="J16" i="59" s="1"/>
  <c r="Q16" i="59" s="1"/>
  <c r="AJ16" i="59"/>
  <c r="B16" i="59"/>
  <c r="AW15" i="59"/>
  <c r="I15" i="59" s="1"/>
  <c r="J15" i="59" s="1"/>
  <c r="Q15" i="59" s="1"/>
  <c r="AJ15" i="59"/>
  <c r="B15" i="59"/>
  <c r="AW46" i="59"/>
  <c r="AJ46" i="59"/>
  <c r="B46" i="59"/>
  <c r="Y56" i="69"/>
  <c r="AB56" i="69" s="1"/>
  <c r="AC56" i="69" s="1"/>
  <c r="AD56" i="69" s="1"/>
  <c r="X71" i="57"/>
  <c r="AB71" i="57" s="1"/>
  <c r="AG73" i="57"/>
  <c r="AC74" i="53"/>
  <c r="O74" i="53"/>
  <c r="Q58" i="69"/>
  <c r="AA70" i="57"/>
  <c r="AE72" i="57"/>
  <c r="Q72" i="57"/>
  <c r="AQ72" i="57"/>
  <c r="R72" i="57"/>
  <c r="AD72" i="57"/>
  <c r="AC72" i="57"/>
  <c r="N74" i="53"/>
  <c r="O14" i="50"/>
  <c r="AA72" i="53"/>
  <c r="S13" i="50"/>
  <c r="S12" i="50"/>
  <c r="AF57" i="69"/>
  <c r="P74" i="57"/>
  <c r="AL31" i="22"/>
  <c r="AC55" i="69"/>
  <c r="AD55" i="69" s="1"/>
  <c r="O59" i="69"/>
  <c r="AO58" i="69"/>
  <c r="AE73" i="53"/>
  <c r="R73" i="53"/>
  <c r="X73" i="53" s="1"/>
  <c r="AB73" i="53" s="1"/>
  <c r="AY57" i="69"/>
  <c r="L74" i="57"/>
  <c r="AG73" i="53"/>
  <c r="AT73" i="53"/>
  <c r="Q73" i="53"/>
  <c r="N74" i="57"/>
  <c r="AD73" i="53"/>
  <c r="D74" i="53"/>
  <c r="I74" i="53"/>
  <c r="G74" i="53"/>
  <c r="F74" i="53"/>
  <c r="P74" i="53"/>
  <c r="K74" i="53"/>
  <c r="AH74" i="53" s="1"/>
  <c r="L74" i="53"/>
  <c r="AK73" i="52" a="1"/>
  <c r="AK73" i="52" s="1"/>
  <c r="B75" i="53" s="1"/>
  <c r="C74" i="53"/>
  <c r="E74" i="53"/>
  <c r="H74" i="53"/>
  <c r="J74" i="53"/>
  <c r="I14" i="50"/>
  <c r="B14" i="50"/>
  <c r="H14" i="50"/>
  <c r="L14" i="50"/>
  <c r="M14" i="50"/>
  <c r="A14" i="50"/>
  <c r="G14" i="50"/>
  <c r="K14" i="50"/>
  <c r="J14" i="50"/>
  <c r="J74" i="57"/>
  <c r="G74" i="57"/>
  <c r="D74" i="57"/>
  <c r="F74" i="57"/>
  <c r="E74" i="57"/>
  <c r="I74" i="57"/>
  <c r="C74" i="57"/>
  <c r="H74" i="57"/>
  <c r="AN73" i="55" a="1"/>
  <c r="AN73" i="55" s="1"/>
  <c r="B75" i="57" s="1"/>
  <c r="O75" i="57" s="1"/>
  <c r="AS59" i="67" a="1"/>
  <c r="AS59" i="67" s="1"/>
  <c r="B60" i="69"/>
  <c r="AM60" i="69" s="1"/>
  <c r="AN60" i="69" s="1"/>
  <c r="D58" i="69"/>
  <c r="E58" i="69" s="1"/>
  <c r="AE57" i="69"/>
  <c r="R57" i="69"/>
  <c r="S57" i="69" s="1"/>
  <c r="C59" i="69"/>
  <c r="AP14" i="59" a="1"/>
  <c r="AP14" i="59" s="1"/>
  <c r="E15" i="50" s="1"/>
  <c r="T15" i="50" s="1"/>
  <c r="AF71" i="57" l="1"/>
  <c r="AF73" i="53"/>
  <c r="P59" i="69"/>
  <c r="AP59" i="69"/>
  <c r="AK74" i="57"/>
  <c r="AJ70" i="57"/>
  <c r="AY37" i="59"/>
  <c r="AY45" i="59"/>
  <c r="AY36" i="59"/>
  <c r="AY35" i="59"/>
  <c r="AY33" i="59"/>
  <c r="AY31" i="59"/>
  <c r="AY19" i="59"/>
  <c r="AY255" i="59"/>
  <c r="AY48" i="59"/>
  <c r="AY17" i="59"/>
  <c r="AY27" i="59"/>
  <c r="AY24" i="59"/>
  <c r="AY40" i="59"/>
  <c r="AY28" i="59"/>
  <c r="AY39" i="59"/>
  <c r="AY25" i="59"/>
  <c r="X15" i="59"/>
  <c r="Y15" i="59"/>
  <c r="X14" i="59"/>
  <c r="Y14" i="59"/>
  <c r="X13" i="59"/>
  <c r="Y13" i="59"/>
  <c r="X46" i="59"/>
  <c r="T46" i="59" s="1"/>
  <c r="Y46" i="59"/>
  <c r="X47" i="59"/>
  <c r="T47" i="59" s="1"/>
  <c r="Y47" i="59"/>
  <c r="X44" i="59"/>
  <c r="T44" i="59" s="1"/>
  <c r="Y44" i="59"/>
  <c r="X50" i="59"/>
  <c r="T50" i="59" s="1"/>
  <c r="Y50" i="59"/>
  <c r="X43" i="59"/>
  <c r="T43" i="59" s="1"/>
  <c r="Y43" i="59"/>
  <c r="X29" i="59"/>
  <c r="T29" i="59" s="1"/>
  <c r="Y29" i="59"/>
  <c r="X52" i="59"/>
  <c r="T52" i="59" s="1"/>
  <c r="Y52" i="59"/>
  <c r="X230" i="59"/>
  <c r="T230" i="59" s="1"/>
  <c r="Y230" i="59"/>
  <c r="X41" i="59"/>
  <c r="T41" i="59" s="1"/>
  <c r="Y41" i="59"/>
  <c r="X32" i="59"/>
  <c r="T32" i="59" s="1"/>
  <c r="Y32" i="59"/>
  <c r="X16" i="59"/>
  <c r="Y16" i="59"/>
  <c r="X51" i="59"/>
  <c r="T51" i="59" s="1"/>
  <c r="Y51" i="59"/>
  <c r="X49" i="59"/>
  <c r="T49" i="59" s="1"/>
  <c r="Y49" i="59"/>
  <c r="AK15" i="50"/>
  <c r="BC60" i="69"/>
  <c r="BD60" i="69"/>
  <c r="BE60" i="69"/>
  <c r="BF60" i="69"/>
  <c r="AH75" i="57"/>
  <c r="AI75" i="57" s="1"/>
  <c r="K75" i="57"/>
  <c r="P14" i="50"/>
  <c r="N15" i="50"/>
  <c r="AQ15" i="50"/>
  <c r="AO14" i="50"/>
  <c r="AX58" i="69"/>
  <c r="AW58" i="69"/>
  <c r="L60" i="69"/>
  <c r="M60" i="69" s="1"/>
  <c r="AZ60" i="69"/>
  <c r="Y57" i="69"/>
  <c r="AB57" i="69" s="1"/>
  <c r="F58" i="69"/>
  <c r="G58" i="69" s="1"/>
  <c r="H58" i="69" s="1"/>
  <c r="I58" i="69" s="1"/>
  <c r="J58" i="69" s="1"/>
  <c r="K58" i="69" s="1"/>
  <c r="U58" i="69"/>
  <c r="AH58" i="69"/>
  <c r="J12" i="59"/>
  <c r="Q12" i="59" s="1"/>
  <c r="H13" i="50"/>
  <c r="O13" i="50"/>
  <c r="F15" i="50"/>
  <c r="U15" i="50" s="1"/>
  <c r="AY15" i="50"/>
  <c r="AG56" i="69"/>
  <c r="X72" i="57"/>
  <c r="AG74" i="57"/>
  <c r="AC73" i="57"/>
  <c r="AC75" i="53"/>
  <c r="O75" i="53"/>
  <c r="Q59" i="69"/>
  <c r="AA71" i="57"/>
  <c r="R73" i="57"/>
  <c r="Q73" i="57"/>
  <c r="AD73" i="57"/>
  <c r="AD5" i="50"/>
  <c r="AQ73" i="57"/>
  <c r="AE73" i="57"/>
  <c r="Z13" i="50"/>
  <c r="N75" i="53"/>
  <c r="O15" i="50"/>
  <c r="AA73" i="53"/>
  <c r="AJ13" i="50"/>
  <c r="C13" i="50"/>
  <c r="S14" i="50"/>
  <c r="AJ12" i="50"/>
  <c r="Z12" i="50"/>
  <c r="W12" i="50"/>
  <c r="C12" i="50"/>
  <c r="W13" i="50"/>
  <c r="V12" i="50"/>
  <c r="V13" i="50"/>
  <c r="AF58" i="69"/>
  <c r="P75" i="57"/>
  <c r="AO59" i="69"/>
  <c r="O60" i="69"/>
  <c r="AE74" i="53"/>
  <c r="R74" i="53"/>
  <c r="X74" i="53" s="1"/>
  <c r="AB74" i="53" s="1"/>
  <c r="AY58" i="69"/>
  <c r="L75" i="57"/>
  <c r="AT74" i="53"/>
  <c r="AG74" i="53"/>
  <c r="N75" i="57"/>
  <c r="E75" i="53"/>
  <c r="AD74" i="53"/>
  <c r="Q74" i="53"/>
  <c r="F75" i="53"/>
  <c r="H75" i="53"/>
  <c r="P75" i="53"/>
  <c r="J75" i="53"/>
  <c r="I75" i="53"/>
  <c r="D75" i="53"/>
  <c r="G75" i="53"/>
  <c r="K75" i="53"/>
  <c r="AH75" i="53" s="1"/>
  <c r="L75" i="53"/>
  <c r="AK74" i="52" a="1"/>
  <c r="AK74" i="52" s="1"/>
  <c r="B76" i="53" s="1"/>
  <c r="C75" i="53"/>
  <c r="K15" i="50"/>
  <c r="B15" i="50"/>
  <c r="A15" i="50"/>
  <c r="M15" i="50"/>
  <c r="H15" i="50"/>
  <c r="I15" i="50"/>
  <c r="J15" i="50"/>
  <c r="G15" i="50"/>
  <c r="L15" i="50"/>
  <c r="D75" i="57"/>
  <c r="I75" i="57"/>
  <c r="H75" i="57"/>
  <c r="G75" i="57"/>
  <c r="E75" i="57"/>
  <c r="C75" i="57"/>
  <c r="F75" i="57"/>
  <c r="J75" i="57"/>
  <c r="AN74" i="55" a="1"/>
  <c r="AN74" i="55" s="1"/>
  <c r="B76" i="57" s="1"/>
  <c r="O76" i="57" s="1"/>
  <c r="AS60" i="67" a="1"/>
  <c r="AS60" i="67" s="1"/>
  <c r="B61" i="69"/>
  <c r="AM61" i="69" s="1"/>
  <c r="AN61" i="69" s="1"/>
  <c r="D59" i="69"/>
  <c r="E59" i="69" s="1"/>
  <c r="AE58" i="69"/>
  <c r="R58" i="69"/>
  <c r="S58" i="69" s="1"/>
  <c r="C60" i="69"/>
  <c r="AP15" i="59" a="1"/>
  <c r="AP15" i="59" s="1"/>
  <c r="E16" i="50" s="1"/>
  <c r="T16" i="50" s="1"/>
  <c r="T16" i="59" l="1"/>
  <c r="AA16" i="59" s="1"/>
  <c r="AU16" i="59" s="1"/>
  <c r="V76" i="22"/>
  <c r="T15" i="59"/>
  <c r="V134" i="22"/>
  <c r="T13" i="59"/>
  <c r="V54" i="22"/>
  <c r="T14" i="59"/>
  <c r="V72" i="22"/>
  <c r="AA72" i="57"/>
  <c r="AB72" i="57"/>
  <c r="AF72" i="57" s="1"/>
  <c r="AF74" i="53"/>
  <c r="P60" i="69"/>
  <c r="AP60" i="69"/>
  <c r="AK75" i="57"/>
  <c r="AJ71" i="57"/>
  <c r="AY49" i="59"/>
  <c r="AY41" i="59"/>
  <c r="AY43" i="59"/>
  <c r="AY46" i="59"/>
  <c r="AY51" i="59"/>
  <c r="AY230" i="59"/>
  <c r="AY50" i="59"/>
  <c r="AY13" i="59"/>
  <c r="AY16" i="59"/>
  <c r="AY52" i="59"/>
  <c r="AY44" i="59"/>
  <c r="AY14" i="59"/>
  <c r="AY32" i="59"/>
  <c r="AY29" i="59"/>
  <c r="AY47" i="59"/>
  <c r="AY15" i="59"/>
  <c r="AK16" i="50"/>
  <c r="Y12" i="59"/>
  <c r="BC61" i="69"/>
  <c r="BF61" i="69"/>
  <c r="BD61" i="69"/>
  <c r="BE61" i="69"/>
  <c r="AH76" i="57"/>
  <c r="AI76" i="57" s="1"/>
  <c r="K76" i="57"/>
  <c r="P15" i="50"/>
  <c r="AO15" i="50"/>
  <c r="AQ16" i="50"/>
  <c r="N16" i="50"/>
  <c r="AX59" i="69"/>
  <c r="AW59" i="69"/>
  <c r="L61" i="69"/>
  <c r="M61" i="69" s="1"/>
  <c r="AZ61" i="69"/>
  <c r="AG57" i="69"/>
  <c r="U59" i="69"/>
  <c r="AH59" i="69"/>
  <c r="F59" i="69"/>
  <c r="G59" i="69" s="1"/>
  <c r="H59" i="69" s="1"/>
  <c r="I59" i="69" s="1"/>
  <c r="J59" i="69" s="1"/>
  <c r="K59" i="69" s="1"/>
  <c r="X12" i="59"/>
  <c r="I13" i="50"/>
  <c r="U13" i="50" s="1"/>
  <c r="F16" i="50"/>
  <c r="U16" i="50" s="1"/>
  <c r="AY16" i="50"/>
  <c r="X73" i="57"/>
  <c r="AB73" i="57" s="1"/>
  <c r="Y58" i="69"/>
  <c r="AB58" i="69" s="1"/>
  <c r="AC58" i="69" s="1"/>
  <c r="AD58" i="69" s="1"/>
  <c r="AG75" i="57"/>
  <c r="AC76" i="53"/>
  <c r="O76" i="53"/>
  <c r="Q60" i="69"/>
  <c r="AQ74" i="57"/>
  <c r="AD74" i="57"/>
  <c r="R74" i="57"/>
  <c r="Q74" i="57"/>
  <c r="AC74" i="57"/>
  <c r="AE74" i="57"/>
  <c r="N76" i="53"/>
  <c r="O16" i="50"/>
  <c r="AA74" i="53"/>
  <c r="C14" i="50"/>
  <c r="Z14" i="50"/>
  <c r="AJ14" i="50"/>
  <c r="S15" i="50"/>
  <c r="W14" i="50"/>
  <c r="X13" i="50"/>
  <c r="V14" i="50"/>
  <c r="AF59" i="69"/>
  <c r="P76" i="57"/>
  <c r="AC57" i="69"/>
  <c r="AD57" i="69" s="1"/>
  <c r="AO60" i="69"/>
  <c r="O61" i="69"/>
  <c r="AE75" i="53"/>
  <c r="R75" i="53"/>
  <c r="X75" i="53" s="1"/>
  <c r="AB75" i="53" s="1"/>
  <c r="AY59" i="69"/>
  <c r="L76" i="57"/>
  <c r="AG75" i="53"/>
  <c r="AT75" i="53"/>
  <c r="N76" i="57"/>
  <c r="AD75" i="53"/>
  <c r="Q75" i="53"/>
  <c r="H76" i="53"/>
  <c r="P76" i="53"/>
  <c r="E76" i="53"/>
  <c r="K76" i="53"/>
  <c r="AH76" i="53" s="1"/>
  <c r="C76" i="53"/>
  <c r="I76" i="53"/>
  <c r="D76" i="53"/>
  <c r="F76" i="53"/>
  <c r="L76" i="53"/>
  <c r="AK75" i="52" a="1"/>
  <c r="AK75" i="52" s="1"/>
  <c r="B77" i="53" s="1"/>
  <c r="G76" i="53"/>
  <c r="J76" i="53"/>
  <c r="B16" i="50"/>
  <c r="M16" i="50"/>
  <c r="L16" i="50"/>
  <c r="K16" i="50"/>
  <c r="G16" i="50"/>
  <c r="A16" i="50"/>
  <c r="H16" i="50"/>
  <c r="I16" i="50"/>
  <c r="J16" i="50"/>
  <c r="F76" i="57"/>
  <c r="I76" i="57"/>
  <c r="C76" i="57"/>
  <c r="H76" i="57"/>
  <c r="D76" i="57"/>
  <c r="G76" i="57"/>
  <c r="E76" i="57"/>
  <c r="J76" i="57"/>
  <c r="AN75" i="55" a="1"/>
  <c r="AN75" i="55" s="1"/>
  <c r="B77" i="57" s="1"/>
  <c r="O77" i="57" s="1"/>
  <c r="D60" i="69"/>
  <c r="E60" i="69" s="1"/>
  <c r="AE59" i="69"/>
  <c r="R59" i="69"/>
  <c r="S59" i="69" s="1"/>
  <c r="C61" i="69"/>
  <c r="AS61" i="67" a="1"/>
  <c r="AS61" i="67" s="1"/>
  <c r="B62" i="69"/>
  <c r="AM62" i="69" s="1"/>
  <c r="AN62" i="69" s="1"/>
  <c r="AP16" i="59" a="1"/>
  <c r="AP16" i="59" s="1"/>
  <c r="E17" i="50" s="1"/>
  <c r="T17" i="50" s="1"/>
  <c r="T72" i="22" l="1"/>
  <c r="AA14" i="59"/>
  <c r="AU14" i="59" s="1"/>
  <c r="T54" i="22"/>
  <c r="AA13" i="59"/>
  <c r="AU13" i="59" s="1"/>
  <c r="T134" i="22"/>
  <c r="AL35" i="22" s="1"/>
  <c r="D72" i="36" s="1"/>
  <c r="AA15" i="59"/>
  <c r="AU15" i="59" s="1"/>
  <c r="T12" i="59"/>
  <c r="V22" i="22"/>
  <c r="AF73" i="57"/>
  <c r="AF75" i="53"/>
  <c r="P61" i="69"/>
  <c r="AP61" i="69"/>
  <c r="AK76" i="57"/>
  <c r="AJ72" i="57"/>
  <c r="AY12" i="59"/>
  <c r="AK17" i="50"/>
  <c r="BC62" i="69"/>
  <c r="BF62" i="69"/>
  <c r="BD62" i="69"/>
  <c r="BE62" i="69"/>
  <c r="E8" i="107"/>
  <c r="AH77" i="57"/>
  <c r="AI77" i="57" s="1"/>
  <c r="K77" i="57"/>
  <c r="P16" i="50"/>
  <c r="AO16" i="50"/>
  <c r="AQ17" i="50"/>
  <c r="N17" i="50"/>
  <c r="AW60" i="69"/>
  <c r="AX60" i="69"/>
  <c r="L62" i="69"/>
  <c r="M62" i="69" s="1"/>
  <c r="AZ62" i="69"/>
  <c r="N13" i="50"/>
  <c r="Y59" i="69"/>
  <c r="AG59" i="69" s="1"/>
  <c r="F60" i="69"/>
  <c r="G60" i="69" s="1"/>
  <c r="H60" i="69" s="1"/>
  <c r="I60" i="69" s="1"/>
  <c r="J60" i="69" s="1"/>
  <c r="K60" i="69" s="1"/>
  <c r="U60" i="69"/>
  <c r="AH60" i="69"/>
  <c r="AD13" i="50"/>
  <c r="AY17" i="50"/>
  <c r="F17" i="50"/>
  <c r="U17" i="50" s="1"/>
  <c r="AG58" i="69"/>
  <c r="X74" i="57"/>
  <c r="AG76" i="57"/>
  <c r="AA73" i="57"/>
  <c r="AC77" i="53"/>
  <c r="O77" i="53"/>
  <c r="Q61" i="69"/>
  <c r="Q75" i="57"/>
  <c r="AQ75" i="57"/>
  <c r="R75" i="57"/>
  <c r="AD75" i="57"/>
  <c r="AC75" i="57"/>
  <c r="AE75" i="57"/>
  <c r="Z15" i="50"/>
  <c r="N77" i="53"/>
  <c r="O17" i="50"/>
  <c r="AA75" i="53"/>
  <c r="AJ15" i="50"/>
  <c r="C15" i="50"/>
  <c r="S16" i="50"/>
  <c r="W15" i="50"/>
  <c r="X14" i="50"/>
  <c r="AD14" i="50" s="1"/>
  <c r="AL14" i="50" s="1"/>
  <c r="V15" i="50"/>
  <c r="AF60" i="69"/>
  <c r="P77" i="57"/>
  <c r="AO61" i="69"/>
  <c r="O62" i="69"/>
  <c r="AE76" i="53"/>
  <c r="R76" i="53"/>
  <c r="X76" i="53" s="1"/>
  <c r="AB76" i="53" s="1"/>
  <c r="AY60" i="69"/>
  <c r="L77" i="57"/>
  <c r="AT76" i="53"/>
  <c r="AG76" i="53"/>
  <c r="N77" i="57"/>
  <c r="C77" i="53"/>
  <c r="AD76" i="53"/>
  <c r="Q76" i="53"/>
  <c r="L77" i="53"/>
  <c r="I77" i="53"/>
  <c r="J77" i="53"/>
  <c r="D77" i="53"/>
  <c r="K77" i="53"/>
  <c r="AH77" i="53" s="1"/>
  <c r="F77" i="53"/>
  <c r="G77" i="53"/>
  <c r="AK76" i="52" a="1"/>
  <c r="AK76" i="52" s="1"/>
  <c r="B78" i="53" s="1"/>
  <c r="P77" i="53"/>
  <c r="H77" i="53"/>
  <c r="E77" i="53"/>
  <c r="M17" i="50"/>
  <c r="K17" i="50"/>
  <c r="H17" i="50"/>
  <c r="B17" i="50"/>
  <c r="L17" i="50"/>
  <c r="G17" i="50"/>
  <c r="I17" i="50"/>
  <c r="A17" i="50"/>
  <c r="J17" i="50"/>
  <c r="G77" i="57"/>
  <c r="E77" i="57"/>
  <c r="D77" i="57"/>
  <c r="C77" i="57"/>
  <c r="I77" i="57"/>
  <c r="H77" i="57"/>
  <c r="F77" i="57"/>
  <c r="J77" i="57"/>
  <c r="AN76" i="55" a="1"/>
  <c r="AN76" i="55" s="1"/>
  <c r="B78" i="57" s="1"/>
  <c r="O78" i="57" s="1"/>
  <c r="AS62" i="67" a="1"/>
  <c r="AS62" i="67" s="1"/>
  <c r="B63" i="69"/>
  <c r="AM63" i="69" s="1"/>
  <c r="AN63" i="69" s="1"/>
  <c r="AE60" i="69"/>
  <c r="R60" i="69"/>
  <c r="S60" i="69" s="1"/>
  <c r="C62" i="69"/>
  <c r="D61" i="69"/>
  <c r="E61" i="69" s="1"/>
  <c r="AP17" i="59" a="1"/>
  <c r="AP17" i="59" s="1"/>
  <c r="E18" i="50" s="1"/>
  <c r="T18" i="50" s="1"/>
  <c r="T22" i="22" l="1"/>
  <c r="AA12" i="59"/>
  <c r="AU12" i="59" s="1"/>
  <c r="AA74" i="57"/>
  <c r="AB74" i="57"/>
  <c r="AF74" i="57" s="1"/>
  <c r="AF76" i="53"/>
  <c r="P62" i="69"/>
  <c r="AP62" i="69"/>
  <c r="AK77" i="57"/>
  <c r="AJ73" i="57"/>
  <c r="AK18" i="50"/>
  <c r="BC63" i="69"/>
  <c r="BF63" i="69"/>
  <c r="BD63" i="69"/>
  <c r="BE63" i="69"/>
  <c r="AH78" i="57"/>
  <c r="AI78" i="57" s="1"/>
  <c r="K78" i="57"/>
  <c r="P17" i="50"/>
  <c r="AO17" i="50"/>
  <c r="AQ18" i="50"/>
  <c r="N18" i="50"/>
  <c r="AX61" i="69"/>
  <c r="AW61" i="69"/>
  <c r="L63" i="69"/>
  <c r="M63" i="69" s="1"/>
  <c r="AZ63" i="69"/>
  <c r="T42" i="22"/>
  <c r="C8" i="107"/>
  <c r="Y60" i="69"/>
  <c r="AG60" i="69" s="1"/>
  <c r="AB59" i="69"/>
  <c r="AC59" i="69" s="1"/>
  <c r="AD59" i="69" s="1"/>
  <c r="F61" i="69"/>
  <c r="G61" i="69" s="1"/>
  <c r="H61" i="69" s="1"/>
  <c r="I61" i="69" s="1"/>
  <c r="J61" i="69" s="1"/>
  <c r="K61" i="69" s="1"/>
  <c r="U61" i="69"/>
  <c r="AH61" i="69"/>
  <c r="T16" i="22"/>
  <c r="F18" i="50"/>
  <c r="AY18" i="50"/>
  <c r="AG77" i="57"/>
  <c r="X75" i="57"/>
  <c r="AB75" i="57" s="1"/>
  <c r="AC78" i="53"/>
  <c r="O78" i="53"/>
  <c r="Q62" i="69"/>
  <c r="AQ76" i="57"/>
  <c r="AD76" i="57"/>
  <c r="R76" i="57"/>
  <c r="Q76" i="57"/>
  <c r="AE76" i="57"/>
  <c r="AC76" i="57"/>
  <c r="Z16" i="50"/>
  <c r="N78" i="53"/>
  <c r="O18" i="50"/>
  <c r="AA76" i="53"/>
  <c r="AG13" i="50"/>
  <c r="AH13" i="50" s="1"/>
  <c r="AJ16" i="50"/>
  <c r="C16" i="50"/>
  <c r="S17" i="50"/>
  <c r="W16" i="50"/>
  <c r="X15" i="50"/>
  <c r="AD15" i="50" s="1"/>
  <c r="AL15" i="50" s="1"/>
  <c r="V16" i="50"/>
  <c r="AF61" i="69"/>
  <c r="P78" i="57"/>
  <c r="AO62" i="69"/>
  <c r="O63" i="69"/>
  <c r="AE77" i="53"/>
  <c r="R77" i="53"/>
  <c r="X77" i="53" s="1"/>
  <c r="AB77" i="53" s="1"/>
  <c r="D4" i="22"/>
  <c r="AY61" i="69"/>
  <c r="L78" i="57"/>
  <c r="AG77" i="53"/>
  <c r="AT77" i="53"/>
  <c r="N78" i="57"/>
  <c r="P78" i="53"/>
  <c r="AD77" i="53"/>
  <c r="Q77" i="53"/>
  <c r="J78" i="53"/>
  <c r="C78" i="53"/>
  <c r="F78" i="53"/>
  <c r="G78" i="53"/>
  <c r="K78" i="53"/>
  <c r="AH78" i="53" s="1"/>
  <c r="L78" i="53"/>
  <c r="E78" i="53"/>
  <c r="D78" i="53"/>
  <c r="AK77" i="52" a="1"/>
  <c r="AK77" i="52" s="1"/>
  <c r="B79" i="53" s="1"/>
  <c r="H78" i="53"/>
  <c r="I78" i="53"/>
  <c r="L18" i="50"/>
  <c r="M18" i="50"/>
  <c r="B18" i="50"/>
  <c r="A18" i="50"/>
  <c r="J18" i="50"/>
  <c r="H18" i="50"/>
  <c r="I18" i="50"/>
  <c r="K18" i="50"/>
  <c r="G18" i="50"/>
  <c r="J78" i="57"/>
  <c r="E78" i="57"/>
  <c r="D78" i="57"/>
  <c r="G78" i="57"/>
  <c r="I78" i="57"/>
  <c r="C78" i="57"/>
  <c r="F78" i="57"/>
  <c r="H78" i="57"/>
  <c r="AN77" i="55" a="1"/>
  <c r="AN77" i="55" s="1"/>
  <c r="B79" i="57" s="1"/>
  <c r="O79" i="57" s="1"/>
  <c r="AE61" i="69"/>
  <c r="R61" i="69"/>
  <c r="S61" i="69" s="1"/>
  <c r="D62" i="69"/>
  <c r="E62" i="69" s="1"/>
  <c r="C63" i="69"/>
  <c r="AS63" i="67" a="1"/>
  <c r="AS63" i="67" s="1"/>
  <c r="B64" i="69"/>
  <c r="AM64" i="69" s="1"/>
  <c r="AN64" i="69" s="1"/>
  <c r="AP18" i="59" a="1"/>
  <c r="AP18" i="59" s="1"/>
  <c r="E19" i="50" s="1"/>
  <c r="T19" i="50" s="1"/>
  <c r="AF75" i="57" l="1"/>
  <c r="AF77" i="53"/>
  <c r="P63" i="69"/>
  <c r="AP63" i="69"/>
  <c r="AK78" i="57"/>
  <c r="AJ74" i="57"/>
  <c r="AI13" i="50"/>
  <c r="AK13" i="50"/>
  <c r="AL13" i="50" s="1"/>
  <c r="AK19" i="50"/>
  <c r="U18" i="50"/>
  <c r="AM18" i="50"/>
  <c r="BC64" i="69"/>
  <c r="BE64" i="69"/>
  <c r="BF64" i="69"/>
  <c r="BD64" i="69"/>
  <c r="AH79" i="57"/>
  <c r="AI79" i="57" s="1"/>
  <c r="K79" i="57"/>
  <c r="P18" i="50"/>
  <c r="N19" i="50"/>
  <c r="AQ19" i="50"/>
  <c r="AO18" i="50"/>
  <c r="AX62" i="69"/>
  <c r="AW62" i="69"/>
  <c r="L64" i="69"/>
  <c r="M64" i="69" s="1"/>
  <c r="AZ64" i="69"/>
  <c r="AB60" i="69"/>
  <c r="AC60" i="69" s="1"/>
  <c r="AD60" i="69" s="1"/>
  <c r="Y61" i="69"/>
  <c r="AB61" i="69" s="1"/>
  <c r="F62" i="69"/>
  <c r="G62" i="69" s="1"/>
  <c r="H62" i="69" s="1"/>
  <c r="I62" i="69" s="1"/>
  <c r="J62" i="69" s="1"/>
  <c r="K62" i="69" s="1"/>
  <c r="U62" i="69"/>
  <c r="AH62" i="69"/>
  <c r="AY19" i="50"/>
  <c r="F19" i="50"/>
  <c r="U19" i="50" s="1"/>
  <c r="AQ16" i="11"/>
  <c r="X76" i="57"/>
  <c r="AB76" i="57" s="1"/>
  <c r="AG78" i="57"/>
  <c r="AA75" i="57"/>
  <c r="AQ77" i="57"/>
  <c r="AC79" i="53"/>
  <c r="O79" i="53"/>
  <c r="Q63" i="69"/>
  <c r="R77" i="57"/>
  <c r="AD77" i="57"/>
  <c r="Q77" i="57"/>
  <c r="AC77" i="57"/>
  <c r="AE77" i="57"/>
  <c r="N79" i="53"/>
  <c r="O19" i="50"/>
  <c r="AA77" i="53"/>
  <c r="AG15" i="50"/>
  <c r="AH15" i="50" s="1"/>
  <c r="AG14" i="50"/>
  <c r="C17" i="50"/>
  <c r="Z17" i="50"/>
  <c r="S18" i="50"/>
  <c r="AJ17" i="50"/>
  <c r="W17" i="50"/>
  <c r="X16" i="50"/>
  <c r="V17" i="50"/>
  <c r="AF62" i="69"/>
  <c r="P79" i="57"/>
  <c r="AD16" i="50"/>
  <c r="AL16" i="50" s="1"/>
  <c r="AO63" i="69"/>
  <c r="O64" i="69"/>
  <c r="AE78" i="53"/>
  <c r="R78" i="53"/>
  <c r="X78" i="53" s="1"/>
  <c r="AB78" i="53" s="1"/>
  <c r="AX63" i="22"/>
  <c r="AY62" i="69"/>
  <c r="L79" i="57"/>
  <c r="AG78" i="53"/>
  <c r="AT78" i="53"/>
  <c r="N79" i="57"/>
  <c r="AD78" i="53"/>
  <c r="H79" i="53"/>
  <c r="K79" i="53"/>
  <c r="AH79" i="53" s="1"/>
  <c r="AK78" i="52" a="1"/>
  <c r="AK78" i="52" s="1"/>
  <c r="B80" i="53" s="1"/>
  <c r="Q78" i="53"/>
  <c r="F79" i="53"/>
  <c r="E79" i="53"/>
  <c r="D79" i="53"/>
  <c r="G79" i="53"/>
  <c r="I79" i="53"/>
  <c r="C79" i="53"/>
  <c r="J79" i="53"/>
  <c r="P79" i="53"/>
  <c r="L79" i="53"/>
  <c r="M19" i="50"/>
  <c r="K19" i="50"/>
  <c r="A19" i="50"/>
  <c r="L19" i="50"/>
  <c r="H19" i="50"/>
  <c r="I19" i="50"/>
  <c r="J19" i="50"/>
  <c r="G19" i="50"/>
  <c r="B19" i="50"/>
  <c r="H79" i="57"/>
  <c r="D79" i="57"/>
  <c r="C79" i="57"/>
  <c r="I79" i="57"/>
  <c r="G79" i="57"/>
  <c r="E79" i="57"/>
  <c r="F79" i="57"/>
  <c r="J79" i="57"/>
  <c r="AN78" i="55" a="1"/>
  <c r="AN78" i="55" s="1"/>
  <c r="B80" i="57" s="1"/>
  <c r="O80" i="57" s="1"/>
  <c r="D63" i="69"/>
  <c r="E63" i="69" s="1"/>
  <c r="AE62" i="69"/>
  <c r="R62" i="69"/>
  <c r="S62" i="69" s="1"/>
  <c r="C64" i="69"/>
  <c r="AS64" i="67" a="1"/>
  <c r="AS64" i="67" s="1"/>
  <c r="B65" i="69"/>
  <c r="AM65" i="69" s="1"/>
  <c r="AN65" i="69" s="1"/>
  <c r="AP19" i="59" a="1"/>
  <c r="AP19" i="59" s="1"/>
  <c r="E20" i="50" s="1"/>
  <c r="T20" i="50" s="1"/>
  <c r="AF76" i="57" l="1"/>
  <c r="AF78" i="53"/>
  <c r="AH14" i="50"/>
  <c r="AI14" i="50" s="1"/>
  <c r="P64" i="69"/>
  <c r="AP64" i="69"/>
  <c r="AK79" i="57"/>
  <c r="AJ75" i="57"/>
  <c r="AK20" i="50"/>
  <c r="AQ15" i="11"/>
  <c r="J69" i="22"/>
  <c r="BC65" i="69"/>
  <c r="BE65" i="69"/>
  <c r="BF65" i="69"/>
  <c r="BD65" i="69"/>
  <c r="AH80" i="57"/>
  <c r="AI80" i="57" s="1"/>
  <c r="K80" i="57"/>
  <c r="P19" i="50"/>
  <c r="AO19" i="50"/>
  <c r="AQ20" i="50"/>
  <c r="N20" i="50"/>
  <c r="AW63" i="69"/>
  <c r="AX63" i="69"/>
  <c r="L65" i="69"/>
  <c r="M65" i="69" s="1"/>
  <c r="AZ65" i="69"/>
  <c r="AG61" i="69"/>
  <c r="F94" i="22"/>
  <c r="AC259" i="11"/>
  <c r="F63" i="69"/>
  <c r="G63" i="69" s="1"/>
  <c r="H63" i="69" s="1"/>
  <c r="I63" i="69" s="1"/>
  <c r="J63" i="69" s="1"/>
  <c r="K63" i="69" s="1"/>
  <c r="U63" i="69"/>
  <c r="AH63" i="69"/>
  <c r="AY20" i="50"/>
  <c r="F20" i="50"/>
  <c r="U20" i="50" s="1"/>
  <c r="AQ13" i="11"/>
  <c r="I101" i="22"/>
  <c r="Y62" i="69"/>
  <c r="AB62" i="69" s="1"/>
  <c r="AC62" i="69" s="1"/>
  <c r="AD62" i="69" s="1"/>
  <c r="X77" i="57"/>
  <c r="AB77" i="57" s="1"/>
  <c r="AG79" i="57"/>
  <c r="AA76" i="57"/>
  <c r="AD78" i="57"/>
  <c r="AC80" i="53"/>
  <c r="O80" i="53"/>
  <c r="Q64" i="69"/>
  <c r="R78" i="57"/>
  <c r="AE78" i="57"/>
  <c r="Q78" i="57"/>
  <c r="AQ78" i="57"/>
  <c r="AC78" i="57"/>
  <c r="Z18" i="50"/>
  <c r="N80" i="53"/>
  <c r="O20" i="50"/>
  <c r="AA78" i="53"/>
  <c r="AJ18" i="50"/>
  <c r="C18" i="50"/>
  <c r="S19" i="50"/>
  <c r="AM14" i="50"/>
  <c r="W18" i="50"/>
  <c r="X17" i="50"/>
  <c r="AD17" i="50" s="1"/>
  <c r="AL17" i="50" s="1"/>
  <c r="V18" i="50"/>
  <c r="AF63" i="69"/>
  <c r="P80" i="57"/>
  <c r="AI15" i="50"/>
  <c r="AM15" i="50"/>
  <c r="AC61" i="69"/>
  <c r="AD61" i="69" s="1"/>
  <c r="O65" i="69"/>
  <c r="AO64" i="69"/>
  <c r="AE79" i="53"/>
  <c r="R79" i="53"/>
  <c r="X79" i="53" s="1"/>
  <c r="AB79" i="53" s="1"/>
  <c r="AX23" i="22"/>
  <c r="AX24" i="22"/>
  <c r="AX141" i="22"/>
  <c r="AX102" i="22"/>
  <c r="AX70" i="22"/>
  <c r="AX65" i="22"/>
  <c r="AX69" i="22"/>
  <c r="AX72" i="22"/>
  <c r="AX71" i="22"/>
  <c r="AX21" i="22"/>
  <c r="AX148" i="22"/>
  <c r="AX143" i="22"/>
  <c r="AX144" i="22"/>
  <c r="AX142" i="22"/>
  <c r="AX20" i="22"/>
  <c r="AX146" i="22"/>
  <c r="AX140" i="22"/>
  <c r="AY63" i="69"/>
  <c r="L80" i="57"/>
  <c r="AG79" i="53"/>
  <c r="AT79" i="53"/>
  <c r="N80" i="57"/>
  <c r="P80" i="53"/>
  <c r="AD79" i="53"/>
  <c r="Q79" i="53"/>
  <c r="AK79" i="52" a="1"/>
  <c r="AK79" i="52" s="1"/>
  <c r="B81" i="53" s="1"/>
  <c r="K80" i="53"/>
  <c r="AH80" i="53" s="1"/>
  <c r="J80" i="53"/>
  <c r="F80" i="53"/>
  <c r="I80" i="53"/>
  <c r="H80" i="53"/>
  <c r="G80" i="53"/>
  <c r="D80" i="53"/>
  <c r="C80" i="53"/>
  <c r="L80" i="53"/>
  <c r="E80" i="53"/>
  <c r="I20" i="50"/>
  <c r="H20" i="50"/>
  <c r="M20" i="50"/>
  <c r="G20" i="50"/>
  <c r="A20" i="50"/>
  <c r="J20" i="50"/>
  <c r="B20" i="50"/>
  <c r="K20" i="50"/>
  <c r="L20" i="50"/>
  <c r="AX64" i="22"/>
  <c r="J80" i="57"/>
  <c r="E80" i="57"/>
  <c r="C80" i="57"/>
  <c r="I80" i="57"/>
  <c r="F80" i="57"/>
  <c r="H80" i="57"/>
  <c r="D80" i="57"/>
  <c r="G80" i="57"/>
  <c r="AN79" i="55" a="1"/>
  <c r="AN79" i="55" s="1"/>
  <c r="B81" i="57" s="1"/>
  <c r="O81" i="57" s="1"/>
  <c r="AS65" i="67" a="1"/>
  <c r="AS65" i="67" s="1"/>
  <c r="B66" i="69"/>
  <c r="AM66" i="69" s="1"/>
  <c r="AN66" i="69" s="1"/>
  <c r="D64" i="69"/>
  <c r="E64" i="69" s="1"/>
  <c r="AE63" i="69"/>
  <c r="R63" i="69"/>
  <c r="S63" i="69" s="1"/>
  <c r="C65" i="69"/>
  <c r="AP20" i="59" a="1"/>
  <c r="AP20" i="59" s="1"/>
  <c r="E21" i="50" s="1"/>
  <c r="T21" i="50" s="1"/>
  <c r="AG12" i="11"/>
  <c r="AG13" i="11"/>
  <c r="AG14" i="11"/>
  <c r="AG15" i="11"/>
  <c r="AG16" i="11"/>
  <c r="AG17" i="11"/>
  <c r="AG18" i="11"/>
  <c r="AG19" i="11"/>
  <c r="AG20" i="11"/>
  <c r="AG21" i="11"/>
  <c r="AG22" i="11"/>
  <c r="AG23" i="11"/>
  <c r="AG24" i="11"/>
  <c r="AG25" i="11"/>
  <c r="AG26" i="11"/>
  <c r="AG27" i="11"/>
  <c r="AG28" i="11"/>
  <c r="AG29" i="11"/>
  <c r="AG30" i="11"/>
  <c r="AG31" i="11"/>
  <c r="AG32" i="11"/>
  <c r="AG33" i="11"/>
  <c r="AG34" i="11"/>
  <c r="AG35" i="11"/>
  <c r="AG36" i="11"/>
  <c r="AG37" i="11"/>
  <c r="AG38" i="11"/>
  <c r="AG39" i="11"/>
  <c r="AG40" i="11"/>
  <c r="AG41" i="11"/>
  <c r="AG42" i="11"/>
  <c r="AG43" i="11"/>
  <c r="AG44" i="11"/>
  <c r="AG45" i="11"/>
  <c r="AG46" i="11"/>
  <c r="AG47" i="11"/>
  <c r="AG48" i="11"/>
  <c r="AG49" i="11"/>
  <c r="AG50" i="11"/>
  <c r="AG51" i="11"/>
  <c r="AG52" i="11"/>
  <c r="AG53" i="11"/>
  <c r="AG54" i="11"/>
  <c r="AG55" i="11"/>
  <c r="AG56" i="11"/>
  <c r="AG57" i="11"/>
  <c r="AG58" i="11"/>
  <c r="AG59" i="11"/>
  <c r="AG60" i="11"/>
  <c r="AG61" i="11"/>
  <c r="AG62" i="11"/>
  <c r="AG63" i="11"/>
  <c r="AG64" i="11"/>
  <c r="AG65" i="11"/>
  <c r="AG66" i="11"/>
  <c r="AG67" i="11"/>
  <c r="AG68" i="11"/>
  <c r="AG69" i="11"/>
  <c r="AG70" i="11"/>
  <c r="AG71" i="11"/>
  <c r="AG72" i="11"/>
  <c r="AG73" i="11"/>
  <c r="AG74" i="11"/>
  <c r="AG75" i="11"/>
  <c r="AG76" i="11"/>
  <c r="AG77" i="11"/>
  <c r="AG78" i="11"/>
  <c r="AG79" i="11"/>
  <c r="AG80" i="11"/>
  <c r="AG81" i="11"/>
  <c r="AG82" i="11"/>
  <c r="AG83" i="11"/>
  <c r="AG84" i="11"/>
  <c r="AG85" i="11"/>
  <c r="AG86" i="11"/>
  <c r="AG87" i="11"/>
  <c r="AG88" i="11"/>
  <c r="AG89" i="11"/>
  <c r="AG90" i="11"/>
  <c r="AG91" i="11"/>
  <c r="AG92" i="11"/>
  <c r="AG93" i="11"/>
  <c r="AG94" i="11"/>
  <c r="AG95" i="11"/>
  <c r="AG96" i="11"/>
  <c r="AG97" i="11"/>
  <c r="AG98" i="11"/>
  <c r="AG99" i="11"/>
  <c r="AG100" i="11"/>
  <c r="AG101" i="11"/>
  <c r="AG102" i="11"/>
  <c r="AG103" i="11"/>
  <c r="AG104" i="11"/>
  <c r="AG105" i="11"/>
  <c r="AG106" i="11"/>
  <c r="AG107" i="11"/>
  <c r="AG108" i="11"/>
  <c r="AG109" i="11"/>
  <c r="AG110" i="11"/>
  <c r="AG111" i="11"/>
  <c r="AG112" i="11"/>
  <c r="AG113" i="11"/>
  <c r="AG114" i="11"/>
  <c r="AG115" i="11"/>
  <c r="AG116" i="11"/>
  <c r="AG117" i="11"/>
  <c r="AG118" i="11"/>
  <c r="AG119" i="11"/>
  <c r="AG120" i="11"/>
  <c r="AG121" i="11"/>
  <c r="AG122" i="11"/>
  <c r="AG123" i="11"/>
  <c r="AG124" i="11"/>
  <c r="AG125" i="11"/>
  <c r="AG126" i="11"/>
  <c r="AG127" i="11"/>
  <c r="AG128" i="11"/>
  <c r="AG129" i="11"/>
  <c r="AG130" i="11"/>
  <c r="AG131" i="11"/>
  <c r="AG132" i="11"/>
  <c r="AG133" i="11"/>
  <c r="AG134" i="11"/>
  <c r="AG135" i="11"/>
  <c r="AG136" i="11"/>
  <c r="AG137" i="11"/>
  <c r="AG138" i="11"/>
  <c r="AG139" i="11"/>
  <c r="AG140" i="11"/>
  <c r="AG141" i="11"/>
  <c r="AG142" i="11"/>
  <c r="AG143" i="11"/>
  <c r="AG144" i="11"/>
  <c r="AG145" i="11"/>
  <c r="AG146" i="11"/>
  <c r="AG147" i="11"/>
  <c r="AG148" i="11"/>
  <c r="AG149" i="11"/>
  <c r="AG150" i="11"/>
  <c r="AG151" i="11"/>
  <c r="AG152" i="11"/>
  <c r="AG153" i="11"/>
  <c r="AG154" i="11"/>
  <c r="AG155" i="11"/>
  <c r="AG156" i="11"/>
  <c r="AG157" i="11"/>
  <c r="AG158" i="11"/>
  <c r="AG159" i="11"/>
  <c r="AG160" i="11"/>
  <c r="AG161" i="11"/>
  <c r="AG162" i="11"/>
  <c r="AG163" i="11"/>
  <c r="AG164" i="11"/>
  <c r="AG165" i="11"/>
  <c r="AG166" i="11"/>
  <c r="AG167" i="11"/>
  <c r="AG168" i="11"/>
  <c r="AG169" i="11"/>
  <c r="AG170" i="11"/>
  <c r="AG171" i="11"/>
  <c r="AG172" i="11"/>
  <c r="AG173" i="11"/>
  <c r="AG174" i="11"/>
  <c r="AG175" i="11"/>
  <c r="AG176" i="11"/>
  <c r="AG177" i="11"/>
  <c r="AG178" i="11"/>
  <c r="AG179" i="11"/>
  <c r="AG180" i="11"/>
  <c r="AG181" i="11"/>
  <c r="AG182" i="11"/>
  <c r="AG183" i="11"/>
  <c r="AG184" i="11"/>
  <c r="AG185" i="11"/>
  <c r="AG186" i="11"/>
  <c r="AG187" i="11"/>
  <c r="AG188" i="11"/>
  <c r="AG189" i="11"/>
  <c r="AG190" i="11"/>
  <c r="AG191" i="11"/>
  <c r="AG192" i="11"/>
  <c r="AG193" i="11"/>
  <c r="AG194" i="11"/>
  <c r="AG195" i="11"/>
  <c r="AG196" i="11"/>
  <c r="AG197" i="11"/>
  <c r="AG198" i="11"/>
  <c r="AG199" i="11"/>
  <c r="AG200" i="11"/>
  <c r="AG201" i="11"/>
  <c r="AG202" i="11"/>
  <c r="AG203" i="11"/>
  <c r="AG204" i="11"/>
  <c r="AG205" i="11"/>
  <c r="AG206" i="11"/>
  <c r="AG207" i="11"/>
  <c r="AG208" i="11"/>
  <c r="AG209" i="11"/>
  <c r="AG210" i="11"/>
  <c r="AG211" i="11"/>
  <c r="AG212" i="11"/>
  <c r="AG213" i="11"/>
  <c r="AG214" i="11"/>
  <c r="AG215" i="11"/>
  <c r="AG216" i="11"/>
  <c r="AG217" i="11"/>
  <c r="AG218" i="11"/>
  <c r="AG219" i="11"/>
  <c r="AG220" i="11"/>
  <c r="AG221" i="11"/>
  <c r="AG222" i="11"/>
  <c r="AG223" i="11"/>
  <c r="AG224" i="11"/>
  <c r="AG225" i="11"/>
  <c r="AG226" i="11"/>
  <c r="AG227" i="11"/>
  <c r="AG228" i="11"/>
  <c r="AG229" i="11"/>
  <c r="AG230" i="11"/>
  <c r="AG231" i="11"/>
  <c r="AG232" i="11"/>
  <c r="AG233" i="11"/>
  <c r="AG234" i="11"/>
  <c r="AG235" i="11"/>
  <c r="AG236" i="11"/>
  <c r="AG237" i="11"/>
  <c r="AG238" i="11"/>
  <c r="AG239" i="11"/>
  <c r="AG240" i="11"/>
  <c r="AG241" i="11"/>
  <c r="AG242" i="11"/>
  <c r="AG243" i="11"/>
  <c r="AG244" i="11"/>
  <c r="AG245" i="11"/>
  <c r="AG246" i="11"/>
  <c r="AG247" i="11"/>
  <c r="AG248" i="11"/>
  <c r="AG249" i="11"/>
  <c r="AG250" i="11"/>
  <c r="AG251" i="11"/>
  <c r="AG252" i="11"/>
  <c r="AG253" i="11"/>
  <c r="AG254" i="11"/>
  <c r="AG255" i="11"/>
  <c r="AG256" i="11"/>
  <c r="AG257" i="11"/>
  <c r="AG258" i="11"/>
  <c r="AG11" i="11"/>
  <c r="AF77" i="57" l="1"/>
  <c r="AF79" i="53"/>
  <c r="AP14" i="50"/>
  <c r="P65" i="69"/>
  <c r="AP65" i="69"/>
  <c r="AK80" i="57"/>
  <c r="AJ76" i="57"/>
  <c r="AJ77" i="57"/>
  <c r="AK21" i="50"/>
  <c r="AQ14" i="11"/>
  <c r="J68" i="22"/>
  <c r="BC66" i="69"/>
  <c r="BE66" i="69"/>
  <c r="BF66" i="69"/>
  <c r="BD66" i="69"/>
  <c r="AH81" i="57"/>
  <c r="AI81" i="57" s="1"/>
  <c r="K81" i="57"/>
  <c r="P20" i="50"/>
  <c r="AO20" i="50"/>
  <c r="AQ21" i="50"/>
  <c r="N21" i="50"/>
  <c r="AP15" i="50"/>
  <c r="AW64" i="69"/>
  <c r="AX64" i="69"/>
  <c r="L66" i="69"/>
  <c r="M66" i="69" s="1"/>
  <c r="AZ66" i="69"/>
  <c r="Y63" i="69"/>
  <c r="AG63" i="69" s="1"/>
  <c r="F101" i="22"/>
  <c r="U64" i="69"/>
  <c r="AH64" i="69"/>
  <c r="F64" i="69"/>
  <c r="G64" i="69" s="1"/>
  <c r="H64" i="69" s="1"/>
  <c r="I64" i="69" s="1"/>
  <c r="J64" i="69" s="1"/>
  <c r="K64" i="69" s="1"/>
  <c r="W259" i="11"/>
  <c r="I102" i="22"/>
  <c r="BG19" i="22" s="1"/>
  <c r="AY21" i="50"/>
  <c r="F21" i="50"/>
  <c r="U21" i="50" s="1"/>
  <c r="AL11" i="11" a="1"/>
  <c r="AL11" i="11" s="1"/>
  <c r="AL12" i="11" s="1" a="1"/>
  <c r="AL12" i="11" s="1"/>
  <c r="AG62" i="69"/>
  <c r="AG80" i="57"/>
  <c r="X78" i="57"/>
  <c r="AB78" i="57" s="1"/>
  <c r="AA77" i="57"/>
  <c r="AC81" i="53"/>
  <c r="O81" i="53"/>
  <c r="Q65" i="69"/>
  <c r="AQ79" i="57"/>
  <c r="Q79" i="57"/>
  <c r="AD79" i="57"/>
  <c r="AE79" i="57"/>
  <c r="R79" i="57"/>
  <c r="AC79" i="57"/>
  <c r="Z19" i="50"/>
  <c r="N81" i="53"/>
  <c r="O21" i="50"/>
  <c r="AA79" i="53"/>
  <c r="AM17" i="50"/>
  <c r="AG17" i="50"/>
  <c r="AM16" i="50"/>
  <c r="AG16" i="50"/>
  <c r="AJ19" i="50"/>
  <c r="C19" i="50"/>
  <c r="S20" i="50"/>
  <c r="W19" i="50"/>
  <c r="X18" i="50"/>
  <c r="AD18" i="50" s="1"/>
  <c r="AL18" i="50" s="1"/>
  <c r="V19" i="50"/>
  <c r="AF64" i="69"/>
  <c r="P81" i="57"/>
  <c r="AO65" i="69"/>
  <c r="O66" i="69"/>
  <c r="AE80" i="53"/>
  <c r="R80" i="53"/>
  <c r="X80" i="53" s="1"/>
  <c r="AB80" i="53" s="1"/>
  <c r="AX101" i="22"/>
  <c r="AY64" i="69"/>
  <c r="L81" i="57"/>
  <c r="AG80" i="53"/>
  <c r="AT80" i="53"/>
  <c r="N81" i="57"/>
  <c r="Q80" i="53"/>
  <c r="AD80" i="53"/>
  <c r="AK80" i="52" a="1"/>
  <c r="AK80" i="52" s="1"/>
  <c r="B82" i="53" s="1"/>
  <c r="F81" i="53"/>
  <c r="H81" i="53"/>
  <c r="I81" i="53"/>
  <c r="P81" i="53"/>
  <c r="K81" i="53"/>
  <c r="AH81" i="53" s="1"/>
  <c r="E81" i="53"/>
  <c r="J81" i="53"/>
  <c r="L81" i="53"/>
  <c r="G81" i="53"/>
  <c r="D81" i="53"/>
  <c r="C81" i="53"/>
  <c r="K21" i="50"/>
  <c r="A21" i="50"/>
  <c r="H21" i="50"/>
  <c r="B21" i="50"/>
  <c r="L21" i="50"/>
  <c r="I21" i="50"/>
  <c r="M21" i="50"/>
  <c r="G21" i="50"/>
  <c r="J21" i="50"/>
  <c r="G81" i="57"/>
  <c r="E81" i="57"/>
  <c r="D81" i="57"/>
  <c r="C81" i="57"/>
  <c r="I81" i="57"/>
  <c r="H81" i="57"/>
  <c r="F81" i="57"/>
  <c r="J81" i="57"/>
  <c r="AN80" i="55" a="1"/>
  <c r="AN80" i="55" s="1"/>
  <c r="B82" i="57" s="1"/>
  <c r="O82" i="57" s="1"/>
  <c r="D65" i="69"/>
  <c r="E65" i="69" s="1"/>
  <c r="R64" i="69"/>
  <c r="S64" i="69" s="1"/>
  <c r="AE64" i="69"/>
  <c r="C66" i="69"/>
  <c r="AS66" i="67" a="1"/>
  <c r="AS66" i="67" s="1"/>
  <c r="B67" i="69"/>
  <c r="AM67" i="69" s="1"/>
  <c r="AN67" i="69" s="1"/>
  <c r="AX9" i="22"/>
  <c r="AX18" i="22"/>
  <c r="AP21" i="59" a="1"/>
  <c r="AP21" i="59" s="1"/>
  <c r="E22" i="50" s="1"/>
  <c r="T22" i="50" s="1"/>
  <c r="AF78" i="57" l="1"/>
  <c r="AF80" i="53"/>
  <c r="AH16" i="50"/>
  <c r="AI16" i="50" s="1"/>
  <c r="AP16" i="50" s="1"/>
  <c r="AH17" i="50"/>
  <c r="AI17" i="50" s="1"/>
  <c r="AP17" i="50" s="1"/>
  <c r="P66" i="69"/>
  <c r="AP66" i="69"/>
  <c r="AK81" i="57"/>
  <c r="AK22" i="50"/>
  <c r="BC67" i="69"/>
  <c r="BD67" i="69"/>
  <c r="BE67" i="69"/>
  <c r="BF67" i="69"/>
  <c r="J35" i="22"/>
  <c r="AQ12" i="11"/>
  <c r="AH82" i="57"/>
  <c r="AI82" i="57" s="1"/>
  <c r="K82" i="57"/>
  <c r="P21" i="50"/>
  <c r="AO21" i="50"/>
  <c r="AQ22" i="50"/>
  <c r="N22" i="50"/>
  <c r="J94" i="22"/>
  <c r="J134" i="22"/>
  <c r="AX65" i="69"/>
  <c r="AW65" i="69"/>
  <c r="L67" i="69"/>
  <c r="M67" i="69" s="1"/>
  <c r="AZ67" i="69"/>
  <c r="Y64" i="69"/>
  <c r="AG64" i="69" s="1"/>
  <c r="AB63" i="69"/>
  <c r="AC63" i="69" s="1"/>
  <c r="AD63" i="69" s="1"/>
  <c r="J101" i="22"/>
  <c r="F65" i="69"/>
  <c r="G65" i="69" s="1"/>
  <c r="H65" i="69" s="1"/>
  <c r="I65" i="69" s="1"/>
  <c r="J65" i="69" s="1"/>
  <c r="K65" i="69" s="1"/>
  <c r="U65" i="69"/>
  <c r="AH65" i="69"/>
  <c r="F22" i="50"/>
  <c r="U22" i="50" s="1"/>
  <c r="AY22" i="50"/>
  <c r="E12" i="32"/>
  <c r="X79" i="57"/>
  <c r="AB79" i="57" s="1"/>
  <c r="AG81" i="57"/>
  <c r="AC82" i="53"/>
  <c r="O82" i="53"/>
  <c r="Q66" i="69"/>
  <c r="AA78" i="57"/>
  <c r="AD80" i="57"/>
  <c r="AQ80" i="57"/>
  <c r="AE80" i="57"/>
  <c r="R80" i="57"/>
  <c r="Q80" i="57"/>
  <c r="AC80" i="57"/>
  <c r="N82" i="53"/>
  <c r="O22" i="50"/>
  <c r="AA80" i="53"/>
  <c r="AG18" i="50"/>
  <c r="AH18" i="50" s="1"/>
  <c r="C20" i="50"/>
  <c r="Z20" i="50"/>
  <c r="AJ20" i="50"/>
  <c r="S21" i="50"/>
  <c r="Z21" i="50" s="1"/>
  <c r="W20" i="50"/>
  <c r="X19" i="50"/>
  <c r="AD19" i="50" s="1"/>
  <c r="AL19" i="50" s="1"/>
  <c r="V20" i="50"/>
  <c r="AF65" i="69"/>
  <c r="P82" i="57"/>
  <c r="O67" i="69"/>
  <c r="AO66" i="69"/>
  <c r="AE81" i="53"/>
  <c r="R81" i="53"/>
  <c r="X81" i="53" s="1"/>
  <c r="AB81" i="53" s="1"/>
  <c r="AY65" i="69"/>
  <c r="L82" i="57"/>
  <c r="AG81" i="53"/>
  <c r="AT81" i="53"/>
  <c r="N82" i="57"/>
  <c r="H82" i="53"/>
  <c r="AD81" i="53"/>
  <c r="Q81" i="53"/>
  <c r="AK81" i="52" a="1"/>
  <c r="AK81" i="52" s="1"/>
  <c r="B83" i="53" s="1"/>
  <c r="K82" i="53"/>
  <c r="AH82" i="53" s="1"/>
  <c r="I82" i="53"/>
  <c r="P82" i="53"/>
  <c r="D82" i="53"/>
  <c r="F82" i="53"/>
  <c r="L82" i="53"/>
  <c r="G82" i="53"/>
  <c r="J82" i="53"/>
  <c r="C82" i="53"/>
  <c r="E82" i="53"/>
  <c r="I22" i="50"/>
  <c r="B22" i="50"/>
  <c r="H22" i="50"/>
  <c r="G22" i="50"/>
  <c r="A22" i="50"/>
  <c r="M22" i="50"/>
  <c r="K22" i="50"/>
  <c r="L22" i="50"/>
  <c r="J22" i="50"/>
  <c r="J82" i="57"/>
  <c r="G82" i="57"/>
  <c r="E82" i="57"/>
  <c r="H82" i="57"/>
  <c r="D82" i="57"/>
  <c r="F82" i="57"/>
  <c r="I82" i="57"/>
  <c r="C82" i="57"/>
  <c r="AN81" i="55" a="1"/>
  <c r="AN81" i="55" s="1"/>
  <c r="B83" i="57" s="1"/>
  <c r="O83" i="57" s="1"/>
  <c r="AS67" i="67" a="1"/>
  <c r="AS67" i="67" s="1"/>
  <c r="B68" i="69"/>
  <c r="AM68" i="69" s="1"/>
  <c r="AN68" i="69" s="1"/>
  <c r="C67" i="69"/>
  <c r="AE65" i="69"/>
  <c r="R65" i="69"/>
  <c r="S65" i="69" s="1"/>
  <c r="D66" i="69"/>
  <c r="E66" i="69" s="1"/>
  <c r="AP22" i="59" a="1"/>
  <c r="AP22" i="59" s="1"/>
  <c r="E23" i="50" s="1"/>
  <c r="T23" i="50" s="1"/>
  <c r="E13" i="32"/>
  <c r="AF81" i="53" l="1"/>
  <c r="AF79" i="57"/>
  <c r="P67" i="69"/>
  <c r="AP67" i="69"/>
  <c r="AK82" i="57"/>
  <c r="AJ78" i="57"/>
  <c r="AK23" i="50"/>
  <c r="BC68" i="69"/>
  <c r="BD68" i="69"/>
  <c r="BE68" i="69"/>
  <c r="BF68" i="69"/>
  <c r="K83" i="57"/>
  <c r="AH83" i="57"/>
  <c r="AI83" i="57" s="1"/>
  <c r="N23" i="50"/>
  <c r="AQ23" i="50"/>
  <c r="AO22" i="50"/>
  <c r="AX66" i="69"/>
  <c r="AW66" i="69"/>
  <c r="L68" i="69"/>
  <c r="M68" i="69" s="1"/>
  <c r="AZ68" i="69"/>
  <c r="AB64" i="69"/>
  <c r="AC64" i="69" s="1"/>
  <c r="AD64" i="69" s="1"/>
  <c r="Y65" i="69"/>
  <c r="AG65" i="69" s="1"/>
  <c r="U66" i="69"/>
  <c r="AH66" i="69"/>
  <c r="F66" i="69"/>
  <c r="G66" i="69" s="1"/>
  <c r="H66" i="69" s="1"/>
  <c r="I66" i="69" s="1"/>
  <c r="J66" i="69" s="1"/>
  <c r="K66" i="69" s="1"/>
  <c r="AY23" i="50"/>
  <c r="F23" i="50"/>
  <c r="U23" i="50" s="1"/>
  <c r="X80" i="57"/>
  <c r="AB80" i="57" s="1"/>
  <c r="AG82" i="57"/>
  <c r="AA79" i="57"/>
  <c r="AC83" i="53"/>
  <c r="O83" i="53"/>
  <c r="Q67" i="69"/>
  <c r="AD81" i="57"/>
  <c r="Q81" i="57"/>
  <c r="AC81" i="57"/>
  <c r="AQ81" i="57"/>
  <c r="R81" i="57"/>
  <c r="AE81" i="57"/>
  <c r="P22" i="50"/>
  <c r="N83" i="53"/>
  <c r="O23" i="50"/>
  <c r="AA81" i="53"/>
  <c r="AM19" i="50"/>
  <c r="AG19" i="50"/>
  <c r="AJ21" i="50"/>
  <c r="C21" i="50"/>
  <c r="S22" i="50"/>
  <c r="Z22" i="50" s="1"/>
  <c r="W21" i="50"/>
  <c r="X20" i="50"/>
  <c r="AD20" i="50" s="1"/>
  <c r="AL20" i="50" s="1"/>
  <c r="V21" i="50"/>
  <c r="AF66" i="69"/>
  <c r="P83" i="57"/>
  <c r="AI18" i="50"/>
  <c r="O68" i="69"/>
  <c r="AO67" i="69"/>
  <c r="AE82" i="53"/>
  <c r="R82" i="53"/>
  <c r="X82" i="53" s="1"/>
  <c r="AB82" i="53" s="1"/>
  <c r="AY66" i="69"/>
  <c r="L83" i="57"/>
  <c r="AT82" i="53"/>
  <c r="AG82" i="53"/>
  <c r="N83" i="57"/>
  <c r="E83" i="53"/>
  <c r="AD82" i="53"/>
  <c r="Q82" i="53"/>
  <c r="F83" i="53"/>
  <c r="K83" i="53"/>
  <c r="AH83" i="53" s="1"/>
  <c r="P83" i="53"/>
  <c r="G83" i="53"/>
  <c r="D83" i="53"/>
  <c r="H83" i="53"/>
  <c r="L83" i="53"/>
  <c r="AK82" i="52" a="1"/>
  <c r="AK82" i="52" s="1"/>
  <c r="B84" i="53" s="1"/>
  <c r="J83" i="53"/>
  <c r="I83" i="53"/>
  <c r="C83" i="53"/>
  <c r="B23" i="50"/>
  <c r="M23" i="50"/>
  <c r="A23" i="50"/>
  <c r="L23" i="50"/>
  <c r="G23" i="50"/>
  <c r="K23" i="50"/>
  <c r="J23" i="50"/>
  <c r="I23" i="50"/>
  <c r="H23" i="50"/>
  <c r="H83" i="57"/>
  <c r="D83" i="57"/>
  <c r="C83" i="57"/>
  <c r="I83" i="57"/>
  <c r="G83" i="57"/>
  <c r="E83" i="57"/>
  <c r="F83" i="57"/>
  <c r="J83" i="57"/>
  <c r="AN82" i="55" a="1"/>
  <c r="AN82" i="55" s="1"/>
  <c r="B84" i="57" s="1"/>
  <c r="O84" i="57" s="1"/>
  <c r="D67" i="69"/>
  <c r="E67" i="69" s="1"/>
  <c r="R66" i="69"/>
  <c r="S66" i="69" s="1"/>
  <c r="AE66" i="69"/>
  <c r="C68" i="69"/>
  <c r="AS68" i="67" a="1"/>
  <c r="AS68" i="67" s="1"/>
  <c r="B69" i="69"/>
  <c r="AM69" i="69" s="1"/>
  <c r="AN69" i="69" s="1"/>
  <c r="AP23" i="59" a="1"/>
  <c r="AP23" i="59" s="1"/>
  <c r="E24" i="50" s="1"/>
  <c r="T24" i="50" s="1"/>
  <c r="AL13" i="11" a="1"/>
  <c r="AL13" i="11" s="1"/>
  <c r="E14" i="32" s="1"/>
  <c r="T14" i="32" s="1"/>
  <c r="AF82" i="53" l="1"/>
  <c r="AF80" i="57"/>
  <c r="AH19" i="50"/>
  <c r="AI19" i="50" s="1"/>
  <c r="AP19" i="50" s="1"/>
  <c r="P68" i="69"/>
  <c r="AP68" i="69"/>
  <c r="AK83" i="57"/>
  <c r="AJ79" i="57"/>
  <c r="O14" i="32"/>
  <c r="AK24" i="50"/>
  <c r="BC69" i="69"/>
  <c r="BF69" i="69"/>
  <c r="BD69" i="69"/>
  <c r="BE69" i="69"/>
  <c r="AP18" i="50"/>
  <c r="AH84" i="57"/>
  <c r="AI84" i="57" s="1"/>
  <c r="K84" i="57"/>
  <c r="AO23" i="50"/>
  <c r="AQ24" i="50"/>
  <c r="N24" i="50"/>
  <c r="AX67" i="69"/>
  <c r="AW67" i="69"/>
  <c r="L69" i="69"/>
  <c r="M69" i="69" s="1"/>
  <c r="AZ69" i="69"/>
  <c r="Y66" i="69"/>
  <c r="AB66" i="69" s="1"/>
  <c r="AC66" i="69" s="1"/>
  <c r="AD66" i="69" s="1"/>
  <c r="AB65" i="69"/>
  <c r="AC65" i="69" s="1"/>
  <c r="AD65" i="69" s="1"/>
  <c r="AU14" i="32"/>
  <c r="F67" i="69"/>
  <c r="G67" i="69" s="1"/>
  <c r="H67" i="69" s="1"/>
  <c r="I67" i="69" s="1"/>
  <c r="J67" i="69" s="1"/>
  <c r="K67" i="69" s="1"/>
  <c r="U67" i="69"/>
  <c r="AH67" i="69"/>
  <c r="AY24" i="50"/>
  <c r="F24" i="50"/>
  <c r="U24" i="50" s="1"/>
  <c r="X81" i="57"/>
  <c r="AB81" i="57" s="1"/>
  <c r="AG83" i="57"/>
  <c r="AC84" i="53"/>
  <c r="O84" i="53"/>
  <c r="Q68" i="69"/>
  <c r="AA80" i="57"/>
  <c r="Q82" i="57"/>
  <c r="AE82" i="57"/>
  <c r="AQ82" i="57"/>
  <c r="AC82" i="57"/>
  <c r="AD82" i="57"/>
  <c r="R82" i="57"/>
  <c r="P23" i="50"/>
  <c r="N84" i="53"/>
  <c r="O24" i="50"/>
  <c r="AA82" i="53"/>
  <c r="AM20" i="50"/>
  <c r="AG20" i="50"/>
  <c r="AJ22" i="50"/>
  <c r="C22" i="50"/>
  <c r="S23" i="50"/>
  <c r="Z23" i="50" s="1"/>
  <c r="W22" i="50"/>
  <c r="X21" i="50"/>
  <c r="V22" i="50"/>
  <c r="AF67" i="69"/>
  <c r="P84" i="57"/>
  <c r="AD21" i="50"/>
  <c r="AL21" i="50" s="1"/>
  <c r="AO68" i="69"/>
  <c r="O69" i="69"/>
  <c r="AE83" i="53"/>
  <c r="R83" i="53"/>
  <c r="X83" i="53" s="1"/>
  <c r="AB83" i="53" s="1"/>
  <c r="AY67" i="69"/>
  <c r="L84" i="57"/>
  <c r="AG83" i="53"/>
  <c r="AT83" i="53"/>
  <c r="N84" i="57"/>
  <c r="D84" i="53"/>
  <c r="AD83" i="53"/>
  <c r="Q83" i="53"/>
  <c r="G84" i="53"/>
  <c r="P84" i="53"/>
  <c r="H84" i="53"/>
  <c r="F84" i="53"/>
  <c r="AK83" i="52" a="1"/>
  <c r="AK83" i="52" s="1"/>
  <c r="B85" i="53" s="1"/>
  <c r="K84" i="53"/>
  <c r="AH84" i="53" s="1"/>
  <c r="E84" i="53"/>
  <c r="L84" i="53"/>
  <c r="C84" i="53"/>
  <c r="J84" i="53"/>
  <c r="I84" i="53"/>
  <c r="J24" i="50"/>
  <c r="I24" i="50"/>
  <c r="M24" i="50"/>
  <c r="L24" i="50"/>
  <c r="B24" i="50"/>
  <c r="K24" i="50"/>
  <c r="A24" i="50"/>
  <c r="G24" i="50"/>
  <c r="H24" i="50"/>
  <c r="F84" i="57"/>
  <c r="C84" i="57"/>
  <c r="I84" i="57"/>
  <c r="H84" i="57"/>
  <c r="D84" i="57"/>
  <c r="G84" i="57"/>
  <c r="E84" i="57"/>
  <c r="J84" i="57"/>
  <c r="AN83" i="55" a="1"/>
  <c r="AN83" i="55" s="1"/>
  <c r="B85" i="57" s="1"/>
  <c r="O85" i="57" s="1"/>
  <c r="AS69" i="67" a="1"/>
  <c r="AS69" i="67" s="1"/>
  <c r="B70" i="69"/>
  <c r="AM70" i="69" s="1"/>
  <c r="AN70" i="69" s="1"/>
  <c r="AE67" i="69"/>
  <c r="R67" i="69"/>
  <c r="S67" i="69" s="1"/>
  <c r="C69" i="69"/>
  <c r="D68" i="69"/>
  <c r="E68" i="69" s="1"/>
  <c r="AP24" i="59" a="1"/>
  <c r="AP24" i="59" s="1"/>
  <c r="E25" i="50" s="1"/>
  <c r="T25" i="50" s="1"/>
  <c r="AL14" i="11" a="1"/>
  <c r="AL14" i="11" s="1"/>
  <c r="E15" i="32" s="1"/>
  <c r="T15" i="32" s="1"/>
  <c r="AF83" i="53" l="1"/>
  <c r="AF81" i="57"/>
  <c r="AH20" i="50"/>
  <c r="AI20" i="50" s="1"/>
  <c r="AP20" i="50" s="1"/>
  <c r="P69" i="69"/>
  <c r="AP69" i="69"/>
  <c r="AK84" i="57"/>
  <c r="AJ80" i="57"/>
  <c r="O15" i="32"/>
  <c r="AK25" i="50"/>
  <c r="BC70" i="69"/>
  <c r="BF70" i="69"/>
  <c r="BD70" i="69"/>
  <c r="BE70" i="69"/>
  <c r="AH85" i="57"/>
  <c r="AI85" i="57" s="1"/>
  <c r="K85" i="57"/>
  <c r="AQ25" i="50"/>
  <c r="N25" i="50"/>
  <c r="AO24" i="50"/>
  <c r="AW68" i="69"/>
  <c r="AX68" i="69"/>
  <c r="L70" i="69"/>
  <c r="M70" i="69" s="1"/>
  <c r="AZ70" i="69"/>
  <c r="AG66" i="69"/>
  <c r="Y67" i="69"/>
  <c r="AG67" i="69" s="1"/>
  <c r="F68" i="69"/>
  <c r="G68" i="69" s="1"/>
  <c r="H68" i="69" s="1"/>
  <c r="I68" i="69" s="1"/>
  <c r="J68" i="69" s="1"/>
  <c r="K68" i="69" s="1"/>
  <c r="U68" i="69"/>
  <c r="AH68" i="69"/>
  <c r="F15" i="32"/>
  <c r="AU15" i="32"/>
  <c r="AY25" i="50"/>
  <c r="F25" i="50"/>
  <c r="U25" i="50" s="1"/>
  <c r="AG84" i="57"/>
  <c r="X82" i="57"/>
  <c r="AB82" i="57" s="1"/>
  <c r="AA81" i="57"/>
  <c r="AC85" i="53"/>
  <c r="O85" i="53"/>
  <c r="Q69" i="69"/>
  <c r="AQ83" i="57"/>
  <c r="AC83" i="57"/>
  <c r="Q83" i="57"/>
  <c r="AE83" i="57"/>
  <c r="AD83" i="57"/>
  <c r="R83" i="57"/>
  <c r="P24" i="50"/>
  <c r="N85" i="53"/>
  <c r="O25" i="50"/>
  <c r="AA83" i="53"/>
  <c r="AJ23" i="50"/>
  <c r="C23" i="50"/>
  <c r="S24" i="50"/>
  <c r="Z24" i="50" s="1"/>
  <c r="W23" i="50"/>
  <c r="X22" i="50"/>
  <c r="V23" i="50"/>
  <c r="AF68" i="69"/>
  <c r="P85" i="57"/>
  <c r="AD22" i="50"/>
  <c r="AL22" i="50" s="1"/>
  <c r="O70" i="69"/>
  <c r="AO69" i="69"/>
  <c r="AE84" i="53"/>
  <c r="R84" i="53"/>
  <c r="X84" i="53" s="1"/>
  <c r="AB84" i="53" s="1"/>
  <c r="AY68" i="69"/>
  <c r="L85" i="57"/>
  <c r="AG84" i="53"/>
  <c r="AT84" i="53"/>
  <c r="N85" i="57"/>
  <c r="J85" i="53"/>
  <c r="AD84" i="53"/>
  <c r="Q84" i="53"/>
  <c r="E85" i="53"/>
  <c r="D85" i="53"/>
  <c r="P85" i="53"/>
  <c r="C85" i="53"/>
  <c r="AK84" i="52" a="1"/>
  <c r="AK84" i="52" s="1"/>
  <c r="B86" i="53" s="1"/>
  <c r="G85" i="53"/>
  <c r="H85" i="53"/>
  <c r="F85" i="53"/>
  <c r="L85" i="53"/>
  <c r="K85" i="53"/>
  <c r="AH85" i="53" s="1"/>
  <c r="I85" i="53"/>
  <c r="M25" i="50"/>
  <c r="J25" i="50"/>
  <c r="G25" i="50"/>
  <c r="L25" i="50"/>
  <c r="H25" i="50"/>
  <c r="I25" i="50"/>
  <c r="K25" i="50"/>
  <c r="B25" i="50"/>
  <c r="A25" i="50"/>
  <c r="C85" i="57"/>
  <c r="I85" i="57"/>
  <c r="H85" i="57"/>
  <c r="G85" i="57"/>
  <c r="E85" i="57"/>
  <c r="D85" i="57"/>
  <c r="F85" i="57"/>
  <c r="J85" i="57"/>
  <c r="AN84" i="55" a="1"/>
  <c r="AN84" i="55" s="1"/>
  <c r="B86" i="57" s="1"/>
  <c r="O86" i="57" s="1"/>
  <c r="D69" i="69"/>
  <c r="E69" i="69" s="1"/>
  <c r="AE68" i="69"/>
  <c r="R68" i="69"/>
  <c r="S68" i="69" s="1"/>
  <c r="C70" i="69"/>
  <c r="AS70" i="67" a="1"/>
  <c r="AS70" i="67" s="1"/>
  <c r="B71" i="69"/>
  <c r="AM71" i="69" s="1"/>
  <c r="AN71" i="69" s="1"/>
  <c r="AP25" i="59" a="1"/>
  <c r="AP25" i="59" s="1"/>
  <c r="E26" i="50" s="1"/>
  <c r="T26" i="50" s="1"/>
  <c r="AL15" i="11" a="1"/>
  <c r="AL15" i="11" s="1"/>
  <c r="E16" i="32" s="1"/>
  <c r="T16" i="32" s="1"/>
  <c r="AF82" i="57" l="1"/>
  <c r="AF84" i="53"/>
  <c r="P70" i="69"/>
  <c r="AP70" i="69"/>
  <c r="AK85" i="57"/>
  <c r="AJ81" i="57"/>
  <c r="AJ82" i="57"/>
  <c r="AK26" i="50"/>
  <c r="U15" i="32"/>
  <c r="O16" i="32"/>
  <c r="M16" i="32"/>
  <c r="BC71" i="69"/>
  <c r="BF71" i="69"/>
  <c r="BD71" i="69"/>
  <c r="BE71" i="69"/>
  <c r="AH86" i="57"/>
  <c r="AI86" i="57" s="1"/>
  <c r="K86" i="57"/>
  <c r="AQ26" i="50"/>
  <c r="N26" i="50"/>
  <c r="AO25" i="50"/>
  <c r="AX69" i="69"/>
  <c r="AW69" i="69"/>
  <c r="L71" i="69"/>
  <c r="M71" i="69" s="1"/>
  <c r="AZ71" i="69"/>
  <c r="AB67" i="69"/>
  <c r="AC67" i="69" s="1"/>
  <c r="AD67" i="69" s="1"/>
  <c r="F69" i="69"/>
  <c r="G69" i="69" s="1"/>
  <c r="H69" i="69" s="1"/>
  <c r="I69" i="69" s="1"/>
  <c r="J69" i="69" s="1"/>
  <c r="K69" i="69" s="1"/>
  <c r="U69" i="69"/>
  <c r="AH69" i="69"/>
  <c r="F16" i="32"/>
  <c r="AU16" i="32"/>
  <c r="F26" i="50"/>
  <c r="U26" i="50" s="1"/>
  <c r="AY26" i="50"/>
  <c r="Y68" i="69"/>
  <c r="AG68" i="69" s="1"/>
  <c r="X83" i="57"/>
  <c r="AB83" i="57" s="1"/>
  <c r="AG85" i="57"/>
  <c r="AC86" i="53"/>
  <c r="O86" i="53"/>
  <c r="Q70" i="69"/>
  <c r="AA82" i="57"/>
  <c r="Q84" i="57"/>
  <c r="AC84" i="57"/>
  <c r="AQ84" i="57"/>
  <c r="AD84" i="57"/>
  <c r="R84" i="57"/>
  <c r="AE84" i="57"/>
  <c r="P25" i="50"/>
  <c r="N86" i="53"/>
  <c r="O26" i="50"/>
  <c r="AA84" i="53"/>
  <c r="AM21" i="50"/>
  <c r="AG21" i="50"/>
  <c r="AJ24" i="50"/>
  <c r="C24" i="50"/>
  <c r="S25" i="50"/>
  <c r="Z25" i="50" s="1"/>
  <c r="W24" i="50"/>
  <c r="X23" i="50"/>
  <c r="V24" i="50"/>
  <c r="AF69" i="69"/>
  <c r="P86" i="57"/>
  <c r="AD23" i="50"/>
  <c r="AL23" i="50" s="1"/>
  <c r="O71" i="69"/>
  <c r="AO70" i="69"/>
  <c r="AE85" i="53"/>
  <c r="R85" i="53"/>
  <c r="X85" i="53" s="1"/>
  <c r="AB85" i="53" s="1"/>
  <c r="AY69" i="69"/>
  <c r="L86" i="57"/>
  <c r="AT85" i="53"/>
  <c r="AG85" i="53"/>
  <c r="N86" i="57"/>
  <c r="AD85" i="53"/>
  <c r="Q85" i="53"/>
  <c r="C86" i="53"/>
  <c r="H86" i="53"/>
  <c r="AK85" i="52" a="1"/>
  <c r="AK85" i="52" s="1"/>
  <c r="B87" i="53" s="1"/>
  <c r="J86" i="53"/>
  <c r="E86" i="53"/>
  <c r="I86" i="53"/>
  <c r="F86" i="53"/>
  <c r="L86" i="53"/>
  <c r="P86" i="53"/>
  <c r="K86" i="53"/>
  <c r="AH86" i="53" s="1"/>
  <c r="D86" i="53"/>
  <c r="G86" i="53"/>
  <c r="A26" i="50"/>
  <c r="H26" i="50"/>
  <c r="J26" i="50"/>
  <c r="M26" i="50"/>
  <c r="G26" i="50"/>
  <c r="K26" i="50"/>
  <c r="L26" i="50"/>
  <c r="B26" i="50"/>
  <c r="I26" i="50"/>
  <c r="J86" i="57"/>
  <c r="G86" i="57"/>
  <c r="E86" i="57"/>
  <c r="H86" i="57"/>
  <c r="D86" i="57"/>
  <c r="I86" i="57"/>
  <c r="C86" i="57"/>
  <c r="F86" i="57"/>
  <c r="AN85" i="55" a="1"/>
  <c r="AN85" i="55" s="1"/>
  <c r="B87" i="57" s="1"/>
  <c r="O87" i="57" s="1"/>
  <c r="AS71" i="67" a="1"/>
  <c r="AS71" i="67" s="1"/>
  <c r="B72" i="69"/>
  <c r="AM72" i="69" s="1"/>
  <c r="AN72" i="69" s="1"/>
  <c r="C71" i="69"/>
  <c r="D70" i="69"/>
  <c r="E70" i="69" s="1"/>
  <c r="AE69" i="69"/>
  <c r="R69" i="69"/>
  <c r="S69" i="69" s="1"/>
  <c r="AP26" i="59" a="1"/>
  <c r="AP26" i="59" s="1"/>
  <c r="E27" i="50" s="1"/>
  <c r="T27" i="50" s="1"/>
  <c r="AL16" i="11" a="1"/>
  <c r="AL16" i="11" s="1"/>
  <c r="E17" i="32" s="1"/>
  <c r="T17" i="32" s="1"/>
  <c r="AF83" i="57" l="1"/>
  <c r="AF85" i="53"/>
  <c r="AH21" i="50"/>
  <c r="AI21" i="50" s="1"/>
  <c r="AP21" i="50" s="1"/>
  <c r="P71" i="69"/>
  <c r="AP71" i="69"/>
  <c r="AK86" i="57"/>
  <c r="O17" i="32"/>
  <c r="AK27" i="50"/>
  <c r="U16" i="32"/>
  <c r="BC72" i="69"/>
  <c r="BE72" i="69"/>
  <c r="BF72" i="69"/>
  <c r="BD72" i="69"/>
  <c r="K87" i="57"/>
  <c r="AH87" i="57"/>
  <c r="AI87" i="57" s="1"/>
  <c r="N27" i="50"/>
  <c r="AQ27" i="50"/>
  <c r="AO26" i="50"/>
  <c r="AX70" i="69"/>
  <c r="AW70" i="69"/>
  <c r="L72" i="69"/>
  <c r="M72" i="69" s="1"/>
  <c r="AZ72" i="69"/>
  <c r="Y69" i="69"/>
  <c r="AG69" i="69" s="1"/>
  <c r="F70" i="69"/>
  <c r="G70" i="69" s="1"/>
  <c r="H70" i="69" s="1"/>
  <c r="I70" i="69" s="1"/>
  <c r="J70" i="69" s="1"/>
  <c r="K70" i="69" s="1"/>
  <c r="U70" i="69"/>
  <c r="AH70" i="69"/>
  <c r="F17" i="32"/>
  <c r="AU17" i="32"/>
  <c r="F27" i="50"/>
  <c r="U27" i="50" s="1"/>
  <c r="AY27" i="50"/>
  <c r="AB68" i="69"/>
  <c r="AC68" i="69" s="1"/>
  <c r="AD68" i="69" s="1"/>
  <c r="X84" i="57"/>
  <c r="AB84" i="57" s="1"/>
  <c r="AG86" i="57"/>
  <c r="AC87" i="53"/>
  <c r="O87" i="53"/>
  <c r="Q71" i="69"/>
  <c r="AQ85" i="57"/>
  <c r="AA83" i="57"/>
  <c r="R85" i="57"/>
  <c r="AD85" i="57"/>
  <c r="AC85" i="57"/>
  <c r="Q85" i="57"/>
  <c r="AE85" i="57"/>
  <c r="P26" i="50"/>
  <c r="N87" i="53"/>
  <c r="I17" i="32"/>
  <c r="O27" i="50"/>
  <c r="AA85" i="53"/>
  <c r="AG22" i="50"/>
  <c r="AJ25" i="50"/>
  <c r="C25" i="50"/>
  <c r="S26" i="50"/>
  <c r="Z26" i="50" s="1"/>
  <c r="W25" i="50"/>
  <c r="X24" i="50"/>
  <c r="AD24" i="50" s="1"/>
  <c r="AL24" i="50" s="1"/>
  <c r="V25" i="50"/>
  <c r="AF70" i="69"/>
  <c r="P87" i="57"/>
  <c r="AM22" i="50"/>
  <c r="AO71" i="69"/>
  <c r="O72" i="69"/>
  <c r="AE86" i="53"/>
  <c r="R86" i="53"/>
  <c r="X86" i="53" s="1"/>
  <c r="AB86" i="53" s="1"/>
  <c r="AY70" i="69"/>
  <c r="L87" i="57"/>
  <c r="AT86" i="53"/>
  <c r="AG86" i="53"/>
  <c r="N87" i="57"/>
  <c r="J87" i="53"/>
  <c r="AD86" i="53"/>
  <c r="Q86" i="53"/>
  <c r="C87" i="53"/>
  <c r="D87" i="53"/>
  <c r="AK86" i="52" a="1"/>
  <c r="AK86" i="52" s="1"/>
  <c r="B88" i="53" s="1"/>
  <c r="L87" i="53"/>
  <c r="I87" i="53"/>
  <c r="G87" i="53"/>
  <c r="P87" i="53"/>
  <c r="K87" i="53"/>
  <c r="AH87" i="53" s="1"/>
  <c r="E87" i="53"/>
  <c r="H87" i="53"/>
  <c r="F87" i="53"/>
  <c r="A27" i="50"/>
  <c r="K27" i="50"/>
  <c r="M27" i="50"/>
  <c r="L27" i="50"/>
  <c r="B27" i="50"/>
  <c r="I27" i="50"/>
  <c r="H27" i="50"/>
  <c r="J27" i="50"/>
  <c r="G27" i="50"/>
  <c r="D87" i="57"/>
  <c r="C87" i="57"/>
  <c r="I87" i="57"/>
  <c r="H87" i="57"/>
  <c r="G87" i="57"/>
  <c r="E87" i="57"/>
  <c r="F87" i="57"/>
  <c r="J87" i="57"/>
  <c r="AN86" i="55" a="1"/>
  <c r="AN86" i="55" s="1"/>
  <c r="B88" i="57" s="1"/>
  <c r="O88" i="57" s="1"/>
  <c r="AS72" i="67" a="1"/>
  <c r="AS72" i="67" s="1"/>
  <c r="B73" i="69"/>
  <c r="AM73" i="69" s="1"/>
  <c r="AN73" i="69" s="1"/>
  <c r="D71" i="69"/>
  <c r="E71" i="69" s="1"/>
  <c r="AE70" i="69"/>
  <c r="R70" i="69"/>
  <c r="S70" i="69" s="1"/>
  <c r="C72" i="69"/>
  <c r="AP27" i="59" a="1"/>
  <c r="AP27" i="59" s="1"/>
  <c r="E28" i="50" s="1"/>
  <c r="T28" i="50" s="1"/>
  <c r="AL17" i="11" a="1"/>
  <c r="AL17" i="11" s="1"/>
  <c r="E18" i="32" s="1"/>
  <c r="T18" i="32" s="1"/>
  <c r="AF86" i="53" l="1"/>
  <c r="AF84" i="57"/>
  <c r="AH22" i="50"/>
  <c r="AI22" i="50" s="1"/>
  <c r="AP22" i="50" s="1"/>
  <c r="AK87" i="57"/>
  <c r="P72" i="69"/>
  <c r="AP72" i="69"/>
  <c r="AJ83" i="57"/>
  <c r="O18" i="32"/>
  <c r="AK28" i="50"/>
  <c r="U17" i="32"/>
  <c r="BC73" i="69"/>
  <c r="BE73" i="69"/>
  <c r="BF73" i="69"/>
  <c r="BD73" i="69"/>
  <c r="AH88" i="57"/>
  <c r="AI88" i="57" s="1"/>
  <c r="K88" i="57"/>
  <c r="AO27" i="50"/>
  <c r="AQ28" i="50"/>
  <c r="N28" i="50"/>
  <c r="AW71" i="69"/>
  <c r="AX71" i="69"/>
  <c r="L73" i="69"/>
  <c r="M73" i="69" s="1"/>
  <c r="AZ73" i="69"/>
  <c r="AB69" i="69"/>
  <c r="AC69" i="69" s="1"/>
  <c r="AD69" i="69" s="1"/>
  <c r="Y70" i="69"/>
  <c r="AB70" i="69" s="1"/>
  <c r="F71" i="69"/>
  <c r="G71" i="69" s="1"/>
  <c r="H71" i="69" s="1"/>
  <c r="I71" i="69" s="1"/>
  <c r="J71" i="69" s="1"/>
  <c r="K71" i="69" s="1"/>
  <c r="U71" i="69"/>
  <c r="AH71" i="69"/>
  <c r="F18" i="32"/>
  <c r="AU18" i="32"/>
  <c r="F28" i="50"/>
  <c r="U28" i="50" s="1"/>
  <c r="AY28" i="50"/>
  <c r="X85" i="57"/>
  <c r="AB85" i="57" s="1"/>
  <c r="AG87" i="57"/>
  <c r="AC88" i="53"/>
  <c r="O88" i="53"/>
  <c r="Q72" i="69"/>
  <c r="AA84" i="57"/>
  <c r="AQ86" i="57"/>
  <c r="AE86" i="57"/>
  <c r="Q86" i="57"/>
  <c r="AD86" i="57"/>
  <c r="R86" i="57"/>
  <c r="AC86" i="57"/>
  <c r="P27" i="50"/>
  <c r="N88" i="53"/>
  <c r="O28" i="50"/>
  <c r="AA86" i="53"/>
  <c r="AM24" i="50"/>
  <c r="AG24" i="50"/>
  <c r="AG23" i="50"/>
  <c r="C26" i="50"/>
  <c r="AJ26" i="50"/>
  <c r="S27" i="50"/>
  <c r="Z27" i="50" s="1"/>
  <c r="W26" i="50"/>
  <c r="X25" i="50"/>
  <c r="AD25" i="50" s="1"/>
  <c r="AL25" i="50" s="1"/>
  <c r="V26" i="50"/>
  <c r="AF71" i="69"/>
  <c r="P88" i="57"/>
  <c r="AM23" i="50"/>
  <c r="O73" i="69"/>
  <c r="AO72" i="69"/>
  <c r="AE87" i="53"/>
  <c r="R87" i="53"/>
  <c r="X87" i="53" s="1"/>
  <c r="AB87" i="53" s="1"/>
  <c r="AY71" i="69"/>
  <c r="L88" i="57"/>
  <c r="AG87" i="53"/>
  <c r="AT87" i="53"/>
  <c r="N88" i="57"/>
  <c r="K88" i="53"/>
  <c r="AH88" i="53" s="1"/>
  <c r="AD87" i="53"/>
  <c r="Q87" i="53"/>
  <c r="P88" i="53"/>
  <c r="D88" i="53"/>
  <c r="C88" i="53"/>
  <c r="E88" i="53"/>
  <c r="H88" i="53"/>
  <c r="F88" i="53"/>
  <c r="AK87" i="52" a="1"/>
  <c r="AK87" i="52" s="1"/>
  <c r="B89" i="53" s="1"/>
  <c r="L88" i="53"/>
  <c r="I88" i="53"/>
  <c r="G88" i="53"/>
  <c r="J88" i="53"/>
  <c r="I28" i="50"/>
  <c r="H28" i="50"/>
  <c r="M28" i="50"/>
  <c r="L28" i="50"/>
  <c r="K28" i="50"/>
  <c r="G28" i="50"/>
  <c r="J28" i="50"/>
  <c r="B28" i="50"/>
  <c r="A28" i="50"/>
  <c r="E88" i="57"/>
  <c r="C88" i="57"/>
  <c r="J88" i="57"/>
  <c r="I88" i="57"/>
  <c r="F88" i="57"/>
  <c r="H88" i="57"/>
  <c r="D88" i="57"/>
  <c r="G88" i="57"/>
  <c r="AN87" i="55" a="1"/>
  <c r="AN87" i="55" s="1"/>
  <c r="B89" i="57" s="1"/>
  <c r="O89" i="57" s="1"/>
  <c r="AE71" i="69"/>
  <c r="R71" i="69"/>
  <c r="S71" i="69" s="1"/>
  <c r="D72" i="69"/>
  <c r="E72" i="69" s="1"/>
  <c r="C73" i="69"/>
  <c r="AS73" i="67" a="1"/>
  <c r="AS73" i="67" s="1"/>
  <c r="B74" i="69"/>
  <c r="AM74" i="69" s="1"/>
  <c r="AN74" i="69" s="1"/>
  <c r="AP28" i="59" a="1"/>
  <c r="AP28" i="59" s="1"/>
  <c r="E29" i="50" s="1"/>
  <c r="T29" i="50" s="1"/>
  <c r="AL18" i="11" a="1"/>
  <c r="AL18" i="11" s="1"/>
  <c r="E19" i="32" s="1"/>
  <c r="T19" i="32" s="1"/>
  <c r="AF85" i="57" l="1"/>
  <c r="AF87" i="53"/>
  <c r="AH23" i="50"/>
  <c r="AI23" i="50" s="1"/>
  <c r="AP23" i="50" s="1"/>
  <c r="AH24" i="50"/>
  <c r="AI24" i="50" s="1"/>
  <c r="AP24" i="50" s="1"/>
  <c r="P73" i="69"/>
  <c r="AP73" i="69"/>
  <c r="AK88" i="57"/>
  <c r="AJ84" i="57"/>
  <c r="O19" i="32"/>
  <c r="AK29" i="50"/>
  <c r="BC74" i="69"/>
  <c r="BE74" i="69"/>
  <c r="BF74" i="69"/>
  <c r="BD74" i="69"/>
  <c r="U18" i="32"/>
  <c r="AH89" i="57"/>
  <c r="AI89" i="57" s="1"/>
  <c r="K89" i="57"/>
  <c r="AQ29" i="50"/>
  <c r="N29" i="50"/>
  <c r="AO28" i="50"/>
  <c r="AW72" i="69"/>
  <c r="AX72" i="69"/>
  <c r="L74" i="69"/>
  <c r="M74" i="69" s="1"/>
  <c r="AZ74" i="69"/>
  <c r="AG70" i="69"/>
  <c r="F72" i="69"/>
  <c r="G72" i="69" s="1"/>
  <c r="H72" i="69" s="1"/>
  <c r="I72" i="69" s="1"/>
  <c r="J72" i="69" s="1"/>
  <c r="K72" i="69" s="1"/>
  <c r="U72" i="69"/>
  <c r="AH72" i="69"/>
  <c r="F19" i="32"/>
  <c r="AU19" i="32"/>
  <c r="AY29" i="50"/>
  <c r="F29" i="50"/>
  <c r="U29" i="50" s="1"/>
  <c r="Y71" i="69"/>
  <c r="AB71" i="69" s="1"/>
  <c r="AC71" i="69" s="1"/>
  <c r="AD71" i="69" s="1"/>
  <c r="X86" i="57"/>
  <c r="AB86" i="57" s="1"/>
  <c r="AG88" i="57"/>
  <c r="AA85" i="57"/>
  <c r="AC89" i="53"/>
  <c r="O89" i="53"/>
  <c r="Q73" i="69"/>
  <c r="AQ87" i="57"/>
  <c r="AD87" i="57"/>
  <c r="R87" i="57"/>
  <c r="Q87" i="57"/>
  <c r="AC87" i="57"/>
  <c r="AE87" i="57"/>
  <c r="P28" i="50"/>
  <c r="N89" i="53"/>
  <c r="O29" i="50"/>
  <c r="AA87" i="53"/>
  <c r="AG25" i="50"/>
  <c r="AJ27" i="50"/>
  <c r="C27" i="50"/>
  <c r="S28" i="50"/>
  <c r="Z28" i="50" s="1"/>
  <c r="W27" i="50"/>
  <c r="X26" i="50"/>
  <c r="AD26" i="50" s="1"/>
  <c r="AL26" i="50" s="1"/>
  <c r="V27" i="50"/>
  <c r="AF72" i="69"/>
  <c r="P89" i="57"/>
  <c r="AM25" i="50"/>
  <c r="AC70" i="69"/>
  <c r="AD70" i="69" s="1"/>
  <c r="O74" i="69"/>
  <c r="AO73" i="69"/>
  <c r="AE88" i="53"/>
  <c r="R88" i="53"/>
  <c r="X88" i="53" s="1"/>
  <c r="AB88" i="53" s="1"/>
  <c r="AY72" i="69"/>
  <c r="L89" i="57"/>
  <c r="AG88" i="53"/>
  <c r="AT88" i="53"/>
  <c r="N89" i="57"/>
  <c r="J89" i="53"/>
  <c r="AD88" i="53"/>
  <c r="Q88" i="53"/>
  <c r="E89" i="53"/>
  <c r="L89" i="53"/>
  <c r="K89" i="53"/>
  <c r="AH89" i="53" s="1"/>
  <c r="C89" i="53"/>
  <c r="G89" i="53"/>
  <c r="D89" i="53"/>
  <c r="P89" i="53"/>
  <c r="H89" i="53"/>
  <c r="AK88" i="52" a="1"/>
  <c r="AK88" i="52" s="1"/>
  <c r="B90" i="53" s="1"/>
  <c r="I89" i="53"/>
  <c r="F89" i="53"/>
  <c r="B29" i="50"/>
  <c r="I29" i="50"/>
  <c r="A29" i="50"/>
  <c r="M29" i="50"/>
  <c r="H29" i="50"/>
  <c r="K29" i="50"/>
  <c r="G29" i="50"/>
  <c r="J29" i="50"/>
  <c r="L29" i="50"/>
  <c r="G89" i="57"/>
  <c r="E89" i="57"/>
  <c r="D89" i="57"/>
  <c r="C89" i="57"/>
  <c r="I89" i="57"/>
  <c r="H89" i="57"/>
  <c r="F89" i="57"/>
  <c r="J89" i="57"/>
  <c r="AN88" i="55" a="1"/>
  <c r="AN88" i="55" s="1"/>
  <c r="B90" i="57" s="1"/>
  <c r="O90" i="57" s="1"/>
  <c r="AS74" i="67" a="1"/>
  <c r="AS74" i="67" s="1"/>
  <c r="B75" i="69"/>
  <c r="AM75" i="69" s="1"/>
  <c r="AN75" i="69" s="1"/>
  <c r="AE72" i="69"/>
  <c r="R72" i="69"/>
  <c r="S72" i="69" s="1"/>
  <c r="D73" i="69"/>
  <c r="E73" i="69" s="1"/>
  <c r="C74" i="69"/>
  <c r="AP29" i="59" a="1"/>
  <c r="AP29" i="59" s="1"/>
  <c r="E30" i="50" s="1"/>
  <c r="T30" i="50" s="1"/>
  <c r="AL19" i="11" a="1"/>
  <c r="AL19" i="11" s="1"/>
  <c r="E20" i="32" s="1"/>
  <c r="T20" i="32" s="1"/>
  <c r="AF86" i="57" l="1"/>
  <c r="AF88" i="53"/>
  <c r="AH25" i="50"/>
  <c r="AI25" i="50" s="1"/>
  <c r="AP25" i="50" s="1"/>
  <c r="P74" i="69"/>
  <c r="AP74" i="69"/>
  <c r="AK89" i="57"/>
  <c r="AJ85" i="57"/>
  <c r="O20" i="32"/>
  <c r="AK30" i="50"/>
  <c r="BC75" i="69"/>
  <c r="BD75" i="69"/>
  <c r="BE75" i="69"/>
  <c r="BF75" i="69"/>
  <c r="U19" i="32"/>
  <c r="AH90" i="57"/>
  <c r="AI90" i="57" s="1"/>
  <c r="K90" i="57"/>
  <c r="N30" i="50"/>
  <c r="AQ30" i="50"/>
  <c r="AO29" i="50"/>
  <c r="AX73" i="69"/>
  <c r="AW73" i="69"/>
  <c r="L75" i="69"/>
  <c r="M75" i="69" s="1"/>
  <c r="AZ75" i="69"/>
  <c r="Y72" i="69"/>
  <c r="AB72" i="69" s="1"/>
  <c r="U73" i="69"/>
  <c r="AH73" i="69"/>
  <c r="F73" i="69"/>
  <c r="G73" i="69" s="1"/>
  <c r="H73" i="69" s="1"/>
  <c r="I73" i="69" s="1"/>
  <c r="J73" i="69" s="1"/>
  <c r="K73" i="69" s="1"/>
  <c r="F20" i="32"/>
  <c r="AU20" i="32"/>
  <c r="F30" i="50"/>
  <c r="U30" i="50" s="1"/>
  <c r="AY30" i="50"/>
  <c r="AG71" i="69"/>
  <c r="X87" i="57"/>
  <c r="AB87" i="57" s="1"/>
  <c r="AG89" i="57"/>
  <c r="AC90" i="53"/>
  <c r="O90" i="53"/>
  <c r="Q74" i="69"/>
  <c r="AA86" i="57"/>
  <c r="AQ88" i="57"/>
  <c r="AE88" i="57"/>
  <c r="AD88" i="57"/>
  <c r="R88" i="57"/>
  <c r="Q88" i="57"/>
  <c r="AC88" i="57"/>
  <c r="P29" i="50"/>
  <c r="N90" i="53"/>
  <c r="O30" i="50"/>
  <c r="AA88" i="53"/>
  <c r="AG26" i="50"/>
  <c r="C28" i="50"/>
  <c r="AJ28" i="50"/>
  <c r="S29" i="50"/>
  <c r="Z29" i="50" s="1"/>
  <c r="W28" i="50"/>
  <c r="X27" i="50"/>
  <c r="AD27" i="50" s="1"/>
  <c r="AL27" i="50" s="1"/>
  <c r="V28" i="50"/>
  <c r="AF73" i="69"/>
  <c r="P90" i="57"/>
  <c r="AM26" i="50"/>
  <c r="AO74" i="69"/>
  <c r="O75" i="69"/>
  <c r="AE89" i="53"/>
  <c r="R89" i="53"/>
  <c r="X89" i="53" s="1"/>
  <c r="AB89" i="53" s="1"/>
  <c r="AY73" i="69"/>
  <c r="L90" i="57"/>
  <c r="AG89" i="53"/>
  <c r="AT89" i="53"/>
  <c r="N90" i="57"/>
  <c r="P90" i="53"/>
  <c r="AD89" i="53"/>
  <c r="Q89" i="53"/>
  <c r="F90" i="53"/>
  <c r="L90" i="53"/>
  <c r="D90" i="53"/>
  <c r="G90" i="53"/>
  <c r="H90" i="53"/>
  <c r="I90" i="53"/>
  <c r="C90" i="53"/>
  <c r="E90" i="53"/>
  <c r="AK89" i="52" a="1"/>
  <c r="AK89" i="52" s="1"/>
  <c r="B91" i="53" s="1"/>
  <c r="J90" i="53"/>
  <c r="K90" i="53"/>
  <c r="AH90" i="53" s="1"/>
  <c r="G30" i="50"/>
  <c r="B30" i="50"/>
  <c r="M30" i="50"/>
  <c r="L30" i="50"/>
  <c r="A30" i="50"/>
  <c r="H30" i="50"/>
  <c r="K30" i="50"/>
  <c r="J30" i="50"/>
  <c r="I30" i="50"/>
  <c r="C90" i="57"/>
  <c r="H90" i="57"/>
  <c r="J90" i="57"/>
  <c r="D90" i="57"/>
  <c r="G90" i="57"/>
  <c r="E90" i="57"/>
  <c r="F90" i="57"/>
  <c r="I90" i="57"/>
  <c r="AN89" i="55" a="1"/>
  <c r="AN89" i="55" s="1"/>
  <c r="B91" i="57" s="1"/>
  <c r="O91" i="57" s="1"/>
  <c r="D74" i="69"/>
  <c r="E74" i="69" s="1"/>
  <c r="AE73" i="69"/>
  <c r="R73" i="69"/>
  <c r="S73" i="69" s="1"/>
  <c r="C75" i="69"/>
  <c r="AS75" i="67" a="1"/>
  <c r="AS75" i="67" s="1"/>
  <c r="B76" i="69"/>
  <c r="AM76" i="69" s="1"/>
  <c r="AN76" i="69" s="1"/>
  <c r="AP30" i="59" a="1"/>
  <c r="AP30" i="59" s="1"/>
  <c r="E31" i="50" s="1"/>
  <c r="T31" i="50" s="1"/>
  <c r="AL20" i="11" a="1"/>
  <c r="AL20" i="11" s="1"/>
  <c r="E21" i="32" s="1"/>
  <c r="T21" i="32" s="1"/>
  <c r="AF87" i="57" l="1"/>
  <c r="AF89" i="53"/>
  <c r="AH26" i="50"/>
  <c r="AI26" i="50" s="1"/>
  <c r="AP26" i="50" s="1"/>
  <c r="P75" i="69"/>
  <c r="AP75" i="69"/>
  <c r="AK90" i="57"/>
  <c r="AJ86" i="57"/>
  <c r="O21" i="32"/>
  <c r="AK31" i="50"/>
  <c r="BC76" i="69"/>
  <c r="BD76" i="69"/>
  <c r="BE76" i="69"/>
  <c r="BF76" i="69"/>
  <c r="U20" i="32"/>
  <c r="AH91" i="57"/>
  <c r="AI91" i="57" s="1"/>
  <c r="K91" i="57"/>
  <c r="AO30" i="50"/>
  <c r="N31" i="50"/>
  <c r="AQ31" i="50"/>
  <c r="AX74" i="69"/>
  <c r="AW74" i="69"/>
  <c r="L76" i="69"/>
  <c r="M76" i="69" s="1"/>
  <c r="AZ76" i="69"/>
  <c r="AG72" i="69"/>
  <c r="Y73" i="69"/>
  <c r="AG73" i="69" s="1"/>
  <c r="U74" i="69"/>
  <c r="AH74" i="69"/>
  <c r="F74" i="69"/>
  <c r="G74" i="69" s="1"/>
  <c r="H74" i="69" s="1"/>
  <c r="I74" i="69" s="1"/>
  <c r="J74" i="69" s="1"/>
  <c r="K74" i="69" s="1"/>
  <c r="F21" i="32"/>
  <c r="AU21" i="32"/>
  <c r="AY31" i="50"/>
  <c r="F31" i="50"/>
  <c r="U31" i="50" s="1"/>
  <c r="Q89" i="57"/>
  <c r="X88" i="57"/>
  <c r="AB88" i="57" s="1"/>
  <c r="AG90" i="57"/>
  <c r="AC91" i="53"/>
  <c r="O91" i="53"/>
  <c r="Q75" i="69"/>
  <c r="R89" i="57"/>
  <c r="AD89" i="57"/>
  <c r="AA87" i="57"/>
  <c r="AQ89" i="57"/>
  <c r="AC89" i="57"/>
  <c r="AE89" i="57"/>
  <c r="P30" i="50"/>
  <c r="N91" i="53"/>
  <c r="O31" i="50"/>
  <c r="AA89" i="53"/>
  <c r="AG27" i="50"/>
  <c r="AJ29" i="50"/>
  <c r="C29" i="50"/>
  <c r="S30" i="50"/>
  <c r="Z30" i="50" s="1"/>
  <c r="W29" i="50"/>
  <c r="X28" i="50"/>
  <c r="AD28" i="50" s="1"/>
  <c r="AL28" i="50" s="1"/>
  <c r="V29" i="50"/>
  <c r="AF74" i="69"/>
  <c r="P91" i="57"/>
  <c r="AM27" i="50"/>
  <c r="AC72" i="69"/>
  <c r="AD72" i="69" s="1"/>
  <c r="O76" i="69"/>
  <c r="AO75" i="69"/>
  <c r="AE90" i="53"/>
  <c r="R90" i="53"/>
  <c r="X90" i="53" s="1"/>
  <c r="AB90" i="53" s="1"/>
  <c r="AY74" i="69"/>
  <c r="L91" i="57"/>
  <c r="AT90" i="53"/>
  <c r="AG90" i="53"/>
  <c r="N91" i="57"/>
  <c r="G91" i="53"/>
  <c r="AD90" i="53"/>
  <c r="Q90" i="53"/>
  <c r="F91" i="53"/>
  <c r="H91" i="53"/>
  <c r="E91" i="53"/>
  <c r="J91" i="53"/>
  <c r="C91" i="53"/>
  <c r="I91" i="53"/>
  <c r="D91" i="53"/>
  <c r="AK90" i="52" a="1"/>
  <c r="AK90" i="52" s="1"/>
  <c r="B92" i="53" s="1"/>
  <c r="P91" i="53"/>
  <c r="L91" i="53"/>
  <c r="K91" i="53"/>
  <c r="AH91" i="53" s="1"/>
  <c r="M31" i="50"/>
  <c r="H31" i="50"/>
  <c r="I31" i="50"/>
  <c r="J31" i="50"/>
  <c r="G31" i="50"/>
  <c r="K31" i="50"/>
  <c r="A31" i="50"/>
  <c r="L31" i="50"/>
  <c r="B31" i="50"/>
  <c r="H91" i="57"/>
  <c r="G91" i="57"/>
  <c r="E91" i="57"/>
  <c r="D91" i="57"/>
  <c r="C91" i="57"/>
  <c r="I91" i="57"/>
  <c r="F91" i="57"/>
  <c r="J91" i="57"/>
  <c r="AN90" i="55" a="1"/>
  <c r="AN90" i="55" s="1"/>
  <c r="B92" i="57" s="1"/>
  <c r="O92" i="57" s="1"/>
  <c r="AS76" i="67" a="1"/>
  <c r="AS76" i="67" s="1"/>
  <c r="B77" i="69"/>
  <c r="AM77" i="69" s="1"/>
  <c r="AN77" i="69" s="1"/>
  <c r="AE74" i="69"/>
  <c r="R74" i="69"/>
  <c r="S74" i="69" s="1"/>
  <c r="C76" i="69"/>
  <c r="D75" i="69"/>
  <c r="E75" i="69" s="1"/>
  <c r="AP31" i="59" a="1"/>
  <c r="AP31" i="59" s="1"/>
  <c r="E32" i="50" s="1"/>
  <c r="T32" i="50" s="1"/>
  <c r="AL21" i="11" a="1"/>
  <c r="AL21" i="11" s="1"/>
  <c r="E22" i="32" s="1"/>
  <c r="T22" i="32" s="1"/>
  <c r="AF88" i="57" l="1"/>
  <c r="AF90" i="53"/>
  <c r="AH27" i="50"/>
  <c r="AI27" i="50" s="1"/>
  <c r="AP27" i="50" s="1"/>
  <c r="P76" i="69"/>
  <c r="AP76" i="69"/>
  <c r="AK91" i="57"/>
  <c r="AJ87" i="57"/>
  <c r="O22" i="32"/>
  <c r="AK32" i="50"/>
  <c r="BC77" i="69"/>
  <c r="BF77" i="69"/>
  <c r="BD77" i="69"/>
  <c r="BE77" i="69"/>
  <c r="U21" i="32"/>
  <c r="AH92" i="57"/>
  <c r="AI92" i="57" s="1"/>
  <c r="K92" i="57"/>
  <c r="AQ32" i="50"/>
  <c r="N32" i="50"/>
  <c r="AO31" i="50"/>
  <c r="AX75" i="69"/>
  <c r="AW75" i="69"/>
  <c r="L77" i="69"/>
  <c r="M77" i="69" s="1"/>
  <c r="AZ77" i="69"/>
  <c r="AB73" i="69"/>
  <c r="AC73" i="69" s="1"/>
  <c r="AD73" i="69" s="1"/>
  <c r="F75" i="69"/>
  <c r="G75" i="69" s="1"/>
  <c r="H75" i="69" s="1"/>
  <c r="I75" i="69" s="1"/>
  <c r="J75" i="69" s="1"/>
  <c r="K75" i="69" s="1"/>
  <c r="U75" i="69"/>
  <c r="AH75" i="69"/>
  <c r="Y74" i="69"/>
  <c r="AB74" i="69" s="1"/>
  <c r="F22" i="32"/>
  <c r="AU22" i="32"/>
  <c r="F32" i="50"/>
  <c r="U32" i="50" s="1"/>
  <c r="AY32" i="50"/>
  <c r="X89" i="57"/>
  <c r="AG91" i="57"/>
  <c r="AA88" i="57"/>
  <c r="AC92" i="53"/>
  <c r="O92" i="53"/>
  <c r="Q76" i="69"/>
  <c r="Q90" i="57"/>
  <c r="AQ90" i="57"/>
  <c r="AE90" i="57"/>
  <c r="AD90" i="57"/>
  <c r="R90" i="57"/>
  <c r="AC90" i="57"/>
  <c r="P31" i="50"/>
  <c r="N92" i="53"/>
  <c r="O32" i="50"/>
  <c r="AA90" i="53"/>
  <c r="AG28" i="50"/>
  <c r="AJ30" i="50"/>
  <c r="C30" i="50"/>
  <c r="S31" i="50"/>
  <c r="Z31" i="50" s="1"/>
  <c r="W30" i="50"/>
  <c r="X29" i="50"/>
  <c r="AD29" i="50" s="1"/>
  <c r="AL29" i="50" s="1"/>
  <c r="V30" i="50"/>
  <c r="AF75" i="69"/>
  <c r="P92" i="57"/>
  <c r="AM28" i="50"/>
  <c r="O77" i="69"/>
  <c r="AO76" i="69"/>
  <c r="AE91" i="53"/>
  <c r="AK22" i="32"/>
  <c r="R91" i="53"/>
  <c r="X91" i="53" s="1"/>
  <c r="AB91" i="53" s="1"/>
  <c r="AY75" i="69"/>
  <c r="L92" i="57"/>
  <c r="AG91" i="53"/>
  <c r="AT91" i="53"/>
  <c r="N92" i="57"/>
  <c r="I92" i="53"/>
  <c r="Q91" i="53"/>
  <c r="AD91" i="53"/>
  <c r="G92" i="53"/>
  <c r="L92" i="53"/>
  <c r="J92" i="53"/>
  <c r="E92" i="53"/>
  <c r="H92" i="53"/>
  <c r="C92" i="53"/>
  <c r="P92" i="53"/>
  <c r="K92" i="53"/>
  <c r="AH92" i="53" s="1"/>
  <c r="F92" i="53"/>
  <c r="AK91" i="52" a="1"/>
  <c r="AK91" i="52" s="1"/>
  <c r="B93" i="53" s="1"/>
  <c r="D92" i="53"/>
  <c r="I32" i="50"/>
  <c r="J32" i="50"/>
  <c r="L32" i="50"/>
  <c r="M32" i="50"/>
  <c r="K32" i="50"/>
  <c r="B32" i="50"/>
  <c r="A32" i="50"/>
  <c r="G32" i="50"/>
  <c r="H32" i="50"/>
  <c r="I92" i="57"/>
  <c r="F92" i="57"/>
  <c r="C92" i="57"/>
  <c r="G92" i="57"/>
  <c r="H92" i="57"/>
  <c r="E92" i="57"/>
  <c r="D92" i="57"/>
  <c r="J92" i="57"/>
  <c r="AN91" i="55" a="1"/>
  <c r="AN91" i="55" s="1"/>
  <c r="B93" i="57" s="1"/>
  <c r="O93" i="57" s="1"/>
  <c r="C77" i="69"/>
  <c r="AE75" i="69"/>
  <c r="R75" i="69"/>
  <c r="S75" i="69" s="1"/>
  <c r="D76" i="69"/>
  <c r="E76" i="69" s="1"/>
  <c r="AS77" i="67" a="1"/>
  <c r="AS77" i="67" s="1"/>
  <c r="B78" i="69"/>
  <c r="AM78" i="69" s="1"/>
  <c r="AN78" i="69" s="1"/>
  <c r="AP32" i="59" a="1"/>
  <c r="AP32" i="59" s="1"/>
  <c r="E33" i="50" s="1"/>
  <c r="T33" i="50" s="1"/>
  <c r="AL22" i="11" a="1"/>
  <c r="AL22" i="11" s="1"/>
  <c r="E23" i="32" s="1"/>
  <c r="T23" i="32" s="1"/>
  <c r="AA89" i="57" l="1"/>
  <c r="AB89" i="57"/>
  <c r="AF89" i="57" s="1"/>
  <c r="AF91" i="53"/>
  <c r="AH28" i="50"/>
  <c r="AI28" i="50" s="1"/>
  <c r="AP28" i="50" s="1"/>
  <c r="P77" i="69"/>
  <c r="AP77" i="69"/>
  <c r="AK92" i="57"/>
  <c r="AJ88" i="57"/>
  <c r="O23" i="32"/>
  <c r="AK33" i="50"/>
  <c r="BC78" i="69"/>
  <c r="BF78" i="69"/>
  <c r="BD78" i="69"/>
  <c r="BE78" i="69"/>
  <c r="U22" i="32"/>
  <c r="AH93" i="57"/>
  <c r="AI93" i="57" s="1"/>
  <c r="K93" i="57"/>
  <c r="AQ33" i="50"/>
  <c r="N33" i="50"/>
  <c r="AO32" i="50"/>
  <c r="AW76" i="69"/>
  <c r="AX76" i="69"/>
  <c r="L78" i="69"/>
  <c r="M78" i="69" s="1"/>
  <c r="AZ78" i="69"/>
  <c r="Y75" i="69"/>
  <c r="AG75" i="69" s="1"/>
  <c r="AG74" i="69"/>
  <c r="U76" i="69"/>
  <c r="AH76" i="69"/>
  <c r="F76" i="69"/>
  <c r="G76" i="69" s="1"/>
  <c r="H76" i="69" s="1"/>
  <c r="I76" i="69" s="1"/>
  <c r="J76" i="69" s="1"/>
  <c r="K76" i="69" s="1"/>
  <c r="F23" i="32"/>
  <c r="AU23" i="32"/>
  <c r="AY33" i="50"/>
  <c r="F33" i="50"/>
  <c r="U33" i="50" s="1"/>
  <c r="AG92" i="57"/>
  <c r="X90" i="57"/>
  <c r="AC93" i="53"/>
  <c r="O93" i="53"/>
  <c r="Q77" i="69"/>
  <c r="R91" i="57"/>
  <c r="AD91" i="57"/>
  <c r="AE91" i="57"/>
  <c r="Q91" i="57"/>
  <c r="AC91" i="57"/>
  <c r="AQ91" i="57"/>
  <c r="P32" i="50"/>
  <c r="N93" i="53"/>
  <c r="O33" i="50"/>
  <c r="AA91" i="53"/>
  <c r="AG29" i="50"/>
  <c r="AJ31" i="50"/>
  <c r="C31" i="50"/>
  <c r="S32" i="50"/>
  <c r="Z32" i="50" s="1"/>
  <c r="W31" i="50"/>
  <c r="X30" i="50"/>
  <c r="AD30" i="50" s="1"/>
  <c r="AL30" i="50" s="1"/>
  <c r="V31" i="50"/>
  <c r="AF76" i="69"/>
  <c r="P93" i="57"/>
  <c r="AM29" i="50"/>
  <c r="AC74" i="69"/>
  <c r="AD74" i="69" s="1"/>
  <c r="O78" i="69"/>
  <c r="AO77" i="69"/>
  <c r="AE92" i="53"/>
  <c r="AK23" i="32"/>
  <c r="R92" i="53"/>
  <c r="X92" i="53" s="1"/>
  <c r="AB92" i="53" s="1"/>
  <c r="AY76" i="69"/>
  <c r="L93" i="57"/>
  <c r="AG92" i="53"/>
  <c r="AT92" i="53"/>
  <c r="N93" i="57"/>
  <c r="C93" i="53"/>
  <c r="AD92" i="53"/>
  <c r="Q92" i="53"/>
  <c r="G93" i="53"/>
  <c r="F93" i="53"/>
  <c r="P93" i="53"/>
  <c r="I93" i="53"/>
  <c r="J93" i="53"/>
  <c r="K93" i="53"/>
  <c r="AH93" i="53" s="1"/>
  <c r="H93" i="53"/>
  <c r="E93" i="53"/>
  <c r="AK92" i="52" a="1"/>
  <c r="AK92" i="52" s="1"/>
  <c r="B94" i="53" s="1"/>
  <c r="L93" i="53"/>
  <c r="D93" i="53"/>
  <c r="M33" i="50"/>
  <c r="A33" i="50"/>
  <c r="B33" i="50"/>
  <c r="L33" i="50"/>
  <c r="G33" i="50"/>
  <c r="H33" i="50"/>
  <c r="I33" i="50"/>
  <c r="K33" i="50"/>
  <c r="J33" i="50"/>
  <c r="D93" i="57"/>
  <c r="C93" i="57"/>
  <c r="I93" i="57"/>
  <c r="H93" i="57"/>
  <c r="G93" i="57"/>
  <c r="E93" i="57"/>
  <c r="F93" i="57"/>
  <c r="J93" i="57"/>
  <c r="AN92" i="55" a="1"/>
  <c r="AN92" i="55" s="1"/>
  <c r="B94" i="57" s="1"/>
  <c r="O94" i="57" s="1"/>
  <c r="AS78" i="67" a="1"/>
  <c r="AS78" i="67" s="1"/>
  <c r="B79" i="69"/>
  <c r="AM79" i="69" s="1"/>
  <c r="AN79" i="69" s="1"/>
  <c r="D77" i="69"/>
  <c r="E77" i="69" s="1"/>
  <c r="C78" i="69"/>
  <c r="AE76" i="69"/>
  <c r="R76" i="69"/>
  <c r="S76" i="69" s="1"/>
  <c r="AL23" i="11" a="1"/>
  <c r="AL23" i="11" s="1"/>
  <c r="E24" i="32" s="1"/>
  <c r="T24" i="32" s="1"/>
  <c r="AP33" i="59" a="1"/>
  <c r="AP33" i="59" s="1"/>
  <c r="E34" i="50" s="1"/>
  <c r="T34" i="50" s="1"/>
  <c r="AA90" i="57" l="1"/>
  <c r="AB90" i="57"/>
  <c r="AF90" i="57" s="1"/>
  <c r="AF92" i="53"/>
  <c r="AH29" i="50"/>
  <c r="AI29" i="50" s="1"/>
  <c r="AP29" i="50" s="1"/>
  <c r="P78" i="69"/>
  <c r="AP78" i="69"/>
  <c r="AK93" i="57"/>
  <c r="AJ89" i="57"/>
  <c r="O24" i="32"/>
  <c r="AK34" i="50"/>
  <c r="BC79" i="69"/>
  <c r="BF79" i="69"/>
  <c r="BD79" i="69"/>
  <c r="BE79" i="69"/>
  <c r="U23" i="32"/>
  <c r="AH94" i="57"/>
  <c r="AI94" i="57" s="1"/>
  <c r="K94" i="57"/>
  <c r="AQ34" i="50"/>
  <c r="N34" i="50"/>
  <c r="AO33" i="50"/>
  <c r="AX77" i="69"/>
  <c r="AW77" i="69"/>
  <c r="L79" i="69"/>
  <c r="M79" i="69" s="1"/>
  <c r="AZ79" i="69"/>
  <c r="AB75" i="69"/>
  <c r="AC75" i="69" s="1"/>
  <c r="AD75" i="69" s="1"/>
  <c r="Y76" i="69"/>
  <c r="AG76" i="69" s="1"/>
  <c r="F77" i="69"/>
  <c r="G77" i="69" s="1"/>
  <c r="H77" i="69" s="1"/>
  <c r="I77" i="69" s="1"/>
  <c r="J77" i="69" s="1"/>
  <c r="K77" i="69" s="1"/>
  <c r="U77" i="69"/>
  <c r="AH77" i="69"/>
  <c r="F24" i="32"/>
  <c r="AU24" i="32"/>
  <c r="F34" i="50"/>
  <c r="U34" i="50" s="1"/>
  <c r="AY34" i="50"/>
  <c r="X91" i="57"/>
  <c r="AB91" i="57" s="1"/>
  <c r="AG93" i="57"/>
  <c r="AC94" i="53"/>
  <c r="O94" i="53"/>
  <c r="Q78" i="69"/>
  <c r="Q92" i="57"/>
  <c r="AQ92" i="57"/>
  <c r="AD92" i="57"/>
  <c r="R92" i="57"/>
  <c r="AC92" i="57"/>
  <c r="AE92" i="57"/>
  <c r="P33" i="50"/>
  <c r="N94" i="53"/>
  <c r="O34" i="50"/>
  <c r="AA92" i="53"/>
  <c r="AG30" i="50"/>
  <c r="AJ32" i="50"/>
  <c r="C32" i="50"/>
  <c r="S33" i="50"/>
  <c r="Z33" i="50" s="1"/>
  <c r="W32" i="50"/>
  <c r="X31" i="50"/>
  <c r="AD31" i="50" s="1"/>
  <c r="AL31" i="50" s="1"/>
  <c r="V32" i="50"/>
  <c r="AF77" i="69"/>
  <c r="P94" i="57"/>
  <c r="AM30" i="50"/>
  <c r="O79" i="69"/>
  <c r="AO78" i="69"/>
  <c r="AE93" i="53"/>
  <c r="AK24" i="32"/>
  <c r="R93" i="53"/>
  <c r="X93" i="53" s="1"/>
  <c r="AB93" i="53" s="1"/>
  <c r="AY77" i="69"/>
  <c r="L94" i="57"/>
  <c r="AT93" i="53"/>
  <c r="AG93" i="53"/>
  <c r="N94" i="57"/>
  <c r="AD93" i="53"/>
  <c r="Q93" i="53"/>
  <c r="F94" i="53"/>
  <c r="K94" i="53"/>
  <c r="AH94" i="53" s="1"/>
  <c r="P94" i="53"/>
  <c r="H94" i="53"/>
  <c r="J94" i="53"/>
  <c r="G94" i="53"/>
  <c r="C94" i="53"/>
  <c r="E94" i="53"/>
  <c r="AK93" i="52" a="1"/>
  <c r="AK93" i="52" s="1"/>
  <c r="B95" i="53" s="1"/>
  <c r="I94" i="53"/>
  <c r="L94" i="53"/>
  <c r="D94" i="53"/>
  <c r="A34" i="50"/>
  <c r="M34" i="50"/>
  <c r="J34" i="50"/>
  <c r="H34" i="50"/>
  <c r="B34" i="50"/>
  <c r="I34" i="50"/>
  <c r="K34" i="50"/>
  <c r="L34" i="50"/>
  <c r="G34" i="50"/>
  <c r="J94" i="57"/>
  <c r="G94" i="57"/>
  <c r="E94" i="57"/>
  <c r="D94" i="57"/>
  <c r="I94" i="57"/>
  <c r="C94" i="57"/>
  <c r="F94" i="57"/>
  <c r="H94" i="57"/>
  <c r="AN93" i="55" a="1"/>
  <c r="AN93" i="55" s="1"/>
  <c r="B95" i="57" s="1"/>
  <c r="O95" i="57" s="1"/>
  <c r="C79" i="69"/>
  <c r="D78" i="69"/>
  <c r="E78" i="69" s="1"/>
  <c r="AE77" i="69"/>
  <c r="R77" i="69"/>
  <c r="S77" i="69" s="1"/>
  <c r="AS79" i="67" a="1"/>
  <c r="AS79" i="67" s="1"/>
  <c r="B80" i="69"/>
  <c r="AM80" i="69" s="1"/>
  <c r="AN80" i="69" s="1"/>
  <c r="AL24" i="11" a="1"/>
  <c r="AL24" i="11" s="1"/>
  <c r="E25" i="32" s="1"/>
  <c r="T25" i="32" s="1"/>
  <c r="AP34" i="59" a="1"/>
  <c r="AP34" i="59" s="1"/>
  <c r="E35" i="50" s="1"/>
  <c r="T35" i="50" s="1"/>
  <c r="AF91" i="57" l="1"/>
  <c r="AF93" i="53"/>
  <c r="AH30" i="50"/>
  <c r="AI30" i="50" s="1"/>
  <c r="AP30" i="50" s="1"/>
  <c r="P79" i="69"/>
  <c r="AP79" i="69"/>
  <c r="AK94" i="57"/>
  <c r="AJ90" i="57"/>
  <c r="AJ91" i="57"/>
  <c r="O25" i="32"/>
  <c r="AK35" i="50"/>
  <c r="BC80" i="69"/>
  <c r="BE80" i="69"/>
  <c r="BF80" i="69"/>
  <c r="BD80" i="69"/>
  <c r="U24" i="32"/>
  <c r="AH95" i="57"/>
  <c r="AI95" i="57" s="1"/>
  <c r="K95" i="57"/>
  <c r="N35" i="50"/>
  <c r="AQ35" i="50"/>
  <c r="AO34" i="50"/>
  <c r="AX78" i="69"/>
  <c r="AW78" i="69"/>
  <c r="L80" i="69"/>
  <c r="M80" i="69" s="1"/>
  <c r="AZ80" i="69"/>
  <c r="AB76" i="69"/>
  <c r="AC76" i="69" s="1"/>
  <c r="AD76" i="69" s="1"/>
  <c r="Y77" i="69"/>
  <c r="AG77" i="69" s="1"/>
  <c r="F78" i="69"/>
  <c r="G78" i="69" s="1"/>
  <c r="H78" i="69" s="1"/>
  <c r="I78" i="69" s="1"/>
  <c r="J78" i="69" s="1"/>
  <c r="K78" i="69" s="1"/>
  <c r="U78" i="69"/>
  <c r="AH78" i="69"/>
  <c r="F25" i="32"/>
  <c r="AU25" i="32"/>
  <c r="AY35" i="50"/>
  <c r="F35" i="50"/>
  <c r="U35" i="50" s="1"/>
  <c r="X92" i="57"/>
  <c r="AB92" i="57" s="1"/>
  <c r="AG94" i="57"/>
  <c r="AC95" i="53"/>
  <c r="O95" i="53"/>
  <c r="Q79" i="69"/>
  <c r="AE93" i="57"/>
  <c r="AA91" i="57"/>
  <c r="Q93" i="57"/>
  <c r="AQ93" i="57"/>
  <c r="R93" i="57"/>
  <c r="AD93" i="57"/>
  <c r="AC93" i="57"/>
  <c r="AQ94" i="57"/>
  <c r="P34" i="50"/>
  <c r="N95" i="53"/>
  <c r="O35" i="50"/>
  <c r="AA93" i="53"/>
  <c r="AG31" i="50"/>
  <c r="C33" i="50"/>
  <c r="AJ33" i="50"/>
  <c r="S34" i="50"/>
  <c r="Z34" i="50" s="1"/>
  <c r="W33" i="50"/>
  <c r="X32" i="50"/>
  <c r="V33" i="50"/>
  <c r="AF78" i="69"/>
  <c r="P95" i="57"/>
  <c r="AD32" i="50"/>
  <c r="AL32" i="50" s="1"/>
  <c r="AM31" i="50"/>
  <c r="O80" i="69"/>
  <c r="AO79" i="69"/>
  <c r="AE94" i="53"/>
  <c r="AK25" i="32"/>
  <c r="R94" i="53"/>
  <c r="X94" i="53" s="1"/>
  <c r="AB94" i="53" s="1"/>
  <c r="AY78" i="69"/>
  <c r="L95" i="57"/>
  <c r="AT94" i="53"/>
  <c r="AG94" i="53"/>
  <c r="N95" i="57"/>
  <c r="G95" i="53"/>
  <c r="AD94" i="53"/>
  <c r="Q94" i="53"/>
  <c r="I95" i="53"/>
  <c r="L95" i="53"/>
  <c r="F95" i="53"/>
  <c r="E95" i="53"/>
  <c r="AK94" i="52" a="1"/>
  <c r="AK94" i="52" s="1"/>
  <c r="B96" i="53" s="1"/>
  <c r="H95" i="53"/>
  <c r="K95" i="53"/>
  <c r="AH95" i="53" s="1"/>
  <c r="J95" i="53"/>
  <c r="C95" i="53"/>
  <c r="D95" i="53"/>
  <c r="P95" i="53"/>
  <c r="A35" i="50"/>
  <c r="M35" i="50"/>
  <c r="K35" i="50"/>
  <c r="L35" i="50"/>
  <c r="J35" i="50"/>
  <c r="I35" i="50"/>
  <c r="H35" i="50"/>
  <c r="B35" i="50"/>
  <c r="G35" i="50"/>
  <c r="E95" i="57"/>
  <c r="C95" i="57"/>
  <c r="G95" i="57"/>
  <c r="H95" i="57"/>
  <c r="D95" i="57"/>
  <c r="I95" i="57"/>
  <c r="F95" i="57"/>
  <c r="J95" i="57"/>
  <c r="AN94" i="55" a="1"/>
  <c r="AN94" i="55" s="1"/>
  <c r="B96" i="57" s="1"/>
  <c r="O96" i="57" s="1"/>
  <c r="AS80" i="67" a="1"/>
  <c r="AS80" i="67" s="1"/>
  <c r="B81" i="69"/>
  <c r="AM81" i="69" s="1"/>
  <c r="AN81" i="69" s="1"/>
  <c r="D79" i="69"/>
  <c r="E79" i="69" s="1"/>
  <c r="C80" i="69"/>
  <c r="R78" i="69"/>
  <c r="S78" i="69" s="1"/>
  <c r="AE78" i="69"/>
  <c r="AL25" i="11" a="1"/>
  <c r="AL25" i="11" s="1"/>
  <c r="E26" i="32" s="1"/>
  <c r="T26" i="32" s="1"/>
  <c r="AP35" i="59" a="1"/>
  <c r="AP35" i="59" s="1"/>
  <c r="E36" i="50" s="1"/>
  <c r="T36" i="50" s="1"/>
  <c r="AF92" i="57" l="1"/>
  <c r="AF94" i="53"/>
  <c r="AH31" i="50"/>
  <c r="AI31" i="50" s="1"/>
  <c r="AP31" i="50" s="1"/>
  <c r="P80" i="69"/>
  <c r="AP80" i="69"/>
  <c r="AK95" i="57"/>
  <c r="AJ92" i="57"/>
  <c r="O26" i="32"/>
  <c r="AK36" i="50"/>
  <c r="BC81" i="69"/>
  <c r="BE81" i="69"/>
  <c r="BF81" i="69"/>
  <c r="BD81" i="69"/>
  <c r="U25" i="32"/>
  <c r="AH96" i="57"/>
  <c r="AI96" i="57" s="1"/>
  <c r="K96" i="57"/>
  <c r="AQ36" i="50"/>
  <c r="N36" i="50"/>
  <c r="AO35" i="50"/>
  <c r="AW79" i="69"/>
  <c r="AX79" i="69"/>
  <c r="L81" i="69"/>
  <c r="M81" i="69" s="1"/>
  <c r="AZ81" i="69"/>
  <c r="Y78" i="69"/>
  <c r="AG78" i="69" s="1"/>
  <c r="AB77" i="69"/>
  <c r="AC77" i="69" s="1"/>
  <c r="AD77" i="69" s="1"/>
  <c r="F79" i="69"/>
  <c r="G79" i="69" s="1"/>
  <c r="H79" i="69" s="1"/>
  <c r="I79" i="69" s="1"/>
  <c r="J79" i="69" s="1"/>
  <c r="K79" i="69" s="1"/>
  <c r="U79" i="69"/>
  <c r="AH79" i="69"/>
  <c r="F26" i="32"/>
  <c r="AU26" i="32"/>
  <c r="AY36" i="50"/>
  <c r="F36" i="50"/>
  <c r="U36" i="50" s="1"/>
  <c r="X93" i="57"/>
  <c r="AB93" i="57" s="1"/>
  <c r="AG95" i="57"/>
  <c r="AA92" i="57"/>
  <c r="AC96" i="53"/>
  <c r="O96" i="53"/>
  <c r="Q80" i="69"/>
  <c r="Q94" i="57"/>
  <c r="R94" i="57"/>
  <c r="AD94" i="57"/>
  <c r="AC94" i="57"/>
  <c r="AE94" i="57"/>
  <c r="P35" i="50"/>
  <c r="N96" i="53"/>
  <c r="O36" i="50"/>
  <c r="AA94" i="53"/>
  <c r="AJ34" i="50"/>
  <c r="C34" i="50"/>
  <c r="S35" i="50"/>
  <c r="Z35" i="50" s="1"/>
  <c r="W34" i="50"/>
  <c r="X33" i="50"/>
  <c r="AD33" i="50" s="1"/>
  <c r="AL33" i="50" s="1"/>
  <c r="V34" i="50"/>
  <c r="AF79" i="69"/>
  <c r="P96" i="57"/>
  <c r="AM32" i="50"/>
  <c r="AO80" i="69"/>
  <c r="O81" i="69"/>
  <c r="AE95" i="53"/>
  <c r="AK26" i="32"/>
  <c r="R95" i="53"/>
  <c r="X95" i="53" s="1"/>
  <c r="AB95" i="53" s="1"/>
  <c r="AY79" i="69"/>
  <c r="L96" i="57"/>
  <c r="AG95" i="53"/>
  <c r="AT95" i="53"/>
  <c r="N96" i="57"/>
  <c r="AD95" i="53"/>
  <c r="J96" i="53"/>
  <c r="F96" i="53"/>
  <c r="H96" i="53"/>
  <c r="I96" i="53"/>
  <c r="P96" i="53"/>
  <c r="G96" i="53"/>
  <c r="E96" i="53"/>
  <c r="K96" i="53"/>
  <c r="AH96" i="53" s="1"/>
  <c r="Q95" i="53"/>
  <c r="AK95" i="52" a="1"/>
  <c r="AK95" i="52" s="1"/>
  <c r="B97" i="53" s="1"/>
  <c r="L96" i="53"/>
  <c r="D96" i="53"/>
  <c r="C96" i="53"/>
  <c r="H36" i="50"/>
  <c r="M36" i="50"/>
  <c r="G36" i="50"/>
  <c r="L36" i="50"/>
  <c r="K36" i="50"/>
  <c r="I36" i="50"/>
  <c r="J36" i="50"/>
  <c r="B36" i="50"/>
  <c r="A36" i="50"/>
  <c r="F96" i="57"/>
  <c r="E96" i="57"/>
  <c r="C96" i="57"/>
  <c r="I96" i="57"/>
  <c r="J96" i="57"/>
  <c r="H96" i="57"/>
  <c r="D96" i="57"/>
  <c r="G96" i="57"/>
  <c r="AN95" i="55" a="1"/>
  <c r="AN95" i="55" s="1"/>
  <c r="B97" i="57" s="1"/>
  <c r="O97" i="57" s="1"/>
  <c r="AS81" i="67" a="1"/>
  <c r="AS81" i="67" s="1"/>
  <c r="B82" i="69"/>
  <c r="AM82" i="69" s="1"/>
  <c r="AN82" i="69" s="1"/>
  <c r="C81" i="69"/>
  <c r="D80" i="69"/>
  <c r="E80" i="69" s="1"/>
  <c r="AE79" i="69"/>
  <c r="R79" i="69"/>
  <c r="S79" i="69" s="1"/>
  <c r="AL26" i="11" a="1"/>
  <c r="AL26" i="11" s="1"/>
  <c r="E27" i="32" s="1"/>
  <c r="T27" i="32" s="1"/>
  <c r="AP36" i="59" a="1"/>
  <c r="AP36" i="59" s="1"/>
  <c r="E37" i="50" s="1"/>
  <c r="T37" i="50" s="1"/>
  <c r="AF93" i="57" l="1"/>
  <c r="AF95" i="53"/>
  <c r="P81" i="69"/>
  <c r="AP81" i="69"/>
  <c r="AK96" i="57"/>
  <c r="O27" i="32"/>
  <c r="AK37" i="50"/>
  <c r="BC82" i="69"/>
  <c r="BE82" i="69"/>
  <c r="BF82" i="69"/>
  <c r="BD82" i="69"/>
  <c r="U26" i="32"/>
  <c r="AH97" i="57"/>
  <c r="AI97" i="57" s="1"/>
  <c r="K97" i="57"/>
  <c r="AQ37" i="50"/>
  <c r="N37" i="50"/>
  <c r="AO36" i="50"/>
  <c r="AW80" i="69"/>
  <c r="AX80" i="69"/>
  <c r="L82" i="69"/>
  <c r="M82" i="69" s="1"/>
  <c r="AZ82" i="69"/>
  <c r="AB78" i="69"/>
  <c r="AC78" i="69" s="1"/>
  <c r="AD78" i="69" s="1"/>
  <c r="F80" i="69"/>
  <c r="G80" i="69" s="1"/>
  <c r="H80" i="69" s="1"/>
  <c r="I80" i="69" s="1"/>
  <c r="J80" i="69" s="1"/>
  <c r="K80" i="69" s="1"/>
  <c r="U80" i="69"/>
  <c r="AH80" i="69"/>
  <c r="F27" i="32"/>
  <c r="AU27" i="32"/>
  <c r="AY37" i="50"/>
  <c r="F37" i="50"/>
  <c r="U37" i="50" s="1"/>
  <c r="Y79" i="69"/>
  <c r="AG79" i="69" s="1"/>
  <c r="X94" i="57"/>
  <c r="AB94" i="57" s="1"/>
  <c r="AG96" i="57"/>
  <c r="AC97" i="53"/>
  <c r="O97" i="53"/>
  <c r="Q81" i="69"/>
  <c r="AA93" i="57"/>
  <c r="AD95" i="57"/>
  <c r="Q95" i="57"/>
  <c r="AE95" i="57"/>
  <c r="R95" i="57"/>
  <c r="AC95" i="57"/>
  <c r="AQ95" i="57"/>
  <c r="P36" i="50"/>
  <c r="N97" i="53"/>
  <c r="O37" i="50"/>
  <c r="AA95" i="53"/>
  <c r="AG33" i="50"/>
  <c r="AG32" i="50"/>
  <c r="AJ35" i="50"/>
  <c r="C35" i="50"/>
  <c r="S36" i="50"/>
  <c r="Z36" i="50" s="1"/>
  <c r="W35" i="50"/>
  <c r="X34" i="50"/>
  <c r="AD34" i="50" s="1"/>
  <c r="AL34" i="50" s="1"/>
  <c r="V35" i="50"/>
  <c r="AF80" i="69"/>
  <c r="P97" i="57"/>
  <c r="AM33" i="50"/>
  <c r="O82" i="69"/>
  <c r="AO81" i="69"/>
  <c r="AE96" i="53"/>
  <c r="AK27" i="32"/>
  <c r="R96" i="53"/>
  <c r="X96" i="53" s="1"/>
  <c r="AB96" i="53" s="1"/>
  <c r="AY80" i="69"/>
  <c r="L97" i="57"/>
  <c r="AG96" i="53"/>
  <c r="AT96" i="53"/>
  <c r="N97" i="57"/>
  <c r="J97" i="53"/>
  <c r="AD96" i="53"/>
  <c r="Q96" i="53"/>
  <c r="C97" i="53"/>
  <c r="E97" i="53"/>
  <c r="P97" i="53"/>
  <c r="G97" i="53"/>
  <c r="K97" i="53"/>
  <c r="AH97" i="53" s="1"/>
  <c r="F97" i="53"/>
  <c r="L97" i="53"/>
  <c r="H97" i="53"/>
  <c r="AK96" i="52" a="1"/>
  <c r="AK96" i="52" s="1"/>
  <c r="B98" i="53" s="1"/>
  <c r="I97" i="53"/>
  <c r="D97" i="53"/>
  <c r="B37" i="50"/>
  <c r="K37" i="50"/>
  <c r="M37" i="50"/>
  <c r="I37" i="50"/>
  <c r="A37" i="50"/>
  <c r="H37" i="50"/>
  <c r="G37" i="50"/>
  <c r="J37" i="50"/>
  <c r="L37" i="50"/>
  <c r="H97" i="57"/>
  <c r="G97" i="57"/>
  <c r="E97" i="57"/>
  <c r="D97" i="57"/>
  <c r="C97" i="57"/>
  <c r="I97" i="57"/>
  <c r="F97" i="57"/>
  <c r="J97" i="57"/>
  <c r="AN96" i="55" a="1"/>
  <c r="AN96" i="55" s="1"/>
  <c r="B98" i="57" s="1"/>
  <c r="O98" i="57" s="1"/>
  <c r="AE80" i="69"/>
  <c r="R80" i="69"/>
  <c r="S80" i="69" s="1"/>
  <c r="D81" i="69"/>
  <c r="E81" i="69" s="1"/>
  <c r="C82" i="69"/>
  <c r="AS82" i="67" a="1"/>
  <c r="AS82" i="67" s="1"/>
  <c r="B83" i="69"/>
  <c r="AM83" i="69" s="1"/>
  <c r="AN83" i="69" s="1"/>
  <c r="AL27" i="11" a="1"/>
  <c r="AL27" i="11" s="1"/>
  <c r="E28" i="32" s="1"/>
  <c r="T28" i="32" s="1"/>
  <c r="AP37" i="59" a="1"/>
  <c r="AP37" i="59" s="1"/>
  <c r="E38" i="50" s="1"/>
  <c r="T38" i="50" s="1"/>
  <c r="AF94" i="57" l="1"/>
  <c r="AF96" i="53"/>
  <c r="AH32" i="50"/>
  <c r="AI32" i="50" s="1"/>
  <c r="AP32" i="50" s="1"/>
  <c r="AH33" i="50"/>
  <c r="AI33" i="50" s="1"/>
  <c r="AP33" i="50" s="1"/>
  <c r="P82" i="69"/>
  <c r="AP82" i="69"/>
  <c r="AK97" i="57"/>
  <c r="AJ93" i="57"/>
  <c r="AJ94" i="57"/>
  <c r="O28" i="32"/>
  <c r="AK38" i="50"/>
  <c r="BC83" i="69"/>
  <c r="BD83" i="69"/>
  <c r="BE83" i="69"/>
  <c r="BF83" i="69"/>
  <c r="U27" i="32"/>
  <c r="AH98" i="57"/>
  <c r="AI98" i="57" s="1"/>
  <c r="K98" i="57"/>
  <c r="AQ38" i="50"/>
  <c r="N38" i="50"/>
  <c r="AO37" i="50"/>
  <c r="AX81" i="69"/>
  <c r="AW81" i="69"/>
  <c r="L83" i="69"/>
  <c r="M83" i="69" s="1"/>
  <c r="AZ83" i="69"/>
  <c r="Y80" i="69"/>
  <c r="AB80" i="69" s="1"/>
  <c r="AC80" i="69" s="1"/>
  <c r="AD80" i="69" s="1"/>
  <c r="U81" i="69"/>
  <c r="AH81" i="69"/>
  <c r="F81" i="69"/>
  <c r="G81" i="69" s="1"/>
  <c r="H81" i="69" s="1"/>
  <c r="I81" i="69" s="1"/>
  <c r="J81" i="69" s="1"/>
  <c r="K81" i="69" s="1"/>
  <c r="F28" i="32"/>
  <c r="AU28" i="32"/>
  <c r="F38" i="50"/>
  <c r="U38" i="50" s="1"/>
  <c r="AY38" i="50"/>
  <c r="AB79" i="69"/>
  <c r="AC79" i="69" s="1"/>
  <c r="AD79" i="69" s="1"/>
  <c r="X95" i="57"/>
  <c r="AB95" i="57" s="1"/>
  <c r="AG97" i="57"/>
  <c r="Q96" i="57"/>
  <c r="AC98" i="53"/>
  <c r="O98" i="53"/>
  <c r="Q82" i="69"/>
  <c r="AD96" i="57"/>
  <c r="R96" i="57"/>
  <c r="AQ96" i="57"/>
  <c r="AA94" i="57"/>
  <c r="AE96" i="57"/>
  <c r="AC96" i="57"/>
  <c r="P37" i="50"/>
  <c r="N98" i="53"/>
  <c r="O38" i="50"/>
  <c r="AA96" i="53"/>
  <c r="AG34" i="50"/>
  <c r="C36" i="50"/>
  <c r="S37" i="50"/>
  <c r="Z37" i="50" s="1"/>
  <c r="AJ36" i="50"/>
  <c r="W36" i="50"/>
  <c r="X35" i="50"/>
  <c r="AD35" i="50" s="1"/>
  <c r="AL35" i="50" s="1"/>
  <c r="V36" i="50"/>
  <c r="AF81" i="69"/>
  <c r="P98" i="57"/>
  <c r="AM34" i="50"/>
  <c r="O83" i="69"/>
  <c r="AO82" i="69"/>
  <c r="AE97" i="53"/>
  <c r="AK28" i="32"/>
  <c r="R97" i="53"/>
  <c r="X97" i="53" s="1"/>
  <c r="AB97" i="53" s="1"/>
  <c r="AY81" i="69"/>
  <c r="L98" i="57"/>
  <c r="AG97" i="53"/>
  <c r="AT97" i="53"/>
  <c r="N98" i="57"/>
  <c r="G98" i="53"/>
  <c r="AD97" i="53"/>
  <c r="Q97" i="53"/>
  <c r="J98" i="53"/>
  <c r="E98" i="53"/>
  <c r="I98" i="53"/>
  <c r="AK97" i="52" a="1"/>
  <c r="AK97" i="52" s="1"/>
  <c r="B99" i="53" s="1"/>
  <c r="K98" i="53"/>
  <c r="AH98" i="53" s="1"/>
  <c r="P98" i="53"/>
  <c r="F98" i="53"/>
  <c r="L98" i="53"/>
  <c r="H98" i="53"/>
  <c r="C98" i="53"/>
  <c r="D98" i="53"/>
  <c r="G38" i="50"/>
  <c r="M38" i="50"/>
  <c r="L38" i="50"/>
  <c r="K38" i="50"/>
  <c r="H38" i="50"/>
  <c r="B38" i="50"/>
  <c r="A38" i="50"/>
  <c r="J38" i="50"/>
  <c r="I38" i="50"/>
  <c r="J98" i="57"/>
  <c r="E98" i="57"/>
  <c r="H98" i="57"/>
  <c r="G98" i="57"/>
  <c r="D98" i="57"/>
  <c r="F98" i="57"/>
  <c r="I98" i="57"/>
  <c r="C98" i="57"/>
  <c r="AN97" i="55" a="1"/>
  <c r="AN97" i="55" s="1"/>
  <c r="B99" i="57" s="1"/>
  <c r="O99" i="57" s="1"/>
  <c r="D82" i="69"/>
  <c r="E82" i="69" s="1"/>
  <c r="R81" i="69"/>
  <c r="S81" i="69" s="1"/>
  <c r="AE81" i="69"/>
  <c r="C83" i="69"/>
  <c r="AS83" i="67" a="1"/>
  <c r="AS83" i="67" s="1"/>
  <c r="B84" i="69"/>
  <c r="AM84" i="69" s="1"/>
  <c r="AN84" i="69" s="1"/>
  <c r="AL28" i="11" a="1"/>
  <c r="AL28" i="11" s="1"/>
  <c r="E29" i="32" s="1"/>
  <c r="T29" i="32" s="1"/>
  <c r="AP38" i="59" a="1"/>
  <c r="AP38" i="59" s="1"/>
  <c r="E39" i="50" s="1"/>
  <c r="T39" i="50" s="1"/>
  <c r="AF95" i="57" l="1"/>
  <c r="AF97" i="53"/>
  <c r="AH34" i="50"/>
  <c r="AI34" i="50" s="1"/>
  <c r="AP34" i="50" s="1"/>
  <c r="P83" i="69"/>
  <c r="AP83" i="69"/>
  <c r="AK98" i="57"/>
  <c r="O29" i="32"/>
  <c r="AK39" i="50"/>
  <c r="BC84" i="69"/>
  <c r="BD84" i="69"/>
  <c r="BE84" i="69"/>
  <c r="BF84" i="69"/>
  <c r="U28" i="32"/>
  <c r="K99" i="57"/>
  <c r="AH99" i="57"/>
  <c r="AI99" i="57" s="1"/>
  <c r="N39" i="50"/>
  <c r="AQ39" i="50"/>
  <c r="AO38" i="50"/>
  <c r="AX82" i="69"/>
  <c r="AW82" i="69"/>
  <c r="L84" i="69"/>
  <c r="M84" i="69" s="1"/>
  <c r="AZ84" i="69"/>
  <c r="AG80" i="69"/>
  <c r="Y81" i="69"/>
  <c r="AG81" i="69" s="1"/>
  <c r="U82" i="69"/>
  <c r="AH82" i="69"/>
  <c r="F82" i="69"/>
  <c r="G82" i="69" s="1"/>
  <c r="H82" i="69" s="1"/>
  <c r="I82" i="69" s="1"/>
  <c r="J82" i="69" s="1"/>
  <c r="K82" i="69" s="1"/>
  <c r="F29" i="32"/>
  <c r="AU29" i="32"/>
  <c r="AY39" i="50"/>
  <c r="F39" i="50"/>
  <c r="U39" i="50" s="1"/>
  <c r="X96" i="57"/>
  <c r="AG98" i="57"/>
  <c r="AA95" i="57"/>
  <c r="AE97" i="57"/>
  <c r="AC99" i="53"/>
  <c r="O99" i="53"/>
  <c r="Q83" i="69"/>
  <c r="Q97" i="57"/>
  <c r="AQ97" i="57"/>
  <c r="AD97" i="57"/>
  <c r="R97" i="57"/>
  <c r="AC97" i="57"/>
  <c r="P38" i="50"/>
  <c r="N99" i="53"/>
  <c r="O39" i="50"/>
  <c r="AA97" i="53"/>
  <c r="AG35" i="50"/>
  <c r="AJ37" i="50"/>
  <c r="C37" i="50"/>
  <c r="S38" i="50"/>
  <c r="Z38" i="50" s="1"/>
  <c r="W37" i="50"/>
  <c r="X36" i="50"/>
  <c r="AD36" i="50" s="1"/>
  <c r="AL36" i="50" s="1"/>
  <c r="V37" i="50"/>
  <c r="AF82" i="69"/>
  <c r="P99" i="57"/>
  <c r="AM35" i="50"/>
  <c r="AO83" i="69"/>
  <c r="O84" i="69"/>
  <c r="AE98" i="53"/>
  <c r="AK29" i="32"/>
  <c r="R98" i="53"/>
  <c r="X98" i="53" s="1"/>
  <c r="AB98" i="53" s="1"/>
  <c r="AY82" i="69"/>
  <c r="L99" i="57"/>
  <c r="AT98" i="53"/>
  <c r="AG98" i="53"/>
  <c r="N99" i="57"/>
  <c r="L99" i="53"/>
  <c r="Q98" i="53"/>
  <c r="AD98" i="53"/>
  <c r="G99" i="53"/>
  <c r="C99" i="53"/>
  <c r="P99" i="53"/>
  <c r="I99" i="53"/>
  <c r="D99" i="53"/>
  <c r="J99" i="53"/>
  <c r="F99" i="53"/>
  <c r="H99" i="53"/>
  <c r="AK98" i="52" a="1"/>
  <c r="AK98" i="52" s="1"/>
  <c r="B100" i="53" s="1"/>
  <c r="K99" i="53"/>
  <c r="AH99" i="53" s="1"/>
  <c r="E99" i="53"/>
  <c r="J39" i="50"/>
  <c r="M39" i="50"/>
  <c r="G39" i="50"/>
  <c r="K39" i="50"/>
  <c r="I39" i="50"/>
  <c r="A39" i="50"/>
  <c r="L39" i="50"/>
  <c r="H39" i="50"/>
  <c r="B39" i="50"/>
  <c r="E99" i="57"/>
  <c r="D99" i="57"/>
  <c r="C99" i="57"/>
  <c r="G99" i="57"/>
  <c r="I99" i="57"/>
  <c r="H99" i="57"/>
  <c r="F99" i="57"/>
  <c r="J99" i="57"/>
  <c r="AN98" i="55" a="1"/>
  <c r="AN98" i="55" s="1"/>
  <c r="B100" i="57" s="1"/>
  <c r="O100" i="57" s="1"/>
  <c r="AS84" i="67" a="1"/>
  <c r="AS84" i="67" s="1"/>
  <c r="B85" i="69"/>
  <c r="AM85" i="69" s="1"/>
  <c r="AN85" i="69" s="1"/>
  <c r="AE82" i="69"/>
  <c r="R82" i="69"/>
  <c r="S82" i="69" s="1"/>
  <c r="C84" i="69"/>
  <c r="D83" i="69"/>
  <c r="E83" i="69" s="1"/>
  <c r="AL29" i="11" a="1"/>
  <c r="AL29" i="11" s="1"/>
  <c r="E30" i="32" s="1"/>
  <c r="T30" i="32" s="1"/>
  <c r="AP39" i="59" a="1"/>
  <c r="AP39" i="59" s="1"/>
  <c r="E40" i="50" s="1"/>
  <c r="T40" i="50" s="1"/>
  <c r="AA96" i="57" l="1"/>
  <c r="AB96" i="57"/>
  <c r="AF96" i="57" s="1"/>
  <c r="AF98" i="53"/>
  <c r="AH35" i="50"/>
  <c r="AI35" i="50" s="1"/>
  <c r="AP35" i="50" s="1"/>
  <c r="AK99" i="57"/>
  <c r="P84" i="69"/>
  <c r="AP84" i="69"/>
  <c r="AJ95" i="57"/>
  <c r="O30" i="32"/>
  <c r="AK40" i="50"/>
  <c r="BC85" i="69"/>
  <c r="BF85" i="69"/>
  <c r="BD85" i="69"/>
  <c r="BE85" i="69"/>
  <c r="U29" i="32"/>
  <c r="AH100" i="57"/>
  <c r="AI100" i="57" s="1"/>
  <c r="K100" i="57"/>
  <c r="AQ40" i="50"/>
  <c r="N40" i="50"/>
  <c r="AO39" i="50"/>
  <c r="AX83" i="69"/>
  <c r="AW83" i="69"/>
  <c r="L85" i="69"/>
  <c r="M85" i="69" s="1"/>
  <c r="AZ85" i="69"/>
  <c r="Y82" i="69"/>
  <c r="AB82" i="69" s="1"/>
  <c r="AB81" i="69"/>
  <c r="AC81" i="69" s="1"/>
  <c r="AD81" i="69" s="1"/>
  <c r="F83" i="69"/>
  <c r="G83" i="69" s="1"/>
  <c r="H83" i="69" s="1"/>
  <c r="I83" i="69" s="1"/>
  <c r="J83" i="69" s="1"/>
  <c r="K83" i="69" s="1"/>
  <c r="U83" i="69"/>
  <c r="AH83" i="69"/>
  <c r="F30" i="32"/>
  <c r="AU30" i="32"/>
  <c r="AY40" i="50"/>
  <c r="F40" i="50"/>
  <c r="U40" i="50" s="1"/>
  <c r="AG99" i="57"/>
  <c r="X97" i="57"/>
  <c r="AB97" i="57" s="1"/>
  <c r="AQ98" i="57"/>
  <c r="AC98" i="57"/>
  <c r="AE98" i="57"/>
  <c r="AC100" i="53"/>
  <c r="O100" i="53"/>
  <c r="Q84" i="69"/>
  <c r="Q98" i="57"/>
  <c r="AD98" i="57"/>
  <c r="R98" i="57"/>
  <c r="P39" i="50"/>
  <c r="N100" i="53"/>
  <c r="O40" i="50"/>
  <c r="AA98" i="53"/>
  <c r="AG36" i="50"/>
  <c r="AJ38" i="50"/>
  <c r="C38" i="50"/>
  <c r="S39" i="50"/>
  <c r="Z39" i="50" s="1"/>
  <c r="W38" i="50"/>
  <c r="X37" i="50"/>
  <c r="V38" i="50"/>
  <c r="AF83" i="69"/>
  <c r="P100" i="57"/>
  <c r="AD37" i="50"/>
  <c r="AL37" i="50" s="1"/>
  <c r="AM36" i="50"/>
  <c r="O85" i="69"/>
  <c r="AO84" i="69"/>
  <c r="AE99" i="53"/>
  <c r="AK30" i="32"/>
  <c r="R99" i="53"/>
  <c r="X99" i="53" s="1"/>
  <c r="AB99" i="53" s="1"/>
  <c r="AY83" i="69"/>
  <c r="L100" i="57"/>
  <c r="AT99" i="53"/>
  <c r="AG99" i="53"/>
  <c r="N100" i="57"/>
  <c r="K100" i="53"/>
  <c r="AH100" i="53" s="1"/>
  <c r="Q99" i="53"/>
  <c r="AD99" i="53"/>
  <c r="L100" i="53"/>
  <c r="D100" i="53"/>
  <c r="G100" i="53"/>
  <c r="P100" i="53"/>
  <c r="F100" i="53"/>
  <c r="E100" i="53"/>
  <c r="J100" i="53"/>
  <c r="C100" i="53"/>
  <c r="I100" i="53"/>
  <c r="AK99" i="52" a="1"/>
  <c r="AK99" i="52" s="1"/>
  <c r="B101" i="53" s="1"/>
  <c r="H100" i="53"/>
  <c r="I40" i="50"/>
  <c r="J40" i="50"/>
  <c r="G40" i="50"/>
  <c r="B40" i="50"/>
  <c r="A40" i="50"/>
  <c r="H40" i="50"/>
  <c r="M40" i="50"/>
  <c r="K40" i="50"/>
  <c r="L40" i="50"/>
  <c r="I100" i="57"/>
  <c r="F100" i="57"/>
  <c r="C100" i="57"/>
  <c r="H100" i="57"/>
  <c r="D100" i="57"/>
  <c r="G100" i="57"/>
  <c r="E100" i="57"/>
  <c r="J100" i="57"/>
  <c r="AN99" i="55" a="1"/>
  <c r="AN99" i="55" s="1"/>
  <c r="B101" i="57" s="1"/>
  <c r="O101" i="57" s="1"/>
  <c r="R83" i="69"/>
  <c r="S83" i="69" s="1"/>
  <c r="AE83" i="69"/>
  <c r="D84" i="69"/>
  <c r="E84" i="69" s="1"/>
  <c r="C85" i="69"/>
  <c r="AS85" i="67" a="1"/>
  <c r="AS85" i="67" s="1"/>
  <c r="B86" i="69"/>
  <c r="AM86" i="69" s="1"/>
  <c r="AN86" i="69" s="1"/>
  <c r="AL30" i="11" a="1"/>
  <c r="AL30" i="11" s="1"/>
  <c r="E31" i="32" s="1"/>
  <c r="T31" i="32" s="1"/>
  <c r="AP40" i="59" a="1"/>
  <c r="AP40" i="59" s="1"/>
  <c r="E41" i="50" s="1"/>
  <c r="T41" i="50" s="1"/>
  <c r="AF99" i="53" l="1"/>
  <c r="AF97" i="57"/>
  <c r="AH36" i="50"/>
  <c r="AI36" i="50" s="1"/>
  <c r="AP36" i="50" s="1"/>
  <c r="P85" i="69"/>
  <c r="AP85" i="69"/>
  <c r="AK100" i="57"/>
  <c r="AJ97" i="57"/>
  <c r="AJ96" i="57"/>
  <c r="O31" i="32"/>
  <c r="AK41" i="50"/>
  <c r="BC86" i="69"/>
  <c r="BF86" i="69"/>
  <c r="BD86" i="69"/>
  <c r="BE86" i="69"/>
  <c r="U30" i="32"/>
  <c r="AH101" i="57"/>
  <c r="AI101" i="57" s="1"/>
  <c r="K101" i="57"/>
  <c r="AQ41" i="50"/>
  <c r="N41" i="50"/>
  <c r="AO40" i="50"/>
  <c r="AW84" i="69"/>
  <c r="AX84" i="69"/>
  <c r="L86" i="69"/>
  <c r="M86" i="69" s="1"/>
  <c r="AZ86" i="69"/>
  <c r="Y83" i="69"/>
  <c r="AG83" i="69" s="1"/>
  <c r="AG82" i="69"/>
  <c r="U84" i="69"/>
  <c r="AH84" i="69"/>
  <c r="F84" i="69"/>
  <c r="G84" i="69" s="1"/>
  <c r="H84" i="69" s="1"/>
  <c r="I84" i="69" s="1"/>
  <c r="J84" i="69" s="1"/>
  <c r="K84" i="69" s="1"/>
  <c r="F31" i="32"/>
  <c r="AU31" i="32"/>
  <c r="AY41" i="50"/>
  <c r="F41" i="50"/>
  <c r="U41" i="50" s="1"/>
  <c r="X98" i="57"/>
  <c r="AB98" i="57" s="1"/>
  <c r="AG100" i="57"/>
  <c r="AA97" i="57"/>
  <c r="AC101" i="53"/>
  <c r="O101" i="53"/>
  <c r="Q85" i="69"/>
  <c r="R99" i="57"/>
  <c r="AD99" i="57"/>
  <c r="AC99" i="57"/>
  <c r="Q99" i="57"/>
  <c r="AE99" i="57"/>
  <c r="AQ99" i="57"/>
  <c r="P40" i="50"/>
  <c r="N101" i="53"/>
  <c r="O41" i="50"/>
  <c r="AA99" i="53"/>
  <c r="AJ39" i="50"/>
  <c r="C39" i="50"/>
  <c r="S40" i="50"/>
  <c r="Z40" i="50" s="1"/>
  <c r="W39" i="50"/>
  <c r="X38" i="50"/>
  <c r="AD38" i="50" s="1"/>
  <c r="AL38" i="50" s="1"/>
  <c r="V39" i="50"/>
  <c r="AF84" i="69"/>
  <c r="P101" i="57"/>
  <c r="AC82" i="69"/>
  <c r="AD82" i="69" s="1"/>
  <c r="O86" i="69"/>
  <c r="AO85" i="69"/>
  <c r="AE100" i="53"/>
  <c r="AK31" i="32"/>
  <c r="R100" i="53"/>
  <c r="X100" i="53" s="1"/>
  <c r="AB100" i="53" s="1"/>
  <c r="AY84" i="69"/>
  <c r="L101" i="57"/>
  <c r="AT100" i="53"/>
  <c r="AG100" i="53"/>
  <c r="N101" i="57"/>
  <c r="AD100" i="53"/>
  <c r="Q100" i="53"/>
  <c r="K101" i="53"/>
  <c r="AH101" i="53" s="1"/>
  <c r="L101" i="53"/>
  <c r="C101" i="53"/>
  <c r="P101" i="53"/>
  <c r="AK100" i="52" a="1"/>
  <c r="AK100" i="52" s="1"/>
  <c r="B102" i="53" s="1"/>
  <c r="I101" i="53"/>
  <c r="F101" i="53"/>
  <c r="E101" i="53"/>
  <c r="D101" i="53"/>
  <c r="J101" i="53"/>
  <c r="G101" i="53"/>
  <c r="H101" i="53"/>
  <c r="M41" i="50"/>
  <c r="K41" i="50"/>
  <c r="H41" i="50"/>
  <c r="I41" i="50"/>
  <c r="A41" i="50"/>
  <c r="B41" i="50"/>
  <c r="L41" i="50"/>
  <c r="G41" i="50"/>
  <c r="J41" i="50"/>
  <c r="I101" i="57"/>
  <c r="H101" i="57"/>
  <c r="G101" i="57"/>
  <c r="E101" i="57"/>
  <c r="D101" i="57"/>
  <c r="C101" i="57"/>
  <c r="F101" i="57"/>
  <c r="J101" i="57"/>
  <c r="AN100" i="55" a="1"/>
  <c r="AN100" i="55" s="1"/>
  <c r="B102" i="57" s="1"/>
  <c r="O102" i="57" s="1"/>
  <c r="AS86" i="67" a="1"/>
  <c r="AS86" i="67" s="1"/>
  <c r="B87" i="69"/>
  <c r="AM87" i="69" s="1"/>
  <c r="AN87" i="69" s="1"/>
  <c r="D85" i="69"/>
  <c r="E85" i="69" s="1"/>
  <c r="C86" i="69"/>
  <c r="AE84" i="69"/>
  <c r="R84" i="69"/>
  <c r="S84" i="69" s="1"/>
  <c r="AL31" i="11" a="1"/>
  <c r="AL31" i="11" s="1"/>
  <c r="E32" i="32" s="1"/>
  <c r="T32" i="32" s="1"/>
  <c r="AP41" i="59" a="1"/>
  <c r="AP41" i="59" s="1"/>
  <c r="E42" i="50" s="1"/>
  <c r="T42" i="50" s="1"/>
  <c r="AF98" i="57" l="1"/>
  <c r="AF100" i="53"/>
  <c r="P86" i="69"/>
  <c r="AP86" i="69"/>
  <c r="AK101" i="57"/>
  <c r="O32" i="32"/>
  <c r="AK42" i="50"/>
  <c r="BC87" i="69"/>
  <c r="BF87" i="69"/>
  <c r="BD87" i="69"/>
  <c r="BE87" i="69"/>
  <c r="U31" i="32"/>
  <c r="AH102" i="57"/>
  <c r="AI102" i="57" s="1"/>
  <c r="K102" i="57"/>
  <c r="AQ42" i="50"/>
  <c r="N42" i="50"/>
  <c r="AO41" i="50"/>
  <c r="AX85" i="69"/>
  <c r="AW85" i="69"/>
  <c r="L87" i="69"/>
  <c r="M87" i="69" s="1"/>
  <c r="AZ87" i="69"/>
  <c r="AB83" i="69"/>
  <c r="AC83" i="69" s="1"/>
  <c r="AD83" i="69" s="1"/>
  <c r="Y84" i="69"/>
  <c r="AG84" i="69" s="1"/>
  <c r="F85" i="69"/>
  <c r="G85" i="69" s="1"/>
  <c r="H85" i="69" s="1"/>
  <c r="I85" i="69" s="1"/>
  <c r="J85" i="69" s="1"/>
  <c r="K85" i="69" s="1"/>
  <c r="U85" i="69"/>
  <c r="AH85" i="69"/>
  <c r="F32" i="32"/>
  <c r="AU32" i="32"/>
  <c r="F42" i="50"/>
  <c r="U42" i="50" s="1"/>
  <c r="AY42" i="50"/>
  <c r="X99" i="57"/>
  <c r="AB99" i="57" s="1"/>
  <c r="AG101" i="57"/>
  <c r="AA98" i="57"/>
  <c r="AC102" i="53"/>
  <c r="O102" i="53"/>
  <c r="Q86" i="69"/>
  <c r="AD100" i="57"/>
  <c r="AQ100" i="57"/>
  <c r="AE100" i="57"/>
  <c r="Q100" i="57"/>
  <c r="AC100" i="57"/>
  <c r="R100" i="57"/>
  <c r="P41" i="50"/>
  <c r="N102" i="53"/>
  <c r="O42" i="50"/>
  <c r="AA100" i="53"/>
  <c r="AG37" i="50"/>
  <c r="AG38" i="50"/>
  <c r="C40" i="50"/>
  <c r="AJ40" i="50"/>
  <c r="S41" i="50"/>
  <c r="Z41" i="50" s="1"/>
  <c r="W40" i="50"/>
  <c r="X39" i="50"/>
  <c r="AD39" i="50" s="1"/>
  <c r="AL39" i="50" s="1"/>
  <c r="V40" i="50"/>
  <c r="AF85" i="69"/>
  <c r="P102" i="57"/>
  <c r="AM37" i="50"/>
  <c r="AM38" i="50"/>
  <c r="O87" i="69"/>
  <c r="AO86" i="69"/>
  <c r="AE101" i="53"/>
  <c r="AK32" i="32"/>
  <c r="R101" i="53"/>
  <c r="X101" i="53" s="1"/>
  <c r="AB101" i="53" s="1"/>
  <c r="AY85" i="69"/>
  <c r="L102" i="57"/>
  <c r="AT101" i="53"/>
  <c r="AG101" i="53"/>
  <c r="N102" i="57"/>
  <c r="AD101" i="53"/>
  <c r="Q101" i="53"/>
  <c r="G102" i="53"/>
  <c r="I102" i="53"/>
  <c r="C102" i="53"/>
  <c r="H102" i="53"/>
  <c r="J102" i="53"/>
  <c r="E102" i="53"/>
  <c r="K102" i="53"/>
  <c r="AH102" i="53" s="1"/>
  <c r="D102" i="53"/>
  <c r="AK101" i="52" a="1"/>
  <c r="AK101" i="52" s="1"/>
  <c r="B103" i="53" s="1"/>
  <c r="F102" i="53"/>
  <c r="P102" i="53"/>
  <c r="L102" i="53"/>
  <c r="A42" i="50"/>
  <c r="M42" i="50"/>
  <c r="B42" i="50"/>
  <c r="L42" i="50"/>
  <c r="K42" i="50"/>
  <c r="I42" i="50"/>
  <c r="H42" i="50"/>
  <c r="J42" i="50"/>
  <c r="G42" i="50"/>
  <c r="I102" i="57"/>
  <c r="C102" i="57"/>
  <c r="E102" i="57"/>
  <c r="G102" i="57"/>
  <c r="F102" i="57"/>
  <c r="H102" i="57"/>
  <c r="J102" i="57"/>
  <c r="D102" i="57"/>
  <c r="AN101" i="55" a="1"/>
  <c r="AN101" i="55" s="1"/>
  <c r="B103" i="57" s="1"/>
  <c r="O103" i="57" s="1"/>
  <c r="AS87" i="67" a="1"/>
  <c r="AS87" i="67" s="1"/>
  <c r="B88" i="69"/>
  <c r="AM88" i="69" s="1"/>
  <c r="AN88" i="69" s="1"/>
  <c r="D86" i="69"/>
  <c r="E86" i="69" s="1"/>
  <c r="AE85" i="69"/>
  <c r="R85" i="69"/>
  <c r="S85" i="69" s="1"/>
  <c r="C87" i="69"/>
  <c r="AL32" i="11" a="1"/>
  <c r="AL32" i="11" s="1"/>
  <c r="E33" i="32" s="1"/>
  <c r="T33" i="32" s="1"/>
  <c r="AP42" i="59" a="1"/>
  <c r="AP42" i="59" s="1"/>
  <c r="E43" i="50" s="1"/>
  <c r="T43" i="50" s="1"/>
  <c r="AF99" i="57" l="1"/>
  <c r="AF101" i="53"/>
  <c r="AH38" i="50"/>
  <c r="AI38" i="50" s="1"/>
  <c r="AP38" i="50" s="1"/>
  <c r="AH37" i="50"/>
  <c r="AI37" i="50" s="1"/>
  <c r="AP37" i="50" s="1"/>
  <c r="P87" i="69"/>
  <c r="AP87" i="69"/>
  <c r="AK102" i="57"/>
  <c r="AJ99" i="57"/>
  <c r="AJ98" i="57"/>
  <c r="O33" i="32"/>
  <c r="AK43" i="50"/>
  <c r="BC88" i="69"/>
  <c r="BE88" i="69"/>
  <c r="BF88" i="69"/>
  <c r="BD88" i="69"/>
  <c r="U32" i="32"/>
  <c r="K103" i="57"/>
  <c r="AH103" i="57"/>
  <c r="AI103" i="57" s="1"/>
  <c r="N43" i="50"/>
  <c r="AQ43" i="50"/>
  <c r="AO42" i="50"/>
  <c r="AX86" i="69"/>
  <c r="AW86" i="69"/>
  <c r="L88" i="69"/>
  <c r="M88" i="69" s="1"/>
  <c r="AZ88" i="69"/>
  <c r="Y85" i="69"/>
  <c r="AB85" i="69" s="1"/>
  <c r="AB84" i="69"/>
  <c r="AC84" i="69" s="1"/>
  <c r="AD84" i="69" s="1"/>
  <c r="U86" i="69"/>
  <c r="AH86" i="69"/>
  <c r="F86" i="69"/>
  <c r="G86" i="69" s="1"/>
  <c r="H86" i="69" s="1"/>
  <c r="I86" i="69" s="1"/>
  <c r="J86" i="69" s="1"/>
  <c r="K86" i="69" s="1"/>
  <c r="F33" i="32"/>
  <c r="AU33" i="32"/>
  <c r="F43" i="50"/>
  <c r="U43" i="50" s="1"/>
  <c r="AY43" i="50"/>
  <c r="X100" i="57"/>
  <c r="AB100" i="57" s="1"/>
  <c r="AG102" i="57"/>
  <c r="AC103" i="53"/>
  <c r="O103" i="53"/>
  <c r="Q87" i="69"/>
  <c r="Q101" i="57"/>
  <c r="AQ101" i="57"/>
  <c r="AE101" i="57"/>
  <c r="AA99" i="57"/>
  <c r="R101" i="57"/>
  <c r="AD101" i="57"/>
  <c r="AC101" i="57"/>
  <c r="P42" i="50"/>
  <c r="N103" i="53"/>
  <c r="O43" i="50"/>
  <c r="AA101" i="53"/>
  <c r="AG39" i="50"/>
  <c r="AJ41" i="50"/>
  <c r="C41" i="50"/>
  <c r="S42" i="50"/>
  <c r="W41" i="50"/>
  <c r="X40" i="50"/>
  <c r="AD40" i="50" s="1"/>
  <c r="AL40" i="50" s="1"/>
  <c r="V41" i="50"/>
  <c r="AF86" i="69"/>
  <c r="P103" i="57"/>
  <c r="AM39" i="50"/>
  <c r="O88" i="69"/>
  <c r="AO87" i="69"/>
  <c r="AE102" i="53"/>
  <c r="AK33" i="32"/>
  <c r="R102" i="53"/>
  <c r="X102" i="53" s="1"/>
  <c r="AB102" i="53" s="1"/>
  <c r="AY86" i="69"/>
  <c r="L103" i="57"/>
  <c r="AG102" i="53"/>
  <c r="AT102" i="53"/>
  <c r="N103" i="57"/>
  <c r="Q102" i="53"/>
  <c r="AD102" i="53"/>
  <c r="J103" i="53"/>
  <c r="E103" i="53"/>
  <c r="AK102" i="52" a="1"/>
  <c r="AK102" i="52" s="1"/>
  <c r="B104" i="53" s="1"/>
  <c r="F103" i="53"/>
  <c r="D103" i="53"/>
  <c r="G103" i="53"/>
  <c r="K103" i="53"/>
  <c r="AH103" i="53" s="1"/>
  <c r="C103" i="53"/>
  <c r="P103" i="53"/>
  <c r="H103" i="53"/>
  <c r="I103" i="53"/>
  <c r="L103" i="53"/>
  <c r="M43" i="50"/>
  <c r="K43" i="50"/>
  <c r="J43" i="50"/>
  <c r="A43" i="50"/>
  <c r="L43" i="50"/>
  <c r="B43" i="50"/>
  <c r="I43" i="50"/>
  <c r="H43" i="50"/>
  <c r="G43" i="50"/>
  <c r="I103" i="57"/>
  <c r="H103" i="57"/>
  <c r="G103" i="57"/>
  <c r="C103" i="57"/>
  <c r="E103" i="57"/>
  <c r="D103" i="57"/>
  <c r="F103" i="57"/>
  <c r="J103" i="57"/>
  <c r="AN102" i="55" a="1"/>
  <c r="AN102" i="55" s="1"/>
  <c r="B104" i="57" s="1"/>
  <c r="O104" i="57" s="1"/>
  <c r="AS88" i="67" a="1"/>
  <c r="AS88" i="67" s="1"/>
  <c r="B89" i="69"/>
  <c r="AM89" i="69" s="1"/>
  <c r="AN89" i="69" s="1"/>
  <c r="D87" i="69"/>
  <c r="E87" i="69" s="1"/>
  <c r="C88" i="69"/>
  <c r="AE86" i="69"/>
  <c r="R86" i="69"/>
  <c r="S86" i="69" s="1"/>
  <c r="AL33" i="11" a="1"/>
  <c r="AL33" i="11" s="1"/>
  <c r="E34" i="32" s="1"/>
  <c r="T34" i="32" s="1"/>
  <c r="AP43" i="59" a="1"/>
  <c r="AP43" i="59" s="1"/>
  <c r="E44" i="50" s="1"/>
  <c r="T44" i="50" s="1"/>
  <c r="AF100" i="57" l="1"/>
  <c r="AF102" i="53"/>
  <c r="AH39" i="50"/>
  <c r="AI39" i="50" s="1"/>
  <c r="AP39" i="50" s="1"/>
  <c r="P88" i="69"/>
  <c r="AP88" i="69"/>
  <c r="AK103" i="57"/>
  <c r="O34" i="32"/>
  <c r="AK44" i="50"/>
  <c r="BC89" i="69"/>
  <c r="BE89" i="69"/>
  <c r="BF89" i="69"/>
  <c r="BD89" i="69"/>
  <c r="U33" i="32"/>
  <c r="AH104" i="57"/>
  <c r="AI104" i="57" s="1"/>
  <c r="K104" i="57"/>
  <c r="AO43" i="50"/>
  <c r="AQ44" i="50"/>
  <c r="N44" i="50"/>
  <c r="AW87" i="69"/>
  <c r="AX87" i="69"/>
  <c r="L89" i="69"/>
  <c r="M89" i="69" s="1"/>
  <c r="AZ89" i="69"/>
  <c r="AG85" i="69"/>
  <c r="F87" i="69"/>
  <c r="G87" i="69" s="1"/>
  <c r="H87" i="69" s="1"/>
  <c r="I87" i="69" s="1"/>
  <c r="J87" i="69" s="1"/>
  <c r="K87" i="69" s="1"/>
  <c r="U87" i="69"/>
  <c r="AH87" i="69"/>
  <c r="F34" i="32"/>
  <c r="AU34" i="32"/>
  <c r="F44" i="50"/>
  <c r="U44" i="50" s="1"/>
  <c r="AY44" i="50"/>
  <c r="Y86" i="69"/>
  <c r="AB86" i="69" s="1"/>
  <c r="AC86" i="69" s="1"/>
  <c r="AD86" i="69" s="1"/>
  <c r="AG103" i="57"/>
  <c r="X101" i="57"/>
  <c r="AC104" i="53"/>
  <c r="O104" i="53"/>
  <c r="Q88" i="69"/>
  <c r="AQ102" i="57"/>
  <c r="AA100" i="57"/>
  <c r="R102" i="57"/>
  <c r="AD102" i="57"/>
  <c r="AC102" i="57"/>
  <c r="Q102" i="57"/>
  <c r="AE102" i="57"/>
  <c r="P43" i="50"/>
  <c r="N104" i="53"/>
  <c r="O44" i="50"/>
  <c r="AA102" i="53"/>
  <c r="AG40" i="50"/>
  <c r="C42" i="50"/>
  <c r="Z42" i="50"/>
  <c r="S43" i="50"/>
  <c r="Z43" i="50" s="1"/>
  <c r="AJ42" i="50"/>
  <c r="W42" i="50"/>
  <c r="X41" i="50"/>
  <c r="AD41" i="50" s="1"/>
  <c r="AL41" i="50" s="1"/>
  <c r="V42" i="50"/>
  <c r="AF87" i="69"/>
  <c r="P104" i="57"/>
  <c r="AM40" i="50"/>
  <c r="AC85" i="69"/>
  <c r="AD85" i="69" s="1"/>
  <c r="AO88" i="69"/>
  <c r="O89" i="69"/>
  <c r="AE103" i="53"/>
  <c r="AK34" i="32"/>
  <c r="R103" i="53"/>
  <c r="X103" i="53" s="1"/>
  <c r="AB103" i="53" s="1"/>
  <c r="AY87" i="69"/>
  <c r="L104" i="57"/>
  <c r="AG103" i="53"/>
  <c r="AT103" i="53"/>
  <c r="N104" i="57"/>
  <c r="I104" i="53"/>
  <c r="AD103" i="53"/>
  <c r="Q103" i="53"/>
  <c r="D104" i="53"/>
  <c r="L104" i="53"/>
  <c r="H104" i="53"/>
  <c r="G104" i="53"/>
  <c r="AK103" i="52" a="1"/>
  <c r="AK103" i="52" s="1"/>
  <c r="B105" i="53" s="1"/>
  <c r="P104" i="53"/>
  <c r="K104" i="53"/>
  <c r="AH104" i="53" s="1"/>
  <c r="J104" i="53"/>
  <c r="E104" i="53"/>
  <c r="F104" i="53"/>
  <c r="C104" i="53"/>
  <c r="H44" i="50"/>
  <c r="M44" i="50"/>
  <c r="K44" i="50"/>
  <c r="J44" i="50"/>
  <c r="A44" i="50"/>
  <c r="L44" i="50"/>
  <c r="B44" i="50"/>
  <c r="I44" i="50"/>
  <c r="G44" i="50"/>
  <c r="J104" i="57"/>
  <c r="I104" i="57"/>
  <c r="C104" i="57"/>
  <c r="F104" i="57"/>
  <c r="E104" i="57"/>
  <c r="H104" i="57"/>
  <c r="D104" i="57"/>
  <c r="G104" i="57"/>
  <c r="AN103" i="55" a="1"/>
  <c r="AN103" i="55" s="1"/>
  <c r="B105" i="57" s="1"/>
  <c r="O105" i="57" s="1"/>
  <c r="AE87" i="69"/>
  <c r="R87" i="69"/>
  <c r="S87" i="69" s="1"/>
  <c r="D88" i="69"/>
  <c r="E88" i="69" s="1"/>
  <c r="C89" i="69"/>
  <c r="AS89" i="67" a="1"/>
  <c r="AS89" i="67" s="1"/>
  <c r="B90" i="69"/>
  <c r="AM90" i="69" s="1"/>
  <c r="AN90" i="69" s="1"/>
  <c r="AL34" i="11" a="1"/>
  <c r="AL34" i="11" s="1"/>
  <c r="E35" i="32" s="1"/>
  <c r="T35" i="32" s="1"/>
  <c r="AP44" i="59" a="1"/>
  <c r="AP44" i="59" s="1"/>
  <c r="E45" i="50" s="1"/>
  <c r="T45" i="50" s="1"/>
  <c r="AA101" i="57" l="1"/>
  <c r="AB101" i="57"/>
  <c r="AF101" i="57" s="1"/>
  <c r="AF103" i="53"/>
  <c r="AH40" i="50"/>
  <c r="AI40" i="50" s="1"/>
  <c r="AP40" i="50" s="1"/>
  <c r="P89" i="69"/>
  <c r="AP89" i="69"/>
  <c r="AK104" i="57"/>
  <c r="AJ100" i="57"/>
  <c r="O35" i="32"/>
  <c r="AK45" i="50"/>
  <c r="BC90" i="69"/>
  <c r="BE90" i="69"/>
  <c r="BF90" i="69"/>
  <c r="BD90" i="69"/>
  <c r="U34" i="32"/>
  <c r="AH105" i="57"/>
  <c r="AI105" i="57" s="1"/>
  <c r="K105" i="57"/>
  <c r="AO44" i="50"/>
  <c r="AQ45" i="50"/>
  <c r="N45" i="50"/>
  <c r="AW88" i="69"/>
  <c r="AX88" i="69"/>
  <c r="L90" i="69"/>
  <c r="M90" i="69" s="1"/>
  <c r="AZ90" i="69"/>
  <c r="Y87" i="69"/>
  <c r="AB87" i="69" s="1"/>
  <c r="U88" i="69"/>
  <c r="AH88" i="69"/>
  <c r="F88" i="69"/>
  <c r="G88" i="69" s="1"/>
  <c r="H88" i="69" s="1"/>
  <c r="I88" i="69" s="1"/>
  <c r="J88" i="69" s="1"/>
  <c r="K88" i="69" s="1"/>
  <c r="F35" i="32"/>
  <c r="AU35" i="32"/>
  <c r="AY45" i="50"/>
  <c r="F45" i="50"/>
  <c r="U45" i="50" s="1"/>
  <c r="X102" i="57"/>
  <c r="AB102" i="57" s="1"/>
  <c r="AG86" i="69"/>
  <c r="AG104" i="57"/>
  <c r="AC105" i="53"/>
  <c r="O105" i="53"/>
  <c r="Q89" i="69"/>
  <c r="R103" i="57"/>
  <c r="AD103" i="57"/>
  <c r="AC103" i="57"/>
  <c r="Q103" i="57"/>
  <c r="AE103" i="57"/>
  <c r="AQ103" i="57"/>
  <c r="P44" i="50"/>
  <c r="N105" i="53"/>
  <c r="O45" i="50"/>
  <c r="AA103" i="53"/>
  <c r="AG41" i="50"/>
  <c r="AJ43" i="50"/>
  <c r="C43" i="50"/>
  <c r="S44" i="50"/>
  <c r="Z44" i="50" s="1"/>
  <c r="W43" i="50"/>
  <c r="X42" i="50"/>
  <c r="AD42" i="50" s="1"/>
  <c r="AL42" i="50" s="1"/>
  <c r="V43" i="50"/>
  <c r="AF88" i="69"/>
  <c r="P105" i="57"/>
  <c r="AM41" i="50"/>
  <c r="AO89" i="69"/>
  <c r="O90" i="69"/>
  <c r="AE104" i="53"/>
  <c r="AK35" i="32"/>
  <c r="R104" i="53"/>
  <c r="X104" i="53" s="1"/>
  <c r="AB104" i="53" s="1"/>
  <c r="AY88" i="69"/>
  <c r="L105" i="57"/>
  <c r="AT104" i="53"/>
  <c r="AG104" i="53"/>
  <c r="N105" i="57"/>
  <c r="F105" i="53"/>
  <c r="AD104" i="53"/>
  <c r="D105" i="53"/>
  <c r="E105" i="53"/>
  <c r="C105" i="53"/>
  <c r="G105" i="53"/>
  <c r="AK104" i="52" a="1"/>
  <c r="AK104" i="52" s="1"/>
  <c r="B106" i="53" s="1"/>
  <c r="P105" i="53"/>
  <c r="I105" i="53"/>
  <c r="Q104" i="53"/>
  <c r="L105" i="53"/>
  <c r="H105" i="53"/>
  <c r="K105" i="53"/>
  <c r="AH105" i="53" s="1"/>
  <c r="J105" i="53"/>
  <c r="M45" i="50"/>
  <c r="B45" i="50"/>
  <c r="I45" i="50"/>
  <c r="A45" i="50"/>
  <c r="H45" i="50"/>
  <c r="G45" i="50"/>
  <c r="K45" i="50"/>
  <c r="J45" i="50"/>
  <c r="L45" i="50"/>
  <c r="D105" i="57"/>
  <c r="C105" i="57"/>
  <c r="I105" i="57"/>
  <c r="E105" i="57"/>
  <c r="G105" i="57"/>
  <c r="H105" i="57"/>
  <c r="F105" i="57"/>
  <c r="J105" i="57"/>
  <c r="AN104" i="55" a="1"/>
  <c r="AN104" i="55" s="1"/>
  <c r="B106" i="57" s="1"/>
  <c r="O106" i="57" s="1"/>
  <c r="AS90" i="67" a="1"/>
  <c r="AS90" i="67" s="1"/>
  <c r="B91" i="69"/>
  <c r="AM91" i="69" s="1"/>
  <c r="AN91" i="69" s="1"/>
  <c r="AE88" i="69"/>
  <c r="R88" i="69"/>
  <c r="S88" i="69" s="1"/>
  <c r="C90" i="69"/>
  <c r="D89" i="69"/>
  <c r="E89" i="69" s="1"/>
  <c r="AL35" i="11" a="1"/>
  <c r="AL35" i="11" s="1"/>
  <c r="E36" i="32" s="1"/>
  <c r="T36" i="32" s="1"/>
  <c r="AP45" i="59" a="1"/>
  <c r="AP45" i="59" s="1"/>
  <c r="E46" i="50" s="1"/>
  <c r="T46" i="50" s="1"/>
  <c r="AF102" i="57" l="1"/>
  <c r="AF104" i="53"/>
  <c r="AH41" i="50"/>
  <c r="AI41" i="50" s="1"/>
  <c r="AP41" i="50" s="1"/>
  <c r="P90" i="69"/>
  <c r="AP90" i="69"/>
  <c r="AK105" i="57"/>
  <c r="AJ101" i="57"/>
  <c r="O36" i="32"/>
  <c r="AK46" i="50"/>
  <c r="BC91" i="69"/>
  <c r="BD91" i="69"/>
  <c r="BE91" i="69"/>
  <c r="BF91" i="69"/>
  <c r="U35" i="32"/>
  <c r="AH106" i="57"/>
  <c r="AI106" i="57" s="1"/>
  <c r="K106" i="57"/>
  <c r="N46" i="50"/>
  <c r="AQ46" i="50"/>
  <c r="AO45" i="50"/>
  <c r="AX89" i="69"/>
  <c r="AW89" i="69"/>
  <c r="L91" i="69"/>
  <c r="M91" i="69" s="1"/>
  <c r="AZ91" i="69"/>
  <c r="AG87" i="69"/>
  <c r="Y88" i="69"/>
  <c r="AG88" i="69" s="1"/>
  <c r="F89" i="69"/>
  <c r="G89" i="69" s="1"/>
  <c r="H89" i="69" s="1"/>
  <c r="I89" i="69" s="1"/>
  <c r="J89" i="69" s="1"/>
  <c r="K89" i="69" s="1"/>
  <c r="U89" i="69"/>
  <c r="AH89" i="69"/>
  <c r="F36" i="32"/>
  <c r="AU36" i="32"/>
  <c r="F46" i="50"/>
  <c r="U46" i="50" s="1"/>
  <c r="AY46" i="50"/>
  <c r="AA102" i="57"/>
  <c r="X103" i="57"/>
  <c r="AB103" i="57" s="1"/>
  <c r="AG105" i="57"/>
  <c r="AC106" i="53"/>
  <c r="O106" i="53"/>
  <c r="Q90" i="69"/>
  <c r="Q104" i="57"/>
  <c r="AD104" i="57"/>
  <c r="AC104" i="57"/>
  <c r="AQ104" i="57"/>
  <c r="AE104" i="57"/>
  <c r="R104" i="57"/>
  <c r="P45" i="50"/>
  <c r="N106" i="53"/>
  <c r="O46" i="50"/>
  <c r="AA104" i="53"/>
  <c r="AG42" i="50"/>
  <c r="AJ44" i="50"/>
  <c r="C44" i="50"/>
  <c r="S45" i="50"/>
  <c r="Z45" i="50" s="1"/>
  <c r="W44" i="50"/>
  <c r="X43" i="50"/>
  <c r="V44" i="50"/>
  <c r="AF89" i="69"/>
  <c r="P106" i="57"/>
  <c r="AD43" i="50"/>
  <c r="AL43" i="50" s="1"/>
  <c r="AM42" i="50"/>
  <c r="AC87" i="69"/>
  <c r="AD87" i="69" s="1"/>
  <c r="O91" i="69"/>
  <c r="AO90" i="69"/>
  <c r="AE105" i="53"/>
  <c r="AK36" i="32"/>
  <c r="R105" i="53"/>
  <c r="X105" i="53" s="1"/>
  <c r="AB105" i="53" s="1"/>
  <c r="AY89" i="69"/>
  <c r="L106" i="57"/>
  <c r="AT105" i="53"/>
  <c r="AG105" i="53"/>
  <c r="N106" i="57"/>
  <c r="AD105" i="53"/>
  <c r="Q105" i="53"/>
  <c r="K106" i="53"/>
  <c r="AH106" i="53" s="1"/>
  <c r="D106" i="53"/>
  <c r="G106" i="53"/>
  <c r="J106" i="53"/>
  <c r="L106" i="53"/>
  <c r="H106" i="53"/>
  <c r="AK105" i="52" a="1"/>
  <c r="AK105" i="52" s="1"/>
  <c r="B107" i="53" s="1"/>
  <c r="F106" i="53"/>
  <c r="E106" i="53"/>
  <c r="I106" i="53"/>
  <c r="C106" i="53"/>
  <c r="P106" i="53"/>
  <c r="G46" i="50"/>
  <c r="H46" i="50"/>
  <c r="M46" i="50"/>
  <c r="L46" i="50"/>
  <c r="A46" i="50"/>
  <c r="J46" i="50"/>
  <c r="K46" i="50"/>
  <c r="B46" i="50"/>
  <c r="I46" i="50"/>
  <c r="J106" i="57"/>
  <c r="G106" i="57"/>
  <c r="C106" i="57"/>
  <c r="H106" i="57"/>
  <c r="D106" i="57"/>
  <c r="F106" i="57"/>
  <c r="E106" i="57"/>
  <c r="I106" i="57"/>
  <c r="AN105" i="55" a="1"/>
  <c r="AN105" i="55" s="1"/>
  <c r="B107" i="57" s="1"/>
  <c r="O107" i="57" s="1"/>
  <c r="AS91" i="67" a="1"/>
  <c r="AS91" i="67" s="1"/>
  <c r="B92" i="69"/>
  <c r="AM92" i="69" s="1"/>
  <c r="AN92" i="69" s="1"/>
  <c r="D90" i="69"/>
  <c r="E90" i="69" s="1"/>
  <c r="AE89" i="69"/>
  <c r="R89" i="69"/>
  <c r="S89" i="69" s="1"/>
  <c r="C91" i="69"/>
  <c r="AL36" i="11" a="1"/>
  <c r="AL36" i="11" s="1"/>
  <c r="E37" i="32" s="1"/>
  <c r="T37" i="32" s="1"/>
  <c r="AP46" i="59" a="1"/>
  <c r="AP46" i="59" s="1"/>
  <c r="E47" i="50" s="1"/>
  <c r="T47" i="50" s="1"/>
  <c r="AF103" i="57" l="1"/>
  <c r="AF105" i="53"/>
  <c r="AH42" i="50"/>
  <c r="AI42" i="50" s="1"/>
  <c r="AP42" i="50" s="1"/>
  <c r="P91" i="69"/>
  <c r="AP91" i="69"/>
  <c r="AK106" i="57"/>
  <c r="AJ102" i="57"/>
  <c r="O37" i="32"/>
  <c r="AK47" i="50"/>
  <c r="BC92" i="69"/>
  <c r="BD92" i="69"/>
  <c r="BE92" i="69"/>
  <c r="BF92" i="69"/>
  <c r="U36" i="32"/>
  <c r="AH107" i="57"/>
  <c r="AI107" i="57" s="1"/>
  <c r="K107" i="57"/>
  <c r="AO46" i="50"/>
  <c r="N47" i="50"/>
  <c r="AQ47" i="50"/>
  <c r="AX90" i="69"/>
  <c r="AW90" i="69"/>
  <c r="L92" i="69"/>
  <c r="M92" i="69" s="1"/>
  <c r="AZ92" i="69"/>
  <c r="Y89" i="69"/>
  <c r="AB89" i="69" s="1"/>
  <c r="AB88" i="69"/>
  <c r="AC88" i="69" s="1"/>
  <c r="AD88" i="69" s="1"/>
  <c r="U90" i="69"/>
  <c r="AH90" i="69"/>
  <c r="F90" i="69"/>
  <c r="G90" i="69" s="1"/>
  <c r="H90" i="69" s="1"/>
  <c r="I90" i="69" s="1"/>
  <c r="J90" i="69" s="1"/>
  <c r="K90" i="69" s="1"/>
  <c r="F37" i="32"/>
  <c r="AU37" i="32"/>
  <c r="AY47" i="50"/>
  <c r="F47" i="50"/>
  <c r="U47" i="50" s="1"/>
  <c r="X104" i="57"/>
  <c r="AB104" i="57" s="1"/>
  <c r="AG106" i="57"/>
  <c r="AC107" i="53"/>
  <c r="O107" i="53"/>
  <c r="Q91" i="69"/>
  <c r="AQ105" i="57"/>
  <c r="AA103" i="57"/>
  <c r="Q105" i="57"/>
  <c r="AD105" i="57"/>
  <c r="R105" i="57"/>
  <c r="AE105" i="57"/>
  <c r="AC105" i="57"/>
  <c r="P46" i="50"/>
  <c r="N107" i="53"/>
  <c r="O47" i="50"/>
  <c r="AA105" i="53"/>
  <c r="C45" i="50"/>
  <c r="AJ45" i="50"/>
  <c r="S46" i="50"/>
  <c r="Z46" i="50" s="1"/>
  <c r="W45" i="50"/>
  <c r="X44" i="50"/>
  <c r="AD44" i="50" s="1"/>
  <c r="AL44" i="50" s="1"/>
  <c r="V45" i="50"/>
  <c r="AF90" i="69"/>
  <c r="P107" i="57"/>
  <c r="AM43" i="50"/>
  <c r="O92" i="69"/>
  <c r="AO91" i="69"/>
  <c r="AE106" i="53"/>
  <c r="AK37" i="32"/>
  <c r="R106" i="53"/>
  <c r="X106" i="53" s="1"/>
  <c r="AB106" i="53" s="1"/>
  <c r="AY90" i="69"/>
  <c r="L107" i="57"/>
  <c r="AT106" i="53"/>
  <c r="AG106" i="53"/>
  <c r="N107" i="57"/>
  <c r="H107" i="53"/>
  <c r="AD106" i="53"/>
  <c r="Q106" i="53"/>
  <c r="C107" i="53"/>
  <c r="J107" i="53"/>
  <c r="AK106" i="52" a="1"/>
  <c r="AK106" i="52" s="1"/>
  <c r="B108" i="53" s="1"/>
  <c r="G107" i="53"/>
  <c r="E107" i="53"/>
  <c r="F107" i="53"/>
  <c r="I107" i="53"/>
  <c r="D107" i="53"/>
  <c r="L107" i="53"/>
  <c r="K107" i="53"/>
  <c r="AH107" i="53" s="1"/>
  <c r="P107" i="53"/>
  <c r="G47" i="50"/>
  <c r="I47" i="50"/>
  <c r="M47" i="50"/>
  <c r="J47" i="50"/>
  <c r="L47" i="50"/>
  <c r="B47" i="50"/>
  <c r="H47" i="50"/>
  <c r="A47" i="50"/>
  <c r="K47" i="50"/>
  <c r="E107" i="57"/>
  <c r="D107" i="57"/>
  <c r="C107" i="57"/>
  <c r="G107" i="57"/>
  <c r="I107" i="57"/>
  <c r="H107" i="57"/>
  <c r="F107" i="57"/>
  <c r="J107" i="57"/>
  <c r="AN106" i="55" a="1"/>
  <c r="AN106" i="55" s="1"/>
  <c r="B108" i="57" s="1"/>
  <c r="O108" i="57" s="1"/>
  <c r="AS92" i="67" a="1"/>
  <c r="AS92" i="67" s="1"/>
  <c r="B93" i="69"/>
  <c r="AM93" i="69" s="1"/>
  <c r="AN93" i="69" s="1"/>
  <c r="C92" i="69"/>
  <c r="D91" i="69"/>
  <c r="E91" i="69" s="1"/>
  <c r="AE90" i="69"/>
  <c r="R90" i="69"/>
  <c r="S90" i="69" s="1"/>
  <c r="AL37" i="11" a="1"/>
  <c r="AL37" i="11" s="1"/>
  <c r="E38" i="32" s="1"/>
  <c r="T38" i="32" s="1"/>
  <c r="AP47" i="59" a="1"/>
  <c r="AP47" i="59" s="1"/>
  <c r="E48" i="50" s="1"/>
  <c r="T48" i="50" s="1"/>
  <c r="AF104" i="57" l="1"/>
  <c r="AF106" i="53"/>
  <c r="P92" i="69"/>
  <c r="AP92" i="69"/>
  <c r="AK107" i="57"/>
  <c r="AJ103" i="57"/>
  <c r="O38" i="32"/>
  <c r="AK48" i="50"/>
  <c r="BC93" i="69"/>
  <c r="BF93" i="69"/>
  <c r="BE93" i="69"/>
  <c r="BD93" i="69"/>
  <c r="U37" i="32"/>
  <c r="AH108" i="57"/>
  <c r="AI108" i="57" s="1"/>
  <c r="K108" i="57"/>
  <c r="AO47" i="50"/>
  <c r="AQ48" i="50"/>
  <c r="N48" i="50"/>
  <c r="AX91" i="69"/>
  <c r="AW91" i="69"/>
  <c r="L93" i="69"/>
  <c r="M93" i="69" s="1"/>
  <c r="AZ93" i="69"/>
  <c r="AG89" i="69"/>
  <c r="Y90" i="69"/>
  <c r="AG90" i="69" s="1"/>
  <c r="F91" i="69"/>
  <c r="G91" i="69" s="1"/>
  <c r="H91" i="69" s="1"/>
  <c r="I91" i="69" s="1"/>
  <c r="J91" i="69" s="1"/>
  <c r="K91" i="69" s="1"/>
  <c r="U91" i="69"/>
  <c r="AH91" i="69"/>
  <c r="F38" i="32"/>
  <c r="AU38" i="32"/>
  <c r="F48" i="50"/>
  <c r="U48" i="50" s="1"/>
  <c r="AY48" i="50"/>
  <c r="X105" i="57"/>
  <c r="AB105" i="57" s="1"/>
  <c r="AG107" i="57"/>
  <c r="AA104" i="57"/>
  <c r="AC108" i="53"/>
  <c r="O108" i="53"/>
  <c r="Q92" i="69"/>
  <c r="Q106" i="57"/>
  <c r="AQ106" i="57"/>
  <c r="AC106" i="57"/>
  <c r="AD106" i="57"/>
  <c r="R106" i="57"/>
  <c r="AE106" i="57"/>
  <c r="P47" i="50"/>
  <c r="N108" i="53"/>
  <c r="O48" i="50"/>
  <c r="AA106" i="53"/>
  <c r="AG44" i="50"/>
  <c r="AG43" i="50"/>
  <c r="AJ46" i="50"/>
  <c r="C46" i="50"/>
  <c r="S47" i="50"/>
  <c r="Z47" i="50" s="1"/>
  <c r="W46" i="50"/>
  <c r="X45" i="50"/>
  <c r="AD45" i="50" s="1"/>
  <c r="AL45" i="50" s="1"/>
  <c r="V46" i="50"/>
  <c r="AF91" i="69"/>
  <c r="P108" i="57"/>
  <c r="AM44" i="50"/>
  <c r="AC89" i="69"/>
  <c r="AD89" i="69" s="1"/>
  <c r="O93" i="69"/>
  <c r="AO92" i="69"/>
  <c r="AE107" i="53"/>
  <c r="AK38" i="32"/>
  <c r="R107" i="53"/>
  <c r="X107" i="53" s="1"/>
  <c r="AB107" i="53" s="1"/>
  <c r="AY91" i="69"/>
  <c r="L108" i="57"/>
  <c r="AG107" i="53"/>
  <c r="AT107" i="53"/>
  <c r="N108" i="57"/>
  <c r="E108" i="53"/>
  <c r="AD107" i="53"/>
  <c r="H108" i="53"/>
  <c r="P108" i="53"/>
  <c r="G108" i="53"/>
  <c r="Q107" i="53"/>
  <c r="J108" i="53"/>
  <c r="L108" i="53"/>
  <c r="F108" i="53"/>
  <c r="I108" i="53"/>
  <c r="C108" i="53"/>
  <c r="AK107" i="52" a="1"/>
  <c r="AK107" i="52" s="1"/>
  <c r="B109" i="53" s="1"/>
  <c r="D108" i="53"/>
  <c r="K108" i="53"/>
  <c r="AH108" i="53" s="1"/>
  <c r="B48" i="50"/>
  <c r="H48" i="50"/>
  <c r="L48" i="50"/>
  <c r="I48" i="50"/>
  <c r="M48" i="50"/>
  <c r="J48" i="50"/>
  <c r="K48" i="50"/>
  <c r="G48" i="50"/>
  <c r="A48" i="50"/>
  <c r="I108" i="57"/>
  <c r="F108" i="57"/>
  <c r="C108" i="57"/>
  <c r="H108" i="57"/>
  <c r="D108" i="57"/>
  <c r="G108" i="57"/>
  <c r="E108" i="57"/>
  <c r="J108" i="57"/>
  <c r="AN107" i="55" a="1"/>
  <c r="AN107" i="55" s="1"/>
  <c r="B109" i="57" s="1"/>
  <c r="O109" i="57" s="1"/>
  <c r="C93" i="69"/>
  <c r="AE91" i="69"/>
  <c r="R91" i="69"/>
  <c r="S91" i="69" s="1"/>
  <c r="D92" i="69"/>
  <c r="E92" i="69" s="1"/>
  <c r="AS93" i="67" a="1"/>
  <c r="AS93" i="67" s="1"/>
  <c r="B94" i="69"/>
  <c r="AM94" i="69" s="1"/>
  <c r="AN94" i="69" s="1"/>
  <c r="AL38" i="11" a="1"/>
  <c r="AL38" i="11" s="1"/>
  <c r="E39" i="32" s="1"/>
  <c r="T39" i="32" s="1"/>
  <c r="AP48" i="59" a="1"/>
  <c r="AP48" i="59" s="1"/>
  <c r="E49" i="50" s="1"/>
  <c r="T49" i="50" s="1"/>
  <c r="AF105" i="57" l="1"/>
  <c r="AF107" i="53"/>
  <c r="AH43" i="50"/>
  <c r="AI43" i="50" s="1"/>
  <c r="AP43" i="50" s="1"/>
  <c r="AH44" i="50"/>
  <c r="AI44" i="50" s="1"/>
  <c r="AP44" i="50" s="1"/>
  <c r="P93" i="69"/>
  <c r="AP93" i="69"/>
  <c r="AK108" i="57"/>
  <c r="AJ104" i="57"/>
  <c r="O39" i="32"/>
  <c r="AK49" i="50"/>
  <c r="BC94" i="69"/>
  <c r="BF94" i="69"/>
  <c r="BD94" i="69"/>
  <c r="BE94" i="69"/>
  <c r="U38" i="32"/>
  <c r="AH109" i="57"/>
  <c r="AI109" i="57" s="1"/>
  <c r="K109" i="57"/>
  <c r="AO48" i="50"/>
  <c r="AQ49" i="50"/>
  <c r="N49" i="50"/>
  <c r="AW92" i="69"/>
  <c r="AX92" i="69"/>
  <c r="L94" i="69"/>
  <c r="M94" i="69" s="1"/>
  <c r="AZ94" i="69"/>
  <c r="AB90" i="69"/>
  <c r="AC90" i="69" s="1"/>
  <c r="AD90" i="69" s="1"/>
  <c r="U92" i="69"/>
  <c r="AH92" i="69"/>
  <c r="F92" i="69"/>
  <c r="G92" i="69" s="1"/>
  <c r="H92" i="69" s="1"/>
  <c r="I92" i="69" s="1"/>
  <c r="J92" i="69" s="1"/>
  <c r="K92" i="69" s="1"/>
  <c r="Y91" i="69"/>
  <c r="AG91" i="69" s="1"/>
  <c r="F39" i="32"/>
  <c r="AU39" i="32"/>
  <c r="AY49" i="50"/>
  <c r="F49" i="50"/>
  <c r="U49" i="50" s="1"/>
  <c r="X106" i="57"/>
  <c r="AB106" i="57" s="1"/>
  <c r="AG108" i="57"/>
  <c r="AC109" i="53"/>
  <c r="O109" i="53"/>
  <c r="Q93" i="69"/>
  <c r="AA105" i="57"/>
  <c r="AQ107" i="57"/>
  <c r="AD107" i="57"/>
  <c r="R107" i="57"/>
  <c r="Q107" i="57"/>
  <c r="AC107" i="57"/>
  <c r="AE107" i="57"/>
  <c r="P48" i="50"/>
  <c r="N109" i="53"/>
  <c r="O49" i="50"/>
  <c r="AA107" i="53"/>
  <c r="AG45" i="50"/>
  <c r="C47" i="50"/>
  <c r="AJ47" i="50"/>
  <c r="S48" i="50"/>
  <c r="Z48" i="50" s="1"/>
  <c r="W47" i="50"/>
  <c r="X46" i="50"/>
  <c r="AD46" i="50" s="1"/>
  <c r="AL46" i="50" s="1"/>
  <c r="V47" i="50"/>
  <c r="AF92" i="69"/>
  <c r="P109" i="57"/>
  <c r="AM45" i="50"/>
  <c r="O94" i="69"/>
  <c r="AO93" i="69"/>
  <c r="AE108" i="53"/>
  <c r="AK39" i="32"/>
  <c r="R108" i="53"/>
  <c r="X108" i="53" s="1"/>
  <c r="AB108" i="53" s="1"/>
  <c r="AY92" i="69"/>
  <c r="L109" i="57"/>
  <c r="AT108" i="53"/>
  <c r="AG108" i="53"/>
  <c r="N109" i="57"/>
  <c r="P109" i="53"/>
  <c r="Q108" i="53"/>
  <c r="AD108" i="53"/>
  <c r="I109" i="53"/>
  <c r="G109" i="53"/>
  <c r="D109" i="53"/>
  <c r="L109" i="53"/>
  <c r="K109" i="53"/>
  <c r="AH109" i="53" s="1"/>
  <c r="J109" i="53"/>
  <c r="F109" i="53"/>
  <c r="AK108" i="52" a="1"/>
  <c r="AK108" i="52" s="1"/>
  <c r="B110" i="53" s="1"/>
  <c r="E109" i="53"/>
  <c r="C109" i="53"/>
  <c r="H109" i="53"/>
  <c r="M49" i="50"/>
  <c r="B49" i="50"/>
  <c r="I49" i="50"/>
  <c r="H49" i="50"/>
  <c r="J49" i="50"/>
  <c r="K49" i="50"/>
  <c r="L49" i="50"/>
  <c r="G49" i="50"/>
  <c r="A49" i="50"/>
  <c r="I109" i="57"/>
  <c r="H109" i="57"/>
  <c r="G109" i="57"/>
  <c r="C109" i="57"/>
  <c r="E109" i="57"/>
  <c r="D109" i="57"/>
  <c r="F109" i="57"/>
  <c r="J109" i="57"/>
  <c r="AN108" i="55" a="1"/>
  <c r="AN108" i="55" s="1"/>
  <c r="B110" i="57" s="1"/>
  <c r="O110" i="57" s="1"/>
  <c r="AS94" i="67" a="1"/>
  <c r="AS94" i="67" s="1"/>
  <c r="B95" i="69"/>
  <c r="AM95" i="69" s="1"/>
  <c r="AN95" i="69" s="1"/>
  <c r="D93" i="69"/>
  <c r="E93" i="69" s="1"/>
  <c r="AE92" i="69"/>
  <c r="R92" i="69"/>
  <c r="S92" i="69" s="1"/>
  <c r="C94" i="69"/>
  <c r="AL39" i="11" a="1"/>
  <c r="AL39" i="11" s="1"/>
  <c r="E40" i="32" s="1"/>
  <c r="T40" i="32" s="1"/>
  <c r="AP49" i="59" a="1"/>
  <c r="AP49" i="59" s="1"/>
  <c r="E50" i="50" s="1"/>
  <c r="T50" i="50" s="1"/>
  <c r="AF106" i="57" l="1"/>
  <c r="AF108" i="53"/>
  <c r="AH45" i="50"/>
  <c r="AI45" i="50" s="1"/>
  <c r="AP45" i="50" s="1"/>
  <c r="P94" i="69"/>
  <c r="AP94" i="69"/>
  <c r="AK109" i="57"/>
  <c r="AJ105" i="57"/>
  <c r="AJ106" i="57"/>
  <c r="O40" i="32"/>
  <c r="AK50" i="50"/>
  <c r="BC95" i="69"/>
  <c r="BF95" i="69"/>
  <c r="BD95" i="69"/>
  <c r="BE95" i="69"/>
  <c r="U39" i="32"/>
  <c r="AH110" i="57"/>
  <c r="AI110" i="57" s="1"/>
  <c r="K110" i="57"/>
  <c r="AO49" i="50"/>
  <c r="AQ50" i="50"/>
  <c r="N50" i="50"/>
  <c r="AX93" i="69"/>
  <c r="AW93" i="69"/>
  <c r="L95" i="69"/>
  <c r="M95" i="69" s="1"/>
  <c r="AZ95" i="69"/>
  <c r="Y92" i="69"/>
  <c r="AG92" i="69" s="1"/>
  <c r="AB91" i="69"/>
  <c r="AC91" i="69" s="1"/>
  <c r="AD91" i="69" s="1"/>
  <c r="F93" i="69"/>
  <c r="G93" i="69" s="1"/>
  <c r="H93" i="69" s="1"/>
  <c r="I93" i="69" s="1"/>
  <c r="J93" i="69" s="1"/>
  <c r="K93" i="69" s="1"/>
  <c r="U93" i="69"/>
  <c r="AH93" i="69"/>
  <c r="F40" i="32"/>
  <c r="AU40" i="32"/>
  <c r="F50" i="50"/>
  <c r="U50" i="50" s="1"/>
  <c r="AY50" i="50"/>
  <c r="X107" i="57"/>
  <c r="AB107" i="57" s="1"/>
  <c r="AG109" i="57"/>
  <c r="AA106" i="57"/>
  <c r="AC110" i="53"/>
  <c r="O110" i="53"/>
  <c r="Q94" i="69"/>
  <c r="R108" i="57"/>
  <c r="AD108" i="57"/>
  <c r="AC108" i="57"/>
  <c r="Q108" i="57"/>
  <c r="AE108" i="57"/>
  <c r="AQ108" i="57"/>
  <c r="P49" i="50"/>
  <c r="N110" i="53"/>
  <c r="O50" i="50"/>
  <c r="AA108" i="53"/>
  <c r="AG46" i="50"/>
  <c r="AJ48" i="50"/>
  <c r="C48" i="50"/>
  <c r="S49" i="50"/>
  <c r="Z49" i="50" s="1"/>
  <c r="W48" i="50"/>
  <c r="X47" i="50"/>
  <c r="V48" i="50"/>
  <c r="AF93" i="69"/>
  <c r="P110" i="57"/>
  <c r="AD47" i="50"/>
  <c r="AL47" i="50" s="1"/>
  <c r="AM46" i="50"/>
  <c r="AO94" i="69"/>
  <c r="O95" i="69"/>
  <c r="AE109" i="53"/>
  <c r="AK40" i="32"/>
  <c r="R109" i="53"/>
  <c r="X109" i="53" s="1"/>
  <c r="AB109" i="53" s="1"/>
  <c r="AY93" i="69"/>
  <c r="L110" i="57"/>
  <c r="AG109" i="53"/>
  <c r="AT109" i="53"/>
  <c r="N110" i="57"/>
  <c r="I110" i="53"/>
  <c r="AD109" i="53"/>
  <c r="Q109" i="53"/>
  <c r="C110" i="53"/>
  <c r="D110" i="53"/>
  <c r="G110" i="53"/>
  <c r="AK109" i="52" a="1"/>
  <c r="AK109" i="52" s="1"/>
  <c r="B111" i="53" s="1"/>
  <c r="K110" i="53"/>
  <c r="AH110" i="53" s="1"/>
  <c r="H110" i="53"/>
  <c r="F110" i="53"/>
  <c r="P110" i="53"/>
  <c r="J110" i="53"/>
  <c r="L110" i="53"/>
  <c r="E110" i="53"/>
  <c r="I50" i="50"/>
  <c r="G50" i="50"/>
  <c r="M50" i="50"/>
  <c r="A50" i="50"/>
  <c r="H50" i="50"/>
  <c r="J50" i="50"/>
  <c r="K50" i="50"/>
  <c r="L50" i="50"/>
  <c r="B50" i="50"/>
  <c r="J110" i="57"/>
  <c r="E110" i="57"/>
  <c r="H110" i="57"/>
  <c r="D110" i="57"/>
  <c r="I110" i="57"/>
  <c r="G110" i="57"/>
  <c r="C110" i="57"/>
  <c r="F110" i="57"/>
  <c r="AN109" i="55" a="1"/>
  <c r="AN109" i="55" s="1"/>
  <c r="B111" i="57" s="1"/>
  <c r="O111" i="57" s="1"/>
  <c r="AS95" i="67" a="1"/>
  <c r="AS95" i="67" s="1"/>
  <c r="B96" i="69"/>
  <c r="AM96" i="69" s="1"/>
  <c r="AN96" i="69" s="1"/>
  <c r="AE93" i="69"/>
  <c r="R93" i="69"/>
  <c r="S93" i="69" s="1"/>
  <c r="D94" i="69"/>
  <c r="E94" i="69" s="1"/>
  <c r="C95" i="69"/>
  <c r="AL40" i="11" a="1"/>
  <c r="AL40" i="11" s="1"/>
  <c r="E41" i="32" s="1"/>
  <c r="T41" i="32" s="1"/>
  <c r="AP50" i="59" a="1"/>
  <c r="AP50" i="59" s="1"/>
  <c r="E51" i="50" s="1"/>
  <c r="T51" i="50" s="1"/>
  <c r="AF107" i="57" l="1"/>
  <c r="AF109" i="53"/>
  <c r="AH46" i="50"/>
  <c r="AI46" i="50" s="1"/>
  <c r="AP46" i="50" s="1"/>
  <c r="P95" i="69"/>
  <c r="AP95" i="69"/>
  <c r="AK110" i="57"/>
  <c r="O41" i="32"/>
  <c r="AK51" i="50"/>
  <c r="BC96" i="69"/>
  <c r="BE96" i="69"/>
  <c r="BF96" i="69"/>
  <c r="BD96" i="69"/>
  <c r="U40" i="32"/>
  <c r="AH111" i="57"/>
  <c r="AI111" i="57" s="1"/>
  <c r="K111" i="57"/>
  <c r="AO50" i="50"/>
  <c r="N51" i="50"/>
  <c r="AQ51" i="50"/>
  <c r="AX94" i="69"/>
  <c r="AW94" i="69"/>
  <c r="L96" i="69"/>
  <c r="M96" i="69" s="1"/>
  <c r="AZ96" i="69"/>
  <c r="AB92" i="69"/>
  <c r="AC92" i="69" s="1"/>
  <c r="AD92" i="69" s="1"/>
  <c r="Y93" i="69"/>
  <c r="AB93" i="69" s="1"/>
  <c r="AC93" i="69" s="1"/>
  <c r="AD93" i="69" s="1"/>
  <c r="F94" i="69"/>
  <c r="G94" i="69" s="1"/>
  <c r="H94" i="69" s="1"/>
  <c r="I94" i="69" s="1"/>
  <c r="J94" i="69" s="1"/>
  <c r="K94" i="69" s="1"/>
  <c r="U94" i="69"/>
  <c r="AH94" i="69"/>
  <c r="F41" i="32"/>
  <c r="AU41" i="32"/>
  <c r="AY51" i="50"/>
  <c r="F51" i="50"/>
  <c r="U51" i="50" s="1"/>
  <c r="X108" i="57"/>
  <c r="AB108" i="57" s="1"/>
  <c r="AG110" i="57"/>
  <c r="AC111" i="53"/>
  <c r="O111" i="53"/>
  <c r="Q95" i="69"/>
  <c r="AQ109" i="57"/>
  <c r="AA107" i="57"/>
  <c r="R109" i="57"/>
  <c r="Q109" i="57"/>
  <c r="AE109" i="57"/>
  <c r="AD109" i="57"/>
  <c r="AC109" i="57"/>
  <c r="P50" i="50"/>
  <c r="N111" i="53"/>
  <c r="O51" i="50"/>
  <c r="AA109" i="53"/>
  <c r="C49" i="50"/>
  <c r="AJ49" i="50"/>
  <c r="S50" i="50"/>
  <c r="Z50" i="50" s="1"/>
  <c r="W49" i="50"/>
  <c r="X48" i="50"/>
  <c r="V49" i="50"/>
  <c r="AF94" i="69"/>
  <c r="P111" i="57"/>
  <c r="AD48" i="50"/>
  <c r="AL48" i="50" s="1"/>
  <c r="AM47" i="50"/>
  <c r="O96" i="69"/>
  <c r="AO95" i="69"/>
  <c r="AE110" i="53"/>
  <c r="AK41" i="32"/>
  <c r="R110" i="53"/>
  <c r="X110" i="53" s="1"/>
  <c r="AB110" i="53" s="1"/>
  <c r="AY94" i="69"/>
  <c r="L111" i="57"/>
  <c r="AT110" i="53"/>
  <c r="AG110" i="53"/>
  <c r="N111" i="57"/>
  <c r="Q110" i="53"/>
  <c r="AD110" i="53"/>
  <c r="AK110" i="52" a="1"/>
  <c r="AK110" i="52" s="1"/>
  <c r="B112" i="53" s="1"/>
  <c r="D111" i="53"/>
  <c r="G111" i="53"/>
  <c r="H111" i="53"/>
  <c r="L111" i="53"/>
  <c r="P111" i="53"/>
  <c r="K111" i="53"/>
  <c r="AH111" i="53" s="1"/>
  <c r="E111" i="53"/>
  <c r="J111" i="53"/>
  <c r="I111" i="53"/>
  <c r="C111" i="53"/>
  <c r="F111" i="53"/>
  <c r="A51" i="50"/>
  <c r="M51" i="50"/>
  <c r="K51" i="50"/>
  <c r="H51" i="50"/>
  <c r="L51" i="50"/>
  <c r="B51" i="50"/>
  <c r="G51" i="50"/>
  <c r="J51" i="50"/>
  <c r="I51" i="50"/>
  <c r="I111" i="57"/>
  <c r="H111" i="57"/>
  <c r="G111" i="57"/>
  <c r="E111" i="57"/>
  <c r="D111" i="57"/>
  <c r="C111" i="57"/>
  <c r="F111" i="57"/>
  <c r="J111" i="57"/>
  <c r="AN110" i="55" a="1"/>
  <c r="AN110" i="55" s="1"/>
  <c r="B112" i="57" s="1"/>
  <c r="O112" i="57" s="1"/>
  <c r="AS96" i="67" a="1"/>
  <c r="AS96" i="67" s="1"/>
  <c r="B97" i="69"/>
  <c r="AM97" i="69" s="1"/>
  <c r="AN97" i="69" s="1"/>
  <c r="D95" i="69"/>
  <c r="E95" i="69" s="1"/>
  <c r="R94" i="69"/>
  <c r="S94" i="69" s="1"/>
  <c r="AE94" i="69"/>
  <c r="C96" i="69"/>
  <c r="AL41" i="11" a="1"/>
  <c r="AL41" i="11" s="1"/>
  <c r="E42" i="32" s="1"/>
  <c r="T42" i="32" s="1"/>
  <c r="AP51" i="59" a="1"/>
  <c r="AP51" i="59" s="1"/>
  <c r="E52" i="50" s="1"/>
  <c r="T52" i="50" s="1"/>
  <c r="AF108" i="57" l="1"/>
  <c r="AF110" i="53"/>
  <c r="P96" i="69"/>
  <c r="AP96" i="69"/>
  <c r="AK111" i="57"/>
  <c r="AJ107" i="57"/>
  <c r="O42" i="32"/>
  <c r="AK52" i="50"/>
  <c r="BC97" i="69"/>
  <c r="BE97" i="69"/>
  <c r="BF97" i="69"/>
  <c r="BD97" i="69"/>
  <c r="U41" i="32"/>
  <c r="AH112" i="57"/>
  <c r="AI112" i="57" s="1"/>
  <c r="K112" i="57"/>
  <c r="AO51" i="50"/>
  <c r="AQ52" i="50"/>
  <c r="N52" i="50"/>
  <c r="AW95" i="69"/>
  <c r="AX95" i="69"/>
  <c r="L97" i="69"/>
  <c r="M97" i="69" s="1"/>
  <c r="AZ97" i="69"/>
  <c r="Y94" i="69"/>
  <c r="AG94" i="69" s="1"/>
  <c r="AG93" i="69"/>
  <c r="F95" i="69"/>
  <c r="G95" i="69" s="1"/>
  <c r="H95" i="69" s="1"/>
  <c r="I95" i="69" s="1"/>
  <c r="J95" i="69" s="1"/>
  <c r="K95" i="69" s="1"/>
  <c r="U95" i="69"/>
  <c r="AH95" i="69"/>
  <c r="F42" i="32"/>
  <c r="AU42" i="32"/>
  <c r="AY52" i="50"/>
  <c r="F52" i="50"/>
  <c r="U52" i="50" s="1"/>
  <c r="AG111" i="57"/>
  <c r="X109" i="57"/>
  <c r="AB109" i="57" s="1"/>
  <c r="AA108" i="57"/>
  <c r="AC112" i="53"/>
  <c r="O112" i="53"/>
  <c r="Q96" i="69"/>
  <c r="Q110" i="57"/>
  <c r="AQ110" i="57"/>
  <c r="AC110" i="57"/>
  <c r="AE110" i="57"/>
  <c r="AD110" i="57"/>
  <c r="R110" i="57"/>
  <c r="P51" i="50"/>
  <c r="N112" i="53"/>
  <c r="O52" i="50"/>
  <c r="AA110" i="53"/>
  <c r="AG47" i="50"/>
  <c r="AJ50" i="50"/>
  <c r="C50" i="50"/>
  <c r="S51" i="50"/>
  <c r="Z51" i="50" s="1"/>
  <c r="W50" i="50"/>
  <c r="X49" i="50"/>
  <c r="V50" i="50"/>
  <c r="AF95" i="69"/>
  <c r="P112" i="57"/>
  <c r="AD49" i="50"/>
  <c r="AL49" i="50" s="1"/>
  <c r="AM48" i="50"/>
  <c r="AO96" i="69"/>
  <c r="O97" i="69"/>
  <c r="AE111" i="53"/>
  <c r="AK42" i="32"/>
  <c r="R111" i="53"/>
  <c r="X111" i="53" s="1"/>
  <c r="AB111" i="53" s="1"/>
  <c r="AY95" i="69"/>
  <c r="L112" i="57"/>
  <c r="AG111" i="53"/>
  <c r="Q111" i="53"/>
  <c r="AT111" i="53"/>
  <c r="N112" i="57"/>
  <c r="E112" i="53"/>
  <c r="AD111" i="53"/>
  <c r="H112" i="53"/>
  <c r="G112" i="53"/>
  <c r="J112" i="53"/>
  <c r="P112" i="53"/>
  <c r="L112" i="53"/>
  <c r="I112" i="53"/>
  <c r="C112" i="53"/>
  <c r="AK111" i="52" a="1"/>
  <c r="AK111" i="52" s="1"/>
  <c r="B113" i="53" s="1"/>
  <c r="F112" i="53"/>
  <c r="D112" i="53"/>
  <c r="K112" i="53"/>
  <c r="AH112" i="53" s="1"/>
  <c r="H52" i="50"/>
  <c r="M52" i="50"/>
  <c r="L52" i="50"/>
  <c r="B52" i="50"/>
  <c r="J52" i="50"/>
  <c r="I52" i="50"/>
  <c r="A52" i="50"/>
  <c r="G52" i="50"/>
  <c r="K52" i="50"/>
  <c r="I112" i="57"/>
  <c r="F112" i="57"/>
  <c r="E112" i="57"/>
  <c r="C112" i="57"/>
  <c r="H112" i="57"/>
  <c r="D112" i="57"/>
  <c r="J112" i="57"/>
  <c r="G112" i="57"/>
  <c r="AN111" i="55" a="1"/>
  <c r="AN111" i="55" s="1"/>
  <c r="B113" i="57" s="1"/>
  <c r="O113" i="57" s="1"/>
  <c r="D96" i="69"/>
  <c r="E96" i="69" s="1"/>
  <c r="AE95" i="69"/>
  <c r="R95" i="69"/>
  <c r="S95" i="69" s="1"/>
  <c r="C97" i="69"/>
  <c r="AS97" i="67" a="1"/>
  <c r="AS97" i="67" s="1"/>
  <c r="B98" i="69"/>
  <c r="AM98" i="69" s="1"/>
  <c r="AN98" i="69" s="1"/>
  <c r="AL42" i="11" a="1"/>
  <c r="AL42" i="11" s="1"/>
  <c r="E43" i="32" s="1"/>
  <c r="T43" i="32" s="1"/>
  <c r="AP52" i="59" a="1"/>
  <c r="AP52" i="59" s="1"/>
  <c r="E53" i="50" s="1"/>
  <c r="T53" i="50" s="1"/>
  <c r="AF109" i="57" l="1"/>
  <c r="AF111" i="53"/>
  <c r="AH47" i="50"/>
  <c r="AI47" i="50" s="1"/>
  <c r="AP47" i="50" s="1"/>
  <c r="P97" i="69"/>
  <c r="AP97" i="69"/>
  <c r="AK112" i="57"/>
  <c r="AJ108" i="57"/>
  <c r="O43" i="32"/>
  <c r="AK53" i="50"/>
  <c r="BC98" i="69"/>
  <c r="BE98" i="69"/>
  <c r="BF98" i="69"/>
  <c r="BD98" i="69"/>
  <c r="U42" i="32"/>
  <c r="AH113" i="57"/>
  <c r="AI113" i="57" s="1"/>
  <c r="K113" i="57"/>
  <c r="AO52" i="50"/>
  <c r="AQ53" i="50"/>
  <c r="N53" i="50"/>
  <c r="AW96" i="69"/>
  <c r="AX96" i="69"/>
  <c r="L98" i="69"/>
  <c r="M98" i="69" s="1"/>
  <c r="AZ98" i="69"/>
  <c r="Y95" i="69"/>
  <c r="AB95" i="69" s="1"/>
  <c r="AB94" i="69"/>
  <c r="AC94" i="69" s="1"/>
  <c r="AD94" i="69" s="1"/>
  <c r="U96" i="69"/>
  <c r="AH96" i="69"/>
  <c r="F96" i="69"/>
  <c r="G96" i="69" s="1"/>
  <c r="H96" i="69" s="1"/>
  <c r="I96" i="69" s="1"/>
  <c r="J96" i="69" s="1"/>
  <c r="K96" i="69" s="1"/>
  <c r="F43" i="32"/>
  <c r="AU43" i="32"/>
  <c r="AY53" i="50"/>
  <c r="F53" i="50"/>
  <c r="U53" i="50" s="1"/>
  <c r="X110" i="57"/>
  <c r="AB110" i="57" s="1"/>
  <c r="AG112" i="57"/>
  <c r="AA109" i="57"/>
  <c r="Q111" i="57"/>
  <c r="AC113" i="53"/>
  <c r="O113" i="53"/>
  <c r="Q97" i="69"/>
  <c r="R111" i="57"/>
  <c r="AD111" i="57"/>
  <c r="AC111" i="57"/>
  <c r="AE111" i="57"/>
  <c r="AQ111" i="57"/>
  <c r="P52" i="50"/>
  <c r="N113" i="53"/>
  <c r="O53" i="50"/>
  <c r="AA111" i="53"/>
  <c r="AG48" i="50"/>
  <c r="C51" i="50"/>
  <c r="AJ51" i="50"/>
  <c r="S52" i="50"/>
  <c r="Z52" i="50" s="1"/>
  <c r="W51" i="50"/>
  <c r="X50" i="50"/>
  <c r="AD50" i="50" s="1"/>
  <c r="AL50" i="50" s="1"/>
  <c r="V51" i="50"/>
  <c r="AF96" i="69"/>
  <c r="P113" i="57"/>
  <c r="AM49" i="50"/>
  <c r="AO97" i="69"/>
  <c r="O98" i="69"/>
  <c r="AE112" i="53"/>
  <c r="AK43" i="32"/>
  <c r="R112" i="53"/>
  <c r="X112" i="53" s="1"/>
  <c r="AB112" i="53" s="1"/>
  <c r="AY96" i="69"/>
  <c r="L113" i="57"/>
  <c r="AT112" i="53"/>
  <c r="AG112" i="53"/>
  <c r="N113" i="57"/>
  <c r="E113" i="53"/>
  <c r="AD112" i="53"/>
  <c r="Q112" i="53"/>
  <c r="H113" i="53"/>
  <c r="F113" i="53"/>
  <c r="D113" i="53"/>
  <c r="P113" i="53"/>
  <c r="AK112" i="52" a="1"/>
  <c r="AK112" i="52" s="1"/>
  <c r="B114" i="53" s="1"/>
  <c r="I113" i="53"/>
  <c r="K113" i="53"/>
  <c r="AH113" i="53" s="1"/>
  <c r="L113" i="53"/>
  <c r="C113" i="53"/>
  <c r="J113" i="53"/>
  <c r="G113" i="53"/>
  <c r="B53" i="50"/>
  <c r="I53" i="50"/>
  <c r="H53" i="50"/>
  <c r="A53" i="50"/>
  <c r="G53" i="50"/>
  <c r="K53" i="50"/>
  <c r="J53" i="50"/>
  <c r="L53" i="50"/>
  <c r="M53" i="50"/>
  <c r="D113" i="57"/>
  <c r="C113" i="57"/>
  <c r="I113" i="57"/>
  <c r="E113" i="57"/>
  <c r="H113" i="57"/>
  <c r="G113" i="57"/>
  <c r="F113" i="57"/>
  <c r="J113" i="57"/>
  <c r="AN112" i="55" a="1"/>
  <c r="AN112" i="55" s="1"/>
  <c r="B114" i="57" s="1"/>
  <c r="O114" i="57" s="1"/>
  <c r="AS98" i="67" a="1"/>
  <c r="AS98" i="67" s="1"/>
  <c r="B99" i="69"/>
  <c r="AM99" i="69" s="1"/>
  <c r="AN99" i="69" s="1"/>
  <c r="AE96" i="69"/>
  <c r="R96" i="69"/>
  <c r="S96" i="69" s="1"/>
  <c r="C98" i="69"/>
  <c r="D97" i="69"/>
  <c r="E97" i="69" s="1"/>
  <c r="AL43" i="11" a="1"/>
  <c r="AL43" i="11" s="1"/>
  <c r="E44" i="32" s="1"/>
  <c r="T44" i="32" s="1"/>
  <c r="AP53" i="59" a="1"/>
  <c r="AP53" i="59" s="1"/>
  <c r="E54" i="50" s="1"/>
  <c r="T54" i="50" s="1"/>
  <c r="AF110" i="57" l="1"/>
  <c r="AF112" i="53"/>
  <c r="AH48" i="50"/>
  <c r="AI48" i="50" s="1"/>
  <c r="AP48" i="50" s="1"/>
  <c r="P98" i="69"/>
  <c r="AP98" i="69"/>
  <c r="AK113" i="57"/>
  <c r="AJ109" i="57"/>
  <c r="O44" i="32"/>
  <c r="AK54" i="50"/>
  <c r="BC99" i="69"/>
  <c r="BD99" i="69"/>
  <c r="BE99" i="69"/>
  <c r="BF99" i="69"/>
  <c r="U43" i="32"/>
  <c r="AH114" i="57"/>
  <c r="AI114" i="57" s="1"/>
  <c r="K114" i="57"/>
  <c r="AQ54" i="50"/>
  <c r="N54" i="50"/>
  <c r="AO53" i="50"/>
  <c r="Y96" i="69"/>
  <c r="AG96" i="69" s="1"/>
  <c r="AX97" i="69"/>
  <c r="AW97" i="69"/>
  <c r="L99" i="69"/>
  <c r="M99" i="69" s="1"/>
  <c r="AZ99" i="69"/>
  <c r="AG95" i="69"/>
  <c r="F97" i="69"/>
  <c r="G97" i="69" s="1"/>
  <c r="H97" i="69" s="1"/>
  <c r="I97" i="69" s="1"/>
  <c r="J97" i="69" s="1"/>
  <c r="K97" i="69" s="1"/>
  <c r="U97" i="69"/>
  <c r="AH97" i="69"/>
  <c r="F44" i="32"/>
  <c r="AU44" i="32"/>
  <c r="F54" i="50"/>
  <c r="U54" i="50" s="1"/>
  <c r="AY54" i="50"/>
  <c r="AG113" i="57"/>
  <c r="X111" i="57"/>
  <c r="AB111" i="57" s="1"/>
  <c r="AC114" i="53"/>
  <c r="O114" i="53"/>
  <c r="Q98" i="69"/>
  <c r="AA110" i="57"/>
  <c r="AQ112" i="57"/>
  <c r="AE112" i="57"/>
  <c r="AD112" i="57"/>
  <c r="R112" i="57"/>
  <c r="Q112" i="57"/>
  <c r="AC112" i="57"/>
  <c r="P53" i="50"/>
  <c r="N114" i="53"/>
  <c r="O54" i="50"/>
  <c r="AA112" i="53"/>
  <c r="AG50" i="50"/>
  <c r="AG49" i="50"/>
  <c r="AJ52" i="50"/>
  <c r="C52" i="50"/>
  <c r="S53" i="50"/>
  <c r="Z53" i="50" s="1"/>
  <c r="W52" i="50"/>
  <c r="X51" i="50"/>
  <c r="AD51" i="50" s="1"/>
  <c r="AL51" i="50" s="1"/>
  <c r="V52" i="50"/>
  <c r="AF97" i="69"/>
  <c r="P114" i="57"/>
  <c r="AM50" i="50"/>
  <c r="AC95" i="69"/>
  <c r="AD95" i="69" s="1"/>
  <c r="O99" i="69"/>
  <c r="AO98" i="69"/>
  <c r="AE113" i="53"/>
  <c r="AK44" i="32"/>
  <c r="R113" i="53"/>
  <c r="X113" i="53" s="1"/>
  <c r="AB113" i="53" s="1"/>
  <c r="AY97" i="69"/>
  <c r="L114" i="57"/>
  <c r="AT113" i="53"/>
  <c r="AG113" i="53"/>
  <c r="N114" i="57"/>
  <c r="G114" i="53"/>
  <c r="AD113" i="53"/>
  <c r="Q113" i="53"/>
  <c r="F114" i="53"/>
  <c r="L114" i="53"/>
  <c r="H114" i="53"/>
  <c r="E114" i="53"/>
  <c r="I114" i="53"/>
  <c r="P114" i="53"/>
  <c r="AK113" i="52" a="1"/>
  <c r="AK113" i="52" s="1"/>
  <c r="B115" i="53" s="1"/>
  <c r="C114" i="53"/>
  <c r="J114" i="53"/>
  <c r="K114" i="53"/>
  <c r="AH114" i="53" s="1"/>
  <c r="D114" i="53"/>
  <c r="G54" i="50"/>
  <c r="H54" i="50"/>
  <c r="L54" i="50"/>
  <c r="J54" i="50"/>
  <c r="K54" i="50"/>
  <c r="M54" i="50"/>
  <c r="A54" i="50"/>
  <c r="I54" i="50"/>
  <c r="B54" i="50"/>
  <c r="E114" i="57"/>
  <c r="C114" i="57"/>
  <c r="G114" i="57"/>
  <c r="I114" i="57"/>
  <c r="F114" i="57"/>
  <c r="J114" i="57"/>
  <c r="D114" i="57"/>
  <c r="H114" i="57"/>
  <c r="AN113" i="55" a="1"/>
  <c r="AN113" i="55" s="1"/>
  <c r="B115" i="57" s="1"/>
  <c r="O115" i="57" s="1"/>
  <c r="C99" i="69"/>
  <c r="D98" i="69"/>
  <c r="E98" i="69" s="1"/>
  <c r="R97" i="69"/>
  <c r="S97" i="69" s="1"/>
  <c r="AE97" i="69"/>
  <c r="AS99" i="67" a="1"/>
  <c r="AS99" i="67" s="1"/>
  <c r="B100" i="69"/>
  <c r="AM100" i="69" s="1"/>
  <c r="AN100" i="69" s="1"/>
  <c r="AL44" i="11" a="1"/>
  <c r="AL44" i="11" s="1"/>
  <c r="E45" i="32" s="1"/>
  <c r="T45" i="32" s="1"/>
  <c r="AP54" i="59" a="1"/>
  <c r="AP54" i="59" s="1"/>
  <c r="E55" i="50" s="1"/>
  <c r="T55" i="50" s="1"/>
  <c r="AF111" i="57" l="1"/>
  <c r="AF113" i="53"/>
  <c r="AH49" i="50"/>
  <c r="AI49" i="50" s="1"/>
  <c r="AP49" i="50" s="1"/>
  <c r="AH50" i="50"/>
  <c r="AI50" i="50" s="1"/>
  <c r="AP50" i="50" s="1"/>
  <c r="P99" i="69"/>
  <c r="AP99" i="69"/>
  <c r="AK114" i="57"/>
  <c r="AJ110" i="57"/>
  <c r="O45" i="32"/>
  <c r="AK55" i="50"/>
  <c r="BC100" i="69"/>
  <c r="BD100" i="69"/>
  <c r="BE100" i="69"/>
  <c r="BF100" i="69"/>
  <c r="U44" i="32"/>
  <c r="K115" i="57"/>
  <c r="AH115" i="57"/>
  <c r="AI115" i="57" s="1"/>
  <c r="N55" i="50"/>
  <c r="AQ55" i="50"/>
  <c r="AO54" i="50"/>
  <c r="AB96" i="69"/>
  <c r="AC96" i="69" s="1"/>
  <c r="AD96" i="69" s="1"/>
  <c r="AX98" i="69"/>
  <c r="AW98" i="69"/>
  <c r="L100" i="69"/>
  <c r="M100" i="69" s="1"/>
  <c r="AZ100" i="69"/>
  <c r="F98" i="69"/>
  <c r="G98" i="69" s="1"/>
  <c r="H98" i="69" s="1"/>
  <c r="I98" i="69" s="1"/>
  <c r="J98" i="69" s="1"/>
  <c r="K98" i="69" s="1"/>
  <c r="U98" i="69"/>
  <c r="AH98" i="69"/>
  <c r="F45" i="32"/>
  <c r="AU45" i="32"/>
  <c r="AY55" i="50"/>
  <c r="F55" i="50"/>
  <c r="U55" i="50" s="1"/>
  <c r="AA111" i="57"/>
  <c r="Y97" i="69"/>
  <c r="AB97" i="69" s="1"/>
  <c r="AC97" i="69" s="1"/>
  <c r="AD97" i="69" s="1"/>
  <c r="AG114" i="57"/>
  <c r="X112" i="57"/>
  <c r="AB112" i="57" s="1"/>
  <c r="AC115" i="53"/>
  <c r="O115" i="53"/>
  <c r="Q99" i="69"/>
  <c r="R113" i="57"/>
  <c r="AD113" i="57"/>
  <c r="AE113" i="57"/>
  <c r="Q113" i="57"/>
  <c r="AC113" i="57"/>
  <c r="AQ113" i="57"/>
  <c r="P54" i="50"/>
  <c r="N115" i="53"/>
  <c r="O55" i="50"/>
  <c r="AA113" i="53"/>
  <c r="AG51" i="50"/>
  <c r="AJ53" i="50"/>
  <c r="C53" i="50"/>
  <c r="S54" i="50"/>
  <c r="W53" i="50"/>
  <c r="X52" i="50"/>
  <c r="V53" i="50"/>
  <c r="AF98" i="69"/>
  <c r="P115" i="57"/>
  <c r="AD52" i="50"/>
  <c r="AL52" i="50" s="1"/>
  <c r="AM51" i="50"/>
  <c r="O100" i="69"/>
  <c r="AO99" i="69"/>
  <c r="AE114" i="53"/>
  <c r="AK45" i="32"/>
  <c r="AM54" i="50"/>
  <c r="R114" i="53"/>
  <c r="X114" i="53" s="1"/>
  <c r="AB114" i="53" s="1"/>
  <c r="AY98" i="69"/>
  <c r="L115" i="57"/>
  <c r="AG114" i="53"/>
  <c r="AT114" i="53"/>
  <c r="N115" i="57"/>
  <c r="AD114" i="53"/>
  <c r="Q114" i="53"/>
  <c r="G115" i="53"/>
  <c r="H115" i="53"/>
  <c r="E115" i="53"/>
  <c r="I115" i="53"/>
  <c r="K115" i="53"/>
  <c r="AH115" i="53" s="1"/>
  <c r="L115" i="53"/>
  <c r="F115" i="53"/>
  <c r="P115" i="53"/>
  <c r="AK114" i="52" a="1"/>
  <c r="AK114" i="52" s="1"/>
  <c r="B116" i="53" s="1"/>
  <c r="J115" i="53"/>
  <c r="C115" i="53"/>
  <c r="D115" i="53"/>
  <c r="J55" i="50"/>
  <c r="M55" i="50"/>
  <c r="I55" i="50"/>
  <c r="G55" i="50"/>
  <c r="K55" i="50"/>
  <c r="B55" i="50"/>
  <c r="H55" i="50"/>
  <c r="L55" i="50"/>
  <c r="A55" i="50"/>
  <c r="E115" i="57"/>
  <c r="D115" i="57"/>
  <c r="C115" i="57"/>
  <c r="G115" i="57"/>
  <c r="I115" i="57"/>
  <c r="H115" i="57"/>
  <c r="F115" i="57"/>
  <c r="J115" i="57"/>
  <c r="AN114" i="55" a="1"/>
  <c r="AN114" i="55" s="1"/>
  <c r="B116" i="57" s="1"/>
  <c r="O116" i="57" s="1"/>
  <c r="AS100" i="67" a="1"/>
  <c r="AS100" i="67" s="1"/>
  <c r="B101" i="69"/>
  <c r="AM101" i="69" s="1"/>
  <c r="AN101" i="69" s="1"/>
  <c r="D99" i="69"/>
  <c r="E99" i="69" s="1"/>
  <c r="C100" i="69"/>
  <c r="R98" i="69"/>
  <c r="S98" i="69" s="1"/>
  <c r="AE98" i="69"/>
  <c r="AL45" i="11" a="1"/>
  <c r="AL45" i="11" s="1"/>
  <c r="E46" i="32" s="1"/>
  <c r="T46" i="32" s="1"/>
  <c r="AP55" i="59" a="1"/>
  <c r="AP55" i="59" s="1"/>
  <c r="E56" i="50" s="1"/>
  <c r="T56" i="50" s="1"/>
  <c r="AF114" i="53" l="1"/>
  <c r="AF112" i="57"/>
  <c r="AH51" i="50"/>
  <c r="AI51" i="50" s="1"/>
  <c r="AP51" i="50" s="1"/>
  <c r="P100" i="69"/>
  <c r="AP100" i="69"/>
  <c r="AK115" i="57"/>
  <c r="AJ111" i="57"/>
  <c r="O46" i="32"/>
  <c r="AK56" i="50"/>
  <c r="BC101" i="69"/>
  <c r="BF101" i="69"/>
  <c r="BE101" i="69"/>
  <c r="BD101" i="69"/>
  <c r="U45" i="32"/>
  <c r="AH116" i="57"/>
  <c r="AI116" i="57" s="1"/>
  <c r="K116" i="57"/>
  <c r="AQ56" i="50"/>
  <c r="N56" i="50"/>
  <c r="AO55" i="50"/>
  <c r="AX99" i="69"/>
  <c r="AW99" i="69"/>
  <c r="L101" i="69"/>
  <c r="M101" i="69" s="1"/>
  <c r="AZ101" i="69"/>
  <c r="F99" i="69"/>
  <c r="G99" i="69" s="1"/>
  <c r="H99" i="69" s="1"/>
  <c r="I99" i="69" s="1"/>
  <c r="J99" i="69" s="1"/>
  <c r="K99" i="69" s="1"/>
  <c r="U99" i="69"/>
  <c r="AH99" i="69"/>
  <c r="F46" i="32"/>
  <c r="AU46" i="32"/>
  <c r="AY56" i="50"/>
  <c r="F56" i="50"/>
  <c r="U56" i="50" s="1"/>
  <c r="AG97" i="69"/>
  <c r="Y98" i="69"/>
  <c r="AB98" i="69" s="1"/>
  <c r="AC98" i="69" s="1"/>
  <c r="AD98" i="69" s="1"/>
  <c r="AD54" i="50"/>
  <c r="X113" i="57"/>
  <c r="AG115" i="57"/>
  <c r="AC116" i="53"/>
  <c r="O116" i="53"/>
  <c r="Q100" i="69"/>
  <c r="AA112" i="57"/>
  <c r="AQ114" i="57"/>
  <c r="R114" i="57"/>
  <c r="AE114" i="57"/>
  <c r="AC114" i="57"/>
  <c r="Q114" i="57"/>
  <c r="AD114" i="57"/>
  <c r="P55" i="50"/>
  <c r="N116" i="53"/>
  <c r="O56" i="50"/>
  <c r="AA114" i="53"/>
  <c r="C54" i="50"/>
  <c r="Z54" i="50"/>
  <c r="S55" i="50"/>
  <c r="Z55" i="50" s="1"/>
  <c r="AJ54" i="50"/>
  <c r="W54" i="50"/>
  <c r="X53" i="50"/>
  <c r="AD53" i="50" s="1"/>
  <c r="AL53" i="50" s="1"/>
  <c r="V54" i="50"/>
  <c r="AF99" i="69"/>
  <c r="P116" i="57"/>
  <c r="AM52" i="50"/>
  <c r="AO100" i="69"/>
  <c r="O101" i="69"/>
  <c r="AE115" i="53"/>
  <c r="AK46" i="32"/>
  <c r="AM55" i="50"/>
  <c r="R115" i="53"/>
  <c r="X115" i="53" s="1"/>
  <c r="AB115" i="53" s="1"/>
  <c r="AY99" i="69"/>
  <c r="L116" i="57"/>
  <c r="AG115" i="53"/>
  <c r="AT115" i="53"/>
  <c r="N116" i="57"/>
  <c r="G116" i="53"/>
  <c r="AD115" i="53"/>
  <c r="Q115" i="53"/>
  <c r="P116" i="53"/>
  <c r="F116" i="53"/>
  <c r="C116" i="53"/>
  <c r="K116" i="53"/>
  <c r="AH116" i="53" s="1"/>
  <c r="AK115" i="52" a="1"/>
  <c r="AK115" i="52" s="1"/>
  <c r="B117" i="53" s="1"/>
  <c r="H116" i="53"/>
  <c r="E116" i="53"/>
  <c r="L116" i="53"/>
  <c r="J116" i="53"/>
  <c r="I116" i="53"/>
  <c r="D116" i="53"/>
  <c r="L56" i="50"/>
  <c r="B56" i="50"/>
  <c r="J56" i="50"/>
  <c r="M56" i="50"/>
  <c r="I56" i="50"/>
  <c r="H56" i="50"/>
  <c r="G56" i="50"/>
  <c r="K56" i="50"/>
  <c r="A56" i="50"/>
  <c r="G116" i="57"/>
  <c r="E116" i="57"/>
  <c r="C116" i="57"/>
  <c r="I116" i="57"/>
  <c r="J116" i="57"/>
  <c r="F116" i="57"/>
  <c r="D116" i="57"/>
  <c r="H116" i="57"/>
  <c r="AN115" i="55" a="1"/>
  <c r="AN115" i="55" s="1"/>
  <c r="B117" i="57" s="1"/>
  <c r="O117" i="57" s="1"/>
  <c r="R99" i="69"/>
  <c r="S99" i="69" s="1"/>
  <c r="AE99" i="69"/>
  <c r="C101" i="69"/>
  <c r="D100" i="69"/>
  <c r="E100" i="69" s="1"/>
  <c r="AS101" i="67" a="1"/>
  <c r="AS101" i="67" s="1"/>
  <c r="B102" i="69"/>
  <c r="AM102" i="69" s="1"/>
  <c r="AN102" i="69" s="1"/>
  <c r="AL46" i="11" a="1"/>
  <c r="AL46" i="11" s="1"/>
  <c r="E47" i="32" s="1"/>
  <c r="T47" i="32" s="1"/>
  <c r="AP56" i="59" a="1"/>
  <c r="AP56" i="59" s="1"/>
  <c r="E57" i="50" s="1"/>
  <c r="T57" i="50" s="1"/>
  <c r="AA113" i="57" l="1"/>
  <c r="AB113" i="57"/>
  <c r="AF113" i="57" s="1"/>
  <c r="AF115" i="53"/>
  <c r="P101" i="69"/>
  <c r="AP101" i="69"/>
  <c r="AK116" i="57"/>
  <c r="AJ112" i="57"/>
  <c r="AL54" i="50"/>
  <c r="O47" i="32"/>
  <c r="AK57" i="50"/>
  <c r="AG54" i="50"/>
  <c r="BC102" i="69"/>
  <c r="BF102" i="69"/>
  <c r="BD102" i="69"/>
  <c r="BE102" i="69"/>
  <c r="U46" i="32"/>
  <c r="AH117" i="57"/>
  <c r="AI117" i="57" s="1"/>
  <c r="K117" i="57"/>
  <c r="AQ57" i="50"/>
  <c r="N57" i="50"/>
  <c r="AO56" i="50"/>
  <c r="AW100" i="69"/>
  <c r="AX100" i="69"/>
  <c r="L102" i="69"/>
  <c r="M102" i="69" s="1"/>
  <c r="AZ102" i="69"/>
  <c r="Y99" i="69"/>
  <c r="AB99" i="69" s="1"/>
  <c r="F100" i="69"/>
  <c r="G100" i="69" s="1"/>
  <c r="H100" i="69" s="1"/>
  <c r="I100" i="69" s="1"/>
  <c r="J100" i="69" s="1"/>
  <c r="K100" i="69" s="1"/>
  <c r="U100" i="69"/>
  <c r="AH100" i="69"/>
  <c r="F47" i="32"/>
  <c r="AU47" i="32"/>
  <c r="AY57" i="50"/>
  <c r="F57" i="50"/>
  <c r="U57" i="50" s="1"/>
  <c r="AG98" i="69"/>
  <c r="AD55" i="50"/>
  <c r="X114" i="57"/>
  <c r="AB114" i="57" s="1"/>
  <c r="AG116" i="57"/>
  <c r="AC117" i="53"/>
  <c r="O117" i="53"/>
  <c r="Q101" i="69"/>
  <c r="AE115" i="57"/>
  <c r="AQ115" i="57"/>
  <c r="AD115" i="57"/>
  <c r="Q115" i="57"/>
  <c r="R115" i="57"/>
  <c r="AC115" i="57"/>
  <c r="P56" i="50"/>
  <c r="N117" i="53"/>
  <c r="O57" i="50"/>
  <c r="AA115" i="53"/>
  <c r="AG52" i="50"/>
  <c r="AG53" i="50"/>
  <c r="AJ55" i="50"/>
  <c r="C55" i="50"/>
  <c r="S56" i="50"/>
  <c r="Z56" i="50" s="1"/>
  <c r="W55" i="50"/>
  <c r="X54" i="50"/>
  <c r="V55" i="50"/>
  <c r="AF100" i="69"/>
  <c r="P117" i="57"/>
  <c r="AM53" i="50"/>
  <c r="AO101" i="69"/>
  <c r="O102" i="69"/>
  <c r="AE116" i="53"/>
  <c r="AK47" i="32"/>
  <c r="AM56" i="50"/>
  <c r="R116" i="53"/>
  <c r="X116" i="53" s="1"/>
  <c r="AB116" i="53" s="1"/>
  <c r="AY100" i="69"/>
  <c r="L117" i="57"/>
  <c r="AT116" i="53"/>
  <c r="AG116" i="53"/>
  <c r="N117" i="57"/>
  <c r="L117" i="53"/>
  <c r="AD116" i="53"/>
  <c r="Q116" i="53"/>
  <c r="AK116" i="52" a="1"/>
  <c r="AK116" i="52" s="1"/>
  <c r="B118" i="53" s="1"/>
  <c r="K117" i="53"/>
  <c r="AH117" i="53" s="1"/>
  <c r="P117" i="53"/>
  <c r="D117" i="53"/>
  <c r="G117" i="53"/>
  <c r="E117" i="53"/>
  <c r="J117" i="53"/>
  <c r="H117" i="53"/>
  <c r="C117" i="53"/>
  <c r="I117" i="53"/>
  <c r="F117" i="53"/>
  <c r="M57" i="50"/>
  <c r="J57" i="50"/>
  <c r="G57" i="50"/>
  <c r="L57" i="50"/>
  <c r="H57" i="50"/>
  <c r="I57" i="50"/>
  <c r="K57" i="50"/>
  <c r="B57" i="50"/>
  <c r="A57" i="50"/>
  <c r="G117" i="57"/>
  <c r="E117" i="57"/>
  <c r="D117" i="57"/>
  <c r="C117" i="57"/>
  <c r="H117" i="57"/>
  <c r="I117" i="57"/>
  <c r="F117" i="57"/>
  <c r="J117" i="57"/>
  <c r="AN116" i="55" a="1"/>
  <c r="AN116" i="55" s="1"/>
  <c r="B118" i="57" s="1"/>
  <c r="O118" i="57" s="1"/>
  <c r="C102" i="69"/>
  <c r="AE100" i="69"/>
  <c r="R100" i="69"/>
  <c r="S100" i="69" s="1"/>
  <c r="AS102" i="67" a="1"/>
  <c r="AS102" i="67" s="1"/>
  <c r="B103" i="69"/>
  <c r="AM103" i="69" s="1"/>
  <c r="AN103" i="69" s="1"/>
  <c r="D101" i="69"/>
  <c r="E101" i="69" s="1"/>
  <c r="AL47" i="11" a="1"/>
  <c r="AL47" i="11" s="1"/>
  <c r="E48" i="32" s="1"/>
  <c r="T48" i="32" s="1"/>
  <c r="AP57" i="59" a="1"/>
  <c r="AP57" i="59" s="1"/>
  <c r="E58" i="50" s="1"/>
  <c r="T58" i="50" s="1"/>
  <c r="AF114" i="57" l="1"/>
  <c r="AF116" i="53"/>
  <c r="AH54" i="50"/>
  <c r="AI54" i="50" s="1"/>
  <c r="AP54" i="50" s="1"/>
  <c r="AH53" i="50"/>
  <c r="AI53" i="50" s="1"/>
  <c r="AP53" i="50" s="1"/>
  <c r="AH52" i="50"/>
  <c r="AI52" i="50" s="1"/>
  <c r="AP52" i="50" s="1"/>
  <c r="P102" i="69"/>
  <c r="AP102" i="69"/>
  <c r="AK117" i="57"/>
  <c r="AJ113" i="57"/>
  <c r="AL55" i="50"/>
  <c r="O48" i="32"/>
  <c r="AK58" i="50"/>
  <c r="AG55" i="50"/>
  <c r="BC103" i="69"/>
  <c r="BF103" i="69"/>
  <c r="BD103" i="69"/>
  <c r="BE103" i="69"/>
  <c r="U47" i="32"/>
  <c r="AH118" i="57"/>
  <c r="AI118" i="57" s="1"/>
  <c r="K118" i="57"/>
  <c r="AQ58" i="50"/>
  <c r="N58" i="50"/>
  <c r="AO57" i="50"/>
  <c r="AX101" i="69"/>
  <c r="AW101" i="69"/>
  <c r="L103" i="69"/>
  <c r="M103" i="69" s="1"/>
  <c r="AZ103" i="69"/>
  <c r="AG99" i="69"/>
  <c r="U101" i="69"/>
  <c r="AH101" i="69"/>
  <c r="F101" i="69"/>
  <c r="G101" i="69" s="1"/>
  <c r="H101" i="69" s="1"/>
  <c r="I101" i="69" s="1"/>
  <c r="J101" i="69" s="1"/>
  <c r="K101" i="69" s="1"/>
  <c r="F48" i="32"/>
  <c r="AU48" i="32"/>
  <c r="F58" i="50"/>
  <c r="U58" i="50" s="1"/>
  <c r="AY58" i="50"/>
  <c r="Y100" i="69"/>
  <c r="AB100" i="69" s="1"/>
  <c r="AC100" i="69" s="1"/>
  <c r="AD100" i="69" s="1"/>
  <c r="AD56" i="50"/>
  <c r="AG117" i="57"/>
  <c r="X115" i="57"/>
  <c r="AB115" i="57" s="1"/>
  <c r="AA114" i="57"/>
  <c r="AC118" i="53"/>
  <c r="O118" i="53"/>
  <c r="Q102" i="69"/>
  <c r="AD116" i="57"/>
  <c r="AQ116" i="57"/>
  <c r="Q116" i="57"/>
  <c r="R116" i="57"/>
  <c r="AE116" i="57"/>
  <c r="AC116" i="57"/>
  <c r="AE117" i="57"/>
  <c r="P57" i="50"/>
  <c r="N118" i="53"/>
  <c r="O58" i="50"/>
  <c r="AA116" i="53"/>
  <c r="S57" i="50"/>
  <c r="Z57" i="50" s="1"/>
  <c r="AJ56" i="50"/>
  <c r="C56" i="50"/>
  <c r="W56" i="50"/>
  <c r="X55" i="50"/>
  <c r="V56" i="50"/>
  <c r="AF101" i="69"/>
  <c r="P118" i="57"/>
  <c r="AC99" i="69"/>
  <c r="AD99" i="69" s="1"/>
  <c r="O103" i="69"/>
  <c r="AO102" i="69"/>
  <c r="AE117" i="53"/>
  <c r="AK48" i="32"/>
  <c r="AM57" i="50"/>
  <c r="R117" i="53"/>
  <c r="X117" i="53" s="1"/>
  <c r="AB117" i="53" s="1"/>
  <c r="AY101" i="69"/>
  <c r="L118" i="57"/>
  <c r="AT117" i="53"/>
  <c r="AG117" i="53"/>
  <c r="N118" i="57"/>
  <c r="AD117" i="53"/>
  <c r="Q117" i="53"/>
  <c r="L118" i="53"/>
  <c r="J118" i="53"/>
  <c r="E118" i="53"/>
  <c r="G118" i="53"/>
  <c r="C118" i="53"/>
  <c r="AK117" i="52" a="1"/>
  <c r="AK117" i="52" s="1"/>
  <c r="B119" i="53" s="1"/>
  <c r="P118" i="53"/>
  <c r="K118" i="53"/>
  <c r="AH118" i="53" s="1"/>
  <c r="D118" i="53"/>
  <c r="F118" i="53"/>
  <c r="H118" i="53"/>
  <c r="I118" i="53"/>
  <c r="I58" i="50"/>
  <c r="J58" i="50"/>
  <c r="K58" i="50"/>
  <c r="M58" i="50"/>
  <c r="L58" i="50"/>
  <c r="G58" i="50"/>
  <c r="A58" i="50"/>
  <c r="H58" i="50"/>
  <c r="B58" i="50"/>
  <c r="I118" i="57"/>
  <c r="G118" i="57"/>
  <c r="E118" i="57"/>
  <c r="C118" i="57"/>
  <c r="F118" i="57"/>
  <c r="J118" i="57"/>
  <c r="D118" i="57"/>
  <c r="H118" i="57"/>
  <c r="AN117" i="55" a="1"/>
  <c r="AN117" i="55" s="1"/>
  <c r="B119" i="57" s="1"/>
  <c r="O119" i="57" s="1"/>
  <c r="C103" i="69"/>
  <c r="R101" i="69"/>
  <c r="S101" i="69" s="1"/>
  <c r="AE101" i="69"/>
  <c r="AS103" i="67" a="1"/>
  <c r="AS103" i="67" s="1"/>
  <c r="B104" i="69"/>
  <c r="AM104" i="69" s="1"/>
  <c r="AN104" i="69" s="1"/>
  <c r="D102" i="69"/>
  <c r="E102" i="69" s="1"/>
  <c r="AL48" i="11" a="1"/>
  <c r="AL48" i="11" s="1"/>
  <c r="E49" i="32" s="1"/>
  <c r="T49" i="32" s="1"/>
  <c r="AP58" i="59" a="1"/>
  <c r="AP58" i="59" s="1"/>
  <c r="E59" i="50" s="1"/>
  <c r="T59" i="50" s="1"/>
  <c r="AF117" i="53" l="1"/>
  <c r="AF115" i="57"/>
  <c r="AH55" i="50"/>
  <c r="AI55" i="50" s="1"/>
  <c r="AP55" i="50" s="1"/>
  <c r="AK118" i="57"/>
  <c r="P103" i="69"/>
  <c r="AP103" i="69"/>
  <c r="AJ114" i="57"/>
  <c r="O49" i="32"/>
  <c r="AK59" i="50"/>
  <c r="AL56" i="50"/>
  <c r="AG56" i="50"/>
  <c r="BC104" i="69"/>
  <c r="BE104" i="69"/>
  <c r="BF104" i="69"/>
  <c r="BD104" i="69"/>
  <c r="U48" i="32"/>
  <c r="K119" i="57"/>
  <c r="AH119" i="57"/>
  <c r="AI119" i="57" s="1"/>
  <c r="N59" i="50"/>
  <c r="AQ59" i="50"/>
  <c r="AO58" i="50"/>
  <c r="AX102" i="69"/>
  <c r="AW102" i="69"/>
  <c r="L104" i="69"/>
  <c r="M104" i="69" s="1"/>
  <c r="AZ104" i="69"/>
  <c r="Y101" i="69"/>
  <c r="AB101" i="69" s="1"/>
  <c r="U102" i="69"/>
  <c r="AH102" i="69"/>
  <c r="F102" i="69"/>
  <c r="G102" i="69" s="1"/>
  <c r="H102" i="69" s="1"/>
  <c r="I102" i="69" s="1"/>
  <c r="J102" i="69" s="1"/>
  <c r="K102" i="69" s="1"/>
  <c r="F49" i="32"/>
  <c r="AU49" i="32"/>
  <c r="F59" i="50"/>
  <c r="U59" i="50" s="1"/>
  <c r="AY59" i="50"/>
  <c r="X116" i="57"/>
  <c r="AB116" i="57" s="1"/>
  <c r="AG100" i="69"/>
  <c r="AD57" i="50"/>
  <c r="AG118" i="57"/>
  <c r="AC119" i="53"/>
  <c r="O119" i="53"/>
  <c r="Q103" i="69"/>
  <c r="AQ117" i="57"/>
  <c r="AD117" i="57"/>
  <c r="AC117" i="57"/>
  <c r="AA115" i="57"/>
  <c r="Q117" i="57"/>
  <c r="R117" i="57"/>
  <c r="P58" i="50"/>
  <c r="N119" i="53"/>
  <c r="O59" i="50"/>
  <c r="AA117" i="53"/>
  <c r="C57" i="50"/>
  <c r="AJ57" i="50"/>
  <c r="S58" i="50"/>
  <c r="W57" i="50"/>
  <c r="X56" i="50"/>
  <c r="V57" i="50"/>
  <c r="AF102" i="69"/>
  <c r="P119" i="57"/>
  <c r="AO103" i="69"/>
  <c r="O104" i="69"/>
  <c r="AE118" i="53"/>
  <c r="AK49" i="32"/>
  <c r="AM58" i="50"/>
  <c r="R118" i="53"/>
  <c r="X118" i="53" s="1"/>
  <c r="AB118" i="53" s="1"/>
  <c r="AY102" i="69"/>
  <c r="L119" i="57"/>
  <c r="AT118" i="53"/>
  <c r="AG118" i="53"/>
  <c r="N119" i="57"/>
  <c r="Q118" i="53"/>
  <c r="AD118" i="53"/>
  <c r="AK118" i="52" a="1"/>
  <c r="AK118" i="52" s="1"/>
  <c r="B120" i="53" s="1"/>
  <c r="G119" i="53"/>
  <c r="E119" i="53"/>
  <c r="F119" i="53"/>
  <c r="K119" i="53"/>
  <c r="AH119" i="53" s="1"/>
  <c r="H119" i="53"/>
  <c r="I119" i="53"/>
  <c r="C119" i="53"/>
  <c r="P119" i="53"/>
  <c r="D119" i="53"/>
  <c r="L119" i="53"/>
  <c r="J119" i="53"/>
  <c r="M59" i="50"/>
  <c r="I59" i="50"/>
  <c r="K59" i="50"/>
  <c r="A59" i="50"/>
  <c r="J59" i="50"/>
  <c r="L59" i="50"/>
  <c r="B59" i="50"/>
  <c r="H59" i="50"/>
  <c r="G59" i="50"/>
  <c r="H119" i="57"/>
  <c r="G119" i="57"/>
  <c r="E119" i="57"/>
  <c r="D119" i="57"/>
  <c r="C119" i="57"/>
  <c r="I119" i="57"/>
  <c r="F119" i="57"/>
  <c r="J119" i="57"/>
  <c r="AN118" i="55" a="1"/>
  <c r="AN118" i="55" s="1"/>
  <c r="B120" i="57" s="1"/>
  <c r="O120" i="57" s="1"/>
  <c r="R102" i="69"/>
  <c r="S102" i="69" s="1"/>
  <c r="AE102" i="69"/>
  <c r="C104" i="69"/>
  <c r="AS104" i="67" a="1"/>
  <c r="AS104" i="67" s="1"/>
  <c r="B105" i="69"/>
  <c r="AM105" i="69" s="1"/>
  <c r="AN105" i="69" s="1"/>
  <c r="D103" i="69"/>
  <c r="E103" i="69" s="1"/>
  <c r="AL49" i="11" a="1"/>
  <c r="AL49" i="11" s="1"/>
  <c r="E50" i="32" s="1"/>
  <c r="T50" i="32" s="1"/>
  <c r="AP59" i="59" a="1"/>
  <c r="AP59" i="59" s="1"/>
  <c r="E60" i="50" s="1"/>
  <c r="T60" i="50" s="1"/>
  <c r="AF118" i="53" l="1"/>
  <c r="AF116" i="57"/>
  <c r="AH56" i="50"/>
  <c r="AI56" i="50" s="1"/>
  <c r="AP56" i="50" s="1"/>
  <c r="P104" i="69"/>
  <c r="AP104" i="69"/>
  <c r="AK119" i="57"/>
  <c r="AJ115" i="57"/>
  <c r="O50" i="32"/>
  <c r="AK60" i="50"/>
  <c r="AL57" i="50"/>
  <c r="AG57" i="50"/>
  <c r="BC105" i="69"/>
  <c r="BE105" i="69"/>
  <c r="BF105" i="69"/>
  <c r="BD105" i="69"/>
  <c r="U49" i="32"/>
  <c r="AH120" i="57"/>
  <c r="AI120" i="57" s="1"/>
  <c r="K120" i="57"/>
  <c r="AQ60" i="50"/>
  <c r="N60" i="50"/>
  <c r="AO59" i="50"/>
  <c r="AW103" i="69"/>
  <c r="AX103" i="69"/>
  <c r="L105" i="69"/>
  <c r="M105" i="69" s="1"/>
  <c r="AZ105" i="69"/>
  <c r="Y102" i="69"/>
  <c r="AG102" i="69" s="1"/>
  <c r="AG101" i="69"/>
  <c r="F103" i="69"/>
  <c r="G103" i="69" s="1"/>
  <c r="H103" i="69" s="1"/>
  <c r="I103" i="69" s="1"/>
  <c r="J103" i="69" s="1"/>
  <c r="K103" i="69" s="1"/>
  <c r="U103" i="69"/>
  <c r="AH103" i="69"/>
  <c r="F50" i="32"/>
  <c r="AU50" i="32"/>
  <c r="F60" i="50"/>
  <c r="U60" i="50" s="1"/>
  <c r="AY60" i="50"/>
  <c r="AD58" i="50"/>
  <c r="X117" i="57"/>
  <c r="AG119" i="57"/>
  <c r="AC120" i="53"/>
  <c r="O120" i="53"/>
  <c r="Q104" i="69"/>
  <c r="AA116" i="57"/>
  <c r="R118" i="57"/>
  <c r="AC118" i="57"/>
  <c r="AE118" i="57"/>
  <c r="Q118" i="57"/>
  <c r="AD118" i="57"/>
  <c r="AQ118" i="57"/>
  <c r="P59" i="50"/>
  <c r="N120" i="53"/>
  <c r="O60" i="50"/>
  <c r="AA118" i="53"/>
  <c r="AJ58" i="50"/>
  <c r="Z58" i="50"/>
  <c r="S59" i="50"/>
  <c r="Z59" i="50" s="1"/>
  <c r="C58" i="50"/>
  <c r="W58" i="50"/>
  <c r="X57" i="50"/>
  <c r="V58" i="50"/>
  <c r="AF103" i="69"/>
  <c r="P120" i="57"/>
  <c r="AC101" i="69"/>
  <c r="AD101" i="69" s="1"/>
  <c r="AO104" i="69"/>
  <c r="O105" i="69"/>
  <c r="AE119" i="53"/>
  <c r="AK50" i="32"/>
  <c r="AM59" i="50"/>
  <c r="R119" i="53"/>
  <c r="X119" i="53" s="1"/>
  <c r="AB119" i="53" s="1"/>
  <c r="AY103" i="69"/>
  <c r="L120" i="57"/>
  <c r="AG119" i="53"/>
  <c r="AT119" i="53"/>
  <c r="N120" i="57"/>
  <c r="AD119" i="53"/>
  <c r="Q119" i="53"/>
  <c r="AK119" i="52" a="1"/>
  <c r="AK119" i="52" s="1"/>
  <c r="B121" i="53" s="1"/>
  <c r="H120" i="53"/>
  <c r="J120" i="53"/>
  <c r="E120" i="53"/>
  <c r="D120" i="53"/>
  <c r="K120" i="53"/>
  <c r="AH120" i="53" s="1"/>
  <c r="G120" i="53"/>
  <c r="C120" i="53"/>
  <c r="P120" i="53"/>
  <c r="I120" i="53"/>
  <c r="L120" i="53"/>
  <c r="F120" i="53"/>
  <c r="H60" i="50"/>
  <c r="B60" i="50"/>
  <c r="M60" i="50"/>
  <c r="L60" i="50"/>
  <c r="I60" i="50"/>
  <c r="K60" i="50"/>
  <c r="J60" i="50"/>
  <c r="G60" i="50"/>
  <c r="A60" i="50"/>
  <c r="I120" i="57"/>
  <c r="G120" i="57"/>
  <c r="E120" i="57"/>
  <c r="C120" i="57"/>
  <c r="F120" i="57"/>
  <c r="J120" i="57"/>
  <c r="H120" i="57"/>
  <c r="D120" i="57"/>
  <c r="AN119" i="55" a="1"/>
  <c r="AN119" i="55" s="1"/>
  <c r="B121" i="57" s="1"/>
  <c r="O121" i="57" s="1"/>
  <c r="C105" i="69"/>
  <c r="AS105" i="67" a="1"/>
  <c r="AS105" i="67" s="1"/>
  <c r="B106" i="69"/>
  <c r="AM106" i="69" s="1"/>
  <c r="AN106" i="69" s="1"/>
  <c r="D104" i="69"/>
  <c r="E104" i="69" s="1"/>
  <c r="AE103" i="69"/>
  <c r="R103" i="69"/>
  <c r="S103" i="69" s="1"/>
  <c r="AL50" i="11" a="1"/>
  <c r="AL50" i="11" s="1"/>
  <c r="E51" i="32" s="1"/>
  <c r="T51" i="32" s="1"/>
  <c r="AP60" i="59" a="1"/>
  <c r="AP60" i="59" s="1"/>
  <c r="E61" i="50" s="1"/>
  <c r="T61" i="50" s="1"/>
  <c r="AA117" i="57" l="1"/>
  <c r="AB117" i="57"/>
  <c r="AF117" i="57" s="1"/>
  <c r="AF119" i="53"/>
  <c r="AH57" i="50"/>
  <c r="AI57" i="50" s="1"/>
  <c r="AP57" i="50" s="1"/>
  <c r="AK120" i="57"/>
  <c r="P105" i="69"/>
  <c r="AP105" i="69"/>
  <c r="AJ116" i="57"/>
  <c r="AL58" i="50"/>
  <c r="O51" i="32"/>
  <c r="AK61" i="50"/>
  <c r="AG58" i="50"/>
  <c r="BC106" i="69"/>
  <c r="BE106" i="69"/>
  <c r="BF106" i="69"/>
  <c r="BD106" i="69"/>
  <c r="U50" i="32"/>
  <c r="AH121" i="57"/>
  <c r="AI121" i="57" s="1"/>
  <c r="K121" i="57"/>
  <c r="AQ61" i="50"/>
  <c r="N61" i="50"/>
  <c r="AO60" i="50"/>
  <c r="AW104" i="69"/>
  <c r="AX104" i="69"/>
  <c r="L106" i="69"/>
  <c r="M106" i="69" s="1"/>
  <c r="AZ106" i="69"/>
  <c r="AB102" i="69"/>
  <c r="AC102" i="69" s="1"/>
  <c r="AD102" i="69" s="1"/>
  <c r="Y103" i="69"/>
  <c r="AB103" i="69" s="1"/>
  <c r="AC103" i="69" s="1"/>
  <c r="AD103" i="69" s="1"/>
  <c r="U104" i="69"/>
  <c r="AH104" i="69"/>
  <c r="F104" i="69"/>
  <c r="G104" i="69" s="1"/>
  <c r="H104" i="69" s="1"/>
  <c r="I104" i="69" s="1"/>
  <c r="J104" i="69" s="1"/>
  <c r="K104" i="69" s="1"/>
  <c r="F51" i="32"/>
  <c r="AU51" i="32"/>
  <c r="AY61" i="50"/>
  <c r="F61" i="50"/>
  <c r="U61" i="50" s="1"/>
  <c r="AE119" i="57"/>
  <c r="R119" i="57"/>
  <c r="AD59" i="50"/>
  <c r="AG120" i="57"/>
  <c r="X118" i="57"/>
  <c r="AC121" i="53"/>
  <c r="O121" i="53"/>
  <c r="Q105" i="69"/>
  <c r="Q119" i="57"/>
  <c r="AD119" i="57"/>
  <c r="AQ119" i="57"/>
  <c r="AC119" i="57"/>
  <c r="P60" i="50"/>
  <c r="N121" i="53"/>
  <c r="O61" i="50"/>
  <c r="AA119" i="53"/>
  <c r="AJ59" i="50"/>
  <c r="C59" i="50"/>
  <c r="S60" i="50"/>
  <c r="Z60" i="50" s="1"/>
  <c r="W59" i="50"/>
  <c r="X58" i="50"/>
  <c r="V59" i="50"/>
  <c r="AF104" i="69"/>
  <c r="P121" i="57"/>
  <c r="AO105" i="69"/>
  <c r="O106" i="69"/>
  <c r="AE120" i="53"/>
  <c r="AK51" i="32"/>
  <c r="AM60" i="50"/>
  <c r="R120" i="53"/>
  <c r="X120" i="53" s="1"/>
  <c r="AB120" i="53" s="1"/>
  <c r="AY104" i="69"/>
  <c r="L121" i="57"/>
  <c r="AT120" i="53"/>
  <c r="AG120" i="53"/>
  <c r="N121" i="57"/>
  <c r="F121" i="53"/>
  <c r="Q120" i="53"/>
  <c r="AD120" i="53"/>
  <c r="P121" i="53"/>
  <c r="K121" i="53"/>
  <c r="AH121" i="53" s="1"/>
  <c r="L121" i="53"/>
  <c r="D121" i="53"/>
  <c r="J121" i="53"/>
  <c r="E121" i="53"/>
  <c r="I121" i="53"/>
  <c r="C121" i="53"/>
  <c r="AK120" i="52" a="1"/>
  <c r="AK120" i="52" s="1"/>
  <c r="B122" i="53" s="1"/>
  <c r="H121" i="53"/>
  <c r="G121" i="53"/>
  <c r="B61" i="50"/>
  <c r="A61" i="50"/>
  <c r="H61" i="50"/>
  <c r="K61" i="50"/>
  <c r="M61" i="50"/>
  <c r="I61" i="50"/>
  <c r="G61" i="50"/>
  <c r="J61" i="50"/>
  <c r="L61" i="50"/>
  <c r="I121" i="57"/>
  <c r="H121" i="57"/>
  <c r="G121" i="57"/>
  <c r="E121" i="57"/>
  <c r="D121" i="57"/>
  <c r="C121" i="57"/>
  <c r="F121" i="57"/>
  <c r="J121" i="57"/>
  <c r="AN120" i="55" a="1"/>
  <c r="AN120" i="55" s="1"/>
  <c r="B122" i="57" s="1"/>
  <c r="O122" i="57" s="1"/>
  <c r="AS106" i="67" a="1"/>
  <c r="AS106" i="67" s="1"/>
  <c r="B107" i="69"/>
  <c r="AM107" i="69" s="1"/>
  <c r="AN107" i="69" s="1"/>
  <c r="D105" i="69"/>
  <c r="E105" i="69" s="1"/>
  <c r="AE104" i="69"/>
  <c r="R104" i="69"/>
  <c r="S104" i="69" s="1"/>
  <c r="C106" i="69"/>
  <c r="AL51" i="11" a="1"/>
  <c r="AL51" i="11" s="1"/>
  <c r="E52" i="32" s="1"/>
  <c r="T52" i="32" s="1"/>
  <c r="AP61" i="59" a="1"/>
  <c r="AP61" i="59" s="1"/>
  <c r="E62" i="50" s="1"/>
  <c r="T62" i="50" s="1"/>
  <c r="AA118" i="57" l="1"/>
  <c r="AB118" i="57"/>
  <c r="AF118" i="57" s="1"/>
  <c r="AF120" i="53"/>
  <c r="AH58" i="50"/>
  <c r="AI58" i="50" s="1"/>
  <c r="AP58" i="50" s="1"/>
  <c r="P106" i="69"/>
  <c r="AP106" i="69"/>
  <c r="AK121" i="57"/>
  <c r="AJ117" i="57"/>
  <c r="AL59" i="50"/>
  <c r="O52" i="32"/>
  <c r="AK62" i="50"/>
  <c r="AG59" i="50"/>
  <c r="BC107" i="69"/>
  <c r="BD107" i="69"/>
  <c r="BE107" i="69"/>
  <c r="BF107" i="69"/>
  <c r="U51" i="32"/>
  <c r="AH122" i="57"/>
  <c r="AI122" i="57" s="1"/>
  <c r="K122" i="57"/>
  <c r="N62" i="50"/>
  <c r="AQ62" i="50"/>
  <c r="AO61" i="50"/>
  <c r="AX105" i="69"/>
  <c r="AW105" i="69"/>
  <c r="L107" i="69"/>
  <c r="M107" i="69" s="1"/>
  <c r="AZ107" i="69"/>
  <c r="Y104" i="69"/>
  <c r="AB104" i="69" s="1"/>
  <c r="AG103" i="69"/>
  <c r="F105" i="69"/>
  <c r="G105" i="69" s="1"/>
  <c r="H105" i="69" s="1"/>
  <c r="I105" i="69" s="1"/>
  <c r="J105" i="69" s="1"/>
  <c r="K105" i="69" s="1"/>
  <c r="U105" i="69"/>
  <c r="AH105" i="69"/>
  <c r="F52" i="32"/>
  <c r="AU52" i="32"/>
  <c r="F62" i="50"/>
  <c r="U62" i="50" s="1"/>
  <c r="AY62" i="50"/>
  <c r="X119" i="57"/>
  <c r="AD60" i="50"/>
  <c r="AG121" i="57"/>
  <c r="AC122" i="53"/>
  <c r="O122" i="53"/>
  <c r="Q106" i="69"/>
  <c r="AD120" i="57"/>
  <c r="AQ120" i="57"/>
  <c r="R120" i="57"/>
  <c r="AE120" i="57"/>
  <c r="Q120" i="57"/>
  <c r="AC120" i="57"/>
  <c r="P61" i="50"/>
  <c r="N122" i="53"/>
  <c r="O62" i="50"/>
  <c r="AA120" i="53"/>
  <c r="AJ60" i="50"/>
  <c r="S61" i="50"/>
  <c r="Z61" i="50" s="1"/>
  <c r="C60" i="50"/>
  <c r="W60" i="50"/>
  <c r="X59" i="50"/>
  <c r="V60" i="50"/>
  <c r="AF105" i="69"/>
  <c r="P122" i="57"/>
  <c r="AO106" i="69"/>
  <c r="O107" i="69"/>
  <c r="AE121" i="53"/>
  <c r="AK52" i="32"/>
  <c r="AM61" i="50"/>
  <c r="R121" i="53"/>
  <c r="X121" i="53" s="1"/>
  <c r="AB121" i="53" s="1"/>
  <c r="AY105" i="69"/>
  <c r="L122" i="57"/>
  <c r="AT121" i="53"/>
  <c r="AG121" i="53"/>
  <c r="N122" i="57"/>
  <c r="P122" i="53"/>
  <c r="AD121" i="53"/>
  <c r="Q121" i="53"/>
  <c r="C122" i="53"/>
  <c r="K122" i="53"/>
  <c r="AH122" i="53" s="1"/>
  <c r="D122" i="53"/>
  <c r="J122" i="53"/>
  <c r="G122" i="53"/>
  <c r="I122" i="53"/>
  <c r="E122" i="53"/>
  <c r="AK121" i="52" a="1"/>
  <c r="AK121" i="52" s="1"/>
  <c r="B123" i="53" s="1"/>
  <c r="F122" i="53"/>
  <c r="H122" i="53"/>
  <c r="L122" i="53"/>
  <c r="G62" i="50"/>
  <c r="L62" i="50"/>
  <c r="A62" i="50"/>
  <c r="B62" i="50"/>
  <c r="H62" i="50"/>
  <c r="K62" i="50"/>
  <c r="M62" i="50"/>
  <c r="J62" i="50"/>
  <c r="I62" i="50"/>
  <c r="I122" i="57"/>
  <c r="G122" i="57"/>
  <c r="E122" i="57"/>
  <c r="C122" i="57"/>
  <c r="F122" i="57"/>
  <c r="J122" i="57"/>
  <c r="D122" i="57"/>
  <c r="H122" i="57"/>
  <c r="AN121" i="55" a="1"/>
  <c r="AN121" i="55" s="1"/>
  <c r="B123" i="57" s="1"/>
  <c r="O123" i="57" s="1"/>
  <c r="D106" i="69"/>
  <c r="E106" i="69" s="1"/>
  <c r="C107" i="69"/>
  <c r="R105" i="69"/>
  <c r="S105" i="69" s="1"/>
  <c r="AE105" i="69"/>
  <c r="AS107" i="67" a="1"/>
  <c r="AS107" i="67" s="1"/>
  <c r="B108" i="69"/>
  <c r="AM108" i="69" s="1"/>
  <c r="AN108" i="69" s="1"/>
  <c r="AL52" i="11" a="1"/>
  <c r="AL52" i="11" s="1"/>
  <c r="E53" i="32" s="1"/>
  <c r="T53" i="32" s="1"/>
  <c r="AP62" i="59" a="1"/>
  <c r="AP62" i="59" s="1"/>
  <c r="E63" i="50" s="1"/>
  <c r="T63" i="50" s="1"/>
  <c r="AA119" i="57" l="1"/>
  <c r="AB119" i="57"/>
  <c r="AF119" i="57" s="1"/>
  <c r="AF121" i="53"/>
  <c r="AH59" i="50"/>
  <c r="AI59" i="50" s="1"/>
  <c r="AP59" i="50" s="1"/>
  <c r="P107" i="69"/>
  <c r="AP107" i="69"/>
  <c r="AK122" i="57"/>
  <c r="AJ118" i="57"/>
  <c r="AL60" i="50"/>
  <c r="O53" i="32"/>
  <c r="AK63" i="50"/>
  <c r="AG60" i="50"/>
  <c r="BC108" i="69"/>
  <c r="BD108" i="69"/>
  <c r="BE108" i="69"/>
  <c r="BF108" i="69"/>
  <c r="U52" i="32"/>
  <c r="AH123" i="57"/>
  <c r="AI123" i="57" s="1"/>
  <c r="K123" i="57"/>
  <c r="N63" i="50"/>
  <c r="AQ63" i="50"/>
  <c r="AO62" i="50"/>
  <c r="AX106" i="69"/>
  <c r="AW106" i="69"/>
  <c r="L108" i="69"/>
  <c r="M108" i="69" s="1"/>
  <c r="AZ108" i="69"/>
  <c r="AG104" i="69"/>
  <c r="Y105" i="69"/>
  <c r="AB105" i="69" s="1"/>
  <c r="F106" i="69"/>
  <c r="G106" i="69" s="1"/>
  <c r="H106" i="69" s="1"/>
  <c r="I106" i="69" s="1"/>
  <c r="J106" i="69" s="1"/>
  <c r="K106" i="69" s="1"/>
  <c r="U106" i="69"/>
  <c r="AH106" i="69"/>
  <c r="F53" i="32"/>
  <c r="AU53" i="32"/>
  <c r="AY63" i="50"/>
  <c r="F63" i="50"/>
  <c r="U63" i="50" s="1"/>
  <c r="AD61" i="50"/>
  <c r="AG122" i="57"/>
  <c r="X120" i="57"/>
  <c r="AB120" i="57" s="1"/>
  <c r="AC123" i="53"/>
  <c r="O123" i="53"/>
  <c r="Q107" i="69"/>
  <c r="Q121" i="57"/>
  <c r="AQ121" i="57"/>
  <c r="R121" i="57"/>
  <c r="AE121" i="57"/>
  <c r="AC121" i="57"/>
  <c r="AD121" i="57"/>
  <c r="P62" i="50"/>
  <c r="N123" i="53"/>
  <c r="O63" i="50"/>
  <c r="AA121" i="53"/>
  <c r="AJ61" i="50"/>
  <c r="C61" i="50"/>
  <c r="S62" i="50"/>
  <c r="Z62" i="50" s="1"/>
  <c r="W61" i="50"/>
  <c r="X60" i="50"/>
  <c r="V61" i="50"/>
  <c r="AF106" i="69"/>
  <c r="P123" i="57"/>
  <c r="AC104" i="69"/>
  <c r="AD104" i="69" s="1"/>
  <c r="O108" i="69"/>
  <c r="AO107" i="69"/>
  <c r="AE122" i="53"/>
  <c r="AK53" i="32"/>
  <c r="AM62" i="50"/>
  <c r="R122" i="53"/>
  <c r="X122" i="53" s="1"/>
  <c r="AB122" i="53" s="1"/>
  <c r="AY106" i="69"/>
  <c r="L123" i="57"/>
  <c r="AT122" i="53"/>
  <c r="AG122" i="53"/>
  <c r="N123" i="57"/>
  <c r="Q122" i="53"/>
  <c r="AD122" i="53"/>
  <c r="C123" i="53"/>
  <c r="J123" i="53"/>
  <c r="P123" i="53"/>
  <c r="F123" i="53"/>
  <c r="I123" i="53"/>
  <c r="G123" i="53"/>
  <c r="H123" i="53"/>
  <c r="D123" i="53"/>
  <c r="AK122" i="52" a="1"/>
  <c r="AK122" i="52" s="1"/>
  <c r="B124" i="53" s="1"/>
  <c r="E123" i="53"/>
  <c r="K123" i="53"/>
  <c r="AH123" i="53" s="1"/>
  <c r="L123" i="53"/>
  <c r="I63" i="50"/>
  <c r="M63" i="50"/>
  <c r="G63" i="50"/>
  <c r="L63" i="50"/>
  <c r="K63" i="50"/>
  <c r="A63" i="50"/>
  <c r="H63" i="50"/>
  <c r="J63" i="50"/>
  <c r="B63" i="50"/>
  <c r="I123" i="57"/>
  <c r="H123" i="57"/>
  <c r="G123" i="57"/>
  <c r="E123" i="57"/>
  <c r="D123" i="57"/>
  <c r="C123" i="57"/>
  <c r="J123" i="57"/>
  <c r="F123" i="57"/>
  <c r="AN122" i="55" a="1"/>
  <c r="AN122" i="55" s="1"/>
  <c r="B124" i="57" s="1"/>
  <c r="O124" i="57" s="1"/>
  <c r="AS108" i="67" a="1"/>
  <c r="AS108" i="67" s="1"/>
  <c r="B109" i="69"/>
  <c r="AM109" i="69" s="1"/>
  <c r="AN109" i="69" s="1"/>
  <c r="D107" i="69"/>
  <c r="E107" i="69" s="1"/>
  <c r="AE106" i="69"/>
  <c r="R106" i="69"/>
  <c r="S106" i="69" s="1"/>
  <c r="C108" i="69"/>
  <c r="AL53" i="11" a="1"/>
  <c r="AL53" i="11" s="1"/>
  <c r="E54" i="32" s="1"/>
  <c r="T54" i="32" s="1"/>
  <c r="AP63" i="59" a="1"/>
  <c r="AP63" i="59" s="1"/>
  <c r="E64" i="50" s="1"/>
  <c r="T64" i="50" s="1"/>
  <c r="AF120" i="57" l="1"/>
  <c r="AF122" i="53"/>
  <c r="AH60" i="50"/>
  <c r="AI60" i="50" s="1"/>
  <c r="AP60" i="50" s="1"/>
  <c r="AK123" i="57"/>
  <c r="P108" i="69"/>
  <c r="AP108" i="69"/>
  <c r="AJ119" i="57"/>
  <c r="O54" i="32"/>
  <c r="AK64" i="50"/>
  <c r="AL61" i="50"/>
  <c r="AG61" i="50"/>
  <c r="BC109" i="69"/>
  <c r="BF109" i="69"/>
  <c r="BE109" i="69"/>
  <c r="BD109" i="69"/>
  <c r="U53" i="32"/>
  <c r="AH124" i="57"/>
  <c r="AI124" i="57" s="1"/>
  <c r="K124" i="57"/>
  <c r="AO63" i="50"/>
  <c r="AQ64" i="50"/>
  <c r="N64" i="50"/>
  <c r="AX107" i="69"/>
  <c r="AW107" i="69"/>
  <c r="L109" i="69"/>
  <c r="M109" i="69" s="1"/>
  <c r="AZ109" i="69"/>
  <c r="AG105" i="69"/>
  <c r="F107" i="69"/>
  <c r="G107" i="69" s="1"/>
  <c r="H107" i="69" s="1"/>
  <c r="I107" i="69" s="1"/>
  <c r="J107" i="69" s="1"/>
  <c r="K107" i="69" s="1"/>
  <c r="U107" i="69"/>
  <c r="AH107" i="69"/>
  <c r="F54" i="32"/>
  <c r="AU54" i="32"/>
  <c r="F64" i="50"/>
  <c r="U64" i="50" s="1"/>
  <c r="AY64" i="50"/>
  <c r="Y106" i="69"/>
  <c r="AB106" i="69" s="1"/>
  <c r="AC106" i="69" s="1"/>
  <c r="AD106" i="69" s="1"/>
  <c r="AD62" i="50"/>
  <c r="AG123" i="57"/>
  <c r="X121" i="57"/>
  <c r="AB121" i="57" s="1"/>
  <c r="AC124" i="53"/>
  <c r="O124" i="53"/>
  <c r="Q108" i="69"/>
  <c r="AA120" i="57"/>
  <c r="AQ122" i="57"/>
  <c r="AD122" i="57"/>
  <c r="R122" i="57"/>
  <c r="AC122" i="57"/>
  <c r="Q122" i="57"/>
  <c r="AE122" i="57"/>
  <c r="P63" i="50"/>
  <c r="N124" i="53"/>
  <c r="O64" i="50"/>
  <c r="AA122" i="53"/>
  <c r="C62" i="50"/>
  <c r="AJ62" i="50"/>
  <c r="S63" i="50"/>
  <c r="Z63" i="50" s="1"/>
  <c r="W62" i="50"/>
  <c r="X61" i="50"/>
  <c r="V62" i="50"/>
  <c r="AF107" i="69"/>
  <c r="P124" i="57"/>
  <c r="AC105" i="69"/>
  <c r="AD105" i="69" s="1"/>
  <c r="AO108" i="69"/>
  <c r="O109" i="69"/>
  <c r="AE123" i="53"/>
  <c r="AK54" i="32"/>
  <c r="AM63" i="50"/>
  <c r="R123" i="53"/>
  <c r="X123" i="53" s="1"/>
  <c r="AB123" i="53" s="1"/>
  <c r="AY107" i="69"/>
  <c r="L124" i="57"/>
  <c r="AG123" i="53"/>
  <c r="AT123" i="53"/>
  <c r="N124" i="57"/>
  <c r="K124" i="53"/>
  <c r="AH124" i="53" s="1"/>
  <c r="Q123" i="53"/>
  <c r="AD123" i="53"/>
  <c r="P124" i="53"/>
  <c r="D124" i="53"/>
  <c r="J124" i="53"/>
  <c r="H124" i="53"/>
  <c r="I124" i="53"/>
  <c r="F124" i="53"/>
  <c r="E124" i="53"/>
  <c r="G124" i="53"/>
  <c r="AK123" i="52" a="1"/>
  <c r="AK123" i="52" s="1"/>
  <c r="B125" i="53" s="1"/>
  <c r="L124" i="53"/>
  <c r="C124" i="53"/>
  <c r="H64" i="50"/>
  <c r="J64" i="50"/>
  <c r="L64" i="50"/>
  <c r="B64" i="50"/>
  <c r="I64" i="50"/>
  <c r="G64" i="50"/>
  <c r="K64" i="50"/>
  <c r="M64" i="50"/>
  <c r="A64" i="50"/>
  <c r="I124" i="57"/>
  <c r="G124" i="57"/>
  <c r="E124" i="57"/>
  <c r="C124" i="57"/>
  <c r="F124" i="57"/>
  <c r="J124" i="57"/>
  <c r="H124" i="57"/>
  <c r="D124" i="57"/>
  <c r="AN123" i="55" a="1"/>
  <c r="AN123" i="55" s="1"/>
  <c r="B125" i="57" s="1"/>
  <c r="O125" i="57" s="1"/>
  <c r="C109" i="69"/>
  <c r="D108" i="69"/>
  <c r="E108" i="69" s="1"/>
  <c r="AE107" i="69"/>
  <c r="R107" i="69"/>
  <c r="S107" i="69" s="1"/>
  <c r="AS109" i="67" a="1"/>
  <c r="AS109" i="67" s="1"/>
  <c r="B110" i="69"/>
  <c r="AM110" i="69" s="1"/>
  <c r="AN110" i="69" s="1"/>
  <c r="AL54" i="11" a="1"/>
  <c r="AL54" i="11" s="1"/>
  <c r="AP64" i="59" a="1"/>
  <c r="AP64" i="59" s="1"/>
  <c r="E65" i="50" s="1"/>
  <c r="T65" i="50" s="1"/>
  <c r="AF121" i="57" l="1"/>
  <c r="AF123" i="53"/>
  <c r="AH61" i="50"/>
  <c r="AI61" i="50" s="1"/>
  <c r="AP61" i="50" s="1"/>
  <c r="AL62" i="50"/>
  <c r="P109" i="69"/>
  <c r="AP109" i="69"/>
  <c r="AK124" i="57"/>
  <c r="AJ120" i="57"/>
  <c r="AK65" i="50"/>
  <c r="AG62" i="50"/>
  <c r="BC110" i="69"/>
  <c r="BF110" i="69"/>
  <c r="BD110" i="69"/>
  <c r="BE110" i="69"/>
  <c r="U54" i="32"/>
  <c r="AH125" i="57"/>
  <c r="AI125" i="57" s="1"/>
  <c r="K125" i="57"/>
  <c r="AO64" i="50"/>
  <c r="AQ65" i="50"/>
  <c r="N65" i="50"/>
  <c r="AW108" i="69"/>
  <c r="AX108" i="69"/>
  <c r="L110" i="69"/>
  <c r="M110" i="69" s="1"/>
  <c r="AZ110" i="69"/>
  <c r="U108" i="69"/>
  <c r="AH108" i="69"/>
  <c r="F108" i="69"/>
  <c r="G108" i="69" s="1"/>
  <c r="H108" i="69" s="1"/>
  <c r="I108" i="69" s="1"/>
  <c r="J108" i="69" s="1"/>
  <c r="K108" i="69" s="1"/>
  <c r="AY65" i="50"/>
  <c r="F65" i="50"/>
  <c r="U65" i="50" s="1"/>
  <c r="Y107" i="69"/>
  <c r="AB107" i="69" s="1"/>
  <c r="AC107" i="69" s="1"/>
  <c r="AD107" i="69" s="1"/>
  <c r="AG106" i="69"/>
  <c r="AD63" i="50"/>
  <c r="X122" i="57"/>
  <c r="AB122" i="57" s="1"/>
  <c r="AG124" i="57"/>
  <c r="AC125" i="53"/>
  <c r="O125" i="53"/>
  <c r="Q109" i="69"/>
  <c r="AA121" i="57"/>
  <c r="AQ123" i="57"/>
  <c r="AE123" i="57"/>
  <c r="AD123" i="57"/>
  <c r="Q123" i="57"/>
  <c r="R123" i="57"/>
  <c r="AC123" i="57"/>
  <c r="P64" i="50"/>
  <c r="N125" i="53"/>
  <c r="O65" i="50"/>
  <c r="AA123" i="53"/>
  <c r="AJ63" i="50"/>
  <c r="C63" i="50"/>
  <c r="S64" i="50"/>
  <c r="W63" i="50"/>
  <c r="X62" i="50"/>
  <c r="V63" i="50"/>
  <c r="AF108" i="69"/>
  <c r="P125" i="57"/>
  <c r="O110" i="69"/>
  <c r="AO109" i="69"/>
  <c r="AE124" i="53"/>
  <c r="AM64" i="50"/>
  <c r="R124" i="53"/>
  <c r="X124" i="53" s="1"/>
  <c r="AB124" i="53" s="1"/>
  <c r="AY108" i="69"/>
  <c r="L125" i="57"/>
  <c r="AT124" i="53"/>
  <c r="AG124" i="53"/>
  <c r="N125" i="57"/>
  <c r="J125" i="53"/>
  <c r="AD124" i="53"/>
  <c r="Q124" i="53"/>
  <c r="E125" i="53"/>
  <c r="H125" i="53"/>
  <c r="G125" i="53"/>
  <c r="K125" i="53"/>
  <c r="AH125" i="53" s="1"/>
  <c r="D125" i="53"/>
  <c r="I125" i="53"/>
  <c r="C125" i="53"/>
  <c r="P125" i="53"/>
  <c r="AK124" i="52" a="1"/>
  <c r="AK124" i="52" s="1"/>
  <c r="B126" i="53" s="1"/>
  <c r="L125" i="53"/>
  <c r="F125" i="53"/>
  <c r="M65" i="50"/>
  <c r="I65" i="50"/>
  <c r="B65" i="50"/>
  <c r="J65" i="50"/>
  <c r="A65" i="50"/>
  <c r="L65" i="50"/>
  <c r="G65" i="50"/>
  <c r="H65" i="50"/>
  <c r="K65" i="50"/>
  <c r="I125" i="57"/>
  <c r="H125" i="57"/>
  <c r="G125" i="57"/>
  <c r="C125" i="57"/>
  <c r="E125" i="57"/>
  <c r="D125" i="57"/>
  <c r="F125" i="57"/>
  <c r="J125" i="57"/>
  <c r="E55" i="32"/>
  <c r="T55" i="32" s="1"/>
  <c r="AN124" i="55" a="1"/>
  <c r="AN124" i="55" s="1"/>
  <c r="B126" i="57" s="1"/>
  <c r="O126" i="57" s="1"/>
  <c r="AS110" i="67" a="1"/>
  <c r="AS110" i="67" s="1"/>
  <c r="B111" i="69"/>
  <c r="AM111" i="69" s="1"/>
  <c r="AN111" i="69" s="1"/>
  <c r="D109" i="69"/>
  <c r="E109" i="69" s="1"/>
  <c r="C110" i="69"/>
  <c r="AE108" i="69"/>
  <c r="R108" i="69"/>
  <c r="S108" i="69" s="1"/>
  <c r="AL55" i="11" a="1"/>
  <c r="AL55" i="11" s="1"/>
  <c r="E56" i="32" s="1"/>
  <c r="T56" i="32" s="1"/>
  <c r="AP65" i="59" a="1"/>
  <c r="AP65" i="59" s="1"/>
  <c r="E66" i="50" s="1"/>
  <c r="T66" i="50" s="1"/>
  <c r="AF122" i="57" l="1"/>
  <c r="AF124" i="53"/>
  <c r="AH62" i="50"/>
  <c r="AI62" i="50" s="1"/>
  <c r="AP62" i="50" s="1"/>
  <c r="P110" i="69"/>
  <c r="AP110" i="69"/>
  <c r="AK125" i="57"/>
  <c r="AJ122" i="57"/>
  <c r="AJ121" i="57"/>
  <c r="AL63" i="50"/>
  <c r="O56" i="32"/>
  <c r="O55" i="32"/>
  <c r="AK66" i="50"/>
  <c r="AG63" i="50"/>
  <c r="BC111" i="69"/>
  <c r="BF111" i="69"/>
  <c r="BD111" i="69"/>
  <c r="BE111" i="69"/>
  <c r="AH126" i="57"/>
  <c r="AI126" i="57" s="1"/>
  <c r="K126" i="57"/>
  <c r="AO65" i="50"/>
  <c r="AQ66" i="50"/>
  <c r="N66" i="50"/>
  <c r="AX109" i="69"/>
  <c r="AW109" i="69"/>
  <c r="L111" i="69"/>
  <c r="M111" i="69" s="1"/>
  <c r="AZ111" i="69"/>
  <c r="Y108" i="69"/>
  <c r="AB108" i="69" s="1"/>
  <c r="F109" i="69"/>
  <c r="G109" i="69" s="1"/>
  <c r="H109" i="69" s="1"/>
  <c r="I109" i="69" s="1"/>
  <c r="J109" i="69" s="1"/>
  <c r="K109" i="69" s="1"/>
  <c r="U109" i="69"/>
  <c r="AH109" i="69"/>
  <c r="F56" i="32"/>
  <c r="AU56" i="32"/>
  <c r="F55" i="32"/>
  <c r="AU55" i="32"/>
  <c r="F66" i="50"/>
  <c r="U66" i="50" s="1"/>
  <c r="AY66" i="50"/>
  <c r="AG107" i="69"/>
  <c r="AD64" i="50"/>
  <c r="X123" i="57"/>
  <c r="AB123" i="57" s="1"/>
  <c r="AG125" i="57"/>
  <c r="AC126" i="53"/>
  <c r="O126" i="53"/>
  <c r="Q110" i="69"/>
  <c r="AA122" i="57"/>
  <c r="AE124" i="57"/>
  <c r="Q124" i="57"/>
  <c r="AQ124" i="57"/>
  <c r="AD124" i="57"/>
  <c r="R124" i="57"/>
  <c r="AC124" i="57"/>
  <c r="P65" i="50"/>
  <c r="N126" i="53"/>
  <c r="O66" i="50"/>
  <c r="AA124" i="53"/>
  <c r="AJ64" i="50"/>
  <c r="Z64" i="50"/>
  <c r="S65" i="50"/>
  <c r="Z65" i="50" s="1"/>
  <c r="C64" i="50"/>
  <c r="W64" i="50"/>
  <c r="X63" i="50"/>
  <c r="V64" i="50"/>
  <c r="AF109" i="69"/>
  <c r="P126" i="57"/>
  <c r="O111" i="69"/>
  <c r="AO110" i="69"/>
  <c r="AE125" i="53"/>
  <c r="AK55" i="32"/>
  <c r="AK56" i="32"/>
  <c r="AM65" i="50"/>
  <c r="R125" i="53"/>
  <c r="X125" i="53" s="1"/>
  <c r="AB125" i="53" s="1"/>
  <c r="AY109" i="69"/>
  <c r="L126" i="57"/>
  <c r="AT125" i="53"/>
  <c r="AG125" i="53"/>
  <c r="N126" i="57"/>
  <c r="J126" i="53"/>
  <c r="Q125" i="53"/>
  <c r="AD125" i="53"/>
  <c r="I126" i="53"/>
  <c r="D126" i="53"/>
  <c r="F126" i="53"/>
  <c r="E126" i="53"/>
  <c r="L126" i="53"/>
  <c r="C126" i="53"/>
  <c r="K126" i="53"/>
  <c r="AH126" i="53" s="1"/>
  <c r="H126" i="53"/>
  <c r="G126" i="53"/>
  <c r="AK125" i="52" a="1"/>
  <c r="AK125" i="52" s="1"/>
  <c r="B127" i="53" s="1"/>
  <c r="P126" i="53"/>
  <c r="I66" i="50"/>
  <c r="A66" i="50"/>
  <c r="L66" i="50"/>
  <c r="K66" i="50"/>
  <c r="G66" i="50"/>
  <c r="B66" i="50"/>
  <c r="H66" i="50"/>
  <c r="J66" i="50"/>
  <c r="M66" i="50"/>
  <c r="I126" i="57"/>
  <c r="C126" i="57"/>
  <c r="G126" i="57"/>
  <c r="E126" i="57"/>
  <c r="F126" i="57"/>
  <c r="J126" i="57"/>
  <c r="D126" i="57"/>
  <c r="H126" i="57"/>
  <c r="AN125" i="55" a="1"/>
  <c r="AN125" i="55" s="1"/>
  <c r="B127" i="57" s="1"/>
  <c r="O127" i="57" s="1"/>
  <c r="C111" i="69"/>
  <c r="AE109" i="69"/>
  <c r="R109" i="69"/>
  <c r="S109" i="69" s="1"/>
  <c r="D110" i="69"/>
  <c r="E110" i="69" s="1"/>
  <c r="AS111" i="67" a="1"/>
  <c r="AS111" i="67" s="1"/>
  <c r="B112" i="69"/>
  <c r="AM112" i="69" s="1"/>
  <c r="AN112" i="69" s="1"/>
  <c r="AL56" i="11" a="1"/>
  <c r="AL56" i="11" s="1"/>
  <c r="AP66" i="59" a="1"/>
  <c r="AP66" i="59" s="1"/>
  <c r="E67" i="50" s="1"/>
  <c r="T67" i="50" s="1"/>
  <c r="AF123" i="57" l="1"/>
  <c r="AF125" i="53"/>
  <c r="AH63" i="50"/>
  <c r="AI63" i="50" s="1"/>
  <c r="AP63" i="50" s="1"/>
  <c r="AL64" i="50"/>
  <c r="P111" i="69"/>
  <c r="AP111" i="69"/>
  <c r="AK126" i="57"/>
  <c r="AK67" i="50"/>
  <c r="AG64" i="50"/>
  <c r="BC112" i="69"/>
  <c r="BE112" i="69"/>
  <c r="BF112" i="69"/>
  <c r="BD112" i="69"/>
  <c r="U55" i="32"/>
  <c r="U56" i="32"/>
  <c r="AH127" i="57"/>
  <c r="AI127" i="57" s="1"/>
  <c r="K127" i="57"/>
  <c r="AO66" i="50"/>
  <c r="N67" i="50"/>
  <c r="AQ67" i="50"/>
  <c r="AX110" i="69"/>
  <c r="AW110" i="69"/>
  <c r="L112" i="69"/>
  <c r="M112" i="69" s="1"/>
  <c r="AZ112" i="69"/>
  <c r="AG108" i="69"/>
  <c r="Y109" i="69"/>
  <c r="AG109" i="69" s="1"/>
  <c r="U110" i="69"/>
  <c r="AH110" i="69"/>
  <c r="F110" i="69"/>
  <c r="G110" i="69" s="1"/>
  <c r="H110" i="69" s="1"/>
  <c r="I110" i="69" s="1"/>
  <c r="J110" i="69" s="1"/>
  <c r="K110" i="69" s="1"/>
  <c r="AY67" i="50"/>
  <c r="F67" i="50"/>
  <c r="U67" i="50" s="1"/>
  <c r="AD65" i="50"/>
  <c r="AG126" i="57"/>
  <c r="X124" i="57"/>
  <c r="AB124" i="57" s="1"/>
  <c r="AC127" i="53"/>
  <c r="O127" i="53"/>
  <c r="Q111" i="69"/>
  <c r="R125" i="57"/>
  <c r="AE125" i="57"/>
  <c r="Q125" i="57"/>
  <c r="AA123" i="57"/>
  <c r="AD125" i="57"/>
  <c r="AC125" i="57"/>
  <c r="AQ125" i="57"/>
  <c r="P66" i="50"/>
  <c r="N127" i="53"/>
  <c r="O67" i="50"/>
  <c r="AA125" i="53"/>
  <c r="AJ65" i="50"/>
  <c r="C65" i="50"/>
  <c r="S66" i="50"/>
  <c r="W65" i="50"/>
  <c r="X64" i="50"/>
  <c r="V65" i="50"/>
  <c r="AF110" i="69"/>
  <c r="P127" i="57"/>
  <c r="AC108" i="69"/>
  <c r="AD108" i="69" s="1"/>
  <c r="O112" i="69"/>
  <c r="AO111" i="69"/>
  <c r="AE126" i="53"/>
  <c r="AM66" i="50"/>
  <c r="R126" i="53"/>
  <c r="X126" i="53" s="1"/>
  <c r="AB126" i="53" s="1"/>
  <c r="AY110" i="69"/>
  <c r="L127" i="57"/>
  <c r="AG126" i="53"/>
  <c r="AT126" i="53"/>
  <c r="N127" i="57"/>
  <c r="L127" i="53"/>
  <c r="AD126" i="53"/>
  <c r="J127" i="53"/>
  <c r="G127" i="53"/>
  <c r="P127" i="53"/>
  <c r="Q126" i="53"/>
  <c r="H127" i="53"/>
  <c r="K127" i="53"/>
  <c r="AH127" i="53" s="1"/>
  <c r="D127" i="53"/>
  <c r="AK126" i="52" a="1"/>
  <c r="AK126" i="52" s="1"/>
  <c r="B128" i="53" s="1"/>
  <c r="E127" i="53"/>
  <c r="F127" i="53"/>
  <c r="I127" i="53"/>
  <c r="C127" i="53"/>
  <c r="K67" i="50"/>
  <c r="M67" i="50"/>
  <c r="A67" i="50"/>
  <c r="I67" i="50"/>
  <c r="G67" i="50"/>
  <c r="L67" i="50"/>
  <c r="B67" i="50"/>
  <c r="H67" i="50"/>
  <c r="J67" i="50"/>
  <c r="C127" i="57"/>
  <c r="I127" i="57"/>
  <c r="H127" i="57"/>
  <c r="D127" i="57"/>
  <c r="G127" i="57"/>
  <c r="E127" i="57"/>
  <c r="J127" i="57"/>
  <c r="F127" i="57"/>
  <c r="E57" i="32"/>
  <c r="T57" i="32" s="1"/>
  <c r="AN126" i="55" a="1"/>
  <c r="AN126" i="55" s="1"/>
  <c r="B128" i="57" s="1"/>
  <c r="O128" i="57" s="1"/>
  <c r="AS112" i="67" a="1"/>
  <c r="AS112" i="67" s="1"/>
  <c r="B113" i="69"/>
  <c r="AM113" i="69" s="1"/>
  <c r="AN113" i="69" s="1"/>
  <c r="D111" i="69"/>
  <c r="E111" i="69" s="1"/>
  <c r="C112" i="69"/>
  <c r="R110" i="69"/>
  <c r="S110" i="69" s="1"/>
  <c r="AE110" i="69"/>
  <c r="AL57" i="11" a="1"/>
  <c r="AL57" i="11" s="1"/>
  <c r="E58" i="32" s="1"/>
  <c r="T58" i="32" s="1"/>
  <c r="AP67" i="59" a="1"/>
  <c r="AP67" i="59" s="1"/>
  <c r="E68" i="50" s="1"/>
  <c r="T68" i="50" s="1"/>
  <c r="AF124" i="57" l="1"/>
  <c r="AF126" i="53"/>
  <c r="AH64" i="50"/>
  <c r="AI64" i="50" s="1"/>
  <c r="AP64" i="50" s="1"/>
  <c r="P112" i="69"/>
  <c r="AP112" i="69"/>
  <c r="AK127" i="57"/>
  <c r="AJ123" i="57"/>
  <c r="AL65" i="50"/>
  <c r="O58" i="32"/>
  <c r="O57" i="32"/>
  <c r="AK68" i="50"/>
  <c r="AG65" i="50"/>
  <c r="BC113" i="69"/>
  <c r="BE113" i="69"/>
  <c r="BF113" i="69"/>
  <c r="BD113" i="69"/>
  <c r="AH128" i="57"/>
  <c r="AI128" i="57" s="1"/>
  <c r="K128" i="57"/>
  <c r="AO67" i="50"/>
  <c r="AQ68" i="50"/>
  <c r="N68" i="50"/>
  <c r="AX111" i="69"/>
  <c r="AW111" i="69"/>
  <c r="L113" i="69"/>
  <c r="M113" i="69" s="1"/>
  <c r="AZ113" i="69"/>
  <c r="AB109" i="69"/>
  <c r="AC109" i="69" s="1"/>
  <c r="AD109" i="69" s="1"/>
  <c r="U111" i="69"/>
  <c r="AH111" i="69"/>
  <c r="F111" i="69"/>
  <c r="G111" i="69" s="1"/>
  <c r="H111" i="69" s="1"/>
  <c r="I111" i="69" s="1"/>
  <c r="J111" i="69" s="1"/>
  <c r="K111" i="69" s="1"/>
  <c r="F58" i="32"/>
  <c r="AU58" i="32"/>
  <c r="F57" i="32"/>
  <c r="AU57" i="32"/>
  <c r="AY68" i="50"/>
  <c r="F68" i="50"/>
  <c r="U68" i="50" s="1"/>
  <c r="Y110" i="69"/>
  <c r="AB110" i="69" s="1"/>
  <c r="AC110" i="69" s="1"/>
  <c r="AD110" i="69" s="1"/>
  <c r="AD66" i="50"/>
  <c r="X125" i="57"/>
  <c r="AB125" i="57" s="1"/>
  <c r="AG127" i="57"/>
  <c r="AA124" i="57"/>
  <c r="AC128" i="53"/>
  <c r="O128" i="53"/>
  <c r="Q112" i="69"/>
  <c r="Q126" i="57"/>
  <c r="AE126" i="57"/>
  <c r="AD126" i="57"/>
  <c r="R126" i="57"/>
  <c r="AC126" i="57"/>
  <c r="AQ126" i="57"/>
  <c r="P67" i="50"/>
  <c r="N128" i="53"/>
  <c r="O68" i="50"/>
  <c r="AA126" i="53"/>
  <c r="C66" i="50"/>
  <c r="Z66" i="50"/>
  <c r="AJ66" i="50"/>
  <c r="S67" i="50"/>
  <c r="Z67" i="50" s="1"/>
  <c r="W66" i="50"/>
  <c r="X65" i="50"/>
  <c r="V66" i="50"/>
  <c r="AF111" i="69"/>
  <c r="P128" i="57"/>
  <c r="O113" i="69"/>
  <c r="AO112" i="69"/>
  <c r="AE127" i="53"/>
  <c r="AK58" i="32"/>
  <c r="AK57" i="32"/>
  <c r="AM67" i="50"/>
  <c r="R127" i="53"/>
  <c r="X127" i="53" s="1"/>
  <c r="AB127" i="53" s="1"/>
  <c r="AY111" i="69"/>
  <c r="L128" i="57"/>
  <c r="AT127" i="53"/>
  <c r="AG127" i="53"/>
  <c r="N128" i="57"/>
  <c r="Q127" i="53"/>
  <c r="AD127" i="53"/>
  <c r="C128" i="53"/>
  <c r="I128" i="53"/>
  <c r="F128" i="53"/>
  <c r="G128" i="53"/>
  <c r="E128" i="53"/>
  <c r="J128" i="53"/>
  <c r="K128" i="53"/>
  <c r="AH128" i="53" s="1"/>
  <c r="L128" i="53"/>
  <c r="P128" i="53"/>
  <c r="AK127" i="52" a="1"/>
  <c r="AK127" i="52" s="1"/>
  <c r="B129" i="53" s="1"/>
  <c r="H128" i="53"/>
  <c r="D128" i="53"/>
  <c r="I68" i="50"/>
  <c r="H68" i="50"/>
  <c r="M68" i="50"/>
  <c r="L68" i="50"/>
  <c r="B68" i="50"/>
  <c r="K68" i="50"/>
  <c r="A68" i="50"/>
  <c r="J68" i="50"/>
  <c r="G68" i="50"/>
  <c r="C128" i="57"/>
  <c r="E128" i="57"/>
  <c r="I128" i="57"/>
  <c r="G128" i="57"/>
  <c r="F128" i="57"/>
  <c r="J128" i="57"/>
  <c r="D128" i="57"/>
  <c r="H128" i="57"/>
  <c r="AN127" i="55" a="1"/>
  <c r="AN127" i="55" s="1"/>
  <c r="B129" i="57" s="1"/>
  <c r="O129" i="57" s="1"/>
  <c r="AE111" i="69"/>
  <c r="R111" i="69"/>
  <c r="S111" i="69" s="1"/>
  <c r="D112" i="69"/>
  <c r="E112" i="69" s="1"/>
  <c r="C113" i="69"/>
  <c r="AS113" i="67" a="1"/>
  <c r="AS113" i="67" s="1"/>
  <c r="B114" i="69"/>
  <c r="AM114" i="69" s="1"/>
  <c r="AN114" i="69" s="1"/>
  <c r="AL58" i="11" a="1"/>
  <c r="AL58" i="11" s="1"/>
  <c r="AP68" i="59" a="1"/>
  <c r="AP68" i="59" s="1"/>
  <c r="E69" i="50" s="1"/>
  <c r="T69" i="50" s="1"/>
  <c r="AF125" i="57" l="1"/>
  <c r="AF127" i="53"/>
  <c r="AH65" i="50"/>
  <c r="AI65" i="50" s="1"/>
  <c r="AP65" i="50" s="1"/>
  <c r="AK128" i="57"/>
  <c r="P113" i="69"/>
  <c r="AP113" i="69"/>
  <c r="AJ124" i="57"/>
  <c r="AL66" i="50"/>
  <c r="AK69" i="50"/>
  <c r="AG66" i="50"/>
  <c r="BC114" i="69"/>
  <c r="BE114" i="69"/>
  <c r="BF114" i="69"/>
  <c r="BD114" i="69"/>
  <c r="U57" i="32"/>
  <c r="U58" i="32"/>
  <c r="AH129" i="57"/>
  <c r="AI129" i="57" s="1"/>
  <c r="K129" i="57"/>
  <c r="AO68" i="50"/>
  <c r="AQ69" i="50"/>
  <c r="N69" i="50"/>
  <c r="AX112" i="69"/>
  <c r="AW112" i="69"/>
  <c r="L114" i="69"/>
  <c r="M114" i="69" s="1"/>
  <c r="AZ114" i="69"/>
  <c r="F112" i="69"/>
  <c r="G112" i="69" s="1"/>
  <c r="H112" i="69" s="1"/>
  <c r="I112" i="69" s="1"/>
  <c r="J112" i="69" s="1"/>
  <c r="K112" i="69" s="1"/>
  <c r="U112" i="69"/>
  <c r="AH112" i="69"/>
  <c r="AY69" i="50"/>
  <c r="F69" i="50"/>
  <c r="U69" i="50" s="1"/>
  <c r="X126" i="57"/>
  <c r="AB126" i="57" s="1"/>
  <c r="Y111" i="69"/>
  <c r="AB111" i="69" s="1"/>
  <c r="AC111" i="69" s="1"/>
  <c r="AD111" i="69" s="1"/>
  <c r="AG110" i="69"/>
  <c r="AD67" i="50"/>
  <c r="AG128" i="57"/>
  <c r="AA125" i="57"/>
  <c r="AC129" i="53"/>
  <c r="O129" i="53"/>
  <c r="Q113" i="69"/>
  <c r="AQ127" i="57"/>
  <c r="AE127" i="57"/>
  <c r="Q127" i="57"/>
  <c r="AD127" i="57"/>
  <c r="R127" i="57"/>
  <c r="AC127" i="57"/>
  <c r="P68" i="50"/>
  <c r="N129" i="53"/>
  <c r="O69" i="50"/>
  <c r="AA127" i="53"/>
  <c r="AJ67" i="50"/>
  <c r="C67" i="50"/>
  <c r="S68" i="50"/>
  <c r="Z68" i="50" s="1"/>
  <c r="W67" i="50"/>
  <c r="X66" i="50"/>
  <c r="V67" i="50"/>
  <c r="AF112" i="69"/>
  <c r="P129" i="57"/>
  <c r="O114" i="69"/>
  <c r="AO113" i="69"/>
  <c r="AE128" i="53"/>
  <c r="AM68" i="50"/>
  <c r="R128" i="53"/>
  <c r="X128" i="53" s="1"/>
  <c r="AB128" i="53" s="1"/>
  <c r="AY112" i="69"/>
  <c r="L129" i="57"/>
  <c r="AG128" i="53"/>
  <c r="AT128" i="53"/>
  <c r="N129" i="57"/>
  <c r="F129" i="53"/>
  <c r="AD128" i="53"/>
  <c r="Q128" i="53"/>
  <c r="I129" i="53"/>
  <c r="L129" i="53"/>
  <c r="H129" i="53"/>
  <c r="E129" i="53"/>
  <c r="G129" i="53"/>
  <c r="C129" i="53"/>
  <c r="P129" i="53"/>
  <c r="AK128" i="52" a="1"/>
  <c r="AK128" i="52" s="1"/>
  <c r="B130" i="53" s="1"/>
  <c r="J129" i="53"/>
  <c r="D129" i="53"/>
  <c r="K129" i="53"/>
  <c r="AH129" i="53" s="1"/>
  <c r="B69" i="50"/>
  <c r="I69" i="50"/>
  <c r="G69" i="50"/>
  <c r="A69" i="50"/>
  <c r="M69" i="50"/>
  <c r="K69" i="50"/>
  <c r="H69" i="50"/>
  <c r="J69" i="50"/>
  <c r="L69" i="50"/>
  <c r="D129" i="57"/>
  <c r="C129" i="57"/>
  <c r="I129" i="57"/>
  <c r="E129" i="57"/>
  <c r="H129" i="57"/>
  <c r="G129" i="57"/>
  <c r="F129" i="57"/>
  <c r="J129" i="57"/>
  <c r="E59" i="32"/>
  <c r="T59" i="32" s="1"/>
  <c r="AN128" i="55" a="1"/>
  <c r="AN128" i="55" s="1"/>
  <c r="B130" i="57" s="1"/>
  <c r="O130" i="57" s="1"/>
  <c r="AS114" i="67" a="1"/>
  <c r="AS114" i="67" s="1"/>
  <c r="B115" i="69"/>
  <c r="AM115" i="69" s="1"/>
  <c r="AN115" i="69" s="1"/>
  <c r="C114" i="69"/>
  <c r="D113" i="69"/>
  <c r="E113" i="69" s="1"/>
  <c r="AE112" i="69"/>
  <c r="R112" i="69"/>
  <c r="S112" i="69" s="1"/>
  <c r="AL59" i="11" a="1"/>
  <c r="AL59" i="11" s="1"/>
  <c r="AP69" i="59" a="1"/>
  <c r="AP69" i="59" s="1"/>
  <c r="E70" i="50" s="1"/>
  <c r="T70" i="50" s="1"/>
  <c r="AF126" i="57" l="1"/>
  <c r="AF128" i="53"/>
  <c r="AH66" i="50"/>
  <c r="AI66" i="50" s="1"/>
  <c r="AP66" i="50" s="1"/>
  <c r="AK129" i="57"/>
  <c r="P114" i="69"/>
  <c r="AP114" i="69"/>
  <c r="AJ125" i="57"/>
  <c r="AL67" i="50"/>
  <c r="O59" i="32"/>
  <c r="AK70" i="50"/>
  <c r="AG67" i="50"/>
  <c r="BC115" i="69"/>
  <c r="BD115" i="69"/>
  <c r="BE115" i="69"/>
  <c r="BF115" i="69"/>
  <c r="AH130" i="57"/>
  <c r="AI130" i="57" s="1"/>
  <c r="K130" i="57"/>
  <c r="AQ70" i="50"/>
  <c r="N70" i="50"/>
  <c r="AO69" i="50"/>
  <c r="AX113" i="69"/>
  <c r="AW113" i="69"/>
  <c r="L115" i="69"/>
  <c r="M115" i="69" s="1"/>
  <c r="AZ115" i="69"/>
  <c r="Y112" i="69"/>
  <c r="AG112" i="69" s="1"/>
  <c r="U113" i="69"/>
  <c r="AH113" i="69"/>
  <c r="F113" i="69"/>
  <c r="G113" i="69" s="1"/>
  <c r="H113" i="69" s="1"/>
  <c r="I113" i="69" s="1"/>
  <c r="J113" i="69" s="1"/>
  <c r="K113" i="69" s="1"/>
  <c r="F59" i="32"/>
  <c r="AU59" i="32"/>
  <c r="F70" i="50"/>
  <c r="U70" i="50" s="1"/>
  <c r="AY70" i="50"/>
  <c r="AG111" i="69"/>
  <c r="AD68" i="50"/>
  <c r="AL68" i="50" s="1"/>
  <c r="AG129" i="57"/>
  <c r="X127" i="57"/>
  <c r="AB127" i="57" s="1"/>
  <c r="AA126" i="57"/>
  <c r="AC130" i="53"/>
  <c r="O130" i="53"/>
  <c r="Q114" i="69"/>
  <c r="Q128" i="57"/>
  <c r="R128" i="57"/>
  <c r="AC128" i="57"/>
  <c r="AE128" i="57"/>
  <c r="AQ128" i="57"/>
  <c r="AD128" i="57"/>
  <c r="P69" i="50"/>
  <c r="N130" i="53"/>
  <c r="O70" i="50"/>
  <c r="AA128" i="53"/>
  <c r="S69" i="50"/>
  <c r="Z69" i="50" s="1"/>
  <c r="AJ68" i="50"/>
  <c r="C68" i="50"/>
  <c r="W68" i="50"/>
  <c r="X67" i="50"/>
  <c r="V68" i="50"/>
  <c r="AF113" i="69"/>
  <c r="P130" i="57"/>
  <c r="O115" i="69"/>
  <c r="AO114" i="69"/>
  <c r="AE129" i="53"/>
  <c r="AK59" i="32"/>
  <c r="AM69" i="50"/>
  <c r="R129" i="53"/>
  <c r="X129" i="53" s="1"/>
  <c r="AB129" i="53" s="1"/>
  <c r="AY113" i="69"/>
  <c r="L130" i="57"/>
  <c r="AG129" i="53"/>
  <c r="AT129" i="53"/>
  <c r="N130" i="57"/>
  <c r="G130" i="53"/>
  <c r="Q129" i="53"/>
  <c r="AD129" i="53"/>
  <c r="I130" i="53"/>
  <c r="E130" i="53"/>
  <c r="L130" i="53"/>
  <c r="K130" i="53"/>
  <c r="AH130" i="53" s="1"/>
  <c r="C130" i="53"/>
  <c r="D130" i="53"/>
  <c r="H130" i="53"/>
  <c r="P130" i="53"/>
  <c r="J130" i="53"/>
  <c r="AK129" i="52" a="1"/>
  <c r="AK129" i="52" s="1"/>
  <c r="B131" i="53" s="1"/>
  <c r="F130" i="53"/>
  <c r="I70" i="50"/>
  <c r="G70" i="50"/>
  <c r="A70" i="50"/>
  <c r="L70" i="50"/>
  <c r="K70" i="50"/>
  <c r="J70" i="50"/>
  <c r="M70" i="50"/>
  <c r="B70" i="50"/>
  <c r="H70" i="50"/>
  <c r="E130" i="57"/>
  <c r="C130" i="57"/>
  <c r="G130" i="57"/>
  <c r="I130" i="57"/>
  <c r="F130" i="57"/>
  <c r="J130" i="57"/>
  <c r="D130" i="57"/>
  <c r="H130" i="57"/>
  <c r="E60" i="32"/>
  <c r="T60" i="32" s="1"/>
  <c r="AN129" i="55" a="1"/>
  <c r="AN129" i="55" s="1"/>
  <c r="B131" i="57" s="1"/>
  <c r="O131" i="57" s="1"/>
  <c r="D114" i="69"/>
  <c r="E114" i="69" s="1"/>
  <c r="C115" i="69"/>
  <c r="R113" i="69"/>
  <c r="S113" i="69" s="1"/>
  <c r="AE113" i="69"/>
  <c r="AS115" i="67" a="1"/>
  <c r="AS115" i="67" s="1"/>
  <c r="B116" i="69"/>
  <c r="AM116" i="69" s="1"/>
  <c r="AN116" i="69" s="1"/>
  <c r="AL60" i="11" a="1"/>
  <c r="AL60" i="11" s="1"/>
  <c r="E61" i="32" s="1"/>
  <c r="T61" i="32" s="1"/>
  <c r="AP70" i="59" a="1"/>
  <c r="AP70" i="59" s="1"/>
  <c r="E71" i="50" s="1"/>
  <c r="T71" i="50" s="1"/>
  <c r="AF127" i="57" l="1"/>
  <c r="AF129" i="53"/>
  <c r="AH67" i="50"/>
  <c r="AI67" i="50" s="1"/>
  <c r="AP67" i="50" s="1"/>
  <c r="P115" i="69"/>
  <c r="AP115" i="69"/>
  <c r="AK130" i="57"/>
  <c r="AJ126" i="57"/>
  <c r="O60" i="32"/>
  <c r="O61" i="32"/>
  <c r="AK71" i="50"/>
  <c r="AG68" i="50"/>
  <c r="BC116" i="69"/>
  <c r="BD116" i="69"/>
  <c r="BE116" i="69"/>
  <c r="BF116" i="69"/>
  <c r="U59" i="32"/>
  <c r="K131" i="57"/>
  <c r="AH131" i="57"/>
  <c r="AI131" i="57" s="1"/>
  <c r="N71" i="50"/>
  <c r="AQ71" i="50"/>
  <c r="AO70" i="50"/>
  <c r="AX114" i="69"/>
  <c r="AW114" i="69"/>
  <c r="L116" i="69"/>
  <c r="M116" i="69" s="1"/>
  <c r="AZ116" i="69"/>
  <c r="Y113" i="69"/>
  <c r="AB113" i="69" s="1"/>
  <c r="AB112" i="69"/>
  <c r="AC112" i="69" s="1"/>
  <c r="AD112" i="69" s="1"/>
  <c r="F114" i="69"/>
  <c r="G114" i="69" s="1"/>
  <c r="H114" i="69" s="1"/>
  <c r="I114" i="69" s="1"/>
  <c r="J114" i="69" s="1"/>
  <c r="K114" i="69" s="1"/>
  <c r="U114" i="69"/>
  <c r="AH114" i="69"/>
  <c r="F61" i="32"/>
  <c r="AU61" i="32"/>
  <c r="F60" i="32"/>
  <c r="AU60" i="32"/>
  <c r="AY71" i="50"/>
  <c r="F71" i="50"/>
  <c r="U71" i="50" s="1"/>
  <c r="AD69" i="50"/>
  <c r="X128" i="57"/>
  <c r="AG130" i="57"/>
  <c r="AC131" i="53"/>
  <c r="O131" i="53"/>
  <c r="Q115" i="69"/>
  <c r="AD129" i="57"/>
  <c r="AA127" i="57"/>
  <c r="AQ129" i="57"/>
  <c r="Q129" i="57"/>
  <c r="R129" i="57"/>
  <c r="AE129" i="57"/>
  <c r="AC129" i="57"/>
  <c r="P70" i="50"/>
  <c r="N131" i="53"/>
  <c r="O71" i="50"/>
  <c r="AA129" i="53"/>
  <c r="AJ69" i="50"/>
  <c r="C69" i="50"/>
  <c r="S70" i="50"/>
  <c r="Z70" i="50" s="1"/>
  <c r="W69" i="50"/>
  <c r="X68" i="50"/>
  <c r="V69" i="50"/>
  <c r="AF114" i="69"/>
  <c r="P131" i="57"/>
  <c r="O116" i="69"/>
  <c r="AO115" i="69"/>
  <c r="AE130" i="53"/>
  <c r="AK61" i="32"/>
  <c r="AK60" i="32"/>
  <c r="AM70" i="50"/>
  <c r="R130" i="53"/>
  <c r="X130" i="53" s="1"/>
  <c r="AB130" i="53" s="1"/>
  <c r="AY114" i="69"/>
  <c r="L131" i="57"/>
  <c r="AT130" i="53"/>
  <c r="AG130" i="53"/>
  <c r="N131" i="57"/>
  <c r="J131" i="53"/>
  <c r="Q130" i="53"/>
  <c r="AD130" i="53"/>
  <c r="AK130" i="52" a="1"/>
  <c r="AK130" i="52" s="1"/>
  <c r="B132" i="53" s="1"/>
  <c r="E131" i="53"/>
  <c r="H131" i="53"/>
  <c r="D131" i="53"/>
  <c r="L131" i="53"/>
  <c r="G131" i="53"/>
  <c r="C131" i="53"/>
  <c r="I131" i="53"/>
  <c r="F131" i="53"/>
  <c r="K131" i="53"/>
  <c r="AH131" i="53" s="1"/>
  <c r="P131" i="53"/>
  <c r="H71" i="50"/>
  <c r="G71" i="50"/>
  <c r="A71" i="50"/>
  <c r="K71" i="50"/>
  <c r="I71" i="50"/>
  <c r="B71" i="50"/>
  <c r="L71" i="50"/>
  <c r="M71" i="50"/>
  <c r="J71" i="50"/>
  <c r="E131" i="57"/>
  <c r="D131" i="57"/>
  <c r="C131" i="57"/>
  <c r="G131" i="57"/>
  <c r="I131" i="57"/>
  <c r="H131" i="57"/>
  <c r="F131" i="57"/>
  <c r="J131" i="57"/>
  <c r="AN130" i="55" a="1"/>
  <c r="AN130" i="55" s="1"/>
  <c r="B132" i="57" s="1"/>
  <c r="O132" i="57" s="1"/>
  <c r="C116" i="69"/>
  <c r="R114" i="69"/>
  <c r="S114" i="69" s="1"/>
  <c r="AE114" i="69"/>
  <c r="AS116" i="67" a="1"/>
  <c r="AS116" i="67" s="1"/>
  <c r="B117" i="69"/>
  <c r="AM117" i="69" s="1"/>
  <c r="AN117" i="69" s="1"/>
  <c r="D115" i="69"/>
  <c r="E115" i="69" s="1"/>
  <c r="AL61" i="11" a="1"/>
  <c r="AL61" i="11" s="1"/>
  <c r="E62" i="32" s="1"/>
  <c r="T62" i="32" s="1"/>
  <c r="AP71" i="59" a="1"/>
  <c r="AP71" i="59" s="1"/>
  <c r="E72" i="50" s="1"/>
  <c r="T72" i="50" s="1"/>
  <c r="AA128" i="57" l="1"/>
  <c r="AB128" i="57"/>
  <c r="AF128" i="57" s="1"/>
  <c r="AF130" i="53"/>
  <c r="AH68" i="50"/>
  <c r="AI68" i="50" s="1"/>
  <c r="AP68" i="50" s="1"/>
  <c r="AL69" i="50"/>
  <c r="P116" i="69"/>
  <c r="AP116" i="69"/>
  <c r="AK131" i="57"/>
  <c r="AJ127" i="57"/>
  <c r="O62" i="32"/>
  <c r="AK72" i="50"/>
  <c r="AG69" i="50"/>
  <c r="BC117" i="69"/>
  <c r="BF117" i="69"/>
  <c r="BE117" i="69"/>
  <c r="BD117" i="69"/>
  <c r="U60" i="32"/>
  <c r="U61" i="32"/>
  <c r="AH132" i="57"/>
  <c r="AI132" i="57" s="1"/>
  <c r="K132" i="57"/>
  <c r="AQ72" i="50"/>
  <c r="N72" i="50"/>
  <c r="AO71" i="50"/>
  <c r="AX115" i="69"/>
  <c r="AW115" i="69"/>
  <c r="L117" i="69"/>
  <c r="M117" i="69" s="1"/>
  <c r="AZ117" i="69"/>
  <c r="AG113" i="69"/>
  <c r="Y114" i="69"/>
  <c r="AB114" i="69" s="1"/>
  <c r="F115" i="69"/>
  <c r="G115" i="69" s="1"/>
  <c r="H115" i="69" s="1"/>
  <c r="I115" i="69" s="1"/>
  <c r="J115" i="69" s="1"/>
  <c r="K115" i="69" s="1"/>
  <c r="U115" i="69"/>
  <c r="AH115" i="69"/>
  <c r="F62" i="32"/>
  <c r="AU62" i="32"/>
  <c r="AY72" i="50"/>
  <c r="F72" i="50"/>
  <c r="U72" i="50" s="1"/>
  <c r="AD70" i="50"/>
  <c r="X129" i="57"/>
  <c r="AB129" i="57" s="1"/>
  <c r="AG131" i="57"/>
  <c r="AC132" i="53"/>
  <c r="O132" i="53"/>
  <c r="Q116" i="69"/>
  <c r="Q130" i="57"/>
  <c r="AE130" i="57"/>
  <c r="AD130" i="57"/>
  <c r="R130" i="57"/>
  <c r="AC130" i="57"/>
  <c r="AQ130" i="57"/>
  <c r="P71" i="50"/>
  <c r="N132" i="53"/>
  <c r="O72" i="50"/>
  <c r="AA130" i="53"/>
  <c r="AJ70" i="50"/>
  <c r="C70" i="50"/>
  <c r="S71" i="50"/>
  <c r="Z71" i="50" s="1"/>
  <c r="W70" i="50"/>
  <c r="X69" i="50"/>
  <c r="V70" i="50"/>
  <c r="AF115" i="69"/>
  <c r="P132" i="57"/>
  <c r="AC113" i="69"/>
  <c r="AD113" i="69" s="1"/>
  <c r="AO116" i="69"/>
  <c r="O117" i="69"/>
  <c r="AE131" i="53"/>
  <c r="AK62" i="32"/>
  <c r="AM71" i="50"/>
  <c r="R131" i="53"/>
  <c r="X131" i="53" s="1"/>
  <c r="AB131" i="53" s="1"/>
  <c r="AY115" i="69"/>
  <c r="L132" i="57"/>
  <c r="AG131" i="53"/>
  <c r="AT131" i="53"/>
  <c r="N132" i="57"/>
  <c r="AD131" i="53"/>
  <c r="Q131" i="53"/>
  <c r="AK131" i="52" a="1"/>
  <c r="AK131" i="52" s="1"/>
  <c r="B133" i="53" s="1"/>
  <c r="J132" i="53"/>
  <c r="E132" i="53"/>
  <c r="H132" i="53"/>
  <c r="D132" i="53"/>
  <c r="I132" i="53"/>
  <c r="P132" i="53"/>
  <c r="C132" i="53"/>
  <c r="G132" i="53"/>
  <c r="F132" i="53"/>
  <c r="L132" i="53"/>
  <c r="K132" i="53"/>
  <c r="AH132" i="53" s="1"/>
  <c r="M72" i="50"/>
  <c r="B72" i="50"/>
  <c r="G72" i="50"/>
  <c r="I72" i="50"/>
  <c r="L72" i="50"/>
  <c r="J72" i="50"/>
  <c r="A72" i="50"/>
  <c r="H72" i="50"/>
  <c r="K72" i="50"/>
  <c r="G132" i="57"/>
  <c r="E132" i="57"/>
  <c r="C132" i="57"/>
  <c r="I132" i="57"/>
  <c r="J132" i="57"/>
  <c r="D132" i="57"/>
  <c r="H132" i="57"/>
  <c r="F132" i="57"/>
  <c r="AN131" i="55" a="1"/>
  <c r="AN131" i="55" s="1"/>
  <c r="B133" i="57" s="1"/>
  <c r="O133" i="57" s="1"/>
  <c r="AS117" i="67" a="1"/>
  <c r="AS117" i="67" s="1"/>
  <c r="B118" i="69"/>
  <c r="AM118" i="69" s="1"/>
  <c r="AN118" i="69" s="1"/>
  <c r="R115" i="69"/>
  <c r="S115" i="69" s="1"/>
  <c r="AE115" i="69"/>
  <c r="D116" i="69"/>
  <c r="E116" i="69" s="1"/>
  <c r="C117" i="69"/>
  <c r="AL62" i="11" a="1"/>
  <c r="AL62" i="11" s="1"/>
  <c r="AP72" i="59" a="1"/>
  <c r="AP72" i="59" s="1"/>
  <c r="E73" i="50" s="1"/>
  <c r="T73" i="50" s="1"/>
  <c r="AF129" i="57" l="1"/>
  <c r="AF131" i="53"/>
  <c r="AH69" i="50"/>
  <c r="AI69" i="50" s="1"/>
  <c r="AP69" i="50" s="1"/>
  <c r="AK132" i="57"/>
  <c r="P117" i="69"/>
  <c r="AP117" i="69"/>
  <c r="AJ128" i="57"/>
  <c r="AK73" i="50"/>
  <c r="AL70" i="50"/>
  <c r="AG70" i="50"/>
  <c r="BC118" i="69"/>
  <c r="BF118" i="69"/>
  <c r="BD118" i="69"/>
  <c r="BE118" i="69"/>
  <c r="U62" i="32"/>
  <c r="AH133" i="57"/>
  <c r="AI133" i="57" s="1"/>
  <c r="K133" i="57"/>
  <c r="AQ73" i="50"/>
  <c r="N73" i="50"/>
  <c r="AO72" i="50"/>
  <c r="AW116" i="69"/>
  <c r="AX116" i="69"/>
  <c r="L118" i="69"/>
  <c r="M118" i="69" s="1"/>
  <c r="AZ118" i="69"/>
  <c r="Y115" i="69"/>
  <c r="AB115" i="69" s="1"/>
  <c r="AG114" i="69"/>
  <c r="U116" i="69"/>
  <c r="AH116" i="69"/>
  <c r="F116" i="69"/>
  <c r="G116" i="69" s="1"/>
  <c r="H116" i="69" s="1"/>
  <c r="I116" i="69" s="1"/>
  <c r="J116" i="69" s="1"/>
  <c r="K116" i="69" s="1"/>
  <c r="AY73" i="50"/>
  <c r="F73" i="50"/>
  <c r="U73" i="50" s="1"/>
  <c r="AD71" i="50"/>
  <c r="AG132" i="57"/>
  <c r="X130" i="57"/>
  <c r="AB130" i="57" s="1"/>
  <c r="AC133" i="53"/>
  <c r="O133" i="53"/>
  <c r="Q117" i="69"/>
  <c r="AA129" i="57"/>
  <c r="AQ131" i="57"/>
  <c r="Q131" i="57"/>
  <c r="AD131" i="57"/>
  <c r="R131" i="57"/>
  <c r="AC131" i="57"/>
  <c r="AE131" i="57"/>
  <c r="P72" i="50"/>
  <c r="N133" i="53"/>
  <c r="O73" i="50"/>
  <c r="AA131" i="53"/>
  <c r="AJ71" i="50"/>
  <c r="C71" i="50"/>
  <c r="S72" i="50"/>
  <c r="Z72" i="50" s="1"/>
  <c r="W71" i="50"/>
  <c r="X70" i="50"/>
  <c r="V71" i="50"/>
  <c r="AF116" i="69"/>
  <c r="P133" i="57"/>
  <c r="AC114" i="69"/>
  <c r="AD114" i="69" s="1"/>
  <c r="O118" i="69"/>
  <c r="AO117" i="69"/>
  <c r="AE132" i="53"/>
  <c r="AM72" i="50"/>
  <c r="R132" i="53"/>
  <c r="X132" i="53" s="1"/>
  <c r="AB132" i="53" s="1"/>
  <c r="AY116" i="69"/>
  <c r="L133" i="57"/>
  <c r="AG132" i="53"/>
  <c r="AT132" i="53"/>
  <c r="N133" i="57"/>
  <c r="J133" i="53"/>
  <c r="AD132" i="53"/>
  <c r="K133" i="53"/>
  <c r="AH133" i="53" s="1"/>
  <c r="C133" i="53"/>
  <c r="D133" i="53"/>
  <c r="L133" i="53"/>
  <c r="E133" i="53"/>
  <c r="Q132" i="53"/>
  <c r="P133" i="53"/>
  <c r="I133" i="53"/>
  <c r="H133" i="53"/>
  <c r="AK132" i="52" a="1"/>
  <c r="AK132" i="52" s="1"/>
  <c r="B134" i="53" s="1"/>
  <c r="G133" i="53"/>
  <c r="F133" i="53"/>
  <c r="G73" i="50"/>
  <c r="A73" i="50"/>
  <c r="L73" i="50"/>
  <c r="H73" i="50"/>
  <c r="I73" i="50"/>
  <c r="K73" i="50"/>
  <c r="J73" i="50"/>
  <c r="B73" i="50"/>
  <c r="M73" i="50"/>
  <c r="G133" i="57"/>
  <c r="E133" i="57"/>
  <c r="D133" i="57"/>
  <c r="C133" i="57"/>
  <c r="H133" i="57"/>
  <c r="I133" i="57"/>
  <c r="F133" i="57"/>
  <c r="J133" i="57"/>
  <c r="E63" i="32"/>
  <c r="T63" i="32" s="1"/>
  <c r="AN132" i="55" a="1"/>
  <c r="AN132" i="55" s="1"/>
  <c r="B134" i="57" s="1"/>
  <c r="O134" i="57" s="1"/>
  <c r="AS118" i="67" a="1"/>
  <c r="AS118" i="67" s="1"/>
  <c r="B119" i="69"/>
  <c r="AM119" i="69" s="1"/>
  <c r="AN119" i="69" s="1"/>
  <c r="AE116" i="69"/>
  <c r="R116" i="69"/>
  <c r="S116" i="69" s="1"/>
  <c r="D117" i="69"/>
  <c r="E117" i="69" s="1"/>
  <c r="C118" i="69"/>
  <c r="AL63" i="11" a="1"/>
  <c r="AL63" i="11" s="1"/>
  <c r="E64" i="32" s="1"/>
  <c r="T64" i="32" s="1"/>
  <c r="AP73" i="59" a="1"/>
  <c r="AP73" i="59" s="1"/>
  <c r="E74" i="50" s="1"/>
  <c r="T74" i="50" s="1"/>
  <c r="AF130" i="57" l="1"/>
  <c r="AF132" i="53"/>
  <c r="AH70" i="50"/>
  <c r="AI70" i="50" s="1"/>
  <c r="AP70" i="50" s="1"/>
  <c r="AK133" i="57"/>
  <c r="P118" i="69"/>
  <c r="AP118" i="69"/>
  <c r="AJ129" i="57"/>
  <c r="AL71" i="50"/>
  <c r="O64" i="32"/>
  <c r="O63" i="32"/>
  <c r="AK74" i="50"/>
  <c r="AG71" i="50"/>
  <c r="BC119" i="69"/>
  <c r="BF119" i="69"/>
  <c r="BD119" i="69"/>
  <c r="BE119" i="69"/>
  <c r="AH134" i="57"/>
  <c r="AI134" i="57" s="1"/>
  <c r="K134" i="57"/>
  <c r="AQ74" i="50"/>
  <c r="N74" i="50"/>
  <c r="AO73" i="50"/>
  <c r="AX117" i="69"/>
  <c r="AW117" i="69"/>
  <c r="L119" i="69"/>
  <c r="M119" i="69" s="1"/>
  <c r="AZ119" i="69"/>
  <c r="AG115" i="69"/>
  <c r="F117" i="69"/>
  <c r="G117" i="69" s="1"/>
  <c r="H117" i="69" s="1"/>
  <c r="I117" i="69" s="1"/>
  <c r="J117" i="69" s="1"/>
  <c r="K117" i="69" s="1"/>
  <c r="Y116" i="69"/>
  <c r="AB116" i="69" s="1"/>
  <c r="U117" i="69"/>
  <c r="AH117" i="69"/>
  <c r="F64" i="32"/>
  <c r="AU64" i="32"/>
  <c r="F63" i="32"/>
  <c r="AU63" i="32"/>
  <c r="F74" i="50"/>
  <c r="U74" i="50" s="1"/>
  <c r="AY74" i="50"/>
  <c r="AD72" i="50"/>
  <c r="AG133" i="57"/>
  <c r="X131" i="57"/>
  <c r="AB131" i="57" s="1"/>
  <c r="AC134" i="53"/>
  <c r="O134" i="53"/>
  <c r="Q118" i="69"/>
  <c r="AA130" i="57"/>
  <c r="AE132" i="57"/>
  <c r="AD132" i="57"/>
  <c r="Q132" i="57"/>
  <c r="AQ132" i="57"/>
  <c r="R132" i="57"/>
  <c r="AC132" i="57"/>
  <c r="P73" i="50"/>
  <c r="N134" i="53"/>
  <c r="O74" i="50"/>
  <c r="AA132" i="53"/>
  <c r="AJ72" i="50"/>
  <c r="C72" i="50"/>
  <c r="S73" i="50"/>
  <c r="Z73" i="50" s="1"/>
  <c r="W72" i="50"/>
  <c r="X71" i="50"/>
  <c r="V72" i="50"/>
  <c r="AF117" i="69"/>
  <c r="P134" i="57"/>
  <c r="AC115" i="69"/>
  <c r="AD115" i="69" s="1"/>
  <c r="AO118" i="69"/>
  <c r="O119" i="69"/>
  <c r="AE133" i="53"/>
  <c r="AK64" i="32"/>
  <c r="AK63" i="32"/>
  <c r="AM73" i="50"/>
  <c r="R133" i="53"/>
  <c r="X133" i="53" s="1"/>
  <c r="AB133" i="53" s="1"/>
  <c r="AY117" i="69"/>
  <c r="L134" i="57"/>
  <c r="AG133" i="53"/>
  <c r="AT133" i="53"/>
  <c r="N134" i="57"/>
  <c r="L134" i="53"/>
  <c r="AD133" i="53"/>
  <c r="Q133" i="53"/>
  <c r="I134" i="53"/>
  <c r="P134" i="53"/>
  <c r="H134" i="53"/>
  <c r="K134" i="53"/>
  <c r="AH134" i="53" s="1"/>
  <c r="E134" i="53"/>
  <c r="C134" i="53"/>
  <c r="F134" i="53"/>
  <c r="AK133" i="52" a="1"/>
  <c r="AK133" i="52" s="1"/>
  <c r="B135" i="53" s="1"/>
  <c r="G134" i="53"/>
  <c r="J134" i="53"/>
  <c r="D134" i="53"/>
  <c r="I74" i="50"/>
  <c r="J74" i="50"/>
  <c r="H74" i="50"/>
  <c r="G74" i="50"/>
  <c r="K74" i="50"/>
  <c r="M74" i="50"/>
  <c r="B74" i="50"/>
  <c r="A74" i="50"/>
  <c r="L74" i="50"/>
  <c r="I134" i="57"/>
  <c r="G134" i="57"/>
  <c r="E134" i="57"/>
  <c r="C134" i="57"/>
  <c r="F134" i="57"/>
  <c r="J134" i="57"/>
  <c r="D134" i="57"/>
  <c r="H134" i="57"/>
  <c r="AN133" i="55" a="1"/>
  <c r="AN133" i="55" s="1"/>
  <c r="B135" i="57" s="1"/>
  <c r="O135" i="57" s="1"/>
  <c r="C119" i="69"/>
  <c r="D118" i="69"/>
  <c r="E118" i="69" s="1"/>
  <c r="AE117" i="69"/>
  <c r="R117" i="69"/>
  <c r="S117" i="69" s="1"/>
  <c r="AS119" i="67" a="1"/>
  <c r="AS119" i="67" s="1"/>
  <c r="B120" i="69"/>
  <c r="AM120" i="69" s="1"/>
  <c r="AN120" i="69" s="1"/>
  <c r="AL64" i="11" a="1"/>
  <c r="AL64" i="11" s="1"/>
  <c r="AP74" i="59" a="1"/>
  <c r="AP74" i="59" s="1"/>
  <c r="E75" i="50" s="1"/>
  <c r="T75" i="50" s="1"/>
  <c r="AF131" i="57" l="1"/>
  <c r="AF133" i="53"/>
  <c r="AH71" i="50"/>
  <c r="AI71" i="50" s="1"/>
  <c r="AP71" i="50" s="1"/>
  <c r="AL72" i="50"/>
  <c r="P119" i="69"/>
  <c r="AP119" i="69"/>
  <c r="AK134" i="57"/>
  <c r="AJ130" i="57"/>
  <c r="AK75" i="50"/>
  <c r="AG72" i="50"/>
  <c r="BC120" i="69"/>
  <c r="BE120" i="69"/>
  <c r="BF120" i="69"/>
  <c r="BD120" i="69"/>
  <c r="U63" i="32"/>
  <c r="U64" i="32"/>
  <c r="K135" i="57"/>
  <c r="AH135" i="57"/>
  <c r="AI135" i="57" s="1"/>
  <c r="N75" i="50"/>
  <c r="AQ75" i="50"/>
  <c r="AO74" i="50"/>
  <c r="AX118" i="69"/>
  <c r="AW118" i="69"/>
  <c r="L120" i="69"/>
  <c r="M120" i="69" s="1"/>
  <c r="AZ120" i="69"/>
  <c r="Y117" i="69"/>
  <c r="AB117" i="69" s="1"/>
  <c r="AG116" i="69"/>
  <c r="F118" i="69"/>
  <c r="G118" i="69" s="1"/>
  <c r="H118" i="69" s="1"/>
  <c r="I118" i="69" s="1"/>
  <c r="J118" i="69" s="1"/>
  <c r="K118" i="69" s="1"/>
  <c r="U118" i="69"/>
  <c r="AH118" i="69"/>
  <c r="F75" i="50"/>
  <c r="U75" i="50" s="1"/>
  <c r="AY75" i="50"/>
  <c r="AD73" i="50"/>
  <c r="X132" i="57"/>
  <c r="AB132" i="57" s="1"/>
  <c r="AG134" i="57"/>
  <c r="AC135" i="53"/>
  <c r="O135" i="53"/>
  <c r="Q119" i="69"/>
  <c r="AA131" i="57"/>
  <c r="Q133" i="57"/>
  <c r="AD133" i="57"/>
  <c r="R133" i="57"/>
  <c r="AE133" i="57"/>
  <c r="AC133" i="57"/>
  <c r="AQ133" i="57"/>
  <c r="P74" i="50"/>
  <c r="N135" i="53"/>
  <c r="O75" i="50"/>
  <c r="AA133" i="53"/>
  <c r="AJ73" i="50"/>
  <c r="C73" i="50"/>
  <c r="S74" i="50"/>
  <c r="Z74" i="50" s="1"/>
  <c r="W73" i="50"/>
  <c r="X72" i="50"/>
  <c r="V73" i="50"/>
  <c r="AF118" i="69"/>
  <c r="P135" i="57"/>
  <c r="AC116" i="69"/>
  <c r="AD116" i="69" s="1"/>
  <c r="O120" i="69"/>
  <c r="AO119" i="69"/>
  <c r="AE134" i="53"/>
  <c r="AM74" i="50"/>
  <c r="R134" i="53"/>
  <c r="X134" i="53" s="1"/>
  <c r="AB134" i="53" s="1"/>
  <c r="AY118" i="69"/>
  <c r="L135" i="57"/>
  <c r="AT134" i="53"/>
  <c r="AG134" i="53"/>
  <c r="N135" i="57"/>
  <c r="P135" i="53"/>
  <c r="AD134" i="53"/>
  <c r="Q134" i="53"/>
  <c r="F135" i="53"/>
  <c r="K135" i="53"/>
  <c r="AH135" i="53" s="1"/>
  <c r="I135" i="53"/>
  <c r="AK134" i="52" a="1"/>
  <c r="AK134" i="52" s="1"/>
  <c r="B136" i="53" s="1"/>
  <c r="D135" i="53"/>
  <c r="L135" i="53"/>
  <c r="E135" i="53"/>
  <c r="J135" i="53"/>
  <c r="G135" i="53"/>
  <c r="C135" i="53"/>
  <c r="H135" i="53"/>
  <c r="I75" i="50"/>
  <c r="H75" i="50"/>
  <c r="M75" i="50"/>
  <c r="K75" i="50"/>
  <c r="A75" i="50"/>
  <c r="L75" i="50"/>
  <c r="B75" i="50"/>
  <c r="G75" i="50"/>
  <c r="J75" i="50"/>
  <c r="H135" i="57"/>
  <c r="G135" i="57"/>
  <c r="E135" i="57"/>
  <c r="D135" i="57"/>
  <c r="C135" i="57"/>
  <c r="I135" i="57"/>
  <c r="F135" i="57"/>
  <c r="J135" i="57"/>
  <c r="E65" i="32"/>
  <c r="T65" i="32" s="1"/>
  <c r="AN134" i="55" a="1"/>
  <c r="AN134" i="55" s="1"/>
  <c r="B136" i="57" s="1"/>
  <c r="O136" i="57" s="1"/>
  <c r="AS120" i="67" a="1"/>
  <c r="AS120" i="67" s="1"/>
  <c r="B121" i="69"/>
  <c r="AM121" i="69" s="1"/>
  <c r="AN121" i="69" s="1"/>
  <c r="C120" i="69"/>
  <c r="R118" i="69"/>
  <c r="S118" i="69" s="1"/>
  <c r="AE118" i="69"/>
  <c r="D119" i="69"/>
  <c r="E119" i="69" s="1"/>
  <c r="AL65" i="11" a="1"/>
  <c r="AL65" i="11" s="1"/>
  <c r="AP75" i="59" a="1"/>
  <c r="AP75" i="59" s="1"/>
  <c r="E76" i="50" s="1"/>
  <c r="T76" i="50" s="1"/>
  <c r="AF134" i="53" l="1"/>
  <c r="AF132" i="57"/>
  <c r="AH72" i="50"/>
  <c r="AI72" i="50" s="1"/>
  <c r="AP72" i="50" s="1"/>
  <c r="P120" i="69"/>
  <c r="AP120" i="69"/>
  <c r="AK135" i="57"/>
  <c r="AJ131" i="57"/>
  <c r="AL73" i="50"/>
  <c r="O65" i="32"/>
  <c r="AK76" i="50"/>
  <c r="AG73" i="50"/>
  <c r="BC121" i="69"/>
  <c r="BE121" i="69"/>
  <c r="BF121" i="69"/>
  <c r="BD121" i="69"/>
  <c r="AH136" i="57"/>
  <c r="AI136" i="57" s="1"/>
  <c r="K136" i="57"/>
  <c r="AQ76" i="50"/>
  <c r="N76" i="50"/>
  <c r="AO75" i="50"/>
  <c r="AW119" i="69"/>
  <c r="AX119" i="69"/>
  <c r="L121" i="69"/>
  <c r="M121" i="69" s="1"/>
  <c r="AZ121" i="69"/>
  <c r="AG117" i="69"/>
  <c r="F119" i="69"/>
  <c r="G119" i="69" s="1"/>
  <c r="H119" i="69" s="1"/>
  <c r="I119" i="69" s="1"/>
  <c r="J119" i="69" s="1"/>
  <c r="K119" i="69" s="1"/>
  <c r="Y118" i="69"/>
  <c r="AG118" i="69" s="1"/>
  <c r="U119" i="69"/>
  <c r="AH119" i="69"/>
  <c r="F65" i="32"/>
  <c r="AU65" i="32"/>
  <c r="F76" i="50"/>
  <c r="U76" i="50" s="1"/>
  <c r="AY76" i="50"/>
  <c r="AD74" i="50"/>
  <c r="X133" i="57"/>
  <c r="AB133" i="57" s="1"/>
  <c r="AG135" i="57"/>
  <c r="AC136" i="53"/>
  <c r="O136" i="53"/>
  <c r="Q120" i="69"/>
  <c r="Q134" i="57"/>
  <c r="AE134" i="57"/>
  <c r="AA132" i="57"/>
  <c r="AD134" i="57"/>
  <c r="R134" i="57"/>
  <c r="AC134" i="57"/>
  <c r="AQ134" i="57"/>
  <c r="P75" i="50"/>
  <c r="N136" i="53"/>
  <c r="O76" i="50"/>
  <c r="AA134" i="53"/>
  <c r="AJ74" i="50"/>
  <c r="C74" i="50"/>
  <c r="S75" i="50"/>
  <c r="Z75" i="50" s="1"/>
  <c r="W74" i="50"/>
  <c r="X73" i="50"/>
  <c r="V74" i="50"/>
  <c r="AF119" i="69"/>
  <c r="P136" i="57"/>
  <c r="AC117" i="69"/>
  <c r="AD117" i="69" s="1"/>
  <c r="AO120" i="69"/>
  <c r="O121" i="69"/>
  <c r="AE135" i="53"/>
  <c r="AK65" i="32"/>
  <c r="AM75" i="50"/>
  <c r="R135" i="53"/>
  <c r="X135" i="53" s="1"/>
  <c r="AB135" i="53" s="1"/>
  <c r="AY119" i="69"/>
  <c r="L136" i="57"/>
  <c r="AG135" i="53"/>
  <c r="AT135" i="53"/>
  <c r="N136" i="57"/>
  <c r="J136" i="53"/>
  <c r="Q135" i="53"/>
  <c r="AD135" i="53"/>
  <c r="AK135" i="52" a="1"/>
  <c r="AK135" i="52" s="1"/>
  <c r="B137" i="53" s="1"/>
  <c r="P136" i="53"/>
  <c r="D136" i="53"/>
  <c r="F136" i="53"/>
  <c r="G136" i="53"/>
  <c r="E136" i="53"/>
  <c r="L136" i="53"/>
  <c r="C136" i="53"/>
  <c r="K136" i="53"/>
  <c r="AH136" i="53" s="1"/>
  <c r="I136" i="53"/>
  <c r="H136" i="53"/>
  <c r="M76" i="50"/>
  <c r="I76" i="50"/>
  <c r="K76" i="50"/>
  <c r="B76" i="50"/>
  <c r="J76" i="50"/>
  <c r="G76" i="50"/>
  <c r="H76" i="50"/>
  <c r="A76" i="50"/>
  <c r="L76" i="50"/>
  <c r="I136" i="57"/>
  <c r="G136" i="57"/>
  <c r="E136" i="57"/>
  <c r="C136" i="57"/>
  <c r="F136" i="57"/>
  <c r="J136" i="57"/>
  <c r="H136" i="57"/>
  <c r="D136" i="57"/>
  <c r="E66" i="32"/>
  <c r="T66" i="32" s="1"/>
  <c r="AN135" i="55" a="1"/>
  <c r="AN135" i="55" s="1"/>
  <c r="B137" i="57" s="1"/>
  <c r="O137" i="57" s="1"/>
  <c r="D120" i="69"/>
  <c r="E120" i="69" s="1"/>
  <c r="AE119" i="69"/>
  <c r="R119" i="69"/>
  <c r="S119" i="69" s="1"/>
  <c r="C121" i="69"/>
  <c r="AS121" i="67" a="1"/>
  <c r="AS121" i="67" s="1"/>
  <c r="B122" i="69"/>
  <c r="AM122" i="69" s="1"/>
  <c r="AN122" i="69" s="1"/>
  <c r="AL66" i="11" a="1"/>
  <c r="AL66" i="11" s="1"/>
  <c r="E67" i="32" s="1"/>
  <c r="T67" i="32" s="1"/>
  <c r="AP76" i="59" a="1"/>
  <c r="AP76" i="59" s="1"/>
  <c r="E77" i="50" s="1"/>
  <c r="T77" i="50" s="1"/>
  <c r="AF133" i="57" l="1"/>
  <c r="AF135" i="53"/>
  <c r="AH73" i="50"/>
  <c r="AI73" i="50" s="1"/>
  <c r="AP73" i="50" s="1"/>
  <c r="P121" i="69"/>
  <c r="AP121" i="69"/>
  <c r="AK136" i="57"/>
  <c r="AJ132" i="57"/>
  <c r="O67" i="32"/>
  <c r="O66" i="32"/>
  <c r="AK77" i="50"/>
  <c r="AL74" i="50"/>
  <c r="AG74" i="50"/>
  <c r="BC122" i="69"/>
  <c r="BE122" i="69"/>
  <c r="BF122" i="69"/>
  <c r="BD122" i="69"/>
  <c r="U65" i="32"/>
  <c r="AH137" i="57"/>
  <c r="AI137" i="57" s="1"/>
  <c r="K137" i="57"/>
  <c r="AQ77" i="50"/>
  <c r="N77" i="50"/>
  <c r="AO76" i="50"/>
  <c r="AX120" i="69"/>
  <c r="AW120" i="69"/>
  <c r="L122" i="69"/>
  <c r="M122" i="69" s="1"/>
  <c r="AZ122" i="69"/>
  <c r="AB118" i="69"/>
  <c r="AC118" i="69" s="1"/>
  <c r="AD118" i="69" s="1"/>
  <c r="F120" i="69"/>
  <c r="G120" i="69" s="1"/>
  <c r="H120" i="69" s="1"/>
  <c r="I120" i="69" s="1"/>
  <c r="J120" i="69" s="1"/>
  <c r="K120" i="69" s="1"/>
  <c r="U120" i="69"/>
  <c r="AH120" i="69"/>
  <c r="F67" i="32"/>
  <c r="AU67" i="32"/>
  <c r="F66" i="32"/>
  <c r="AU66" i="32"/>
  <c r="AY77" i="50"/>
  <c r="F77" i="50"/>
  <c r="U77" i="50" s="1"/>
  <c r="X134" i="57"/>
  <c r="AB134" i="57" s="1"/>
  <c r="Y119" i="69"/>
  <c r="AB119" i="69" s="1"/>
  <c r="AC119" i="69" s="1"/>
  <c r="AD119" i="69" s="1"/>
  <c r="AD75" i="50"/>
  <c r="AG136" i="57"/>
  <c r="AE135" i="57"/>
  <c r="AC137" i="53"/>
  <c r="O137" i="53"/>
  <c r="Q121" i="69"/>
  <c r="AA133" i="57"/>
  <c r="R135" i="57"/>
  <c r="AC135" i="57"/>
  <c r="Q135" i="57"/>
  <c r="AQ135" i="57"/>
  <c r="AD135" i="57"/>
  <c r="P76" i="50"/>
  <c r="N137" i="53"/>
  <c r="O77" i="50"/>
  <c r="AA135" i="53"/>
  <c r="AJ75" i="50"/>
  <c r="C75" i="50"/>
  <c r="S76" i="50"/>
  <c r="Z76" i="50" s="1"/>
  <c r="W75" i="50"/>
  <c r="X74" i="50"/>
  <c r="V75" i="50"/>
  <c r="AF120" i="69"/>
  <c r="P137" i="57"/>
  <c r="O122" i="69"/>
  <c r="AO121" i="69"/>
  <c r="AE136" i="53"/>
  <c r="AK67" i="32"/>
  <c r="AK66" i="32"/>
  <c r="AM76" i="50"/>
  <c r="R136" i="53"/>
  <c r="X136" i="53" s="1"/>
  <c r="AB136" i="53" s="1"/>
  <c r="AY120" i="69"/>
  <c r="L137" i="57"/>
  <c r="Q136" i="53"/>
  <c r="AT136" i="53"/>
  <c r="AG136" i="53"/>
  <c r="N137" i="57"/>
  <c r="K137" i="53"/>
  <c r="AH137" i="53" s="1"/>
  <c r="AD136" i="53"/>
  <c r="G137" i="53"/>
  <c r="C137" i="53"/>
  <c r="P137" i="53"/>
  <c r="D137" i="53"/>
  <c r="I137" i="53"/>
  <c r="E137" i="53"/>
  <c r="AK136" i="52" a="1"/>
  <c r="AK136" i="52" s="1"/>
  <c r="B138" i="53" s="1"/>
  <c r="F137" i="53"/>
  <c r="L137" i="53"/>
  <c r="H137" i="53"/>
  <c r="J137" i="53"/>
  <c r="G77" i="50"/>
  <c r="M77" i="50"/>
  <c r="K77" i="50"/>
  <c r="H77" i="50"/>
  <c r="J77" i="50"/>
  <c r="I77" i="50"/>
  <c r="L77" i="50"/>
  <c r="B77" i="50"/>
  <c r="A77" i="50"/>
  <c r="I137" i="57"/>
  <c r="H137" i="57"/>
  <c r="G137" i="57"/>
  <c r="E137" i="57"/>
  <c r="D137" i="57"/>
  <c r="C137" i="57"/>
  <c r="F137" i="57"/>
  <c r="J137" i="57"/>
  <c r="AN136" i="55" a="1"/>
  <c r="AN136" i="55" s="1"/>
  <c r="B138" i="57" s="1"/>
  <c r="O138" i="57" s="1"/>
  <c r="AS122" i="67" a="1"/>
  <c r="AS122" i="67" s="1"/>
  <c r="B123" i="69"/>
  <c r="AM123" i="69" s="1"/>
  <c r="AN123" i="69" s="1"/>
  <c r="R120" i="69"/>
  <c r="S120" i="69" s="1"/>
  <c r="AE120" i="69"/>
  <c r="C122" i="69"/>
  <c r="D121" i="69"/>
  <c r="E121" i="69" s="1"/>
  <c r="AL67" i="11" a="1"/>
  <c r="AL67" i="11" s="1"/>
  <c r="E68" i="32" s="1"/>
  <c r="T68" i="32" s="1"/>
  <c r="AP77" i="59" a="1"/>
  <c r="AP77" i="59" s="1"/>
  <c r="E78" i="50" s="1"/>
  <c r="T78" i="50" s="1"/>
  <c r="AF134" i="57" l="1"/>
  <c r="AF136" i="53"/>
  <c r="AH74" i="50"/>
  <c r="AI74" i="50" s="1"/>
  <c r="AP74" i="50" s="1"/>
  <c r="AK137" i="57"/>
  <c r="P122" i="69"/>
  <c r="AP122" i="69"/>
  <c r="AJ133" i="57"/>
  <c r="O68" i="32"/>
  <c r="AK78" i="50"/>
  <c r="AL75" i="50"/>
  <c r="AG75" i="50"/>
  <c r="BC123" i="69"/>
  <c r="BD123" i="69"/>
  <c r="BE123" i="69"/>
  <c r="BF123" i="69"/>
  <c r="U66" i="32"/>
  <c r="U67" i="32"/>
  <c r="AH138" i="57"/>
  <c r="AI138" i="57" s="1"/>
  <c r="K138" i="57"/>
  <c r="N78" i="50"/>
  <c r="AQ78" i="50"/>
  <c r="AO77" i="50"/>
  <c r="AX121" i="69"/>
  <c r="AW121" i="69"/>
  <c r="L123" i="69"/>
  <c r="M123" i="69" s="1"/>
  <c r="AZ123" i="69"/>
  <c r="Y120" i="69"/>
  <c r="AB120" i="69" s="1"/>
  <c r="AC120" i="69" s="1"/>
  <c r="AD120" i="69" s="1"/>
  <c r="U121" i="69"/>
  <c r="AH121" i="69"/>
  <c r="F121" i="69"/>
  <c r="G121" i="69" s="1"/>
  <c r="H121" i="69" s="1"/>
  <c r="I121" i="69" s="1"/>
  <c r="J121" i="69" s="1"/>
  <c r="K121" i="69" s="1"/>
  <c r="F68" i="32"/>
  <c r="AU68" i="32"/>
  <c r="F78" i="50"/>
  <c r="U78" i="50" s="1"/>
  <c r="AY78" i="50"/>
  <c r="X135" i="57"/>
  <c r="AD76" i="50"/>
  <c r="AG119" i="69"/>
  <c r="AG137" i="57"/>
  <c r="AC138" i="53"/>
  <c r="O138" i="53"/>
  <c r="Q122" i="69"/>
  <c r="AA134" i="57"/>
  <c r="R136" i="57"/>
  <c r="Q136" i="57"/>
  <c r="AE136" i="57"/>
  <c r="AC136" i="57"/>
  <c r="AD136" i="57"/>
  <c r="AQ136" i="57"/>
  <c r="AQ137" i="57"/>
  <c r="P77" i="50"/>
  <c r="N138" i="53"/>
  <c r="O78" i="50"/>
  <c r="AA136" i="53"/>
  <c r="C76" i="50"/>
  <c r="AJ76" i="50"/>
  <c r="S77" i="50"/>
  <c r="Z77" i="50" s="1"/>
  <c r="W76" i="50"/>
  <c r="X75" i="50"/>
  <c r="V76" i="50"/>
  <c r="AF121" i="69"/>
  <c r="P138" i="57"/>
  <c r="O123" i="69"/>
  <c r="AO122" i="69"/>
  <c r="AE137" i="53"/>
  <c r="AK68" i="32"/>
  <c r="AM77" i="50"/>
  <c r="R137" i="53"/>
  <c r="X137" i="53" s="1"/>
  <c r="AB137" i="53" s="1"/>
  <c r="AY121" i="69"/>
  <c r="L138" i="57"/>
  <c r="AT137" i="53"/>
  <c r="AG137" i="53"/>
  <c r="N138" i="57"/>
  <c r="I138" i="53"/>
  <c r="Q137" i="53"/>
  <c r="AD137" i="53"/>
  <c r="AK137" i="52" a="1"/>
  <c r="AK137" i="52" s="1"/>
  <c r="B139" i="53" s="1"/>
  <c r="G138" i="53"/>
  <c r="J138" i="53"/>
  <c r="P138" i="53"/>
  <c r="K138" i="53"/>
  <c r="AH138" i="53" s="1"/>
  <c r="H138" i="53"/>
  <c r="F138" i="53"/>
  <c r="L138" i="53"/>
  <c r="C138" i="53"/>
  <c r="D138" i="53"/>
  <c r="E138" i="53"/>
  <c r="A78" i="50"/>
  <c r="K78" i="50"/>
  <c r="H78" i="50"/>
  <c r="L78" i="50"/>
  <c r="M78" i="50"/>
  <c r="B78" i="50"/>
  <c r="G78" i="50"/>
  <c r="I78" i="50"/>
  <c r="J78" i="50"/>
  <c r="I138" i="57"/>
  <c r="G138" i="57"/>
  <c r="E138" i="57"/>
  <c r="C138" i="57"/>
  <c r="F138" i="57"/>
  <c r="J138" i="57"/>
  <c r="D138" i="57"/>
  <c r="H138" i="57"/>
  <c r="AN137" i="55" a="1"/>
  <c r="AN137" i="55" s="1"/>
  <c r="B139" i="57" s="1"/>
  <c r="O139" i="57" s="1"/>
  <c r="D122" i="69"/>
  <c r="E122" i="69" s="1"/>
  <c r="C123" i="69"/>
  <c r="AE121" i="69"/>
  <c r="R121" i="69"/>
  <c r="S121" i="69" s="1"/>
  <c r="AS123" i="67" a="1"/>
  <c r="AS123" i="67" s="1"/>
  <c r="B124" i="69"/>
  <c r="AM124" i="69" s="1"/>
  <c r="AN124" i="69" s="1"/>
  <c r="AL68" i="11" a="1"/>
  <c r="AL68" i="11" s="1"/>
  <c r="AP78" i="59" a="1"/>
  <c r="AP78" i="59" s="1"/>
  <c r="E79" i="50" s="1"/>
  <c r="T79" i="50" s="1"/>
  <c r="AA135" i="57" l="1"/>
  <c r="AB135" i="57"/>
  <c r="AF135" i="57" s="1"/>
  <c r="AF137" i="53"/>
  <c r="AH75" i="50"/>
  <c r="AI75" i="50" s="1"/>
  <c r="AP75" i="50" s="1"/>
  <c r="AK138" i="57"/>
  <c r="P123" i="69"/>
  <c r="AP123" i="69"/>
  <c r="AJ134" i="57"/>
  <c r="AK79" i="50"/>
  <c r="AL76" i="50"/>
  <c r="AG76" i="50"/>
  <c r="BC124" i="69"/>
  <c r="BD124" i="69"/>
  <c r="BE124" i="69"/>
  <c r="BF124" i="69"/>
  <c r="U68" i="32"/>
  <c r="AH139" i="57"/>
  <c r="AI139" i="57" s="1"/>
  <c r="K139" i="57"/>
  <c r="N79" i="50"/>
  <c r="AQ79" i="50"/>
  <c r="AO78" i="50"/>
  <c r="AX122" i="69"/>
  <c r="AW122" i="69"/>
  <c r="L124" i="69"/>
  <c r="M124" i="69" s="1"/>
  <c r="AZ124" i="69"/>
  <c r="Y121" i="69"/>
  <c r="AB121" i="69" s="1"/>
  <c r="AG120" i="69"/>
  <c r="U122" i="69"/>
  <c r="AH122" i="69"/>
  <c r="F122" i="69"/>
  <c r="G122" i="69" s="1"/>
  <c r="H122" i="69" s="1"/>
  <c r="I122" i="69" s="1"/>
  <c r="J122" i="69" s="1"/>
  <c r="K122" i="69" s="1"/>
  <c r="AY79" i="50"/>
  <c r="F79" i="50"/>
  <c r="U79" i="50" s="1"/>
  <c r="AD77" i="50"/>
  <c r="X136" i="57"/>
  <c r="AB136" i="57" s="1"/>
  <c r="AG138" i="57"/>
  <c r="AC139" i="53"/>
  <c r="O139" i="53"/>
  <c r="Q123" i="69"/>
  <c r="Q137" i="57"/>
  <c r="AD137" i="57"/>
  <c r="R137" i="57"/>
  <c r="AE137" i="57"/>
  <c r="AC137" i="57"/>
  <c r="P78" i="50"/>
  <c r="N139" i="53"/>
  <c r="O79" i="50"/>
  <c r="AA137" i="53"/>
  <c r="AJ77" i="50"/>
  <c r="C77" i="50"/>
  <c r="S78" i="50"/>
  <c r="Z78" i="50" s="1"/>
  <c r="W77" i="50"/>
  <c r="X76" i="50"/>
  <c r="V77" i="50"/>
  <c r="AF122" i="69"/>
  <c r="P139" i="57"/>
  <c r="AO123" i="69"/>
  <c r="O124" i="69"/>
  <c r="AE138" i="53"/>
  <c r="AM78" i="50"/>
  <c r="R138" i="53"/>
  <c r="X138" i="53" s="1"/>
  <c r="AB138" i="53" s="1"/>
  <c r="AY122" i="69"/>
  <c r="L139" i="57"/>
  <c r="AT138" i="53"/>
  <c r="AG138" i="53"/>
  <c r="N139" i="57"/>
  <c r="AD138" i="53"/>
  <c r="Q138" i="53"/>
  <c r="AK138" i="52" a="1"/>
  <c r="AK138" i="52" s="1"/>
  <c r="B140" i="53" s="1"/>
  <c r="J139" i="53"/>
  <c r="K139" i="53"/>
  <c r="AH139" i="53" s="1"/>
  <c r="I139" i="53"/>
  <c r="L139" i="53"/>
  <c r="E139" i="53"/>
  <c r="G139" i="53"/>
  <c r="C139" i="53"/>
  <c r="H139" i="53"/>
  <c r="F139" i="53"/>
  <c r="D139" i="53"/>
  <c r="P139" i="53"/>
  <c r="A79" i="50"/>
  <c r="M79" i="50"/>
  <c r="B79" i="50"/>
  <c r="L79" i="50"/>
  <c r="J79" i="50"/>
  <c r="I79" i="50"/>
  <c r="G79" i="50"/>
  <c r="K79" i="50"/>
  <c r="H79" i="50"/>
  <c r="I139" i="57"/>
  <c r="H139" i="57"/>
  <c r="G139" i="57"/>
  <c r="E139" i="57"/>
  <c r="C139" i="57"/>
  <c r="D139" i="57"/>
  <c r="J139" i="57"/>
  <c r="F139" i="57"/>
  <c r="E69" i="32"/>
  <c r="T69" i="32" s="1"/>
  <c r="AN138" i="55" a="1"/>
  <c r="AN138" i="55" s="1"/>
  <c r="B140" i="57" s="1"/>
  <c r="O140" i="57" s="1"/>
  <c r="AS124" i="67" a="1"/>
  <c r="AS124" i="67" s="1"/>
  <c r="B125" i="69"/>
  <c r="AM125" i="69" s="1"/>
  <c r="AN125" i="69" s="1"/>
  <c r="C124" i="69"/>
  <c r="D123" i="69"/>
  <c r="E123" i="69" s="1"/>
  <c r="R122" i="69"/>
  <c r="S122" i="69" s="1"/>
  <c r="AE122" i="69"/>
  <c r="AL69" i="11" a="1"/>
  <c r="AL69" i="11" s="1"/>
  <c r="E70" i="32" s="1"/>
  <c r="T70" i="32" s="1"/>
  <c r="AP79" i="59" a="1"/>
  <c r="AP79" i="59" s="1"/>
  <c r="E80" i="50" s="1"/>
  <c r="T80" i="50" s="1"/>
  <c r="AF136" i="57" l="1"/>
  <c r="AF138" i="53"/>
  <c r="AH76" i="50"/>
  <c r="AI76" i="50" s="1"/>
  <c r="AP76" i="50" s="1"/>
  <c r="P124" i="69"/>
  <c r="AP124" i="69"/>
  <c r="AK139" i="57"/>
  <c r="AJ135" i="57"/>
  <c r="AL77" i="50"/>
  <c r="O70" i="32"/>
  <c r="O69" i="32"/>
  <c r="AK80" i="50"/>
  <c r="AG77" i="50"/>
  <c r="BC125" i="69"/>
  <c r="BF125" i="69"/>
  <c r="BE125" i="69"/>
  <c r="BD125" i="69"/>
  <c r="AH140" i="57"/>
  <c r="AI140" i="57" s="1"/>
  <c r="K140" i="57"/>
  <c r="AQ80" i="50"/>
  <c r="N80" i="50"/>
  <c r="AO79" i="50"/>
  <c r="AX123" i="69"/>
  <c r="AW123" i="69"/>
  <c r="L125" i="69"/>
  <c r="M125" i="69" s="1"/>
  <c r="AZ125" i="69"/>
  <c r="AG121" i="69"/>
  <c r="Y122" i="69"/>
  <c r="AB122" i="69" s="1"/>
  <c r="F123" i="69"/>
  <c r="G123" i="69" s="1"/>
  <c r="H123" i="69" s="1"/>
  <c r="I123" i="69" s="1"/>
  <c r="J123" i="69" s="1"/>
  <c r="K123" i="69" s="1"/>
  <c r="U123" i="69"/>
  <c r="AH123" i="69"/>
  <c r="F70" i="32"/>
  <c r="AU70" i="32"/>
  <c r="F69" i="32"/>
  <c r="AU69" i="32"/>
  <c r="F80" i="50"/>
  <c r="U80" i="50" s="1"/>
  <c r="AY80" i="50"/>
  <c r="AD78" i="50"/>
  <c r="X137" i="57"/>
  <c r="AB137" i="57" s="1"/>
  <c r="AG139" i="57"/>
  <c r="AA136" i="57"/>
  <c r="AC140" i="53"/>
  <c r="O140" i="53"/>
  <c r="Q124" i="69"/>
  <c r="R138" i="57"/>
  <c r="AC138" i="57"/>
  <c r="AD138" i="57"/>
  <c r="AE138" i="57"/>
  <c r="Q138" i="57"/>
  <c r="AQ138" i="57"/>
  <c r="P79" i="50"/>
  <c r="N140" i="53"/>
  <c r="O80" i="50"/>
  <c r="AA138" i="53"/>
  <c r="AJ78" i="50"/>
  <c r="C78" i="50"/>
  <c r="S79" i="50"/>
  <c r="Z79" i="50" s="1"/>
  <c r="W78" i="50"/>
  <c r="X77" i="50"/>
  <c r="V78" i="50"/>
  <c r="AF123" i="69"/>
  <c r="P140" i="57"/>
  <c r="AC121" i="69"/>
  <c r="AD121" i="69" s="1"/>
  <c r="O125" i="69"/>
  <c r="AO124" i="69"/>
  <c r="AE139" i="53"/>
  <c r="AK70" i="32"/>
  <c r="AK69" i="32"/>
  <c r="AM79" i="50"/>
  <c r="R139" i="53"/>
  <c r="X139" i="53" s="1"/>
  <c r="AB139" i="53" s="1"/>
  <c r="AY123" i="69"/>
  <c r="L140" i="57"/>
  <c r="AG139" i="53"/>
  <c r="AT139" i="53"/>
  <c r="N140" i="57"/>
  <c r="Q139" i="53"/>
  <c r="AD139" i="53"/>
  <c r="AK139" i="52" a="1"/>
  <c r="AK139" i="52" s="1"/>
  <c r="B141" i="53" s="1"/>
  <c r="H140" i="53"/>
  <c r="G140" i="53"/>
  <c r="I140" i="53"/>
  <c r="F140" i="53"/>
  <c r="P140" i="53"/>
  <c r="K140" i="53"/>
  <c r="AH140" i="53" s="1"/>
  <c r="E140" i="53"/>
  <c r="D140" i="53"/>
  <c r="C140" i="53"/>
  <c r="L140" i="53"/>
  <c r="J140" i="53"/>
  <c r="M80" i="50"/>
  <c r="A80" i="50"/>
  <c r="G80" i="50"/>
  <c r="I80" i="50"/>
  <c r="J80" i="50"/>
  <c r="K80" i="50"/>
  <c r="L80" i="50"/>
  <c r="H80" i="50"/>
  <c r="B80" i="50"/>
  <c r="I140" i="57"/>
  <c r="G140" i="57"/>
  <c r="E140" i="57"/>
  <c r="C140" i="57"/>
  <c r="F140" i="57"/>
  <c r="J140" i="57"/>
  <c r="H140" i="57"/>
  <c r="D140" i="57"/>
  <c r="AN139" i="55" a="1"/>
  <c r="AN139" i="55" s="1"/>
  <c r="B141" i="57" s="1"/>
  <c r="O141" i="57" s="1"/>
  <c r="R123" i="69"/>
  <c r="S123" i="69" s="1"/>
  <c r="AE123" i="69"/>
  <c r="C125" i="69"/>
  <c r="D124" i="69"/>
  <c r="E124" i="69" s="1"/>
  <c r="AS125" i="67" a="1"/>
  <c r="AS125" i="67" s="1"/>
  <c r="B126" i="69"/>
  <c r="AM126" i="69" s="1"/>
  <c r="AN126" i="69" s="1"/>
  <c r="AL70" i="11" a="1"/>
  <c r="AL70" i="11" s="1"/>
  <c r="E71" i="32" s="1"/>
  <c r="T71" i="32" s="1"/>
  <c r="AP80" i="59" a="1"/>
  <c r="AP80" i="59" s="1"/>
  <c r="E81" i="50" s="1"/>
  <c r="T81" i="50" s="1"/>
  <c r="AF137" i="57" l="1"/>
  <c r="AF139" i="53"/>
  <c r="AH77" i="50"/>
  <c r="AI77" i="50" s="1"/>
  <c r="AP77" i="50" s="1"/>
  <c r="AK140" i="57"/>
  <c r="P125" i="69"/>
  <c r="AP125" i="69"/>
  <c r="AJ136" i="57"/>
  <c r="AL78" i="50"/>
  <c r="O71" i="32"/>
  <c r="AK81" i="50"/>
  <c r="AG78" i="50"/>
  <c r="BC126" i="69"/>
  <c r="BF126" i="69"/>
  <c r="BD126" i="69"/>
  <c r="BE126" i="69"/>
  <c r="U69" i="32"/>
  <c r="U70" i="32"/>
  <c r="AH141" i="57"/>
  <c r="AI141" i="57" s="1"/>
  <c r="K141" i="57"/>
  <c r="AQ81" i="50"/>
  <c r="N81" i="50"/>
  <c r="AO80" i="50"/>
  <c r="AW124" i="69"/>
  <c r="AX124" i="69"/>
  <c r="L126" i="69"/>
  <c r="M126" i="69" s="1"/>
  <c r="AZ126" i="69"/>
  <c r="Y123" i="69"/>
  <c r="AB123" i="69" s="1"/>
  <c r="AG122" i="69"/>
  <c r="F124" i="69"/>
  <c r="G124" i="69" s="1"/>
  <c r="H124" i="69" s="1"/>
  <c r="I124" i="69" s="1"/>
  <c r="J124" i="69" s="1"/>
  <c r="K124" i="69" s="1"/>
  <c r="U124" i="69"/>
  <c r="AH124" i="69"/>
  <c r="F71" i="32"/>
  <c r="AU71" i="32"/>
  <c r="AY81" i="50"/>
  <c r="F81" i="50"/>
  <c r="U81" i="50" s="1"/>
  <c r="X138" i="57"/>
  <c r="AB138" i="57" s="1"/>
  <c r="AD79" i="50"/>
  <c r="AG140" i="57"/>
  <c r="AC141" i="53"/>
  <c r="O141" i="53"/>
  <c r="Q125" i="69"/>
  <c r="Q139" i="57"/>
  <c r="AA137" i="57"/>
  <c r="R139" i="57"/>
  <c r="AC139" i="57"/>
  <c r="AD139" i="57"/>
  <c r="AE139" i="57"/>
  <c r="AQ139" i="57"/>
  <c r="P80" i="50"/>
  <c r="N141" i="53"/>
  <c r="O81" i="50"/>
  <c r="AA139" i="53"/>
  <c r="AJ79" i="50"/>
  <c r="C79" i="50"/>
  <c r="S80" i="50"/>
  <c r="Z80" i="50" s="1"/>
  <c r="W79" i="50"/>
  <c r="X78" i="50"/>
  <c r="V79" i="50"/>
  <c r="AF124" i="69"/>
  <c r="P141" i="57"/>
  <c r="AC122" i="69"/>
  <c r="AD122" i="69" s="1"/>
  <c r="AO125" i="69"/>
  <c r="O126" i="69"/>
  <c r="AE140" i="53"/>
  <c r="AK71" i="32"/>
  <c r="AM80" i="50"/>
  <c r="R140" i="53"/>
  <c r="X140" i="53" s="1"/>
  <c r="AB140" i="53" s="1"/>
  <c r="AY124" i="69"/>
  <c r="L141" i="57"/>
  <c r="AT140" i="53"/>
  <c r="AG140" i="53"/>
  <c r="N141" i="57"/>
  <c r="Q140" i="53"/>
  <c r="AD140" i="53"/>
  <c r="J141" i="53"/>
  <c r="D141" i="53"/>
  <c r="G141" i="53"/>
  <c r="C141" i="53"/>
  <c r="H141" i="53"/>
  <c r="K141" i="53"/>
  <c r="AH141" i="53" s="1"/>
  <c r="F141" i="53"/>
  <c r="I141" i="53"/>
  <c r="L141" i="53"/>
  <c r="AK140" i="52" a="1"/>
  <c r="AK140" i="52" s="1"/>
  <c r="B142" i="53" s="1"/>
  <c r="E141" i="53"/>
  <c r="P141" i="53"/>
  <c r="B81" i="50"/>
  <c r="H81" i="50"/>
  <c r="I81" i="50"/>
  <c r="L81" i="50"/>
  <c r="K81" i="50"/>
  <c r="A81" i="50"/>
  <c r="M81" i="50"/>
  <c r="J81" i="50"/>
  <c r="G81" i="50"/>
  <c r="I141" i="57"/>
  <c r="H141" i="57"/>
  <c r="G141" i="57"/>
  <c r="E141" i="57"/>
  <c r="C141" i="57"/>
  <c r="D141" i="57"/>
  <c r="F141" i="57"/>
  <c r="J141" i="57"/>
  <c r="AN140" i="55" a="1"/>
  <c r="AN140" i="55" s="1"/>
  <c r="B142" i="57" s="1"/>
  <c r="O142" i="57" s="1"/>
  <c r="C126" i="69"/>
  <c r="AE124" i="69"/>
  <c r="R124" i="69"/>
  <c r="S124" i="69" s="1"/>
  <c r="D125" i="69"/>
  <c r="E125" i="69" s="1"/>
  <c r="AS126" i="67" a="1"/>
  <c r="AS126" i="67" s="1"/>
  <c r="B127" i="69"/>
  <c r="AM127" i="69" s="1"/>
  <c r="AN127" i="69" s="1"/>
  <c r="AL71" i="11" a="1"/>
  <c r="AL71" i="11" s="1"/>
  <c r="E72" i="32" s="1"/>
  <c r="T72" i="32" s="1"/>
  <c r="AP81" i="59" a="1"/>
  <c r="AP81" i="59" s="1"/>
  <c r="E82" i="50" s="1"/>
  <c r="T82" i="50" s="1"/>
  <c r="AF138" i="57" l="1"/>
  <c r="AF140" i="53"/>
  <c r="AH78" i="50"/>
  <c r="AI78" i="50" s="1"/>
  <c r="AP78" i="50" s="1"/>
  <c r="AK141" i="57"/>
  <c r="P126" i="69"/>
  <c r="AP126" i="69"/>
  <c r="AJ137" i="57"/>
  <c r="AL79" i="50"/>
  <c r="O72" i="32"/>
  <c r="AK82" i="50"/>
  <c r="AG79" i="50"/>
  <c r="BC127" i="69"/>
  <c r="BF127" i="69"/>
  <c r="BD127" i="69"/>
  <c r="BE127" i="69"/>
  <c r="U71" i="32"/>
  <c r="AH142" i="57"/>
  <c r="AI142" i="57" s="1"/>
  <c r="K142" i="57"/>
  <c r="AQ82" i="50"/>
  <c r="N82" i="50"/>
  <c r="AO81" i="50"/>
  <c r="AX125" i="69"/>
  <c r="AW125" i="69"/>
  <c r="L127" i="69"/>
  <c r="M127" i="69" s="1"/>
  <c r="AZ127" i="69"/>
  <c r="AG123" i="69"/>
  <c r="Y124" i="69"/>
  <c r="AB124" i="69" s="1"/>
  <c r="AC124" i="69" s="1"/>
  <c r="AD124" i="69" s="1"/>
  <c r="U125" i="69"/>
  <c r="AH125" i="69"/>
  <c r="F125" i="69"/>
  <c r="G125" i="69" s="1"/>
  <c r="H125" i="69" s="1"/>
  <c r="I125" i="69" s="1"/>
  <c r="J125" i="69" s="1"/>
  <c r="K125" i="69" s="1"/>
  <c r="F72" i="32"/>
  <c r="AU72" i="32"/>
  <c r="F82" i="50"/>
  <c r="U82" i="50" s="1"/>
  <c r="AY82" i="50"/>
  <c r="AD80" i="50"/>
  <c r="AG141" i="57"/>
  <c r="X139" i="57"/>
  <c r="AB139" i="57" s="1"/>
  <c r="AC142" i="53"/>
  <c r="O142" i="53"/>
  <c r="Q126" i="69"/>
  <c r="AA138" i="57"/>
  <c r="R140" i="57"/>
  <c r="AC140" i="57"/>
  <c r="AD140" i="57"/>
  <c r="AE140" i="57"/>
  <c r="Q140" i="57"/>
  <c r="AQ140" i="57"/>
  <c r="P81" i="50"/>
  <c r="N142" i="53"/>
  <c r="O82" i="50"/>
  <c r="AA140" i="53"/>
  <c r="AJ80" i="50"/>
  <c r="C80" i="50"/>
  <c r="S81" i="50"/>
  <c r="Z81" i="50" s="1"/>
  <c r="W80" i="50"/>
  <c r="X79" i="50"/>
  <c r="V80" i="50"/>
  <c r="AF125" i="69"/>
  <c r="P142" i="57"/>
  <c r="AC123" i="69"/>
  <c r="AD123" i="69" s="1"/>
  <c r="O127" i="69"/>
  <c r="AO126" i="69"/>
  <c r="AE141" i="53"/>
  <c r="AK72" i="32"/>
  <c r="AM81" i="50"/>
  <c r="R141" i="53"/>
  <c r="X141" i="53" s="1"/>
  <c r="AB141" i="53" s="1"/>
  <c r="AY125" i="69"/>
  <c r="L142" i="57"/>
  <c r="AG141" i="53"/>
  <c r="AT141" i="53"/>
  <c r="N142" i="57"/>
  <c r="Q141" i="53"/>
  <c r="AD141" i="53"/>
  <c r="AK141" i="52" a="1"/>
  <c r="AK141" i="52" s="1"/>
  <c r="B143" i="53" s="1"/>
  <c r="L142" i="53"/>
  <c r="I142" i="53"/>
  <c r="D142" i="53"/>
  <c r="P142" i="53"/>
  <c r="F142" i="53"/>
  <c r="K142" i="53"/>
  <c r="AH142" i="53" s="1"/>
  <c r="H142" i="53"/>
  <c r="C142" i="53"/>
  <c r="E142" i="53"/>
  <c r="G142" i="53"/>
  <c r="J142" i="53"/>
  <c r="K82" i="50"/>
  <c r="B82" i="50"/>
  <c r="M82" i="50"/>
  <c r="A82" i="50"/>
  <c r="I82" i="50"/>
  <c r="L82" i="50"/>
  <c r="H82" i="50"/>
  <c r="J82" i="50"/>
  <c r="G82" i="50"/>
  <c r="I142" i="57"/>
  <c r="G142" i="57"/>
  <c r="C142" i="57"/>
  <c r="E142" i="57"/>
  <c r="F142" i="57"/>
  <c r="D142" i="57"/>
  <c r="J142" i="57"/>
  <c r="H142" i="57"/>
  <c r="AN141" i="55" a="1"/>
  <c r="AN141" i="55" s="1"/>
  <c r="B143" i="57" s="1"/>
  <c r="O143" i="57" s="1"/>
  <c r="AE125" i="69"/>
  <c r="R125" i="69"/>
  <c r="S125" i="69" s="1"/>
  <c r="D126" i="69"/>
  <c r="E126" i="69" s="1"/>
  <c r="C127" i="69"/>
  <c r="AS127" i="67" a="1"/>
  <c r="AS127" i="67" s="1"/>
  <c r="B128" i="69"/>
  <c r="AM128" i="69" s="1"/>
  <c r="AN128" i="69" s="1"/>
  <c r="AL72" i="11" a="1"/>
  <c r="AL72" i="11" s="1"/>
  <c r="E73" i="32" s="1"/>
  <c r="T73" i="32" s="1"/>
  <c r="AP82" i="59" a="1"/>
  <c r="AP82" i="59" s="1"/>
  <c r="E83" i="50" s="1"/>
  <c r="T83" i="50" s="1"/>
  <c r="AF141" i="53" l="1"/>
  <c r="AF139" i="57"/>
  <c r="AH79" i="50"/>
  <c r="AI79" i="50" s="1"/>
  <c r="AP79" i="50" s="1"/>
  <c r="AL80" i="50"/>
  <c r="AK142" i="57"/>
  <c r="P127" i="69"/>
  <c r="AP127" i="69"/>
  <c r="AJ138" i="57"/>
  <c r="O73" i="32"/>
  <c r="AK83" i="50"/>
  <c r="AG80" i="50"/>
  <c r="BC128" i="69"/>
  <c r="BE128" i="69"/>
  <c r="BF128" i="69"/>
  <c r="BD128" i="69"/>
  <c r="U72" i="32"/>
  <c r="AH143" i="57"/>
  <c r="AI143" i="57" s="1"/>
  <c r="K143" i="57"/>
  <c r="N83" i="50"/>
  <c r="AQ83" i="50"/>
  <c r="AO82" i="50"/>
  <c r="AX126" i="69"/>
  <c r="AW126" i="69"/>
  <c r="L128" i="69"/>
  <c r="M128" i="69" s="1"/>
  <c r="AZ128" i="69"/>
  <c r="Y125" i="69"/>
  <c r="AB125" i="69" s="1"/>
  <c r="F126" i="69"/>
  <c r="G126" i="69" s="1"/>
  <c r="H126" i="69" s="1"/>
  <c r="I126" i="69" s="1"/>
  <c r="J126" i="69" s="1"/>
  <c r="K126" i="69" s="1"/>
  <c r="AG124" i="69"/>
  <c r="U126" i="69"/>
  <c r="AH126" i="69"/>
  <c r="F73" i="32"/>
  <c r="AU73" i="32"/>
  <c r="AY83" i="50"/>
  <c r="F83" i="50"/>
  <c r="U83" i="50" s="1"/>
  <c r="AA139" i="57"/>
  <c r="AD81" i="50"/>
  <c r="AG142" i="57"/>
  <c r="X140" i="57"/>
  <c r="AC143" i="53"/>
  <c r="O143" i="53"/>
  <c r="Q127" i="69"/>
  <c r="R141" i="57"/>
  <c r="AE141" i="57"/>
  <c r="Q141" i="57"/>
  <c r="AD141" i="57"/>
  <c r="AC141" i="57"/>
  <c r="AQ141" i="57"/>
  <c r="P82" i="50"/>
  <c r="N143" i="53"/>
  <c r="O83" i="50"/>
  <c r="AA141" i="53"/>
  <c r="AJ81" i="50"/>
  <c r="C81" i="50"/>
  <c r="S82" i="50"/>
  <c r="Z82" i="50" s="1"/>
  <c r="W81" i="50"/>
  <c r="X80" i="50"/>
  <c r="V81" i="50"/>
  <c r="AF126" i="69"/>
  <c r="P143" i="57"/>
  <c r="O128" i="69"/>
  <c r="AO127" i="69"/>
  <c r="AE142" i="53"/>
  <c r="AK73" i="32"/>
  <c r="AM82" i="50"/>
  <c r="R142" i="53"/>
  <c r="X142" i="53" s="1"/>
  <c r="AB142" i="53" s="1"/>
  <c r="AY126" i="69"/>
  <c r="L143" i="57"/>
  <c r="AG142" i="53"/>
  <c r="AT142" i="53"/>
  <c r="N143" i="57"/>
  <c r="AD142" i="53"/>
  <c r="Q142" i="53"/>
  <c r="F143" i="53"/>
  <c r="E143" i="53"/>
  <c r="H143" i="53"/>
  <c r="D143" i="53"/>
  <c r="J143" i="53"/>
  <c r="G143" i="53"/>
  <c r="K143" i="53"/>
  <c r="AH143" i="53" s="1"/>
  <c r="P143" i="53"/>
  <c r="I143" i="53"/>
  <c r="C143" i="53"/>
  <c r="AK142" i="52" a="1"/>
  <c r="AK142" i="52" s="1"/>
  <c r="B144" i="53" s="1"/>
  <c r="L143" i="53"/>
  <c r="B83" i="50"/>
  <c r="J83" i="50"/>
  <c r="K83" i="50"/>
  <c r="A83" i="50"/>
  <c r="I83" i="50"/>
  <c r="M83" i="50"/>
  <c r="H83" i="50"/>
  <c r="G83" i="50"/>
  <c r="L83" i="50"/>
  <c r="C143" i="57"/>
  <c r="I143" i="57"/>
  <c r="H143" i="57"/>
  <c r="G143" i="57"/>
  <c r="D143" i="57"/>
  <c r="E143" i="57"/>
  <c r="J143" i="57"/>
  <c r="F143" i="57"/>
  <c r="AN142" i="55" a="1"/>
  <c r="AN142" i="55" s="1"/>
  <c r="B144" i="57" s="1"/>
  <c r="O144" i="57" s="1"/>
  <c r="D127" i="69"/>
  <c r="E127" i="69" s="1"/>
  <c r="C128" i="69"/>
  <c r="AS128" i="67" a="1"/>
  <c r="AS128" i="67" s="1"/>
  <c r="B129" i="69"/>
  <c r="AM129" i="69" s="1"/>
  <c r="AN129" i="69" s="1"/>
  <c r="R126" i="69"/>
  <c r="S126" i="69" s="1"/>
  <c r="AE126" i="69"/>
  <c r="AL73" i="11" a="1"/>
  <c r="AL73" i="11" s="1"/>
  <c r="AP83" i="59" a="1"/>
  <c r="AP83" i="59" s="1"/>
  <c r="E84" i="50" s="1"/>
  <c r="T84" i="50" s="1"/>
  <c r="AA140" i="57" l="1"/>
  <c r="AB140" i="57"/>
  <c r="AF140" i="57" s="1"/>
  <c r="AF142" i="53"/>
  <c r="AH80" i="50"/>
  <c r="AI80" i="50" s="1"/>
  <c r="AP80" i="50" s="1"/>
  <c r="P128" i="69"/>
  <c r="AP128" i="69"/>
  <c r="AK143" i="57"/>
  <c r="AJ139" i="57"/>
  <c r="AL81" i="50"/>
  <c r="AK84" i="50"/>
  <c r="AG81" i="50"/>
  <c r="BC129" i="69"/>
  <c r="BE129" i="69"/>
  <c r="BF129" i="69"/>
  <c r="BD129" i="69"/>
  <c r="U73" i="32"/>
  <c r="AH144" i="57"/>
  <c r="AI144" i="57" s="1"/>
  <c r="K144" i="57"/>
  <c r="AQ84" i="50"/>
  <c r="N84" i="50"/>
  <c r="AO83" i="50"/>
  <c r="AX127" i="69"/>
  <c r="AW127" i="69"/>
  <c r="L129" i="69"/>
  <c r="M129" i="69" s="1"/>
  <c r="AZ129" i="69"/>
  <c r="AG125" i="69"/>
  <c r="Y126" i="69"/>
  <c r="AG126" i="69" s="1"/>
  <c r="F127" i="69"/>
  <c r="G127" i="69" s="1"/>
  <c r="H127" i="69" s="1"/>
  <c r="I127" i="69" s="1"/>
  <c r="J127" i="69" s="1"/>
  <c r="K127" i="69" s="1"/>
  <c r="U127" i="69"/>
  <c r="AH127" i="69"/>
  <c r="AY84" i="50"/>
  <c r="F84" i="50"/>
  <c r="U84" i="50" s="1"/>
  <c r="AD82" i="50"/>
  <c r="AG143" i="57"/>
  <c r="X141" i="57"/>
  <c r="AB141" i="57" s="1"/>
  <c r="AC144" i="53"/>
  <c r="O144" i="53"/>
  <c r="Q128" i="69"/>
  <c r="AD142" i="57"/>
  <c r="Q142" i="57"/>
  <c r="R142" i="57"/>
  <c r="AC142" i="57"/>
  <c r="AQ142" i="57"/>
  <c r="AE142" i="57"/>
  <c r="P83" i="50"/>
  <c r="N144" i="53"/>
  <c r="O84" i="50"/>
  <c r="AA142" i="53"/>
  <c r="AJ82" i="50"/>
  <c r="C82" i="50"/>
  <c r="S83" i="50"/>
  <c r="Z83" i="50" s="1"/>
  <c r="W82" i="50"/>
  <c r="X81" i="50"/>
  <c r="V82" i="50"/>
  <c r="AF127" i="69"/>
  <c r="P144" i="57"/>
  <c r="AC125" i="69"/>
  <c r="AD125" i="69" s="1"/>
  <c r="AO128" i="69"/>
  <c r="O129" i="69"/>
  <c r="AE143" i="53"/>
  <c r="AM83" i="50"/>
  <c r="R143" i="53"/>
  <c r="X143" i="53" s="1"/>
  <c r="AB143" i="53" s="1"/>
  <c r="AY127" i="69"/>
  <c r="L144" i="57"/>
  <c r="Q143" i="53"/>
  <c r="AT143" i="53"/>
  <c r="AG143" i="53"/>
  <c r="N144" i="57"/>
  <c r="D144" i="53"/>
  <c r="AD143" i="53"/>
  <c r="AK143" i="52" a="1"/>
  <c r="AK143" i="52" s="1"/>
  <c r="B145" i="53" s="1"/>
  <c r="F144" i="53"/>
  <c r="H144" i="53"/>
  <c r="P144" i="53"/>
  <c r="E144" i="53"/>
  <c r="G144" i="53"/>
  <c r="J144" i="53"/>
  <c r="C144" i="53"/>
  <c r="L144" i="53"/>
  <c r="I144" i="53"/>
  <c r="K144" i="53"/>
  <c r="AH144" i="53" s="1"/>
  <c r="J84" i="50"/>
  <c r="M84" i="50"/>
  <c r="I84" i="50"/>
  <c r="K84" i="50"/>
  <c r="A84" i="50"/>
  <c r="H84" i="50"/>
  <c r="L84" i="50"/>
  <c r="G84" i="50"/>
  <c r="B84" i="50"/>
  <c r="C144" i="57"/>
  <c r="I144" i="57"/>
  <c r="E144" i="57"/>
  <c r="G144" i="57"/>
  <c r="F144" i="57"/>
  <c r="J144" i="57"/>
  <c r="D144" i="57"/>
  <c r="H144" i="57"/>
  <c r="E74" i="32"/>
  <c r="T74" i="32" s="1"/>
  <c r="AN143" i="55" a="1"/>
  <c r="AN143" i="55" s="1"/>
  <c r="B145" i="57" s="1"/>
  <c r="O145" i="57" s="1"/>
  <c r="D128" i="69"/>
  <c r="E128" i="69" s="1"/>
  <c r="AS129" i="67" a="1"/>
  <c r="AS129" i="67" s="1"/>
  <c r="B130" i="69"/>
  <c r="AM130" i="69" s="1"/>
  <c r="AN130" i="69" s="1"/>
  <c r="C129" i="69"/>
  <c r="AE127" i="69"/>
  <c r="R127" i="69"/>
  <c r="S127" i="69" s="1"/>
  <c r="AL74" i="11" a="1"/>
  <c r="AL74" i="11" s="1"/>
  <c r="AP84" i="59" a="1"/>
  <c r="AP84" i="59" s="1"/>
  <c r="E85" i="50" s="1"/>
  <c r="T85" i="50" s="1"/>
  <c r="AF141" i="57" l="1"/>
  <c r="AF143" i="53"/>
  <c r="AH81" i="50"/>
  <c r="AI81" i="50" s="1"/>
  <c r="AP81" i="50" s="1"/>
  <c r="P129" i="69"/>
  <c r="AP129" i="69"/>
  <c r="AK144" i="57"/>
  <c r="AJ140" i="57"/>
  <c r="AL82" i="50"/>
  <c r="O74" i="32"/>
  <c r="AK85" i="50"/>
  <c r="AG82" i="50"/>
  <c r="BC130" i="69"/>
  <c r="BE130" i="69"/>
  <c r="BF130" i="69"/>
  <c r="BD130" i="69"/>
  <c r="AH145" i="57"/>
  <c r="AI145" i="57" s="1"/>
  <c r="K145" i="57"/>
  <c r="AQ85" i="50"/>
  <c r="N85" i="50"/>
  <c r="AO84" i="50"/>
  <c r="AX128" i="69"/>
  <c r="AW128" i="69"/>
  <c r="L130" i="69"/>
  <c r="M130" i="69" s="1"/>
  <c r="AZ130" i="69"/>
  <c r="AB126" i="69"/>
  <c r="AC126" i="69" s="1"/>
  <c r="AD126" i="69" s="1"/>
  <c r="U128" i="69"/>
  <c r="AH128" i="69"/>
  <c r="F128" i="69"/>
  <c r="G128" i="69" s="1"/>
  <c r="H128" i="69" s="1"/>
  <c r="I128" i="69" s="1"/>
  <c r="J128" i="69" s="1"/>
  <c r="K128" i="69" s="1"/>
  <c r="F74" i="32"/>
  <c r="AU74" i="32"/>
  <c r="AY85" i="50"/>
  <c r="F85" i="50"/>
  <c r="U85" i="50" s="1"/>
  <c r="Y127" i="69"/>
  <c r="AB127" i="69" s="1"/>
  <c r="AC127" i="69" s="1"/>
  <c r="AD127" i="69" s="1"/>
  <c r="AD83" i="50"/>
  <c r="X142" i="57"/>
  <c r="AB142" i="57" s="1"/>
  <c r="AG144" i="57"/>
  <c r="AC145" i="53"/>
  <c r="O145" i="53"/>
  <c r="Q129" i="69"/>
  <c r="AQ143" i="57"/>
  <c r="AE143" i="57"/>
  <c r="AA141" i="57"/>
  <c r="AD143" i="57"/>
  <c r="Q143" i="57"/>
  <c r="R143" i="57"/>
  <c r="AC143" i="57"/>
  <c r="P84" i="50"/>
  <c r="N145" i="53"/>
  <c r="O85" i="50"/>
  <c r="AA143" i="53"/>
  <c r="AJ83" i="50"/>
  <c r="C83" i="50"/>
  <c r="S84" i="50"/>
  <c r="Z84" i="50" s="1"/>
  <c r="W83" i="50"/>
  <c r="X82" i="50"/>
  <c r="V83" i="50"/>
  <c r="AF128" i="69"/>
  <c r="P145" i="57"/>
  <c r="AO129" i="69"/>
  <c r="O130" i="69"/>
  <c r="AE144" i="53"/>
  <c r="AK74" i="32"/>
  <c r="AM84" i="50"/>
  <c r="R144" i="53"/>
  <c r="X144" i="53" s="1"/>
  <c r="AB144" i="53" s="1"/>
  <c r="AY128" i="69"/>
  <c r="L145" i="57"/>
  <c r="AT144" i="53"/>
  <c r="AG144" i="53"/>
  <c r="N145" i="57"/>
  <c r="K145" i="53"/>
  <c r="AH145" i="53" s="1"/>
  <c r="Q144" i="53"/>
  <c r="AD144" i="53"/>
  <c r="AK144" i="52" a="1"/>
  <c r="AK144" i="52" s="1"/>
  <c r="B146" i="53" s="1"/>
  <c r="H145" i="53"/>
  <c r="J145" i="53"/>
  <c r="F145" i="53"/>
  <c r="L145" i="53"/>
  <c r="E145" i="53"/>
  <c r="G145" i="53"/>
  <c r="P145" i="53"/>
  <c r="I145" i="53"/>
  <c r="D145" i="53"/>
  <c r="C145" i="53"/>
  <c r="M85" i="50"/>
  <c r="L85" i="50"/>
  <c r="G85" i="50"/>
  <c r="H85" i="50"/>
  <c r="B85" i="50"/>
  <c r="J85" i="50"/>
  <c r="K85" i="50"/>
  <c r="A85" i="50"/>
  <c r="I85" i="50"/>
  <c r="D145" i="57"/>
  <c r="C145" i="57"/>
  <c r="I145" i="57"/>
  <c r="H145" i="57"/>
  <c r="E145" i="57"/>
  <c r="G145" i="57"/>
  <c r="F145" i="57"/>
  <c r="J145" i="57"/>
  <c r="E75" i="32"/>
  <c r="T75" i="32" s="1"/>
  <c r="AN144" i="55" a="1"/>
  <c r="AN144" i="55" s="1"/>
  <c r="B146" i="57" s="1"/>
  <c r="O146" i="57" s="1"/>
  <c r="R128" i="69"/>
  <c r="S128" i="69" s="1"/>
  <c r="AE128" i="69"/>
  <c r="D129" i="69"/>
  <c r="E129" i="69" s="1"/>
  <c r="C130" i="69"/>
  <c r="AS130" i="67" a="1"/>
  <c r="AS130" i="67" s="1"/>
  <c r="B131" i="69"/>
  <c r="AM131" i="69" s="1"/>
  <c r="AN131" i="69" s="1"/>
  <c r="AL75" i="11" a="1"/>
  <c r="AL75" i="11" s="1"/>
  <c r="E76" i="32" s="1"/>
  <c r="T76" i="32" s="1"/>
  <c r="AP85" i="59" a="1"/>
  <c r="AP85" i="59" s="1"/>
  <c r="E86" i="50" s="1"/>
  <c r="T86" i="50" s="1"/>
  <c r="AF142" i="57" l="1"/>
  <c r="AF144" i="53"/>
  <c r="AH82" i="50"/>
  <c r="AI82" i="50" s="1"/>
  <c r="AP82" i="50" s="1"/>
  <c r="P130" i="69"/>
  <c r="AP130" i="69"/>
  <c r="AK145" i="57"/>
  <c r="AJ141" i="57"/>
  <c r="AJ142" i="57"/>
  <c r="AL83" i="50"/>
  <c r="O75" i="32"/>
  <c r="O76" i="32"/>
  <c r="AK86" i="50"/>
  <c r="AG83" i="50"/>
  <c r="BC131" i="69"/>
  <c r="BD131" i="69"/>
  <c r="BE131" i="69"/>
  <c r="BF131" i="69"/>
  <c r="U74" i="32"/>
  <c r="AH146" i="57"/>
  <c r="AI146" i="57" s="1"/>
  <c r="K146" i="57"/>
  <c r="AQ86" i="50"/>
  <c r="N86" i="50"/>
  <c r="AO85" i="50"/>
  <c r="AX129" i="69"/>
  <c r="AW129" i="69"/>
  <c r="L131" i="69"/>
  <c r="M131" i="69" s="1"/>
  <c r="AZ131" i="69"/>
  <c r="Y128" i="69"/>
  <c r="AG128" i="69" s="1"/>
  <c r="U129" i="69"/>
  <c r="AH129" i="69"/>
  <c r="F129" i="69"/>
  <c r="G129" i="69" s="1"/>
  <c r="H129" i="69" s="1"/>
  <c r="I129" i="69" s="1"/>
  <c r="J129" i="69" s="1"/>
  <c r="K129" i="69" s="1"/>
  <c r="F76" i="32"/>
  <c r="AU76" i="32"/>
  <c r="F75" i="32"/>
  <c r="AU75" i="32"/>
  <c r="F86" i="50"/>
  <c r="U86" i="50" s="1"/>
  <c r="AY86" i="50"/>
  <c r="AG127" i="69"/>
  <c r="AD84" i="50"/>
  <c r="X143" i="57"/>
  <c r="AB143" i="57" s="1"/>
  <c r="AG145" i="57"/>
  <c r="AC146" i="53"/>
  <c r="O146" i="53"/>
  <c r="Q130" i="69"/>
  <c r="AA142" i="57"/>
  <c r="Q144" i="57"/>
  <c r="R144" i="57"/>
  <c r="AC144" i="57"/>
  <c r="AE144" i="57"/>
  <c r="AQ144" i="57"/>
  <c r="AD144" i="57"/>
  <c r="P85" i="50"/>
  <c r="N146" i="53"/>
  <c r="O86" i="50"/>
  <c r="AA144" i="53"/>
  <c r="AJ84" i="50"/>
  <c r="C84" i="50"/>
  <c r="S85" i="50"/>
  <c r="Z85" i="50" s="1"/>
  <c r="W84" i="50"/>
  <c r="X83" i="50"/>
  <c r="V84" i="50"/>
  <c r="AF129" i="69"/>
  <c r="P146" i="57"/>
  <c r="AO130" i="69"/>
  <c r="O131" i="69"/>
  <c r="AE145" i="53"/>
  <c r="AK76" i="32"/>
  <c r="AK75" i="32"/>
  <c r="AM85" i="50"/>
  <c r="R145" i="53"/>
  <c r="X145" i="53" s="1"/>
  <c r="AB145" i="53" s="1"/>
  <c r="AY129" i="69"/>
  <c r="L146" i="57"/>
  <c r="AT145" i="53"/>
  <c r="AG145" i="53"/>
  <c r="N146" i="57"/>
  <c r="AD145" i="53"/>
  <c r="Q145" i="53"/>
  <c r="AK145" i="52" a="1"/>
  <c r="AK145" i="52" s="1"/>
  <c r="B147" i="53" s="1"/>
  <c r="G146" i="53"/>
  <c r="H146" i="53"/>
  <c r="P146" i="53"/>
  <c r="J146" i="53"/>
  <c r="E146" i="53"/>
  <c r="C146" i="53"/>
  <c r="F146" i="53"/>
  <c r="I146" i="53"/>
  <c r="L146" i="53"/>
  <c r="D146" i="53"/>
  <c r="K146" i="53"/>
  <c r="AH146" i="53" s="1"/>
  <c r="G86" i="50"/>
  <c r="J86" i="50"/>
  <c r="A86" i="50"/>
  <c r="H86" i="50"/>
  <c r="L86" i="50"/>
  <c r="I86" i="50"/>
  <c r="M86" i="50"/>
  <c r="K86" i="50"/>
  <c r="B86" i="50"/>
  <c r="C146" i="57"/>
  <c r="I146" i="57"/>
  <c r="G146" i="57"/>
  <c r="E146" i="57"/>
  <c r="F146" i="57"/>
  <c r="J146" i="57"/>
  <c r="D146" i="57"/>
  <c r="H146" i="57"/>
  <c r="AN145" i="55" a="1"/>
  <c r="AN145" i="55" s="1"/>
  <c r="B147" i="57" s="1"/>
  <c r="O147" i="57" s="1"/>
  <c r="D130" i="69"/>
  <c r="E130" i="69" s="1"/>
  <c r="C131" i="69"/>
  <c r="AS131" i="67" a="1"/>
  <c r="AS131" i="67" s="1"/>
  <c r="B132" i="69"/>
  <c r="AM132" i="69" s="1"/>
  <c r="AN132" i="69" s="1"/>
  <c r="AE129" i="69"/>
  <c r="R129" i="69"/>
  <c r="S129" i="69" s="1"/>
  <c r="AL76" i="11" a="1"/>
  <c r="AL76" i="11" s="1"/>
  <c r="E77" i="32" s="1"/>
  <c r="T77" i="32" s="1"/>
  <c r="AP86" i="59" a="1"/>
  <c r="AP86" i="59" s="1"/>
  <c r="E87" i="50" s="1"/>
  <c r="T87" i="50" s="1"/>
  <c r="AF143" i="57" l="1"/>
  <c r="AF145" i="53"/>
  <c r="AH83" i="50"/>
  <c r="AI83" i="50" s="1"/>
  <c r="AP83" i="50" s="1"/>
  <c r="P131" i="69"/>
  <c r="AP131" i="69"/>
  <c r="AK146" i="57"/>
  <c r="AL84" i="50"/>
  <c r="O77" i="32"/>
  <c r="AK87" i="50"/>
  <c r="AG84" i="50"/>
  <c r="BC132" i="69"/>
  <c r="BD132" i="69"/>
  <c r="BE132" i="69"/>
  <c r="BF132" i="69"/>
  <c r="U75" i="32"/>
  <c r="U76" i="32"/>
  <c r="K147" i="57"/>
  <c r="AH147" i="57"/>
  <c r="AI147" i="57" s="1"/>
  <c r="N87" i="50"/>
  <c r="AQ87" i="50"/>
  <c r="AO86" i="50"/>
  <c r="AX130" i="69"/>
  <c r="AW130" i="69"/>
  <c r="L132" i="69"/>
  <c r="M132" i="69" s="1"/>
  <c r="AZ132" i="69"/>
  <c r="AB128" i="69"/>
  <c r="AC128" i="69" s="1"/>
  <c r="AD128" i="69" s="1"/>
  <c r="Y129" i="69"/>
  <c r="AB129" i="69" s="1"/>
  <c r="U130" i="69"/>
  <c r="AH130" i="69"/>
  <c r="F130" i="69"/>
  <c r="G130" i="69" s="1"/>
  <c r="H130" i="69" s="1"/>
  <c r="I130" i="69" s="1"/>
  <c r="J130" i="69" s="1"/>
  <c r="K130" i="69" s="1"/>
  <c r="F77" i="32"/>
  <c r="AU77" i="32"/>
  <c r="AY87" i="50"/>
  <c r="F87" i="50"/>
  <c r="U87" i="50" s="1"/>
  <c r="AD85" i="50"/>
  <c r="X144" i="57"/>
  <c r="AB144" i="57" s="1"/>
  <c r="AG146" i="57"/>
  <c r="AA143" i="57"/>
  <c r="AC147" i="53"/>
  <c r="O147" i="53"/>
  <c r="Q131" i="69"/>
  <c r="AQ145" i="57"/>
  <c r="AD145" i="57"/>
  <c r="Q145" i="57"/>
  <c r="R145" i="57"/>
  <c r="AE145" i="57"/>
  <c r="AC145" i="57"/>
  <c r="P86" i="50"/>
  <c r="N147" i="53"/>
  <c r="O87" i="50"/>
  <c r="AA145" i="53"/>
  <c r="AJ85" i="50"/>
  <c r="C85" i="50"/>
  <c r="S86" i="50"/>
  <c r="Z86" i="50" s="1"/>
  <c r="W85" i="50"/>
  <c r="X84" i="50"/>
  <c r="V85" i="50"/>
  <c r="AF130" i="69"/>
  <c r="P147" i="57"/>
  <c r="AO131" i="69"/>
  <c r="O132" i="69"/>
  <c r="AE146" i="53"/>
  <c r="AK77" i="32"/>
  <c r="AM86" i="50"/>
  <c r="R146" i="53"/>
  <c r="X146" i="53" s="1"/>
  <c r="AB146" i="53" s="1"/>
  <c r="AY130" i="69"/>
  <c r="L147" i="57"/>
  <c r="AG146" i="53"/>
  <c r="Q146" i="53"/>
  <c r="AT146" i="53"/>
  <c r="N147" i="57"/>
  <c r="AD146" i="53"/>
  <c r="G147" i="53"/>
  <c r="K147" i="53"/>
  <c r="AH147" i="53" s="1"/>
  <c r="C147" i="53"/>
  <c r="P147" i="53"/>
  <c r="H147" i="53"/>
  <c r="E147" i="53"/>
  <c r="J147" i="53"/>
  <c r="F147" i="53"/>
  <c r="D147" i="53"/>
  <c r="L147" i="53"/>
  <c r="AK146" i="52" a="1"/>
  <c r="AK146" i="52" s="1"/>
  <c r="B148" i="53" s="1"/>
  <c r="I147" i="53"/>
  <c r="J87" i="50"/>
  <c r="B87" i="50"/>
  <c r="M87" i="50"/>
  <c r="A87" i="50"/>
  <c r="L87" i="50"/>
  <c r="I87" i="50"/>
  <c r="K87" i="50"/>
  <c r="H87" i="50"/>
  <c r="G87" i="50"/>
  <c r="D147" i="57"/>
  <c r="C147" i="57"/>
  <c r="I147" i="57"/>
  <c r="H147" i="57"/>
  <c r="G147" i="57"/>
  <c r="E147" i="57"/>
  <c r="F147" i="57"/>
  <c r="J147" i="57"/>
  <c r="AN146" i="55" a="1"/>
  <c r="AN146" i="55" s="1"/>
  <c r="B148" i="57" s="1"/>
  <c r="O148" i="57" s="1"/>
  <c r="AS132" i="67" a="1"/>
  <c r="AS132" i="67" s="1"/>
  <c r="B133" i="69"/>
  <c r="AM133" i="69" s="1"/>
  <c r="AN133" i="69" s="1"/>
  <c r="C132" i="69"/>
  <c r="D131" i="69"/>
  <c r="E131" i="69" s="1"/>
  <c r="AE130" i="69"/>
  <c r="R130" i="69"/>
  <c r="S130" i="69" s="1"/>
  <c r="AL77" i="11" a="1"/>
  <c r="AL77" i="11" s="1"/>
  <c r="E78" i="32" s="1"/>
  <c r="T78" i="32" s="1"/>
  <c r="AP87" i="59" a="1"/>
  <c r="AP87" i="59" s="1"/>
  <c r="E88" i="50" s="1"/>
  <c r="T88" i="50" s="1"/>
  <c r="AF144" i="57" l="1"/>
  <c r="AF146" i="53"/>
  <c r="AH84" i="50"/>
  <c r="AI84" i="50" s="1"/>
  <c r="AP84" i="50" s="1"/>
  <c r="P132" i="69"/>
  <c r="AP132" i="69"/>
  <c r="AK147" i="57"/>
  <c r="AJ143" i="57"/>
  <c r="O78" i="32"/>
  <c r="AK88" i="50"/>
  <c r="AL85" i="50"/>
  <c r="AG85" i="50"/>
  <c r="BC133" i="69"/>
  <c r="BF133" i="69"/>
  <c r="BE133" i="69"/>
  <c r="BD133" i="69"/>
  <c r="U77" i="32"/>
  <c r="AH148" i="57"/>
  <c r="AI148" i="57" s="1"/>
  <c r="K148" i="57"/>
  <c r="AO87" i="50"/>
  <c r="AQ88" i="50"/>
  <c r="N88" i="50"/>
  <c r="AX131" i="69"/>
  <c r="AW131" i="69"/>
  <c r="L133" i="69"/>
  <c r="M133" i="69" s="1"/>
  <c r="AZ133" i="69"/>
  <c r="AG129" i="69"/>
  <c r="Y130" i="69"/>
  <c r="AB130" i="69" s="1"/>
  <c r="F131" i="69"/>
  <c r="G131" i="69" s="1"/>
  <c r="H131" i="69" s="1"/>
  <c r="I131" i="69" s="1"/>
  <c r="J131" i="69" s="1"/>
  <c r="K131" i="69" s="1"/>
  <c r="U131" i="69"/>
  <c r="AH131" i="69"/>
  <c r="F78" i="32"/>
  <c r="AU78" i="32"/>
  <c r="AY88" i="50"/>
  <c r="F88" i="50"/>
  <c r="U88" i="50" s="1"/>
  <c r="AD86" i="50"/>
  <c r="X145" i="57"/>
  <c r="AB145" i="57" s="1"/>
  <c r="AG147" i="57"/>
  <c r="AQ146" i="57"/>
  <c r="AC148" i="53"/>
  <c r="O148" i="53"/>
  <c r="Q132" i="69"/>
  <c r="AA144" i="57"/>
  <c r="R146" i="57"/>
  <c r="AC146" i="57"/>
  <c r="Q146" i="57"/>
  <c r="AD146" i="57"/>
  <c r="AE146" i="57"/>
  <c r="P87" i="50"/>
  <c r="N148" i="53"/>
  <c r="O88" i="50"/>
  <c r="AA146" i="53"/>
  <c r="AJ86" i="50"/>
  <c r="C86" i="50"/>
  <c r="S87" i="50"/>
  <c r="Z87" i="50" s="1"/>
  <c r="W86" i="50"/>
  <c r="X85" i="50"/>
  <c r="V86" i="50"/>
  <c r="AF131" i="69"/>
  <c r="P148" i="57"/>
  <c r="AC129" i="69"/>
  <c r="AD129" i="69" s="1"/>
  <c r="O133" i="69"/>
  <c r="AO132" i="69"/>
  <c r="AE147" i="53"/>
  <c r="AK78" i="32"/>
  <c r="AM87" i="50"/>
  <c r="R147" i="53"/>
  <c r="X147" i="53" s="1"/>
  <c r="AB147" i="53" s="1"/>
  <c r="AY131" i="69"/>
  <c r="L148" i="57"/>
  <c r="AT147" i="53"/>
  <c r="AG147" i="53"/>
  <c r="N148" i="57"/>
  <c r="J148" i="53"/>
  <c r="AD147" i="53"/>
  <c r="Q147" i="53"/>
  <c r="D148" i="53"/>
  <c r="I148" i="53"/>
  <c r="E148" i="53"/>
  <c r="L148" i="53"/>
  <c r="K148" i="53"/>
  <c r="AH148" i="53" s="1"/>
  <c r="G148" i="53"/>
  <c r="P148" i="53"/>
  <c r="F148" i="53"/>
  <c r="C148" i="53"/>
  <c r="AK147" i="52" a="1"/>
  <c r="AK147" i="52" s="1"/>
  <c r="B149" i="53" s="1"/>
  <c r="H148" i="53"/>
  <c r="L88" i="50"/>
  <c r="M88" i="50"/>
  <c r="H88" i="50"/>
  <c r="I88" i="50"/>
  <c r="G88" i="50"/>
  <c r="A88" i="50"/>
  <c r="K88" i="50"/>
  <c r="B88" i="50"/>
  <c r="J88" i="50"/>
  <c r="F148" i="57"/>
  <c r="C148" i="57"/>
  <c r="H148" i="57"/>
  <c r="E148" i="57"/>
  <c r="G148" i="57"/>
  <c r="I148" i="57"/>
  <c r="D148" i="57"/>
  <c r="J148" i="57"/>
  <c r="AN147" i="55" a="1"/>
  <c r="AN147" i="55" s="1"/>
  <c r="B149" i="57" s="1"/>
  <c r="O149" i="57" s="1"/>
  <c r="AS133" i="67" a="1"/>
  <c r="AS133" i="67" s="1"/>
  <c r="B134" i="69"/>
  <c r="AM134" i="69" s="1"/>
  <c r="AN134" i="69" s="1"/>
  <c r="C133" i="69"/>
  <c r="R131" i="69"/>
  <c r="S131" i="69" s="1"/>
  <c r="AE131" i="69"/>
  <c r="D132" i="69"/>
  <c r="E132" i="69" s="1"/>
  <c r="AL78" i="11" a="1"/>
  <c r="AL78" i="11" s="1"/>
  <c r="AP88" i="59" a="1"/>
  <c r="AP88" i="59" s="1"/>
  <c r="E89" i="50" s="1"/>
  <c r="T89" i="50" s="1"/>
  <c r="AF147" i="53" l="1"/>
  <c r="AF145" i="57"/>
  <c r="AH85" i="50"/>
  <c r="AI85" i="50" s="1"/>
  <c r="AP85" i="50" s="1"/>
  <c r="AL86" i="50"/>
  <c r="AK148" i="57"/>
  <c r="P133" i="69"/>
  <c r="AP133" i="69"/>
  <c r="AJ144" i="57"/>
  <c r="AK89" i="50"/>
  <c r="AG86" i="50"/>
  <c r="BC134" i="69"/>
  <c r="BF134" i="69"/>
  <c r="BD134" i="69"/>
  <c r="BE134" i="69"/>
  <c r="U78" i="32"/>
  <c r="AH149" i="57"/>
  <c r="AI149" i="57" s="1"/>
  <c r="K149" i="57"/>
  <c r="AO88" i="50"/>
  <c r="AQ89" i="50"/>
  <c r="N89" i="50"/>
  <c r="AW132" i="69"/>
  <c r="AX132" i="69"/>
  <c r="L134" i="69"/>
  <c r="M134" i="69" s="1"/>
  <c r="AZ134" i="69"/>
  <c r="Y131" i="69"/>
  <c r="AG131" i="69" s="1"/>
  <c r="AG130" i="69"/>
  <c r="F132" i="69"/>
  <c r="G132" i="69" s="1"/>
  <c r="H132" i="69" s="1"/>
  <c r="I132" i="69" s="1"/>
  <c r="J132" i="69" s="1"/>
  <c r="K132" i="69" s="1"/>
  <c r="U132" i="69"/>
  <c r="AH132" i="69"/>
  <c r="AY89" i="50"/>
  <c r="F89" i="50"/>
  <c r="U89" i="50" s="1"/>
  <c r="AD87" i="50"/>
  <c r="X146" i="57"/>
  <c r="AB146" i="57" s="1"/>
  <c r="AG148" i="57"/>
  <c r="AC149" i="53"/>
  <c r="O149" i="53"/>
  <c r="Q133" i="69"/>
  <c r="Q147" i="57"/>
  <c r="AQ147" i="57"/>
  <c r="AA145" i="57"/>
  <c r="AD147" i="57"/>
  <c r="R147" i="57"/>
  <c r="AC147" i="57"/>
  <c r="AE147" i="57"/>
  <c r="P88" i="50"/>
  <c r="N149" i="53"/>
  <c r="O89" i="50"/>
  <c r="AA147" i="53"/>
  <c r="AJ87" i="50"/>
  <c r="C87" i="50"/>
  <c r="S88" i="50"/>
  <c r="Z88" i="50" s="1"/>
  <c r="W87" i="50"/>
  <c r="X86" i="50"/>
  <c r="V87" i="50"/>
  <c r="AF132" i="69"/>
  <c r="P149" i="57"/>
  <c r="AC130" i="69"/>
  <c r="AD130" i="69" s="1"/>
  <c r="AO133" i="69"/>
  <c r="O134" i="69"/>
  <c r="AE148" i="53"/>
  <c r="AM88" i="50"/>
  <c r="R148" i="53"/>
  <c r="X148" i="53" s="1"/>
  <c r="AB148" i="53" s="1"/>
  <c r="AY132" i="69"/>
  <c r="L149" i="57"/>
  <c r="AT148" i="53"/>
  <c r="AG148" i="53"/>
  <c r="N149" i="57"/>
  <c r="AD148" i="53"/>
  <c r="Q148" i="53"/>
  <c r="AK148" i="52" a="1"/>
  <c r="AK148" i="52" s="1"/>
  <c r="B150" i="53" s="1"/>
  <c r="I149" i="53"/>
  <c r="L149" i="53"/>
  <c r="K149" i="53"/>
  <c r="AH149" i="53" s="1"/>
  <c r="F149" i="53"/>
  <c r="C149" i="53"/>
  <c r="E149" i="53"/>
  <c r="P149" i="53"/>
  <c r="D149" i="53"/>
  <c r="J149" i="53"/>
  <c r="H149" i="53"/>
  <c r="G149" i="53"/>
  <c r="I89" i="50"/>
  <c r="K89" i="50"/>
  <c r="A89" i="50"/>
  <c r="L89" i="50"/>
  <c r="J89" i="50"/>
  <c r="B89" i="50"/>
  <c r="M89" i="50"/>
  <c r="G89" i="50"/>
  <c r="H89" i="50"/>
  <c r="J149" i="57"/>
  <c r="H149" i="57"/>
  <c r="E149" i="57"/>
  <c r="F149" i="57"/>
  <c r="G149" i="57"/>
  <c r="C149" i="57"/>
  <c r="I149" i="57"/>
  <c r="D149" i="57"/>
  <c r="E79" i="32"/>
  <c r="T79" i="32" s="1"/>
  <c r="AN148" i="55" a="1"/>
  <c r="AN148" i="55" s="1"/>
  <c r="B150" i="57" s="1"/>
  <c r="O150" i="57" s="1"/>
  <c r="AE132" i="69"/>
  <c r="R132" i="69"/>
  <c r="S132" i="69" s="1"/>
  <c r="C134" i="69"/>
  <c r="D133" i="69"/>
  <c r="E133" i="69" s="1"/>
  <c r="AS134" i="67" a="1"/>
  <c r="AS134" i="67" s="1"/>
  <c r="B135" i="69"/>
  <c r="AM135" i="69" s="1"/>
  <c r="AN135" i="69" s="1"/>
  <c r="AL79" i="11" a="1"/>
  <c r="AL79" i="11" s="1"/>
  <c r="AP89" i="59" a="1"/>
  <c r="AP89" i="59" s="1"/>
  <c r="E90" i="50" s="1"/>
  <c r="T90" i="50" s="1"/>
  <c r="AF148" i="53" l="1"/>
  <c r="AF146" i="57"/>
  <c r="AH86" i="50"/>
  <c r="AI86" i="50" s="1"/>
  <c r="AP86" i="50" s="1"/>
  <c r="P134" i="69"/>
  <c r="AP134" i="69"/>
  <c r="AK149" i="57"/>
  <c r="AJ145" i="57"/>
  <c r="AJ146" i="57"/>
  <c r="AL87" i="50"/>
  <c r="O79" i="32"/>
  <c r="AK90" i="50"/>
  <c r="AG87" i="50"/>
  <c r="BC135" i="69"/>
  <c r="BF135" i="69"/>
  <c r="BD135" i="69"/>
  <c r="BE135" i="69"/>
  <c r="AH150" i="57"/>
  <c r="AI150" i="57" s="1"/>
  <c r="K150" i="57"/>
  <c r="AO89" i="50"/>
  <c r="AQ90" i="50"/>
  <c r="N90" i="50"/>
  <c r="AX133" i="69"/>
  <c r="AW133" i="69"/>
  <c r="L135" i="69"/>
  <c r="M135" i="69" s="1"/>
  <c r="AZ135" i="69"/>
  <c r="AB131" i="69"/>
  <c r="AC131" i="69" s="1"/>
  <c r="AD131" i="69" s="1"/>
  <c r="Y132" i="69"/>
  <c r="AB132" i="69" s="1"/>
  <c r="AC132" i="69" s="1"/>
  <c r="AD132" i="69" s="1"/>
  <c r="F133" i="69"/>
  <c r="G133" i="69" s="1"/>
  <c r="H133" i="69" s="1"/>
  <c r="I133" i="69" s="1"/>
  <c r="J133" i="69" s="1"/>
  <c r="K133" i="69" s="1"/>
  <c r="U133" i="69"/>
  <c r="AH133" i="69"/>
  <c r="F79" i="32"/>
  <c r="AU79" i="32"/>
  <c r="F90" i="50"/>
  <c r="U90" i="50" s="1"/>
  <c r="AY90" i="50"/>
  <c r="AD88" i="50"/>
  <c r="X147" i="57"/>
  <c r="AB147" i="57" s="1"/>
  <c r="AG149" i="57"/>
  <c r="AQ148" i="57"/>
  <c r="AC150" i="53"/>
  <c r="O150" i="53"/>
  <c r="Q134" i="69"/>
  <c r="AE148" i="57"/>
  <c r="AA146" i="57"/>
  <c r="Q148" i="57"/>
  <c r="AD148" i="57"/>
  <c r="R148" i="57"/>
  <c r="AC148" i="57"/>
  <c r="P89" i="50"/>
  <c r="N150" i="53"/>
  <c r="O90" i="50"/>
  <c r="AA148" i="53"/>
  <c r="AJ88" i="50"/>
  <c r="C88" i="50"/>
  <c r="S89" i="50"/>
  <c r="Z89" i="50" s="1"/>
  <c r="W88" i="50"/>
  <c r="X87" i="50"/>
  <c r="V88" i="50"/>
  <c r="AF133" i="69"/>
  <c r="P150" i="57"/>
  <c r="O135" i="69"/>
  <c r="AO134" i="69"/>
  <c r="AE149" i="53"/>
  <c r="AK79" i="32"/>
  <c r="AM89" i="50"/>
  <c r="R149" i="53"/>
  <c r="X149" i="53" s="1"/>
  <c r="AB149" i="53" s="1"/>
  <c r="AY133" i="69"/>
  <c r="L150" i="57"/>
  <c r="AG149" i="53"/>
  <c r="AT149" i="53"/>
  <c r="N150" i="57"/>
  <c r="Q149" i="53"/>
  <c r="AD149" i="53"/>
  <c r="AK149" i="52" a="1"/>
  <c r="AK149" i="52" s="1"/>
  <c r="B151" i="53" s="1"/>
  <c r="J150" i="53"/>
  <c r="G150" i="53"/>
  <c r="H150" i="53"/>
  <c r="D150" i="53"/>
  <c r="F150" i="53"/>
  <c r="I150" i="53"/>
  <c r="K150" i="53"/>
  <c r="AH150" i="53" s="1"/>
  <c r="E150" i="53"/>
  <c r="P150" i="53"/>
  <c r="L150" i="53"/>
  <c r="C150" i="53"/>
  <c r="K90" i="50"/>
  <c r="M90" i="50"/>
  <c r="A90" i="50"/>
  <c r="G90" i="50"/>
  <c r="J90" i="50"/>
  <c r="L90" i="50"/>
  <c r="H90" i="50"/>
  <c r="I90" i="50"/>
  <c r="B90" i="50"/>
  <c r="J150" i="57"/>
  <c r="D150" i="57"/>
  <c r="I150" i="57"/>
  <c r="E150" i="57"/>
  <c r="G150" i="57"/>
  <c r="F150" i="57"/>
  <c r="H150" i="57"/>
  <c r="C150" i="57"/>
  <c r="E80" i="32"/>
  <c r="T80" i="32" s="1"/>
  <c r="AN149" i="55" a="1"/>
  <c r="AN149" i="55" s="1"/>
  <c r="B151" i="57" s="1"/>
  <c r="O151" i="57" s="1"/>
  <c r="AS135" i="67" a="1"/>
  <c r="AS135" i="67" s="1"/>
  <c r="B136" i="69"/>
  <c r="AM136" i="69" s="1"/>
  <c r="AN136" i="69" s="1"/>
  <c r="C135" i="69"/>
  <c r="AE133" i="69"/>
  <c r="R133" i="69"/>
  <c r="S133" i="69" s="1"/>
  <c r="D134" i="69"/>
  <c r="E134" i="69" s="1"/>
  <c r="AL80" i="11" a="1"/>
  <c r="AL80" i="11" s="1"/>
  <c r="E81" i="32" s="1"/>
  <c r="T81" i="32" s="1"/>
  <c r="AP90" i="59" a="1"/>
  <c r="AP90" i="59" s="1"/>
  <c r="E91" i="50" s="1"/>
  <c r="T91" i="50" s="1"/>
  <c r="AF147" i="57" l="1"/>
  <c r="AF149" i="53"/>
  <c r="AH87" i="50"/>
  <c r="AI87" i="50" s="1"/>
  <c r="AP87" i="50" s="1"/>
  <c r="P135" i="69"/>
  <c r="AP135" i="69"/>
  <c r="AK150" i="57"/>
  <c r="AJ147" i="57"/>
  <c r="O81" i="32"/>
  <c r="O80" i="32"/>
  <c r="AK91" i="50"/>
  <c r="AL88" i="50"/>
  <c r="AG88" i="50"/>
  <c r="BC136" i="69"/>
  <c r="BE136" i="69"/>
  <c r="BF136" i="69"/>
  <c r="BD136" i="69"/>
  <c r="U79" i="32"/>
  <c r="K151" i="57"/>
  <c r="AH151" i="57"/>
  <c r="AI151" i="57" s="1"/>
  <c r="AO90" i="50"/>
  <c r="N91" i="50"/>
  <c r="AQ91" i="50"/>
  <c r="AX134" i="69"/>
  <c r="AW134" i="69"/>
  <c r="L136" i="69"/>
  <c r="M136" i="69" s="1"/>
  <c r="AZ136" i="69"/>
  <c r="AG132" i="69"/>
  <c r="Y133" i="69"/>
  <c r="AG133" i="69" s="1"/>
  <c r="F134" i="69"/>
  <c r="G134" i="69" s="1"/>
  <c r="H134" i="69" s="1"/>
  <c r="I134" i="69" s="1"/>
  <c r="J134" i="69" s="1"/>
  <c r="K134" i="69" s="1"/>
  <c r="U134" i="69"/>
  <c r="AH134" i="69"/>
  <c r="F81" i="32"/>
  <c r="AU81" i="32"/>
  <c r="F80" i="32"/>
  <c r="AU80" i="32"/>
  <c r="F91" i="50"/>
  <c r="U91" i="50" s="1"/>
  <c r="AY91" i="50"/>
  <c r="AD89" i="50"/>
  <c r="AG150" i="57"/>
  <c r="X148" i="57"/>
  <c r="AB148" i="57" s="1"/>
  <c r="Q149" i="57"/>
  <c r="AC151" i="53"/>
  <c r="O151" i="53"/>
  <c r="Q135" i="69"/>
  <c r="AA147" i="57"/>
  <c r="AD149" i="57"/>
  <c r="R149" i="57"/>
  <c r="AE149" i="57"/>
  <c r="AC149" i="57"/>
  <c r="AQ149" i="57"/>
  <c r="P90" i="50"/>
  <c r="N151" i="53"/>
  <c r="O91" i="50"/>
  <c r="AA149" i="53"/>
  <c r="AJ89" i="50"/>
  <c r="C89" i="50"/>
  <c r="S90" i="50"/>
  <c r="Z90" i="50" s="1"/>
  <c r="W89" i="50"/>
  <c r="X88" i="50"/>
  <c r="V89" i="50"/>
  <c r="AF134" i="69"/>
  <c r="P151" i="57"/>
  <c r="AO135" i="69"/>
  <c r="O136" i="69"/>
  <c r="AE150" i="53"/>
  <c r="AK81" i="32"/>
  <c r="AK80" i="32"/>
  <c r="AM90" i="50"/>
  <c r="R150" i="53"/>
  <c r="X150" i="53" s="1"/>
  <c r="AB150" i="53" s="1"/>
  <c r="AY134" i="69"/>
  <c r="L151" i="57"/>
  <c r="AT150" i="53"/>
  <c r="AG150" i="53"/>
  <c r="N151" i="57"/>
  <c r="P151" i="53"/>
  <c r="AD150" i="53"/>
  <c r="Q150" i="53"/>
  <c r="AK150" i="52" a="1"/>
  <c r="AK150" i="52" s="1"/>
  <c r="B152" i="53" s="1"/>
  <c r="L151" i="53"/>
  <c r="I151" i="53"/>
  <c r="C151" i="53"/>
  <c r="F151" i="53"/>
  <c r="E151" i="53"/>
  <c r="J151" i="53"/>
  <c r="H151" i="53"/>
  <c r="G151" i="53"/>
  <c r="K151" i="53"/>
  <c r="AH151" i="53" s="1"/>
  <c r="D151" i="53"/>
  <c r="I91" i="50"/>
  <c r="H91" i="50"/>
  <c r="G91" i="50"/>
  <c r="B91" i="50"/>
  <c r="A91" i="50"/>
  <c r="K91" i="50"/>
  <c r="M91" i="50"/>
  <c r="J91" i="50"/>
  <c r="L91" i="50"/>
  <c r="I151" i="57"/>
  <c r="F151" i="57"/>
  <c r="D151" i="57"/>
  <c r="G151" i="57"/>
  <c r="C151" i="57"/>
  <c r="H151" i="57"/>
  <c r="E151" i="57"/>
  <c r="J151" i="57"/>
  <c r="AN150" i="55" a="1"/>
  <c r="AN150" i="55" s="1"/>
  <c r="B152" i="57" s="1"/>
  <c r="O152" i="57" s="1"/>
  <c r="AS136" i="67" a="1"/>
  <c r="AS136" i="67" s="1"/>
  <c r="B137" i="69"/>
  <c r="AM137" i="69" s="1"/>
  <c r="AN137" i="69" s="1"/>
  <c r="C136" i="69"/>
  <c r="AE134" i="69"/>
  <c r="R134" i="69"/>
  <c r="S134" i="69" s="1"/>
  <c r="D135" i="69"/>
  <c r="E135" i="69" s="1"/>
  <c r="AL81" i="11" a="1"/>
  <c r="AL81" i="11" s="1"/>
  <c r="E82" i="32" s="1"/>
  <c r="T82" i="32" s="1"/>
  <c r="AP91" i="59" a="1"/>
  <c r="AP91" i="59" s="1"/>
  <c r="E92" i="50" s="1"/>
  <c r="T92" i="50" s="1"/>
  <c r="AF148" i="57" l="1"/>
  <c r="AF150" i="53"/>
  <c r="AH88" i="50"/>
  <c r="AI88" i="50" s="1"/>
  <c r="AP88" i="50" s="1"/>
  <c r="P136" i="69"/>
  <c r="AP136" i="69"/>
  <c r="AK151" i="57"/>
  <c r="AL89" i="50"/>
  <c r="O82" i="32"/>
  <c r="AK92" i="50"/>
  <c r="AG89" i="50"/>
  <c r="BC137" i="69"/>
  <c r="BE137" i="69"/>
  <c r="BF137" i="69"/>
  <c r="BD137" i="69"/>
  <c r="U81" i="32"/>
  <c r="U80" i="32"/>
  <c r="AH152" i="57"/>
  <c r="AI152" i="57" s="1"/>
  <c r="K152" i="57"/>
  <c r="AO91" i="50"/>
  <c r="AQ92" i="50"/>
  <c r="N92" i="50"/>
  <c r="AX135" i="69"/>
  <c r="AW135" i="69"/>
  <c r="L137" i="69"/>
  <c r="M137" i="69" s="1"/>
  <c r="AZ137" i="69"/>
  <c r="AB133" i="69"/>
  <c r="AC133" i="69" s="1"/>
  <c r="AD133" i="69" s="1"/>
  <c r="U135" i="69"/>
  <c r="AH135" i="69"/>
  <c r="F135" i="69"/>
  <c r="G135" i="69" s="1"/>
  <c r="H135" i="69" s="1"/>
  <c r="I135" i="69" s="1"/>
  <c r="J135" i="69" s="1"/>
  <c r="K135" i="69" s="1"/>
  <c r="F82" i="32"/>
  <c r="AU82" i="32"/>
  <c r="F92" i="50"/>
  <c r="U92" i="50" s="1"/>
  <c r="AY92" i="50"/>
  <c r="Y134" i="69"/>
  <c r="AB134" i="69" s="1"/>
  <c r="AC134" i="69" s="1"/>
  <c r="AD134" i="69" s="1"/>
  <c r="AD90" i="50"/>
  <c r="AG151" i="57"/>
  <c r="X149" i="57"/>
  <c r="AB149" i="57" s="1"/>
  <c r="AC152" i="53"/>
  <c r="O152" i="53"/>
  <c r="Q136" i="69"/>
  <c r="AA148" i="57"/>
  <c r="AD150" i="57"/>
  <c r="Q150" i="57"/>
  <c r="AE150" i="57"/>
  <c r="R150" i="57"/>
  <c r="AC150" i="57"/>
  <c r="AQ150" i="57"/>
  <c r="P91" i="50"/>
  <c r="N152" i="53"/>
  <c r="O92" i="50"/>
  <c r="AA150" i="53"/>
  <c r="AJ90" i="50"/>
  <c r="C90" i="50"/>
  <c r="S91" i="50"/>
  <c r="Z91" i="50" s="1"/>
  <c r="W90" i="50"/>
  <c r="X89" i="50"/>
  <c r="V90" i="50"/>
  <c r="AF135" i="69"/>
  <c r="P152" i="57"/>
  <c r="O137" i="69"/>
  <c r="AO136" i="69"/>
  <c r="AE151" i="53"/>
  <c r="AK82" i="32"/>
  <c r="AM91" i="50"/>
  <c r="R151" i="53"/>
  <c r="X151" i="53" s="1"/>
  <c r="AB151" i="53" s="1"/>
  <c r="AY135" i="69"/>
  <c r="L152" i="57"/>
  <c r="AT151" i="53"/>
  <c r="AG151" i="53"/>
  <c r="N152" i="57"/>
  <c r="C152" i="53"/>
  <c r="Q151" i="53"/>
  <c r="AD151" i="53"/>
  <c r="D152" i="53"/>
  <c r="F152" i="53"/>
  <c r="E152" i="53"/>
  <c r="G152" i="53"/>
  <c r="K152" i="53"/>
  <c r="AH152" i="53" s="1"/>
  <c r="J152" i="53"/>
  <c r="H152" i="53"/>
  <c r="AK151" i="52" a="1"/>
  <c r="AK151" i="52" s="1"/>
  <c r="B153" i="53" s="1"/>
  <c r="L152" i="53"/>
  <c r="I152" i="53"/>
  <c r="P152" i="53"/>
  <c r="M92" i="50"/>
  <c r="I92" i="50"/>
  <c r="K92" i="50"/>
  <c r="G92" i="50"/>
  <c r="B92" i="50"/>
  <c r="J92" i="50"/>
  <c r="A92" i="50"/>
  <c r="H92" i="50"/>
  <c r="L92" i="50"/>
  <c r="J152" i="57"/>
  <c r="H152" i="57"/>
  <c r="F152" i="57"/>
  <c r="D152" i="57"/>
  <c r="C152" i="57"/>
  <c r="I152" i="57"/>
  <c r="E152" i="57"/>
  <c r="G152" i="57"/>
  <c r="AN151" i="55" a="1"/>
  <c r="AN151" i="55" s="1"/>
  <c r="B153" i="57" s="1"/>
  <c r="O153" i="57" s="1"/>
  <c r="AS137" i="67" a="1"/>
  <c r="AS137" i="67" s="1"/>
  <c r="B138" i="69"/>
  <c r="AM138" i="69" s="1"/>
  <c r="AN138" i="69" s="1"/>
  <c r="D136" i="69"/>
  <c r="E136" i="69" s="1"/>
  <c r="AE135" i="69"/>
  <c r="R135" i="69"/>
  <c r="S135" i="69" s="1"/>
  <c r="C137" i="69"/>
  <c r="AL82" i="11" a="1"/>
  <c r="AL82" i="11" s="1"/>
  <c r="E83" i="32" s="1"/>
  <c r="T83" i="32" s="1"/>
  <c r="AP92" i="59" a="1"/>
  <c r="AP92" i="59" s="1"/>
  <c r="E93" i="50" s="1"/>
  <c r="T93" i="50" s="1"/>
  <c r="AF149" i="57" l="1"/>
  <c r="AF151" i="53"/>
  <c r="AH89" i="50"/>
  <c r="AI89" i="50" s="1"/>
  <c r="AP89" i="50" s="1"/>
  <c r="AK152" i="57"/>
  <c r="P137" i="69"/>
  <c r="AP137" i="69"/>
  <c r="AJ148" i="57"/>
  <c r="O83" i="32"/>
  <c r="AK93" i="50"/>
  <c r="AL90" i="50"/>
  <c r="AG90" i="50"/>
  <c r="BC138" i="69"/>
  <c r="BE138" i="69"/>
  <c r="BF138" i="69"/>
  <c r="BD138" i="69"/>
  <c r="U82" i="32"/>
  <c r="AH153" i="57"/>
  <c r="AI153" i="57" s="1"/>
  <c r="K153" i="57"/>
  <c r="AQ93" i="50"/>
  <c r="N93" i="50"/>
  <c r="AO92" i="50"/>
  <c r="AX136" i="69"/>
  <c r="AW136" i="69"/>
  <c r="L138" i="69"/>
  <c r="M138" i="69" s="1"/>
  <c r="AZ138" i="69"/>
  <c r="Y135" i="69"/>
  <c r="AB135" i="69" s="1"/>
  <c r="AC135" i="69" s="1"/>
  <c r="AD135" i="69" s="1"/>
  <c r="F136" i="69"/>
  <c r="G136" i="69" s="1"/>
  <c r="H136" i="69" s="1"/>
  <c r="I136" i="69" s="1"/>
  <c r="J136" i="69" s="1"/>
  <c r="K136" i="69" s="1"/>
  <c r="U136" i="69"/>
  <c r="AH136" i="69"/>
  <c r="F83" i="32"/>
  <c r="AU83" i="32"/>
  <c r="AY93" i="50"/>
  <c r="F93" i="50"/>
  <c r="U93" i="50" s="1"/>
  <c r="AG134" i="69"/>
  <c r="AD91" i="50"/>
  <c r="X150" i="57"/>
  <c r="AB150" i="57" s="1"/>
  <c r="AG152" i="57"/>
  <c r="AA149" i="57"/>
  <c r="AC153" i="53"/>
  <c r="O153" i="53"/>
  <c r="Q137" i="69"/>
  <c r="AD151" i="57"/>
  <c r="Q151" i="57"/>
  <c r="R151" i="57"/>
  <c r="AC151" i="57"/>
  <c r="AE151" i="57"/>
  <c r="AQ151" i="57"/>
  <c r="P92" i="50"/>
  <c r="N153" i="53"/>
  <c r="O93" i="50"/>
  <c r="AA151" i="53"/>
  <c r="AJ91" i="50"/>
  <c r="C91" i="50"/>
  <c r="S92" i="50"/>
  <c r="Z92" i="50" s="1"/>
  <c r="W91" i="50"/>
  <c r="X90" i="50"/>
  <c r="V91" i="50"/>
  <c r="AF136" i="69"/>
  <c r="P153" i="57"/>
  <c r="O138" i="69"/>
  <c r="AO137" i="69"/>
  <c r="AE152" i="53"/>
  <c r="AK83" i="32"/>
  <c r="AM92" i="50"/>
  <c r="R152" i="53"/>
  <c r="X152" i="53" s="1"/>
  <c r="AB152" i="53" s="1"/>
  <c r="AY136" i="69"/>
  <c r="L153" i="57"/>
  <c r="AG152" i="53"/>
  <c r="AT152" i="53"/>
  <c r="N153" i="57"/>
  <c r="AD152" i="53"/>
  <c r="Q152" i="53"/>
  <c r="D153" i="53"/>
  <c r="H153" i="53"/>
  <c r="F153" i="53"/>
  <c r="L153" i="53"/>
  <c r="I153" i="53"/>
  <c r="C153" i="53"/>
  <c r="K153" i="53"/>
  <c r="AH153" i="53" s="1"/>
  <c r="E153" i="53"/>
  <c r="J153" i="53"/>
  <c r="P153" i="53"/>
  <c r="AK152" i="52" a="1"/>
  <c r="AK152" i="52" s="1"/>
  <c r="B154" i="53" s="1"/>
  <c r="G153" i="53"/>
  <c r="J93" i="50"/>
  <c r="M93" i="50"/>
  <c r="I93" i="50"/>
  <c r="B93" i="50"/>
  <c r="L93" i="50"/>
  <c r="G93" i="50"/>
  <c r="H93" i="50"/>
  <c r="K93" i="50"/>
  <c r="A93" i="50"/>
  <c r="E153" i="57"/>
  <c r="J153" i="57"/>
  <c r="I153" i="57"/>
  <c r="D153" i="57"/>
  <c r="G153" i="57"/>
  <c r="H153" i="57"/>
  <c r="C153" i="57"/>
  <c r="F153" i="57"/>
  <c r="AN152" i="55" a="1"/>
  <c r="AN152" i="55" s="1"/>
  <c r="B154" i="57" s="1"/>
  <c r="O154" i="57" s="1"/>
  <c r="AE136" i="69"/>
  <c r="R136" i="69"/>
  <c r="S136" i="69" s="1"/>
  <c r="C138" i="69"/>
  <c r="D137" i="69"/>
  <c r="E137" i="69" s="1"/>
  <c r="AS138" i="67" a="1"/>
  <c r="AS138" i="67" s="1"/>
  <c r="B139" i="69"/>
  <c r="AM139" i="69" s="1"/>
  <c r="AN139" i="69" s="1"/>
  <c r="AL83" i="11" a="1"/>
  <c r="AL83" i="11" s="1"/>
  <c r="E84" i="32" s="1"/>
  <c r="T84" i="32" s="1"/>
  <c r="AP93" i="59" a="1"/>
  <c r="AP93" i="59" s="1"/>
  <c r="E94" i="50" s="1"/>
  <c r="T94" i="50" s="1"/>
  <c r="AF150" i="57" l="1"/>
  <c r="AF152" i="53"/>
  <c r="AH90" i="50"/>
  <c r="AI90" i="50" s="1"/>
  <c r="AP90" i="50" s="1"/>
  <c r="AK153" i="57"/>
  <c r="P138" i="69"/>
  <c r="AP138" i="69"/>
  <c r="AJ149" i="57"/>
  <c r="AL91" i="50"/>
  <c r="O84" i="32"/>
  <c r="AK94" i="50"/>
  <c r="AG91" i="50"/>
  <c r="BC139" i="69"/>
  <c r="BD139" i="69"/>
  <c r="BE139" i="69"/>
  <c r="BF139" i="69"/>
  <c r="U83" i="32"/>
  <c r="AH154" i="57"/>
  <c r="AI154" i="57" s="1"/>
  <c r="K154" i="57"/>
  <c r="N94" i="50"/>
  <c r="AQ94" i="50"/>
  <c r="AO93" i="50"/>
  <c r="AX137" i="69"/>
  <c r="AW137" i="69"/>
  <c r="L139" i="69"/>
  <c r="M139" i="69" s="1"/>
  <c r="AZ139" i="69"/>
  <c r="Y136" i="69"/>
  <c r="AB136" i="69" s="1"/>
  <c r="AG135" i="69"/>
  <c r="U137" i="69"/>
  <c r="AH137" i="69"/>
  <c r="F137" i="69"/>
  <c r="G137" i="69" s="1"/>
  <c r="H137" i="69" s="1"/>
  <c r="I137" i="69" s="1"/>
  <c r="J137" i="69" s="1"/>
  <c r="K137" i="69" s="1"/>
  <c r="F84" i="32"/>
  <c r="AU84" i="32"/>
  <c r="F94" i="50"/>
  <c r="U94" i="50" s="1"/>
  <c r="AY94" i="50"/>
  <c r="AD92" i="50"/>
  <c r="X151" i="57"/>
  <c r="AB151" i="57" s="1"/>
  <c r="AG153" i="57"/>
  <c r="AC154" i="53"/>
  <c r="O154" i="53"/>
  <c r="Q138" i="69"/>
  <c r="AA150" i="57"/>
  <c r="AQ152" i="57"/>
  <c r="Q152" i="57"/>
  <c r="AD152" i="57"/>
  <c r="R152" i="57"/>
  <c r="AC152" i="57"/>
  <c r="AE152" i="57"/>
  <c r="P93" i="50"/>
  <c r="N154" i="53"/>
  <c r="O94" i="50"/>
  <c r="AA152" i="53"/>
  <c r="AJ92" i="50"/>
  <c r="C92" i="50"/>
  <c r="S93" i="50"/>
  <c r="Z93" i="50" s="1"/>
  <c r="W92" i="50"/>
  <c r="X91" i="50"/>
  <c r="V92" i="50"/>
  <c r="AF137" i="69"/>
  <c r="P154" i="57"/>
  <c r="AO138" i="69"/>
  <c r="O139" i="69"/>
  <c r="AE153" i="53"/>
  <c r="AK84" i="32"/>
  <c r="AM93" i="50"/>
  <c r="R153" i="53"/>
  <c r="X153" i="53" s="1"/>
  <c r="AB153" i="53" s="1"/>
  <c r="AY137" i="69"/>
  <c r="L154" i="57"/>
  <c r="AG153" i="53"/>
  <c r="AT153" i="53"/>
  <c r="N154" i="57"/>
  <c r="P154" i="53"/>
  <c r="AD153" i="53"/>
  <c r="Q153" i="53"/>
  <c r="AK153" i="52" a="1"/>
  <c r="AK153" i="52" s="1"/>
  <c r="B155" i="53" s="1"/>
  <c r="D154" i="53"/>
  <c r="H154" i="53"/>
  <c r="E154" i="53"/>
  <c r="F154" i="53"/>
  <c r="L154" i="53"/>
  <c r="C154" i="53"/>
  <c r="G154" i="53"/>
  <c r="J154" i="53"/>
  <c r="I154" i="53"/>
  <c r="K154" i="53"/>
  <c r="AH154" i="53" s="1"/>
  <c r="J94" i="50"/>
  <c r="K94" i="50"/>
  <c r="M94" i="50"/>
  <c r="A94" i="50"/>
  <c r="L94" i="50"/>
  <c r="B94" i="50"/>
  <c r="H94" i="50"/>
  <c r="I94" i="50"/>
  <c r="G94" i="50"/>
  <c r="J154" i="57"/>
  <c r="G154" i="57"/>
  <c r="D154" i="57"/>
  <c r="C154" i="57"/>
  <c r="F154" i="57"/>
  <c r="I154" i="57"/>
  <c r="E154" i="57"/>
  <c r="H154" i="57"/>
  <c r="AN153" i="55" a="1"/>
  <c r="AN153" i="55" s="1"/>
  <c r="B155" i="57" s="1"/>
  <c r="O155" i="57" s="1"/>
  <c r="C139" i="69"/>
  <c r="D138" i="69"/>
  <c r="E138" i="69" s="1"/>
  <c r="AS139" i="67" a="1"/>
  <c r="AS139" i="67" s="1"/>
  <c r="B140" i="69"/>
  <c r="AM140" i="69" s="1"/>
  <c r="AN140" i="69" s="1"/>
  <c r="R137" i="69"/>
  <c r="S137" i="69" s="1"/>
  <c r="AE137" i="69"/>
  <c r="AL84" i="11" a="1"/>
  <c r="AL84" i="11" s="1"/>
  <c r="E85" i="32" s="1"/>
  <c r="T85" i="32" s="1"/>
  <c r="AP94" i="59" a="1"/>
  <c r="AP94" i="59" s="1"/>
  <c r="E95" i="50" s="1"/>
  <c r="T95" i="50" s="1"/>
  <c r="AF151" i="57" l="1"/>
  <c r="AF153" i="53"/>
  <c r="AH91" i="50"/>
  <c r="AI91" i="50" s="1"/>
  <c r="AP91" i="50" s="1"/>
  <c r="P139" i="69"/>
  <c r="AP139" i="69"/>
  <c r="AK154" i="57"/>
  <c r="AJ150" i="57"/>
  <c r="O85" i="32"/>
  <c r="AK95" i="50"/>
  <c r="AL92" i="50"/>
  <c r="AG92" i="50"/>
  <c r="BC140" i="69"/>
  <c r="BD140" i="69"/>
  <c r="BE140" i="69"/>
  <c r="BF140" i="69"/>
  <c r="U84" i="32"/>
  <c r="AH155" i="57"/>
  <c r="AI155" i="57" s="1"/>
  <c r="K155" i="57"/>
  <c r="AO94" i="50"/>
  <c r="N95" i="50"/>
  <c r="AQ95" i="50"/>
  <c r="AX138" i="69"/>
  <c r="AW138" i="69"/>
  <c r="L140" i="69"/>
  <c r="M140" i="69" s="1"/>
  <c r="AZ140" i="69"/>
  <c r="AG136" i="69"/>
  <c r="U138" i="69"/>
  <c r="AH138" i="69"/>
  <c r="F138" i="69"/>
  <c r="G138" i="69" s="1"/>
  <c r="H138" i="69" s="1"/>
  <c r="I138" i="69" s="1"/>
  <c r="J138" i="69" s="1"/>
  <c r="K138" i="69" s="1"/>
  <c r="F85" i="32"/>
  <c r="AU85" i="32"/>
  <c r="AY95" i="50"/>
  <c r="F95" i="50"/>
  <c r="U95" i="50" s="1"/>
  <c r="X152" i="57"/>
  <c r="AB152" i="57" s="1"/>
  <c r="Y137" i="69"/>
  <c r="AB137" i="69" s="1"/>
  <c r="AC137" i="69" s="1"/>
  <c r="AD137" i="69" s="1"/>
  <c r="AD93" i="50"/>
  <c r="AG154" i="57"/>
  <c r="AC155" i="53"/>
  <c r="O155" i="53"/>
  <c r="Q139" i="69"/>
  <c r="AA151" i="57"/>
  <c r="Q153" i="57"/>
  <c r="R153" i="57"/>
  <c r="AE153" i="57"/>
  <c r="AQ153" i="57"/>
  <c r="AD153" i="57"/>
  <c r="AC153" i="57"/>
  <c r="P94" i="50"/>
  <c r="N155" i="53"/>
  <c r="O95" i="50"/>
  <c r="AA153" i="53"/>
  <c r="AJ93" i="50"/>
  <c r="C93" i="50"/>
  <c r="S94" i="50"/>
  <c r="Z94" i="50" s="1"/>
  <c r="W93" i="50"/>
  <c r="X92" i="50"/>
  <c r="V93" i="50"/>
  <c r="AF138" i="69"/>
  <c r="P155" i="57"/>
  <c r="AC136" i="69"/>
  <c r="AD136" i="69" s="1"/>
  <c r="O140" i="69"/>
  <c r="AO139" i="69"/>
  <c r="AE154" i="53"/>
  <c r="AK85" i="32"/>
  <c r="AM94" i="50"/>
  <c r="R154" i="53"/>
  <c r="X154" i="53" s="1"/>
  <c r="AB154" i="53" s="1"/>
  <c r="AY138" i="69"/>
  <c r="L155" i="57"/>
  <c r="AT154" i="53"/>
  <c r="AG154" i="53"/>
  <c r="N155" i="57"/>
  <c r="P155" i="53"/>
  <c r="AD154" i="53"/>
  <c r="AK154" i="52" a="1"/>
  <c r="AK154" i="52" s="1"/>
  <c r="B156" i="53" s="1"/>
  <c r="Q154" i="53"/>
  <c r="C155" i="53"/>
  <c r="H155" i="53"/>
  <c r="I155" i="53"/>
  <c r="K155" i="53"/>
  <c r="AH155" i="53" s="1"/>
  <c r="E155" i="53"/>
  <c r="D155" i="53"/>
  <c r="L155" i="53"/>
  <c r="F155" i="53"/>
  <c r="J155" i="53"/>
  <c r="G155" i="53"/>
  <c r="B95" i="50"/>
  <c r="L95" i="50"/>
  <c r="A95" i="50"/>
  <c r="J95" i="50"/>
  <c r="M95" i="50"/>
  <c r="I95" i="50"/>
  <c r="K95" i="50"/>
  <c r="G95" i="50"/>
  <c r="H95" i="50"/>
  <c r="J155" i="57"/>
  <c r="I155" i="57"/>
  <c r="F155" i="57"/>
  <c r="E155" i="57"/>
  <c r="D155" i="57"/>
  <c r="C155" i="57"/>
  <c r="H155" i="57"/>
  <c r="G155" i="57"/>
  <c r="AN154" i="55" a="1"/>
  <c r="AN154" i="55" s="1"/>
  <c r="B156" i="57" s="1"/>
  <c r="O156" i="57" s="1"/>
  <c r="R138" i="69"/>
  <c r="S138" i="69" s="1"/>
  <c r="AE138" i="69"/>
  <c r="AS140" i="67" a="1"/>
  <c r="AS140" i="67" s="1"/>
  <c r="B141" i="69"/>
  <c r="AM141" i="69" s="1"/>
  <c r="AN141" i="69" s="1"/>
  <c r="C140" i="69"/>
  <c r="D139" i="69"/>
  <c r="E139" i="69" s="1"/>
  <c r="AL85" i="11" a="1"/>
  <c r="AL85" i="11" s="1"/>
  <c r="E86" i="32" s="1"/>
  <c r="T86" i="32" s="1"/>
  <c r="AP95" i="59" a="1"/>
  <c r="AP95" i="59" s="1"/>
  <c r="E96" i="50" s="1"/>
  <c r="T96" i="50" s="1"/>
  <c r="AF152" i="57" l="1"/>
  <c r="AF154" i="53"/>
  <c r="AH92" i="50"/>
  <c r="AI92" i="50" s="1"/>
  <c r="AP92" i="50" s="1"/>
  <c r="AK155" i="57"/>
  <c r="P140" i="69"/>
  <c r="AP140" i="69"/>
  <c r="AJ151" i="57"/>
  <c r="AL93" i="50"/>
  <c r="O86" i="32"/>
  <c r="AK96" i="50"/>
  <c r="AG93" i="50"/>
  <c r="BC141" i="69"/>
  <c r="BF141" i="69"/>
  <c r="BE141" i="69"/>
  <c r="BD141" i="69"/>
  <c r="U85" i="32"/>
  <c r="AH156" i="57"/>
  <c r="AI156" i="57" s="1"/>
  <c r="K156" i="57"/>
  <c r="AO95" i="50"/>
  <c r="AQ96" i="50"/>
  <c r="N96" i="50"/>
  <c r="AX139" i="69"/>
  <c r="AW139" i="69"/>
  <c r="L141" i="69"/>
  <c r="M141" i="69" s="1"/>
  <c r="AZ141" i="69"/>
  <c r="Y138" i="69"/>
  <c r="AB138" i="69" s="1"/>
  <c r="F139" i="69"/>
  <c r="G139" i="69" s="1"/>
  <c r="H139" i="69" s="1"/>
  <c r="I139" i="69" s="1"/>
  <c r="J139" i="69" s="1"/>
  <c r="K139" i="69" s="1"/>
  <c r="U139" i="69"/>
  <c r="AH139" i="69"/>
  <c r="F86" i="32"/>
  <c r="AU86" i="32"/>
  <c r="F96" i="50"/>
  <c r="U96" i="50" s="1"/>
  <c r="AY96" i="50"/>
  <c r="AG137" i="69"/>
  <c r="AD94" i="50"/>
  <c r="X153" i="57"/>
  <c r="AB153" i="57" s="1"/>
  <c r="AG155" i="57"/>
  <c r="AC156" i="53"/>
  <c r="O156" i="53"/>
  <c r="Q140" i="69"/>
  <c r="AA152" i="57"/>
  <c r="Q154" i="57"/>
  <c r="AD154" i="57"/>
  <c r="R154" i="57"/>
  <c r="AC154" i="57"/>
  <c r="AE154" i="57"/>
  <c r="AQ154" i="57"/>
  <c r="P95" i="50"/>
  <c r="N156" i="53"/>
  <c r="O96" i="50"/>
  <c r="AA154" i="53"/>
  <c r="C94" i="50"/>
  <c r="AJ94" i="50"/>
  <c r="S95" i="50"/>
  <c r="Z95" i="50" s="1"/>
  <c r="W94" i="50"/>
  <c r="X93" i="50"/>
  <c r="V94" i="50"/>
  <c r="AF139" i="69"/>
  <c r="P156" i="57"/>
  <c r="AO140" i="69"/>
  <c r="O141" i="69"/>
  <c r="AE155" i="53"/>
  <c r="AK86" i="32"/>
  <c r="AM95" i="50"/>
  <c r="R155" i="53"/>
  <c r="X155" i="53" s="1"/>
  <c r="AB155" i="53" s="1"/>
  <c r="AY139" i="69"/>
  <c r="L156" i="57"/>
  <c r="AT155" i="53"/>
  <c r="AG155" i="53"/>
  <c r="N156" i="57"/>
  <c r="Q155" i="53"/>
  <c r="AD155" i="53"/>
  <c r="L156" i="53"/>
  <c r="P156" i="53"/>
  <c r="C156" i="53"/>
  <c r="E156" i="53"/>
  <c r="G156" i="53"/>
  <c r="H156" i="53"/>
  <c r="D156" i="53"/>
  <c r="I156" i="53"/>
  <c r="K156" i="53"/>
  <c r="AH156" i="53" s="1"/>
  <c r="AK155" i="52" a="1"/>
  <c r="AK155" i="52" s="1"/>
  <c r="B157" i="53" s="1"/>
  <c r="J156" i="53"/>
  <c r="F156" i="53"/>
  <c r="L96" i="50"/>
  <c r="H96" i="50"/>
  <c r="A96" i="50"/>
  <c r="K96" i="50"/>
  <c r="B96" i="50"/>
  <c r="I96" i="50"/>
  <c r="M96" i="50"/>
  <c r="G96" i="50"/>
  <c r="J96" i="50"/>
  <c r="H156" i="57"/>
  <c r="F156" i="57"/>
  <c r="C156" i="57"/>
  <c r="I156" i="57"/>
  <c r="E156" i="57"/>
  <c r="G156" i="57"/>
  <c r="D156" i="57"/>
  <c r="J156" i="57"/>
  <c r="AN155" i="55" a="1"/>
  <c r="AN155" i="55" s="1"/>
  <c r="B157" i="57" s="1"/>
  <c r="O157" i="57" s="1"/>
  <c r="C141" i="69"/>
  <c r="AE139" i="69"/>
  <c r="R139" i="69"/>
  <c r="S139" i="69" s="1"/>
  <c r="D140" i="69"/>
  <c r="E140" i="69" s="1"/>
  <c r="AS141" i="67" a="1"/>
  <c r="AS141" i="67" s="1"/>
  <c r="B142" i="69"/>
  <c r="AM142" i="69" s="1"/>
  <c r="AN142" i="69" s="1"/>
  <c r="AL86" i="11" a="1"/>
  <c r="AL86" i="11" s="1"/>
  <c r="E87" i="32" s="1"/>
  <c r="T87" i="32" s="1"/>
  <c r="AP96" i="59" a="1"/>
  <c r="AP96" i="59" s="1"/>
  <c r="E97" i="50" s="1"/>
  <c r="T97" i="50" s="1"/>
  <c r="AF153" i="57" l="1"/>
  <c r="AF155" i="53"/>
  <c r="AH93" i="50"/>
  <c r="AI93" i="50" s="1"/>
  <c r="AP93" i="50" s="1"/>
  <c r="AL94" i="50"/>
  <c r="AK156" i="57"/>
  <c r="P141" i="69"/>
  <c r="AP141" i="69"/>
  <c r="AJ152" i="57"/>
  <c r="O87" i="32"/>
  <c r="AK97" i="50"/>
  <c r="AG94" i="50"/>
  <c r="BC142" i="69"/>
  <c r="BF142" i="69"/>
  <c r="BD142" i="69"/>
  <c r="BE142" i="69"/>
  <c r="U86" i="32"/>
  <c r="AH157" i="57"/>
  <c r="AI157" i="57" s="1"/>
  <c r="K157" i="57"/>
  <c r="AO96" i="50"/>
  <c r="AQ97" i="50"/>
  <c r="N97" i="50"/>
  <c r="AW140" i="69"/>
  <c r="AX140" i="69"/>
  <c r="L142" i="69"/>
  <c r="M142" i="69" s="1"/>
  <c r="AZ142" i="69"/>
  <c r="AG138" i="69"/>
  <c r="U140" i="69"/>
  <c r="AH140" i="69"/>
  <c r="F140" i="69"/>
  <c r="G140" i="69" s="1"/>
  <c r="H140" i="69" s="1"/>
  <c r="I140" i="69" s="1"/>
  <c r="J140" i="69" s="1"/>
  <c r="K140" i="69" s="1"/>
  <c r="F87" i="32"/>
  <c r="AU87" i="32"/>
  <c r="AY97" i="50"/>
  <c r="F97" i="50"/>
  <c r="U97" i="50" s="1"/>
  <c r="Y139" i="69"/>
  <c r="AB139" i="69" s="1"/>
  <c r="AC139" i="69" s="1"/>
  <c r="AD139" i="69" s="1"/>
  <c r="AD95" i="50"/>
  <c r="X154" i="57"/>
  <c r="AB154" i="57" s="1"/>
  <c r="AG156" i="57"/>
  <c r="Q155" i="57"/>
  <c r="AC157" i="53"/>
  <c r="O157" i="53"/>
  <c r="Q141" i="69"/>
  <c r="AQ155" i="57"/>
  <c r="AA153" i="57"/>
  <c r="AD155" i="57"/>
  <c r="R155" i="57"/>
  <c r="AC155" i="57"/>
  <c r="AE155" i="57"/>
  <c r="P96" i="50"/>
  <c r="N157" i="53"/>
  <c r="O97" i="50"/>
  <c r="AA155" i="53"/>
  <c r="AJ95" i="50"/>
  <c r="C95" i="50"/>
  <c r="S96" i="50"/>
  <c r="Z96" i="50" s="1"/>
  <c r="W95" i="50"/>
  <c r="X94" i="50"/>
  <c r="V95" i="50"/>
  <c r="AF140" i="69"/>
  <c r="P157" i="57"/>
  <c r="AC138" i="69"/>
  <c r="AD138" i="69" s="1"/>
  <c r="O142" i="69"/>
  <c r="AO141" i="69"/>
  <c r="AE156" i="53"/>
  <c r="AK87" i="32"/>
  <c r="AM96" i="50"/>
  <c r="R156" i="53"/>
  <c r="X156" i="53" s="1"/>
  <c r="AB156" i="53" s="1"/>
  <c r="AY140" i="69"/>
  <c r="L157" i="57"/>
  <c r="AD156" i="53"/>
  <c r="AT156" i="53"/>
  <c r="AG156" i="53"/>
  <c r="N157" i="57"/>
  <c r="I157" i="53"/>
  <c r="Q156" i="53"/>
  <c r="K157" i="53"/>
  <c r="AH157" i="53" s="1"/>
  <c r="P157" i="53"/>
  <c r="J157" i="53"/>
  <c r="F157" i="53"/>
  <c r="D157" i="53"/>
  <c r="E157" i="53"/>
  <c r="C157" i="53"/>
  <c r="H157" i="53"/>
  <c r="AK156" i="52" a="1"/>
  <c r="AK156" i="52" s="1"/>
  <c r="B158" i="53" s="1"/>
  <c r="G157" i="53"/>
  <c r="L157" i="53"/>
  <c r="I97" i="50"/>
  <c r="L97" i="50"/>
  <c r="K97" i="50"/>
  <c r="M97" i="50"/>
  <c r="H97" i="50"/>
  <c r="B97" i="50"/>
  <c r="J97" i="50"/>
  <c r="A97" i="50"/>
  <c r="G97" i="50"/>
  <c r="J157" i="57"/>
  <c r="H157" i="57"/>
  <c r="E157" i="57"/>
  <c r="C157" i="57"/>
  <c r="I157" i="57"/>
  <c r="D157" i="57"/>
  <c r="F157" i="57"/>
  <c r="G157" i="57"/>
  <c r="AN156" i="55" a="1"/>
  <c r="AN156" i="55" s="1"/>
  <c r="B158" i="57" s="1"/>
  <c r="O158" i="57" s="1"/>
  <c r="C142" i="69"/>
  <c r="D141" i="69"/>
  <c r="E141" i="69" s="1"/>
  <c r="AE140" i="69"/>
  <c r="R140" i="69"/>
  <c r="S140" i="69" s="1"/>
  <c r="AS142" i="67" a="1"/>
  <c r="AS142" i="67" s="1"/>
  <c r="B143" i="69"/>
  <c r="AM143" i="69" s="1"/>
  <c r="AN143" i="69" s="1"/>
  <c r="AL87" i="11" a="1"/>
  <c r="AL87" i="11" s="1"/>
  <c r="E88" i="32" s="1"/>
  <c r="T88" i="32" s="1"/>
  <c r="AP97" i="59" a="1"/>
  <c r="AP97" i="59" s="1"/>
  <c r="E98" i="50" s="1"/>
  <c r="T98" i="50" s="1"/>
  <c r="B3" i="36"/>
  <c r="AF154" i="57" l="1"/>
  <c r="AF156" i="53"/>
  <c r="AH94" i="50"/>
  <c r="AI94" i="50" s="1"/>
  <c r="AP94" i="50" s="1"/>
  <c r="P142" i="69"/>
  <c r="AP142" i="69"/>
  <c r="AK157" i="57"/>
  <c r="AJ153" i="57"/>
  <c r="AL95" i="50"/>
  <c r="O88" i="32"/>
  <c r="AK98" i="50"/>
  <c r="AG95" i="50"/>
  <c r="BC143" i="69"/>
  <c r="BF143" i="69"/>
  <c r="BD143" i="69"/>
  <c r="BE143" i="69"/>
  <c r="U87" i="32"/>
  <c r="AH158" i="57"/>
  <c r="AI158" i="57" s="1"/>
  <c r="K158" i="57"/>
  <c r="AO97" i="50"/>
  <c r="AQ98" i="50"/>
  <c r="N98" i="50"/>
  <c r="AX141" i="69"/>
  <c r="AW141" i="69"/>
  <c r="L143" i="69"/>
  <c r="M143" i="69" s="1"/>
  <c r="AZ143" i="69"/>
  <c r="Y140" i="69"/>
  <c r="AB140" i="69" s="1"/>
  <c r="U141" i="69"/>
  <c r="AH141" i="69"/>
  <c r="F141" i="69"/>
  <c r="G141" i="69" s="1"/>
  <c r="H141" i="69" s="1"/>
  <c r="I141" i="69" s="1"/>
  <c r="J141" i="69" s="1"/>
  <c r="K141" i="69" s="1"/>
  <c r="F88" i="32"/>
  <c r="AU88" i="32"/>
  <c r="F98" i="50"/>
  <c r="U98" i="50" s="1"/>
  <c r="AY98" i="50"/>
  <c r="AG139" i="69"/>
  <c r="AD96" i="50"/>
  <c r="X155" i="57"/>
  <c r="AG157" i="57"/>
  <c r="Q156" i="57"/>
  <c r="R156" i="57"/>
  <c r="AC156" i="57"/>
  <c r="AC158" i="53"/>
  <c r="O158" i="53"/>
  <c r="Q142" i="69"/>
  <c r="AQ156" i="57"/>
  <c r="AA154" i="57"/>
  <c r="AE156" i="57"/>
  <c r="AD156" i="57"/>
  <c r="P97" i="50"/>
  <c r="N158" i="53"/>
  <c r="O98" i="50"/>
  <c r="AA156" i="53"/>
  <c r="AJ96" i="50"/>
  <c r="C96" i="50"/>
  <c r="S97" i="50"/>
  <c r="Z97" i="50" s="1"/>
  <c r="W96" i="50"/>
  <c r="X95" i="50"/>
  <c r="V96" i="50"/>
  <c r="AF141" i="69"/>
  <c r="P158" i="57"/>
  <c r="O143" i="69"/>
  <c r="AO142" i="69"/>
  <c r="AE157" i="53"/>
  <c r="AK88" i="32"/>
  <c r="AM97" i="50"/>
  <c r="R157" i="53"/>
  <c r="X157" i="53" s="1"/>
  <c r="AB157" i="53" s="1"/>
  <c r="AY141" i="69"/>
  <c r="L158" i="57"/>
  <c r="AG157" i="53"/>
  <c r="AT157" i="53"/>
  <c r="N158" i="57"/>
  <c r="AD157" i="53"/>
  <c r="Q157" i="53"/>
  <c r="I158" i="53"/>
  <c r="D158" i="53"/>
  <c r="H158" i="53"/>
  <c r="AK157" i="52" a="1"/>
  <c r="AK157" i="52" s="1"/>
  <c r="B159" i="53" s="1"/>
  <c r="G158" i="53"/>
  <c r="K158" i="53"/>
  <c r="AH158" i="53" s="1"/>
  <c r="F158" i="53"/>
  <c r="C158" i="53"/>
  <c r="P158" i="53"/>
  <c r="L158" i="53"/>
  <c r="J158" i="53"/>
  <c r="E158" i="53"/>
  <c r="K98" i="50"/>
  <c r="M98" i="50"/>
  <c r="A98" i="50"/>
  <c r="G98" i="50"/>
  <c r="J98" i="50"/>
  <c r="I98" i="50"/>
  <c r="B98" i="50"/>
  <c r="L98" i="50"/>
  <c r="H98" i="50"/>
  <c r="J158" i="57"/>
  <c r="D158" i="57"/>
  <c r="F158" i="57"/>
  <c r="H158" i="57"/>
  <c r="C158" i="57"/>
  <c r="I158" i="57"/>
  <c r="G158" i="57"/>
  <c r="E158" i="57"/>
  <c r="AN157" i="55" a="1"/>
  <c r="AN157" i="55" s="1"/>
  <c r="B159" i="57" s="1"/>
  <c r="O159" i="57" s="1"/>
  <c r="AS143" i="67" a="1"/>
  <c r="AS143" i="67" s="1"/>
  <c r="B144" i="69"/>
  <c r="AM144" i="69" s="1"/>
  <c r="AN144" i="69" s="1"/>
  <c r="AE141" i="69"/>
  <c r="R141" i="69"/>
  <c r="S141" i="69" s="1"/>
  <c r="D142" i="69"/>
  <c r="E142" i="69" s="1"/>
  <c r="C143" i="69"/>
  <c r="AL88" i="11" a="1"/>
  <c r="AL88" i="11" s="1"/>
  <c r="E89" i="32" s="1"/>
  <c r="T89" i="32" s="1"/>
  <c r="AP98" i="59" a="1"/>
  <c r="AP98" i="59" s="1"/>
  <c r="E99" i="50" s="1"/>
  <c r="T99" i="50" s="1"/>
  <c r="E3" i="32"/>
  <c r="AA155" i="57" l="1"/>
  <c r="AB155" i="57"/>
  <c r="AF155" i="57" s="1"/>
  <c r="AF157" i="53"/>
  <c r="AH95" i="50"/>
  <c r="AI95" i="50" s="1"/>
  <c r="AP95" i="50" s="1"/>
  <c r="AL96" i="50"/>
  <c r="AK158" i="57"/>
  <c r="P143" i="69"/>
  <c r="AP143" i="69"/>
  <c r="AJ154" i="57"/>
  <c r="O89" i="32"/>
  <c r="AK99" i="50"/>
  <c r="AG96" i="50"/>
  <c r="BC144" i="69"/>
  <c r="BE144" i="69"/>
  <c r="BF144" i="69"/>
  <c r="BD144" i="69"/>
  <c r="U88" i="32"/>
  <c r="AH159" i="57"/>
  <c r="AI159" i="57" s="1"/>
  <c r="K159" i="57"/>
  <c r="N99" i="50"/>
  <c r="AQ99" i="50"/>
  <c r="AO98" i="50"/>
  <c r="AX142" i="69"/>
  <c r="AW142" i="69"/>
  <c r="L144" i="69"/>
  <c r="M144" i="69" s="1"/>
  <c r="AZ144" i="69"/>
  <c r="AG140" i="69"/>
  <c r="Y141" i="69"/>
  <c r="AB141" i="69" s="1"/>
  <c r="F142" i="69"/>
  <c r="G142" i="69" s="1"/>
  <c r="H142" i="69" s="1"/>
  <c r="I142" i="69" s="1"/>
  <c r="J142" i="69" s="1"/>
  <c r="K142" i="69" s="1"/>
  <c r="U142" i="69"/>
  <c r="AH142" i="69"/>
  <c r="F89" i="32"/>
  <c r="AU89" i="32"/>
  <c r="AY99" i="50"/>
  <c r="F99" i="50"/>
  <c r="U99" i="50" s="1"/>
  <c r="AD97" i="50"/>
  <c r="AG158" i="57"/>
  <c r="X156" i="57"/>
  <c r="AB156" i="57" s="1"/>
  <c r="AC159" i="53"/>
  <c r="O159" i="53"/>
  <c r="Q143" i="69"/>
  <c r="Q157" i="57"/>
  <c r="AQ157" i="57"/>
  <c r="AD157" i="57"/>
  <c r="R157" i="57"/>
  <c r="AE157" i="57"/>
  <c r="AC157" i="57"/>
  <c r="P98" i="50"/>
  <c r="N159" i="53"/>
  <c r="O99" i="50"/>
  <c r="AA157" i="53"/>
  <c r="AJ97" i="50"/>
  <c r="C97" i="50"/>
  <c r="S98" i="50"/>
  <c r="Z98" i="50" s="1"/>
  <c r="W97" i="50"/>
  <c r="X96" i="50"/>
  <c r="V97" i="50"/>
  <c r="AF142" i="69"/>
  <c r="P159" i="57"/>
  <c r="AC140" i="69"/>
  <c r="AD140" i="69" s="1"/>
  <c r="O144" i="69"/>
  <c r="AO143" i="69"/>
  <c r="AE158" i="53"/>
  <c r="AK89" i="32"/>
  <c r="AM98" i="50"/>
  <c r="R158" i="53"/>
  <c r="X158" i="53" s="1"/>
  <c r="AB158" i="53" s="1"/>
  <c r="AY142" i="69"/>
  <c r="L159" i="57"/>
  <c r="AT158" i="53"/>
  <c r="AG158" i="53"/>
  <c r="N159" i="57"/>
  <c r="D159" i="53"/>
  <c r="AD158" i="53"/>
  <c r="Q158" i="53"/>
  <c r="AK158" i="52" a="1"/>
  <c r="AK158" i="52" s="1"/>
  <c r="B160" i="53" s="1"/>
  <c r="C159" i="53"/>
  <c r="I159" i="53"/>
  <c r="H159" i="53"/>
  <c r="L159" i="53"/>
  <c r="G159" i="53"/>
  <c r="E159" i="53"/>
  <c r="F159" i="53"/>
  <c r="K159" i="53"/>
  <c r="AH159" i="53" s="1"/>
  <c r="P159" i="53"/>
  <c r="J159" i="53"/>
  <c r="K99" i="50"/>
  <c r="I99" i="50"/>
  <c r="B99" i="50"/>
  <c r="J99" i="50"/>
  <c r="G99" i="50"/>
  <c r="M99" i="50"/>
  <c r="H99" i="50"/>
  <c r="A99" i="50"/>
  <c r="L99" i="50"/>
  <c r="D159" i="57"/>
  <c r="I159" i="57"/>
  <c r="F159" i="57"/>
  <c r="H159" i="57"/>
  <c r="G159" i="57"/>
  <c r="C159" i="57"/>
  <c r="J159" i="57"/>
  <c r="E159" i="57"/>
  <c r="AN158" i="55" a="1"/>
  <c r="AN158" i="55" s="1"/>
  <c r="B160" i="57" s="1"/>
  <c r="O160" i="57" s="1"/>
  <c r="D143" i="69"/>
  <c r="E143" i="69" s="1"/>
  <c r="C144" i="69"/>
  <c r="AE142" i="69"/>
  <c r="R142" i="69"/>
  <c r="S142" i="69" s="1"/>
  <c r="AS144" i="67" a="1"/>
  <c r="AS144" i="67" s="1"/>
  <c r="B145" i="69"/>
  <c r="AM145" i="69" s="1"/>
  <c r="AN145" i="69" s="1"/>
  <c r="AL89" i="11" a="1"/>
  <c r="AL89" i="11" s="1"/>
  <c r="E90" i="32" s="1"/>
  <c r="T90" i="32" s="1"/>
  <c r="AP99" i="59" a="1"/>
  <c r="AP99" i="59" s="1"/>
  <c r="E100" i="50" s="1"/>
  <c r="T100" i="50" s="1"/>
  <c r="AF158" i="53" l="1"/>
  <c r="AF156" i="57"/>
  <c r="AH96" i="50"/>
  <c r="AI96" i="50" s="1"/>
  <c r="AP96" i="50" s="1"/>
  <c r="AL97" i="50"/>
  <c r="P144" i="69"/>
  <c r="AP144" i="69"/>
  <c r="AK159" i="57"/>
  <c r="AJ155" i="57"/>
  <c r="O90" i="32"/>
  <c r="AK100" i="50"/>
  <c r="AG97" i="50"/>
  <c r="BC145" i="69"/>
  <c r="BE145" i="69"/>
  <c r="BF145" i="69"/>
  <c r="BD145" i="69"/>
  <c r="U89" i="32"/>
  <c r="AH160" i="57"/>
  <c r="AI160" i="57" s="1"/>
  <c r="K160" i="57"/>
  <c r="AQ100" i="50"/>
  <c r="N100" i="50"/>
  <c r="AO99" i="50"/>
  <c r="AX143" i="69"/>
  <c r="AW143" i="69"/>
  <c r="L145" i="69"/>
  <c r="M145" i="69" s="1"/>
  <c r="AZ145" i="69"/>
  <c r="Y142" i="69"/>
  <c r="AB142" i="69" s="1"/>
  <c r="AC142" i="69" s="1"/>
  <c r="AD142" i="69" s="1"/>
  <c r="AG141" i="69"/>
  <c r="F143" i="69"/>
  <c r="G143" i="69" s="1"/>
  <c r="H143" i="69" s="1"/>
  <c r="I143" i="69" s="1"/>
  <c r="J143" i="69" s="1"/>
  <c r="K143" i="69" s="1"/>
  <c r="U143" i="69"/>
  <c r="AH143" i="69"/>
  <c r="F90" i="32"/>
  <c r="AU90" i="32"/>
  <c r="AY100" i="50"/>
  <c r="F100" i="50"/>
  <c r="U100" i="50" s="1"/>
  <c r="AD98" i="50"/>
  <c r="X157" i="57"/>
  <c r="AB157" i="57" s="1"/>
  <c r="AA156" i="57"/>
  <c r="AG159" i="57"/>
  <c r="AD158" i="57"/>
  <c r="AC160" i="53"/>
  <c r="O160" i="53"/>
  <c r="Q144" i="69"/>
  <c r="Q158" i="57"/>
  <c r="AQ158" i="57"/>
  <c r="R158" i="57"/>
  <c r="AC158" i="57"/>
  <c r="AE158" i="57"/>
  <c r="P99" i="50"/>
  <c r="N160" i="53"/>
  <c r="O100" i="50"/>
  <c r="AA158" i="53"/>
  <c r="C98" i="50"/>
  <c r="S99" i="50"/>
  <c r="Z99" i="50" s="1"/>
  <c r="AJ98" i="50"/>
  <c r="W98" i="50"/>
  <c r="X97" i="50"/>
  <c r="V98" i="50"/>
  <c r="AF143" i="69"/>
  <c r="P160" i="57"/>
  <c r="AC141" i="69"/>
  <c r="AD141" i="69" s="1"/>
  <c r="O145" i="69"/>
  <c r="AO144" i="69"/>
  <c r="AE159" i="53"/>
  <c r="AK90" i="32"/>
  <c r="AM99" i="50"/>
  <c r="R159" i="53"/>
  <c r="X159" i="53" s="1"/>
  <c r="AB159" i="53" s="1"/>
  <c r="AY143" i="69"/>
  <c r="L160" i="57"/>
  <c r="AG159" i="53"/>
  <c r="AT159" i="53"/>
  <c r="N160" i="57"/>
  <c r="AD159" i="53"/>
  <c r="Q159" i="53"/>
  <c r="AK159" i="52" a="1"/>
  <c r="AK159" i="52" s="1"/>
  <c r="B161" i="53" s="1"/>
  <c r="D160" i="53"/>
  <c r="E160" i="53"/>
  <c r="L160" i="53"/>
  <c r="J160" i="53"/>
  <c r="G160" i="53"/>
  <c r="K160" i="53"/>
  <c r="AH160" i="53" s="1"/>
  <c r="P160" i="53"/>
  <c r="C160" i="53"/>
  <c r="I160" i="53"/>
  <c r="H160" i="53"/>
  <c r="F160" i="53"/>
  <c r="I100" i="50"/>
  <c r="M100" i="50"/>
  <c r="K100" i="50"/>
  <c r="G100" i="50"/>
  <c r="B100" i="50"/>
  <c r="H100" i="50"/>
  <c r="A100" i="50"/>
  <c r="J100" i="50"/>
  <c r="L100" i="50"/>
  <c r="J160" i="57"/>
  <c r="H160" i="57"/>
  <c r="F160" i="57"/>
  <c r="D160" i="57"/>
  <c r="C160" i="57"/>
  <c r="I160" i="57"/>
  <c r="E160" i="57"/>
  <c r="G160" i="57"/>
  <c r="AN159" i="55" a="1"/>
  <c r="AN159" i="55" s="1"/>
  <c r="B161" i="57" s="1"/>
  <c r="O161" i="57" s="1"/>
  <c r="C145" i="69"/>
  <c r="AE143" i="69"/>
  <c r="R143" i="69"/>
  <c r="S143" i="69" s="1"/>
  <c r="AS145" i="67" a="1"/>
  <c r="AS145" i="67" s="1"/>
  <c r="B146" i="69"/>
  <c r="AM146" i="69" s="1"/>
  <c r="AN146" i="69" s="1"/>
  <c r="D144" i="69"/>
  <c r="E144" i="69" s="1"/>
  <c r="AL90" i="11" a="1"/>
  <c r="AL90" i="11" s="1"/>
  <c r="E91" i="32" s="1"/>
  <c r="T91" i="32" s="1"/>
  <c r="AP100" i="59" a="1"/>
  <c r="AP100" i="59" s="1"/>
  <c r="E101" i="50" s="1"/>
  <c r="T101" i="50" s="1"/>
  <c r="AF157" i="57" l="1"/>
  <c r="AF159" i="53"/>
  <c r="AH97" i="50"/>
  <c r="AI97" i="50" s="1"/>
  <c r="AP97" i="50" s="1"/>
  <c r="P145" i="69"/>
  <c r="AP145" i="69"/>
  <c r="AK160" i="57"/>
  <c r="AJ156" i="57"/>
  <c r="AL98" i="50"/>
  <c r="O91" i="32"/>
  <c r="AK101" i="50"/>
  <c r="AG98" i="50"/>
  <c r="BC146" i="69"/>
  <c r="BE146" i="69"/>
  <c r="BF146" i="69"/>
  <c r="BD146" i="69"/>
  <c r="U90" i="32"/>
  <c r="AH161" i="57"/>
  <c r="AI161" i="57" s="1"/>
  <c r="K161" i="57"/>
  <c r="AQ101" i="50"/>
  <c r="N101" i="50"/>
  <c r="AO100" i="50"/>
  <c r="AX144" i="69"/>
  <c r="AW144" i="69"/>
  <c r="L146" i="69"/>
  <c r="M146" i="69" s="1"/>
  <c r="AZ146" i="69"/>
  <c r="AG142" i="69"/>
  <c r="F144" i="69"/>
  <c r="G144" i="69" s="1"/>
  <c r="H144" i="69" s="1"/>
  <c r="I144" i="69" s="1"/>
  <c r="J144" i="69" s="1"/>
  <c r="K144" i="69" s="1"/>
  <c r="U144" i="69"/>
  <c r="AH144" i="69"/>
  <c r="F91" i="32"/>
  <c r="AU91" i="32"/>
  <c r="AY101" i="50"/>
  <c r="F101" i="50"/>
  <c r="U101" i="50" s="1"/>
  <c r="Y143" i="69"/>
  <c r="AB143" i="69" s="1"/>
  <c r="AC143" i="69" s="1"/>
  <c r="AD143" i="69" s="1"/>
  <c r="AD99" i="50"/>
  <c r="X158" i="57"/>
  <c r="AB158" i="57" s="1"/>
  <c r="AG160" i="57"/>
  <c r="AA157" i="57"/>
  <c r="AC161" i="53"/>
  <c r="O161" i="53"/>
  <c r="Q145" i="69"/>
  <c r="Q159" i="57"/>
  <c r="AC159" i="57"/>
  <c r="R159" i="57"/>
  <c r="AD159" i="57"/>
  <c r="AE159" i="57"/>
  <c r="AQ159" i="57"/>
  <c r="P100" i="50"/>
  <c r="N161" i="53"/>
  <c r="O101" i="50"/>
  <c r="AA159" i="53"/>
  <c r="AJ99" i="50"/>
  <c r="C99" i="50"/>
  <c r="S100" i="50"/>
  <c r="Z100" i="50" s="1"/>
  <c r="W99" i="50"/>
  <c r="X98" i="50"/>
  <c r="V99" i="50"/>
  <c r="AF144" i="69"/>
  <c r="P161" i="57"/>
  <c r="O146" i="69"/>
  <c r="AO145" i="69"/>
  <c r="AE160" i="53"/>
  <c r="AK91" i="32"/>
  <c r="AM100" i="50"/>
  <c r="R160" i="53"/>
  <c r="X160" i="53" s="1"/>
  <c r="AB160" i="53" s="1"/>
  <c r="AY144" i="69"/>
  <c r="L161" i="57"/>
  <c r="AG160" i="53"/>
  <c r="AT160" i="53"/>
  <c r="N161" i="57"/>
  <c r="AD160" i="53"/>
  <c r="Q160" i="53"/>
  <c r="P161" i="53"/>
  <c r="F161" i="53"/>
  <c r="C161" i="53"/>
  <c r="J161" i="53"/>
  <c r="I161" i="53"/>
  <c r="G161" i="53"/>
  <c r="H161" i="53"/>
  <c r="D161" i="53"/>
  <c r="AK160" i="52" a="1"/>
  <c r="AK160" i="52" s="1"/>
  <c r="B162" i="53" s="1"/>
  <c r="E161" i="53"/>
  <c r="K161" i="53"/>
  <c r="AH161" i="53" s="1"/>
  <c r="L161" i="53"/>
  <c r="J101" i="50"/>
  <c r="M101" i="50"/>
  <c r="I101" i="50"/>
  <c r="G101" i="50"/>
  <c r="L101" i="50"/>
  <c r="B101" i="50"/>
  <c r="H101" i="50"/>
  <c r="K101" i="50"/>
  <c r="A101" i="50"/>
  <c r="J161" i="57"/>
  <c r="E161" i="57"/>
  <c r="G161" i="57"/>
  <c r="C161" i="57"/>
  <c r="F161" i="57"/>
  <c r="I161" i="57"/>
  <c r="H161" i="57"/>
  <c r="D161" i="57"/>
  <c r="AN160" i="55" a="1"/>
  <c r="AN160" i="55" s="1"/>
  <c r="B162" i="57" s="1"/>
  <c r="O162" i="57" s="1"/>
  <c r="AE144" i="69"/>
  <c r="R144" i="69"/>
  <c r="S144" i="69" s="1"/>
  <c r="C146" i="69"/>
  <c r="D145" i="69"/>
  <c r="E145" i="69" s="1"/>
  <c r="AS146" i="67" a="1"/>
  <c r="AS146" i="67" s="1"/>
  <c r="B147" i="69"/>
  <c r="AM147" i="69" s="1"/>
  <c r="AN147" i="69" s="1"/>
  <c r="AL91" i="11" a="1"/>
  <c r="AL91" i="11" s="1"/>
  <c r="E92" i="32" s="1"/>
  <c r="T92" i="32" s="1"/>
  <c r="AP101" i="59" a="1"/>
  <c r="AP101" i="59" s="1"/>
  <c r="E102" i="50" s="1"/>
  <c r="T102" i="50" s="1"/>
  <c r="E3" i="50"/>
  <c r="AF158" i="57" l="1"/>
  <c r="AF160" i="53"/>
  <c r="AH98" i="50"/>
  <c r="AI98" i="50" s="1"/>
  <c r="AP98" i="50" s="1"/>
  <c r="P146" i="69"/>
  <c r="AP146" i="69"/>
  <c r="AK161" i="57"/>
  <c r="AJ157" i="57"/>
  <c r="AL99" i="50"/>
  <c r="O92" i="32"/>
  <c r="AK102" i="50"/>
  <c r="AG99" i="50"/>
  <c r="BC147" i="69"/>
  <c r="BD147" i="69"/>
  <c r="BE147" i="69"/>
  <c r="BF147" i="69"/>
  <c r="U91" i="32"/>
  <c r="AH162" i="57"/>
  <c r="AI162" i="57" s="1"/>
  <c r="K162" i="57"/>
  <c r="AQ102" i="50"/>
  <c r="N102" i="50"/>
  <c r="AO101" i="50"/>
  <c r="AX145" i="69"/>
  <c r="AW145" i="69"/>
  <c r="L147" i="69"/>
  <c r="M147" i="69" s="1"/>
  <c r="AZ147" i="69"/>
  <c r="Y144" i="69"/>
  <c r="AB144" i="69" s="1"/>
  <c r="F145" i="69"/>
  <c r="G145" i="69" s="1"/>
  <c r="H145" i="69" s="1"/>
  <c r="I145" i="69" s="1"/>
  <c r="J145" i="69" s="1"/>
  <c r="K145" i="69" s="1"/>
  <c r="U145" i="69"/>
  <c r="AH145" i="69"/>
  <c r="F92" i="32"/>
  <c r="AU92" i="32"/>
  <c r="F102" i="50"/>
  <c r="U102" i="50" s="1"/>
  <c r="AY102" i="50"/>
  <c r="AG143" i="69"/>
  <c r="AD100" i="50"/>
  <c r="X159" i="57"/>
  <c r="AB159" i="57" s="1"/>
  <c r="AG161" i="57"/>
  <c r="AC162" i="53"/>
  <c r="O162" i="53"/>
  <c r="Q146" i="69"/>
  <c r="AQ160" i="57"/>
  <c r="AA158" i="57"/>
  <c r="Q160" i="57"/>
  <c r="AD160" i="57"/>
  <c r="R160" i="57"/>
  <c r="AC160" i="57"/>
  <c r="AE160" i="57"/>
  <c r="P101" i="50"/>
  <c r="N162" i="53"/>
  <c r="O102" i="50"/>
  <c r="AA160" i="53"/>
  <c r="C100" i="50"/>
  <c r="S101" i="50"/>
  <c r="Z101" i="50" s="1"/>
  <c r="AJ100" i="50"/>
  <c r="W100" i="50"/>
  <c r="X99" i="50"/>
  <c r="V100" i="50"/>
  <c r="AF145" i="69"/>
  <c r="P162" i="57"/>
  <c r="AO146" i="69"/>
  <c r="O147" i="69"/>
  <c r="AE161" i="53"/>
  <c r="AK92" i="32"/>
  <c r="AM101" i="50"/>
  <c r="R161" i="53"/>
  <c r="X161" i="53" s="1"/>
  <c r="AB161" i="53" s="1"/>
  <c r="AY145" i="69"/>
  <c r="L162" i="57"/>
  <c r="AT161" i="53"/>
  <c r="AG161" i="53"/>
  <c r="N162" i="57"/>
  <c r="L162" i="53"/>
  <c r="Q161" i="53"/>
  <c r="AD161" i="53"/>
  <c r="D162" i="53"/>
  <c r="H162" i="53"/>
  <c r="AK161" i="52" a="1"/>
  <c r="AK161" i="52" s="1"/>
  <c r="B163" i="53" s="1"/>
  <c r="F162" i="53"/>
  <c r="K162" i="53"/>
  <c r="AH162" i="53" s="1"/>
  <c r="C162" i="53"/>
  <c r="I162" i="53"/>
  <c r="P162" i="53"/>
  <c r="J162" i="53"/>
  <c r="G162" i="53"/>
  <c r="E162" i="53"/>
  <c r="I102" i="50"/>
  <c r="J102" i="50"/>
  <c r="K102" i="50"/>
  <c r="H102" i="50"/>
  <c r="A102" i="50"/>
  <c r="G102" i="50"/>
  <c r="B102" i="50"/>
  <c r="M102" i="50"/>
  <c r="L102" i="50"/>
  <c r="J162" i="57"/>
  <c r="G162" i="57"/>
  <c r="D162" i="57"/>
  <c r="I162" i="57"/>
  <c r="E162" i="57"/>
  <c r="H162" i="57"/>
  <c r="C162" i="57"/>
  <c r="F162" i="57"/>
  <c r="AN161" i="55" a="1"/>
  <c r="AN161" i="55" s="1"/>
  <c r="B163" i="57" s="1"/>
  <c r="O163" i="57" s="1"/>
  <c r="R145" i="69"/>
  <c r="S145" i="69" s="1"/>
  <c r="AE145" i="69"/>
  <c r="D146" i="69"/>
  <c r="E146" i="69" s="1"/>
  <c r="C147" i="69"/>
  <c r="AS147" i="67" a="1"/>
  <c r="AS147" i="67" s="1"/>
  <c r="B148" i="69"/>
  <c r="AM148" i="69" s="1"/>
  <c r="AN148" i="69" s="1"/>
  <c r="AL92" i="11" a="1"/>
  <c r="AL92" i="11" s="1"/>
  <c r="E93" i="32" s="1"/>
  <c r="T93" i="32" s="1"/>
  <c r="AP102" i="59" a="1"/>
  <c r="AP102" i="59" s="1"/>
  <c r="E103" i="50" s="1"/>
  <c r="T103" i="50" s="1"/>
  <c r="D3" i="11"/>
  <c r="AF159" i="57" l="1"/>
  <c r="AF161" i="53"/>
  <c r="AH99" i="50"/>
  <c r="AI99" i="50" s="1"/>
  <c r="AP99" i="50" s="1"/>
  <c r="BM10" i="108"/>
  <c r="AK162" i="57"/>
  <c r="P147" i="69"/>
  <c r="AP147" i="69"/>
  <c r="AJ158" i="57"/>
  <c r="AL100" i="50"/>
  <c r="O93" i="32"/>
  <c r="AK103" i="50"/>
  <c r="AG100" i="50"/>
  <c r="BM14" i="108"/>
  <c r="E14" i="108"/>
  <c r="K14" i="108"/>
  <c r="M14" i="108"/>
  <c r="O14" i="108"/>
  <c r="BM13" i="108"/>
  <c r="O13" i="108"/>
  <c r="M13" i="108"/>
  <c r="E13" i="108"/>
  <c r="K13" i="108"/>
  <c r="BM12" i="108"/>
  <c r="O12" i="108"/>
  <c r="E12" i="108"/>
  <c r="M12" i="108"/>
  <c r="BM11" i="108"/>
  <c r="BC148" i="69"/>
  <c r="BD148" i="69"/>
  <c r="BE148" i="69"/>
  <c r="BF148" i="69"/>
  <c r="U92" i="32"/>
  <c r="K163" i="57"/>
  <c r="AH163" i="57"/>
  <c r="AI163" i="57" s="1"/>
  <c r="N103" i="50"/>
  <c r="AQ103" i="50"/>
  <c r="AO102" i="50"/>
  <c r="AX146" i="69"/>
  <c r="AW146" i="69"/>
  <c r="L148" i="69"/>
  <c r="M148" i="69" s="1"/>
  <c r="AZ148" i="69"/>
  <c r="AG144" i="69"/>
  <c r="O12" i="32"/>
  <c r="O13" i="32"/>
  <c r="AU13" i="32"/>
  <c r="Y145" i="69"/>
  <c r="AB145" i="69" s="1"/>
  <c r="F146" i="69"/>
  <c r="G146" i="69" s="1"/>
  <c r="H146" i="69" s="1"/>
  <c r="I146" i="69" s="1"/>
  <c r="J146" i="69" s="1"/>
  <c r="K146" i="69" s="1"/>
  <c r="U146" i="69"/>
  <c r="AH146" i="69"/>
  <c r="Z10" i="108"/>
  <c r="AU12" i="32"/>
  <c r="F93" i="32"/>
  <c r="AU93" i="32"/>
  <c r="AY103" i="50"/>
  <c r="F103" i="50"/>
  <c r="U103" i="50" s="1"/>
  <c r="AB10" i="108"/>
  <c r="AB11" i="108"/>
  <c r="AB15" i="108"/>
  <c r="AB19" i="108"/>
  <c r="AB23" i="108"/>
  <c r="AB27" i="108"/>
  <c r="AB31" i="108"/>
  <c r="AB17" i="108"/>
  <c r="AB25" i="108"/>
  <c r="AB14" i="108"/>
  <c r="AB22" i="108"/>
  <c r="AB30" i="108"/>
  <c r="AB12" i="108"/>
  <c r="AB16" i="108"/>
  <c r="AB20" i="108"/>
  <c r="AB24" i="108"/>
  <c r="AB28" i="108"/>
  <c r="AB13" i="108"/>
  <c r="AB21" i="108"/>
  <c r="AB29" i="108"/>
  <c r="AB18" i="108"/>
  <c r="AB26" i="108"/>
  <c r="AA10" i="108"/>
  <c r="AA11" i="108"/>
  <c r="AA15" i="108"/>
  <c r="AA19" i="108"/>
  <c r="AA23" i="108"/>
  <c r="AA27" i="108"/>
  <c r="AA31" i="108"/>
  <c r="AA12" i="108"/>
  <c r="AA16" i="108"/>
  <c r="AA20" i="108"/>
  <c r="AA24" i="108"/>
  <c r="AA28" i="108"/>
  <c r="AA18" i="108"/>
  <c r="AA26" i="108"/>
  <c r="AA30" i="108"/>
  <c r="AA13" i="108"/>
  <c r="AA17" i="108"/>
  <c r="AA21" i="108"/>
  <c r="AA25" i="108"/>
  <c r="AA29" i="108"/>
  <c r="AA14" i="108"/>
  <c r="AA22" i="108"/>
  <c r="Z11" i="108"/>
  <c r="Z15" i="108"/>
  <c r="Z19" i="108"/>
  <c r="Z23" i="108"/>
  <c r="Z27" i="108"/>
  <c r="Z31" i="108"/>
  <c r="Z17" i="108"/>
  <c r="Z25" i="108"/>
  <c r="Z18" i="108"/>
  <c r="Z26" i="108"/>
  <c r="Z12" i="108"/>
  <c r="Z16" i="108"/>
  <c r="Z20" i="108"/>
  <c r="Z24" i="108"/>
  <c r="Z28" i="108"/>
  <c r="Z21" i="108"/>
  <c r="Z29" i="108"/>
  <c r="Z14" i="108"/>
  <c r="Z22" i="108"/>
  <c r="Z30" i="108"/>
  <c r="Z13" i="108"/>
  <c r="O10" i="108"/>
  <c r="K10" i="108"/>
  <c r="AP32" i="108"/>
  <c r="E10" i="108"/>
  <c r="O11" i="108"/>
  <c r="M11" i="108"/>
  <c r="M10" i="108"/>
  <c r="K11" i="108"/>
  <c r="K12" i="108"/>
  <c r="E11" i="108"/>
  <c r="F12" i="32"/>
  <c r="F14" i="32"/>
  <c r="F13" i="32"/>
  <c r="X160" i="57"/>
  <c r="AB160" i="57" s="1"/>
  <c r="AD101" i="50"/>
  <c r="AG162" i="57"/>
  <c r="AC163" i="53"/>
  <c r="O163" i="53"/>
  <c r="Q147" i="69"/>
  <c r="AA159" i="57"/>
  <c r="AC161" i="57"/>
  <c r="Q161" i="57"/>
  <c r="AD161" i="57"/>
  <c r="R161" i="57"/>
  <c r="AE161" i="57"/>
  <c r="AQ161" i="57"/>
  <c r="P102" i="50"/>
  <c r="N163" i="53"/>
  <c r="O103" i="50"/>
  <c r="AA161" i="53"/>
  <c r="AJ101" i="50"/>
  <c r="C101" i="50"/>
  <c r="S102" i="50"/>
  <c r="Z102" i="50" s="1"/>
  <c r="W101" i="50"/>
  <c r="X100" i="50"/>
  <c r="V101" i="50"/>
  <c r="AF146" i="69"/>
  <c r="P163" i="57"/>
  <c r="AC144" i="69"/>
  <c r="AD144" i="69" s="1"/>
  <c r="A13" i="32"/>
  <c r="AO147" i="69"/>
  <c r="O148" i="69"/>
  <c r="AE162" i="53"/>
  <c r="AK93" i="32"/>
  <c r="AM102" i="50"/>
  <c r="R162" i="53"/>
  <c r="X162" i="53" s="1"/>
  <c r="AB162" i="53" s="1"/>
  <c r="A12" i="32"/>
  <c r="M92" i="32"/>
  <c r="L92" i="32"/>
  <c r="I92" i="32"/>
  <c r="K92" i="32"/>
  <c r="G92" i="32"/>
  <c r="L25" i="32"/>
  <c r="K25" i="32"/>
  <c r="M25" i="32"/>
  <c r="J25" i="32"/>
  <c r="A25" i="32"/>
  <c r="N25" i="32"/>
  <c r="B25" i="32"/>
  <c r="G25" i="32"/>
  <c r="H25" i="32"/>
  <c r="I25" i="32"/>
  <c r="A26" i="32"/>
  <c r="M26" i="32"/>
  <c r="B26" i="32"/>
  <c r="G26" i="32"/>
  <c r="J26" i="32"/>
  <c r="H26" i="32"/>
  <c r="K26" i="32"/>
  <c r="I26" i="32"/>
  <c r="N26" i="32"/>
  <c r="L26" i="32"/>
  <c r="A27" i="32"/>
  <c r="B27" i="32"/>
  <c r="L27" i="32"/>
  <c r="H27" i="32"/>
  <c r="G27" i="32"/>
  <c r="I27" i="32"/>
  <c r="N27" i="32"/>
  <c r="M27" i="32"/>
  <c r="J27" i="32"/>
  <c r="K27" i="32"/>
  <c r="M28" i="32"/>
  <c r="N28" i="32"/>
  <c r="L28" i="32"/>
  <c r="G28" i="32"/>
  <c r="A28" i="32"/>
  <c r="B28" i="32"/>
  <c r="H28" i="32"/>
  <c r="J28" i="32"/>
  <c r="K28" i="32"/>
  <c r="I28" i="32"/>
  <c r="L29" i="32"/>
  <c r="M29" i="32"/>
  <c r="A29" i="32"/>
  <c r="N29" i="32"/>
  <c r="K29" i="32"/>
  <c r="B29" i="32"/>
  <c r="G29" i="32"/>
  <c r="H29" i="32"/>
  <c r="I29" i="32"/>
  <c r="J29" i="32"/>
  <c r="L30" i="32"/>
  <c r="H30" i="32"/>
  <c r="A30" i="32"/>
  <c r="M30" i="32"/>
  <c r="B30" i="32"/>
  <c r="N30" i="32"/>
  <c r="G30" i="32"/>
  <c r="J30" i="32"/>
  <c r="I30" i="32"/>
  <c r="K30" i="32"/>
  <c r="G31" i="32"/>
  <c r="H31" i="32"/>
  <c r="A31" i="32"/>
  <c r="L31" i="32"/>
  <c r="B31" i="32"/>
  <c r="I31" i="32"/>
  <c r="N31" i="32"/>
  <c r="J31" i="32"/>
  <c r="M31" i="32"/>
  <c r="K31" i="32"/>
  <c r="N32" i="32"/>
  <c r="M32" i="32"/>
  <c r="G32" i="32"/>
  <c r="K32" i="32"/>
  <c r="A32" i="32"/>
  <c r="I32" i="32"/>
  <c r="L32" i="32"/>
  <c r="B32" i="32"/>
  <c r="H32" i="32"/>
  <c r="J32" i="32"/>
  <c r="M33" i="32"/>
  <c r="A33" i="32"/>
  <c r="N33" i="32"/>
  <c r="B33" i="32"/>
  <c r="G33" i="32"/>
  <c r="H33" i="32"/>
  <c r="J33" i="32"/>
  <c r="I33" i="32"/>
  <c r="L33" i="32"/>
  <c r="K33" i="32"/>
  <c r="B34" i="32"/>
  <c r="N34" i="32"/>
  <c r="G34" i="32"/>
  <c r="J34" i="32"/>
  <c r="K34" i="32"/>
  <c r="I34" i="32"/>
  <c r="H34" i="32"/>
  <c r="L34" i="32"/>
  <c r="A34" i="32"/>
  <c r="M34" i="32"/>
  <c r="J35" i="32"/>
  <c r="B35" i="32"/>
  <c r="L35" i="32"/>
  <c r="M35" i="32"/>
  <c r="G35" i="32"/>
  <c r="N35" i="32"/>
  <c r="H35" i="32"/>
  <c r="I35" i="32"/>
  <c r="A35" i="32"/>
  <c r="K35" i="32"/>
  <c r="M36" i="32"/>
  <c r="L36" i="32"/>
  <c r="H36" i="32"/>
  <c r="G36" i="32"/>
  <c r="A36" i="32"/>
  <c r="B36" i="32"/>
  <c r="I36" i="32"/>
  <c r="K36" i="32"/>
  <c r="J36" i="32"/>
  <c r="N36" i="32"/>
  <c r="A37" i="32"/>
  <c r="N37" i="32"/>
  <c r="B37" i="32"/>
  <c r="G37" i="32"/>
  <c r="H37" i="32"/>
  <c r="K37" i="32"/>
  <c r="M37" i="32"/>
  <c r="I37" i="32"/>
  <c r="L37" i="32"/>
  <c r="J37" i="32"/>
  <c r="L38" i="32"/>
  <c r="A38" i="32"/>
  <c r="M38" i="32"/>
  <c r="B38" i="32"/>
  <c r="N38" i="32"/>
  <c r="I38" i="32"/>
  <c r="G38" i="32"/>
  <c r="J38" i="32"/>
  <c r="K38" i="32"/>
  <c r="H38" i="32"/>
  <c r="I39" i="32"/>
  <c r="N39" i="32"/>
  <c r="J39" i="32"/>
  <c r="A39" i="32"/>
  <c r="K39" i="32"/>
  <c r="L39" i="32"/>
  <c r="M39" i="32"/>
  <c r="G39" i="32"/>
  <c r="H39" i="32"/>
  <c r="B39" i="32"/>
  <c r="J40" i="32"/>
  <c r="L40" i="32"/>
  <c r="K40" i="32"/>
  <c r="M40" i="32"/>
  <c r="N40" i="32"/>
  <c r="G40" i="32"/>
  <c r="A40" i="32"/>
  <c r="B40" i="32"/>
  <c r="H40" i="32"/>
  <c r="I40" i="32"/>
  <c r="A41" i="32"/>
  <c r="N41" i="32"/>
  <c r="B41" i="32"/>
  <c r="G41" i="32"/>
  <c r="H41" i="32"/>
  <c r="M41" i="32"/>
  <c r="K41" i="32"/>
  <c r="I41" i="32"/>
  <c r="L41" i="32"/>
  <c r="J41" i="32"/>
  <c r="J42" i="32"/>
  <c r="M42" i="32"/>
  <c r="K42" i="32"/>
  <c r="I42" i="32"/>
  <c r="L42" i="32"/>
  <c r="B42" i="32"/>
  <c r="N42" i="32"/>
  <c r="G42" i="32"/>
  <c r="A42" i="32"/>
  <c r="H42" i="32"/>
  <c r="H43" i="32"/>
  <c r="I43" i="32"/>
  <c r="J43" i="32"/>
  <c r="A43" i="32"/>
  <c r="K43" i="32"/>
  <c r="B43" i="32"/>
  <c r="L43" i="32"/>
  <c r="M43" i="32"/>
  <c r="G43" i="32"/>
  <c r="N43" i="32"/>
  <c r="K44" i="32"/>
  <c r="N44" i="32"/>
  <c r="G44" i="32"/>
  <c r="A44" i="32"/>
  <c r="B44" i="32"/>
  <c r="H44" i="32"/>
  <c r="J44" i="32"/>
  <c r="I44" i="32"/>
  <c r="M44" i="32"/>
  <c r="L44" i="32"/>
  <c r="H45" i="32"/>
  <c r="I45" i="32"/>
  <c r="L45" i="32"/>
  <c r="M45" i="32"/>
  <c r="K45" i="32"/>
  <c r="A45" i="32"/>
  <c r="N45" i="32"/>
  <c r="B45" i="32"/>
  <c r="G45" i="32"/>
  <c r="J45" i="32"/>
  <c r="J46" i="32"/>
  <c r="K46" i="32"/>
  <c r="L46" i="32"/>
  <c r="A46" i="32"/>
  <c r="M46" i="32"/>
  <c r="B46" i="32"/>
  <c r="G46" i="32"/>
  <c r="H46" i="32"/>
  <c r="N46" i="32"/>
  <c r="I46" i="32"/>
  <c r="G47" i="32"/>
  <c r="H47" i="32"/>
  <c r="I47" i="32"/>
  <c r="N47" i="32"/>
  <c r="J47" i="32"/>
  <c r="A47" i="32"/>
  <c r="K47" i="32"/>
  <c r="B47" i="32"/>
  <c r="L47" i="32"/>
  <c r="M47" i="32"/>
  <c r="N48" i="32"/>
  <c r="M48" i="32"/>
  <c r="G48" i="32"/>
  <c r="A48" i="32"/>
  <c r="B48" i="32"/>
  <c r="H48" i="32"/>
  <c r="I48" i="32"/>
  <c r="L48" i="32"/>
  <c r="J48" i="32"/>
  <c r="K48" i="32"/>
  <c r="L49" i="32"/>
  <c r="J49" i="32"/>
  <c r="A49" i="32"/>
  <c r="N49" i="32"/>
  <c r="B49" i="32"/>
  <c r="G49" i="32"/>
  <c r="H49" i="32"/>
  <c r="M49" i="32"/>
  <c r="I49" i="32"/>
  <c r="K49" i="32"/>
  <c r="N50" i="32"/>
  <c r="I50" i="32"/>
  <c r="B50" i="32"/>
  <c r="G50" i="32"/>
  <c r="J50" i="32"/>
  <c r="K50" i="32"/>
  <c r="H50" i="32"/>
  <c r="L50" i="32"/>
  <c r="A50" i="32"/>
  <c r="M50" i="32"/>
  <c r="A51" i="32"/>
  <c r="K51" i="32"/>
  <c r="B51" i="32"/>
  <c r="L51" i="32"/>
  <c r="N51" i="32"/>
  <c r="H51" i="32"/>
  <c r="J51" i="32"/>
  <c r="M51" i="32"/>
  <c r="G51" i="32"/>
  <c r="I51" i="32"/>
  <c r="J52" i="32"/>
  <c r="M52" i="32"/>
  <c r="N52" i="32"/>
  <c r="B52" i="32"/>
  <c r="H52" i="32"/>
  <c r="I52" i="32"/>
  <c r="K52" i="32"/>
  <c r="L52" i="32"/>
  <c r="G52" i="32"/>
  <c r="A52" i="32"/>
  <c r="L53" i="32"/>
  <c r="K53" i="32"/>
  <c r="M53" i="32"/>
  <c r="J53" i="32"/>
  <c r="A53" i="32"/>
  <c r="N53" i="32"/>
  <c r="B53" i="32"/>
  <c r="G53" i="32"/>
  <c r="H53" i="32"/>
  <c r="I53" i="32"/>
  <c r="J54" i="32"/>
  <c r="K54" i="32"/>
  <c r="L54" i="32"/>
  <c r="A54" i="32"/>
  <c r="M54" i="32"/>
  <c r="B54" i="32"/>
  <c r="I54" i="32"/>
  <c r="H54" i="32"/>
  <c r="N54" i="32"/>
  <c r="G54" i="32"/>
  <c r="K56" i="32"/>
  <c r="M56" i="32"/>
  <c r="A55" i="32"/>
  <c r="N56" i="32"/>
  <c r="L56" i="32"/>
  <c r="G55" i="32"/>
  <c r="I55" i="32"/>
  <c r="B55" i="32"/>
  <c r="G56" i="32"/>
  <c r="H55" i="32"/>
  <c r="N55" i="32"/>
  <c r="I56" i="32"/>
  <c r="A56" i="32"/>
  <c r="B56" i="32"/>
  <c r="H56" i="32"/>
  <c r="J55" i="32"/>
  <c r="J56" i="32"/>
  <c r="L55" i="32"/>
  <c r="M55" i="32"/>
  <c r="K55" i="32"/>
  <c r="G58" i="32"/>
  <c r="G57" i="32"/>
  <c r="J58" i="32"/>
  <c r="H58" i="32"/>
  <c r="H57" i="32"/>
  <c r="L58" i="32"/>
  <c r="K57" i="32"/>
  <c r="M58" i="32"/>
  <c r="B57" i="32"/>
  <c r="N57" i="32"/>
  <c r="A58" i="32"/>
  <c r="K58" i="32"/>
  <c r="I58" i="32"/>
  <c r="I57" i="32"/>
  <c r="B58" i="32"/>
  <c r="L57" i="32"/>
  <c r="A57" i="32"/>
  <c r="J57" i="32"/>
  <c r="M57" i="32"/>
  <c r="N58" i="32"/>
  <c r="B59" i="32"/>
  <c r="J59" i="32"/>
  <c r="A59" i="32"/>
  <c r="G59" i="32"/>
  <c r="N59" i="32"/>
  <c r="H59" i="32"/>
  <c r="I59" i="32"/>
  <c r="K59" i="32"/>
  <c r="L59" i="32"/>
  <c r="M59" i="32"/>
  <c r="I61" i="32"/>
  <c r="H61" i="32"/>
  <c r="J61" i="32"/>
  <c r="H60" i="32"/>
  <c r="J60" i="32"/>
  <c r="L60" i="32"/>
  <c r="L61" i="32"/>
  <c r="G61" i="32"/>
  <c r="K60" i="32"/>
  <c r="M60" i="32"/>
  <c r="A61" i="32"/>
  <c r="M61" i="32"/>
  <c r="K61" i="32"/>
  <c r="B60" i="32"/>
  <c r="B61" i="32"/>
  <c r="G60" i="32"/>
  <c r="A60" i="32"/>
  <c r="N61" i="32"/>
  <c r="N60" i="32"/>
  <c r="I60" i="32"/>
  <c r="M62" i="32"/>
  <c r="J62" i="32"/>
  <c r="I62" i="32"/>
  <c r="K62" i="32"/>
  <c r="H62" i="32"/>
  <c r="A62" i="32"/>
  <c r="B62" i="32"/>
  <c r="N62" i="32"/>
  <c r="G62" i="32"/>
  <c r="L62" i="32"/>
  <c r="A63" i="32"/>
  <c r="I63" i="32"/>
  <c r="N63" i="32"/>
  <c r="B63" i="32"/>
  <c r="H64" i="32"/>
  <c r="J63" i="32"/>
  <c r="J64" i="32"/>
  <c r="L63" i="32"/>
  <c r="K64" i="32"/>
  <c r="M63" i="32"/>
  <c r="M64" i="32"/>
  <c r="K63" i="32"/>
  <c r="L64" i="32"/>
  <c r="A64" i="32"/>
  <c r="N64" i="32"/>
  <c r="I64" i="32"/>
  <c r="B64" i="32"/>
  <c r="G64" i="32"/>
  <c r="H63" i="32"/>
  <c r="G63" i="32"/>
  <c r="A65" i="32"/>
  <c r="N65" i="32"/>
  <c r="K65" i="32"/>
  <c r="L65" i="32"/>
  <c r="B65" i="32"/>
  <c r="H65" i="32"/>
  <c r="I65" i="32"/>
  <c r="G65" i="32"/>
  <c r="J65" i="32"/>
  <c r="M65" i="32"/>
  <c r="N67" i="32"/>
  <c r="G66" i="32"/>
  <c r="K67" i="32"/>
  <c r="J66" i="32"/>
  <c r="H67" i="32"/>
  <c r="L66" i="32"/>
  <c r="A67" i="32"/>
  <c r="I67" i="32"/>
  <c r="H66" i="32"/>
  <c r="B67" i="32"/>
  <c r="M66" i="32"/>
  <c r="A66" i="32"/>
  <c r="L67" i="32"/>
  <c r="K66" i="32"/>
  <c r="I66" i="32"/>
  <c r="B66" i="32"/>
  <c r="G67" i="32"/>
  <c r="N66" i="32"/>
  <c r="J67" i="32"/>
  <c r="M67" i="32"/>
  <c r="B68" i="32"/>
  <c r="G68" i="32"/>
  <c r="J68" i="32"/>
  <c r="K68" i="32"/>
  <c r="H68" i="32"/>
  <c r="M68" i="32"/>
  <c r="I68" i="32"/>
  <c r="A68" i="32"/>
  <c r="N68" i="32"/>
  <c r="L68" i="32"/>
  <c r="A70" i="32"/>
  <c r="M69" i="32"/>
  <c r="K69" i="32"/>
  <c r="B70" i="32"/>
  <c r="N70" i="32"/>
  <c r="G70" i="32"/>
  <c r="N69" i="32"/>
  <c r="J69" i="32"/>
  <c r="H69" i="32"/>
  <c r="I70" i="32"/>
  <c r="I69" i="32"/>
  <c r="J70" i="32"/>
  <c r="H70" i="32"/>
  <c r="G69" i="32"/>
  <c r="A69" i="32"/>
  <c r="K70" i="32"/>
  <c r="M70" i="32"/>
  <c r="B69" i="32"/>
  <c r="L70" i="32"/>
  <c r="L69" i="32"/>
  <c r="K71" i="32"/>
  <c r="M71" i="32"/>
  <c r="H71" i="32"/>
  <c r="N71" i="32"/>
  <c r="I71" i="32"/>
  <c r="J71" i="32"/>
  <c r="A71" i="32"/>
  <c r="L71" i="32"/>
  <c r="B71" i="32"/>
  <c r="G71" i="32"/>
  <c r="M72" i="32"/>
  <c r="K72" i="32"/>
  <c r="N72" i="32"/>
  <c r="I72" i="32"/>
  <c r="J72" i="32"/>
  <c r="G72" i="32"/>
  <c r="A72" i="32"/>
  <c r="B72" i="32"/>
  <c r="H72" i="32"/>
  <c r="L72" i="32"/>
  <c r="J73" i="32"/>
  <c r="K73" i="32"/>
  <c r="L73" i="32"/>
  <c r="M73" i="32"/>
  <c r="G73" i="32"/>
  <c r="A73" i="32"/>
  <c r="N73" i="32"/>
  <c r="I73" i="32"/>
  <c r="B73" i="32"/>
  <c r="H73" i="32"/>
  <c r="L74" i="32"/>
  <c r="A74" i="32"/>
  <c r="B74" i="32"/>
  <c r="N74" i="32"/>
  <c r="G74" i="32"/>
  <c r="H74" i="32"/>
  <c r="K74" i="32"/>
  <c r="J74" i="32"/>
  <c r="M74" i="32"/>
  <c r="I74" i="32"/>
  <c r="B75" i="32"/>
  <c r="G76" i="32"/>
  <c r="H75" i="32"/>
  <c r="A76" i="32"/>
  <c r="I75" i="32"/>
  <c r="M76" i="32"/>
  <c r="N76" i="32"/>
  <c r="L76" i="32"/>
  <c r="B76" i="32"/>
  <c r="H76" i="32"/>
  <c r="J75" i="32"/>
  <c r="M75" i="32"/>
  <c r="I76" i="32"/>
  <c r="N75" i="32"/>
  <c r="G75" i="32"/>
  <c r="J76" i="32"/>
  <c r="L75" i="32"/>
  <c r="K76" i="32"/>
  <c r="K75" i="32"/>
  <c r="A75" i="32"/>
  <c r="N77" i="32"/>
  <c r="L77" i="32"/>
  <c r="M77" i="32"/>
  <c r="H77" i="32"/>
  <c r="A77" i="32"/>
  <c r="I77" i="32"/>
  <c r="K77" i="32"/>
  <c r="G77" i="32"/>
  <c r="B77" i="32"/>
  <c r="J77" i="32"/>
  <c r="M78" i="32"/>
  <c r="K78" i="32"/>
  <c r="L78" i="32"/>
  <c r="I78" i="32"/>
  <c r="J78" i="32"/>
  <c r="H78" i="32"/>
  <c r="A78" i="32"/>
  <c r="N78" i="32"/>
  <c r="B78" i="32"/>
  <c r="G78" i="32"/>
  <c r="K79" i="32"/>
  <c r="A79" i="32"/>
  <c r="B79" i="32"/>
  <c r="G79" i="32"/>
  <c r="H79" i="32"/>
  <c r="J79" i="32"/>
  <c r="I79" i="32"/>
  <c r="N79" i="32"/>
  <c r="L79" i="32"/>
  <c r="M79" i="32"/>
  <c r="A81" i="32"/>
  <c r="M81" i="32"/>
  <c r="N81" i="32"/>
  <c r="M80" i="32"/>
  <c r="B81" i="32"/>
  <c r="H81" i="32"/>
  <c r="I80" i="32"/>
  <c r="N80" i="32"/>
  <c r="B80" i="32"/>
  <c r="K81" i="32"/>
  <c r="J80" i="32"/>
  <c r="K80" i="32"/>
  <c r="L81" i="32"/>
  <c r="J81" i="32"/>
  <c r="L80" i="32"/>
  <c r="A80" i="32"/>
  <c r="I81" i="32"/>
  <c r="H80" i="32"/>
  <c r="G81" i="32"/>
  <c r="G80" i="32"/>
  <c r="I82" i="32"/>
  <c r="H82" i="32"/>
  <c r="J82" i="32"/>
  <c r="M82" i="32"/>
  <c r="K82" i="32"/>
  <c r="L82" i="32"/>
  <c r="A82" i="32"/>
  <c r="N82" i="32"/>
  <c r="B82" i="32"/>
  <c r="G82" i="32"/>
  <c r="K83" i="32"/>
  <c r="H83" i="32"/>
  <c r="J83" i="32"/>
  <c r="L83" i="32"/>
  <c r="I83" i="32"/>
  <c r="M83" i="32"/>
  <c r="B83" i="32"/>
  <c r="G83" i="32"/>
  <c r="A83" i="32"/>
  <c r="L84" i="32"/>
  <c r="M84" i="32"/>
  <c r="I84" i="32"/>
  <c r="A84" i="32"/>
  <c r="N84" i="32"/>
  <c r="J84" i="32"/>
  <c r="B84" i="32"/>
  <c r="H84" i="32"/>
  <c r="G84" i="32"/>
  <c r="K84" i="32"/>
  <c r="M85" i="32"/>
  <c r="I85" i="32"/>
  <c r="G85" i="32"/>
  <c r="J85" i="32"/>
  <c r="L85" i="32"/>
  <c r="K85" i="32"/>
  <c r="H85" i="32"/>
  <c r="A85" i="32"/>
  <c r="B85" i="32"/>
  <c r="N85" i="32"/>
  <c r="A86" i="32"/>
  <c r="J86" i="32"/>
  <c r="B86" i="32"/>
  <c r="L86" i="32"/>
  <c r="I86" i="32"/>
  <c r="M86" i="32"/>
  <c r="K86" i="32"/>
  <c r="H86" i="32"/>
  <c r="G86" i="32"/>
  <c r="N86" i="32"/>
  <c r="G87" i="32"/>
  <c r="L87" i="32"/>
  <c r="B87" i="32"/>
  <c r="M87" i="32"/>
  <c r="I87" i="32"/>
  <c r="N87" i="32"/>
  <c r="A87" i="32"/>
  <c r="H87" i="32"/>
  <c r="J87" i="32"/>
  <c r="K87" i="32"/>
  <c r="L88" i="32"/>
  <c r="G88" i="32"/>
  <c r="M88" i="32"/>
  <c r="I88" i="32"/>
  <c r="A88" i="32"/>
  <c r="N88" i="32"/>
  <c r="K88" i="32"/>
  <c r="B88" i="32"/>
  <c r="H88" i="32"/>
  <c r="J88" i="32"/>
  <c r="A89" i="32"/>
  <c r="H89" i="32"/>
  <c r="G89" i="32"/>
  <c r="M89" i="32"/>
  <c r="B89" i="32"/>
  <c r="N89" i="32"/>
  <c r="I89" i="32"/>
  <c r="J89" i="32"/>
  <c r="K89" i="32"/>
  <c r="L89" i="32"/>
  <c r="G90" i="32"/>
  <c r="K90" i="32"/>
  <c r="H90" i="32"/>
  <c r="M90" i="32"/>
  <c r="B90" i="32"/>
  <c r="L90" i="32"/>
  <c r="I90" i="32"/>
  <c r="N90" i="32"/>
  <c r="A90" i="32"/>
  <c r="J90" i="32"/>
  <c r="N91" i="32"/>
  <c r="A91" i="32"/>
  <c r="H91" i="32"/>
  <c r="B91" i="32"/>
  <c r="J91" i="32"/>
  <c r="L91" i="32"/>
  <c r="K91" i="32"/>
  <c r="M91" i="32"/>
  <c r="I91" i="32"/>
  <c r="G91" i="32"/>
  <c r="N92" i="32"/>
  <c r="A92" i="32"/>
  <c r="J92" i="32"/>
  <c r="H92" i="32"/>
  <c r="B92" i="32"/>
  <c r="K17" i="32"/>
  <c r="L17" i="32"/>
  <c r="M17" i="32"/>
  <c r="J17" i="32"/>
  <c r="G17" i="32"/>
  <c r="A17" i="32"/>
  <c r="N17" i="32"/>
  <c r="B17" i="32"/>
  <c r="H17" i="32"/>
  <c r="G18" i="32"/>
  <c r="M18" i="32"/>
  <c r="I18" i="32"/>
  <c r="J18" i="32"/>
  <c r="K18" i="32"/>
  <c r="H18" i="32"/>
  <c r="A18" i="32"/>
  <c r="L18" i="32"/>
  <c r="B18" i="32"/>
  <c r="N19" i="32"/>
  <c r="H19" i="32"/>
  <c r="G19" i="32"/>
  <c r="I19" i="32"/>
  <c r="J19" i="32"/>
  <c r="A19" i="32"/>
  <c r="K19" i="32"/>
  <c r="B19" i="32"/>
  <c r="L19" i="32"/>
  <c r="M19" i="32"/>
  <c r="J20" i="32"/>
  <c r="K20" i="32"/>
  <c r="M20" i="32"/>
  <c r="N20" i="32"/>
  <c r="L20" i="32"/>
  <c r="G20" i="32"/>
  <c r="A20" i="32"/>
  <c r="B20" i="32"/>
  <c r="I20" i="32"/>
  <c r="H20" i="32"/>
  <c r="L21" i="32"/>
  <c r="K21" i="32"/>
  <c r="M21" i="32"/>
  <c r="J21" i="32"/>
  <c r="A21" i="32"/>
  <c r="P21" i="32" s="1"/>
  <c r="N21" i="32"/>
  <c r="B21" i="32"/>
  <c r="G21" i="32"/>
  <c r="H21" i="32"/>
  <c r="I21" i="32"/>
  <c r="J22" i="32"/>
  <c r="I22" i="32"/>
  <c r="K22" i="32"/>
  <c r="H22" i="32"/>
  <c r="L22" i="32"/>
  <c r="A22" i="32"/>
  <c r="P22" i="32" s="1"/>
  <c r="M22" i="32"/>
  <c r="B22" i="32"/>
  <c r="G22" i="32"/>
  <c r="G23" i="32"/>
  <c r="H23" i="32"/>
  <c r="I23" i="32"/>
  <c r="N23" i="32"/>
  <c r="J23" i="32"/>
  <c r="A23" i="32"/>
  <c r="P23" i="32" s="1"/>
  <c r="K23" i="32"/>
  <c r="B23" i="32"/>
  <c r="L23" i="32"/>
  <c r="M23" i="32"/>
  <c r="I24" i="32"/>
  <c r="J24" i="32"/>
  <c r="K24" i="32"/>
  <c r="M24" i="32"/>
  <c r="N24" i="32"/>
  <c r="L24" i="32"/>
  <c r="G24" i="32"/>
  <c r="A24" i="32"/>
  <c r="P24" i="32" s="1"/>
  <c r="B24" i="32"/>
  <c r="H24" i="32"/>
  <c r="AY146" i="69"/>
  <c r="L163" i="57"/>
  <c r="AT162" i="53"/>
  <c r="AG162" i="53"/>
  <c r="J16" i="32"/>
  <c r="K16" i="32"/>
  <c r="L16" i="32"/>
  <c r="N16" i="32"/>
  <c r="A16" i="32"/>
  <c r="G16" i="32"/>
  <c r="B16" i="32"/>
  <c r="H16" i="32"/>
  <c r="I16" i="32"/>
  <c r="N163" i="57"/>
  <c r="AD162" i="53"/>
  <c r="Q162" i="53"/>
  <c r="K163" i="53"/>
  <c r="AH163" i="53" s="1"/>
  <c r="E163" i="53"/>
  <c r="F163" i="53"/>
  <c r="C163" i="53"/>
  <c r="P163" i="53"/>
  <c r="I163" i="53"/>
  <c r="J163" i="53"/>
  <c r="L163" i="53"/>
  <c r="AK162" i="52" a="1"/>
  <c r="AK162" i="52" s="1"/>
  <c r="B164" i="53" s="1"/>
  <c r="G163" i="53"/>
  <c r="H163" i="53"/>
  <c r="D163" i="53"/>
  <c r="A93" i="32"/>
  <c r="B93" i="32"/>
  <c r="L103" i="50"/>
  <c r="A103" i="50"/>
  <c r="J103" i="50"/>
  <c r="M103" i="50"/>
  <c r="B103" i="50"/>
  <c r="K103" i="50"/>
  <c r="G103" i="50"/>
  <c r="I103" i="50"/>
  <c r="H103" i="50"/>
  <c r="B12" i="32"/>
  <c r="B13" i="32"/>
  <c r="A14" i="32"/>
  <c r="B14" i="32"/>
  <c r="A15" i="32"/>
  <c r="B15" i="32"/>
  <c r="I93" i="32"/>
  <c r="J93" i="32"/>
  <c r="L93" i="32"/>
  <c r="N93" i="32"/>
  <c r="K93" i="32"/>
  <c r="H93" i="32"/>
  <c r="G93" i="32"/>
  <c r="M93" i="32"/>
  <c r="N13" i="32"/>
  <c r="L14" i="32"/>
  <c r="J15" i="32"/>
  <c r="G13" i="32"/>
  <c r="M14" i="32"/>
  <c r="K15" i="32"/>
  <c r="H13" i="32"/>
  <c r="N14" i="32"/>
  <c r="L15" i="32"/>
  <c r="I13" i="32"/>
  <c r="G14" i="32"/>
  <c r="M15" i="32"/>
  <c r="H15" i="32"/>
  <c r="J13" i="32"/>
  <c r="H14" i="32"/>
  <c r="N15" i="32"/>
  <c r="J14" i="32"/>
  <c r="K13" i="32"/>
  <c r="I14" i="32"/>
  <c r="G15" i="32"/>
  <c r="L13" i="32"/>
  <c r="M13" i="32"/>
  <c r="K14" i="32"/>
  <c r="I15" i="32"/>
  <c r="J12" i="32"/>
  <c r="K12" i="32"/>
  <c r="H12" i="32"/>
  <c r="G12" i="32"/>
  <c r="I163" i="57"/>
  <c r="F163" i="57"/>
  <c r="E163" i="57"/>
  <c r="D163" i="57"/>
  <c r="J163" i="57"/>
  <c r="H163" i="57"/>
  <c r="G163" i="57"/>
  <c r="C163" i="57"/>
  <c r="AN162" i="55" a="1"/>
  <c r="AN162" i="55" s="1"/>
  <c r="B164" i="57" s="1"/>
  <c r="O164" i="57" s="1"/>
  <c r="C148" i="69"/>
  <c r="AS148" i="67" a="1"/>
  <c r="AS148" i="67" s="1"/>
  <c r="B149" i="69"/>
  <c r="AM149" i="69" s="1"/>
  <c r="AN149" i="69" s="1"/>
  <c r="D147" i="69"/>
  <c r="E147" i="69" s="1"/>
  <c r="AE146" i="69"/>
  <c r="R146" i="69"/>
  <c r="S146" i="69" s="1"/>
  <c r="AL93" i="11" a="1"/>
  <c r="AL93" i="11" s="1"/>
  <c r="E94" i="32" s="1"/>
  <c r="T94" i="32" s="1"/>
  <c r="AP103" i="59" a="1"/>
  <c r="AP103" i="59" s="1"/>
  <c r="E104" i="50" s="1"/>
  <c r="T104" i="50" s="1"/>
  <c r="AF162" i="53" l="1"/>
  <c r="AF160" i="57"/>
  <c r="AH100" i="50"/>
  <c r="AI100" i="50" s="1"/>
  <c r="AP100" i="50" s="1"/>
  <c r="AK163" i="57"/>
  <c r="P148" i="69"/>
  <c r="AP148" i="69"/>
  <c r="AJ159" i="57"/>
  <c r="O94" i="32"/>
  <c r="AL101" i="50"/>
  <c r="AK104" i="50"/>
  <c r="AG101" i="50"/>
  <c r="U14" i="32"/>
  <c r="K33" i="108"/>
  <c r="J24" i="96" s="1"/>
  <c r="S12" i="108"/>
  <c r="U12" i="108" s="1"/>
  <c r="S13" i="108"/>
  <c r="U13" i="108" s="1"/>
  <c r="S14" i="108"/>
  <c r="U14" i="108" s="1"/>
  <c r="BC149" i="69"/>
  <c r="BF149" i="69"/>
  <c r="BE149" i="69"/>
  <c r="BD149" i="69"/>
  <c r="P14" i="32"/>
  <c r="U93" i="32"/>
  <c r="P12" i="32"/>
  <c r="AH164" i="57"/>
  <c r="AI164" i="57" s="1"/>
  <c r="K164" i="57"/>
  <c r="AQ104" i="50"/>
  <c r="N104" i="50"/>
  <c r="AO103" i="50"/>
  <c r="P13" i="32"/>
  <c r="AX147" i="69"/>
  <c r="AW147" i="69"/>
  <c r="Y146" i="69"/>
  <c r="AB146" i="69" s="1"/>
  <c r="L149" i="69"/>
  <c r="M149" i="69" s="1"/>
  <c r="AZ149" i="69"/>
  <c r="P15" i="32"/>
  <c r="P16" i="32"/>
  <c r="P18" i="32"/>
  <c r="P20" i="32"/>
  <c r="P19" i="32"/>
  <c r="P17" i="32"/>
  <c r="AG145" i="69"/>
  <c r="U147" i="69"/>
  <c r="AH147" i="69"/>
  <c r="F147" i="69"/>
  <c r="G147" i="69" s="1"/>
  <c r="H147" i="69" s="1"/>
  <c r="I147" i="69" s="1"/>
  <c r="J147" i="69" s="1"/>
  <c r="K147" i="69" s="1"/>
  <c r="F94" i="32"/>
  <c r="AU94" i="32"/>
  <c r="AY104" i="50"/>
  <c r="F104" i="50"/>
  <c r="U104" i="50" s="1"/>
  <c r="S11" i="108"/>
  <c r="U11" i="108" s="1"/>
  <c r="S10" i="108"/>
  <c r="U10" i="108" s="1"/>
  <c r="K32" i="108"/>
  <c r="F23" i="96" s="1"/>
  <c r="X161" i="57"/>
  <c r="AD102" i="50"/>
  <c r="AG163" i="57"/>
  <c r="AC164" i="53"/>
  <c r="O164" i="53"/>
  <c r="Q148" i="69"/>
  <c r="AA160" i="57"/>
  <c r="AD162" i="57"/>
  <c r="Q162" i="57"/>
  <c r="AQ162" i="57"/>
  <c r="R162" i="57"/>
  <c r="AC162" i="57"/>
  <c r="AE162" i="57"/>
  <c r="P103" i="50"/>
  <c r="P72" i="32"/>
  <c r="P69" i="32"/>
  <c r="P50" i="32"/>
  <c r="P44" i="32"/>
  <c r="P42" i="32"/>
  <c r="P40" i="32"/>
  <c r="P93" i="32"/>
  <c r="P91" i="32"/>
  <c r="P90" i="32"/>
  <c r="P89" i="32"/>
  <c r="P87" i="32"/>
  <c r="P83" i="32"/>
  <c r="P79" i="32"/>
  <c r="P75" i="32"/>
  <c r="P60" i="32"/>
  <c r="P61" i="32"/>
  <c r="P58" i="32"/>
  <c r="P56" i="32"/>
  <c r="P52" i="32"/>
  <c r="P49" i="32"/>
  <c r="P35" i="32"/>
  <c r="P29" i="32"/>
  <c r="P26" i="32"/>
  <c r="P77" i="32"/>
  <c r="P74" i="32"/>
  <c r="P70" i="32"/>
  <c r="P62" i="32"/>
  <c r="P59" i="32"/>
  <c r="P48" i="32"/>
  <c r="P38" i="32"/>
  <c r="P86" i="32"/>
  <c r="P85" i="32"/>
  <c r="P82" i="32"/>
  <c r="P80" i="32"/>
  <c r="P78" i="32"/>
  <c r="P73" i="32"/>
  <c r="P66" i="32"/>
  <c r="P63" i="32"/>
  <c r="P54" i="32"/>
  <c r="P51" i="32"/>
  <c r="P46" i="32"/>
  <c r="P45" i="32"/>
  <c r="P43" i="32"/>
  <c r="P33" i="32"/>
  <c r="P28" i="32"/>
  <c r="P27" i="32"/>
  <c r="P84" i="32"/>
  <c r="P68" i="32"/>
  <c r="P47" i="32"/>
  <c r="P34" i="32"/>
  <c r="P31" i="32"/>
  <c r="P92" i="32"/>
  <c r="P88" i="32"/>
  <c r="P81" i="32"/>
  <c r="P76" i="32"/>
  <c r="P71" i="32"/>
  <c r="P67" i="32"/>
  <c r="P65" i="32"/>
  <c r="P64" i="32"/>
  <c r="P57" i="32"/>
  <c r="P55" i="32"/>
  <c r="P53" i="32"/>
  <c r="P41" i="32"/>
  <c r="P39" i="32"/>
  <c r="P37" i="32"/>
  <c r="P36" i="32"/>
  <c r="P32" i="32"/>
  <c r="P30" i="32"/>
  <c r="P25" i="32"/>
  <c r="N164" i="53"/>
  <c r="O104" i="50"/>
  <c r="AA162" i="53"/>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AJ102" i="50"/>
  <c r="C102" i="50"/>
  <c r="S103" i="50"/>
  <c r="Z103" i="50" s="1"/>
  <c r="S13" i="32"/>
  <c r="S16" i="32"/>
  <c r="Z16" i="32" s="1"/>
  <c r="S21" i="32"/>
  <c r="Z21" i="32" s="1"/>
  <c r="S19" i="32"/>
  <c r="Z19" i="32" s="1"/>
  <c r="S15" i="32"/>
  <c r="Z15" i="32" s="1"/>
  <c r="S14" i="32"/>
  <c r="S18" i="32"/>
  <c r="Z18" i="32" s="1"/>
  <c r="S17" i="32"/>
  <c r="Z17" i="32" s="1"/>
  <c r="S20" i="32"/>
  <c r="Z20" i="32" s="1"/>
  <c r="S12" i="32"/>
  <c r="S93" i="32"/>
  <c r="Z93" i="32" s="1"/>
  <c r="S24" i="32"/>
  <c r="Z24" i="32" s="1"/>
  <c r="S22" i="32"/>
  <c r="Z22" i="32" s="1"/>
  <c r="S23" i="32"/>
  <c r="Z23" i="32" s="1"/>
  <c r="W102" i="50"/>
  <c r="X101" i="50"/>
  <c r="V102" i="50"/>
  <c r="AF147" i="69"/>
  <c r="P164" i="57"/>
  <c r="AC145" i="69"/>
  <c r="AD145" i="69" s="1"/>
  <c r="AO148" i="69"/>
  <c r="O149" i="69"/>
  <c r="AE163" i="53"/>
  <c r="AK94" i="32"/>
  <c r="AM103" i="50"/>
  <c r="R163" i="53"/>
  <c r="X163" i="53" s="1"/>
  <c r="AB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Y147" i="69"/>
  <c r="L164" i="57"/>
  <c r="AG163" i="53"/>
  <c r="AT163" i="53"/>
  <c r="N164" i="57"/>
  <c r="K164" i="53"/>
  <c r="AH164" i="53" s="1"/>
  <c r="Q163" i="53"/>
  <c r="AD163" i="53"/>
  <c r="P164" i="53"/>
  <c r="J164" i="53"/>
  <c r="D164" i="53"/>
  <c r="C164" i="53"/>
  <c r="AK163" i="52" a="1"/>
  <c r="AK163" i="52" s="1"/>
  <c r="B165" i="53" s="1"/>
  <c r="H164" i="53"/>
  <c r="L164" i="53"/>
  <c r="E164" i="53"/>
  <c r="G164" i="53"/>
  <c r="F164" i="53"/>
  <c r="I164" i="53"/>
  <c r="A94" i="32"/>
  <c r="B94" i="32"/>
  <c r="G104" i="50"/>
  <c r="M104" i="50"/>
  <c r="B104" i="50"/>
  <c r="I104" i="50"/>
  <c r="K104" i="50"/>
  <c r="L104" i="50"/>
  <c r="H104" i="50"/>
  <c r="A104" i="50"/>
  <c r="J104" i="50"/>
  <c r="G94" i="32"/>
  <c r="H94" i="32"/>
  <c r="J94" i="32"/>
  <c r="L94" i="32"/>
  <c r="I94" i="32"/>
  <c r="N94" i="32"/>
  <c r="M94" i="32"/>
  <c r="K94" i="32"/>
  <c r="H164" i="57"/>
  <c r="F164" i="57"/>
  <c r="C164" i="57"/>
  <c r="I164" i="57"/>
  <c r="E164" i="57"/>
  <c r="G164" i="57"/>
  <c r="D164" i="57"/>
  <c r="J164" i="57"/>
  <c r="AN163" i="55" a="1"/>
  <c r="AN163" i="55" s="1"/>
  <c r="B165" i="57" s="1"/>
  <c r="O165" i="57" s="1"/>
  <c r="AS149" i="67" a="1"/>
  <c r="AS149" i="67" s="1"/>
  <c r="B150" i="69"/>
  <c r="AM150" i="69" s="1"/>
  <c r="AN150" i="69" s="1"/>
  <c r="D148" i="69"/>
  <c r="E148" i="69" s="1"/>
  <c r="AE147" i="69"/>
  <c r="R147" i="69"/>
  <c r="S147" i="69" s="1"/>
  <c r="C149" i="69"/>
  <c r="AL94" i="11" a="1"/>
  <c r="AL94" i="11" s="1"/>
  <c r="AP104" i="59" a="1"/>
  <c r="AP104" i="59" s="1"/>
  <c r="E105" i="50" s="1"/>
  <c r="T105" i="50" s="1"/>
  <c r="AA161" i="57" l="1"/>
  <c r="AB161" i="57"/>
  <c r="AF161" i="57" s="1"/>
  <c r="AF163" i="53"/>
  <c r="AH101" i="50"/>
  <c r="AI101" i="50" s="1"/>
  <c r="AP101" i="50" s="1"/>
  <c r="P149" i="69"/>
  <c r="AP149" i="69"/>
  <c r="AK164" i="57"/>
  <c r="AJ160" i="57"/>
  <c r="AK105" i="50"/>
  <c r="AL102" i="50"/>
  <c r="AG102" i="50"/>
  <c r="BC150" i="69"/>
  <c r="BF150" i="69"/>
  <c r="BD150" i="69"/>
  <c r="BE150" i="69"/>
  <c r="AT14" i="32"/>
  <c r="U94" i="32"/>
  <c r="AT13" i="32"/>
  <c r="AT12" i="32"/>
  <c r="AH165" i="57"/>
  <c r="AI165" i="57" s="1"/>
  <c r="K165" i="57"/>
  <c r="AQ105" i="50"/>
  <c r="N105" i="50"/>
  <c r="AO104" i="50"/>
  <c r="AW148" i="69"/>
  <c r="AX148" i="69"/>
  <c r="AG146" i="69"/>
  <c r="L150" i="69"/>
  <c r="M150" i="69" s="1"/>
  <c r="AZ150" i="69"/>
  <c r="AT20" i="32"/>
  <c r="AT18" i="32"/>
  <c r="AT17" i="32"/>
  <c r="AT16" i="32"/>
  <c r="AT19" i="32"/>
  <c r="AT15" i="32"/>
  <c r="Y147" i="69"/>
  <c r="AB147" i="69" s="1"/>
  <c r="F148" i="69"/>
  <c r="G148" i="69" s="1"/>
  <c r="H148" i="69" s="1"/>
  <c r="I148" i="69" s="1"/>
  <c r="J148" i="69" s="1"/>
  <c r="K148" i="69" s="1"/>
  <c r="U148" i="69"/>
  <c r="AH148" i="69"/>
  <c r="AY105" i="50"/>
  <c r="F105" i="50"/>
  <c r="U105" i="50" s="1"/>
  <c r="AT30" i="32"/>
  <c r="AT39" i="32"/>
  <c r="AT57" i="32"/>
  <c r="AT71" i="32"/>
  <c r="AT92" i="32"/>
  <c r="AT47" i="32"/>
  <c r="AT27" i="32"/>
  <c r="AT45" i="32"/>
  <c r="AT63" i="32"/>
  <c r="AT80" i="32"/>
  <c r="AT38" i="32"/>
  <c r="AT70" i="32"/>
  <c r="AT29" i="32"/>
  <c r="AT56" i="32"/>
  <c r="AT75" i="32"/>
  <c r="AT89" i="32"/>
  <c r="AT93" i="32"/>
  <c r="AT50" i="32"/>
  <c r="AT32" i="32"/>
  <c r="AT41" i="32"/>
  <c r="AT64" i="32"/>
  <c r="AT76" i="32"/>
  <c r="AT21" i="32"/>
  <c r="AT68" i="32"/>
  <c r="AT28" i="32"/>
  <c r="AT46" i="32"/>
  <c r="AT66" i="32"/>
  <c r="AT82" i="32"/>
  <c r="AT48" i="32"/>
  <c r="AT74" i="32"/>
  <c r="AT35" i="32"/>
  <c r="AT58" i="32"/>
  <c r="AT79" i="32"/>
  <c r="AT90" i="32"/>
  <c r="AT40" i="32"/>
  <c r="AT69" i="32"/>
  <c r="AT36" i="32"/>
  <c r="AT53" i="32"/>
  <c r="AT65" i="32"/>
  <c r="AT81" i="32"/>
  <c r="AT31" i="32"/>
  <c r="AT84" i="32"/>
  <c r="AT33" i="32"/>
  <c r="AT51" i="32"/>
  <c r="AT73" i="32"/>
  <c r="AT85" i="32"/>
  <c r="AT59" i="32"/>
  <c r="AT77" i="32"/>
  <c r="AT49" i="32"/>
  <c r="AT61" i="32"/>
  <c r="AT83" i="32"/>
  <c r="AT91" i="32"/>
  <c r="AT42" i="32"/>
  <c r="AT72" i="32"/>
  <c r="AT25" i="32"/>
  <c r="AT37" i="32"/>
  <c r="AT55" i="32"/>
  <c r="AT67" i="32"/>
  <c r="AT88" i="32"/>
  <c r="AT34" i="32"/>
  <c r="AT24" i="32"/>
  <c r="AT43" i="32"/>
  <c r="AT54" i="32"/>
  <c r="AT78" i="32"/>
  <c r="AT86" i="32"/>
  <c r="AT62" i="32"/>
  <c r="AT26" i="32"/>
  <c r="AT52" i="32"/>
  <c r="AT60" i="32"/>
  <c r="AT87" i="32"/>
  <c r="AT23" i="32"/>
  <c r="AT44" i="32"/>
  <c r="AT22" i="32"/>
  <c r="Z14" i="32"/>
  <c r="Z13" i="32"/>
  <c r="X162" i="57"/>
  <c r="AB162" i="57" s="1"/>
  <c r="Q163" i="57"/>
  <c r="AD33" i="32"/>
  <c r="AD46" i="32"/>
  <c r="AD64" i="32"/>
  <c r="AD73" i="32"/>
  <c r="AD91" i="32"/>
  <c r="AD15" i="32"/>
  <c r="AD49" i="32"/>
  <c r="AD76" i="32"/>
  <c r="AD90" i="32"/>
  <c r="AD93" i="32"/>
  <c r="AG93" i="32" s="1"/>
  <c r="AH93" i="32" s="1"/>
  <c r="AI93" i="32" s="1"/>
  <c r="AD41" i="32"/>
  <c r="AD65" i="32"/>
  <c r="AG65" i="32" s="1"/>
  <c r="AH65" i="32" s="1"/>
  <c r="AI65" i="32" s="1"/>
  <c r="AD21" i="32"/>
  <c r="AD32" i="32"/>
  <c r="AD47" i="32"/>
  <c r="AD67" i="32"/>
  <c r="AD83" i="32"/>
  <c r="AG83" i="32" s="1"/>
  <c r="AH83" i="32" s="1"/>
  <c r="AI83" i="32" s="1"/>
  <c r="AD34" i="32"/>
  <c r="AD52" i="32"/>
  <c r="AD77" i="32"/>
  <c r="AG77" i="32" s="1"/>
  <c r="AH77" i="32" s="1"/>
  <c r="AI77" i="32" s="1"/>
  <c r="AD39" i="32"/>
  <c r="AG39" i="32" s="1"/>
  <c r="AH39" i="32" s="1"/>
  <c r="AI39" i="32" s="1"/>
  <c r="AD54" i="32"/>
  <c r="AD70" i="32"/>
  <c r="AD78" i="32"/>
  <c r="AD92" i="32"/>
  <c r="AG92" i="32" s="1"/>
  <c r="AH92" i="32" s="1"/>
  <c r="AI92" i="32" s="1"/>
  <c r="AD26" i="32"/>
  <c r="AD56" i="32"/>
  <c r="AD86" i="32"/>
  <c r="AG86" i="32" s="1"/>
  <c r="AH86" i="32" s="1"/>
  <c r="AI86" i="32" s="1"/>
  <c r="AD17" i="32"/>
  <c r="AD25" i="32"/>
  <c r="AD51" i="32"/>
  <c r="AD66" i="32"/>
  <c r="AD35" i="32"/>
  <c r="AD48" i="32"/>
  <c r="AD68" i="32"/>
  <c r="AD85" i="32"/>
  <c r="AD40" i="32"/>
  <c r="AD55" i="32"/>
  <c r="AD79" i="32"/>
  <c r="AD42" i="32"/>
  <c r="AD60" i="32"/>
  <c r="AD71" i="32"/>
  <c r="AG71" i="32" s="1"/>
  <c r="AH71" i="32" s="1"/>
  <c r="AI71" i="32" s="1"/>
  <c r="AD82" i="32"/>
  <c r="AD18" i="32"/>
  <c r="AD29" i="32"/>
  <c r="AD63" i="32"/>
  <c r="AD87" i="32"/>
  <c r="AD19" i="32"/>
  <c r="AD30" i="32"/>
  <c r="AD53" i="32"/>
  <c r="AD81" i="32"/>
  <c r="AG81" i="32" s="1"/>
  <c r="AH81" i="32" s="1"/>
  <c r="AI81" i="32" s="1"/>
  <c r="AD27" i="32"/>
  <c r="AD38" i="32"/>
  <c r="AD57" i="32"/>
  <c r="AG57" i="32" s="1"/>
  <c r="AH57" i="32" s="1"/>
  <c r="AI57" i="32" s="1"/>
  <c r="AD75" i="32"/>
  <c r="AD22" i="32"/>
  <c r="AG22" i="32" s="1"/>
  <c r="AH22" i="32" s="1"/>
  <c r="AI22" i="32" s="1"/>
  <c r="AD44" i="32"/>
  <c r="AG44" i="32" s="1"/>
  <c r="AH44" i="32" s="1"/>
  <c r="AI44" i="32" s="1"/>
  <c r="AD58" i="32"/>
  <c r="AD20" i="32"/>
  <c r="AD28" i="32"/>
  <c r="AG28" i="32" s="1"/>
  <c r="AH28" i="32" s="1"/>
  <c r="AI28" i="32" s="1"/>
  <c r="AD45" i="32"/>
  <c r="AD62" i="32"/>
  <c r="AG62" i="32" s="1"/>
  <c r="AH62" i="32" s="1"/>
  <c r="AI62" i="32" s="1"/>
  <c r="AD72" i="32"/>
  <c r="AD84" i="32"/>
  <c r="AD23" i="32"/>
  <c r="AG23" i="32" s="1"/>
  <c r="AH23" i="32" s="1"/>
  <c r="AI23" i="32" s="1"/>
  <c r="AD36" i="32"/>
  <c r="AG36" i="32" s="1"/>
  <c r="AH36" i="32" s="1"/>
  <c r="AI36" i="32" s="1"/>
  <c r="AD69" i="32"/>
  <c r="AD88" i="32"/>
  <c r="AD16" i="32"/>
  <c r="AD37" i="32"/>
  <c r="AD61" i="32"/>
  <c r="AD89" i="32"/>
  <c r="AD31" i="32"/>
  <c r="AD43" i="32"/>
  <c r="AG43" i="32" s="1"/>
  <c r="AH43" i="32" s="1"/>
  <c r="AI43" i="32" s="1"/>
  <c r="AD59" i="32"/>
  <c r="AD80" i="32"/>
  <c r="AD24" i="32"/>
  <c r="AG24" i="32" s="1"/>
  <c r="AH24" i="32" s="1"/>
  <c r="AI24" i="32" s="1"/>
  <c r="AD50" i="32"/>
  <c r="AD74" i="32"/>
  <c r="AD103" i="50"/>
  <c r="AG164" i="57"/>
  <c r="AE163" i="57"/>
  <c r="AC165" i="53"/>
  <c r="O165" i="53"/>
  <c r="Q149" i="69"/>
  <c r="AQ163" i="57"/>
  <c r="AD163" i="57"/>
  <c r="R163" i="57"/>
  <c r="AC163" i="57"/>
  <c r="P104" i="50"/>
  <c r="P94" i="32"/>
  <c r="N165" i="53"/>
  <c r="O105" i="50"/>
  <c r="AA163" i="53"/>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AD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P165" i="57"/>
  <c r="AC146" i="69"/>
  <c r="AD146" i="69" s="1"/>
  <c r="O150" i="69"/>
  <c r="AO149" i="69"/>
  <c r="AE164" i="53"/>
  <c r="AM104" i="50"/>
  <c r="R164" i="53"/>
  <c r="X164" i="53" s="1"/>
  <c r="AB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V20" i="32"/>
  <c r="V18" i="32"/>
  <c r="V17" i="32"/>
  <c r="V22" i="32"/>
  <c r="V23" i="32"/>
  <c r="V21" i="32"/>
  <c r="V19" i="32"/>
  <c r="V24" i="32"/>
  <c r="AY148" i="69"/>
  <c r="L165" i="57"/>
  <c r="AT164" i="53"/>
  <c r="AG164" i="53"/>
  <c r="V16" i="32"/>
  <c r="N165" i="57"/>
  <c r="K165" i="53"/>
  <c r="AH165" i="53" s="1"/>
  <c r="V93" i="32"/>
  <c r="Q164" i="53"/>
  <c r="AD164" i="53"/>
  <c r="E165" i="53"/>
  <c r="H165" i="53"/>
  <c r="J165" i="53"/>
  <c r="D165" i="53"/>
  <c r="P165" i="53"/>
  <c r="C165" i="53"/>
  <c r="L165" i="53"/>
  <c r="I165" i="53"/>
  <c r="G165" i="53"/>
  <c r="F165" i="53"/>
  <c r="AK164" i="52" a="1"/>
  <c r="AK164" i="52" s="1"/>
  <c r="B166" i="53" s="1"/>
  <c r="H105" i="50"/>
  <c r="I105" i="50"/>
  <c r="J105" i="50"/>
  <c r="B105" i="50"/>
  <c r="L105" i="50"/>
  <c r="M105" i="50"/>
  <c r="A105" i="50"/>
  <c r="G105" i="50"/>
  <c r="K105" i="50"/>
  <c r="H165" i="57"/>
  <c r="E165" i="57"/>
  <c r="J165" i="57"/>
  <c r="F165" i="57"/>
  <c r="G165" i="57"/>
  <c r="C165" i="57"/>
  <c r="I165" i="57"/>
  <c r="D165" i="57"/>
  <c r="E95" i="32"/>
  <c r="T95" i="32" s="1"/>
  <c r="AN164" i="55" a="1"/>
  <c r="AN164" i="55" s="1"/>
  <c r="B166" i="57" s="1"/>
  <c r="O166" i="57" s="1"/>
  <c r="AS150" i="67" a="1"/>
  <c r="AS150" i="67" s="1"/>
  <c r="B151" i="69"/>
  <c r="AM151" i="69" s="1"/>
  <c r="AN151" i="69" s="1"/>
  <c r="AE148" i="69"/>
  <c r="R148" i="69"/>
  <c r="S148" i="69" s="1"/>
  <c r="D149" i="69"/>
  <c r="E149" i="69" s="1"/>
  <c r="C150" i="69"/>
  <c r="AL95" i="11" a="1"/>
  <c r="AL95" i="11" s="1"/>
  <c r="E96" i="32" s="1"/>
  <c r="T96" i="32" s="1"/>
  <c r="AP105" i="59" a="1"/>
  <c r="AP105" i="59" s="1"/>
  <c r="E106" i="50" s="1"/>
  <c r="T106" i="50" s="1"/>
  <c r="AF162" i="57" l="1"/>
  <c r="AF164" i="53"/>
  <c r="AH102" i="50"/>
  <c r="AI102" i="50" s="1"/>
  <c r="AP102" i="50" s="1"/>
  <c r="P150" i="69"/>
  <c r="AP150" i="69"/>
  <c r="AK165" i="57"/>
  <c r="AJ161" i="57"/>
  <c r="AJ162" i="57"/>
  <c r="O96" i="32"/>
  <c r="O95" i="32"/>
  <c r="AK106" i="50"/>
  <c r="AL103" i="50"/>
  <c r="AG103" i="50"/>
  <c r="BC151" i="69"/>
  <c r="BF151" i="69"/>
  <c r="BD151" i="69"/>
  <c r="BE151" i="69"/>
  <c r="AH166" i="57"/>
  <c r="AI166" i="57" s="1"/>
  <c r="K166" i="57"/>
  <c r="AQ106" i="50"/>
  <c r="N106" i="50"/>
  <c r="AO105" i="50"/>
  <c r="AX149" i="69"/>
  <c r="AW149" i="69"/>
  <c r="L151" i="69"/>
  <c r="M151" i="69" s="1"/>
  <c r="AZ151" i="69"/>
  <c r="Y148" i="69"/>
  <c r="AB148" i="69" s="1"/>
  <c r="AG147" i="69"/>
  <c r="F149" i="69"/>
  <c r="G149" i="69" s="1"/>
  <c r="H149" i="69" s="1"/>
  <c r="I149" i="69" s="1"/>
  <c r="J149" i="69" s="1"/>
  <c r="K149" i="69" s="1"/>
  <c r="U149" i="69"/>
  <c r="AH149" i="69"/>
  <c r="F95" i="32"/>
  <c r="AU95" i="32"/>
  <c r="F96" i="32"/>
  <c r="AU96" i="32"/>
  <c r="AY106" i="50"/>
  <c r="F106" i="50"/>
  <c r="U106" i="50" s="1"/>
  <c r="AT94" i="32"/>
  <c r="X163" i="57"/>
  <c r="AB163" i="57" s="1"/>
  <c r="AQ164" i="57"/>
  <c r="AD94" i="32"/>
  <c r="AG94" i="32" s="1"/>
  <c r="AH94" i="32" s="1"/>
  <c r="AI94" i="32" s="1"/>
  <c r="AD104" i="50"/>
  <c r="AG165" i="57"/>
  <c r="R164" i="57"/>
  <c r="AC164" i="57"/>
  <c r="AA162" i="57"/>
  <c r="AC166" i="53"/>
  <c r="O166" i="53"/>
  <c r="Q150" i="69"/>
  <c r="Q164" i="57"/>
  <c r="AD164" i="57"/>
  <c r="AE164" i="57"/>
  <c r="P105" i="50"/>
  <c r="N166" i="53"/>
  <c r="O106" i="50"/>
  <c r="AA164" i="53"/>
  <c r="AG25" i="32"/>
  <c r="AH25" i="32" s="1"/>
  <c r="AI25" i="32" s="1"/>
  <c r="AG85" i="32"/>
  <c r="AH85" i="32" s="1"/>
  <c r="AI85" i="32" s="1"/>
  <c r="AG78" i="32"/>
  <c r="AH78" i="32" s="1"/>
  <c r="AI78" i="32" s="1"/>
  <c r="AG45" i="32"/>
  <c r="AH45" i="32" s="1"/>
  <c r="AI45" i="32" s="1"/>
  <c r="AG53" i="32"/>
  <c r="AH53" i="32" s="1"/>
  <c r="AI53" i="32" s="1"/>
  <c r="AG75" i="32"/>
  <c r="AH75" i="32" s="1"/>
  <c r="AI75" i="32" s="1"/>
  <c r="AG40" i="32"/>
  <c r="AH40" i="32" s="1"/>
  <c r="AI40" i="32" s="1"/>
  <c r="AG73" i="32"/>
  <c r="AH73" i="32" s="1"/>
  <c r="AI73" i="32" s="1"/>
  <c r="AG49" i="32"/>
  <c r="AH49" i="32" s="1"/>
  <c r="AI49" i="32" s="1"/>
  <c r="AG35" i="32"/>
  <c r="AH35" i="32" s="1"/>
  <c r="AI35" i="32" s="1"/>
  <c r="AG34" i="32"/>
  <c r="AH34" i="32" s="1"/>
  <c r="AI34" i="32" s="1"/>
  <c r="AG64" i="32"/>
  <c r="AH64" i="32" s="1"/>
  <c r="AI64" i="32" s="1"/>
  <c r="AG68" i="32"/>
  <c r="AH68" i="32" s="1"/>
  <c r="AI68" i="32" s="1"/>
  <c r="AG26" i="32"/>
  <c r="AH26" i="32" s="1"/>
  <c r="AI26" i="32" s="1"/>
  <c r="AG56" i="32"/>
  <c r="AH56" i="32" s="1"/>
  <c r="AI56" i="32" s="1"/>
  <c r="AG67" i="32"/>
  <c r="AH67" i="32" s="1"/>
  <c r="AI67" i="32" s="1"/>
  <c r="AG30" i="32"/>
  <c r="AH30" i="32" s="1"/>
  <c r="AI30" i="32" s="1"/>
  <c r="AG79" i="32"/>
  <c r="AH79" i="32" s="1"/>
  <c r="AI79" i="32" s="1"/>
  <c r="AG48" i="32"/>
  <c r="AH48" i="32" s="1"/>
  <c r="AI48" i="32" s="1"/>
  <c r="AG80" i="32"/>
  <c r="AH80" i="32" s="1"/>
  <c r="AI80" i="32" s="1"/>
  <c r="AG55" i="32"/>
  <c r="AH55" i="32" s="1"/>
  <c r="AI55" i="32" s="1"/>
  <c r="AG87" i="32"/>
  <c r="AH87" i="32" s="1"/>
  <c r="AI87" i="32" s="1"/>
  <c r="AG59" i="32"/>
  <c r="AH59" i="32" s="1"/>
  <c r="AI59" i="32" s="1"/>
  <c r="AG74" i="32"/>
  <c r="AH74" i="32" s="1"/>
  <c r="AI74" i="32" s="1"/>
  <c r="AG46" i="32"/>
  <c r="AH46" i="32" s="1"/>
  <c r="AI46" i="32" s="1"/>
  <c r="AG60" i="32"/>
  <c r="AH60" i="32" s="1"/>
  <c r="AI60" i="32" s="1"/>
  <c r="AG89" i="32"/>
  <c r="AH89" i="32" s="1"/>
  <c r="AI89" i="32" s="1"/>
  <c r="AG88" i="32"/>
  <c r="AH88" i="32" s="1"/>
  <c r="AI88" i="32" s="1"/>
  <c r="AG41" i="32"/>
  <c r="AH41" i="32" s="1"/>
  <c r="AI41" i="32" s="1"/>
  <c r="AG32" i="32"/>
  <c r="AH32" i="32" s="1"/>
  <c r="AI32" i="32" s="1"/>
  <c r="AG66" i="32"/>
  <c r="AH66" i="32" s="1"/>
  <c r="AI66" i="32" s="1"/>
  <c r="AG42" i="32"/>
  <c r="AH42" i="32" s="1"/>
  <c r="AI42" i="32" s="1"/>
  <c r="AG70" i="32"/>
  <c r="AH70" i="32" s="1"/>
  <c r="AI70" i="32" s="1"/>
  <c r="AG33" i="32"/>
  <c r="AH33" i="32" s="1"/>
  <c r="AI33" i="32" s="1"/>
  <c r="AG47" i="32"/>
  <c r="AH47" i="32" s="1"/>
  <c r="AI47" i="32" s="1"/>
  <c r="AG38" i="32"/>
  <c r="AH38" i="32" s="1"/>
  <c r="AI38" i="32" s="1"/>
  <c r="AG54" i="32"/>
  <c r="AH54" i="32" s="1"/>
  <c r="AI54" i="32" s="1"/>
  <c r="AG76" i="32"/>
  <c r="AH76" i="32" s="1"/>
  <c r="AI76" i="32" s="1"/>
  <c r="AG50" i="32"/>
  <c r="AH50" i="32" s="1"/>
  <c r="AI50" i="32" s="1"/>
  <c r="AG61" i="32"/>
  <c r="AH61" i="32" s="1"/>
  <c r="AI61" i="32" s="1"/>
  <c r="AG84" i="32"/>
  <c r="AH84" i="32" s="1"/>
  <c r="AI84" i="32" s="1"/>
  <c r="AG72" i="32"/>
  <c r="AH72" i="32" s="1"/>
  <c r="AI72" i="32" s="1"/>
  <c r="AG37" i="32"/>
  <c r="AH37" i="32" s="1"/>
  <c r="AI37" i="32" s="1"/>
  <c r="AG91" i="32"/>
  <c r="AH91" i="32" s="1"/>
  <c r="AI91" i="32" s="1"/>
  <c r="AG52" i="32"/>
  <c r="AH52" i="32" s="1"/>
  <c r="AI52" i="32" s="1"/>
  <c r="AG58" i="32"/>
  <c r="AH58" i="32" s="1"/>
  <c r="AI58" i="32" s="1"/>
  <c r="AG31" i="32"/>
  <c r="AH31" i="32" s="1"/>
  <c r="AI31" i="32" s="1"/>
  <c r="AG63" i="32"/>
  <c r="AH63" i="32" s="1"/>
  <c r="AI63" i="32" s="1"/>
  <c r="AG27" i="32"/>
  <c r="AH27" i="32" s="1"/>
  <c r="AI27" i="32" s="1"/>
  <c r="AG69" i="32"/>
  <c r="AH69" i="32" s="1"/>
  <c r="AI69" i="32" s="1"/>
  <c r="AG90" i="32"/>
  <c r="AH90" i="32" s="1"/>
  <c r="AI90" i="32" s="1"/>
  <c r="AG51" i="32"/>
  <c r="AH51" i="32" s="1"/>
  <c r="AI51" i="32" s="1"/>
  <c r="AG82" i="32"/>
  <c r="AH82" i="32" s="1"/>
  <c r="AI82" i="32" s="1"/>
  <c r="AG29" i="32"/>
  <c r="AH29" i="32" s="1"/>
  <c r="AI29" i="32" s="1"/>
  <c r="C104" i="50"/>
  <c r="AJ104" i="50"/>
  <c r="S105" i="50"/>
  <c r="Z105" i="50" s="1"/>
  <c r="W94" i="32"/>
  <c r="X94" i="32" s="1"/>
  <c r="C94" i="32"/>
  <c r="AJ94" i="32"/>
  <c r="W104" i="50"/>
  <c r="X103" i="50"/>
  <c r="V104" i="50"/>
  <c r="V94" i="32"/>
  <c r="AF149" i="69"/>
  <c r="P166" i="57"/>
  <c r="AL78" i="32"/>
  <c r="AL45" i="32"/>
  <c r="AL35" i="32"/>
  <c r="AL49" i="32"/>
  <c r="AC147" i="69"/>
  <c r="AD147" i="69" s="1"/>
  <c r="AL54" i="32"/>
  <c r="AL56" i="32"/>
  <c r="AL30" i="32"/>
  <c r="AL68" i="32"/>
  <c r="AL90" i="32"/>
  <c r="AG14" i="32"/>
  <c r="AH14" i="32" s="1"/>
  <c r="AI14" i="32" s="1"/>
  <c r="AG21" i="32"/>
  <c r="AH21" i="32" s="1"/>
  <c r="AI21" i="32" s="1"/>
  <c r="AG20" i="32"/>
  <c r="AH20" i="32" s="1"/>
  <c r="AI20" i="32" s="1"/>
  <c r="AG18" i="32"/>
  <c r="AH18" i="32" s="1"/>
  <c r="AI18" i="32" s="1"/>
  <c r="AG19" i="32"/>
  <c r="AH19" i="32" s="1"/>
  <c r="AI19" i="32" s="1"/>
  <c r="AG17" i="32"/>
  <c r="AH17" i="32" s="1"/>
  <c r="AI17" i="32" s="1"/>
  <c r="AG16" i="32"/>
  <c r="AH16" i="32" s="1"/>
  <c r="AI16" i="32" s="1"/>
  <c r="V15" i="32"/>
  <c r="AL60" i="32"/>
  <c r="AL85" i="32"/>
  <c r="AO150" i="69"/>
  <c r="O151" i="69"/>
  <c r="AL32" i="32"/>
  <c r="AL72" i="32"/>
  <c r="AL91" i="32"/>
  <c r="AL42" i="32"/>
  <c r="AL74" i="32"/>
  <c r="AL52" i="32"/>
  <c r="AL70" i="32"/>
  <c r="AL67" i="32"/>
  <c r="AL66" i="32"/>
  <c r="AL37" i="32"/>
  <c r="AL33" i="32"/>
  <c r="AL48" i="32"/>
  <c r="AL69" i="32"/>
  <c r="AL26" i="32"/>
  <c r="AL84" i="32"/>
  <c r="AL73" i="32"/>
  <c r="AL41" i="32"/>
  <c r="AL46" i="32"/>
  <c r="AL29" i="32"/>
  <c r="AL80" i="32"/>
  <c r="AE165"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N28" i="32"/>
  <c r="AL28" i="32"/>
  <c r="AN65" i="32"/>
  <c r="AL65" i="32"/>
  <c r="AN62" i="32"/>
  <c r="AL62" i="32"/>
  <c r="AN43" i="32"/>
  <c r="AL43" i="32"/>
  <c r="AN77" i="32"/>
  <c r="AL77" i="32"/>
  <c r="AN39" i="32"/>
  <c r="AL39" i="32"/>
  <c r="AN57" i="32"/>
  <c r="AL57" i="32"/>
  <c r="AL93" i="32"/>
  <c r="AN44" i="32"/>
  <c r="AL44" i="32"/>
  <c r="AN81" i="32"/>
  <c r="AL81" i="32"/>
  <c r="AN36" i="32"/>
  <c r="AL36" i="32"/>
  <c r="AL71" i="32"/>
  <c r="AL83" i="32"/>
  <c r="AN86" i="32"/>
  <c r="AL86" i="32"/>
  <c r="V12" i="32"/>
  <c r="R165" i="53"/>
  <c r="X165" i="53" s="1"/>
  <c r="AB165" i="53" s="1"/>
  <c r="X15" i="32"/>
  <c r="AY149" i="69"/>
  <c r="L166" i="57"/>
  <c r="X12" i="32"/>
  <c r="V13" i="32"/>
  <c r="AT165" i="53"/>
  <c r="AG165" i="53"/>
  <c r="N166" i="57"/>
  <c r="P166" i="53"/>
  <c r="AD165" i="53"/>
  <c r="X13" i="32"/>
  <c r="Q165" i="53"/>
  <c r="AK165" i="52" a="1"/>
  <c r="AK165" i="52" s="1"/>
  <c r="B167" i="53" s="1"/>
  <c r="K166" i="53"/>
  <c r="AH166" i="53" s="1"/>
  <c r="E166" i="53"/>
  <c r="J166" i="53"/>
  <c r="D166" i="53"/>
  <c r="C166" i="53"/>
  <c r="H166" i="53"/>
  <c r="F166" i="53"/>
  <c r="G166" i="53"/>
  <c r="I166" i="53"/>
  <c r="L166" i="53"/>
  <c r="A96" i="32"/>
  <c r="B96" i="32"/>
  <c r="A95" i="32"/>
  <c r="P95" i="32" s="1"/>
  <c r="B95" i="32"/>
  <c r="K106" i="50"/>
  <c r="A106" i="50"/>
  <c r="M106" i="50"/>
  <c r="G106" i="50"/>
  <c r="J106" i="50"/>
  <c r="L106" i="50"/>
  <c r="H106" i="50"/>
  <c r="B106" i="50"/>
  <c r="I106" i="50"/>
  <c r="K96" i="32"/>
  <c r="L96" i="32"/>
  <c r="N96" i="32"/>
  <c r="H96" i="32"/>
  <c r="M96" i="32"/>
  <c r="J96" i="32"/>
  <c r="I96" i="32"/>
  <c r="G96" i="32"/>
  <c r="M95" i="32"/>
  <c r="N95" i="32"/>
  <c r="H95" i="32"/>
  <c r="J95" i="32"/>
  <c r="G95" i="32"/>
  <c r="L95" i="32"/>
  <c r="I95" i="32"/>
  <c r="K95" i="32"/>
  <c r="J166" i="57"/>
  <c r="D166" i="57"/>
  <c r="F166" i="57"/>
  <c r="H166" i="57"/>
  <c r="G166" i="57"/>
  <c r="C166" i="57"/>
  <c r="I166" i="57"/>
  <c r="E166" i="57"/>
  <c r="AN165" i="55" a="1"/>
  <c r="AN165" i="55" s="1"/>
  <c r="B167" i="57" s="1"/>
  <c r="O167" i="57" s="1"/>
  <c r="AS151" i="67" a="1"/>
  <c r="AS151" i="67" s="1"/>
  <c r="B152" i="69"/>
  <c r="AM152" i="69" s="1"/>
  <c r="AN152" i="69" s="1"/>
  <c r="R149" i="69"/>
  <c r="S149" i="69" s="1"/>
  <c r="AE149" i="69"/>
  <c r="C151" i="69"/>
  <c r="D150" i="69"/>
  <c r="E150" i="69" s="1"/>
  <c r="AL96" i="11" a="1"/>
  <c r="AL96" i="11" s="1"/>
  <c r="AP106" i="59" a="1"/>
  <c r="AP106" i="59" s="1"/>
  <c r="E107" i="50" s="1"/>
  <c r="T107" i="50" s="1"/>
  <c r="L8" i="29"/>
  <c r="L5" i="29"/>
  <c r="L4" i="29"/>
  <c r="L3" i="29"/>
  <c r="T13" i="32" l="1"/>
  <c r="U13" i="32" s="1"/>
  <c r="AD13" i="32" s="1"/>
  <c r="AG13" i="32" s="1"/>
  <c r="AH13" i="32" s="1"/>
  <c r="AI13" i="32" s="1"/>
  <c r="AF163" i="57"/>
  <c r="AF165" i="53"/>
  <c r="AH103" i="50"/>
  <c r="AI103" i="50" s="1"/>
  <c r="AP103" i="50" s="1"/>
  <c r="P151" i="69"/>
  <c r="AP151" i="69"/>
  <c r="AK166" i="57"/>
  <c r="AJ163" i="57"/>
  <c r="AK107" i="50"/>
  <c r="AL104" i="50"/>
  <c r="AG104" i="50"/>
  <c r="BC152" i="69"/>
  <c r="BE152" i="69"/>
  <c r="BF152" i="69"/>
  <c r="BD152" i="69"/>
  <c r="U96" i="32"/>
  <c r="U95" i="32"/>
  <c r="K167" i="57"/>
  <c r="AH167" i="57"/>
  <c r="AI167" i="57" s="1"/>
  <c r="N107" i="50"/>
  <c r="AQ107" i="50"/>
  <c r="AO106" i="50"/>
  <c r="AX150" i="69"/>
  <c r="AW150" i="69"/>
  <c r="L152" i="69"/>
  <c r="M152" i="69" s="1"/>
  <c r="AZ152" i="69"/>
  <c r="AT95" i="32"/>
  <c r="AG148" i="69"/>
  <c r="Y149" i="69"/>
  <c r="AB149" i="69" s="1"/>
  <c r="F150" i="69"/>
  <c r="G150" i="69" s="1"/>
  <c r="H150" i="69" s="1"/>
  <c r="I150" i="69" s="1"/>
  <c r="J150" i="69" s="1"/>
  <c r="K150" i="69" s="1"/>
  <c r="U150" i="69"/>
  <c r="AH150" i="69"/>
  <c r="F107" i="50"/>
  <c r="U107" i="50" s="1"/>
  <c r="AY107" i="50"/>
  <c r="AA163" i="57"/>
  <c r="AD105" i="50"/>
  <c r="X164" i="57"/>
  <c r="AG166" i="57"/>
  <c r="AE165" i="57"/>
  <c r="AD165" i="57"/>
  <c r="AQ165" i="57"/>
  <c r="Q165" i="57"/>
  <c r="R165" i="57"/>
  <c r="AC165" i="57"/>
  <c r="AC167" i="53"/>
  <c r="O167" i="53"/>
  <c r="Q151" i="69"/>
  <c r="P106" i="50"/>
  <c r="P96" i="32"/>
  <c r="N167" i="53"/>
  <c r="O107" i="50"/>
  <c r="AA165" i="53"/>
  <c r="AN45" i="32"/>
  <c r="AN31" i="32"/>
  <c r="AN37" i="32"/>
  <c r="AN47" i="32"/>
  <c r="AN89" i="32"/>
  <c r="AN59" i="32"/>
  <c r="AN48" i="32"/>
  <c r="AN56" i="32"/>
  <c r="AN34" i="32"/>
  <c r="AN40" i="32"/>
  <c r="AN78" i="32"/>
  <c r="AN63" i="32"/>
  <c r="AN61" i="32"/>
  <c r="AN64" i="32"/>
  <c r="AN29" i="32"/>
  <c r="AN69" i="32"/>
  <c r="AN58" i="32"/>
  <c r="AN72" i="32"/>
  <c r="AN76" i="32"/>
  <c r="AN32" i="32"/>
  <c r="AN60" i="32"/>
  <c r="AN87" i="32"/>
  <c r="AN79" i="32"/>
  <c r="AN26" i="32"/>
  <c r="AN35" i="32"/>
  <c r="AN75" i="32"/>
  <c r="AN85" i="32"/>
  <c r="AN51" i="32"/>
  <c r="AN91" i="32"/>
  <c r="AN38" i="32"/>
  <c r="AN88" i="32"/>
  <c r="AN74" i="32"/>
  <c r="AN80" i="32"/>
  <c r="AN67" i="32"/>
  <c r="AN82" i="32"/>
  <c r="AN27" i="32"/>
  <c r="AN52" i="32"/>
  <c r="AN84" i="32"/>
  <c r="AN54" i="32"/>
  <c r="AN70" i="32"/>
  <c r="AN41" i="32"/>
  <c r="AN46" i="32"/>
  <c r="AN55" i="32"/>
  <c r="AN30" i="32"/>
  <c r="AN49" i="32"/>
  <c r="AN53" i="32"/>
  <c r="AN25" i="32"/>
  <c r="AM95" i="32"/>
  <c r="AM96" i="32"/>
  <c r="AJ105" i="50"/>
  <c r="C105" i="50"/>
  <c r="S106" i="50"/>
  <c r="Z106" i="50" s="1"/>
  <c r="S96" i="32"/>
  <c r="Z96" i="32" s="1"/>
  <c r="S95" i="32"/>
  <c r="Z95" i="32" s="1"/>
  <c r="W105" i="50"/>
  <c r="X104" i="50"/>
  <c r="V105" i="50"/>
  <c r="AF150" i="69"/>
  <c r="P167" i="57"/>
  <c r="AC148" i="69"/>
  <c r="AD148" i="69" s="1"/>
  <c r="AG15" i="32"/>
  <c r="AH15" i="32" s="1"/>
  <c r="AI15" i="32" s="1"/>
  <c r="AO151" i="69"/>
  <c r="O152" i="69"/>
  <c r="AE166" i="53"/>
  <c r="AM106" i="50"/>
  <c r="AL22" i="32"/>
  <c r="AL24" i="32"/>
  <c r="AN92" i="32"/>
  <c r="AL92" i="32"/>
  <c r="AL23" i="32"/>
  <c r="AN93" i="32"/>
  <c r="AN66" i="32"/>
  <c r="AN50" i="32"/>
  <c r="AN33" i="32"/>
  <c r="AN68" i="32"/>
  <c r="AN90" i="32"/>
  <c r="AN71" i="32"/>
  <c r="AN42" i="32"/>
  <c r="AN73" i="32"/>
  <c r="R166" i="53"/>
  <c r="X166" i="53" s="1"/>
  <c r="AB166" i="53" s="1"/>
  <c r="AY150" i="69"/>
  <c r="L167" i="57"/>
  <c r="AT166" i="53"/>
  <c r="AG166" i="53"/>
  <c r="N167" i="57"/>
  <c r="I167" i="53"/>
  <c r="Q166" i="53"/>
  <c r="AD166" i="53"/>
  <c r="C167" i="53"/>
  <c r="L167" i="53"/>
  <c r="P167" i="53"/>
  <c r="K167" i="53"/>
  <c r="AH167" i="53" s="1"/>
  <c r="E167" i="53"/>
  <c r="J167" i="53"/>
  <c r="H167" i="53"/>
  <c r="F167" i="53"/>
  <c r="D167" i="53"/>
  <c r="AK166" i="52" a="1"/>
  <c r="AK166" i="52" s="1"/>
  <c r="B168" i="53" s="1"/>
  <c r="G167" i="53"/>
  <c r="H107" i="50"/>
  <c r="A107" i="50"/>
  <c r="B107" i="50"/>
  <c r="J107" i="50"/>
  <c r="G107" i="50"/>
  <c r="K107" i="50"/>
  <c r="I107" i="50"/>
  <c r="M107" i="50"/>
  <c r="L107" i="50"/>
  <c r="I167" i="57"/>
  <c r="F167" i="57"/>
  <c r="D167" i="57"/>
  <c r="C167" i="57"/>
  <c r="H167" i="57"/>
  <c r="G167" i="57"/>
  <c r="E167" i="57"/>
  <c r="J167" i="57"/>
  <c r="E97" i="32"/>
  <c r="T97" i="32" s="1"/>
  <c r="AN166" i="55" a="1"/>
  <c r="AN166" i="55" s="1"/>
  <c r="B168" i="57" s="1"/>
  <c r="O168" i="57" s="1"/>
  <c r="AS152" i="67" a="1"/>
  <c r="AS152" i="67" s="1"/>
  <c r="B153" i="69"/>
  <c r="AM153" i="69" s="1"/>
  <c r="AN153" i="69" s="1"/>
  <c r="C152" i="69"/>
  <c r="R150" i="69"/>
  <c r="S150" i="69" s="1"/>
  <c r="AE150" i="69"/>
  <c r="D151" i="69"/>
  <c r="E151" i="69" s="1"/>
  <c r="AW79" i="22"/>
  <c r="AK4" i="22"/>
  <c r="AL97" i="11" a="1"/>
  <c r="AL97" i="11" s="1"/>
  <c r="E98" i="32" s="1"/>
  <c r="T98" i="32" s="1"/>
  <c r="AP107" i="59" a="1"/>
  <c r="AP107" i="59" s="1"/>
  <c r="E108" i="50" s="1"/>
  <c r="T108" i="50" s="1"/>
  <c r="AA164" i="57" l="1"/>
  <c r="AB164" i="57"/>
  <c r="AF164" i="57" s="1"/>
  <c r="AF166" i="53"/>
  <c r="AH104" i="50"/>
  <c r="AI104" i="50" s="1"/>
  <c r="AP104" i="50" s="1"/>
  <c r="P152" i="69"/>
  <c r="AP152" i="69"/>
  <c r="AK167" i="57"/>
  <c r="O98" i="32"/>
  <c r="O97" i="32"/>
  <c r="AK108" i="50"/>
  <c r="AL105" i="50"/>
  <c r="AG105" i="50"/>
  <c r="BC153" i="69"/>
  <c r="BE153" i="69"/>
  <c r="BF153" i="69"/>
  <c r="BD153" i="69"/>
  <c r="AH168" i="57"/>
  <c r="AI168" i="57" s="1"/>
  <c r="K168" i="57"/>
  <c r="AQ108" i="50"/>
  <c r="N108" i="50"/>
  <c r="AO107" i="50"/>
  <c r="AW151" i="69"/>
  <c r="AX151" i="69"/>
  <c r="L153" i="69"/>
  <c r="M153" i="69" s="1"/>
  <c r="AZ153" i="69"/>
  <c r="AG149" i="69"/>
  <c r="Y150" i="69"/>
  <c r="AG150" i="69" s="1"/>
  <c r="U151" i="69"/>
  <c r="AH151" i="69"/>
  <c r="F151" i="69"/>
  <c r="G151" i="69" s="1"/>
  <c r="H151" i="69" s="1"/>
  <c r="I151" i="69" s="1"/>
  <c r="J151" i="69" s="1"/>
  <c r="K151" i="69" s="1"/>
  <c r="F98" i="32"/>
  <c r="AU98" i="32"/>
  <c r="F97" i="32"/>
  <c r="AU97" i="32"/>
  <c r="F108" i="50"/>
  <c r="U108" i="50" s="1"/>
  <c r="AY108" i="50"/>
  <c r="AT96" i="32"/>
  <c r="AD96" i="32"/>
  <c r="AG96" i="32" s="1"/>
  <c r="AH96" i="32" s="1"/>
  <c r="AI96" i="32" s="1"/>
  <c r="AD95" i="32"/>
  <c r="AG95" i="32" s="1"/>
  <c r="AH95" i="32" s="1"/>
  <c r="AI95" i="32" s="1"/>
  <c r="AD106" i="50"/>
  <c r="X165" i="57"/>
  <c r="AB165" i="57" s="1"/>
  <c r="AG167" i="57"/>
  <c r="AQ166" i="57"/>
  <c r="AC166" i="57"/>
  <c r="AE166" i="57"/>
  <c r="AD166" i="57"/>
  <c r="Q166" i="57"/>
  <c r="R166" i="57"/>
  <c r="AC168" i="53"/>
  <c r="O168" i="53"/>
  <c r="Q152" i="69"/>
  <c r="P107" i="50"/>
  <c r="N168" i="53"/>
  <c r="O108" i="50"/>
  <c r="AA166" i="53"/>
  <c r="AJ106" i="50"/>
  <c r="C106" i="50"/>
  <c r="S107" i="50"/>
  <c r="Z107" i="50" s="1"/>
  <c r="W95" i="32"/>
  <c r="X95" i="32" s="1"/>
  <c r="C95" i="32"/>
  <c r="AJ95" i="32"/>
  <c r="C96" i="32"/>
  <c r="AJ96" i="32"/>
  <c r="W96" i="32"/>
  <c r="X96" i="32" s="1"/>
  <c r="W106" i="50"/>
  <c r="X105" i="50"/>
  <c r="V106" i="50"/>
  <c r="V96" i="32"/>
  <c r="AF151" i="69"/>
  <c r="P168" i="57"/>
  <c r="AC149" i="69"/>
  <c r="AD149" i="69" s="1"/>
  <c r="AK21" i="32"/>
  <c r="AL21" i="32" s="1"/>
  <c r="AK20" i="32"/>
  <c r="AL20" i="32" s="1"/>
  <c r="AK19" i="32"/>
  <c r="AL19" i="32" s="1"/>
  <c r="AK18" i="32"/>
  <c r="AL18" i="32" s="1"/>
  <c r="AK17" i="32"/>
  <c r="AL17" i="32" s="1"/>
  <c r="AK16" i="32"/>
  <c r="AL16" i="32" s="1"/>
  <c r="AK14" i="32"/>
  <c r="AL14" i="32" s="1"/>
  <c r="AO152" i="69"/>
  <c r="O153" i="69"/>
  <c r="AE167" i="53"/>
  <c r="AK98" i="32"/>
  <c r="AK97" i="32"/>
  <c r="AM107" i="50"/>
  <c r="AL94" i="32"/>
  <c r="AN23" i="32"/>
  <c r="R167" i="53"/>
  <c r="X167" i="53" s="1"/>
  <c r="AB167" i="53" s="1"/>
  <c r="AN24" i="32"/>
  <c r="AY151" i="69"/>
  <c r="L168" i="57"/>
  <c r="AG167" i="53"/>
  <c r="AT167" i="53"/>
  <c r="N168" i="57"/>
  <c r="E168" i="53"/>
  <c r="V95" i="32"/>
  <c r="AD167" i="53"/>
  <c r="AK167" i="52" a="1"/>
  <c r="AK167" i="52" s="1"/>
  <c r="B169" i="53" s="1"/>
  <c r="J168" i="53"/>
  <c r="Q167" i="53"/>
  <c r="F168" i="53"/>
  <c r="L168" i="53"/>
  <c r="I168" i="53"/>
  <c r="D168" i="53"/>
  <c r="H168" i="53"/>
  <c r="C168" i="53"/>
  <c r="G168" i="53"/>
  <c r="P168" i="53"/>
  <c r="K168" i="53"/>
  <c r="AH168" i="53" s="1"/>
  <c r="A97" i="32"/>
  <c r="P97" i="32" s="1"/>
  <c r="B97" i="32"/>
  <c r="A98" i="32"/>
  <c r="B98" i="32"/>
  <c r="K108" i="50"/>
  <c r="M108" i="50"/>
  <c r="I108" i="50"/>
  <c r="G108" i="50"/>
  <c r="B108" i="50"/>
  <c r="L108" i="50"/>
  <c r="H108" i="50"/>
  <c r="J108" i="50"/>
  <c r="A108" i="50"/>
  <c r="I97" i="32"/>
  <c r="J97" i="32"/>
  <c r="L97" i="32"/>
  <c r="N97" i="32"/>
  <c r="H97" i="32"/>
  <c r="K97" i="32"/>
  <c r="G97" i="32"/>
  <c r="M97" i="32"/>
  <c r="G98" i="32"/>
  <c r="H98" i="32"/>
  <c r="J98" i="32"/>
  <c r="L98" i="32"/>
  <c r="I98" i="32"/>
  <c r="N98" i="32"/>
  <c r="K98" i="32"/>
  <c r="M98" i="32"/>
  <c r="H168" i="57"/>
  <c r="F168" i="57"/>
  <c r="D168" i="57"/>
  <c r="C168" i="57"/>
  <c r="J168" i="57"/>
  <c r="E168" i="57"/>
  <c r="G168" i="57"/>
  <c r="I168" i="57"/>
  <c r="AN167" i="55" a="1"/>
  <c r="AN167" i="55" s="1"/>
  <c r="B169" i="57" s="1"/>
  <c r="O169" i="57" s="1"/>
  <c r="C153" i="69"/>
  <c r="AE151" i="69"/>
  <c r="R151" i="69"/>
  <c r="S151" i="69" s="1"/>
  <c r="D152" i="69"/>
  <c r="E152" i="69" s="1"/>
  <c r="AS153" i="67" a="1"/>
  <c r="AS153" i="67" s="1"/>
  <c r="B154" i="69"/>
  <c r="AM154" i="69" s="1"/>
  <c r="AN154" i="69" s="1"/>
  <c r="AL98" i="11" a="1"/>
  <c r="AL98" i="11" s="1"/>
  <c r="E99" i="32" s="1"/>
  <c r="T99" i="32" s="1"/>
  <c r="AP108" i="59" a="1"/>
  <c r="AP108" i="59" s="1"/>
  <c r="E109" i="50" s="1"/>
  <c r="T109" i="50" s="1"/>
  <c r="AF165" i="57" l="1"/>
  <c r="AF167" i="53"/>
  <c r="AH105" i="50"/>
  <c r="AI105" i="50" s="1"/>
  <c r="AP105" i="50" s="1"/>
  <c r="P153" i="69"/>
  <c r="AP153" i="69"/>
  <c r="AK168" i="57"/>
  <c r="AJ164" i="57"/>
  <c r="O99" i="32"/>
  <c r="AK109" i="50"/>
  <c r="AL106" i="50"/>
  <c r="AG106" i="50"/>
  <c r="BC154" i="69"/>
  <c r="BE154" i="69"/>
  <c r="BF154" i="69"/>
  <c r="BD154" i="69"/>
  <c r="U97" i="32"/>
  <c r="U98" i="32"/>
  <c r="AH169" i="57"/>
  <c r="AI169" i="57" s="1"/>
  <c r="K169" i="57"/>
  <c r="AQ109" i="50"/>
  <c r="N109" i="50"/>
  <c r="AO108" i="50"/>
  <c r="AX152" i="69"/>
  <c r="AW152" i="69"/>
  <c r="L154" i="69"/>
  <c r="M154" i="69" s="1"/>
  <c r="AZ154" i="69"/>
  <c r="AT97" i="32"/>
  <c r="Y151" i="69"/>
  <c r="AG151" i="69" s="1"/>
  <c r="AB150" i="69"/>
  <c r="AC150" i="69" s="1"/>
  <c r="AD150" i="69" s="1"/>
  <c r="U152" i="69"/>
  <c r="AH152" i="69"/>
  <c r="F152" i="69"/>
  <c r="G152" i="69" s="1"/>
  <c r="H152" i="69" s="1"/>
  <c r="I152" i="69" s="1"/>
  <c r="J152" i="69" s="1"/>
  <c r="K152" i="69" s="1"/>
  <c r="F99" i="32"/>
  <c r="AU99" i="32"/>
  <c r="AY109" i="50"/>
  <c r="F109" i="50"/>
  <c r="U109" i="50" s="1"/>
  <c r="AD107" i="50"/>
  <c r="X166" i="57"/>
  <c r="AB166" i="57" s="1"/>
  <c r="AG168" i="57"/>
  <c r="AA165" i="57"/>
  <c r="AC169" i="53"/>
  <c r="O169" i="53"/>
  <c r="Q153" i="69"/>
  <c r="AC167" i="57"/>
  <c r="R167" i="57"/>
  <c r="AE167" i="57"/>
  <c r="Q167" i="57"/>
  <c r="AD167" i="57"/>
  <c r="AQ167" i="57"/>
  <c r="P108" i="50"/>
  <c r="P98" i="32"/>
  <c r="N169" i="53"/>
  <c r="O109" i="50"/>
  <c r="AA167" i="53"/>
  <c r="AM97" i="32"/>
  <c r="AM98" i="32"/>
  <c r="AJ107" i="50"/>
  <c r="C107" i="50"/>
  <c r="S108" i="50"/>
  <c r="Z108" i="50" s="1"/>
  <c r="AM21" i="32"/>
  <c r="AM20" i="32"/>
  <c r="AM19" i="32"/>
  <c r="AM18" i="32"/>
  <c r="AM17" i="32"/>
  <c r="AM16" i="32"/>
  <c r="AM14" i="32"/>
  <c r="S97" i="32"/>
  <c r="Z97" i="32" s="1"/>
  <c r="S98" i="32"/>
  <c r="Z98" i="32" s="1"/>
  <c r="W107" i="50"/>
  <c r="X106" i="50"/>
  <c r="V107" i="50"/>
  <c r="AF152" i="69"/>
  <c r="P169" i="57"/>
  <c r="AK13" i="32"/>
  <c r="AL13" i="32" s="1"/>
  <c r="AO153" i="69"/>
  <c r="O154" i="69"/>
  <c r="AE168" i="53"/>
  <c r="AK99" i="32"/>
  <c r="AM108" i="50"/>
  <c r="AL96" i="32"/>
  <c r="AN94" i="32"/>
  <c r="R168" i="53"/>
  <c r="X168" i="53" s="1"/>
  <c r="AB168" i="53" s="1"/>
  <c r="AY152" i="69"/>
  <c r="L169" i="57"/>
  <c r="AT168" i="53"/>
  <c r="AG168" i="53"/>
  <c r="N169" i="57"/>
  <c r="K169" i="53"/>
  <c r="AH169" i="53" s="1"/>
  <c r="Q168" i="53"/>
  <c r="AD168" i="53"/>
  <c r="AK168" i="52" a="1"/>
  <c r="AK168" i="52" s="1"/>
  <c r="B170" i="53" s="1"/>
  <c r="I169" i="53"/>
  <c r="P169" i="53"/>
  <c r="D169" i="53"/>
  <c r="G169" i="53"/>
  <c r="J169" i="53"/>
  <c r="H169" i="53"/>
  <c r="F169" i="53"/>
  <c r="L169" i="53"/>
  <c r="E169" i="53"/>
  <c r="C169" i="53"/>
  <c r="A99" i="32"/>
  <c r="B99" i="32"/>
  <c r="M109" i="50"/>
  <c r="G109" i="50"/>
  <c r="H109" i="50"/>
  <c r="L109" i="50"/>
  <c r="B109" i="50"/>
  <c r="J109" i="50"/>
  <c r="I109" i="50"/>
  <c r="A109" i="50"/>
  <c r="K109" i="50"/>
  <c r="M99" i="32"/>
  <c r="N99" i="32"/>
  <c r="H99" i="32"/>
  <c r="J99" i="32"/>
  <c r="G99" i="32"/>
  <c r="L99" i="32"/>
  <c r="K99" i="32"/>
  <c r="I99" i="32"/>
  <c r="J169" i="57"/>
  <c r="E169" i="57"/>
  <c r="C169" i="57"/>
  <c r="F169" i="57"/>
  <c r="H169" i="57"/>
  <c r="I169" i="57"/>
  <c r="D169" i="57"/>
  <c r="G169" i="57"/>
  <c r="AN168" i="55" a="1"/>
  <c r="AN168" i="55" s="1"/>
  <c r="B170" i="57" s="1"/>
  <c r="O170" i="57" s="1"/>
  <c r="AS154" i="67" a="1"/>
  <c r="AS154" i="67" s="1"/>
  <c r="B155" i="69"/>
  <c r="AM155" i="69" s="1"/>
  <c r="AN155" i="69" s="1"/>
  <c r="AE152" i="69"/>
  <c r="R152" i="69"/>
  <c r="S152" i="69" s="1"/>
  <c r="C154" i="69"/>
  <c r="D153" i="69"/>
  <c r="E153" i="69" s="1"/>
  <c r="AL99" i="11" a="1"/>
  <c r="AL99" i="11" s="1"/>
  <c r="E100" i="32" s="1"/>
  <c r="T100" i="32" s="1"/>
  <c r="AP109" i="59" a="1"/>
  <c r="AP109" i="59" s="1"/>
  <c r="E110" i="50" s="1"/>
  <c r="T110" i="50" s="1"/>
  <c r="AF168" i="53" l="1"/>
  <c r="AF166" i="57"/>
  <c r="AH106" i="50"/>
  <c r="AI106" i="50" s="1"/>
  <c r="AP106" i="50" s="1"/>
  <c r="P154" i="69"/>
  <c r="AP154" i="69"/>
  <c r="AK169" i="57"/>
  <c r="AJ165" i="57"/>
  <c r="AL107" i="50"/>
  <c r="AN16" i="32"/>
  <c r="AN20" i="32"/>
  <c r="AN17" i="32"/>
  <c r="AN21" i="32"/>
  <c r="AN19" i="32"/>
  <c r="AN14" i="32"/>
  <c r="O100" i="32"/>
  <c r="AK110" i="50"/>
  <c r="AG107" i="50"/>
  <c r="BC155" i="69"/>
  <c r="BD155" i="69"/>
  <c r="BE155" i="69"/>
  <c r="BF155" i="69"/>
  <c r="U99" i="32"/>
  <c r="AH170" i="57"/>
  <c r="AI170" i="57" s="1"/>
  <c r="K170" i="57"/>
  <c r="N110" i="50"/>
  <c r="AQ110" i="50"/>
  <c r="AO109" i="50"/>
  <c r="AX153" i="69"/>
  <c r="AW153" i="69"/>
  <c r="L155" i="69"/>
  <c r="M155" i="69" s="1"/>
  <c r="AZ155" i="69"/>
  <c r="AB151" i="69"/>
  <c r="AC151" i="69" s="1"/>
  <c r="AD151" i="69" s="1"/>
  <c r="Y152" i="69"/>
  <c r="AB152" i="69" s="1"/>
  <c r="U153" i="69"/>
  <c r="AH153" i="69"/>
  <c r="F153" i="69"/>
  <c r="G153" i="69" s="1"/>
  <c r="H153" i="69" s="1"/>
  <c r="I153" i="69" s="1"/>
  <c r="J153" i="69" s="1"/>
  <c r="K153" i="69" s="1"/>
  <c r="F100" i="32"/>
  <c r="AU100" i="32"/>
  <c r="AY110" i="50"/>
  <c r="F110" i="50"/>
  <c r="U110" i="50" s="1"/>
  <c r="AT98" i="32"/>
  <c r="AD97" i="32"/>
  <c r="AG97" i="32" s="1"/>
  <c r="AH97" i="32" s="1"/>
  <c r="AI97" i="32" s="1"/>
  <c r="AD98" i="32"/>
  <c r="AG98" i="32" s="1"/>
  <c r="AH98" i="32" s="1"/>
  <c r="AI98" i="32" s="1"/>
  <c r="AD108" i="50"/>
  <c r="X167" i="57"/>
  <c r="AB167" i="57" s="1"/>
  <c r="AG169" i="57"/>
  <c r="AA166" i="57"/>
  <c r="AD168" i="57"/>
  <c r="AC168" i="57"/>
  <c r="AE168" i="57"/>
  <c r="AC170" i="53"/>
  <c r="O170" i="53"/>
  <c r="Q154" i="69"/>
  <c r="R168" i="57"/>
  <c r="Q168" i="57"/>
  <c r="AQ168" i="57"/>
  <c r="P109" i="50"/>
  <c r="P99" i="32"/>
  <c r="N170" i="53"/>
  <c r="O110" i="50"/>
  <c r="AA168" i="53"/>
  <c r="AM99" i="32"/>
  <c r="AJ108" i="50"/>
  <c r="C108" i="50"/>
  <c r="S109" i="50"/>
  <c r="Z109" i="50" s="1"/>
  <c r="W98" i="32"/>
  <c r="X98" i="32" s="1"/>
  <c r="C98" i="32"/>
  <c r="AJ98" i="32"/>
  <c r="W97" i="32"/>
  <c r="X97" i="32" s="1"/>
  <c r="C97" i="32"/>
  <c r="AJ97" i="32"/>
  <c r="S99" i="32"/>
  <c r="Z99" i="32" s="1"/>
  <c r="W108" i="50"/>
  <c r="X107" i="50"/>
  <c r="V108" i="50"/>
  <c r="V98" i="32"/>
  <c r="AF153" i="69"/>
  <c r="P170" i="57"/>
  <c r="AM13" i="32"/>
  <c r="AK15" i="32"/>
  <c r="AL15" i="32" s="1"/>
  <c r="AO154" i="69"/>
  <c r="O155" i="69"/>
  <c r="AE169" i="53"/>
  <c r="AK100" i="32"/>
  <c r="AM109" i="50"/>
  <c r="AL95" i="32"/>
  <c r="AN96" i="32"/>
  <c r="R169" i="53"/>
  <c r="X169" i="53" s="1"/>
  <c r="AB169" i="53" s="1"/>
  <c r="AY153" i="69"/>
  <c r="L170" i="57"/>
  <c r="AG169" i="53"/>
  <c r="AT169" i="53"/>
  <c r="N170" i="57"/>
  <c r="V97" i="32"/>
  <c r="AD169" i="53"/>
  <c r="Q169" i="53"/>
  <c r="AK169" i="52" a="1"/>
  <c r="AK169" i="52" s="1"/>
  <c r="B171" i="53" s="1"/>
  <c r="G170" i="53"/>
  <c r="P170" i="53"/>
  <c r="K170" i="53"/>
  <c r="AH170" i="53" s="1"/>
  <c r="J170" i="53"/>
  <c r="H170" i="53"/>
  <c r="D170" i="53"/>
  <c r="L170" i="53"/>
  <c r="E170" i="53"/>
  <c r="F170" i="53"/>
  <c r="C170" i="53"/>
  <c r="I170" i="53"/>
  <c r="A100" i="32"/>
  <c r="B100" i="32"/>
  <c r="A110" i="50"/>
  <c r="J110" i="50"/>
  <c r="K110" i="50"/>
  <c r="I110" i="50"/>
  <c r="H110" i="50"/>
  <c r="G110" i="50"/>
  <c r="M110" i="50"/>
  <c r="L110" i="50"/>
  <c r="B110" i="50"/>
  <c r="K100" i="32"/>
  <c r="L100" i="32"/>
  <c r="N100" i="32"/>
  <c r="H100" i="32"/>
  <c r="J100" i="32"/>
  <c r="M100" i="32"/>
  <c r="G100" i="32"/>
  <c r="I100" i="32"/>
  <c r="J170" i="57"/>
  <c r="G170" i="57"/>
  <c r="D170" i="57"/>
  <c r="H170" i="57"/>
  <c r="C170" i="57"/>
  <c r="I170" i="57"/>
  <c r="F170" i="57"/>
  <c r="E170" i="57"/>
  <c r="AN169" i="55" a="1"/>
  <c r="AN169" i="55" s="1"/>
  <c r="B171" i="57" s="1"/>
  <c r="O171" i="57" s="1"/>
  <c r="C155" i="69"/>
  <c r="D154" i="69"/>
  <c r="E154" i="69" s="1"/>
  <c r="AE153" i="69"/>
  <c r="R153" i="69"/>
  <c r="S153" i="69" s="1"/>
  <c r="AS155" i="67" a="1"/>
  <c r="AS155" i="67" s="1"/>
  <c r="B156" i="69"/>
  <c r="AM156" i="69" s="1"/>
  <c r="AN156" i="69" s="1"/>
  <c r="AL100" i="11" a="1"/>
  <c r="AL100" i="11" s="1"/>
  <c r="E101" i="32" s="1"/>
  <c r="T101" i="32" s="1"/>
  <c r="AP110" i="59" a="1"/>
  <c r="AP110" i="59" s="1"/>
  <c r="E111" i="50" s="1"/>
  <c r="T111" i="50" s="1"/>
  <c r="AF167" i="57" l="1"/>
  <c r="AF169" i="53"/>
  <c r="AH107" i="50"/>
  <c r="AI107" i="50" s="1"/>
  <c r="AP107" i="50" s="1"/>
  <c r="P155" i="69"/>
  <c r="AP155" i="69"/>
  <c r="AK170" i="57"/>
  <c r="AJ166" i="57"/>
  <c r="AN13" i="32"/>
  <c r="O101" i="32"/>
  <c r="AK111" i="50"/>
  <c r="AL108" i="50"/>
  <c r="AG108" i="50"/>
  <c r="BC156" i="69"/>
  <c r="BD156" i="69"/>
  <c r="BE156" i="69"/>
  <c r="BF156" i="69"/>
  <c r="U100" i="32"/>
  <c r="AH171" i="57"/>
  <c r="AI171" i="57" s="1"/>
  <c r="K171" i="57"/>
  <c r="N111" i="50"/>
  <c r="AQ111" i="50"/>
  <c r="AO110" i="50"/>
  <c r="AX154" i="69"/>
  <c r="AW154" i="69"/>
  <c r="L156" i="69"/>
  <c r="M156" i="69" s="1"/>
  <c r="AZ156" i="69"/>
  <c r="Y153" i="69"/>
  <c r="AG153" i="69" s="1"/>
  <c r="AG152" i="69"/>
  <c r="U154" i="69"/>
  <c r="AH154" i="69"/>
  <c r="F154" i="69"/>
  <c r="G154" i="69" s="1"/>
  <c r="H154" i="69" s="1"/>
  <c r="I154" i="69" s="1"/>
  <c r="J154" i="69" s="1"/>
  <c r="K154" i="69" s="1"/>
  <c r="F101" i="32"/>
  <c r="AU101" i="32"/>
  <c r="AY111" i="50"/>
  <c r="F111" i="50"/>
  <c r="U111" i="50" s="1"/>
  <c r="AT99" i="32"/>
  <c r="AD99" i="32"/>
  <c r="AG99" i="32" s="1"/>
  <c r="AH99" i="32" s="1"/>
  <c r="AI99" i="32" s="1"/>
  <c r="AD109" i="50"/>
  <c r="X168" i="57"/>
  <c r="AB168" i="57" s="1"/>
  <c r="AE169" i="57"/>
  <c r="AG170" i="57"/>
  <c r="AD169" i="57"/>
  <c r="AC171" i="53"/>
  <c r="O171" i="53"/>
  <c r="Q155" i="69"/>
  <c r="AA167" i="57"/>
  <c r="AQ169" i="57"/>
  <c r="Q169" i="57"/>
  <c r="R169" i="57"/>
  <c r="AC169" i="57"/>
  <c r="P110" i="50"/>
  <c r="P100" i="32"/>
  <c r="N171" i="53"/>
  <c r="O111" i="50"/>
  <c r="AA169" i="53"/>
  <c r="AM100" i="32"/>
  <c r="AJ109" i="50"/>
  <c r="C109" i="50"/>
  <c r="S110" i="50"/>
  <c r="Z110" i="50" s="1"/>
  <c r="AM15" i="32"/>
  <c r="W99" i="32"/>
  <c r="X99" i="32" s="1"/>
  <c r="C99" i="32"/>
  <c r="AJ99" i="32"/>
  <c r="S100" i="32"/>
  <c r="Z100" i="32" s="1"/>
  <c r="W109" i="50"/>
  <c r="X108" i="50"/>
  <c r="V109" i="50"/>
  <c r="V99" i="32"/>
  <c r="AF154" i="69"/>
  <c r="P171" i="57"/>
  <c r="AC152" i="69"/>
  <c r="AD152" i="69" s="1"/>
  <c r="O156" i="69"/>
  <c r="AO155" i="69"/>
  <c r="AE170" i="53"/>
  <c r="AK101" i="32"/>
  <c r="AM110" i="50"/>
  <c r="AN95" i="32"/>
  <c r="R170" i="53"/>
  <c r="X170" i="53" s="1"/>
  <c r="AB170" i="53" s="1"/>
  <c r="AY154" i="69"/>
  <c r="L171" i="57"/>
  <c r="AG170" i="53"/>
  <c r="AT170" i="53"/>
  <c r="N171" i="57"/>
  <c r="AD170" i="53"/>
  <c r="AK170" i="52" a="1"/>
  <c r="AK170" i="52" s="1"/>
  <c r="B172" i="53" s="1"/>
  <c r="Q170" i="53"/>
  <c r="I171" i="53"/>
  <c r="G171" i="53"/>
  <c r="C171" i="53"/>
  <c r="K171" i="53"/>
  <c r="AH171" i="53" s="1"/>
  <c r="E171" i="53"/>
  <c r="J171" i="53"/>
  <c r="F171" i="53"/>
  <c r="H171" i="53"/>
  <c r="D171" i="53"/>
  <c r="L171" i="53"/>
  <c r="P171" i="53"/>
  <c r="A101" i="32"/>
  <c r="B101" i="32"/>
  <c r="A111" i="50"/>
  <c r="M111" i="50"/>
  <c r="J111" i="50"/>
  <c r="L111" i="50"/>
  <c r="G111" i="50"/>
  <c r="B111" i="50"/>
  <c r="K111" i="50"/>
  <c r="I111" i="50"/>
  <c r="H111" i="50"/>
  <c r="I101" i="32"/>
  <c r="J101" i="32"/>
  <c r="L101" i="32"/>
  <c r="N101" i="32"/>
  <c r="K101" i="32"/>
  <c r="H101" i="32"/>
  <c r="M101" i="32"/>
  <c r="G101" i="32"/>
  <c r="H171" i="57"/>
  <c r="D171" i="57"/>
  <c r="J171" i="57"/>
  <c r="G171" i="57"/>
  <c r="C171" i="57"/>
  <c r="I171" i="57"/>
  <c r="F171" i="57"/>
  <c r="E171" i="57"/>
  <c r="AN170" i="55" a="1"/>
  <c r="AN170" i="55" s="1"/>
  <c r="B172" i="57" s="1"/>
  <c r="O172" i="57" s="1"/>
  <c r="AS156" i="67" a="1"/>
  <c r="AS156" i="67" s="1"/>
  <c r="B157" i="69"/>
  <c r="AM157" i="69" s="1"/>
  <c r="AN157" i="69" s="1"/>
  <c r="D155" i="69"/>
  <c r="E155" i="69" s="1"/>
  <c r="C156" i="69"/>
  <c r="R154" i="69"/>
  <c r="S154" i="69" s="1"/>
  <c r="AE154" i="69"/>
  <c r="AL101" i="11" a="1"/>
  <c r="AL101" i="11" s="1"/>
  <c r="E102" i="32" s="1"/>
  <c r="T102" i="32" s="1"/>
  <c r="AP111" i="59" a="1"/>
  <c r="AP111" i="59" s="1"/>
  <c r="E112" i="50" s="1"/>
  <c r="T112" i="50" s="1"/>
  <c r="AF168" i="57" l="1"/>
  <c r="AF170" i="53"/>
  <c r="AH108" i="50"/>
  <c r="AI108" i="50" s="1"/>
  <c r="AP108" i="50" s="1"/>
  <c r="P156" i="69"/>
  <c r="AP156" i="69"/>
  <c r="AK171" i="57"/>
  <c r="AJ167" i="57"/>
  <c r="AN15" i="32"/>
  <c r="O102" i="32"/>
  <c r="AK112" i="50"/>
  <c r="AL109" i="50"/>
  <c r="AG109" i="50"/>
  <c r="BC157" i="69"/>
  <c r="BF157" i="69"/>
  <c r="BE157" i="69"/>
  <c r="BD157" i="69"/>
  <c r="U101" i="32"/>
  <c r="AH172" i="57"/>
  <c r="AI172" i="57" s="1"/>
  <c r="K172" i="57"/>
  <c r="AQ112" i="50"/>
  <c r="N112" i="50"/>
  <c r="AO111" i="50"/>
  <c r="AX155" i="69"/>
  <c r="AW155" i="69"/>
  <c r="L157" i="69"/>
  <c r="M157" i="69" s="1"/>
  <c r="AZ157" i="69"/>
  <c r="AB153" i="69"/>
  <c r="AC153" i="69" s="1"/>
  <c r="AD153" i="69" s="1"/>
  <c r="Y154" i="69"/>
  <c r="AB154" i="69" s="1"/>
  <c r="U155" i="69"/>
  <c r="AH155" i="69"/>
  <c r="F155" i="69"/>
  <c r="G155" i="69" s="1"/>
  <c r="H155" i="69" s="1"/>
  <c r="I155" i="69" s="1"/>
  <c r="J155" i="69" s="1"/>
  <c r="K155" i="69" s="1"/>
  <c r="F102" i="32"/>
  <c r="AU102" i="32"/>
  <c r="AY112" i="50"/>
  <c r="F112" i="50"/>
  <c r="U112" i="50" s="1"/>
  <c r="AT100" i="32"/>
  <c r="AD100" i="32"/>
  <c r="AG100" i="32" s="1"/>
  <c r="AH100" i="32" s="1"/>
  <c r="AI100" i="32" s="1"/>
  <c r="AD110" i="50"/>
  <c r="X169" i="57"/>
  <c r="AB169" i="57" s="1"/>
  <c r="AG171" i="57"/>
  <c r="AA168" i="57"/>
  <c r="R170" i="57"/>
  <c r="AC172" i="53"/>
  <c r="O172" i="53"/>
  <c r="Q156" i="69"/>
  <c r="AD170" i="57"/>
  <c r="AC170" i="57"/>
  <c r="Q170" i="57"/>
  <c r="AQ170" i="57"/>
  <c r="AE170" i="57"/>
  <c r="P111" i="50"/>
  <c r="P101" i="32"/>
  <c r="N172" i="53"/>
  <c r="O112" i="50"/>
  <c r="AA170" i="53"/>
  <c r="AM101" i="32"/>
  <c r="AJ110" i="50"/>
  <c r="C110" i="50"/>
  <c r="S111" i="50"/>
  <c r="Z111" i="50" s="1"/>
  <c r="C100" i="32"/>
  <c r="AJ100" i="32"/>
  <c r="W100" i="32"/>
  <c r="X100" i="32" s="1"/>
  <c r="S101" i="32"/>
  <c r="W110" i="50"/>
  <c r="X109" i="50"/>
  <c r="V110" i="50"/>
  <c r="V100" i="32"/>
  <c r="AF155" i="69"/>
  <c r="P172" i="57"/>
  <c r="O157" i="69"/>
  <c r="AO156" i="69"/>
  <c r="AE171" i="53"/>
  <c r="AK102" i="32"/>
  <c r="AM111" i="50"/>
  <c r="AL98" i="32"/>
  <c r="AL97" i="32"/>
  <c r="R171" i="53"/>
  <c r="X171" i="53" s="1"/>
  <c r="AB171" i="53" s="1"/>
  <c r="AY155" i="69"/>
  <c r="L172" i="57"/>
  <c r="AG171" i="53"/>
  <c r="AT171" i="53"/>
  <c r="N172" i="57"/>
  <c r="AD171" i="53"/>
  <c r="Q171" i="53"/>
  <c r="AK171" i="52" a="1"/>
  <c r="AK171" i="52" s="1"/>
  <c r="B173" i="53" s="1"/>
  <c r="H172" i="53"/>
  <c r="L172" i="53"/>
  <c r="F172" i="53"/>
  <c r="G172" i="53"/>
  <c r="C172" i="53"/>
  <c r="E172" i="53"/>
  <c r="J172" i="53"/>
  <c r="I172" i="53"/>
  <c r="K172" i="53"/>
  <c r="AH172" i="53" s="1"/>
  <c r="D172" i="53"/>
  <c r="P172" i="53"/>
  <c r="A102" i="32"/>
  <c r="B102" i="32"/>
  <c r="G112" i="50"/>
  <c r="I112" i="50"/>
  <c r="M112" i="50"/>
  <c r="L112" i="50"/>
  <c r="J112" i="50"/>
  <c r="H112" i="50"/>
  <c r="A112" i="50"/>
  <c r="B112" i="50"/>
  <c r="K112" i="50"/>
  <c r="G102" i="32"/>
  <c r="H102" i="32"/>
  <c r="J102" i="32"/>
  <c r="L102" i="32"/>
  <c r="I102" i="32"/>
  <c r="N102" i="32"/>
  <c r="M102" i="32"/>
  <c r="K102" i="32"/>
  <c r="F172" i="57"/>
  <c r="J172" i="57"/>
  <c r="E172" i="57"/>
  <c r="G172" i="57"/>
  <c r="C172" i="57"/>
  <c r="I172" i="57"/>
  <c r="D172" i="57"/>
  <c r="H172" i="57"/>
  <c r="AN171" i="55" a="1"/>
  <c r="AN171" i="55" s="1"/>
  <c r="B173" i="57" s="1"/>
  <c r="O173" i="57" s="1"/>
  <c r="AS157" i="67" a="1"/>
  <c r="AS157" i="67" s="1"/>
  <c r="B158" i="69"/>
  <c r="AM158" i="69" s="1"/>
  <c r="AN158" i="69" s="1"/>
  <c r="AE155" i="69"/>
  <c r="R155" i="69"/>
  <c r="S155" i="69" s="1"/>
  <c r="D156" i="69"/>
  <c r="E156" i="69" s="1"/>
  <c r="C157" i="69"/>
  <c r="AL102" i="11" a="1"/>
  <c r="AL102" i="11" s="1"/>
  <c r="AP112" i="59" a="1"/>
  <c r="AP112" i="59" s="1"/>
  <c r="E113" i="50" s="1"/>
  <c r="T113" i="50" s="1"/>
  <c r="AF169" i="57" l="1"/>
  <c r="AF171" i="53"/>
  <c r="AH109" i="50"/>
  <c r="AI109" i="50" s="1"/>
  <c r="AP109" i="50" s="1"/>
  <c r="P157" i="69"/>
  <c r="AP157" i="69"/>
  <c r="AK172" i="57"/>
  <c r="AJ168" i="57"/>
  <c r="AK113" i="50"/>
  <c r="AL110" i="50"/>
  <c r="AG110" i="50"/>
  <c r="BC158" i="69"/>
  <c r="BF158" i="69"/>
  <c r="BE158" i="69"/>
  <c r="BD158" i="69"/>
  <c r="U102" i="32"/>
  <c r="AD101" i="32"/>
  <c r="AG101" i="32" s="1"/>
  <c r="AH101" i="32" s="1"/>
  <c r="AI101" i="32" s="1"/>
  <c r="AH173" i="57"/>
  <c r="AI173" i="57" s="1"/>
  <c r="K173" i="57"/>
  <c r="AQ113" i="50"/>
  <c r="N113" i="50"/>
  <c r="AO112" i="50"/>
  <c r="AW156" i="69"/>
  <c r="AX156" i="69"/>
  <c r="L158" i="69"/>
  <c r="M158" i="69" s="1"/>
  <c r="AZ158" i="69"/>
  <c r="AG154" i="69"/>
  <c r="Y155" i="69"/>
  <c r="AB155" i="69" s="1"/>
  <c r="U156" i="69"/>
  <c r="AH156" i="69"/>
  <c r="F156" i="69"/>
  <c r="G156" i="69" s="1"/>
  <c r="H156" i="69" s="1"/>
  <c r="I156" i="69" s="1"/>
  <c r="J156" i="69" s="1"/>
  <c r="K156" i="69" s="1"/>
  <c r="AY113" i="50"/>
  <c r="F113" i="50"/>
  <c r="U113" i="50" s="1"/>
  <c r="AT101" i="32"/>
  <c r="X170" i="57"/>
  <c r="AB170" i="57" s="1"/>
  <c r="AD111" i="50"/>
  <c r="AG172" i="57"/>
  <c r="AA169" i="57"/>
  <c r="AC173" i="53"/>
  <c r="O173" i="53"/>
  <c r="Q157" i="69"/>
  <c r="AE171" i="57"/>
  <c r="R171" i="57"/>
  <c r="AD171" i="57"/>
  <c r="Q171" i="57"/>
  <c r="AQ171" i="57"/>
  <c r="AC171" i="57"/>
  <c r="P112" i="50"/>
  <c r="P102" i="32"/>
  <c r="N173" i="53"/>
  <c r="O113" i="50"/>
  <c r="AA171" i="53"/>
  <c r="C101" i="32"/>
  <c r="Z101" i="32"/>
  <c r="AM102" i="32"/>
  <c r="C111" i="50"/>
  <c r="AJ111" i="50"/>
  <c r="S112" i="50"/>
  <c r="Z112" i="50" s="1"/>
  <c r="S102" i="32"/>
  <c r="Z102" i="32" s="1"/>
  <c r="W101" i="32"/>
  <c r="X101" i="32" s="1"/>
  <c r="AJ101" i="32"/>
  <c r="W111" i="50"/>
  <c r="X110" i="50"/>
  <c r="V111" i="50"/>
  <c r="V101" i="32"/>
  <c r="AF156" i="69"/>
  <c r="P173" i="57"/>
  <c r="AC154" i="69"/>
  <c r="AD154" i="69" s="1"/>
  <c r="O158" i="69"/>
  <c r="AO157" i="69"/>
  <c r="AE172" i="53"/>
  <c r="AM112" i="50"/>
  <c r="AL99" i="32"/>
  <c r="AN98" i="32"/>
  <c r="R172" i="53"/>
  <c r="X172" i="53" s="1"/>
  <c r="AB172" i="53" s="1"/>
  <c r="AN97" i="32"/>
  <c r="AY156" i="69"/>
  <c r="L173" i="57"/>
  <c r="AG172" i="53"/>
  <c r="AT172" i="53"/>
  <c r="N173" i="57"/>
  <c r="J173" i="53"/>
  <c r="AD172" i="53"/>
  <c r="Q172" i="53"/>
  <c r="E173" i="53"/>
  <c r="P173" i="53"/>
  <c r="I173" i="53"/>
  <c r="F173" i="53"/>
  <c r="G173" i="53"/>
  <c r="H173" i="53"/>
  <c r="AK172" i="52" a="1"/>
  <c r="AK172" i="52" s="1"/>
  <c r="B174" i="53" s="1"/>
  <c r="K173" i="53"/>
  <c r="AH173" i="53" s="1"/>
  <c r="D173" i="53"/>
  <c r="C173" i="53"/>
  <c r="L173" i="53"/>
  <c r="I113" i="50"/>
  <c r="M113" i="50"/>
  <c r="L113" i="50"/>
  <c r="J113" i="50"/>
  <c r="H113" i="50"/>
  <c r="B113" i="50"/>
  <c r="K113" i="50"/>
  <c r="G113" i="50"/>
  <c r="A113" i="50"/>
  <c r="E173" i="57"/>
  <c r="J173" i="57"/>
  <c r="F173" i="57"/>
  <c r="G173" i="57"/>
  <c r="C173" i="57"/>
  <c r="I173" i="57"/>
  <c r="H173" i="57"/>
  <c r="D173" i="57"/>
  <c r="E103" i="32"/>
  <c r="T103" i="32" s="1"/>
  <c r="AN172" i="55" a="1"/>
  <c r="AN172" i="55" s="1"/>
  <c r="B174" i="57" s="1"/>
  <c r="O174" i="57" s="1"/>
  <c r="AS158" i="67" a="1"/>
  <c r="AS158" i="67" s="1"/>
  <c r="B159" i="69"/>
  <c r="AM159" i="69" s="1"/>
  <c r="AN159" i="69" s="1"/>
  <c r="R156" i="69"/>
  <c r="S156" i="69" s="1"/>
  <c r="AE156" i="69"/>
  <c r="C158" i="69"/>
  <c r="D157" i="69"/>
  <c r="E157" i="69" s="1"/>
  <c r="AL103" i="11" a="1"/>
  <c r="AL103" i="11" s="1"/>
  <c r="AP113" i="59" a="1"/>
  <c r="AP113" i="59" s="1"/>
  <c r="E114" i="50" s="1"/>
  <c r="T114" i="50" s="1"/>
  <c r="AF170" i="57" l="1"/>
  <c r="AF172" i="53"/>
  <c r="AH110" i="50"/>
  <c r="AI110" i="50" s="1"/>
  <c r="AP110" i="50" s="1"/>
  <c r="AK173" i="57"/>
  <c r="P158" i="69"/>
  <c r="AP158" i="69"/>
  <c r="AJ169" i="57"/>
  <c r="O103" i="32"/>
  <c r="AK114" i="50"/>
  <c r="AL111" i="50"/>
  <c r="AG111" i="50"/>
  <c r="BC159" i="69"/>
  <c r="BF159" i="69"/>
  <c r="BD159" i="69"/>
  <c r="BE159" i="69"/>
  <c r="AH174" i="57"/>
  <c r="AI174" i="57" s="1"/>
  <c r="K174" i="57"/>
  <c r="AQ114" i="50"/>
  <c r="N114" i="50"/>
  <c r="AO113" i="50"/>
  <c r="AX157" i="69"/>
  <c r="AW157" i="69"/>
  <c r="L159" i="69"/>
  <c r="M159" i="69" s="1"/>
  <c r="AZ159" i="69"/>
  <c r="Y156" i="69"/>
  <c r="AG156" i="69" s="1"/>
  <c r="AG155" i="69"/>
  <c r="F157" i="69"/>
  <c r="G157" i="69" s="1"/>
  <c r="H157" i="69" s="1"/>
  <c r="I157" i="69" s="1"/>
  <c r="J157" i="69" s="1"/>
  <c r="K157" i="69" s="1"/>
  <c r="U157" i="69"/>
  <c r="AH157" i="69"/>
  <c r="F103" i="32"/>
  <c r="AU103" i="32"/>
  <c r="AY114" i="50"/>
  <c r="F114" i="50"/>
  <c r="U114" i="50" s="1"/>
  <c r="AT102" i="32"/>
  <c r="AD102" i="32"/>
  <c r="AG102" i="32" s="1"/>
  <c r="AH102" i="32" s="1"/>
  <c r="AI102" i="32" s="1"/>
  <c r="AD112" i="50"/>
  <c r="X171" i="57"/>
  <c r="AG173" i="57"/>
  <c r="AA170" i="57"/>
  <c r="AC174" i="53"/>
  <c r="O174" i="53"/>
  <c r="Q158" i="69"/>
  <c r="R172" i="57"/>
  <c r="Q172" i="57"/>
  <c r="AQ172" i="57"/>
  <c r="AE172" i="57"/>
  <c r="AD172" i="57"/>
  <c r="AC172" i="57"/>
  <c r="P113" i="50"/>
  <c r="N174" i="53"/>
  <c r="O114" i="50"/>
  <c r="AA172" i="53"/>
  <c r="C112" i="50"/>
  <c r="AJ112" i="50"/>
  <c r="S113" i="50"/>
  <c r="Z113" i="50" s="1"/>
  <c r="AJ102" i="32"/>
  <c r="W102" i="32"/>
  <c r="X102" i="32" s="1"/>
  <c r="C102" i="32"/>
  <c r="W112" i="50"/>
  <c r="X111" i="50"/>
  <c r="V112" i="50"/>
  <c r="V102" i="32"/>
  <c r="AF157" i="69"/>
  <c r="P174" i="57"/>
  <c r="AC155" i="69"/>
  <c r="AD155" i="69" s="1"/>
  <c r="O159" i="69"/>
  <c r="AO158" i="69"/>
  <c r="AE173" i="53"/>
  <c r="AK103" i="32"/>
  <c r="AM113" i="50"/>
  <c r="AL100" i="32"/>
  <c r="R173" i="53"/>
  <c r="X173" i="53" s="1"/>
  <c r="AB173" i="53" s="1"/>
  <c r="AN99" i="32"/>
  <c r="AY157" i="69"/>
  <c r="L174" i="57"/>
  <c r="AG173" i="53"/>
  <c r="AT173" i="53"/>
  <c r="N174" i="57"/>
  <c r="Q173" i="53"/>
  <c r="AD173" i="53"/>
  <c r="G174" i="53"/>
  <c r="I174" i="53"/>
  <c r="L174" i="53"/>
  <c r="H174" i="53"/>
  <c r="AK173" i="52" a="1"/>
  <c r="AK173" i="52" s="1"/>
  <c r="B175" i="53" s="1"/>
  <c r="J174" i="53"/>
  <c r="P174" i="53"/>
  <c r="C174" i="53"/>
  <c r="K174" i="53"/>
  <c r="AH174" i="53" s="1"/>
  <c r="F174" i="53"/>
  <c r="E174" i="53"/>
  <c r="D174" i="53"/>
  <c r="A103" i="32"/>
  <c r="B103" i="32"/>
  <c r="G114" i="50"/>
  <c r="K114" i="50"/>
  <c r="M114" i="50"/>
  <c r="I114" i="50"/>
  <c r="J114" i="50"/>
  <c r="L114" i="50"/>
  <c r="A114" i="50"/>
  <c r="H114" i="50"/>
  <c r="B114" i="50"/>
  <c r="M103" i="32"/>
  <c r="N103" i="32"/>
  <c r="H103" i="32"/>
  <c r="J103" i="32"/>
  <c r="G103" i="32"/>
  <c r="L103" i="32"/>
  <c r="I103" i="32"/>
  <c r="K103" i="32"/>
  <c r="J174" i="57"/>
  <c r="G174" i="57"/>
  <c r="D174" i="57"/>
  <c r="F174" i="57"/>
  <c r="H174" i="57"/>
  <c r="I174" i="57"/>
  <c r="E174" i="57"/>
  <c r="C174" i="57"/>
  <c r="E104" i="32"/>
  <c r="T104" i="32" s="1"/>
  <c r="AN173" i="55" a="1"/>
  <c r="AN173" i="55" s="1"/>
  <c r="B175" i="57" s="1"/>
  <c r="O175" i="57" s="1"/>
  <c r="AS159" i="67" a="1"/>
  <c r="AS159" i="67" s="1"/>
  <c r="B160" i="69"/>
  <c r="AM160" i="69" s="1"/>
  <c r="AN160" i="69" s="1"/>
  <c r="C159" i="69"/>
  <c r="R157" i="69"/>
  <c r="S157" i="69" s="1"/>
  <c r="AE157" i="69"/>
  <c r="D158" i="69"/>
  <c r="E158" i="69" s="1"/>
  <c r="AL104" i="11" a="1"/>
  <c r="AL104" i="11" s="1"/>
  <c r="E105" i="32" s="1"/>
  <c r="T105" i="32" s="1"/>
  <c r="AP114" i="59" a="1"/>
  <c r="AP114" i="59" s="1"/>
  <c r="E115" i="50" s="1"/>
  <c r="T115" i="50" s="1"/>
  <c r="AA171" i="57" l="1"/>
  <c r="AB171" i="57"/>
  <c r="AF171" i="57" s="1"/>
  <c r="AF173" i="53"/>
  <c r="AH111" i="50"/>
  <c r="AI111" i="50" s="1"/>
  <c r="AP111" i="50" s="1"/>
  <c r="AK174" i="57"/>
  <c r="P159" i="69"/>
  <c r="AP159" i="69"/>
  <c r="AJ170" i="57"/>
  <c r="AL112" i="50"/>
  <c r="O105" i="32"/>
  <c r="O104" i="32"/>
  <c r="AK115" i="50"/>
  <c r="AG112" i="50"/>
  <c r="BC160" i="69"/>
  <c r="BE160" i="69"/>
  <c r="BF160" i="69"/>
  <c r="BD160" i="69"/>
  <c r="U103" i="32"/>
  <c r="AH175" i="57"/>
  <c r="AI175" i="57" s="1"/>
  <c r="K175" i="57"/>
  <c r="AQ115" i="50"/>
  <c r="N115" i="50"/>
  <c r="AO114" i="50"/>
  <c r="AX158" i="69"/>
  <c r="AW158" i="69"/>
  <c r="L160" i="69"/>
  <c r="M160" i="69" s="1"/>
  <c r="AZ160" i="69"/>
  <c r="AB156" i="69"/>
  <c r="AC156" i="69" s="1"/>
  <c r="AD156" i="69" s="1"/>
  <c r="Y157" i="69"/>
  <c r="AG157" i="69" s="1"/>
  <c r="F158" i="69"/>
  <c r="G158" i="69" s="1"/>
  <c r="H158" i="69" s="1"/>
  <c r="I158" i="69" s="1"/>
  <c r="J158" i="69" s="1"/>
  <c r="K158" i="69" s="1"/>
  <c r="U158" i="69"/>
  <c r="AH158" i="69"/>
  <c r="F104" i="32"/>
  <c r="AU104" i="32"/>
  <c r="F105" i="32"/>
  <c r="AU105" i="32"/>
  <c r="F115" i="50"/>
  <c r="U115" i="50" s="1"/>
  <c r="AY115" i="50"/>
  <c r="X172" i="57"/>
  <c r="AB172" i="57" s="1"/>
  <c r="AD113" i="50"/>
  <c r="AG174" i="57"/>
  <c r="AC175" i="53"/>
  <c r="O175" i="53"/>
  <c r="Q159" i="69"/>
  <c r="Q173" i="57"/>
  <c r="AQ173" i="57"/>
  <c r="AC173" i="57"/>
  <c r="AE173" i="57"/>
  <c r="AD173" i="57"/>
  <c r="R173" i="57"/>
  <c r="P114" i="50"/>
  <c r="P103" i="32"/>
  <c r="N175" i="53"/>
  <c r="O115" i="50"/>
  <c r="AA173" i="53"/>
  <c r="AM103" i="32"/>
  <c r="AJ113" i="50"/>
  <c r="C113" i="50"/>
  <c r="S114" i="50"/>
  <c r="Z114" i="50" s="1"/>
  <c r="S103" i="32"/>
  <c r="Z103" i="32" s="1"/>
  <c r="W113" i="50"/>
  <c r="X112" i="50"/>
  <c r="V113" i="50"/>
  <c r="AF158" i="69"/>
  <c r="P175" i="57"/>
  <c r="AO159" i="69"/>
  <c r="O160" i="69"/>
  <c r="AE174" i="53"/>
  <c r="AK105" i="32"/>
  <c r="AK104" i="32"/>
  <c r="AM114" i="50"/>
  <c r="AL101" i="32"/>
  <c r="AN100" i="32"/>
  <c r="R174" i="53"/>
  <c r="X174" i="53" s="1"/>
  <c r="AB174" i="53" s="1"/>
  <c r="AY158" i="69"/>
  <c r="L175" i="57"/>
  <c r="AT174" i="53"/>
  <c r="AG174" i="53"/>
  <c r="N175" i="57"/>
  <c r="L175" i="53"/>
  <c r="AD174" i="53"/>
  <c r="Q174" i="53"/>
  <c r="G175" i="53"/>
  <c r="I175" i="53"/>
  <c r="P175" i="53"/>
  <c r="K175" i="53"/>
  <c r="AH175" i="53" s="1"/>
  <c r="D175" i="53"/>
  <c r="C175" i="53"/>
  <c r="H175" i="53"/>
  <c r="AK174" i="52" a="1"/>
  <c r="AK174" i="52" s="1"/>
  <c r="B176" i="53" s="1"/>
  <c r="J175" i="53"/>
  <c r="E175" i="53"/>
  <c r="F175" i="53"/>
  <c r="A105" i="32"/>
  <c r="B105" i="32"/>
  <c r="A104" i="32"/>
  <c r="B104" i="32"/>
  <c r="B115" i="50"/>
  <c r="K115" i="50"/>
  <c r="A115" i="50"/>
  <c r="G115" i="50"/>
  <c r="M115" i="50"/>
  <c r="H115" i="50"/>
  <c r="J115" i="50"/>
  <c r="I115" i="50"/>
  <c r="L115" i="50"/>
  <c r="I105" i="32"/>
  <c r="J105" i="32"/>
  <c r="L105" i="32"/>
  <c r="N105" i="32"/>
  <c r="H105" i="32"/>
  <c r="K105" i="32"/>
  <c r="G105" i="32"/>
  <c r="M105" i="32"/>
  <c r="K104" i="32"/>
  <c r="L104" i="32"/>
  <c r="N104" i="32"/>
  <c r="H104" i="32"/>
  <c r="M104" i="32"/>
  <c r="J104" i="32"/>
  <c r="I104" i="32"/>
  <c r="G104" i="32"/>
  <c r="I175" i="57"/>
  <c r="F175" i="57"/>
  <c r="D175" i="57"/>
  <c r="G175" i="57"/>
  <c r="C175" i="57"/>
  <c r="J175" i="57"/>
  <c r="H175" i="57"/>
  <c r="E175" i="57"/>
  <c r="AN174" i="55" a="1"/>
  <c r="AN174" i="55" s="1"/>
  <c r="B176" i="57" s="1"/>
  <c r="O176" i="57" s="1"/>
  <c r="AS160" i="67" a="1"/>
  <c r="AS160" i="67" s="1"/>
  <c r="B161" i="69"/>
  <c r="AM161" i="69" s="1"/>
  <c r="AN161" i="69" s="1"/>
  <c r="R158" i="69"/>
  <c r="S158" i="69" s="1"/>
  <c r="AE158" i="69"/>
  <c r="D159" i="69"/>
  <c r="E159" i="69" s="1"/>
  <c r="C160" i="69"/>
  <c r="AL105" i="11" a="1"/>
  <c r="AL105" i="11" s="1"/>
  <c r="E106" i="32" s="1"/>
  <c r="T106" i="32" s="1"/>
  <c r="AP115" i="59" a="1"/>
  <c r="AP115" i="59" s="1"/>
  <c r="E116" i="50" s="1"/>
  <c r="T116" i="50" s="1"/>
  <c r="L80" i="29"/>
  <c r="AF172" i="57" l="1"/>
  <c r="AF174" i="53"/>
  <c r="AH112" i="50"/>
  <c r="AI112" i="50" s="1"/>
  <c r="AP112" i="50" s="1"/>
  <c r="AK175" i="57"/>
  <c r="P160" i="69"/>
  <c r="AP160" i="69"/>
  <c r="AJ171" i="57"/>
  <c r="AL113" i="50"/>
  <c r="O106" i="32"/>
  <c r="AK116" i="50"/>
  <c r="AG113" i="50"/>
  <c r="BC161" i="69"/>
  <c r="BE161" i="69"/>
  <c r="BF161" i="69"/>
  <c r="BD161" i="69"/>
  <c r="U104" i="32"/>
  <c r="U105" i="32"/>
  <c r="AH176" i="57"/>
  <c r="AI176" i="57" s="1"/>
  <c r="K176" i="57"/>
  <c r="AQ116" i="50"/>
  <c r="N116" i="50"/>
  <c r="AO115" i="50"/>
  <c r="AW159" i="69"/>
  <c r="AX159" i="69"/>
  <c r="L161" i="69"/>
  <c r="M161" i="69" s="1"/>
  <c r="AZ161" i="69"/>
  <c r="AB157" i="69"/>
  <c r="AC157" i="69" s="1"/>
  <c r="AD157" i="69" s="1"/>
  <c r="Y158" i="69"/>
  <c r="AG158" i="69" s="1"/>
  <c r="F159" i="69"/>
  <c r="G159" i="69" s="1"/>
  <c r="H159" i="69" s="1"/>
  <c r="I159" i="69" s="1"/>
  <c r="J159" i="69" s="1"/>
  <c r="K159" i="69" s="1"/>
  <c r="U159" i="69"/>
  <c r="AH159" i="69"/>
  <c r="F106" i="32"/>
  <c r="AU106" i="32"/>
  <c r="F116" i="50"/>
  <c r="U116" i="50" s="1"/>
  <c r="AY116" i="50"/>
  <c r="AT103" i="32"/>
  <c r="X173" i="57"/>
  <c r="AD103" i="32"/>
  <c r="AG103" i="32" s="1"/>
  <c r="AH103" i="32" s="1"/>
  <c r="AI103" i="32" s="1"/>
  <c r="AD114" i="50"/>
  <c r="AG175" i="57"/>
  <c r="AA172" i="57"/>
  <c r="AC176" i="53"/>
  <c r="O176" i="53"/>
  <c r="Q160" i="69"/>
  <c r="AD174" i="57"/>
  <c r="R174" i="57"/>
  <c r="Q174" i="57"/>
  <c r="AQ174" i="57"/>
  <c r="AC174" i="57"/>
  <c r="AE174" i="57"/>
  <c r="P115" i="50"/>
  <c r="P104" i="32"/>
  <c r="P105" i="32"/>
  <c r="N176" i="53"/>
  <c r="O116" i="50"/>
  <c r="AA174" i="53"/>
  <c r="AM104" i="32"/>
  <c r="AM105" i="32"/>
  <c r="C114" i="50"/>
  <c r="AJ114" i="50"/>
  <c r="S115" i="50"/>
  <c r="Z115" i="50" s="1"/>
  <c r="W103" i="32"/>
  <c r="X103" i="32" s="1"/>
  <c r="C103" i="32"/>
  <c r="AJ103" i="32"/>
  <c r="S104" i="32"/>
  <c r="S105" i="32"/>
  <c r="Z105" i="32" s="1"/>
  <c r="W114" i="50"/>
  <c r="X113" i="50"/>
  <c r="V114" i="50"/>
  <c r="V103" i="32"/>
  <c r="AF159" i="69"/>
  <c r="P176" i="57"/>
  <c r="O161" i="69"/>
  <c r="AO160" i="69"/>
  <c r="AE175" i="53"/>
  <c r="AK106" i="32"/>
  <c r="AM115" i="50"/>
  <c r="AL102" i="32"/>
  <c r="AN101" i="32"/>
  <c r="R175" i="53"/>
  <c r="X175" i="53" s="1"/>
  <c r="AB175" i="53" s="1"/>
  <c r="AY159" i="69"/>
  <c r="L176" i="57"/>
  <c r="AT175" i="53"/>
  <c r="AG175" i="53"/>
  <c r="N176" i="57"/>
  <c r="I176" i="53"/>
  <c r="AD175" i="53"/>
  <c r="Q175" i="53"/>
  <c r="L176" i="53"/>
  <c r="D176" i="53"/>
  <c r="AK175" i="52" a="1"/>
  <c r="AK175" i="52" s="1"/>
  <c r="B177" i="53" s="1"/>
  <c r="J176" i="53"/>
  <c r="G176" i="53"/>
  <c r="E176" i="53"/>
  <c r="P176" i="53"/>
  <c r="F176" i="53"/>
  <c r="K176" i="53"/>
  <c r="AH176" i="53" s="1"/>
  <c r="H176" i="53"/>
  <c r="C176" i="53"/>
  <c r="A106" i="32"/>
  <c r="B106" i="32"/>
  <c r="I116" i="50"/>
  <c r="K116" i="50"/>
  <c r="M116" i="50"/>
  <c r="B116" i="50"/>
  <c r="G116" i="50"/>
  <c r="A116" i="50"/>
  <c r="L116" i="50"/>
  <c r="H116" i="50"/>
  <c r="J116" i="50"/>
  <c r="G106" i="32"/>
  <c r="H106" i="32"/>
  <c r="J106" i="32"/>
  <c r="L106" i="32"/>
  <c r="I106" i="32"/>
  <c r="N106" i="32"/>
  <c r="K106" i="32"/>
  <c r="M106" i="32"/>
  <c r="D176" i="57"/>
  <c r="C176" i="57"/>
  <c r="J176" i="57"/>
  <c r="H176" i="57"/>
  <c r="F176" i="57"/>
  <c r="I176" i="57"/>
  <c r="E176" i="57"/>
  <c r="G176" i="57"/>
  <c r="AN175" i="55" a="1"/>
  <c r="AN175" i="55" s="1"/>
  <c r="B177" i="57" s="1"/>
  <c r="O177" i="57" s="1"/>
  <c r="AS161" i="67" a="1"/>
  <c r="AS161" i="67" s="1"/>
  <c r="B162" i="69"/>
  <c r="AM162" i="69" s="1"/>
  <c r="AN162" i="69" s="1"/>
  <c r="D160" i="69"/>
  <c r="E160" i="69" s="1"/>
  <c r="C161" i="69"/>
  <c r="AE159" i="69"/>
  <c r="R159" i="69"/>
  <c r="S159" i="69" s="1"/>
  <c r="AL106" i="11" a="1"/>
  <c r="AL106" i="11" s="1"/>
  <c r="E107" i="32" s="1"/>
  <c r="T107" i="32" s="1"/>
  <c r="AP116" i="59" a="1"/>
  <c r="AP116" i="59" s="1"/>
  <c r="E117" i="50" s="1"/>
  <c r="T117" i="50" s="1"/>
  <c r="AA173" i="57" l="1"/>
  <c r="AB173" i="57"/>
  <c r="AF173" i="57" s="1"/>
  <c r="AF175" i="53"/>
  <c r="AH113" i="50"/>
  <c r="AI113" i="50" s="1"/>
  <c r="AP113" i="50" s="1"/>
  <c r="AK176" i="57"/>
  <c r="P161" i="69"/>
  <c r="AP161" i="69"/>
  <c r="AJ172" i="57"/>
  <c r="O107" i="32"/>
  <c r="AK117" i="50"/>
  <c r="AL114" i="50"/>
  <c r="AG114" i="50"/>
  <c r="BC162" i="69"/>
  <c r="BE162" i="69"/>
  <c r="BF162" i="69"/>
  <c r="BD162" i="69"/>
  <c r="AD104" i="32"/>
  <c r="AG104" i="32" s="1"/>
  <c r="AH104" i="32" s="1"/>
  <c r="AI104" i="32" s="1"/>
  <c r="U106" i="32"/>
  <c r="AH177" i="57"/>
  <c r="AI177" i="57" s="1"/>
  <c r="K177" i="57"/>
  <c r="AQ117" i="50"/>
  <c r="N117" i="50"/>
  <c r="AO116" i="50"/>
  <c r="AX160" i="69"/>
  <c r="AW160" i="69"/>
  <c r="L162" i="69"/>
  <c r="M162" i="69" s="1"/>
  <c r="AZ162" i="69"/>
  <c r="AB158" i="69"/>
  <c r="AC158" i="69" s="1"/>
  <c r="AD158" i="69" s="1"/>
  <c r="Y159" i="69"/>
  <c r="AB159" i="69" s="1"/>
  <c r="F160" i="69"/>
  <c r="G160" i="69" s="1"/>
  <c r="H160" i="69" s="1"/>
  <c r="I160" i="69" s="1"/>
  <c r="J160" i="69" s="1"/>
  <c r="K160" i="69" s="1"/>
  <c r="U160" i="69"/>
  <c r="AH160" i="69"/>
  <c r="F107" i="32"/>
  <c r="AU107" i="32"/>
  <c r="AY117" i="50"/>
  <c r="F117" i="50"/>
  <c r="U117" i="50" s="1"/>
  <c r="AT105" i="32"/>
  <c r="AT104" i="32"/>
  <c r="X174" i="57"/>
  <c r="AB174" i="57" s="1"/>
  <c r="AD105" i="32"/>
  <c r="AG105" i="32" s="1"/>
  <c r="AH105" i="32" s="1"/>
  <c r="AI105" i="32" s="1"/>
  <c r="AD115" i="50"/>
  <c r="AG176" i="57"/>
  <c r="AC177" i="53"/>
  <c r="O177" i="53"/>
  <c r="Q161" i="69"/>
  <c r="Q175" i="57"/>
  <c r="AQ175" i="57"/>
  <c r="AD175" i="57"/>
  <c r="R175" i="57"/>
  <c r="AE175" i="57"/>
  <c r="AC175" i="57"/>
  <c r="P116" i="50"/>
  <c r="P106" i="32"/>
  <c r="N177" i="53"/>
  <c r="O117" i="50"/>
  <c r="AA175" i="53"/>
  <c r="C104" i="32"/>
  <c r="Z104" i="32"/>
  <c r="AM106" i="32"/>
  <c r="C115" i="50"/>
  <c r="AJ115" i="50"/>
  <c r="S116" i="50"/>
  <c r="Z116" i="50" s="1"/>
  <c r="AJ104" i="32"/>
  <c r="W105" i="32"/>
  <c r="X105" i="32" s="1"/>
  <c r="C105" i="32"/>
  <c r="AJ105" i="32"/>
  <c r="S106" i="32"/>
  <c r="W115" i="50"/>
  <c r="W104" i="32"/>
  <c r="X104" i="32" s="1"/>
  <c r="X114" i="50"/>
  <c r="V115" i="50"/>
  <c r="V105" i="32"/>
  <c r="AF160" i="69"/>
  <c r="P177" i="57"/>
  <c r="AO161" i="69"/>
  <c r="O162" i="69"/>
  <c r="AE176" i="53"/>
  <c r="AK107" i="32"/>
  <c r="AM116" i="50"/>
  <c r="AN102" i="32"/>
  <c r="R176" i="53"/>
  <c r="X176" i="53" s="1"/>
  <c r="AB176" i="53" s="1"/>
  <c r="AY160" i="69"/>
  <c r="L177" i="57"/>
  <c r="AT176" i="53"/>
  <c r="AG176" i="53"/>
  <c r="N177" i="57"/>
  <c r="V104" i="32"/>
  <c r="AD176" i="53"/>
  <c r="Q176" i="53"/>
  <c r="AK176" i="52" a="1"/>
  <c r="AK176" i="52" s="1"/>
  <c r="B178" i="53" s="1"/>
  <c r="E177" i="53"/>
  <c r="C177" i="53"/>
  <c r="P177" i="53"/>
  <c r="D177" i="53"/>
  <c r="I177" i="53"/>
  <c r="K177" i="53"/>
  <c r="AH177" i="53" s="1"/>
  <c r="H177" i="53"/>
  <c r="L177" i="53"/>
  <c r="J177" i="53"/>
  <c r="G177" i="53"/>
  <c r="F177" i="53"/>
  <c r="A107" i="32"/>
  <c r="B107" i="32"/>
  <c r="J117" i="50"/>
  <c r="G117" i="50"/>
  <c r="M117" i="50"/>
  <c r="B117" i="50"/>
  <c r="H117" i="50"/>
  <c r="I117" i="50"/>
  <c r="L117" i="50"/>
  <c r="K117" i="50"/>
  <c r="A117" i="50"/>
  <c r="M107" i="32"/>
  <c r="N107" i="32"/>
  <c r="H107" i="32"/>
  <c r="J107" i="32"/>
  <c r="G107" i="32"/>
  <c r="L107" i="32"/>
  <c r="K107" i="32"/>
  <c r="I107" i="32"/>
  <c r="J177" i="57"/>
  <c r="H177" i="57"/>
  <c r="E177" i="57"/>
  <c r="G177" i="57"/>
  <c r="C177" i="57"/>
  <c r="F177" i="57"/>
  <c r="I177" i="57"/>
  <c r="D177" i="57"/>
  <c r="AN176" i="55" a="1"/>
  <c r="AN176" i="55" s="1"/>
  <c r="B178" i="57" s="1"/>
  <c r="O178" i="57" s="1"/>
  <c r="AS162" i="67" a="1"/>
  <c r="AS162" i="67" s="1"/>
  <c r="B163" i="69"/>
  <c r="AM163" i="69" s="1"/>
  <c r="AN163" i="69" s="1"/>
  <c r="AE160" i="69"/>
  <c r="R160" i="69"/>
  <c r="S160" i="69" s="1"/>
  <c r="D161" i="69"/>
  <c r="E161" i="69" s="1"/>
  <c r="C162" i="69"/>
  <c r="AL107" i="11" a="1"/>
  <c r="AL107" i="11" s="1"/>
  <c r="E108" i="32" s="1"/>
  <c r="T108" i="32" s="1"/>
  <c r="AP117" i="59" a="1"/>
  <c r="AP117" i="59" s="1"/>
  <c r="E118" i="50" s="1"/>
  <c r="T118" i="50" s="1"/>
  <c r="AF174" i="57" l="1"/>
  <c r="AF176" i="53"/>
  <c r="AH114" i="50"/>
  <c r="AI114" i="50" s="1"/>
  <c r="AP114" i="50" s="1"/>
  <c r="AK177" i="57"/>
  <c r="P162" i="69"/>
  <c r="AP162" i="69"/>
  <c r="AJ173" i="57"/>
  <c r="O108" i="32"/>
  <c r="AK118" i="50"/>
  <c r="AL115" i="50"/>
  <c r="AG115" i="50"/>
  <c r="BC163" i="69"/>
  <c r="BD163" i="69"/>
  <c r="BE163" i="69"/>
  <c r="BF163" i="69"/>
  <c r="U107" i="32"/>
  <c r="AH178" i="57"/>
  <c r="AI178" i="57" s="1"/>
  <c r="K178" i="57"/>
  <c r="N118" i="50"/>
  <c r="AQ118" i="50"/>
  <c r="AO117" i="50"/>
  <c r="AD106" i="32"/>
  <c r="AG106" i="32" s="1"/>
  <c r="AH106" i="32" s="1"/>
  <c r="AI106" i="32" s="1"/>
  <c r="AX161" i="69"/>
  <c r="AW161" i="69"/>
  <c r="L163" i="69"/>
  <c r="M163" i="69" s="1"/>
  <c r="AZ163" i="69"/>
  <c r="Y160" i="69"/>
  <c r="AB160" i="69" s="1"/>
  <c r="AG159" i="69"/>
  <c r="F161" i="69"/>
  <c r="G161" i="69" s="1"/>
  <c r="H161" i="69" s="1"/>
  <c r="I161" i="69" s="1"/>
  <c r="J161" i="69" s="1"/>
  <c r="K161" i="69" s="1"/>
  <c r="U161" i="69"/>
  <c r="AH161" i="69"/>
  <c r="F108" i="32"/>
  <c r="AU108" i="32"/>
  <c r="AY118" i="50"/>
  <c r="F118" i="50"/>
  <c r="U118" i="50" s="1"/>
  <c r="AT106" i="32"/>
  <c r="AD116" i="50"/>
  <c r="X175" i="57"/>
  <c r="AB175" i="57" s="1"/>
  <c r="AG177" i="57"/>
  <c r="AA174" i="57"/>
  <c r="AC178" i="53"/>
  <c r="O178" i="53"/>
  <c r="Q162" i="69"/>
  <c r="AQ176" i="57"/>
  <c r="AD176" i="57"/>
  <c r="Q176" i="57"/>
  <c r="R176" i="57"/>
  <c r="AC176" i="57"/>
  <c r="AE176" i="57"/>
  <c r="P117" i="50"/>
  <c r="P107" i="32"/>
  <c r="N178" i="53"/>
  <c r="O118" i="50"/>
  <c r="AA176" i="53"/>
  <c r="C106" i="32"/>
  <c r="Z106" i="32"/>
  <c r="AM107" i="32"/>
  <c r="C116" i="50"/>
  <c r="AJ116" i="50"/>
  <c r="S117" i="50"/>
  <c r="Z117" i="50" s="1"/>
  <c r="S107" i="32"/>
  <c r="Z107" i="32" s="1"/>
  <c r="W106" i="32"/>
  <c r="X106" i="32" s="1"/>
  <c r="AJ106" i="32"/>
  <c r="W116" i="50"/>
  <c r="X115" i="50"/>
  <c r="V116" i="50"/>
  <c r="V106" i="32"/>
  <c r="AF161" i="69"/>
  <c r="P178" i="57"/>
  <c r="AC159" i="69"/>
  <c r="AD159" i="69" s="1"/>
  <c r="AO162" i="69"/>
  <c r="O163" i="69"/>
  <c r="AE177" i="53"/>
  <c r="AK108" i="32"/>
  <c r="AM117" i="50"/>
  <c r="AL103" i="32"/>
  <c r="R177" i="53"/>
  <c r="X177" i="53" s="1"/>
  <c r="AB177" i="53" s="1"/>
  <c r="AY161" i="69"/>
  <c r="L178" i="57"/>
  <c r="AG177" i="53"/>
  <c r="AT177" i="53"/>
  <c r="N178" i="57"/>
  <c r="K178" i="53"/>
  <c r="AH178" i="53" s="1"/>
  <c r="AD177" i="53"/>
  <c r="Q177" i="53"/>
  <c r="AK177" i="52" a="1"/>
  <c r="AK177" i="52" s="1"/>
  <c r="B179" i="53" s="1"/>
  <c r="F178" i="53"/>
  <c r="D178" i="53"/>
  <c r="C178" i="53"/>
  <c r="J178" i="53"/>
  <c r="E178" i="53"/>
  <c r="G178" i="53"/>
  <c r="I178" i="53"/>
  <c r="H178" i="53"/>
  <c r="P178" i="53"/>
  <c r="L178" i="53"/>
  <c r="A108" i="32"/>
  <c r="B108" i="32"/>
  <c r="I118" i="50"/>
  <c r="M118" i="50"/>
  <c r="L118" i="50"/>
  <c r="H118" i="50"/>
  <c r="J118" i="50"/>
  <c r="A118" i="50"/>
  <c r="B118" i="50"/>
  <c r="K118" i="50"/>
  <c r="G118" i="50"/>
  <c r="K108" i="32"/>
  <c r="L108" i="32"/>
  <c r="N108" i="32"/>
  <c r="H108" i="32"/>
  <c r="J108" i="32"/>
  <c r="M108" i="32"/>
  <c r="G108" i="32"/>
  <c r="I108" i="32"/>
  <c r="D178" i="57"/>
  <c r="J178" i="57"/>
  <c r="F178" i="57"/>
  <c r="I178" i="57"/>
  <c r="E178" i="57"/>
  <c r="H178" i="57"/>
  <c r="C178" i="57"/>
  <c r="G178" i="57"/>
  <c r="AN177" i="55" a="1"/>
  <c r="AN177" i="55" s="1"/>
  <c r="B179" i="57" s="1"/>
  <c r="O179" i="57" s="1"/>
  <c r="R161" i="69"/>
  <c r="S161" i="69" s="1"/>
  <c r="AE161" i="69"/>
  <c r="C163" i="69"/>
  <c r="D162" i="69"/>
  <c r="E162" i="69" s="1"/>
  <c r="AS163" i="67" a="1"/>
  <c r="AS163" i="67" s="1"/>
  <c r="B164" i="69"/>
  <c r="AM164" i="69" s="1"/>
  <c r="AN164" i="69" s="1"/>
  <c r="AL108" i="11" a="1"/>
  <c r="AL108" i="11" s="1"/>
  <c r="E109" i="32" s="1"/>
  <c r="T109" i="32" s="1"/>
  <c r="AP118" i="59" a="1"/>
  <c r="AP118" i="59" s="1"/>
  <c r="E119" i="50" s="1"/>
  <c r="T119" i="50" s="1"/>
  <c r="AF175" i="57" l="1"/>
  <c r="AF177" i="53"/>
  <c r="AH115" i="50"/>
  <c r="AI115" i="50" s="1"/>
  <c r="AP115" i="50" s="1"/>
  <c r="AK178" i="57"/>
  <c r="P163" i="69"/>
  <c r="AP163" i="69"/>
  <c r="AJ174" i="57"/>
  <c r="O109" i="32"/>
  <c r="AK119" i="50"/>
  <c r="AL116" i="50"/>
  <c r="AG116" i="50"/>
  <c r="BC164" i="69"/>
  <c r="BD164" i="69"/>
  <c r="BE164" i="69"/>
  <c r="BF164" i="69"/>
  <c r="U108" i="32"/>
  <c r="K179" i="57"/>
  <c r="AH179" i="57"/>
  <c r="AI179" i="57" s="1"/>
  <c r="AO118" i="50"/>
  <c r="N119" i="50"/>
  <c r="AQ119" i="50"/>
  <c r="AX162" i="69"/>
  <c r="AW162" i="69"/>
  <c r="L164" i="69"/>
  <c r="M164" i="69" s="1"/>
  <c r="AZ164" i="69"/>
  <c r="Y161" i="69"/>
  <c r="AB161" i="69" s="1"/>
  <c r="AG160" i="69"/>
  <c r="F162" i="69"/>
  <c r="G162" i="69" s="1"/>
  <c r="H162" i="69" s="1"/>
  <c r="I162" i="69" s="1"/>
  <c r="J162" i="69" s="1"/>
  <c r="K162" i="69" s="1"/>
  <c r="U162" i="69"/>
  <c r="AH162" i="69"/>
  <c r="F109" i="32"/>
  <c r="AU109" i="32"/>
  <c r="AY119" i="50"/>
  <c r="F119" i="50"/>
  <c r="U119" i="50" s="1"/>
  <c r="AT107" i="32"/>
  <c r="AD107" i="32"/>
  <c r="AG107" i="32" s="1"/>
  <c r="AH107" i="32" s="1"/>
  <c r="AI107" i="32" s="1"/>
  <c r="AD117" i="50"/>
  <c r="X176" i="57"/>
  <c r="AB176" i="57" s="1"/>
  <c r="AG178" i="57"/>
  <c r="AA175" i="57"/>
  <c r="AC179" i="53"/>
  <c r="O179" i="53"/>
  <c r="Q163" i="69"/>
  <c r="Q177" i="57"/>
  <c r="AQ177" i="57"/>
  <c r="AD177" i="57"/>
  <c r="R177" i="57"/>
  <c r="AC177" i="57"/>
  <c r="AE177" i="57"/>
  <c r="P118" i="50"/>
  <c r="P108" i="32"/>
  <c r="N179" i="53"/>
  <c r="O119" i="50"/>
  <c r="AA177" i="53"/>
  <c r="AM108" i="32"/>
  <c r="AJ117" i="50"/>
  <c r="C117" i="50"/>
  <c r="S118" i="50"/>
  <c r="Z118" i="50" s="1"/>
  <c r="AJ107" i="32"/>
  <c r="W107" i="32"/>
  <c r="X107" i="32" s="1"/>
  <c r="C107" i="32"/>
  <c r="S108" i="32"/>
  <c r="Z108" i="32" s="1"/>
  <c r="W117" i="50"/>
  <c r="X116" i="50"/>
  <c r="V117" i="50"/>
  <c r="V107" i="32"/>
  <c r="AF162" i="69"/>
  <c r="P179" i="57"/>
  <c r="AC160" i="69"/>
  <c r="AD160" i="69" s="1"/>
  <c r="AO163" i="69"/>
  <c r="O164" i="69"/>
  <c r="AE178" i="53"/>
  <c r="AK109" i="32"/>
  <c r="AM118" i="50"/>
  <c r="AL104" i="32"/>
  <c r="AL105" i="32"/>
  <c r="AN103" i="32"/>
  <c r="R178" i="53"/>
  <c r="X178" i="53" s="1"/>
  <c r="AB178" i="53" s="1"/>
  <c r="AY162" i="69"/>
  <c r="L179" i="57"/>
  <c r="AT178" i="53"/>
  <c r="AG178" i="53"/>
  <c r="N179" i="57"/>
  <c r="D179" i="53"/>
  <c r="AD178" i="53"/>
  <c r="Q178" i="53"/>
  <c r="AK178" i="52" a="1"/>
  <c r="AK178" i="52" s="1"/>
  <c r="B180" i="53" s="1"/>
  <c r="C179" i="53"/>
  <c r="P179" i="53"/>
  <c r="J179" i="53"/>
  <c r="H179" i="53"/>
  <c r="G179" i="53"/>
  <c r="E179" i="53"/>
  <c r="F179" i="53"/>
  <c r="K179" i="53"/>
  <c r="AH179" i="53" s="1"/>
  <c r="I179" i="53"/>
  <c r="L179" i="53"/>
  <c r="A109" i="32"/>
  <c r="B109" i="32"/>
  <c r="J119" i="50"/>
  <c r="G119" i="50"/>
  <c r="M119" i="50"/>
  <c r="A119" i="50"/>
  <c r="B119" i="50"/>
  <c r="L119" i="50"/>
  <c r="I119" i="50"/>
  <c r="K119" i="50"/>
  <c r="H119" i="50"/>
  <c r="I109" i="32"/>
  <c r="J109" i="32"/>
  <c r="L109" i="32"/>
  <c r="N109" i="32"/>
  <c r="K109" i="32"/>
  <c r="H109" i="32"/>
  <c r="G109" i="32"/>
  <c r="M109" i="32"/>
  <c r="J179" i="57"/>
  <c r="I179" i="57"/>
  <c r="F179" i="57"/>
  <c r="D179" i="57"/>
  <c r="E179" i="57"/>
  <c r="H179" i="57"/>
  <c r="G179" i="57"/>
  <c r="C179" i="57"/>
  <c r="AN178" i="55" a="1"/>
  <c r="AN178" i="55" s="1"/>
  <c r="B180" i="57" s="1"/>
  <c r="O180" i="57" s="1"/>
  <c r="R162" i="69"/>
  <c r="S162" i="69" s="1"/>
  <c r="AE162" i="69"/>
  <c r="D163" i="69"/>
  <c r="E163" i="69" s="1"/>
  <c r="C164" i="69"/>
  <c r="AS164" i="67" a="1"/>
  <c r="AS164" i="67" s="1"/>
  <c r="B165" i="69"/>
  <c r="AM165" i="69" s="1"/>
  <c r="AN165" i="69" s="1"/>
  <c r="AL109" i="11" a="1"/>
  <c r="AL109" i="11" s="1"/>
  <c r="AP119" i="59" a="1"/>
  <c r="AP119" i="59" s="1"/>
  <c r="E120" i="50" s="1"/>
  <c r="T120" i="50" s="1"/>
  <c r="AF176" i="57" l="1"/>
  <c r="AF178" i="53"/>
  <c r="AH116" i="50"/>
  <c r="AI116" i="50" s="1"/>
  <c r="AP116" i="50" s="1"/>
  <c r="P164" i="69"/>
  <c r="AP164" i="69"/>
  <c r="AK179" i="57"/>
  <c r="AJ175" i="57"/>
  <c r="AK120" i="50"/>
  <c r="AL117" i="50"/>
  <c r="AG117" i="50"/>
  <c r="BC165" i="69"/>
  <c r="BF165" i="69"/>
  <c r="BE165" i="69"/>
  <c r="BD165" i="69"/>
  <c r="U109" i="32"/>
  <c r="AH180" i="57"/>
  <c r="AI180" i="57" s="1"/>
  <c r="K180" i="57"/>
  <c r="AO119" i="50"/>
  <c r="AQ120" i="50"/>
  <c r="N120" i="50"/>
  <c r="AX163" i="69"/>
  <c r="AW163" i="69"/>
  <c r="L165" i="69"/>
  <c r="M165" i="69" s="1"/>
  <c r="AZ165" i="69"/>
  <c r="AG161" i="69"/>
  <c r="Y162" i="69"/>
  <c r="AG162" i="69" s="1"/>
  <c r="F163" i="69"/>
  <c r="G163" i="69" s="1"/>
  <c r="H163" i="69" s="1"/>
  <c r="I163" i="69" s="1"/>
  <c r="J163" i="69" s="1"/>
  <c r="K163" i="69" s="1"/>
  <c r="U163" i="69"/>
  <c r="AH163" i="69"/>
  <c r="AY120" i="50"/>
  <c r="F120" i="50"/>
  <c r="U120" i="50" s="1"/>
  <c r="AT108" i="32"/>
  <c r="AD108" i="32"/>
  <c r="AG108" i="32" s="1"/>
  <c r="AH108" i="32" s="1"/>
  <c r="AI108" i="32" s="1"/>
  <c r="AD118" i="50"/>
  <c r="X177" i="57"/>
  <c r="AB177" i="57" s="1"/>
  <c r="AG179" i="57"/>
  <c r="AA176" i="57"/>
  <c r="AC180" i="53"/>
  <c r="O180" i="53"/>
  <c r="Q164" i="69"/>
  <c r="Q178" i="57"/>
  <c r="AD178" i="57"/>
  <c r="AQ178" i="57"/>
  <c r="AC178" i="57"/>
  <c r="R178" i="57"/>
  <c r="AE178" i="57"/>
  <c r="P119" i="50"/>
  <c r="P109" i="32"/>
  <c r="N180" i="53"/>
  <c r="O120" i="50"/>
  <c r="AA178" i="53"/>
  <c r="AM109" i="32"/>
  <c r="C118" i="50"/>
  <c r="AJ118" i="50"/>
  <c r="S119" i="50"/>
  <c r="Z119" i="50" s="1"/>
  <c r="C108" i="32"/>
  <c r="AJ108" i="32"/>
  <c r="S109" i="32"/>
  <c r="Z109" i="32" s="1"/>
  <c r="W118" i="50"/>
  <c r="W108" i="32"/>
  <c r="X108" i="32" s="1"/>
  <c r="X117" i="50"/>
  <c r="V118" i="50"/>
  <c r="AF163" i="69"/>
  <c r="P180" i="57"/>
  <c r="AC161" i="69"/>
  <c r="AD161" i="69" s="1"/>
  <c r="AO164" i="69"/>
  <c r="O165" i="69"/>
  <c r="AE179" i="53"/>
  <c r="AM119" i="50"/>
  <c r="AL106" i="32"/>
  <c r="AN104" i="32"/>
  <c r="R179" i="53"/>
  <c r="X179" i="53" s="1"/>
  <c r="AB179" i="53" s="1"/>
  <c r="V108" i="32"/>
  <c r="AN105" i="32"/>
  <c r="M12" i="50"/>
  <c r="AY163" i="69"/>
  <c r="L180" i="57"/>
  <c r="AG179" i="53"/>
  <c r="AT179" i="53"/>
  <c r="N180" i="57"/>
  <c r="AD179" i="53"/>
  <c r="Q179" i="53"/>
  <c r="P180" i="53"/>
  <c r="C180" i="53"/>
  <c r="L180" i="53"/>
  <c r="J180" i="53"/>
  <c r="E180" i="53"/>
  <c r="H180" i="53"/>
  <c r="I180" i="53"/>
  <c r="K180" i="53"/>
  <c r="AH180" i="53" s="1"/>
  <c r="AK179" i="52" a="1"/>
  <c r="AK179" i="52" s="1"/>
  <c r="B181" i="53" s="1"/>
  <c r="F180" i="53"/>
  <c r="D180" i="53"/>
  <c r="G180" i="53"/>
  <c r="I120" i="50"/>
  <c r="M120" i="50"/>
  <c r="G120" i="50"/>
  <c r="H120" i="50"/>
  <c r="J120" i="50"/>
  <c r="A120" i="50"/>
  <c r="K120" i="50"/>
  <c r="B120" i="50"/>
  <c r="L120" i="50"/>
  <c r="F180" i="57"/>
  <c r="C180" i="57"/>
  <c r="H180" i="57"/>
  <c r="G180" i="57"/>
  <c r="D180" i="57"/>
  <c r="J180" i="57"/>
  <c r="I180" i="57"/>
  <c r="E180" i="57"/>
  <c r="E110" i="32"/>
  <c r="T110" i="32" s="1"/>
  <c r="AN179" i="55" a="1"/>
  <c r="AN179" i="55" s="1"/>
  <c r="B181" i="57" s="1"/>
  <c r="O181" i="57" s="1"/>
  <c r="D164" i="69"/>
  <c r="E164" i="69" s="1"/>
  <c r="AE163" i="69"/>
  <c r="R163" i="69"/>
  <c r="S163" i="69" s="1"/>
  <c r="C165" i="69"/>
  <c r="AS165" i="67" a="1"/>
  <c r="AS165" i="67" s="1"/>
  <c r="B166" i="69"/>
  <c r="AM166" i="69" s="1"/>
  <c r="AN166" i="69" s="1"/>
  <c r="AL110" i="11" a="1"/>
  <c r="AL110" i="11" s="1"/>
  <c r="E111" i="32" s="1"/>
  <c r="T111" i="32" s="1"/>
  <c r="AP120" i="59" a="1"/>
  <c r="AP120" i="59" s="1"/>
  <c r="E121" i="50" s="1"/>
  <c r="T121" i="50" s="1"/>
  <c r="AL12" i="59"/>
  <c r="AL13"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F177" i="57" l="1"/>
  <c r="AF179" i="53"/>
  <c r="AH117" i="50"/>
  <c r="AI117" i="50" s="1"/>
  <c r="AP117" i="50" s="1"/>
  <c r="AK180" i="57"/>
  <c r="P165" i="69"/>
  <c r="AP165" i="69"/>
  <c r="AJ176" i="57"/>
  <c r="AL118" i="50"/>
  <c r="O111" i="32"/>
  <c r="O110" i="32"/>
  <c r="AK121" i="50"/>
  <c r="AG118" i="50"/>
  <c r="BC166" i="69"/>
  <c r="BF166" i="69"/>
  <c r="BE166" i="69"/>
  <c r="BD166" i="69"/>
  <c r="AH181" i="57"/>
  <c r="AI181" i="57" s="1"/>
  <c r="K181" i="57"/>
  <c r="AO120" i="50"/>
  <c r="AQ121" i="50"/>
  <c r="N121" i="50"/>
  <c r="AW164" i="69"/>
  <c r="AX164" i="69"/>
  <c r="L166" i="69"/>
  <c r="M166" i="69" s="1"/>
  <c r="AZ166" i="69"/>
  <c r="AB162" i="69"/>
  <c r="AC162" i="69" s="1"/>
  <c r="AD162" i="69" s="1"/>
  <c r="U164" i="69"/>
  <c r="AH164" i="69"/>
  <c r="F164" i="69"/>
  <c r="G164" i="69" s="1"/>
  <c r="H164" i="69" s="1"/>
  <c r="I164" i="69" s="1"/>
  <c r="J164" i="69" s="1"/>
  <c r="K164" i="69" s="1"/>
  <c r="F111" i="32"/>
  <c r="AU111" i="32"/>
  <c r="F110" i="32"/>
  <c r="AU110" i="32"/>
  <c r="AY121" i="50"/>
  <c r="F121" i="50"/>
  <c r="U121" i="50" s="1"/>
  <c r="AT109" i="32"/>
  <c r="Y163" i="69"/>
  <c r="AB163" i="69" s="1"/>
  <c r="AC163" i="69" s="1"/>
  <c r="AD163" i="69" s="1"/>
  <c r="AD109" i="32"/>
  <c r="AG109" i="32" s="1"/>
  <c r="AH109" i="32" s="1"/>
  <c r="AI109" i="32" s="1"/>
  <c r="AD119" i="50"/>
  <c r="X178" i="57"/>
  <c r="AG180" i="57"/>
  <c r="AA177" i="57"/>
  <c r="AC181" i="53"/>
  <c r="O181" i="53"/>
  <c r="Q165" i="69"/>
  <c r="AD179" i="57"/>
  <c r="AC179" i="57"/>
  <c r="AQ179" i="57"/>
  <c r="Q179" i="57"/>
  <c r="AE179" i="57"/>
  <c r="R179" i="57"/>
  <c r="P120" i="50"/>
  <c r="N181" i="53"/>
  <c r="O121" i="50"/>
  <c r="AA179" i="53"/>
  <c r="AJ119" i="50"/>
  <c r="C119" i="50"/>
  <c r="S120" i="50"/>
  <c r="Z120" i="50" s="1"/>
  <c r="AJ109" i="32"/>
  <c r="W109" i="32"/>
  <c r="X109" i="32" s="1"/>
  <c r="C109" i="32"/>
  <c r="W119" i="50"/>
  <c r="X118" i="50"/>
  <c r="V119" i="50"/>
  <c r="V109" i="32"/>
  <c r="AF164" i="69"/>
  <c r="P181" i="57"/>
  <c r="O166" i="69"/>
  <c r="AO165" i="69"/>
  <c r="AE180" i="53"/>
  <c r="AK111" i="32"/>
  <c r="AK110" i="32"/>
  <c r="AM120" i="50"/>
  <c r="AL107" i="32"/>
  <c r="AN106" i="32"/>
  <c r="R180" i="53"/>
  <c r="X180" i="53" s="1"/>
  <c r="AB180" i="53" s="1"/>
  <c r="AY164" i="69"/>
  <c r="L181" i="57"/>
  <c r="AG180" i="53"/>
  <c r="AT180" i="53"/>
  <c r="N181" i="57"/>
  <c r="AD180" i="53"/>
  <c r="Q180" i="53"/>
  <c r="I181" i="53"/>
  <c r="C181" i="53"/>
  <c r="AK180" i="52" a="1"/>
  <c r="AK180" i="52" s="1"/>
  <c r="B182" i="53" s="1"/>
  <c r="E181" i="53"/>
  <c r="H181" i="53"/>
  <c r="J181" i="53"/>
  <c r="F181" i="53"/>
  <c r="P181" i="53"/>
  <c r="K181" i="53"/>
  <c r="AH181" i="53" s="1"/>
  <c r="L181" i="53"/>
  <c r="G181" i="53"/>
  <c r="D181" i="53"/>
  <c r="A111" i="32"/>
  <c r="B111" i="32"/>
  <c r="A110" i="32"/>
  <c r="B110" i="32"/>
  <c r="K121" i="50"/>
  <c r="M121" i="50"/>
  <c r="H121" i="50"/>
  <c r="J121" i="50"/>
  <c r="L121" i="50"/>
  <c r="A121" i="50"/>
  <c r="G121" i="50"/>
  <c r="B121" i="50"/>
  <c r="I121" i="50"/>
  <c r="G110" i="32"/>
  <c r="H110" i="32"/>
  <c r="J110" i="32"/>
  <c r="L110" i="32"/>
  <c r="I110" i="32"/>
  <c r="N110" i="32"/>
  <c r="M110" i="32"/>
  <c r="K110" i="32"/>
  <c r="M111" i="32"/>
  <c r="N111" i="32"/>
  <c r="H111" i="32"/>
  <c r="J111" i="32"/>
  <c r="G111" i="32"/>
  <c r="L111" i="32"/>
  <c r="I111" i="32"/>
  <c r="K111" i="32"/>
  <c r="J181" i="57"/>
  <c r="E181" i="57"/>
  <c r="I181" i="57"/>
  <c r="D181" i="57"/>
  <c r="F181" i="57"/>
  <c r="G181" i="57"/>
  <c r="C181" i="57"/>
  <c r="H181" i="57"/>
  <c r="AN180" i="55" a="1"/>
  <c r="AN180" i="55" s="1"/>
  <c r="B182" i="57" s="1"/>
  <c r="O182" i="57" s="1"/>
  <c r="D165" i="69"/>
  <c r="E165" i="69" s="1"/>
  <c r="C166" i="69"/>
  <c r="AS166" i="67" a="1"/>
  <c r="AS166" i="67" s="1"/>
  <c r="B167" i="69"/>
  <c r="AM167" i="69" s="1"/>
  <c r="AN167" i="69" s="1"/>
  <c r="R164" i="69"/>
  <c r="S164" i="69" s="1"/>
  <c r="AE164" i="69"/>
  <c r="AL111" i="11" a="1"/>
  <c r="AL111" i="11" s="1"/>
  <c r="E112" i="32" s="1"/>
  <c r="T112" i="32" s="1"/>
  <c r="AP121" i="59" a="1"/>
  <c r="AP121" i="59" s="1"/>
  <c r="E122" i="50" s="1"/>
  <c r="T122" i="50" s="1"/>
  <c r="AW5" i="22"/>
  <c r="X12" i="50"/>
  <c r="AA178" i="57" l="1"/>
  <c r="AB178" i="57"/>
  <c r="AF178" i="57" s="1"/>
  <c r="AF180" i="53"/>
  <c r="AH118" i="50"/>
  <c r="AI118" i="50" s="1"/>
  <c r="AP118" i="50" s="1"/>
  <c r="AK181" i="57"/>
  <c r="P166" i="69"/>
  <c r="AP166" i="69"/>
  <c r="AJ177" i="57"/>
  <c r="O112" i="32"/>
  <c r="AK122" i="50"/>
  <c r="AL119" i="50"/>
  <c r="AG119" i="50"/>
  <c r="BC167" i="69"/>
  <c r="BF167" i="69"/>
  <c r="BD167" i="69"/>
  <c r="BE167" i="69"/>
  <c r="U110" i="32"/>
  <c r="U111" i="32"/>
  <c r="AH182" i="57"/>
  <c r="AI182" i="57" s="1"/>
  <c r="K182" i="57"/>
  <c r="AO121" i="50"/>
  <c r="AQ122" i="50"/>
  <c r="N122" i="50"/>
  <c r="AX165" i="69"/>
  <c r="AW165" i="69"/>
  <c r="L167" i="69"/>
  <c r="M167" i="69" s="1"/>
  <c r="AZ167" i="69"/>
  <c r="Y164" i="69"/>
  <c r="AB164" i="69" s="1"/>
  <c r="U165" i="69"/>
  <c r="AH165" i="69"/>
  <c r="F165" i="69"/>
  <c r="G165" i="69" s="1"/>
  <c r="H165" i="69" s="1"/>
  <c r="I165" i="69" s="1"/>
  <c r="J165" i="69" s="1"/>
  <c r="K165" i="69" s="1"/>
  <c r="F112" i="32"/>
  <c r="AU112" i="32"/>
  <c r="AY122" i="50"/>
  <c r="F122" i="50"/>
  <c r="U122" i="50" s="1"/>
  <c r="AG163" i="69"/>
  <c r="AD120" i="50"/>
  <c r="X179" i="57"/>
  <c r="AG181" i="57"/>
  <c r="AC182" i="53"/>
  <c r="O182" i="53"/>
  <c r="Q166" i="69"/>
  <c r="R180" i="57"/>
  <c r="Q180" i="57"/>
  <c r="AQ180" i="57"/>
  <c r="AD180" i="57"/>
  <c r="AC180" i="57"/>
  <c r="AE180" i="57"/>
  <c r="P121" i="50"/>
  <c r="P110" i="32"/>
  <c r="P111" i="32"/>
  <c r="N182" i="53"/>
  <c r="O122" i="50"/>
  <c r="AA180" i="53"/>
  <c r="AM110" i="32"/>
  <c r="AM111" i="32"/>
  <c r="C120" i="50"/>
  <c r="AJ120" i="50"/>
  <c r="S121" i="50"/>
  <c r="Z121" i="50" s="1"/>
  <c r="S110" i="32"/>
  <c r="Z110" i="32" s="1"/>
  <c r="S111" i="32"/>
  <c r="Z111" i="32" s="1"/>
  <c r="W120" i="50"/>
  <c r="X119" i="50"/>
  <c r="V120" i="50"/>
  <c r="AF165" i="69"/>
  <c r="P182" i="57"/>
  <c r="O167" i="69"/>
  <c r="AO166" i="69"/>
  <c r="AE181" i="53"/>
  <c r="AK112" i="32"/>
  <c r="AM121" i="50"/>
  <c r="AL108" i="32"/>
  <c r="AN107" i="32"/>
  <c r="R181" i="53"/>
  <c r="X181" i="53" s="1"/>
  <c r="AB181" i="53" s="1"/>
  <c r="AY165" i="69"/>
  <c r="L182" i="57"/>
  <c r="AT181" i="53"/>
  <c r="AG181" i="53"/>
  <c r="N182" i="57"/>
  <c r="AD181" i="53"/>
  <c r="Q181" i="53"/>
  <c r="AK181" i="52" a="1"/>
  <c r="AK181" i="52" s="1"/>
  <c r="B183" i="53" s="1"/>
  <c r="C182" i="53"/>
  <c r="E182" i="53"/>
  <c r="H182" i="53"/>
  <c r="G182" i="53"/>
  <c r="J182" i="53"/>
  <c r="K182" i="53"/>
  <c r="AH182" i="53" s="1"/>
  <c r="I182" i="53"/>
  <c r="L182" i="53"/>
  <c r="F182" i="53"/>
  <c r="P182" i="53"/>
  <c r="D182" i="53"/>
  <c r="A112" i="32"/>
  <c r="B112" i="32"/>
  <c r="H122" i="50"/>
  <c r="A122" i="50"/>
  <c r="M122" i="50"/>
  <c r="K122" i="50"/>
  <c r="G122" i="50"/>
  <c r="B122" i="50"/>
  <c r="J122" i="50"/>
  <c r="I122" i="50"/>
  <c r="L122" i="50"/>
  <c r="K112" i="32"/>
  <c r="L112" i="32"/>
  <c r="N112" i="32"/>
  <c r="H112" i="32"/>
  <c r="M112" i="32"/>
  <c r="J112" i="32"/>
  <c r="I112" i="32"/>
  <c r="G112" i="32"/>
  <c r="J182" i="57"/>
  <c r="G182" i="57"/>
  <c r="D182" i="57"/>
  <c r="F182" i="57"/>
  <c r="H182" i="57"/>
  <c r="I182" i="57"/>
  <c r="E182" i="57"/>
  <c r="C182" i="57"/>
  <c r="AN181" i="55" a="1"/>
  <c r="AN181" i="55" s="1"/>
  <c r="B183" i="57" s="1"/>
  <c r="O183" i="57" s="1"/>
  <c r="D166" i="69"/>
  <c r="E166" i="69" s="1"/>
  <c r="C167" i="69"/>
  <c r="AS167" i="67" a="1"/>
  <c r="AS167" i="67" s="1"/>
  <c r="B168" i="69"/>
  <c r="AM168" i="69" s="1"/>
  <c r="AN168" i="69" s="1"/>
  <c r="AE165" i="69"/>
  <c r="R165" i="69"/>
  <c r="S165" i="69" s="1"/>
  <c r="AL29" i="22"/>
  <c r="AL112" i="11" a="1"/>
  <c r="AL112" i="11" s="1"/>
  <c r="E113" i="32" s="1"/>
  <c r="T113" i="32" s="1"/>
  <c r="AP122" i="59" a="1"/>
  <c r="AP122" i="59" s="1"/>
  <c r="E123" i="50" s="1"/>
  <c r="T123" i="50" s="1"/>
  <c r="AA179" i="57" l="1"/>
  <c r="AB179" i="57"/>
  <c r="AF179" i="57" s="1"/>
  <c r="AF181" i="53"/>
  <c r="AH119" i="50"/>
  <c r="AI119" i="50" s="1"/>
  <c r="AP119" i="50" s="1"/>
  <c r="AL120" i="50"/>
  <c r="P167" i="69"/>
  <c r="AP167" i="69"/>
  <c r="AK182" i="57"/>
  <c r="AJ178" i="57"/>
  <c r="O113" i="32"/>
  <c r="AK123" i="50"/>
  <c r="AG120" i="50"/>
  <c r="BC168" i="69"/>
  <c r="BE168" i="69"/>
  <c r="BF168" i="69"/>
  <c r="BD168" i="69"/>
  <c r="U112" i="32"/>
  <c r="K183" i="57"/>
  <c r="AH183" i="57"/>
  <c r="AI183" i="57" s="1"/>
  <c r="AO122" i="50"/>
  <c r="AQ123" i="50"/>
  <c r="N123" i="50"/>
  <c r="AX166" i="69"/>
  <c r="AW166" i="69"/>
  <c r="L168" i="69"/>
  <c r="M168" i="69" s="1"/>
  <c r="AZ168" i="69"/>
  <c r="AG164" i="69"/>
  <c r="Y165" i="69"/>
  <c r="AB165" i="69" s="1"/>
  <c r="F166" i="69"/>
  <c r="G166" i="69" s="1"/>
  <c r="H166" i="69" s="1"/>
  <c r="I166" i="69" s="1"/>
  <c r="J166" i="69" s="1"/>
  <c r="K166" i="69" s="1"/>
  <c r="U166" i="69"/>
  <c r="AH166" i="69"/>
  <c r="F113" i="32"/>
  <c r="AU113" i="32"/>
  <c r="F123" i="50"/>
  <c r="U123" i="50" s="1"/>
  <c r="AY123" i="50"/>
  <c r="AT111" i="32"/>
  <c r="AT110" i="32"/>
  <c r="AL21" i="22"/>
  <c r="D59" i="36" s="1"/>
  <c r="AD111" i="32"/>
  <c r="AG111" i="32" s="1"/>
  <c r="AH111" i="32" s="1"/>
  <c r="AI111" i="32" s="1"/>
  <c r="AD110" i="32"/>
  <c r="AG110" i="32" s="1"/>
  <c r="AH110" i="32" s="1"/>
  <c r="AI110" i="32" s="1"/>
  <c r="AD121" i="50"/>
  <c r="X180" i="57"/>
  <c r="AB180" i="57" s="1"/>
  <c r="AG182" i="57"/>
  <c r="AC181" i="57"/>
  <c r="AD181" i="57"/>
  <c r="R181" i="57"/>
  <c r="AE181" i="57"/>
  <c r="Q181" i="57"/>
  <c r="AC183" i="53"/>
  <c r="O183" i="53"/>
  <c r="Q167" i="69"/>
  <c r="AQ181" i="57"/>
  <c r="P122" i="50"/>
  <c r="P112" i="32"/>
  <c r="N183" i="53"/>
  <c r="O123" i="50"/>
  <c r="AA181" i="53"/>
  <c r="AM112" i="32"/>
  <c r="C121" i="50"/>
  <c r="AJ121" i="50"/>
  <c r="S122" i="50"/>
  <c r="Z122" i="50" s="1"/>
  <c r="C110" i="32"/>
  <c r="AJ111" i="32"/>
  <c r="W111" i="32"/>
  <c r="X111" i="32" s="1"/>
  <c r="C111" i="32"/>
  <c r="S112" i="32"/>
  <c r="Z112" i="32" s="1"/>
  <c r="AJ110" i="32"/>
  <c r="W121" i="50"/>
  <c r="W110" i="32"/>
  <c r="X110" i="32" s="1"/>
  <c r="X120" i="50"/>
  <c r="V121" i="50"/>
  <c r="V111" i="32"/>
  <c r="AF166" i="69"/>
  <c r="P183" i="57"/>
  <c r="AC164" i="69"/>
  <c r="AD164" i="69" s="1"/>
  <c r="O168" i="69"/>
  <c r="AO167" i="69"/>
  <c r="AE182" i="53"/>
  <c r="AK113" i="32"/>
  <c r="AM122" i="50"/>
  <c r="AL109" i="32"/>
  <c r="AN108" i="32"/>
  <c r="R182" i="53"/>
  <c r="X182" i="53" s="1"/>
  <c r="AB182" i="53" s="1"/>
  <c r="AY166" i="69"/>
  <c r="L183" i="57"/>
  <c r="AG182" i="53"/>
  <c r="AT182" i="53"/>
  <c r="N183" i="57"/>
  <c r="D183" i="53"/>
  <c r="V110" i="32"/>
  <c r="Q182" i="53"/>
  <c r="AD182" i="53"/>
  <c r="C183" i="53"/>
  <c r="L183" i="53"/>
  <c r="F183" i="53"/>
  <c r="P183" i="53"/>
  <c r="I183" i="53"/>
  <c r="K183" i="53"/>
  <c r="AH183" i="53" s="1"/>
  <c r="E183" i="53"/>
  <c r="AK182" i="52" a="1"/>
  <c r="AK182" i="52" s="1"/>
  <c r="B184" i="53" s="1"/>
  <c r="G183" i="53"/>
  <c r="J183" i="53"/>
  <c r="H183" i="53"/>
  <c r="A113" i="32"/>
  <c r="B113" i="32"/>
  <c r="B123" i="50"/>
  <c r="G123" i="50"/>
  <c r="A123" i="50"/>
  <c r="H123" i="50"/>
  <c r="K123" i="50"/>
  <c r="M123" i="50"/>
  <c r="I123" i="50"/>
  <c r="J123" i="50"/>
  <c r="L123" i="50"/>
  <c r="I113" i="32"/>
  <c r="J113" i="32"/>
  <c r="L113" i="32"/>
  <c r="N113" i="32"/>
  <c r="H113" i="32"/>
  <c r="K113" i="32"/>
  <c r="G113" i="32"/>
  <c r="M113" i="32"/>
  <c r="I183" i="57"/>
  <c r="F183" i="57"/>
  <c r="D183" i="57"/>
  <c r="G183" i="57"/>
  <c r="E183" i="57"/>
  <c r="H183" i="57"/>
  <c r="C183" i="57"/>
  <c r="J183" i="57"/>
  <c r="AN182" i="55" a="1"/>
  <c r="AN182" i="55" s="1"/>
  <c r="B184" i="57" s="1"/>
  <c r="O184" i="57" s="1"/>
  <c r="C168" i="69"/>
  <c r="AS168" i="67" a="1"/>
  <c r="AS168" i="67" s="1"/>
  <c r="B169" i="69"/>
  <c r="AM169" i="69" s="1"/>
  <c r="AN169" i="69" s="1"/>
  <c r="D167" i="69"/>
  <c r="E167" i="69" s="1"/>
  <c r="AE166" i="69"/>
  <c r="R166" i="69"/>
  <c r="S166" i="69" s="1"/>
  <c r="AL24" i="22"/>
  <c r="AL23" i="22"/>
  <c r="AL27" i="22"/>
  <c r="AL113" i="11" a="1"/>
  <c r="AL113" i="11" s="1"/>
  <c r="E114" i="32" s="1"/>
  <c r="T114" i="32" s="1"/>
  <c r="AP123" i="59" a="1"/>
  <c r="AP123" i="59" s="1"/>
  <c r="E124" i="50" s="1"/>
  <c r="T124" i="50" s="1"/>
  <c r="AF180" i="57" l="1"/>
  <c r="AF182" i="53"/>
  <c r="AH120" i="50"/>
  <c r="AI120" i="50" s="1"/>
  <c r="AP120" i="50" s="1"/>
  <c r="P168" i="69"/>
  <c r="AP168" i="69"/>
  <c r="AK183" i="57"/>
  <c r="AJ179" i="57"/>
  <c r="O114" i="32"/>
  <c r="AK124" i="50"/>
  <c r="AL121" i="50"/>
  <c r="AG121" i="50"/>
  <c r="BC169" i="69"/>
  <c r="BE169" i="69"/>
  <c r="BF169" i="69"/>
  <c r="BD169" i="69"/>
  <c r="U113" i="32"/>
  <c r="AH184" i="57"/>
  <c r="AI184" i="57" s="1"/>
  <c r="K184" i="57"/>
  <c r="AO123" i="50"/>
  <c r="AQ124" i="50"/>
  <c r="N124" i="50"/>
  <c r="AX167" i="69"/>
  <c r="AW167" i="69"/>
  <c r="L169" i="69"/>
  <c r="M169" i="69" s="1"/>
  <c r="AZ169" i="69"/>
  <c r="AG165" i="69"/>
  <c r="Y166" i="69"/>
  <c r="AB166" i="69" s="1"/>
  <c r="U167" i="69"/>
  <c r="AH167" i="69"/>
  <c r="F167" i="69"/>
  <c r="G167" i="69" s="1"/>
  <c r="H167" i="69" s="1"/>
  <c r="I167" i="69" s="1"/>
  <c r="J167" i="69" s="1"/>
  <c r="K167" i="69" s="1"/>
  <c r="F114" i="32"/>
  <c r="AU114" i="32"/>
  <c r="AY124" i="50"/>
  <c r="F124" i="50"/>
  <c r="U124" i="50" s="1"/>
  <c r="AT112" i="32"/>
  <c r="AD112" i="32"/>
  <c r="AG112" i="32" s="1"/>
  <c r="AH112" i="32" s="1"/>
  <c r="AI112" i="32" s="1"/>
  <c r="AD122" i="50"/>
  <c r="X181" i="57"/>
  <c r="AB181" i="57" s="1"/>
  <c r="AG183" i="57"/>
  <c r="AE182" i="57"/>
  <c r="Q182" i="57"/>
  <c r="AC184" i="53"/>
  <c r="O184" i="53"/>
  <c r="Q168" i="69"/>
  <c r="AD182" i="57"/>
  <c r="AQ182" i="57"/>
  <c r="AC182" i="57"/>
  <c r="AA180" i="57"/>
  <c r="R182" i="57"/>
  <c r="P123" i="50"/>
  <c r="P113" i="32"/>
  <c r="N184" i="53"/>
  <c r="O124" i="50"/>
  <c r="AA182" i="53"/>
  <c r="AM113" i="32"/>
  <c r="AJ122" i="50"/>
  <c r="C122" i="50"/>
  <c r="S123" i="50"/>
  <c r="Z123" i="50" s="1"/>
  <c r="C112" i="32"/>
  <c r="W112" i="32"/>
  <c r="X112" i="32" s="1"/>
  <c r="S113" i="32"/>
  <c r="Z113" i="32" s="1"/>
  <c r="AJ112" i="32"/>
  <c r="W122" i="50"/>
  <c r="X121" i="50"/>
  <c r="V122" i="50"/>
  <c r="V112" i="32"/>
  <c r="AF167" i="69"/>
  <c r="P184" i="57"/>
  <c r="AC165" i="69"/>
  <c r="AD165" i="69" s="1"/>
  <c r="O169" i="69"/>
  <c r="AO168" i="69"/>
  <c r="AE183" i="53"/>
  <c r="AK114" i="32"/>
  <c r="AM123" i="50"/>
  <c r="AL111" i="32"/>
  <c r="R183" i="53"/>
  <c r="X183" i="53" s="1"/>
  <c r="AB183" i="53" s="1"/>
  <c r="AN109" i="32"/>
  <c r="AY167" i="69"/>
  <c r="L184" i="57"/>
  <c r="AT183" i="53"/>
  <c r="AG183" i="53"/>
  <c r="N184" i="57"/>
  <c r="AD183" i="53"/>
  <c r="Q183" i="53"/>
  <c r="P184" i="53"/>
  <c r="C184" i="53"/>
  <c r="D184" i="53"/>
  <c r="F184" i="53"/>
  <c r="I184" i="53"/>
  <c r="L184" i="53"/>
  <c r="E184" i="53"/>
  <c r="AK183" i="52" a="1"/>
  <c r="AK183" i="52" s="1"/>
  <c r="B185" i="53" s="1"/>
  <c r="G184" i="53"/>
  <c r="J184" i="53"/>
  <c r="H184" i="53"/>
  <c r="K184" i="53"/>
  <c r="AH184" i="53" s="1"/>
  <c r="A114" i="32"/>
  <c r="B114" i="32"/>
  <c r="A124" i="50"/>
  <c r="I124" i="50"/>
  <c r="K124" i="50"/>
  <c r="H124" i="50"/>
  <c r="M124" i="50"/>
  <c r="L124" i="50"/>
  <c r="J124" i="50"/>
  <c r="B124" i="50"/>
  <c r="G124" i="50"/>
  <c r="G114" i="32"/>
  <c r="H114" i="32"/>
  <c r="J114" i="32"/>
  <c r="L114" i="32"/>
  <c r="I114" i="32"/>
  <c r="N114" i="32"/>
  <c r="K114" i="32"/>
  <c r="M114" i="32"/>
  <c r="J184" i="57"/>
  <c r="H184" i="57"/>
  <c r="F184" i="57"/>
  <c r="C184" i="57"/>
  <c r="D184" i="57"/>
  <c r="E184" i="57"/>
  <c r="G184" i="57"/>
  <c r="I184" i="57"/>
  <c r="AN183" i="55" a="1"/>
  <c r="AN183" i="55" s="1"/>
  <c r="B185" i="57" s="1"/>
  <c r="O185" i="57" s="1"/>
  <c r="AE167" i="69"/>
  <c r="R167" i="69"/>
  <c r="S167" i="69" s="1"/>
  <c r="C169" i="69"/>
  <c r="AS169" i="67" a="1"/>
  <c r="AS169" i="67" s="1"/>
  <c r="B170" i="69"/>
  <c r="AM170" i="69" s="1"/>
  <c r="AN170" i="69" s="1"/>
  <c r="D168" i="69"/>
  <c r="E168" i="69" s="1"/>
  <c r="AL114" i="11" a="1"/>
  <c r="AL114" i="11" s="1"/>
  <c r="E115" i="32" s="1"/>
  <c r="T115" i="32" s="1"/>
  <c r="AP124" i="59" a="1"/>
  <c r="AP124" i="59" s="1"/>
  <c r="E125" i="50" s="1"/>
  <c r="T125" i="50" s="1"/>
  <c r="M11" i="46"/>
  <c r="I11" i="46"/>
  <c r="R11" i="46" s="1"/>
  <c r="S11" i="46" s="1"/>
  <c r="AF181" i="57" l="1"/>
  <c r="AF183" i="53"/>
  <c r="AH121" i="50"/>
  <c r="AI121" i="50" s="1"/>
  <c r="AP121" i="50" s="1"/>
  <c r="V11" i="46"/>
  <c r="W11" i="46" s="1"/>
  <c r="X11" i="46" s="1"/>
  <c r="AK184" i="57"/>
  <c r="P169" i="69"/>
  <c r="AP169" i="69"/>
  <c r="AJ181" i="57"/>
  <c r="AJ180" i="57"/>
  <c r="O115" i="32"/>
  <c r="AK125" i="50"/>
  <c r="AL122" i="50"/>
  <c r="AG122" i="50"/>
  <c r="BC170" i="69"/>
  <c r="BE170" i="69"/>
  <c r="BF170" i="69"/>
  <c r="BD170" i="69"/>
  <c r="U114" i="32"/>
  <c r="AH185" i="57"/>
  <c r="AI185" i="57" s="1"/>
  <c r="K185" i="57"/>
  <c r="AQ125" i="50"/>
  <c r="N125" i="50"/>
  <c r="AO124" i="50"/>
  <c r="AX168" i="69"/>
  <c r="AW168" i="69"/>
  <c r="L170" i="69"/>
  <c r="M170" i="69" s="1"/>
  <c r="AZ170" i="69"/>
  <c r="Y167" i="69"/>
  <c r="AB167" i="69" s="1"/>
  <c r="AG166" i="69"/>
  <c r="U168" i="69"/>
  <c r="AH168" i="69"/>
  <c r="F168" i="69"/>
  <c r="G168" i="69" s="1"/>
  <c r="H168" i="69" s="1"/>
  <c r="I168" i="69" s="1"/>
  <c r="J168" i="69" s="1"/>
  <c r="K168" i="69" s="1"/>
  <c r="F115" i="32"/>
  <c r="AU115" i="32"/>
  <c r="AY125" i="50"/>
  <c r="F125" i="50"/>
  <c r="U125" i="50" s="1"/>
  <c r="AT113" i="32"/>
  <c r="AD113" i="32"/>
  <c r="AG113" i="32" s="1"/>
  <c r="AH113" i="32" s="1"/>
  <c r="AI113" i="32" s="1"/>
  <c r="AD123" i="50"/>
  <c r="X182" i="57"/>
  <c r="AB182" i="57" s="1"/>
  <c r="AG184" i="57"/>
  <c r="AA181" i="57"/>
  <c r="AC185" i="53"/>
  <c r="O185" i="53"/>
  <c r="Q169" i="69"/>
  <c r="Q183" i="57"/>
  <c r="AC183" i="57"/>
  <c r="AQ183" i="57"/>
  <c r="AD183" i="57"/>
  <c r="AE183" i="57"/>
  <c r="R183" i="57"/>
  <c r="P124" i="50"/>
  <c r="P114" i="32"/>
  <c r="N185" i="53"/>
  <c r="O125" i="50"/>
  <c r="AA183" i="53"/>
  <c r="AM114" i="32"/>
  <c r="C123" i="50"/>
  <c r="AJ123" i="50"/>
  <c r="S124" i="50"/>
  <c r="Z124" i="50" s="1"/>
  <c r="C113" i="32"/>
  <c r="AJ113" i="32"/>
  <c r="S114" i="32"/>
  <c r="Z114" i="32" s="1"/>
  <c r="W123" i="50"/>
  <c r="W113" i="32"/>
  <c r="X113" i="32" s="1"/>
  <c r="X122" i="50"/>
  <c r="V123" i="50"/>
  <c r="AF168" i="69"/>
  <c r="P185" i="57"/>
  <c r="AC166" i="69"/>
  <c r="AD166" i="69" s="1"/>
  <c r="AO169" i="69"/>
  <c r="O170" i="69"/>
  <c r="AE184" i="53"/>
  <c r="AK115" i="32"/>
  <c r="AM124" i="50"/>
  <c r="AL110" i="32"/>
  <c r="AL112" i="32"/>
  <c r="AN111" i="32"/>
  <c r="AM13" i="50"/>
  <c r="R184" i="53"/>
  <c r="X184" i="53" s="1"/>
  <c r="AB184" i="53" s="1"/>
  <c r="V113" i="32"/>
  <c r="AY168" i="69"/>
  <c r="L185" i="57"/>
  <c r="AT184" i="53"/>
  <c r="AG184" i="53"/>
  <c r="N185" i="57"/>
  <c r="Q184" i="53"/>
  <c r="AD184" i="53"/>
  <c r="AK184" i="52" a="1"/>
  <c r="AK184" i="52" s="1"/>
  <c r="B186" i="53" s="1"/>
  <c r="G185" i="53"/>
  <c r="E185" i="53"/>
  <c r="C185" i="53"/>
  <c r="K185" i="53"/>
  <c r="AH185" i="53" s="1"/>
  <c r="P185" i="53"/>
  <c r="J185" i="53"/>
  <c r="F185" i="53"/>
  <c r="L185" i="53"/>
  <c r="I185" i="53"/>
  <c r="D185" i="53"/>
  <c r="H185" i="53"/>
  <c r="A115" i="32"/>
  <c r="B115" i="32"/>
  <c r="H125" i="50"/>
  <c r="G125" i="50"/>
  <c r="M125" i="50"/>
  <c r="B125" i="50"/>
  <c r="L125" i="50"/>
  <c r="K125" i="50"/>
  <c r="J125" i="50"/>
  <c r="I125" i="50"/>
  <c r="A125" i="50"/>
  <c r="M115" i="32"/>
  <c r="N115" i="32"/>
  <c r="H115" i="32"/>
  <c r="J115" i="32"/>
  <c r="G115" i="32"/>
  <c r="L115" i="32"/>
  <c r="K115" i="32"/>
  <c r="I115" i="32"/>
  <c r="E185" i="57"/>
  <c r="H185" i="57"/>
  <c r="J185" i="57"/>
  <c r="G185" i="57"/>
  <c r="C185" i="57"/>
  <c r="F185" i="57"/>
  <c r="I185" i="57"/>
  <c r="D185" i="57"/>
  <c r="AN184" i="55" a="1"/>
  <c r="AN184" i="55" s="1"/>
  <c r="B186" i="57" s="1"/>
  <c r="O186" i="57" s="1"/>
  <c r="C170" i="69"/>
  <c r="AS170" i="67" a="1"/>
  <c r="AS170" i="67" s="1"/>
  <c r="B171" i="69"/>
  <c r="AM171" i="69" s="1"/>
  <c r="AN171" i="69" s="1"/>
  <c r="D169" i="69"/>
  <c r="E169" i="69" s="1"/>
  <c r="AE168" i="69"/>
  <c r="R168" i="69"/>
  <c r="S168" i="69" s="1"/>
  <c r="AL115" i="11" a="1"/>
  <c r="AL115" i="11" s="1"/>
  <c r="E116" i="32" s="1"/>
  <c r="T116" i="32" s="1"/>
  <c r="AP125" i="59" a="1"/>
  <c r="AP125" i="59" s="1"/>
  <c r="E126" i="50" s="1"/>
  <c r="T126" i="50" s="1"/>
  <c r="AF182" i="57" l="1"/>
  <c r="AF184" i="53"/>
  <c r="AH122" i="50"/>
  <c r="AI122" i="50" s="1"/>
  <c r="AP122" i="50" s="1"/>
  <c r="T11" i="46"/>
  <c r="Y11" i="46" s="1"/>
  <c r="L133" i="22" s="1"/>
  <c r="AK185" i="57"/>
  <c r="P170" i="69"/>
  <c r="AP170" i="69"/>
  <c r="O116" i="32"/>
  <c r="AK126" i="50"/>
  <c r="AL123" i="50"/>
  <c r="AG123" i="50"/>
  <c r="BC171" i="69"/>
  <c r="BD171" i="69"/>
  <c r="BE171" i="69"/>
  <c r="BF171" i="69"/>
  <c r="U115" i="32"/>
  <c r="AH186" i="57"/>
  <c r="AI186" i="57" s="1"/>
  <c r="K186" i="57"/>
  <c r="N126" i="50"/>
  <c r="AQ126" i="50"/>
  <c r="AO125" i="50"/>
  <c r="AP13" i="50"/>
  <c r="G8" i="107"/>
  <c r="K8" i="107" s="1"/>
  <c r="M8" i="107" s="1"/>
  <c r="AX169" i="69"/>
  <c r="AW169" i="69"/>
  <c r="L171" i="69"/>
  <c r="M171" i="69" s="1"/>
  <c r="AZ171" i="69"/>
  <c r="AG167" i="69"/>
  <c r="Y168" i="69"/>
  <c r="AG168" i="69" s="1"/>
  <c r="U169" i="69"/>
  <c r="AH169" i="69"/>
  <c r="F169" i="69"/>
  <c r="G169" i="69" s="1"/>
  <c r="H169" i="69" s="1"/>
  <c r="I169" i="69" s="1"/>
  <c r="J169" i="69" s="1"/>
  <c r="K169" i="69" s="1"/>
  <c r="F116" i="32"/>
  <c r="AU116" i="32"/>
  <c r="AY126" i="50"/>
  <c r="F126" i="50"/>
  <c r="U126" i="50" s="1"/>
  <c r="AT114" i="32"/>
  <c r="AD114" i="32"/>
  <c r="AG114" i="32" s="1"/>
  <c r="AH114" i="32" s="1"/>
  <c r="AI114" i="32" s="1"/>
  <c r="AD124" i="50"/>
  <c r="X183" i="57"/>
  <c r="AB183" i="57" s="1"/>
  <c r="AG185" i="57"/>
  <c r="AA182" i="57"/>
  <c r="AC186" i="53"/>
  <c r="O186" i="53"/>
  <c r="Q170" i="69"/>
  <c r="R184" i="57"/>
  <c r="AQ184" i="57"/>
  <c r="Q184" i="57"/>
  <c r="AD184" i="57"/>
  <c r="AC184" i="57"/>
  <c r="AE184" i="57"/>
  <c r="P125" i="50"/>
  <c r="P115" i="32"/>
  <c r="N186" i="53"/>
  <c r="O126" i="50"/>
  <c r="AA184" i="53"/>
  <c r="AM115" i="32"/>
  <c r="AJ124" i="50"/>
  <c r="C124" i="50"/>
  <c r="S125" i="50"/>
  <c r="Z125" i="50" s="1"/>
  <c r="AJ114" i="32"/>
  <c r="W114" i="32"/>
  <c r="X114" i="32" s="1"/>
  <c r="C114" i="32"/>
  <c r="S115" i="32"/>
  <c r="W124" i="50"/>
  <c r="X123" i="50"/>
  <c r="V124" i="50"/>
  <c r="V114" i="32"/>
  <c r="AF169" i="69"/>
  <c r="P186" i="57"/>
  <c r="AC167" i="69"/>
  <c r="AD167" i="69" s="1"/>
  <c r="AO170" i="69"/>
  <c r="O171" i="69"/>
  <c r="AE185" i="53"/>
  <c r="AK116" i="32"/>
  <c r="AM125" i="50"/>
  <c r="AL113" i="32"/>
  <c r="AN112" i="32"/>
  <c r="R185" i="53"/>
  <c r="X185" i="53" s="1"/>
  <c r="AB185" i="53" s="1"/>
  <c r="AN110" i="32"/>
  <c r="N2" i="46"/>
  <c r="AY169" i="69"/>
  <c r="L186" i="57"/>
  <c r="AT185" i="53"/>
  <c r="AG185" i="53"/>
  <c r="N186" i="57"/>
  <c r="E186" i="53"/>
  <c r="Q185" i="53"/>
  <c r="AD185" i="53"/>
  <c r="D186" i="53"/>
  <c r="I186" i="53"/>
  <c r="L186" i="53"/>
  <c r="P186" i="53"/>
  <c r="K186" i="53"/>
  <c r="AH186" i="53" s="1"/>
  <c r="H186" i="53"/>
  <c r="C186" i="53"/>
  <c r="J186" i="53"/>
  <c r="AK185" i="52" a="1"/>
  <c r="AK185" i="52" s="1"/>
  <c r="B187" i="53" s="1"/>
  <c r="G186" i="53"/>
  <c r="F186" i="53"/>
  <c r="A116" i="32"/>
  <c r="B116" i="32"/>
  <c r="M126" i="50"/>
  <c r="L126" i="50"/>
  <c r="G126" i="50"/>
  <c r="A126" i="50"/>
  <c r="I126" i="50"/>
  <c r="K126" i="50"/>
  <c r="B126" i="50"/>
  <c r="J126" i="50"/>
  <c r="H126" i="50"/>
  <c r="K116" i="32"/>
  <c r="L116" i="32"/>
  <c r="N116" i="32"/>
  <c r="H116" i="32"/>
  <c r="J116" i="32"/>
  <c r="M116" i="32"/>
  <c r="G116" i="32"/>
  <c r="I116" i="32"/>
  <c r="J186" i="57"/>
  <c r="D186" i="57"/>
  <c r="C186" i="57"/>
  <c r="F186" i="57"/>
  <c r="I186" i="57"/>
  <c r="E186" i="57"/>
  <c r="H186" i="57"/>
  <c r="G186" i="57"/>
  <c r="AN185" i="55" a="1"/>
  <c r="AN185" i="55" s="1"/>
  <c r="B187" i="57" s="1"/>
  <c r="O187" i="57" s="1"/>
  <c r="AE169" i="69"/>
  <c r="R169" i="69"/>
  <c r="S169" i="69" s="1"/>
  <c r="C171" i="69"/>
  <c r="AS171" i="67" a="1"/>
  <c r="AS171" i="67" s="1"/>
  <c r="B172" i="69"/>
  <c r="AM172" i="69" s="1"/>
  <c r="AN172" i="69" s="1"/>
  <c r="D170" i="69"/>
  <c r="E170" i="69" s="1"/>
  <c r="AL116" i="11" a="1"/>
  <c r="AL116" i="11" s="1"/>
  <c r="E117" i="32" s="1"/>
  <c r="T117" i="32" s="1"/>
  <c r="AP126" i="59" a="1"/>
  <c r="AP126" i="59" s="1"/>
  <c r="E127" i="50" s="1"/>
  <c r="T127" i="50" s="1"/>
  <c r="AF183" i="57" l="1"/>
  <c r="AF185" i="53"/>
  <c r="AH123" i="50"/>
  <c r="AI123" i="50" s="1"/>
  <c r="AP123" i="50" s="1"/>
  <c r="P171" i="69"/>
  <c r="AP171" i="69"/>
  <c r="AK186" i="57"/>
  <c r="AJ182" i="57"/>
  <c r="O117" i="32"/>
  <c r="AK127" i="50"/>
  <c r="AL124" i="50"/>
  <c r="AG124" i="50"/>
  <c r="BC172" i="69"/>
  <c r="BD172" i="69"/>
  <c r="BE172" i="69"/>
  <c r="BF172" i="69"/>
  <c r="U116" i="32"/>
  <c r="AD115" i="32"/>
  <c r="AG115" i="32" s="1"/>
  <c r="AH115" i="32" s="1"/>
  <c r="AI115" i="32" s="1"/>
  <c r="AH187" i="57"/>
  <c r="AI187" i="57" s="1"/>
  <c r="K187" i="57"/>
  <c r="N127" i="50"/>
  <c r="AQ127" i="50"/>
  <c r="AO126" i="50"/>
  <c r="AX170" i="69"/>
  <c r="AW170" i="69"/>
  <c r="L172" i="69"/>
  <c r="M172" i="69" s="1"/>
  <c r="AZ172" i="69"/>
  <c r="AB168" i="69"/>
  <c r="AC168" i="69" s="1"/>
  <c r="AD168" i="69" s="1"/>
  <c r="Y169" i="69"/>
  <c r="AB169" i="69" s="1"/>
  <c r="F170" i="69"/>
  <c r="G170" i="69" s="1"/>
  <c r="H170" i="69" s="1"/>
  <c r="I170" i="69" s="1"/>
  <c r="J170" i="69" s="1"/>
  <c r="K170" i="69" s="1"/>
  <c r="U170" i="69"/>
  <c r="AH170" i="69"/>
  <c r="F117" i="32"/>
  <c r="AU117" i="32"/>
  <c r="AY127" i="50"/>
  <c r="F127" i="50"/>
  <c r="U127" i="50" s="1"/>
  <c r="AT115" i="32"/>
  <c r="AD125" i="50"/>
  <c r="X184" i="57"/>
  <c r="AB184" i="57" s="1"/>
  <c r="AG186" i="57"/>
  <c r="Q185" i="57"/>
  <c r="AE185" i="57"/>
  <c r="AC187" i="53"/>
  <c r="O187" i="53"/>
  <c r="Q171" i="69"/>
  <c r="AA183" i="57"/>
  <c r="R185" i="57"/>
  <c r="AQ185" i="57"/>
  <c r="AD185" i="57"/>
  <c r="AC185" i="57"/>
  <c r="P126" i="50"/>
  <c r="P116" i="32"/>
  <c r="L55" i="22"/>
  <c r="L134" i="22"/>
  <c r="N187" i="53"/>
  <c r="O127" i="50"/>
  <c r="AA185" i="53"/>
  <c r="C115" i="32"/>
  <c r="Z115" i="32"/>
  <c r="AM116" i="32"/>
  <c r="C125" i="50"/>
  <c r="AJ125" i="50"/>
  <c r="S126" i="50"/>
  <c r="Z126" i="50" s="1"/>
  <c r="L135" i="22"/>
  <c r="L80" i="22"/>
  <c r="S116" i="32"/>
  <c r="Z116" i="32" s="1"/>
  <c r="AJ115" i="32"/>
  <c r="W125" i="50"/>
  <c r="W115" i="32"/>
  <c r="X115" i="32" s="1"/>
  <c r="L132" i="22"/>
  <c r="L118" i="22"/>
  <c r="X124" i="50"/>
  <c r="V125" i="50"/>
  <c r="AF170" i="69"/>
  <c r="P187" i="57"/>
  <c r="O172" i="69"/>
  <c r="AO171" i="69"/>
  <c r="AE186" i="53"/>
  <c r="AK117" i="32"/>
  <c r="AM126" i="50"/>
  <c r="AL114" i="32"/>
  <c r="AN113" i="32"/>
  <c r="R186" i="53"/>
  <c r="X186" i="53" s="1"/>
  <c r="AB186" i="53" s="1"/>
  <c r="V115" i="32"/>
  <c r="Y257" i="46"/>
  <c r="L104" i="22"/>
  <c r="AY170" i="69"/>
  <c r="L187" i="57"/>
  <c r="AG186" i="53"/>
  <c r="AT186" i="53"/>
  <c r="N187" i="57"/>
  <c r="I187" i="53"/>
  <c r="Q186" i="53"/>
  <c r="AD186" i="53"/>
  <c r="AK186" i="52" a="1"/>
  <c r="AK186" i="52" s="1"/>
  <c r="B188" i="53" s="1"/>
  <c r="E187" i="53"/>
  <c r="C187" i="53"/>
  <c r="F187" i="53"/>
  <c r="P187" i="53"/>
  <c r="H187" i="53"/>
  <c r="G187" i="53"/>
  <c r="J187" i="53"/>
  <c r="L187" i="53"/>
  <c r="K187" i="53"/>
  <c r="AH187" i="53" s="1"/>
  <c r="D187" i="53"/>
  <c r="A117" i="32"/>
  <c r="B117" i="32"/>
  <c r="J127" i="50"/>
  <c r="G127" i="50"/>
  <c r="M127" i="50"/>
  <c r="A127" i="50"/>
  <c r="H127" i="50"/>
  <c r="B127" i="50"/>
  <c r="I127" i="50"/>
  <c r="L127" i="50"/>
  <c r="K127" i="50"/>
  <c r="I117" i="32"/>
  <c r="J117" i="32"/>
  <c r="L117" i="32"/>
  <c r="N117" i="32"/>
  <c r="K117" i="32"/>
  <c r="H117" i="32"/>
  <c r="M117" i="32"/>
  <c r="G117" i="32"/>
  <c r="J187" i="57"/>
  <c r="I187" i="57"/>
  <c r="F187" i="57"/>
  <c r="E187" i="57"/>
  <c r="D187" i="57"/>
  <c r="C187" i="57"/>
  <c r="G187" i="57"/>
  <c r="H187" i="57"/>
  <c r="AN186" i="55" a="1"/>
  <c r="AN186" i="55" s="1"/>
  <c r="B188" i="57" s="1"/>
  <c r="O188" i="57" s="1"/>
  <c r="R170" i="69"/>
  <c r="S170" i="69" s="1"/>
  <c r="AE170" i="69"/>
  <c r="C172" i="69"/>
  <c r="AS172" i="67" a="1"/>
  <c r="AS172" i="67" s="1"/>
  <c r="B173" i="69"/>
  <c r="AM173" i="69" s="1"/>
  <c r="AN173" i="69" s="1"/>
  <c r="D171" i="69"/>
  <c r="E171" i="69" s="1"/>
  <c r="AL117" i="11" a="1"/>
  <c r="AL117" i="11" s="1"/>
  <c r="E118" i="32" s="1"/>
  <c r="T118" i="32" s="1"/>
  <c r="AP127" i="59" a="1"/>
  <c r="AP127" i="59" s="1"/>
  <c r="E128" i="50" s="1"/>
  <c r="T128" i="50" s="1"/>
  <c r="AF184" i="57" l="1"/>
  <c r="AF186" i="53"/>
  <c r="AH124" i="50"/>
  <c r="AI124" i="50" s="1"/>
  <c r="AP124" i="50" s="1"/>
  <c r="P172" i="69"/>
  <c r="AP172" i="69"/>
  <c r="AK187" i="57"/>
  <c r="AJ183" i="57"/>
  <c r="O118" i="32"/>
  <c r="AK128" i="50"/>
  <c r="AL125" i="50"/>
  <c r="AG125" i="50"/>
  <c r="BC173" i="69"/>
  <c r="BF173" i="69"/>
  <c r="BE173" i="69"/>
  <c r="BD173" i="69"/>
  <c r="U117" i="32"/>
  <c r="AH188" i="57"/>
  <c r="AI188" i="57" s="1"/>
  <c r="K188" i="57"/>
  <c r="AQ128" i="50"/>
  <c r="N128" i="50"/>
  <c r="AO127" i="50"/>
  <c r="AX171" i="69"/>
  <c r="AW171" i="69"/>
  <c r="Y170" i="69"/>
  <c r="AB170" i="69" s="1"/>
  <c r="L173" i="69"/>
  <c r="M173" i="69" s="1"/>
  <c r="AZ173" i="69"/>
  <c r="AG169" i="69"/>
  <c r="U171" i="69"/>
  <c r="AH171" i="69"/>
  <c r="F171" i="69"/>
  <c r="G171" i="69" s="1"/>
  <c r="H171" i="69" s="1"/>
  <c r="I171" i="69" s="1"/>
  <c r="J171" i="69" s="1"/>
  <c r="K171" i="69" s="1"/>
  <c r="F118" i="32"/>
  <c r="AU118" i="32"/>
  <c r="AY128" i="50"/>
  <c r="F128" i="50"/>
  <c r="U128" i="50" s="1"/>
  <c r="AT116" i="32"/>
  <c r="X185" i="57"/>
  <c r="AB185" i="57" s="1"/>
  <c r="AD116" i="32"/>
  <c r="AG116" i="32" s="1"/>
  <c r="AH116" i="32" s="1"/>
  <c r="AI116" i="32" s="1"/>
  <c r="AD126" i="50"/>
  <c r="AG187" i="57"/>
  <c r="AA184" i="57"/>
  <c r="AC188" i="53"/>
  <c r="O188" i="53"/>
  <c r="Q172" i="69"/>
  <c r="AC186" i="57"/>
  <c r="AE186" i="57"/>
  <c r="Q186" i="57"/>
  <c r="AQ186" i="57"/>
  <c r="AD186" i="57"/>
  <c r="R186" i="57"/>
  <c r="P127" i="50"/>
  <c r="P117" i="32"/>
  <c r="N188" i="53"/>
  <c r="O128" i="50"/>
  <c r="AA186" i="53"/>
  <c r="AM117" i="32"/>
  <c r="AJ126" i="50"/>
  <c r="C126" i="50"/>
  <c r="S127" i="50"/>
  <c r="Z127" i="50" s="1"/>
  <c r="C116" i="32"/>
  <c r="W116" i="32"/>
  <c r="X116" i="32" s="1"/>
  <c r="AJ116" i="32"/>
  <c r="S117" i="32"/>
  <c r="Z117" i="32" s="1"/>
  <c r="W126" i="50"/>
  <c r="X125" i="50"/>
  <c r="V126" i="50"/>
  <c r="V116" i="32"/>
  <c r="AF171" i="69"/>
  <c r="P188" i="57"/>
  <c r="AC169" i="69"/>
  <c r="AD169" i="69" s="1"/>
  <c r="O173" i="69"/>
  <c r="AO172" i="69"/>
  <c r="AE187" i="53"/>
  <c r="AK118" i="32"/>
  <c r="AM127" i="50"/>
  <c r="AL115" i="32"/>
  <c r="AN114" i="32"/>
  <c r="R187" i="53"/>
  <c r="X187" i="53" s="1"/>
  <c r="AB187" i="53" s="1"/>
  <c r="AY171" i="69"/>
  <c r="L188" i="57"/>
  <c r="AG187" i="53"/>
  <c r="AT187" i="53"/>
  <c r="N188" i="57"/>
  <c r="C188" i="53"/>
  <c r="AD187" i="53"/>
  <c r="J188" i="53"/>
  <c r="D188" i="53"/>
  <c r="H188" i="53"/>
  <c r="G188" i="53"/>
  <c r="E188" i="53"/>
  <c r="F188" i="53"/>
  <c r="L188" i="53"/>
  <c r="P188" i="53"/>
  <c r="Q187" i="53"/>
  <c r="AK187" i="52" a="1"/>
  <c r="AK187" i="52" s="1"/>
  <c r="B189" i="53" s="1"/>
  <c r="K188" i="53"/>
  <c r="AH188" i="53" s="1"/>
  <c r="I188" i="53"/>
  <c r="A118" i="32"/>
  <c r="B118" i="32"/>
  <c r="J128" i="50"/>
  <c r="I128" i="50"/>
  <c r="H128" i="50"/>
  <c r="M128" i="50"/>
  <c r="K128" i="50"/>
  <c r="B128" i="50"/>
  <c r="L128" i="50"/>
  <c r="G128" i="50"/>
  <c r="A128" i="50"/>
  <c r="G118" i="32"/>
  <c r="H118" i="32"/>
  <c r="J118" i="32"/>
  <c r="L118" i="32"/>
  <c r="I118" i="32"/>
  <c r="N118" i="32"/>
  <c r="M118" i="32"/>
  <c r="K118" i="32"/>
  <c r="H188" i="57"/>
  <c r="F188" i="57"/>
  <c r="C188" i="57"/>
  <c r="E188" i="57"/>
  <c r="D188" i="57"/>
  <c r="G188" i="57"/>
  <c r="J188" i="57"/>
  <c r="I188" i="57"/>
  <c r="AN187" i="55" a="1"/>
  <c r="AN187" i="55" s="1"/>
  <c r="B189" i="57" s="1"/>
  <c r="O189" i="57" s="1"/>
  <c r="C173" i="69"/>
  <c r="AS173" i="67" a="1"/>
  <c r="AS173" i="67" s="1"/>
  <c r="B174" i="69"/>
  <c r="AM174" i="69" s="1"/>
  <c r="AN174" i="69" s="1"/>
  <c r="R171" i="69"/>
  <c r="S171" i="69" s="1"/>
  <c r="AE171" i="69"/>
  <c r="D172" i="69"/>
  <c r="E172" i="69" s="1"/>
  <c r="AL118" i="11" a="1"/>
  <c r="AL118" i="11" s="1"/>
  <c r="E119" i="32" s="1"/>
  <c r="T119" i="32" s="1"/>
  <c r="AP128" i="59" a="1"/>
  <c r="AP128" i="59" s="1"/>
  <c r="E129" i="50" s="1"/>
  <c r="T129" i="50" s="1"/>
  <c r="AF187" i="53" l="1"/>
  <c r="AF185" i="57"/>
  <c r="AH125" i="50"/>
  <c r="AI125" i="50" s="1"/>
  <c r="AP125" i="50" s="1"/>
  <c r="AK188" i="57"/>
  <c r="P173" i="69"/>
  <c r="AP173" i="69"/>
  <c r="AJ184" i="57"/>
  <c r="O119" i="32"/>
  <c r="AK129" i="50"/>
  <c r="AL126" i="50"/>
  <c r="AG126" i="50"/>
  <c r="BC174" i="69"/>
  <c r="BF174" i="69"/>
  <c r="BE174" i="69"/>
  <c r="BD174" i="69"/>
  <c r="U118" i="32"/>
  <c r="AH189" i="57"/>
  <c r="AI189" i="57" s="1"/>
  <c r="K189" i="57"/>
  <c r="AQ129" i="50"/>
  <c r="N129" i="50"/>
  <c r="AO128" i="50"/>
  <c r="AW172" i="69"/>
  <c r="AX172" i="69"/>
  <c r="AG170" i="69"/>
  <c r="L174" i="69"/>
  <c r="M174" i="69" s="1"/>
  <c r="AZ174" i="69"/>
  <c r="Y171" i="69"/>
  <c r="AG171" i="69" s="1"/>
  <c r="F172" i="69"/>
  <c r="G172" i="69" s="1"/>
  <c r="H172" i="69" s="1"/>
  <c r="I172" i="69" s="1"/>
  <c r="J172" i="69" s="1"/>
  <c r="K172" i="69" s="1"/>
  <c r="U172" i="69"/>
  <c r="AH172" i="69"/>
  <c r="F119" i="32"/>
  <c r="AU119" i="32"/>
  <c r="AY129" i="50"/>
  <c r="F129" i="50"/>
  <c r="U129" i="50" s="1"/>
  <c r="AT117" i="32"/>
  <c r="AD117" i="32"/>
  <c r="AG117" i="32" s="1"/>
  <c r="AH117" i="32" s="1"/>
  <c r="AI117" i="32" s="1"/>
  <c r="AD127" i="50"/>
  <c r="AG188" i="57"/>
  <c r="X186" i="57"/>
  <c r="AA185" i="57"/>
  <c r="AC189" i="53"/>
  <c r="O189" i="53"/>
  <c r="Q173" i="69"/>
  <c r="AE187" i="57"/>
  <c r="Q187" i="57"/>
  <c r="AD187" i="57"/>
  <c r="R187" i="57"/>
  <c r="AQ187" i="57"/>
  <c r="AC187" i="57"/>
  <c r="P128" i="50"/>
  <c r="P118" i="32"/>
  <c r="N189" i="53"/>
  <c r="O129" i="50"/>
  <c r="AA187" i="53"/>
  <c r="AM118" i="32"/>
  <c r="C127" i="50"/>
  <c r="AJ127" i="50"/>
  <c r="S128" i="50"/>
  <c r="Z128" i="50" s="1"/>
  <c r="W117" i="32"/>
  <c r="X117" i="32" s="1"/>
  <c r="C117" i="32"/>
  <c r="AJ117" i="32"/>
  <c r="S118" i="32"/>
  <c r="W127" i="50"/>
  <c r="X126" i="50"/>
  <c r="V127" i="50"/>
  <c r="V117" i="32"/>
  <c r="AF172" i="69"/>
  <c r="P189" i="57"/>
  <c r="AC170" i="69"/>
  <c r="AD170" i="69" s="1"/>
  <c r="AO173" i="69"/>
  <c r="O174" i="69"/>
  <c r="AE188" i="53"/>
  <c r="AK119" i="32"/>
  <c r="AM128" i="50"/>
  <c r="AL116" i="32"/>
  <c r="AN115" i="32"/>
  <c r="R188" i="53"/>
  <c r="X188" i="53" s="1"/>
  <c r="AB188" i="53" s="1"/>
  <c r="AY172" i="69"/>
  <c r="L189" i="57"/>
  <c r="AT188" i="53"/>
  <c r="AG188" i="53"/>
  <c r="N189" i="57"/>
  <c r="AD188" i="53"/>
  <c r="Q188" i="53"/>
  <c r="AK188" i="52" a="1"/>
  <c r="AK188" i="52" s="1"/>
  <c r="B190" i="53" s="1"/>
  <c r="P189" i="53"/>
  <c r="J189" i="53"/>
  <c r="I189" i="53"/>
  <c r="E189" i="53"/>
  <c r="H189" i="53"/>
  <c r="F189" i="53"/>
  <c r="K189" i="53"/>
  <c r="AH189" i="53" s="1"/>
  <c r="G189" i="53"/>
  <c r="L189" i="53"/>
  <c r="D189" i="53"/>
  <c r="C189" i="53"/>
  <c r="A119" i="32"/>
  <c r="B119" i="32"/>
  <c r="K129" i="50"/>
  <c r="L129" i="50"/>
  <c r="J129" i="50"/>
  <c r="M129" i="50"/>
  <c r="I129" i="50"/>
  <c r="A129" i="50"/>
  <c r="G129" i="50"/>
  <c r="B129" i="50"/>
  <c r="H129" i="50"/>
  <c r="M119" i="32"/>
  <c r="N119" i="32"/>
  <c r="H119" i="32"/>
  <c r="J119" i="32"/>
  <c r="G119" i="32"/>
  <c r="L119" i="32"/>
  <c r="I119" i="32"/>
  <c r="K119" i="32"/>
  <c r="J189" i="57"/>
  <c r="E189" i="57"/>
  <c r="C189" i="57"/>
  <c r="I189" i="57"/>
  <c r="D189" i="57"/>
  <c r="F189" i="57"/>
  <c r="G189" i="57"/>
  <c r="H189" i="57"/>
  <c r="AN188" i="55" a="1"/>
  <c r="AN188" i="55" s="1"/>
  <c r="B190" i="57" s="1"/>
  <c r="O190" i="57" s="1"/>
  <c r="AS174" i="67" a="1"/>
  <c r="AS174" i="67" s="1"/>
  <c r="B175" i="69"/>
  <c r="AM175" i="69" s="1"/>
  <c r="AN175" i="69" s="1"/>
  <c r="C174" i="69"/>
  <c r="AE172" i="69"/>
  <c r="R172" i="69"/>
  <c r="S172" i="69" s="1"/>
  <c r="D173" i="69"/>
  <c r="E173" i="69" s="1"/>
  <c r="AL119" i="11" a="1"/>
  <c r="AL119" i="11" s="1"/>
  <c r="E120" i="32" s="1"/>
  <c r="T120" i="32" s="1"/>
  <c r="AP129" i="59" a="1"/>
  <c r="AP129" i="59" s="1"/>
  <c r="E130" i="50" s="1"/>
  <c r="T130" i="50"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A186" i="57" l="1"/>
  <c r="AB186" i="57"/>
  <c r="AF186" i="57" s="1"/>
  <c r="AF188" i="53"/>
  <c r="AH126" i="50"/>
  <c r="AI126" i="50" s="1"/>
  <c r="AP126" i="50" s="1"/>
  <c r="P174" i="69"/>
  <c r="AP174" i="69"/>
  <c r="AK189" i="57"/>
  <c r="AJ185" i="57"/>
  <c r="O120" i="32"/>
  <c r="AK130" i="50"/>
  <c r="AL127" i="50"/>
  <c r="AG127" i="50"/>
  <c r="BC175" i="69"/>
  <c r="BF175" i="69"/>
  <c r="BD175" i="69"/>
  <c r="BE175" i="69"/>
  <c r="U119" i="32"/>
  <c r="AH190" i="57"/>
  <c r="AI190" i="57" s="1"/>
  <c r="K190" i="57"/>
  <c r="AD118" i="32"/>
  <c r="AG118" i="32" s="1"/>
  <c r="AH118" i="32" s="1"/>
  <c r="AI118" i="32" s="1"/>
  <c r="AQ130" i="50"/>
  <c r="N130" i="50"/>
  <c r="AO129" i="50"/>
  <c r="AX173" i="69"/>
  <c r="AW173" i="69"/>
  <c r="L175" i="69"/>
  <c r="M175" i="69" s="1"/>
  <c r="AZ175" i="69"/>
  <c r="AB171" i="69"/>
  <c r="AC171" i="69" s="1"/>
  <c r="AD171" i="69" s="1"/>
  <c r="Y172" i="69"/>
  <c r="AG172" i="69" s="1"/>
  <c r="F173" i="69"/>
  <c r="G173" i="69" s="1"/>
  <c r="H173" i="69" s="1"/>
  <c r="I173" i="69" s="1"/>
  <c r="J173" i="69" s="1"/>
  <c r="K173" i="69" s="1"/>
  <c r="U173" i="69"/>
  <c r="AH173" i="69"/>
  <c r="F120" i="32"/>
  <c r="AU120" i="32"/>
  <c r="AY130" i="50"/>
  <c r="F130" i="50"/>
  <c r="U130" i="50" s="1"/>
  <c r="AT118" i="32"/>
  <c r="AD128" i="50"/>
  <c r="X187" i="57"/>
  <c r="AG189" i="57"/>
  <c r="AC190" i="53"/>
  <c r="O190" i="53"/>
  <c r="Q174" i="69"/>
  <c r="R188" i="57"/>
  <c r="AC188" i="57"/>
  <c r="Q188" i="57"/>
  <c r="AQ188" i="57"/>
  <c r="AD188" i="57"/>
  <c r="AE188" i="57"/>
  <c r="P129" i="50"/>
  <c r="P119" i="32"/>
  <c r="N190" i="53"/>
  <c r="O130" i="50"/>
  <c r="AA188" i="53"/>
  <c r="C118" i="32"/>
  <c r="Z118" i="32"/>
  <c r="AM119" i="32"/>
  <c r="C128" i="50"/>
  <c r="AJ128" i="50"/>
  <c r="S129" i="50"/>
  <c r="Z129" i="50" s="1"/>
  <c r="S119" i="32"/>
  <c r="Z119" i="32" s="1"/>
  <c r="AJ118" i="32"/>
  <c r="W128" i="50"/>
  <c r="W118" i="32"/>
  <c r="X118" i="32" s="1"/>
  <c r="X127" i="50"/>
  <c r="V128" i="50"/>
  <c r="AF173" i="69"/>
  <c r="P190" i="57"/>
  <c r="AO174" i="69"/>
  <c r="O175" i="69"/>
  <c r="AE189" i="53"/>
  <c r="AK120" i="32"/>
  <c r="AM129" i="50"/>
  <c r="AL117" i="32"/>
  <c r="R189" i="53"/>
  <c r="X189" i="53" s="1"/>
  <c r="AB189" i="53" s="1"/>
  <c r="V118" i="32"/>
  <c r="AN116" i="32"/>
  <c r="AY173" i="69"/>
  <c r="L190" i="57"/>
  <c r="AG189" i="53"/>
  <c r="AT189" i="53"/>
  <c r="N190" i="57"/>
  <c r="Q189" i="53"/>
  <c r="AD189" i="53"/>
  <c r="AK189" i="52" a="1"/>
  <c r="AK189" i="52" s="1"/>
  <c r="B191" i="53" s="1"/>
  <c r="G190" i="53"/>
  <c r="F190" i="53"/>
  <c r="C190" i="53"/>
  <c r="L190" i="53"/>
  <c r="P190" i="53"/>
  <c r="J190" i="53"/>
  <c r="D190" i="53"/>
  <c r="H190" i="53"/>
  <c r="I190" i="53"/>
  <c r="K190" i="53"/>
  <c r="AH190" i="53" s="1"/>
  <c r="E190" i="53"/>
  <c r="A120" i="32"/>
  <c r="B120" i="32"/>
  <c r="G130" i="50"/>
  <c r="H130" i="50"/>
  <c r="L130" i="50"/>
  <c r="K130" i="50"/>
  <c r="B130" i="50"/>
  <c r="J130" i="50"/>
  <c r="I130" i="50"/>
  <c r="M130" i="50"/>
  <c r="A130" i="50"/>
  <c r="K120" i="32"/>
  <c r="L120" i="32"/>
  <c r="N120" i="32"/>
  <c r="H120" i="32"/>
  <c r="M120" i="32"/>
  <c r="J120" i="32"/>
  <c r="I120" i="32"/>
  <c r="G120" i="32"/>
  <c r="J190" i="57"/>
  <c r="G190" i="57"/>
  <c r="D190" i="57"/>
  <c r="F190" i="57"/>
  <c r="H190" i="57"/>
  <c r="I190" i="57"/>
  <c r="C190" i="57"/>
  <c r="E190" i="57"/>
  <c r="AN189" i="55" a="1"/>
  <c r="AN189" i="55" s="1"/>
  <c r="B191" i="57" s="1"/>
  <c r="O191" i="57" s="1"/>
  <c r="C175" i="69"/>
  <c r="AE173" i="69"/>
  <c r="R173" i="69"/>
  <c r="S173" i="69" s="1"/>
  <c r="D174" i="69"/>
  <c r="E174" i="69" s="1"/>
  <c r="AS175" i="67" a="1"/>
  <c r="AS175" i="67" s="1"/>
  <c r="B176" i="69"/>
  <c r="AM176" i="69" s="1"/>
  <c r="AN176" i="69" s="1"/>
  <c r="AL120" i="11" a="1"/>
  <c r="AL120" i="11" s="1"/>
  <c r="E121" i="32" s="1"/>
  <c r="T121" i="32" s="1"/>
  <c r="AP130" i="59" a="1"/>
  <c r="AP130" i="59" s="1"/>
  <c r="E131" i="50" s="1"/>
  <c r="T131" i="50" s="1"/>
  <c r="AA187" i="57" l="1"/>
  <c r="AB187" i="57"/>
  <c r="AF187" i="57" s="1"/>
  <c r="AF189" i="53"/>
  <c r="AH127" i="50"/>
  <c r="AI127" i="50" s="1"/>
  <c r="AP127" i="50" s="1"/>
  <c r="AK190" i="57"/>
  <c r="P175" i="69"/>
  <c r="AP175" i="69"/>
  <c r="AJ186" i="57"/>
  <c r="AL128" i="50"/>
  <c r="O121" i="32"/>
  <c r="AK131" i="50"/>
  <c r="AG128" i="50"/>
  <c r="BC176" i="69"/>
  <c r="BE176" i="69"/>
  <c r="BF176" i="69"/>
  <c r="BD176" i="69"/>
  <c r="U120" i="32"/>
  <c r="AH191" i="57"/>
  <c r="AI191" i="57" s="1"/>
  <c r="K191" i="57"/>
  <c r="AQ131" i="50"/>
  <c r="N131" i="50"/>
  <c r="AO130" i="50"/>
  <c r="AX174" i="69"/>
  <c r="AW174" i="69"/>
  <c r="L176" i="69"/>
  <c r="M176" i="69" s="1"/>
  <c r="AZ176" i="69"/>
  <c r="Y173" i="69"/>
  <c r="AG173" i="69" s="1"/>
  <c r="AB172" i="69"/>
  <c r="AC172" i="69" s="1"/>
  <c r="AD172" i="69" s="1"/>
  <c r="F174" i="69"/>
  <c r="G174" i="69" s="1"/>
  <c r="H174" i="69" s="1"/>
  <c r="I174" i="69" s="1"/>
  <c r="J174" i="69" s="1"/>
  <c r="K174" i="69" s="1"/>
  <c r="U174" i="69"/>
  <c r="AH174" i="69"/>
  <c r="F121" i="32"/>
  <c r="AU121" i="32"/>
  <c r="F131" i="50"/>
  <c r="U131" i="50" s="1"/>
  <c r="AY131" i="50"/>
  <c r="AT119" i="32"/>
  <c r="X188" i="57"/>
  <c r="AB188" i="57" s="1"/>
  <c r="AD119" i="32"/>
  <c r="AG119" i="32" s="1"/>
  <c r="AH119" i="32" s="1"/>
  <c r="AI119" i="32" s="1"/>
  <c r="AD129" i="50"/>
  <c r="AG190" i="57"/>
  <c r="AC191" i="53"/>
  <c r="O191" i="53"/>
  <c r="Q175" i="69"/>
  <c r="Q189" i="57"/>
  <c r="AQ189" i="57"/>
  <c r="AC189" i="57"/>
  <c r="AD189" i="57"/>
  <c r="R189" i="57"/>
  <c r="AE189" i="57"/>
  <c r="P130" i="50"/>
  <c r="P120" i="32"/>
  <c r="N191" i="53"/>
  <c r="O131" i="50"/>
  <c r="AA189" i="53"/>
  <c r="AM120" i="32"/>
  <c r="AJ129" i="50"/>
  <c r="C129" i="50"/>
  <c r="S130" i="50"/>
  <c r="Z130" i="50" s="1"/>
  <c r="W119" i="32"/>
  <c r="X119" i="32" s="1"/>
  <c r="C119" i="32"/>
  <c r="AJ119" i="32"/>
  <c r="S120" i="32"/>
  <c r="Z120" i="32" s="1"/>
  <c r="W129" i="50"/>
  <c r="X128" i="50"/>
  <c r="V129" i="50"/>
  <c r="V119" i="32"/>
  <c r="AF174" i="69"/>
  <c r="P191" i="57"/>
  <c r="O176" i="69"/>
  <c r="AO175" i="69"/>
  <c r="AE190" i="53"/>
  <c r="AK121" i="32"/>
  <c r="AM130" i="50"/>
  <c r="AL118" i="32"/>
  <c r="AN117" i="32"/>
  <c r="R190" i="53"/>
  <c r="X190" i="53" s="1"/>
  <c r="AB190" i="53" s="1"/>
  <c r="AY174" i="69"/>
  <c r="L191" i="57"/>
  <c r="AT190" i="53"/>
  <c r="AG190" i="53"/>
  <c r="N191" i="57"/>
  <c r="AD190" i="53"/>
  <c r="Q190" i="53"/>
  <c r="AK190" i="52" a="1"/>
  <c r="AK190" i="52" s="1"/>
  <c r="B192" i="53" s="1"/>
  <c r="E191" i="53"/>
  <c r="D191" i="53"/>
  <c r="G191" i="53"/>
  <c r="C191" i="53"/>
  <c r="F191" i="53"/>
  <c r="I191" i="53"/>
  <c r="H191" i="53"/>
  <c r="J191" i="53"/>
  <c r="L191" i="53"/>
  <c r="P191" i="53"/>
  <c r="K191" i="53"/>
  <c r="AH191" i="53" s="1"/>
  <c r="A121" i="32"/>
  <c r="B121" i="32"/>
  <c r="B131" i="50"/>
  <c r="A131" i="50"/>
  <c r="K131" i="50"/>
  <c r="G131" i="50"/>
  <c r="H131" i="50"/>
  <c r="M131" i="50"/>
  <c r="I131" i="50"/>
  <c r="J131" i="50"/>
  <c r="L131" i="50"/>
  <c r="I121" i="32"/>
  <c r="J121" i="32"/>
  <c r="L121" i="32"/>
  <c r="N121" i="32"/>
  <c r="H121" i="32"/>
  <c r="K121" i="32"/>
  <c r="G121" i="32"/>
  <c r="M121" i="32"/>
  <c r="D191" i="57"/>
  <c r="F191" i="57"/>
  <c r="I191" i="57"/>
  <c r="E191" i="57"/>
  <c r="J191" i="57"/>
  <c r="C191" i="57"/>
  <c r="G191" i="57"/>
  <c r="H191" i="57"/>
  <c r="AN190" i="55" a="1"/>
  <c r="AN190" i="55" s="1"/>
  <c r="B192" i="57" s="1"/>
  <c r="O192" i="57" s="1"/>
  <c r="AS176" i="67" a="1"/>
  <c r="AS176" i="67" s="1"/>
  <c r="B177" i="69"/>
  <c r="AM177" i="69" s="1"/>
  <c r="AN177" i="69" s="1"/>
  <c r="D175" i="69"/>
  <c r="E175" i="69" s="1"/>
  <c r="C176" i="69"/>
  <c r="R174" i="69"/>
  <c r="S174" i="69" s="1"/>
  <c r="AE174" i="69"/>
  <c r="AL121" i="11" a="1"/>
  <c r="AL121" i="11" s="1"/>
  <c r="AP131" i="59" a="1"/>
  <c r="AP131" i="59" s="1"/>
  <c r="E132" i="50" s="1"/>
  <c r="T132" i="50" s="1"/>
  <c r="AF188" i="57" l="1"/>
  <c r="AF190" i="53"/>
  <c r="AH128" i="50"/>
  <c r="AI128" i="50" s="1"/>
  <c r="AP128" i="50" s="1"/>
  <c r="AK191" i="57"/>
  <c r="P176" i="69"/>
  <c r="AP176" i="69"/>
  <c r="AJ187" i="57"/>
  <c r="AK132" i="50"/>
  <c r="AL129" i="50"/>
  <c r="AG129" i="50"/>
  <c r="BC177" i="69"/>
  <c r="BE177" i="69"/>
  <c r="BF177" i="69"/>
  <c r="BD177" i="69"/>
  <c r="U121" i="32"/>
  <c r="AH192" i="57"/>
  <c r="AI192" i="57" s="1"/>
  <c r="K192" i="57"/>
  <c r="AQ132" i="50"/>
  <c r="N132" i="50"/>
  <c r="AO131" i="50"/>
  <c r="AX175" i="69"/>
  <c r="AW175" i="69"/>
  <c r="L177" i="69"/>
  <c r="M177" i="69" s="1"/>
  <c r="AZ177" i="69"/>
  <c r="AB173" i="69"/>
  <c r="AC173" i="69" s="1"/>
  <c r="AD173" i="69" s="1"/>
  <c r="Y174" i="69"/>
  <c r="AB174" i="69" s="1"/>
  <c r="U175" i="69"/>
  <c r="AH175" i="69"/>
  <c r="F175" i="69"/>
  <c r="G175" i="69" s="1"/>
  <c r="H175" i="69" s="1"/>
  <c r="I175" i="69" s="1"/>
  <c r="J175" i="69" s="1"/>
  <c r="K175" i="69" s="1"/>
  <c r="F132" i="50"/>
  <c r="U132" i="50" s="1"/>
  <c r="AY132" i="50"/>
  <c r="AT120" i="32"/>
  <c r="AE190" i="57"/>
  <c r="AD120" i="32"/>
  <c r="AG120" i="32" s="1"/>
  <c r="AH120" i="32" s="1"/>
  <c r="AI120" i="32" s="1"/>
  <c r="AD130" i="50"/>
  <c r="X189" i="57"/>
  <c r="AB189" i="57" s="1"/>
  <c r="AG191" i="57"/>
  <c r="AC192" i="53"/>
  <c r="O192" i="53"/>
  <c r="Q176" i="69"/>
  <c r="AA188" i="57"/>
  <c r="AD190" i="57"/>
  <c r="AQ190" i="57"/>
  <c r="Q190" i="57"/>
  <c r="AC190" i="57"/>
  <c r="R190" i="57"/>
  <c r="P131" i="50"/>
  <c r="P121" i="32"/>
  <c r="N192" i="53"/>
  <c r="O132" i="50"/>
  <c r="AA190" i="53"/>
  <c r="AM121" i="32"/>
  <c r="C130" i="50"/>
  <c r="AJ130" i="50"/>
  <c r="S131" i="50"/>
  <c r="Z131" i="50" s="1"/>
  <c r="C120" i="32"/>
  <c r="AJ120" i="32"/>
  <c r="W120" i="32"/>
  <c r="X120" i="32" s="1"/>
  <c r="S121" i="32"/>
  <c r="Z121" i="32" s="1"/>
  <c r="W130" i="50"/>
  <c r="X129" i="50"/>
  <c r="V130" i="50"/>
  <c r="V120" i="32"/>
  <c r="AF175" i="69"/>
  <c r="P192" i="57"/>
  <c r="O177" i="69"/>
  <c r="AO176" i="69"/>
  <c r="AE191" i="53"/>
  <c r="AM131" i="50"/>
  <c r="AL119" i="32"/>
  <c r="AN118" i="32"/>
  <c r="R191" i="53"/>
  <c r="X191" i="53" s="1"/>
  <c r="AB191" i="53" s="1"/>
  <c r="AY175" i="69"/>
  <c r="L192" i="57"/>
  <c r="AT191" i="53"/>
  <c r="AG191" i="53"/>
  <c r="N192" i="57"/>
  <c r="P192" i="53"/>
  <c r="AD191" i="53"/>
  <c r="M12" i="32"/>
  <c r="J192" i="53"/>
  <c r="G192" i="53"/>
  <c r="H192" i="53"/>
  <c r="K192" i="53"/>
  <c r="AH192" i="53" s="1"/>
  <c r="L192" i="53"/>
  <c r="Q191" i="53"/>
  <c r="I192" i="53"/>
  <c r="C192" i="53"/>
  <c r="D192" i="53"/>
  <c r="AK191" i="52" a="1"/>
  <c r="AK191" i="52" s="1"/>
  <c r="B193" i="53" s="1"/>
  <c r="F192" i="53"/>
  <c r="E192" i="53"/>
  <c r="K132" i="50"/>
  <c r="I132" i="50"/>
  <c r="L132" i="50"/>
  <c r="A132" i="50"/>
  <c r="J132" i="50"/>
  <c r="B132" i="50"/>
  <c r="M132" i="50"/>
  <c r="G132" i="50"/>
  <c r="H132" i="50"/>
  <c r="J192" i="57"/>
  <c r="H192" i="57"/>
  <c r="F192" i="57"/>
  <c r="D192" i="57"/>
  <c r="C192" i="57"/>
  <c r="G192" i="57"/>
  <c r="I192" i="57"/>
  <c r="E192" i="57"/>
  <c r="E122" i="32"/>
  <c r="T122" i="32" s="1"/>
  <c r="AN191" i="55" a="1"/>
  <c r="AN191" i="55" s="1"/>
  <c r="B193" i="57" s="1"/>
  <c r="O193" i="57" s="1"/>
  <c r="AS177" i="67" a="1"/>
  <c r="AS177" i="67" s="1"/>
  <c r="B178" i="69"/>
  <c r="AM178" i="69" s="1"/>
  <c r="AN178" i="69" s="1"/>
  <c r="D176" i="69"/>
  <c r="E176" i="69" s="1"/>
  <c r="C177" i="69"/>
  <c r="AE175" i="69"/>
  <c r="R175" i="69"/>
  <c r="S175" i="69" s="1"/>
  <c r="AL122" i="11" a="1"/>
  <c r="AL122" i="11" s="1"/>
  <c r="E123" i="32" s="1"/>
  <c r="T123" i="32" s="1"/>
  <c r="AP132" i="59" a="1"/>
  <c r="AP132" i="59" s="1"/>
  <c r="E133" i="50" s="1"/>
  <c r="T133" i="50" s="1"/>
  <c r="AF189" i="57" l="1"/>
  <c r="AF191" i="53"/>
  <c r="AH129" i="50"/>
  <c r="AI129" i="50" s="1"/>
  <c r="AP129" i="50" s="1"/>
  <c r="AK192" i="57"/>
  <c r="P177" i="69"/>
  <c r="AP177" i="69"/>
  <c r="AJ188" i="57"/>
  <c r="O122" i="32"/>
  <c r="O123" i="32"/>
  <c r="AK133" i="50"/>
  <c r="AL130" i="50"/>
  <c r="AG130" i="50"/>
  <c r="BC178" i="69"/>
  <c r="BE178" i="69"/>
  <c r="BF178" i="69"/>
  <c r="BD178" i="69"/>
  <c r="AH193" i="57"/>
  <c r="AI193" i="57" s="1"/>
  <c r="K193" i="57"/>
  <c r="AQ133" i="50"/>
  <c r="N133" i="50"/>
  <c r="AO132" i="50"/>
  <c r="AX176" i="69"/>
  <c r="AW176" i="69"/>
  <c r="L178" i="69"/>
  <c r="M178" i="69" s="1"/>
  <c r="AZ178" i="69"/>
  <c r="AG174" i="69"/>
  <c r="Y175" i="69"/>
  <c r="AB175" i="69" s="1"/>
  <c r="F176" i="69"/>
  <c r="G176" i="69" s="1"/>
  <c r="H176" i="69" s="1"/>
  <c r="I176" i="69" s="1"/>
  <c r="J176" i="69" s="1"/>
  <c r="K176" i="69" s="1"/>
  <c r="U176" i="69"/>
  <c r="AH176" i="69"/>
  <c r="F122" i="32"/>
  <c r="AU122" i="32"/>
  <c r="F123" i="32"/>
  <c r="AU123" i="32"/>
  <c r="AY133" i="50"/>
  <c r="F133" i="50"/>
  <c r="U133" i="50" s="1"/>
  <c r="AT121" i="32"/>
  <c r="AD121" i="32"/>
  <c r="AG121" i="32" s="1"/>
  <c r="AH121" i="32" s="1"/>
  <c r="AI121" i="32" s="1"/>
  <c r="AD131" i="50"/>
  <c r="X190" i="57"/>
  <c r="AB190" i="57" s="1"/>
  <c r="AG192" i="57"/>
  <c r="Q191" i="57"/>
  <c r="AQ191" i="57"/>
  <c r="AD191" i="57"/>
  <c r="AA189" i="57"/>
  <c r="AC191" i="57"/>
  <c r="R191" i="57"/>
  <c r="AC193" i="53"/>
  <c r="O193" i="53"/>
  <c r="Q177" i="69"/>
  <c r="AE191" i="57"/>
  <c r="P132" i="50"/>
  <c r="N193" i="53"/>
  <c r="O133" i="50"/>
  <c r="AA191" i="53"/>
  <c r="C131" i="50"/>
  <c r="AJ131" i="50"/>
  <c r="S132" i="50"/>
  <c r="Z132" i="50" s="1"/>
  <c r="C121" i="32"/>
  <c r="AJ121" i="32"/>
  <c r="W121" i="32"/>
  <c r="X121" i="32" s="1"/>
  <c r="W131" i="50"/>
  <c r="X130" i="50"/>
  <c r="V131" i="50"/>
  <c r="V121" i="32"/>
  <c r="AF176" i="69"/>
  <c r="P193" i="57"/>
  <c r="AC174" i="69"/>
  <c r="AD174" i="69" s="1"/>
  <c r="AO177" i="69"/>
  <c r="O178" i="69"/>
  <c r="AE192" i="53"/>
  <c r="AK123" i="32"/>
  <c r="AK122" i="32"/>
  <c r="AM132" i="50"/>
  <c r="AL120" i="32"/>
  <c r="R192" i="53"/>
  <c r="X192" i="53" s="1"/>
  <c r="AB192" i="53" s="1"/>
  <c r="AN119" i="32"/>
  <c r="AY176" i="69"/>
  <c r="L193" i="57"/>
  <c r="AT192" i="53"/>
  <c r="AG192" i="53"/>
  <c r="N193" i="57"/>
  <c r="K193" i="53"/>
  <c r="AH193" i="53" s="1"/>
  <c r="AD192" i="53"/>
  <c r="Q192" i="53"/>
  <c r="AK192" i="52" a="1"/>
  <c r="AK192" i="52" s="1"/>
  <c r="B194" i="53" s="1"/>
  <c r="J193" i="53"/>
  <c r="D193" i="53"/>
  <c r="I193" i="53"/>
  <c r="C193" i="53"/>
  <c r="P193" i="53"/>
  <c r="E193" i="53"/>
  <c r="F193" i="53"/>
  <c r="H193" i="53"/>
  <c r="G193" i="53"/>
  <c r="L193" i="53"/>
  <c r="A123" i="32"/>
  <c r="B123" i="32"/>
  <c r="A122" i="32"/>
  <c r="B122" i="32"/>
  <c r="M133" i="50"/>
  <c r="H133" i="50"/>
  <c r="G133" i="50"/>
  <c r="I133" i="50"/>
  <c r="L133" i="50"/>
  <c r="A133" i="50"/>
  <c r="J133" i="50"/>
  <c r="K133" i="50"/>
  <c r="B133" i="50"/>
  <c r="M123" i="32"/>
  <c r="N123" i="32"/>
  <c r="H123" i="32"/>
  <c r="J123" i="32"/>
  <c r="G123" i="32"/>
  <c r="L123" i="32"/>
  <c r="K123" i="32"/>
  <c r="I123" i="32"/>
  <c r="G122" i="32"/>
  <c r="H122" i="32"/>
  <c r="J122" i="32"/>
  <c r="L122" i="32"/>
  <c r="I122" i="32"/>
  <c r="N122" i="32"/>
  <c r="K122" i="32"/>
  <c r="M122" i="32"/>
  <c r="J193" i="57"/>
  <c r="H193" i="57"/>
  <c r="E193" i="57"/>
  <c r="G193" i="57"/>
  <c r="C193" i="57"/>
  <c r="F193" i="57"/>
  <c r="I193" i="57"/>
  <c r="D193" i="57"/>
  <c r="AN192" i="55" a="1"/>
  <c r="AN192" i="55" s="1"/>
  <c r="B194" i="57" s="1"/>
  <c r="O194" i="57" s="1"/>
  <c r="AS178" i="67" a="1"/>
  <c r="AS178" i="67" s="1"/>
  <c r="B179" i="69"/>
  <c r="AM179" i="69" s="1"/>
  <c r="AN179" i="69" s="1"/>
  <c r="R176" i="69"/>
  <c r="S176" i="69" s="1"/>
  <c r="AE176" i="69"/>
  <c r="D177" i="69"/>
  <c r="E177" i="69" s="1"/>
  <c r="C178" i="69"/>
  <c r="AL123" i="11" a="1"/>
  <c r="AL123" i="11" s="1"/>
  <c r="E124" i="32" s="1"/>
  <c r="T124" i="32" s="1"/>
  <c r="AP133" i="59" a="1"/>
  <c r="AP133" i="59" s="1"/>
  <c r="E134" i="50" s="1"/>
  <c r="T134" i="50" s="1"/>
  <c r="AF190" i="57" l="1"/>
  <c r="AF192" i="53"/>
  <c r="AH130" i="50"/>
  <c r="AI130" i="50" s="1"/>
  <c r="AP130" i="50" s="1"/>
  <c r="P178" i="69"/>
  <c r="AP178" i="69"/>
  <c r="AK193" i="57"/>
  <c r="AJ189" i="57"/>
  <c r="O124" i="32"/>
  <c r="AK134" i="50"/>
  <c r="AL131" i="50"/>
  <c r="AG131" i="50"/>
  <c r="BC179" i="69"/>
  <c r="BD179" i="69"/>
  <c r="BE179" i="69"/>
  <c r="BF179" i="69"/>
  <c r="U122" i="32"/>
  <c r="U123" i="32"/>
  <c r="AH194" i="57"/>
  <c r="AI194" i="57" s="1"/>
  <c r="K194" i="57"/>
  <c r="N134" i="50"/>
  <c r="AQ134" i="50"/>
  <c r="AO133" i="50"/>
  <c r="AX177" i="69"/>
  <c r="AW177" i="69"/>
  <c r="L179" i="69"/>
  <c r="M179" i="69" s="1"/>
  <c r="AZ179" i="69"/>
  <c r="Y176" i="69"/>
  <c r="AG176" i="69" s="1"/>
  <c r="AG175" i="69"/>
  <c r="F177" i="69"/>
  <c r="G177" i="69" s="1"/>
  <c r="H177" i="69" s="1"/>
  <c r="I177" i="69" s="1"/>
  <c r="J177" i="69" s="1"/>
  <c r="K177" i="69" s="1"/>
  <c r="U177" i="69"/>
  <c r="AH177" i="69"/>
  <c r="F124" i="32"/>
  <c r="AU124" i="32"/>
  <c r="AY134" i="50"/>
  <c r="F134" i="50"/>
  <c r="U134" i="50" s="1"/>
  <c r="X191" i="57"/>
  <c r="AB191" i="57" s="1"/>
  <c r="AD132" i="50"/>
  <c r="AG193" i="57"/>
  <c r="AD192" i="57"/>
  <c r="AC194" i="53"/>
  <c r="O194" i="53"/>
  <c r="Q178" i="69"/>
  <c r="AE192" i="57"/>
  <c r="R192" i="57"/>
  <c r="Q192" i="57"/>
  <c r="AQ192" i="57"/>
  <c r="AC192" i="57"/>
  <c r="AA190" i="57"/>
  <c r="P133" i="50"/>
  <c r="P123" i="32"/>
  <c r="P122" i="32"/>
  <c r="N194" i="53"/>
  <c r="O134" i="50"/>
  <c r="AA192" i="53"/>
  <c r="AM123" i="32"/>
  <c r="AM122" i="32"/>
  <c r="AJ132" i="50"/>
  <c r="C132" i="50"/>
  <c r="S133" i="50"/>
  <c r="Z133" i="50" s="1"/>
  <c r="S122" i="32"/>
  <c r="Z122" i="32" s="1"/>
  <c r="S123" i="32"/>
  <c r="Z123" i="32" s="1"/>
  <c r="W132" i="50"/>
  <c r="X131" i="50"/>
  <c r="V132" i="50"/>
  <c r="AF177" i="69"/>
  <c r="P194" i="57"/>
  <c r="AC175" i="69"/>
  <c r="AD175" i="69" s="1"/>
  <c r="AO178" i="69"/>
  <c r="O179" i="69"/>
  <c r="AE193" i="53"/>
  <c r="AK124" i="32"/>
  <c r="AM133" i="50"/>
  <c r="AL121" i="32"/>
  <c r="AN120" i="32"/>
  <c r="R193" i="53"/>
  <c r="X193" i="53" s="1"/>
  <c r="AB193" i="53" s="1"/>
  <c r="AY177" i="69"/>
  <c r="L194" i="57"/>
  <c r="AT193" i="53"/>
  <c r="AG193" i="53"/>
  <c r="N194" i="57"/>
  <c r="L194" i="53"/>
  <c r="AD193" i="53"/>
  <c r="Q193" i="53"/>
  <c r="AK193" i="52" a="1"/>
  <c r="AK193" i="52" s="1"/>
  <c r="B195" i="53" s="1"/>
  <c r="F194" i="53"/>
  <c r="E194" i="53"/>
  <c r="P194" i="53"/>
  <c r="J194" i="53"/>
  <c r="I194" i="53"/>
  <c r="D194" i="53"/>
  <c r="C194" i="53"/>
  <c r="H194" i="53"/>
  <c r="G194" i="53"/>
  <c r="K194" i="53"/>
  <c r="AH194" i="53" s="1"/>
  <c r="A124" i="32"/>
  <c r="B124" i="32"/>
  <c r="G134" i="50"/>
  <c r="B134" i="50"/>
  <c r="L134" i="50"/>
  <c r="K134" i="50"/>
  <c r="I134" i="50"/>
  <c r="A134" i="50"/>
  <c r="M134" i="50"/>
  <c r="J134" i="50"/>
  <c r="H134" i="50"/>
  <c r="K124" i="32"/>
  <c r="L124" i="32"/>
  <c r="N124" i="32"/>
  <c r="H124" i="32"/>
  <c r="J124" i="32"/>
  <c r="M124" i="32"/>
  <c r="G124" i="32"/>
  <c r="I124" i="32"/>
  <c r="J194" i="57"/>
  <c r="D194" i="57"/>
  <c r="H194" i="57"/>
  <c r="C194" i="57"/>
  <c r="F194" i="57"/>
  <c r="I194" i="57"/>
  <c r="G194" i="57"/>
  <c r="E194" i="57"/>
  <c r="AN193" i="55" a="1"/>
  <c r="AN193" i="55" s="1"/>
  <c r="B195" i="57" s="1"/>
  <c r="O195" i="57" s="1"/>
  <c r="AS179" i="67" a="1"/>
  <c r="AS179" i="67" s="1"/>
  <c r="B180" i="69"/>
  <c r="AM180" i="69" s="1"/>
  <c r="AN180" i="69" s="1"/>
  <c r="R177" i="69"/>
  <c r="S177" i="69" s="1"/>
  <c r="AE177" i="69"/>
  <c r="C179" i="69"/>
  <c r="D178" i="69"/>
  <c r="E178" i="69" s="1"/>
  <c r="AL124" i="11" a="1"/>
  <c r="AL124" i="11" s="1"/>
  <c r="E125" i="32" s="1"/>
  <c r="T125" i="32" s="1"/>
  <c r="AP134" i="59" a="1"/>
  <c r="AP134" i="59" s="1"/>
  <c r="E135" i="50" s="1"/>
  <c r="T135" i="50" s="1"/>
  <c r="AF191" i="57" l="1"/>
  <c r="AF193" i="53"/>
  <c r="AH131" i="50"/>
  <c r="AI131" i="50" s="1"/>
  <c r="AP131" i="50" s="1"/>
  <c r="P179" i="69"/>
  <c r="AP179" i="69"/>
  <c r="AK194" i="57"/>
  <c r="AJ190" i="57"/>
  <c r="O125" i="32"/>
  <c r="AK135" i="50"/>
  <c r="AL132" i="50"/>
  <c r="AG132" i="50"/>
  <c r="BC180" i="69"/>
  <c r="BD180" i="69"/>
  <c r="BE180" i="69"/>
  <c r="BF180" i="69"/>
  <c r="U124" i="32"/>
  <c r="K195" i="57"/>
  <c r="AH195" i="57"/>
  <c r="AI195" i="57" s="1"/>
  <c r="N135" i="50"/>
  <c r="AQ135" i="50"/>
  <c r="AO134" i="50"/>
  <c r="AX178" i="69"/>
  <c r="AW178" i="69"/>
  <c r="L180" i="69"/>
  <c r="M180" i="69" s="1"/>
  <c r="AZ180" i="69"/>
  <c r="AB176" i="69"/>
  <c r="AC176" i="69" s="1"/>
  <c r="AD176" i="69" s="1"/>
  <c r="Y177" i="69"/>
  <c r="AG177" i="69" s="1"/>
  <c r="F178" i="69"/>
  <c r="G178" i="69" s="1"/>
  <c r="H178" i="69" s="1"/>
  <c r="I178" i="69" s="1"/>
  <c r="J178" i="69" s="1"/>
  <c r="K178" i="69" s="1"/>
  <c r="U178" i="69"/>
  <c r="AH178" i="69"/>
  <c r="F125" i="32"/>
  <c r="AU125" i="32"/>
  <c r="AY135" i="50"/>
  <c r="F135" i="50"/>
  <c r="U135" i="50" s="1"/>
  <c r="AT123" i="32"/>
  <c r="AT122" i="32"/>
  <c r="AD123" i="32"/>
  <c r="AG123" i="32" s="1"/>
  <c r="AH123" i="32" s="1"/>
  <c r="AI123" i="32" s="1"/>
  <c r="AD122" i="32"/>
  <c r="AG122" i="32" s="1"/>
  <c r="AH122" i="32" s="1"/>
  <c r="AI122" i="32" s="1"/>
  <c r="AD133" i="50"/>
  <c r="AG194" i="57"/>
  <c r="X192" i="57"/>
  <c r="AB192" i="57" s="1"/>
  <c r="AA191" i="57"/>
  <c r="AC195" i="53"/>
  <c r="O195" i="53"/>
  <c r="Q179" i="69"/>
  <c r="AD193" i="57"/>
  <c r="AC193" i="57"/>
  <c r="Q193" i="57"/>
  <c r="AQ193" i="57"/>
  <c r="AE193" i="57"/>
  <c r="R193" i="57"/>
  <c r="P134" i="50"/>
  <c r="P124" i="32"/>
  <c r="N195" i="53"/>
  <c r="O135" i="50"/>
  <c r="AA193" i="53"/>
  <c r="AM124" i="32"/>
  <c r="AJ133" i="50"/>
  <c r="C133" i="50"/>
  <c r="S134" i="50"/>
  <c r="Z134" i="50" s="1"/>
  <c r="C123" i="32"/>
  <c r="AJ123" i="32"/>
  <c r="W123" i="32"/>
  <c r="X123" i="32" s="1"/>
  <c r="AJ122" i="32"/>
  <c r="W122" i="32"/>
  <c r="X122" i="32" s="1"/>
  <c r="C122" i="32"/>
  <c r="S124" i="32"/>
  <c r="Z124" i="32" s="1"/>
  <c r="W133" i="50"/>
  <c r="X132" i="50"/>
  <c r="V133" i="50"/>
  <c r="V122" i="32"/>
  <c r="V123" i="32"/>
  <c r="AF178" i="69"/>
  <c r="P195" i="57"/>
  <c r="O180" i="69"/>
  <c r="AO179" i="69"/>
  <c r="AE194" i="53"/>
  <c r="AK125" i="32"/>
  <c r="AM134" i="50"/>
  <c r="AN121" i="32"/>
  <c r="R194" i="53"/>
  <c r="X194" i="53" s="1"/>
  <c r="AB194" i="53" s="1"/>
  <c r="N22" i="32"/>
  <c r="AN22" i="32" s="1"/>
  <c r="AY178" i="69"/>
  <c r="L195" i="57"/>
  <c r="AG194" i="53"/>
  <c r="AT194" i="53"/>
  <c r="N195" i="57"/>
  <c r="Q194" i="53"/>
  <c r="AD194" i="53"/>
  <c r="AK194" i="52" a="1"/>
  <c r="AK194" i="52" s="1"/>
  <c r="B196" i="53" s="1"/>
  <c r="J195" i="53"/>
  <c r="E195" i="53"/>
  <c r="H195" i="53"/>
  <c r="G195" i="53"/>
  <c r="K195" i="53"/>
  <c r="AH195" i="53" s="1"/>
  <c r="D195" i="53"/>
  <c r="F195" i="53"/>
  <c r="P195" i="53"/>
  <c r="C195" i="53"/>
  <c r="I195" i="53"/>
  <c r="L195" i="53"/>
  <c r="A125" i="32"/>
  <c r="B125" i="32"/>
  <c r="M135" i="50"/>
  <c r="G135" i="50"/>
  <c r="A135" i="50"/>
  <c r="L135" i="50"/>
  <c r="J135" i="50"/>
  <c r="K135" i="50"/>
  <c r="I135" i="50"/>
  <c r="B135" i="50"/>
  <c r="H135" i="50"/>
  <c r="I125" i="32"/>
  <c r="J125" i="32"/>
  <c r="L125" i="32"/>
  <c r="N125" i="32"/>
  <c r="K125" i="32"/>
  <c r="H125" i="32"/>
  <c r="G125" i="32"/>
  <c r="M125" i="32"/>
  <c r="I195" i="57"/>
  <c r="F195" i="57"/>
  <c r="E195" i="57"/>
  <c r="D195" i="57"/>
  <c r="J195" i="57"/>
  <c r="G195" i="57"/>
  <c r="H195" i="57"/>
  <c r="C195" i="57"/>
  <c r="AN194" i="55" a="1"/>
  <c r="AN194" i="55" s="1"/>
  <c r="B196" i="57" s="1"/>
  <c r="O196" i="57" s="1"/>
  <c r="AS180" i="67" a="1"/>
  <c r="AS180" i="67" s="1"/>
  <c r="B181" i="69"/>
  <c r="AM181" i="69" s="1"/>
  <c r="AN181" i="69" s="1"/>
  <c r="R178" i="69"/>
  <c r="S178" i="69" s="1"/>
  <c r="AE178" i="69"/>
  <c r="D179" i="69"/>
  <c r="E179" i="69" s="1"/>
  <c r="C180" i="69"/>
  <c r="AL125" i="11" a="1"/>
  <c r="AL125" i="11" s="1"/>
  <c r="E126" i="32" s="1"/>
  <c r="T126" i="32" s="1"/>
  <c r="AP135" i="59" a="1"/>
  <c r="AP135" i="59" s="1"/>
  <c r="E136" i="50" s="1"/>
  <c r="T136" i="50" s="1"/>
  <c r="AH13" i="11"/>
  <c r="AH15" i="11"/>
  <c r="AH16" i="11"/>
  <c r="AH17" i="11"/>
  <c r="AH19" i="11"/>
  <c r="AF192" i="57" l="1"/>
  <c r="AF194" i="53"/>
  <c r="AH132" i="50"/>
  <c r="AI132" i="50" s="1"/>
  <c r="AP132" i="50" s="1"/>
  <c r="P180" i="69"/>
  <c r="AP180" i="69"/>
  <c r="AK195" i="57"/>
  <c r="AJ191" i="57"/>
  <c r="O126" i="32"/>
  <c r="AK136" i="50"/>
  <c r="AL133" i="50"/>
  <c r="AG133" i="50"/>
  <c r="BC181" i="69"/>
  <c r="BF181" i="69"/>
  <c r="BE181" i="69"/>
  <c r="BD181" i="69"/>
  <c r="U125" i="32"/>
  <c r="AH196" i="57"/>
  <c r="AI196" i="57" s="1"/>
  <c r="K196" i="57"/>
  <c r="AQ136" i="50"/>
  <c r="N136" i="50"/>
  <c r="AO135" i="50"/>
  <c r="AX179" i="69"/>
  <c r="AW179" i="69"/>
  <c r="L181" i="69"/>
  <c r="M181" i="69" s="1"/>
  <c r="AZ181" i="69"/>
  <c r="AB177" i="69"/>
  <c r="AC177" i="69" s="1"/>
  <c r="AD177" i="69" s="1"/>
  <c r="Y178" i="69"/>
  <c r="AG178" i="69" s="1"/>
  <c r="U179" i="69"/>
  <c r="AH179" i="69"/>
  <c r="F179" i="69"/>
  <c r="G179" i="69" s="1"/>
  <c r="H179" i="69" s="1"/>
  <c r="I179" i="69" s="1"/>
  <c r="J179" i="69" s="1"/>
  <c r="K179" i="69" s="1"/>
  <c r="F126" i="32"/>
  <c r="AU126" i="32"/>
  <c r="AY136" i="50"/>
  <c r="F136" i="50"/>
  <c r="U136" i="50" s="1"/>
  <c r="AT124" i="32"/>
  <c r="AD124" i="32"/>
  <c r="AG124" i="32" s="1"/>
  <c r="AH124" i="32" s="1"/>
  <c r="AI124" i="32" s="1"/>
  <c r="AD134" i="50"/>
  <c r="X193" i="57"/>
  <c r="AB193" i="57" s="1"/>
  <c r="AG195" i="57"/>
  <c r="AC196" i="53"/>
  <c r="O196" i="53"/>
  <c r="Q180" i="69"/>
  <c r="AA192" i="57"/>
  <c r="AQ194" i="57"/>
  <c r="Q194" i="57"/>
  <c r="AD194" i="57"/>
  <c r="R194" i="57"/>
  <c r="AE194" i="57"/>
  <c r="AC194" i="57"/>
  <c r="P135" i="50"/>
  <c r="P125" i="32"/>
  <c r="N196" i="53"/>
  <c r="O136" i="50"/>
  <c r="AA194" i="53"/>
  <c r="AM125" i="32"/>
  <c r="C134" i="50"/>
  <c r="AJ134" i="50"/>
  <c r="S135" i="50"/>
  <c r="Z135" i="50" s="1"/>
  <c r="N18" i="32"/>
  <c r="AN18" i="32" s="1"/>
  <c r="C124" i="32"/>
  <c r="W124" i="32"/>
  <c r="X124" i="32" s="1"/>
  <c r="AJ124" i="32"/>
  <c r="S125" i="32"/>
  <c r="Z125" i="32" s="1"/>
  <c r="W134" i="50"/>
  <c r="X133" i="50"/>
  <c r="V134" i="50"/>
  <c r="V124" i="32"/>
  <c r="AF179" i="69"/>
  <c r="P196" i="57"/>
  <c r="O181" i="69"/>
  <c r="AO180" i="69"/>
  <c r="AE195" i="53"/>
  <c r="AK126" i="32"/>
  <c r="AM135" i="50"/>
  <c r="AL123" i="32"/>
  <c r="AL122" i="32"/>
  <c r="R195" i="53"/>
  <c r="X195" i="53" s="1"/>
  <c r="AB195" i="53" s="1"/>
  <c r="AY179" i="69"/>
  <c r="L196" i="57"/>
  <c r="AT195" i="53"/>
  <c r="AG195" i="53"/>
  <c r="N196" i="57"/>
  <c r="I196" i="53"/>
  <c r="AD195" i="53"/>
  <c r="Q195" i="53"/>
  <c r="L196" i="53"/>
  <c r="G196" i="53"/>
  <c r="H196" i="53"/>
  <c r="F196" i="53"/>
  <c r="D196" i="53"/>
  <c r="K196" i="53"/>
  <c r="AH196" i="53" s="1"/>
  <c r="E196" i="53"/>
  <c r="P196" i="53"/>
  <c r="J196" i="53"/>
  <c r="AK195" i="52" a="1"/>
  <c r="AK195" i="52" s="1"/>
  <c r="B197" i="53" s="1"/>
  <c r="C196" i="53"/>
  <c r="A126" i="32"/>
  <c r="B126" i="32"/>
  <c r="G136" i="50"/>
  <c r="J136" i="50"/>
  <c r="H136" i="50"/>
  <c r="I136" i="50"/>
  <c r="B136" i="50"/>
  <c r="M136" i="50"/>
  <c r="A136" i="50"/>
  <c r="K136" i="50"/>
  <c r="L136" i="50"/>
  <c r="G126" i="32"/>
  <c r="H126" i="32"/>
  <c r="J126" i="32"/>
  <c r="L126" i="32"/>
  <c r="I126" i="32"/>
  <c r="N126" i="32"/>
  <c r="M126" i="32"/>
  <c r="K126" i="32"/>
  <c r="H196" i="57"/>
  <c r="F196" i="57"/>
  <c r="C196" i="57"/>
  <c r="I196" i="57"/>
  <c r="J196" i="57"/>
  <c r="E196" i="57"/>
  <c r="G196" i="57"/>
  <c r="D196" i="57"/>
  <c r="AN195" i="55" a="1"/>
  <c r="AN195" i="55" s="1"/>
  <c r="B197" i="57" s="1"/>
  <c r="O197" i="57" s="1"/>
  <c r="AS181" i="67" a="1"/>
  <c r="AS181" i="67" s="1"/>
  <c r="B182" i="69"/>
  <c r="AM182" i="69" s="1"/>
  <c r="AN182" i="69" s="1"/>
  <c r="AE179" i="69"/>
  <c r="R179" i="69"/>
  <c r="S179" i="69" s="1"/>
  <c r="D180" i="69"/>
  <c r="E180" i="69" s="1"/>
  <c r="C181" i="69"/>
  <c r="AL126" i="11" a="1"/>
  <c r="AL126" i="11" s="1"/>
  <c r="E127" i="32" s="1"/>
  <c r="T127" i="32" s="1"/>
  <c r="AP136" i="59" a="1"/>
  <c r="AP136" i="59" s="1"/>
  <c r="E137" i="50" s="1"/>
  <c r="T137" i="50" s="1"/>
  <c r="AH20" i="11"/>
  <c r="AH258" i="11"/>
  <c r="AH24" i="11"/>
  <c r="AH31" i="11"/>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AF195" i="53" l="1"/>
  <c r="AF193" i="57"/>
  <c r="AH133" i="50"/>
  <c r="AI133" i="50" s="1"/>
  <c r="AP133" i="50" s="1"/>
  <c r="AK196" i="57"/>
  <c r="P181" i="69"/>
  <c r="AP181" i="69"/>
  <c r="AJ192" i="57"/>
  <c r="O127" i="32"/>
  <c r="AK137" i="50"/>
  <c r="AL134" i="50"/>
  <c r="AG134" i="50"/>
  <c r="BC182" i="69"/>
  <c r="BF182" i="69"/>
  <c r="BE182" i="69"/>
  <c r="BD182" i="69"/>
  <c r="U126" i="32"/>
  <c r="AH197" i="57"/>
  <c r="AI197" i="57" s="1"/>
  <c r="K197" i="57"/>
  <c r="AQ137" i="50"/>
  <c r="N137" i="50"/>
  <c r="AO136" i="50"/>
  <c r="AW180" i="69"/>
  <c r="AX180" i="69"/>
  <c r="L182" i="69"/>
  <c r="M182" i="69" s="1"/>
  <c r="AZ182" i="69"/>
  <c r="AB178" i="69"/>
  <c r="AC178" i="69" s="1"/>
  <c r="AD178" i="69" s="1"/>
  <c r="U180" i="69"/>
  <c r="AH180" i="69"/>
  <c r="F180" i="69"/>
  <c r="G180" i="69" s="1"/>
  <c r="H180" i="69" s="1"/>
  <c r="I180" i="69" s="1"/>
  <c r="J180" i="69" s="1"/>
  <c r="K180" i="69" s="1"/>
  <c r="F127" i="32"/>
  <c r="AU127" i="32"/>
  <c r="AY137" i="50"/>
  <c r="F137" i="50"/>
  <c r="U137" i="50" s="1"/>
  <c r="AT125" i="32"/>
  <c r="Y179" i="69"/>
  <c r="AB179" i="69" s="1"/>
  <c r="AC179" i="69" s="1"/>
  <c r="AD179" i="69" s="1"/>
  <c r="AD125" i="32"/>
  <c r="AG125" i="32" s="1"/>
  <c r="AH125" i="32" s="1"/>
  <c r="AI125" i="32" s="1"/>
  <c r="AD135" i="50"/>
  <c r="AD195" i="57"/>
  <c r="X194" i="57"/>
  <c r="AB194" i="57" s="1"/>
  <c r="AG196" i="57"/>
  <c r="Q195" i="57"/>
  <c r="AQ195" i="57"/>
  <c r="R195" i="57"/>
  <c r="AC195" i="57"/>
  <c r="AA193" i="57"/>
  <c r="AC197" i="53"/>
  <c r="O197" i="53"/>
  <c r="Q181" i="69"/>
  <c r="AE195" i="57"/>
  <c r="P136" i="50"/>
  <c r="P126" i="32"/>
  <c r="N197" i="53"/>
  <c r="O137" i="50"/>
  <c r="AA195" i="53"/>
  <c r="AM126" i="32"/>
  <c r="C135" i="50"/>
  <c r="AJ135" i="50"/>
  <c r="S136" i="50"/>
  <c r="Z136" i="50" s="1"/>
  <c r="C125" i="32"/>
  <c r="W125" i="32"/>
  <c r="X125" i="32" s="1"/>
  <c r="AJ125" i="32"/>
  <c r="S126" i="32"/>
  <c r="Z126" i="32" s="1"/>
  <c r="W135" i="50"/>
  <c r="X134" i="50"/>
  <c r="V135" i="50"/>
  <c r="V125" i="32"/>
  <c r="AF180" i="69"/>
  <c r="P197" i="57"/>
  <c r="AO181" i="69"/>
  <c r="O182" i="69"/>
  <c r="AE196" i="53"/>
  <c r="AK127" i="32"/>
  <c r="AM136" i="50"/>
  <c r="AL124" i="32"/>
  <c r="AN122" i="32"/>
  <c r="R196" i="53"/>
  <c r="X196" i="53" s="1"/>
  <c r="AB196" i="53" s="1"/>
  <c r="AN123" i="32"/>
  <c r="AY180" i="69"/>
  <c r="L197" i="57"/>
  <c r="AT196" i="53"/>
  <c r="AG196" i="53"/>
  <c r="N197" i="57"/>
  <c r="E197" i="53"/>
  <c r="AD196" i="53"/>
  <c r="I12" i="32"/>
  <c r="T12" i="32" s="1"/>
  <c r="U12" i="32" s="1"/>
  <c r="Q196" i="53"/>
  <c r="P197" i="53"/>
  <c r="H197" i="53"/>
  <c r="C197" i="53"/>
  <c r="I197" i="53"/>
  <c r="F197" i="53"/>
  <c r="K197" i="53"/>
  <c r="AH197" i="53" s="1"/>
  <c r="L197" i="53"/>
  <c r="D197" i="53"/>
  <c r="AK196" i="52" a="1"/>
  <c r="AK196" i="52" s="1"/>
  <c r="B198" i="53" s="1"/>
  <c r="J197" i="53"/>
  <c r="G197" i="53"/>
  <c r="A127" i="32"/>
  <c r="B127" i="32"/>
  <c r="J137" i="50"/>
  <c r="M137" i="50"/>
  <c r="H137" i="50"/>
  <c r="K137" i="50"/>
  <c r="I137" i="50"/>
  <c r="G137" i="50"/>
  <c r="A137" i="50"/>
  <c r="L137" i="50"/>
  <c r="B137" i="50"/>
  <c r="M127" i="32"/>
  <c r="N127" i="32"/>
  <c r="H127" i="32"/>
  <c r="J127" i="32"/>
  <c r="G127" i="32"/>
  <c r="L127" i="32"/>
  <c r="I127" i="32"/>
  <c r="K127" i="32"/>
  <c r="J21" i="22"/>
  <c r="J197" i="57"/>
  <c r="E197" i="57"/>
  <c r="G197" i="57"/>
  <c r="C197" i="57"/>
  <c r="I197" i="57"/>
  <c r="D197" i="57"/>
  <c r="F197" i="57"/>
  <c r="H197" i="57"/>
  <c r="AN196" i="55" a="1"/>
  <c r="AN196" i="55" s="1"/>
  <c r="B198" i="57" s="1"/>
  <c r="O198" i="57" s="1"/>
  <c r="R180" i="69"/>
  <c r="S180" i="69" s="1"/>
  <c r="AE180" i="69"/>
  <c r="D181" i="69"/>
  <c r="E181" i="69" s="1"/>
  <c r="C182" i="69"/>
  <c r="AS182" i="67" a="1"/>
  <c r="AS182" i="67" s="1"/>
  <c r="B183" i="69"/>
  <c r="AM183" i="69" s="1"/>
  <c r="AN183" i="69" s="1"/>
  <c r="AL127" i="11" a="1"/>
  <c r="AL127" i="11" s="1"/>
  <c r="E128" i="32" s="1"/>
  <c r="T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T138" i="50" s="1"/>
  <c r="L10" i="22"/>
  <c r="L34" i="22"/>
  <c r="L9" i="22"/>
  <c r="L11" i="22"/>
  <c r="L22" i="22"/>
  <c r="L12" i="22"/>
  <c r="AM11" i="11" a="1"/>
  <c r="AM11" i="11" s="1"/>
  <c r="L13" i="22"/>
  <c r="AF194" i="57" l="1"/>
  <c r="AF196" i="53"/>
  <c r="AH134" i="50"/>
  <c r="AI134" i="50" s="1"/>
  <c r="AP134" i="50" s="1"/>
  <c r="AK197" i="57"/>
  <c r="P182" i="69"/>
  <c r="AP182" i="69"/>
  <c r="AJ193" i="57"/>
  <c r="AJ194" i="57"/>
  <c r="O128" i="32"/>
  <c r="AK138" i="50"/>
  <c r="AL135" i="50"/>
  <c r="AG135" i="50"/>
  <c r="BC183" i="69"/>
  <c r="BF183" i="69"/>
  <c r="BD183" i="69"/>
  <c r="BE183" i="69"/>
  <c r="J91" i="22"/>
  <c r="J18" i="22"/>
  <c r="U127" i="32"/>
  <c r="F135" i="22"/>
  <c r="V259" i="11"/>
  <c r="AH198" i="57"/>
  <c r="AI198" i="57" s="1"/>
  <c r="K198" i="57"/>
  <c r="AQ138" i="50"/>
  <c r="N138" i="50"/>
  <c r="AO137" i="50"/>
  <c r="AX181" i="69"/>
  <c r="AW181" i="69"/>
  <c r="L183" i="69"/>
  <c r="M183" i="69" s="1"/>
  <c r="AZ183" i="69"/>
  <c r="Y180" i="69"/>
  <c r="AB180" i="69" s="1"/>
  <c r="F181" i="69"/>
  <c r="G181" i="69" s="1"/>
  <c r="H181" i="69" s="1"/>
  <c r="I181" i="69" s="1"/>
  <c r="J181" i="69" s="1"/>
  <c r="K181" i="69" s="1"/>
  <c r="U181" i="69"/>
  <c r="AH181" i="69"/>
  <c r="F128" i="32"/>
  <c r="AU128" i="32"/>
  <c r="AY138" i="50"/>
  <c r="F138" i="50"/>
  <c r="U138" i="50" s="1"/>
  <c r="AT126" i="32"/>
  <c r="AA194" i="57"/>
  <c r="AD136" i="50"/>
  <c r="AG179" i="69"/>
  <c r="AD126" i="32"/>
  <c r="AG126" i="32" s="1"/>
  <c r="AH126" i="32" s="1"/>
  <c r="AI126" i="32" s="1"/>
  <c r="X195" i="57"/>
  <c r="AG197" i="57"/>
  <c r="AC196" i="57"/>
  <c r="AC198" i="53"/>
  <c r="O198" i="53"/>
  <c r="Q182" i="69"/>
  <c r="Q196" i="57"/>
  <c r="AQ196" i="57"/>
  <c r="AD196" i="57"/>
  <c r="R196" i="57"/>
  <c r="AE196" i="57"/>
  <c r="P137" i="50"/>
  <c r="P127" i="32"/>
  <c r="N198" i="53"/>
  <c r="O138" i="50"/>
  <c r="AA196" i="53"/>
  <c r="AM127" i="32"/>
  <c r="C136" i="50"/>
  <c r="AJ136" i="50"/>
  <c r="S137" i="50"/>
  <c r="Z137" i="50" s="1"/>
  <c r="C126" i="32"/>
  <c r="W126" i="32"/>
  <c r="X126" i="32" s="1"/>
  <c r="AJ126" i="32"/>
  <c r="S127" i="32"/>
  <c r="Z127" i="32" s="1"/>
  <c r="W136" i="50"/>
  <c r="X135" i="50"/>
  <c r="V136" i="50"/>
  <c r="V126" i="32"/>
  <c r="AF181" i="69"/>
  <c r="P198" i="57"/>
  <c r="O183" i="69"/>
  <c r="AO182" i="69"/>
  <c r="AE197" i="53"/>
  <c r="AK128" i="32"/>
  <c r="AM137" i="50"/>
  <c r="AL125" i="32"/>
  <c r="R197" i="53"/>
  <c r="X197" i="53" s="1"/>
  <c r="AB197" i="53" s="1"/>
  <c r="AN124" i="32"/>
  <c r="AY181" i="69"/>
  <c r="L198" i="57"/>
  <c r="AG197" i="53"/>
  <c r="AT197" i="53"/>
  <c r="N198" i="57"/>
  <c r="G198" i="53"/>
  <c r="AD197" i="53"/>
  <c r="Q197" i="53"/>
  <c r="F198" i="53"/>
  <c r="H198" i="53"/>
  <c r="AK197" i="52" a="1"/>
  <c r="AK197" i="52" s="1"/>
  <c r="B199" i="53" s="1"/>
  <c r="K198" i="53"/>
  <c r="AH198" i="53" s="1"/>
  <c r="J198" i="53"/>
  <c r="D198" i="53"/>
  <c r="L198" i="53"/>
  <c r="I198" i="53"/>
  <c r="C198" i="53"/>
  <c r="P198" i="53"/>
  <c r="E198" i="53"/>
  <c r="A128" i="32"/>
  <c r="B128" i="32"/>
  <c r="H138" i="50"/>
  <c r="I138" i="50"/>
  <c r="M138" i="50"/>
  <c r="G138" i="50"/>
  <c r="J138" i="50"/>
  <c r="K138" i="50"/>
  <c r="B138" i="50"/>
  <c r="A138" i="50"/>
  <c r="L138" i="50"/>
  <c r="K128" i="32"/>
  <c r="L128" i="32"/>
  <c r="N128" i="32"/>
  <c r="H128" i="32"/>
  <c r="M128" i="32"/>
  <c r="J128" i="32"/>
  <c r="I128" i="32"/>
  <c r="G128" i="32"/>
  <c r="D198" i="57"/>
  <c r="J198" i="57"/>
  <c r="G198" i="57"/>
  <c r="F198" i="57"/>
  <c r="H198" i="57"/>
  <c r="I198" i="57"/>
  <c r="E198" i="57"/>
  <c r="C198" i="57"/>
  <c r="AN197" i="55" a="1"/>
  <c r="AN197" i="55" s="1"/>
  <c r="B199" i="57" s="1"/>
  <c r="O199" i="57" s="1"/>
  <c r="D182" i="69"/>
  <c r="E182" i="69" s="1"/>
  <c r="R181" i="69"/>
  <c r="S181" i="69" s="1"/>
  <c r="AE181" i="69"/>
  <c r="C183" i="69"/>
  <c r="AS183" i="67" a="1"/>
  <c r="AS183" i="67" s="1"/>
  <c r="B184" i="69"/>
  <c r="AM184" i="69" s="1"/>
  <c r="AN184" i="69" s="1"/>
  <c r="L94" i="22"/>
  <c r="L127" i="22"/>
  <c r="AL128" i="11" a="1"/>
  <c r="AL128" i="11" s="1"/>
  <c r="E129" i="32" s="1"/>
  <c r="T129" i="32" s="1"/>
  <c r="L76" i="22"/>
  <c r="L7" i="22"/>
  <c r="L8" i="22"/>
  <c r="L5" i="22"/>
  <c r="AP138" i="59" a="1"/>
  <c r="AP138" i="59" s="1"/>
  <c r="E139" i="50" s="1"/>
  <c r="T139" i="50" s="1"/>
  <c r="L6" i="22"/>
  <c r="L4" i="22"/>
  <c r="L78" i="22"/>
  <c r="L92" i="22"/>
  <c r="L64" i="22"/>
  <c r="L81" i="22"/>
  <c r="L77" i="22"/>
  <c r="L95" i="22"/>
  <c r="L102" i="22"/>
  <c r="L66" i="22"/>
  <c r="L59" i="22"/>
  <c r="AM12" i="11" a="1"/>
  <c r="AM12" i="11" s="1"/>
  <c r="AM13" i="11" s="1" a="1"/>
  <c r="AM13" i="11" s="1"/>
  <c r="AA195" i="57" l="1"/>
  <c r="AB195" i="57"/>
  <c r="AF195" i="57" s="1"/>
  <c r="AF197" i="53"/>
  <c r="AH135" i="50"/>
  <c r="AI135" i="50" s="1"/>
  <c r="AP135" i="50" s="1"/>
  <c r="P183" i="69"/>
  <c r="AP183" i="69"/>
  <c r="AK198" i="57"/>
  <c r="O129" i="32"/>
  <c r="AK139" i="50"/>
  <c r="AD12" i="32"/>
  <c r="AL136" i="50"/>
  <c r="AG136" i="50"/>
  <c r="BC184" i="69"/>
  <c r="BE184" i="69"/>
  <c r="BF184" i="69"/>
  <c r="BD184" i="69"/>
  <c r="U128" i="32"/>
  <c r="J14" i="22"/>
  <c r="J82" i="22"/>
  <c r="AX12" i="22" s="1"/>
  <c r="J61" i="22"/>
  <c r="AX156" i="22" s="1"/>
  <c r="K199" i="57"/>
  <c r="AH199" i="57"/>
  <c r="AI199" i="57" s="1"/>
  <c r="AQ139" i="50"/>
  <c r="N139" i="50"/>
  <c r="AO138" i="50"/>
  <c r="AX182" i="69"/>
  <c r="AW182" i="69"/>
  <c r="L184" i="69"/>
  <c r="M184" i="69" s="1"/>
  <c r="AZ184" i="69"/>
  <c r="J90" i="22"/>
  <c r="J52" i="22"/>
  <c r="AX46" i="22" s="1"/>
  <c r="Y181" i="69"/>
  <c r="AG181" i="69" s="1"/>
  <c r="J135" i="22"/>
  <c r="AX80" i="22" s="1"/>
  <c r="J76" i="22"/>
  <c r="J133" i="22"/>
  <c r="AG180" i="69"/>
  <c r="F182" i="69"/>
  <c r="G182" i="69" s="1"/>
  <c r="H182" i="69" s="1"/>
  <c r="I182" i="69" s="1"/>
  <c r="J182" i="69" s="1"/>
  <c r="K182" i="69" s="1"/>
  <c r="U182" i="69"/>
  <c r="AH182" i="69"/>
  <c r="J28" i="22"/>
  <c r="AX88" i="22" s="1"/>
  <c r="J29" i="22"/>
  <c r="AX89" i="22" s="1"/>
  <c r="J16" i="22"/>
  <c r="AX31" i="22" s="1"/>
  <c r="F129" i="32"/>
  <c r="AU129" i="32"/>
  <c r="F139" i="50"/>
  <c r="U139" i="50" s="1"/>
  <c r="AY139" i="50"/>
  <c r="J15" i="22"/>
  <c r="J96" i="22"/>
  <c r="AX99" i="22" s="1"/>
  <c r="AT127" i="32"/>
  <c r="AD127" i="32"/>
  <c r="AG127" i="32" s="1"/>
  <c r="AH127" i="32" s="1"/>
  <c r="AI127" i="32" s="1"/>
  <c r="AD137" i="50"/>
  <c r="AG198" i="57"/>
  <c r="X196" i="57"/>
  <c r="AB196" i="57" s="1"/>
  <c r="AC199" i="53"/>
  <c r="O199" i="53"/>
  <c r="Q183" i="69"/>
  <c r="Q197" i="57"/>
  <c r="AD197" i="57"/>
  <c r="R197" i="57"/>
  <c r="AQ197" i="57"/>
  <c r="AC197" i="57"/>
  <c r="AE197" i="57"/>
  <c r="P138" i="50"/>
  <c r="P128" i="32"/>
  <c r="AL18" i="22"/>
  <c r="D52" i="36" s="1"/>
  <c r="N199" i="53"/>
  <c r="O139" i="50"/>
  <c r="AA197" i="53"/>
  <c r="AM128" i="32"/>
  <c r="AJ137" i="50"/>
  <c r="C137" i="50"/>
  <c r="S138" i="50"/>
  <c r="Z138" i="50" s="1"/>
  <c r="C127" i="32"/>
  <c r="W127" i="32"/>
  <c r="X127" i="32" s="1"/>
  <c r="AJ127" i="32"/>
  <c r="S128" i="32"/>
  <c r="Z128" i="32" s="1"/>
  <c r="W137" i="50"/>
  <c r="AX66" i="22"/>
  <c r="X136" i="50"/>
  <c r="V137" i="50"/>
  <c r="V127" i="32"/>
  <c r="AF182" i="69"/>
  <c r="P199" i="57"/>
  <c r="AC180" i="69"/>
  <c r="AD180" i="69" s="1"/>
  <c r="O184" i="69"/>
  <c r="AO183" i="69"/>
  <c r="AE198" i="53"/>
  <c r="AK129" i="32"/>
  <c r="AM138" i="50"/>
  <c r="AL126" i="32"/>
  <c r="AL17" i="22"/>
  <c r="D53" i="36" s="1"/>
  <c r="AN125" i="32"/>
  <c r="R198" i="53"/>
  <c r="X198" i="53" s="1"/>
  <c r="AB198" i="53" s="1"/>
  <c r="N12" i="32"/>
  <c r="AX129" i="22"/>
  <c r="AX16" i="22"/>
  <c r="AX68" i="22"/>
  <c r="AY182" i="69"/>
  <c r="L199" i="57"/>
  <c r="AT198" i="53"/>
  <c r="AG198" i="53"/>
  <c r="N199" i="57"/>
  <c r="Q198" i="53"/>
  <c r="AD198" i="53"/>
  <c r="AK198" i="52" a="1"/>
  <c r="AK198" i="52" s="1"/>
  <c r="B200" i="53" s="1"/>
  <c r="G199" i="53"/>
  <c r="D199" i="53"/>
  <c r="J199" i="53"/>
  <c r="I199" i="53"/>
  <c r="C199" i="53"/>
  <c r="F199" i="53"/>
  <c r="L199" i="53"/>
  <c r="H199" i="53"/>
  <c r="E199" i="53"/>
  <c r="P199" i="53"/>
  <c r="K199" i="53"/>
  <c r="AH199" i="53" s="1"/>
  <c r="A129" i="32"/>
  <c r="B129" i="32"/>
  <c r="I139" i="50"/>
  <c r="H139" i="50"/>
  <c r="A139" i="50"/>
  <c r="L139" i="50"/>
  <c r="B139" i="50"/>
  <c r="G139" i="50"/>
  <c r="K139" i="50"/>
  <c r="M139" i="50"/>
  <c r="J139" i="50"/>
  <c r="I129" i="32"/>
  <c r="J129" i="32"/>
  <c r="L129" i="32"/>
  <c r="N129" i="32"/>
  <c r="H129" i="32"/>
  <c r="K129" i="32"/>
  <c r="G129" i="32"/>
  <c r="M129" i="32"/>
  <c r="I199" i="57"/>
  <c r="F199" i="57"/>
  <c r="D199" i="57"/>
  <c r="H199" i="57"/>
  <c r="E199" i="57"/>
  <c r="J199" i="57"/>
  <c r="G199" i="57"/>
  <c r="C199" i="57"/>
  <c r="AN198" i="55" a="1"/>
  <c r="AN198" i="55" s="1"/>
  <c r="B200" i="57" s="1"/>
  <c r="O200" i="57" s="1"/>
  <c r="AS184" i="67" a="1"/>
  <c r="AS184" i="67" s="1"/>
  <c r="B185" i="69"/>
  <c r="AM185" i="69" s="1"/>
  <c r="AN185" i="69" s="1"/>
  <c r="D183" i="69"/>
  <c r="E183" i="69" s="1"/>
  <c r="C184" i="69"/>
  <c r="R182" i="69"/>
  <c r="S182" i="69" s="1"/>
  <c r="AE182" i="69"/>
  <c r="AX62" i="22"/>
  <c r="D70" i="36"/>
  <c r="AX61" i="22"/>
  <c r="D68" i="36"/>
  <c r="AL129" i="11" a="1"/>
  <c r="AL129" i="11" s="1"/>
  <c r="E130" i="32" s="1"/>
  <c r="T130" i="32" s="1"/>
  <c r="AX131" i="22"/>
  <c r="AX42" i="22"/>
  <c r="AX39" i="22"/>
  <c r="AX97" i="22"/>
  <c r="AX126" i="22"/>
  <c r="AX51" i="22"/>
  <c r="AX157" i="22"/>
  <c r="AX5" i="22"/>
  <c r="AX87" i="22"/>
  <c r="AX93" i="22"/>
  <c r="AX159" i="22"/>
  <c r="AX96" i="22"/>
  <c r="AX116" i="22"/>
  <c r="AX84" i="22"/>
  <c r="AX137" i="22"/>
  <c r="AX124" i="22"/>
  <c r="AX53" i="22"/>
  <c r="AX138" i="22"/>
  <c r="AX57" i="22"/>
  <c r="AX56" i="22"/>
  <c r="AX58" i="22"/>
  <c r="AX48" i="22"/>
  <c r="AX127" i="22"/>
  <c r="AX135" i="22"/>
  <c r="AX130" i="22"/>
  <c r="AX40" i="22"/>
  <c r="AX37" i="22"/>
  <c r="AX121" i="22"/>
  <c r="AX90" i="22"/>
  <c r="AX85" i="22"/>
  <c r="AP139" i="59" a="1"/>
  <c r="AP139" i="59" s="1"/>
  <c r="E140" i="50" s="1"/>
  <c r="T140" i="50" s="1"/>
  <c r="AX60" i="22"/>
  <c r="AX82" i="22"/>
  <c r="AX115" i="22"/>
  <c r="AX118" i="22"/>
  <c r="AX149" i="22"/>
  <c r="AX36" i="22"/>
  <c r="AX41" i="22"/>
  <c r="AX44" i="22"/>
  <c r="AX43" i="22"/>
  <c r="AX100" i="22"/>
  <c r="AX15" i="22"/>
  <c r="AX11" i="22"/>
  <c r="AX14" i="22"/>
  <c r="AX123" i="22"/>
  <c r="AX33" i="22"/>
  <c r="AX92" i="22"/>
  <c r="AX86" i="22"/>
  <c r="AX7" i="22"/>
  <c r="AX125" i="22"/>
  <c r="AX122" i="22"/>
  <c r="AX49" i="22"/>
  <c r="AX98" i="22"/>
  <c r="AX50" i="22"/>
  <c r="AX94" i="22"/>
  <c r="AX113" i="22"/>
  <c r="AX17" i="22"/>
  <c r="AX128" i="22"/>
  <c r="AX95" i="22"/>
  <c r="AX158" i="22"/>
  <c r="AX45" i="22"/>
  <c r="AM14" i="11" a="1"/>
  <c r="AM14" i="11" s="1"/>
  <c r="AF198" i="53" l="1"/>
  <c r="AF196" i="57"/>
  <c r="AH136" i="50"/>
  <c r="AI136" i="50" s="1"/>
  <c r="AP136" i="50" s="1"/>
  <c r="AG12" i="32"/>
  <c r="AH12" i="32" s="1"/>
  <c r="AI12" i="32" s="1"/>
  <c r="P184" i="69"/>
  <c r="AP184" i="69"/>
  <c r="AK199" i="57"/>
  <c r="AJ195" i="57"/>
  <c r="O130" i="32"/>
  <c r="AK140" i="50"/>
  <c r="AL137" i="50"/>
  <c r="AG137" i="50"/>
  <c r="BC185" i="69"/>
  <c r="BE185" i="69"/>
  <c r="BF185" i="69"/>
  <c r="BD185" i="69"/>
  <c r="U129" i="32"/>
  <c r="AH200" i="57"/>
  <c r="AI200" i="57" s="1"/>
  <c r="K200" i="57"/>
  <c r="AQ140" i="50"/>
  <c r="N140" i="50"/>
  <c r="AO139" i="50"/>
  <c r="AW183" i="69"/>
  <c r="AX183" i="69"/>
  <c r="L185" i="69"/>
  <c r="M185" i="69" s="1"/>
  <c r="AZ185" i="69"/>
  <c r="AB181" i="69"/>
  <c r="AC181" i="69" s="1"/>
  <c r="AD181" i="69" s="1"/>
  <c r="F183" i="69"/>
  <c r="G183" i="69" s="1"/>
  <c r="H183" i="69" s="1"/>
  <c r="I183" i="69" s="1"/>
  <c r="J183" i="69" s="1"/>
  <c r="K183" i="69" s="1"/>
  <c r="U183" i="69"/>
  <c r="AH183" i="69"/>
  <c r="F130" i="32"/>
  <c r="AU130" i="32"/>
  <c r="F140" i="50"/>
  <c r="U140" i="50" s="1"/>
  <c r="AY140" i="50"/>
  <c r="AT128" i="32"/>
  <c r="Y182" i="69"/>
  <c r="AB182" i="69" s="1"/>
  <c r="AC182" i="69" s="1"/>
  <c r="AD182" i="69" s="1"/>
  <c r="AD128" i="32"/>
  <c r="AG128" i="32" s="1"/>
  <c r="AH128" i="32" s="1"/>
  <c r="AI128" i="32" s="1"/>
  <c r="AD138" i="50"/>
  <c r="AG199" i="57"/>
  <c r="X197" i="57"/>
  <c r="AB197" i="57" s="1"/>
  <c r="AX73" i="22"/>
  <c r="AA196" i="57"/>
  <c r="AC200" i="53"/>
  <c r="O200" i="53"/>
  <c r="Q184" i="69"/>
  <c r="R198" i="57"/>
  <c r="AC198" i="57"/>
  <c r="AD198" i="57"/>
  <c r="Q198" i="57"/>
  <c r="AQ198" i="57"/>
  <c r="AE198" i="57"/>
  <c r="P139" i="50"/>
  <c r="P129" i="32"/>
  <c r="N200" i="53"/>
  <c r="O140" i="50"/>
  <c r="AA198" i="53"/>
  <c r="AM129" i="32"/>
  <c r="S139" i="50"/>
  <c r="Z139" i="50" s="1"/>
  <c r="C138" i="50"/>
  <c r="AJ138" i="50"/>
  <c r="AX134" i="22"/>
  <c r="AX67" i="22"/>
  <c r="C128" i="32"/>
  <c r="AJ128" i="32"/>
  <c r="W128" i="32"/>
  <c r="X128" i="32" s="1"/>
  <c r="S129" i="32"/>
  <c r="Z129" i="32" s="1"/>
  <c r="W138" i="50"/>
  <c r="AX151" i="22"/>
  <c r="X137" i="50"/>
  <c r="V138" i="50"/>
  <c r="V128" i="32"/>
  <c r="AF183" i="69"/>
  <c r="P200" i="57"/>
  <c r="AO184" i="69"/>
  <c r="O185" i="69"/>
  <c r="AE199" i="53"/>
  <c r="AK130" i="32"/>
  <c r="AM139" i="50"/>
  <c r="AL127" i="32"/>
  <c r="AX120" i="22"/>
  <c r="AX132" i="22"/>
  <c r="AX136" i="22"/>
  <c r="AX150" i="22"/>
  <c r="AX52" i="22"/>
  <c r="AX22" i="22"/>
  <c r="R199" i="53"/>
  <c r="X199" i="53" s="1"/>
  <c r="AB199" i="53" s="1"/>
  <c r="AX8" i="22"/>
  <c r="AX147" i="22"/>
  <c r="AN126" i="32"/>
  <c r="AY183" i="69"/>
  <c r="L200" i="57"/>
  <c r="AT199" i="53"/>
  <c r="AG199" i="53"/>
  <c r="N200" i="57"/>
  <c r="AD199" i="53"/>
  <c r="Q199" i="53"/>
  <c r="AK199" i="52" a="1"/>
  <c r="AK199" i="52" s="1"/>
  <c r="B201" i="53" s="1"/>
  <c r="E200" i="53"/>
  <c r="C200" i="53"/>
  <c r="D200" i="53"/>
  <c r="G200" i="53"/>
  <c r="H200" i="53"/>
  <c r="L200" i="53"/>
  <c r="J200" i="53"/>
  <c r="P200" i="53"/>
  <c r="K200" i="53"/>
  <c r="AH200" i="53" s="1"/>
  <c r="I200" i="53"/>
  <c r="F200" i="53"/>
  <c r="A130" i="32"/>
  <c r="B130" i="32"/>
  <c r="H140" i="50"/>
  <c r="A140" i="50"/>
  <c r="G140" i="50"/>
  <c r="M140" i="50"/>
  <c r="K140" i="50"/>
  <c r="I140" i="50"/>
  <c r="L140" i="50"/>
  <c r="B140" i="50"/>
  <c r="J140" i="50"/>
  <c r="G130" i="32"/>
  <c r="H130" i="32"/>
  <c r="J130" i="32"/>
  <c r="L130" i="32"/>
  <c r="I130" i="32"/>
  <c r="N130" i="32"/>
  <c r="K130" i="32"/>
  <c r="M130" i="32"/>
  <c r="H200" i="57"/>
  <c r="F200" i="57"/>
  <c r="D200" i="57"/>
  <c r="C200" i="57"/>
  <c r="J200" i="57"/>
  <c r="E200" i="57"/>
  <c r="I200" i="57"/>
  <c r="G200" i="57"/>
  <c r="AX139" i="22"/>
  <c r="AX114" i="22"/>
  <c r="AN199" i="55" a="1"/>
  <c r="AN199" i="55" s="1"/>
  <c r="B201" i="57" s="1"/>
  <c r="O201" i="57" s="1"/>
  <c r="AX103" i="22"/>
  <c r="AE183" i="69"/>
  <c r="R183" i="69"/>
  <c r="S183" i="69" s="1"/>
  <c r="C185" i="69"/>
  <c r="D184" i="69"/>
  <c r="E184" i="69" s="1"/>
  <c r="AS185" i="67" a="1"/>
  <c r="AS185" i="67" s="1"/>
  <c r="B186" i="69"/>
  <c r="AM186" i="69" s="1"/>
  <c r="AN186" i="69" s="1"/>
  <c r="AL7" i="22"/>
  <c r="AX59" i="22"/>
  <c r="AX117" i="22"/>
  <c r="D69" i="36"/>
  <c r="D62" i="36"/>
  <c r="AL14" i="22"/>
  <c r="AL15" i="22"/>
  <c r="AL9" i="22"/>
  <c r="AL130" i="11" a="1"/>
  <c r="AL130" i="11" s="1"/>
  <c r="E131" i="32" s="1"/>
  <c r="T131" i="32" s="1"/>
  <c r="AX35" i="22"/>
  <c r="AX145" i="22"/>
  <c r="AX10" i="22"/>
  <c r="AX47" i="22"/>
  <c r="AX91" i="22"/>
  <c r="AX32" i="22"/>
  <c r="AX79" i="22"/>
  <c r="AX81" i="22"/>
  <c r="AX30" i="22"/>
  <c r="AP140" i="59" a="1"/>
  <c r="AP140" i="59" s="1"/>
  <c r="E141" i="50" s="1"/>
  <c r="T141" i="50" s="1"/>
  <c r="AM15" i="11" a="1"/>
  <c r="AM15" i="11" s="1"/>
  <c r="AF199" i="53" l="1"/>
  <c r="AF197" i="57"/>
  <c r="AH137" i="50"/>
  <c r="AI137" i="50" s="1"/>
  <c r="AP137" i="50" s="1"/>
  <c r="AK12" i="32"/>
  <c r="AL12" i="32" s="1"/>
  <c r="AK200" i="57"/>
  <c r="P185" i="69"/>
  <c r="AP185" i="69"/>
  <c r="AJ196" i="57"/>
  <c r="O131" i="32"/>
  <c r="AK141" i="50"/>
  <c r="AL138" i="50"/>
  <c r="AG138" i="50"/>
  <c r="BC186" i="69"/>
  <c r="BE186" i="69"/>
  <c r="BF186" i="69"/>
  <c r="BD186" i="69"/>
  <c r="U130" i="32"/>
  <c r="AH201" i="57"/>
  <c r="AI201" i="57" s="1"/>
  <c r="K201" i="57"/>
  <c r="AQ141" i="50"/>
  <c r="N141" i="50"/>
  <c r="AO140" i="50"/>
  <c r="AX184" i="69"/>
  <c r="AW184" i="69"/>
  <c r="L186" i="69"/>
  <c r="M186" i="69" s="1"/>
  <c r="AZ186" i="69"/>
  <c r="Y183" i="69"/>
  <c r="AG183" i="69" s="1"/>
  <c r="F184" i="69"/>
  <c r="G184" i="69" s="1"/>
  <c r="H184" i="69" s="1"/>
  <c r="I184" i="69" s="1"/>
  <c r="J184" i="69" s="1"/>
  <c r="K184" i="69" s="1"/>
  <c r="U184" i="69"/>
  <c r="AH184" i="69"/>
  <c r="F131" i="32"/>
  <c r="AU131" i="32"/>
  <c r="AY141" i="50"/>
  <c r="F141" i="50"/>
  <c r="U141" i="50" s="1"/>
  <c r="AT129" i="32"/>
  <c r="AX104" i="22"/>
  <c r="AX105" i="22"/>
  <c r="AD139" i="50"/>
  <c r="AG182" i="69"/>
  <c r="AD129" i="32"/>
  <c r="AA197" i="57"/>
  <c r="AG200" i="57"/>
  <c r="X198" i="57"/>
  <c r="AB198" i="57" s="1"/>
  <c r="AM12" i="32"/>
  <c r="AN12" i="32" s="1"/>
  <c r="AC201" i="53"/>
  <c r="O201" i="53"/>
  <c r="Q185" i="69"/>
  <c r="Q199" i="57"/>
  <c r="AQ199" i="57"/>
  <c r="AE199" i="57"/>
  <c r="AD199" i="57"/>
  <c r="R199" i="57"/>
  <c r="AC199" i="57"/>
  <c r="P140" i="50"/>
  <c r="P130" i="32"/>
  <c r="N201" i="53"/>
  <c r="O141" i="50"/>
  <c r="AA199" i="53"/>
  <c r="AM130" i="32"/>
  <c r="AJ139" i="50"/>
  <c r="C139" i="50"/>
  <c r="S140" i="50"/>
  <c r="Z140" i="50" s="1"/>
  <c r="C129" i="32"/>
  <c r="AJ129" i="32"/>
  <c r="S130" i="32"/>
  <c r="Z130" i="32" s="1"/>
  <c r="W139" i="50"/>
  <c r="W129" i="32"/>
  <c r="X129" i="32" s="1"/>
  <c r="X138" i="50"/>
  <c r="V139" i="50"/>
  <c r="AF184" i="69"/>
  <c r="P201" i="57"/>
  <c r="O186" i="69"/>
  <c r="AO185" i="69"/>
  <c r="AE200" i="53"/>
  <c r="AK131" i="32"/>
  <c r="AM140" i="50"/>
  <c r="AL128" i="32"/>
  <c r="AN127" i="32"/>
  <c r="R200" i="53"/>
  <c r="X200" i="53" s="1"/>
  <c r="AB200" i="53" s="1"/>
  <c r="AY184" i="69"/>
  <c r="L201" i="57"/>
  <c r="AG200" i="53"/>
  <c r="AT200" i="53"/>
  <c r="N201" i="57"/>
  <c r="E201" i="53"/>
  <c r="V129" i="32"/>
  <c r="AD200" i="53"/>
  <c r="L17" i="22"/>
  <c r="Q200" i="53"/>
  <c r="AK200" i="52" a="1"/>
  <c r="AK200" i="52" s="1"/>
  <c r="B202" i="53" s="1"/>
  <c r="H201" i="53"/>
  <c r="L201" i="53"/>
  <c r="F201" i="53"/>
  <c r="K201" i="53"/>
  <c r="AH201" i="53" s="1"/>
  <c r="I201" i="53"/>
  <c r="D201" i="53"/>
  <c r="P201" i="53"/>
  <c r="C201" i="53"/>
  <c r="J201" i="53"/>
  <c r="G201" i="53"/>
  <c r="A131" i="32"/>
  <c r="B131" i="32"/>
  <c r="M141" i="50"/>
  <c r="A141" i="50"/>
  <c r="J141" i="50"/>
  <c r="H141" i="50"/>
  <c r="I141" i="50"/>
  <c r="B141" i="50"/>
  <c r="G141" i="50"/>
  <c r="K141" i="50"/>
  <c r="L141" i="50"/>
  <c r="J131" i="32"/>
  <c r="M131" i="32"/>
  <c r="N131" i="32"/>
  <c r="I131" i="32"/>
  <c r="H131" i="32"/>
  <c r="K131" i="32"/>
  <c r="G131" i="32"/>
  <c r="L131" i="32"/>
  <c r="J201" i="57"/>
  <c r="H201" i="57"/>
  <c r="E201" i="57"/>
  <c r="G201" i="57"/>
  <c r="C201" i="57"/>
  <c r="F201" i="57"/>
  <c r="I201" i="57"/>
  <c r="D201" i="57"/>
  <c r="AL13" i="22"/>
  <c r="AL16" i="22"/>
  <c r="AN200" i="55" a="1"/>
  <c r="AN200" i="55" s="1"/>
  <c r="B202" i="57" s="1"/>
  <c r="O202" i="57" s="1"/>
  <c r="AS186" i="67" a="1"/>
  <c r="AS186" i="67" s="1"/>
  <c r="B187" i="69"/>
  <c r="AM187" i="69" s="1"/>
  <c r="AN187" i="69" s="1"/>
  <c r="C186" i="69"/>
  <c r="D185" i="69"/>
  <c r="E185" i="69" s="1"/>
  <c r="R184" i="69"/>
  <c r="S184" i="69" s="1"/>
  <c r="AE184" i="69"/>
  <c r="D61" i="36"/>
  <c r="D67" i="36"/>
  <c r="AL12" i="22"/>
  <c r="AL8" i="22"/>
  <c r="AL6" i="22"/>
  <c r="AL4" i="22"/>
  <c r="AL131" i="11" a="1"/>
  <c r="AL131" i="11" s="1"/>
  <c r="E132" i="32" s="1"/>
  <c r="T132" i="32" s="1"/>
  <c r="AP141" i="59" a="1"/>
  <c r="AP141" i="59" s="1"/>
  <c r="E142" i="50" s="1"/>
  <c r="T142" i="50" s="1"/>
  <c r="AM16" i="11" a="1"/>
  <c r="AM16" i="11" s="1"/>
  <c r="AF200" i="53" l="1"/>
  <c r="AF198" i="57"/>
  <c r="AH138" i="50"/>
  <c r="AI138" i="50" s="1"/>
  <c r="AP138" i="50" s="1"/>
  <c r="AG129" i="32"/>
  <c r="AH129" i="32" s="1"/>
  <c r="AI129" i="32" s="1"/>
  <c r="AK201" i="57"/>
  <c r="P186" i="69"/>
  <c r="AP186" i="69"/>
  <c r="AJ197" i="57"/>
  <c r="O132" i="32"/>
  <c r="AK142" i="50"/>
  <c r="AL139" i="50"/>
  <c r="AG139" i="50"/>
  <c r="BC187" i="69"/>
  <c r="BD187" i="69"/>
  <c r="BE187" i="69"/>
  <c r="BF187" i="69"/>
  <c r="U131" i="32"/>
  <c r="AH202" i="57"/>
  <c r="AI202" i="57" s="1"/>
  <c r="K202" i="57"/>
  <c r="N142" i="50"/>
  <c r="AQ142" i="50"/>
  <c r="AO141" i="50"/>
  <c r="AX185" i="69"/>
  <c r="AW185" i="69"/>
  <c r="L187" i="69"/>
  <c r="M187" i="69" s="1"/>
  <c r="AZ187" i="69"/>
  <c r="AB183" i="69"/>
  <c r="AC183" i="69" s="1"/>
  <c r="AD183" i="69" s="1"/>
  <c r="Y184" i="69"/>
  <c r="AB184" i="69" s="1"/>
  <c r="F185" i="69"/>
  <c r="G185" i="69" s="1"/>
  <c r="H185" i="69" s="1"/>
  <c r="I185" i="69" s="1"/>
  <c r="J185" i="69" s="1"/>
  <c r="K185" i="69" s="1"/>
  <c r="U185" i="69"/>
  <c r="AH185" i="69"/>
  <c r="F132" i="32"/>
  <c r="AU132" i="32"/>
  <c r="AY142" i="50"/>
  <c r="F142" i="50"/>
  <c r="U142" i="50" s="1"/>
  <c r="AT130" i="32"/>
  <c r="AD130" i="32"/>
  <c r="AG130" i="32" s="1"/>
  <c r="AH130" i="32" s="1"/>
  <c r="AI130" i="32" s="1"/>
  <c r="AD140" i="50"/>
  <c r="X199" i="57"/>
  <c r="AB199" i="57" s="1"/>
  <c r="AG201" i="57"/>
  <c r="AA198" i="57"/>
  <c r="AC202" i="53"/>
  <c r="O202" i="53"/>
  <c r="Q186" i="69"/>
  <c r="AC200" i="57"/>
  <c r="AD200" i="57"/>
  <c r="AQ200" i="57"/>
  <c r="AE200" i="57"/>
  <c r="Q200" i="57"/>
  <c r="R200" i="57"/>
  <c r="P141" i="50"/>
  <c r="P131" i="32"/>
  <c r="N202" i="53"/>
  <c r="O142" i="50"/>
  <c r="AA200" i="53"/>
  <c r="AM131" i="32"/>
  <c r="AJ140" i="50"/>
  <c r="C140" i="50"/>
  <c r="S141" i="50"/>
  <c r="Z141" i="50" s="1"/>
  <c r="W130" i="32"/>
  <c r="X130" i="32" s="1"/>
  <c r="C130" i="32"/>
  <c r="S131" i="32"/>
  <c r="Z131" i="32" s="1"/>
  <c r="AJ130" i="32"/>
  <c r="D51" i="36"/>
  <c r="D91" i="36"/>
  <c r="W140" i="50"/>
  <c r="X139" i="50"/>
  <c r="V140" i="50"/>
  <c r="V130" i="32"/>
  <c r="AF185" i="69"/>
  <c r="P202" i="57"/>
  <c r="AO186" i="69"/>
  <c r="O187" i="69"/>
  <c r="AE201" i="53"/>
  <c r="AK132" i="32"/>
  <c r="AM141" i="50"/>
  <c r="AL129" i="32"/>
  <c r="AN128" i="32"/>
  <c r="R201" i="53"/>
  <c r="X201" i="53" s="1"/>
  <c r="AB201" i="53" s="1"/>
  <c r="AY185" i="69"/>
  <c r="L202" i="57"/>
  <c r="AT201" i="53"/>
  <c r="AG201" i="53"/>
  <c r="N202" i="57"/>
  <c r="F202" i="53"/>
  <c r="AD201" i="53"/>
  <c r="C202" i="53"/>
  <c r="D202" i="53"/>
  <c r="H202" i="53"/>
  <c r="AK201" i="52" a="1"/>
  <c r="AK201" i="52" s="1"/>
  <c r="B203" i="53" s="1"/>
  <c r="K202" i="53"/>
  <c r="AH202" i="53" s="1"/>
  <c r="I202" i="53"/>
  <c r="Q201" i="53"/>
  <c r="J202" i="53"/>
  <c r="P202" i="53"/>
  <c r="G202" i="53"/>
  <c r="E202" i="53"/>
  <c r="L202" i="53"/>
  <c r="A132" i="32"/>
  <c r="B132" i="32"/>
  <c r="L142" i="50"/>
  <c r="I142" i="50"/>
  <c r="M142" i="50"/>
  <c r="J142" i="50"/>
  <c r="A142" i="50"/>
  <c r="K142" i="50"/>
  <c r="G142" i="50"/>
  <c r="B142" i="50"/>
  <c r="H142" i="50"/>
  <c r="H132" i="32"/>
  <c r="K132" i="32"/>
  <c r="L132" i="32"/>
  <c r="G132" i="32"/>
  <c r="I132" i="32"/>
  <c r="N132" i="32"/>
  <c r="J132" i="32"/>
  <c r="M132" i="32"/>
  <c r="J202" i="57"/>
  <c r="D202" i="57"/>
  <c r="I202" i="57"/>
  <c r="F202" i="57"/>
  <c r="E202" i="57"/>
  <c r="H202" i="57"/>
  <c r="C202" i="57"/>
  <c r="G202" i="57"/>
  <c r="AN201" i="55" a="1"/>
  <c r="AN201" i="55" s="1"/>
  <c r="B203" i="57" s="1"/>
  <c r="O203" i="57" s="1"/>
  <c r="AS187" i="67" a="1"/>
  <c r="AS187" i="67" s="1"/>
  <c r="B188" i="69"/>
  <c r="AM188" i="69" s="1"/>
  <c r="AN188" i="69" s="1"/>
  <c r="AE185" i="69"/>
  <c r="R185" i="69"/>
  <c r="S185" i="69" s="1"/>
  <c r="C187" i="69"/>
  <c r="D186" i="69"/>
  <c r="E186" i="69" s="1"/>
  <c r="AL132" i="11" a="1"/>
  <c r="AL132" i="11" s="1"/>
  <c r="E133" i="32" s="1"/>
  <c r="T133" i="32" s="1"/>
  <c r="AP142" i="59" a="1"/>
  <c r="AP142" i="59" s="1"/>
  <c r="E143" i="50" s="1"/>
  <c r="T143" i="50" s="1"/>
  <c r="AM17" i="11" a="1"/>
  <c r="AM17" i="11" s="1"/>
  <c r="AF199" i="57" l="1"/>
  <c r="AF201" i="53"/>
  <c r="AH139" i="50"/>
  <c r="AI139" i="50" s="1"/>
  <c r="AP139" i="50" s="1"/>
  <c r="P187" i="69"/>
  <c r="AP187" i="69"/>
  <c r="AK202" i="57"/>
  <c r="AJ198" i="57"/>
  <c r="O133" i="32"/>
  <c r="AK143" i="50"/>
  <c r="AL140" i="50"/>
  <c r="AG140" i="50"/>
  <c r="BC188" i="69"/>
  <c r="BD188" i="69"/>
  <c r="BE188" i="69"/>
  <c r="BF188" i="69"/>
  <c r="U132" i="32"/>
  <c r="AH203" i="57"/>
  <c r="AI203" i="57" s="1"/>
  <c r="K203" i="57"/>
  <c r="N143" i="50"/>
  <c r="AQ143" i="50"/>
  <c r="AO142" i="50"/>
  <c r="AX186" i="69"/>
  <c r="AW186" i="69"/>
  <c r="L188" i="69"/>
  <c r="M188" i="69" s="1"/>
  <c r="AZ188" i="69"/>
  <c r="Y185" i="69"/>
  <c r="AG185" i="69" s="1"/>
  <c r="AG184" i="69"/>
  <c r="F186" i="69"/>
  <c r="G186" i="69" s="1"/>
  <c r="H186" i="69" s="1"/>
  <c r="I186" i="69" s="1"/>
  <c r="J186" i="69" s="1"/>
  <c r="K186" i="69" s="1"/>
  <c r="U186" i="69"/>
  <c r="AH186" i="69"/>
  <c r="F133" i="32"/>
  <c r="AU133" i="32"/>
  <c r="AY143" i="50"/>
  <c r="F143" i="50"/>
  <c r="U143" i="50" s="1"/>
  <c r="AT131" i="32"/>
  <c r="AA199" i="57"/>
  <c r="AD131" i="32"/>
  <c r="AD141" i="50"/>
  <c r="AG202" i="57"/>
  <c r="X200" i="57"/>
  <c r="AB200" i="57" s="1"/>
  <c r="AC203" i="53"/>
  <c r="O203" i="53"/>
  <c r="Q187" i="69"/>
  <c r="R201" i="57"/>
  <c r="AD201" i="57"/>
  <c r="Q201" i="57"/>
  <c r="AE201" i="57"/>
  <c r="AQ201" i="57"/>
  <c r="AC201" i="57"/>
  <c r="P142" i="50"/>
  <c r="P132" i="32"/>
  <c r="N203" i="53"/>
  <c r="O143" i="50"/>
  <c r="AA201" i="53"/>
  <c r="AM132" i="32"/>
  <c r="C141" i="50"/>
  <c r="AJ141" i="50"/>
  <c r="S142" i="50"/>
  <c r="Z142" i="50" s="1"/>
  <c r="W131" i="32"/>
  <c r="X131" i="32" s="1"/>
  <c r="C131" i="32"/>
  <c r="AJ131" i="32"/>
  <c r="S132" i="32"/>
  <c r="Z132" i="32" s="1"/>
  <c r="W141" i="50"/>
  <c r="X140" i="50"/>
  <c r="V141" i="50"/>
  <c r="V131" i="32"/>
  <c r="AF186" i="69"/>
  <c r="P203" i="57"/>
  <c r="AC184" i="69"/>
  <c r="AD184" i="69" s="1"/>
  <c r="O188" i="69"/>
  <c r="AO187" i="69"/>
  <c r="AE202" i="53"/>
  <c r="AK133" i="32"/>
  <c r="AM142" i="50"/>
  <c r="AL130" i="32"/>
  <c r="AN129" i="32"/>
  <c r="R202" i="53"/>
  <c r="X202" i="53" s="1"/>
  <c r="AB202" i="53" s="1"/>
  <c r="AY186" i="69"/>
  <c r="L203" i="57"/>
  <c r="AT202" i="53"/>
  <c r="AG202" i="53"/>
  <c r="N203" i="57"/>
  <c r="I203" i="53"/>
  <c r="Q202" i="53"/>
  <c r="AD202" i="53"/>
  <c r="J203" i="53"/>
  <c r="D203" i="53"/>
  <c r="C203" i="53"/>
  <c r="F203" i="53"/>
  <c r="E203" i="53"/>
  <c r="L203" i="53"/>
  <c r="H203" i="53"/>
  <c r="K203" i="53"/>
  <c r="AH203" i="53" s="1"/>
  <c r="G203" i="53"/>
  <c r="AK202" i="52" a="1"/>
  <c r="AK202" i="52" s="1"/>
  <c r="B204" i="53" s="1"/>
  <c r="P203" i="53"/>
  <c r="A133" i="32"/>
  <c r="B133" i="32"/>
  <c r="J143" i="50"/>
  <c r="I143" i="50"/>
  <c r="H143" i="50"/>
  <c r="M143" i="50"/>
  <c r="G143" i="50"/>
  <c r="A143" i="50"/>
  <c r="K143" i="50"/>
  <c r="L143" i="50"/>
  <c r="B143" i="50"/>
  <c r="N133" i="32"/>
  <c r="I133" i="32"/>
  <c r="J133" i="32"/>
  <c r="M133" i="32"/>
  <c r="G133" i="32"/>
  <c r="L133" i="32"/>
  <c r="H133" i="32"/>
  <c r="K133" i="32"/>
  <c r="H203" i="57"/>
  <c r="D203" i="57"/>
  <c r="F203" i="57"/>
  <c r="G203" i="57"/>
  <c r="C203" i="57"/>
  <c r="E203" i="57"/>
  <c r="J203" i="57"/>
  <c r="I203" i="57"/>
  <c r="AN202" i="55" a="1"/>
  <c r="AN202" i="55" s="1"/>
  <c r="B204" i="57" s="1"/>
  <c r="O204" i="57" s="1"/>
  <c r="AS188" i="67" a="1"/>
  <c r="AS188" i="67" s="1"/>
  <c r="B189" i="69"/>
  <c r="AM189" i="69" s="1"/>
  <c r="AN189" i="69" s="1"/>
  <c r="D187" i="69"/>
  <c r="E187" i="69" s="1"/>
  <c r="R186" i="69"/>
  <c r="S186" i="69" s="1"/>
  <c r="AE186" i="69"/>
  <c r="C188" i="69"/>
  <c r="AL133" i="11" a="1"/>
  <c r="AL133" i="11" s="1"/>
  <c r="E134" i="32" s="1"/>
  <c r="T134" i="32" s="1"/>
  <c r="AP143" i="59" a="1"/>
  <c r="AP143" i="59" s="1"/>
  <c r="E144" i="50" s="1"/>
  <c r="T144" i="50" s="1"/>
  <c r="AM18" i="11" a="1"/>
  <c r="AM18" i="11" s="1"/>
  <c r="AF200" i="57" l="1"/>
  <c r="AF202" i="53"/>
  <c r="AH140" i="50"/>
  <c r="AI140" i="50" s="1"/>
  <c r="AP140" i="50" s="1"/>
  <c r="AG131" i="32"/>
  <c r="AH131" i="32" s="1"/>
  <c r="AI131" i="32" s="1"/>
  <c r="AK203" i="57"/>
  <c r="P188" i="69"/>
  <c r="AP188" i="69"/>
  <c r="AJ199" i="57"/>
  <c r="O134" i="32"/>
  <c r="AK144" i="50"/>
  <c r="AL141" i="50"/>
  <c r="AG141" i="50"/>
  <c r="BC189" i="69"/>
  <c r="BF189" i="69"/>
  <c r="BE189" i="69"/>
  <c r="BD189" i="69"/>
  <c r="U133" i="32"/>
  <c r="AH204" i="57"/>
  <c r="AI204" i="57" s="1"/>
  <c r="K204" i="57"/>
  <c r="AO143" i="50"/>
  <c r="AQ144" i="50"/>
  <c r="N144" i="50"/>
  <c r="AX187" i="69"/>
  <c r="AW187" i="69"/>
  <c r="L189" i="69"/>
  <c r="M189" i="69" s="1"/>
  <c r="AZ189" i="69"/>
  <c r="Y186" i="69"/>
  <c r="AG186" i="69" s="1"/>
  <c r="AB185" i="69"/>
  <c r="AC185" i="69" s="1"/>
  <c r="AD185" i="69" s="1"/>
  <c r="F187" i="69"/>
  <c r="G187" i="69" s="1"/>
  <c r="H187" i="69" s="1"/>
  <c r="I187" i="69" s="1"/>
  <c r="J187" i="69" s="1"/>
  <c r="K187" i="69" s="1"/>
  <c r="U187" i="69"/>
  <c r="AH187" i="69"/>
  <c r="F134" i="32"/>
  <c r="AU134" i="32"/>
  <c r="AY144" i="50"/>
  <c r="F144" i="50"/>
  <c r="U144" i="50" s="1"/>
  <c r="AT132" i="32"/>
  <c r="AD132" i="32"/>
  <c r="AG132" i="32" s="1"/>
  <c r="AH132" i="32" s="1"/>
  <c r="AI132" i="32" s="1"/>
  <c r="AD142" i="50"/>
  <c r="X201" i="57"/>
  <c r="AB201" i="57" s="1"/>
  <c r="AG203" i="57"/>
  <c r="AA200" i="57"/>
  <c r="AC204" i="53"/>
  <c r="O204" i="53"/>
  <c r="Q188" i="69"/>
  <c r="Q202" i="57"/>
  <c r="AE202" i="57"/>
  <c r="AQ202" i="57"/>
  <c r="AD202" i="57"/>
  <c r="R202" i="57"/>
  <c r="AC202" i="57"/>
  <c r="P143" i="50"/>
  <c r="P133" i="32"/>
  <c r="N204" i="53"/>
  <c r="O144" i="50"/>
  <c r="AA202" i="53"/>
  <c r="AM133" i="32"/>
  <c r="C142" i="50"/>
  <c r="AJ142" i="50"/>
  <c r="S143" i="50"/>
  <c r="Z143" i="50" s="1"/>
  <c r="C132" i="32"/>
  <c r="AJ132" i="32"/>
  <c r="W132" i="32"/>
  <c r="X132" i="32" s="1"/>
  <c r="S133" i="32"/>
  <c r="Z133" i="32" s="1"/>
  <c r="W142" i="50"/>
  <c r="X141" i="50"/>
  <c r="V142" i="50"/>
  <c r="V132" i="32"/>
  <c r="AF187" i="69"/>
  <c r="P204" i="57"/>
  <c r="O189" i="69"/>
  <c r="AO188" i="69"/>
  <c r="AE203" i="53"/>
  <c r="AK134" i="32"/>
  <c r="AM143" i="50"/>
  <c r="AL131" i="32"/>
  <c r="R203" i="53"/>
  <c r="X203" i="53" s="1"/>
  <c r="AB203" i="53" s="1"/>
  <c r="AN130" i="32"/>
  <c r="AY187" i="69"/>
  <c r="L204" i="57"/>
  <c r="AT203" i="53"/>
  <c r="AG203" i="53"/>
  <c r="N204" i="57"/>
  <c r="Q203" i="53"/>
  <c r="AD203" i="53"/>
  <c r="J204" i="53"/>
  <c r="H204" i="53"/>
  <c r="P204" i="53"/>
  <c r="F204" i="53"/>
  <c r="L204" i="53"/>
  <c r="G204" i="53"/>
  <c r="I204" i="53"/>
  <c r="AK203" i="52" a="1"/>
  <c r="AK203" i="52" s="1"/>
  <c r="B205" i="53" s="1"/>
  <c r="D204" i="53"/>
  <c r="C204" i="53"/>
  <c r="K204" i="53"/>
  <c r="AH204" i="53" s="1"/>
  <c r="E204" i="53"/>
  <c r="A134" i="32"/>
  <c r="B134" i="32"/>
  <c r="K144" i="50"/>
  <c r="B144" i="50"/>
  <c r="G144" i="50"/>
  <c r="I144" i="50"/>
  <c r="J144" i="50"/>
  <c r="A144" i="50"/>
  <c r="M144" i="50"/>
  <c r="H144" i="50"/>
  <c r="L144" i="50"/>
  <c r="L134" i="32"/>
  <c r="G134" i="32"/>
  <c r="H134" i="32"/>
  <c r="K134" i="32"/>
  <c r="J134" i="32"/>
  <c r="M134" i="32"/>
  <c r="I134" i="32"/>
  <c r="N134" i="32"/>
  <c r="F204" i="57"/>
  <c r="D204" i="57"/>
  <c r="I204" i="57"/>
  <c r="E204" i="57"/>
  <c r="H204" i="57"/>
  <c r="G204" i="57"/>
  <c r="J204" i="57"/>
  <c r="C204" i="57"/>
  <c r="AN203" i="55" a="1"/>
  <c r="AN203" i="55" s="1"/>
  <c r="B205" i="57" s="1"/>
  <c r="O205" i="57" s="1"/>
  <c r="AS189" i="67" a="1"/>
  <c r="AS189" i="67" s="1"/>
  <c r="B190" i="69"/>
  <c r="AM190" i="69" s="1"/>
  <c r="AN190" i="69" s="1"/>
  <c r="C189" i="69"/>
  <c r="AE187" i="69"/>
  <c r="R187" i="69"/>
  <c r="S187" i="69" s="1"/>
  <c r="D188" i="69"/>
  <c r="E188" i="69" s="1"/>
  <c r="AL134" i="11" a="1"/>
  <c r="AL134" i="11" s="1"/>
  <c r="E135" i="32" s="1"/>
  <c r="T135" i="32" s="1"/>
  <c r="AP144" i="59" a="1"/>
  <c r="AP144" i="59" s="1"/>
  <c r="E145" i="50" s="1"/>
  <c r="T145" i="50" s="1"/>
  <c r="AM19" i="11" a="1"/>
  <c r="AM19" i="11" s="1"/>
  <c r="AF201" i="57" l="1"/>
  <c r="AF203" i="53"/>
  <c r="AH141" i="50"/>
  <c r="AI141" i="50" s="1"/>
  <c r="AP141" i="50" s="1"/>
  <c r="AL142" i="50"/>
  <c r="AK204" i="57"/>
  <c r="P189" i="69"/>
  <c r="AP189" i="69"/>
  <c r="AJ200" i="57"/>
  <c r="O135" i="32"/>
  <c r="AK145" i="50"/>
  <c r="AG142" i="50"/>
  <c r="BC190" i="69"/>
  <c r="BF190" i="69"/>
  <c r="BE190" i="69"/>
  <c r="BD190" i="69"/>
  <c r="U134" i="32"/>
  <c r="AH205" i="57"/>
  <c r="AI205" i="57" s="1"/>
  <c r="K205" i="57"/>
  <c r="AQ145" i="50"/>
  <c r="N145" i="50"/>
  <c r="AO144" i="50"/>
  <c r="AW188" i="69"/>
  <c r="AX188" i="69"/>
  <c r="L190" i="69"/>
  <c r="M190" i="69" s="1"/>
  <c r="AZ190" i="69"/>
  <c r="AB186" i="69"/>
  <c r="AC186" i="69" s="1"/>
  <c r="AD186" i="69" s="1"/>
  <c r="Y187" i="69"/>
  <c r="AB187" i="69" s="1"/>
  <c r="AC187" i="69" s="1"/>
  <c r="AD187" i="69" s="1"/>
  <c r="F188" i="69"/>
  <c r="G188" i="69" s="1"/>
  <c r="H188" i="69" s="1"/>
  <c r="I188" i="69" s="1"/>
  <c r="J188" i="69" s="1"/>
  <c r="K188" i="69" s="1"/>
  <c r="U188" i="69"/>
  <c r="AH188" i="69"/>
  <c r="F135" i="32"/>
  <c r="AU135" i="32"/>
  <c r="AY145" i="50"/>
  <c r="F145" i="50"/>
  <c r="U145" i="50" s="1"/>
  <c r="AT133" i="32"/>
  <c r="AE203" i="57"/>
  <c r="X202" i="57"/>
  <c r="AD133" i="32"/>
  <c r="AG133" i="32" s="1"/>
  <c r="AH133" i="32" s="1"/>
  <c r="AI133" i="32" s="1"/>
  <c r="AD143" i="50"/>
  <c r="AG204" i="57"/>
  <c r="AA201" i="57"/>
  <c r="AC205" i="53"/>
  <c r="O205" i="53"/>
  <c r="Q189" i="69"/>
  <c r="AQ203" i="57"/>
  <c r="Q203" i="57"/>
  <c r="AD203" i="57"/>
  <c r="R203" i="57"/>
  <c r="AC203" i="57"/>
  <c r="P144" i="50"/>
  <c r="P134" i="32"/>
  <c r="N205" i="53"/>
  <c r="O145" i="50"/>
  <c r="AA203" i="53"/>
  <c r="AM134" i="32"/>
  <c r="C143" i="50"/>
  <c r="AJ143" i="50"/>
  <c r="S144" i="50"/>
  <c r="Z144" i="50" s="1"/>
  <c r="C133" i="32"/>
  <c r="AJ133" i="32"/>
  <c r="W133" i="32"/>
  <c r="X133" i="32" s="1"/>
  <c r="S134" i="32"/>
  <c r="Z134" i="32" s="1"/>
  <c r="W143" i="50"/>
  <c r="X142" i="50"/>
  <c r="V143" i="50"/>
  <c r="V133" i="32"/>
  <c r="AF188" i="69"/>
  <c r="P205" i="57"/>
  <c r="AO189" i="69"/>
  <c r="O190" i="69"/>
  <c r="AE204" i="53"/>
  <c r="AK135" i="32"/>
  <c r="AM144" i="50"/>
  <c r="AL132" i="32"/>
  <c r="AN131" i="32"/>
  <c r="R204" i="53"/>
  <c r="X204" i="53" s="1"/>
  <c r="AB204" i="53" s="1"/>
  <c r="AY188" i="69"/>
  <c r="L205" i="57"/>
  <c r="AG204" i="53"/>
  <c r="AT204" i="53"/>
  <c r="AD204" i="53"/>
  <c r="N205" i="57"/>
  <c r="Q204" i="53"/>
  <c r="H205" i="53"/>
  <c r="K205" i="53"/>
  <c r="AH205" i="53" s="1"/>
  <c r="L205" i="53"/>
  <c r="D205" i="53"/>
  <c r="C205" i="53"/>
  <c r="AK204" i="52" a="1"/>
  <c r="AK204" i="52" s="1"/>
  <c r="B206" i="53" s="1"/>
  <c r="P205" i="53"/>
  <c r="E205" i="53"/>
  <c r="G205" i="53"/>
  <c r="F205" i="53"/>
  <c r="J205" i="53"/>
  <c r="I205" i="53"/>
  <c r="A135" i="32"/>
  <c r="B135" i="32"/>
  <c r="J145" i="50"/>
  <c r="M145" i="50"/>
  <c r="H145" i="50"/>
  <c r="K145" i="50"/>
  <c r="L145" i="50"/>
  <c r="G145" i="50"/>
  <c r="A145" i="50"/>
  <c r="B145" i="50"/>
  <c r="I145" i="50"/>
  <c r="J135" i="32"/>
  <c r="M135" i="32"/>
  <c r="N135" i="32"/>
  <c r="I135" i="32"/>
  <c r="K135" i="32"/>
  <c r="H135" i="32"/>
  <c r="L135" i="32"/>
  <c r="G135" i="32"/>
  <c r="C205" i="57"/>
  <c r="J205" i="57"/>
  <c r="H205" i="57"/>
  <c r="D205" i="57"/>
  <c r="F205" i="57"/>
  <c r="I205" i="57"/>
  <c r="G205" i="57"/>
  <c r="E205" i="57"/>
  <c r="AN204" i="55" a="1"/>
  <c r="AN204" i="55" s="1"/>
  <c r="B206" i="57" s="1"/>
  <c r="O206" i="57" s="1"/>
  <c r="AS190" i="67" a="1"/>
  <c r="AS190" i="67" s="1"/>
  <c r="B191" i="69"/>
  <c r="AM191" i="69" s="1"/>
  <c r="AN191" i="69" s="1"/>
  <c r="D189" i="69"/>
  <c r="E189" i="69" s="1"/>
  <c r="AE188" i="69"/>
  <c r="R188" i="69"/>
  <c r="S188" i="69" s="1"/>
  <c r="C190" i="69"/>
  <c r="AL135" i="11" a="1"/>
  <c r="AL135" i="11" s="1"/>
  <c r="E136" i="32" s="1"/>
  <c r="T136" i="32" s="1"/>
  <c r="AP145" i="59" a="1"/>
  <c r="AP145" i="59" s="1"/>
  <c r="E146" i="50" s="1"/>
  <c r="T146" i="50" s="1"/>
  <c r="AM20" i="11" a="1"/>
  <c r="AM20" i="11" s="1"/>
  <c r="AA202" i="57" l="1"/>
  <c r="AB202" i="57"/>
  <c r="AF202" i="57" s="1"/>
  <c r="AF204" i="53"/>
  <c r="AH142" i="50"/>
  <c r="AI142" i="50" s="1"/>
  <c r="AP142" i="50" s="1"/>
  <c r="AK205" i="57"/>
  <c r="P190" i="69"/>
  <c r="AP190" i="69"/>
  <c r="AJ201" i="57"/>
  <c r="O136" i="32"/>
  <c r="AK146" i="50"/>
  <c r="AL143" i="50"/>
  <c r="AG143" i="50"/>
  <c r="BC191" i="69"/>
  <c r="BF191" i="69"/>
  <c r="BE191" i="69"/>
  <c r="BD191" i="69"/>
  <c r="U135" i="32"/>
  <c r="AH206" i="57"/>
  <c r="AI206" i="57" s="1"/>
  <c r="K206" i="57"/>
  <c r="AQ146" i="50"/>
  <c r="N146" i="50"/>
  <c r="AO145" i="50"/>
  <c r="AX189" i="69"/>
  <c r="AW189" i="69"/>
  <c r="L191" i="69"/>
  <c r="M191" i="69" s="1"/>
  <c r="AZ191" i="69"/>
  <c r="AG187" i="69"/>
  <c r="U189" i="69"/>
  <c r="AH189" i="69"/>
  <c r="F189" i="69"/>
  <c r="G189" i="69" s="1"/>
  <c r="H189" i="69" s="1"/>
  <c r="I189" i="69" s="1"/>
  <c r="J189" i="69" s="1"/>
  <c r="K189" i="69" s="1"/>
  <c r="F136" i="32"/>
  <c r="AU136" i="32"/>
  <c r="AY146" i="50"/>
  <c r="F146" i="50"/>
  <c r="U146" i="50" s="1"/>
  <c r="AT134" i="32"/>
  <c r="Y188" i="69"/>
  <c r="AB188" i="69" s="1"/>
  <c r="AC188" i="69" s="1"/>
  <c r="AD188" i="69" s="1"/>
  <c r="AD134" i="32"/>
  <c r="AG134" i="32" s="1"/>
  <c r="AH134" i="32" s="1"/>
  <c r="AI134" i="32" s="1"/>
  <c r="AD144" i="50"/>
  <c r="X203" i="57"/>
  <c r="AB203" i="57" s="1"/>
  <c r="AG205" i="57"/>
  <c r="AE204" i="57"/>
  <c r="AC206" i="53"/>
  <c r="O206" i="53"/>
  <c r="Q190" i="69"/>
  <c r="R204" i="57"/>
  <c r="Q204" i="57"/>
  <c r="AD204" i="57"/>
  <c r="AQ204" i="57"/>
  <c r="AC204" i="57"/>
  <c r="P145" i="50"/>
  <c r="P135" i="32"/>
  <c r="N206" i="53"/>
  <c r="O146" i="50"/>
  <c r="AA204" i="53"/>
  <c r="AM135" i="32"/>
  <c r="C144" i="50"/>
  <c r="AJ144" i="50"/>
  <c r="S145" i="50"/>
  <c r="Z145" i="50" s="1"/>
  <c r="C134" i="32"/>
  <c r="AJ134" i="32"/>
  <c r="W134" i="32"/>
  <c r="X134" i="32" s="1"/>
  <c r="S135" i="32"/>
  <c r="Z135" i="32" s="1"/>
  <c r="W144" i="50"/>
  <c r="X143" i="50"/>
  <c r="V144" i="50"/>
  <c r="V134" i="32"/>
  <c r="AF189" i="69"/>
  <c r="P206" i="57"/>
  <c r="O191" i="69"/>
  <c r="AO190" i="69"/>
  <c r="AE205" i="53"/>
  <c r="AK136" i="32"/>
  <c r="AM145" i="50"/>
  <c r="AL133" i="32"/>
  <c r="R205" i="53"/>
  <c r="X205" i="53" s="1"/>
  <c r="AB205" i="53" s="1"/>
  <c r="AN132" i="32"/>
  <c r="AY189" i="69"/>
  <c r="L206" i="57"/>
  <c r="AT205" i="53"/>
  <c r="AG205" i="53"/>
  <c r="N206" i="57"/>
  <c r="J206" i="53"/>
  <c r="Q205" i="53"/>
  <c r="AD205" i="53"/>
  <c r="D206" i="53"/>
  <c r="P206" i="53"/>
  <c r="F206" i="53"/>
  <c r="G206" i="53"/>
  <c r="K206" i="53"/>
  <c r="AH206" i="53" s="1"/>
  <c r="H206" i="53"/>
  <c r="E206" i="53"/>
  <c r="C206" i="53"/>
  <c r="AK205" i="52" a="1"/>
  <c r="AK205" i="52" s="1"/>
  <c r="B207" i="53" s="1"/>
  <c r="L206" i="53"/>
  <c r="I206" i="53"/>
  <c r="A136" i="32"/>
  <c r="B136" i="32"/>
  <c r="H146" i="50"/>
  <c r="I146" i="50"/>
  <c r="G146" i="50"/>
  <c r="M146" i="50"/>
  <c r="J146" i="50"/>
  <c r="A146" i="50"/>
  <c r="B146" i="50"/>
  <c r="L146" i="50"/>
  <c r="K146" i="50"/>
  <c r="H136" i="32"/>
  <c r="K136" i="32"/>
  <c r="L136" i="32"/>
  <c r="G136" i="32"/>
  <c r="I136" i="32"/>
  <c r="N136" i="32"/>
  <c r="J136" i="32"/>
  <c r="M136" i="32"/>
  <c r="H206" i="57"/>
  <c r="F206" i="57"/>
  <c r="I206" i="57"/>
  <c r="D206" i="57"/>
  <c r="J206" i="57"/>
  <c r="G206" i="57"/>
  <c r="E206" i="57"/>
  <c r="C206" i="57"/>
  <c r="AN205" i="55" a="1"/>
  <c r="AN205" i="55" s="1"/>
  <c r="B207" i="57" s="1"/>
  <c r="O207" i="57" s="1"/>
  <c r="AS191" i="67" a="1"/>
  <c r="AS191" i="67" s="1"/>
  <c r="B192" i="69"/>
  <c r="AM192" i="69" s="1"/>
  <c r="AN192" i="69" s="1"/>
  <c r="AE189" i="69"/>
  <c r="R189" i="69"/>
  <c r="S189" i="69" s="1"/>
  <c r="C191" i="69"/>
  <c r="D190" i="69"/>
  <c r="E190" i="69" s="1"/>
  <c r="AL136" i="11" a="1"/>
  <c r="AL136" i="11" s="1"/>
  <c r="AP146" i="59" a="1"/>
  <c r="AP146" i="59" s="1"/>
  <c r="E147" i="50" s="1"/>
  <c r="T147" i="50" s="1"/>
  <c r="AM21" i="11" a="1"/>
  <c r="AM21" i="11" s="1"/>
  <c r="AF203" i="57" l="1"/>
  <c r="AF205" i="53"/>
  <c r="AH143" i="50"/>
  <c r="AI143" i="50" s="1"/>
  <c r="AP143" i="50" s="1"/>
  <c r="AK206" i="57"/>
  <c r="P191" i="69"/>
  <c r="AP191" i="69"/>
  <c r="AJ202" i="57"/>
  <c r="AK147" i="50"/>
  <c r="AL144" i="50"/>
  <c r="AG144" i="50"/>
  <c r="BC192" i="69"/>
  <c r="BE192" i="69"/>
  <c r="BF192" i="69"/>
  <c r="BD192" i="69"/>
  <c r="U136" i="32"/>
  <c r="AH207" i="57"/>
  <c r="AI207" i="57" s="1"/>
  <c r="K207" i="57"/>
  <c r="AQ147" i="50"/>
  <c r="N147" i="50"/>
  <c r="AO146" i="50"/>
  <c r="AX190" i="69"/>
  <c r="AW190" i="69"/>
  <c r="L192" i="69"/>
  <c r="M192" i="69" s="1"/>
  <c r="AZ192" i="69"/>
  <c r="Y189" i="69"/>
  <c r="AB189" i="69" s="1"/>
  <c r="U190" i="69"/>
  <c r="AH190" i="69"/>
  <c r="F190" i="69"/>
  <c r="G190" i="69" s="1"/>
  <c r="H190" i="69" s="1"/>
  <c r="I190" i="69" s="1"/>
  <c r="J190" i="69" s="1"/>
  <c r="K190" i="69" s="1"/>
  <c r="F147" i="50"/>
  <c r="U147" i="50" s="1"/>
  <c r="AY147" i="50"/>
  <c r="AT135" i="32"/>
  <c r="AG188" i="69"/>
  <c r="AD135" i="32"/>
  <c r="AG135" i="32" s="1"/>
  <c r="AH135" i="32" s="1"/>
  <c r="AI135" i="32" s="1"/>
  <c r="AD145" i="50"/>
  <c r="X204" i="57"/>
  <c r="AB204" i="57" s="1"/>
  <c r="AG206" i="57"/>
  <c r="AC207" i="53"/>
  <c r="O207" i="53"/>
  <c r="Q191" i="69"/>
  <c r="AA203" i="57"/>
  <c r="AQ205" i="57"/>
  <c r="R205" i="57"/>
  <c r="Q205" i="57"/>
  <c r="AC205" i="57"/>
  <c r="AD205" i="57"/>
  <c r="AE205" i="57"/>
  <c r="P146" i="50"/>
  <c r="P136" i="32"/>
  <c r="N207" i="53"/>
  <c r="O147" i="50"/>
  <c r="AA205" i="53"/>
  <c r="AM136" i="32"/>
  <c r="C145" i="50"/>
  <c r="AJ145" i="50"/>
  <c r="S146" i="50"/>
  <c r="Z146" i="50" s="1"/>
  <c r="C135" i="32"/>
  <c r="W135" i="32"/>
  <c r="X135" i="32" s="1"/>
  <c r="AJ135" i="32"/>
  <c r="S136" i="32"/>
  <c r="Z136" i="32" s="1"/>
  <c r="W145" i="50"/>
  <c r="X144" i="50"/>
  <c r="V145" i="50"/>
  <c r="V135" i="32"/>
  <c r="AF190" i="69"/>
  <c r="P207" i="57"/>
  <c r="O192" i="69"/>
  <c r="AO191" i="69"/>
  <c r="AE206" i="53"/>
  <c r="AM146" i="50"/>
  <c r="AL134" i="32"/>
  <c r="R206" i="53"/>
  <c r="X206" i="53" s="1"/>
  <c r="AB206" i="53" s="1"/>
  <c r="AN133" i="32"/>
  <c r="AY190" i="69"/>
  <c r="L207" i="57"/>
  <c r="AT206" i="53"/>
  <c r="AG206" i="53"/>
  <c r="N207" i="57"/>
  <c r="AD206" i="53"/>
  <c r="Q206" i="53"/>
  <c r="F207" i="53"/>
  <c r="P207" i="53"/>
  <c r="C207" i="53"/>
  <c r="G207" i="53"/>
  <c r="I207" i="53"/>
  <c r="E207" i="53"/>
  <c r="K207" i="53"/>
  <c r="AH207" i="53" s="1"/>
  <c r="H207" i="53"/>
  <c r="D207" i="53"/>
  <c r="AK206" i="52" a="1"/>
  <c r="AK206" i="52" s="1"/>
  <c r="B208" i="53" s="1"/>
  <c r="J207" i="53"/>
  <c r="L207" i="53"/>
  <c r="M147" i="50"/>
  <c r="B147" i="50"/>
  <c r="J147" i="50"/>
  <c r="I147" i="50"/>
  <c r="L147" i="50"/>
  <c r="A147" i="50"/>
  <c r="H147" i="50"/>
  <c r="K147" i="50"/>
  <c r="G147" i="50"/>
  <c r="G207" i="57"/>
  <c r="F207" i="57"/>
  <c r="I207" i="57"/>
  <c r="E207" i="57"/>
  <c r="D207" i="57"/>
  <c r="J207" i="57"/>
  <c r="C207" i="57"/>
  <c r="H207" i="57"/>
  <c r="E137" i="32"/>
  <c r="T137" i="32" s="1"/>
  <c r="AN206" i="55" a="1"/>
  <c r="AN206" i="55" s="1"/>
  <c r="B208" i="57" s="1"/>
  <c r="O208" i="57" s="1"/>
  <c r="AS192" i="67" a="1"/>
  <c r="AS192" i="67" s="1"/>
  <c r="B193" i="69"/>
  <c r="AM193" i="69" s="1"/>
  <c r="AN193" i="69" s="1"/>
  <c r="D191" i="69"/>
  <c r="E191" i="69" s="1"/>
  <c r="AE190" i="69"/>
  <c r="R190" i="69"/>
  <c r="S190" i="69" s="1"/>
  <c r="C192" i="69"/>
  <c r="AL137" i="11" a="1"/>
  <c r="AL137" i="11" s="1"/>
  <c r="E138" i="32" s="1"/>
  <c r="T138" i="32" s="1"/>
  <c r="AP147" i="59" a="1"/>
  <c r="AP147" i="59" s="1"/>
  <c r="E148" i="50" s="1"/>
  <c r="T148" i="50" s="1"/>
  <c r="AM22" i="11" a="1"/>
  <c r="AM22" i="11" s="1"/>
  <c r="AF204" i="57" l="1"/>
  <c r="AF206" i="53"/>
  <c r="AH144" i="50"/>
  <c r="AI144" i="50" s="1"/>
  <c r="AP144" i="50" s="1"/>
  <c r="AK207" i="57"/>
  <c r="P192" i="69"/>
  <c r="AP192" i="69"/>
  <c r="AJ203" i="57"/>
  <c r="AL145" i="50"/>
  <c r="O138" i="32"/>
  <c r="O137" i="32"/>
  <c r="AK148" i="50"/>
  <c r="AG145" i="50"/>
  <c r="BC193" i="69"/>
  <c r="BE193" i="69"/>
  <c r="BF193" i="69"/>
  <c r="BD193" i="69"/>
  <c r="AH208" i="57"/>
  <c r="AI208" i="57" s="1"/>
  <c r="K208" i="57"/>
  <c r="AQ148" i="50"/>
  <c r="N148" i="50"/>
  <c r="AO147" i="50"/>
  <c r="AX191" i="69"/>
  <c r="AW191" i="69"/>
  <c r="L193" i="69"/>
  <c r="M193" i="69" s="1"/>
  <c r="AZ193" i="69"/>
  <c r="AG189" i="69"/>
  <c r="F191" i="69"/>
  <c r="G191" i="69" s="1"/>
  <c r="H191" i="69" s="1"/>
  <c r="I191" i="69" s="1"/>
  <c r="J191" i="69" s="1"/>
  <c r="K191" i="69" s="1"/>
  <c r="U191" i="69"/>
  <c r="AH191" i="69"/>
  <c r="F138" i="32"/>
  <c r="AU138" i="32"/>
  <c r="F137" i="32"/>
  <c r="AU137" i="32"/>
  <c r="F148" i="50"/>
  <c r="U148" i="50" s="1"/>
  <c r="AY148" i="50"/>
  <c r="AT136" i="32"/>
  <c r="X205" i="57"/>
  <c r="AB205" i="57" s="1"/>
  <c r="Y190" i="69"/>
  <c r="AB190" i="69" s="1"/>
  <c r="AC190" i="69" s="1"/>
  <c r="AD190" i="69" s="1"/>
  <c r="AD136" i="32"/>
  <c r="AG136" i="32" s="1"/>
  <c r="AH136" i="32" s="1"/>
  <c r="AI136" i="32" s="1"/>
  <c r="AD146" i="50"/>
  <c r="AG207" i="57"/>
  <c r="AC208" i="53"/>
  <c r="O208" i="53"/>
  <c r="Q192" i="69"/>
  <c r="AA204" i="57"/>
  <c r="AE206" i="57"/>
  <c r="AD206" i="57"/>
  <c r="Q206" i="57"/>
  <c r="R206" i="57"/>
  <c r="AQ206" i="57"/>
  <c r="AC206" i="57"/>
  <c r="P147" i="50"/>
  <c r="N208" i="53"/>
  <c r="O148" i="50"/>
  <c r="AA206" i="53"/>
  <c r="C146" i="50"/>
  <c r="AJ146" i="50"/>
  <c r="S147" i="50"/>
  <c r="Z147" i="50" s="1"/>
  <c r="C136" i="32"/>
  <c r="W136" i="32"/>
  <c r="X136" i="32" s="1"/>
  <c r="AJ136" i="32"/>
  <c r="W146" i="50"/>
  <c r="X145" i="50"/>
  <c r="V146" i="50"/>
  <c r="V136" i="32"/>
  <c r="AF191" i="69"/>
  <c r="P208" i="57"/>
  <c r="AC189" i="69"/>
  <c r="AD189" i="69" s="1"/>
  <c r="O193" i="69"/>
  <c r="AO192" i="69"/>
  <c r="AE207" i="53"/>
  <c r="AK137" i="32"/>
  <c r="AK138" i="32"/>
  <c r="AM147" i="50"/>
  <c r="AL135" i="32"/>
  <c r="AN134" i="32"/>
  <c r="R207" i="53"/>
  <c r="X207" i="53" s="1"/>
  <c r="AB207" i="53" s="1"/>
  <c r="AY191" i="69"/>
  <c r="L208" i="57"/>
  <c r="AT207" i="53"/>
  <c r="AG207" i="53"/>
  <c r="N208" i="57"/>
  <c r="L208" i="53"/>
  <c r="AD207" i="53"/>
  <c r="Q207" i="53"/>
  <c r="AK207" i="52" a="1"/>
  <c r="AK207" i="52" s="1"/>
  <c r="B209" i="53" s="1"/>
  <c r="C208" i="53"/>
  <c r="E208" i="53"/>
  <c r="P208" i="53"/>
  <c r="G208" i="53"/>
  <c r="H208" i="53"/>
  <c r="J208" i="53"/>
  <c r="K208" i="53"/>
  <c r="AH208" i="53" s="1"/>
  <c r="I208" i="53"/>
  <c r="D208" i="53"/>
  <c r="F208" i="53"/>
  <c r="A138" i="32"/>
  <c r="B138" i="32"/>
  <c r="A137" i="32"/>
  <c r="B137" i="32"/>
  <c r="H148" i="50"/>
  <c r="J148" i="50"/>
  <c r="K148" i="50"/>
  <c r="M148" i="50"/>
  <c r="G148" i="50"/>
  <c r="A148" i="50"/>
  <c r="B148" i="50"/>
  <c r="I148" i="50"/>
  <c r="L148" i="50"/>
  <c r="L138" i="32"/>
  <c r="G138" i="32"/>
  <c r="H138" i="32"/>
  <c r="K138" i="32"/>
  <c r="M138" i="32"/>
  <c r="J138" i="32"/>
  <c r="N138" i="32"/>
  <c r="I138" i="32"/>
  <c r="N137" i="32"/>
  <c r="I137" i="32"/>
  <c r="J137" i="32"/>
  <c r="M137" i="32"/>
  <c r="G137" i="32"/>
  <c r="L137" i="32"/>
  <c r="H137" i="32"/>
  <c r="K137" i="32"/>
  <c r="F208" i="57"/>
  <c r="E208" i="57"/>
  <c r="D208" i="57"/>
  <c r="J208" i="57"/>
  <c r="I208" i="57"/>
  <c r="G208" i="57"/>
  <c r="C208" i="57"/>
  <c r="H208" i="57"/>
  <c r="AN207" i="55" a="1"/>
  <c r="AN207" i="55" s="1"/>
  <c r="B209" i="57" s="1"/>
  <c r="O209" i="57" s="1"/>
  <c r="AS193" i="67" a="1"/>
  <c r="AS193" i="67" s="1"/>
  <c r="B194" i="69"/>
  <c r="AM194" i="69" s="1"/>
  <c r="AN194" i="69" s="1"/>
  <c r="C193" i="69"/>
  <c r="D192" i="69"/>
  <c r="E192" i="69" s="1"/>
  <c r="AE191" i="69"/>
  <c r="R191" i="69"/>
  <c r="S191" i="69" s="1"/>
  <c r="AL138" i="11" a="1"/>
  <c r="AL138" i="11" s="1"/>
  <c r="E139" i="32" s="1"/>
  <c r="T139" i="32" s="1"/>
  <c r="AP148" i="59" a="1"/>
  <c r="AP148" i="59" s="1"/>
  <c r="E149" i="50" s="1"/>
  <c r="T149" i="50" s="1"/>
  <c r="AM23" i="11" a="1"/>
  <c r="AM23" i="11" s="1"/>
  <c r="AF205" i="57" l="1"/>
  <c r="AF207" i="53"/>
  <c r="AH145" i="50"/>
  <c r="AI145" i="50" s="1"/>
  <c r="AP145" i="50" s="1"/>
  <c r="AL146" i="50"/>
  <c r="P193" i="69"/>
  <c r="AP193" i="69"/>
  <c r="AK208" i="57"/>
  <c r="AJ204" i="57"/>
  <c r="O139" i="32"/>
  <c r="AK149" i="50"/>
  <c r="AG146" i="50"/>
  <c r="BC194" i="69"/>
  <c r="BE194" i="69"/>
  <c r="BF194" i="69"/>
  <c r="BD194" i="69"/>
  <c r="U137" i="32"/>
  <c r="U138" i="32"/>
  <c r="AH209" i="57"/>
  <c r="AI209" i="57" s="1"/>
  <c r="K209" i="57"/>
  <c r="AQ149" i="50"/>
  <c r="N149" i="50"/>
  <c r="AO148" i="50"/>
  <c r="AX192" i="69"/>
  <c r="AW192" i="69"/>
  <c r="L194" i="69"/>
  <c r="M194" i="69" s="1"/>
  <c r="AZ194" i="69"/>
  <c r="Y191" i="69"/>
  <c r="AB191" i="69" s="1"/>
  <c r="U192" i="69"/>
  <c r="AH192" i="69"/>
  <c r="F192" i="69"/>
  <c r="G192" i="69" s="1"/>
  <c r="H192" i="69" s="1"/>
  <c r="I192" i="69" s="1"/>
  <c r="J192" i="69" s="1"/>
  <c r="K192" i="69" s="1"/>
  <c r="F139" i="32"/>
  <c r="AU139" i="32"/>
  <c r="AY149" i="50"/>
  <c r="F149" i="50"/>
  <c r="U149" i="50" s="1"/>
  <c r="AG190" i="69"/>
  <c r="X206" i="57"/>
  <c r="AB206" i="57" s="1"/>
  <c r="AD147" i="50"/>
  <c r="AG208" i="57"/>
  <c r="AA205" i="57"/>
  <c r="R207" i="57"/>
  <c r="AC209" i="53"/>
  <c r="O209" i="53"/>
  <c r="Q193" i="69"/>
  <c r="AD207" i="57"/>
  <c r="Q207" i="57"/>
  <c r="AE207" i="57"/>
  <c r="AQ207" i="57"/>
  <c r="AC207" i="57"/>
  <c r="P148" i="50"/>
  <c r="P137" i="32"/>
  <c r="P138" i="32"/>
  <c r="N209" i="53"/>
  <c r="O149" i="50"/>
  <c r="AA207" i="53"/>
  <c r="AM137" i="32"/>
  <c r="AM138" i="32"/>
  <c r="AJ147" i="50"/>
  <c r="C147" i="50"/>
  <c r="S148" i="50"/>
  <c r="Z148" i="50" s="1"/>
  <c r="S138" i="32"/>
  <c r="Z138" i="32" s="1"/>
  <c r="S137" i="32"/>
  <c r="Z137" i="32" s="1"/>
  <c r="W147" i="50"/>
  <c r="X146" i="50"/>
  <c r="V147" i="50"/>
  <c r="AF192" i="69"/>
  <c r="P209" i="57"/>
  <c r="AO193" i="69"/>
  <c r="O194" i="69"/>
  <c r="AE208" i="53"/>
  <c r="AK139" i="32"/>
  <c r="AM148" i="50"/>
  <c r="AL136" i="32"/>
  <c r="R208" i="53"/>
  <c r="X208" i="53" s="1"/>
  <c r="AB208" i="53" s="1"/>
  <c r="AN135" i="32"/>
  <c r="AY192" i="69"/>
  <c r="L209" i="57"/>
  <c r="AT208" i="53"/>
  <c r="AG208" i="53"/>
  <c r="N209" i="57"/>
  <c r="I209" i="53"/>
  <c r="Q208" i="53"/>
  <c r="AD208" i="53"/>
  <c r="L209" i="53"/>
  <c r="G209" i="53"/>
  <c r="C209" i="53"/>
  <c r="F209" i="53"/>
  <c r="E209" i="53"/>
  <c r="H209" i="53"/>
  <c r="P209" i="53"/>
  <c r="AK208" i="52" a="1"/>
  <c r="AK208" i="52" s="1"/>
  <c r="B210" i="53" s="1"/>
  <c r="J209" i="53"/>
  <c r="D209" i="53"/>
  <c r="K209" i="53"/>
  <c r="AH209" i="53" s="1"/>
  <c r="A139" i="32"/>
  <c r="B139" i="32"/>
  <c r="M149" i="50"/>
  <c r="J149" i="50"/>
  <c r="H149" i="50"/>
  <c r="A149" i="50"/>
  <c r="K149" i="50"/>
  <c r="L149" i="50"/>
  <c r="I149" i="50"/>
  <c r="B149" i="50"/>
  <c r="G149" i="50"/>
  <c r="J139" i="32"/>
  <c r="M139" i="32"/>
  <c r="N139" i="32"/>
  <c r="I139" i="32"/>
  <c r="H139" i="32"/>
  <c r="K139" i="32"/>
  <c r="G139" i="32"/>
  <c r="L139" i="32"/>
  <c r="H209" i="57"/>
  <c r="F209" i="57"/>
  <c r="C209" i="57"/>
  <c r="E209" i="57"/>
  <c r="G209" i="57"/>
  <c r="J209" i="57"/>
  <c r="I209" i="57"/>
  <c r="D209" i="57"/>
  <c r="AN208" i="55" a="1"/>
  <c r="AN208" i="55" s="1"/>
  <c r="B210" i="57" s="1"/>
  <c r="O210" i="57" s="1"/>
  <c r="AS194" i="67" a="1"/>
  <c r="AS194" i="67" s="1"/>
  <c r="B195" i="69"/>
  <c r="AM195" i="69" s="1"/>
  <c r="AN195" i="69" s="1"/>
  <c r="D193" i="69"/>
  <c r="E193" i="69" s="1"/>
  <c r="R192" i="69"/>
  <c r="S192" i="69" s="1"/>
  <c r="AE192" i="69"/>
  <c r="C194" i="69"/>
  <c r="AL139" i="11" a="1"/>
  <c r="AL139" i="11" s="1"/>
  <c r="E140" i="32" s="1"/>
  <c r="T140" i="32" s="1"/>
  <c r="AP149" i="59" a="1"/>
  <c r="AP149" i="59" s="1"/>
  <c r="E150" i="50" s="1"/>
  <c r="T150" i="50" s="1"/>
  <c r="AM24" i="11" a="1"/>
  <c r="AM24" i="11" s="1"/>
  <c r="AF206" i="57" l="1"/>
  <c r="AF208" i="53"/>
  <c r="AH146" i="50"/>
  <c r="AI146" i="50" s="1"/>
  <c r="AP146" i="50" s="1"/>
  <c r="AK209" i="57"/>
  <c r="AL147" i="50"/>
  <c r="P194" i="69"/>
  <c r="AP194" i="69"/>
  <c r="AJ205" i="57"/>
  <c r="O140" i="32"/>
  <c r="AK150" i="50"/>
  <c r="AG147" i="50"/>
  <c r="BC195" i="69"/>
  <c r="BD195" i="69"/>
  <c r="BE195" i="69"/>
  <c r="BF195" i="69"/>
  <c r="U139" i="32"/>
  <c r="AH210" i="57"/>
  <c r="AI210" i="57" s="1"/>
  <c r="K210" i="57"/>
  <c r="N150" i="50"/>
  <c r="AQ150" i="50"/>
  <c r="AO149" i="50"/>
  <c r="AX193" i="69"/>
  <c r="AW193" i="69"/>
  <c r="L195" i="69"/>
  <c r="M195" i="69" s="1"/>
  <c r="AZ195" i="69"/>
  <c r="AG191" i="69"/>
  <c r="Y192" i="69"/>
  <c r="AG192" i="69" s="1"/>
  <c r="U193" i="69"/>
  <c r="AH193" i="69"/>
  <c r="F193" i="69"/>
  <c r="G193" i="69" s="1"/>
  <c r="H193" i="69" s="1"/>
  <c r="I193" i="69" s="1"/>
  <c r="J193" i="69" s="1"/>
  <c r="K193" i="69" s="1"/>
  <c r="F140" i="32"/>
  <c r="AU140" i="32"/>
  <c r="AY150" i="50"/>
  <c r="F150" i="50"/>
  <c r="U150" i="50" s="1"/>
  <c r="AT137" i="32"/>
  <c r="AT138" i="32"/>
  <c r="AD138" i="32"/>
  <c r="AG138" i="32" s="1"/>
  <c r="AH138" i="32" s="1"/>
  <c r="AI138" i="32" s="1"/>
  <c r="AD137" i="32"/>
  <c r="AG137" i="32" s="1"/>
  <c r="AH137" i="32" s="1"/>
  <c r="AI137" i="32" s="1"/>
  <c r="AD148" i="50"/>
  <c r="X207" i="57"/>
  <c r="AB207" i="57" s="1"/>
  <c r="AG209" i="57"/>
  <c r="AA206" i="57"/>
  <c r="AC210" i="53"/>
  <c r="O210" i="53"/>
  <c r="Q194" i="69"/>
  <c r="AC208" i="57"/>
  <c r="AQ208" i="57"/>
  <c r="AD208" i="57"/>
  <c r="Q208" i="57"/>
  <c r="R208" i="57"/>
  <c r="AE208" i="57"/>
  <c r="P149" i="50"/>
  <c r="P139" i="32"/>
  <c r="N210" i="53"/>
  <c r="O150" i="50"/>
  <c r="AA208" i="53"/>
  <c r="AM139" i="32"/>
  <c r="C148" i="50"/>
  <c r="AJ148" i="50"/>
  <c r="S149" i="50"/>
  <c r="Z149" i="50" s="1"/>
  <c r="W137" i="32"/>
  <c r="X137" i="32" s="1"/>
  <c r="C137" i="32"/>
  <c r="AJ137" i="32"/>
  <c r="C138" i="32"/>
  <c r="AJ138" i="32"/>
  <c r="W138" i="32"/>
  <c r="X138" i="32" s="1"/>
  <c r="S139" i="32"/>
  <c r="W148" i="50"/>
  <c r="X147" i="50"/>
  <c r="V148" i="50"/>
  <c r="V138" i="32"/>
  <c r="V137" i="32"/>
  <c r="AF193" i="69"/>
  <c r="P210" i="57"/>
  <c r="AC191" i="69"/>
  <c r="AD191" i="69" s="1"/>
  <c r="O195" i="69"/>
  <c r="AO194" i="69"/>
  <c r="AE209" i="53"/>
  <c r="AK140" i="32"/>
  <c r="AM149" i="50"/>
  <c r="AN136" i="32"/>
  <c r="R209" i="53"/>
  <c r="X209" i="53" s="1"/>
  <c r="AB209" i="53" s="1"/>
  <c r="AY193" i="69"/>
  <c r="L210" i="57"/>
  <c r="AT209" i="53"/>
  <c r="AG209" i="53"/>
  <c r="N210" i="57"/>
  <c r="AD209" i="53"/>
  <c r="Q209" i="53"/>
  <c r="K210" i="53"/>
  <c r="AH210" i="53" s="1"/>
  <c r="I210" i="53"/>
  <c r="G210" i="53"/>
  <c r="AK209" i="52" a="1"/>
  <c r="AK209" i="52" s="1"/>
  <c r="B211" i="53" s="1"/>
  <c r="F210" i="53"/>
  <c r="L210" i="53"/>
  <c r="E210" i="53"/>
  <c r="C210" i="53"/>
  <c r="H210" i="53"/>
  <c r="J210" i="53"/>
  <c r="P210" i="53"/>
  <c r="D210" i="53"/>
  <c r="A140" i="32"/>
  <c r="B140" i="32"/>
  <c r="L150" i="50"/>
  <c r="M150" i="50"/>
  <c r="G150" i="50"/>
  <c r="A150" i="50"/>
  <c r="B150" i="50"/>
  <c r="H150" i="50"/>
  <c r="I150" i="50"/>
  <c r="J150" i="50"/>
  <c r="K150" i="50"/>
  <c r="H140" i="32"/>
  <c r="K140" i="32"/>
  <c r="L140" i="32"/>
  <c r="G140" i="32"/>
  <c r="I140" i="32"/>
  <c r="N140" i="32"/>
  <c r="J140" i="32"/>
  <c r="M140" i="32"/>
  <c r="G210" i="57"/>
  <c r="E210" i="57"/>
  <c r="C210" i="57"/>
  <c r="J210" i="57"/>
  <c r="H210" i="57"/>
  <c r="I210" i="57"/>
  <c r="D210" i="57"/>
  <c r="F210" i="57"/>
  <c r="AN209" i="55" a="1"/>
  <c r="AN209" i="55" s="1"/>
  <c r="B211" i="57" s="1"/>
  <c r="O211" i="57" s="1"/>
  <c r="C195" i="69"/>
  <c r="D194" i="69"/>
  <c r="E194" i="69" s="1"/>
  <c r="AE193" i="69"/>
  <c r="R193" i="69"/>
  <c r="S193" i="69" s="1"/>
  <c r="AS195" i="67" a="1"/>
  <c r="AS195" i="67" s="1"/>
  <c r="B196" i="69"/>
  <c r="AM196" i="69" s="1"/>
  <c r="AN196" i="69" s="1"/>
  <c r="AL140" i="11" a="1"/>
  <c r="AL140" i="11" s="1"/>
  <c r="E141" i="32" s="1"/>
  <c r="T141" i="32" s="1"/>
  <c r="AP150" i="59" a="1"/>
  <c r="AP150" i="59" s="1"/>
  <c r="E151" i="50" s="1"/>
  <c r="T151" i="50" s="1"/>
  <c r="AM25" i="11" a="1"/>
  <c r="AM25" i="11" s="1"/>
  <c r="AF207" i="57" l="1"/>
  <c r="AF209" i="53"/>
  <c r="AH147" i="50"/>
  <c r="AI147" i="50" s="1"/>
  <c r="AP147" i="50" s="1"/>
  <c r="P195" i="69"/>
  <c r="AP195" i="69"/>
  <c r="AK210" i="57"/>
  <c r="AJ206" i="57"/>
  <c r="AL148" i="50"/>
  <c r="O141" i="32"/>
  <c r="AK151" i="50"/>
  <c r="AG148" i="50"/>
  <c r="BC196" i="69"/>
  <c r="BD196" i="69"/>
  <c r="BE196" i="69"/>
  <c r="BF196" i="69"/>
  <c r="U140" i="32"/>
  <c r="K211" i="57"/>
  <c r="AH211" i="57"/>
  <c r="AI211" i="57" s="1"/>
  <c r="N151" i="50"/>
  <c r="AQ151" i="50"/>
  <c r="AO150" i="50"/>
  <c r="AD139" i="32"/>
  <c r="AG139" i="32" s="1"/>
  <c r="AH139" i="32" s="1"/>
  <c r="AI139" i="32" s="1"/>
  <c r="AX194" i="69"/>
  <c r="AW194" i="69"/>
  <c r="L196" i="69"/>
  <c r="M196" i="69" s="1"/>
  <c r="AZ196" i="69"/>
  <c r="Y193" i="69"/>
  <c r="AG193" i="69" s="1"/>
  <c r="AB192" i="69"/>
  <c r="AC192" i="69" s="1"/>
  <c r="AD192" i="69" s="1"/>
  <c r="F194" i="69"/>
  <c r="G194" i="69" s="1"/>
  <c r="H194" i="69" s="1"/>
  <c r="I194" i="69" s="1"/>
  <c r="J194" i="69" s="1"/>
  <c r="K194" i="69" s="1"/>
  <c r="U194" i="69"/>
  <c r="AH194" i="69"/>
  <c r="F141" i="32"/>
  <c r="AU141" i="32"/>
  <c r="AY151" i="50"/>
  <c r="F151" i="50"/>
  <c r="U151" i="50" s="1"/>
  <c r="AT139" i="32"/>
  <c r="AD149" i="50"/>
  <c r="X208" i="57"/>
  <c r="AG210" i="57"/>
  <c r="AA207" i="57"/>
  <c r="AC211" i="53"/>
  <c r="O211" i="53"/>
  <c r="Q195" i="69"/>
  <c r="AD209" i="57"/>
  <c r="R209" i="57"/>
  <c r="AC209" i="57"/>
  <c r="Q209" i="57"/>
  <c r="AQ209" i="57"/>
  <c r="AE209" i="57"/>
  <c r="P150" i="50"/>
  <c r="P140" i="32"/>
  <c r="N211" i="53"/>
  <c r="O151" i="50"/>
  <c r="AA209" i="53"/>
  <c r="C139" i="32"/>
  <c r="Z139" i="32"/>
  <c r="AM140" i="32"/>
  <c r="C149" i="50"/>
  <c r="AJ149" i="50"/>
  <c r="S150" i="50"/>
  <c r="Z150" i="50" s="1"/>
  <c r="S140" i="32"/>
  <c r="Z140" i="32" s="1"/>
  <c r="W139" i="32"/>
  <c r="X139" i="32" s="1"/>
  <c r="AJ139" i="32"/>
  <c r="W149" i="50"/>
  <c r="X148" i="50"/>
  <c r="V149" i="50"/>
  <c r="V139" i="32"/>
  <c r="AF194" i="69"/>
  <c r="P211" i="57"/>
  <c r="AO195" i="69"/>
  <c r="O196" i="69"/>
  <c r="AE210" i="53"/>
  <c r="AK141" i="32"/>
  <c r="AM150" i="50"/>
  <c r="AL138" i="32"/>
  <c r="AL137" i="32"/>
  <c r="R210" i="53"/>
  <c r="X210" i="53" s="1"/>
  <c r="AB210" i="53" s="1"/>
  <c r="AY194" i="69"/>
  <c r="L211" i="57"/>
  <c r="AT210" i="53"/>
  <c r="AG210" i="53"/>
  <c r="N211" i="57"/>
  <c r="F211" i="53"/>
  <c r="Q210" i="53"/>
  <c r="AD210" i="53"/>
  <c r="AK210" i="52" a="1"/>
  <c r="AK210" i="52" s="1"/>
  <c r="B212" i="53" s="1"/>
  <c r="K211" i="53"/>
  <c r="AH211" i="53" s="1"/>
  <c r="L211" i="53"/>
  <c r="J211" i="53"/>
  <c r="H211" i="53"/>
  <c r="I211" i="53"/>
  <c r="P211" i="53"/>
  <c r="C211" i="53"/>
  <c r="E211" i="53"/>
  <c r="G211" i="53"/>
  <c r="D211" i="53"/>
  <c r="A141" i="32"/>
  <c r="B141" i="32"/>
  <c r="G151" i="50"/>
  <c r="M151" i="50"/>
  <c r="I151" i="50"/>
  <c r="J151" i="50"/>
  <c r="A151" i="50"/>
  <c r="L151" i="50"/>
  <c r="H151" i="50"/>
  <c r="K151" i="50"/>
  <c r="B151" i="50"/>
  <c r="N141" i="32"/>
  <c r="I141" i="32"/>
  <c r="J141" i="32"/>
  <c r="M141" i="32"/>
  <c r="G141" i="32"/>
  <c r="L141" i="32"/>
  <c r="H141" i="32"/>
  <c r="K141" i="32"/>
  <c r="D211" i="57"/>
  <c r="G211" i="57"/>
  <c r="F211" i="57"/>
  <c r="H211" i="57"/>
  <c r="C211" i="57"/>
  <c r="I211" i="57"/>
  <c r="J211" i="57"/>
  <c r="E211" i="57"/>
  <c r="AN210" i="55" a="1"/>
  <c r="AN210" i="55" s="1"/>
  <c r="B212" i="57" s="1"/>
  <c r="O212" i="57" s="1"/>
  <c r="AS196" i="67" a="1"/>
  <c r="AS196" i="67" s="1"/>
  <c r="B197" i="69"/>
  <c r="AM197" i="69" s="1"/>
  <c r="AN197" i="69" s="1"/>
  <c r="D195" i="69"/>
  <c r="E195" i="69" s="1"/>
  <c r="AE194" i="69"/>
  <c r="R194" i="69"/>
  <c r="S194" i="69" s="1"/>
  <c r="C196" i="69"/>
  <c r="AL141" i="11" a="1"/>
  <c r="AL141" i="11" s="1"/>
  <c r="E142" i="32" s="1"/>
  <c r="T142" i="32" s="1"/>
  <c r="AP151" i="59" a="1"/>
  <c r="AP151" i="59" s="1"/>
  <c r="E152" i="50" s="1"/>
  <c r="T152" i="50" s="1"/>
  <c r="AM26" i="11" a="1"/>
  <c r="AM26" i="11" s="1"/>
  <c r="AA208" i="57" l="1"/>
  <c r="AB208" i="57"/>
  <c r="AF208" i="57" s="1"/>
  <c r="AF210" i="53"/>
  <c r="AH148" i="50"/>
  <c r="AI148" i="50" s="1"/>
  <c r="AP148" i="50" s="1"/>
  <c r="P196" i="69"/>
  <c r="AP196" i="69"/>
  <c r="AK211" i="57"/>
  <c r="AJ207" i="57"/>
  <c r="AL149" i="50"/>
  <c r="O142" i="32"/>
  <c r="AK152" i="50"/>
  <c r="AG149" i="50"/>
  <c r="BC197" i="69"/>
  <c r="BF197" i="69"/>
  <c r="BE197" i="69"/>
  <c r="BD197" i="69"/>
  <c r="U141" i="32"/>
  <c r="AH212" i="57"/>
  <c r="AI212" i="57" s="1"/>
  <c r="K212" i="57"/>
  <c r="AQ152" i="50"/>
  <c r="N152" i="50"/>
  <c r="AO151" i="50"/>
  <c r="AX195" i="69"/>
  <c r="AW195" i="69"/>
  <c r="Y194" i="69"/>
  <c r="AB194" i="69" s="1"/>
  <c r="L197" i="69"/>
  <c r="M197" i="69" s="1"/>
  <c r="AZ197" i="69"/>
  <c r="AB193" i="69"/>
  <c r="AC193" i="69" s="1"/>
  <c r="AD193" i="69" s="1"/>
  <c r="F195" i="69"/>
  <c r="G195" i="69" s="1"/>
  <c r="H195" i="69" s="1"/>
  <c r="I195" i="69" s="1"/>
  <c r="J195" i="69" s="1"/>
  <c r="K195" i="69" s="1"/>
  <c r="U195" i="69"/>
  <c r="AH195" i="69"/>
  <c r="F142" i="32"/>
  <c r="AU142" i="32"/>
  <c r="AY152" i="50"/>
  <c r="F152" i="50"/>
  <c r="U152" i="50" s="1"/>
  <c r="AT140" i="32"/>
  <c r="X209" i="57"/>
  <c r="AB209" i="57" s="1"/>
  <c r="AD140" i="32"/>
  <c r="AG140" i="32" s="1"/>
  <c r="AH140" i="32" s="1"/>
  <c r="AI140" i="32" s="1"/>
  <c r="AD150" i="50"/>
  <c r="AG211" i="57"/>
  <c r="AC212" i="53"/>
  <c r="O212" i="53"/>
  <c r="Q196" i="69"/>
  <c r="Q210" i="57"/>
  <c r="R210" i="57"/>
  <c r="AQ210" i="57"/>
  <c r="AC210" i="57"/>
  <c r="AD210" i="57"/>
  <c r="AE210" i="57"/>
  <c r="P151" i="50"/>
  <c r="P141" i="32"/>
  <c r="N212" i="53"/>
  <c r="O152" i="50"/>
  <c r="AA210" i="53"/>
  <c r="AM141" i="32"/>
  <c r="AJ150" i="50"/>
  <c r="C150" i="50"/>
  <c r="S151" i="50"/>
  <c r="Z151" i="50" s="1"/>
  <c r="AJ140" i="32"/>
  <c r="W140" i="32"/>
  <c r="X140" i="32" s="1"/>
  <c r="C140" i="32"/>
  <c r="S141" i="32"/>
  <c r="W150" i="50"/>
  <c r="X149" i="50"/>
  <c r="V150" i="50"/>
  <c r="V140" i="32"/>
  <c r="AF195" i="69"/>
  <c r="P212" i="57"/>
  <c r="O197" i="69"/>
  <c r="AO196" i="69"/>
  <c r="AE211" i="53"/>
  <c r="AK142" i="32"/>
  <c r="AM151" i="50"/>
  <c r="AL139" i="32"/>
  <c r="AN137" i="32"/>
  <c r="AN138" i="32"/>
  <c r="R211" i="53"/>
  <c r="X211" i="53" s="1"/>
  <c r="AB211" i="53" s="1"/>
  <c r="AY195" i="69"/>
  <c r="L212" i="57"/>
  <c r="AT211" i="53"/>
  <c r="AG211" i="53"/>
  <c r="N212" i="57"/>
  <c r="AD211" i="53"/>
  <c r="Q211" i="53"/>
  <c r="AK211" i="52" a="1"/>
  <c r="AK211" i="52" s="1"/>
  <c r="B213" i="53" s="1"/>
  <c r="J212" i="53"/>
  <c r="L212" i="53"/>
  <c r="H212" i="53"/>
  <c r="C212" i="53"/>
  <c r="E212" i="53"/>
  <c r="D212" i="53"/>
  <c r="G212" i="53"/>
  <c r="K212" i="53"/>
  <c r="AH212" i="53" s="1"/>
  <c r="F212" i="53"/>
  <c r="P212" i="53"/>
  <c r="I212" i="53"/>
  <c r="A142" i="32"/>
  <c r="B142" i="32"/>
  <c r="B152" i="50"/>
  <c r="I152" i="50"/>
  <c r="A152" i="50"/>
  <c r="G152" i="50"/>
  <c r="J152" i="50"/>
  <c r="K152" i="50"/>
  <c r="M152" i="50"/>
  <c r="H152" i="50"/>
  <c r="L152" i="50"/>
  <c r="L142" i="32"/>
  <c r="G142" i="32"/>
  <c r="H142" i="32"/>
  <c r="K142" i="32"/>
  <c r="J142" i="32"/>
  <c r="M142" i="32"/>
  <c r="I142" i="32"/>
  <c r="N142" i="32"/>
  <c r="I212" i="57"/>
  <c r="F212" i="57"/>
  <c r="D212" i="57"/>
  <c r="E212" i="57"/>
  <c r="J212" i="57"/>
  <c r="C212" i="57"/>
  <c r="G212" i="57"/>
  <c r="H212" i="57"/>
  <c r="AN211" i="55" a="1"/>
  <c r="AN211" i="55" s="1"/>
  <c r="B213" i="57" s="1"/>
  <c r="O213" i="57" s="1"/>
  <c r="AS197" i="67" a="1"/>
  <c r="AS197" i="67" s="1"/>
  <c r="B198" i="69"/>
  <c r="AM198" i="69" s="1"/>
  <c r="AN198" i="69" s="1"/>
  <c r="AE195" i="69"/>
  <c r="R195" i="69"/>
  <c r="S195" i="69" s="1"/>
  <c r="C197" i="69"/>
  <c r="D196" i="69"/>
  <c r="E196" i="69" s="1"/>
  <c r="AL142" i="11" a="1"/>
  <c r="AL142" i="11" s="1"/>
  <c r="E143" i="32" s="1"/>
  <c r="T143" i="32" s="1"/>
  <c r="AP152" i="59" a="1"/>
  <c r="AP152" i="59" s="1"/>
  <c r="E153" i="50" s="1"/>
  <c r="T153" i="50" s="1"/>
  <c r="AM27" i="11" a="1"/>
  <c r="AM27" i="11" s="1"/>
  <c r="AF209" i="57" l="1"/>
  <c r="AF211" i="53"/>
  <c r="AH149" i="50"/>
  <c r="AI149" i="50" s="1"/>
  <c r="AP149" i="50" s="1"/>
  <c r="P197" i="69"/>
  <c r="AP197" i="69"/>
  <c r="AK212" i="57"/>
  <c r="AJ208" i="57"/>
  <c r="O143" i="32"/>
  <c r="AK153" i="50"/>
  <c r="AL150" i="50"/>
  <c r="AG150" i="50"/>
  <c r="BC198" i="69"/>
  <c r="BF198" i="69"/>
  <c r="BE198" i="69"/>
  <c r="BD198" i="69"/>
  <c r="U142" i="32"/>
  <c r="AH213" i="57"/>
  <c r="AI213" i="57" s="1"/>
  <c r="K213" i="57"/>
  <c r="AQ153" i="50"/>
  <c r="N153" i="50"/>
  <c r="AO152" i="50"/>
  <c r="AD141" i="32"/>
  <c r="AG141" i="32" s="1"/>
  <c r="AH141" i="32" s="1"/>
  <c r="AI141" i="32" s="1"/>
  <c r="AW196" i="69"/>
  <c r="AX196" i="69"/>
  <c r="AG194" i="69"/>
  <c r="L198" i="69"/>
  <c r="M198" i="69" s="1"/>
  <c r="AZ198" i="69"/>
  <c r="Y195" i="69"/>
  <c r="AB195" i="69" s="1"/>
  <c r="F196" i="69"/>
  <c r="G196" i="69" s="1"/>
  <c r="H196" i="69" s="1"/>
  <c r="I196" i="69" s="1"/>
  <c r="J196" i="69" s="1"/>
  <c r="K196" i="69" s="1"/>
  <c r="U196" i="69"/>
  <c r="AH196" i="69"/>
  <c r="F143" i="32"/>
  <c r="AU143" i="32"/>
  <c r="AY153" i="50"/>
  <c r="F153" i="50"/>
  <c r="U153" i="50" s="1"/>
  <c r="AT141" i="32"/>
  <c r="AD151" i="50"/>
  <c r="AG212" i="57"/>
  <c r="X210" i="57"/>
  <c r="AA209" i="57"/>
  <c r="AC213" i="53"/>
  <c r="O213" i="53"/>
  <c r="Q197" i="69"/>
  <c r="AD211" i="57"/>
  <c r="AE211" i="57"/>
  <c r="Q211" i="57"/>
  <c r="AQ211" i="57"/>
  <c r="R211" i="57"/>
  <c r="AC211" i="57"/>
  <c r="P152" i="50"/>
  <c r="P142" i="32"/>
  <c r="N213" i="53"/>
  <c r="O153" i="50"/>
  <c r="AA211" i="53"/>
  <c r="C141" i="32"/>
  <c r="Z141" i="32"/>
  <c r="AM142" i="32"/>
  <c r="C151" i="50"/>
  <c r="AJ151" i="50"/>
  <c r="S152" i="50"/>
  <c r="Z152" i="50" s="1"/>
  <c r="W141" i="32"/>
  <c r="X141" i="32" s="1"/>
  <c r="S142" i="32"/>
  <c r="Z142" i="32" s="1"/>
  <c r="AJ141" i="32"/>
  <c r="W151" i="50"/>
  <c r="X150" i="50"/>
  <c r="V151" i="50"/>
  <c r="V141" i="32"/>
  <c r="AF196" i="69"/>
  <c r="P213" i="57"/>
  <c r="AC194" i="69"/>
  <c r="AD194" i="69" s="1"/>
  <c r="AO197" i="69"/>
  <c r="O198" i="69"/>
  <c r="AE212" i="53"/>
  <c r="AK143" i="32"/>
  <c r="AM152" i="50"/>
  <c r="AL140" i="32"/>
  <c r="AN139" i="32"/>
  <c r="R212" i="53"/>
  <c r="X212" i="53" s="1"/>
  <c r="AB212" i="53" s="1"/>
  <c r="AY196" i="69"/>
  <c r="L213" i="57"/>
  <c r="AT212" i="53"/>
  <c r="AG212" i="53"/>
  <c r="Q212" i="53"/>
  <c r="N213" i="57"/>
  <c r="AD212" i="53"/>
  <c r="L213" i="53"/>
  <c r="E213" i="53"/>
  <c r="J213" i="53"/>
  <c r="H213" i="53"/>
  <c r="P213" i="53"/>
  <c r="I213" i="53"/>
  <c r="G213" i="53"/>
  <c r="K213" i="53"/>
  <c r="AH213" i="53" s="1"/>
  <c r="C213" i="53"/>
  <c r="AK212" i="52" a="1"/>
  <c r="AK212" i="52" s="1"/>
  <c r="B214" i="53" s="1"/>
  <c r="D213" i="53"/>
  <c r="F213" i="53"/>
  <c r="A143" i="32"/>
  <c r="B143" i="32"/>
  <c r="L153" i="50"/>
  <c r="M153" i="50"/>
  <c r="I153" i="50"/>
  <c r="J153" i="50"/>
  <c r="G153" i="50"/>
  <c r="H153" i="50"/>
  <c r="B153" i="50"/>
  <c r="A153" i="50"/>
  <c r="K153" i="50"/>
  <c r="J143" i="32"/>
  <c r="M143" i="32"/>
  <c r="N143" i="32"/>
  <c r="I143" i="32"/>
  <c r="K143" i="32"/>
  <c r="H143" i="32"/>
  <c r="G143" i="32"/>
  <c r="L143" i="32"/>
  <c r="D213" i="57"/>
  <c r="C213" i="57"/>
  <c r="J213" i="57"/>
  <c r="H213" i="57"/>
  <c r="F213" i="57"/>
  <c r="I213" i="57"/>
  <c r="E213" i="57"/>
  <c r="G213" i="57"/>
  <c r="AN212" i="55" a="1"/>
  <c r="AN212" i="55" s="1"/>
  <c r="B214" i="57" s="1"/>
  <c r="O214" i="57" s="1"/>
  <c r="AS198" i="67" a="1"/>
  <c r="AS198" i="67" s="1"/>
  <c r="B199" i="69"/>
  <c r="AM199" i="69" s="1"/>
  <c r="AN199" i="69" s="1"/>
  <c r="D197" i="69"/>
  <c r="E197" i="69" s="1"/>
  <c r="AE196" i="69"/>
  <c r="R196" i="69"/>
  <c r="S196" i="69" s="1"/>
  <c r="C198" i="69"/>
  <c r="AL143" i="11" a="1"/>
  <c r="AL143" i="11" s="1"/>
  <c r="E144" i="32" s="1"/>
  <c r="T144" i="32" s="1"/>
  <c r="AP153" i="59" a="1"/>
  <c r="AP153" i="59" s="1"/>
  <c r="E154" i="50" s="1"/>
  <c r="T154" i="50" s="1"/>
  <c r="AM28" i="11" a="1"/>
  <c r="AM28" i="11" s="1"/>
  <c r="AA210" i="57" l="1"/>
  <c r="AB210" i="57"/>
  <c r="AF210" i="57" s="1"/>
  <c r="AF212" i="53"/>
  <c r="AH150" i="50"/>
  <c r="AI150" i="50" s="1"/>
  <c r="AP150" i="50" s="1"/>
  <c r="P198" i="69"/>
  <c r="AP198" i="69"/>
  <c r="AK213" i="57"/>
  <c r="AJ209" i="57"/>
  <c r="AL151" i="50"/>
  <c r="O144" i="32"/>
  <c r="AK154" i="50"/>
  <c r="AG151" i="50"/>
  <c r="BC199" i="69"/>
  <c r="BF199" i="69"/>
  <c r="BD199" i="69"/>
  <c r="BE199" i="69"/>
  <c r="U143" i="32"/>
  <c r="AH214" i="57"/>
  <c r="AI214" i="57" s="1"/>
  <c r="K214" i="57"/>
  <c r="AQ154" i="50"/>
  <c r="N154" i="50"/>
  <c r="AO153" i="50"/>
  <c r="AX197" i="69"/>
  <c r="AW197" i="69"/>
  <c r="L199" i="69"/>
  <c r="M199" i="69" s="1"/>
  <c r="AZ199" i="69"/>
  <c r="Y196" i="69"/>
  <c r="AG196" i="69" s="1"/>
  <c r="AG195" i="69"/>
  <c r="U197" i="69"/>
  <c r="AH197" i="69"/>
  <c r="F197" i="69"/>
  <c r="G197" i="69" s="1"/>
  <c r="H197" i="69" s="1"/>
  <c r="I197" i="69" s="1"/>
  <c r="J197" i="69" s="1"/>
  <c r="K197" i="69" s="1"/>
  <c r="F144" i="32"/>
  <c r="AU144" i="32"/>
  <c r="AY154" i="50"/>
  <c r="F154" i="50"/>
  <c r="U154" i="50" s="1"/>
  <c r="AT142" i="32"/>
  <c r="AD142" i="32"/>
  <c r="AG142" i="32" s="1"/>
  <c r="AH142" i="32" s="1"/>
  <c r="AI142" i="32" s="1"/>
  <c r="AD152" i="50"/>
  <c r="AG213" i="57"/>
  <c r="X211" i="57"/>
  <c r="AB211" i="57" s="1"/>
  <c r="AC214" i="53"/>
  <c r="O214" i="53"/>
  <c r="Q198" i="69"/>
  <c r="R212" i="57"/>
  <c r="AE212" i="57"/>
  <c r="Q212" i="57"/>
  <c r="AD212" i="57"/>
  <c r="AQ212" i="57"/>
  <c r="AC212" i="57"/>
  <c r="P153" i="50"/>
  <c r="P143" i="32"/>
  <c r="N214" i="53"/>
  <c r="O154" i="50"/>
  <c r="AA212" i="53"/>
  <c r="AM143" i="32"/>
  <c r="AJ152" i="50"/>
  <c r="C152" i="50"/>
  <c r="S153" i="50"/>
  <c r="Z153" i="50" s="1"/>
  <c r="AJ142" i="32"/>
  <c r="W142" i="32"/>
  <c r="X142" i="32" s="1"/>
  <c r="C142" i="32"/>
  <c r="S143" i="32"/>
  <c r="Z143" i="32" s="1"/>
  <c r="W152" i="50"/>
  <c r="X151" i="50"/>
  <c r="V152" i="50"/>
  <c r="V142" i="32"/>
  <c r="AF197" i="69"/>
  <c r="P214" i="57"/>
  <c r="AC195" i="69"/>
  <c r="AD195" i="69" s="1"/>
  <c r="O199" i="69"/>
  <c r="AO198" i="69"/>
  <c r="AE213" i="53"/>
  <c r="AK144" i="32"/>
  <c r="AM153" i="50"/>
  <c r="AL141" i="32"/>
  <c r="AN140" i="32"/>
  <c r="R213" i="53"/>
  <c r="X213" i="53" s="1"/>
  <c r="AB213" i="53" s="1"/>
  <c r="AY197" i="69"/>
  <c r="L214" i="57"/>
  <c r="AT213" i="53"/>
  <c r="AG213" i="53"/>
  <c r="N214" i="57"/>
  <c r="AD213" i="53"/>
  <c r="Q213" i="53"/>
  <c r="F214" i="53"/>
  <c r="H214" i="53"/>
  <c r="C214" i="53"/>
  <c r="J214" i="53"/>
  <c r="P214" i="53"/>
  <c r="E214" i="53"/>
  <c r="K214" i="53"/>
  <c r="AH214" i="53" s="1"/>
  <c r="L214" i="53"/>
  <c r="I214" i="53"/>
  <c r="AK213" i="52" a="1"/>
  <c r="AK213" i="52" s="1"/>
  <c r="B215" i="53" s="1"/>
  <c r="D214" i="53"/>
  <c r="G214" i="53"/>
  <c r="A144" i="32"/>
  <c r="B144" i="32"/>
  <c r="L154" i="50"/>
  <c r="M154" i="50"/>
  <c r="G154" i="50"/>
  <c r="H154" i="50"/>
  <c r="I154" i="50"/>
  <c r="K154" i="50"/>
  <c r="J154" i="50"/>
  <c r="B154" i="50"/>
  <c r="A154" i="50"/>
  <c r="H144" i="32"/>
  <c r="K144" i="32"/>
  <c r="L144" i="32"/>
  <c r="G144" i="32"/>
  <c r="I144" i="32"/>
  <c r="N144" i="32"/>
  <c r="J144" i="32"/>
  <c r="M144" i="32"/>
  <c r="I214" i="57"/>
  <c r="D214" i="57"/>
  <c r="J214" i="57"/>
  <c r="G214" i="57"/>
  <c r="C214" i="57"/>
  <c r="E214" i="57"/>
  <c r="H214" i="57"/>
  <c r="F214" i="57"/>
  <c r="AN213" i="55" a="1"/>
  <c r="AN213" i="55" s="1"/>
  <c r="B215" i="57" s="1"/>
  <c r="O215" i="57" s="1"/>
  <c r="AS199" i="67" a="1"/>
  <c r="AS199" i="67" s="1"/>
  <c r="B200" i="69"/>
  <c r="AM200" i="69" s="1"/>
  <c r="AN200" i="69" s="1"/>
  <c r="D198" i="69"/>
  <c r="E198" i="69" s="1"/>
  <c r="C199" i="69"/>
  <c r="AE197" i="69"/>
  <c r="R197" i="69"/>
  <c r="S197" i="69" s="1"/>
  <c r="AL144" i="11" a="1"/>
  <c r="AL144" i="11" s="1"/>
  <c r="AP154" i="59" a="1"/>
  <c r="AP154" i="59" s="1"/>
  <c r="E155" i="50" s="1"/>
  <c r="T155" i="50" s="1"/>
  <c r="AM29" i="11" a="1"/>
  <c r="AM29" i="11" s="1"/>
  <c r="AF211" i="57" l="1"/>
  <c r="AF213" i="53"/>
  <c r="AH151" i="50"/>
  <c r="AI151" i="50" s="1"/>
  <c r="AP151" i="50" s="1"/>
  <c r="P199" i="69"/>
  <c r="AP199" i="69"/>
  <c r="AK214" i="57"/>
  <c r="AJ210" i="57"/>
  <c r="AJ211" i="57"/>
  <c r="AK155" i="50"/>
  <c r="AL152" i="50"/>
  <c r="AG152" i="50"/>
  <c r="BC200" i="69"/>
  <c r="BE200" i="69"/>
  <c r="BF200" i="69"/>
  <c r="BD200" i="69"/>
  <c r="U144" i="32"/>
  <c r="K215" i="57"/>
  <c r="AH215" i="57"/>
  <c r="AI215" i="57" s="1"/>
  <c r="AQ155" i="50"/>
  <c r="N155" i="50"/>
  <c r="AO154" i="50"/>
  <c r="AX198" i="69"/>
  <c r="AW198" i="69"/>
  <c r="L200" i="69"/>
  <c r="M200" i="69" s="1"/>
  <c r="AZ200" i="69"/>
  <c r="Y197" i="69"/>
  <c r="AB197" i="69" s="1"/>
  <c r="AB196" i="69"/>
  <c r="AC196" i="69" s="1"/>
  <c r="AD196" i="69" s="1"/>
  <c r="F198" i="69"/>
  <c r="G198" i="69" s="1"/>
  <c r="H198" i="69" s="1"/>
  <c r="I198" i="69" s="1"/>
  <c r="J198" i="69" s="1"/>
  <c r="K198" i="69" s="1"/>
  <c r="U198" i="69"/>
  <c r="AH198" i="69"/>
  <c r="F155" i="50"/>
  <c r="U155" i="50" s="1"/>
  <c r="AY155" i="50"/>
  <c r="AT143" i="32"/>
  <c r="X212" i="57"/>
  <c r="AB212" i="57" s="1"/>
  <c r="AD143" i="32"/>
  <c r="AG143" i="32" s="1"/>
  <c r="AH143" i="32" s="1"/>
  <c r="AI143" i="32" s="1"/>
  <c r="AD153" i="50"/>
  <c r="AG214" i="57"/>
  <c r="AC215" i="53"/>
  <c r="O215" i="53"/>
  <c r="Q199" i="69"/>
  <c r="AA211" i="57"/>
  <c r="AD213" i="57"/>
  <c r="R213" i="57"/>
  <c r="Q213" i="57"/>
  <c r="AQ213" i="57"/>
  <c r="AC213" i="57"/>
  <c r="AE213" i="57"/>
  <c r="P154" i="50"/>
  <c r="P144" i="32"/>
  <c r="N215" i="53"/>
  <c r="O155" i="50"/>
  <c r="AA213" i="53"/>
  <c r="AM144" i="32"/>
  <c r="C153" i="50"/>
  <c r="AJ153" i="50"/>
  <c r="S154" i="50"/>
  <c r="Z154" i="50" s="1"/>
  <c r="C143" i="32"/>
  <c r="AJ143" i="32"/>
  <c r="W143" i="32"/>
  <c r="X143" i="32" s="1"/>
  <c r="S144" i="32"/>
  <c r="Z144" i="32" s="1"/>
  <c r="W153" i="50"/>
  <c r="X152" i="50"/>
  <c r="V153" i="50"/>
  <c r="V143" i="32"/>
  <c r="AF198" i="69"/>
  <c r="P215" i="57"/>
  <c r="O200" i="69"/>
  <c r="AO199" i="69"/>
  <c r="AE214" i="53"/>
  <c r="AM154" i="50"/>
  <c r="AL142" i="32"/>
  <c r="R214" i="53"/>
  <c r="X214" i="53" s="1"/>
  <c r="AB214" i="53" s="1"/>
  <c r="AN141" i="32"/>
  <c r="AY198" i="69"/>
  <c r="L215" i="57"/>
  <c r="AG214" i="53"/>
  <c r="AT214" i="53"/>
  <c r="N215" i="57"/>
  <c r="L215" i="53"/>
  <c r="AD214" i="53"/>
  <c r="Q214" i="53"/>
  <c r="AK214" i="52" a="1"/>
  <c r="AK214" i="52" s="1"/>
  <c r="B216" i="53" s="1"/>
  <c r="K215" i="53"/>
  <c r="AH215" i="53" s="1"/>
  <c r="I215" i="53"/>
  <c r="H215" i="53"/>
  <c r="G215" i="53"/>
  <c r="F215" i="53"/>
  <c r="E215" i="53"/>
  <c r="D215" i="53"/>
  <c r="J215" i="53"/>
  <c r="C215" i="53"/>
  <c r="P215" i="53"/>
  <c r="K155" i="50"/>
  <c r="B155" i="50"/>
  <c r="A155" i="50"/>
  <c r="I155" i="50"/>
  <c r="M155" i="50"/>
  <c r="G155" i="50"/>
  <c r="J155" i="50"/>
  <c r="H155" i="50"/>
  <c r="L155" i="50"/>
  <c r="F215" i="57"/>
  <c r="I215" i="57"/>
  <c r="E215" i="57"/>
  <c r="D215" i="57"/>
  <c r="J215" i="57"/>
  <c r="H215" i="57"/>
  <c r="G215" i="57"/>
  <c r="C215" i="57"/>
  <c r="E145" i="32"/>
  <c r="T145" i="32" s="1"/>
  <c r="AN214" i="55" a="1"/>
  <c r="AN214" i="55" s="1"/>
  <c r="B216" i="57" s="1"/>
  <c r="O216" i="57" s="1"/>
  <c r="AS200" i="67" a="1"/>
  <c r="AS200" i="67" s="1"/>
  <c r="B201" i="69"/>
  <c r="AM201" i="69" s="1"/>
  <c r="AN201" i="69" s="1"/>
  <c r="AE198" i="69"/>
  <c r="R198" i="69"/>
  <c r="S198" i="69" s="1"/>
  <c r="D199" i="69"/>
  <c r="E199" i="69" s="1"/>
  <c r="C200" i="69"/>
  <c r="AL145" i="11" a="1"/>
  <c r="AL145" i="11" s="1"/>
  <c r="E146" i="32" s="1"/>
  <c r="T146" i="32" s="1"/>
  <c r="AP155" i="59" a="1"/>
  <c r="AP155" i="59" s="1"/>
  <c r="E156" i="50" s="1"/>
  <c r="T156" i="50" s="1"/>
  <c r="AM30" i="11" a="1"/>
  <c r="AM30" i="11" s="1"/>
  <c r="AF214" i="53" l="1"/>
  <c r="AF212" i="57"/>
  <c r="AH152" i="50"/>
  <c r="AI152" i="50" s="1"/>
  <c r="AP152" i="50" s="1"/>
  <c r="P200" i="69"/>
  <c r="AP200" i="69"/>
  <c r="AK215" i="57"/>
  <c r="O146" i="32"/>
  <c r="O145" i="32"/>
  <c r="AK156" i="50"/>
  <c r="AL153" i="50"/>
  <c r="AG153" i="50"/>
  <c r="BC201" i="69"/>
  <c r="BE201" i="69"/>
  <c r="BF201" i="69"/>
  <c r="BD201" i="69"/>
  <c r="AH216" i="57"/>
  <c r="AI216" i="57" s="1"/>
  <c r="K216" i="57"/>
  <c r="AQ156" i="50"/>
  <c r="N156" i="50"/>
  <c r="AO155" i="50"/>
  <c r="AX199" i="69"/>
  <c r="AW199" i="69"/>
  <c r="L201" i="69"/>
  <c r="M201" i="69" s="1"/>
  <c r="AZ201" i="69"/>
  <c r="AG197" i="69"/>
  <c r="F199" i="69"/>
  <c r="G199" i="69" s="1"/>
  <c r="H199" i="69" s="1"/>
  <c r="I199" i="69" s="1"/>
  <c r="J199" i="69" s="1"/>
  <c r="K199" i="69" s="1"/>
  <c r="U199" i="69"/>
  <c r="AH199" i="69"/>
  <c r="F145" i="32"/>
  <c r="AU145" i="32"/>
  <c r="F146" i="32"/>
  <c r="AU146" i="32"/>
  <c r="AY156" i="50"/>
  <c r="F156" i="50"/>
  <c r="U156" i="50" s="1"/>
  <c r="AT144" i="32"/>
  <c r="X213" i="57"/>
  <c r="AB213" i="57" s="1"/>
  <c r="AA212" i="57"/>
  <c r="Y198" i="69"/>
  <c r="AB198" i="69" s="1"/>
  <c r="AC198" i="69" s="1"/>
  <c r="AD198" i="69" s="1"/>
  <c r="AD144" i="32"/>
  <c r="AG144" i="32" s="1"/>
  <c r="AH144" i="32" s="1"/>
  <c r="AI144" i="32" s="1"/>
  <c r="AD154" i="50"/>
  <c r="AG215" i="57"/>
  <c r="R214" i="57"/>
  <c r="AC216" i="53"/>
  <c r="O216" i="53"/>
  <c r="Q200" i="69"/>
  <c r="Q214" i="57"/>
  <c r="AQ214" i="57"/>
  <c r="AC214" i="57"/>
  <c r="AD214" i="57"/>
  <c r="AE214" i="57"/>
  <c r="P155" i="50"/>
  <c r="N216" i="53"/>
  <c r="O156" i="50"/>
  <c r="AA214" i="53"/>
  <c r="C154" i="50"/>
  <c r="AJ154" i="50"/>
  <c r="S155" i="50"/>
  <c r="Z155" i="50" s="1"/>
  <c r="C144" i="32"/>
  <c r="AJ144" i="32"/>
  <c r="W144" i="32"/>
  <c r="X144" i="32" s="1"/>
  <c r="W154" i="50"/>
  <c r="X153" i="50"/>
  <c r="V154" i="50"/>
  <c r="V144" i="32"/>
  <c r="AF199" i="69"/>
  <c r="P216" i="57"/>
  <c r="AC197" i="69"/>
  <c r="AD197" i="69" s="1"/>
  <c r="AO200" i="69"/>
  <c r="O201" i="69"/>
  <c r="AE215" i="53"/>
  <c r="AK146" i="32"/>
  <c r="AK145" i="32"/>
  <c r="AM155" i="50"/>
  <c r="AL143" i="32"/>
  <c r="AN142" i="32"/>
  <c r="R215" i="53"/>
  <c r="X215" i="53" s="1"/>
  <c r="AB215" i="53" s="1"/>
  <c r="AY199" i="69"/>
  <c r="L216" i="57"/>
  <c r="AG215" i="53"/>
  <c r="AT215" i="53"/>
  <c r="N216" i="57"/>
  <c r="Q215" i="53"/>
  <c r="AD215" i="53"/>
  <c r="J216" i="53"/>
  <c r="P216" i="53"/>
  <c r="AK215" i="52" a="1"/>
  <c r="AK215" i="52" s="1"/>
  <c r="B217" i="53" s="1"/>
  <c r="F216" i="53"/>
  <c r="L216" i="53"/>
  <c r="D216" i="53"/>
  <c r="H216" i="53"/>
  <c r="K216" i="53"/>
  <c r="AH216" i="53" s="1"/>
  <c r="C216" i="53"/>
  <c r="E216" i="53"/>
  <c r="G216" i="53"/>
  <c r="I216" i="53"/>
  <c r="A146" i="32"/>
  <c r="B146" i="32"/>
  <c r="A145" i="32"/>
  <c r="B145" i="32"/>
  <c r="I156" i="50"/>
  <c r="K156" i="50"/>
  <c r="M156" i="50"/>
  <c r="H156" i="50"/>
  <c r="A156" i="50"/>
  <c r="J156" i="50"/>
  <c r="L156" i="50"/>
  <c r="G156" i="50"/>
  <c r="B156" i="50"/>
  <c r="L146" i="32"/>
  <c r="G146" i="32"/>
  <c r="H146" i="32"/>
  <c r="K146" i="32"/>
  <c r="M146" i="32"/>
  <c r="J146" i="32"/>
  <c r="I146" i="32"/>
  <c r="N146" i="32"/>
  <c r="N145" i="32"/>
  <c r="I145" i="32"/>
  <c r="J145" i="32"/>
  <c r="M145" i="32"/>
  <c r="G145" i="32"/>
  <c r="L145" i="32"/>
  <c r="H145" i="32"/>
  <c r="K145" i="32"/>
  <c r="J216" i="57"/>
  <c r="I216" i="57"/>
  <c r="F216" i="57"/>
  <c r="E216" i="57"/>
  <c r="D216" i="57"/>
  <c r="G216" i="57"/>
  <c r="C216" i="57"/>
  <c r="H216" i="57"/>
  <c r="AN215" i="55" a="1"/>
  <c r="AN215" i="55" s="1"/>
  <c r="B217" i="57" s="1"/>
  <c r="O217" i="57" s="1"/>
  <c r="AS201" i="67" a="1"/>
  <c r="AS201" i="67" s="1"/>
  <c r="B202" i="69"/>
  <c r="AM202" i="69" s="1"/>
  <c r="AN202" i="69" s="1"/>
  <c r="D200" i="69"/>
  <c r="E200" i="69" s="1"/>
  <c r="AE199" i="69"/>
  <c r="R199" i="69"/>
  <c r="S199" i="69" s="1"/>
  <c r="C201" i="69"/>
  <c r="AL146" i="11" a="1"/>
  <c r="AL146" i="11" s="1"/>
  <c r="E147" i="32" s="1"/>
  <c r="T147" i="32" s="1"/>
  <c r="AP156" i="59" a="1"/>
  <c r="AP156" i="59" s="1"/>
  <c r="E157" i="50" s="1"/>
  <c r="T157" i="50" s="1"/>
  <c r="AM31" i="11" a="1"/>
  <c r="AM31" i="11" s="1"/>
  <c r="AF213" i="57" l="1"/>
  <c r="AF215" i="53"/>
  <c r="AH153" i="50"/>
  <c r="AI153" i="50" s="1"/>
  <c r="AP153" i="50" s="1"/>
  <c r="AK216" i="57"/>
  <c r="P201" i="69"/>
  <c r="AP201" i="69"/>
  <c r="AJ212" i="57"/>
  <c r="AJ213" i="57"/>
  <c r="O147" i="32"/>
  <c r="AK157" i="50"/>
  <c r="AL154" i="50"/>
  <c r="AG154" i="50"/>
  <c r="BC202" i="69"/>
  <c r="BE202" i="69"/>
  <c r="BF202" i="69"/>
  <c r="BD202" i="69"/>
  <c r="U146" i="32"/>
  <c r="U145" i="32"/>
  <c r="AH217" i="57"/>
  <c r="AI217" i="57" s="1"/>
  <c r="K217" i="57"/>
  <c r="AQ157" i="50"/>
  <c r="N157" i="50"/>
  <c r="AO156" i="50"/>
  <c r="AX200" i="69"/>
  <c r="AW200" i="69"/>
  <c r="Y199" i="69"/>
  <c r="AG199" i="69" s="1"/>
  <c r="L202" i="69"/>
  <c r="M202" i="69" s="1"/>
  <c r="AZ202" i="69"/>
  <c r="F200" i="69"/>
  <c r="G200" i="69" s="1"/>
  <c r="H200" i="69" s="1"/>
  <c r="I200" i="69" s="1"/>
  <c r="J200" i="69" s="1"/>
  <c r="K200" i="69" s="1"/>
  <c r="U200" i="69"/>
  <c r="AH200" i="69"/>
  <c r="F147" i="32"/>
  <c r="AU147" i="32"/>
  <c r="AY157" i="50"/>
  <c r="F157" i="50"/>
  <c r="U157" i="50" s="1"/>
  <c r="AG198" i="69"/>
  <c r="AD155" i="50"/>
  <c r="AG216" i="57"/>
  <c r="X214" i="57"/>
  <c r="AB214" i="57" s="1"/>
  <c r="AC217" i="53"/>
  <c r="O217" i="53"/>
  <c r="Q201" i="69"/>
  <c r="R215" i="57"/>
  <c r="AD215" i="57"/>
  <c r="AC215" i="57"/>
  <c r="AQ215" i="57"/>
  <c r="Q215" i="57"/>
  <c r="AE215" i="57"/>
  <c r="AA213" i="57"/>
  <c r="P156" i="50"/>
  <c r="P145" i="32"/>
  <c r="P146" i="32"/>
  <c r="N217" i="53"/>
  <c r="O157" i="50"/>
  <c r="AA215" i="53"/>
  <c r="AM146" i="32"/>
  <c r="AM145" i="32"/>
  <c r="C155" i="50"/>
  <c r="AJ155" i="50"/>
  <c r="S156" i="50"/>
  <c r="Z156" i="50" s="1"/>
  <c r="S145" i="32"/>
  <c r="Z145" i="32" s="1"/>
  <c r="S146" i="32"/>
  <c r="Z146" i="32" s="1"/>
  <c r="W155" i="50"/>
  <c r="X154" i="50"/>
  <c r="V155" i="50"/>
  <c r="AF200" i="69"/>
  <c r="P217" i="57"/>
  <c r="O202" i="69"/>
  <c r="AO201" i="69"/>
  <c r="AE216" i="53"/>
  <c r="AK147" i="32"/>
  <c r="AM156" i="50"/>
  <c r="AL144" i="32"/>
  <c r="AN143" i="32"/>
  <c r="R216" i="53"/>
  <c r="X216" i="53" s="1"/>
  <c r="AB216" i="53" s="1"/>
  <c r="AY200" i="69"/>
  <c r="L217" i="57"/>
  <c r="AT216" i="53"/>
  <c r="AG216" i="53"/>
  <c r="N217" i="57"/>
  <c r="F217" i="53"/>
  <c r="AD216" i="53"/>
  <c r="Q216" i="53"/>
  <c r="L217" i="53"/>
  <c r="G217" i="53"/>
  <c r="J217" i="53"/>
  <c r="P217" i="53"/>
  <c r="D217" i="53"/>
  <c r="K217" i="53"/>
  <c r="AH217" i="53" s="1"/>
  <c r="AK216" i="52" a="1"/>
  <c r="AK216" i="52" s="1"/>
  <c r="B218" i="53" s="1"/>
  <c r="C217" i="53"/>
  <c r="I217" i="53"/>
  <c r="H217" i="53"/>
  <c r="E217" i="53"/>
  <c r="A147" i="32"/>
  <c r="B147" i="32"/>
  <c r="J157" i="50"/>
  <c r="I157" i="50"/>
  <c r="G157" i="50"/>
  <c r="M157" i="50"/>
  <c r="K157" i="50"/>
  <c r="H157" i="50"/>
  <c r="A157" i="50"/>
  <c r="B157" i="50"/>
  <c r="L157" i="50"/>
  <c r="J147" i="32"/>
  <c r="M147" i="32"/>
  <c r="N147" i="32"/>
  <c r="I147" i="32"/>
  <c r="H147" i="32"/>
  <c r="K147" i="32"/>
  <c r="G147" i="32"/>
  <c r="L147" i="32"/>
  <c r="C217" i="57"/>
  <c r="H217" i="57"/>
  <c r="F217" i="57"/>
  <c r="I217" i="57"/>
  <c r="E217" i="57"/>
  <c r="G217" i="57"/>
  <c r="D217" i="57"/>
  <c r="J217" i="57"/>
  <c r="AN216" i="55" a="1"/>
  <c r="AN216" i="55" s="1"/>
  <c r="B218" i="57" s="1"/>
  <c r="O218" i="57" s="1"/>
  <c r="AS202" i="67" a="1"/>
  <c r="AS202" i="67" s="1"/>
  <c r="B203" i="69"/>
  <c r="AM203" i="69" s="1"/>
  <c r="AN203" i="69" s="1"/>
  <c r="AE200" i="69"/>
  <c r="R200" i="69"/>
  <c r="S200" i="69" s="1"/>
  <c r="D201" i="69"/>
  <c r="E201" i="69" s="1"/>
  <c r="C202" i="69"/>
  <c r="AL147" i="11" a="1"/>
  <c r="AL147" i="11" s="1"/>
  <c r="E148" i="32" s="1"/>
  <c r="T148" i="32" s="1"/>
  <c r="AP157" i="59" a="1"/>
  <c r="AP157" i="59" s="1"/>
  <c r="E158" i="50" s="1"/>
  <c r="T158" i="50" s="1"/>
  <c r="AM32" i="11" a="1"/>
  <c r="AM32" i="11" s="1"/>
  <c r="AF216" i="53" l="1"/>
  <c r="AF214" i="57"/>
  <c r="AH154" i="50"/>
  <c r="AI154" i="50" s="1"/>
  <c r="AP154" i="50" s="1"/>
  <c r="P202" i="69"/>
  <c r="AP202" i="69"/>
  <c r="AK217" i="57"/>
  <c r="O148" i="32"/>
  <c r="AK158" i="50"/>
  <c r="AL155" i="50"/>
  <c r="AG155" i="50"/>
  <c r="BC203" i="69"/>
  <c r="BE203" i="69"/>
  <c r="BF203" i="69"/>
  <c r="BD203" i="69"/>
  <c r="U147" i="32"/>
  <c r="AH218" i="57"/>
  <c r="AI218" i="57" s="1"/>
  <c r="K218" i="57"/>
  <c r="N158" i="50"/>
  <c r="AQ158" i="50"/>
  <c r="AO157" i="50"/>
  <c r="AX201" i="69"/>
  <c r="AW201" i="69"/>
  <c r="AB199" i="69"/>
  <c r="AC199" i="69" s="1"/>
  <c r="AD199" i="69" s="1"/>
  <c r="L203" i="69"/>
  <c r="M203" i="69" s="1"/>
  <c r="AZ203" i="69"/>
  <c r="Y200" i="69"/>
  <c r="AG200" i="69" s="1"/>
  <c r="F201" i="69"/>
  <c r="G201" i="69" s="1"/>
  <c r="H201" i="69" s="1"/>
  <c r="I201" i="69" s="1"/>
  <c r="J201" i="69" s="1"/>
  <c r="K201" i="69" s="1"/>
  <c r="U201" i="69"/>
  <c r="AH201" i="69"/>
  <c r="F148" i="32"/>
  <c r="AU148" i="32"/>
  <c r="AY158" i="50"/>
  <c r="F158" i="50"/>
  <c r="U158" i="50" s="1"/>
  <c r="AT145" i="32"/>
  <c r="AT146" i="32"/>
  <c r="AD146" i="32"/>
  <c r="AG146" i="32" s="1"/>
  <c r="AH146" i="32" s="1"/>
  <c r="AI146" i="32" s="1"/>
  <c r="AD145" i="32"/>
  <c r="AG145" i="32" s="1"/>
  <c r="AH145" i="32" s="1"/>
  <c r="AI145" i="32" s="1"/>
  <c r="AD156" i="50"/>
  <c r="AG217" i="57"/>
  <c r="X215" i="57"/>
  <c r="AB215" i="57" s="1"/>
  <c r="AA214" i="57"/>
  <c r="AE216" i="57"/>
  <c r="Q216" i="57"/>
  <c r="AC216" i="57"/>
  <c r="AC218" i="53"/>
  <c r="O218" i="53"/>
  <c r="Q202" i="69"/>
  <c r="AQ216" i="57"/>
  <c r="AD216" i="57"/>
  <c r="R216" i="57"/>
  <c r="P157" i="50"/>
  <c r="P147" i="32"/>
  <c r="N218" i="53"/>
  <c r="O158" i="50"/>
  <c r="AA216" i="53"/>
  <c r="AM147" i="32"/>
  <c r="AJ156" i="50"/>
  <c r="C156" i="50"/>
  <c r="S157" i="50"/>
  <c r="C146" i="32"/>
  <c r="AJ146" i="32"/>
  <c r="W146" i="32"/>
  <c r="X146" i="32" s="1"/>
  <c r="W145" i="32"/>
  <c r="X145" i="32" s="1"/>
  <c r="C145" i="32"/>
  <c r="AJ145" i="32"/>
  <c r="S147" i="32"/>
  <c r="Z147" i="32" s="1"/>
  <c r="W156" i="50"/>
  <c r="X155" i="50"/>
  <c r="V156" i="50"/>
  <c r="V146" i="32"/>
  <c r="V145" i="32"/>
  <c r="AF201" i="69"/>
  <c r="P218" i="57"/>
  <c r="O203" i="69"/>
  <c r="AO202" i="69"/>
  <c r="AE217" i="53"/>
  <c r="AK148" i="32"/>
  <c r="AM157" i="50"/>
  <c r="AN144" i="32"/>
  <c r="R217" i="53"/>
  <c r="X217" i="53" s="1"/>
  <c r="AB217" i="53" s="1"/>
  <c r="AY201" i="69"/>
  <c r="L218" i="57"/>
  <c r="AT217" i="53"/>
  <c r="AG217" i="53"/>
  <c r="N218" i="57"/>
  <c r="AD217" i="53"/>
  <c r="Q217" i="53"/>
  <c r="L218" i="53"/>
  <c r="G218" i="53"/>
  <c r="AK217" i="52" a="1"/>
  <c r="AK217" i="52" s="1"/>
  <c r="B219" i="53" s="1"/>
  <c r="D218" i="53"/>
  <c r="I218" i="53"/>
  <c r="F218" i="53"/>
  <c r="H218" i="53"/>
  <c r="E218" i="53"/>
  <c r="C218" i="53"/>
  <c r="P218" i="53"/>
  <c r="J218" i="53"/>
  <c r="K218" i="53"/>
  <c r="AH218" i="53" s="1"/>
  <c r="A148" i="32"/>
  <c r="B148" i="32"/>
  <c r="G158" i="50"/>
  <c r="K158" i="50"/>
  <c r="M158" i="50"/>
  <c r="L158" i="50"/>
  <c r="A158" i="50"/>
  <c r="I158" i="50"/>
  <c r="H158" i="50"/>
  <c r="J158" i="50"/>
  <c r="B158" i="50"/>
  <c r="H148" i="32"/>
  <c r="K148" i="32"/>
  <c r="L148" i="32"/>
  <c r="G148" i="32"/>
  <c r="I148" i="32"/>
  <c r="N148" i="32"/>
  <c r="J148" i="32"/>
  <c r="M148" i="32"/>
  <c r="H218" i="57"/>
  <c r="I218" i="57"/>
  <c r="D218" i="57"/>
  <c r="F218" i="57"/>
  <c r="G218" i="57"/>
  <c r="E218" i="57"/>
  <c r="C218" i="57"/>
  <c r="J218" i="57"/>
  <c r="AN217" i="55" a="1"/>
  <c r="AN217" i="55" s="1"/>
  <c r="B219" i="57" s="1"/>
  <c r="O219" i="57" s="1"/>
  <c r="C203" i="69"/>
  <c r="AE201" i="69"/>
  <c r="R201" i="69"/>
  <c r="S201" i="69" s="1"/>
  <c r="D202" i="69"/>
  <c r="E202" i="69" s="1"/>
  <c r="AS203" i="67" a="1"/>
  <c r="AS203" i="67" s="1"/>
  <c r="B204" i="69"/>
  <c r="AM204" i="69" s="1"/>
  <c r="AN204" i="69" s="1"/>
  <c r="AL148" i="11" a="1"/>
  <c r="AL148" i="11" s="1"/>
  <c r="E149" i="32" s="1"/>
  <c r="T149" i="32" s="1"/>
  <c r="AP158" i="59" a="1"/>
  <c r="AP158" i="59" s="1"/>
  <c r="E159" i="50" s="1"/>
  <c r="T159" i="50" s="1"/>
  <c r="AM33" i="11" a="1"/>
  <c r="AM33" i="11" s="1"/>
  <c r="AF215" i="57" l="1"/>
  <c r="AF217" i="53"/>
  <c r="AH155" i="50"/>
  <c r="AI155" i="50" s="1"/>
  <c r="AP155" i="50" s="1"/>
  <c r="AK218" i="57"/>
  <c r="P203" i="69"/>
  <c r="AP203" i="69"/>
  <c r="AJ214" i="57"/>
  <c r="O149" i="32"/>
  <c r="AK159" i="50"/>
  <c r="AL156" i="50"/>
  <c r="AG156" i="50"/>
  <c r="BC204" i="69"/>
  <c r="BE204" i="69"/>
  <c r="BD204" i="69"/>
  <c r="BF204" i="69"/>
  <c r="U148" i="32"/>
  <c r="AH219" i="57"/>
  <c r="AI219" i="57" s="1"/>
  <c r="K219" i="57"/>
  <c r="AO158" i="50"/>
  <c r="N159" i="50"/>
  <c r="AQ159" i="50"/>
  <c r="AX202" i="69"/>
  <c r="AW202" i="69"/>
  <c r="L204" i="69"/>
  <c r="M204" i="69" s="1"/>
  <c r="AZ204" i="69"/>
  <c r="AB200" i="69"/>
  <c r="AC200" i="69" s="1"/>
  <c r="AD200" i="69" s="1"/>
  <c r="Y201" i="69"/>
  <c r="AB201" i="69" s="1"/>
  <c r="U202" i="69"/>
  <c r="AH202" i="69"/>
  <c r="F202" i="69"/>
  <c r="G202" i="69" s="1"/>
  <c r="H202" i="69" s="1"/>
  <c r="I202" i="69" s="1"/>
  <c r="J202" i="69" s="1"/>
  <c r="K202" i="69" s="1"/>
  <c r="F149" i="32"/>
  <c r="AU149" i="32"/>
  <c r="AY159" i="50"/>
  <c r="F159" i="50"/>
  <c r="U159" i="50" s="1"/>
  <c r="AT147" i="32"/>
  <c r="AA215" i="57"/>
  <c r="AD147" i="32"/>
  <c r="AG147" i="32" s="1"/>
  <c r="AH147" i="32" s="1"/>
  <c r="AI147" i="32" s="1"/>
  <c r="AD157" i="50"/>
  <c r="X216" i="57"/>
  <c r="AB216" i="57" s="1"/>
  <c r="AG218" i="57"/>
  <c r="AE217" i="57"/>
  <c r="AC219" i="53"/>
  <c r="O219" i="53"/>
  <c r="Q203" i="69"/>
  <c r="AQ217" i="57"/>
  <c r="R217" i="57"/>
  <c r="AD217" i="57"/>
  <c r="Q217" i="57"/>
  <c r="AC217" i="57"/>
  <c r="P158" i="50"/>
  <c r="P148" i="32"/>
  <c r="N219" i="53"/>
  <c r="O159" i="50"/>
  <c r="AA217" i="53"/>
  <c r="C157" i="50"/>
  <c r="Z157" i="50"/>
  <c r="AM148" i="32"/>
  <c r="S158" i="50"/>
  <c r="Z158" i="50" s="1"/>
  <c r="AJ157" i="50"/>
  <c r="C147" i="32"/>
  <c r="AJ147" i="32"/>
  <c r="W147" i="32"/>
  <c r="X147" i="32" s="1"/>
  <c r="S148" i="32"/>
  <c r="Z148" i="32" s="1"/>
  <c r="W157" i="50"/>
  <c r="X156" i="50"/>
  <c r="V157" i="50"/>
  <c r="V147" i="32"/>
  <c r="AF202" i="69"/>
  <c r="P219" i="57"/>
  <c r="O204" i="69"/>
  <c r="AO203" i="69"/>
  <c r="AE218" i="53"/>
  <c r="AK149" i="32"/>
  <c r="AM158" i="50"/>
  <c r="AL146" i="32"/>
  <c r="AL145" i="32"/>
  <c r="R218" i="53"/>
  <c r="X218" i="53" s="1"/>
  <c r="AB218" i="53" s="1"/>
  <c r="AY202" i="69"/>
  <c r="L219" i="57"/>
  <c r="AT218" i="53"/>
  <c r="AG218" i="53"/>
  <c r="N219" i="57"/>
  <c r="Q218" i="53"/>
  <c r="AD218" i="53"/>
  <c r="H219" i="53"/>
  <c r="P219" i="53"/>
  <c r="L219" i="53"/>
  <c r="K219" i="53"/>
  <c r="AH219" i="53" s="1"/>
  <c r="E219" i="53"/>
  <c r="F219" i="53"/>
  <c r="D219" i="53"/>
  <c r="I219" i="53"/>
  <c r="AK218" i="52" a="1"/>
  <c r="AK218" i="52" s="1"/>
  <c r="B220" i="53" s="1"/>
  <c r="G219" i="53"/>
  <c r="J219" i="53"/>
  <c r="C219" i="53"/>
  <c r="A149" i="32"/>
  <c r="B149" i="32"/>
  <c r="A159" i="50"/>
  <c r="L159" i="50"/>
  <c r="B159" i="50"/>
  <c r="K159" i="50"/>
  <c r="J159" i="50"/>
  <c r="G159" i="50"/>
  <c r="M159" i="50"/>
  <c r="I159" i="50"/>
  <c r="H159" i="50"/>
  <c r="N149" i="32"/>
  <c r="I149" i="32"/>
  <c r="J149" i="32"/>
  <c r="M149" i="32"/>
  <c r="G149" i="32"/>
  <c r="L149" i="32"/>
  <c r="H149" i="32"/>
  <c r="K149" i="32"/>
  <c r="G219" i="57"/>
  <c r="F219" i="57"/>
  <c r="H219" i="57"/>
  <c r="C219" i="57"/>
  <c r="E219" i="57"/>
  <c r="I219" i="57"/>
  <c r="D219" i="57"/>
  <c r="J219" i="57"/>
  <c r="AN218" i="55" a="1"/>
  <c r="AN218" i="55" s="1"/>
  <c r="B220" i="57" s="1"/>
  <c r="O220" i="57" s="1"/>
  <c r="AS204" i="67" a="1"/>
  <c r="AS204" i="67" s="1"/>
  <c r="B205" i="69"/>
  <c r="AM205" i="69" s="1"/>
  <c r="AN205" i="69" s="1"/>
  <c r="D203" i="69"/>
  <c r="E203" i="69" s="1"/>
  <c r="R202" i="69"/>
  <c r="S202" i="69" s="1"/>
  <c r="AE202" i="69"/>
  <c r="C204" i="69"/>
  <c r="AL149" i="11" a="1"/>
  <c r="AL149" i="11" s="1"/>
  <c r="E150" i="32" s="1"/>
  <c r="T150" i="32" s="1"/>
  <c r="AP159" i="59" a="1"/>
  <c r="AP159" i="59" s="1"/>
  <c r="E160" i="50" s="1"/>
  <c r="T160" i="50" s="1"/>
  <c r="AM34" i="11" a="1"/>
  <c r="AM34" i="11" s="1"/>
  <c r="AF216" i="57" l="1"/>
  <c r="AF218" i="53"/>
  <c r="AH156" i="50"/>
  <c r="AI156" i="50" s="1"/>
  <c r="AP156" i="50" s="1"/>
  <c r="AK219" i="57"/>
  <c r="P204" i="69"/>
  <c r="AP204" i="69"/>
  <c r="AJ215" i="57"/>
  <c r="O150" i="32"/>
  <c r="AK160" i="50"/>
  <c r="AL157" i="50"/>
  <c r="AG157" i="50"/>
  <c r="BC205" i="69"/>
  <c r="BF205" i="69"/>
  <c r="BE205" i="69"/>
  <c r="BD205" i="69"/>
  <c r="U149" i="32"/>
  <c r="AH220" i="57"/>
  <c r="AI220" i="57" s="1"/>
  <c r="K220" i="57"/>
  <c r="AO159" i="50"/>
  <c r="AQ160" i="50"/>
  <c r="N160" i="50"/>
  <c r="AX203" i="69"/>
  <c r="AW203" i="69"/>
  <c r="L205" i="69"/>
  <c r="M205" i="69" s="1"/>
  <c r="AZ205" i="69"/>
  <c r="Y202" i="69"/>
  <c r="AG202" i="69" s="1"/>
  <c r="AG201" i="69"/>
  <c r="F203" i="69"/>
  <c r="G203" i="69" s="1"/>
  <c r="H203" i="69" s="1"/>
  <c r="I203" i="69" s="1"/>
  <c r="J203" i="69" s="1"/>
  <c r="K203" i="69" s="1"/>
  <c r="U203" i="69"/>
  <c r="AH203" i="69"/>
  <c r="F150" i="32"/>
  <c r="AU150" i="32"/>
  <c r="AY160" i="50"/>
  <c r="F160" i="50"/>
  <c r="U160" i="50" s="1"/>
  <c r="AT148" i="32"/>
  <c r="AD148" i="32"/>
  <c r="AG148" i="32" s="1"/>
  <c r="AH148" i="32" s="1"/>
  <c r="AI148" i="32" s="1"/>
  <c r="AD158" i="50"/>
  <c r="X217" i="57"/>
  <c r="AB217" i="57" s="1"/>
  <c r="AG219" i="57"/>
  <c r="R218" i="57"/>
  <c r="AA216" i="57"/>
  <c r="AD218" i="57"/>
  <c r="Q218" i="57"/>
  <c r="AE218" i="57"/>
  <c r="AC220" i="53"/>
  <c r="O220" i="53"/>
  <c r="Q204" i="69"/>
  <c r="AQ218" i="57"/>
  <c r="AC218" i="57"/>
  <c r="P159" i="50"/>
  <c r="P149" i="32"/>
  <c r="N220" i="53"/>
  <c r="O160" i="50"/>
  <c r="AA218" i="53"/>
  <c r="AM149" i="32"/>
  <c r="C158" i="50"/>
  <c r="AJ158" i="50"/>
  <c r="S159" i="50"/>
  <c r="C148" i="32"/>
  <c r="AJ148" i="32"/>
  <c r="W148" i="32"/>
  <c r="X148" i="32" s="1"/>
  <c r="S149" i="32"/>
  <c r="Z149" i="32" s="1"/>
  <c r="W158" i="50"/>
  <c r="X157" i="50"/>
  <c r="V158" i="50"/>
  <c r="V148" i="32"/>
  <c r="AF203" i="69"/>
  <c r="P220" i="57"/>
  <c r="AC201" i="69"/>
  <c r="AD201" i="69" s="1"/>
  <c r="O205" i="69"/>
  <c r="AO204" i="69"/>
  <c r="AE219" i="53"/>
  <c r="AK150" i="32"/>
  <c r="AM159" i="50"/>
  <c r="AL147" i="32"/>
  <c r="AN146" i="32"/>
  <c r="R219" i="53"/>
  <c r="X219" i="53" s="1"/>
  <c r="AB219" i="53" s="1"/>
  <c r="AN145" i="32"/>
  <c r="AY203" i="69"/>
  <c r="L220" i="57"/>
  <c r="AG219" i="53"/>
  <c r="AT219" i="53"/>
  <c r="N220" i="57"/>
  <c r="AD219" i="53"/>
  <c r="AK219" i="52" a="1"/>
  <c r="AK219" i="52" s="1"/>
  <c r="B221" i="53" s="1"/>
  <c r="G220" i="53"/>
  <c r="D220" i="53"/>
  <c r="K220" i="53"/>
  <c r="AH220" i="53" s="1"/>
  <c r="Q219" i="53"/>
  <c r="J220" i="53"/>
  <c r="L220" i="53"/>
  <c r="H220" i="53"/>
  <c r="C220" i="53"/>
  <c r="F220" i="53"/>
  <c r="P220" i="53"/>
  <c r="I220" i="53"/>
  <c r="E220" i="53"/>
  <c r="A150" i="32"/>
  <c r="B150" i="32"/>
  <c r="J160" i="50"/>
  <c r="M160" i="50"/>
  <c r="G160" i="50"/>
  <c r="K160" i="50"/>
  <c r="B160" i="50"/>
  <c r="L160" i="50"/>
  <c r="H160" i="50"/>
  <c r="I160" i="50"/>
  <c r="A160" i="50"/>
  <c r="L150" i="32"/>
  <c r="G150" i="32"/>
  <c r="H150" i="32"/>
  <c r="K150" i="32"/>
  <c r="J150" i="32"/>
  <c r="M150" i="32"/>
  <c r="I150" i="32"/>
  <c r="N150" i="32"/>
  <c r="I220" i="57"/>
  <c r="F220" i="57"/>
  <c r="D220" i="57"/>
  <c r="H220" i="57"/>
  <c r="J220" i="57"/>
  <c r="G220" i="57"/>
  <c r="E220" i="57"/>
  <c r="C220" i="57"/>
  <c r="AN219" i="55" a="1"/>
  <c r="AN219" i="55" s="1"/>
  <c r="B221" i="57" s="1"/>
  <c r="O221" i="57" s="1"/>
  <c r="AS205" i="67" a="1"/>
  <c r="AS205" i="67" s="1"/>
  <c r="B206" i="69"/>
  <c r="AM206" i="69" s="1"/>
  <c r="AN206" i="69" s="1"/>
  <c r="D204" i="69"/>
  <c r="E204" i="69" s="1"/>
  <c r="C205" i="69"/>
  <c r="AE203" i="69"/>
  <c r="R203" i="69"/>
  <c r="S203" i="69" s="1"/>
  <c r="AL150" i="11" a="1"/>
  <c r="AL150" i="11" s="1"/>
  <c r="E151" i="32" s="1"/>
  <c r="T151" i="32" s="1"/>
  <c r="AP160" i="59" a="1"/>
  <c r="AP160" i="59" s="1"/>
  <c r="E161" i="50" s="1"/>
  <c r="T161" i="50" s="1"/>
  <c r="AM35" i="11" a="1"/>
  <c r="AM35" i="11" s="1"/>
  <c r="AF217" i="57" l="1"/>
  <c r="AF219" i="53"/>
  <c r="AH157" i="50"/>
  <c r="AI157" i="50" s="1"/>
  <c r="AP157" i="50" s="1"/>
  <c r="AK220" i="57"/>
  <c r="P205" i="69"/>
  <c r="AP205" i="69"/>
  <c r="AJ216" i="57"/>
  <c r="O151" i="32"/>
  <c r="AK161" i="50"/>
  <c r="AL158" i="50"/>
  <c r="AG158" i="50"/>
  <c r="BC206" i="69"/>
  <c r="BF206" i="69"/>
  <c r="BE206" i="69"/>
  <c r="BD206" i="69"/>
  <c r="U150" i="32"/>
  <c r="AH221" i="57"/>
  <c r="AI221" i="57" s="1"/>
  <c r="K221" i="57"/>
  <c r="AQ161" i="50"/>
  <c r="N161" i="50"/>
  <c r="AO160" i="50"/>
  <c r="AW204" i="69"/>
  <c r="AX204" i="69"/>
  <c r="L206" i="69"/>
  <c r="M206" i="69" s="1"/>
  <c r="AZ206" i="69"/>
  <c r="Y203" i="69"/>
  <c r="AB203" i="69" s="1"/>
  <c r="AB202" i="69"/>
  <c r="AC202" i="69" s="1"/>
  <c r="AD202" i="69" s="1"/>
  <c r="F204" i="69"/>
  <c r="G204" i="69" s="1"/>
  <c r="H204" i="69" s="1"/>
  <c r="I204" i="69" s="1"/>
  <c r="J204" i="69" s="1"/>
  <c r="K204" i="69" s="1"/>
  <c r="U204" i="69"/>
  <c r="AH204" i="69"/>
  <c r="F151" i="32"/>
  <c r="AU151" i="32"/>
  <c r="AY161" i="50"/>
  <c r="F161" i="50"/>
  <c r="U161" i="50" s="1"/>
  <c r="AT149" i="32"/>
  <c r="X218" i="57"/>
  <c r="AB218" i="57" s="1"/>
  <c r="AD149" i="32"/>
  <c r="AG149" i="32" s="1"/>
  <c r="AH149" i="32" s="1"/>
  <c r="AI149" i="32" s="1"/>
  <c r="AD159" i="50"/>
  <c r="AG220" i="57"/>
  <c r="Q219" i="57"/>
  <c r="AQ219" i="57"/>
  <c r="AC221" i="53"/>
  <c r="O221" i="53"/>
  <c r="Q205" i="69"/>
  <c r="AA217" i="57"/>
  <c r="AE219" i="57"/>
  <c r="AD219" i="57"/>
  <c r="R219" i="57"/>
  <c r="AC219" i="57"/>
  <c r="P160" i="50"/>
  <c r="P150" i="32"/>
  <c r="N221" i="53"/>
  <c r="O161" i="50"/>
  <c r="AA219" i="53"/>
  <c r="C159" i="50"/>
  <c r="Z159" i="50"/>
  <c r="AM150" i="32"/>
  <c r="S160" i="50"/>
  <c r="Z160" i="50" s="1"/>
  <c r="AJ159" i="50"/>
  <c r="C149" i="32"/>
  <c r="AJ149" i="32"/>
  <c r="W149" i="32"/>
  <c r="X149" i="32" s="1"/>
  <c r="S150" i="32"/>
  <c r="Z150" i="32" s="1"/>
  <c r="W159" i="50"/>
  <c r="X158" i="50"/>
  <c r="V159" i="50"/>
  <c r="V149" i="32"/>
  <c r="AF204" i="69"/>
  <c r="P221" i="57"/>
  <c r="O206" i="69"/>
  <c r="AO205" i="69"/>
  <c r="AE220" i="53"/>
  <c r="AK151" i="32"/>
  <c r="AM160" i="50"/>
  <c r="AL148" i="32"/>
  <c r="AN147" i="32"/>
  <c r="R220" i="53"/>
  <c r="X220" i="53" s="1"/>
  <c r="AB220" i="53" s="1"/>
  <c r="AY204" i="69"/>
  <c r="L221" i="57"/>
  <c r="AG220" i="53"/>
  <c r="AT220" i="53"/>
  <c r="N221" i="57"/>
  <c r="P221" i="53"/>
  <c r="AD220" i="53"/>
  <c r="Q220" i="53"/>
  <c r="E221" i="53"/>
  <c r="C221" i="53"/>
  <c r="K221" i="53"/>
  <c r="AH221" i="53" s="1"/>
  <c r="I221" i="53"/>
  <c r="H221" i="53"/>
  <c r="L221" i="53"/>
  <c r="G221" i="53"/>
  <c r="F221" i="53"/>
  <c r="AK220" i="52" a="1"/>
  <c r="AK220" i="52" s="1"/>
  <c r="B222" i="53" s="1"/>
  <c r="J221" i="53"/>
  <c r="D221" i="53"/>
  <c r="A151" i="32"/>
  <c r="B151" i="32"/>
  <c r="H161" i="50"/>
  <c r="I161" i="50"/>
  <c r="J161" i="50"/>
  <c r="L161" i="50"/>
  <c r="M161" i="50"/>
  <c r="K161" i="50"/>
  <c r="B161" i="50"/>
  <c r="A161" i="50"/>
  <c r="G161" i="50"/>
  <c r="J151" i="32"/>
  <c r="M151" i="32"/>
  <c r="N151" i="32"/>
  <c r="I151" i="32"/>
  <c r="K151" i="32"/>
  <c r="H151" i="32"/>
  <c r="L151" i="32"/>
  <c r="G151" i="32"/>
  <c r="F221" i="57"/>
  <c r="D221" i="57"/>
  <c r="C221" i="57"/>
  <c r="J221" i="57"/>
  <c r="H221" i="57"/>
  <c r="I221" i="57"/>
  <c r="E221" i="57"/>
  <c r="G221" i="57"/>
  <c r="AN220" i="55" a="1"/>
  <c r="AN220" i="55" s="1"/>
  <c r="B222" i="57" s="1"/>
  <c r="O222" i="57" s="1"/>
  <c r="AS206" i="67" a="1"/>
  <c r="AS206" i="67" s="1"/>
  <c r="B207" i="69"/>
  <c r="AM207" i="69" s="1"/>
  <c r="AN207" i="69" s="1"/>
  <c r="AE204" i="69"/>
  <c r="R204" i="69"/>
  <c r="S204" i="69" s="1"/>
  <c r="D205" i="69"/>
  <c r="E205" i="69" s="1"/>
  <c r="C206" i="69"/>
  <c r="AL151" i="11" a="1"/>
  <c r="AL151" i="11" s="1"/>
  <c r="E152" i="32" s="1"/>
  <c r="T152" i="32" s="1"/>
  <c r="AP161" i="59" a="1"/>
  <c r="AP161" i="59" s="1"/>
  <c r="E162" i="50" s="1"/>
  <c r="T162" i="50" s="1"/>
  <c r="AM36" i="11" a="1"/>
  <c r="AM36" i="11" s="1"/>
  <c r="AF218" i="57" l="1"/>
  <c r="AF220" i="53"/>
  <c r="AH158" i="50"/>
  <c r="AI158" i="50" s="1"/>
  <c r="AP158" i="50" s="1"/>
  <c r="AK221" i="57"/>
  <c r="P206" i="69"/>
  <c r="AP206" i="69"/>
  <c r="AJ217" i="57"/>
  <c r="O152" i="32"/>
  <c r="AK162" i="50"/>
  <c r="AL159" i="50"/>
  <c r="AG159" i="50"/>
  <c r="BC207" i="69"/>
  <c r="BF207" i="69"/>
  <c r="BD207" i="69"/>
  <c r="BE207" i="69"/>
  <c r="U151" i="32"/>
  <c r="AH222" i="57"/>
  <c r="AI222" i="57" s="1"/>
  <c r="K222" i="57"/>
  <c r="AQ162" i="50"/>
  <c r="N162" i="50"/>
  <c r="AO161" i="50"/>
  <c r="AX205" i="69"/>
  <c r="AW205" i="69"/>
  <c r="L207" i="69"/>
  <c r="M207" i="69" s="1"/>
  <c r="AZ207" i="69"/>
  <c r="Y204" i="69"/>
  <c r="AG204" i="69" s="1"/>
  <c r="AG203" i="69"/>
  <c r="F205" i="69"/>
  <c r="G205" i="69" s="1"/>
  <c r="H205" i="69" s="1"/>
  <c r="I205" i="69" s="1"/>
  <c r="J205" i="69" s="1"/>
  <c r="K205" i="69" s="1"/>
  <c r="U205" i="69"/>
  <c r="AH205" i="69"/>
  <c r="F152" i="32"/>
  <c r="AU152" i="32"/>
  <c r="AY162" i="50"/>
  <c r="F162" i="50"/>
  <c r="U162" i="50" s="1"/>
  <c r="AT150" i="32"/>
  <c r="AA218" i="57"/>
  <c r="AD150" i="32"/>
  <c r="AG150" i="32" s="1"/>
  <c r="AH150" i="32" s="1"/>
  <c r="AI150" i="32" s="1"/>
  <c r="AD160" i="50"/>
  <c r="X219" i="57"/>
  <c r="AG221" i="57"/>
  <c r="AC222" i="53"/>
  <c r="O222" i="53"/>
  <c r="Q206" i="69"/>
  <c r="AE220" i="57"/>
  <c r="AD220" i="57"/>
  <c r="R220" i="57"/>
  <c r="Q220" i="57"/>
  <c r="AQ220" i="57"/>
  <c r="AC220" i="57"/>
  <c r="P161" i="50"/>
  <c r="P151" i="32"/>
  <c r="N222" i="53"/>
  <c r="O162" i="50"/>
  <c r="AA220" i="53"/>
  <c r="AM151" i="32"/>
  <c r="AJ160" i="50"/>
  <c r="C160" i="50"/>
  <c r="S161" i="50"/>
  <c r="C150" i="32"/>
  <c r="AJ150" i="32"/>
  <c r="W150" i="32"/>
  <c r="X150" i="32" s="1"/>
  <c r="S151" i="32"/>
  <c r="W160" i="50"/>
  <c r="X159" i="50"/>
  <c r="V160" i="50"/>
  <c r="V150" i="32"/>
  <c r="AF205" i="69"/>
  <c r="P222" i="57"/>
  <c r="AC203" i="69"/>
  <c r="AD203" i="69" s="1"/>
  <c r="AO206" i="69"/>
  <c r="O207" i="69"/>
  <c r="AE221" i="53"/>
  <c r="AK152" i="32"/>
  <c r="AM161" i="50"/>
  <c r="AL149" i="32"/>
  <c r="AN148" i="32"/>
  <c r="R221" i="53"/>
  <c r="X221" i="53" s="1"/>
  <c r="AB221" i="53" s="1"/>
  <c r="AY205" i="69"/>
  <c r="L222" i="57"/>
  <c r="AT221" i="53"/>
  <c r="AG221" i="53"/>
  <c r="N222" i="57"/>
  <c r="I222" i="53"/>
  <c r="AD221" i="53"/>
  <c r="Q221" i="53"/>
  <c r="AK221" i="52" a="1"/>
  <c r="AK221" i="52" s="1"/>
  <c r="B223" i="53" s="1"/>
  <c r="C222" i="53"/>
  <c r="G222" i="53"/>
  <c r="L222" i="53"/>
  <c r="F222" i="53"/>
  <c r="D222" i="53"/>
  <c r="P222" i="53"/>
  <c r="E222" i="53"/>
  <c r="H222" i="53"/>
  <c r="J222" i="53"/>
  <c r="K222" i="53"/>
  <c r="AH222" i="53" s="1"/>
  <c r="A152" i="32"/>
  <c r="B152" i="32"/>
  <c r="G162" i="50"/>
  <c r="K162" i="50"/>
  <c r="I162" i="50"/>
  <c r="L162" i="50"/>
  <c r="A162" i="50"/>
  <c r="M162" i="50"/>
  <c r="J162" i="50"/>
  <c r="B162" i="50"/>
  <c r="H162" i="50"/>
  <c r="H152" i="32"/>
  <c r="K152" i="32"/>
  <c r="L152" i="32"/>
  <c r="G152" i="32"/>
  <c r="I152" i="32"/>
  <c r="N152" i="32"/>
  <c r="J152" i="32"/>
  <c r="M152" i="32"/>
  <c r="H222" i="57"/>
  <c r="D222" i="57"/>
  <c r="J222" i="57"/>
  <c r="G222" i="57"/>
  <c r="C222" i="57"/>
  <c r="E222" i="57"/>
  <c r="F222" i="57"/>
  <c r="I222" i="57"/>
  <c r="AN221" i="55" a="1"/>
  <c r="AN221" i="55" s="1"/>
  <c r="B223" i="57" s="1"/>
  <c r="O223" i="57" s="1"/>
  <c r="C207" i="69"/>
  <c r="R205" i="69"/>
  <c r="S205" i="69" s="1"/>
  <c r="AE205" i="69"/>
  <c r="D206" i="69"/>
  <c r="E206" i="69" s="1"/>
  <c r="AS207" i="67" a="1"/>
  <c r="AS207" i="67" s="1"/>
  <c r="B208" i="69"/>
  <c r="AM208" i="69" s="1"/>
  <c r="AN208" i="69" s="1"/>
  <c r="AL152" i="11" a="1"/>
  <c r="AL152" i="11" s="1"/>
  <c r="E153" i="32" s="1"/>
  <c r="T153" i="32" s="1"/>
  <c r="AP162" i="59" a="1"/>
  <c r="AP162" i="59" s="1"/>
  <c r="E163" i="50" s="1"/>
  <c r="T163" i="50" s="1"/>
  <c r="AM37" i="11" a="1"/>
  <c r="AM37" i="11" s="1"/>
  <c r="AA219" i="57" l="1"/>
  <c r="AB219" i="57"/>
  <c r="AF219" i="57" s="1"/>
  <c r="AF221" i="53"/>
  <c r="AH159" i="50"/>
  <c r="AI159" i="50" s="1"/>
  <c r="AP159" i="50" s="1"/>
  <c r="AK222" i="57"/>
  <c r="P207" i="69"/>
  <c r="AP207" i="69"/>
  <c r="AJ218" i="57"/>
  <c r="O153" i="32"/>
  <c r="AK163" i="50"/>
  <c r="AL160" i="50"/>
  <c r="AG160" i="50"/>
  <c r="BC208" i="69"/>
  <c r="BE208" i="69"/>
  <c r="BF208" i="69"/>
  <c r="BD208" i="69"/>
  <c r="U152" i="32"/>
  <c r="AH223" i="57"/>
  <c r="AI223" i="57" s="1"/>
  <c r="K223" i="57"/>
  <c r="AQ163" i="50"/>
  <c r="N163" i="50"/>
  <c r="AO162" i="50"/>
  <c r="AD151" i="32"/>
  <c r="AG151" i="32" s="1"/>
  <c r="AH151" i="32" s="1"/>
  <c r="AI151" i="32" s="1"/>
  <c r="AX206" i="69"/>
  <c r="AW206" i="69"/>
  <c r="L208" i="69"/>
  <c r="M208" i="69" s="1"/>
  <c r="AZ208" i="69"/>
  <c r="AB204" i="69"/>
  <c r="AC204" i="69" s="1"/>
  <c r="AD204" i="69" s="1"/>
  <c r="F206" i="69"/>
  <c r="G206" i="69" s="1"/>
  <c r="H206" i="69" s="1"/>
  <c r="I206" i="69" s="1"/>
  <c r="J206" i="69" s="1"/>
  <c r="K206" i="69" s="1"/>
  <c r="U206" i="69"/>
  <c r="AH206" i="69"/>
  <c r="F153" i="32"/>
  <c r="AU153" i="32"/>
  <c r="F163" i="50"/>
  <c r="U163" i="50" s="1"/>
  <c r="AY163" i="50"/>
  <c r="AT151" i="32"/>
  <c r="Y205" i="69"/>
  <c r="AB205" i="69" s="1"/>
  <c r="AC205" i="69" s="1"/>
  <c r="AD205" i="69" s="1"/>
  <c r="AD161" i="50"/>
  <c r="AG222" i="57"/>
  <c r="X220" i="57"/>
  <c r="AB220" i="57" s="1"/>
  <c r="AC223" i="53"/>
  <c r="O223" i="53"/>
  <c r="Q207" i="69"/>
  <c r="AD221" i="57"/>
  <c r="R221" i="57"/>
  <c r="Q221" i="57"/>
  <c r="AE221" i="57"/>
  <c r="AQ221" i="57"/>
  <c r="AC221" i="57"/>
  <c r="P162" i="50"/>
  <c r="P152" i="32"/>
  <c r="N223" i="53"/>
  <c r="O163" i="50"/>
  <c r="AA221" i="53"/>
  <c r="C161" i="50"/>
  <c r="Z161" i="50"/>
  <c r="C151" i="32"/>
  <c r="Z151" i="32"/>
  <c r="AM152" i="32"/>
  <c r="AJ161" i="50"/>
  <c r="S162" i="50"/>
  <c r="Z162" i="50" s="1"/>
  <c r="W151" i="32"/>
  <c r="X151" i="32" s="1"/>
  <c r="S152" i="32"/>
  <c r="Z152" i="32" s="1"/>
  <c r="AJ151" i="32"/>
  <c r="W161" i="50"/>
  <c r="X160" i="50"/>
  <c r="V161" i="50"/>
  <c r="V151" i="32"/>
  <c r="AF206" i="69"/>
  <c r="P223" i="57"/>
  <c r="O208" i="69"/>
  <c r="AO207" i="69"/>
  <c r="AE222" i="53"/>
  <c r="AK153" i="32"/>
  <c r="AM162" i="50"/>
  <c r="AL150" i="32"/>
  <c r="AN149" i="32"/>
  <c r="R222" i="53"/>
  <c r="X222" i="53" s="1"/>
  <c r="AB222" i="53" s="1"/>
  <c r="AY206" i="69"/>
  <c r="L223" i="57"/>
  <c r="AT222" i="53"/>
  <c r="AG222" i="53"/>
  <c r="N223" i="57"/>
  <c r="H223" i="53"/>
  <c r="AD222" i="53"/>
  <c r="Q222" i="53"/>
  <c r="AK222" i="52" a="1"/>
  <c r="AK222" i="52" s="1"/>
  <c r="B224" i="53" s="1"/>
  <c r="J223" i="53"/>
  <c r="P223" i="53"/>
  <c r="G223" i="53"/>
  <c r="E223" i="53"/>
  <c r="L223" i="53"/>
  <c r="F223" i="53"/>
  <c r="K223" i="53"/>
  <c r="AH223" i="53" s="1"/>
  <c r="I223" i="53"/>
  <c r="C223" i="53"/>
  <c r="D223" i="53"/>
  <c r="A153" i="32"/>
  <c r="B153" i="32"/>
  <c r="J163" i="50"/>
  <c r="M163" i="50"/>
  <c r="I163" i="50"/>
  <c r="A163" i="50"/>
  <c r="L163" i="50"/>
  <c r="K163" i="50"/>
  <c r="G163" i="50"/>
  <c r="B163" i="50"/>
  <c r="H163" i="50"/>
  <c r="N153" i="32"/>
  <c r="I153" i="32"/>
  <c r="J153" i="32"/>
  <c r="M153" i="32"/>
  <c r="G153" i="32"/>
  <c r="L153" i="32"/>
  <c r="H153" i="32"/>
  <c r="K153" i="32"/>
  <c r="G223" i="57"/>
  <c r="I223" i="57"/>
  <c r="E223" i="57"/>
  <c r="D223" i="57"/>
  <c r="J223" i="57"/>
  <c r="H223" i="57"/>
  <c r="C223" i="57"/>
  <c r="F223" i="57"/>
  <c r="AN222" i="55" a="1"/>
  <c r="AN222" i="55" s="1"/>
  <c r="B224" i="57" s="1"/>
  <c r="O224" i="57" s="1"/>
  <c r="AS208" i="67" a="1"/>
  <c r="AS208" i="67" s="1"/>
  <c r="B209" i="69"/>
  <c r="AM209" i="69" s="1"/>
  <c r="AN209" i="69" s="1"/>
  <c r="D207" i="69"/>
  <c r="E207" i="69" s="1"/>
  <c r="R206" i="69"/>
  <c r="S206" i="69" s="1"/>
  <c r="AE206" i="69"/>
  <c r="C208" i="69"/>
  <c r="AL153" i="11" a="1"/>
  <c r="AL153" i="11" s="1"/>
  <c r="E154" i="32" s="1"/>
  <c r="T154" i="32" s="1"/>
  <c r="AP163" i="59" a="1"/>
  <c r="AP163" i="59" s="1"/>
  <c r="E164" i="50" s="1"/>
  <c r="T164" i="50" s="1"/>
  <c r="AM38" i="11" a="1"/>
  <c r="AM38" i="11" s="1"/>
  <c r="AF220" i="57" l="1"/>
  <c r="AF222" i="53"/>
  <c r="AH160" i="50"/>
  <c r="AI160" i="50" s="1"/>
  <c r="AP160" i="50" s="1"/>
  <c r="AK223" i="57"/>
  <c r="P208" i="69"/>
  <c r="AP208" i="69"/>
  <c r="AJ219" i="57"/>
  <c r="AJ220" i="57"/>
  <c r="AL161" i="50"/>
  <c r="O154" i="32"/>
  <c r="AK164" i="50"/>
  <c r="AG161" i="50"/>
  <c r="BC209" i="69"/>
  <c r="BE209" i="69"/>
  <c r="BF209" i="69"/>
  <c r="BD209" i="69"/>
  <c r="U153" i="32"/>
  <c r="AH224" i="57"/>
  <c r="AI224" i="57" s="1"/>
  <c r="K224" i="57"/>
  <c r="AQ164" i="50"/>
  <c r="N164" i="50"/>
  <c r="AO163" i="50"/>
  <c r="AX207" i="69"/>
  <c r="AW207" i="69"/>
  <c r="L209" i="69"/>
  <c r="M209" i="69" s="1"/>
  <c r="AZ209" i="69"/>
  <c r="Y206" i="69"/>
  <c r="AG206" i="69" s="1"/>
  <c r="F207" i="69"/>
  <c r="G207" i="69" s="1"/>
  <c r="H207" i="69" s="1"/>
  <c r="I207" i="69" s="1"/>
  <c r="J207" i="69" s="1"/>
  <c r="K207" i="69" s="1"/>
  <c r="U207" i="69"/>
  <c r="AH207" i="69"/>
  <c r="F154" i="32"/>
  <c r="AU154" i="32"/>
  <c r="F164" i="50"/>
  <c r="U164" i="50" s="1"/>
  <c r="AY164" i="50"/>
  <c r="AT152" i="32"/>
  <c r="X221" i="57"/>
  <c r="AB221" i="57" s="1"/>
  <c r="AG205" i="69"/>
  <c r="AD152" i="32"/>
  <c r="AG152" i="32" s="1"/>
  <c r="AH152" i="32" s="1"/>
  <c r="AI152" i="32" s="1"/>
  <c r="AD162" i="50"/>
  <c r="AG223" i="57"/>
  <c r="AQ222" i="57"/>
  <c r="AC222" i="57"/>
  <c r="Q222" i="57"/>
  <c r="AE222" i="57"/>
  <c r="AD222" i="57"/>
  <c r="AA220" i="57"/>
  <c r="R222" i="57"/>
  <c r="AC224" i="53"/>
  <c r="O224" i="53"/>
  <c r="Q208" i="69"/>
  <c r="P163" i="50"/>
  <c r="P153" i="32"/>
  <c r="N224" i="53"/>
  <c r="O164" i="50"/>
  <c r="AA222" i="53"/>
  <c r="AM153" i="32"/>
  <c r="C162" i="50"/>
  <c r="AJ162" i="50"/>
  <c r="S163" i="50"/>
  <c r="AD163" i="50" s="1"/>
  <c r="AJ152" i="32"/>
  <c r="W152" i="32"/>
  <c r="X152" i="32" s="1"/>
  <c r="C152" i="32"/>
  <c r="S153" i="32"/>
  <c r="W162" i="50"/>
  <c r="X161" i="50"/>
  <c r="V162" i="50"/>
  <c r="V152" i="32"/>
  <c r="AF207" i="69"/>
  <c r="P224" i="57"/>
  <c r="O209" i="69"/>
  <c r="AO208" i="69"/>
  <c r="AE223" i="53"/>
  <c r="AK154" i="32"/>
  <c r="AM163" i="50"/>
  <c r="AL151" i="32"/>
  <c r="AN150" i="32"/>
  <c r="R223" i="53"/>
  <c r="X223" i="53" s="1"/>
  <c r="AB223" i="53" s="1"/>
  <c r="AY207" i="69"/>
  <c r="L224" i="57"/>
  <c r="AG223" i="53"/>
  <c r="AT223" i="53"/>
  <c r="N224" i="57"/>
  <c r="AD223" i="53"/>
  <c r="Q223" i="53"/>
  <c r="D224" i="53"/>
  <c r="C224" i="53"/>
  <c r="I224" i="53"/>
  <c r="J224" i="53"/>
  <c r="E224" i="53"/>
  <c r="F224" i="53"/>
  <c r="L224" i="53"/>
  <c r="AK223" i="52" a="1"/>
  <c r="AK223" i="52" s="1"/>
  <c r="B225" i="53" s="1"/>
  <c r="G224" i="53"/>
  <c r="K224" i="53"/>
  <c r="AH224" i="53" s="1"/>
  <c r="P224" i="53"/>
  <c r="H224" i="53"/>
  <c r="A154" i="32"/>
  <c r="B154" i="32"/>
  <c r="K164" i="50"/>
  <c r="M164" i="50"/>
  <c r="J164" i="50"/>
  <c r="I164" i="50"/>
  <c r="A164" i="50"/>
  <c r="G164" i="50"/>
  <c r="L164" i="50"/>
  <c r="B164" i="50"/>
  <c r="H164" i="50"/>
  <c r="L154" i="32"/>
  <c r="G154" i="32"/>
  <c r="H154" i="32"/>
  <c r="K154" i="32"/>
  <c r="M154" i="32"/>
  <c r="J154" i="32"/>
  <c r="N154" i="32"/>
  <c r="I154" i="32"/>
  <c r="J224" i="57"/>
  <c r="F224" i="57"/>
  <c r="E224" i="57"/>
  <c r="D224" i="57"/>
  <c r="G224" i="57"/>
  <c r="C224" i="57"/>
  <c r="I224" i="57"/>
  <c r="H224" i="57"/>
  <c r="AN223" i="55" a="1"/>
  <c r="AN223" i="55" s="1"/>
  <c r="B225" i="57" s="1"/>
  <c r="O225" i="57" s="1"/>
  <c r="AS209" i="67" a="1"/>
  <c r="AS209" i="67" s="1"/>
  <c r="B210" i="69"/>
  <c r="AM210" i="69" s="1"/>
  <c r="AN210" i="69" s="1"/>
  <c r="C209" i="69"/>
  <c r="AE207" i="69"/>
  <c r="R207" i="69"/>
  <c r="S207" i="69" s="1"/>
  <c r="D208" i="69"/>
  <c r="E208" i="69" s="1"/>
  <c r="AL154" i="11" a="1"/>
  <c r="AL154" i="11" s="1"/>
  <c r="E155" i="32" s="1"/>
  <c r="T155" i="32" s="1"/>
  <c r="AP164" i="59" a="1"/>
  <c r="AP164" i="59" s="1"/>
  <c r="E165" i="50" s="1"/>
  <c r="T165" i="50" s="1"/>
  <c r="AM39" i="11" a="1"/>
  <c r="AM39" i="11" s="1"/>
  <c r="AF221" i="57" l="1"/>
  <c r="AF223" i="53"/>
  <c r="AH161" i="50"/>
  <c r="AI161" i="50" s="1"/>
  <c r="AP161" i="50" s="1"/>
  <c r="AK224" i="57"/>
  <c r="P209" i="69"/>
  <c r="AP209" i="69"/>
  <c r="O155" i="32"/>
  <c r="AK165" i="50"/>
  <c r="AL162" i="50"/>
  <c r="AG162" i="50"/>
  <c r="BC210" i="69"/>
  <c r="BE210" i="69"/>
  <c r="BF210" i="69"/>
  <c r="BD210" i="69"/>
  <c r="AD153" i="32"/>
  <c r="AG153" i="32" s="1"/>
  <c r="AH153" i="32" s="1"/>
  <c r="AI153" i="32" s="1"/>
  <c r="U154" i="32"/>
  <c r="AH225" i="57"/>
  <c r="AI225" i="57" s="1"/>
  <c r="K225" i="57"/>
  <c r="AQ165" i="50"/>
  <c r="N165" i="50"/>
  <c r="AO164" i="50"/>
  <c r="AX208" i="69"/>
  <c r="AW208" i="69"/>
  <c r="L210" i="69"/>
  <c r="M210" i="69" s="1"/>
  <c r="AZ210" i="69"/>
  <c r="AB206" i="69"/>
  <c r="AC206" i="69" s="1"/>
  <c r="AD206" i="69" s="1"/>
  <c r="Y207" i="69"/>
  <c r="AG207" i="69" s="1"/>
  <c r="F208" i="69"/>
  <c r="G208" i="69" s="1"/>
  <c r="H208" i="69" s="1"/>
  <c r="I208" i="69" s="1"/>
  <c r="J208" i="69" s="1"/>
  <c r="K208" i="69" s="1"/>
  <c r="U208" i="69"/>
  <c r="AH208" i="69"/>
  <c r="F155" i="32"/>
  <c r="AU155" i="32"/>
  <c r="AY165" i="50"/>
  <c r="F165" i="50"/>
  <c r="U165" i="50" s="1"/>
  <c r="AT153" i="32"/>
  <c r="X222" i="57"/>
  <c r="AG224" i="57"/>
  <c r="AE223" i="57"/>
  <c r="AD223" i="57"/>
  <c r="R223" i="57"/>
  <c r="Q223" i="57"/>
  <c r="AQ223" i="57"/>
  <c r="AC223" i="57"/>
  <c r="AA221" i="57"/>
  <c r="AC225" i="53"/>
  <c r="O225" i="53"/>
  <c r="Q209" i="69"/>
  <c r="P164" i="50"/>
  <c r="P154" i="32"/>
  <c r="N225" i="53"/>
  <c r="O165" i="50"/>
  <c r="AA223" i="53"/>
  <c r="C163" i="50"/>
  <c r="Z163" i="50"/>
  <c r="C153" i="32"/>
  <c r="Z153" i="32"/>
  <c r="AM154" i="32"/>
  <c r="AJ163" i="50"/>
  <c r="AL163" i="50" s="1"/>
  <c r="S164" i="50"/>
  <c r="Z164" i="50" s="1"/>
  <c r="S154" i="32"/>
  <c r="Z154" i="32" s="1"/>
  <c r="W153" i="32"/>
  <c r="X153" i="32" s="1"/>
  <c r="AJ153" i="32"/>
  <c r="W163" i="50"/>
  <c r="X162" i="50"/>
  <c r="V163" i="50"/>
  <c r="V153" i="32"/>
  <c r="AF208" i="69"/>
  <c r="P225" i="57"/>
  <c r="AO209" i="69"/>
  <c r="O210" i="69"/>
  <c r="AE224" i="53"/>
  <c r="AK155" i="32"/>
  <c r="AM164" i="50"/>
  <c r="AG163" i="50"/>
  <c r="AH163" i="50" s="1"/>
  <c r="AL152" i="32"/>
  <c r="AN151" i="32"/>
  <c r="R224" i="53"/>
  <c r="X224" i="53" s="1"/>
  <c r="AB224" i="53" s="1"/>
  <c r="AY208" i="69"/>
  <c r="L225" i="57"/>
  <c r="AG224" i="53"/>
  <c r="AT224" i="53"/>
  <c r="N225" i="57"/>
  <c r="AD224" i="53"/>
  <c r="Q224" i="53"/>
  <c r="G225" i="53"/>
  <c r="P225" i="53"/>
  <c r="K225" i="53"/>
  <c r="AH225" i="53" s="1"/>
  <c r="E225" i="53"/>
  <c r="F225" i="53"/>
  <c r="I225" i="53"/>
  <c r="C225" i="53"/>
  <c r="J225" i="53"/>
  <c r="AK224" i="52" a="1"/>
  <c r="AK224" i="52" s="1"/>
  <c r="B226" i="53" s="1"/>
  <c r="L225" i="53"/>
  <c r="D225" i="53"/>
  <c r="H225" i="53"/>
  <c r="A155" i="32"/>
  <c r="B155" i="32"/>
  <c r="J165" i="50"/>
  <c r="B165" i="50"/>
  <c r="I165" i="50"/>
  <c r="H165" i="50"/>
  <c r="L165" i="50"/>
  <c r="M165" i="50"/>
  <c r="A165" i="50"/>
  <c r="G165" i="50"/>
  <c r="K165" i="50"/>
  <c r="J155" i="32"/>
  <c r="M155" i="32"/>
  <c r="N155" i="32"/>
  <c r="I155" i="32"/>
  <c r="H155" i="32"/>
  <c r="K155" i="32"/>
  <c r="G155" i="32"/>
  <c r="L155" i="32"/>
  <c r="H225" i="57"/>
  <c r="D225" i="57"/>
  <c r="I225" i="57"/>
  <c r="E225" i="57"/>
  <c r="C225" i="57"/>
  <c r="G225" i="57"/>
  <c r="J225" i="57"/>
  <c r="F225" i="57"/>
  <c r="AN224" i="55" a="1"/>
  <c r="AN224" i="55" s="1"/>
  <c r="B226" i="57" s="1"/>
  <c r="O226" i="57" s="1"/>
  <c r="AS210" i="67" a="1"/>
  <c r="AS210" i="67" s="1"/>
  <c r="B211" i="69"/>
  <c r="AM211" i="69" s="1"/>
  <c r="AN211" i="69" s="1"/>
  <c r="D209" i="69"/>
  <c r="E209" i="69" s="1"/>
  <c r="AE208" i="69"/>
  <c r="R208" i="69"/>
  <c r="S208" i="69" s="1"/>
  <c r="C210" i="69"/>
  <c r="AL155" i="11" a="1"/>
  <c r="AL155" i="11" s="1"/>
  <c r="E156" i="32" s="1"/>
  <c r="T156" i="32" s="1"/>
  <c r="AP165" i="59" a="1"/>
  <c r="AP165" i="59" s="1"/>
  <c r="E166" i="50" s="1"/>
  <c r="T166" i="50" s="1"/>
  <c r="AM40" i="11" a="1"/>
  <c r="AM40" i="11" s="1"/>
  <c r="AF224" i="53" l="1"/>
  <c r="AA222" i="57"/>
  <c r="AB222" i="57"/>
  <c r="AF222" i="57" s="1"/>
  <c r="AH162" i="50"/>
  <c r="AI162" i="50" s="1"/>
  <c r="AP162" i="50" s="1"/>
  <c r="P210" i="69"/>
  <c r="AP210" i="69"/>
  <c r="AK225" i="57"/>
  <c r="AJ221" i="57"/>
  <c r="O156" i="32"/>
  <c r="AK166" i="50"/>
  <c r="BC211" i="69"/>
  <c r="BE211" i="69"/>
  <c r="BF211" i="69"/>
  <c r="BD211" i="69"/>
  <c r="U155" i="32"/>
  <c r="AH226" i="57"/>
  <c r="AI226" i="57" s="1"/>
  <c r="K226" i="57"/>
  <c r="N166" i="50"/>
  <c r="AQ166" i="50"/>
  <c r="AO165" i="50"/>
  <c r="AX209" i="69"/>
  <c r="AW209" i="69"/>
  <c r="L211" i="69"/>
  <c r="M211" i="69" s="1"/>
  <c r="AZ211" i="69"/>
  <c r="AB207" i="69"/>
  <c r="AC207" i="69" s="1"/>
  <c r="AD207" i="69" s="1"/>
  <c r="Y208" i="69"/>
  <c r="AG208" i="69" s="1"/>
  <c r="F209" i="69"/>
  <c r="G209" i="69" s="1"/>
  <c r="H209" i="69" s="1"/>
  <c r="I209" i="69" s="1"/>
  <c r="J209" i="69" s="1"/>
  <c r="K209" i="69" s="1"/>
  <c r="U209" i="69"/>
  <c r="AH209" i="69"/>
  <c r="F156" i="32"/>
  <c r="AU156" i="32"/>
  <c r="AY166" i="50"/>
  <c r="F166" i="50"/>
  <c r="U166" i="50" s="1"/>
  <c r="AT154" i="32"/>
  <c r="X223" i="57"/>
  <c r="AB223" i="57" s="1"/>
  <c r="AD154" i="32"/>
  <c r="AG154" i="32" s="1"/>
  <c r="AH154" i="32" s="1"/>
  <c r="AI154" i="32" s="1"/>
  <c r="AD164" i="50"/>
  <c r="AG225" i="57"/>
  <c r="AC224" i="57"/>
  <c r="AC226" i="53"/>
  <c r="O226" i="53"/>
  <c r="Q210" i="69"/>
  <c r="AE224" i="57"/>
  <c r="AQ224" i="57"/>
  <c r="Q224" i="57"/>
  <c r="AD224" i="57"/>
  <c r="R224" i="57"/>
  <c r="P165" i="50"/>
  <c r="P155" i="32"/>
  <c r="N226" i="53"/>
  <c r="O166" i="50"/>
  <c r="AA224" i="53"/>
  <c r="AM155" i="32"/>
  <c r="AJ164" i="50"/>
  <c r="C164" i="50"/>
  <c r="S165" i="50"/>
  <c r="AJ154" i="32"/>
  <c r="W154" i="32"/>
  <c r="X154" i="32" s="1"/>
  <c r="C154" i="32"/>
  <c r="S155" i="32"/>
  <c r="Z155" i="32" s="1"/>
  <c r="W164" i="50"/>
  <c r="X163" i="50"/>
  <c r="V164" i="50"/>
  <c r="V154" i="32"/>
  <c r="AF209" i="69"/>
  <c r="P226" i="57"/>
  <c r="AI163" i="50"/>
  <c r="O211" i="69"/>
  <c r="AO210" i="69"/>
  <c r="AE225" i="53"/>
  <c r="AK156" i="32"/>
  <c r="AM165" i="50"/>
  <c r="AL153" i="32"/>
  <c r="AN152" i="32"/>
  <c r="R225" i="53"/>
  <c r="X225" i="53" s="1"/>
  <c r="AB225" i="53" s="1"/>
  <c r="AY209" i="69"/>
  <c r="L226" i="57"/>
  <c r="AT225" i="53"/>
  <c r="AG225" i="53"/>
  <c r="N226" i="57"/>
  <c r="E226" i="53"/>
  <c r="Q225" i="53"/>
  <c r="AD225" i="53"/>
  <c r="AK225" i="52" a="1"/>
  <c r="AK225" i="52" s="1"/>
  <c r="B227" i="53" s="1"/>
  <c r="K226" i="53"/>
  <c r="AH226" i="53" s="1"/>
  <c r="G226" i="53"/>
  <c r="H226" i="53"/>
  <c r="L226" i="53"/>
  <c r="P226" i="53"/>
  <c r="I226" i="53"/>
  <c r="D226" i="53"/>
  <c r="J226" i="53"/>
  <c r="F226" i="53"/>
  <c r="C226" i="53"/>
  <c r="A156" i="32"/>
  <c r="B156" i="32"/>
  <c r="H166" i="50"/>
  <c r="B166" i="50"/>
  <c r="G166" i="50"/>
  <c r="I166" i="50"/>
  <c r="M166" i="50"/>
  <c r="A166" i="50"/>
  <c r="L166" i="50"/>
  <c r="J166" i="50"/>
  <c r="K166" i="50"/>
  <c r="H156" i="32"/>
  <c r="K156" i="32"/>
  <c r="L156" i="32"/>
  <c r="G156" i="32"/>
  <c r="I156" i="32"/>
  <c r="N156" i="32"/>
  <c r="J156" i="32"/>
  <c r="M156" i="32"/>
  <c r="J226" i="57"/>
  <c r="G226" i="57"/>
  <c r="F226" i="57"/>
  <c r="C226" i="57"/>
  <c r="I226" i="57"/>
  <c r="E226" i="57"/>
  <c r="H226" i="57"/>
  <c r="D226" i="57"/>
  <c r="AN225" i="55" a="1"/>
  <c r="AN225" i="55" s="1"/>
  <c r="B227" i="57" s="1"/>
  <c r="O227" i="57" s="1"/>
  <c r="AS211" i="67" a="1"/>
  <c r="AS211" i="67" s="1"/>
  <c r="B212" i="69"/>
  <c r="AM212" i="69" s="1"/>
  <c r="AN212" i="69" s="1"/>
  <c r="AE209" i="69"/>
  <c r="R209" i="69"/>
  <c r="S209" i="69" s="1"/>
  <c r="C211" i="69"/>
  <c r="D210" i="69"/>
  <c r="E210" i="69" s="1"/>
  <c r="AL156" i="11" a="1"/>
  <c r="AL156" i="11" s="1"/>
  <c r="E157" i="32" s="1"/>
  <c r="T157" i="32" s="1"/>
  <c r="AP166" i="59" a="1"/>
  <c r="AP166" i="59" s="1"/>
  <c r="E167" i="50" s="1"/>
  <c r="T167" i="50" s="1"/>
  <c r="AM41" i="11" a="1"/>
  <c r="AM41" i="11" s="1"/>
  <c r="AF223" i="57" l="1"/>
  <c r="AF225" i="53"/>
  <c r="P211" i="69"/>
  <c r="AP211" i="69"/>
  <c r="AK226" i="57"/>
  <c r="AJ222" i="57"/>
  <c r="O157" i="32"/>
  <c r="AK167" i="50"/>
  <c r="AL164" i="50"/>
  <c r="AG164" i="50"/>
  <c r="BC212" i="69"/>
  <c r="BE212" i="69"/>
  <c r="BF212" i="69"/>
  <c r="BD212" i="69"/>
  <c r="U156" i="32"/>
  <c r="K227" i="57"/>
  <c r="AH227" i="57"/>
  <c r="AI227" i="57" s="1"/>
  <c r="N167" i="50"/>
  <c r="AQ167" i="50"/>
  <c r="AO166" i="50"/>
  <c r="AP163" i="50"/>
  <c r="AX210" i="69"/>
  <c r="AW210" i="69"/>
  <c r="L212" i="69"/>
  <c r="M212" i="69" s="1"/>
  <c r="AZ212" i="69"/>
  <c r="Y209" i="69"/>
  <c r="AG209" i="69" s="1"/>
  <c r="AB208" i="69"/>
  <c r="AC208" i="69" s="1"/>
  <c r="AD208" i="69" s="1"/>
  <c r="F210" i="69"/>
  <c r="G210" i="69" s="1"/>
  <c r="H210" i="69" s="1"/>
  <c r="I210" i="69" s="1"/>
  <c r="J210" i="69" s="1"/>
  <c r="K210" i="69" s="1"/>
  <c r="U210" i="69"/>
  <c r="AH210" i="69"/>
  <c r="F157" i="32"/>
  <c r="AU157" i="32"/>
  <c r="AY167" i="50"/>
  <c r="F167" i="50"/>
  <c r="U167" i="50" s="1"/>
  <c r="AT155" i="32"/>
  <c r="AD155" i="32"/>
  <c r="AG155" i="32" s="1"/>
  <c r="AH155" i="32" s="1"/>
  <c r="AI155" i="32" s="1"/>
  <c r="AD165" i="50"/>
  <c r="AG226" i="57"/>
  <c r="X224" i="57"/>
  <c r="AB224" i="57" s="1"/>
  <c r="AA223" i="57"/>
  <c r="AC227" i="53"/>
  <c r="O227" i="53"/>
  <c r="Q211" i="69"/>
  <c r="Q225" i="57"/>
  <c r="AE225" i="57"/>
  <c r="AD225" i="57"/>
  <c r="R225" i="57"/>
  <c r="AQ225" i="57"/>
  <c r="AC225" i="57"/>
  <c r="P166" i="50"/>
  <c r="P156" i="32"/>
  <c r="N227" i="53"/>
  <c r="O167" i="50"/>
  <c r="AA225" i="53"/>
  <c r="C165" i="50"/>
  <c r="Z165" i="50"/>
  <c r="AM156" i="32"/>
  <c r="AJ165" i="50"/>
  <c r="S166" i="50"/>
  <c r="Z166" i="50" s="1"/>
  <c r="C155" i="32"/>
  <c r="W155" i="32"/>
  <c r="X155" i="32" s="1"/>
  <c r="AJ155" i="32"/>
  <c r="S156" i="32"/>
  <c r="Z156" i="32" s="1"/>
  <c r="W165" i="50"/>
  <c r="X164" i="50"/>
  <c r="V165" i="50"/>
  <c r="V155" i="32"/>
  <c r="AF210" i="69"/>
  <c r="P227" i="57"/>
  <c r="O212" i="69"/>
  <c r="AO211" i="69"/>
  <c r="AE226" i="53"/>
  <c r="AK157" i="32"/>
  <c r="AM166" i="50"/>
  <c r="AL154" i="32"/>
  <c r="AN153" i="32"/>
  <c r="R226" i="53"/>
  <c r="X226" i="53" s="1"/>
  <c r="AB226" i="53" s="1"/>
  <c r="AY210" i="69"/>
  <c r="L227" i="57"/>
  <c r="AG226" i="53"/>
  <c r="AT226" i="53"/>
  <c r="N227" i="57"/>
  <c r="AD226" i="53"/>
  <c r="Q226" i="53"/>
  <c r="AK226" i="52" a="1"/>
  <c r="AK226" i="52" s="1"/>
  <c r="B228" i="53" s="1"/>
  <c r="P227" i="53"/>
  <c r="E227" i="53"/>
  <c r="I227" i="53"/>
  <c r="G227" i="53"/>
  <c r="J227" i="53"/>
  <c r="D227" i="53"/>
  <c r="L227" i="53"/>
  <c r="K227" i="53"/>
  <c r="AH227" i="53" s="1"/>
  <c r="C227" i="53"/>
  <c r="H227" i="53"/>
  <c r="F227" i="53"/>
  <c r="A157" i="32"/>
  <c r="B157" i="32"/>
  <c r="A167" i="50"/>
  <c r="I167" i="50"/>
  <c r="J167" i="50"/>
  <c r="M167" i="50"/>
  <c r="K167" i="50"/>
  <c r="G167" i="50"/>
  <c r="H167" i="50"/>
  <c r="L167" i="50"/>
  <c r="B167" i="50"/>
  <c r="N157" i="32"/>
  <c r="I157" i="32"/>
  <c r="J157" i="32"/>
  <c r="M157" i="32"/>
  <c r="G157" i="32"/>
  <c r="L157" i="32"/>
  <c r="K157" i="32"/>
  <c r="H157" i="32"/>
  <c r="D227" i="57"/>
  <c r="J227" i="57"/>
  <c r="I227" i="57"/>
  <c r="E227" i="57"/>
  <c r="H227" i="57"/>
  <c r="C227" i="57"/>
  <c r="F227" i="57"/>
  <c r="G227" i="57"/>
  <c r="AN226" i="55" a="1"/>
  <c r="AN226" i="55" s="1"/>
  <c r="B228" i="57" s="1"/>
  <c r="O228" i="57" s="1"/>
  <c r="AS212" i="67" a="1"/>
  <c r="AS212" i="67" s="1"/>
  <c r="B213" i="69"/>
  <c r="AM213" i="69" s="1"/>
  <c r="AN213" i="69" s="1"/>
  <c r="D211" i="69"/>
  <c r="E211" i="69" s="1"/>
  <c r="AE210" i="69"/>
  <c r="R210" i="69"/>
  <c r="S210" i="69" s="1"/>
  <c r="C212" i="69"/>
  <c r="AL157" i="11" a="1"/>
  <c r="AL157" i="11" s="1"/>
  <c r="E158" i="32" s="1"/>
  <c r="T158" i="32" s="1"/>
  <c r="AP167" i="59" a="1"/>
  <c r="AP167" i="59" s="1"/>
  <c r="E168" i="50" s="1"/>
  <c r="T168" i="50" s="1"/>
  <c r="AM42" i="11" a="1"/>
  <c r="AM42" i="11" s="1"/>
  <c r="AF224" i="57" l="1"/>
  <c r="AF226" i="53"/>
  <c r="AH164" i="50"/>
  <c r="AI164" i="50" s="1"/>
  <c r="AP164" i="50" s="1"/>
  <c r="P212" i="69"/>
  <c r="AP212" i="69"/>
  <c r="AK227" i="57"/>
  <c r="AJ223" i="57"/>
  <c r="O158" i="32"/>
  <c r="AK168" i="50"/>
  <c r="AL165" i="50"/>
  <c r="AG165" i="50"/>
  <c r="BC213" i="69"/>
  <c r="BF213" i="69"/>
  <c r="BE213" i="69"/>
  <c r="BD213" i="69"/>
  <c r="U157" i="32"/>
  <c r="AH228" i="57"/>
  <c r="AI228" i="57" s="1"/>
  <c r="K228" i="57"/>
  <c r="AO167" i="50"/>
  <c r="AQ168" i="50"/>
  <c r="N168" i="50"/>
  <c r="AX211" i="69"/>
  <c r="AW211" i="69"/>
  <c r="L213" i="69"/>
  <c r="M213" i="69" s="1"/>
  <c r="AZ213" i="69"/>
  <c r="AB209" i="69"/>
  <c r="AC209" i="69" s="1"/>
  <c r="AD209" i="69" s="1"/>
  <c r="F211" i="69"/>
  <c r="G211" i="69" s="1"/>
  <c r="H211" i="69" s="1"/>
  <c r="I211" i="69" s="1"/>
  <c r="J211" i="69" s="1"/>
  <c r="K211" i="69" s="1"/>
  <c r="U211" i="69"/>
  <c r="AH211" i="69"/>
  <c r="F158" i="32"/>
  <c r="AU158" i="32"/>
  <c r="AY168" i="50"/>
  <c r="F168" i="50"/>
  <c r="U168" i="50" s="1"/>
  <c r="AT156" i="32"/>
  <c r="Y210" i="69"/>
  <c r="AB210" i="69" s="1"/>
  <c r="AC210" i="69" s="1"/>
  <c r="AD210" i="69" s="1"/>
  <c r="AD156" i="32"/>
  <c r="AG156" i="32" s="1"/>
  <c r="AH156" i="32" s="1"/>
  <c r="AI156" i="32" s="1"/>
  <c r="AD166" i="50"/>
  <c r="X225" i="57"/>
  <c r="AB225" i="57" s="1"/>
  <c r="AG227" i="57"/>
  <c r="AA224" i="57"/>
  <c r="AC228" i="53"/>
  <c r="O228" i="53"/>
  <c r="Q212" i="69"/>
  <c r="Q226" i="57"/>
  <c r="AE226" i="57"/>
  <c r="R226" i="57"/>
  <c r="AD226" i="57"/>
  <c r="AQ226" i="57"/>
  <c r="AC226" i="57"/>
  <c r="P167" i="50"/>
  <c r="P157" i="32"/>
  <c r="N228" i="53"/>
  <c r="O168" i="50"/>
  <c r="AA226" i="53"/>
  <c r="AM157" i="32"/>
  <c r="AJ166" i="50"/>
  <c r="C166" i="50"/>
  <c r="S167" i="50"/>
  <c r="AJ156" i="32"/>
  <c r="W156" i="32"/>
  <c r="X156" i="32" s="1"/>
  <c r="C156" i="32"/>
  <c r="S157" i="32"/>
  <c r="W166" i="50"/>
  <c r="X165" i="50"/>
  <c r="V166" i="50"/>
  <c r="V156" i="32"/>
  <c r="AF211" i="69"/>
  <c r="P228" i="57"/>
  <c r="O213" i="69"/>
  <c r="AO212" i="69"/>
  <c r="AE227" i="53"/>
  <c r="AK158" i="32"/>
  <c r="AM167" i="50"/>
  <c r="AL155" i="32"/>
  <c r="R227" i="53"/>
  <c r="X227" i="53" s="1"/>
  <c r="AB227" i="53" s="1"/>
  <c r="AN154" i="32"/>
  <c r="AY211" i="69"/>
  <c r="L228" i="57"/>
  <c r="AT227" i="53"/>
  <c r="AG227" i="53"/>
  <c r="N228" i="57"/>
  <c r="I228" i="53"/>
  <c r="Q227" i="53"/>
  <c r="AD227" i="53"/>
  <c r="F228" i="53"/>
  <c r="K228" i="53"/>
  <c r="AH228" i="53" s="1"/>
  <c r="P228" i="53"/>
  <c r="D228" i="53"/>
  <c r="G228" i="53"/>
  <c r="C228" i="53"/>
  <c r="AK227" i="52" a="1"/>
  <c r="AK227" i="52" s="1"/>
  <c r="B229" i="53" s="1"/>
  <c r="H228" i="53"/>
  <c r="J228" i="53"/>
  <c r="L228" i="53"/>
  <c r="E228" i="53"/>
  <c r="A158" i="32"/>
  <c r="B158" i="32"/>
  <c r="K168" i="50"/>
  <c r="A168" i="50"/>
  <c r="G168" i="50"/>
  <c r="I168" i="50"/>
  <c r="H168" i="50"/>
  <c r="J168" i="50"/>
  <c r="M168" i="50"/>
  <c r="B168" i="50"/>
  <c r="L168" i="50"/>
  <c r="L158" i="32"/>
  <c r="G158" i="32"/>
  <c r="H158" i="32"/>
  <c r="K158" i="32"/>
  <c r="J158" i="32"/>
  <c r="M158" i="32"/>
  <c r="I158" i="32"/>
  <c r="N158" i="32"/>
  <c r="J228" i="57"/>
  <c r="I228" i="57"/>
  <c r="F228" i="57"/>
  <c r="E228" i="57"/>
  <c r="D228" i="57"/>
  <c r="C228" i="57"/>
  <c r="H228" i="57"/>
  <c r="G228" i="57"/>
  <c r="AN227" i="55" a="1"/>
  <c r="AN227" i="55" s="1"/>
  <c r="B229" i="57" s="1"/>
  <c r="O229" i="57" s="1"/>
  <c r="D212" i="69"/>
  <c r="E212" i="69" s="1"/>
  <c r="R211" i="69"/>
  <c r="S211" i="69" s="1"/>
  <c r="AE211" i="69"/>
  <c r="C213" i="69"/>
  <c r="AS213" i="67" a="1"/>
  <c r="AS213" i="67" s="1"/>
  <c r="B214" i="69"/>
  <c r="AM214" i="69" s="1"/>
  <c r="AN214" i="69" s="1"/>
  <c r="AL158" i="11" a="1"/>
  <c r="AL158" i="11" s="1"/>
  <c r="E159" i="32" s="1"/>
  <c r="T159" i="32" s="1"/>
  <c r="AP168" i="59" a="1"/>
  <c r="AP168" i="59" s="1"/>
  <c r="E169" i="50" s="1"/>
  <c r="T169" i="50" s="1"/>
  <c r="AM43" i="11" a="1"/>
  <c r="AM43" i="11" s="1"/>
  <c r="AF225" i="57" l="1"/>
  <c r="AF227" i="53"/>
  <c r="AH165" i="50"/>
  <c r="AI165" i="50" s="1"/>
  <c r="AP165" i="50" s="1"/>
  <c r="AK228" i="57"/>
  <c r="P213" i="69"/>
  <c r="AP213" i="69"/>
  <c r="AJ224" i="57"/>
  <c r="O159" i="32"/>
  <c r="AK169" i="50"/>
  <c r="AL166" i="50"/>
  <c r="AG166" i="50"/>
  <c r="BC214" i="69"/>
  <c r="BF214" i="69"/>
  <c r="BE214" i="69"/>
  <c r="BD214" i="69"/>
  <c r="U158" i="32"/>
  <c r="AH229" i="57"/>
  <c r="AI229" i="57" s="1"/>
  <c r="K229" i="57"/>
  <c r="AO168" i="50"/>
  <c r="AQ169" i="50"/>
  <c r="N169" i="50"/>
  <c r="AD157" i="32"/>
  <c r="AG157" i="32" s="1"/>
  <c r="AH157" i="32" s="1"/>
  <c r="AI157" i="32" s="1"/>
  <c r="AW212" i="69"/>
  <c r="AX212" i="69"/>
  <c r="L214" i="69"/>
  <c r="M214" i="69" s="1"/>
  <c r="AZ214" i="69"/>
  <c r="Y211" i="69"/>
  <c r="AB211" i="69" s="1"/>
  <c r="F212" i="69"/>
  <c r="G212" i="69" s="1"/>
  <c r="H212" i="69" s="1"/>
  <c r="I212" i="69" s="1"/>
  <c r="J212" i="69" s="1"/>
  <c r="K212" i="69" s="1"/>
  <c r="U212" i="69"/>
  <c r="AH212" i="69"/>
  <c r="F159" i="32"/>
  <c r="AU159" i="32"/>
  <c r="AY169" i="50"/>
  <c r="F169" i="50"/>
  <c r="U169" i="50" s="1"/>
  <c r="AT157" i="32"/>
  <c r="AG210" i="69"/>
  <c r="AD167" i="50"/>
  <c r="X226" i="57"/>
  <c r="AB226" i="57" s="1"/>
  <c r="AG228" i="57"/>
  <c r="AA225" i="57"/>
  <c r="AC229" i="53"/>
  <c r="O229" i="53"/>
  <c r="Q213" i="69"/>
  <c r="AE227" i="57"/>
  <c r="AD227" i="57"/>
  <c r="R227" i="57"/>
  <c r="Q227" i="57"/>
  <c r="AQ227" i="57"/>
  <c r="AC227" i="57"/>
  <c r="P168" i="50"/>
  <c r="P158" i="32"/>
  <c r="N229" i="53"/>
  <c r="O169" i="50"/>
  <c r="AA227" i="53"/>
  <c r="C167" i="50"/>
  <c r="Z167" i="50"/>
  <c r="C157" i="32"/>
  <c r="Z157" i="32"/>
  <c r="AM158" i="32"/>
  <c r="AJ167" i="50"/>
  <c r="S168" i="50"/>
  <c r="Z168" i="50" s="1"/>
  <c r="W157" i="32"/>
  <c r="X157" i="32" s="1"/>
  <c r="S158" i="32"/>
  <c r="Z158" i="32" s="1"/>
  <c r="AJ157" i="32"/>
  <c r="W167" i="50"/>
  <c r="X166" i="50"/>
  <c r="V167" i="50"/>
  <c r="V157" i="32"/>
  <c r="AF212" i="69"/>
  <c r="P229" i="57"/>
  <c r="O214" i="69"/>
  <c r="AO213" i="69"/>
  <c r="AE228" i="53"/>
  <c r="AK159" i="32"/>
  <c r="AM168" i="50"/>
  <c r="AL156" i="32"/>
  <c r="AN155" i="32"/>
  <c r="R228" i="53"/>
  <c r="X228" i="53" s="1"/>
  <c r="AB228" i="53" s="1"/>
  <c r="AY212" i="69"/>
  <c r="L229" i="57"/>
  <c r="AG228" i="53"/>
  <c r="AT228" i="53"/>
  <c r="N229" i="57"/>
  <c r="H229" i="53"/>
  <c r="Q228" i="53"/>
  <c r="AD228" i="53"/>
  <c r="AK228" i="52" a="1"/>
  <c r="AK228" i="52" s="1"/>
  <c r="B230" i="53" s="1"/>
  <c r="D229" i="53"/>
  <c r="F229" i="53"/>
  <c r="P229" i="53"/>
  <c r="G229" i="53"/>
  <c r="J229" i="53"/>
  <c r="C229" i="53"/>
  <c r="K229" i="53"/>
  <c r="AH229" i="53" s="1"/>
  <c r="L229" i="53"/>
  <c r="I229" i="53"/>
  <c r="E229" i="53"/>
  <c r="A159" i="32"/>
  <c r="B159" i="32"/>
  <c r="H169" i="50"/>
  <c r="B169" i="50"/>
  <c r="I169" i="50"/>
  <c r="L169" i="50"/>
  <c r="A169" i="50"/>
  <c r="J169" i="50"/>
  <c r="K169" i="50"/>
  <c r="M169" i="50"/>
  <c r="G169" i="50"/>
  <c r="J159" i="32"/>
  <c r="M159" i="32"/>
  <c r="N159" i="32"/>
  <c r="I159" i="32"/>
  <c r="K159" i="32"/>
  <c r="H159" i="32"/>
  <c r="G159" i="32"/>
  <c r="L159" i="32"/>
  <c r="F229" i="57"/>
  <c r="C229" i="57"/>
  <c r="H229" i="57"/>
  <c r="E229" i="57"/>
  <c r="G229" i="57"/>
  <c r="D229" i="57"/>
  <c r="J229" i="57"/>
  <c r="I229" i="57"/>
  <c r="AN228" i="55" a="1"/>
  <c r="AN228" i="55" s="1"/>
  <c r="B230" i="57" s="1"/>
  <c r="O230" i="57" s="1"/>
  <c r="AS214" i="67" a="1"/>
  <c r="AS214" i="67" s="1"/>
  <c r="B215" i="69"/>
  <c r="AM215" i="69" s="1"/>
  <c r="AN215" i="69" s="1"/>
  <c r="R212" i="69"/>
  <c r="S212" i="69" s="1"/>
  <c r="AE212" i="69"/>
  <c r="C214" i="69"/>
  <c r="D213" i="69"/>
  <c r="E213" i="69" s="1"/>
  <c r="AL159" i="11" a="1"/>
  <c r="AL159" i="11" s="1"/>
  <c r="E160" i="32" s="1"/>
  <c r="T160" i="32" s="1"/>
  <c r="AP169" i="59" a="1"/>
  <c r="AP169" i="59" s="1"/>
  <c r="E170" i="50" s="1"/>
  <c r="T170" i="50" s="1"/>
  <c r="AM44" i="11" a="1"/>
  <c r="AM44" i="11" s="1"/>
  <c r="AF228" i="53" l="1"/>
  <c r="AF226" i="57"/>
  <c r="AH166" i="50"/>
  <c r="AI166" i="50" s="1"/>
  <c r="AP166" i="50" s="1"/>
  <c r="AK229" i="57"/>
  <c r="P214" i="69"/>
  <c r="AP214" i="69"/>
  <c r="AJ225" i="57"/>
  <c r="O160" i="32"/>
  <c r="AK170" i="50"/>
  <c r="AL167" i="50"/>
  <c r="AG167" i="50"/>
  <c r="BC215" i="69"/>
  <c r="BF215" i="69"/>
  <c r="BD215" i="69"/>
  <c r="BE215" i="69"/>
  <c r="U159" i="32"/>
  <c r="AH230" i="57"/>
  <c r="AI230" i="57" s="1"/>
  <c r="K230" i="57"/>
  <c r="AQ170" i="50"/>
  <c r="N170" i="50"/>
  <c r="AO169" i="50"/>
  <c r="AX213" i="69"/>
  <c r="AW213" i="69"/>
  <c r="L215" i="69"/>
  <c r="M215" i="69" s="1"/>
  <c r="AZ215" i="69"/>
  <c r="AG211" i="69"/>
  <c r="F213" i="69"/>
  <c r="G213" i="69" s="1"/>
  <c r="H213" i="69" s="1"/>
  <c r="I213" i="69" s="1"/>
  <c r="J213" i="69" s="1"/>
  <c r="K213" i="69" s="1"/>
  <c r="U213" i="69"/>
  <c r="AH213" i="69"/>
  <c r="F160" i="32"/>
  <c r="AU160" i="32"/>
  <c r="AY170" i="50"/>
  <c r="F170" i="50"/>
  <c r="U170" i="50" s="1"/>
  <c r="AT158" i="32"/>
  <c r="Y212" i="69"/>
  <c r="AB212" i="69" s="1"/>
  <c r="AC212" i="69" s="1"/>
  <c r="AD212" i="69" s="1"/>
  <c r="AD158" i="32"/>
  <c r="AG158" i="32" s="1"/>
  <c r="AH158" i="32" s="1"/>
  <c r="AI158" i="32" s="1"/>
  <c r="AD168" i="50"/>
  <c r="X227" i="57"/>
  <c r="AG229" i="57"/>
  <c r="AA226" i="57"/>
  <c r="AE228" i="57"/>
  <c r="AC230" i="53"/>
  <c r="O230" i="53"/>
  <c r="Q214" i="69"/>
  <c r="Q228" i="57"/>
  <c r="AQ228" i="57"/>
  <c r="AD228" i="57"/>
  <c r="R228" i="57"/>
  <c r="AC228" i="57"/>
  <c r="P169" i="50"/>
  <c r="P159" i="32"/>
  <c r="N230" i="53"/>
  <c r="O170" i="50"/>
  <c r="AA228" i="53"/>
  <c r="AM159" i="32"/>
  <c r="AJ168" i="50"/>
  <c r="C168" i="50"/>
  <c r="S169" i="50"/>
  <c r="Z169" i="50" s="1"/>
  <c r="AJ158" i="32"/>
  <c r="W158" i="32"/>
  <c r="X158" i="32" s="1"/>
  <c r="C158" i="32"/>
  <c r="S159" i="32"/>
  <c r="Z159" i="32" s="1"/>
  <c r="W168" i="50"/>
  <c r="X167" i="50"/>
  <c r="V168" i="50"/>
  <c r="V158" i="32"/>
  <c r="AF213" i="69"/>
  <c r="P230" i="57"/>
  <c r="AC211" i="69"/>
  <c r="AD211" i="69" s="1"/>
  <c r="AO214" i="69"/>
  <c r="O215" i="69"/>
  <c r="AE229" i="53"/>
  <c r="AK160" i="32"/>
  <c r="AM169" i="50"/>
  <c r="AL157" i="32"/>
  <c r="AN156" i="32"/>
  <c r="R229" i="53"/>
  <c r="X229" i="53" s="1"/>
  <c r="AB229" i="53" s="1"/>
  <c r="AY213" i="69"/>
  <c r="L230" i="57"/>
  <c r="AT229" i="53"/>
  <c r="AG229" i="53"/>
  <c r="N230" i="57"/>
  <c r="AD229" i="53"/>
  <c r="Q229" i="53"/>
  <c r="C230" i="53"/>
  <c r="K230" i="53"/>
  <c r="AH230" i="53" s="1"/>
  <c r="L230" i="53"/>
  <c r="AK229" i="52" a="1"/>
  <c r="AK229" i="52" s="1"/>
  <c r="B231" i="53" s="1"/>
  <c r="G230" i="53"/>
  <c r="J230" i="53"/>
  <c r="E230" i="53"/>
  <c r="I230" i="53"/>
  <c r="F230" i="53"/>
  <c r="D230" i="53"/>
  <c r="H230" i="53"/>
  <c r="P230" i="53"/>
  <c r="A160" i="32"/>
  <c r="B160" i="32"/>
  <c r="G170" i="50"/>
  <c r="B170" i="50"/>
  <c r="A170" i="50"/>
  <c r="H170" i="50"/>
  <c r="J170" i="50"/>
  <c r="L170" i="50"/>
  <c r="I170" i="50"/>
  <c r="M170" i="50"/>
  <c r="K170" i="50"/>
  <c r="H160" i="32"/>
  <c r="K160" i="32"/>
  <c r="L160" i="32"/>
  <c r="G160" i="32"/>
  <c r="I160" i="32"/>
  <c r="N160" i="32"/>
  <c r="M160" i="32"/>
  <c r="J160" i="32"/>
  <c r="J230" i="57"/>
  <c r="E230" i="57"/>
  <c r="F230" i="57"/>
  <c r="G230" i="57"/>
  <c r="C230" i="57"/>
  <c r="H230" i="57"/>
  <c r="I230" i="57"/>
  <c r="D230" i="57"/>
  <c r="AN229" i="55" a="1"/>
  <c r="AN229" i="55" s="1"/>
  <c r="B231" i="57" s="1"/>
  <c r="O231" i="57" s="1"/>
  <c r="AS215" i="67" a="1"/>
  <c r="AS215" i="67" s="1"/>
  <c r="B216" i="69"/>
  <c r="AM216" i="69" s="1"/>
  <c r="AN216" i="69" s="1"/>
  <c r="AE213" i="69"/>
  <c r="R213" i="69"/>
  <c r="S213" i="69" s="1"/>
  <c r="D214" i="69"/>
  <c r="E214" i="69" s="1"/>
  <c r="C215" i="69"/>
  <c r="AL160" i="11" a="1"/>
  <c r="AL160" i="11" s="1"/>
  <c r="AP170" i="59" a="1"/>
  <c r="AP170" i="59" s="1"/>
  <c r="E171" i="50" s="1"/>
  <c r="T171" i="50" s="1"/>
  <c r="AM45" i="11" a="1"/>
  <c r="AM45" i="11" s="1"/>
  <c r="AA227" i="57" l="1"/>
  <c r="AB227" i="57"/>
  <c r="AF227" i="57" s="1"/>
  <c r="AF229" i="53"/>
  <c r="AH167" i="50"/>
  <c r="AI167" i="50" s="1"/>
  <c r="AP167" i="50" s="1"/>
  <c r="AK230" i="57"/>
  <c r="P215" i="69"/>
  <c r="AP215" i="69"/>
  <c r="AJ226" i="57"/>
  <c r="AK171" i="50"/>
  <c r="AL168" i="50"/>
  <c r="AG168" i="50"/>
  <c r="BC216" i="69"/>
  <c r="BE216" i="69"/>
  <c r="BF216" i="69"/>
  <c r="BD216" i="69"/>
  <c r="U160" i="32"/>
  <c r="K231" i="57"/>
  <c r="AH231" i="57"/>
  <c r="AI231" i="57" s="1"/>
  <c r="AQ171" i="50"/>
  <c r="N171" i="50"/>
  <c r="AO170" i="50"/>
  <c r="AX214" i="69"/>
  <c r="AW214" i="69"/>
  <c r="L216" i="69"/>
  <c r="M216" i="69" s="1"/>
  <c r="AZ216" i="69"/>
  <c r="Y213" i="69"/>
  <c r="AB213" i="69" s="1"/>
  <c r="AC213" i="69" s="1"/>
  <c r="AD213" i="69" s="1"/>
  <c r="F214" i="69"/>
  <c r="G214" i="69" s="1"/>
  <c r="H214" i="69" s="1"/>
  <c r="I214" i="69" s="1"/>
  <c r="J214" i="69" s="1"/>
  <c r="K214" i="69" s="1"/>
  <c r="U214" i="69"/>
  <c r="AH214" i="69"/>
  <c r="F171" i="50"/>
  <c r="U171" i="50" s="1"/>
  <c r="AY171" i="50"/>
  <c r="AT159" i="32"/>
  <c r="AG212" i="69"/>
  <c r="AD159" i="32"/>
  <c r="AG159" i="32" s="1"/>
  <c r="AH159" i="32" s="1"/>
  <c r="AI159" i="32" s="1"/>
  <c r="AD169" i="50"/>
  <c r="AG230" i="57"/>
  <c r="X228" i="57"/>
  <c r="AB228" i="57" s="1"/>
  <c r="AC231" i="53"/>
  <c r="O231" i="53"/>
  <c r="Q215" i="69"/>
  <c r="AD229" i="57"/>
  <c r="R229" i="57"/>
  <c r="Q229" i="57"/>
  <c r="AQ229" i="57"/>
  <c r="AC229" i="57"/>
  <c r="AE229" i="57"/>
  <c r="P170" i="50"/>
  <c r="P160" i="32"/>
  <c r="N231" i="53"/>
  <c r="O171" i="50"/>
  <c r="AA229" i="53"/>
  <c r="AM160" i="32"/>
  <c r="C169" i="50"/>
  <c r="AJ169" i="50"/>
  <c r="S170" i="50"/>
  <c r="Z170" i="50" s="1"/>
  <c r="C159" i="32"/>
  <c r="AJ159" i="32"/>
  <c r="W159" i="32"/>
  <c r="X159" i="32" s="1"/>
  <c r="S160" i="32"/>
  <c r="Z160" i="32" s="1"/>
  <c r="W169" i="50"/>
  <c r="X168" i="50"/>
  <c r="V169" i="50"/>
  <c r="V159" i="32"/>
  <c r="AF214" i="69"/>
  <c r="P231" i="57"/>
  <c r="O216" i="69"/>
  <c r="AO215" i="69"/>
  <c r="AE230" i="53"/>
  <c r="AM170" i="50"/>
  <c r="AL158" i="32"/>
  <c r="R230" i="53"/>
  <c r="X230" i="53" s="1"/>
  <c r="AB230" i="53" s="1"/>
  <c r="AN157" i="32"/>
  <c r="AY214" i="69"/>
  <c r="L231" i="57"/>
  <c r="AT230" i="53"/>
  <c r="AG230" i="53"/>
  <c r="N231" i="57"/>
  <c r="E231" i="53"/>
  <c r="AD230" i="53"/>
  <c r="Q230" i="53"/>
  <c r="D231" i="53"/>
  <c r="H231" i="53"/>
  <c r="C231" i="53"/>
  <c r="F231" i="53"/>
  <c r="AK230" i="52" a="1"/>
  <c r="AK230" i="52" s="1"/>
  <c r="B232" i="53" s="1"/>
  <c r="L231" i="53"/>
  <c r="G231" i="53"/>
  <c r="I231" i="53"/>
  <c r="K231" i="53"/>
  <c r="AH231" i="53" s="1"/>
  <c r="J231" i="53"/>
  <c r="P231" i="53"/>
  <c r="I171" i="50"/>
  <c r="H171" i="50"/>
  <c r="L171" i="50"/>
  <c r="M171" i="50"/>
  <c r="B171" i="50"/>
  <c r="G171" i="50"/>
  <c r="J171" i="50"/>
  <c r="K171" i="50"/>
  <c r="A171" i="50"/>
  <c r="J231" i="57"/>
  <c r="G231" i="57"/>
  <c r="D231" i="57"/>
  <c r="F231" i="57"/>
  <c r="H231" i="57"/>
  <c r="C231" i="57"/>
  <c r="E231" i="57"/>
  <c r="I231" i="57"/>
  <c r="E161" i="32"/>
  <c r="T161" i="32" s="1"/>
  <c r="AN230" i="55" a="1"/>
  <c r="AN230" i="55" s="1"/>
  <c r="B232" i="57" s="1"/>
  <c r="O232" i="57" s="1"/>
  <c r="AS216" i="67" a="1"/>
  <c r="AS216" i="67" s="1"/>
  <c r="B217" i="69"/>
  <c r="AM217" i="69" s="1"/>
  <c r="AN217" i="69" s="1"/>
  <c r="C216" i="69"/>
  <c r="D215" i="69"/>
  <c r="E215" i="69" s="1"/>
  <c r="AE214" i="69"/>
  <c r="R214" i="69"/>
  <c r="S214" i="69" s="1"/>
  <c r="AL161" i="11" a="1"/>
  <c r="AL161" i="11" s="1"/>
  <c r="E162" i="32" s="1"/>
  <c r="T162" i="32" s="1"/>
  <c r="AP171" i="59" a="1"/>
  <c r="AP171" i="59" s="1"/>
  <c r="E172" i="50" s="1"/>
  <c r="T172" i="50" s="1"/>
  <c r="AM46" i="11" a="1"/>
  <c r="AM46" i="11" s="1"/>
  <c r="AF228" i="57" l="1"/>
  <c r="AF230" i="53"/>
  <c r="AH168" i="50"/>
  <c r="AI168" i="50" s="1"/>
  <c r="AP168" i="50" s="1"/>
  <c r="P216" i="69"/>
  <c r="AP216" i="69"/>
  <c r="AK231" i="57"/>
  <c r="AJ227" i="57"/>
  <c r="AL169" i="50"/>
  <c r="O162" i="32"/>
  <c r="O161" i="32"/>
  <c r="AK172" i="50"/>
  <c r="AG169" i="50"/>
  <c r="BC217" i="69"/>
  <c r="BE217" i="69"/>
  <c r="BF217" i="69"/>
  <c r="BD217" i="69"/>
  <c r="AH232" i="57"/>
  <c r="AI232" i="57" s="1"/>
  <c r="K232" i="57"/>
  <c r="AQ172" i="50"/>
  <c r="N172" i="50"/>
  <c r="AO171" i="50"/>
  <c r="AW215" i="69"/>
  <c r="AX215" i="69"/>
  <c r="L217" i="69"/>
  <c r="M217" i="69" s="1"/>
  <c r="AZ217" i="69"/>
  <c r="Y214" i="69"/>
  <c r="AG214" i="69" s="1"/>
  <c r="AG213" i="69"/>
  <c r="F215" i="69"/>
  <c r="G215" i="69" s="1"/>
  <c r="H215" i="69" s="1"/>
  <c r="I215" i="69" s="1"/>
  <c r="J215" i="69" s="1"/>
  <c r="K215" i="69" s="1"/>
  <c r="U215" i="69"/>
  <c r="AH215" i="69"/>
  <c r="F162" i="32"/>
  <c r="AU162" i="32"/>
  <c r="F161" i="32"/>
  <c r="AU161" i="32"/>
  <c r="F172" i="50"/>
  <c r="U172" i="50" s="1"/>
  <c r="AY172" i="50"/>
  <c r="AT160" i="32"/>
  <c r="X229" i="57"/>
  <c r="AD160" i="32"/>
  <c r="AG160" i="32" s="1"/>
  <c r="AH160" i="32" s="1"/>
  <c r="AI160" i="32" s="1"/>
  <c r="AD170" i="50"/>
  <c r="AG231" i="57"/>
  <c r="AC232" i="53"/>
  <c r="O232" i="53"/>
  <c r="Q216" i="69"/>
  <c r="AA228" i="57"/>
  <c r="AE230" i="57"/>
  <c r="AQ230" i="57"/>
  <c r="AD230" i="57"/>
  <c r="R230" i="57"/>
  <c r="AC230" i="57"/>
  <c r="Q230" i="57"/>
  <c r="P171" i="50"/>
  <c r="N232" i="53"/>
  <c r="O172" i="50"/>
  <c r="AA230" i="53"/>
  <c r="C170" i="50"/>
  <c r="AJ170" i="50"/>
  <c r="S171" i="50"/>
  <c r="Z171" i="50" s="1"/>
  <c r="AJ160" i="32"/>
  <c r="W160" i="32"/>
  <c r="X160" i="32" s="1"/>
  <c r="C160" i="32"/>
  <c r="W170" i="50"/>
  <c r="X169" i="50"/>
  <c r="V170" i="50"/>
  <c r="V160" i="32"/>
  <c r="AF215" i="69"/>
  <c r="P232" i="57"/>
  <c r="AO216" i="69"/>
  <c r="O217" i="69"/>
  <c r="AE231" i="53"/>
  <c r="AK161" i="32"/>
  <c r="AK162" i="32"/>
  <c r="AM171" i="50"/>
  <c r="AL159" i="32"/>
  <c r="AN158" i="32"/>
  <c r="R231" i="53"/>
  <c r="X231" i="53" s="1"/>
  <c r="AB231" i="53" s="1"/>
  <c r="AY215" i="69"/>
  <c r="L232" i="57"/>
  <c r="AT231" i="53"/>
  <c r="AG231" i="53"/>
  <c r="N232" i="57"/>
  <c r="H232" i="53"/>
  <c r="AD231" i="53"/>
  <c r="Q231" i="53"/>
  <c r="F232" i="53"/>
  <c r="P232" i="53"/>
  <c r="L232" i="53"/>
  <c r="I232" i="53"/>
  <c r="D232" i="53"/>
  <c r="K232" i="53"/>
  <c r="AH232" i="53" s="1"/>
  <c r="E232" i="53"/>
  <c r="AK231" i="52" a="1"/>
  <c r="AK231" i="52" s="1"/>
  <c r="B233" i="53" s="1"/>
  <c r="J232" i="53"/>
  <c r="G232" i="53"/>
  <c r="C232" i="53"/>
  <c r="A162" i="32"/>
  <c r="B162" i="32"/>
  <c r="A161" i="32"/>
  <c r="B161" i="32"/>
  <c r="L172" i="50"/>
  <c r="G172" i="50"/>
  <c r="I172" i="50"/>
  <c r="H172" i="50"/>
  <c r="K172" i="50"/>
  <c r="J172" i="50"/>
  <c r="M172" i="50"/>
  <c r="A172" i="50"/>
  <c r="B172" i="50"/>
  <c r="N161" i="32"/>
  <c r="I161" i="32"/>
  <c r="J161" i="32"/>
  <c r="M161" i="32"/>
  <c r="G161" i="32"/>
  <c r="L161" i="32"/>
  <c r="H161" i="32"/>
  <c r="K161" i="32"/>
  <c r="L162" i="32"/>
  <c r="G162" i="32"/>
  <c r="H162" i="32"/>
  <c r="K162" i="32"/>
  <c r="M162" i="32"/>
  <c r="J162" i="32"/>
  <c r="I162" i="32"/>
  <c r="N162" i="32"/>
  <c r="I232" i="57"/>
  <c r="F232" i="57"/>
  <c r="D232" i="57"/>
  <c r="C232" i="57"/>
  <c r="J232" i="57"/>
  <c r="E232" i="57"/>
  <c r="G232" i="57"/>
  <c r="H232" i="57"/>
  <c r="AN231" i="55" a="1"/>
  <c r="AN231" i="55" s="1"/>
  <c r="B233" i="57" s="1"/>
  <c r="O233" i="57" s="1"/>
  <c r="AS217" i="67" a="1"/>
  <c r="AS217" i="67" s="1"/>
  <c r="B218" i="69"/>
  <c r="AM218" i="69" s="1"/>
  <c r="AN218" i="69" s="1"/>
  <c r="D216" i="69"/>
  <c r="E216" i="69" s="1"/>
  <c r="AE215" i="69"/>
  <c r="R215" i="69"/>
  <c r="S215" i="69" s="1"/>
  <c r="C217" i="69"/>
  <c r="AL162" i="11" a="1"/>
  <c r="AL162" i="11" s="1"/>
  <c r="E163" i="32" s="1"/>
  <c r="T163" i="32" s="1"/>
  <c r="AP172" i="59" a="1"/>
  <c r="AP172" i="59" s="1"/>
  <c r="E173" i="50" s="1"/>
  <c r="T173" i="50" s="1"/>
  <c r="AM47" i="11" a="1"/>
  <c r="AM47" i="11" s="1"/>
  <c r="AA229" i="57" l="1"/>
  <c r="AB229" i="57"/>
  <c r="AF229" i="57" s="1"/>
  <c r="AF231" i="53"/>
  <c r="AH169" i="50"/>
  <c r="AI169" i="50" s="1"/>
  <c r="AP169" i="50" s="1"/>
  <c r="P217" i="69"/>
  <c r="AP217" i="69"/>
  <c r="AK232" i="57"/>
  <c r="AJ228" i="57"/>
  <c r="AL170" i="50"/>
  <c r="O163" i="32"/>
  <c r="AK173" i="50"/>
  <c r="AG170" i="50"/>
  <c r="BC218" i="69"/>
  <c r="BE218" i="69"/>
  <c r="BF218" i="69"/>
  <c r="BD218" i="69"/>
  <c r="U161" i="32"/>
  <c r="U162" i="32"/>
  <c r="AH233" i="57"/>
  <c r="AI233" i="57" s="1"/>
  <c r="K233" i="57"/>
  <c r="AQ173" i="50"/>
  <c r="N173" i="50"/>
  <c r="AO172" i="50"/>
  <c r="AX216" i="69"/>
  <c r="AW216" i="69"/>
  <c r="L218" i="69"/>
  <c r="M218" i="69" s="1"/>
  <c r="AZ218" i="69"/>
  <c r="Y215" i="69"/>
  <c r="AG215" i="69" s="1"/>
  <c r="AB214" i="69"/>
  <c r="AC214" i="69" s="1"/>
  <c r="AD214" i="69" s="1"/>
  <c r="U216" i="69"/>
  <c r="AH216" i="69"/>
  <c r="F216" i="69"/>
  <c r="G216" i="69" s="1"/>
  <c r="H216" i="69" s="1"/>
  <c r="I216" i="69" s="1"/>
  <c r="J216" i="69" s="1"/>
  <c r="K216" i="69" s="1"/>
  <c r="F163" i="32"/>
  <c r="AU163" i="32"/>
  <c r="AY173" i="50"/>
  <c r="F173" i="50"/>
  <c r="U173" i="50" s="1"/>
  <c r="X230" i="57"/>
  <c r="AD171" i="50"/>
  <c r="AG232" i="57"/>
  <c r="AC233" i="53"/>
  <c r="O233" i="53"/>
  <c r="Q217" i="69"/>
  <c r="R231" i="57"/>
  <c r="AQ231" i="57"/>
  <c r="AC231" i="57"/>
  <c r="Q231" i="57"/>
  <c r="AD231" i="57"/>
  <c r="AE231" i="57"/>
  <c r="P172" i="50"/>
  <c r="P161" i="32"/>
  <c r="P162" i="32"/>
  <c r="N233" i="53"/>
  <c r="O173" i="50"/>
  <c r="AA231" i="53"/>
  <c r="AM161" i="32"/>
  <c r="AM162" i="32"/>
  <c r="AJ171" i="50"/>
  <c r="C171" i="50"/>
  <c r="S172" i="50"/>
  <c r="Z172" i="50" s="1"/>
  <c r="S161" i="32"/>
  <c r="Z161" i="32" s="1"/>
  <c r="S162" i="32"/>
  <c r="Z162" i="32" s="1"/>
  <c r="W171" i="50"/>
  <c r="X170" i="50"/>
  <c r="V171" i="50"/>
  <c r="AF216" i="69"/>
  <c r="P233" i="57"/>
  <c r="O218" i="69"/>
  <c r="AO217" i="69"/>
  <c r="AE232" i="53"/>
  <c r="AK163" i="32"/>
  <c r="AM172" i="50"/>
  <c r="AL160" i="32"/>
  <c r="AN159" i="32"/>
  <c r="R232" i="53"/>
  <c r="X232" i="53" s="1"/>
  <c r="AB232" i="53" s="1"/>
  <c r="AY216" i="69"/>
  <c r="L233" i="57"/>
  <c r="AT232" i="53"/>
  <c r="AG232" i="53"/>
  <c r="N233" i="57"/>
  <c r="Q232" i="53"/>
  <c r="AD232" i="53"/>
  <c r="AK232" i="52" a="1"/>
  <c r="AK232" i="52" s="1"/>
  <c r="B234" i="53" s="1"/>
  <c r="E233" i="53"/>
  <c r="J233" i="53"/>
  <c r="H233" i="53"/>
  <c r="L233" i="53"/>
  <c r="F233" i="53"/>
  <c r="D233" i="53"/>
  <c r="K233" i="53"/>
  <c r="AH233" i="53" s="1"/>
  <c r="C233" i="53"/>
  <c r="I233" i="53"/>
  <c r="G233" i="53"/>
  <c r="P233" i="53"/>
  <c r="A163" i="32"/>
  <c r="B163" i="32"/>
  <c r="M173" i="50"/>
  <c r="J173" i="50"/>
  <c r="K173" i="50"/>
  <c r="B173" i="50"/>
  <c r="L173" i="50"/>
  <c r="H173" i="50"/>
  <c r="A173" i="50"/>
  <c r="G173" i="50"/>
  <c r="I173" i="50"/>
  <c r="J163" i="32"/>
  <c r="M163" i="32"/>
  <c r="N163" i="32"/>
  <c r="I163" i="32"/>
  <c r="H163" i="32"/>
  <c r="K163" i="32"/>
  <c r="G163" i="32"/>
  <c r="L163" i="32"/>
  <c r="J233" i="57"/>
  <c r="H233" i="57"/>
  <c r="F233" i="57"/>
  <c r="D233" i="57"/>
  <c r="C233" i="57"/>
  <c r="I233" i="57"/>
  <c r="E233" i="57"/>
  <c r="G233" i="57"/>
  <c r="AN232" i="55" a="1"/>
  <c r="AN232" i="55" s="1"/>
  <c r="B234" i="57" s="1"/>
  <c r="O234" i="57" s="1"/>
  <c r="R216" i="69"/>
  <c r="S216" i="69" s="1"/>
  <c r="AE216" i="69"/>
  <c r="C218" i="69"/>
  <c r="D217" i="69"/>
  <c r="E217" i="69" s="1"/>
  <c r="AS218" i="67" a="1"/>
  <c r="AS218" i="67" s="1"/>
  <c r="B219" i="69"/>
  <c r="AM219" i="69" s="1"/>
  <c r="AN219" i="69" s="1"/>
  <c r="AL163" i="11" a="1"/>
  <c r="AL163" i="11" s="1"/>
  <c r="E164" i="32" s="1"/>
  <c r="T164" i="32" s="1"/>
  <c r="AP173" i="59" a="1"/>
  <c r="AP173" i="59" s="1"/>
  <c r="E174" i="50" s="1"/>
  <c r="T174" i="50" s="1"/>
  <c r="AM48" i="11" a="1"/>
  <c r="AM48" i="11" s="1"/>
  <c r="AF232" i="53" l="1"/>
  <c r="AA230" i="57"/>
  <c r="AB230" i="57"/>
  <c r="AF230" i="57" s="1"/>
  <c r="AH170" i="50"/>
  <c r="AI170" i="50" s="1"/>
  <c r="AP170" i="50" s="1"/>
  <c r="AK233" i="57"/>
  <c r="P218" i="69"/>
  <c r="AP218" i="69"/>
  <c r="AJ229" i="57"/>
  <c r="AL171" i="50"/>
  <c r="O164" i="32"/>
  <c r="AK174" i="50"/>
  <c r="AG171" i="50"/>
  <c r="BC219" i="69"/>
  <c r="BE219" i="69"/>
  <c r="BF219" i="69"/>
  <c r="BD219" i="69"/>
  <c r="U163" i="32"/>
  <c r="AH234" i="57"/>
  <c r="AI234" i="57" s="1"/>
  <c r="K234" i="57"/>
  <c r="N174" i="50"/>
  <c r="AQ174" i="50"/>
  <c r="AO173" i="50"/>
  <c r="AX217" i="69"/>
  <c r="AW217" i="69"/>
  <c r="L219" i="69"/>
  <c r="M219" i="69" s="1"/>
  <c r="AZ219" i="69"/>
  <c r="AB215" i="69"/>
  <c r="AC215" i="69" s="1"/>
  <c r="AD215" i="69" s="1"/>
  <c r="Y216" i="69"/>
  <c r="AB216" i="69" s="1"/>
  <c r="U217" i="69"/>
  <c r="AH217" i="69"/>
  <c r="F217" i="69"/>
  <c r="G217" i="69" s="1"/>
  <c r="H217" i="69" s="1"/>
  <c r="I217" i="69" s="1"/>
  <c r="J217" i="69" s="1"/>
  <c r="K217" i="69" s="1"/>
  <c r="F164" i="32"/>
  <c r="AU164" i="32"/>
  <c r="AY174" i="50"/>
  <c r="F174" i="50"/>
  <c r="U174" i="50" s="1"/>
  <c r="AT161" i="32"/>
  <c r="AT162" i="32"/>
  <c r="AD161" i="32"/>
  <c r="AG161" i="32" s="1"/>
  <c r="AH161" i="32" s="1"/>
  <c r="AI161" i="32" s="1"/>
  <c r="AD162" i="32"/>
  <c r="AG162" i="32" s="1"/>
  <c r="AH162" i="32" s="1"/>
  <c r="AI162" i="32" s="1"/>
  <c r="AD172" i="50"/>
  <c r="X231" i="57"/>
  <c r="AB231" i="57" s="1"/>
  <c r="AG233" i="57"/>
  <c r="AC234" i="53"/>
  <c r="O234" i="53"/>
  <c r="Q218" i="69"/>
  <c r="AC232" i="57"/>
  <c r="AQ232" i="57"/>
  <c r="AD232" i="57"/>
  <c r="R232" i="57"/>
  <c r="AE232" i="57"/>
  <c r="Q232" i="57"/>
  <c r="P173" i="50"/>
  <c r="P163" i="32"/>
  <c r="N234" i="53"/>
  <c r="O174" i="50"/>
  <c r="AA232" i="53"/>
  <c r="AM163" i="32"/>
  <c r="AJ172" i="50"/>
  <c r="C172" i="50"/>
  <c r="S173" i="50"/>
  <c r="Z173" i="50" s="1"/>
  <c r="C162" i="32"/>
  <c r="AJ162" i="32"/>
  <c r="W162" i="32"/>
  <c r="X162" i="32" s="1"/>
  <c r="W161" i="32"/>
  <c r="X161" i="32" s="1"/>
  <c r="C161" i="32"/>
  <c r="AJ161" i="32"/>
  <c r="S163" i="32"/>
  <c r="Z163" i="32" s="1"/>
  <c r="W172" i="50"/>
  <c r="X171" i="50"/>
  <c r="V172" i="50"/>
  <c r="V161" i="32"/>
  <c r="V162" i="32"/>
  <c r="AF217" i="69"/>
  <c r="P234" i="57"/>
  <c r="O219" i="69"/>
  <c r="AO218" i="69"/>
  <c r="AE233" i="53"/>
  <c r="AK164" i="32"/>
  <c r="AM173" i="50"/>
  <c r="AN160" i="32"/>
  <c r="R233" i="53"/>
  <c r="X233" i="53" s="1"/>
  <c r="AB233" i="53" s="1"/>
  <c r="AY217" i="69"/>
  <c r="L234" i="57"/>
  <c r="AG233" i="53"/>
  <c r="Q233" i="53"/>
  <c r="AT233" i="53"/>
  <c r="AD233" i="53"/>
  <c r="N234" i="57"/>
  <c r="J234" i="53"/>
  <c r="I234" i="53"/>
  <c r="H234" i="53"/>
  <c r="P234" i="53"/>
  <c r="E234" i="53"/>
  <c r="F234" i="53"/>
  <c r="AK233" i="52" a="1"/>
  <c r="AK233" i="52" s="1"/>
  <c r="B235" i="53" s="1"/>
  <c r="K234" i="53"/>
  <c r="AH234" i="53" s="1"/>
  <c r="D234" i="53"/>
  <c r="L234" i="53"/>
  <c r="G234" i="53"/>
  <c r="C234" i="53"/>
  <c r="A164" i="32"/>
  <c r="B164" i="32"/>
  <c r="M174" i="50"/>
  <c r="A174" i="50"/>
  <c r="K174" i="50"/>
  <c r="G174" i="50"/>
  <c r="I174" i="50"/>
  <c r="L174" i="50"/>
  <c r="H174" i="50"/>
  <c r="B174" i="50"/>
  <c r="J174" i="50"/>
  <c r="H164" i="32"/>
  <c r="K164" i="32"/>
  <c r="L164" i="32"/>
  <c r="G164" i="32"/>
  <c r="I164" i="32"/>
  <c r="N164" i="32"/>
  <c r="J164" i="32"/>
  <c r="M164" i="32"/>
  <c r="E234" i="57"/>
  <c r="J234" i="57"/>
  <c r="H234" i="57"/>
  <c r="G234" i="57"/>
  <c r="C234" i="57"/>
  <c r="F234" i="57"/>
  <c r="D234" i="57"/>
  <c r="I234" i="57"/>
  <c r="AN233" i="55" a="1"/>
  <c r="AN233" i="55" s="1"/>
  <c r="B235" i="57" s="1"/>
  <c r="O235" i="57" s="1"/>
  <c r="R217" i="69"/>
  <c r="S217" i="69" s="1"/>
  <c r="AE217" i="69"/>
  <c r="D218" i="69"/>
  <c r="E218" i="69" s="1"/>
  <c r="AS219" i="67" a="1"/>
  <c r="AS219" i="67" s="1"/>
  <c r="B220" i="69"/>
  <c r="AM220" i="69" s="1"/>
  <c r="AN220" i="69" s="1"/>
  <c r="C219" i="69"/>
  <c r="AL164" i="11" a="1"/>
  <c r="AL164" i="11" s="1"/>
  <c r="E165" i="32" s="1"/>
  <c r="T165" i="32" s="1"/>
  <c r="AP174" i="59" a="1"/>
  <c r="AP174" i="59" s="1"/>
  <c r="E175" i="50" s="1"/>
  <c r="T175" i="50" s="1"/>
  <c r="AM49" i="11" a="1"/>
  <c r="AM49" i="11" s="1"/>
  <c r="AF231" i="57" l="1"/>
  <c r="AF233" i="53"/>
  <c r="AH171" i="50"/>
  <c r="AI171" i="50" s="1"/>
  <c r="AP171" i="50" s="1"/>
  <c r="AK234" i="57"/>
  <c r="P219" i="69"/>
  <c r="AP219" i="69"/>
  <c r="AJ230" i="57"/>
  <c r="O165" i="32"/>
  <c r="AK175" i="50"/>
  <c r="AL172" i="50"/>
  <c r="AG172" i="50"/>
  <c r="BC220" i="69"/>
  <c r="BE220" i="69"/>
  <c r="BF220" i="69"/>
  <c r="BD220" i="69"/>
  <c r="U164" i="32"/>
  <c r="AH235" i="57"/>
  <c r="AI235" i="57" s="1"/>
  <c r="K235" i="57"/>
  <c r="N175" i="50"/>
  <c r="AQ175" i="50"/>
  <c r="AO174" i="50"/>
  <c r="AX218" i="69"/>
  <c r="AW218" i="69"/>
  <c r="L220" i="69"/>
  <c r="M220" i="69" s="1"/>
  <c r="AZ220" i="69"/>
  <c r="AG216" i="69"/>
  <c r="Y217" i="69"/>
  <c r="AB217" i="69" s="1"/>
  <c r="F218" i="69"/>
  <c r="G218" i="69" s="1"/>
  <c r="H218" i="69" s="1"/>
  <c r="I218" i="69" s="1"/>
  <c r="J218" i="69" s="1"/>
  <c r="K218" i="69" s="1"/>
  <c r="U218" i="69"/>
  <c r="AH218" i="69"/>
  <c r="F165" i="32"/>
  <c r="AU165" i="32"/>
  <c r="AY175" i="50"/>
  <c r="F175" i="50"/>
  <c r="U175" i="50" s="1"/>
  <c r="AT163" i="32"/>
  <c r="AC233" i="57"/>
  <c r="AD163" i="32"/>
  <c r="AG163" i="32" s="1"/>
  <c r="AH163" i="32" s="1"/>
  <c r="AI163" i="32" s="1"/>
  <c r="AD173" i="50"/>
  <c r="AG234" i="57"/>
  <c r="X232" i="57"/>
  <c r="AB232" i="57" s="1"/>
  <c r="Q233" i="57"/>
  <c r="AD233" i="57"/>
  <c r="R233" i="57"/>
  <c r="AA231" i="57"/>
  <c r="AC235" i="53"/>
  <c r="O235" i="53"/>
  <c r="Q219" i="69"/>
  <c r="AQ233" i="57"/>
  <c r="AE233" i="57"/>
  <c r="P174" i="50"/>
  <c r="P164" i="32"/>
  <c r="N235" i="53"/>
  <c r="O175" i="50"/>
  <c r="AA233" i="53"/>
  <c r="AM164" i="32"/>
  <c r="AJ173" i="50"/>
  <c r="C173" i="50"/>
  <c r="S174" i="50"/>
  <c r="Z174" i="50" s="1"/>
  <c r="C163" i="32"/>
  <c r="AJ163" i="32"/>
  <c r="W163" i="32"/>
  <c r="X163" i="32" s="1"/>
  <c r="S164" i="32"/>
  <c r="W173" i="50"/>
  <c r="X172" i="50"/>
  <c r="V173" i="50"/>
  <c r="V163" i="32"/>
  <c r="AF218" i="69"/>
  <c r="P235" i="57"/>
  <c r="AC216" i="69"/>
  <c r="AD216" i="69" s="1"/>
  <c r="AO219" i="69"/>
  <c r="O220" i="69"/>
  <c r="AE234" i="53"/>
  <c r="AK165" i="32"/>
  <c r="AM174" i="50"/>
  <c r="AL161" i="32"/>
  <c r="AL162" i="32"/>
  <c r="R234" i="53"/>
  <c r="X234" i="53" s="1"/>
  <c r="AB234" i="53" s="1"/>
  <c r="AY218" i="69"/>
  <c r="L235" i="57"/>
  <c r="AT234" i="53"/>
  <c r="AG234" i="53"/>
  <c r="N235" i="57"/>
  <c r="AD234" i="53"/>
  <c r="Q234" i="53"/>
  <c r="L235" i="53"/>
  <c r="C235" i="53"/>
  <c r="D235" i="53"/>
  <c r="I235" i="53"/>
  <c r="AK234" i="52" a="1"/>
  <c r="AK234" i="52" s="1"/>
  <c r="B236" i="53" s="1"/>
  <c r="H235" i="53"/>
  <c r="G235" i="53"/>
  <c r="K235" i="53"/>
  <c r="AH235" i="53" s="1"/>
  <c r="F235" i="53"/>
  <c r="P235" i="53"/>
  <c r="J235" i="53"/>
  <c r="E235" i="53"/>
  <c r="A165" i="32"/>
  <c r="B165" i="32"/>
  <c r="L175" i="50"/>
  <c r="A175" i="50"/>
  <c r="K175" i="50"/>
  <c r="H175" i="50"/>
  <c r="M175" i="50"/>
  <c r="I175" i="50"/>
  <c r="J175" i="50"/>
  <c r="B175" i="50"/>
  <c r="G175" i="50"/>
  <c r="K165" i="32"/>
  <c r="N165" i="32"/>
  <c r="G165" i="32"/>
  <c r="J165" i="32"/>
  <c r="H165" i="32"/>
  <c r="I165" i="32"/>
  <c r="L165" i="32"/>
  <c r="M165" i="32"/>
  <c r="J235" i="57"/>
  <c r="D235" i="57"/>
  <c r="F235" i="57"/>
  <c r="I235" i="57"/>
  <c r="E235" i="57"/>
  <c r="C235" i="57"/>
  <c r="G235" i="57"/>
  <c r="H235" i="57"/>
  <c r="AN234" i="55" a="1"/>
  <c r="AN234" i="55" s="1"/>
  <c r="B236" i="57" s="1"/>
  <c r="O236" i="57" s="1"/>
  <c r="AS220" i="67" a="1"/>
  <c r="AS220" i="67" s="1"/>
  <c r="B221" i="69"/>
  <c r="AM221" i="69" s="1"/>
  <c r="AN221" i="69" s="1"/>
  <c r="AE218" i="69"/>
  <c r="R218" i="69"/>
  <c r="S218" i="69" s="1"/>
  <c r="C220" i="69"/>
  <c r="D219" i="69"/>
  <c r="E219" i="69" s="1"/>
  <c r="AL165" i="11" a="1"/>
  <c r="AL165" i="11" s="1"/>
  <c r="E166" i="32" s="1"/>
  <c r="T166" i="32" s="1"/>
  <c r="AP175" i="59" a="1"/>
  <c r="AP175" i="59" s="1"/>
  <c r="E176" i="50" s="1"/>
  <c r="T176" i="50" s="1"/>
  <c r="AM50" i="11" a="1"/>
  <c r="AM50" i="11" s="1"/>
  <c r="AF232" i="57" l="1"/>
  <c r="AF234" i="53"/>
  <c r="AH172" i="50"/>
  <c r="AI172" i="50" s="1"/>
  <c r="AP172" i="50" s="1"/>
  <c r="AK235" i="57"/>
  <c r="P220" i="69"/>
  <c r="AP220" i="69"/>
  <c r="AJ231" i="57"/>
  <c r="AL173" i="50"/>
  <c r="O166" i="32"/>
  <c r="AK176" i="50"/>
  <c r="AG173" i="50"/>
  <c r="BC221" i="69"/>
  <c r="BF221" i="69"/>
  <c r="BE221" i="69"/>
  <c r="BD221" i="69"/>
  <c r="U165" i="32"/>
  <c r="AH236" i="57"/>
  <c r="AI236" i="57" s="1"/>
  <c r="K236" i="57"/>
  <c r="AQ176" i="50"/>
  <c r="N176" i="50"/>
  <c r="AO175" i="50"/>
  <c r="AD164" i="32"/>
  <c r="AG164" i="32" s="1"/>
  <c r="AH164" i="32" s="1"/>
  <c r="AI164" i="32" s="1"/>
  <c r="AX219" i="69"/>
  <c r="AW219" i="69"/>
  <c r="L221" i="69"/>
  <c r="M221" i="69" s="1"/>
  <c r="AZ221" i="69"/>
  <c r="AG217" i="69"/>
  <c r="Y218" i="69"/>
  <c r="AB218" i="69" s="1"/>
  <c r="F219" i="69"/>
  <c r="G219" i="69" s="1"/>
  <c r="H219" i="69" s="1"/>
  <c r="I219" i="69" s="1"/>
  <c r="J219" i="69" s="1"/>
  <c r="K219" i="69" s="1"/>
  <c r="U219" i="69"/>
  <c r="AH219" i="69"/>
  <c r="F166" i="32"/>
  <c r="AU166" i="32"/>
  <c r="AY176" i="50"/>
  <c r="F176" i="50"/>
  <c r="U176" i="50" s="1"/>
  <c r="AT164" i="32"/>
  <c r="AE234" i="57"/>
  <c r="AD174" i="50"/>
  <c r="AG235" i="57"/>
  <c r="X233" i="57"/>
  <c r="AB233" i="57" s="1"/>
  <c r="Q234" i="57"/>
  <c r="AC236" i="53"/>
  <c r="O236" i="53"/>
  <c r="Q220" i="69"/>
  <c r="AA232" i="57"/>
  <c r="AD234" i="57"/>
  <c r="R234" i="57"/>
  <c r="AQ234" i="57"/>
  <c r="AC234" i="57"/>
  <c r="P175" i="50"/>
  <c r="P165" i="32"/>
  <c r="N236" i="53"/>
  <c r="O176" i="50"/>
  <c r="AA234" i="53"/>
  <c r="C164" i="32"/>
  <c r="Z164" i="32"/>
  <c r="AM165" i="32"/>
  <c r="C174" i="50"/>
  <c r="AJ174" i="50"/>
  <c r="S175" i="50"/>
  <c r="Z175" i="50" s="1"/>
  <c r="W164" i="32"/>
  <c r="X164" i="32" s="1"/>
  <c r="S165" i="32"/>
  <c r="Z165" i="32" s="1"/>
  <c r="AJ164" i="32"/>
  <c r="W174" i="50"/>
  <c r="X173" i="50"/>
  <c r="V174" i="50"/>
  <c r="V164" i="32"/>
  <c r="AF219" i="69"/>
  <c r="P236" i="57"/>
  <c r="AC217" i="69"/>
  <c r="AD217" i="69" s="1"/>
  <c r="AO220" i="69"/>
  <c r="O221" i="69"/>
  <c r="AE235" i="53"/>
  <c r="AK166" i="32"/>
  <c r="AM175" i="50"/>
  <c r="AL163" i="32"/>
  <c r="AN161" i="32"/>
  <c r="AN162" i="32"/>
  <c r="R235" i="53"/>
  <c r="X235" i="53" s="1"/>
  <c r="AB235" i="53" s="1"/>
  <c r="AY219" i="69"/>
  <c r="L236" i="57"/>
  <c r="AG235" i="53"/>
  <c r="AT235" i="53"/>
  <c r="Q235" i="53"/>
  <c r="AD235" i="53"/>
  <c r="N236" i="57"/>
  <c r="I236" i="53"/>
  <c r="C236" i="53"/>
  <c r="H236" i="53"/>
  <c r="E236" i="53"/>
  <c r="D236" i="53"/>
  <c r="K236" i="53"/>
  <c r="AH236" i="53" s="1"/>
  <c r="P236" i="53"/>
  <c r="AK235" i="52" a="1"/>
  <c r="AK235" i="52" s="1"/>
  <c r="B237" i="53" s="1"/>
  <c r="F236" i="53"/>
  <c r="G236" i="53"/>
  <c r="J236" i="53"/>
  <c r="L236" i="53"/>
  <c r="A166" i="32"/>
  <c r="B166" i="32"/>
  <c r="G176" i="50"/>
  <c r="A176" i="50"/>
  <c r="I176" i="50"/>
  <c r="H176" i="50"/>
  <c r="J176" i="50"/>
  <c r="K176" i="50"/>
  <c r="M176" i="50"/>
  <c r="B176" i="50"/>
  <c r="L176" i="50"/>
  <c r="I166" i="32"/>
  <c r="L166" i="32"/>
  <c r="M166" i="32"/>
  <c r="H166" i="32"/>
  <c r="J166" i="32"/>
  <c r="K166" i="32"/>
  <c r="N166" i="32"/>
  <c r="G166" i="32"/>
  <c r="J236" i="57"/>
  <c r="I236" i="57"/>
  <c r="F236" i="57"/>
  <c r="E236" i="57"/>
  <c r="D236" i="57"/>
  <c r="H236" i="57"/>
  <c r="G236" i="57"/>
  <c r="C236" i="57"/>
  <c r="AN235" i="55" a="1"/>
  <c r="AN235" i="55" s="1"/>
  <c r="B237" i="57" s="1"/>
  <c r="O237" i="57" s="1"/>
  <c r="AS221" i="67" a="1"/>
  <c r="AS221" i="67" s="1"/>
  <c r="B222" i="69"/>
  <c r="AM222" i="69" s="1"/>
  <c r="AN222" i="69" s="1"/>
  <c r="C221" i="69"/>
  <c r="R219" i="69"/>
  <c r="S219" i="69" s="1"/>
  <c r="AE219" i="69"/>
  <c r="D220" i="69"/>
  <c r="E220" i="69" s="1"/>
  <c r="AL166" i="11" a="1"/>
  <c r="AL166" i="11" s="1"/>
  <c r="E167" i="32" s="1"/>
  <c r="T167" i="32" s="1"/>
  <c r="AP176" i="59" a="1"/>
  <c r="AP176" i="59" s="1"/>
  <c r="E177" i="50" s="1"/>
  <c r="T177" i="50" s="1"/>
  <c r="AM51" i="11" a="1"/>
  <c r="AM51" i="11" s="1"/>
  <c r="AF233" i="57" l="1"/>
  <c r="AF235" i="53"/>
  <c r="AH173" i="50"/>
  <c r="AI173" i="50" s="1"/>
  <c r="AP173" i="50" s="1"/>
  <c r="AK236" i="57"/>
  <c r="P221" i="69"/>
  <c r="AP221" i="69"/>
  <c r="AJ232" i="57"/>
  <c r="O167" i="32"/>
  <c r="AK177" i="50"/>
  <c r="AL174" i="50"/>
  <c r="AG174" i="50"/>
  <c r="BC222" i="69"/>
  <c r="BF222" i="69"/>
  <c r="BE222" i="69"/>
  <c r="BD222" i="69"/>
  <c r="U166" i="32"/>
  <c r="AH237" i="57"/>
  <c r="AI237" i="57" s="1"/>
  <c r="K237" i="57"/>
  <c r="AQ177" i="50"/>
  <c r="N177" i="50"/>
  <c r="AO176" i="50"/>
  <c r="AW220" i="69"/>
  <c r="AX220" i="69"/>
  <c r="L222" i="69"/>
  <c r="M222" i="69" s="1"/>
  <c r="AZ222" i="69"/>
  <c r="Y219" i="69"/>
  <c r="AG219" i="69" s="1"/>
  <c r="AG218" i="69"/>
  <c r="F220" i="69"/>
  <c r="G220" i="69" s="1"/>
  <c r="H220" i="69" s="1"/>
  <c r="I220" i="69" s="1"/>
  <c r="J220" i="69" s="1"/>
  <c r="K220" i="69" s="1"/>
  <c r="U220" i="69"/>
  <c r="AH220" i="69"/>
  <c r="F167" i="32"/>
  <c r="AU167" i="32"/>
  <c r="AY177" i="50"/>
  <c r="F177" i="50"/>
  <c r="U177" i="50" s="1"/>
  <c r="AT165" i="32"/>
  <c r="AD165" i="32"/>
  <c r="AG165" i="32" s="1"/>
  <c r="AH165" i="32" s="1"/>
  <c r="AI165" i="32" s="1"/>
  <c r="AD175" i="50"/>
  <c r="AG236" i="57"/>
  <c r="X234" i="57"/>
  <c r="AA233" i="57"/>
  <c r="AD235" i="57"/>
  <c r="AQ235" i="57"/>
  <c r="AC235" i="57"/>
  <c r="Q235" i="57"/>
  <c r="R235" i="57"/>
  <c r="AC237" i="53"/>
  <c r="O237" i="53"/>
  <c r="Q221" i="69"/>
  <c r="AE235" i="57"/>
  <c r="P176" i="50"/>
  <c r="P166" i="32"/>
  <c r="N237" i="53"/>
  <c r="O177" i="50"/>
  <c r="AA235" i="53"/>
  <c r="AM166" i="32"/>
  <c r="AJ175" i="50"/>
  <c r="C175" i="50"/>
  <c r="S176" i="50"/>
  <c r="Z176" i="50" s="1"/>
  <c r="C165" i="32"/>
  <c r="W165" i="32"/>
  <c r="X165" i="32" s="1"/>
  <c r="AJ165" i="32"/>
  <c r="S166" i="32"/>
  <c r="Z166" i="32" s="1"/>
  <c r="W175" i="50"/>
  <c r="X174" i="50"/>
  <c r="V175" i="50"/>
  <c r="V165" i="32"/>
  <c r="AF220" i="69"/>
  <c r="P237" i="57"/>
  <c r="AC218" i="69"/>
  <c r="AD218" i="69" s="1"/>
  <c r="AO221" i="69"/>
  <c r="O222" i="69"/>
  <c r="AE236" i="53"/>
  <c r="AK167" i="32"/>
  <c r="AM176" i="50"/>
  <c r="AL164" i="32"/>
  <c r="AN163" i="32"/>
  <c r="R236" i="53"/>
  <c r="X236" i="53" s="1"/>
  <c r="AB236" i="53" s="1"/>
  <c r="AY220" i="69"/>
  <c r="L237" i="57"/>
  <c r="AT236" i="53"/>
  <c r="AG236" i="53"/>
  <c r="N237" i="57"/>
  <c r="Q236" i="53"/>
  <c r="AD236" i="53"/>
  <c r="J237" i="53"/>
  <c r="C237" i="53"/>
  <c r="K237" i="53"/>
  <c r="AH237" i="53" s="1"/>
  <c r="I237" i="53"/>
  <c r="F237" i="53"/>
  <c r="H237" i="53"/>
  <c r="AK236" i="52" a="1"/>
  <c r="AK236" i="52" s="1"/>
  <c r="B238" i="53" s="1"/>
  <c r="P237" i="53"/>
  <c r="D237" i="53"/>
  <c r="E237" i="53"/>
  <c r="L237" i="53"/>
  <c r="G237" i="53"/>
  <c r="A167" i="32"/>
  <c r="B167" i="32"/>
  <c r="J177" i="50"/>
  <c r="L177" i="50"/>
  <c r="B177" i="50"/>
  <c r="M177" i="50"/>
  <c r="A177" i="50"/>
  <c r="I177" i="50"/>
  <c r="K177" i="50"/>
  <c r="H177" i="50"/>
  <c r="G177" i="50"/>
  <c r="G167" i="32"/>
  <c r="J167" i="32"/>
  <c r="K167" i="32"/>
  <c r="N167" i="32"/>
  <c r="H167" i="32"/>
  <c r="I167" i="32"/>
  <c r="L167" i="32"/>
  <c r="M167" i="32"/>
  <c r="H237" i="57"/>
  <c r="C237" i="57"/>
  <c r="F237" i="57"/>
  <c r="I237" i="57"/>
  <c r="E237" i="57"/>
  <c r="D237" i="57"/>
  <c r="G237" i="57"/>
  <c r="J237" i="57"/>
  <c r="AN236" i="55" a="1"/>
  <c r="AN236" i="55" s="1"/>
  <c r="B238" i="57" s="1"/>
  <c r="O238" i="57" s="1"/>
  <c r="AS222" i="67" a="1"/>
  <c r="AS222" i="67" s="1"/>
  <c r="B223" i="69"/>
  <c r="AM223" i="69" s="1"/>
  <c r="AN223" i="69" s="1"/>
  <c r="D221" i="69"/>
  <c r="E221" i="69" s="1"/>
  <c r="R220" i="69"/>
  <c r="S220" i="69" s="1"/>
  <c r="AE220" i="69"/>
  <c r="C222" i="69"/>
  <c r="AL167" i="11" a="1"/>
  <c r="AL167" i="11" s="1"/>
  <c r="E168" i="32" s="1"/>
  <c r="T168" i="32" s="1"/>
  <c r="AP177" i="59" a="1"/>
  <c r="AP177" i="59" s="1"/>
  <c r="E178" i="50" s="1"/>
  <c r="T178" i="50" s="1"/>
  <c r="AM52" i="11" a="1"/>
  <c r="AM52" i="11" s="1"/>
  <c r="AA234" i="57" l="1"/>
  <c r="AB234" i="57"/>
  <c r="AF234" i="57" s="1"/>
  <c r="AF236" i="53"/>
  <c r="AH174" i="50"/>
  <c r="AI174" i="50" s="1"/>
  <c r="AP174" i="50" s="1"/>
  <c r="P222" i="69"/>
  <c r="AP222" i="69"/>
  <c r="AK237" i="57"/>
  <c r="AJ233" i="57"/>
  <c r="O168" i="32"/>
  <c r="AK178" i="50"/>
  <c r="AL175" i="50"/>
  <c r="AG175" i="50"/>
  <c r="BC223" i="69"/>
  <c r="BF223" i="69"/>
  <c r="BE223" i="69"/>
  <c r="BD223" i="69"/>
  <c r="U167" i="32"/>
  <c r="AH238" i="57"/>
  <c r="AI238" i="57" s="1"/>
  <c r="K238" i="57"/>
  <c r="AQ178" i="50"/>
  <c r="N178" i="50"/>
  <c r="AO177" i="50"/>
  <c r="AX221" i="69"/>
  <c r="AW221" i="69"/>
  <c r="L223" i="69"/>
  <c r="M223" i="69" s="1"/>
  <c r="AZ223" i="69"/>
  <c r="AB219" i="69"/>
  <c r="AC219" i="69" s="1"/>
  <c r="AD219" i="69" s="1"/>
  <c r="Y220" i="69"/>
  <c r="AG220" i="69" s="1"/>
  <c r="F221" i="69"/>
  <c r="G221" i="69" s="1"/>
  <c r="H221" i="69" s="1"/>
  <c r="I221" i="69" s="1"/>
  <c r="J221" i="69" s="1"/>
  <c r="K221" i="69" s="1"/>
  <c r="U221" i="69"/>
  <c r="AH221" i="69"/>
  <c r="F168" i="32"/>
  <c r="AU168" i="32"/>
  <c r="AY178" i="50"/>
  <c r="F178" i="50"/>
  <c r="U178" i="50" s="1"/>
  <c r="AT166" i="32"/>
  <c r="AD166" i="32"/>
  <c r="AG166" i="32" s="1"/>
  <c r="AH166" i="32" s="1"/>
  <c r="AI166" i="32" s="1"/>
  <c r="AD176" i="50"/>
  <c r="R236" i="57"/>
  <c r="AG237" i="57"/>
  <c r="X235" i="57"/>
  <c r="AB235" i="57" s="1"/>
  <c r="AD236" i="57"/>
  <c r="Q236" i="57"/>
  <c r="AC238" i="53"/>
  <c r="O238" i="53"/>
  <c r="Q222" i="69"/>
  <c r="AQ236" i="57"/>
  <c r="AC236" i="57"/>
  <c r="AE236" i="57"/>
  <c r="P177" i="50"/>
  <c r="P167" i="32"/>
  <c r="N238" i="53"/>
  <c r="O178" i="50"/>
  <c r="AA236" i="53"/>
  <c r="AM167" i="32"/>
  <c r="C176" i="50"/>
  <c r="AJ176" i="50"/>
  <c r="S177" i="50"/>
  <c r="Z177" i="50" s="1"/>
  <c r="W166" i="32"/>
  <c r="X166" i="32" s="1"/>
  <c r="C166" i="32"/>
  <c r="AJ166" i="32"/>
  <c r="S167" i="32"/>
  <c r="Z167" i="32" s="1"/>
  <c r="W176" i="50"/>
  <c r="X175" i="50"/>
  <c r="V176" i="50"/>
  <c r="V166" i="32"/>
  <c r="AF221" i="69"/>
  <c r="P238" i="57"/>
  <c r="O223" i="69"/>
  <c r="AO222" i="69"/>
  <c r="AE237" i="53"/>
  <c r="AK168" i="32"/>
  <c r="AM177" i="50"/>
  <c r="AL165" i="32"/>
  <c r="AN164" i="32"/>
  <c r="R237" i="53"/>
  <c r="X237" i="53" s="1"/>
  <c r="AB237" i="53" s="1"/>
  <c r="AY221" i="69"/>
  <c r="L238" i="57"/>
  <c r="AT237" i="53"/>
  <c r="AG237" i="53"/>
  <c r="N238" i="57"/>
  <c r="Q237" i="53"/>
  <c r="AD237" i="53"/>
  <c r="F238" i="53"/>
  <c r="L238" i="53"/>
  <c r="P238" i="53"/>
  <c r="I238" i="53"/>
  <c r="G238" i="53"/>
  <c r="K238" i="53"/>
  <c r="AH238" i="53" s="1"/>
  <c r="J238" i="53"/>
  <c r="AK237" i="52" a="1"/>
  <c r="AK237" i="52" s="1"/>
  <c r="B239" i="53" s="1"/>
  <c r="H238" i="53"/>
  <c r="D238" i="53"/>
  <c r="C238" i="53"/>
  <c r="E238" i="53"/>
  <c r="A168" i="32"/>
  <c r="B168" i="32"/>
  <c r="A178" i="50"/>
  <c r="G178" i="50"/>
  <c r="H178" i="50"/>
  <c r="K178" i="50"/>
  <c r="M178" i="50"/>
  <c r="I178" i="50"/>
  <c r="L178" i="50"/>
  <c r="B178" i="50"/>
  <c r="J178" i="50"/>
  <c r="M168" i="32"/>
  <c r="H168" i="32"/>
  <c r="I168" i="32"/>
  <c r="L168" i="32"/>
  <c r="G168" i="32"/>
  <c r="J168" i="32"/>
  <c r="K168" i="32"/>
  <c r="N168" i="32"/>
  <c r="J238" i="57"/>
  <c r="E238" i="57"/>
  <c r="I238" i="57"/>
  <c r="D238" i="57"/>
  <c r="F238" i="57"/>
  <c r="C238" i="57"/>
  <c r="G238" i="57"/>
  <c r="H238" i="57"/>
  <c r="AN237" i="55" a="1"/>
  <c r="AN237" i="55" s="1"/>
  <c r="B239" i="57" s="1"/>
  <c r="O239" i="57" s="1"/>
  <c r="AS223" i="67" a="1"/>
  <c r="AS223" i="67" s="1"/>
  <c r="B224" i="69"/>
  <c r="AM224" i="69" s="1"/>
  <c r="AN224" i="69" s="1"/>
  <c r="C223" i="69"/>
  <c r="AE221" i="69"/>
  <c r="R221" i="69"/>
  <c r="S221" i="69" s="1"/>
  <c r="D222" i="69"/>
  <c r="E222" i="69" s="1"/>
  <c r="AL168" i="11" a="1"/>
  <c r="AL168" i="11" s="1"/>
  <c r="E169" i="32" s="1"/>
  <c r="T169" i="32" s="1"/>
  <c r="AP178" i="59" a="1"/>
  <c r="AP178" i="59" s="1"/>
  <c r="E179" i="50" s="1"/>
  <c r="T179" i="50" s="1"/>
  <c r="AM53" i="11" a="1"/>
  <c r="AM53" i="11" s="1"/>
  <c r="AF235" i="57" l="1"/>
  <c r="AF237" i="53"/>
  <c r="AH175" i="50"/>
  <c r="AI175" i="50" s="1"/>
  <c r="AP175" i="50" s="1"/>
  <c r="AK238" i="57"/>
  <c r="P223" i="69"/>
  <c r="AP223" i="69"/>
  <c r="AJ234" i="57"/>
  <c r="O169" i="32"/>
  <c r="AK179" i="50"/>
  <c r="AL176" i="50"/>
  <c r="AG176" i="50"/>
  <c r="BC224" i="69"/>
  <c r="BE224" i="69"/>
  <c r="BF224" i="69"/>
  <c r="BD224" i="69"/>
  <c r="U168" i="32"/>
  <c r="AH239" i="57"/>
  <c r="AI239" i="57" s="1"/>
  <c r="K239" i="57"/>
  <c r="AQ179" i="50"/>
  <c r="N179" i="50"/>
  <c r="AO178" i="50"/>
  <c r="AX222" i="69"/>
  <c r="AW222" i="69"/>
  <c r="L224" i="69"/>
  <c r="M224" i="69" s="1"/>
  <c r="AZ224" i="69"/>
  <c r="Y221" i="69"/>
  <c r="AG221" i="69" s="1"/>
  <c r="AB220" i="69"/>
  <c r="AC220" i="69" s="1"/>
  <c r="AD220" i="69" s="1"/>
  <c r="F222" i="69"/>
  <c r="G222" i="69" s="1"/>
  <c r="H222" i="69" s="1"/>
  <c r="I222" i="69" s="1"/>
  <c r="J222" i="69" s="1"/>
  <c r="K222" i="69" s="1"/>
  <c r="U222" i="69"/>
  <c r="AH222" i="69"/>
  <c r="F169" i="32"/>
  <c r="AU169" i="32"/>
  <c r="F179" i="50"/>
  <c r="U179" i="50" s="1"/>
  <c r="AY179" i="50"/>
  <c r="AT167" i="32"/>
  <c r="X236" i="57"/>
  <c r="AD167" i="32"/>
  <c r="AG167" i="32" s="1"/>
  <c r="AH167" i="32" s="1"/>
  <c r="AI167" i="32" s="1"/>
  <c r="AD177" i="50"/>
  <c r="AG238" i="57"/>
  <c r="AA235" i="57"/>
  <c r="AE237" i="57"/>
  <c r="AC239" i="53"/>
  <c r="O239" i="53"/>
  <c r="Q223" i="69"/>
  <c r="Q237" i="57"/>
  <c r="AD237" i="57"/>
  <c r="R237" i="57"/>
  <c r="AQ237" i="57"/>
  <c r="AC237" i="57"/>
  <c r="P178" i="50"/>
  <c r="P168" i="32"/>
  <c r="N239" i="53"/>
  <c r="O179" i="50"/>
  <c r="AA237" i="53"/>
  <c r="AM168" i="32"/>
  <c r="C177" i="50"/>
  <c r="AJ177" i="50"/>
  <c r="S178" i="50"/>
  <c r="Z178" i="50" s="1"/>
  <c r="C167" i="32"/>
  <c r="AJ167" i="32"/>
  <c r="W167" i="32"/>
  <c r="X167" i="32" s="1"/>
  <c r="S168" i="32"/>
  <c r="W177" i="50"/>
  <c r="X176" i="50"/>
  <c r="V177" i="50"/>
  <c r="V167" i="32"/>
  <c r="AF222" i="69"/>
  <c r="P239" i="57"/>
  <c r="AO223" i="69"/>
  <c r="O224" i="69"/>
  <c r="AE238" i="53"/>
  <c r="AK169" i="32"/>
  <c r="AM178" i="50"/>
  <c r="AL166" i="32"/>
  <c r="AN165" i="32"/>
  <c r="R238" i="53"/>
  <c r="X238" i="53" s="1"/>
  <c r="AB238" i="53" s="1"/>
  <c r="AY222" i="69"/>
  <c r="L239" i="57"/>
  <c r="AT238" i="53"/>
  <c r="AG238" i="53"/>
  <c r="N239" i="57"/>
  <c r="F239" i="53"/>
  <c r="Q238" i="53"/>
  <c r="AD238" i="53"/>
  <c r="J239" i="53"/>
  <c r="P239" i="53"/>
  <c r="AK238" i="52" a="1"/>
  <c r="AK238" i="52" s="1"/>
  <c r="B240" i="53" s="1"/>
  <c r="H239" i="53"/>
  <c r="C239" i="53"/>
  <c r="D239" i="53"/>
  <c r="E239" i="53"/>
  <c r="I239" i="53"/>
  <c r="K239" i="53"/>
  <c r="AH239" i="53" s="1"/>
  <c r="L239" i="53"/>
  <c r="G239" i="53"/>
  <c r="A169" i="32"/>
  <c r="B169" i="32"/>
  <c r="I179" i="50"/>
  <c r="A179" i="50"/>
  <c r="M179" i="50"/>
  <c r="H179" i="50"/>
  <c r="K179" i="50"/>
  <c r="J179" i="50"/>
  <c r="L179" i="50"/>
  <c r="B179" i="50"/>
  <c r="G179" i="50"/>
  <c r="K169" i="32"/>
  <c r="N169" i="32"/>
  <c r="G169" i="32"/>
  <c r="J169" i="32"/>
  <c r="L169" i="32"/>
  <c r="M169" i="32"/>
  <c r="I169" i="32"/>
  <c r="H169" i="32"/>
  <c r="H239" i="57"/>
  <c r="F239" i="57"/>
  <c r="D239" i="57"/>
  <c r="G239" i="57"/>
  <c r="C239" i="57"/>
  <c r="J239" i="57"/>
  <c r="I239" i="57"/>
  <c r="E239" i="57"/>
  <c r="AN238" i="55" a="1"/>
  <c r="AN238" i="55" s="1"/>
  <c r="B240" i="57" s="1"/>
  <c r="O240" i="57" s="1"/>
  <c r="AS224" i="67" a="1"/>
  <c r="AS224" i="67" s="1"/>
  <c r="B225" i="69"/>
  <c r="AM225" i="69" s="1"/>
  <c r="AN225" i="69" s="1"/>
  <c r="D223" i="69"/>
  <c r="E223" i="69" s="1"/>
  <c r="R222" i="69"/>
  <c r="S222" i="69" s="1"/>
  <c r="AE222" i="69"/>
  <c r="C224" i="69"/>
  <c r="AL169" i="11" a="1"/>
  <c r="AL169" i="11" s="1"/>
  <c r="E170" i="32" s="1"/>
  <c r="T170" i="32" s="1"/>
  <c r="AP179" i="59" a="1"/>
  <c r="AP179" i="59" s="1"/>
  <c r="E180" i="50" s="1"/>
  <c r="T180" i="50" s="1"/>
  <c r="AM54" i="11" a="1"/>
  <c r="AM54" i="11" s="1"/>
  <c r="AA236" i="57" l="1"/>
  <c r="AB236" i="57"/>
  <c r="AF236" i="57" s="1"/>
  <c r="AF238" i="53"/>
  <c r="AH176" i="50"/>
  <c r="AI176" i="50" s="1"/>
  <c r="AP176" i="50" s="1"/>
  <c r="AK239" i="57"/>
  <c r="P224" i="69"/>
  <c r="AP224" i="69"/>
  <c r="AJ235" i="57"/>
  <c r="O170" i="32"/>
  <c r="AK180" i="50"/>
  <c r="AL177" i="50"/>
  <c r="AG177" i="50"/>
  <c r="BC225" i="69"/>
  <c r="BE225" i="69"/>
  <c r="BF225" i="69"/>
  <c r="BD225" i="69"/>
  <c r="U169" i="32"/>
  <c r="AH240" i="57"/>
  <c r="AI240" i="57" s="1"/>
  <c r="K240" i="57"/>
  <c r="AD168" i="32"/>
  <c r="AG168" i="32" s="1"/>
  <c r="AH168" i="32" s="1"/>
  <c r="AI168" i="32" s="1"/>
  <c r="AQ180" i="50"/>
  <c r="N180" i="50"/>
  <c r="AO179" i="50"/>
  <c r="AX223" i="69"/>
  <c r="AW223" i="69"/>
  <c r="L225" i="69"/>
  <c r="M225" i="69" s="1"/>
  <c r="AZ225" i="69"/>
  <c r="Y222" i="69"/>
  <c r="AG222" i="69" s="1"/>
  <c r="AB221" i="69"/>
  <c r="AC221" i="69" s="1"/>
  <c r="AD221" i="69" s="1"/>
  <c r="F223" i="69"/>
  <c r="G223" i="69" s="1"/>
  <c r="H223" i="69" s="1"/>
  <c r="I223" i="69" s="1"/>
  <c r="J223" i="69" s="1"/>
  <c r="K223" i="69" s="1"/>
  <c r="U223" i="69"/>
  <c r="AH223" i="69"/>
  <c r="F170" i="32"/>
  <c r="AU170" i="32"/>
  <c r="F180" i="50"/>
  <c r="U180" i="50" s="1"/>
  <c r="AY180" i="50"/>
  <c r="AT168" i="32"/>
  <c r="AD178" i="50"/>
  <c r="X237" i="57"/>
  <c r="AB237" i="57" s="1"/>
  <c r="AG239" i="57"/>
  <c r="AE238" i="57"/>
  <c r="AC240" i="53"/>
  <c r="O240" i="53"/>
  <c r="Q224" i="69"/>
  <c r="Q238" i="57"/>
  <c r="AD238" i="57"/>
  <c r="R238" i="57"/>
  <c r="AQ238" i="57"/>
  <c r="AC238" i="57"/>
  <c r="P179" i="50"/>
  <c r="P169" i="32"/>
  <c r="N240" i="53"/>
  <c r="O180" i="50"/>
  <c r="AA238" i="53"/>
  <c r="C168" i="32"/>
  <c r="Z168" i="32"/>
  <c r="AM169" i="32"/>
  <c r="C178" i="50"/>
  <c r="AJ178" i="50"/>
  <c r="S179" i="50"/>
  <c r="Z179" i="50" s="1"/>
  <c r="W168" i="32"/>
  <c r="X168" i="32" s="1"/>
  <c r="S169" i="32"/>
  <c r="Z169" i="32" s="1"/>
  <c r="AJ168" i="32"/>
  <c r="W178" i="50"/>
  <c r="X177" i="50"/>
  <c r="V178" i="50"/>
  <c r="V168" i="32"/>
  <c r="AF223" i="69"/>
  <c r="P240" i="57"/>
  <c r="AO224" i="69"/>
  <c r="O225" i="69"/>
  <c r="AE239" i="53"/>
  <c r="AK170" i="32"/>
  <c r="AM179" i="50"/>
  <c r="AL167" i="32"/>
  <c r="AN166" i="32"/>
  <c r="R239" i="53"/>
  <c r="X239" i="53" s="1"/>
  <c r="AB239" i="53" s="1"/>
  <c r="AY223" i="69"/>
  <c r="L240" i="57"/>
  <c r="AG239" i="53"/>
  <c r="AT239" i="53"/>
  <c r="N240" i="57"/>
  <c r="H240" i="53"/>
  <c r="Q239" i="53"/>
  <c r="AD239" i="53"/>
  <c r="E240" i="53"/>
  <c r="C240" i="53"/>
  <c r="G240" i="53"/>
  <c r="D240" i="53"/>
  <c r="F240" i="53"/>
  <c r="L240" i="53"/>
  <c r="J240" i="53"/>
  <c r="P240" i="53"/>
  <c r="I240" i="53"/>
  <c r="AK239" i="52" a="1"/>
  <c r="AK239" i="52" s="1"/>
  <c r="B241" i="53" s="1"/>
  <c r="K240" i="53"/>
  <c r="AH240" i="53" s="1"/>
  <c r="A170" i="32"/>
  <c r="B170" i="32"/>
  <c r="G180" i="50"/>
  <c r="L180" i="50"/>
  <c r="M180" i="50"/>
  <c r="H180" i="50"/>
  <c r="I180" i="50"/>
  <c r="J180" i="50"/>
  <c r="B180" i="50"/>
  <c r="K180" i="50"/>
  <c r="A180" i="50"/>
  <c r="I170" i="32"/>
  <c r="L170" i="32"/>
  <c r="M170" i="32"/>
  <c r="H170" i="32"/>
  <c r="G170" i="32"/>
  <c r="J170" i="32"/>
  <c r="K170" i="32"/>
  <c r="N170" i="32"/>
  <c r="J240" i="57"/>
  <c r="D240" i="57"/>
  <c r="G240" i="57"/>
  <c r="C240" i="57"/>
  <c r="F240" i="57"/>
  <c r="I240" i="57"/>
  <c r="E240" i="57"/>
  <c r="H240" i="57"/>
  <c r="AN239" i="55" a="1"/>
  <c r="AN239" i="55" s="1"/>
  <c r="B241" i="57" s="1"/>
  <c r="O241" i="57" s="1"/>
  <c r="D224" i="69"/>
  <c r="E224" i="69" s="1"/>
  <c r="C225" i="69"/>
  <c r="AE223" i="69"/>
  <c r="R223" i="69"/>
  <c r="S223" i="69" s="1"/>
  <c r="AS225" i="67" a="1"/>
  <c r="AS225" i="67" s="1"/>
  <c r="B226" i="69"/>
  <c r="AM226" i="69" s="1"/>
  <c r="AN226" i="69" s="1"/>
  <c r="AL170" i="11" a="1"/>
  <c r="AL170" i="11" s="1"/>
  <c r="E171" i="32" s="1"/>
  <c r="T171" i="32" s="1"/>
  <c r="AP180" i="59" a="1"/>
  <c r="AP180" i="59" s="1"/>
  <c r="E181" i="50" s="1"/>
  <c r="T181" i="50" s="1"/>
  <c r="AM55" i="11" a="1"/>
  <c r="AM55" i="11" s="1"/>
  <c r="AF237" i="57" l="1"/>
  <c r="AF239" i="53"/>
  <c r="AH177" i="50"/>
  <c r="AI177" i="50" s="1"/>
  <c r="AP177" i="50" s="1"/>
  <c r="AK240" i="57"/>
  <c r="P225" i="69"/>
  <c r="AP225" i="69"/>
  <c r="AJ236" i="57"/>
  <c r="O171" i="32"/>
  <c r="AK181" i="50"/>
  <c r="AL178" i="50"/>
  <c r="AG178" i="50"/>
  <c r="BC226" i="69"/>
  <c r="BE226" i="69"/>
  <c r="BF226" i="69"/>
  <c r="BD226" i="69"/>
  <c r="U170" i="32"/>
  <c r="AH241" i="57"/>
  <c r="AI241" i="57" s="1"/>
  <c r="K241" i="57"/>
  <c r="AQ181" i="50"/>
  <c r="N181" i="50"/>
  <c r="AO180" i="50"/>
  <c r="AX224" i="69"/>
  <c r="AW224" i="69"/>
  <c r="L226" i="69"/>
  <c r="M226" i="69" s="1"/>
  <c r="AZ226" i="69"/>
  <c r="AB222" i="69"/>
  <c r="AC222" i="69" s="1"/>
  <c r="AD222" i="69" s="1"/>
  <c r="Y223" i="69"/>
  <c r="AB223" i="69" s="1"/>
  <c r="F224" i="69"/>
  <c r="G224" i="69" s="1"/>
  <c r="H224" i="69" s="1"/>
  <c r="I224" i="69" s="1"/>
  <c r="J224" i="69" s="1"/>
  <c r="K224" i="69" s="1"/>
  <c r="U224" i="69"/>
  <c r="AH224" i="69"/>
  <c r="F171" i="32"/>
  <c r="AU171" i="32"/>
  <c r="AY181" i="50"/>
  <c r="F181" i="50"/>
  <c r="U181" i="50" s="1"/>
  <c r="AT169" i="32"/>
  <c r="AD169" i="32"/>
  <c r="AG169" i="32" s="1"/>
  <c r="AH169" i="32" s="1"/>
  <c r="AI169" i="32" s="1"/>
  <c r="AD179" i="50"/>
  <c r="AG240" i="57"/>
  <c r="X238" i="57"/>
  <c r="AB238" i="57" s="1"/>
  <c r="AA237" i="57"/>
  <c r="AC241" i="53"/>
  <c r="O241" i="53"/>
  <c r="Q225" i="69"/>
  <c r="AC239" i="57"/>
  <c r="AQ239" i="57"/>
  <c r="Q239" i="57"/>
  <c r="R239" i="57"/>
  <c r="AD239" i="57"/>
  <c r="AE239" i="57"/>
  <c r="P180" i="50"/>
  <c r="P170" i="32"/>
  <c r="N241" i="53"/>
  <c r="O181" i="50"/>
  <c r="AA239" i="53"/>
  <c r="AM170" i="32"/>
  <c r="AJ179" i="50"/>
  <c r="C179" i="50"/>
  <c r="S180" i="50"/>
  <c r="Z180" i="50" s="1"/>
  <c r="W169" i="32"/>
  <c r="X169" i="32" s="1"/>
  <c r="C169" i="32"/>
  <c r="AJ169" i="32"/>
  <c r="S170" i="32"/>
  <c r="W179" i="50"/>
  <c r="X178" i="50"/>
  <c r="V179" i="50"/>
  <c r="V169" i="32"/>
  <c r="AF224" i="69"/>
  <c r="P241" i="57"/>
  <c r="O226" i="69"/>
  <c r="AO225" i="69"/>
  <c r="AE240" i="53"/>
  <c r="AK171" i="32"/>
  <c r="AM180" i="50"/>
  <c r="AL168" i="32"/>
  <c r="AN167" i="32"/>
  <c r="R240" i="53"/>
  <c r="X240" i="53" s="1"/>
  <c r="AB240" i="53" s="1"/>
  <c r="AY224" i="69"/>
  <c r="L241" i="57"/>
  <c r="AG240" i="53"/>
  <c r="AT240" i="53"/>
  <c r="N241" i="57"/>
  <c r="L241" i="53"/>
  <c r="AD240" i="53"/>
  <c r="Q240" i="53"/>
  <c r="E241" i="53"/>
  <c r="G241" i="53"/>
  <c r="P241" i="53"/>
  <c r="D241" i="53"/>
  <c r="J241" i="53"/>
  <c r="K241" i="53"/>
  <c r="AH241" i="53" s="1"/>
  <c r="F241" i="53"/>
  <c r="AK240" i="52" a="1"/>
  <c r="AK240" i="52" s="1"/>
  <c r="B242" i="53" s="1"/>
  <c r="I241" i="53"/>
  <c r="C241" i="53"/>
  <c r="H241" i="53"/>
  <c r="A171" i="32"/>
  <c r="B171" i="32"/>
  <c r="M181" i="50"/>
  <c r="A181" i="50"/>
  <c r="G181" i="50"/>
  <c r="K181" i="50"/>
  <c r="I181" i="50"/>
  <c r="L181" i="50"/>
  <c r="H181" i="50"/>
  <c r="J181" i="50"/>
  <c r="B181" i="50"/>
  <c r="G171" i="32"/>
  <c r="J171" i="32"/>
  <c r="K171" i="32"/>
  <c r="N171" i="32"/>
  <c r="H171" i="32"/>
  <c r="I171" i="32"/>
  <c r="L171" i="32"/>
  <c r="M171" i="32"/>
  <c r="H241" i="57"/>
  <c r="D241" i="57"/>
  <c r="G241" i="57"/>
  <c r="C241" i="57"/>
  <c r="J241" i="57"/>
  <c r="F241" i="57"/>
  <c r="E241" i="57"/>
  <c r="I241" i="57"/>
  <c r="AN240" i="55" a="1"/>
  <c r="AN240" i="55" s="1"/>
  <c r="B242" i="57" s="1"/>
  <c r="O242" i="57" s="1"/>
  <c r="AS226" i="67" a="1"/>
  <c r="AS226" i="67" s="1"/>
  <c r="B227" i="69"/>
  <c r="AM227" i="69" s="1"/>
  <c r="AN227" i="69" s="1"/>
  <c r="D225" i="69"/>
  <c r="E225" i="69" s="1"/>
  <c r="C226" i="69"/>
  <c r="AE224" i="69"/>
  <c r="R224" i="69"/>
  <c r="S224" i="69" s="1"/>
  <c r="AL171" i="11" a="1"/>
  <c r="AL171" i="11" s="1"/>
  <c r="E172" i="32" s="1"/>
  <c r="T172" i="32" s="1"/>
  <c r="AP181" i="59" a="1"/>
  <c r="AP181" i="59" s="1"/>
  <c r="E182" i="50" s="1"/>
  <c r="T182" i="50" s="1"/>
  <c r="AM56" i="11" a="1"/>
  <c r="AM56" i="11" s="1"/>
  <c r="AF238" i="57" l="1"/>
  <c r="AF240" i="53"/>
  <c r="AH178" i="50"/>
  <c r="AI178" i="50" s="1"/>
  <c r="AP178" i="50" s="1"/>
  <c r="AK241" i="57"/>
  <c r="P226" i="69"/>
  <c r="AP226" i="69"/>
  <c r="AJ237" i="57"/>
  <c r="O172" i="32"/>
  <c r="AK182" i="50"/>
  <c r="AL179" i="50"/>
  <c r="AG179" i="50"/>
  <c r="BC227" i="69"/>
  <c r="BE227" i="69"/>
  <c r="BF227" i="69"/>
  <c r="BD227" i="69"/>
  <c r="U171" i="32"/>
  <c r="AH242" i="57"/>
  <c r="AI242" i="57" s="1"/>
  <c r="K242" i="57"/>
  <c r="N182" i="50"/>
  <c r="AQ182" i="50"/>
  <c r="AO181" i="50"/>
  <c r="AD170" i="32"/>
  <c r="AG170" i="32" s="1"/>
  <c r="AH170" i="32" s="1"/>
  <c r="AI170" i="32" s="1"/>
  <c r="AX225" i="69"/>
  <c r="AW225" i="69"/>
  <c r="L227" i="69"/>
  <c r="M227" i="69" s="1"/>
  <c r="AZ227" i="69"/>
  <c r="Y224" i="69"/>
  <c r="AB224" i="69" s="1"/>
  <c r="AG223" i="69"/>
  <c r="U225" i="69"/>
  <c r="AH225" i="69"/>
  <c r="F225" i="69"/>
  <c r="G225" i="69" s="1"/>
  <c r="H225" i="69" s="1"/>
  <c r="I225" i="69" s="1"/>
  <c r="J225" i="69" s="1"/>
  <c r="K225" i="69" s="1"/>
  <c r="F172" i="32"/>
  <c r="AU172" i="32"/>
  <c r="AY182" i="50"/>
  <c r="F182" i="50"/>
  <c r="U182" i="50" s="1"/>
  <c r="AT170" i="32"/>
  <c r="X239" i="57"/>
  <c r="AD180" i="50"/>
  <c r="AG241" i="57"/>
  <c r="AA238" i="57"/>
  <c r="AC242" i="53"/>
  <c r="O242" i="53"/>
  <c r="Q226" i="69"/>
  <c r="Q240" i="57"/>
  <c r="AD240" i="57"/>
  <c r="R240" i="57"/>
  <c r="AQ240" i="57"/>
  <c r="AC240" i="57"/>
  <c r="AE240" i="57"/>
  <c r="P181" i="50"/>
  <c r="P171" i="32"/>
  <c r="N242" i="53"/>
  <c r="O182" i="50"/>
  <c r="AA240" i="53"/>
  <c r="C170" i="32"/>
  <c r="Z170" i="32"/>
  <c r="AM171" i="32"/>
  <c r="C180" i="50"/>
  <c r="AJ180" i="50"/>
  <c r="S181" i="50"/>
  <c r="Z181" i="50" s="1"/>
  <c r="W170" i="32"/>
  <c r="X170" i="32" s="1"/>
  <c r="S171" i="32"/>
  <c r="Z171" i="32" s="1"/>
  <c r="AJ170" i="32"/>
  <c r="W180" i="50"/>
  <c r="X179" i="50"/>
  <c r="V180" i="50"/>
  <c r="V170" i="32"/>
  <c r="AF225" i="69"/>
  <c r="P242" i="57"/>
  <c r="AC223" i="69"/>
  <c r="AD223" i="69" s="1"/>
  <c r="AO226" i="69"/>
  <c r="O227" i="69"/>
  <c r="AE241" i="53"/>
  <c r="AK172" i="32"/>
  <c r="AM181" i="50"/>
  <c r="AL169" i="32"/>
  <c r="AN168" i="32"/>
  <c r="R241" i="53"/>
  <c r="X241" i="53" s="1"/>
  <c r="AB241" i="53" s="1"/>
  <c r="AY225" i="69"/>
  <c r="L242" i="57"/>
  <c r="AT241" i="53"/>
  <c r="AG241" i="53"/>
  <c r="N242" i="57"/>
  <c r="I242" i="53"/>
  <c r="Q241" i="53"/>
  <c r="AD241" i="53"/>
  <c r="J242" i="53"/>
  <c r="F242" i="53"/>
  <c r="G242" i="53"/>
  <c r="L242" i="53"/>
  <c r="P242" i="53"/>
  <c r="K242" i="53"/>
  <c r="AH242" i="53" s="1"/>
  <c r="AK241" i="52" a="1"/>
  <c r="AK241" i="52" s="1"/>
  <c r="B243" i="53" s="1"/>
  <c r="C242" i="53"/>
  <c r="H242" i="53"/>
  <c r="D242" i="53"/>
  <c r="E242" i="53"/>
  <c r="A172" i="32"/>
  <c r="B172" i="32"/>
  <c r="H182" i="50"/>
  <c r="I182" i="50"/>
  <c r="G182" i="50"/>
  <c r="M182" i="50"/>
  <c r="A182" i="50"/>
  <c r="L182" i="50"/>
  <c r="B182" i="50"/>
  <c r="J182" i="50"/>
  <c r="K182" i="50"/>
  <c r="M172" i="32"/>
  <c r="H172" i="32"/>
  <c r="I172" i="32"/>
  <c r="L172" i="32"/>
  <c r="N172" i="32"/>
  <c r="G172" i="32"/>
  <c r="J172" i="32"/>
  <c r="K172" i="32"/>
  <c r="J242" i="57"/>
  <c r="F242" i="57"/>
  <c r="C242" i="57"/>
  <c r="I242" i="57"/>
  <c r="E242" i="57"/>
  <c r="H242" i="57"/>
  <c r="D242" i="57"/>
  <c r="G242" i="57"/>
  <c r="AN241" i="55" a="1"/>
  <c r="AN241" i="55" s="1"/>
  <c r="B243" i="57" s="1"/>
  <c r="O243" i="57" s="1"/>
  <c r="AS227" i="67" a="1"/>
  <c r="AS227" i="67" s="1"/>
  <c r="B228" i="69"/>
  <c r="AM228" i="69" s="1"/>
  <c r="AN228" i="69" s="1"/>
  <c r="D226" i="69"/>
  <c r="E226" i="69" s="1"/>
  <c r="R225" i="69"/>
  <c r="S225" i="69" s="1"/>
  <c r="AE225" i="69"/>
  <c r="C227" i="69"/>
  <c r="AL172" i="11" a="1"/>
  <c r="AL172" i="11" s="1"/>
  <c r="E173" i="32" s="1"/>
  <c r="T173" i="32" s="1"/>
  <c r="AP182" i="59" a="1"/>
  <c r="AP182" i="59" s="1"/>
  <c r="E183" i="50" s="1"/>
  <c r="T183" i="50" s="1"/>
  <c r="AM57" i="11" a="1"/>
  <c r="AM57" i="11" s="1"/>
  <c r="AF241" i="53" l="1"/>
  <c r="AA239" i="57"/>
  <c r="AB239" i="57"/>
  <c r="AF239" i="57" s="1"/>
  <c r="AH179" i="50"/>
  <c r="AI179" i="50" s="1"/>
  <c r="AP179" i="50" s="1"/>
  <c r="AK242" i="57"/>
  <c r="P227" i="69"/>
  <c r="AP227" i="69"/>
  <c r="AJ238" i="57"/>
  <c r="O173" i="32"/>
  <c r="AK183" i="50"/>
  <c r="AL180" i="50"/>
  <c r="AG180" i="50"/>
  <c r="BC228" i="69"/>
  <c r="BE228" i="69"/>
  <c r="BF228" i="69"/>
  <c r="BD228" i="69"/>
  <c r="U172" i="32"/>
  <c r="K243" i="57"/>
  <c r="AH243" i="57"/>
  <c r="AI243" i="57" s="1"/>
  <c r="N183" i="50"/>
  <c r="AQ183" i="50"/>
  <c r="AO182" i="50"/>
  <c r="AX226" i="69"/>
  <c r="AW226" i="69"/>
  <c r="L228" i="69"/>
  <c r="M228" i="69" s="1"/>
  <c r="AZ228" i="69"/>
  <c r="AG224" i="69"/>
  <c r="F226" i="69"/>
  <c r="G226" i="69" s="1"/>
  <c r="H226" i="69" s="1"/>
  <c r="I226" i="69" s="1"/>
  <c r="J226" i="69" s="1"/>
  <c r="K226" i="69" s="1"/>
  <c r="U226" i="69"/>
  <c r="AH226" i="69"/>
  <c r="F173" i="32"/>
  <c r="AU173" i="32"/>
  <c r="AY183" i="50"/>
  <c r="F183" i="50"/>
  <c r="U183" i="50" s="1"/>
  <c r="AT171" i="32"/>
  <c r="Y225" i="69"/>
  <c r="AB225" i="69" s="1"/>
  <c r="AC225" i="69" s="1"/>
  <c r="AD225" i="69" s="1"/>
  <c r="AD171" i="32"/>
  <c r="AG171" i="32" s="1"/>
  <c r="AH171" i="32" s="1"/>
  <c r="AI171" i="32" s="1"/>
  <c r="AD181" i="50"/>
  <c r="X240" i="57"/>
  <c r="AB240" i="57" s="1"/>
  <c r="AG242" i="57"/>
  <c r="AC243" i="53"/>
  <c r="O243" i="53"/>
  <c r="Q227" i="69"/>
  <c r="R241" i="57"/>
  <c r="AD241" i="57"/>
  <c r="Q241" i="57"/>
  <c r="AE241" i="57"/>
  <c r="AQ241" i="57"/>
  <c r="AC241" i="57"/>
  <c r="P182" i="50"/>
  <c r="P172" i="32"/>
  <c r="N243" i="53"/>
  <c r="O183" i="50"/>
  <c r="AA241" i="53"/>
  <c r="AM172" i="32"/>
  <c r="AJ181" i="50"/>
  <c r="C181" i="50"/>
  <c r="S182" i="50"/>
  <c r="Z182" i="50" s="1"/>
  <c r="AJ171" i="32"/>
  <c r="W171" i="32"/>
  <c r="X171" i="32" s="1"/>
  <c r="C171" i="32"/>
  <c r="S172" i="32"/>
  <c r="W181" i="50"/>
  <c r="X180" i="50"/>
  <c r="V181" i="50"/>
  <c r="V171" i="32"/>
  <c r="AF226" i="69"/>
  <c r="P243" i="57"/>
  <c r="AC224" i="69"/>
  <c r="AD224" i="69" s="1"/>
  <c r="O228" i="69"/>
  <c r="AO227" i="69"/>
  <c r="AE242" i="53"/>
  <c r="AK173" i="32"/>
  <c r="AM182" i="50"/>
  <c r="AL170" i="32"/>
  <c r="AN169" i="32"/>
  <c r="R242" i="53"/>
  <c r="X242" i="53" s="1"/>
  <c r="AB242" i="53" s="1"/>
  <c r="AY226" i="69"/>
  <c r="L243" i="57"/>
  <c r="AT242" i="53"/>
  <c r="AG242" i="53"/>
  <c r="N243" i="57"/>
  <c r="AD242" i="53"/>
  <c r="Q242" i="53"/>
  <c r="J243" i="53"/>
  <c r="I243" i="53"/>
  <c r="F243" i="53"/>
  <c r="K243" i="53"/>
  <c r="AH243" i="53" s="1"/>
  <c r="P243" i="53"/>
  <c r="L243" i="53"/>
  <c r="G243" i="53"/>
  <c r="E243" i="53"/>
  <c r="C243" i="53"/>
  <c r="D243" i="53"/>
  <c r="AK242" i="52" a="1"/>
  <c r="AK242" i="52" s="1"/>
  <c r="B244" i="53" s="1"/>
  <c r="H243" i="53"/>
  <c r="A173" i="32"/>
  <c r="B173" i="32"/>
  <c r="A183" i="50"/>
  <c r="B183" i="50"/>
  <c r="L183" i="50"/>
  <c r="H183" i="50"/>
  <c r="K183" i="50"/>
  <c r="J183" i="50"/>
  <c r="M183" i="50"/>
  <c r="I183" i="50"/>
  <c r="G183" i="50"/>
  <c r="K173" i="32"/>
  <c r="N173" i="32"/>
  <c r="G173" i="32"/>
  <c r="J173" i="32"/>
  <c r="H173" i="32"/>
  <c r="I173" i="32"/>
  <c r="L173" i="32"/>
  <c r="M173" i="32"/>
  <c r="H243" i="57"/>
  <c r="F243" i="57"/>
  <c r="D243" i="57"/>
  <c r="G243" i="57"/>
  <c r="C243" i="57"/>
  <c r="J243" i="57"/>
  <c r="E243" i="57"/>
  <c r="I243" i="57"/>
  <c r="AN242" i="55" a="1"/>
  <c r="AN242" i="55" s="1"/>
  <c r="B244" i="57" s="1"/>
  <c r="O244" i="57" s="1"/>
  <c r="AS228" i="67" a="1"/>
  <c r="AS228" i="67" s="1"/>
  <c r="B229" i="69"/>
  <c r="AM229" i="69" s="1"/>
  <c r="AN229" i="69" s="1"/>
  <c r="D227" i="69"/>
  <c r="E227" i="69" s="1"/>
  <c r="R226" i="69"/>
  <c r="S226" i="69" s="1"/>
  <c r="AE226" i="69"/>
  <c r="C228" i="69"/>
  <c r="AL173" i="11" a="1"/>
  <c r="AL173" i="11" s="1"/>
  <c r="E174" i="32" s="1"/>
  <c r="T174" i="32" s="1"/>
  <c r="AP183" i="59" a="1"/>
  <c r="AP183" i="59" s="1"/>
  <c r="E184" i="50" s="1"/>
  <c r="T184" i="50" s="1"/>
  <c r="AM58" i="11" a="1"/>
  <c r="AM58" i="11" s="1"/>
  <c r="AF240" i="57" l="1"/>
  <c r="AF242" i="53"/>
  <c r="AH180" i="50"/>
  <c r="AI180" i="50" s="1"/>
  <c r="AP180" i="50" s="1"/>
  <c r="P228" i="69"/>
  <c r="AP228" i="69"/>
  <c r="AK243" i="57"/>
  <c r="AJ239" i="57"/>
  <c r="O174" i="32"/>
  <c r="AK184" i="50"/>
  <c r="AL181" i="50"/>
  <c r="AG181" i="50"/>
  <c r="BC229" i="69"/>
  <c r="BF229" i="69"/>
  <c r="BE229" i="69"/>
  <c r="BD229" i="69"/>
  <c r="U173" i="32"/>
  <c r="AH244" i="57"/>
  <c r="AI244" i="57" s="1"/>
  <c r="K244" i="57"/>
  <c r="AQ184" i="50"/>
  <c r="N184" i="50"/>
  <c r="AO183" i="50"/>
  <c r="AD172" i="32"/>
  <c r="AG172" i="32" s="1"/>
  <c r="AH172" i="32" s="1"/>
  <c r="AI172" i="32" s="1"/>
  <c r="AX227" i="69"/>
  <c r="AW227" i="69"/>
  <c r="L229" i="69"/>
  <c r="M229" i="69" s="1"/>
  <c r="AZ229" i="69"/>
  <c r="Y226" i="69"/>
  <c r="AB226" i="69" s="1"/>
  <c r="AC226" i="69" s="1"/>
  <c r="AD226" i="69" s="1"/>
  <c r="F227" i="69"/>
  <c r="G227" i="69" s="1"/>
  <c r="H227" i="69" s="1"/>
  <c r="I227" i="69" s="1"/>
  <c r="J227" i="69" s="1"/>
  <c r="K227" i="69" s="1"/>
  <c r="U227" i="69"/>
  <c r="AH227" i="69"/>
  <c r="F174" i="32"/>
  <c r="AU174" i="32"/>
  <c r="AY184" i="50"/>
  <c r="F184" i="50"/>
  <c r="U184" i="50" s="1"/>
  <c r="AT172" i="32"/>
  <c r="AG225" i="69"/>
  <c r="AD182" i="50"/>
  <c r="X241" i="57"/>
  <c r="AB241" i="57" s="1"/>
  <c r="AG243" i="57"/>
  <c r="AC244" i="53"/>
  <c r="O244" i="53"/>
  <c r="Q228" i="69"/>
  <c r="Q242" i="57"/>
  <c r="R242" i="57"/>
  <c r="AD242" i="57"/>
  <c r="AE242" i="57"/>
  <c r="AA240" i="57"/>
  <c r="AQ242" i="57"/>
  <c r="AC242" i="57"/>
  <c r="P183" i="50"/>
  <c r="P173" i="32"/>
  <c r="N244" i="53"/>
  <c r="O184" i="50"/>
  <c r="AA242" i="53"/>
  <c r="C172" i="32"/>
  <c r="Z172" i="32"/>
  <c r="AM173" i="32"/>
  <c r="C182" i="50"/>
  <c r="AJ182" i="50"/>
  <c r="S183" i="50"/>
  <c r="Z183" i="50" s="1"/>
  <c r="W172" i="32"/>
  <c r="X172" i="32" s="1"/>
  <c r="S173" i="32"/>
  <c r="Z173" i="32" s="1"/>
  <c r="AJ172" i="32"/>
  <c r="W182" i="50"/>
  <c r="X181" i="50"/>
  <c r="V182" i="50"/>
  <c r="V172" i="32"/>
  <c r="AF227" i="69"/>
  <c r="P244" i="57"/>
  <c r="O229" i="69"/>
  <c r="AO228" i="69"/>
  <c r="AE243" i="53"/>
  <c r="AK174" i="32"/>
  <c r="AM183" i="50"/>
  <c r="AL171" i="32"/>
  <c r="AN170" i="32"/>
  <c r="R243" i="53"/>
  <c r="X243" i="53" s="1"/>
  <c r="AB243" i="53" s="1"/>
  <c r="AY227" i="69"/>
  <c r="L244" i="57"/>
  <c r="AT243" i="53"/>
  <c r="AG243" i="53"/>
  <c r="N244" i="57"/>
  <c r="AD243" i="53"/>
  <c r="Q243" i="53"/>
  <c r="J244" i="53"/>
  <c r="D244" i="53"/>
  <c r="C244" i="53"/>
  <c r="L244" i="53"/>
  <c r="E244" i="53"/>
  <c r="I244" i="53"/>
  <c r="AK243" i="52" a="1"/>
  <c r="AK243" i="52" s="1"/>
  <c r="B245" i="53" s="1"/>
  <c r="F244" i="53"/>
  <c r="G244" i="53"/>
  <c r="K244" i="53"/>
  <c r="AH244" i="53" s="1"/>
  <c r="P244" i="53"/>
  <c r="H244" i="53"/>
  <c r="A174" i="32"/>
  <c r="B174" i="32"/>
  <c r="M184" i="50"/>
  <c r="G184" i="50"/>
  <c r="H184" i="50"/>
  <c r="B184" i="50"/>
  <c r="L184" i="50"/>
  <c r="K184" i="50"/>
  <c r="I184" i="50"/>
  <c r="A184" i="50"/>
  <c r="J184" i="50"/>
  <c r="I174" i="32"/>
  <c r="L174" i="32"/>
  <c r="M174" i="32"/>
  <c r="H174" i="32"/>
  <c r="J174" i="32"/>
  <c r="K174" i="32"/>
  <c r="N174" i="32"/>
  <c r="G174" i="32"/>
  <c r="J244" i="57"/>
  <c r="E244" i="57"/>
  <c r="H244" i="57"/>
  <c r="D244" i="57"/>
  <c r="C244" i="57"/>
  <c r="F244" i="57"/>
  <c r="G244" i="57"/>
  <c r="I244" i="57"/>
  <c r="AN243" i="55" a="1"/>
  <c r="AN243" i="55" s="1"/>
  <c r="B245" i="57" s="1"/>
  <c r="O245" i="57" s="1"/>
  <c r="AS229" i="67" a="1"/>
  <c r="AS229" i="67" s="1"/>
  <c r="B230" i="69"/>
  <c r="AM230" i="69" s="1"/>
  <c r="AN230" i="69" s="1"/>
  <c r="C229" i="69"/>
  <c r="R227" i="69"/>
  <c r="S227" i="69" s="1"/>
  <c r="AE227" i="69"/>
  <c r="D228" i="69"/>
  <c r="E228" i="69" s="1"/>
  <c r="AL174" i="11" a="1"/>
  <c r="AL174" i="11" s="1"/>
  <c r="E175" i="32" s="1"/>
  <c r="T175" i="32" s="1"/>
  <c r="AP184" i="59" a="1"/>
  <c r="AP184" i="59" s="1"/>
  <c r="E185" i="50" s="1"/>
  <c r="T185" i="50" s="1"/>
  <c r="AM59" i="11" a="1"/>
  <c r="AM59" i="11" s="1"/>
  <c r="AF241" i="57" l="1"/>
  <c r="AF243" i="53"/>
  <c r="AH181" i="50"/>
  <c r="AI181" i="50" s="1"/>
  <c r="AP181" i="50" s="1"/>
  <c r="AK244" i="57"/>
  <c r="P229" i="69"/>
  <c r="AP229" i="69"/>
  <c r="AJ240" i="57"/>
  <c r="O175" i="32"/>
  <c r="AK185" i="50"/>
  <c r="AL182" i="50"/>
  <c r="AG182" i="50"/>
  <c r="BC230" i="69"/>
  <c r="BF230" i="69"/>
  <c r="BE230" i="69"/>
  <c r="BD230" i="69"/>
  <c r="U174" i="32"/>
  <c r="AH245" i="57"/>
  <c r="AI245" i="57" s="1"/>
  <c r="K245" i="57"/>
  <c r="AQ185" i="50"/>
  <c r="N185" i="50"/>
  <c r="AO184" i="50"/>
  <c r="AW228" i="69"/>
  <c r="AX228" i="69"/>
  <c r="L230" i="69"/>
  <c r="M230" i="69" s="1"/>
  <c r="AZ230" i="69"/>
  <c r="Y227" i="69"/>
  <c r="AB227" i="69" s="1"/>
  <c r="AG226" i="69"/>
  <c r="U228" i="69"/>
  <c r="AH228" i="69"/>
  <c r="F228" i="69"/>
  <c r="G228" i="69" s="1"/>
  <c r="H228" i="69" s="1"/>
  <c r="I228" i="69" s="1"/>
  <c r="J228" i="69" s="1"/>
  <c r="K228" i="69" s="1"/>
  <c r="F175" i="32"/>
  <c r="AU175" i="32"/>
  <c r="AY185" i="50"/>
  <c r="F185" i="50"/>
  <c r="U185" i="50" s="1"/>
  <c r="AT173" i="32"/>
  <c r="AD173" i="32"/>
  <c r="AG173" i="32" s="1"/>
  <c r="AH173" i="32" s="1"/>
  <c r="AI173" i="32" s="1"/>
  <c r="AD183" i="50"/>
  <c r="AG244" i="57"/>
  <c r="X242" i="57"/>
  <c r="AB242" i="57" s="1"/>
  <c r="AA241" i="57"/>
  <c r="AD243" i="57"/>
  <c r="AE243" i="57"/>
  <c r="AC245" i="53"/>
  <c r="O245" i="53"/>
  <c r="Q229" i="69"/>
  <c r="AQ243" i="57"/>
  <c r="AC243" i="57"/>
  <c r="R243" i="57"/>
  <c r="Q243" i="57"/>
  <c r="P184" i="50"/>
  <c r="P174" i="32"/>
  <c r="N245" i="53"/>
  <c r="O185" i="50"/>
  <c r="AA243" i="53"/>
  <c r="AM174" i="32"/>
  <c r="AJ183" i="50"/>
  <c r="C183" i="50"/>
  <c r="S184" i="50"/>
  <c r="Z184" i="50" s="1"/>
  <c r="AJ173" i="32"/>
  <c r="W173" i="32"/>
  <c r="X173" i="32" s="1"/>
  <c r="C173" i="32"/>
  <c r="S174" i="32"/>
  <c r="W183" i="50"/>
  <c r="X182" i="50"/>
  <c r="V183" i="50"/>
  <c r="V173" i="32"/>
  <c r="AF228" i="69"/>
  <c r="P245" i="57"/>
  <c r="O230" i="69"/>
  <c r="AO229" i="69"/>
  <c r="AE244" i="53"/>
  <c r="AK175" i="32"/>
  <c r="AM184" i="50"/>
  <c r="AL172" i="32"/>
  <c r="AN171" i="32"/>
  <c r="R244" i="53"/>
  <c r="X244" i="53" s="1"/>
  <c r="AB244" i="53" s="1"/>
  <c r="AY228" i="69"/>
  <c r="L245" i="57"/>
  <c r="AT244" i="53"/>
  <c r="AG244" i="53"/>
  <c r="Q244" i="53"/>
  <c r="N245" i="57"/>
  <c r="AD244" i="53"/>
  <c r="I245" i="53"/>
  <c r="D245" i="53"/>
  <c r="L245" i="53"/>
  <c r="C245" i="53"/>
  <c r="H245" i="53"/>
  <c r="E245" i="53"/>
  <c r="G245" i="53"/>
  <c r="F245" i="53"/>
  <c r="AK244" i="52" a="1"/>
  <c r="AK244" i="52" s="1"/>
  <c r="B246" i="53" s="1"/>
  <c r="J245" i="53"/>
  <c r="P245" i="53"/>
  <c r="K245" i="53"/>
  <c r="AH245" i="53" s="1"/>
  <c r="A175" i="32"/>
  <c r="B175" i="32"/>
  <c r="G185" i="50"/>
  <c r="I185" i="50"/>
  <c r="H185" i="50"/>
  <c r="K185" i="50"/>
  <c r="M185" i="50"/>
  <c r="J185" i="50"/>
  <c r="B185" i="50"/>
  <c r="A185" i="50"/>
  <c r="L185" i="50"/>
  <c r="G175" i="32"/>
  <c r="J175" i="32"/>
  <c r="K175" i="32"/>
  <c r="N175" i="32"/>
  <c r="H175" i="32"/>
  <c r="I175" i="32"/>
  <c r="L175" i="32"/>
  <c r="M175" i="32"/>
  <c r="I245" i="57"/>
  <c r="D245" i="57"/>
  <c r="E245" i="57"/>
  <c r="H245" i="57"/>
  <c r="C245" i="57"/>
  <c r="G245" i="57"/>
  <c r="J245" i="57"/>
  <c r="F245" i="57"/>
  <c r="AN244" i="55" a="1"/>
  <c r="AN244" i="55" s="1"/>
  <c r="B246" i="57" s="1"/>
  <c r="O246" i="57" s="1"/>
  <c r="AS230" i="67" a="1"/>
  <c r="AS230" i="67" s="1"/>
  <c r="B231" i="69"/>
  <c r="AM231" i="69" s="1"/>
  <c r="AN231" i="69" s="1"/>
  <c r="D229" i="69"/>
  <c r="E229" i="69" s="1"/>
  <c r="AE228" i="69"/>
  <c r="R228" i="69"/>
  <c r="S228" i="69" s="1"/>
  <c r="C230" i="69"/>
  <c r="AL175" i="11" a="1"/>
  <c r="AL175" i="11" s="1"/>
  <c r="E176" i="32" s="1"/>
  <c r="T176" i="32" s="1"/>
  <c r="AP185" i="59" a="1"/>
  <c r="AP185" i="59" s="1"/>
  <c r="E186" i="50" s="1"/>
  <c r="T186" i="50" s="1"/>
  <c r="AM60" i="11" a="1"/>
  <c r="AM60" i="11" s="1"/>
  <c r="AF242" i="57" l="1"/>
  <c r="AF244" i="53"/>
  <c r="AH182" i="50"/>
  <c r="AI182" i="50" s="1"/>
  <c r="AP182" i="50" s="1"/>
  <c r="AK245" i="57"/>
  <c r="P230" i="69"/>
  <c r="AP230" i="69"/>
  <c r="AJ241" i="57"/>
  <c r="O176" i="32"/>
  <c r="AK186" i="50"/>
  <c r="AL183" i="50"/>
  <c r="AG183" i="50"/>
  <c r="BC231" i="69"/>
  <c r="BF231" i="69"/>
  <c r="BD231" i="69"/>
  <c r="BE231" i="69"/>
  <c r="U175" i="32"/>
  <c r="AH246" i="57"/>
  <c r="AI246" i="57" s="1"/>
  <c r="K246" i="57"/>
  <c r="AQ186" i="50"/>
  <c r="N186" i="50"/>
  <c r="AO185" i="50"/>
  <c r="AD174" i="32"/>
  <c r="AG174" i="32" s="1"/>
  <c r="AH174" i="32" s="1"/>
  <c r="AI174" i="32" s="1"/>
  <c r="AX229" i="69"/>
  <c r="AW229" i="69"/>
  <c r="L231" i="69"/>
  <c r="M231" i="69" s="1"/>
  <c r="AZ231" i="69"/>
  <c r="Y228" i="69"/>
  <c r="AG228" i="69" s="1"/>
  <c r="AG227" i="69"/>
  <c r="U229" i="69"/>
  <c r="AH229" i="69"/>
  <c r="F229" i="69"/>
  <c r="G229" i="69" s="1"/>
  <c r="H229" i="69" s="1"/>
  <c r="I229" i="69" s="1"/>
  <c r="J229" i="69" s="1"/>
  <c r="K229" i="69" s="1"/>
  <c r="F176" i="32"/>
  <c r="AU176" i="32"/>
  <c r="AY186" i="50"/>
  <c r="F186" i="50"/>
  <c r="U186" i="50" s="1"/>
  <c r="AT174" i="32"/>
  <c r="X243" i="57"/>
  <c r="AB243" i="57" s="1"/>
  <c r="AD184" i="50"/>
  <c r="AA242" i="57"/>
  <c r="AG245" i="57"/>
  <c r="AD244" i="57"/>
  <c r="AC246" i="53"/>
  <c r="O246" i="53"/>
  <c r="Q230" i="69"/>
  <c r="AE244" i="57"/>
  <c r="R244" i="57"/>
  <c r="Q244" i="57"/>
  <c r="AQ244" i="57"/>
  <c r="AC244" i="57"/>
  <c r="P185" i="50"/>
  <c r="P175" i="32"/>
  <c r="N246" i="53"/>
  <c r="O186" i="50"/>
  <c r="AA244" i="53"/>
  <c r="C174" i="32"/>
  <c r="Z174" i="32"/>
  <c r="AM175" i="32"/>
  <c r="C184" i="50"/>
  <c r="AJ184" i="50"/>
  <c r="S185" i="50"/>
  <c r="Z185" i="50" s="1"/>
  <c r="W174" i="32"/>
  <c r="X174" i="32" s="1"/>
  <c r="AJ174" i="32"/>
  <c r="S175" i="32"/>
  <c r="Z175" i="32" s="1"/>
  <c r="W184" i="50"/>
  <c r="X183" i="50"/>
  <c r="V184" i="50"/>
  <c r="V174" i="32"/>
  <c r="AF229" i="69"/>
  <c r="P246" i="57"/>
  <c r="AC227" i="69"/>
  <c r="AD227" i="69" s="1"/>
  <c r="O231" i="69"/>
  <c r="AO230" i="69"/>
  <c r="AE245" i="53"/>
  <c r="AK176" i="32"/>
  <c r="AM185" i="50"/>
  <c r="AL173" i="32"/>
  <c r="AN172" i="32"/>
  <c r="R245" i="53"/>
  <c r="X245" i="53" s="1"/>
  <c r="AB245" i="53" s="1"/>
  <c r="AY229" i="69"/>
  <c r="L246" i="57"/>
  <c r="AT245" i="53"/>
  <c r="AG245" i="53"/>
  <c r="N246" i="57"/>
  <c r="L246" i="53"/>
  <c r="Q245" i="53"/>
  <c r="AD245" i="53"/>
  <c r="I246" i="53"/>
  <c r="J246" i="53"/>
  <c r="F246" i="53"/>
  <c r="P246" i="53"/>
  <c r="G246" i="53"/>
  <c r="D246" i="53"/>
  <c r="C246" i="53"/>
  <c r="K246" i="53"/>
  <c r="AH246" i="53" s="1"/>
  <c r="AK245" i="52" a="1"/>
  <c r="AK245" i="52" s="1"/>
  <c r="B247" i="53" s="1"/>
  <c r="E246" i="53"/>
  <c r="H246" i="53"/>
  <c r="A176" i="32"/>
  <c r="B176" i="32"/>
  <c r="K186" i="50"/>
  <c r="B186" i="50"/>
  <c r="A186" i="50"/>
  <c r="G186" i="50"/>
  <c r="L186" i="50"/>
  <c r="J186" i="50"/>
  <c r="M186" i="50"/>
  <c r="H186" i="50"/>
  <c r="I186" i="50"/>
  <c r="M176" i="32"/>
  <c r="H176" i="32"/>
  <c r="I176" i="32"/>
  <c r="L176" i="32"/>
  <c r="G176" i="32"/>
  <c r="J176" i="32"/>
  <c r="K176" i="32"/>
  <c r="N176" i="32"/>
  <c r="C246" i="57"/>
  <c r="J246" i="57"/>
  <c r="H246" i="57"/>
  <c r="D246" i="57"/>
  <c r="F246" i="57"/>
  <c r="I246" i="57"/>
  <c r="E246" i="57"/>
  <c r="G246" i="57"/>
  <c r="AN245" i="55" a="1"/>
  <c r="AN245" i="55" s="1"/>
  <c r="B247" i="57" s="1"/>
  <c r="O247" i="57" s="1"/>
  <c r="C231" i="69"/>
  <c r="R229" i="69"/>
  <c r="S229" i="69" s="1"/>
  <c r="AE229" i="69"/>
  <c r="D230" i="69"/>
  <c r="E230" i="69" s="1"/>
  <c r="AS231" i="67" a="1"/>
  <c r="AS231" i="67" s="1"/>
  <c r="B232" i="69"/>
  <c r="AM232" i="69" s="1"/>
  <c r="AN232" i="69" s="1"/>
  <c r="AL176" i="11" a="1"/>
  <c r="AL176" i="11" s="1"/>
  <c r="E177" i="32" s="1"/>
  <c r="T177" i="32" s="1"/>
  <c r="AP186" i="59" a="1"/>
  <c r="AP186" i="59" s="1"/>
  <c r="E187" i="50" s="1"/>
  <c r="T187" i="50" s="1"/>
  <c r="AM61" i="11" a="1"/>
  <c r="AM61" i="11" s="1"/>
  <c r="AF245" i="53" l="1"/>
  <c r="AF243" i="57"/>
  <c r="AH183" i="50"/>
  <c r="AI183" i="50" s="1"/>
  <c r="AP183" i="50" s="1"/>
  <c r="AK246" i="57"/>
  <c r="P231" i="69"/>
  <c r="AP231" i="69"/>
  <c r="AJ242" i="57"/>
  <c r="O177" i="32"/>
  <c r="AK187" i="50"/>
  <c r="AL184" i="50"/>
  <c r="AG184" i="50"/>
  <c r="BC232" i="69"/>
  <c r="BE232" i="69"/>
  <c r="BF232" i="69"/>
  <c r="BD232" i="69"/>
  <c r="U176" i="32"/>
  <c r="K247" i="57"/>
  <c r="AH247" i="57"/>
  <c r="AI247" i="57" s="1"/>
  <c r="AQ187" i="50"/>
  <c r="N187" i="50"/>
  <c r="AO186" i="50"/>
  <c r="AX230" i="69"/>
  <c r="AW230" i="69"/>
  <c r="L232" i="69"/>
  <c r="M232" i="69" s="1"/>
  <c r="AZ232" i="69"/>
  <c r="AB228" i="69"/>
  <c r="AC228" i="69" s="1"/>
  <c r="AD228" i="69" s="1"/>
  <c r="Y229" i="69"/>
  <c r="AB229" i="69" s="1"/>
  <c r="F230" i="69"/>
  <c r="G230" i="69" s="1"/>
  <c r="H230" i="69" s="1"/>
  <c r="I230" i="69" s="1"/>
  <c r="J230" i="69" s="1"/>
  <c r="K230" i="69" s="1"/>
  <c r="U230" i="69"/>
  <c r="AH230" i="69"/>
  <c r="F177" i="32"/>
  <c r="AU177" i="32"/>
  <c r="F187" i="50"/>
  <c r="U187" i="50" s="1"/>
  <c r="AY187" i="50"/>
  <c r="AT175" i="32"/>
  <c r="AD175" i="32"/>
  <c r="AG175" i="32" s="1"/>
  <c r="AH175" i="32" s="1"/>
  <c r="AI175" i="32" s="1"/>
  <c r="AD185" i="50"/>
  <c r="X244" i="57"/>
  <c r="AG246" i="57"/>
  <c r="AA243" i="57"/>
  <c r="AC247" i="53"/>
  <c r="O247" i="53"/>
  <c r="Q231" i="69"/>
  <c r="AD245" i="57"/>
  <c r="R245" i="57"/>
  <c r="AE245" i="57"/>
  <c r="Q245" i="57"/>
  <c r="AQ245" i="57"/>
  <c r="AC245" i="57"/>
  <c r="P186" i="50"/>
  <c r="P176" i="32"/>
  <c r="N247" i="53"/>
  <c r="O187" i="50"/>
  <c r="AA245" i="53"/>
  <c r="AM176" i="32"/>
  <c r="AJ185" i="50"/>
  <c r="C185" i="50"/>
  <c r="S186" i="50"/>
  <c r="Z186" i="50" s="1"/>
  <c r="AJ175" i="32"/>
  <c r="W175" i="32"/>
  <c r="X175" i="32" s="1"/>
  <c r="C175" i="32"/>
  <c r="S176" i="32"/>
  <c r="W185" i="50"/>
  <c r="X184" i="50"/>
  <c r="V185" i="50"/>
  <c r="V175" i="32"/>
  <c r="AF230" i="69"/>
  <c r="P247" i="57"/>
  <c r="O232" i="69"/>
  <c r="AO231" i="69"/>
  <c r="AE246" i="53"/>
  <c r="AK177" i="32"/>
  <c r="AM186" i="50"/>
  <c r="AL174" i="32"/>
  <c r="R246" i="53"/>
  <c r="X246" i="53" s="1"/>
  <c r="AB246" i="53" s="1"/>
  <c r="AN173" i="32"/>
  <c r="AY230" i="69"/>
  <c r="L247" i="57"/>
  <c r="AT246" i="53"/>
  <c r="AG246" i="53"/>
  <c r="N247" i="57"/>
  <c r="K247" i="53"/>
  <c r="AH247" i="53" s="1"/>
  <c r="Q246" i="53"/>
  <c r="AD246" i="53"/>
  <c r="G247" i="53"/>
  <c r="L247" i="53"/>
  <c r="H247" i="53"/>
  <c r="E247" i="53"/>
  <c r="P247" i="53"/>
  <c r="F247" i="53"/>
  <c r="C247" i="53"/>
  <c r="I247" i="53"/>
  <c r="AK246" i="52" a="1"/>
  <c r="AK246" i="52" s="1"/>
  <c r="B248" i="53" s="1"/>
  <c r="J247" i="53"/>
  <c r="D247" i="53"/>
  <c r="A177" i="32"/>
  <c r="B177" i="32"/>
  <c r="I187" i="50"/>
  <c r="G187" i="50"/>
  <c r="M187" i="50"/>
  <c r="H187" i="50"/>
  <c r="J187" i="50"/>
  <c r="A187" i="50"/>
  <c r="B187" i="50"/>
  <c r="L187" i="50"/>
  <c r="K187" i="50"/>
  <c r="K177" i="32"/>
  <c r="N177" i="32"/>
  <c r="G177" i="32"/>
  <c r="J177" i="32"/>
  <c r="L177" i="32"/>
  <c r="M177" i="32"/>
  <c r="H177" i="32"/>
  <c r="I177" i="32"/>
  <c r="J247" i="57"/>
  <c r="E247" i="57"/>
  <c r="F247" i="57"/>
  <c r="I247" i="57"/>
  <c r="G247" i="57"/>
  <c r="D247" i="57"/>
  <c r="H247" i="57"/>
  <c r="C247" i="57"/>
  <c r="AN246" i="55" a="1"/>
  <c r="AN246" i="55" s="1"/>
  <c r="B248" i="57" s="1"/>
  <c r="O248" i="57" s="1"/>
  <c r="AS232" i="67" a="1"/>
  <c r="AS232" i="67" s="1"/>
  <c r="B233" i="69"/>
  <c r="AM233" i="69" s="1"/>
  <c r="AN233" i="69" s="1"/>
  <c r="D231" i="69"/>
  <c r="E231" i="69" s="1"/>
  <c r="C232" i="69"/>
  <c r="AE230" i="69"/>
  <c r="R230" i="69"/>
  <c r="S230" i="69" s="1"/>
  <c r="AL177" i="11" a="1"/>
  <c r="AL177" i="11" s="1"/>
  <c r="E178" i="32" s="1"/>
  <c r="T178" i="32" s="1"/>
  <c r="AP187" i="59" a="1"/>
  <c r="AP187" i="59" s="1"/>
  <c r="E188" i="50" s="1"/>
  <c r="T188" i="50" s="1"/>
  <c r="AM62" i="11" a="1"/>
  <c r="AM62" i="11" s="1"/>
  <c r="AA244" i="57" l="1"/>
  <c r="AB244" i="57"/>
  <c r="AF244" i="57" s="1"/>
  <c r="AF246" i="53"/>
  <c r="AH184" i="50"/>
  <c r="AI184" i="50" s="1"/>
  <c r="AP184" i="50" s="1"/>
  <c r="P232" i="69"/>
  <c r="AP232" i="69"/>
  <c r="AK247" i="57"/>
  <c r="AJ243" i="57"/>
  <c r="O178" i="32"/>
  <c r="AK188" i="50"/>
  <c r="AL185" i="50"/>
  <c r="AG185" i="50"/>
  <c r="BC233" i="69"/>
  <c r="BE233" i="69"/>
  <c r="BF233" i="69"/>
  <c r="BD233" i="69"/>
  <c r="U177" i="32"/>
  <c r="AH248" i="57"/>
  <c r="AI248" i="57" s="1"/>
  <c r="K248" i="57"/>
  <c r="AQ188" i="50"/>
  <c r="N188" i="50"/>
  <c r="AO187" i="50"/>
  <c r="AD176" i="32"/>
  <c r="AG176" i="32" s="1"/>
  <c r="AH176" i="32" s="1"/>
  <c r="AI176" i="32" s="1"/>
  <c r="AX231" i="69"/>
  <c r="AW231" i="69"/>
  <c r="L233" i="69"/>
  <c r="M233" i="69" s="1"/>
  <c r="AZ233" i="69"/>
  <c r="Y230" i="69"/>
  <c r="AG230" i="69" s="1"/>
  <c r="AG229" i="69"/>
  <c r="F231" i="69"/>
  <c r="G231" i="69" s="1"/>
  <c r="H231" i="69" s="1"/>
  <c r="I231" i="69" s="1"/>
  <c r="J231" i="69" s="1"/>
  <c r="K231" i="69" s="1"/>
  <c r="U231" i="69"/>
  <c r="AH231" i="69"/>
  <c r="F178" i="32"/>
  <c r="AU178" i="32"/>
  <c r="AY188" i="50"/>
  <c r="F188" i="50"/>
  <c r="U188" i="50" s="1"/>
  <c r="AT176" i="32"/>
  <c r="AD186" i="50"/>
  <c r="X245" i="57"/>
  <c r="AB245" i="57" s="1"/>
  <c r="AG247" i="57"/>
  <c r="Q246" i="57"/>
  <c r="AC248" i="53"/>
  <c r="O248" i="53"/>
  <c r="Q232" i="69"/>
  <c r="AD246" i="57"/>
  <c r="R246" i="57"/>
  <c r="AE246" i="57"/>
  <c r="AQ246" i="57"/>
  <c r="AC246" i="57"/>
  <c r="P187" i="50"/>
  <c r="P177" i="32"/>
  <c r="N248" i="53"/>
  <c r="O188" i="50"/>
  <c r="AA246" i="53"/>
  <c r="C176" i="32"/>
  <c r="Z176" i="32"/>
  <c r="AM177" i="32"/>
  <c r="C186" i="50"/>
  <c r="AJ186" i="50"/>
  <c r="S187" i="50"/>
  <c r="Z187" i="50" s="1"/>
  <c r="W176" i="32"/>
  <c r="X176" i="32" s="1"/>
  <c r="S177" i="32"/>
  <c r="Z177" i="32" s="1"/>
  <c r="AJ176" i="32"/>
  <c r="W186" i="50"/>
  <c r="X185" i="50"/>
  <c r="V186" i="50"/>
  <c r="V176" i="32"/>
  <c r="AF231" i="69"/>
  <c r="P248" i="57"/>
  <c r="AC229" i="69"/>
  <c r="AD229" i="69" s="1"/>
  <c r="O233" i="69"/>
  <c r="AO232" i="69"/>
  <c r="AE247" i="53"/>
  <c r="AK178" i="32"/>
  <c r="AM187" i="50"/>
  <c r="AL175" i="32"/>
  <c r="R247" i="53"/>
  <c r="X247" i="53" s="1"/>
  <c r="AB247" i="53" s="1"/>
  <c r="AN174" i="32"/>
  <c r="AY231" i="69"/>
  <c r="L248" i="57"/>
  <c r="AG247" i="53"/>
  <c r="AT247" i="53"/>
  <c r="N248" i="57"/>
  <c r="D248" i="53"/>
  <c r="AD247" i="53"/>
  <c r="Q247" i="53"/>
  <c r="L248" i="53"/>
  <c r="E248" i="53"/>
  <c r="C248" i="53"/>
  <c r="G248" i="53"/>
  <c r="AK247" i="52" a="1"/>
  <c r="AK247" i="52" s="1"/>
  <c r="B249" i="53" s="1"/>
  <c r="F248" i="53"/>
  <c r="K248" i="53"/>
  <c r="AH248" i="53" s="1"/>
  <c r="H248" i="53"/>
  <c r="J248" i="53"/>
  <c r="P248" i="53"/>
  <c r="I248" i="53"/>
  <c r="A178" i="32"/>
  <c r="B178" i="32"/>
  <c r="I188" i="50"/>
  <c r="B188" i="50"/>
  <c r="K188" i="50"/>
  <c r="G188" i="50"/>
  <c r="H188" i="50"/>
  <c r="L188" i="50"/>
  <c r="J188" i="50"/>
  <c r="M188" i="50"/>
  <c r="A188" i="50"/>
  <c r="I178" i="32"/>
  <c r="L178" i="32"/>
  <c r="M178" i="32"/>
  <c r="H178" i="32"/>
  <c r="G178" i="32"/>
  <c r="J178" i="32"/>
  <c r="K178" i="32"/>
  <c r="N178" i="32"/>
  <c r="D248" i="57"/>
  <c r="J248" i="57"/>
  <c r="G248" i="57"/>
  <c r="H248" i="57"/>
  <c r="C248" i="57"/>
  <c r="I248" i="57"/>
  <c r="E248" i="57"/>
  <c r="F248" i="57"/>
  <c r="AN247" i="55" a="1"/>
  <c r="AN247" i="55" s="1"/>
  <c r="B249" i="57" s="1"/>
  <c r="O249" i="57" s="1"/>
  <c r="C233" i="69"/>
  <c r="D232" i="69"/>
  <c r="E232" i="69" s="1"/>
  <c r="AE231" i="69"/>
  <c r="R231" i="69"/>
  <c r="S231" i="69" s="1"/>
  <c r="AS233" i="67" a="1"/>
  <c r="AS233" i="67" s="1"/>
  <c r="B234" i="69"/>
  <c r="AM234" i="69" s="1"/>
  <c r="AN234" i="69" s="1"/>
  <c r="AL178" i="11" a="1"/>
  <c r="AL178" i="11" s="1"/>
  <c r="E179" i="32" s="1"/>
  <c r="T179" i="32" s="1"/>
  <c r="AP188" i="59" a="1"/>
  <c r="AP188" i="59" s="1"/>
  <c r="E189" i="50" s="1"/>
  <c r="T189" i="50" s="1"/>
  <c r="AM63" i="11" a="1"/>
  <c r="AM63" i="11" s="1"/>
  <c r="AF245" i="57" l="1"/>
  <c r="AF247" i="53"/>
  <c r="AH185" i="50"/>
  <c r="AI185" i="50" s="1"/>
  <c r="AP185" i="50" s="1"/>
  <c r="AK248" i="57"/>
  <c r="P233" i="69"/>
  <c r="AP233" i="69"/>
  <c r="AJ244" i="57"/>
  <c r="O179" i="32"/>
  <c r="AK189" i="50"/>
  <c r="AL186" i="50"/>
  <c r="AG186" i="50"/>
  <c r="BC234" i="69"/>
  <c r="BE234" i="69"/>
  <c r="BF234" i="69"/>
  <c r="BD234" i="69"/>
  <c r="U178" i="32"/>
  <c r="AH249" i="57"/>
  <c r="AI249" i="57" s="1"/>
  <c r="K249" i="57"/>
  <c r="AQ189" i="50"/>
  <c r="N189" i="50"/>
  <c r="AO188" i="50"/>
  <c r="AX232" i="69"/>
  <c r="AW232" i="69"/>
  <c r="L234" i="69"/>
  <c r="M234" i="69" s="1"/>
  <c r="AZ234" i="69"/>
  <c r="AB230" i="69"/>
  <c r="AC230" i="69" s="1"/>
  <c r="AD230" i="69" s="1"/>
  <c r="Y231" i="69"/>
  <c r="AG231" i="69" s="1"/>
  <c r="U232" i="69"/>
  <c r="AH232" i="69"/>
  <c r="F232" i="69"/>
  <c r="G232" i="69" s="1"/>
  <c r="H232" i="69" s="1"/>
  <c r="I232" i="69" s="1"/>
  <c r="J232" i="69" s="1"/>
  <c r="K232" i="69" s="1"/>
  <c r="F179" i="32"/>
  <c r="AU179" i="32"/>
  <c r="AY189" i="50"/>
  <c r="F189" i="50"/>
  <c r="U189" i="50" s="1"/>
  <c r="AT177" i="32"/>
  <c r="AD177" i="32"/>
  <c r="AG177" i="32" s="1"/>
  <c r="AH177" i="32" s="1"/>
  <c r="AI177" i="32" s="1"/>
  <c r="AD187" i="50"/>
  <c r="X246" i="57"/>
  <c r="AB246" i="57" s="1"/>
  <c r="AG248" i="57"/>
  <c r="AQ247" i="57"/>
  <c r="AA245" i="57"/>
  <c r="Q247" i="57"/>
  <c r="AC249" i="53"/>
  <c r="O249" i="53"/>
  <c r="Q233" i="69"/>
  <c r="AE247" i="57"/>
  <c r="R247" i="57"/>
  <c r="AD247" i="57"/>
  <c r="AC247" i="57"/>
  <c r="P188" i="50"/>
  <c r="P178" i="32"/>
  <c r="N249" i="53"/>
  <c r="O189" i="50"/>
  <c r="AA247" i="53"/>
  <c r="AM178" i="32"/>
  <c r="AJ187" i="50"/>
  <c r="C187" i="50"/>
  <c r="S188" i="50"/>
  <c r="Z188" i="50" s="1"/>
  <c r="W177" i="32"/>
  <c r="X177" i="32" s="1"/>
  <c r="C177" i="32"/>
  <c r="AJ177" i="32"/>
  <c r="S178" i="32"/>
  <c r="Z178" i="32" s="1"/>
  <c r="W187" i="50"/>
  <c r="X186" i="50"/>
  <c r="V187" i="50"/>
  <c r="V177" i="32"/>
  <c r="AF232" i="69"/>
  <c r="P249" i="57"/>
  <c r="O234" i="69"/>
  <c r="AO233" i="69"/>
  <c r="AE248" i="53"/>
  <c r="AK179" i="32"/>
  <c r="AM188" i="50"/>
  <c r="AL176" i="32"/>
  <c r="AN175" i="32"/>
  <c r="R248" i="53"/>
  <c r="X248" i="53" s="1"/>
  <c r="AB248" i="53" s="1"/>
  <c r="AY232" i="69"/>
  <c r="L249" i="57"/>
  <c r="AT248" i="53"/>
  <c r="AG248" i="53"/>
  <c r="N249" i="57"/>
  <c r="K249" i="53"/>
  <c r="AH249" i="53" s="1"/>
  <c r="AD248" i="53"/>
  <c r="Q248" i="53"/>
  <c r="E249" i="53"/>
  <c r="C249" i="53"/>
  <c r="D249" i="53"/>
  <c r="P249" i="53"/>
  <c r="F249" i="53"/>
  <c r="AK248" i="52" a="1"/>
  <c r="AK248" i="52" s="1"/>
  <c r="B250" i="53" s="1"/>
  <c r="G249" i="53"/>
  <c r="H249" i="53"/>
  <c r="I249" i="53"/>
  <c r="J249" i="53"/>
  <c r="L249" i="53"/>
  <c r="A179" i="32"/>
  <c r="B179" i="32"/>
  <c r="J189" i="50"/>
  <c r="L189" i="50"/>
  <c r="A189" i="50"/>
  <c r="H189" i="50"/>
  <c r="I189" i="50"/>
  <c r="G189" i="50"/>
  <c r="M189" i="50"/>
  <c r="K189" i="50"/>
  <c r="B189" i="50"/>
  <c r="G179" i="32"/>
  <c r="J179" i="32"/>
  <c r="K179" i="32"/>
  <c r="N179" i="32"/>
  <c r="H179" i="32"/>
  <c r="I179" i="32"/>
  <c r="L179" i="32"/>
  <c r="M179" i="32"/>
  <c r="J249" i="57"/>
  <c r="I249" i="57"/>
  <c r="F249" i="57"/>
  <c r="E249" i="57"/>
  <c r="D249" i="57"/>
  <c r="C249" i="57"/>
  <c r="H249" i="57"/>
  <c r="G249" i="57"/>
  <c r="AN248" i="55" a="1"/>
  <c r="AN248" i="55" s="1"/>
  <c r="B250" i="57" s="1"/>
  <c r="O250" i="57" s="1"/>
  <c r="AS234" i="67" a="1"/>
  <c r="AS234" i="67" s="1"/>
  <c r="B235" i="69"/>
  <c r="AM235" i="69" s="1"/>
  <c r="AN235" i="69" s="1"/>
  <c r="C234" i="69"/>
  <c r="R232" i="69"/>
  <c r="S232" i="69" s="1"/>
  <c r="AE232" i="69"/>
  <c r="D233" i="69"/>
  <c r="E233" i="69" s="1"/>
  <c r="AL179" i="11" a="1"/>
  <c r="AL179" i="11" s="1"/>
  <c r="E180" i="32" s="1"/>
  <c r="T180" i="32" s="1"/>
  <c r="AP189" i="59" a="1"/>
  <c r="AP189" i="59" s="1"/>
  <c r="E190" i="50" s="1"/>
  <c r="T190" i="50" s="1"/>
  <c r="AM64" i="11" a="1"/>
  <c r="AM64" i="11" s="1"/>
  <c r="AF248" i="53" l="1"/>
  <c r="AF246" i="57"/>
  <c r="AH186" i="50"/>
  <c r="AI186" i="50" s="1"/>
  <c r="AP186" i="50" s="1"/>
  <c r="P234" i="69"/>
  <c r="AP234" i="69"/>
  <c r="AK249" i="57"/>
  <c r="AJ245" i="57"/>
  <c r="O180" i="32"/>
  <c r="AK190" i="50"/>
  <c r="AL187" i="50"/>
  <c r="AG187" i="50"/>
  <c r="BC235" i="69"/>
  <c r="BE235" i="69"/>
  <c r="BF235" i="69"/>
  <c r="BD235" i="69"/>
  <c r="U179" i="32"/>
  <c r="AH250" i="57"/>
  <c r="AI250" i="57" s="1"/>
  <c r="K250" i="57"/>
  <c r="N190" i="50"/>
  <c r="AQ190" i="50"/>
  <c r="AO189" i="50"/>
  <c r="AX233" i="69"/>
  <c r="AW233" i="69"/>
  <c r="L235" i="69"/>
  <c r="M235" i="69" s="1"/>
  <c r="AZ235" i="69"/>
  <c r="Y232" i="69"/>
  <c r="AG232" i="69" s="1"/>
  <c r="AB231" i="69"/>
  <c r="AC231" i="69" s="1"/>
  <c r="AD231" i="69" s="1"/>
  <c r="F233" i="69"/>
  <c r="G233" i="69" s="1"/>
  <c r="H233" i="69" s="1"/>
  <c r="I233" i="69" s="1"/>
  <c r="J233" i="69" s="1"/>
  <c r="K233" i="69" s="1"/>
  <c r="U233" i="69"/>
  <c r="AH233" i="69"/>
  <c r="F180" i="32"/>
  <c r="AU180" i="32"/>
  <c r="AY190" i="50"/>
  <c r="F190" i="50"/>
  <c r="U190" i="50" s="1"/>
  <c r="AT178" i="32"/>
  <c r="AD178" i="32"/>
  <c r="AG178" i="32" s="1"/>
  <c r="AH178" i="32" s="1"/>
  <c r="AI178" i="32" s="1"/>
  <c r="AD188" i="50"/>
  <c r="X247" i="57"/>
  <c r="AG249" i="57"/>
  <c r="AA246" i="57"/>
  <c r="R248" i="57"/>
  <c r="Q248" i="57"/>
  <c r="AC250" i="53"/>
  <c r="O250" i="53"/>
  <c r="Q234" i="69"/>
  <c r="AQ248" i="57"/>
  <c r="AE248" i="57"/>
  <c r="AD248" i="57"/>
  <c r="AC248" i="57"/>
  <c r="P189" i="50"/>
  <c r="P179" i="32"/>
  <c r="N250" i="53"/>
  <c r="O190" i="50"/>
  <c r="AA248" i="53"/>
  <c r="AM179" i="32"/>
  <c r="C188" i="50"/>
  <c r="AJ188" i="50"/>
  <c r="S189" i="50"/>
  <c r="Z189" i="50" s="1"/>
  <c r="C178" i="32"/>
  <c r="AJ178" i="32"/>
  <c r="W178" i="32"/>
  <c r="X178" i="32" s="1"/>
  <c r="S179" i="32"/>
  <c r="Z179" i="32" s="1"/>
  <c r="W188" i="50"/>
  <c r="X187" i="50"/>
  <c r="V188" i="50"/>
  <c r="V178" i="32"/>
  <c r="AF233" i="69"/>
  <c r="P250" i="57"/>
  <c r="AO234" i="69"/>
  <c r="O235" i="69"/>
  <c r="AE249" i="53"/>
  <c r="AK180" i="32"/>
  <c r="AM189" i="50"/>
  <c r="AL177" i="32"/>
  <c r="AN176" i="32"/>
  <c r="R249" i="53"/>
  <c r="X249" i="53" s="1"/>
  <c r="AB249" i="53" s="1"/>
  <c r="AY233" i="69"/>
  <c r="L250" i="57"/>
  <c r="AT249" i="53"/>
  <c r="AG249" i="53"/>
  <c r="N250" i="57"/>
  <c r="AD249" i="53"/>
  <c r="Q249" i="53"/>
  <c r="AK249" i="52" a="1"/>
  <c r="AK249" i="52" s="1"/>
  <c r="B251" i="53" s="1"/>
  <c r="J250" i="53"/>
  <c r="H250" i="53"/>
  <c r="I250" i="53"/>
  <c r="F250" i="53"/>
  <c r="E250" i="53"/>
  <c r="D250" i="53"/>
  <c r="L250" i="53"/>
  <c r="C250" i="53"/>
  <c r="G250" i="53"/>
  <c r="P250" i="53"/>
  <c r="K250" i="53"/>
  <c r="AH250" i="53" s="1"/>
  <c r="A180" i="32"/>
  <c r="B180" i="32"/>
  <c r="A190" i="50"/>
  <c r="G190" i="50"/>
  <c r="H190" i="50"/>
  <c r="J190" i="50"/>
  <c r="I190" i="50"/>
  <c r="L190" i="50"/>
  <c r="M190" i="50"/>
  <c r="B190" i="50"/>
  <c r="K190" i="50"/>
  <c r="M180" i="32"/>
  <c r="H180" i="32"/>
  <c r="I180" i="32"/>
  <c r="L180" i="32"/>
  <c r="N180" i="32"/>
  <c r="G180" i="32"/>
  <c r="J180" i="32"/>
  <c r="K180" i="32"/>
  <c r="C250" i="57"/>
  <c r="H250" i="57"/>
  <c r="I250" i="57"/>
  <c r="E250" i="57"/>
  <c r="D250" i="57"/>
  <c r="F250" i="57"/>
  <c r="G250" i="57"/>
  <c r="J250" i="57"/>
  <c r="AN249" i="55" a="1"/>
  <c r="AN249" i="55" s="1"/>
  <c r="B251" i="57" s="1"/>
  <c r="O251" i="57" s="1"/>
  <c r="AS235" i="67" a="1"/>
  <c r="AS235" i="67" s="1"/>
  <c r="B236" i="69"/>
  <c r="AM236" i="69" s="1"/>
  <c r="AN236" i="69" s="1"/>
  <c r="R233" i="69"/>
  <c r="S233" i="69" s="1"/>
  <c r="AE233" i="69"/>
  <c r="C235" i="69"/>
  <c r="D234" i="69"/>
  <c r="E234" i="69" s="1"/>
  <c r="AL180" i="11" a="1"/>
  <c r="AL180" i="11" s="1"/>
  <c r="E181" i="32" s="1"/>
  <c r="T181" i="32" s="1"/>
  <c r="AP190" i="59" a="1"/>
  <c r="AP190" i="59" s="1"/>
  <c r="E191" i="50" s="1"/>
  <c r="T191" i="50" s="1"/>
  <c r="AM65" i="11" a="1"/>
  <c r="AM65" i="11" s="1"/>
  <c r="AA247" i="57" l="1"/>
  <c r="AB247" i="57"/>
  <c r="AF247" i="57" s="1"/>
  <c r="AF249" i="53"/>
  <c r="AH187" i="50"/>
  <c r="AI187" i="50" s="1"/>
  <c r="AP187" i="50" s="1"/>
  <c r="AK250" i="57"/>
  <c r="P235" i="69"/>
  <c r="AP235" i="69"/>
  <c r="AJ246" i="57"/>
  <c r="O181" i="32"/>
  <c r="AK191" i="50"/>
  <c r="AL188" i="50"/>
  <c r="AG188" i="50"/>
  <c r="BC236" i="69"/>
  <c r="BE236" i="69"/>
  <c r="BF236" i="69"/>
  <c r="BD236" i="69"/>
  <c r="U180" i="32"/>
  <c r="AH251" i="57"/>
  <c r="AI251" i="57" s="1"/>
  <c r="K251" i="57"/>
  <c r="N191" i="50"/>
  <c r="AQ191" i="50"/>
  <c r="AO190" i="50"/>
  <c r="AX234" i="69"/>
  <c r="AW234" i="69"/>
  <c r="L236" i="69"/>
  <c r="M236" i="69" s="1"/>
  <c r="AZ236" i="69"/>
  <c r="Y233" i="69"/>
  <c r="AB233" i="69" s="1"/>
  <c r="AC233" i="69" s="1"/>
  <c r="AD233" i="69" s="1"/>
  <c r="AB232" i="69"/>
  <c r="AC232" i="69" s="1"/>
  <c r="AD232" i="69" s="1"/>
  <c r="U234" i="69"/>
  <c r="AH234" i="69"/>
  <c r="F234" i="69"/>
  <c r="G234" i="69" s="1"/>
  <c r="H234" i="69" s="1"/>
  <c r="I234" i="69" s="1"/>
  <c r="J234" i="69" s="1"/>
  <c r="K234" i="69" s="1"/>
  <c r="F181" i="32"/>
  <c r="AU181" i="32"/>
  <c r="AY191" i="50"/>
  <c r="F191" i="50"/>
  <c r="U191" i="50" s="1"/>
  <c r="AT179" i="32"/>
  <c r="AD179" i="32"/>
  <c r="AG179" i="32" s="1"/>
  <c r="AH179" i="32" s="1"/>
  <c r="AI179" i="32" s="1"/>
  <c r="AD189" i="50"/>
  <c r="X248" i="57"/>
  <c r="AB248" i="57" s="1"/>
  <c r="AG250" i="57"/>
  <c r="Q249" i="57"/>
  <c r="AD249" i="57"/>
  <c r="AC251" i="53"/>
  <c r="O251" i="53"/>
  <c r="Q235" i="69"/>
  <c r="R249" i="57"/>
  <c r="AQ249" i="57"/>
  <c r="AC249" i="57"/>
  <c r="AE249" i="57"/>
  <c r="P190" i="50"/>
  <c r="P180" i="32"/>
  <c r="N251" i="53"/>
  <c r="O191" i="50"/>
  <c r="AA249" i="53"/>
  <c r="AM180" i="32"/>
  <c r="C189" i="50"/>
  <c r="AJ189" i="50"/>
  <c r="S190" i="50"/>
  <c r="Z190" i="50" s="1"/>
  <c r="C179" i="32"/>
  <c r="AJ179" i="32"/>
  <c r="W179" i="32"/>
  <c r="X179" i="32" s="1"/>
  <c r="S180" i="32"/>
  <c r="Z180" i="32" s="1"/>
  <c r="W189" i="50"/>
  <c r="X188" i="50"/>
  <c r="V189" i="50"/>
  <c r="V179" i="32"/>
  <c r="AF234" i="69"/>
  <c r="P251" i="57"/>
  <c r="O236" i="69"/>
  <c r="AO235" i="69"/>
  <c r="AE250" i="53"/>
  <c r="AK181" i="32"/>
  <c r="AM190" i="50"/>
  <c r="AL178" i="32"/>
  <c r="AN177" i="32"/>
  <c r="R250" i="53"/>
  <c r="X250" i="53" s="1"/>
  <c r="AB250" i="53" s="1"/>
  <c r="AY234" i="69"/>
  <c r="L251" i="57"/>
  <c r="AG250" i="53"/>
  <c r="Q250" i="53"/>
  <c r="AT250" i="53"/>
  <c r="AD250" i="53"/>
  <c r="N251" i="57"/>
  <c r="G251" i="53"/>
  <c r="I251" i="53"/>
  <c r="J251" i="53"/>
  <c r="K251" i="53"/>
  <c r="AH251" i="53" s="1"/>
  <c r="P251" i="53"/>
  <c r="AK250" i="52" a="1"/>
  <c r="AK250" i="52" s="1"/>
  <c r="B252" i="53" s="1"/>
  <c r="H251" i="53"/>
  <c r="C251" i="53"/>
  <c r="E251" i="53"/>
  <c r="F251" i="53"/>
  <c r="L251" i="53"/>
  <c r="D251" i="53"/>
  <c r="A181" i="32"/>
  <c r="B181" i="32"/>
  <c r="I191" i="50"/>
  <c r="A191" i="50"/>
  <c r="M191" i="50"/>
  <c r="K191" i="50"/>
  <c r="H191" i="50"/>
  <c r="B191" i="50"/>
  <c r="L191" i="50"/>
  <c r="G191" i="50"/>
  <c r="J191" i="50"/>
  <c r="K181" i="32"/>
  <c r="N181" i="32"/>
  <c r="G181" i="32"/>
  <c r="J181" i="32"/>
  <c r="H181" i="32"/>
  <c r="I181" i="32"/>
  <c r="L181" i="32"/>
  <c r="M181" i="32"/>
  <c r="H251" i="57"/>
  <c r="D251" i="57"/>
  <c r="E251" i="57"/>
  <c r="J251" i="57"/>
  <c r="F251" i="57"/>
  <c r="C251" i="57"/>
  <c r="G251" i="57"/>
  <c r="I251" i="57"/>
  <c r="AN250" i="55" a="1"/>
  <c r="AN250" i="55" s="1"/>
  <c r="B252" i="57" s="1"/>
  <c r="O252" i="57" s="1"/>
  <c r="AS236" i="67" a="1"/>
  <c r="AS236" i="67" s="1"/>
  <c r="B237" i="69"/>
  <c r="AM237" i="69" s="1"/>
  <c r="AN237" i="69" s="1"/>
  <c r="D235" i="69"/>
  <c r="E235" i="69" s="1"/>
  <c r="AE234" i="69"/>
  <c r="R234" i="69"/>
  <c r="S234" i="69" s="1"/>
  <c r="C236" i="69"/>
  <c r="AL181" i="11" a="1"/>
  <c r="AL181" i="11" s="1"/>
  <c r="AP191" i="59" a="1"/>
  <c r="AP191" i="59" s="1"/>
  <c r="E192" i="50" s="1"/>
  <c r="T192" i="50" s="1"/>
  <c r="AM66" i="11" a="1"/>
  <c r="AM66" i="11" s="1"/>
  <c r="AF248" i="57" l="1"/>
  <c r="AF250" i="53"/>
  <c r="AH188" i="50"/>
  <c r="AI188" i="50" s="1"/>
  <c r="AP188" i="50" s="1"/>
  <c r="AK251" i="57"/>
  <c r="P236" i="69"/>
  <c r="AP236" i="69"/>
  <c r="AJ247" i="57"/>
  <c r="AK192" i="50"/>
  <c r="AL189" i="50"/>
  <c r="AG189" i="50"/>
  <c r="BC237" i="69"/>
  <c r="BF237" i="69"/>
  <c r="BE237" i="69"/>
  <c r="BD237" i="69"/>
  <c r="U181" i="32"/>
  <c r="AH252" i="57"/>
  <c r="AI252" i="57" s="1"/>
  <c r="K252" i="57"/>
  <c r="AQ192" i="50"/>
  <c r="N192" i="50"/>
  <c r="AO191" i="50"/>
  <c r="AX235" i="69"/>
  <c r="AW235" i="69"/>
  <c r="L237" i="69"/>
  <c r="M237" i="69" s="1"/>
  <c r="AZ237" i="69"/>
  <c r="AG233" i="69"/>
  <c r="Y234" i="69"/>
  <c r="AG234" i="69" s="1"/>
  <c r="F235" i="69"/>
  <c r="G235" i="69" s="1"/>
  <c r="H235" i="69" s="1"/>
  <c r="I235" i="69" s="1"/>
  <c r="J235" i="69" s="1"/>
  <c r="K235" i="69" s="1"/>
  <c r="U235" i="69"/>
  <c r="AH235" i="69"/>
  <c r="AY192" i="50"/>
  <c r="F192" i="50"/>
  <c r="U192" i="50" s="1"/>
  <c r="AT180" i="32"/>
  <c r="AD180" i="32"/>
  <c r="AG180" i="32" s="1"/>
  <c r="AH180" i="32" s="1"/>
  <c r="AI180" i="32" s="1"/>
  <c r="AD190" i="50"/>
  <c r="AA248" i="57"/>
  <c r="AG251" i="57"/>
  <c r="X249" i="57"/>
  <c r="AB249" i="57" s="1"/>
  <c r="AQ250" i="57"/>
  <c r="AC252" i="53"/>
  <c r="O252" i="53"/>
  <c r="Q236" i="69"/>
  <c r="AE250" i="57"/>
  <c r="Q250" i="57"/>
  <c r="AD250" i="57"/>
  <c r="AC250" i="57"/>
  <c r="R250" i="57"/>
  <c r="P191" i="50"/>
  <c r="P181" i="32"/>
  <c r="N252" i="53"/>
  <c r="O192" i="50"/>
  <c r="AA250" i="53"/>
  <c r="AM181" i="32"/>
  <c r="C190" i="50"/>
  <c r="AJ190" i="50"/>
  <c r="S191" i="50"/>
  <c r="Z191" i="50" s="1"/>
  <c r="C180" i="32"/>
  <c r="AJ180" i="32"/>
  <c r="S181" i="32"/>
  <c r="Z181" i="32" s="1"/>
  <c r="W190" i="50"/>
  <c r="W180" i="32"/>
  <c r="X180" i="32" s="1"/>
  <c r="X189" i="50"/>
  <c r="V190" i="50"/>
  <c r="AF235" i="69"/>
  <c r="P252" i="57"/>
  <c r="O237" i="69"/>
  <c r="AO236" i="69"/>
  <c r="AE251" i="53"/>
  <c r="AM191" i="50"/>
  <c r="AL179" i="32"/>
  <c r="AN178" i="32"/>
  <c r="R251" i="53"/>
  <c r="X251" i="53" s="1"/>
  <c r="AB251" i="53" s="1"/>
  <c r="AY235" i="69"/>
  <c r="L252" i="57"/>
  <c r="AT251" i="53"/>
  <c r="AG251" i="53"/>
  <c r="N252" i="57"/>
  <c r="V180" i="32"/>
  <c r="AD251" i="53"/>
  <c r="Q251" i="53"/>
  <c r="F252" i="53"/>
  <c r="L252" i="53"/>
  <c r="H252" i="53"/>
  <c r="D252" i="53"/>
  <c r="E252" i="53"/>
  <c r="G252" i="53"/>
  <c r="K252" i="53"/>
  <c r="AH252" i="53" s="1"/>
  <c r="C252" i="53"/>
  <c r="J252" i="53"/>
  <c r="AK251" i="52" a="1"/>
  <c r="AK251" i="52" s="1"/>
  <c r="B253" i="53" s="1"/>
  <c r="P252" i="53"/>
  <c r="I252" i="53"/>
  <c r="G192" i="50"/>
  <c r="H192" i="50"/>
  <c r="M192" i="50"/>
  <c r="L192" i="50"/>
  <c r="B192" i="50"/>
  <c r="K192" i="50"/>
  <c r="I192" i="50"/>
  <c r="J192" i="50"/>
  <c r="A192" i="50"/>
  <c r="F252" i="57"/>
  <c r="J252" i="57"/>
  <c r="E252" i="57"/>
  <c r="H252" i="57"/>
  <c r="G252" i="57"/>
  <c r="D252" i="57"/>
  <c r="I252" i="57"/>
  <c r="C252" i="57"/>
  <c r="E182" i="32"/>
  <c r="T182" i="32" s="1"/>
  <c r="AN251" i="55" a="1"/>
  <c r="AN251" i="55" s="1"/>
  <c r="B253" i="57" s="1"/>
  <c r="O253" i="57" s="1"/>
  <c r="C237" i="69"/>
  <c r="R235" i="69"/>
  <c r="S235" i="69" s="1"/>
  <c r="AE235" i="69"/>
  <c r="D236" i="69"/>
  <c r="E236" i="69" s="1"/>
  <c r="AS237" i="67" a="1"/>
  <c r="AS237" i="67" s="1"/>
  <c r="B238" i="69"/>
  <c r="AM238" i="69" s="1"/>
  <c r="AN238" i="69" s="1"/>
  <c r="AL182" i="11" a="1"/>
  <c r="AL182" i="11" s="1"/>
  <c r="E183" i="32" s="1"/>
  <c r="T183" i="32" s="1"/>
  <c r="AP192" i="59" a="1"/>
  <c r="AP192" i="59" s="1"/>
  <c r="E193" i="50" s="1"/>
  <c r="T193" i="50" s="1"/>
  <c r="AM67" i="11" a="1"/>
  <c r="AM67" i="11" s="1"/>
  <c r="AF249" i="57" l="1"/>
  <c r="AF251" i="53"/>
  <c r="AH189" i="50"/>
  <c r="AI189" i="50" s="1"/>
  <c r="AP189" i="50" s="1"/>
  <c r="AK252" i="57"/>
  <c r="P237" i="69"/>
  <c r="AP237" i="69"/>
  <c r="AJ248" i="57"/>
  <c r="O183" i="32"/>
  <c r="O182" i="32"/>
  <c r="AK193" i="50"/>
  <c r="AL190" i="50"/>
  <c r="AG190" i="50"/>
  <c r="BC238" i="69"/>
  <c r="BF238" i="69"/>
  <c r="BE238" i="69"/>
  <c r="BD238" i="69"/>
  <c r="AH253" i="57"/>
  <c r="AI253" i="57" s="1"/>
  <c r="K253" i="57"/>
  <c r="AQ193" i="50"/>
  <c r="N193" i="50"/>
  <c r="AO192" i="50"/>
  <c r="AW236" i="69"/>
  <c r="AX236" i="69"/>
  <c r="L238" i="69"/>
  <c r="M238" i="69" s="1"/>
  <c r="AZ238" i="69"/>
  <c r="AB234" i="69"/>
  <c r="AC234" i="69" s="1"/>
  <c r="AD234" i="69" s="1"/>
  <c r="F236" i="69"/>
  <c r="G236" i="69" s="1"/>
  <c r="H236" i="69" s="1"/>
  <c r="I236" i="69" s="1"/>
  <c r="J236" i="69" s="1"/>
  <c r="K236" i="69" s="1"/>
  <c r="U236" i="69"/>
  <c r="AH236" i="69"/>
  <c r="F183" i="32"/>
  <c r="AU183" i="32"/>
  <c r="F182" i="32"/>
  <c r="AU182" i="32"/>
  <c r="AY193" i="50"/>
  <c r="F193" i="50"/>
  <c r="U193" i="50" s="1"/>
  <c r="AT181" i="32"/>
  <c r="Y235" i="69"/>
  <c r="AB235" i="69" s="1"/>
  <c r="AC235" i="69" s="1"/>
  <c r="AD235" i="69" s="1"/>
  <c r="AD181" i="32"/>
  <c r="AG181" i="32" s="1"/>
  <c r="AH181" i="32" s="1"/>
  <c r="AI181" i="32" s="1"/>
  <c r="AD191" i="50"/>
  <c r="AG252" i="57"/>
  <c r="X250" i="57"/>
  <c r="AA249" i="57"/>
  <c r="AQ251" i="57"/>
  <c r="AC251" i="57"/>
  <c r="AE251" i="57"/>
  <c r="AD251" i="57"/>
  <c r="Q251" i="57"/>
  <c r="R251" i="57"/>
  <c r="AC253" i="53"/>
  <c r="O253" i="53"/>
  <c r="Q237" i="69"/>
  <c r="P192" i="50"/>
  <c r="N253" i="53"/>
  <c r="O193" i="50"/>
  <c r="AA251" i="53"/>
  <c r="AJ191" i="50"/>
  <c r="C191" i="50"/>
  <c r="S192" i="50"/>
  <c r="Z192" i="50" s="1"/>
  <c r="W181" i="32"/>
  <c r="X181" i="32" s="1"/>
  <c r="AJ181" i="32"/>
  <c r="C181" i="32"/>
  <c r="W191" i="50"/>
  <c r="X190" i="50"/>
  <c r="V191" i="50"/>
  <c r="V181" i="32"/>
  <c r="AF236" i="69"/>
  <c r="P253" i="57"/>
  <c r="O238" i="69"/>
  <c r="AO237" i="69"/>
  <c r="AE252" i="53"/>
  <c r="AK183" i="32"/>
  <c r="AK182" i="32"/>
  <c r="AM192" i="50"/>
  <c r="AL180" i="32"/>
  <c r="R252" i="53"/>
  <c r="X252" i="53" s="1"/>
  <c r="AB252" i="53" s="1"/>
  <c r="AN179" i="32"/>
  <c r="AY236" i="69"/>
  <c r="L253" i="57"/>
  <c r="AG252" i="53"/>
  <c r="AT252" i="53"/>
  <c r="N253" i="57"/>
  <c r="F253" i="53"/>
  <c r="AD252" i="53"/>
  <c r="Q252" i="53"/>
  <c r="K253" i="53"/>
  <c r="AH253" i="53" s="1"/>
  <c r="C253" i="53"/>
  <c r="H253" i="53"/>
  <c r="I253" i="53"/>
  <c r="P253" i="53"/>
  <c r="G253" i="53"/>
  <c r="J253" i="53"/>
  <c r="E253" i="53"/>
  <c r="AK252" i="52" a="1"/>
  <c r="AK252" i="52" s="1"/>
  <c r="B254" i="53" s="1"/>
  <c r="L253" i="53"/>
  <c r="D253" i="53"/>
  <c r="A183" i="32"/>
  <c r="B183" i="32"/>
  <c r="A182" i="32"/>
  <c r="B182" i="32"/>
  <c r="H193" i="50"/>
  <c r="B193" i="50"/>
  <c r="J193" i="50"/>
  <c r="I193" i="50"/>
  <c r="A193" i="50"/>
  <c r="G193" i="50"/>
  <c r="M193" i="50"/>
  <c r="K193" i="50"/>
  <c r="L193" i="50"/>
  <c r="I182" i="32"/>
  <c r="L182" i="32"/>
  <c r="M182" i="32"/>
  <c r="H182" i="32"/>
  <c r="J182" i="32"/>
  <c r="K182" i="32"/>
  <c r="N182" i="32"/>
  <c r="G182" i="32"/>
  <c r="G183" i="32"/>
  <c r="J183" i="32"/>
  <c r="K183" i="32"/>
  <c r="N183" i="32"/>
  <c r="H183" i="32"/>
  <c r="I183" i="32"/>
  <c r="L183" i="32"/>
  <c r="M183" i="32"/>
  <c r="H253" i="57"/>
  <c r="F253" i="57"/>
  <c r="D253" i="57"/>
  <c r="I253" i="57"/>
  <c r="E253" i="57"/>
  <c r="J253" i="57"/>
  <c r="G253" i="57"/>
  <c r="C253" i="57"/>
  <c r="AN252" i="55" a="1"/>
  <c r="AN252" i="55" s="1"/>
  <c r="B254" i="57" s="1"/>
  <c r="O254" i="57" s="1"/>
  <c r="D237" i="69"/>
  <c r="E237" i="69" s="1"/>
  <c r="R236" i="69"/>
  <c r="S236" i="69" s="1"/>
  <c r="AE236" i="69"/>
  <c r="AS238" i="67" a="1"/>
  <c r="AS238" i="67" s="1"/>
  <c r="B239" i="69"/>
  <c r="AM239" i="69" s="1"/>
  <c r="AN239" i="69" s="1"/>
  <c r="C238" i="69"/>
  <c r="AL183" i="11" a="1"/>
  <c r="AL183" i="11" s="1"/>
  <c r="E184" i="32" s="1"/>
  <c r="T184" i="32" s="1"/>
  <c r="AP193" i="59" a="1"/>
  <c r="AP193" i="59" s="1"/>
  <c r="E194" i="50" s="1"/>
  <c r="T194" i="50" s="1"/>
  <c r="AM68" i="11" a="1"/>
  <c r="AM68" i="11" s="1"/>
  <c r="AA250" i="57" l="1"/>
  <c r="AB250" i="57"/>
  <c r="AF250" i="57" s="1"/>
  <c r="AF252" i="53"/>
  <c r="AH190" i="50"/>
  <c r="AI190" i="50" s="1"/>
  <c r="AP190" i="50" s="1"/>
  <c r="AK253" i="57"/>
  <c r="P238" i="69"/>
  <c r="AP238" i="69"/>
  <c r="AJ249" i="57"/>
  <c r="AL191" i="50"/>
  <c r="O184" i="32"/>
  <c r="AK194" i="50"/>
  <c r="AG191" i="50"/>
  <c r="BC239" i="69"/>
  <c r="BF239" i="69"/>
  <c r="BD239" i="69"/>
  <c r="BE239" i="69"/>
  <c r="U182" i="32"/>
  <c r="U183" i="32"/>
  <c r="AH254" i="57"/>
  <c r="AI254" i="57" s="1"/>
  <c r="K254" i="57"/>
  <c r="AQ194" i="50"/>
  <c r="N194" i="50"/>
  <c r="AO193" i="50"/>
  <c r="AX237" i="69"/>
  <c r="AW237" i="69"/>
  <c r="L239" i="69"/>
  <c r="M239" i="69" s="1"/>
  <c r="AZ239" i="69"/>
  <c r="Y236" i="69"/>
  <c r="AG236" i="69" s="1"/>
  <c r="F237" i="69"/>
  <c r="G237" i="69" s="1"/>
  <c r="H237" i="69" s="1"/>
  <c r="I237" i="69" s="1"/>
  <c r="J237" i="69" s="1"/>
  <c r="K237" i="69" s="1"/>
  <c r="U237" i="69"/>
  <c r="AH237" i="69"/>
  <c r="F184" i="32"/>
  <c r="AU184" i="32"/>
  <c r="AY194" i="50"/>
  <c r="F194" i="50"/>
  <c r="U194" i="50" s="1"/>
  <c r="X251" i="57"/>
  <c r="AB251" i="57" s="1"/>
  <c r="AG235" i="69"/>
  <c r="AD192" i="50"/>
  <c r="AG253" i="57"/>
  <c r="AD252" i="57"/>
  <c r="Q252" i="57"/>
  <c r="AC252" i="57"/>
  <c r="AQ252" i="57"/>
  <c r="AE252" i="57"/>
  <c r="AC254" i="53"/>
  <c r="O254" i="53"/>
  <c r="Q238" i="69"/>
  <c r="R252" i="57"/>
  <c r="P193" i="50"/>
  <c r="P183" i="32"/>
  <c r="P182" i="32"/>
  <c r="N254" i="53"/>
  <c r="O194" i="50"/>
  <c r="AA252" i="53"/>
  <c r="AM183" i="32"/>
  <c r="AM182" i="32"/>
  <c r="AJ192" i="50"/>
  <c r="C192" i="50"/>
  <c r="S193" i="50"/>
  <c r="Z193" i="50" s="1"/>
  <c r="S183" i="32"/>
  <c r="Z183" i="32" s="1"/>
  <c r="S182" i="32"/>
  <c r="Z182" i="32" s="1"/>
  <c r="W192" i="50"/>
  <c r="X191" i="50"/>
  <c r="V192" i="50"/>
  <c r="AF237" i="69"/>
  <c r="P254" i="57"/>
  <c r="AO238" i="69"/>
  <c r="O239" i="69"/>
  <c r="AE253" i="53"/>
  <c r="AK184" i="32"/>
  <c r="AM193" i="50"/>
  <c r="AL181" i="32"/>
  <c r="AN180" i="32"/>
  <c r="R253" i="53"/>
  <c r="X253" i="53" s="1"/>
  <c r="AB253" i="53" s="1"/>
  <c r="AY237" i="69"/>
  <c r="L254" i="57"/>
  <c r="AT253" i="53"/>
  <c r="AG253" i="53"/>
  <c r="N254" i="57"/>
  <c r="C254" i="53"/>
  <c r="AD253" i="53"/>
  <c r="Q253" i="53"/>
  <c r="F254" i="53"/>
  <c r="D254" i="53"/>
  <c r="P254" i="53"/>
  <c r="AK253" i="52" a="1"/>
  <c r="AK253" i="52" s="1"/>
  <c r="B255" i="53" s="1"/>
  <c r="J254" i="53"/>
  <c r="E254" i="53"/>
  <c r="L254" i="53"/>
  <c r="K254" i="53"/>
  <c r="AH254" i="53" s="1"/>
  <c r="I254" i="53"/>
  <c r="H254" i="53"/>
  <c r="G254" i="53"/>
  <c r="A184" i="32"/>
  <c r="B184" i="32"/>
  <c r="A194" i="50"/>
  <c r="B194" i="50"/>
  <c r="J194" i="50"/>
  <c r="M194" i="50"/>
  <c r="L194" i="50"/>
  <c r="K194" i="50"/>
  <c r="I194" i="50"/>
  <c r="G194" i="50"/>
  <c r="H194" i="50"/>
  <c r="M184" i="32"/>
  <c r="H184" i="32"/>
  <c r="I184" i="32"/>
  <c r="L184" i="32"/>
  <c r="G184" i="32"/>
  <c r="J184" i="32"/>
  <c r="K184" i="32"/>
  <c r="N184" i="32"/>
  <c r="I254" i="57"/>
  <c r="E254" i="57"/>
  <c r="D254" i="57"/>
  <c r="F254" i="57"/>
  <c r="G254" i="57"/>
  <c r="J254" i="57"/>
  <c r="C254" i="57"/>
  <c r="H254" i="57"/>
  <c r="AN253" i="55" a="1"/>
  <c r="AN253" i="55" s="1"/>
  <c r="B255" i="57" s="1"/>
  <c r="O255" i="57" s="1"/>
  <c r="AS239" i="67" a="1"/>
  <c r="AS239" i="67" s="1"/>
  <c r="B240" i="69"/>
  <c r="AM240" i="69" s="1"/>
  <c r="AN240" i="69" s="1"/>
  <c r="AE237" i="69"/>
  <c r="R237" i="69"/>
  <c r="S237" i="69" s="1"/>
  <c r="C239" i="69"/>
  <c r="D238" i="69"/>
  <c r="E238" i="69" s="1"/>
  <c r="AL184" i="11" a="1"/>
  <c r="AL184" i="11" s="1"/>
  <c r="E185" i="32" s="1"/>
  <c r="T185" i="32" s="1"/>
  <c r="AP194" i="59" a="1"/>
  <c r="AP194" i="59" s="1"/>
  <c r="E195" i="50" s="1"/>
  <c r="T195" i="50" s="1"/>
  <c r="AM69" i="11" a="1"/>
  <c r="AM69" i="11" s="1"/>
  <c r="AF251" i="57" l="1"/>
  <c r="AF253" i="53"/>
  <c r="AH191" i="50"/>
  <c r="AI191" i="50" s="1"/>
  <c r="AP191" i="50" s="1"/>
  <c r="AK254" i="57"/>
  <c r="P239" i="69"/>
  <c r="AP239" i="69"/>
  <c r="AJ250" i="57"/>
  <c r="AL192" i="50"/>
  <c r="O185" i="32"/>
  <c r="AK195" i="50"/>
  <c r="AG192" i="50"/>
  <c r="BC240" i="69"/>
  <c r="BE240" i="69"/>
  <c r="BF240" i="69"/>
  <c r="BD240" i="69"/>
  <c r="U184" i="32"/>
  <c r="AH255" i="57"/>
  <c r="AI255" i="57" s="1"/>
  <c r="K255" i="57"/>
  <c r="AQ195" i="50"/>
  <c r="N195" i="50"/>
  <c r="AO194" i="50"/>
  <c r="AX238" i="69"/>
  <c r="AW238" i="69"/>
  <c r="L240" i="69"/>
  <c r="M240" i="69" s="1"/>
  <c r="AZ240" i="69"/>
  <c r="AB236" i="69"/>
  <c r="AC236" i="69" s="1"/>
  <c r="AD236" i="69" s="1"/>
  <c r="Y237" i="69"/>
  <c r="AG237" i="69" s="1"/>
  <c r="F238" i="69"/>
  <c r="G238" i="69" s="1"/>
  <c r="H238" i="69" s="1"/>
  <c r="I238" i="69" s="1"/>
  <c r="J238" i="69" s="1"/>
  <c r="K238" i="69" s="1"/>
  <c r="U238" i="69"/>
  <c r="AH238" i="69"/>
  <c r="F185" i="32"/>
  <c r="AU185" i="32"/>
  <c r="F195" i="50"/>
  <c r="U195" i="50" s="1"/>
  <c r="AY195" i="50"/>
  <c r="AT183" i="32"/>
  <c r="AT182" i="32"/>
  <c r="AD182" i="32"/>
  <c r="AG182" i="32" s="1"/>
  <c r="AH182" i="32" s="1"/>
  <c r="AI182" i="32" s="1"/>
  <c r="AD183" i="32"/>
  <c r="AG183" i="32" s="1"/>
  <c r="AH183" i="32" s="1"/>
  <c r="AI183" i="32" s="1"/>
  <c r="AD193" i="50"/>
  <c r="X252" i="57"/>
  <c r="AB252" i="57" s="1"/>
  <c r="AG254" i="57"/>
  <c r="AA251" i="57"/>
  <c r="AC253" i="57"/>
  <c r="AC255" i="53"/>
  <c r="O255" i="53"/>
  <c r="Q239" i="69"/>
  <c r="AE253" i="57"/>
  <c r="AD253" i="57"/>
  <c r="Q253" i="57"/>
  <c r="AQ253" i="57"/>
  <c r="R253" i="57"/>
  <c r="P194" i="50"/>
  <c r="P184" i="32"/>
  <c r="N255" i="53"/>
  <c r="O195" i="50"/>
  <c r="AA253" i="53"/>
  <c r="AM184" i="32"/>
  <c r="C193" i="50"/>
  <c r="AJ193" i="50"/>
  <c r="S194" i="50"/>
  <c r="Z194" i="50" s="1"/>
  <c r="AJ182" i="32"/>
  <c r="C182" i="32"/>
  <c r="W182" i="32"/>
  <c r="X182" i="32" s="1"/>
  <c r="AJ183" i="32"/>
  <c r="W183" i="32"/>
  <c r="X183" i="32" s="1"/>
  <c r="C183" i="32"/>
  <c r="S184" i="32"/>
  <c r="Z184" i="32" s="1"/>
  <c r="W193" i="50"/>
  <c r="X192" i="50"/>
  <c r="V193" i="50"/>
  <c r="V182" i="32"/>
  <c r="V183" i="32"/>
  <c r="AF238" i="69"/>
  <c r="P255" i="57"/>
  <c r="O240" i="69"/>
  <c r="AO239" i="69"/>
  <c r="AE254" i="53"/>
  <c r="AK185" i="32"/>
  <c r="AM194" i="50"/>
  <c r="AN181" i="32"/>
  <c r="R254" i="53"/>
  <c r="X254" i="53" s="1"/>
  <c r="AB254" i="53" s="1"/>
  <c r="AY238" i="69"/>
  <c r="L255" i="57"/>
  <c r="AG254" i="53"/>
  <c r="AT254" i="53"/>
  <c r="N255" i="57"/>
  <c r="P255" i="53"/>
  <c r="AD254" i="53"/>
  <c r="Q254" i="53"/>
  <c r="AK254" i="52" a="1"/>
  <c r="AK254" i="52" s="1"/>
  <c r="B256" i="53" s="1"/>
  <c r="G255" i="53"/>
  <c r="H255" i="53"/>
  <c r="L255" i="53"/>
  <c r="D255" i="53"/>
  <c r="J255" i="53"/>
  <c r="I255" i="53"/>
  <c r="C255" i="53"/>
  <c r="E255" i="53"/>
  <c r="F255" i="53"/>
  <c r="K255" i="53"/>
  <c r="AH255" i="53" s="1"/>
  <c r="A185" i="32"/>
  <c r="B185" i="32"/>
  <c r="M195" i="50"/>
  <c r="G195" i="50"/>
  <c r="J195" i="50"/>
  <c r="B195" i="50"/>
  <c r="I195" i="50"/>
  <c r="K195" i="50"/>
  <c r="L195" i="50"/>
  <c r="H195" i="50"/>
  <c r="A195" i="50"/>
  <c r="K185" i="32"/>
  <c r="N185" i="32"/>
  <c r="G185" i="32"/>
  <c r="J185" i="32"/>
  <c r="L185" i="32"/>
  <c r="M185" i="32"/>
  <c r="H185" i="32"/>
  <c r="I185" i="32"/>
  <c r="H255" i="57"/>
  <c r="D255" i="57"/>
  <c r="J255" i="57"/>
  <c r="F255" i="57"/>
  <c r="I255" i="57"/>
  <c r="G255" i="57"/>
  <c r="E255" i="57"/>
  <c r="C255" i="57"/>
  <c r="AN254" i="55" a="1"/>
  <c r="AN254" i="55" s="1"/>
  <c r="B256" i="57" s="1"/>
  <c r="O256" i="57" s="1"/>
  <c r="AS240" i="67" a="1"/>
  <c r="AS240" i="67" s="1"/>
  <c r="B241" i="69"/>
  <c r="AM241" i="69" s="1"/>
  <c r="AN241" i="69" s="1"/>
  <c r="AE238" i="69"/>
  <c r="R238" i="69"/>
  <c r="S238" i="69" s="1"/>
  <c r="D239" i="69"/>
  <c r="E239" i="69" s="1"/>
  <c r="C240" i="69"/>
  <c r="AL185" i="11" a="1"/>
  <c r="AL185" i="11" s="1"/>
  <c r="E186" i="32" s="1"/>
  <c r="T186" i="32" s="1"/>
  <c r="AP195" i="59" a="1"/>
  <c r="AP195" i="59" s="1"/>
  <c r="E196" i="50" s="1"/>
  <c r="T196" i="50" s="1"/>
  <c r="AM70" i="11" a="1"/>
  <c r="AM70" i="11" s="1"/>
  <c r="AF252" i="57" l="1"/>
  <c r="AF254" i="53"/>
  <c r="AH192" i="50"/>
  <c r="AI192" i="50" s="1"/>
  <c r="AP192" i="50" s="1"/>
  <c r="AK255" i="57"/>
  <c r="P240" i="69"/>
  <c r="AP240" i="69"/>
  <c r="AJ251" i="57"/>
  <c r="O186" i="32"/>
  <c r="AK196" i="50"/>
  <c r="AL193" i="50"/>
  <c r="AG193" i="50"/>
  <c r="BC241" i="69"/>
  <c r="BE241" i="69"/>
  <c r="BF241" i="69"/>
  <c r="BD241" i="69"/>
  <c r="U185" i="32"/>
  <c r="AH256" i="57"/>
  <c r="AI256" i="57" s="1"/>
  <c r="K256" i="57"/>
  <c r="AQ196" i="50"/>
  <c r="N196" i="50"/>
  <c r="AO195" i="50"/>
  <c r="AW239" i="69"/>
  <c r="AX239" i="69"/>
  <c r="L241" i="69"/>
  <c r="M241" i="69" s="1"/>
  <c r="AZ241" i="69"/>
  <c r="Y238" i="69"/>
  <c r="AB238" i="69" s="1"/>
  <c r="AB237" i="69"/>
  <c r="AC237" i="69" s="1"/>
  <c r="AD237" i="69" s="1"/>
  <c r="F239" i="69"/>
  <c r="G239" i="69" s="1"/>
  <c r="H239" i="69" s="1"/>
  <c r="I239" i="69" s="1"/>
  <c r="J239" i="69" s="1"/>
  <c r="K239" i="69" s="1"/>
  <c r="U239" i="69"/>
  <c r="AH239" i="69"/>
  <c r="F186" i="32"/>
  <c r="AU186" i="32"/>
  <c r="F196" i="50"/>
  <c r="U196" i="50" s="1"/>
  <c r="AY196" i="50"/>
  <c r="AT184" i="32"/>
  <c r="AD184" i="32"/>
  <c r="AG184" i="32" s="1"/>
  <c r="AH184" i="32" s="1"/>
  <c r="AI184" i="32" s="1"/>
  <c r="AD194" i="50"/>
  <c r="X253" i="57"/>
  <c r="AB253" i="57" s="1"/>
  <c r="AG255" i="57"/>
  <c r="AA252" i="57"/>
  <c r="Q254" i="57"/>
  <c r="AD254" i="57"/>
  <c r="AE254" i="57"/>
  <c r="AC256" i="53"/>
  <c r="O256" i="53"/>
  <c r="Q240" i="69"/>
  <c r="R254" i="57"/>
  <c r="AQ254" i="57"/>
  <c r="AC254" i="57"/>
  <c r="P195" i="50"/>
  <c r="P185" i="32"/>
  <c r="N256" i="53"/>
  <c r="O196" i="50"/>
  <c r="AA254" i="53"/>
  <c r="AM185" i="32"/>
  <c r="AJ194" i="50"/>
  <c r="C194" i="50"/>
  <c r="S195" i="50"/>
  <c r="Z195" i="50" s="1"/>
  <c r="W184" i="32"/>
  <c r="X184" i="32" s="1"/>
  <c r="C184" i="32"/>
  <c r="AJ184" i="32"/>
  <c r="S185" i="32"/>
  <c r="Z185" i="32" s="1"/>
  <c r="W194" i="50"/>
  <c r="X193" i="50"/>
  <c r="V194" i="50"/>
  <c r="V184" i="32"/>
  <c r="AF239" i="69"/>
  <c r="P256" i="57"/>
  <c r="O241" i="69"/>
  <c r="AO240" i="69"/>
  <c r="AE255" i="53"/>
  <c r="AK186" i="32"/>
  <c r="AM195" i="50"/>
  <c r="AL183" i="32"/>
  <c r="AL182" i="32"/>
  <c r="R255" i="53"/>
  <c r="X255" i="53" s="1"/>
  <c r="AB255" i="53" s="1"/>
  <c r="AY239" i="69"/>
  <c r="L256" i="57"/>
  <c r="AT255" i="53"/>
  <c r="AG255" i="53"/>
  <c r="N256" i="57"/>
  <c r="Q255" i="53"/>
  <c r="AD255" i="53"/>
  <c r="L256" i="53"/>
  <c r="G256" i="53"/>
  <c r="P256" i="53"/>
  <c r="E256" i="53"/>
  <c r="K256" i="53"/>
  <c r="AH256" i="53" s="1"/>
  <c r="C256" i="53"/>
  <c r="D256" i="53"/>
  <c r="J256" i="53"/>
  <c r="AK255" i="52" a="1"/>
  <c r="AK255" i="52" s="1"/>
  <c r="B257" i="53" s="1"/>
  <c r="I256" i="53"/>
  <c r="F256" i="53"/>
  <c r="H256" i="53"/>
  <c r="A186" i="32"/>
  <c r="B186" i="32"/>
  <c r="I196" i="50"/>
  <c r="K196" i="50"/>
  <c r="G196" i="50"/>
  <c r="M196" i="50"/>
  <c r="J196" i="50"/>
  <c r="A196" i="50"/>
  <c r="B196" i="50"/>
  <c r="H196" i="50"/>
  <c r="L196" i="50"/>
  <c r="I186" i="32"/>
  <c r="L186" i="32"/>
  <c r="M186" i="32"/>
  <c r="H186" i="32"/>
  <c r="G186" i="32"/>
  <c r="J186" i="32"/>
  <c r="K186" i="32"/>
  <c r="N186" i="32"/>
  <c r="J256" i="57"/>
  <c r="F256" i="57"/>
  <c r="D256" i="57"/>
  <c r="I256" i="57"/>
  <c r="E256" i="57"/>
  <c r="H256" i="57"/>
  <c r="C256" i="57"/>
  <c r="G256" i="57"/>
  <c r="AN255" i="55" a="1"/>
  <c r="AN255" i="55" s="1"/>
  <c r="B257" i="57" s="1"/>
  <c r="O257" i="57" s="1"/>
  <c r="C241" i="69"/>
  <c r="D240" i="69"/>
  <c r="E240" i="69" s="1"/>
  <c r="AE239" i="69"/>
  <c r="R239" i="69"/>
  <c r="S239" i="69" s="1"/>
  <c r="AS241" i="67" a="1"/>
  <c r="AS241" i="67" s="1"/>
  <c r="B242" i="69"/>
  <c r="AM242" i="69" s="1"/>
  <c r="AN242" i="69" s="1"/>
  <c r="AL186" i="11" a="1"/>
  <c r="AL186" i="11" s="1"/>
  <c r="E187" i="32" s="1"/>
  <c r="T187" i="32" s="1"/>
  <c r="AP196" i="59" a="1"/>
  <c r="AP196" i="59" s="1"/>
  <c r="E197" i="50" s="1"/>
  <c r="T197" i="50" s="1"/>
  <c r="AM71" i="11" a="1"/>
  <c r="AM71" i="11" s="1"/>
  <c r="AF253" i="57" l="1"/>
  <c r="AF255" i="53"/>
  <c r="AH193" i="50"/>
  <c r="AI193" i="50" s="1"/>
  <c r="AP193" i="50" s="1"/>
  <c r="AK256" i="57"/>
  <c r="P241" i="69"/>
  <c r="AP241" i="69"/>
  <c r="AJ252" i="57"/>
  <c r="O187" i="32"/>
  <c r="AK197" i="50"/>
  <c r="AL194" i="50"/>
  <c r="AG194" i="50"/>
  <c r="BC242" i="69"/>
  <c r="BE242" i="69"/>
  <c r="BF242" i="69"/>
  <c r="BD242" i="69"/>
  <c r="U186" i="32"/>
  <c r="AH257" i="57"/>
  <c r="AI257" i="57" s="1"/>
  <c r="K257" i="57"/>
  <c r="AQ197" i="50"/>
  <c r="N197" i="50"/>
  <c r="AO196" i="50"/>
  <c r="AX240" i="69"/>
  <c r="AW240" i="69"/>
  <c r="L242" i="69"/>
  <c r="M242" i="69" s="1"/>
  <c r="AZ242" i="69"/>
  <c r="AG238" i="69"/>
  <c r="Y239" i="69"/>
  <c r="AB239" i="69" s="1"/>
  <c r="F240" i="69"/>
  <c r="G240" i="69" s="1"/>
  <c r="H240" i="69" s="1"/>
  <c r="I240" i="69" s="1"/>
  <c r="J240" i="69" s="1"/>
  <c r="K240" i="69" s="1"/>
  <c r="U240" i="69"/>
  <c r="AH240" i="69"/>
  <c r="F187" i="32"/>
  <c r="AU187" i="32"/>
  <c r="AY197" i="50"/>
  <c r="F197" i="50"/>
  <c r="U197" i="50" s="1"/>
  <c r="AT185" i="32"/>
  <c r="AE255" i="57"/>
  <c r="AD185" i="32"/>
  <c r="AG185" i="32" s="1"/>
  <c r="AH185" i="32" s="1"/>
  <c r="AI185" i="32" s="1"/>
  <c r="AD195" i="50"/>
  <c r="X254" i="57"/>
  <c r="AB254" i="57" s="1"/>
  <c r="AG256" i="57"/>
  <c r="AA253" i="57"/>
  <c r="AC257" i="53"/>
  <c r="O257" i="53"/>
  <c r="Q241" i="69"/>
  <c r="AD255" i="57"/>
  <c r="R255" i="57"/>
  <c r="Q255" i="57"/>
  <c r="AQ255" i="57"/>
  <c r="AC255" i="57"/>
  <c r="P196" i="50"/>
  <c r="P186" i="32"/>
  <c r="N257" i="53"/>
  <c r="O197" i="50"/>
  <c r="AA255" i="53"/>
  <c r="AM186" i="32"/>
  <c r="C195" i="50"/>
  <c r="AJ195" i="50"/>
  <c r="S196" i="50"/>
  <c r="Z196" i="50" s="1"/>
  <c r="C185" i="32"/>
  <c r="W185" i="32"/>
  <c r="X185" i="32" s="1"/>
  <c r="S186" i="32"/>
  <c r="Z186" i="32" s="1"/>
  <c r="AJ185" i="32"/>
  <c r="W195" i="50"/>
  <c r="X194" i="50"/>
  <c r="V195" i="50"/>
  <c r="V185" i="32"/>
  <c r="AF240" i="69"/>
  <c r="P257" i="57"/>
  <c r="P258" i="57" s="1"/>
  <c r="AC238" i="69"/>
  <c r="AD238" i="69" s="1"/>
  <c r="AO241" i="69"/>
  <c r="O242" i="69"/>
  <c r="AE256" i="53"/>
  <c r="AK187" i="32"/>
  <c r="AM196" i="50"/>
  <c r="AL184" i="32"/>
  <c r="AN183" i="32"/>
  <c r="R256" i="53"/>
  <c r="X256" i="53" s="1"/>
  <c r="AB256" i="53" s="1"/>
  <c r="AN182" i="32"/>
  <c r="AY240" i="69"/>
  <c r="L257" i="57"/>
  <c r="AT256" i="53"/>
  <c r="AG256" i="53"/>
  <c r="N257" i="57"/>
  <c r="Q256" i="53"/>
  <c r="AD256" i="53"/>
  <c r="J257" i="53"/>
  <c r="F257" i="53"/>
  <c r="AK256" i="52" a="1"/>
  <c r="AK256" i="52" s="1"/>
  <c r="AK257" i="52" s="1" a="1"/>
  <c r="AK257" i="52" s="1"/>
  <c r="L257" i="53"/>
  <c r="K257" i="53"/>
  <c r="AH257" i="53" s="1"/>
  <c r="D257" i="53"/>
  <c r="E257" i="53"/>
  <c r="H257" i="53"/>
  <c r="I257" i="53"/>
  <c r="P257" i="53"/>
  <c r="P258" i="53" s="1"/>
  <c r="G257" i="53"/>
  <c r="C257" i="53"/>
  <c r="A187" i="32"/>
  <c r="B187" i="32"/>
  <c r="K197" i="50"/>
  <c r="A197" i="50"/>
  <c r="M197" i="50"/>
  <c r="G197" i="50"/>
  <c r="J197" i="50"/>
  <c r="B197" i="50"/>
  <c r="L197" i="50"/>
  <c r="H197" i="50"/>
  <c r="I197" i="50"/>
  <c r="G187" i="32"/>
  <c r="J187" i="32"/>
  <c r="K187" i="32"/>
  <c r="N187" i="32"/>
  <c r="H187" i="32"/>
  <c r="I187" i="32"/>
  <c r="L187" i="32"/>
  <c r="M187" i="32"/>
  <c r="H257" i="57"/>
  <c r="F257" i="57"/>
  <c r="D257" i="57"/>
  <c r="C257" i="57"/>
  <c r="I257" i="57"/>
  <c r="E257" i="57"/>
  <c r="J257" i="57"/>
  <c r="G257" i="57"/>
  <c r="AN256" i="55" a="1"/>
  <c r="AN256" i="55" s="1"/>
  <c r="AN257" i="55" s="1" a="1"/>
  <c r="AN257" i="55" s="1"/>
  <c r="AS242" i="67" a="1"/>
  <c r="AS242" i="67" s="1"/>
  <c r="B243" i="69"/>
  <c r="AM243" i="69" s="1"/>
  <c r="AN243" i="69" s="1"/>
  <c r="R240" i="69"/>
  <c r="S240" i="69" s="1"/>
  <c r="AE240" i="69"/>
  <c r="C242" i="69"/>
  <c r="D241" i="69"/>
  <c r="E241" i="69" s="1"/>
  <c r="AL187" i="11" a="1"/>
  <c r="AL187" i="11" s="1"/>
  <c r="AP197" i="59" a="1"/>
  <c r="AP197" i="59" s="1"/>
  <c r="E198" i="50" s="1"/>
  <c r="T198" i="50" s="1"/>
  <c r="AM72" i="11" a="1"/>
  <c r="AM72" i="11" s="1"/>
  <c r="AF254" i="57" l="1"/>
  <c r="AF256" i="53"/>
  <c r="AH194" i="50"/>
  <c r="AI194" i="50" s="1"/>
  <c r="AP194" i="50" s="1"/>
  <c r="AK257" i="57"/>
  <c r="P242" i="69"/>
  <c r="AP242" i="69"/>
  <c r="AJ253" i="57"/>
  <c r="AK198" i="50"/>
  <c r="AL195" i="50"/>
  <c r="AG195" i="50"/>
  <c r="BC243" i="69"/>
  <c r="BE243" i="69"/>
  <c r="BF243" i="69"/>
  <c r="BD243" i="69"/>
  <c r="U187" i="32"/>
  <c r="N198" i="50"/>
  <c r="AQ198" i="50"/>
  <c r="AO197" i="50"/>
  <c r="AX241" i="69"/>
  <c r="AW241" i="69"/>
  <c r="L243" i="69"/>
  <c r="M243" i="69" s="1"/>
  <c r="AZ243" i="69"/>
  <c r="Y240" i="69"/>
  <c r="AB240" i="69" s="1"/>
  <c r="AG239" i="69"/>
  <c r="F241" i="69"/>
  <c r="G241" i="69" s="1"/>
  <c r="H241" i="69" s="1"/>
  <c r="I241" i="69" s="1"/>
  <c r="J241" i="69" s="1"/>
  <c r="K241" i="69" s="1"/>
  <c r="U241" i="69"/>
  <c r="AH241" i="69"/>
  <c r="AY198" i="50"/>
  <c r="F198" i="50"/>
  <c r="U198" i="50" s="1"/>
  <c r="AT186" i="32"/>
  <c r="AD186" i="32"/>
  <c r="AG186" i="32" s="1"/>
  <c r="AH186" i="32" s="1"/>
  <c r="AI186" i="32" s="1"/>
  <c r="AD196" i="50"/>
  <c r="AD256" i="57"/>
  <c r="R256" i="57"/>
  <c r="X255" i="57"/>
  <c r="AG257" i="57"/>
  <c r="AA254" i="57"/>
  <c r="Q242" i="69"/>
  <c r="AQ256" i="57"/>
  <c r="AE256" i="57"/>
  <c r="Q256" i="57"/>
  <c r="AC256" i="57"/>
  <c r="P197" i="50"/>
  <c r="P187" i="32"/>
  <c r="O198" i="50"/>
  <c r="AA256" i="53"/>
  <c r="AM187" i="32"/>
  <c r="AJ196" i="50"/>
  <c r="C196" i="50"/>
  <c r="S197" i="50"/>
  <c r="AJ186" i="32"/>
  <c r="W186" i="32"/>
  <c r="X186" i="32" s="1"/>
  <c r="C186" i="32"/>
  <c r="S187" i="32"/>
  <c r="Z187" i="32" s="1"/>
  <c r="W196" i="50"/>
  <c r="X195" i="50"/>
  <c r="V196" i="50"/>
  <c r="V186" i="32"/>
  <c r="AF241" i="69"/>
  <c r="AC239" i="69"/>
  <c r="AD239" i="69" s="1"/>
  <c r="O243" i="69"/>
  <c r="AO242" i="69"/>
  <c r="AE257" i="53"/>
  <c r="AM197" i="50"/>
  <c r="AL185" i="32"/>
  <c r="AN184" i="32"/>
  <c r="R257" i="53"/>
  <c r="X257" i="53" s="1"/>
  <c r="AB257" i="53" s="1"/>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8" i="53"/>
  <c r="H13" i="73" s="1"/>
  <c r="J17" i="73" s="1"/>
  <c r="K17" i="73" s="1"/>
  <c r="AT257" i="53"/>
  <c r="Q257" i="53"/>
  <c r="AD257" i="53"/>
  <c r="A198" i="50"/>
  <c r="I198" i="50"/>
  <c r="J198" i="50"/>
  <c r="G198" i="50"/>
  <c r="L198" i="50"/>
  <c r="H198" i="50"/>
  <c r="B198" i="50"/>
  <c r="M198" i="50"/>
  <c r="K198" i="50"/>
  <c r="E188" i="32"/>
  <c r="T188" i="32" s="1"/>
  <c r="AE241" i="69"/>
  <c r="R241" i="69"/>
  <c r="S241" i="69" s="1"/>
  <c r="D242" i="69"/>
  <c r="E242" i="69" s="1"/>
  <c r="C243" i="69"/>
  <c r="AS243" i="67" a="1"/>
  <c r="AS243" i="67" s="1"/>
  <c r="B244" i="69"/>
  <c r="AM244" i="69" s="1"/>
  <c r="AN244" i="69" s="1"/>
  <c r="AL188" i="11" a="1"/>
  <c r="AL188" i="11" s="1"/>
  <c r="E189" i="32" s="1"/>
  <c r="T189" i="32" s="1"/>
  <c r="AP198" i="59" a="1"/>
  <c r="AP198" i="59" s="1"/>
  <c r="E199" i="50" s="1"/>
  <c r="T199" i="50" s="1"/>
  <c r="AM73" i="11" a="1"/>
  <c r="AM73" i="11" s="1"/>
  <c r="AA255" i="57" l="1"/>
  <c r="AB255" i="57"/>
  <c r="AF255" i="57" s="1"/>
  <c r="AF257" i="53"/>
  <c r="AH195" i="50"/>
  <c r="AI195" i="50" s="1"/>
  <c r="AP195" i="50" s="1"/>
  <c r="X2" i="53"/>
  <c r="P243" i="69"/>
  <c r="AP243" i="69"/>
  <c r="AJ254" i="57"/>
  <c r="O188" i="32"/>
  <c r="O189" i="32"/>
  <c r="AK199" i="50"/>
  <c r="AL196" i="50"/>
  <c r="AG196" i="50"/>
  <c r="BC244" i="69"/>
  <c r="BE244" i="69"/>
  <c r="BF244" i="69"/>
  <c r="BD244" i="69"/>
  <c r="N199" i="50"/>
  <c r="AQ199" i="50"/>
  <c r="AO198" i="50"/>
  <c r="AX242" i="69"/>
  <c r="AW242" i="69"/>
  <c r="L244" i="69"/>
  <c r="M244" i="69" s="1"/>
  <c r="AZ244" i="69"/>
  <c r="Y241" i="69"/>
  <c r="AG241" i="69" s="1"/>
  <c r="AG240" i="69"/>
  <c r="U242" i="69"/>
  <c r="AH242" i="69"/>
  <c r="F242" i="69"/>
  <c r="G242" i="69" s="1"/>
  <c r="H242" i="69" s="1"/>
  <c r="I242" i="69" s="1"/>
  <c r="J242" i="69" s="1"/>
  <c r="K242" i="69" s="1"/>
  <c r="F189" i="32"/>
  <c r="AU189" i="32"/>
  <c r="F188" i="32"/>
  <c r="AU188" i="32"/>
  <c r="AY199" i="50"/>
  <c r="F199" i="50"/>
  <c r="U199" i="50" s="1"/>
  <c r="AT187" i="32"/>
  <c r="AQ257" i="57"/>
  <c r="AD187" i="32"/>
  <c r="AG187" i="32" s="1"/>
  <c r="AH187" i="32" s="1"/>
  <c r="AI187" i="32" s="1"/>
  <c r="AD197" i="50"/>
  <c r="X256" i="57"/>
  <c r="AB256" i="57" s="1"/>
  <c r="H17" i="73"/>
  <c r="Z161" i="22"/>
  <c r="Y154" i="22"/>
  <c r="Q243" i="69"/>
  <c r="Y150" i="22"/>
  <c r="AA150" i="22" s="1"/>
  <c r="E120" i="36" s="1"/>
  <c r="G120" i="36" s="1"/>
  <c r="R257" i="57"/>
  <c r="Z156" i="22"/>
  <c r="Y159" i="22"/>
  <c r="Q257" i="57"/>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P198" i="50"/>
  <c r="O199" i="50"/>
  <c r="AA257" i="53"/>
  <c r="C197" i="50"/>
  <c r="Z197" i="50"/>
  <c r="AJ197" i="50"/>
  <c r="S198" i="50"/>
  <c r="Z198" i="50" s="1"/>
  <c r="AJ187" i="32"/>
  <c r="W187" i="32"/>
  <c r="X187" i="32" s="1"/>
  <c r="C187" i="32"/>
  <c r="W197" i="50"/>
  <c r="X196" i="50"/>
  <c r="V197" i="50"/>
  <c r="V187" i="32"/>
  <c r="AF242" i="69"/>
  <c r="AC240" i="69"/>
  <c r="AD240" i="69" s="1"/>
  <c r="AO243" i="69"/>
  <c r="O244" i="69"/>
  <c r="AK189" i="32"/>
  <c r="AK188" i="32"/>
  <c r="AM198" i="50"/>
  <c r="AL186" i="32"/>
  <c r="AN185" i="32"/>
  <c r="Q157" i="22"/>
  <c r="E107" i="36"/>
  <c r="R162" i="22"/>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189" i="32"/>
  <c r="B189" i="32"/>
  <c r="A188" i="32"/>
  <c r="B188" i="32"/>
  <c r="K199" i="50"/>
  <c r="M199" i="50"/>
  <c r="I199" i="50"/>
  <c r="A199" i="50"/>
  <c r="G199" i="50"/>
  <c r="H199" i="50"/>
  <c r="J199" i="50"/>
  <c r="L199" i="50"/>
  <c r="B199" i="50"/>
  <c r="K189" i="32"/>
  <c r="N189" i="32"/>
  <c r="G189" i="32"/>
  <c r="J189" i="32"/>
  <c r="H189" i="32"/>
  <c r="I189" i="32"/>
  <c r="L189" i="32"/>
  <c r="M189" i="32"/>
  <c r="M188" i="32"/>
  <c r="H188" i="32"/>
  <c r="I188" i="32"/>
  <c r="L188" i="32"/>
  <c r="N188" i="32"/>
  <c r="G188" i="32"/>
  <c r="K188" i="32"/>
  <c r="J188" i="32"/>
  <c r="AS244" i="67" a="1"/>
  <c r="AS244" i="67" s="1"/>
  <c r="B245" i="69"/>
  <c r="AM245" i="69" s="1"/>
  <c r="AN245" i="69" s="1"/>
  <c r="D243" i="69"/>
  <c r="E243" i="69" s="1"/>
  <c r="AE242" i="69"/>
  <c r="R242" i="69"/>
  <c r="S242" i="69" s="1"/>
  <c r="C244" i="69"/>
  <c r="AL189" i="11" a="1"/>
  <c r="AL189" i="11" s="1"/>
  <c r="E190" i="32" s="1"/>
  <c r="T190" i="32" s="1"/>
  <c r="AP199" i="59" a="1"/>
  <c r="AP199" i="59" s="1"/>
  <c r="E200" i="50" s="1"/>
  <c r="T200" i="50" s="1"/>
  <c r="AM74" i="11" a="1"/>
  <c r="AM74" i="11" s="1"/>
  <c r="AF256" i="57" l="1"/>
  <c r="AH196" i="50"/>
  <c r="AI196" i="50" s="1"/>
  <c r="AP196" i="50" s="1"/>
  <c r="P244" i="69"/>
  <c r="AP244" i="69"/>
  <c r="AJ255" i="57"/>
  <c r="C26" i="104"/>
  <c r="C38" i="104"/>
  <c r="O190" i="32"/>
  <c r="AK200" i="50"/>
  <c r="AL197" i="50"/>
  <c r="AG197" i="50"/>
  <c r="BC245" i="69"/>
  <c r="BF245" i="69"/>
  <c r="BE245" i="69"/>
  <c r="BD245" i="69"/>
  <c r="U188" i="32"/>
  <c r="U189" i="32"/>
  <c r="C54" i="104"/>
  <c r="C55" i="104" s="1"/>
  <c r="AQ200" i="50"/>
  <c r="N200" i="50"/>
  <c r="AO199" i="50"/>
  <c r="AX243" i="69"/>
  <c r="AW243" i="69"/>
  <c r="L245" i="69"/>
  <c r="M245" i="69" s="1"/>
  <c r="AZ245" i="69"/>
  <c r="Y242" i="69"/>
  <c r="AB242" i="69" s="1"/>
  <c r="AB241" i="69"/>
  <c r="AC241" i="69" s="1"/>
  <c r="AD241" i="69" s="1"/>
  <c r="U243" i="69"/>
  <c r="AH243" i="69"/>
  <c r="F243" i="69"/>
  <c r="G243" i="69" s="1"/>
  <c r="H243" i="69" s="1"/>
  <c r="I243" i="69" s="1"/>
  <c r="J243" i="69" s="1"/>
  <c r="K243" i="69" s="1"/>
  <c r="F190" i="32"/>
  <c r="AU190" i="32"/>
  <c r="AY200" i="50"/>
  <c r="F200" i="50"/>
  <c r="U200" i="50" s="1"/>
  <c r="X257" i="57"/>
  <c r="AB257" i="57" s="1"/>
  <c r="AA256" i="57"/>
  <c r="AD198" i="50"/>
  <c r="Q244" i="69"/>
  <c r="P199" i="50"/>
  <c r="P188" i="32"/>
  <c r="P189" i="32"/>
  <c r="O200" i="50"/>
  <c r="AM189" i="32"/>
  <c r="AM188" i="32"/>
  <c r="AJ198" i="50"/>
  <c r="C198" i="50"/>
  <c r="S199" i="50"/>
  <c r="Z199" i="50" s="1"/>
  <c r="S189" i="32"/>
  <c r="Z189" i="32" s="1"/>
  <c r="S188" i="32"/>
  <c r="Z188" i="32" s="1"/>
  <c r="W198" i="50"/>
  <c r="X197" i="50"/>
  <c r="V198" i="50"/>
  <c r="AF243" i="69"/>
  <c r="C44" i="104"/>
  <c r="AO244" i="69"/>
  <c r="O245" i="69"/>
  <c r="AK190" i="32"/>
  <c r="AM199" i="50"/>
  <c r="AL187" i="32"/>
  <c r="AN186" i="32"/>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A190" i="32"/>
  <c r="B190" i="32"/>
  <c r="L200" i="50"/>
  <c r="M200" i="50"/>
  <c r="G200" i="50"/>
  <c r="B200" i="50"/>
  <c r="H200" i="50"/>
  <c r="I200" i="50"/>
  <c r="J200" i="50"/>
  <c r="K200" i="50"/>
  <c r="A200" i="50"/>
  <c r="I190" i="32"/>
  <c r="L190" i="32"/>
  <c r="M190" i="32"/>
  <c r="H190" i="32"/>
  <c r="J190" i="32"/>
  <c r="K190" i="32"/>
  <c r="N190" i="32"/>
  <c r="G190" i="32"/>
  <c r="AS245" i="67" a="1"/>
  <c r="AS245" i="67" s="1"/>
  <c r="B246" i="69"/>
  <c r="AM246" i="69" s="1"/>
  <c r="AN246" i="69" s="1"/>
  <c r="C245" i="69"/>
  <c r="D244" i="69"/>
  <c r="E244" i="69" s="1"/>
  <c r="R243" i="69"/>
  <c r="S243" i="69" s="1"/>
  <c r="AE243" i="69"/>
  <c r="AL190" i="11" a="1"/>
  <c r="AL190" i="11" s="1"/>
  <c r="E191" i="32" s="1"/>
  <c r="T191" i="32" s="1"/>
  <c r="AP200" i="59" a="1"/>
  <c r="AP200" i="59" s="1"/>
  <c r="E201" i="50" s="1"/>
  <c r="T201" i="50" s="1"/>
  <c r="AM75" i="11" a="1"/>
  <c r="AM75" i="11" s="1"/>
  <c r="AF257" i="57" l="1"/>
  <c r="AH197" i="50"/>
  <c r="AI197" i="50" s="1"/>
  <c r="AP197" i="50" s="1"/>
  <c r="P245" i="69"/>
  <c r="AP245" i="69"/>
  <c r="AJ256" i="57"/>
  <c r="AJ257" i="57"/>
  <c r="AL198" i="50"/>
  <c r="O191" i="32"/>
  <c r="AK201" i="50"/>
  <c r="AG198" i="50"/>
  <c r="BC246" i="69"/>
  <c r="BF246" i="69"/>
  <c r="BE246" i="69"/>
  <c r="BD246" i="69"/>
  <c r="U190" i="32"/>
  <c r="AQ201" i="50"/>
  <c r="N201" i="50"/>
  <c r="AO200" i="50"/>
  <c r="AW244" i="69"/>
  <c r="AX244" i="69"/>
  <c r="L246" i="69"/>
  <c r="M246" i="69" s="1"/>
  <c r="AZ246" i="69"/>
  <c r="AG242" i="69"/>
  <c r="Y243" i="69"/>
  <c r="AG243" i="69" s="1"/>
  <c r="U244" i="69"/>
  <c r="AH244" i="69"/>
  <c r="F244" i="69"/>
  <c r="G244" i="69" s="1"/>
  <c r="H244" i="69" s="1"/>
  <c r="I244" i="69" s="1"/>
  <c r="J244" i="69" s="1"/>
  <c r="K244" i="69" s="1"/>
  <c r="F191" i="32"/>
  <c r="AU191" i="32"/>
  <c r="AY201" i="50"/>
  <c r="F201" i="50"/>
  <c r="U201" i="50" s="1"/>
  <c r="AT188" i="32"/>
  <c r="AT189" i="32"/>
  <c r="AA257" i="57"/>
  <c r="X2" i="57"/>
  <c r="AD189" i="32"/>
  <c r="AG189" i="32" s="1"/>
  <c r="AH189" i="32" s="1"/>
  <c r="AI189" i="32" s="1"/>
  <c r="AD188" i="32"/>
  <c r="AG188" i="32" s="1"/>
  <c r="AH188" i="32" s="1"/>
  <c r="AI188" i="32" s="1"/>
  <c r="AD199" i="50"/>
  <c r="Q245" i="69"/>
  <c r="P200" i="50"/>
  <c r="P190" i="32"/>
  <c r="O201" i="50"/>
  <c r="AM190" i="32"/>
  <c r="C199" i="50"/>
  <c r="AJ199" i="50"/>
  <c r="S200" i="50"/>
  <c r="Z200" i="50" s="1"/>
  <c r="C188" i="32"/>
  <c r="AJ188" i="32"/>
  <c r="W188" i="32"/>
  <c r="X188" i="32" s="1"/>
  <c r="AJ189" i="32"/>
  <c r="W189" i="32"/>
  <c r="X189" i="32" s="1"/>
  <c r="C189" i="32"/>
  <c r="S190" i="32"/>
  <c r="Z190" i="32" s="1"/>
  <c r="W199" i="50"/>
  <c r="X198" i="50"/>
  <c r="V199" i="50"/>
  <c r="V188" i="32"/>
  <c r="V189" i="32"/>
  <c r="AF244" i="69"/>
  <c r="AC242" i="69"/>
  <c r="AD242" i="69" s="1"/>
  <c r="O246" i="69"/>
  <c r="AO245" i="69"/>
  <c r="AK191" i="32"/>
  <c r="AM200" i="50"/>
  <c r="AN187" i="32"/>
  <c r="AY244" i="69"/>
  <c r="A191" i="32"/>
  <c r="B191" i="32"/>
  <c r="H201" i="50"/>
  <c r="B201" i="50"/>
  <c r="I201" i="50"/>
  <c r="M201" i="50"/>
  <c r="J201" i="50"/>
  <c r="A201" i="50"/>
  <c r="G201" i="50"/>
  <c r="K201" i="50"/>
  <c r="L201" i="50"/>
  <c r="G191" i="32"/>
  <c r="J191" i="32"/>
  <c r="K191" i="32"/>
  <c r="N191" i="32"/>
  <c r="H191" i="32"/>
  <c r="I191" i="32"/>
  <c r="L191" i="32"/>
  <c r="M191" i="32"/>
  <c r="AS246" i="67" a="1"/>
  <c r="AS246" i="67" s="1"/>
  <c r="B247" i="69"/>
  <c r="AM247" i="69" s="1"/>
  <c r="AN247" i="69" s="1"/>
  <c r="AE244" i="69"/>
  <c r="R244" i="69"/>
  <c r="S244" i="69" s="1"/>
  <c r="D245" i="69"/>
  <c r="E245" i="69" s="1"/>
  <c r="C246" i="69"/>
  <c r="AL191" i="11" a="1"/>
  <c r="AL191" i="11" s="1"/>
  <c r="E192" i="32" s="1"/>
  <c r="T192" i="32" s="1"/>
  <c r="AP201" i="59" a="1"/>
  <c r="AP201" i="59" s="1"/>
  <c r="E202" i="50" s="1"/>
  <c r="T202" i="50" s="1"/>
  <c r="AM76" i="11" a="1"/>
  <c r="AM76" i="11" s="1"/>
  <c r="AH198" i="50" l="1"/>
  <c r="AI198" i="50" s="1"/>
  <c r="AP198" i="50" s="1"/>
  <c r="P246" i="69"/>
  <c r="AP246" i="69"/>
  <c r="AJ258" i="57"/>
  <c r="L25" i="73" s="1"/>
  <c r="AK258" i="57"/>
  <c r="H25" i="73" s="1"/>
  <c r="O192" i="32"/>
  <c r="AK202" i="50"/>
  <c r="AL199" i="50"/>
  <c r="AG199" i="50"/>
  <c r="BC247" i="69"/>
  <c r="BF247" i="69"/>
  <c r="BD247" i="69"/>
  <c r="BE247" i="69"/>
  <c r="U191" i="32"/>
  <c r="AQ202" i="50"/>
  <c r="N202" i="50"/>
  <c r="AO201" i="50"/>
  <c r="AX245" i="69"/>
  <c r="AW245" i="69"/>
  <c r="L247" i="69"/>
  <c r="M247" i="69" s="1"/>
  <c r="AZ247" i="69"/>
  <c r="AB243" i="69"/>
  <c r="AC243" i="69" s="1"/>
  <c r="AD243" i="69" s="1"/>
  <c r="Y244" i="69"/>
  <c r="AG244" i="69" s="1"/>
  <c r="U245" i="69"/>
  <c r="AH245" i="69"/>
  <c r="F245" i="69"/>
  <c r="G245" i="69" s="1"/>
  <c r="H245" i="69" s="1"/>
  <c r="I245" i="69" s="1"/>
  <c r="J245" i="69" s="1"/>
  <c r="K245" i="69" s="1"/>
  <c r="F192" i="32"/>
  <c r="AU192" i="32"/>
  <c r="AY202" i="50"/>
  <c r="F202" i="50"/>
  <c r="U202" i="50" s="1"/>
  <c r="AT190" i="32"/>
  <c r="AD190" i="32"/>
  <c r="AG190" i="32" s="1"/>
  <c r="AH190" i="32" s="1"/>
  <c r="AI190" i="32" s="1"/>
  <c r="AD200" i="50"/>
  <c r="Q246" i="69"/>
  <c r="P201" i="50"/>
  <c r="P191" i="32"/>
  <c r="O202" i="50"/>
  <c r="AM191" i="32"/>
  <c r="C200" i="50"/>
  <c r="AJ200" i="50"/>
  <c r="S201" i="50"/>
  <c r="Z201" i="50" s="1"/>
  <c r="C190" i="32"/>
  <c r="AJ190" i="32"/>
  <c r="S191" i="32"/>
  <c r="Z191" i="32" s="1"/>
  <c r="W200" i="50"/>
  <c r="W190" i="32"/>
  <c r="X190" i="32" s="1"/>
  <c r="X199" i="50"/>
  <c r="V200" i="50"/>
  <c r="AF245" i="69"/>
  <c r="O247" i="69"/>
  <c r="AO246" i="69"/>
  <c r="AK192" i="32"/>
  <c r="AM201" i="50"/>
  <c r="AL189" i="32"/>
  <c r="AL188" i="32"/>
  <c r="AY245" i="69"/>
  <c r="V190" i="32"/>
  <c r="A192" i="32"/>
  <c r="B192" i="32"/>
  <c r="G202" i="50"/>
  <c r="A202" i="50"/>
  <c r="M202" i="50"/>
  <c r="K202" i="50"/>
  <c r="J202" i="50"/>
  <c r="L202" i="50"/>
  <c r="B202" i="50"/>
  <c r="I202" i="50"/>
  <c r="H202" i="50"/>
  <c r="M192" i="32"/>
  <c r="H192" i="32"/>
  <c r="I192" i="32"/>
  <c r="L192" i="32"/>
  <c r="G192" i="32"/>
  <c r="J192" i="32"/>
  <c r="K192" i="32"/>
  <c r="N192" i="32"/>
  <c r="AS247" i="67" a="1"/>
  <c r="AS247" i="67" s="1"/>
  <c r="B248" i="69"/>
  <c r="AM248" i="69" s="1"/>
  <c r="AN248" i="69" s="1"/>
  <c r="R245" i="69"/>
  <c r="S245" i="69" s="1"/>
  <c r="AE245" i="69"/>
  <c r="D246" i="69"/>
  <c r="E246" i="69" s="1"/>
  <c r="C247" i="69"/>
  <c r="AL192" i="11" a="1"/>
  <c r="AL192" i="11" s="1"/>
  <c r="AP202" i="59" a="1"/>
  <c r="AP202" i="59" s="1"/>
  <c r="E203" i="50" s="1"/>
  <c r="T203" i="50" s="1"/>
  <c r="AM77" i="11" a="1"/>
  <c r="AM77" i="11" s="1"/>
  <c r="AH199" i="50" l="1"/>
  <c r="AI199" i="50" s="1"/>
  <c r="AP199" i="50" s="1"/>
  <c r="H29" i="73"/>
  <c r="J29" i="73"/>
  <c r="P247" i="69"/>
  <c r="AP247" i="69"/>
  <c r="AL200" i="50"/>
  <c r="AK203" i="50"/>
  <c r="AG200" i="50"/>
  <c r="BC248" i="69"/>
  <c r="BE248" i="69"/>
  <c r="BF248" i="69"/>
  <c r="BD248" i="69"/>
  <c r="U192" i="32"/>
  <c r="AQ203" i="50"/>
  <c r="N203" i="50"/>
  <c r="AO202" i="50"/>
  <c r="AW246" i="69"/>
  <c r="AX246" i="69"/>
  <c r="L248" i="69"/>
  <c r="M248" i="69" s="1"/>
  <c r="AZ248" i="69"/>
  <c r="AB244" i="69"/>
  <c r="AC244" i="69" s="1"/>
  <c r="AD244" i="69" s="1"/>
  <c r="Y245" i="69"/>
  <c r="AB245" i="69" s="1"/>
  <c r="U246" i="69"/>
  <c r="AH246" i="69"/>
  <c r="F246" i="69"/>
  <c r="G246" i="69" s="1"/>
  <c r="H246" i="69" s="1"/>
  <c r="I246" i="69" s="1"/>
  <c r="J246" i="69" s="1"/>
  <c r="K246" i="69" s="1"/>
  <c r="F203" i="50"/>
  <c r="U203" i="50" s="1"/>
  <c r="AY203" i="50"/>
  <c r="AT191" i="32"/>
  <c r="AD191" i="32"/>
  <c r="AG191" i="32" s="1"/>
  <c r="AH191" i="32" s="1"/>
  <c r="AI191" i="32" s="1"/>
  <c r="AD201" i="50"/>
  <c r="Q247" i="69"/>
  <c r="P202" i="50"/>
  <c r="P192" i="32"/>
  <c r="O203" i="50"/>
  <c r="AM192" i="32"/>
  <c r="AJ201" i="50"/>
  <c r="C201" i="50"/>
  <c r="S202" i="50"/>
  <c r="Z202" i="50" s="1"/>
  <c r="AJ191" i="32"/>
  <c r="W191" i="32"/>
  <c r="X191" i="32" s="1"/>
  <c r="C191" i="32"/>
  <c r="S192" i="32"/>
  <c r="Z192" i="32" s="1"/>
  <c r="W201" i="50"/>
  <c r="X200" i="50"/>
  <c r="V201" i="50"/>
  <c r="V191" i="32"/>
  <c r="AF246" i="69"/>
  <c r="O248" i="69"/>
  <c r="AO247" i="69"/>
  <c r="AM202" i="50"/>
  <c r="AL190" i="32"/>
  <c r="AN188" i="32"/>
  <c r="AN189" i="32"/>
  <c r="AY246" i="69"/>
  <c r="M203" i="50"/>
  <c r="G203" i="50"/>
  <c r="I203" i="50"/>
  <c r="K203" i="50"/>
  <c r="H203" i="50"/>
  <c r="J203" i="50"/>
  <c r="B203" i="50"/>
  <c r="A203" i="50"/>
  <c r="L203" i="50"/>
  <c r="E193" i="32"/>
  <c r="T193" i="32" s="1"/>
  <c r="C248" i="69"/>
  <c r="D247" i="69"/>
  <c r="E247" i="69" s="1"/>
  <c r="R246" i="69"/>
  <c r="S246" i="69" s="1"/>
  <c r="AE246" i="69"/>
  <c r="AS248" i="67" a="1"/>
  <c r="AS248" i="67" s="1"/>
  <c r="B249" i="69"/>
  <c r="AM249" i="69" s="1"/>
  <c r="AN249" i="69" s="1"/>
  <c r="AL193" i="11" a="1"/>
  <c r="AL193" i="11" s="1"/>
  <c r="AP203" i="59" a="1"/>
  <c r="AP203" i="59" s="1"/>
  <c r="E204" i="50" s="1"/>
  <c r="T204" i="50" s="1"/>
  <c r="AM78" i="11" a="1"/>
  <c r="AM78" i="11" s="1"/>
  <c r="AH200" i="50" l="1"/>
  <c r="AI200" i="50" s="1"/>
  <c r="AP200" i="50" s="1"/>
  <c r="P248" i="69"/>
  <c r="AP248" i="69"/>
  <c r="AL201" i="50"/>
  <c r="O193" i="32"/>
  <c r="AK204" i="50"/>
  <c r="AG201" i="50"/>
  <c r="BC249" i="69"/>
  <c r="BE249" i="69"/>
  <c r="BF249" i="69"/>
  <c r="BD249" i="69"/>
  <c r="AQ204" i="50"/>
  <c r="N204" i="50"/>
  <c r="AO203" i="50"/>
  <c r="AX247" i="69"/>
  <c r="AW247" i="69"/>
  <c r="L249" i="69"/>
  <c r="M249" i="69" s="1"/>
  <c r="AZ249" i="69"/>
  <c r="Y246" i="69"/>
  <c r="AG246" i="69" s="1"/>
  <c r="AG245" i="69"/>
  <c r="F247" i="69"/>
  <c r="G247" i="69" s="1"/>
  <c r="H247" i="69" s="1"/>
  <c r="I247" i="69" s="1"/>
  <c r="J247" i="69" s="1"/>
  <c r="K247" i="69" s="1"/>
  <c r="U247" i="69"/>
  <c r="AH247" i="69"/>
  <c r="F193" i="32"/>
  <c r="AU193" i="32"/>
  <c r="F204" i="50"/>
  <c r="U204" i="50" s="1"/>
  <c r="AY204" i="50"/>
  <c r="AT192" i="32"/>
  <c r="AD192" i="32"/>
  <c r="AG192" i="32" s="1"/>
  <c r="AH192" i="32" s="1"/>
  <c r="AI192" i="32" s="1"/>
  <c r="AD202" i="50"/>
  <c r="Q248" i="69"/>
  <c r="P203" i="50"/>
  <c r="O204" i="50"/>
  <c r="C202" i="50"/>
  <c r="AJ202" i="50"/>
  <c r="S203" i="50"/>
  <c r="Z203" i="50" s="1"/>
  <c r="AJ192" i="32"/>
  <c r="C192" i="32"/>
  <c r="W202" i="50"/>
  <c r="W192" i="32"/>
  <c r="X192" i="32" s="1"/>
  <c r="X201" i="50"/>
  <c r="V202" i="50"/>
  <c r="AF247" i="69"/>
  <c r="AC245" i="69"/>
  <c r="AD245" i="69" s="1"/>
  <c r="O249" i="69"/>
  <c r="AO248" i="69"/>
  <c r="AK193" i="32"/>
  <c r="AM203" i="50"/>
  <c r="AL191" i="32"/>
  <c r="AN190" i="32"/>
  <c r="AY247" i="69"/>
  <c r="V192" i="32"/>
  <c r="A193" i="32"/>
  <c r="B193" i="32"/>
  <c r="B204" i="50"/>
  <c r="A204" i="50"/>
  <c r="J204" i="50"/>
  <c r="L204" i="50"/>
  <c r="G204" i="50"/>
  <c r="M204" i="50"/>
  <c r="H204" i="50"/>
  <c r="I204" i="50"/>
  <c r="K204" i="50"/>
  <c r="K193" i="32"/>
  <c r="N193" i="32"/>
  <c r="G193" i="32"/>
  <c r="J193" i="32"/>
  <c r="L193" i="32"/>
  <c r="M193" i="32"/>
  <c r="H193" i="32"/>
  <c r="I193" i="32"/>
  <c r="E194" i="32"/>
  <c r="T194" i="32" s="1"/>
  <c r="AS249" i="67" a="1"/>
  <c r="AS249" i="67" s="1"/>
  <c r="B250" i="69"/>
  <c r="AM250" i="69" s="1"/>
  <c r="AN250" i="69" s="1"/>
  <c r="AE247" i="69"/>
  <c r="R247" i="69"/>
  <c r="S247" i="69" s="1"/>
  <c r="C249" i="69"/>
  <c r="D248" i="69"/>
  <c r="E248" i="69" s="1"/>
  <c r="AL194" i="11" a="1"/>
  <c r="AL194" i="11" s="1"/>
  <c r="E195" i="32" s="1"/>
  <c r="T195" i="32" s="1"/>
  <c r="AP204" i="59" a="1"/>
  <c r="AP204" i="59" s="1"/>
  <c r="E205" i="50" s="1"/>
  <c r="T205" i="50" s="1"/>
  <c r="AM79" i="11" a="1"/>
  <c r="AM79" i="11" s="1"/>
  <c r="AH201" i="50" l="1"/>
  <c r="AI201" i="50" s="1"/>
  <c r="AP201" i="50" s="1"/>
  <c r="P249" i="69"/>
  <c r="AP249" i="69"/>
  <c r="O195" i="32"/>
  <c r="O194" i="32"/>
  <c r="AK205" i="50"/>
  <c r="AL202" i="50"/>
  <c r="AG202" i="50"/>
  <c r="BC250" i="69"/>
  <c r="BE250" i="69"/>
  <c r="BF250" i="69"/>
  <c r="BD250" i="69"/>
  <c r="U193" i="32"/>
  <c r="AQ205" i="50"/>
  <c r="N205" i="50"/>
  <c r="AO204" i="50"/>
  <c r="AW248" i="69"/>
  <c r="AX248" i="69"/>
  <c r="L250" i="69"/>
  <c r="M250" i="69" s="1"/>
  <c r="AZ250" i="69"/>
  <c r="AB246" i="69"/>
  <c r="AC246" i="69" s="1"/>
  <c r="AD246" i="69" s="1"/>
  <c r="Y247" i="69"/>
  <c r="AG247" i="69" s="1"/>
  <c r="F248" i="69"/>
  <c r="G248" i="69" s="1"/>
  <c r="H248" i="69" s="1"/>
  <c r="I248" i="69" s="1"/>
  <c r="J248" i="69" s="1"/>
  <c r="K248" i="69" s="1"/>
  <c r="U248" i="69"/>
  <c r="AH248" i="69"/>
  <c r="F194" i="32"/>
  <c r="AU194" i="32"/>
  <c r="F195" i="32"/>
  <c r="AU195" i="32"/>
  <c r="AY205" i="50"/>
  <c r="F205" i="50"/>
  <c r="U205" i="50" s="1"/>
  <c r="AD203" i="50"/>
  <c r="Q249" i="69"/>
  <c r="P204" i="50"/>
  <c r="P193" i="32"/>
  <c r="O205" i="50"/>
  <c r="AM193" i="32"/>
  <c r="AJ203" i="50"/>
  <c r="C203" i="50"/>
  <c r="S204" i="50"/>
  <c r="Z204" i="50" s="1"/>
  <c r="S193" i="32"/>
  <c r="Z193" i="32" s="1"/>
  <c r="W203" i="50"/>
  <c r="X202" i="50"/>
  <c r="V203" i="50"/>
  <c r="AF248" i="69"/>
  <c r="O250" i="69"/>
  <c r="AO249" i="69"/>
  <c r="AK195" i="32"/>
  <c r="AK194" i="32"/>
  <c r="AM204" i="50"/>
  <c r="AL192" i="32"/>
  <c r="AN191" i="32"/>
  <c r="AY248" i="69"/>
  <c r="A195" i="32"/>
  <c r="B195" i="32"/>
  <c r="A194" i="32"/>
  <c r="B194" i="32"/>
  <c r="K205" i="50"/>
  <c r="M205" i="50"/>
  <c r="G205" i="50"/>
  <c r="B205" i="50"/>
  <c r="L205" i="50"/>
  <c r="H205" i="50"/>
  <c r="I205" i="50"/>
  <c r="A205" i="50"/>
  <c r="J205" i="50"/>
  <c r="G195" i="32"/>
  <c r="J195" i="32"/>
  <c r="K195" i="32"/>
  <c r="N195" i="32"/>
  <c r="H195" i="32"/>
  <c r="I195" i="32"/>
  <c r="L195" i="32"/>
  <c r="M195" i="32"/>
  <c r="I194" i="32"/>
  <c r="L194" i="32"/>
  <c r="M194" i="32"/>
  <c r="H194" i="32"/>
  <c r="G194" i="32"/>
  <c r="J194" i="32"/>
  <c r="K194" i="32"/>
  <c r="N194" i="32"/>
  <c r="D249" i="69"/>
  <c r="E249" i="69" s="1"/>
  <c r="AS250" i="67" a="1"/>
  <c r="AS250" i="67" s="1"/>
  <c r="B251" i="69"/>
  <c r="AM251" i="69" s="1"/>
  <c r="AN251" i="69" s="1"/>
  <c r="R248" i="69"/>
  <c r="S248" i="69" s="1"/>
  <c r="AE248" i="69"/>
  <c r="C250" i="69"/>
  <c r="AL195" i="11" a="1"/>
  <c r="AL195" i="11" s="1"/>
  <c r="E196" i="32" s="1"/>
  <c r="T196" i="32" s="1"/>
  <c r="AP205" i="59" a="1"/>
  <c r="AP205" i="59" s="1"/>
  <c r="E206" i="50" s="1"/>
  <c r="T206" i="50" s="1"/>
  <c r="AM80" i="11" a="1"/>
  <c r="AM80" i="11" s="1"/>
  <c r="AH202" i="50" l="1"/>
  <c r="AI202" i="50" s="1"/>
  <c r="AP202" i="50" s="1"/>
  <c r="AL203" i="50"/>
  <c r="P250" i="69"/>
  <c r="AP250" i="69"/>
  <c r="O196" i="32"/>
  <c r="AK206" i="50"/>
  <c r="AG203" i="50"/>
  <c r="BC251" i="69"/>
  <c r="BE251" i="69"/>
  <c r="BF251" i="69"/>
  <c r="BD251" i="69"/>
  <c r="U195" i="32"/>
  <c r="U194" i="32"/>
  <c r="N206" i="50"/>
  <c r="AQ206" i="50"/>
  <c r="AO205" i="50"/>
  <c r="AX249" i="69"/>
  <c r="AW249" i="69"/>
  <c r="L251" i="69"/>
  <c r="M251" i="69" s="1"/>
  <c r="AZ251" i="69"/>
  <c r="AB247" i="69"/>
  <c r="AC247" i="69" s="1"/>
  <c r="AD247" i="69" s="1"/>
  <c r="Y248" i="69"/>
  <c r="AB248" i="69" s="1"/>
  <c r="AC248" i="69" s="1"/>
  <c r="AD248" i="69" s="1"/>
  <c r="F249" i="69"/>
  <c r="G249" i="69" s="1"/>
  <c r="H249" i="69" s="1"/>
  <c r="I249" i="69" s="1"/>
  <c r="J249" i="69" s="1"/>
  <c r="K249" i="69" s="1"/>
  <c r="U249" i="69"/>
  <c r="AH249" i="69"/>
  <c r="F196" i="32"/>
  <c r="AU196" i="32"/>
  <c r="AY206" i="50"/>
  <c r="F206" i="50"/>
  <c r="U206" i="50" s="1"/>
  <c r="AT193" i="32"/>
  <c r="AD193" i="32"/>
  <c r="AG193" i="32" s="1"/>
  <c r="AH193" i="32" s="1"/>
  <c r="AI193" i="32" s="1"/>
  <c r="AD204" i="50"/>
  <c r="Q250" i="69"/>
  <c r="P205" i="50"/>
  <c r="P195" i="32"/>
  <c r="P194" i="32"/>
  <c r="O206" i="50"/>
  <c r="AM195" i="32"/>
  <c r="AM194" i="32"/>
  <c r="C204" i="50"/>
  <c r="AJ204" i="50"/>
  <c r="S205" i="50"/>
  <c r="Z205" i="50" s="1"/>
  <c r="W193" i="32"/>
  <c r="X193" i="32" s="1"/>
  <c r="C193" i="32"/>
  <c r="AJ193" i="32"/>
  <c r="S194" i="32"/>
  <c r="Z194" i="32" s="1"/>
  <c r="S195" i="32"/>
  <c r="W204" i="50"/>
  <c r="X203" i="50"/>
  <c r="V204" i="50"/>
  <c r="V193" i="32"/>
  <c r="AF249" i="69"/>
  <c r="O251" i="69"/>
  <c r="AO250" i="69"/>
  <c r="AK196" i="32"/>
  <c r="AM205" i="50"/>
  <c r="AN192" i="32"/>
  <c r="AY249" i="69"/>
  <c r="A196" i="32"/>
  <c r="B196" i="32"/>
  <c r="I206" i="50"/>
  <c r="G206" i="50"/>
  <c r="H206" i="50"/>
  <c r="A206" i="50"/>
  <c r="L206" i="50"/>
  <c r="M206" i="50"/>
  <c r="J206" i="50"/>
  <c r="B206" i="50"/>
  <c r="K206" i="50"/>
  <c r="M196" i="32"/>
  <c r="H196" i="32"/>
  <c r="I196" i="32"/>
  <c r="L196" i="32"/>
  <c r="N196" i="32"/>
  <c r="G196" i="32"/>
  <c r="J196" i="32"/>
  <c r="K196" i="32"/>
  <c r="D250" i="69"/>
  <c r="E250" i="69" s="1"/>
  <c r="AE249" i="69"/>
  <c r="R249" i="69"/>
  <c r="S249" i="69" s="1"/>
  <c r="C251" i="69"/>
  <c r="AS251" i="67" a="1"/>
  <c r="AS251" i="67" s="1"/>
  <c r="B252" i="69"/>
  <c r="AM252" i="69" s="1"/>
  <c r="AN252" i="69" s="1"/>
  <c r="AL196" i="11" a="1"/>
  <c r="AL196" i="11" s="1"/>
  <c r="E197" i="32" s="1"/>
  <c r="T197" i="32" s="1"/>
  <c r="AP206" i="59" a="1"/>
  <c r="AP206" i="59" s="1"/>
  <c r="E207" i="50" s="1"/>
  <c r="T207" i="50" s="1"/>
  <c r="AM81" i="11" a="1"/>
  <c r="AM81" i="11" s="1"/>
  <c r="AH203" i="50" l="1"/>
  <c r="AI203" i="50" s="1"/>
  <c r="AP203" i="50" s="1"/>
  <c r="P251" i="69"/>
  <c r="AP251" i="69"/>
  <c r="AL204" i="50"/>
  <c r="O197" i="32"/>
  <c r="AK207" i="50"/>
  <c r="AG204" i="50"/>
  <c r="BC252" i="69"/>
  <c r="BE252" i="69"/>
  <c r="BF252" i="69"/>
  <c r="BD252" i="69"/>
  <c r="U196" i="32"/>
  <c r="AO206" i="50"/>
  <c r="N207" i="50"/>
  <c r="AQ207" i="50"/>
  <c r="AD195" i="32"/>
  <c r="AG195" i="32" s="1"/>
  <c r="AH195" i="32" s="1"/>
  <c r="AI195" i="32" s="1"/>
  <c r="AX250" i="69"/>
  <c r="AW250" i="69"/>
  <c r="L252" i="69"/>
  <c r="M252" i="69" s="1"/>
  <c r="AZ252" i="69"/>
  <c r="Y249" i="69"/>
  <c r="AG249" i="69" s="1"/>
  <c r="AG248" i="69"/>
  <c r="U250" i="69"/>
  <c r="AH250" i="69"/>
  <c r="F250" i="69"/>
  <c r="G250" i="69" s="1"/>
  <c r="H250" i="69" s="1"/>
  <c r="I250" i="69" s="1"/>
  <c r="J250" i="69" s="1"/>
  <c r="K250" i="69" s="1"/>
  <c r="F197" i="32"/>
  <c r="AU197" i="32"/>
  <c r="AY207" i="50"/>
  <c r="F207" i="50"/>
  <c r="U207" i="50" s="1"/>
  <c r="AT194" i="32"/>
  <c r="AT195" i="32"/>
  <c r="AD194" i="32"/>
  <c r="AG194" i="32" s="1"/>
  <c r="AH194" i="32" s="1"/>
  <c r="AI194" i="32" s="1"/>
  <c r="AD205" i="50"/>
  <c r="Q251" i="69"/>
  <c r="P206" i="50"/>
  <c r="P196" i="32"/>
  <c r="O207"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O252" i="69"/>
  <c r="AO251" i="69"/>
  <c r="AK197" i="32"/>
  <c r="AM206" i="50"/>
  <c r="AL193" i="32"/>
  <c r="AY250" i="69"/>
  <c r="A197" i="32"/>
  <c r="B197" i="32"/>
  <c r="I207" i="50"/>
  <c r="K207" i="50"/>
  <c r="A207" i="50"/>
  <c r="B207" i="50"/>
  <c r="G207" i="50"/>
  <c r="M207" i="50"/>
  <c r="H207" i="50"/>
  <c r="J207" i="50"/>
  <c r="L207" i="50"/>
  <c r="K197" i="32"/>
  <c r="N197" i="32"/>
  <c r="G197" i="32"/>
  <c r="J197" i="32"/>
  <c r="H197" i="32"/>
  <c r="I197" i="32"/>
  <c r="L197" i="32"/>
  <c r="M197" i="32"/>
  <c r="C252" i="69"/>
  <c r="AS252" i="67" a="1"/>
  <c r="AS252" i="67" s="1"/>
  <c r="B253" i="69"/>
  <c r="AM253" i="69" s="1"/>
  <c r="AN253" i="69" s="1"/>
  <c r="AE250" i="69"/>
  <c r="R250" i="69"/>
  <c r="S250" i="69" s="1"/>
  <c r="D251" i="69"/>
  <c r="E251" i="69" s="1"/>
  <c r="AL197" i="11" a="1"/>
  <c r="AL197" i="11" s="1"/>
  <c r="E198" i="32" s="1"/>
  <c r="T198" i="32" s="1"/>
  <c r="AP207" i="59" a="1"/>
  <c r="AP207" i="59" s="1"/>
  <c r="E208" i="50" s="1"/>
  <c r="T208" i="50" s="1"/>
  <c r="AM82" i="11" a="1"/>
  <c r="AM82" i="11" s="1"/>
  <c r="AH204" i="50" l="1"/>
  <c r="AI204" i="50" s="1"/>
  <c r="AP204" i="50" s="1"/>
  <c r="P252" i="69"/>
  <c r="AP252" i="69"/>
  <c r="O198" i="32"/>
  <c r="AK208" i="50"/>
  <c r="AL205" i="50"/>
  <c r="AG205" i="50"/>
  <c r="BC253" i="69"/>
  <c r="BF253" i="69"/>
  <c r="BE253" i="69"/>
  <c r="BD253" i="69"/>
  <c r="U197" i="32"/>
  <c r="AO207" i="50"/>
  <c r="AQ208" i="50"/>
  <c r="N208" i="50"/>
  <c r="AX251" i="69"/>
  <c r="AW251" i="69"/>
  <c r="L253" i="69"/>
  <c r="M253" i="69" s="1"/>
  <c r="AZ253" i="69"/>
  <c r="Y250" i="69"/>
  <c r="AG250" i="69" s="1"/>
  <c r="AB249" i="69"/>
  <c r="AC249" i="69" s="1"/>
  <c r="AD249" i="69" s="1"/>
  <c r="F251" i="69"/>
  <c r="G251" i="69" s="1"/>
  <c r="H251" i="69" s="1"/>
  <c r="I251" i="69" s="1"/>
  <c r="J251" i="69" s="1"/>
  <c r="K251" i="69" s="1"/>
  <c r="U251" i="69"/>
  <c r="AH251" i="69"/>
  <c r="F198" i="32"/>
  <c r="AU198" i="32"/>
  <c r="AY208" i="50"/>
  <c r="F208" i="50"/>
  <c r="U208" i="50" s="1"/>
  <c r="AT196" i="32"/>
  <c r="AD196" i="32"/>
  <c r="AD206" i="50"/>
  <c r="Q252" i="69"/>
  <c r="P207" i="50"/>
  <c r="P197" i="32"/>
  <c r="O208" i="50"/>
  <c r="AM197" i="32"/>
  <c r="AJ206" i="50"/>
  <c r="C206" i="50"/>
  <c r="S207" i="50"/>
  <c r="Z207" i="50" s="1"/>
  <c r="C196" i="32"/>
  <c r="W196" i="32"/>
  <c r="X196" i="32" s="1"/>
  <c r="AJ196" i="32"/>
  <c r="S197" i="32"/>
  <c r="Z197" i="32" s="1"/>
  <c r="W206" i="50"/>
  <c r="X205" i="50"/>
  <c r="V206" i="50"/>
  <c r="V196" i="32"/>
  <c r="AF251" i="69"/>
  <c r="AO252" i="69"/>
  <c r="O253" i="69"/>
  <c r="AK198" i="32"/>
  <c r="AM207" i="50"/>
  <c r="AL195" i="32"/>
  <c r="AL194" i="32"/>
  <c r="AN193" i="32"/>
  <c r="AY251" i="69"/>
  <c r="A198" i="32"/>
  <c r="B198" i="32"/>
  <c r="G208" i="50"/>
  <c r="J208" i="50"/>
  <c r="M208" i="50"/>
  <c r="B208" i="50"/>
  <c r="K208" i="50"/>
  <c r="L208" i="50"/>
  <c r="A208" i="50"/>
  <c r="I208" i="50"/>
  <c r="H208" i="50"/>
  <c r="I198" i="32"/>
  <c r="L198" i="32"/>
  <c r="M198" i="32"/>
  <c r="H198" i="32"/>
  <c r="J198" i="32"/>
  <c r="K198" i="32"/>
  <c r="N198" i="32"/>
  <c r="G198" i="32"/>
  <c r="AS253" i="67" a="1"/>
  <c r="AS253" i="67" s="1"/>
  <c r="B254" i="69"/>
  <c r="AM254" i="69" s="1"/>
  <c r="AN254" i="69" s="1"/>
  <c r="C253" i="69"/>
  <c r="R251" i="69"/>
  <c r="S251" i="69" s="1"/>
  <c r="AE251" i="69"/>
  <c r="D252" i="69"/>
  <c r="E252" i="69" s="1"/>
  <c r="AL198" i="11" a="1"/>
  <c r="AL198" i="11" s="1"/>
  <c r="AP208" i="59" a="1"/>
  <c r="AP208" i="59" s="1"/>
  <c r="E209" i="50" s="1"/>
  <c r="T209" i="50" s="1"/>
  <c r="AM83" i="11" a="1"/>
  <c r="AM83" i="11" s="1"/>
  <c r="AH205" i="50" l="1"/>
  <c r="AI205" i="50" s="1"/>
  <c r="AP205" i="50" s="1"/>
  <c r="P253" i="69"/>
  <c r="AP253" i="69"/>
  <c r="AK209" i="50"/>
  <c r="AL206" i="50"/>
  <c r="AG206" i="50"/>
  <c r="BC254" i="69"/>
  <c r="BF254" i="69"/>
  <c r="BE254" i="69"/>
  <c r="BD254" i="69"/>
  <c r="U198" i="32"/>
  <c r="AQ209" i="50"/>
  <c r="N209" i="50"/>
  <c r="AO208" i="50"/>
  <c r="AX252" i="69"/>
  <c r="AW252" i="69"/>
  <c r="L254" i="69"/>
  <c r="M254" i="69" s="1"/>
  <c r="AZ254" i="69"/>
  <c r="Y251" i="69"/>
  <c r="AB251" i="69" s="1"/>
  <c r="AB250" i="69"/>
  <c r="AC250" i="69" s="1"/>
  <c r="AD250" i="69" s="1"/>
  <c r="F252" i="69"/>
  <c r="G252" i="69" s="1"/>
  <c r="H252" i="69" s="1"/>
  <c r="I252" i="69" s="1"/>
  <c r="J252" i="69" s="1"/>
  <c r="K252" i="69" s="1"/>
  <c r="U252" i="69"/>
  <c r="AH252" i="69"/>
  <c r="AY209" i="50"/>
  <c r="F209" i="50"/>
  <c r="U209" i="50" s="1"/>
  <c r="AT197" i="32"/>
  <c r="AD197" i="32"/>
  <c r="AG197" i="32" s="1"/>
  <c r="AH197" i="32" s="1"/>
  <c r="AI197" i="32" s="1"/>
  <c r="AD207" i="50"/>
  <c r="Q253" i="69"/>
  <c r="P208" i="50"/>
  <c r="P198" i="32"/>
  <c r="O209" i="50"/>
  <c r="AG196" i="32"/>
  <c r="AH196" i="32" s="1"/>
  <c r="AI196" i="32" s="1"/>
  <c r="AM198" i="32"/>
  <c r="C207" i="50"/>
  <c r="AJ207" i="50"/>
  <c r="S208" i="50"/>
  <c r="Z208" i="50" s="1"/>
  <c r="AJ197" i="32"/>
  <c r="W197" i="32"/>
  <c r="X197" i="32" s="1"/>
  <c r="C197" i="32"/>
  <c r="S198" i="32"/>
  <c r="Z198" i="32" s="1"/>
  <c r="W207" i="50"/>
  <c r="X206" i="50"/>
  <c r="V207" i="50"/>
  <c r="V197" i="32"/>
  <c r="AF252" i="69"/>
  <c r="AO253" i="69"/>
  <c r="O254" i="69"/>
  <c r="AM208" i="50"/>
  <c r="AL196" i="32"/>
  <c r="AN194" i="32"/>
  <c r="AN195" i="32"/>
  <c r="AY252" i="69"/>
  <c r="B209" i="50"/>
  <c r="M209" i="50"/>
  <c r="K209" i="50"/>
  <c r="G209" i="50"/>
  <c r="H209" i="50"/>
  <c r="A209" i="50"/>
  <c r="J209" i="50"/>
  <c r="I209" i="50"/>
  <c r="L209" i="50"/>
  <c r="E199" i="32"/>
  <c r="T199" i="32" s="1"/>
  <c r="AS254" i="67" a="1"/>
  <c r="AS254" i="67" s="1"/>
  <c r="B255" i="69"/>
  <c r="AM255" i="69" s="1"/>
  <c r="AN255" i="69" s="1"/>
  <c r="AE252" i="69"/>
  <c r="R252" i="69"/>
  <c r="S252" i="69" s="1"/>
  <c r="D253" i="69"/>
  <c r="E253" i="69" s="1"/>
  <c r="C254" i="69"/>
  <c r="AL199" i="11" a="1"/>
  <c r="AL199" i="11" s="1"/>
  <c r="E200" i="32" s="1"/>
  <c r="T200" i="32" s="1"/>
  <c r="AP209" i="59" a="1"/>
  <c r="AP209" i="59" s="1"/>
  <c r="E210" i="50" s="1"/>
  <c r="T210" i="50" s="1"/>
  <c r="AM84" i="11" a="1"/>
  <c r="AM84" i="11" s="1"/>
  <c r="AH206" i="50" l="1"/>
  <c r="AI206" i="50" s="1"/>
  <c r="AP206" i="50" s="1"/>
  <c r="P254" i="69"/>
  <c r="AP254" i="69"/>
  <c r="O199" i="32"/>
  <c r="O200" i="32"/>
  <c r="AK210" i="50"/>
  <c r="AL207" i="50"/>
  <c r="AG207" i="50"/>
  <c r="BC255" i="69"/>
  <c r="BF255" i="69"/>
  <c r="BD255" i="69"/>
  <c r="BE255" i="69"/>
  <c r="AQ210" i="50"/>
  <c r="N210" i="50"/>
  <c r="AO209" i="50"/>
  <c r="AX253" i="69"/>
  <c r="AW253" i="69"/>
  <c r="L255" i="69"/>
  <c r="M255" i="69" s="1"/>
  <c r="AZ255" i="69"/>
  <c r="AG251" i="69"/>
  <c r="Y252" i="69"/>
  <c r="AG252" i="69" s="1"/>
  <c r="F253" i="69"/>
  <c r="G253" i="69" s="1"/>
  <c r="H253" i="69" s="1"/>
  <c r="I253" i="69" s="1"/>
  <c r="J253" i="69" s="1"/>
  <c r="K253" i="69" s="1"/>
  <c r="U253" i="69"/>
  <c r="AH253" i="69"/>
  <c r="F200" i="32"/>
  <c r="AU200" i="32"/>
  <c r="F199" i="32"/>
  <c r="AU199" i="32"/>
  <c r="AY210" i="50"/>
  <c r="F210" i="50"/>
  <c r="U210" i="50" s="1"/>
  <c r="AT198" i="32"/>
  <c r="AD198" i="32"/>
  <c r="AG198" i="32" s="1"/>
  <c r="AH198" i="32" s="1"/>
  <c r="AI198" i="32" s="1"/>
  <c r="AD208" i="50"/>
  <c r="AL208" i="50" s="1"/>
  <c r="Q254" i="69"/>
  <c r="P209" i="50"/>
  <c r="O210" i="50"/>
  <c r="C208" i="50"/>
  <c r="AJ208" i="50"/>
  <c r="S209" i="50"/>
  <c r="Z209" i="50" s="1"/>
  <c r="C198" i="32"/>
  <c r="AJ198" i="32"/>
  <c r="W208" i="50"/>
  <c r="W198" i="32"/>
  <c r="X198" i="32" s="1"/>
  <c r="X207" i="50"/>
  <c r="V208" i="50"/>
  <c r="AF253" i="69"/>
  <c r="AC251" i="69"/>
  <c r="AD251" i="69" s="1"/>
  <c r="AO254" i="69"/>
  <c r="O255" i="69"/>
  <c r="AK199" i="32"/>
  <c r="AK200" i="32"/>
  <c r="AM209" i="50"/>
  <c r="AL197" i="32"/>
  <c r="AN196" i="32"/>
  <c r="AY253" i="69"/>
  <c r="V198" i="32"/>
  <c r="A199" i="32"/>
  <c r="B199" i="32"/>
  <c r="A200" i="32"/>
  <c r="B200" i="32"/>
  <c r="L210" i="50"/>
  <c r="K210" i="50"/>
  <c r="H210" i="50"/>
  <c r="J210" i="50"/>
  <c r="I210" i="50"/>
  <c r="B210" i="50"/>
  <c r="M210" i="50"/>
  <c r="A210" i="50"/>
  <c r="G210" i="50"/>
  <c r="G199" i="32"/>
  <c r="L199" i="32"/>
  <c r="M199" i="32"/>
  <c r="N199" i="32"/>
  <c r="H199" i="32"/>
  <c r="I199" i="32"/>
  <c r="K199" i="32"/>
  <c r="J199" i="32"/>
  <c r="J200" i="32"/>
  <c r="K200" i="32"/>
  <c r="L200" i="32"/>
  <c r="M200" i="32"/>
  <c r="N200" i="32"/>
  <c r="G200" i="32"/>
  <c r="H200" i="32"/>
  <c r="I200" i="32"/>
  <c r="AS255" i="67" a="1"/>
  <c r="AS255" i="67" s="1"/>
  <c r="B256" i="69"/>
  <c r="AM256" i="69" s="1"/>
  <c r="AN256" i="69" s="1"/>
  <c r="AE253" i="69"/>
  <c r="R253" i="69"/>
  <c r="S253" i="69" s="1"/>
  <c r="D254" i="69"/>
  <c r="E254" i="69" s="1"/>
  <c r="C255" i="69"/>
  <c r="AL200" i="11" a="1"/>
  <c r="AL200" i="11" s="1"/>
  <c r="E201" i="32" s="1"/>
  <c r="T201" i="32" s="1"/>
  <c r="AP210" i="59" a="1"/>
  <c r="AP210" i="59" s="1"/>
  <c r="E211" i="50" s="1"/>
  <c r="T211" i="50" s="1"/>
  <c r="AM85" i="11" a="1"/>
  <c r="AM85" i="11" s="1"/>
  <c r="AH207" i="50" l="1"/>
  <c r="AI207" i="50" s="1"/>
  <c r="AP207" i="50" s="1"/>
  <c r="P255" i="69"/>
  <c r="AP255" i="69"/>
  <c r="O201" i="32"/>
  <c r="AK211" i="50"/>
  <c r="AG208" i="50"/>
  <c r="BC256" i="69"/>
  <c r="BE256" i="69"/>
  <c r="BF256" i="69"/>
  <c r="BD256" i="69"/>
  <c r="U199" i="32"/>
  <c r="U200" i="32"/>
  <c r="AQ211" i="50"/>
  <c r="N211" i="50"/>
  <c r="AO210" i="50"/>
  <c r="AX254" i="69"/>
  <c r="AW254" i="69"/>
  <c r="L256" i="69"/>
  <c r="M256" i="69" s="1"/>
  <c r="AZ256" i="69"/>
  <c r="AB252" i="69"/>
  <c r="AC252" i="69" s="1"/>
  <c r="AD252" i="69" s="1"/>
  <c r="Y253" i="69"/>
  <c r="AB253" i="69" s="1"/>
  <c r="F254" i="69"/>
  <c r="G254" i="69" s="1"/>
  <c r="H254" i="69" s="1"/>
  <c r="I254" i="69" s="1"/>
  <c r="J254" i="69" s="1"/>
  <c r="K254" i="69" s="1"/>
  <c r="U254" i="69"/>
  <c r="AH254" i="69"/>
  <c r="F201" i="32"/>
  <c r="AU201" i="32"/>
  <c r="F211" i="50"/>
  <c r="U211" i="50" s="1"/>
  <c r="AY211" i="50"/>
  <c r="AD209" i="50"/>
  <c r="Q255" i="69"/>
  <c r="P210" i="50"/>
  <c r="P199" i="32"/>
  <c r="P200" i="32"/>
  <c r="O211" i="50"/>
  <c r="AM200" i="32"/>
  <c r="AM199" i="32"/>
  <c r="AJ209" i="50"/>
  <c r="C209" i="50"/>
  <c r="S210" i="50"/>
  <c r="Z210" i="50" s="1"/>
  <c r="S199" i="32"/>
  <c r="Z199" i="32" s="1"/>
  <c r="S200" i="32"/>
  <c r="Z200" i="32" s="1"/>
  <c r="W209" i="50"/>
  <c r="X208" i="50"/>
  <c r="V209" i="50"/>
  <c r="AF254" i="69"/>
  <c r="O256" i="69"/>
  <c r="AO255" i="69"/>
  <c r="AK201" i="32"/>
  <c r="AM210" i="50"/>
  <c r="AL198" i="32"/>
  <c r="AN197" i="32"/>
  <c r="AY254" i="69"/>
  <c r="A201" i="32"/>
  <c r="B201" i="32"/>
  <c r="M211" i="50"/>
  <c r="G211" i="50"/>
  <c r="I211" i="50"/>
  <c r="B211" i="50"/>
  <c r="H211" i="50"/>
  <c r="L211" i="50"/>
  <c r="J211" i="50"/>
  <c r="K211" i="50"/>
  <c r="A211" i="50"/>
  <c r="H201" i="32"/>
  <c r="I201" i="32"/>
  <c r="J201" i="32"/>
  <c r="K201" i="32"/>
  <c r="L201" i="32"/>
  <c r="M201" i="32"/>
  <c r="G201" i="32"/>
  <c r="N201" i="32"/>
  <c r="D255" i="69"/>
  <c r="E255" i="69" s="1"/>
  <c r="AE254" i="69"/>
  <c r="R254" i="69"/>
  <c r="S254" i="69" s="1"/>
  <c r="C256" i="69"/>
  <c r="AS256" i="67" a="1"/>
  <c r="AS256" i="67" s="1"/>
  <c r="AS257" i="67" s="1" a="1"/>
  <c r="AS257" i="67" s="1"/>
  <c r="B257" i="69"/>
  <c r="AM257" i="69" s="1"/>
  <c r="AN257" i="69" s="1"/>
  <c r="AL201" i="11" a="1"/>
  <c r="AL201" i="11" s="1"/>
  <c r="E202" i="32" s="1"/>
  <c r="T202" i="32" s="1"/>
  <c r="AP211" i="59" a="1"/>
  <c r="AP211" i="59" s="1"/>
  <c r="E212" i="50" s="1"/>
  <c r="T212" i="50" s="1"/>
  <c r="AM86" i="11" a="1"/>
  <c r="AM86" i="11" s="1"/>
  <c r="AH208" i="50" l="1"/>
  <c r="AI208" i="50" s="1"/>
  <c r="AP208" i="50" s="1"/>
  <c r="P256" i="69"/>
  <c r="AP256" i="69"/>
  <c r="O202" i="32"/>
  <c r="AK212" i="50"/>
  <c r="AL209" i="50"/>
  <c r="AG209" i="50"/>
  <c r="BC257" i="69"/>
  <c r="BE257" i="69"/>
  <c r="BF257" i="69"/>
  <c r="U201" i="32"/>
  <c r="AQ212" i="50"/>
  <c r="N212" i="50"/>
  <c r="AO211" i="50"/>
  <c r="AX255" i="69"/>
  <c r="AW255" i="69"/>
  <c r="L257" i="69"/>
  <c r="M257" i="69" s="1"/>
  <c r="AZ257" i="69"/>
  <c r="D3" i="69" s="1" a="1"/>
  <c r="D3" i="69" s="1"/>
  <c r="Y254" i="69"/>
  <c r="AB254" i="69" s="1"/>
  <c r="AG253" i="69"/>
  <c r="U255" i="69"/>
  <c r="AH255" i="69"/>
  <c r="F255" i="69"/>
  <c r="G255" i="69" s="1"/>
  <c r="H255" i="69" s="1"/>
  <c r="I255" i="69" s="1"/>
  <c r="J255" i="69" s="1"/>
  <c r="K255" i="69" s="1"/>
  <c r="F202" i="32"/>
  <c r="AU202" i="32"/>
  <c r="F212" i="50"/>
  <c r="U212" i="50" s="1"/>
  <c r="AY212" i="50"/>
  <c r="AT200" i="32"/>
  <c r="AT199" i="32"/>
  <c r="AD200" i="32"/>
  <c r="AG200" i="32" s="1"/>
  <c r="AH200" i="32" s="1"/>
  <c r="AI200" i="32" s="1"/>
  <c r="AD199" i="32"/>
  <c r="AG199" i="32" s="1"/>
  <c r="AH199" i="32" s="1"/>
  <c r="AI199" i="32" s="1"/>
  <c r="AD210" i="50"/>
  <c r="Q256" i="69"/>
  <c r="P211" i="50"/>
  <c r="P201" i="32"/>
  <c r="O212" i="50"/>
  <c r="AM201" i="32"/>
  <c r="C210" i="50"/>
  <c r="AJ210" i="50"/>
  <c r="S211" i="50"/>
  <c r="Z211" i="50" s="1"/>
  <c r="C200" i="32"/>
  <c r="AJ200" i="32"/>
  <c r="W199" i="32"/>
  <c r="X199" i="32" s="1"/>
  <c r="C199" i="32"/>
  <c r="AJ199" i="32"/>
  <c r="S201" i="32"/>
  <c r="Z201" i="32" s="1"/>
  <c r="W210" i="50"/>
  <c r="W200" i="32"/>
  <c r="X200" i="32" s="1"/>
  <c r="X209" i="50"/>
  <c r="V210" i="50"/>
  <c r="V199" i="32"/>
  <c r="AF255" i="69"/>
  <c r="AC253" i="69"/>
  <c r="AD253" i="69" s="1"/>
  <c r="O257" i="69"/>
  <c r="AO256" i="69"/>
  <c r="AK202" i="32"/>
  <c r="AM211" i="50"/>
  <c r="AN198" i="32"/>
  <c r="AY255" i="69"/>
  <c r="V200" i="32"/>
  <c r="A202" i="32"/>
  <c r="B202" i="32"/>
  <c r="I212" i="50"/>
  <c r="H212" i="50"/>
  <c r="M212" i="50"/>
  <c r="L212" i="50"/>
  <c r="G212" i="50"/>
  <c r="A212" i="50"/>
  <c r="J212" i="50"/>
  <c r="K212" i="50"/>
  <c r="B212" i="50"/>
  <c r="N202" i="32"/>
  <c r="G202" i="32"/>
  <c r="H202" i="32"/>
  <c r="I202" i="32"/>
  <c r="J202" i="32"/>
  <c r="K202" i="32"/>
  <c r="L202" i="32"/>
  <c r="M202" i="32"/>
  <c r="D256" i="69"/>
  <c r="E256" i="69" s="1"/>
  <c r="C257" i="69"/>
  <c r="R255" i="69"/>
  <c r="S255" i="69" s="1"/>
  <c r="AE255" i="69"/>
  <c r="AL202" i="11" a="1"/>
  <c r="AL202" i="11" s="1"/>
  <c r="E203" i="32" s="1"/>
  <c r="T203" i="32" s="1"/>
  <c r="AP212" i="59" a="1"/>
  <c r="AP212" i="59" s="1"/>
  <c r="E213" i="50" s="1"/>
  <c r="T213" i="50" s="1"/>
  <c r="AM87" i="11" a="1"/>
  <c r="AM87" i="11" s="1"/>
  <c r="AH209" i="50" l="1"/>
  <c r="AI209" i="50" s="1"/>
  <c r="AP209" i="50" s="1"/>
  <c r="P257" i="69"/>
  <c r="AP257" i="69"/>
  <c r="AL210" i="50"/>
  <c r="O203" i="32"/>
  <c r="AK213" i="50"/>
  <c r="AG210" i="50"/>
  <c r="BD257" i="69"/>
  <c r="U202" i="32"/>
  <c r="AQ213" i="50"/>
  <c r="N213" i="50"/>
  <c r="AO212" i="50"/>
  <c r="AW256" i="69"/>
  <c r="AX256" i="69"/>
  <c r="Y255" i="69"/>
  <c r="AG255" i="69" s="1"/>
  <c r="AG254" i="69"/>
  <c r="F256" i="69"/>
  <c r="G256" i="69" s="1"/>
  <c r="H256" i="69" s="1"/>
  <c r="I256" i="69" s="1"/>
  <c r="J256" i="69" s="1"/>
  <c r="K256" i="69" s="1"/>
  <c r="U256" i="69"/>
  <c r="AH256" i="69"/>
  <c r="F203" i="32"/>
  <c r="AU203" i="32"/>
  <c r="AY213" i="50"/>
  <c r="F213" i="50"/>
  <c r="U213" i="50" s="1"/>
  <c r="AT201" i="32"/>
  <c r="AD201" i="32"/>
  <c r="AG201" i="32" s="1"/>
  <c r="AH201" i="32" s="1"/>
  <c r="AI201" i="32" s="1"/>
  <c r="AD211" i="50"/>
  <c r="P212" i="50"/>
  <c r="P202" i="32"/>
  <c r="O213" i="50"/>
  <c r="AM202" i="32"/>
  <c r="AJ211" i="50"/>
  <c r="C211" i="50"/>
  <c r="S212" i="50"/>
  <c r="Z212" i="50" s="1"/>
  <c r="W201" i="32"/>
  <c r="X201" i="32" s="1"/>
  <c r="C201" i="32"/>
  <c r="AJ201" i="32"/>
  <c r="S202" i="32"/>
  <c r="W211" i="50"/>
  <c r="X210" i="50"/>
  <c r="V211" i="50"/>
  <c r="V201" i="32"/>
  <c r="AF256" i="69"/>
  <c r="AC254" i="69"/>
  <c r="AD254" i="69" s="1"/>
  <c r="AO257" i="69"/>
  <c r="AK203" i="32"/>
  <c r="AM212" i="50"/>
  <c r="AL199" i="32"/>
  <c r="AL200" i="32"/>
  <c r="AY256" i="69"/>
  <c r="A203" i="32"/>
  <c r="B203" i="32"/>
  <c r="K213" i="50"/>
  <c r="G213" i="50"/>
  <c r="A213" i="50"/>
  <c r="L213" i="50"/>
  <c r="H213" i="50"/>
  <c r="B213" i="50"/>
  <c r="I213" i="50"/>
  <c r="J213" i="50"/>
  <c r="M213" i="50"/>
  <c r="L203" i="32"/>
  <c r="M203" i="32"/>
  <c r="N203" i="32"/>
  <c r="G203" i="32"/>
  <c r="H203" i="32"/>
  <c r="I203" i="32"/>
  <c r="J203" i="32"/>
  <c r="K203" i="32"/>
  <c r="R256" i="69"/>
  <c r="S256" i="69" s="1"/>
  <c r="AE256" i="69"/>
  <c r="D257" i="69"/>
  <c r="AL203" i="11" a="1"/>
  <c r="AL203" i="11" s="1"/>
  <c r="E204" i="32" s="1"/>
  <c r="T204" i="32" s="1"/>
  <c r="AP213" i="59" a="1"/>
  <c r="AP213" i="59" s="1"/>
  <c r="E214" i="50" s="1"/>
  <c r="T214" i="50" s="1"/>
  <c r="AM88" i="11" a="1"/>
  <c r="AM88" i="11" s="1"/>
  <c r="AH210" i="50" l="1"/>
  <c r="AI210" i="50" s="1"/>
  <c r="AP210" i="50" s="1"/>
  <c r="AL211" i="50"/>
  <c r="O204" i="32"/>
  <c r="AK214" i="50"/>
  <c r="AG211" i="50"/>
  <c r="AS6" i="69" a="1"/>
  <c r="AS6" i="69" s="1"/>
  <c r="AQ6" i="69" s="1"/>
  <c r="U203" i="32"/>
  <c r="N214" i="50"/>
  <c r="AQ214" i="50"/>
  <c r="AO213" i="50"/>
  <c r="AD202" i="32"/>
  <c r="AG202" i="32" s="1"/>
  <c r="AH202" i="32" s="1"/>
  <c r="AI202" i="32" s="1"/>
  <c r="AB255" i="69"/>
  <c r="AC255" i="69" s="1"/>
  <c r="AD255" i="69" s="1"/>
  <c r="AH257" i="69"/>
  <c r="Q257" i="69"/>
  <c r="Y256" i="69"/>
  <c r="AG256" i="69" s="1"/>
  <c r="F204" i="32"/>
  <c r="AU204" i="32"/>
  <c r="AY214" i="50"/>
  <c r="F214" i="50"/>
  <c r="U214" i="50" s="1"/>
  <c r="AT202" i="32"/>
  <c r="AD212" i="50"/>
  <c r="P213" i="50"/>
  <c r="P203" i="32"/>
  <c r="U257" i="69"/>
  <c r="Z174" i="22"/>
  <c r="AB174" i="22" s="1"/>
  <c r="Z175" i="22"/>
  <c r="AB175" i="22" s="1"/>
  <c r="Z176" i="22"/>
  <c r="AB176" i="22" s="1"/>
  <c r="Z172" i="22"/>
  <c r="AB172" i="22" s="1"/>
  <c r="Z173" i="22"/>
  <c r="AB173" i="22" s="1"/>
  <c r="O214" i="50"/>
  <c r="C202" i="32"/>
  <c r="Z202" i="32"/>
  <c r="AM203" i="32"/>
  <c r="C212" i="50"/>
  <c r="AJ212" i="50"/>
  <c r="S213" i="50"/>
  <c r="Z213" i="50" s="1"/>
  <c r="W202" i="32"/>
  <c r="X202" i="32" s="1"/>
  <c r="AJ202" i="32"/>
  <c r="S203" i="32"/>
  <c r="Z203" i="32" s="1"/>
  <c r="W212" i="50"/>
  <c r="X211" i="50"/>
  <c r="V212" i="50"/>
  <c r="V202" i="32"/>
  <c r="AF257" i="69"/>
  <c r="AK204" i="32"/>
  <c r="AM213" i="50"/>
  <c r="AL201" i="32"/>
  <c r="AN199" i="32"/>
  <c r="AN200" i="32"/>
  <c r="Y172" i="22"/>
  <c r="AA172" i="22" s="1"/>
  <c r="Y173" i="22"/>
  <c r="AA173" i="22" s="1"/>
  <c r="Y175" i="22"/>
  <c r="AA175" i="22" s="1"/>
  <c r="Y174" i="22"/>
  <c r="AA174" i="22" s="1"/>
  <c r="Y176" i="22"/>
  <c r="AA176" i="22" s="1"/>
  <c r="AY257" i="69"/>
  <c r="A204" i="32"/>
  <c r="B204" i="32"/>
  <c r="A214" i="50"/>
  <c r="G214" i="50"/>
  <c r="L214" i="50"/>
  <c r="J214" i="50"/>
  <c r="I214" i="50"/>
  <c r="B214" i="50"/>
  <c r="M214" i="50"/>
  <c r="K214" i="50"/>
  <c r="H214" i="50"/>
  <c r="J204" i="32"/>
  <c r="K204" i="32"/>
  <c r="L204" i="32"/>
  <c r="M204" i="32"/>
  <c r="N204" i="32"/>
  <c r="G204" i="32"/>
  <c r="H204" i="32"/>
  <c r="I204" i="32"/>
  <c r="E257" i="69"/>
  <c r="D258" i="69"/>
  <c r="R257" i="69"/>
  <c r="S257" i="69" s="1"/>
  <c r="AE257" i="69"/>
  <c r="AL204" i="11" a="1"/>
  <c r="AL204" i="11" s="1"/>
  <c r="E205" i="32" s="1"/>
  <c r="T205" i="32" s="1"/>
  <c r="AP214" i="59" a="1"/>
  <c r="AP214" i="59" s="1"/>
  <c r="E215" i="50" s="1"/>
  <c r="T215" i="50" s="1"/>
  <c r="AM89" i="11" a="1"/>
  <c r="AM89" i="11" s="1"/>
  <c r="AH211" i="50" l="1"/>
  <c r="AI211" i="50" s="1"/>
  <c r="AP211" i="50" s="1"/>
  <c r="O205" i="32"/>
  <c r="AK215" i="50"/>
  <c r="AL212" i="50"/>
  <c r="AG212" i="50"/>
  <c r="AP258" i="69"/>
  <c r="H26" i="73" s="1"/>
  <c r="AO258" i="69"/>
  <c r="L26" i="73" s="1"/>
  <c r="U204" i="32"/>
  <c r="N215" i="50"/>
  <c r="AQ215" i="50"/>
  <c r="AO214" i="50"/>
  <c r="AX257" i="69"/>
  <c r="AW257" i="69"/>
  <c r="AB256" i="69"/>
  <c r="AC256" i="69" s="1"/>
  <c r="AD256" i="69" s="1"/>
  <c r="F257" i="69"/>
  <c r="G257" i="69" s="1"/>
  <c r="H257" i="69" s="1"/>
  <c r="I257" i="69" s="1"/>
  <c r="J257" i="69" s="1"/>
  <c r="K257" i="69" s="1"/>
  <c r="F205" i="32"/>
  <c r="AU205" i="32"/>
  <c r="AY215" i="50"/>
  <c r="F215" i="50"/>
  <c r="U215" i="50" s="1"/>
  <c r="AT203" i="32"/>
  <c r="AD203" i="32"/>
  <c r="AG203" i="32" s="1"/>
  <c r="AH203" i="32" s="1"/>
  <c r="AI203" i="32" s="1"/>
  <c r="AD213" i="50"/>
  <c r="AD173" i="22"/>
  <c r="D22" i="105" s="1"/>
  <c r="F184" i="36"/>
  <c r="H184" i="36" s="1"/>
  <c r="AD174" i="22"/>
  <c r="D30" i="105" s="1"/>
  <c r="F185" i="36"/>
  <c r="H185" i="36" s="1"/>
  <c r="F183" i="36"/>
  <c r="AD176" i="22"/>
  <c r="D42" i="105" s="1"/>
  <c r="D43" i="105" s="1"/>
  <c r="F187" i="36"/>
  <c r="H187" i="36" s="1"/>
  <c r="AD175" i="22"/>
  <c r="D31" i="105" s="1"/>
  <c r="F186" i="36"/>
  <c r="H186" i="36" s="1"/>
  <c r="P214" i="50"/>
  <c r="P204" i="32"/>
  <c r="O215" i="50"/>
  <c r="AM204" i="32"/>
  <c r="AJ213" i="50"/>
  <c r="C213" i="50"/>
  <c r="S214" i="50"/>
  <c r="Z214" i="50" s="1"/>
  <c r="AJ203" i="32"/>
  <c r="C203" i="32"/>
  <c r="W203" i="32"/>
  <c r="X203" i="32" s="1"/>
  <c r="S204" i="32"/>
  <c r="W213" i="50"/>
  <c r="X212" i="50"/>
  <c r="V213" i="50"/>
  <c r="V203" i="32"/>
  <c r="AK205" i="32"/>
  <c r="AM214" i="50"/>
  <c r="AL202" i="32"/>
  <c r="AN201" i="32"/>
  <c r="AC176" i="22"/>
  <c r="E187" i="36"/>
  <c r="G187" i="36" s="1"/>
  <c r="AC174" i="22"/>
  <c r="E185" i="36"/>
  <c r="G185" i="36" s="1"/>
  <c r="AC175" i="22"/>
  <c r="E186" i="36"/>
  <c r="G186" i="36" s="1"/>
  <c r="E184" i="36"/>
  <c r="G184" i="36" s="1"/>
  <c r="AC173" i="22"/>
  <c r="AC172" i="22"/>
  <c r="E183" i="36"/>
  <c r="G183" i="36" s="1"/>
  <c r="Q258" i="69"/>
  <c r="A205" i="32"/>
  <c r="B205" i="32"/>
  <c r="K215" i="50"/>
  <c r="I215" i="50"/>
  <c r="M215" i="50"/>
  <c r="H215" i="50"/>
  <c r="J215" i="50"/>
  <c r="L215" i="50"/>
  <c r="B215" i="50"/>
  <c r="A215" i="50"/>
  <c r="G215" i="50"/>
  <c r="H205" i="32"/>
  <c r="I205" i="32"/>
  <c r="J205" i="32"/>
  <c r="K205" i="32"/>
  <c r="L205" i="32"/>
  <c r="M205" i="32"/>
  <c r="G205" i="32"/>
  <c r="N205" i="32"/>
  <c r="AL205" i="11" a="1"/>
  <c r="AL205" i="11" s="1"/>
  <c r="E206" i="32" s="1"/>
  <c r="T206" i="32" s="1"/>
  <c r="AP215" i="59" a="1"/>
  <c r="AP215" i="59" s="1"/>
  <c r="E216" i="50" s="1"/>
  <c r="T216" i="50" s="1"/>
  <c r="AM90" i="11" a="1"/>
  <c r="AM90" i="11" s="1"/>
  <c r="AH212" i="50" l="1"/>
  <c r="AI212" i="50" s="1"/>
  <c r="AP212" i="50" s="1"/>
  <c r="H30" i="73"/>
  <c r="J30" i="73"/>
  <c r="O206" i="32"/>
  <c r="AK216" i="50"/>
  <c r="AL213" i="50"/>
  <c r="AG213" i="50"/>
  <c r="U205" i="32"/>
  <c r="AQ216" i="50"/>
  <c r="N216" i="50"/>
  <c r="AO215" i="50"/>
  <c r="AD204" i="32"/>
  <c r="AG204" i="32" s="1"/>
  <c r="AH204" i="32" s="1"/>
  <c r="AI204" i="32" s="1"/>
  <c r="Y257" i="69"/>
  <c r="AB257" i="69" s="1"/>
  <c r="F206" i="32"/>
  <c r="AU206" i="32"/>
  <c r="AY216" i="50"/>
  <c r="F216" i="50"/>
  <c r="U216" i="50" s="1"/>
  <c r="AT204" i="32"/>
  <c r="D32" i="105"/>
  <c r="AD214" i="50"/>
  <c r="P215" i="50"/>
  <c r="P205" i="32"/>
  <c r="O216" i="50"/>
  <c r="C204" i="32"/>
  <c r="Z204" i="32"/>
  <c r="AM205" i="32"/>
  <c r="C214" i="50"/>
  <c r="AJ214" i="50"/>
  <c r="S215" i="50"/>
  <c r="Z215" i="50" s="1"/>
  <c r="W204" i="32"/>
  <c r="X204" i="32" s="1"/>
  <c r="S205" i="32"/>
  <c r="Z205" i="32" s="1"/>
  <c r="AJ204" i="32"/>
  <c r="W214" i="50"/>
  <c r="X213" i="50"/>
  <c r="V214" i="50"/>
  <c r="V204" i="32"/>
  <c r="AK206" i="32"/>
  <c r="AM215" i="50"/>
  <c r="AL203" i="32"/>
  <c r="AN202" i="32"/>
  <c r="A206" i="32"/>
  <c r="B206" i="32"/>
  <c r="L216" i="50"/>
  <c r="M216" i="50"/>
  <c r="G216" i="50"/>
  <c r="I216" i="50"/>
  <c r="H216" i="50"/>
  <c r="J216" i="50"/>
  <c r="K216" i="50"/>
  <c r="A216" i="50"/>
  <c r="B216" i="50"/>
  <c r="N206" i="32"/>
  <c r="G206" i="32"/>
  <c r="H206" i="32"/>
  <c r="I206" i="32"/>
  <c r="J206" i="32"/>
  <c r="K206" i="32"/>
  <c r="L206" i="32"/>
  <c r="M206" i="32"/>
  <c r="AL206" i="11" a="1"/>
  <c r="AL206" i="11" s="1"/>
  <c r="E207" i="32" s="1"/>
  <c r="T207" i="32" s="1"/>
  <c r="AP216" i="59" a="1"/>
  <c r="AP216" i="59" s="1"/>
  <c r="E217" i="50" s="1"/>
  <c r="T217" i="50" s="1"/>
  <c r="AM91" i="11" a="1"/>
  <c r="AM91" i="11" s="1"/>
  <c r="AH213" i="50" l="1"/>
  <c r="AI213" i="50" s="1"/>
  <c r="AP213" i="50" s="1"/>
  <c r="AL214" i="50"/>
  <c r="O207" i="32"/>
  <c r="AK217" i="50"/>
  <c r="AG214" i="50"/>
  <c r="U206" i="32"/>
  <c r="AQ217" i="50"/>
  <c r="N217" i="50"/>
  <c r="AO216" i="50"/>
  <c r="AG257" i="69"/>
  <c r="F207" i="32"/>
  <c r="AU207" i="32"/>
  <c r="AY217" i="50"/>
  <c r="F217" i="50"/>
  <c r="U217" i="50" s="1"/>
  <c r="AT205" i="32"/>
  <c r="AD205" i="32"/>
  <c r="AG205" i="32" s="1"/>
  <c r="AH205" i="32" s="1"/>
  <c r="AI205" i="32" s="1"/>
  <c r="AD215" i="50"/>
  <c r="P216" i="50"/>
  <c r="P206" i="32"/>
  <c r="O217" i="50"/>
  <c r="AM206" i="32"/>
  <c r="AJ215" i="50"/>
  <c r="C215" i="50"/>
  <c r="S216" i="50"/>
  <c r="Z216" i="50" s="1"/>
  <c r="AJ205" i="32"/>
  <c r="W205" i="32"/>
  <c r="X205" i="32" s="1"/>
  <c r="C205" i="32"/>
  <c r="S206" i="32"/>
  <c r="W215" i="50"/>
  <c r="X214" i="50"/>
  <c r="V215" i="50"/>
  <c r="V205" i="32"/>
  <c r="AC257" i="69"/>
  <c r="Y2" i="69" s="1"/>
  <c r="AK207" i="32"/>
  <c r="AM216" i="50"/>
  <c r="AL204" i="32"/>
  <c r="AN203" i="32"/>
  <c r="A207" i="32"/>
  <c r="B207" i="32"/>
  <c r="B217" i="50"/>
  <c r="G217" i="50"/>
  <c r="I217" i="50"/>
  <c r="H217" i="50"/>
  <c r="A217" i="50"/>
  <c r="K217" i="50"/>
  <c r="J217" i="50"/>
  <c r="M217" i="50"/>
  <c r="L217" i="50"/>
  <c r="L207" i="32"/>
  <c r="M207" i="32"/>
  <c r="N207" i="32"/>
  <c r="G207" i="32"/>
  <c r="H207" i="32"/>
  <c r="I207" i="32"/>
  <c r="J207" i="32"/>
  <c r="K207" i="32"/>
  <c r="AL207" i="11" a="1"/>
  <c r="AL207" i="11" s="1"/>
  <c r="E208" i="32" s="1"/>
  <c r="T208" i="32" s="1"/>
  <c r="AP217" i="59" a="1"/>
  <c r="AP217" i="59" s="1"/>
  <c r="E218" i="50" s="1"/>
  <c r="T218" i="50" s="1"/>
  <c r="AM92" i="11" a="1"/>
  <c r="AM92" i="11" s="1"/>
  <c r="AH214" i="50" l="1"/>
  <c r="AI214" i="50" s="1"/>
  <c r="AP214" i="50" s="1"/>
  <c r="AL215" i="50"/>
  <c r="O208" i="32"/>
  <c r="AK218" i="50"/>
  <c r="AG215" i="50"/>
  <c r="U207" i="32"/>
  <c r="AQ218" i="50"/>
  <c r="N218" i="50"/>
  <c r="AO217" i="50"/>
  <c r="AD206" i="32"/>
  <c r="AG206" i="32" s="1"/>
  <c r="AH206" i="32" s="1"/>
  <c r="AI206" i="32" s="1"/>
  <c r="F208" i="32"/>
  <c r="AU208" i="32"/>
  <c r="AY218" i="50"/>
  <c r="F218" i="50"/>
  <c r="U218" i="50" s="1"/>
  <c r="AT206" i="32"/>
  <c r="AD216" i="50"/>
  <c r="P217" i="50"/>
  <c r="P207" i="32"/>
  <c r="O218" i="50"/>
  <c r="C206" i="32"/>
  <c r="Z206" i="32"/>
  <c r="AM207" i="32"/>
  <c r="C216" i="50"/>
  <c r="AJ216" i="50"/>
  <c r="S217" i="50"/>
  <c r="Z217" i="50" s="1"/>
  <c r="S207" i="32"/>
  <c r="Z207" i="32" s="1"/>
  <c r="W206" i="32"/>
  <c r="X206" i="32" s="1"/>
  <c r="AJ206" i="32"/>
  <c r="W216" i="50"/>
  <c r="X215" i="50"/>
  <c r="V216" i="50"/>
  <c r="V206" i="32"/>
  <c r="AD257" i="69"/>
  <c r="AK208" i="32"/>
  <c r="AM217" i="50"/>
  <c r="AL205" i="32"/>
  <c r="AN204" i="32"/>
  <c r="A208" i="32"/>
  <c r="B208" i="32"/>
  <c r="B218" i="50"/>
  <c r="A218" i="50"/>
  <c r="J218" i="50"/>
  <c r="K218" i="50"/>
  <c r="G218" i="50"/>
  <c r="H218" i="50"/>
  <c r="I218" i="50"/>
  <c r="L218" i="50"/>
  <c r="M218" i="50"/>
  <c r="J208" i="32"/>
  <c r="K208" i="32"/>
  <c r="L208" i="32"/>
  <c r="M208" i="32"/>
  <c r="N208" i="32"/>
  <c r="G208" i="32"/>
  <c r="H208" i="32"/>
  <c r="I208" i="32"/>
  <c r="AL208" i="11" a="1"/>
  <c r="AL208" i="11" s="1"/>
  <c r="AP218" i="59" a="1"/>
  <c r="AP218" i="59" s="1"/>
  <c r="E219" i="50" s="1"/>
  <c r="T219" i="50" s="1"/>
  <c r="AM93" i="11" a="1"/>
  <c r="AM93" i="11" s="1"/>
  <c r="AH215" i="50" l="1"/>
  <c r="AI215" i="50" s="1"/>
  <c r="AP215" i="50" s="1"/>
  <c r="AK219" i="50"/>
  <c r="AL216" i="50"/>
  <c r="AG216" i="50"/>
  <c r="U208" i="32"/>
  <c r="AQ219" i="50"/>
  <c r="N219" i="50"/>
  <c r="AO218" i="50"/>
  <c r="F219" i="50"/>
  <c r="U219" i="50" s="1"/>
  <c r="AY219" i="50"/>
  <c r="AT207" i="32"/>
  <c r="AD207" i="32"/>
  <c r="AG207" i="32" s="1"/>
  <c r="AH207" i="32" s="1"/>
  <c r="AI207" i="32" s="1"/>
  <c r="AD217" i="50"/>
  <c r="AL217" i="50" s="1"/>
  <c r="P218" i="50"/>
  <c r="P208" i="32"/>
  <c r="O219" i="50"/>
  <c r="AM208" i="32"/>
  <c r="AJ217" i="50"/>
  <c r="C217" i="50"/>
  <c r="S218" i="50"/>
  <c r="Z218" i="50" s="1"/>
  <c r="AJ207" i="32"/>
  <c r="C207" i="32"/>
  <c r="S208" i="32"/>
  <c r="Z208" i="32" s="1"/>
  <c r="W217" i="50"/>
  <c r="W207" i="32"/>
  <c r="X207" i="32" s="1"/>
  <c r="X216" i="50"/>
  <c r="V217" i="50"/>
  <c r="AM218" i="50"/>
  <c r="AL206" i="32"/>
  <c r="AN205" i="32"/>
  <c r="V207" i="32"/>
  <c r="K219" i="50"/>
  <c r="J219" i="50"/>
  <c r="B219" i="50"/>
  <c r="A219" i="50"/>
  <c r="L219" i="50"/>
  <c r="M219" i="50"/>
  <c r="I219" i="50"/>
  <c r="G219" i="50"/>
  <c r="H219" i="50"/>
  <c r="E209" i="32"/>
  <c r="T209" i="32" s="1"/>
  <c r="AL209" i="11" a="1"/>
  <c r="AL209" i="11" s="1"/>
  <c r="E210" i="32" s="1"/>
  <c r="T210" i="32" s="1"/>
  <c r="AP219" i="59" a="1"/>
  <c r="AP219" i="59" s="1"/>
  <c r="E220" i="50" s="1"/>
  <c r="T220" i="50" s="1"/>
  <c r="AM94" i="11" a="1"/>
  <c r="AM94" i="11" s="1"/>
  <c r="AH216" i="50" l="1"/>
  <c r="AI216" i="50" s="1"/>
  <c r="AP216" i="50" s="1"/>
  <c r="O210" i="32"/>
  <c r="O209" i="32"/>
  <c r="AK220" i="50"/>
  <c r="AG217" i="50"/>
  <c r="AQ220" i="50"/>
  <c r="N220" i="50"/>
  <c r="AO219" i="50"/>
  <c r="F210" i="32"/>
  <c r="AU210" i="32"/>
  <c r="F209" i="32"/>
  <c r="AU209" i="32"/>
  <c r="AY220" i="50"/>
  <c r="F220" i="50"/>
  <c r="U220" i="50" s="1"/>
  <c r="AT208" i="32"/>
  <c r="AD208" i="32"/>
  <c r="AG208" i="32" s="1"/>
  <c r="AH208" i="32" s="1"/>
  <c r="AI208" i="32" s="1"/>
  <c r="AD218" i="50"/>
  <c r="P219" i="50"/>
  <c r="O220" i="50"/>
  <c r="AJ218" i="50"/>
  <c r="C218" i="50"/>
  <c r="S219" i="50"/>
  <c r="Z219" i="50" s="1"/>
  <c r="AJ208" i="32"/>
  <c r="C208" i="32"/>
  <c r="W208" i="32"/>
  <c r="X208" i="32" s="1"/>
  <c r="W218" i="50"/>
  <c r="X217" i="50"/>
  <c r="V218" i="50"/>
  <c r="V208" i="32"/>
  <c r="AK209" i="32"/>
  <c r="AK210" i="32"/>
  <c r="AM219" i="50"/>
  <c r="AL207" i="32"/>
  <c r="AN206" i="32"/>
  <c r="A210" i="32"/>
  <c r="B210" i="32"/>
  <c r="A209" i="32"/>
  <c r="B209" i="32"/>
  <c r="I220" i="50"/>
  <c r="J220" i="50"/>
  <c r="G220" i="50"/>
  <c r="A220" i="50"/>
  <c r="L220" i="50"/>
  <c r="H220" i="50"/>
  <c r="K220" i="50"/>
  <c r="B220" i="50"/>
  <c r="M220" i="50"/>
  <c r="H209" i="32"/>
  <c r="I209" i="32"/>
  <c r="J209" i="32"/>
  <c r="K209" i="32"/>
  <c r="L209" i="32"/>
  <c r="M209" i="32"/>
  <c r="G209" i="32"/>
  <c r="N209" i="32"/>
  <c r="N210" i="32"/>
  <c r="G210" i="32"/>
  <c r="H210" i="32"/>
  <c r="I210" i="32"/>
  <c r="J210" i="32"/>
  <c r="K210" i="32"/>
  <c r="L210" i="32"/>
  <c r="M210" i="32"/>
  <c r="AL210" i="11" a="1"/>
  <c r="AL210" i="11" s="1"/>
  <c r="E211" i="32" s="1"/>
  <c r="T211" i="32" s="1"/>
  <c r="AP220" i="59" a="1"/>
  <c r="AP220" i="59" s="1"/>
  <c r="E221" i="50" s="1"/>
  <c r="T221" i="50" s="1"/>
  <c r="AM95" i="11" a="1"/>
  <c r="AM95" i="11" s="1"/>
  <c r="AH217" i="50" l="1"/>
  <c r="AI217" i="50" s="1"/>
  <c r="AP217" i="50" s="1"/>
  <c r="AL218" i="50"/>
  <c r="O211" i="32"/>
  <c r="AK221" i="50"/>
  <c r="AG218" i="50"/>
  <c r="U210" i="32"/>
  <c r="U209" i="32"/>
  <c r="AQ221" i="50"/>
  <c r="N221" i="50"/>
  <c r="AO220" i="50"/>
  <c r="F211" i="32"/>
  <c r="AU211" i="32"/>
  <c r="AY221" i="50"/>
  <c r="F221" i="50"/>
  <c r="U221" i="50" s="1"/>
  <c r="AD219" i="50"/>
  <c r="P220" i="50"/>
  <c r="P209" i="32"/>
  <c r="P210" i="32"/>
  <c r="O221" i="50"/>
  <c r="AM210" i="32"/>
  <c r="AM209" i="32"/>
  <c r="C219" i="50"/>
  <c r="AJ219" i="50"/>
  <c r="S220" i="50"/>
  <c r="Z220" i="50" s="1"/>
  <c r="S209" i="32"/>
  <c r="Z209" i="32" s="1"/>
  <c r="S210" i="32"/>
  <c r="W219" i="50"/>
  <c r="X218" i="50"/>
  <c r="V219" i="50"/>
  <c r="AK211" i="32"/>
  <c r="AM220" i="50"/>
  <c r="AL208" i="32"/>
  <c r="AN207" i="32"/>
  <c r="A211" i="32"/>
  <c r="B211" i="32"/>
  <c r="G221" i="50"/>
  <c r="M221" i="50"/>
  <c r="K221" i="50"/>
  <c r="B221" i="50"/>
  <c r="A221" i="50"/>
  <c r="L221" i="50"/>
  <c r="H221" i="50"/>
  <c r="I221" i="50"/>
  <c r="J221" i="50"/>
  <c r="L211" i="32"/>
  <c r="M211" i="32"/>
  <c r="N211" i="32"/>
  <c r="G211" i="32"/>
  <c r="H211" i="32"/>
  <c r="I211" i="32"/>
  <c r="J211" i="32"/>
  <c r="K211" i="32"/>
  <c r="AL211" i="11" a="1"/>
  <c r="AL211" i="11" s="1"/>
  <c r="E212" i="32" s="1"/>
  <c r="T212" i="32" s="1"/>
  <c r="AP221" i="59" a="1"/>
  <c r="AP221" i="59" s="1"/>
  <c r="E222" i="50" s="1"/>
  <c r="T222" i="50" s="1"/>
  <c r="AM96" i="11" a="1"/>
  <c r="AM96" i="11" s="1"/>
  <c r="AH218" i="50" l="1"/>
  <c r="AI218" i="50" s="1"/>
  <c r="AP218" i="50" s="1"/>
  <c r="AL219" i="50"/>
  <c r="O212" i="32"/>
  <c r="AK222" i="50"/>
  <c r="AG219" i="50"/>
  <c r="U211" i="32"/>
  <c r="N222" i="50"/>
  <c r="AQ222" i="50"/>
  <c r="AO221" i="50"/>
  <c r="AD210" i="32"/>
  <c r="AG210" i="32" s="1"/>
  <c r="AH210" i="32" s="1"/>
  <c r="AI210" i="32" s="1"/>
  <c r="F212" i="32"/>
  <c r="AU212" i="32"/>
  <c r="AY222" i="50"/>
  <c r="F222" i="50"/>
  <c r="U222" i="50" s="1"/>
  <c r="AT210" i="32"/>
  <c r="AT209" i="32"/>
  <c r="AD209" i="32"/>
  <c r="AG209" i="32" s="1"/>
  <c r="AH209" i="32" s="1"/>
  <c r="AI209" i="32" s="1"/>
  <c r="AD220" i="50"/>
  <c r="P221" i="50"/>
  <c r="P211" i="32"/>
  <c r="O222" i="50"/>
  <c r="AJ210" i="32"/>
  <c r="Z210" i="32"/>
  <c r="AM211" i="32"/>
  <c r="AJ220" i="50"/>
  <c r="C220" i="50"/>
  <c r="S221" i="50"/>
  <c r="Z221" i="50" s="1"/>
  <c r="AJ209" i="32"/>
  <c r="C209" i="32"/>
  <c r="W209" i="32"/>
  <c r="X209" i="32" s="1"/>
  <c r="C210" i="32"/>
  <c r="S211" i="32"/>
  <c r="W220" i="50"/>
  <c r="W210" i="32"/>
  <c r="X210" i="32" s="1"/>
  <c r="X219" i="50"/>
  <c r="V220" i="50"/>
  <c r="V209" i="32"/>
  <c r="AK212" i="32"/>
  <c r="AM221" i="50"/>
  <c r="AN208" i="32"/>
  <c r="V210" i="32"/>
  <c r="A212" i="32"/>
  <c r="B212" i="32"/>
  <c r="H222" i="50"/>
  <c r="L222" i="50"/>
  <c r="M222" i="50"/>
  <c r="K222" i="50"/>
  <c r="A222" i="50"/>
  <c r="G222" i="50"/>
  <c r="J222" i="50"/>
  <c r="B222" i="50"/>
  <c r="I222" i="50"/>
  <c r="J212" i="32"/>
  <c r="K212" i="32"/>
  <c r="L212" i="32"/>
  <c r="M212" i="32"/>
  <c r="N212" i="32"/>
  <c r="I212" i="32"/>
  <c r="H212" i="32"/>
  <c r="G212" i="32"/>
  <c r="AL212" i="11" a="1"/>
  <c r="AL212" i="11" s="1"/>
  <c r="E213" i="32" s="1"/>
  <c r="T213" i="32" s="1"/>
  <c r="AP222" i="59" a="1"/>
  <c r="AP222" i="59" s="1"/>
  <c r="E223" i="50" s="1"/>
  <c r="T223" i="50" s="1"/>
  <c r="AM97" i="11" a="1"/>
  <c r="AM97" i="11" s="1"/>
  <c r="AH219" i="50" l="1"/>
  <c r="AI219" i="50" s="1"/>
  <c r="AP219" i="50" s="1"/>
  <c r="AL220" i="50"/>
  <c r="O213" i="32"/>
  <c r="AK223" i="50"/>
  <c r="AG220" i="50"/>
  <c r="AD211" i="32"/>
  <c r="AG211" i="32" s="1"/>
  <c r="AH211" i="32" s="1"/>
  <c r="AI211" i="32" s="1"/>
  <c r="U212" i="32"/>
  <c r="N223" i="50"/>
  <c r="AQ223" i="50"/>
  <c r="AO222" i="50"/>
  <c r="F213" i="32"/>
  <c r="AU213" i="32"/>
  <c r="AY223" i="50"/>
  <c r="F223" i="50"/>
  <c r="U223" i="50" s="1"/>
  <c r="AT211" i="32"/>
  <c r="AD221" i="50"/>
  <c r="P222" i="50"/>
  <c r="P212" i="32"/>
  <c r="O223" i="50"/>
  <c r="C211" i="32"/>
  <c r="Z211" i="32"/>
  <c r="AM212" i="32"/>
  <c r="C221" i="50"/>
  <c r="S222" i="50"/>
  <c r="Z222" i="50" s="1"/>
  <c r="AJ221" i="50"/>
  <c r="AJ211" i="32"/>
  <c r="S212" i="32"/>
  <c r="Z212" i="32" s="1"/>
  <c r="W221" i="50"/>
  <c r="W211" i="32"/>
  <c r="X211" i="32" s="1"/>
  <c r="X220" i="50"/>
  <c r="V221" i="50"/>
  <c r="AK213" i="32"/>
  <c r="AM222" i="50"/>
  <c r="AL210" i="32"/>
  <c r="AL209" i="32"/>
  <c r="V211" i="32"/>
  <c r="A213" i="32"/>
  <c r="B213" i="32"/>
  <c r="G223" i="50"/>
  <c r="K223" i="50"/>
  <c r="J223" i="50"/>
  <c r="I223" i="50"/>
  <c r="B223" i="50"/>
  <c r="H223" i="50"/>
  <c r="M223" i="50"/>
  <c r="A223" i="50"/>
  <c r="L223" i="50"/>
  <c r="H213" i="32"/>
  <c r="I213" i="32"/>
  <c r="J213" i="32"/>
  <c r="K213" i="32"/>
  <c r="L213" i="32"/>
  <c r="G213" i="32"/>
  <c r="M213" i="32"/>
  <c r="N213" i="32"/>
  <c r="AL213" i="11" a="1"/>
  <c r="AL213" i="11" s="1"/>
  <c r="E214" i="32" s="1"/>
  <c r="T214" i="32" s="1"/>
  <c r="AP223" i="59" a="1"/>
  <c r="AP223" i="59" s="1"/>
  <c r="E224" i="50" s="1"/>
  <c r="T224" i="50" s="1"/>
  <c r="AM98" i="11" a="1"/>
  <c r="AM98" i="11" s="1"/>
  <c r="AH220" i="50" l="1"/>
  <c r="AI220" i="50" s="1"/>
  <c r="AP220" i="50" s="1"/>
  <c r="AL221" i="50"/>
  <c r="O214" i="32"/>
  <c r="AK224" i="50"/>
  <c r="AG221" i="50"/>
  <c r="U213" i="32"/>
  <c r="AQ224" i="50"/>
  <c r="N224" i="50"/>
  <c r="AO223" i="50"/>
  <c r="F214" i="32"/>
  <c r="AU214" i="32"/>
  <c r="AY224" i="50"/>
  <c r="F224" i="50"/>
  <c r="U224" i="50" s="1"/>
  <c r="AT212" i="32"/>
  <c r="AD212" i="32"/>
  <c r="AG212" i="32" s="1"/>
  <c r="AH212" i="32" s="1"/>
  <c r="AI212" i="32" s="1"/>
  <c r="AD222" i="50"/>
  <c r="P223" i="50"/>
  <c r="P213" i="32"/>
  <c r="O224" i="50"/>
  <c r="AM213" i="32"/>
  <c r="AJ222" i="50"/>
  <c r="C222" i="50"/>
  <c r="S223" i="50"/>
  <c r="AJ212" i="32"/>
  <c r="C212" i="32"/>
  <c r="W212" i="32"/>
  <c r="X212" i="32" s="1"/>
  <c r="S213" i="32"/>
  <c r="Z213" i="32" s="1"/>
  <c r="W222" i="50"/>
  <c r="X221" i="50"/>
  <c r="V222" i="50"/>
  <c r="V212" i="32"/>
  <c r="AK214" i="32"/>
  <c r="AM223" i="50"/>
  <c r="AL211" i="32"/>
  <c r="AN209" i="32"/>
  <c r="AN210" i="32"/>
  <c r="A214" i="32"/>
  <c r="B214" i="32"/>
  <c r="L224" i="50"/>
  <c r="J224" i="50"/>
  <c r="H224" i="50"/>
  <c r="M224" i="50"/>
  <c r="G224" i="50"/>
  <c r="K224" i="50"/>
  <c r="I224" i="50"/>
  <c r="B224" i="50"/>
  <c r="A224" i="50"/>
  <c r="N214" i="32"/>
  <c r="G214" i="32"/>
  <c r="H214" i="32"/>
  <c r="I214" i="32"/>
  <c r="J214" i="32"/>
  <c r="L214" i="32"/>
  <c r="M214" i="32"/>
  <c r="K214" i="32"/>
  <c r="AL214" i="11" a="1"/>
  <c r="AL214" i="11" s="1"/>
  <c r="E215" i="32" s="1"/>
  <c r="T215" i="32" s="1"/>
  <c r="AP224" i="59" a="1"/>
  <c r="AP224" i="59" s="1"/>
  <c r="E225" i="50" s="1"/>
  <c r="T225" i="50" s="1"/>
  <c r="AM99" i="11" a="1"/>
  <c r="AM99" i="11" s="1"/>
  <c r="AH221" i="50" l="1"/>
  <c r="AI221" i="50" s="1"/>
  <c r="AP221" i="50" s="1"/>
  <c r="O215" i="32"/>
  <c r="AK225" i="50"/>
  <c r="AL222" i="50"/>
  <c r="AG222" i="50"/>
  <c r="U214" i="32"/>
  <c r="AQ225" i="50"/>
  <c r="N225" i="50"/>
  <c r="AO224" i="50"/>
  <c r="F215" i="32"/>
  <c r="AU215" i="32"/>
  <c r="AY225" i="50"/>
  <c r="F225" i="50"/>
  <c r="U225" i="50" s="1"/>
  <c r="AT213" i="32"/>
  <c r="AD213" i="32"/>
  <c r="AG213" i="32" s="1"/>
  <c r="AH213" i="32" s="1"/>
  <c r="AI213" i="32" s="1"/>
  <c r="AD223" i="50"/>
  <c r="P224" i="50"/>
  <c r="P214" i="32"/>
  <c r="O225" i="50"/>
  <c r="C223" i="50"/>
  <c r="Z223" i="50"/>
  <c r="AM214" i="32"/>
  <c r="S224" i="50"/>
  <c r="Z224" i="50" s="1"/>
  <c r="AJ223" i="50"/>
  <c r="C213" i="32"/>
  <c r="AJ213" i="32"/>
  <c r="S214" i="32"/>
  <c r="Z214" i="32" s="1"/>
  <c r="W223" i="50"/>
  <c r="W213" i="32"/>
  <c r="X213" i="32" s="1"/>
  <c r="X222" i="50"/>
  <c r="V223" i="50"/>
  <c r="AK215" i="32"/>
  <c r="AM224" i="50"/>
  <c r="AL212" i="32"/>
  <c r="AN211" i="32"/>
  <c r="V213" i="32"/>
  <c r="A215" i="32"/>
  <c r="B215" i="32"/>
  <c r="M225" i="50"/>
  <c r="G225" i="50"/>
  <c r="H225" i="50"/>
  <c r="A225" i="50"/>
  <c r="L225" i="50"/>
  <c r="K225" i="50"/>
  <c r="B225" i="50"/>
  <c r="J225" i="50"/>
  <c r="I225" i="50"/>
  <c r="L215" i="32"/>
  <c r="M215" i="32"/>
  <c r="N215" i="32"/>
  <c r="G215" i="32"/>
  <c r="H215" i="32"/>
  <c r="I215" i="32"/>
  <c r="J215" i="32"/>
  <c r="K215" i="32"/>
  <c r="AL215" i="11" a="1"/>
  <c r="AL215" i="11" s="1"/>
  <c r="E216" i="32" s="1"/>
  <c r="T216" i="32" s="1"/>
  <c r="AP225" i="59" a="1"/>
  <c r="AP225" i="59" s="1"/>
  <c r="E226" i="50" s="1"/>
  <c r="T226" i="50" s="1"/>
  <c r="AM100" i="11" a="1"/>
  <c r="AM100" i="11" s="1"/>
  <c r="AH222" i="50" l="1"/>
  <c r="AI222" i="50" s="1"/>
  <c r="AP222" i="50" s="1"/>
  <c r="O216" i="32"/>
  <c r="AK226" i="50"/>
  <c r="AL223" i="50"/>
  <c r="AG223" i="50"/>
  <c r="U215" i="32"/>
  <c r="AQ226" i="50"/>
  <c r="N226" i="50"/>
  <c r="AO225" i="50"/>
  <c r="F216" i="32"/>
  <c r="AU216" i="32"/>
  <c r="AY226" i="50"/>
  <c r="F226" i="50"/>
  <c r="U226" i="50" s="1"/>
  <c r="AT214" i="32"/>
  <c r="AD214" i="32"/>
  <c r="AG214" i="32" s="1"/>
  <c r="AH214" i="32" s="1"/>
  <c r="AI214" i="32" s="1"/>
  <c r="AD224" i="50"/>
  <c r="P225" i="50"/>
  <c r="P215" i="32"/>
  <c r="O226" i="50"/>
  <c r="AM215" i="32"/>
  <c r="AJ224" i="50"/>
  <c r="C224" i="50"/>
  <c r="S225" i="50"/>
  <c r="Z225" i="50" s="1"/>
  <c r="AJ214" i="32"/>
  <c r="W214" i="32"/>
  <c r="X214" i="32" s="1"/>
  <c r="C214" i="32"/>
  <c r="S215" i="32"/>
  <c r="W224" i="50"/>
  <c r="X223" i="50"/>
  <c r="V224" i="50"/>
  <c r="V214" i="32"/>
  <c r="AK216" i="32"/>
  <c r="AM225" i="50"/>
  <c r="AL213" i="32"/>
  <c r="AN212" i="32"/>
  <c r="A216" i="32"/>
  <c r="B216" i="32"/>
  <c r="I226" i="50"/>
  <c r="M226" i="50"/>
  <c r="H226" i="50"/>
  <c r="J226" i="50"/>
  <c r="G226" i="50"/>
  <c r="L226" i="50"/>
  <c r="B226" i="50"/>
  <c r="A226" i="50"/>
  <c r="K226" i="50"/>
  <c r="J216" i="32"/>
  <c r="K216" i="32"/>
  <c r="L216" i="32"/>
  <c r="M216" i="32"/>
  <c r="N216" i="32"/>
  <c r="G216" i="32"/>
  <c r="H216" i="32"/>
  <c r="I216" i="32"/>
  <c r="AL216" i="11" a="1"/>
  <c r="AL216" i="11" s="1"/>
  <c r="E217" i="32" s="1"/>
  <c r="T217" i="32" s="1"/>
  <c r="AP226" i="59" a="1"/>
  <c r="AP226" i="59" s="1"/>
  <c r="E227" i="50" s="1"/>
  <c r="T227" i="50" s="1"/>
  <c r="AM101" i="11" a="1"/>
  <c r="AM101" i="11" s="1"/>
  <c r="AL224" i="50" l="1"/>
  <c r="AH223" i="50"/>
  <c r="AI223" i="50" s="1"/>
  <c r="AP223" i="50" s="1"/>
  <c r="O217" i="32"/>
  <c r="AK227" i="50"/>
  <c r="AG224" i="50"/>
  <c r="AD215" i="32"/>
  <c r="AG215" i="32" s="1"/>
  <c r="AH215" i="32" s="1"/>
  <c r="AI215" i="32" s="1"/>
  <c r="U216" i="32"/>
  <c r="AQ227" i="50"/>
  <c r="N227" i="50"/>
  <c r="AO226" i="50"/>
  <c r="F217" i="32"/>
  <c r="AU217" i="32"/>
  <c r="F227" i="50"/>
  <c r="U227" i="50" s="1"/>
  <c r="AY227" i="50"/>
  <c r="AT215" i="32"/>
  <c r="AD225" i="50"/>
  <c r="P226" i="50"/>
  <c r="P216" i="32"/>
  <c r="O227" i="50"/>
  <c r="C215" i="32"/>
  <c r="Z215" i="32"/>
  <c r="AM216" i="32"/>
  <c r="C225" i="50"/>
  <c r="AJ225" i="50"/>
  <c r="S226" i="50"/>
  <c r="Z226" i="50" s="1"/>
  <c r="S216" i="32"/>
  <c r="Z216" i="32" s="1"/>
  <c r="AJ215" i="32"/>
  <c r="W215" i="32"/>
  <c r="X215" i="32" s="1"/>
  <c r="W225" i="50"/>
  <c r="X224" i="50"/>
  <c r="V225" i="50"/>
  <c r="V215" i="32"/>
  <c r="AK217" i="32"/>
  <c r="AM226" i="50"/>
  <c r="AL214" i="32"/>
  <c r="AN213" i="32"/>
  <c r="A217" i="32"/>
  <c r="B217" i="32"/>
  <c r="M227" i="50"/>
  <c r="K227" i="50"/>
  <c r="H227" i="50"/>
  <c r="G227" i="50"/>
  <c r="L227" i="50"/>
  <c r="A227" i="50"/>
  <c r="J227" i="50"/>
  <c r="I227" i="50"/>
  <c r="B227" i="50"/>
  <c r="H217" i="32"/>
  <c r="I217" i="32"/>
  <c r="J217" i="32"/>
  <c r="K217" i="32"/>
  <c r="L217" i="32"/>
  <c r="G217" i="32"/>
  <c r="M217" i="32"/>
  <c r="N217" i="32"/>
  <c r="AL217" i="11" a="1"/>
  <c r="AL217" i="11" s="1"/>
  <c r="E218" i="32" s="1"/>
  <c r="T218" i="32" s="1"/>
  <c r="AP227" i="59" a="1"/>
  <c r="AP227" i="59" s="1"/>
  <c r="E228" i="50" s="1"/>
  <c r="T228" i="50" s="1"/>
  <c r="AM102" i="11" a="1"/>
  <c r="AM102" i="11" s="1"/>
  <c r="AH224" i="50" l="1"/>
  <c r="AI224" i="50" s="1"/>
  <c r="AP224" i="50" s="1"/>
  <c r="O218" i="32"/>
  <c r="AK228" i="50"/>
  <c r="AL225" i="50"/>
  <c r="AG225" i="50"/>
  <c r="U217" i="32"/>
  <c r="AQ228" i="50"/>
  <c r="N228" i="50"/>
  <c r="AO227" i="50"/>
  <c r="F218" i="32"/>
  <c r="AU218" i="32"/>
  <c r="F228" i="50"/>
  <c r="U228" i="50" s="1"/>
  <c r="AY228" i="50"/>
  <c r="AT216" i="32"/>
  <c r="AD216" i="32"/>
  <c r="AG216" i="32" s="1"/>
  <c r="AH216" i="32" s="1"/>
  <c r="AI216" i="32" s="1"/>
  <c r="AD226" i="50"/>
  <c r="P227" i="50"/>
  <c r="P217" i="32"/>
  <c r="O228" i="50"/>
  <c r="AM217" i="32"/>
  <c r="C226" i="50"/>
  <c r="AJ226" i="50"/>
  <c r="S227" i="50"/>
  <c r="Z227" i="50" s="1"/>
  <c r="AJ216" i="32"/>
  <c r="C216" i="32"/>
  <c r="W216" i="32"/>
  <c r="X216" i="32" s="1"/>
  <c r="S217" i="32"/>
  <c r="W226" i="50"/>
  <c r="X225" i="50"/>
  <c r="V226" i="50"/>
  <c r="V216" i="32"/>
  <c r="AK218" i="32"/>
  <c r="AM227" i="50"/>
  <c r="AL215" i="32"/>
  <c r="AN214" i="32"/>
  <c r="A218" i="32"/>
  <c r="B218" i="32"/>
  <c r="H228" i="50"/>
  <c r="J228" i="50"/>
  <c r="I228" i="50"/>
  <c r="A228" i="50"/>
  <c r="L228" i="50"/>
  <c r="B228" i="50"/>
  <c r="M228" i="50"/>
  <c r="G228" i="50"/>
  <c r="K228" i="50"/>
  <c r="N218" i="32"/>
  <c r="G218" i="32"/>
  <c r="H218" i="32"/>
  <c r="I218" i="32"/>
  <c r="J218" i="32"/>
  <c r="M218" i="32"/>
  <c r="K218" i="32"/>
  <c r="L218" i="32"/>
  <c r="AL218" i="11" a="1"/>
  <c r="AL218" i="11" s="1"/>
  <c r="AP228" i="59" a="1"/>
  <c r="AP228" i="59" s="1"/>
  <c r="E229" i="50" s="1"/>
  <c r="T229" i="50" s="1"/>
  <c r="AM103" i="11" a="1"/>
  <c r="AM103" i="11" s="1"/>
  <c r="AH225" i="50" l="1"/>
  <c r="AI225" i="50" s="1"/>
  <c r="AP225" i="50" s="1"/>
  <c r="AL226" i="50"/>
  <c r="AK229" i="50"/>
  <c r="AG226" i="50"/>
  <c r="U218" i="32"/>
  <c r="AQ229" i="50"/>
  <c r="N229" i="50"/>
  <c r="AO228" i="50"/>
  <c r="AD217" i="32"/>
  <c r="AG217" i="32" s="1"/>
  <c r="AH217" i="32" s="1"/>
  <c r="AI217" i="32" s="1"/>
  <c r="AY229" i="50"/>
  <c r="F229" i="50"/>
  <c r="U229" i="50" s="1"/>
  <c r="AT217" i="32"/>
  <c r="AD227" i="50"/>
  <c r="P228" i="50"/>
  <c r="P218" i="32"/>
  <c r="O229" i="50"/>
  <c r="C217" i="32"/>
  <c r="Z217" i="32"/>
  <c r="AM218" i="32"/>
  <c r="C227" i="50"/>
  <c r="AJ227" i="50"/>
  <c r="S228" i="50"/>
  <c r="Z228" i="50" s="1"/>
  <c r="S218" i="32"/>
  <c r="Z218" i="32" s="1"/>
  <c r="W217" i="32"/>
  <c r="X217" i="32" s="1"/>
  <c r="AJ217" i="32"/>
  <c r="W227" i="50"/>
  <c r="X226" i="50"/>
  <c r="V227" i="50"/>
  <c r="V217" i="32"/>
  <c r="AM228" i="50"/>
  <c r="AL216" i="32"/>
  <c r="AN215" i="32"/>
  <c r="A229" i="50"/>
  <c r="M229" i="50"/>
  <c r="I229" i="50"/>
  <c r="J229" i="50"/>
  <c r="H229" i="50"/>
  <c r="L229" i="50"/>
  <c r="B229" i="50"/>
  <c r="K229" i="50"/>
  <c r="G229" i="50"/>
  <c r="E219" i="32"/>
  <c r="T219" i="32" s="1"/>
  <c r="AL219" i="11" a="1"/>
  <c r="AL219" i="11" s="1"/>
  <c r="E220" i="32" s="1"/>
  <c r="T220" i="32" s="1"/>
  <c r="AP229" i="59" a="1"/>
  <c r="AP229" i="59" s="1"/>
  <c r="E230" i="50" s="1"/>
  <c r="T230" i="50" s="1"/>
  <c r="AM104" i="11" a="1"/>
  <c r="AM104" i="11" s="1"/>
  <c r="AH226" i="50" l="1"/>
  <c r="AI226" i="50" s="1"/>
  <c r="AP226" i="50" s="1"/>
  <c r="AL227" i="50"/>
  <c r="O220" i="32"/>
  <c r="O219" i="32"/>
  <c r="AK230" i="50"/>
  <c r="AG227" i="50"/>
  <c r="N230" i="50"/>
  <c r="AQ230" i="50"/>
  <c r="AO229" i="50"/>
  <c r="F219" i="32"/>
  <c r="AU219" i="32"/>
  <c r="F220" i="32"/>
  <c r="AU220" i="32"/>
  <c r="AY230" i="50"/>
  <c r="F230" i="50"/>
  <c r="U230" i="50" s="1"/>
  <c r="AT218" i="32"/>
  <c r="AD218" i="32"/>
  <c r="AG218" i="32" s="1"/>
  <c r="AH218" i="32" s="1"/>
  <c r="AI218" i="32" s="1"/>
  <c r="AD228" i="50"/>
  <c r="P229" i="50"/>
  <c r="O230" i="50"/>
  <c r="AJ228" i="50"/>
  <c r="C228" i="50"/>
  <c r="S229" i="50"/>
  <c r="Z229" i="50" s="1"/>
  <c r="AJ218" i="32"/>
  <c r="C218" i="32"/>
  <c r="W228" i="50"/>
  <c r="W218" i="32"/>
  <c r="X218" i="32" s="1"/>
  <c r="X227" i="50"/>
  <c r="V228" i="50"/>
  <c r="AK220" i="32"/>
  <c r="AK219" i="32"/>
  <c r="AM229" i="50"/>
  <c r="AL217" i="32"/>
  <c r="AN216" i="32"/>
  <c r="V218" i="32"/>
  <c r="A220" i="32"/>
  <c r="B220" i="32"/>
  <c r="A219" i="32"/>
  <c r="B219" i="32"/>
  <c r="G230" i="50"/>
  <c r="M230" i="50"/>
  <c r="K230" i="50"/>
  <c r="I230" i="50"/>
  <c r="L230" i="50"/>
  <c r="A230" i="50"/>
  <c r="H230" i="50"/>
  <c r="B230" i="50"/>
  <c r="J230" i="50"/>
  <c r="J220" i="32"/>
  <c r="K220" i="32"/>
  <c r="L220" i="32"/>
  <c r="M220" i="32"/>
  <c r="N220" i="32"/>
  <c r="H220" i="32"/>
  <c r="I220" i="32"/>
  <c r="G220" i="32"/>
  <c r="L219" i="32"/>
  <c r="M219" i="32"/>
  <c r="N219" i="32"/>
  <c r="G219" i="32"/>
  <c r="H219" i="32"/>
  <c r="I219" i="32"/>
  <c r="J219" i="32"/>
  <c r="K219" i="32"/>
  <c r="AL220" i="11" a="1"/>
  <c r="AL220" i="11" s="1"/>
  <c r="AP230" i="59" a="1"/>
  <c r="AP230" i="59" s="1"/>
  <c r="E231" i="50" s="1"/>
  <c r="T231" i="50" s="1"/>
  <c r="AM105" i="11" a="1"/>
  <c r="AM105" i="11" s="1"/>
  <c r="AH227" i="50" l="1"/>
  <c r="AI227" i="50" s="1"/>
  <c r="AP227" i="50" s="1"/>
  <c r="AL228" i="50"/>
  <c r="AK231" i="50"/>
  <c r="AG228" i="50"/>
  <c r="U219" i="32"/>
  <c r="U220" i="32"/>
  <c r="N231" i="50"/>
  <c r="AQ231" i="50"/>
  <c r="AO230" i="50"/>
  <c r="AY231" i="50"/>
  <c r="F231" i="50"/>
  <c r="U231" i="50" s="1"/>
  <c r="AD229" i="50"/>
  <c r="P230" i="50"/>
  <c r="P220" i="32"/>
  <c r="P219" i="32"/>
  <c r="O231" i="50"/>
  <c r="AM219" i="32"/>
  <c r="AM220" i="32"/>
  <c r="C229" i="50"/>
  <c r="AJ229" i="50"/>
  <c r="S230" i="50"/>
  <c r="Z230" i="50" s="1"/>
  <c r="S219" i="32"/>
  <c r="S220" i="32"/>
  <c r="Z220" i="32" s="1"/>
  <c r="W229" i="50"/>
  <c r="X228" i="50"/>
  <c r="V229" i="50"/>
  <c r="AM230" i="50"/>
  <c r="AL218" i="32"/>
  <c r="AN217" i="32"/>
  <c r="G231" i="50"/>
  <c r="K231" i="50"/>
  <c r="M231" i="50"/>
  <c r="I231" i="50"/>
  <c r="A231" i="50"/>
  <c r="B231" i="50"/>
  <c r="H231" i="50"/>
  <c r="J231" i="50"/>
  <c r="L231" i="50"/>
  <c r="E221" i="32"/>
  <c r="T221" i="32" s="1"/>
  <c r="AL221" i="11" a="1"/>
  <c r="AL221" i="11" s="1"/>
  <c r="E222" i="32" s="1"/>
  <c r="T222" i="32" s="1"/>
  <c r="AP231" i="59" a="1"/>
  <c r="AP231" i="59" s="1"/>
  <c r="E232" i="50" s="1"/>
  <c r="T232" i="50" s="1"/>
  <c r="AM106" i="11" a="1"/>
  <c r="AM106" i="11" s="1"/>
  <c r="AH228" i="50" l="1"/>
  <c r="AI228" i="50" s="1"/>
  <c r="AP228" i="50" s="1"/>
  <c r="O222" i="32"/>
  <c r="O221" i="32"/>
  <c r="AK232" i="50"/>
  <c r="AL229" i="50"/>
  <c r="AG229" i="50"/>
  <c r="AO231" i="50"/>
  <c r="AQ232" i="50"/>
  <c r="N232" i="50"/>
  <c r="AD219" i="32"/>
  <c r="AG219" i="32" s="1"/>
  <c r="AH219" i="32" s="1"/>
  <c r="AI219" i="32" s="1"/>
  <c r="F222" i="32"/>
  <c r="AU222" i="32"/>
  <c r="F221" i="32"/>
  <c r="AU221" i="32"/>
  <c r="AY232" i="50"/>
  <c r="F232" i="50"/>
  <c r="U232" i="50" s="1"/>
  <c r="AT219" i="32"/>
  <c r="AT220" i="32"/>
  <c r="AD220" i="32"/>
  <c r="AG220" i="32" s="1"/>
  <c r="AH220" i="32" s="1"/>
  <c r="AI220" i="32" s="1"/>
  <c r="AD230" i="50"/>
  <c r="P231" i="50"/>
  <c r="O232" i="50"/>
  <c r="AJ219" i="32"/>
  <c r="Z219" i="32"/>
  <c r="C230" i="50"/>
  <c r="AJ230" i="50"/>
  <c r="S231" i="50"/>
  <c r="Z231" i="50" s="1"/>
  <c r="C220" i="32"/>
  <c r="AJ220" i="32"/>
  <c r="W219" i="32"/>
  <c r="X219" i="32" s="1"/>
  <c r="C219" i="32"/>
  <c r="W230" i="50"/>
  <c r="W220" i="32"/>
  <c r="X220" i="32" s="1"/>
  <c r="X229" i="50"/>
  <c r="V230" i="50"/>
  <c r="V219" i="32"/>
  <c r="AK221" i="32"/>
  <c r="AK222" i="32"/>
  <c r="AM231" i="50"/>
  <c r="AN218" i="32"/>
  <c r="V220" i="32"/>
  <c r="A221" i="32"/>
  <c r="B221" i="32"/>
  <c r="A222" i="32"/>
  <c r="B222" i="32"/>
  <c r="M232" i="50"/>
  <c r="J232" i="50"/>
  <c r="B232" i="50"/>
  <c r="K232" i="50"/>
  <c r="A232" i="50"/>
  <c r="I232" i="50"/>
  <c r="G232" i="50"/>
  <c r="L232" i="50"/>
  <c r="H232" i="50"/>
  <c r="H221" i="32"/>
  <c r="I221" i="32"/>
  <c r="J221" i="32"/>
  <c r="K221" i="32"/>
  <c r="L221" i="32"/>
  <c r="G221" i="32"/>
  <c r="M221" i="32"/>
  <c r="N221" i="32"/>
  <c r="N222" i="32"/>
  <c r="G222" i="32"/>
  <c r="H222" i="32"/>
  <c r="I222" i="32"/>
  <c r="J222" i="32"/>
  <c r="K222" i="32"/>
  <c r="L222" i="32"/>
  <c r="M222" i="32"/>
  <c r="AL222" i="11" a="1"/>
  <c r="AL222" i="11" s="1"/>
  <c r="E223" i="32" s="1"/>
  <c r="T223" i="32" s="1"/>
  <c r="AP232" i="59" a="1"/>
  <c r="AP232" i="59" s="1"/>
  <c r="E233" i="50" s="1"/>
  <c r="T233" i="50" s="1"/>
  <c r="AM107" i="11" a="1"/>
  <c r="AM107" i="11" s="1"/>
  <c r="AH229" i="50" l="1"/>
  <c r="AI229" i="50" s="1"/>
  <c r="AP229" i="50" s="1"/>
  <c r="O223" i="32"/>
  <c r="AK233" i="50"/>
  <c r="AL230" i="50"/>
  <c r="AG230" i="50"/>
  <c r="U222" i="32"/>
  <c r="U221" i="32"/>
  <c r="AO232" i="50"/>
  <c r="AQ233" i="50"/>
  <c r="N233" i="50"/>
  <c r="F223" i="32"/>
  <c r="AU223" i="32"/>
  <c r="AY233" i="50"/>
  <c r="F233" i="50"/>
  <c r="U233" i="50" s="1"/>
  <c r="AD231" i="50"/>
  <c r="P232" i="50"/>
  <c r="P221" i="32"/>
  <c r="P222" i="32"/>
  <c r="O233" i="50"/>
  <c r="AM222" i="32"/>
  <c r="AM221" i="32"/>
  <c r="AJ231" i="50"/>
  <c r="C231" i="50"/>
  <c r="S232" i="50"/>
  <c r="Z232" i="50" s="1"/>
  <c r="S222" i="32"/>
  <c r="Z222" i="32" s="1"/>
  <c r="S221" i="32"/>
  <c r="Z221" i="32" s="1"/>
  <c r="W231" i="50"/>
  <c r="X230" i="50"/>
  <c r="V231" i="50"/>
  <c r="AK223" i="32"/>
  <c r="AM232" i="50"/>
  <c r="AL220" i="32"/>
  <c r="AL219" i="32"/>
  <c r="A223" i="32"/>
  <c r="B223" i="32"/>
  <c r="G233" i="50"/>
  <c r="A233" i="50"/>
  <c r="L233" i="50"/>
  <c r="B233" i="50"/>
  <c r="I233" i="50"/>
  <c r="M233" i="50"/>
  <c r="K233" i="50"/>
  <c r="H233" i="50"/>
  <c r="J233" i="50"/>
  <c r="L223" i="32"/>
  <c r="M223" i="32"/>
  <c r="N223" i="32"/>
  <c r="G223" i="32"/>
  <c r="H223" i="32"/>
  <c r="I223" i="32"/>
  <c r="J223" i="32"/>
  <c r="K223" i="32"/>
  <c r="AL223" i="11" a="1"/>
  <c r="AL223" i="11" s="1"/>
  <c r="E224" i="32" s="1"/>
  <c r="T224" i="32" s="1"/>
  <c r="AP233" i="59" a="1"/>
  <c r="AP233" i="59" s="1"/>
  <c r="E234" i="50" s="1"/>
  <c r="T234" i="50" s="1"/>
  <c r="AM108" i="11" a="1"/>
  <c r="AM108" i="11" s="1"/>
  <c r="AH230" i="50" l="1"/>
  <c r="AI230" i="50" s="1"/>
  <c r="AP230" i="50" s="1"/>
  <c r="O224" i="32"/>
  <c r="AK234" i="50"/>
  <c r="AL231" i="50"/>
  <c r="AG231" i="50"/>
  <c r="U223" i="32"/>
  <c r="N234" i="50"/>
  <c r="AQ234" i="50"/>
  <c r="AO233" i="50"/>
  <c r="F224" i="32"/>
  <c r="AU224" i="32"/>
  <c r="AY234" i="50"/>
  <c r="F234" i="50"/>
  <c r="U234" i="50" s="1"/>
  <c r="AT222" i="32"/>
  <c r="AT221" i="32"/>
  <c r="AD222" i="32"/>
  <c r="AG222" i="32" s="1"/>
  <c r="AH222" i="32" s="1"/>
  <c r="AI222" i="32" s="1"/>
  <c r="AD221" i="32"/>
  <c r="AG221" i="32" s="1"/>
  <c r="AH221" i="32" s="1"/>
  <c r="AI221" i="32" s="1"/>
  <c r="AD232" i="50"/>
  <c r="P233" i="50"/>
  <c r="P223" i="32"/>
  <c r="O234" i="50"/>
  <c r="AM223" i="32"/>
  <c r="AJ232" i="50"/>
  <c r="C232" i="50"/>
  <c r="S233" i="50"/>
  <c r="Z233" i="50" s="1"/>
  <c r="C221" i="32"/>
  <c r="AJ221" i="32"/>
  <c r="AJ222" i="32"/>
  <c r="C222" i="32"/>
  <c r="S223" i="32"/>
  <c r="Z223" i="32" s="1"/>
  <c r="W232" i="50"/>
  <c r="W222" i="32"/>
  <c r="X222" i="32" s="1"/>
  <c r="W221" i="32"/>
  <c r="X221" i="32" s="1"/>
  <c r="X231" i="50"/>
  <c r="V232" i="50"/>
  <c r="AK224" i="32"/>
  <c r="AM233" i="50"/>
  <c r="AN220" i="32"/>
  <c r="AN219" i="32"/>
  <c r="V222" i="32"/>
  <c r="V221" i="32"/>
  <c r="A224" i="32"/>
  <c r="B224" i="32"/>
  <c r="B234" i="50"/>
  <c r="M234" i="50"/>
  <c r="L234" i="50"/>
  <c r="K234" i="50"/>
  <c r="I234" i="50"/>
  <c r="A234" i="50"/>
  <c r="H234" i="50"/>
  <c r="J234" i="50"/>
  <c r="G234" i="50"/>
  <c r="J224" i="32"/>
  <c r="K224" i="32"/>
  <c r="L224" i="32"/>
  <c r="M224" i="32"/>
  <c r="N224" i="32"/>
  <c r="G224" i="32"/>
  <c r="I224" i="32"/>
  <c r="H224" i="32"/>
  <c r="AL224" i="11" a="1"/>
  <c r="AL224" i="11" s="1"/>
  <c r="E225" i="32" s="1"/>
  <c r="T225" i="32" s="1"/>
  <c r="AP234" i="59" a="1"/>
  <c r="AP234" i="59" s="1"/>
  <c r="E235" i="50" s="1"/>
  <c r="T235" i="50" s="1"/>
  <c r="AM109" i="11" a="1"/>
  <c r="AM109" i="11" s="1"/>
  <c r="AH231" i="50" l="1"/>
  <c r="AI231" i="50" s="1"/>
  <c r="AP231" i="50" s="1"/>
  <c r="O225" i="32"/>
  <c r="AK235" i="50"/>
  <c r="AL232" i="50"/>
  <c r="AG232" i="50"/>
  <c r="U224" i="32"/>
  <c r="N235" i="50"/>
  <c r="AQ235" i="50"/>
  <c r="AO234" i="50"/>
  <c r="F225" i="32"/>
  <c r="AU225" i="32"/>
  <c r="F235" i="50"/>
  <c r="U235" i="50" s="1"/>
  <c r="AY235" i="50"/>
  <c r="AT223" i="32"/>
  <c r="AD223" i="32"/>
  <c r="AG223" i="32" s="1"/>
  <c r="AH223" i="32" s="1"/>
  <c r="AI223" i="32" s="1"/>
  <c r="AD233" i="50"/>
  <c r="P234" i="50"/>
  <c r="P224" i="32"/>
  <c r="O235" i="50"/>
  <c r="AM224" i="32"/>
  <c r="AJ233" i="50"/>
  <c r="C233" i="50"/>
  <c r="S234" i="50"/>
  <c r="C223" i="32"/>
  <c r="AJ223" i="32"/>
  <c r="W223" i="32"/>
  <c r="X223" i="32" s="1"/>
  <c r="S224" i="32"/>
  <c r="Z224" i="32" s="1"/>
  <c r="W233" i="50"/>
  <c r="X232" i="50"/>
  <c r="V233" i="50"/>
  <c r="V223" i="32"/>
  <c r="AK225" i="32"/>
  <c r="AM234" i="50"/>
  <c r="AL221" i="32"/>
  <c r="AL222" i="32"/>
  <c r="A225" i="32"/>
  <c r="B225" i="32"/>
  <c r="H235" i="50"/>
  <c r="M235" i="50"/>
  <c r="G235" i="50"/>
  <c r="K235" i="50"/>
  <c r="B235" i="50"/>
  <c r="I235" i="50"/>
  <c r="J235" i="50"/>
  <c r="A235" i="50"/>
  <c r="L235" i="50"/>
  <c r="H225" i="32"/>
  <c r="I225" i="32"/>
  <c r="J225" i="32"/>
  <c r="K225" i="32"/>
  <c r="L225" i="32"/>
  <c r="G225" i="32"/>
  <c r="M225" i="32"/>
  <c r="N225" i="32"/>
  <c r="AL225" i="11" a="1"/>
  <c r="AL225" i="11" s="1"/>
  <c r="E226" i="32" s="1"/>
  <c r="T226" i="32" s="1"/>
  <c r="AP235" i="59" a="1"/>
  <c r="AP235" i="59" s="1"/>
  <c r="E236" i="50" s="1"/>
  <c r="T236" i="50" s="1"/>
  <c r="AM110" i="11" a="1"/>
  <c r="AM110" i="11" s="1"/>
  <c r="AH232" i="50" l="1"/>
  <c r="AI232" i="50" s="1"/>
  <c r="AP232" i="50" s="1"/>
  <c r="O226" i="32"/>
  <c r="AK236" i="50"/>
  <c r="AL233" i="50"/>
  <c r="AG233" i="50"/>
  <c r="U225" i="32"/>
  <c r="AQ236" i="50"/>
  <c r="N236" i="50"/>
  <c r="AO235" i="50"/>
  <c r="F226" i="32"/>
  <c r="AU226" i="32"/>
  <c r="F236" i="50"/>
  <c r="U236" i="50" s="1"/>
  <c r="AY236" i="50"/>
  <c r="AT224" i="32"/>
  <c r="AD224" i="32"/>
  <c r="AG224" i="32" s="1"/>
  <c r="AH224" i="32" s="1"/>
  <c r="AI224" i="32" s="1"/>
  <c r="AD234" i="50"/>
  <c r="P235" i="50"/>
  <c r="P225" i="32"/>
  <c r="O236" i="50"/>
  <c r="C234" i="50"/>
  <c r="Z234" i="50"/>
  <c r="AM225" i="32"/>
  <c r="S235" i="50"/>
  <c r="Z235" i="50" s="1"/>
  <c r="AJ234" i="50"/>
  <c r="C224" i="32"/>
  <c r="AJ224" i="32"/>
  <c r="W224" i="32"/>
  <c r="X224" i="32" s="1"/>
  <c r="S225" i="32"/>
  <c r="Z225" i="32" s="1"/>
  <c r="W234" i="50"/>
  <c r="X233" i="50"/>
  <c r="V234" i="50"/>
  <c r="V224" i="32"/>
  <c r="AK226" i="32"/>
  <c r="AM235" i="50"/>
  <c r="AL223" i="32"/>
  <c r="AN222" i="32"/>
  <c r="AN221" i="32"/>
  <c r="A226" i="32"/>
  <c r="B226" i="32"/>
  <c r="A236" i="50"/>
  <c r="H236" i="50"/>
  <c r="J236" i="50"/>
  <c r="I236" i="50"/>
  <c r="M236" i="50"/>
  <c r="L236" i="50"/>
  <c r="B236" i="50"/>
  <c r="G236" i="50"/>
  <c r="K236" i="50"/>
  <c r="N226" i="32"/>
  <c r="G226" i="32"/>
  <c r="H226" i="32"/>
  <c r="I226" i="32"/>
  <c r="J226" i="32"/>
  <c r="K226" i="32"/>
  <c r="L226" i="32"/>
  <c r="M226" i="32"/>
  <c r="AL226" i="11" a="1"/>
  <c r="AL226" i="11" s="1"/>
  <c r="E227" i="32" s="1"/>
  <c r="T227" i="32" s="1"/>
  <c r="AP236" i="59" a="1"/>
  <c r="AP236" i="59" s="1"/>
  <c r="E237" i="50" s="1"/>
  <c r="T237" i="50" s="1"/>
  <c r="AM111" i="11" a="1"/>
  <c r="AM111" i="11" s="1"/>
  <c r="AH233" i="50" l="1"/>
  <c r="AI233" i="50" s="1"/>
  <c r="AP233" i="50" s="1"/>
  <c r="O227" i="32"/>
  <c r="AK237" i="50"/>
  <c r="AL234" i="50"/>
  <c r="AG234" i="50"/>
  <c r="U226" i="32"/>
  <c r="N237" i="50"/>
  <c r="AQ237" i="50"/>
  <c r="AO236" i="50"/>
  <c r="F227" i="32"/>
  <c r="AU227" i="32"/>
  <c r="AY237" i="50"/>
  <c r="F237" i="50"/>
  <c r="U237" i="50" s="1"/>
  <c r="AT225" i="32"/>
  <c r="AD225" i="32"/>
  <c r="AG225" i="32" s="1"/>
  <c r="AH225" i="32" s="1"/>
  <c r="AI225" i="32" s="1"/>
  <c r="AD235" i="50"/>
  <c r="P236" i="50"/>
  <c r="P226" i="32"/>
  <c r="O237" i="50"/>
  <c r="AM226" i="32"/>
  <c r="AJ235" i="50"/>
  <c r="C235" i="50"/>
  <c r="S236" i="50"/>
  <c r="Z236" i="50" s="1"/>
  <c r="AJ225" i="32"/>
  <c r="W225" i="32"/>
  <c r="X225" i="32" s="1"/>
  <c r="C225" i="32"/>
  <c r="S226" i="32"/>
  <c r="Z226" i="32" s="1"/>
  <c r="W235" i="50"/>
  <c r="X234" i="50"/>
  <c r="V235" i="50"/>
  <c r="V225" i="32"/>
  <c r="AK227" i="32"/>
  <c r="AM236" i="50"/>
  <c r="AL224" i="32"/>
  <c r="AN223" i="32"/>
  <c r="A227" i="32"/>
  <c r="B227" i="32"/>
  <c r="A237" i="50"/>
  <c r="M237" i="50"/>
  <c r="I237" i="50"/>
  <c r="H237" i="50"/>
  <c r="G237" i="50"/>
  <c r="K237" i="50"/>
  <c r="J237" i="50"/>
  <c r="L237" i="50"/>
  <c r="B237" i="50"/>
  <c r="L227" i="32"/>
  <c r="M227" i="32"/>
  <c r="N227" i="32"/>
  <c r="G227" i="32"/>
  <c r="H227" i="32"/>
  <c r="J227" i="32"/>
  <c r="K227" i="32"/>
  <c r="I227" i="32"/>
  <c r="AL227" i="11" a="1"/>
  <c r="AL227" i="11" s="1"/>
  <c r="E228" i="32" s="1"/>
  <c r="T228" i="32" s="1"/>
  <c r="AP237" i="59" a="1"/>
  <c r="AP237" i="59" s="1"/>
  <c r="E238" i="50" s="1"/>
  <c r="T238" i="50" s="1"/>
  <c r="AM112" i="11" a="1"/>
  <c r="AM112" i="11" s="1"/>
  <c r="AL235" i="50" l="1"/>
  <c r="AH234" i="50"/>
  <c r="AI234" i="50" s="1"/>
  <c r="AP234" i="50" s="1"/>
  <c r="O228" i="32"/>
  <c r="AK238" i="50"/>
  <c r="AG235" i="50"/>
  <c r="U227" i="32"/>
  <c r="AQ238" i="50"/>
  <c r="N238" i="50"/>
  <c r="AO237" i="50"/>
  <c r="F228" i="32"/>
  <c r="AU228" i="32"/>
  <c r="AY238" i="50"/>
  <c r="F238" i="50"/>
  <c r="U238" i="50" s="1"/>
  <c r="AT226" i="32"/>
  <c r="AD226" i="32"/>
  <c r="AG226" i="32" s="1"/>
  <c r="AH226" i="32" s="1"/>
  <c r="AI226" i="32" s="1"/>
  <c r="AD236" i="50"/>
  <c r="P237" i="50"/>
  <c r="P227" i="32"/>
  <c r="O238" i="50"/>
  <c r="AM227" i="32"/>
  <c r="C236" i="50"/>
  <c r="AJ236" i="50"/>
  <c r="S237" i="50"/>
  <c r="Z237" i="50" s="1"/>
  <c r="C226" i="32"/>
  <c r="W226" i="32"/>
  <c r="X226" i="32" s="1"/>
  <c r="AJ226" i="32"/>
  <c r="S227" i="32"/>
  <c r="W236" i="50"/>
  <c r="X235" i="50"/>
  <c r="V236" i="50"/>
  <c r="V226" i="32"/>
  <c r="AK228" i="32"/>
  <c r="AM237" i="50"/>
  <c r="AL225" i="32"/>
  <c r="AN224" i="32"/>
  <c r="A228" i="32"/>
  <c r="B228" i="32"/>
  <c r="I238" i="50"/>
  <c r="L238" i="50"/>
  <c r="M238" i="50"/>
  <c r="B238" i="50"/>
  <c r="A238" i="50"/>
  <c r="K238" i="50"/>
  <c r="H238" i="50"/>
  <c r="G238" i="50"/>
  <c r="J238" i="50"/>
  <c r="J228" i="32"/>
  <c r="K228" i="32"/>
  <c r="L228" i="32"/>
  <c r="M228" i="32"/>
  <c r="N228" i="32"/>
  <c r="G228" i="32"/>
  <c r="H228" i="32"/>
  <c r="I228" i="32"/>
  <c r="AL228" i="11" a="1"/>
  <c r="AL228" i="11" s="1"/>
  <c r="AP238" i="59" a="1"/>
  <c r="AP238" i="59" s="1"/>
  <c r="E239" i="50" s="1"/>
  <c r="T239" i="50" s="1"/>
  <c r="AM113" i="11" a="1"/>
  <c r="AM113" i="11" s="1"/>
  <c r="AH235" i="50" l="1"/>
  <c r="AI235" i="50" s="1"/>
  <c r="AP235" i="50" s="1"/>
  <c r="AL236" i="50"/>
  <c r="AK239" i="50"/>
  <c r="AG236" i="50"/>
  <c r="U228" i="32"/>
  <c r="AD227" i="32"/>
  <c r="AG227" i="32" s="1"/>
  <c r="AH227" i="32" s="1"/>
  <c r="AI227" i="32" s="1"/>
  <c r="AQ239" i="50"/>
  <c r="N239" i="50"/>
  <c r="AO238" i="50"/>
  <c r="AY239" i="50"/>
  <c r="F239" i="50"/>
  <c r="U239" i="50" s="1"/>
  <c r="AT227" i="32"/>
  <c r="AD237" i="50"/>
  <c r="P238" i="50"/>
  <c r="P228" i="32"/>
  <c r="O239" i="50"/>
  <c r="C227" i="32"/>
  <c r="Z227" i="32"/>
  <c r="AM228" i="32"/>
  <c r="C237" i="50"/>
  <c r="AJ237" i="50"/>
  <c r="S238" i="50"/>
  <c r="Z238" i="50" s="1"/>
  <c r="W227" i="32"/>
  <c r="X227" i="32" s="1"/>
  <c r="S228" i="32"/>
  <c r="Z228" i="32" s="1"/>
  <c r="AJ227" i="32"/>
  <c r="W237" i="50"/>
  <c r="X236" i="50"/>
  <c r="V237" i="50"/>
  <c r="V227" i="32"/>
  <c r="AM238" i="50"/>
  <c r="AL226" i="32"/>
  <c r="AN225" i="32"/>
  <c r="B239" i="50"/>
  <c r="A239" i="50"/>
  <c r="K239" i="50"/>
  <c r="H239" i="50"/>
  <c r="I239" i="50"/>
  <c r="M239" i="50"/>
  <c r="G239" i="50"/>
  <c r="J239" i="50"/>
  <c r="L239" i="50"/>
  <c r="E229" i="32"/>
  <c r="T229" i="32" s="1"/>
  <c r="AL229" i="11" a="1"/>
  <c r="AL229" i="11" s="1"/>
  <c r="E230" i="32" s="1"/>
  <c r="T230" i="32" s="1"/>
  <c r="AP239" i="59" a="1"/>
  <c r="AP239" i="59" s="1"/>
  <c r="E240" i="50" s="1"/>
  <c r="T240" i="50" s="1"/>
  <c r="AM114" i="11" a="1"/>
  <c r="AM114" i="11" s="1"/>
  <c r="AH236" i="50" l="1"/>
  <c r="AI236" i="50" s="1"/>
  <c r="AP236" i="50" s="1"/>
  <c r="AL237" i="50"/>
  <c r="O230" i="32"/>
  <c r="O229" i="32"/>
  <c r="AK240" i="50"/>
  <c r="AG237" i="50"/>
  <c r="AQ240" i="50"/>
  <c r="N240" i="50"/>
  <c r="AO239" i="50"/>
  <c r="F230" i="32"/>
  <c r="AU230" i="32"/>
  <c r="F229" i="32"/>
  <c r="AU229" i="32"/>
  <c r="AY240" i="50"/>
  <c r="F240" i="50"/>
  <c r="U240" i="50" s="1"/>
  <c r="AT228" i="32"/>
  <c r="AD228" i="32"/>
  <c r="AG228" i="32" s="1"/>
  <c r="AH228" i="32" s="1"/>
  <c r="AI228" i="32" s="1"/>
  <c r="AD238" i="50"/>
  <c r="P239" i="50"/>
  <c r="O240" i="50"/>
  <c r="AJ238" i="50"/>
  <c r="C238" i="50"/>
  <c r="S239" i="50"/>
  <c r="Z239" i="50" s="1"/>
  <c r="AJ228" i="32"/>
  <c r="W228" i="32"/>
  <c r="X228" i="32" s="1"/>
  <c r="C228" i="32"/>
  <c r="W238" i="50"/>
  <c r="X237" i="50"/>
  <c r="V238" i="50"/>
  <c r="V228" i="32"/>
  <c r="AK230" i="32"/>
  <c r="AK229" i="32"/>
  <c r="AL227" i="32"/>
  <c r="AM239" i="50"/>
  <c r="AN226" i="32"/>
  <c r="A230" i="32"/>
  <c r="B230" i="32"/>
  <c r="A229" i="32"/>
  <c r="B229" i="32"/>
  <c r="B240" i="50"/>
  <c r="M240" i="50"/>
  <c r="H240" i="50"/>
  <c r="J240" i="50"/>
  <c r="G240" i="50"/>
  <c r="K240" i="50"/>
  <c r="L240" i="50"/>
  <c r="A240" i="50"/>
  <c r="I240" i="50"/>
  <c r="H229" i="32"/>
  <c r="I229" i="32"/>
  <c r="J229" i="32"/>
  <c r="K229" i="32"/>
  <c r="L229" i="32"/>
  <c r="M229" i="32"/>
  <c r="N229" i="32"/>
  <c r="G229" i="32"/>
  <c r="N230" i="32"/>
  <c r="G230" i="32"/>
  <c r="H230" i="32"/>
  <c r="I230" i="32"/>
  <c r="J230" i="32"/>
  <c r="K230" i="32"/>
  <c r="L230" i="32"/>
  <c r="M230" i="32"/>
  <c r="AL230" i="11" a="1"/>
  <c r="AL230" i="11" s="1"/>
  <c r="AP240" i="59" a="1"/>
  <c r="AP240" i="59" s="1"/>
  <c r="E241" i="50" s="1"/>
  <c r="T241" i="50" s="1"/>
  <c r="AM115" i="11" a="1"/>
  <c r="AM115" i="11" s="1"/>
  <c r="AH237" i="50" l="1"/>
  <c r="AI237" i="50" s="1"/>
  <c r="AP237" i="50" s="1"/>
  <c r="AL238" i="50"/>
  <c r="AK241" i="50"/>
  <c r="AG238" i="50"/>
  <c r="U230" i="32"/>
  <c r="U229" i="32"/>
  <c r="AQ241" i="50"/>
  <c r="N241" i="50"/>
  <c r="AO240" i="50"/>
  <c r="AY241" i="50"/>
  <c r="F241" i="50"/>
  <c r="U241" i="50" s="1"/>
  <c r="AD239" i="50"/>
  <c r="P240" i="50"/>
  <c r="P229" i="32"/>
  <c r="P230" i="32"/>
  <c r="O241" i="50"/>
  <c r="AM229" i="32"/>
  <c r="AM230" i="32"/>
  <c r="AJ239" i="50"/>
  <c r="C239" i="50"/>
  <c r="S240" i="50"/>
  <c r="Z240" i="50" s="1"/>
  <c r="S229" i="32"/>
  <c r="Z229" i="32" s="1"/>
  <c r="S230" i="32"/>
  <c r="W239" i="50"/>
  <c r="X238" i="50"/>
  <c r="V239" i="50"/>
  <c r="AM240" i="50"/>
  <c r="AL228" i="32"/>
  <c r="AN227" i="32"/>
  <c r="G241" i="50"/>
  <c r="M241" i="50"/>
  <c r="L241" i="50"/>
  <c r="J241" i="50"/>
  <c r="I241" i="50"/>
  <c r="B241" i="50"/>
  <c r="K241" i="50"/>
  <c r="H241" i="50"/>
  <c r="A241" i="50"/>
  <c r="E231" i="32"/>
  <c r="T231" i="32" s="1"/>
  <c r="AL231" i="11" a="1"/>
  <c r="AL231" i="11" s="1"/>
  <c r="E232" i="32" s="1"/>
  <c r="T232" i="32" s="1"/>
  <c r="AP241" i="59" a="1"/>
  <c r="AP241" i="59" s="1"/>
  <c r="E242" i="50" s="1"/>
  <c r="T242" i="50" s="1"/>
  <c r="AM116" i="11" a="1"/>
  <c r="AM116" i="11" s="1"/>
  <c r="AH238" i="50" l="1"/>
  <c r="AI238" i="50" s="1"/>
  <c r="AP238" i="50" s="1"/>
  <c r="AL239" i="50"/>
  <c r="O232" i="32"/>
  <c r="O231" i="32"/>
  <c r="AK242" i="50"/>
  <c r="AG239" i="50"/>
  <c r="N242" i="50"/>
  <c r="AQ242" i="50"/>
  <c r="AO241" i="50"/>
  <c r="AD230" i="32"/>
  <c r="AG230" i="32" s="1"/>
  <c r="AH230" i="32" s="1"/>
  <c r="AI230" i="32" s="1"/>
  <c r="F232" i="32"/>
  <c r="AU232" i="32"/>
  <c r="F231" i="32"/>
  <c r="AU231" i="32"/>
  <c r="AY242" i="50"/>
  <c r="F242" i="50"/>
  <c r="U242" i="50" s="1"/>
  <c r="AT230" i="32"/>
  <c r="AT229" i="32"/>
  <c r="AD229" i="32"/>
  <c r="AG229" i="32" s="1"/>
  <c r="AH229" i="32" s="1"/>
  <c r="AI229" i="32" s="1"/>
  <c r="AD240" i="50"/>
  <c r="P241" i="50"/>
  <c r="O242" i="50"/>
  <c r="C230" i="32"/>
  <c r="Z230" i="32"/>
  <c r="AJ240" i="50"/>
  <c r="C240" i="50"/>
  <c r="S241" i="50"/>
  <c r="AJ229" i="32"/>
  <c r="C229" i="32"/>
  <c r="AJ230" i="32"/>
  <c r="W240" i="50"/>
  <c r="W229" i="32"/>
  <c r="X229" i="32" s="1"/>
  <c r="W230" i="32"/>
  <c r="X230" i="32" s="1"/>
  <c r="X239" i="50"/>
  <c r="V240" i="50"/>
  <c r="AK231" i="32"/>
  <c r="AK232" i="32"/>
  <c r="AM241" i="50"/>
  <c r="AN228" i="32"/>
  <c r="V229" i="32"/>
  <c r="V230" i="32"/>
  <c r="A231" i="32"/>
  <c r="B231" i="32"/>
  <c r="A232" i="32"/>
  <c r="B232" i="32"/>
  <c r="B242" i="50"/>
  <c r="G242" i="50"/>
  <c r="A242" i="50"/>
  <c r="K242" i="50"/>
  <c r="I242" i="50"/>
  <c r="J242" i="50"/>
  <c r="M242" i="50"/>
  <c r="L242" i="50"/>
  <c r="H242" i="50"/>
  <c r="L231" i="32"/>
  <c r="M231" i="32"/>
  <c r="N231" i="32"/>
  <c r="G231" i="32"/>
  <c r="H231" i="32"/>
  <c r="K231" i="32"/>
  <c r="I231" i="32"/>
  <c r="J231" i="32"/>
  <c r="J232" i="32"/>
  <c r="K232" i="32"/>
  <c r="L232" i="32"/>
  <c r="M232" i="32"/>
  <c r="N232" i="32"/>
  <c r="G232" i="32"/>
  <c r="H232" i="32"/>
  <c r="I232" i="32"/>
  <c r="AL232" i="11" a="1"/>
  <c r="AL232" i="11" s="1"/>
  <c r="E233" i="32" s="1"/>
  <c r="T233" i="32" s="1"/>
  <c r="AP242" i="59" a="1"/>
  <c r="AP242" i="59" s="1"/>
  <c r="E243" i="50" s="1"/>
  <c r="T243" i="50" s="1"/>
  <c r="AM117" i="11" a="1"/>
  <c r="AM117" i="11" s="1"/>
  <c r="AH239" i="50" l="1"/>
  <c r="AI239" i="50" s="1"/>
  <c r="AP239" i="50" s="1"/>
  <c r="O233" i="32"/>
  <c r="AK243" i="50"/>
  <c r="AL240" i="50"/>
  <c r="AG240" i="50"/>
  <c r="U232" i="32"/>
  <c r="U231" i="32"/>
  <c r="AQ243" i="50"/>
  <c r="N243" i="50"/>
  <c r="AO242" i="50"/>
  <c r="F233" i="32"/>
  <c r="AU233" i="32"/>
  <c r="F243" i="50"/>
  <c r="U243" i="50" s="1"/>
  <c r="AY243" i="50"/>
  <c r="AD241" i="50"/>
  <c r="P242" i="50"/>
  <c r="P232" i="32"/>
  <c r="P231" i="32"/>
  <c r="O243" i="50"/>
  <c r="C241" i="50"/>
  <c r="Z241" i="50"/>
  <c r="AM232" i="32"/>
  <c r="AM231" i="32"/>
  <c r="AJ241" i="50"/>
  <c r="S242" i="50"/>
  <c r="Z242" i="50" s="1"/>
  <c r="S232" i="32"/>
  <c r="Z232" i="32" s="1"/>
  <c r="S231" i="32"/>
  <c r="W241" i="50"/>
  <c r="X240" i="50"/>
  <c r="V241" i="50"/>
  <c r="AK233" i="32"/>
  <c r="AM242" i="50"/>
  <c r="AL229" i="32"/>
  <c r="AL230" i="32"/>
  <c r="A233" i="32"/>
  <c r="B233" i="32"/>
  <c r="H243" i="50"/>
  <c r="G243" i="50"/>
  <c r="A243" i="50"/>
  <c r="K243" i="50"/>
  <c r="B243" i="50"/>
  <c r="M243" i="50"/>
  <c r="J243" i="50"/>
  <c r="I243" i="50"/>
  <c r="L243" i="50"/>
  <c r="H233" i="32"/>
  <c r="I233" i="32"/>
  <c r="J233" i="32"/>
  <c r="K233" i="32"/>
  <c r="L233" i="32"/>
  <c r="N233" i="32"/>
  <c r="G233" i="32"/>
  <c r="M233" i="32"/>
  <c r="AL233" i="11" a="1"/>
  <c r="AL233" i="11" s="1"/>
  <c r="AP243" i="59" a="1"/>
  <c r="AP243" i="59" s="1"/>
  <c r="E244" i="50" s="1"/>
  <c r="T244" i="50" s="1"/>
  <c r="AM118" i="11" a="1"/>
  <c r="AM118" i="11" s="1"/>
  <c r="AH240" i="50" l="1"/>
  <c r="AI240" i="50" s="1"/>
  <c r="AP240" i="50" s="1"/>
  <c r="AL241" i="50"/>
  <c r="AK244" i="50"/>
  <c r="AG241" i="50"/>
  <c r="U233" i="32"/>
  <c r="AD231" i="32"/>
  <c r="AG231" i="32" s="1"/>
  <c r="AH231" i="32" s="1"/>
  <c r="AI231" i="32" s="1"/>
  <c r="AQ244" i="50"/>
  <c r="N244" i="50"/>
  <c r="AO243" i="50"/>
  <c r="F244" i="50"/>
  <c r="U244" i="50" s="1"/>
  <c r="AY244" i="50"/>
  <c r="AT231" i="32"/>
  <c r="AT232" i="32"/>
  <c r="AD232" i="32"/>
  <c r="AG232" i="32" s="1"/>
  <c r="AH232" i="32" s="1"/>
  <c r="AI232" i="32" s="1"/>
  <c r="AD242" i="50"/>
  <c r="P243" i="50"/>
  <c r="P233" i="32"/>
  <c r="O244" i="50"/>
  <c r="C231" i="32"/>
  <c r="Z231" i="32"/>
  <c r="AM233" i="32"/>
  <c r="C242" i="50"/>
  <c r="AJ242" i="50"/>
  <c r="S243" i="50"/>
  <c r="Z243" i="50" s="1"/>
  <c r="C232" i="32"/>
  <c r="AJ232" i="32"/>
  <c r="AJ231" i="32"/>
  <c r="S233" i="32"/>
  <c r="Z233" i="32" s="1"/>
  <c r="W231" i="32"/>
  <c r="X231" i="32" s="1"/>
  <c r="W242" i="50"/>
  <c r="W232" i="32"/>
  <c r="X232" i="32" s="1"/>
  <c r="X241" i="50"/>
  <c r="V242" i="50"/>
  <c r="V231" i="32"/>
  <c r="AM243" i="50"/>
  <c r="AN229" i="32"/>
  <c r="AN230" i="32"/>
  <c r="V232" i="32"/>
  <c r="A244" i="50"/>
  <c r="J244" i="50"/>
  <c r="I244" i="50"/>
  <c r="H244" i="50"/>
  <c r="G244" i="50"/>
  <c r="K244" i="50"/>
  <c r="M244" i="50"/>
  <c r="L244" i="50"/>
  <c r="B244" i="50"/>
  <c r="E234" i="32"/>
  <c r="T234" i="32" s="1"/>
  <c r="AL234" i="11" a="1"/>
  <c r="AL234" i="11" s="1"/>
  <c r="E235" i="32" s="1"/>
  <c r="T235" i="32" s="1"/>
  <c r="AP244" i="59" a="1"/>
  <c r="AP244" i="59" s="1"/>
  <c r="E245" i="50" s="1"/>
  <c r="T245" i="50" s="1"/>
  <c r="AM119" i="11" a="1"/>
  <c r="AM119" i="11" s="1"/>
  <c r="AH241" i="50" l="1"/>
  <c r="AI241" i="50" s="1"/>
  <c r="AP241" i="50" s="1"/>
  <c r="O235" i="32"/>
  <c r="O234" i="32"/>
  <c r="AK245" i="50"/>
  <c r="AL242" i="50"/>
  <c r="AG242" i="50"/>
  <c r="AQ245" i="50"/>
  <c r="N245" i="50"/>
  <c r="AO244" i="50"/>
  <c r="F235" i="32"/>
  <c r="AU235" i="32"/>
  <c r="F234" i="32"/>
  <c r="AU234" i="32"/>
  <c r="AY245" i="50"/>
  <c r="F245" i="50"/>
  <c r="U245" i="50" s="1"/>
  <c r="AT233" i="32"/>
  <c r="AD233" i="32"/>
  <c r="AG233" i="32" s="1"/>
  <c r="AH233" i="32" s="1"/>
  <c r="AI233" i="32" s="1"/>
  <c r="AD243" i="50"/>
  <c r="P244" i="50"/>
  <c r="O245" i="50"/>
  <c r="C243" i="50"/>
  <c r="AJ243" i="50"/>
  <c r="S244" i="50"/>
  <c r="Z244" i="50" s="1"/>
  <c r="C233" i="32"/>
  <c r="AJ233" i="32"/>
  <c r="W233" i="32"/>
  <c r="X233" i="32" s="1"/>
  <c r="W243" i="50"/>
  <c r="X242" i="50"/>
  <c r="V243" i="50"/>
  <c r="V233" i="32"/>
  <c r="AK235" i="32"/>
  <c r="AK234" i="32"/>
  <c r="AM244" i="50"/>
  <c r="AL231" i="32"/>
  <c r="AL232" i="32"/>
  <c r="A235" i="32"/>
  <c r="B235" i="32"/>
  <c r="A234" i="32"/>
  <c r="B234" i="32"/>
  <c r="A245" i="50"/>
  <c r="I245" i="50"/>
  <c r="M245" i="50"/>
  <c r="H245" i="50"/>
  <c r="G245" i="50"/>
  <c r="L245" i="50"/>
  <c r="J245" i="50"/>
  <c r="B245" i="50"/>
  <c r="K245" i="50"/>
  <c r="N234" i="32"/>
  <c r="G234" i="32"/>
  <c r="H234" i="32"/>
  <c r="I234" i="32"/>
  <c r="J234" i="32"/>
  <c r="K234" i="32"/>
  <c r="L234" i="32"/>
  <c r="M234" i="32"/>
  <c r="L235" i="32"/>
  <c r="M235" i="32"/>
  <c r="N235" i="32"/>
  <c r="G235" i="32"/>
  <c r="H235" i="32"/>
  <c r="I235" i="32"/>
  <c r="J235" i="32"/>
  <c r="K235" i="32"/>
  <c r="AL235" i="11" a="1"/>
  <c r="AL235" i="11" s="1"/>
  <c r="E236" i="32" s="1"/>
  <c r="T236" i="32" s="1"/>
  <c r="AP245" i="59" a="1"/>
  <c r="AP245" i="59" s="1"/>
  <c r="E246" i="50" s="1"/>
  <c r="T246" i="50" s="1"/>
  <c r="AM120" i="11" a="1"/>
  <c r="AM120" i="11" s="1"/>
  <c r="AH242" i="50" l="1"/>
  <c r="AI242" i="50" s="1"/>
  <c r="AP242" i="50" s="1"/>
  <c r="O236" i="32"/>
  <c r="AK246" i="50"/>
  <c r="AL243" i="50"/>
  <c r="AG243" i="50"/>
  <c r="U235" i="32"/>
  <c r="U234" i="32"/>
  <c r="N246" i="50"/>
  <c r="AQ246" i="50"/>
  <c r="AO245" i="50"/>
  <c r="F236" i="32"/>
  <c r="AU236" i="32"/>
  <c r="AY246" i="50"/>
  <c r="F246" i="50"/>
  <c r="U246" i="50" s="1"/>
  <c r="AD244" i="50"/>
  <c r="P245" i="50"/>
  <c r="P234" i="32"/>
  <c r="P235" i="32"/>
  <c r="O246" i="50"/>
  <c r="AM235" i="32"/>
  <c r="AM234" i="32"/>
  <c r="AJ244" i="50"/>
  <c r="C244" i="50"/>
  <c r="S245" i="50"/>
  <c r="Z245" i="50" s="1"/>
  <c r="S235" i="32"/>
  <c r="Z235" i="32" s="1"/>
  <c r="S234" i="32"/>
  <c r="Z234" i="32" s="1"/>
  <c r="W244" i="50"/>
  <c r="X243" i="50"/>
  <c r="V244" i="50"/>
  <c r="AK236" i="32"/>
  <c r="AM245" i="50"/>
  <c r="AL233" i="32"/>
  <c r="AN231" i="32"/>
  <c r="AN232" i="32"/>
  <c r="A236" i="32"/>
  <c r="B236" i="32"/>
  <c r="I246" i="50"/>
  <c r="H246" i="50"/>
  <c r="M246" i="50"/>
  <c r="K246" i="50"/>
  <c r="A246" i="50"/>
  <c r="B246" i="50"/>
  <c r="G246" i="50"/>
  <c r="J246" i="50"/>
  <c r="L246" i="50"/>
  <c r="K236" i="32"/>
  <c r="L236" i="32"/>
  <c r="M236" i="32"/>
  <c r="N236" i="32"/>
  <c r="G236" i="32"/>
  <c r="H236" i="32"/>
  <c r="I236" i="32"/>
  <c r="J236" i="32"/>
  <c r="AL236" i="11" a="1"/>
  <c r="AL236" i="11" s="1"/>
  <c r="AP246" i="59" a="1"/>
  <c r="AP246" i="59" s="1"/>
  <c r="E247" i="50" s="1"/>
  <c r="T247" i="50" s="1"/>
  <c r="AM121" i="11" a="1"/>
  <c r="AM121" i="11" s="1"/>
  <c r="AH243" i="50" l="1"/>
  <c r="AI243" i="50" s="1"/>
  <c r="AP243" i="50" s="1"/>
  <c r="AL244" i="50"/>
  <c r="AK247" i="50"/>
  <c r="AG244" i="50"/>
  <c r="U236" i="32"/>
  <c r="N247" i="50"/>
  <c r="AQ247" i="50"/>
  <c r="AO246" i="50"/>
  <c r="AY247" i="50"/>
  <c r="F247" i="50"/>
  <c r="U247" i="50" s="1"/>
  <c r="AT235" i="32"/>
  <c r="AT234" i="32"/>
  <c r="AD234" i="32"/>
  <c r="AD235" i="32"/>
  <c r="AG235" i="32" s="1"/>
  <c r="AH235" i="32" s="1"/>
  <c r="AI235" i="32" s="1"/>
  <c r="AD245" i="50"/>
  <c r="P246" i="50"/>
  <c r="P236" i="32"/>
  <c r="O247" i="50"/>
  <c r="AM236" i="32"/>
  <c r="C245" i="50"/>
  <c r="AJ245" i="50"/>
  <c r="S246" i="50"/>
  <c r="Z246" i="50" s="1"/>
  <c r="AJ234" i="32"/>
  <c r="C234" i="32"/>
  <c r="C235" i="32"/>
  <c r="AJ235" i="32"/>
  <c r="S236" i="32"/>
  <c r="W245" i="50"/>
  <c r="W235" i="32"/>
  <c r="X235" i="32" s="1"/>
  <c r="W234" i="32"/>
  <c r="X234" i="32" s="1"/>
  <c r="X244" i="50"/>
  <c r="V245" i="50"/>
  <c r="AM246" i="50"/>
  <c r="AN233" i="32"/>
  <c r="V234" i="32"/>
  <c r="V235" i="32"/>
  <c r="B247" i="50"/>
  <c r="G247" i="50"/>
  <c r="J247" i="50"/>
  <c r="K247" i="50"/>
  <c r="I247" i="50"/>
  <c r="H247" i="50"/>
  <c r="A247" i="50"/>
  <c r="M247" i="50"/>
  <c r="L247" i="50"/>
  <c r="E237" i="32"/>
  <c r="T237" i="32" s="1"/>
  <c r="AL237" i="11" a="1"/>
  <c r="AL237" i="11" s="1"/>
  <c r="E238" i="32" s="1"/>
  <c r="T238" i="32" s="1"/>
  <c r="AP247" i="59" a="1"/>
  <c r="AP247" i="59" s="1"/>
  <c r="E248" i="50" s="1"/>
  <c r="T248" i="50" s="1"/>
  <c r="AM122" i="11" a="1"/>
  <c r="AM122" i="11" s="1"/>
  <c r="AH244" i="50" l="1"/>
  <c r="AI244" i="50" s="1"/>
  <c r="AP244" i="50" s="1"/>
  <c r="O237" i="32"/>
  <c r="O238" i="32"/>
  <c r="AK248" i="50"/>
  <c r="AL245" i="50"/>
  <c r="AG245" i="50"/>
  <c r="AD236" i="32"/>
  <c r="AG236" i="32" s="1"/>
  <c r="AH236" i="32" s="1"/>
  <c r="AI236" i="32" s="1"/>
  <c r="AQ248" i="50"/>
  <c r="N248" i="50"/>
  <c r="AO247" i="50"/>
  <c r="F238" i="32"/>
  <c r="AU238" i="32"/>
  <c r="F237" i="32"/>
  <c r="AU237" i="32"/>
  <c r="AY248" i="50"/>
  <c r="F248" i="50"/>
  <c r="U248" i="50" s="1"/>
  <c r="AT236" i="32"/>
  <c r="AD246" i="50"/>
  <c r="P247" i="50"/>
  <c r="O248" i="50"/>
  <c r="AG234" i="32"/>
  <c r="AH234" i="32" s="1"/>
  <c r="AI234" i="32" s="1"/>
  <c r="C236" i="32"/>
  <c r="Z236" i="32"/>
  <c r="AJ246" i="50"/>
  <c r="C246" i="50"/>
  <c r="S247" i="50"/>
  <c r="Z247" i="50" s="1"/>
  <c r="AJ236" i="32"/>
  <c r="W236" i="32"/>
  <c r="X236" i="32" s="1"/>
  <c r="W246" i="50"/>
  <c r="X245" i="50"/>
  <c r="V246" i="50"/>
  <c r="V236" i="32"/>
  <c r="AK237" i="32"/>
  <c r="AK238" i="32"/>
  <c r="AL234" i="32"/>
  <c r="AM247" i="50"/>
  <c r="AL235" i="32"/>
  <c r="A238" i="32"/>
  <c r="B238" i="32"/>
  <c r="A237" i="32"/>
  <c r="B237" i="32"/>
  <c r="B248" i="50"/>
  <c r="M248" i="50"/>
  <c r="J248" i="50"/>
  <c r="I248" i="50"/>
  <c r="H248" i="50"/>
  <c r="K248" i="50"/>
  <c r="A248" i="50"/>
  <c r="G248" i="50"/>
  <c r="L248" i="50"/>
  <c r="G238" i="32"/>
  <c r="H238" i="32"/>
  <c r="I238" i="32"/>
  <c r="J238" i="32"/>
  <c r="N238" i="32"/>
  <c r="M238" i="32"/>
  <c r="K238" i="32"/>
  <c r="L238" i="32"/>
  <c r="I237" i="32"/>
  <c r="J237" i="32"/>
  <c r="K237" i="32"/>
  <c r="L237" i="32"/>
  <c r="M237" i="32"/>
  <c r="N237" i="32"/>
  <c r="G237" i="32"/>
  <c r="H237" i="32"/>
  <c r="AL238" i="11" a="1"/>
  <c r="AL238" i="11" s="1"/>
  <c r="AP248" i="59" a="1"/>
  <c r="AP248" i="59" s="1"/>
  <c r="E249" i="50" s="1"/>
  <c r="T249" i="50" s="1"/>
  <c r="AM123" i="11" a="1"/>
  <c r="AM123" i="11" s="1"/>
  <c r="AH245" i="50" l="1"/>
  <c r="AI245" i="50" s="1"/>
  <c r="AP245" i="50" s="1"/>
  <c r="AL246" i="50"/>
  <c r="AK249" i="50"/>
  <c r="AG246" i="50"/>
  <c r="U237" i="32"/>
  <c r="U238" i="32"/>
  <c r="AQ249" i="50"/>
  <c r="N249" i="50"/>
  <c r="AO248" i="50"/>
  <c r="AY249" i="50"/>
  <c r="F249" i="50"/>
  <c r="U249" i="50" s="1"/>
  <c r="AD247" i="50"/>
  <c r="P248" i="50"/>
  <c r="P237" i="32"/>
  <c r="P238" i="32"/>
  <c r="O249" i="50"/>
  <c r="AM237" i="32"/>
  <c r="AM238" i="32"/>
  <c r="AJ247" i="50"/>
  <c r="C247" i="50"/>
  <c r="S248" i="50"/>
  <c r="Z248" i="50" s="1"/>
  <c r="S237" i="32"/>
  <c r="Z237" i="32" s="1"/>
  <c r="S238" i="32"/>
  <c r="Z238" i="32" s="1"/>
  <c r="W247" i="50"/>
  <c r="X246" i="50"/>
  <c r="V247" i="50"/>
  <c r="AM248" i="50"/>
  <c r="AL236" i="32"/>
  <c r="AN235" i="32"/>
  <c r="AN234" i="32"/>
  <c r="G249" i="50"/>
  <c r="L249" i="50"/>
  <c r="B249" i="50"/>
  <c r="I249" i="50"/>
  <c r="H249" i="50"/>
  <c r="K249" i="50"/>
  <c r="M249" i="50"/>
  <c r="A249" i="50"/>
  <c r="J249" i="50"/>
  <c r="E239" i="32"/>
  <c r="T239" i="32" s="1"/>
  <c r="AL239" i="11" a="1"/>
  <c r="AL239" i="11" s="1"/>
  <c r="E240" i="32" s="1"/>
  <c r="T240" i="32" s="1"/>
  <c r="AP249" i="59" a="1"/>
  <c r="AP249" i="59" s="1"/>
  <c r="E250" i="50" s="1"/>
  <c r="T250" i="50" s="1"/>
  <c r="AM124" i="11" a="1"/>
  <c r="AM124" i="11" s="1"/>
  <c r="AH246" i="50" l="1"/>
  <c r="AI246" i="50" s="1"/>
  <c r="AP246" i="50" s="1"/>
  <c r="AL247" i="50"/>
  <c r="O240" i="32"/>
  <c r="O239" i="32"/>
  <c r="AK250" i="50"/>
  <c r="AG247" i="50"/>
  <c r="N250" i="50"/>
  <c r="AQ250" i="50"/>
  <c r="AO249" i="50"/>
  <c r="F240" i="32"/>
  <c r="AU240" i="32"/>
  <c r="F239" i="32"/>
  <c r="AU239" i="32"/>
  <c r="AY250" i="50"/>
  <c r="F250" i="50"/>
  <c r="U250" i="50" s="1"/>
  <c r="AT238" i="32"/>
  <c r="AT237" i="32"/>
  <c r="AD238" i="32"/>
  <c r="AG238" i="32" s="1"/>
  <c r="AH238" i="32" s="1"/>
  <c r="AI238" i="32" s="1"/>
  <c r="AD237" i="32"/>
  <c r="AG237" i="32" s="1"/>
  <c r="AH237" i="32" s="1"/>
  <c r="AI237" i="32" s="1"/>
  <c r="AD248" i="50"/>
  <c r="P249" i="50"/>
  <c r="O250" i="50"/>
  <c r="C248" i="50"/>
  <c r="AJ248" i="50"/>
  <c r="S249" i="50"/>
  <c r="Z249" i="50" s="1"/>
  <c r="W238" i="32"/>
  <c r="X238" i="32" s="1"/>
  <c r="C238" i="32"/>
  <c r="AJ238" i="32"/>
  <c r="C237" i="32"/>
  <c r="W237" i="32"/>
  <c r="X237" i="32" s="1"/>
  <c r="AJ237" i="32"/>
  <c r="W248" i="50"/>
  <c r="X247" i="50"/>
  <c r="V248" i="50"/>
  <c r="V237" i="32"/>
  <c r="V238" i="32"/>
  <c r="AK239" i="32"/>
  <c r="AK240" i="32"/>
  <c r="AM249" i="50"/>
  <c r="AN236" i="32"/>
  <c r="A240" i="32"/>
  <c r="B240" i="32"/>
  <c r="A239" i="32"/>
  <c r="B239" i="32"/>
  <c r="G250" i="50"/>
  <c r="B250" i="50"/>
  <c r="M250" i="50"/>
  <c r="L250" i="50"/>
  <c r="K250" i="50"/>
  <c r="A250" i="50"/>
  <c r="J250" i="50"/>
  <c r="H250" i="50"/>
  <c r="I250" i="50"/>
  <c r="K240" i="32"/>
  <c r="M240" i="32"/>
  <c r="N240" i="32"/>
  <c r="J240" i="32"/>
  <c r="L240" i="32"/>
  <c r="G240" i="32"/>
  <c r="I240" i="32"/>
  <c r="H240" i="32"/>
  <c r="M239" i="32"/>
  <c r="G239" i="32"/>
  <c r="H239" i="32"/>
  <c r="I239" i="32"/>
  <c r="J239" i="32"/>
  <c r="K239" i="32"/>
  <c r="L239" i="32"/>
  <c r="N239" i="32"/>
  <c r="AL240" i="11" a="1"/>
  <c r="AL240" i="11" s="1"/>
  <c r="E241" i="32" s="1"/>
  <c r="T241" i="32" s="1"/>
  <c r="AP250" i="59" a="1"/>
  <c r="AP250" i="59" s="1"/>
  <c r="E251" i="50" s="1"/>
  <c r="T251" i="50" s="1"/>
  <c r="AM125" i="11" a="1"/>
  <c r="AM125" i="11" s="1"/>
  <c r="AH247" i="50" l="1"/>
  <c r="AI247" i="50" s="1"/>
  <c r="AP247" i="50" s="1"/>
  <c r="O241" i="32"/>
  <c r="AK251" i="50"/>
  <c r="AL248" i="50"/>
  <c r="AG248" i="50"/>
  <c r="U240" i="32"/>
  <c r="U239" i="32"/>
  <c r="AQ251" i="50"/>
  <c r="N251" i="50"/>
  <c r="AO250" i="50"/>
  <c r="F241" i="32"/>
  <c r="AU241" i="32"/>
  <c r="F251" i="50"/>
  <c r="U251" i="50" s="1"/>
  <c r="AY251" i="50"/>
  <c r="AD249" i="50"/>
  <c r="P250" i="50"/>
  <c r="P239" i="32"/>
  <c r="P240" i="32"/>
  <c r="O251" i="50"/>
  <c r="AM239" i="32"/>
  <c r="AM240" i="32"/>
  <c r="AJ249" i="50"/>
  <c r="C249" i="50"/>
  <c r="S250" i="50"/>
  <c r="Z250" i="50" s="1"/>
  <c r="S240" i="32"/>
  <c r="Z240" i="32" s="1"/>
  <c r="S239" i="32"/>
  <c r="Z239" i="32" s="1"/>
  <c r="W249" i="50"/>
  <c r="X248" i="50"/>
  <c r="V249" i="50"/>
  <c r="AK241" i="32"/>
  <c r="AM250" i="50"/>
  <c r="AL237" i="32"/>
  <c r="AL238" i="32"/>
  <c r="A241" i="32"/>
  <c r="B241" i="32"/>
  <c r="H251" i="50"/>
  <c r="M251" i="50"/>
  <c r="A251" i="50"/>
  <c r="K251" i="50"/>
  <c r="G251" i="50"/>
  <c r="L251" i="50"/>
  <c r="J251" i="50"/>
  <c r="B251" i="50"/>
  <c r="I251" i="50"/>
  <c r="I241" i="32"/>
  <c r="K241" i="32"/>
  <c r="L241" i="32"/>
  <c r="N241" i="32"/>
  <c r="J241" i="32"/>
  <c r="G241" i="32"/>
  <c r="H241" i="32"/>
  <c r="M241" i="32"/>
  <c r="AL241" i="11" a="1"/>
  <c r="AL241" i="11" s="1"/>
  <c r="E242" i="32" s="1"/>
  <c r="T242" i="32" s="1"/>
  <c r="AP251" i="59" a="1"/>
  <c r="AP251" i="59" s="1"/>
  <c r="E252" i="50" s="1"/>
  <c r="T252" i="50" s="1"/>
  <c r="AM126" i="11" a="1"/>
  <c r="AM126" i="11" s="1"/>
  <c r="AH248" i="50" l="1"/>
  <c r="AI248" i="50" s="1"/>
  <c r="AP248" i="50" s="1"/>
  <c r="AL249" i="50"/>
  <c r="O242" i="32"/>
  <c r="AK252" i="50"/>
  <c r="AG249" i="50"/>
  <c r="U241" i="32"/>
  <c r="AQ252" i="50"/>
  <c r="N252" i="50"/>
  <c r="AO251" i="50"/>
  <c r="F242" i="32"/>
  <c r="AU242" i="32"/>
  <c r="AY252" i="50"/>
  <c r="F252" i="50"/>
  <c r="U252" i="50" s="1"/>
  <c r="AT240" i="32"/>
  <c r="AT239" i="32"/>
  <c r="AD239" i="32"/>
  <c r="AG239" i="32" s="1"/>
  <c r="AH239" i="32" s="1"/>
  <c r="AI239" i="32" s="1"/>
  <c r="AD240" i="32"/>
  <c r="AG240" i="32" s="1"/>
  <c r="AH240" i="32" s="1"/>
  <c r="AI240" i="32" s="1"/>
  <c r="AD250" i="50"/>
  <c r="P251" i="50"/>
  <c r="P241" i="32"/>
  <c r="O252" i="50"/>
  <c r="AM241" i="32"/>
  <c r="C250" i="50"/>
  <c r="AJ250" i="50"/>
  <c r="S251" i="50"/>
  <c r="Z251" i="50" s="1"/>
  <c r="AJ239" i="32"/>
  <c r="W239" i="32"/>
  <c r="X239" i="32" s="1"/>
  <c r="C239" i="32"/>
  <c r="AJ240" i="32"/>
  <c r="W240" i="32"/>
  <c r="X240" i="32" s="1"/>
  <c r="C240" i="32"/>
  <c r="S241" i="32"/>
  <c r="Z241" i="32" s="1"/>
  <c r="W250" i="50"/>
  <c r="X249" i="50"/>
  <c r="V250" i="50"/>
  <c r="V239" i="32"/>
  <c r="V240" i="32"/>
  <c r="AK242" i="32"/>
  <c r="AM251" i="50"/>
  <c r="AN238" i="32"/>
  <c r="AN237" i="32"/>
  <c r="A242" i="32"/>
  <c r="B242" i="32"/>
  <c r="A252" i="50"/>
  <c r="J252" i="50"/>
  <c r="I252" i="50"/>
  <c r="H252" i="50"/>
  <c r="M252" i="50"/>
  <c r="B252" i="50"/>
  <c r="G252" i="50"/>
  <c r="K252" i="50"/>
  <c r="L252" i="50"/>
  <c r="G242" i="32"/>
  <c r="I242" i="32"/>
  <c r="J242" i="32"/>
  <c r="M242" i="32"/>
  <c r="H242" i="32"/>
  <c r="L242" i="32"/>
  <c r="K242" i="32"/>
  <c r="N242" i="32"/>
  <c r="AL242" i="11" a="1"/>
  <c r="AL242" i="11" s="1"/>
  <c r="E243" i="32" s="1"/>
  <c r="T243" i="32" s="1"/>
  <c r="AP252" i="59" a="1"/>
  <c r="AP252" i="59" s="1"/>
  <c r="E253" i="50" s="1"/>
  <c r="T253" i="50" s="1"/>
  <c r="AM127" i="11" a="1"/>
  <c r="AM127" i="11" s="1"/>
  <c r="AH249" i="50" l="1"/>
  <c r="AI249" i="50" s="1"/>
  <c r="AP249" i="50" s="1"/>
  <c r="O243" i="32"/>
  <c r="AK253" i="50"/>
  <c r="AL250" i="50"/>
  <c r="AG250" i="50"/>
  <c r="U242" i="32"/>
  <c r="N253" i="50"/>
  <c r="AQ253" i="50"/>
  <c r="AO252" i="50"/>
  <c r="F243" i="32"/>
  <c r="AU243" i="32"/>
  <c r="AY253" i="50"/>
  <c r="F253" i="50"/>
  <c r="U253" i="50" s="1"/>
  <c r="AT241" i="32"/>
  <c r="AD241" i="32"/>
  <c r="AG241" i="32" s="1"/>
  <c r="AH241" i="32" s="1"/>
  <c r="AI241" i="32" s="1"/>
  <c r="AD251" i="50"/>
  <c r="P252" i="50"/>
  <c r="P242" i="32"/>
  <c r="O253" i="50"/>
  <c r="AM242" i="32"/>
  <c r="AJ251" i="50"/>
  <c r="C251" i="50"/>
  <c r="S252" i="50"/>
  <c r="Z252" i="50" s="1"/>
  <c r="C241" i="32"/>
  <c r="AJ241" i="32"/>
  <c r="W241" i="32"/>
  <c r="X241" i="32" s="1"/>
  <c r="S242" i="32"/>
  <c r="Z242" i="32" s="1"/>
  <c r="W251" i="50"/>
  <c r="X250" i="50"/>
  <c r="V251" i="50"/>
  <c r="V241" i="32"/>
  <c r="AK243" i="32"/>
  <c r="AM252" i="50"/>
  <c r="AL239" i="32"/>
  <c r="AL240" i="32"/>
  <c r="A243" i="32"/>
  <c r="B243" i="32"/>
  <c r="A253" i="50"/>
  <c r="I253" i="50"/>
  <c r="M253" i="50"/>
  <c r="B253" i="50"/>
  <c r="G253" i="50"/>
  <c r="K253" i="50"/>
  <c r="H253" i="50"/>
  <c r="J253" i="50"/>
  <c r="L253" i="50"/>
  <c r="M243" i="32"/>
  <c r="G243" i="32"/>
  <c r="H243" i="32"/>
  <c r="I243" i="32"/>
  <c r="J243" i="32"/>
  <c r="K243" i="32"/>
  <c r="L243" i="32"/>
  <c r="N243" i="32"/>
  <c r="AL243" i="11" a="1"/>
  <c r="AL243" i="11" s="1"/>
  <c r="E244" i="32" s="1"/>
  <c r="T244" i="32" s="1"/>
  <c r="AP253" i="59" a="1"/>
  <c r="AP253" i="59" s="1"/>
  <c r="E254" i="50" s="1"/>
  <c r="T254" i="50" s="1"/>
  <c r="AM128" i="11" a="1"/>
  <c r="AM128" i="11" s="1"/>
  <c r="AH250" i="50" l="1"/>
  <c r="AI250" i="50" s="1"/>
  <c r="AP250" i="50" s="1"/>
  <c r="AL251" i="50"/>
  <c r="O244" i="32"/>
  <c r="AK254" i="50"/>
  <c r="AG251" i="50"/>
  <c r="U243" i="32"/>
  <c r="AQ254" i="50"/>
  <c r="N254" i="50"/>
  <c r="AO253" i="50"/>
  <c r="F244" i="32"/>
  <c r="AU244" i="32"/>
  <c r="AY254" i="50"/>
  <c r="F254" i="50"/>
  <c r="U254" i="50" s="1"/>
  <c r="AT242" i="32"/>
  <c r="AD242" i="32"/>
  <c r="AG242" i="32" s="1"/>
  <c r="AH242" i="32" s="1"/>
  <c r="AI242" i="32" s="1"/>
  <c r="AD252" i="50"/>
  <c r="P253" i="50"/>
  <c r="P243" i="32"/>
  <c r="O254" i="50"/>
  <c r="AM243" i="32"/>
  <c r="C252" i="50"/>
  <c r="AJ252" i="50"/>
  <c r="S253" i="50"/>
  <c r="Z253" i="50" s="1"/>
  <c r="C242" i="32"/>
  <c r="AJ242" i="32"/>
  <c r="W242" i="32"/>
  <c r="X242" i="32" s="1"/>
  <c r="S243" i="32"/>
  <c r="W252" i="50"/>
  <c r="X251" i="50"/>
  <c r="V252" i="50"/>
  <c r="V242" i="32"/>
  <c r="AK244" i="32"/>
  <c r="AM253" i="50"/>
  <c r="AL241" i="32"/>
  <c r="AN240" i="32"/>
  <c r="AN239" i="32"/>
  <c r="A244" i="32"/>
  <c r="B244" i="32"/>
  <c r="I254" i="50"/>
  <c r="A254" i="50"/>
  <c r="G254" i="50"/>
  <c r="H254" i="50"/>
  <c r="L254" i="50"/>
  <c r="K254" i="50"/>
  <c r="M254" i="50"/>
  <c r="B254" i="50"/>
  <c r="J254" i="50"/>
  <c r="K244" i="32"/>
  <c r="M244" i="32"/>
  <c r="N244" i="32"/>
  <c r="I244" i="32"/>
  <c r="J244" i="32"/>
  <c r="L244" i="32"/>
  <c r="H244" i="32"/>
  <c r="G244" i="32"/>
  <c r="AL244" i="11" a="1"/>
  <c r="AL244" i="11" s="1"/>
  <c r="E245" i="32" s="1"/>
  <c r="T245" i="32" s="1"/>
  <c r="AP254" i="59" a="1"/>
  <c r="AP254" i="59" s="1"/>
  <c r="E255" i="50" s="1"/>
  <c r="T255" i="50" s="1"/>
  <c r="AM129" i="11" a="1"/>
  <c r="AM129" i="11" s="1"/>
  <c r="AH251" i="50" l="1"/>
  <c r="AI251" i="50" s="1"/>
  <c r="AP251" i="50" s="1"/>
  <c r="AL252" i="50"/>
  <c r="O245" i="32"/>
  <c r="AK255" i="50"/>
  <c r="AG252" i="50"/>
  <c r="AD243" i="32"/>
  <c r="AG243" i="32" s="1"/>
  <c r="AH243" i="32" s="1"/>
  <c r="AI243" i="32" s="1"/>
  <c r="U244" i="32"/>
  <c r="AQ255" i="50"/>
  <c r="N255" i="50"/>
  <c r="AO254" i="50"/>
  <c r="F245" i="32"/>
  <c r="AU245" i="32"/>
  <c r="AY255" i="50"/>
  <c r="F255" i="50"/>
  <c r="U255" i="50" s="1"/>
  <c r="AT243" i="32"/>
  <c r="AD253" i="50"/>
  <c r="P254" i="50"/>
  <c r="P244" i="32"/>
  <c r="O255" i="50"/>
  <c r="C243" i="32"/>
  <c r="Z243" i="32"/>
  <c r="AM244" i="32"/>
  <c r="C253" i="50"/>
  <c r="AJ253" i="50"/>
  <c r="S254" i="50"/>
  <c r="Z254" i="50" s="1"/>
  <c r="S244" i="32"/>
  <c r="Z244" i="32" s="1"/>
  <c r="W243" i="32"/>
  <c r="X243" i="32" s="1"/>
  <c r="AJ243" i="32"/>
  <c r="W253" i="50"/>
  <c r="X252" i="50"/>
  <c r="V253" i="50"/>
  <c r="V243" i="32"/>
  <c r="AK245" i="32"/>
  <c r="AM254" i="50"/>
  <c r="AL242" i="32"/>
  <c r="AN241" i="32"/>
  <c r="A245" i="32"/>
  <c r="B245" i="32"/>
  <c r="B255" i="50"/>
  <c r="G255" i="50"/>
  <c r="J255" i="50"/>
  <c r="H255" i="50"/>
  <c r="I255" i="50"/>
  <c r="A255" i="50"/>
  <c r="K255" i="50"/>
  <c r="M255" i="50"/>
  <c r="L255" i="50"/>
  <c r="I245" i="32"/>
  <c r="K245" i="32"/>
  <c r="L245" i="32"/>
  <c r="M245" i="32"/>
  <c r="N245" i="32"/>
  <c r="G245" i="32"/>
  <c r="H245" i="32"/>
  <c r="J245" i="32"/>
  <c r="AL245" i="11" a="1"/>
  <c r="AL245" i="11" s="1"/>
  <c r="E246" i="32" s="1"/>
  <c r="T246" i="32" s="1"/>
  <c r="AP255" i="59" a="1"/>
  <c r="AP255" i="59" s="1"/>
  <c r="E256" i="50" s="1"/>
  <c r="T256" i="50" s="1"/>
  <c r="AM130" i="11" a="1"/>
  <c r="AM130" i="11" s="1"/>
  <c r="AH252" i="50" l="1"/>
  <c r="AI252" i="50" s="1"/>
  <c r="AP252" i="50" s="1"/>
  <c r="AL253" i="50"/>
  <c r="O246" i="32"/>
  <c r="AK256" i="50"/>
  <c r="AG253" i="50"/>
  <c r="U245" i="32"/>
  <c r="AQ256" i="50"/>
  <c r="N256" i="50"/>
  <c r="AO255" i="50"/>
  <c r="F246" i="32"/>
  <c r="AU246" i="32"/>
  <c r="AY256" i="50"/>
  <c r="F256" i="50"/>
  <c r="U256" i="50" s="1"/>
  <c r="AT244" i="32"/>
  <c r="AD244" i="32"/>
  <c r="AG244" i="32" s="1"/>
  <c r="AH244" i="32" s="1"/>
  <c r="AI244" i="32" s="1"/>
  <c r="AD254" i="50"/>
  <c r="P255" i="50"/>
  <c r="P245" i="32"/>
  <c r="O256" i="50"/>
  <c r="AM245" i="32"/>
  <c r="AJ254" i="50"/>
  <c r="C254" i="50"/>
  <c r="S255" i="50"/>
  <c r="Z255" i="50" s="1"/>
  <c r="AJ244" i="32"/>
  <c r="W244" i="32"/>
  <c r="X244" i="32" s="1"/>
  <c r="C244" i="32"/>
  <c r="S245" i="32"/>
  <c r="Z245" i="32" s="1"/>
  <c r="W254" i="50"/>
  <c r="X253" i="50"/>
  <c r="V254" i="50"/>
  <c r="V244" i="32"/>
  <c r="AK246" i="32"/>
  <c r="AM255" i="50"/>
  <c r="AL243" i="32"/>
  <c r="AN242" i="32"/>
  <c r="A246" i="32"/>
  <c r="B246" i="32"/>
  <c r="B256" i="50"/>
  <c r="M256" i="50"/>
  <c r="J256" i="50"/>
  <c r="I256" i="50"/>
  <c r="K256" i="50"/>
  <c r="G256" i="50"/>
  <c r="H256" i="50"/>
  <c r="L256" i="50"/>
  <c r="A256" i="50"/>
  <c r="G246" i="32"/>
  <c r="I246" i="32"/>
  <c r="J246" i="32"/>
  <c r="N246" i="32"/>
  <c r="K246" i="32"/>
  <c r="L246" i="32"/>
  <c r="H246" i="32"/>
  <c r="M246" i="32"/>
  <c r="AL246" i="11" a="1"/>
  <c r="AL246" i="11" s="1"/>
  <c r="E247" i="32" s="1"/>
  <c r="T247" i="32" s="1"/>
  <c r="AP256" i="59" a="1"/>
  <c r="AP256" i="59" s="1"/>
  <c r="E257" i="50" s="1"/>
  <c r="T257" i="50" s="1"/>
  <c r="AM131" i="11" a="1"/>
  <c r="AM131" i="11" s="1"/>
  <c r="AH253" i="50" l="1"/>
  <c r="AI253" i="50" s="1"/>
  <c r="AP253" i="50" s="1"/>
  <c r="O247" i="32"/>
  <c r="AK257" i="50"/>
  <c r="AL254" i="50"/>
  <c r="AG254" i="50"/>
  <c r="U246" i="32"/>
  <c r="N257" i="50"/>
  <c r="AQ257" i="50"/>
  <c r="AO256" i="50"/>
  <c r="F247" i="32"/>
  <c r="AU247" i="32"/>
  <c r="AY257" i="50"/>
  <c r="H5" i="50" s="1" a="1"/>
  <c r="H5" i="50" s="1"/>
  <c r="F257" i="50"/>
  <c r="U257" i="50" s="1"/>
  <c r="AT245" i="32"/>
  <c r="AD245" i="32"/>
  <c r="AG245" i="32" s="1"/>
  <c r="AH245" i="32" s="1"/>
  <c r="AI245" i="32" s="1"/>
  <c r="AD255" i="50"/>
  <c r="P256" i="50"/>
  <c r="P246" i="32"/>
  <c r="O257" i="50"/>
  <c r="AM246" i="32"/>
  <c r="C255" i="50"/>
  <c r="AJ255" i="50"/>
  <c r="S256" i="50"/>
  <c r="Z256" i="50" s="1"/>
  <c r="AJ245" i="32"/>
  <c r="C245" i="32"/>
  <c r="W245" i="32"/>
  <c r="X245" i="32" s="1"/>
  <c r="S246" i="32"/>
  <c r="Z246" i="32" s="1"/>
  <c r="W255" i="50"/>
  <c r="X254" i="50"/>
  <c r="V255" i="50"/>
  <c r="V245" i="32"/>
  <c r="AK247" i="32"/>
  <c r="AM256" i="50"/>
  <c r="AL244" i="32"/>
  <c r="AN243" i="32"/>
  <c r="A247" i="32"/>
  <c r="B247" i="32"/>
  <c r="G257" i="50"/>
  <c r="J257" i="50"/>
  <c r="A257" i="50"/>
  <c r="L257" i="50"/>
  <c r="I257" i="50"/>
  <c r="B257" i="50"/>
  <c r="M257" i="50"/>
  <c r="K257" i="50"/>
  <c r="H257" i="50"/>
  <c r="M247" i="32"/>
  <c r="G247" i="32"/>
  <c r="H247" i="32"/>
  <c r="I247" i="32"/>
  <c r="J247" i="32"/>
  <c r="K247" i="32"/>
  <c r="L247" i="32"/>
  <c r="N247" i="32"/>
  <c r="AL247" i="11" a="1"/>
  <c r="AL247" i="11" s="1"/>
  <c r="AP257" i="59" a="1"/>
  <c r="AP257" i="59" s="1"/>
  <c r="E258" i="50" s="1"/>
  <c r="T258" i="50" s="1"/>
  <c r="AM132" i="11" a="1"/>
  <c r="AM132" i="11" s="1"/>
  <c r="AH254" i="50" l="1"/>
  <c r="AI254" i="50" s="1"/>
  <c r="AP254" i="50" s="1"/>
  <c r="AL255" i="50"/>
  <c r="AK258" i="50"/>
  <c r="AG255" i="50"/>
  <c r="U247" i="32"/>
  <c r="N258" i="50"/>
  <c r="AQ258" i="50"/>
  <c r="AO257" i="50"/>
  <c r="AY258" i="50"/>
  <c r="F258" i="50"/>
  <c r="U258" i="50" s="1"/>
  <c r="AT246" i="32"/>
  <c r="AD246" i="32"/>
  <c r="AG246" i="32" s="1"/>
  <c r="AH246" i="32" s="1"/>
  <c r="AI246" i="32" s="1"/>
  <c r="AD256" i="50"/>
  <c r="P257" i="50"/>
  <c r="P247" i="32"/>
  <c r="R6" i="50" a="1"/>
  <c r="R6" i="50" s="1"/>
  <c r="O258" i="50"/>
  <c r="AM247" i="32"/>
  <c r="AJ256" i="50"/>
  <c r="C256" i="50"/>
  <c r="S257" i="50"/>
  <c r="Z257" i="50" s="1"/>
  <c r="C246" i="32"/>
  <c r="W246" i="32"/>
  <c r="X246" i="32" s="1"/>
  <c r="AJ246" i="32"/>
  <c r="S247" i="32"/>
  <c r="W256" i="50"/>
  <c r="X255" i="50"/>
  <c r="V256" i="50"/>
  <c r="V246" i="32"/>
  <c r="AM257" i="50"/>
  <c r="AL245" i="32"/>
  <c r="AN244" i="32"/>
  <c r="L258" i="50"/>
  <c r="B258" i="50"/>
  <c r="I258" i="50"/>
  <c r="M258" i="50"/>
  <c r="J258" i="50"/>
  <c r="G258" i="50"/>
  <c r="H258" i="50"/>
  <c r="K258" i="50"/>
  <c r="A258" i="50"/>
  <c r="E248" i="32"/>
  <c r="T248" i="32" s="1"/>
  <c r="AL248" i="11" a="1"/>
  <c r="AL248" i="11" s="1"/>
  <c r="E249" i="32" s="1"/>
  <c r="T249" i="32" s="1"/>
  <c r="AP258" i="59" a="1"/>
  <c r="AP258" i="59" s="1"/>
  <c r="AM133" i="11" a="1"/>
  <c r="AM133" i="11" s="1"/>
  <c r="AH255" i="50" l="1"/>
  <c r="AI255" i="50" s="1"/>
  <c r="AP255" i="50" s="1"/>
  <c r="AL256" i="50"/>
  <c r="O248" i="32"/>
  <c r="O249" i="32"/>
  <c r="AG256" i="50"/>
  <c r="AO258" i="50"/>
  <c r="AD247" i="32"/>
  <c r="AG247" i="32" s="1"/>
  <c r="AH247" i="32" s="1"/>
  <c r="AI247" i="32" s="1"/>
  <c r="F249" i="32"/>
  <c r="AU249" i="32"/>
  <c r="F248" i="32"/>
  <c r="AU248" i="32"/>
  <c r="AT247" i="32"/>
  <c r="AD257" i="50"/>
  <c r="AL257" i="50" s="1"/>
  <c r="P258" i="50"/>
  <c r="C247" i="32"/>
  <c r="Z247" i="32"/>
  <c r="C257" i="50"/>
  <c r="AJ257" i="50"/>
  <c r="S258" i="50"/>
  <c r="Y4" i="22" s="1"/>
  <c r="AJ247" i="32"/>
  <c r="W257" i="50"/>
  <c r="W247" i="32"/>
  <c r="X247" i="32" s="1"/>
  <c r="X256" i="50"/>
  <c r="V257" i="50"/>
  <c r="AK249" i="32"/>
  <c r="AK248" i="32"/>
  <c r="AM258" i="50"/>
  <c r="AL246" i="32"/>
  <c r="AN245" i="32"/>
  <c r="V247" i="32"/>
  <c r="A249" i="32"/>
  <c r="B249" i="32"/>
  <c r="A248" i="32"/>
  <c r="B248" i="32"/>
  <c r="K248" i="32"/>
  <c r="M248" i="32"/>
  <c r="N248" i="32"/>
  <c r="H248" i="32"/>
  <c r="I248" i="32"/>
  <c r="J248" i="32"/>
  <c r="L248" i="32"/>
  <c r="G248" i="32"/>
  <c r="I249" i="32"/>
  <c r="K249" i="32"/>
  <c r="L249" i="32"/>
  <c r="J249" i="32"/>
  <c r="M249" i="32"/>
  <c r="N249" i="32"/>
  <c r="G249" i="32"/>
  <c r="H249" i="32"/>
  <c r="AL249" i="11" a="1"/>
  <c r="AL249" i="11" s="1"/>
  <c r="AM134" i="11" a="1"/>
  <c r="AM134" i="11" s="1"/>
  <c r="AH256" i="50" l="1"/>
  <c r="AI256" i="50" s="1"/>
  <c r="AP256" i="50" s="1"/>
  <c r="AG257" i="50"/>
  <c r="AH257" i="50" s="1"/>
  <c r="U249" i="32"/>
  <c r="U248" i="32"/>
  <c r="AD258" i="50"/>
  <c r="P249" i="32"/>
  <c r="P248" i="32"/>
  <c r="Z9" i="22"/>
  <c r="Z125" i="22"/>
  <c r="AB125" i="22" s="1"/>
  <c r="Z62" i="22"/>
  <c r="Z28" i="22"/>
  <c r="Z140" i="22"/>
  <c r="Z11" i="22"/>
  <c r="Z37" i="22"/>
  <c r="Z109" i="22"/>
  <c r="AB109" i="22" s="1"/>
  <c r="Z74" i="22"/>
  <c r="Z70" i="22"/>
  <c r="Z96" i="22"/>
  <c r="Z121" i="22"/>
  <c r="AB121" i="22" s="1"/>
  <c r="Z46" i="22"/>
  <c r="Z79" i="22"/>
  <c r="Z106" i="22"/>
  <c r="AB106" i="22" s="1"/>
  <c r="Z110" i="22"/>
  <c r="AB110" i="22" s="1"/>
  <c r="Z112" i="22"/>
  <c r="AB112" i="22" s="1"/>
  <c r="Z131" i="22"/>
  <c r="AB131" i="22" s="1"/>
  <c r="Z47" i="22"/>
  <c r="Z25" i="22"/>
  <c r="Z8" i="22"/>
  <c r="Z126" i="22"/>
  <c r="AB126" i="22" s="1"/>
  <c r="Z26" i="22"/>
  <c r="Z76" i="22"/>
  <c r="Z111" i="22"/>
  <c r="AB111" i="22" s="1"/>
  <c r="Z27" i="22"/>
  <c r="Z16" i="22"/>
  <c r="Z66" i="22"/>
  <c r="Z107" i="22"/>
  <c r="AB107" i="22" s="1"/>
  <c r="Z85" i="22"/>
  <c r="Z122" i="22"/>
  <c r="AB122" i="22" s="1"/>
  <c r="Z57" i="22"/>
  <c r="Z128" i="22"/>
  <c r="AB128" i="22" s="1"/>
  <c r="Z130" i="22"/>
  <c r="Z60" i="22"/>
  <c r="Z78" i="22"/>
  <c r="Z136" i="22"/>
  <c r="Z89" i="22"/>
  <c r="Z67" i="22"/>
  <c r="Z72" i="22"/>
  <c r="Z44" i="22"/>
  <c r="Z5" i="22"/>
  <c r="Z105" i="22"/>
  <c r="AB105" i="22" s="1"/>
  <c r="Z91" i="22"/>
  <c r="Z133" i="22"/>
  <c r="Z81" i="22"/>
  <c r="Z32" i="22"/>
  <c r="Z87" i="22"/>
  <c r="Z22" i="22"/>
  <c r="Z43"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Z42" i="22"/>
  <c r="Z88" i="22"/>
  <c r="Z99" i="22"/>
  <c r="Z258" i="50"/>
  <c r="Z4" i="22"/>
  <c r="AB4" i="22" s="1"/>
  <c r="AD4" i="22" s="1"/>
  <c r="AM249" i="32"/>
  <c r="AM248" i="32"/>
  <c r="C258" i="50"/>
  <c r="AJ258" i="50"/>
  <c r="S248" i="32"/>
  <c r="Z248" i="32" s="1"/>
  <c r="S249" i="32"/>
  <c r="Z249" i="32" s="1"/>
  <c r="W258" i="50"/>
  <c r="Y134" i="22"/>
  <c r="AA134" i="22" s="1"/>
  <c r="Y80" i="22"/>
  <c r="AA80" i="22" s="1"/>
  <c r="Y55" i="22"/>
  <c r="AA55" i="22" s="1"/>
  <c r="Y38" i="22"/>
  <c r="AA38" i="22" s="1"/>
  <c r="X257" i="50"/>
  <c r="V258" i="50"/>
  <c r="AL247" i="32"/>
  <c r="AN246" i="32"/>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T250" i="32" s="1"/>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T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M135" i="11" a="1"/>
  <c r="AM135" i="11" s="1"/>
  <c r="O251" i="32" l="1"/>
  <c r="O250" i="32"/>
  <c r="AL258" i="50"/>
  <c r="AG258" i="50"/>
  <c r="F251" i="32"/>
  <c r="AU251" i="32"/>
  <c r="F250" i="32"/>
  <c r="AU250" i="32"/>
  <c r="AT248" i="32"/>
  <c r="AT249" i="32"/>
  <c r="BD104" i="22"/>
  <c r="E100" i="72" s="1"/>
  <c r="AD248" i="32"/>
  <c r="AG248" i="32" s="1"/>
  <c r="AH248" i="32" s="1"/>
  <c r="AI248" i="32" s="1"/>
  <c r="AD249" i="32"/>
  <c r="AG249" i="32" s="1"/>
  <c r="AH249" i="32" s="1"/>
  <c r="AI249" i="32" s="1"/>
  <c r="AC134" i="22"/>
  <c r="AO35" i="22" s="1"/>
  <c r="AM35" i="22"/>
  <c r="E72" i="36" s="1"/>
  <c r="G72" i="36" s="1"/>
  <c r="AD134" i="22"/>
  <c r="AP35" i="22" s="1"/>
  <c r="AN35" i="22"/>
  <c r="F72" i="36" s="1"/>
  <c r="H72" i="36" s="1"/>
  <c r="C248" i="32"/>
  <c r="W248" i="32"/>
  <c r="X248" i="32" s="1"/>
  <c r="AJ249" i="32"/>
  <c r="C249" i="32"/>
  <c r="AJ248" i="32"/>
  <c r="AC55" i="22"/>
  <c r="BC151" i="22"/>
  <c r="AC80" i="22"/>
  <c r="BC134" i="22"/>
  <c r="AC38" i="22"/>
  <c r="BC104" i="22"/>
  <c r="W249" i="32"/>
  <c r="X249" i="32" s="1"/>
  <c r="X258" i="50"/>
  <c r="V248" i="32"/>
  <c r="AK251" i="32"/>
  <c r="AK250" i="32"/>
  <c r="AN247" i="32"/>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A251" i="32"/>
  <c r="B251" i="32"/>
  <c r="G250" i="32"/>
  <c r="I250" i="32"/>
  <c r="J250" i="32"/>
  <c r="M250" i="32"/>
  <c r="N250" i="32"/>
  <c r="L250" i="32"/>
  <c r="H250" i="32"/>
  <c r="K250" i="32"/>
  <c r="M251" i="32"/>
  <c r="G251" i="32"/>
  <c r="H251" i="32"/>
  <c r="I251" i="32"/>
  <c r="L251" i="32"/>
  <c r="J251" i="32"/>
  <c r="K251" i="32"/>
  <c r="N251" i="32"/>
  <c r="AB84" i="22"/>
  <c r="AB22" i="22"/>
  <c r="AB16" i="22"/>
  <c r="AB96" i="22"/>
  <c r="AB57" i="22"/>
  <c r="AB138"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72" i="22"/>
  <c r="AB23" i="22"/>
  <c r="AB31" i="22"/>
  <c r="AB45" i="22"/>
  <c r="AB77" i="22"/>
  <c r="AB89" i="22"/>
  <c r="AB70" i="22"/>
  <c r="AB25" i="22"/>
  <c r="AB83" i="22"/>
  <c r="AB46" i="22"/>
  <c r="AB10" i="22"/>
  <c r="AB79" i="22"/>
  <c r="AB64" i="22"/>
  <c r="AB95" i="22"/>
  <c r="AB98" i="22"/>
  <c r="AB67" i="22"/>
  <c r="AB91" i="22"/>
  <c r="AB93" i="22"/>
  <c r="AB73" i="22"/>
  <c r="AB66" i="22"/>
  <c r="AB54" i="22"/>
  <c r="AB6" i="22"/>
  <c r="AB60" i="22"/>
  <c r="AB63" i="22"/>
  <c r="AB35" i="22"/>
  <c r="AB69" i="22"/>
  <c r="AB53" i="22"/>
  <c r="AB43" i="22"/>
  <c r="AB44" i="22"/>
  <c r="AB30" i="22"/>
  <c r="AB40" i="22"/>
  <c r="AB71" i="22"/>
  <c r="AB59" i="22"/>
  <c r="AB47" i="22"/>
  <c r="AB56" i="22"/>
  <c r="AB88" i="22"/>
  <c r="AB29" i="22"/>
  <c r="AB130"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Y15" i="22"/>
  <c r="AM136" i="11" a="1"/>
  <c r="AM136" i="11" s="1"/>
  <c r="BC97" i="22" l="1"/>
  <c r="AH258" i="50"/>
  <c r="AI258" i="50" s="1"/>
  <c r="AP258" i="50" s="1"/>
  <c r="U250" i="32"/>
  <c r="U251" i="32"/>
  <c r="D54" i="104"/>
  <c r="D55" i="104" s="1"/>
  <c r="BC105" i="22"/>
  <c r="AM34" i="22"/>
  <c r="E73" i="36" s="1"/>
  <c r="G73" i="36" s="1"/>
  <c r="AF150" i="22"/>
  <c r="E14" i="104" s="1"/>
  <c r="F14" i="104" s="1"/>
  <c r="D14" i="104"/>
  <c r="P251" i="32"/>
  <c r="P250" i="32"/>
  <c r="AF158" i="22"/>
  <c r="E36" i="104" s="1"/>
  <c r="F36" i="104" s="1"/>
  <c r="D36" i="104"/>
  <c r="D38" i="104" s="1"/>
  <c r="AM251" i="32"/>
  <c r="AM250" i="32"/>
  <c r="S251" i="32"/>
  <c r="Z251" i="32" s="1"/>
  <c r="S250" i="32"/>
  <c r="Z250" i="32" s="1"/>
  <c r="AC135" i="22"/>
  <c r="BC80" i="22"/>
  <c r="AF155" i="22"/>
  <c r="E33" i="104" s="1"/>
  <c r="F33" i="104" s="1"/>
  <c r="AF152" i="22"/>
  <c r="E23" i="104" s="1"/>
  <c r="F23" i="104" s="1"/>
  <c r="D23" i="104"/>
  <c r="AF160" i="22"/>
  <c r="E45" i="104" s="1"/>
  <c r="F45" i="104" s="1"/>
  <c r="D45" i="104"/>
  <c r="AF159" i="22"/>
  <c r="D44" i="104"/>
  <c r="AF153" i="22"/>
  <c r="E24" i="104" s="1"/>
  <c r="F24" i="104" s="1"/>
  <c r="AF156" i="22"/>
  <c r="E34" i="104" s="1"/>
  <c r="F34" i="104" s="1"/>
  <c r="AF151" i="22"/>
  <c r="E22" i="104" s="1"/>
  <c r="D22" i="104"/>
  <c r="AF154" i="22"/>
  <c r="E32" i="104" s="1"/>
  <c r="AF162" i="22"/>
  <c r="E54" i="104" s="1"/>
  <c r="AF157" i="22"/>
  <c r="E35" i="104" s="1"/>
  <c r="F35" i="104" s="1"/>
  <c r="AF161" i="22"/>
  <c r="E46" i="104" s="1"/>
  <c r="F46" i="104" s="1"/>
  <c r="D46" i="104"/>
  <c r="E152" i="72"/>
  <c r="E113" i="72"/>
  <c r="E158" i="72"/>
  <c r="E160" i="72"/>
  <c r="E157" i="72"/>
  <c r="E156" i="72"/>
  <c r="E114" i="72"/>
  <c r="E154" i="72"/>
  <c r="E155" i="72"/>
  <c r="E159" i="72"/>
  <c r="E153" i="72"/>
  <c r="AI257" i="50"/>
  <c r="AP257" i="50" s="1"/>
  <c r="AL249" i="32"/>
  <c r="AL248" i="32"/>
  <c r="BC150" i="22"/>
  <c r="BC12" i="22"/>
  <c r="AD139"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T252" i="32" s="1"/>
  <c r="AP30" i="22"/>
  <c r="AB24" i="22"/>
  <c r="AA15" i="22"/>
  <c r="BC120" i="22" s="1"/>
  <c r="AO30" i="22"/>
  <c r="AM33" i="22"/>
  <c r="AM30" i="22"/>
  <c r="AN30" i="22"/>
  <c r="AN31" i="22"/>
  <c r="AD105" i="22"/>
  <c r="BD20" i="22" s="1"/>
  <c r="AM31" i="22"/>
  <c r="AD130" i="22"/>
  <c r="BD72" i="22" s="1"/>
  <c r="AC130" i="22"/>
  <c r="AO29" i="22" s="1"/>
  <c r="AO32" i="22"/>
  <c r="AO33" i="22"/>
  <c r="AP32" i="22"/>
  <c r="AM29" i="22"/>
  <c r="AN29" i="22"/>
  <c r="AO31" i="22"/>
  <c r="AL252" i="11" a="1"/>
  <c r="AL252" i="11" s="1"/>
  <c r="E253" i="32" s="1"/>
  <c r="T253" i="32" s="1"/>
  <c r="AM137" i="11" a="1"/>
  <c r="AM137" i="11" s="1"/>
  <c r="D26" i="104" l="1"/>
  <c r="F32" i="104"/>
  <c r="E38" i="104"/>
  <c r="E26" i="104"/>
  <c r="F22" i="104"/>
  <c r="I22" i="104"/>
  <c r="E55" i="104"/>
  <c r="I53" i="104" s="1"/>
  <c r="J53" i="104" s="1"/>
  <c r="F54" i="104"/>
  <c r="O252" i="32"/>
  <c r="O253" i="32"/>
  <c r="I13" i="104"/>
  <c r="J13" i="104" s="1"/>
  <c r="F253" i="32"/>
  <c r="AU253" i="32"/>
  <c r="F252" i="32"/>
  <c r="AU252" i="32"/>
  <c r="AT250" i="32"/>
  <c r="AT251" i="32"/>
  <c r="I21" i="104"/>
  <c r="J21" i="104" s="1"/>
  <c r="D47" i="104"/>
  <c r="AD250" i="32"/>
  <c r="AG250" i="32" s="1"/>
  <c r="AH250" i="32" s="1"/>
  <c r="AI250" i="32" s="1"/>
  <c r="AD251" i="32"/>
  <c r="AJ250" i="32"/>
  <c r="C250" i="32"/>
  <c r="W250" i="32"/>
  <c r="X250" i="32" s="1"/>
  <c r="C251" i="32"/>
  <c r="AJ251" i="32"/>
  <c r="E71" i="36"/>
  <c r="G71" i="36" s="1"/>
  <c r="W251" i="32"/>
  <c r="X251" i="32" s="1"/>
  <c r="V250" i="32"/>
  <c r="E44" i="104"/>
  <c r="F44" i="104" s="1"/>
  <c r="E28" i="72"/>
  <c r="E29" i="72"/>
  <c r="E30" i="72"/>
  <c r="E32" i="72"/>
  <c r="E31" i="72"/>
  <c r="E81" i="72"/>
  <c r="AK253" i="32"/>
  <c r="AK252" i="32"/>
  <c r="AN249" i="32"/>
  <c r="AN248" i="32"/>
  <c r="AP29" i="22"/>
  <c r="AP31" i="22"/>
  <c r="V251" i="32"/>
  <c r="A253" i="32"/>
  <c r="B253" i="32"/>
  <c r="A252" i="32"/>
  <c r="B252" i="32"/>
  <c r="I253" i="32"/>
  <c r="K253" i="32"/>
  <c r="L253" i="32"/>
  <c r="H253" i="32"/>
  <c r="J253" i="32"/>
  <c r="M253" i="32"/>
  <c r="G253" i="32"/>
  <c r="N253" i="32"/>
  <c r="K252" i="32"/>
  <c r="M252" i="32"/>
  <c r="N252" i="32"/>
  <c r="G252" i="32"/>
  <c r="H252" i="32"/>
  <c r="I252" i="32"/>
  <c r="J252" i="32"/>
  <c r="L252" i="32"/>
  <c r="AL253" i="11" a="1"/>
  <c r="AL253" i="11" s="1"/>
  <c r="AM138" i="11" a="1"/>
  <c r="AM138" i="11" s="1"/>
  <c r="I23" i="104" l="1"/>
  <c r="J23" i="104" s="1"/>
  <c r="J22" i="104"/>
  <c r="F6" i="104"/>
  <c r="U252" i="32"/>
  <c r="U253" i="32"/>
  <c r="I14" i="104"/>
  <c r="J14" i="104" s="1"/>
  <c r="P253" i="32"/>
  <c r="P252" i="32"/>
  <c r="AG251" i="32"/>
  <c r="AH251" i="32" s="1"/>
  <c r="AI251" i="32" s="1"/>
  <c r="AM253" i="32"/>
  <c r="AM252" i="32"/>
  <c r="S252" i="32"/>
  <c r="S253" i="32"/>
  <c r="AL251" i="32"/>
  <c r="AL250" i="32"/>
  <c r="E254" i="32"/>
  <c r="T254" i="32" s="1"/>
  <c r="AL254" i="11" a="1"/>
  <c r="AL254" i="11" s="1"/>
  <c r="AM139" i="11" a="1"/>
  <c r="AM139" i="11" s="1"/>
  <c r="F148" i="110" l="1"/>
  <c r="F5" i="104"/>
  <c r="O254" i="32"/>
  <c r="I31" i="104"/>
  <c r="J31" i="104" s="1"/>
  <c r="F147" i="110"/>
  <c r="AD252" i="32"/>
  <c r="AG252" i="32" s="1"/>
  <c r="AH252" i="32" s="1"/>
  <c r="AI252" i="32" s="1"/>
  <c r="AD253" i="32"/>
  <c r="AG253" i="32" s="1"/>
  <c r="AH253" i="32" s="1"/>
  <c r="AI253" i="32" s="1"/>
  <c r="F254" i="32"/>
  <c r="AU254" i="32"/>
  <c r="AT252" i="32"/>
  <c r="AT253" i="32"/>
  <c r="AJ252" i="32"/>
  <c r="Z252" i="32"/>
  <c r="C253" i="32"/>
  <c r="Z253" i="32"/>
  <c r="C252" i="32"/>
  <c r="AJ253" i="32"/>
  <c r="W252" i="32"/>
  <c r="X252" i="32" s="1"/>
  <c r="W253" i="32"/>
  <c r="X253" i="32" s="1"/>
  <c r="V252" i="32"/>
  <c r="AK254" i="32"/>
  <c r="AN250" i="32"/>
  <c r="AN251" i="32"/>
  <c r="V253" i="32"/>
  <c r="A254" i="32"/>
  <c r="B254" i="32"/>
  <c r="G254" i="32"/>
  <c r="I254" i="32"/>
  <c r="J254" i="32"/>
  <c r="L254" i="32"/>
  <c r="M254" i="32"/>
  <c r="N254" i="32"/>
  <c r="H254" i="32"/>
  <c r="K254" i="32"/>
  <c r="E255" i="32"/>
  <c r="T255" i="32" s="1"/>
  <c r="AL255" i="11" a="1"/>
  <c r="AL255" i="11" s="1"/>
  <c r="E256" i="32" s="1"/>
  <c r="T256" i="32" s="1"/>
  <c r="AM140" i="11" a="1"/>
  <c r="AM140" i="11" s="1"/>
  <c r="O256" i="32" l="1"/>
  <c r="O255" i="32"/>
  <c r="U254" i="32"/>
  <c r="F256" i="32"/>
  <c r="AU256" i="32"/>
  <c r="F255" i="32"/>
  <c r="AU255" i="32"/>
  <c r="P254" i="32"/>
  <c r="AM254" i="32"/>
  <c r="S254" i="32"/>
  <c r="AK255" i="32"/>
  <c r="AK256" i="32"/>
  <c r="AL253" i="32"/>
  <c r="AL252" i="32"/>
  <c r="A255" i="32"/>
  <c r="B255" i="32"/>
  <c r="A256" i="32"/>
  <c r="B256" i="32"/>
  <c r="K256" i="32"/>
  <c r="N256" i="32"/>
  <c r="G256" i="32"/>
  <c r="H256" i="32"/>
  <c r="I256" i="32"/>
  <c r="M256" i="32"/>
  <c r="J256" i="32"/>
  <c r="L256" i="32"/>
  <c r="M255" i="32"/>
  <c r="G255" i="32"/>
  <c r="H255" i="32"/>
  <c r="N255" i="32"/>
  <c r="L255" i="32"/>
  <c r="J255" i="32"/>
  <c r="I255" i="32"/>
  <c r="K255" i="32"/>
  <c r="AL256" i="11" a="1"/>
  <c r="AL256" i="11" s="1"/>
  <c r="E257" i="32" s="1"/>
  <c r="T257" i="32" s="1"/>
  <c r="AM141" i="11" a="1"/>
  <c r="AM141" i="11" s="1"/>
  <c r="O257" i="32" l="1"/>
  <c r="U255" i="32"/>
  <c r="U256" i="32"/>
  <c r="AD254" i="32"/>
  <c r="AG254" i="32" s="1"/>
  <c r="AH254" i="32" s="1"/>
  <c r="AI254" i="32" s="1"/>
  <c r="F257" i="32"/>
  <c r="AU257" i="32"/>
  <c r="H5" i="32" s="1" a="1"/>
  <c r="H5" i="32" s="1"/>
  <c r="AT254" i="32"/>
  <c r="P256" i="32"/>
  <c r="P255" i="32"/>
  <c r="C254" i="32"/>
  <c r="Z254" i="32"/>
  <c r="AM256" i="32"/>
  <c r="AM255" i="32"/>
  <c r="S255" i="32"/>
  <c r="Z255" i="32" s="1"/>
  <c r="AJ254" i="32"/>
  <c r="S256" i="32"/>
  <c r="Z256" i="32" s="1"/>
  <c r="W254" i="32"/>
  <c r="X254" i="32" s="1"/>
  <c r="AK257" i="32"/>
  <c r="AN253" i="32"/>
  <c r="AN252" i="32"/>
  <c r="V254" i="32"/>
  <c r="A257" i="32"/>
  <c r="P257" i="32" s="1"/>
  <c r="B257" i="32"/>
  <c r="I257" i="32"/>
  <c r="L257" i="32"/>
  <c r="G257" i="32"/>
  <c r="H257" i="32"/>
  <c r="J257" i="32"/>
  <c r="M257" i="32"/>
  <c r="K257" i="32"/>
  <c r="N257" i="32"/>
  <c r="AL257" i="11" a="1"/>
  <c r="AL257" i="11" s="1"/>
  <c r="AL258" i="11" s="1" a="1"/>
  <c r="AL258" i="11" s="1"/>
  <c r="AM142" i="11" a="1"/>
  <c r="AM142" i="11" s="1"/>
  <c r="U257" i="32" l="1"/>
  <c r="AT257" i="32"/>
  <c r="AT255" i="32"/>
  <c r="AT256" i="32"/>
  <c r="AD255" i="32"/>
  <c r="AG255" i="32" s="1"/>
  <c r="AH255" i="32" s="1"/>
  <c r="AI255" i="32" s="1"/>
  <c r="AD256" i="32"/>
  <c r="AG256" i="32" s="1"/>
  <c r="AH256" i="32" s="1"/>
  <c r="AI256" i="32" s="1"/>
  <c r="AM257" i="32"/>
  <c r="R6" i="32" a="1"/>
  <c r="R6" i="32" s="1"/>
  <c r="C256" i="32"/>
  <c r="AJ256" i="32"/>
  <c r="C255" i="32"/>
  <c r="AJ255" i="32"/>
  <c r="S257" i="32"/>
  <c r="Z257" i="32" s="1"/>
  <c r="W256" i="32"/>
  <c r="X256" i="32" s="1"/>
  <c r="W255" i="32"/>
  <c r="X255" i="32" s="1"/>
  <c r="AL254" i="32"/>
  <c r="V256" i="32"/>
  <c r="V255" i="32"/>
  <c r="AM143" i="11" a="1"/>
  <c r="AM143" i="11" s="1"/>
  <c r="AD5" i="32" l="1" a="1"/>
  <c r="AD5" i="32" s="1"/>
  <c r="AD257" i="32"/>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N254" i="32"/>
  <c r="V257" i="32"/>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N23" i="22"/>
  <c r="P23" i="22" s="1"/>
  <c r="M111" i="22"/>
  <c r="N128" i="22"/>
  <c r="P128" i="22" s="1"/>
  <c r="M109" i="22"/>
  <c r="O109" i="22" s="1"/>
  <c r="M112" i="22"/>
  <c r="M107" i="22"/>
  <c r="N120" i="22"/>
  <c r="M118" i="22"/>
  <c r="N113" i="22"/>
  <c r="P113" i="22" s="1"/>
  <c r="N122" i="22"/>
  <c r="P122" i="22" s="1"/>
  <c r="M130" i="22"/>
  <c r="O130" i="22" s="1"/>
  <c r="AY72" i="22" s="1"/>
  <c r="N105" i="22"/>
  <c r="N7" i="22"/>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M144" i="11" a="1"/>
  <c r="AM144" i="11" s="1"/>
  <c r="AG257" i="32" l="1"/>
  <c r="AH257" i="32" s="1"/>
  <c r="AI257" i="32" s="1"/>
  <c r="V258" i="32"/>
  <c r="AY105" i="22"/>
  <c r="AZ105" i="22"/>
  <c r="R134" i="22"/>
  <c r="AN18" i="22"/>
  <c r="F52" i="36" s="1"/>
  <c r="Q134" i="22"/>
  <c r="AM18" i="22"/>
  <c r="E52" i="36" s="1"/>
  <c r="Q55" i="22"/>
  <c r="AY151" i="22"/>
  <c r="Q80" i="22"/>
  <c r="AY134" i="22"/>
  <c r="R55" i="22"/>
  <c r="AZ151" i="22"/>
  <c r="R80" i="22"/>
  <c r="AZ134" i="22"/>
  <c r="Q38" i="22"/>
  <c r="AY104" i="22"/>
  <c r="R38" i="22"/>
  <c r="AZ104" i="22"/>
  <c r="AL257" i="32"/>
  <c r="AM5" i="22"/>
  <c r="AN256" i="32"/>
  <c r="AZ146" i="22"/>
  <c r="AZ148" i="22"/>
  <c r="AZ140" i="22"/>
  <c r="AZ71" i="22"/>
  <c r="AZ144" i="22"/>
  <c r="AZ66" i="22"/>
  <c r="AZ142" i="22"/>
  <c r="AZ63" i="22"/>
  <c r="AZ69" i="22"/>
  <c r="AZ141" i="22"/>
  <c r="AZ64" i="22"/>
  <c r="AZ62" i="22"/>
  <c r="AZ145" i="22"/>
  <c r="AZ67" i="22"/>
  <c r="AZ68" i="22"/>
  <c r="AY61" i="22"/>
  <c r="AZ61" i="22"/>
  <c r="AZ126" i="22"/>
  <c r="AY126" i="22"/>
  <c r="AN255" i="32"/>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M145" i="11" a="1"/>
  <c r="AM145" i="11" s="1"/>
  <c r="AD2" i="32" l="1"/>
  <c r="Q117" i="22"/>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N257" i="32"/>
  <c r="AZ24" i="22"/>
  <c r="AZ72" i="22"/>
  <c r="AZ20" i="22"/>
  <c r="AZ101" i="22"/>
  <c r="R109" i="22"/>
  <c r="AF109" i="22" s="1"/>
  <c r="AZ70" i="22"/>
  <c r="AF110" i="22"/>
  <c r="AF104" i="22"/>
  <c r="AF114" i="22"/>
  <c r="AY20" i="22"/>
  <c r="AZ22" i="22"/>
  <c r="AY23" i="22"/>
  <c r="AY21" i="2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M146" i="11" a="1"/>
  <c r="AM146" i="11" s="1"/>
  <c r="G41" i="110" l="1"/>
  <c r="T41" i="110" s="1"/>
  <c r="G108" i="110"/>
  <c r="G43" i="110"/>
  <c r="T43" i="110" s="1"/>
  <c r="G112" i="110"/>
  <c r="G50" i="110"/>
  <c r="T50" i="110" s="1"/>
  <c r="G111" i="110"/>
  <c r="G53" i="110"/>
  <c r="T53" i="110" s="1"/>
  <c r="G115" i="110"/>
  <c r="G40" i="110"/>
  <c r="T40" i="110" s="1"/>
  <c r="G107" i="110"/>
  <c r="G49" i="110"/>
  <c r="T49" i="110" s="1"/>
  <c r="G110" i="110"/>
  <c r="G42" i="110"/>
  <c r="T42" i="110" s="1"/>
  <c r="G109" i="110"/>
  <c r="G39" i="110"/>
  <c r="T39" i="110" s="1"/>
  <c r="G106" i="110"/>
  <c r="G51" i="110"/>
  <c r="T51" i="110" s="1"/>
  <c r="G113" i="110"/>
  <c r="AF117" i="22"/>
  <c r="BB73" i="22"/>
  <c r="AE117" i="22"/>
  <c r="BA73" i="22"/>
  <c r="G53" i="36"/>
  <c r="G92" i="36" s="1"/>
  <c r="H53" i="36"/>
  <c r="BE151" i="22"/>
  <c r="F136" i="72" s="1"/>
  <c r="D136" i="72"/>
  <c r="BE134"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G74" i="72" s="1"/>
  <c r="BF69" i="22"/>
  <c r="G78" i="72" s="1"/>
  <c r="BF67" i="22"/>
  <c r="G76" i="72" s="1"/>
  <c r="BB22" i="22"/>
  <c r="BE143" i="22"/>
  <c r="F156" i="72" s="1"/>
  <c r="D156" i="72"/>
  <c r="BE145" i="22"/>
  <c r="F158" i="72" s="1"/>
  <c r="BE146" i="22"/>
  <c r="F159" i="72" s="1"/>
  <c r="BE141" i="22"/>
  <c r="F154" i="72" s="1"/>
  <c r="BE142" i="22"/>
  <c r="F155" i="72" s="1"/>
  <c r="BE144" i="22"/>
  <c r="F157" i="72" s="1"/>
  <c r="BE72" i="22"/>
  <c r="AE119" i="22"/>
  <c r="AE113" i="22"/>
  <c r="AE108" i="22"/>
  <c r="AE104" i="22"/>
  <c r="AE114" i="22"/>
  <c r="AE121" i="22"/>
  <c r="AE115" i="22"/>
  <c r="D76" i="72"/>
  <c r="AE110" i="22"/>
  <c r="AE106" i="22"/>
  <c r="AE118" i="22"/>
  <c r="BA24" i="22"/>
  <c r="BB23" i="22"/>
  <c r="BB24" i="22"/>
  <c r="BA21" i="22"/>
  <c r="BB20" i="22"/>
  <c r="AF130" i="22"/>
  <c r="BB103" i="22"/>
  <c r="BE21" i="22"/>
  <c r="D29" i="72"/>
  <c r="AF112" i="22"/>
  <c r="F78" i="72"/>
  <c r="H78" i="72" s="1"/>
  <c r="D78" i="72"/>
  <c r="BE101" i="22"/>
  <c r="D113" i="72"/>
  <c r="BE102" i="22"/>
  <c r="D114" i="72"/>
  <c r="D79" i="72"/>
  <c r="BE140" i="22"/>
  <c r="F153" i="72" s="1"/>
  <c r="F74" i="72"/>
  <c r="H74" i="72" s="1"/>
  <c r="D75" i="72"/>
  <c r="AF118" i="22"/>
  <c r="BE147" i="22"/>
  <c r="F160" i="72" s="1"/>
  <c r="D80" i="72"/>
  <c r="F76" i="72"/>
  <c r="H76" i="72" s="1"/>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H77" i="72" s="1"/>
  <c r="F72" i="72"/>
  <c r="H72" i="72" s="1"/>
  <c r="F75" i="72"/>
  <c r="H75" i="72" s="1"/>
  <c r="F73" i="72"/>
  <c r="H73" i="72" s="1"/>
  <c r="F80" i="72"/>
  <c r="H80" i="72" s="1"/>
  <c r="AM147" i="11" a="1"/>
  <c r="AM147" i="11" s="1"/>
  <c r="H159" i="72" l="1"/>
  <c r="H157" i="72"/>
  <c r="H160" i="72"/>
  <c r="H156" i="72"/>
  <c r="H155" i="72"/>
  <c r="H158" i="72"/>
  <c r="F138" i="72"/>
  <c r="G54" i="110"/>
  <c r="T54" i="110" s="1"/>
  <c r="G116" i="110"/>
  <c r="G52" i="110"/>
  <c r="T52" i="110" s="1"/>
  <c r="G114" i="110"/>
  <c r="BE73" i="22"/>
  <c r="D82" i="72"/>
  <c r="BF151" i="22"/>
  <c r="BF134" i="22"/>
  <c r="D109" i="72"/>
  <c r="BF104" i="22"/>
  <c r="H52" i="36"/>
  <c r="H91" i="36" s="1"/>
  <c r="F91" i="36"/>
  <c r="G52" i="36"/>
  <c r="G91" i="36" s="1"/>
  <c r="E91" i="36"/>
  <c r="D31" i="72"/>
  <c r="BE20" i="22"/>
  <c r="F28" i="72" s="1"/>
  <c r="H28" i="72" s="1"/>
  <c r="BF70" i="22"/>
  <c r="G79" i="72" s="1"/>
  <c r="D152" i="72"/>
  <c r="BE22" i="22"/>
  <c r="F30" i="72" s="1"/>
  <c r="H30" i="72" s="1"/>
  <c r="D30" i="72"/>
  <c r="BF143" i="22"/>
  <c r="BF145" i="22"/>
  <c r="BF142" i="22"/>
  <c r="BF141" i="22"/>
  <c r="BF144" i="22"/>
  <c r="BF146" i="22"/>
  <c r="BF140" i="22"/>
  <c r="BF72" i="22"/>
  <c r="G81" i="72" s="1"/>
  <c r="F81" i="72"/>
  <c r="H81" i="72" s="1"/>
  <c r="BE24" i="22"/>
  <c r="D32" i="72"/>
  <c r="BE23" i="22"/>
  <c r="D28" i="72"/>
  <c r="D115" i="72"/>
  <c r="BF21" i="22"/>
  <c r="G29" i="72" s="1"/>
  <c r="F29" i="72"/>
  <c r="H29" i="72" s="1"/>
  <c r="BF102" i="22"/>
  <c r="F114" i="72"/>
  <c r="BE139" i="22"/>
  <c r="F152" i="72" s="1"/>
  <c r="F79" i="72"/>
  <c r="H79" i="72" s="1"/>
  <c r="BF101" i="22"/>
  <c r="F113" i="72"/>
  <c r="G51" i="36"/>
  <c r="BF147" i="22"/>
  <c r="H51" i="36"/>
  <c r="F71" i="72"/>
  <c r="H71" i="72" s="1"/>
  <c r="AM148" i="11" a="1"/>
  <c r="AM148" i="11" s="1"/>
  <c r="H154" i="72" l="1"/>
  <c r="G55" i="110"/>
  <c r="T55" i="110" s="1"/>
  <c r="G117" i="110"/>
  <c r="BF73" i="22"/>
  <c r="G82" i="72" s="1"/>
  <c r="F82" i="72"/>
  <c r="H82" i="72" s="1"/>
  <c r="BF20" i="22"/>
  <c r="G28" i="72" s="1"/>
  <c r="BF22" i="22"/>
  <c r="G30" i="72" s="1"/>
  <c r="BF23" i="22"/>
  <c r="G31" i="72" s="1"/>
  <c r="BF24" i="22"/>
  <c r="G32" i="72" s="1"/>
  <c r="F32" i="72"/>
  <c r="H32" i="72" s="1"/>
  <c r="F31" i="72"/>
  <c r="H31" i="72" s="1"/>
  <c r="BF139" i="22"/>
  <c r="E90" i="36"/>
  <c r="G90" i="36"/>
  <c r="AM149" i="11" a="1"/>
  <c r="AM149" i="11" s="1"/>
  <c r="AM150" i="11" l="1" a="1"/>
  <c r="AM150" i="11" s="1"/>
  <c r="AM151" i="11" l="1" a="1"/>
  <c r="AM151" i="11" s="1"/>
  <c r="AM152" i="11" l="1" a="1"/>
  <c r="AM152" i="11" s="1"/>
  <c r="AM153" i="11" l="1" a="1"/>
  <c r="AM153" i="11" s="1"/>
  <c r="AM154" i="11" l="1" a="1"/>
  <c r="AM154" i="11" s="1"/>
  <c r="AM155" i="11" l="1" a="1"/>
  <c r="AM155" i="11" s="1"/>
  <c r="AM156" i="11" l="1" a="1"/>
  <c r="AM156" i="11" s="1"/>
  <c r="AM157" i="11" l="1" a="1"/>
  <c r="AM157" i="11" s="1"/>
  <c r="AM158" i="11" l="1" a="1"/>
  <c r="AM158" i="11" s="1"/>
  <c r="AM159" i="11" l="1" a="1"/>
  <c r="AM159" i="11" s="1"/>
  <c r="AM160" i="11" l="1" a="1"/>
  <c r="AM160" i="11" s="1"/>
  <c r="AM161" i="11" l="1" a="1"/>
  <c r="AM161" i="11" s="1"/>
  <c r="AM162" i="11" l="1" a="1"/>
  <c r="AM162" i="11" s="1"/>
  <c r="AM163" i="11" l="1" a="1"/>
  <c r="AM163" i="11" s="1"/>
  <c r="AM164" i="11" l="1" a="1"/>
  <c r="AM164" i="11" s="1"/>
  <c r="AM165" i="11" l="1" a="1"/>
  <c r="AM165" i="11" s="1"/>
  <c r="AM166" i="11" l="1" a="1"/>
  <c r="AM166" i="11" s="1"/>
  <c r="AM167" i="11" l="1" a="1"/>
  <c r="AM167" i="11" s="1"/>
  <c r="AM168" i="11" l="1" a="1"/>
  <c r="AM168" i="11" s="1"/>
  <c r="AM169" i="11" l="1" a="1"/>
  <c r="AM169" i="11" s="1"/>
  <c r="AM170" i="11" l="1" a="1"/>
  <c r="AM170" i="11" s="1"/>
  <c r="AM171" i="11" l="1" a="1"/>
  <c r="AM171" i="11" s="1"/>
  <c r="AM172" i="11" l="1" a="1"/>
  <c r="AM172" i="11" s="1"/>
  <c r="AM173" i="11" l="1" a="1"/>
  <c r="AM173" i="11" s="1"/>
  <c r="AM174" i="11" l="1" a="1"/>
  <c r="AM174" i="11" s="1"/>
  <c r="AM175" i="11" l="1" a="1"/>
  <c r="AM175" i="11" s="1"/>
  <c r="AM176" i="11" l="1" a="1"/>
  <c r="AM176" i="11" s="1"/>
  <c r="AM177" i="11" l="1" a="1"/>
  <c r="AM177" i="11" s="1"/>
  <c r="AM178" i="11" l="1" a="1"/>
  <c r="AM178" i="11" s="1"/>
  <c r="AM179" i="11" l="1" a="1"/>
  <c r="AM179" i="11" s="1"/>
  <c r="AM180" i="11" l="1" a="1"/>
  <c r="AM180" i="11" s="1"/>
  <c r="AM181" i="11" l="1" a="1"/>
  <c r="AM181" i="11" s="1"/>
  <c r="AM182" i="11" l="1" a="1"/>
  <c r="AM182" i="11" s="1"/>
  <c r="AM183" i="11" l="1" a="1"/>
  <c r="AM183" i="11" s="1"/>
  <c r="AM184" i="11" l="1" a="1"/>
  <c r="AM184" i="11" s="1"/>
  <c r="AM185" i="11" l="1" a="1"/>
  <c r="AM185" i="11" s="1"/>
  <c r="AM186" i="11" l="1" a="1"/>
  <c r="AM186" i="11" s="1"/>
  <c r="AM187" i="11" l="1" a="1"/>
  <c r="AM187" i="11" s="1"/>
  <c r="AM188" i="11" l="1" a="1"/>
  <c r="AM188" i="11" s="1"/>
  <c r="AM189" i="11" l="1" a="1"/>
  <c r="AM189" i="11" s="1"/>
  <c r="AM190" i="11" l="1" a="1"/>
  <c r="AM190" i="11" s="1"/>
  <c r="AM191" i="11" l="1" a="1"/>
  <c r="AM191" i="11" s="1"/>
  <c r="AM192" i="11" l="1" a="1"/>
  <c r="AM192" i="11" s="1"/>
  <c r="AM193" i="11" l="1" a="1"/>
  <c r="AM193" i="11" s="1"/>
  <c r="AM194" i="11" l="1" a="1"/>
  <c r="AM194" i="11" s="1"/>
  <c r="AM195" i="11" l="1" a="1"/>
  <c r="AM195" i="11" s="1"/>
  <c r="AM196" i="11" l="1" a="1"/>
  <c r="AM196" i="11" s="1"/>
  <c r="AM197" i="11" l="1" a="1"/>
  <c r="AM197" i="11" s="1"/>
  <c r="AM198" i="11" l="1" a="1"/>
  <c r="AM198" i="11" s="1"/>
  <c r="AM199" i="11" l="1" a="1"/>
  <c r="AM199" i="11" s="1"/>
  <c r="AM200" i="11" l="1" a="1"/>
  <c r="AM200" i="11" s="1"/>
  <c r="AM201" i="11" l="1" a="1"/>
  <c r="AM201" i="11" s="1"/>
  <c r="AM202" i="11" l="1" a="1"/>
  <c r="AM202" i="11" s="1"/>
  <c r="AM203" i="11" l="1" a="1"/>
  <c r="AM203" i="11" s="1"/>
  <c r="AM204" i="11" l="1" a="1"/>
  <c r="AM204" i="11" s="1"/>
  <c r="AM205" i="11" l="1" a="1"/>
  <c r="AM205" i="11" s="1"/>
  <c r="AM206" i="11" l="1" a="1"/>
  <c r="AM206" i="11" s="1"/>
  <c r="AM207" i="11" l="1" a="1"/>
  <c r="AM207" i="11" s="1"/>
  <c r="AM208" i="11" l="1" a="1"/>
  <c r="AM208" i="11" s="1"/>
  <c r="AM209" i="11" l="1" a="1"/>
  <c r="AM209" i="11" s="1"/>
  <c r="AM210" i="11" l="1" a="1"/>
  <c r="AM210" i="11" s="1"/>
  <c r="AM211" i="11" l="1" a="1"/>
  <c r="AM211" i="11" s="1"/>
  <c r="AM212" i="11" l="1" a="1"/>
  <c r="AM212" i="11" s="1"/>
  <c r="AM213" i="11" l="1" a="1"/>
  <c r="AM213" i="11" s="1"/>
  <c r="AM214" i="11" l="1" a="1"/>
  <c r="AM214" i="11" s="1"/>
  <c r="AM215" i="11" l="1" a="1"/>
  <c r="AM215" i="11" s="1"/>
  <c r="AM216" i="11" l="1" a="1"/>
  <c r="AM216" i="11" s="1"/>
  <c r="AM217" i="11" l="1" a="1"/>
  <c r="AM217" i="11" s="1"/>
  <c r="AM218" i="11" l="1" a="1"/>
  <c r="AM218" i="11" s="1"/>
  <c r="AM219" i="11" l="1" a="1"/>
  <c r="AM219" i="11" s="1"/>
  <c r="AM220" i="11" l="1" a="1"/>
  <c r="AM220" i="11" s="1"/>
  <c r="AM221" i="11" l="1" a="1"/>
  <c r="AM221" i="11" s="1"/>
  <c r="AM222" i="11" l="1" a="1"/>
  <c r="AM222" i="11" s="1"/>
  <c r="AM223" i="11" l="1" a="1"/>
  <c r="AM223" i="11" s="1"/>
  <c r="AM224" i="11" l="1" a="1"/>
  <c r="AM224" i="11" s="1"/>
  <c r="AM225" i="11" l="1" a="1"/>
  <c r="AM225" i="11" s="1"/>
  <c r="AM226" i="11" l="1" a="1"/>
  <c r="AM226" i="11" s="1"/>
  <c r="AM227" i="11" l="1" a="1"/>
  <c r="AM227" i="11" s="1"/>
  <c r="AM228" i="11" l="1" a="1"/>
  <c r="AM228" i="11" s="1"/>
  <c r="AM229" i="11" l="1" a="1"/>
  <c r="AM229" i="11" s="1"/>
  <c r="AM230" i="11" l="1" a="1"/>
  <c r="AM230" i="11" s="1"/>
  <c r="AM231" i="11" l="1" a="1"/>
  <c r="AM231" i="11" s="1"/>
  <c r="AM232" i="11" l="1" a="1"/>
  <c r="AM232" i="11" s="1"/>
  <c r="AM233" i="11" l="1" a="1"/>
  <c r="AM233" i="11" s="1"/>
  <c r="AM234" i="11" l="1" a="1"/>
  <c r="AM234" i="11" s="1"/>
  <c r="AM235" i="11" l="1" a="1"/>
  <c r="AM235" i="11" s="1"/>
  <c r="AM236" i="11" l="1" a="1"/>
  <c r="AM236" i="11" s="1"/>
  <c r="AM237" i="11" l="1" a="1"/>
  <c r="AM237" i="11" s="1"/>
  <c r="AM238" i="11" l="1" a="1"/>
  <c r="AM238" i="11" s="1"/>
  <c r="AM239" i="11" l="1" a="1"/>
  <c r="AM239" i="11" s="1"/>
  <c r="AM240" i="11" l="1" a="1"/>
  <c r="AM240" i="11" s="1"/>
  <c r="AM241" i="11" l="1" a="1"/>
  <c r="AM241" i="11" s="1"/>
  <c r="AM242" i="11" l="1" a="1"/>
  <c r="AM242" i="11" s="1"/>
  <c r="AM243" i="11" l="1" a="1"/>
  <c r="AM243" i="11" s="1"/>
  <c r="AM244" i="11" l="1" a="1"/>
  <c r="AM244" i="11" s="1"/>
  <c r="AM245" i="11" l="1" a="1"/>
  <c r="AM245" i="11" s="1"/>
  <c r="AD60" i="22" l="1"/>
  <c r="BD125" i="22" s="1"/>
  <c r="AC60" i="22"/>
  <c r="AN23" i="22"/>
  <c r="AM22" i="22"/>
  <c r="AD62" i="22"/>
  <c r="BD124" i="22" s="1"/>
  <c r="AN21" i="22"/>
  <c r="F59" i="36" s="1"/>
  <c r="H59" i="36" s="1"/>
  <c r="AM21" i="22"/>
  <c r="E59" i="36" s="1"/>
  <c r="G59" i="36" s="1"/>
  <c r="AM23" i="22"/>
  <c r="AC62" i="22"/>
  <c r="AM25" i="22"/>
  <c r="AN24" i="22"/>
  <c r="AN27" i="22"/>
  <c r="AM24" i="22"/>
  <c r="AM27" i="22"/>
  <c r="AC4" i="22"/>
  <c r="AC94" i="22"/>
  <c r="AD75" i="22"/>
  <c r="BD132" i="22" s="1"/>
  <c r="AC82" i="22"/>
  <c r="AC59" i="22"/>
  <c r="AD33" i="22"/>
  <c r="BD92" i="22" s="1"/>
  <c r="AD82" i="22"/>
  <c r="AC61" i="22"/>
  <c r="AC73" i="22"/>
  <c r="AD25" i="22"/>
  <c r="BD34" i="22" s="1"/>
  <c r="AD36" i="22"/>
  <c r="BD36" i="22" s="1"/>
  <c r="AC12" i="22"/>
  <c r="AD64" i="22"/>
  <c r="BD157" i="22" s="1"/>
  <c r="AD68" i="22"/>
  <c r="AD40" i="22"/>
  <c r="AC79" i="22"/>
  <c r="AD70" i="22"/>
  <c r="BD128" i="22" s="1"/>
  <c r="AD65" i="22"/>
  <c r="BD96" i="22" s="1"/>
  <c r="AC58" i="22"/>
  <c r="AC29" i="22"/>
  <c r="AC30" i="22"/>
  <c r="AC16" i="22"/>
  <c r="AD29" i="22"/>
  <c r="BD89"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C45" i="22"/>
  <c r="AC26" i="22"/>
  <c r="AD41" i="22"/>
  <c r="BD122"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6" i="22"/>
  <c r="BD82" i="22" s="1"/>
  <c r="AC49" i="22"/>
  <c r="AC48" i="22"/>
  <c r="AD22" i="22"/>
  <c r="BD85" i="22" s="1"/>
  <c r="AC10" i="22"/>
  <c r="AD85" i="22"/>
  <c r="AD63" i="22"/>
  <c r="AC99" i="22"/>
  <c r="AC25" i="22"/>
  <c r="AC84" i="22"/>
  <c r="AD49" i="22"/>
  <c r="BD94" i="22" s="1"/>
  <c r="AC18" i="22"/>
  <c r="AD95" i="22"/>
  <c r="BD98" i="22" s="1"/>
  <c r="AD89" i="22"/>
  <c r="AD86" i="22"/>
  <c r="AD66" i="22"/>
  <c r="BD158"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AD16" i="22"/>
  <c r="BD31" i="22" s="1"/>
  <c r="AD47" i="22"/>
  <c r="BD44" i="22" s="1"/>
  <c r="AC47" i="22"/>
  <c r="AD79" i="22"/>
  <c r="BD136" i="22" s="1"/>
  <c r="AD84" i="22"/>
  <c r="AC66"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D15" i="104" l="1"/>
  <c r="E150" i="72"/>
  <c r="E129" i="72"/>
  <c r="E62" i="72"/>
  <c r="E162" i="72"/>
  <c r="E127" i="72"/>
  <c r="E142" i="72"/>
  <c r="E90" i="72"/>
  <c r="E135" i="72"/>
  <c r="E126"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BD18" i="22"/>
  <c r="BD8" i="22"/>
  <c r="BD127" i="22"/>
  <c r="BD126" i="22"/>
  <c r="BD97" i="22"/>
  <c r="BD129" i="22"/>
  <c r="AD8" i="22"/>
  <c r="AC15" i="22"/>
  <c r="AO22" i="22" s="1"/>
  <c r="AD35" i="22"/>
  <c r="AM26" i="22"/>
  <c r="AC8" i="22"/>
  <c r="AO21" i="22" s="1"/>
  <c r="AC35" i="22"/>
  <c r="AO23" i="22" s="1"/>
  <c r="AD74" i="22"/>
  <c r="AC74" i="22"/>
  <c r="AO26" i="22" s="1"/>
  <c r="AO24" i="22"/>
  <c r="AP27" i="22"/>
  <c r="AP24" i="22"/>
  <c r="AO27" i="22"/>
  <c r="AO25" i="22"/>
  <c r="AM28" i="22"/>
  <c r="AC100" i="22"/>
  <c r="AO28" i="22" s="1"/>
  <c r="E53" i="72"/>
  <c r="E51" i="72"/>
  <c r="E55" i="72"/>
  <c r="E54" i="72"/>
  <c r="E41" i="72"/>
  <c r="E58" i="72"/>
  <c r="E94" i="72"/>
  <c r="E97" i="72"/>
  <c r="E42" i="72"/>
  <c r="E68" i="72"/>
  <c r="E46" i="72"/>
  <c r="E57" i="72"/>
  <c r="E111" i="72"/>
  <c r="E105" i="72"/>
  <c r="E52" i="72"/>
  <c r="E95" i="72"/>
  <c r="E98" i="72"/>
  <c r="E48" i="72"/>
  <c r="E102" i="72"/>
  <c r="E59" i="72"/>
  <c r="E104" i="72"/>
  <c r="E92" i="72"/>
  <c r="E110" i="72"/>
  <c r="E101" i="72"/>
  <c r="E67" i="72"/>
  <c r="E50" i="72"/>
  <c r="E112" i="72"/>
  <c r="E60" i="72"/>
  <c r="E106" i="72"/>
  <c r="E66" i="72"/>
  <c r="E61" i="72"/>
  <c r="E65" i="72"/>
  <c r="E64" i="72"/>
  <c r="E47" i="72"/>
  <c r="E44" i="72"/>
  <c r="E96" i="72"/>
  <c r="E49" i="72"/>
  <c r="E63" i="72"/>
  <c r="BD79" i="22"/>
  <c r="E45" i="72"/>
  <c r="AM247" i="11" a="1"/>
  <c r="AM247" i="11" s="1"/>
  <c r="D23" i="105" l="1"/>
  <c r="E107" i="72"/>
  <c r="E25" i="72"/>
  <c r="E22" i="72"/>
  <c r="E17" i="72"/>
  <c r="E140" i="72"/>
  <c r="E26" i="72"/>
  <c r="E24" i="72"/>
  <c r="E21" i="72"/>
  <c r="E144" i="72"/>
  <c r="E141" i="72"/>
  <c r="E15" i="72"/>
  <c r="E23" i="72"/>
  <c r="E19" i="72"/>
  <c r="E143" i="72"/>
  <c r="E16" i="72"/>
  <c r="E18" i="72"/>
  <c r="E20" i="72"/>
  <c r="AP23" i="22"/>
  <c r="BD121" i="22"/>
  <c r="BD131" i="22"/>
  <c r="AP21" i="22"/>
  <c r="E89" i="72"/>
  <c r="AM248" i="11" a="1"/>
  <c r="AM248" i="11" s="1"/>
  <c r="E146" i="72" l="1"/>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Y158" i="22" l="1"/>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34" i="22"/>
  <c r="AZ85" i="22"/>
  <c r="AZ31" i="22"/>
  <c r="AZ33" i="22"/>
  <c r="Q4" i="22"/>
  <c r="BA79" i="22" s="1"/>
  <c r="AY79" i="22"/>
  <c r="AZ118" i="22"/>
  <c r="AZ149" i="22"/>
  <c r="AZ128" i="22"/>
  <c r="AZ41" i="22"/>
  <c r="AZ42" i="22"/>
  <c r="AZ53" i="22"/>
  <c r="AZ36" i="22"/>
  <c r="AZ46" i="22"/>
  <c r="AZ123" i="22"/>
  <c r="AZ137" i="22"/>
  <c r="AZ14" i="22"/>
  <c r="AZ136" i="22"/>
  <c r="AZ94" i="22"/>
  <c r="AZ117" i="22"/>
  <c r="AZ158" i="22"/>
  <c r="AZ37" i="22"/>
  <c r="AZ39" i="22"/>
  <c r="AZ40" i="22"/>
  <c r="AZ44" i="22"/>
  <c r="E60" i="36"/>
  <c r="G60" i="36" s="1"/>
  <c r="E66" i="36"/>
  <c r="G66" i="36" s="1"/>
  <c r="E62" i="36"/>
  <c r="G62" i="36" s="1"/>
  <c r="E63" i="36"/>
  <c r="G63" i="36" s="1"/>
  <c r="E64" i="36"/>
  <c r="G64" i="36" s="1"/>
  <c r="F62" i="36"/>
  <c r="H62" i="36" s="1"/>
  <c r="F61" i="36"/>
  <c r="H61" i="36" s="1"/>
  <c r="E61" i="36"/>
  <c r="G61" i="36" s="1"/>
  <c r="AM11" i="22"/>
  <c r="E46" i="36" s="1"/>
  <c r="E40" i="36"/>
  <c r="AM9" i="22"/>
  <c r="E44" i="36" s="1"/>
  <c r="AN7" i="22"/>
  <c r="F42" i="36" s="1"/>
  <c r="AM7" i="22"/>
  <c r="E42" i="36" s="1"/>
  <c r="AM4" i="22"/>
  <c r="AM8" i="22"/>
  <c r="E43" i="36" s="1"/>
  <c r="AN8" i="22"/>
  <c r="F43" i="36" s="1"/>
  <c r="AN6" i="22"/>
  <c r="F41" i="36" s="1"/>
  <c r="AM6" i="22"/>
  <c r="E41" i="36" s="1"/>
  <c r="AN9" i="22"/>
  <c r="F44" i="36" s="1"/>
  <c r="R14" i="22"/>
  <c r="BB30" i="22" s="1"/>
  <c r="R24" i="22"/>
  <c r="R77" i="22"/>
  <c r="BB135" i="22" s="1"/>
  <c r="R5" i="22"/>
  <c r="BB81"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D108" i="72" l="1"/>
  <c r="AO17" i="22"/>
  <c r="AP17" i="22"/>
  <c r="D62" i="72"/>
  <c r="D147" i="72"/>
  <c r="D150" i="72"/>
  <c r="D145"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14" i="22"/>
  <c r="BB17" i="22"/>
  <c r="BA127" i="22"/>
  <c r="BA126" i="22"/>
  <c r="BB127" i="22"/>
  <c r="BB126" i="22"/>
  <c r="BB129" i="22"/>
  <c r="BA97" i="22"/>
  <c r="BB97" i="22"/>
  <c r="BA129" i="22"/>
  <c r="BB86" i="22"/>
  <c r="BB16" i="22"/>
  <c r="BE81" i="22"/>
  <c r="BE93" i="22"/>
  <c r="BB118" i="22"/>
  <c r="BB85" i="22"/>
  <c r="BB15" i="22"/>
  <c r="BB84" i="22"/>
  <c r="BB82" i="22"/>
  <c r="BB88" i="22"/>
  <c r="BE52" i="22"/>
  <c r="BE121" i="22"/>
  <c r="F133" i="72" s="1"/>
  <c r="H133" i="72" s="1"/>
  <c r="BE131" i="22"/>
  <c r="BE124" i="22"/>
  <c r="BE125" i="22"/>
  <c r="F139" i="72" s="1"/>
  <c r="E39" i="36"/>
  <c r="AO5" i="22"/>
  <c r="AO11" i="22"/>
  <c r="AO9" i="22"/>
  <c r="AO7" i="22"/>
  <c r="AP7" i="22"/>
  <c r="AO6" i="22"/>
  <c r="AO8" i="22"/>
  <c r="AP8" i="22"/>
  <c r="AP9" i="22"/>
  <c r="BE87" i="22"/>
  <c r="AP6" i="22"/>
  <c r="BE159" i="22"/>
  <c r="BF159" i="22" s="1"/>
  <c r="BE48" i="22"/>
  <c r="D60" i="72"/>
  <c r="AE30" i="22"/>
  <c r="AE10" i="22"/>
  <c r="AE94" i="22"/>
  <c r="AE39" i="22"/>
  <c r="AF86" i="22"/>
  <c r="AF33" i="22"/>
  <c r="AF99" i="22"/>
  <c r="AE67" i="22"/>
  <c r="AF60" i="22"/>
  <c r="BE157" i="22"/>
  <c r="BF157" i="22" s="1"/>
  <c r="AF66" i="22"/>
  <c r="AF64" i="22"/>
  <c r="AE12" i="22"/>
  <c r="AE78" i="22"/>
  <c r="AE68" i="22"/>
  <c r="AF41" i="22"/>
  <c r="AE91" i="22"/>
  <c r="AE77" i="22"/>
  <c r="BE158" i="22"/>
  <c r="BF158" i="22" s="1"/>
  <c r="AF78" i="22"/>
  <c r="AE70" i="22"/>
  <c r="AE72" i="22"/>
  <c r="AF27" i="22"/>
  <c r="AE64" i="22"/>
  <c r="AE36" i="22"/>
  <c r="AF36" i="22"/>
  <c r="AE95" i="22"/>
  <c r="AE19" i="22"/>
  <c r="AE75" i="22"/>
  <c r="AF96" i="22"/>
  <c r="AF72" i="22"/>
  <c r="AE99" i="22"/>
  <c r="AF68" i="22"/>
  <c r="AE49" i="22"/>
  <c r="AE43" i="22"/>
  <c r="AE86" i="22"/>
  <c r="AE24" i="22"/>
  <c r="AF77" i="22"/>
  <c r="AF69" i="22"/>
  <c r="AF82" i="22"/>
  <c r="AE100" i="22"/>
  <c r="AE96" i="22"/>
  <c r="AE62" i="22"/>
  <c r="AF22" i="22"/>
  <c r="AE93" i="22"/>
  <c r="AF32" i="22"/>
  <c r="AE6" i="22"/>
  <c r="AF26" i="22"/>
  <c r="AE52" i="22"/>
  <c r="AE54" i="22"/>
  <c r="AE84"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E34" i="22"/>
  <c r="AE102" i="22"/>
  <c r="AF57" i="22"/>
  <c r="AE44" i="22"/>
  <c r="AE81" i="22"/>
  <c r="AE48" i="22"/>
  <c r="AE42" i="22"/>
  <c r="AF70" i="22"/>
  <c r="AE25" i="22"/>
  <c r="AE73" i="22"/>
  <c r="AF62" i="22"/>
  <c r="AE29" i="22"/>
  <c r="AE58" i="22"/>
  <c r="AE18" i="22"/>
  <c r="AE40" i="22"/>
  <c r="AE15" i="22"/>
  <c r="AE59" i="22"/>
  <c r="AE61" i="22"/>
  <c r="AF40" i="22"/>
  <c r="AE41" i="22"/>
  <c r="AE23" i="22"/>
  <c r="AF35" i="22"/>
  <c r="AE17" i="22"/>
  <c r="AE27" i="22"/>
  <c r="AF90" i="22"/>
  <c r="AF74" i="22"/>
  <c r="AF75" i="22"/>
  <c r="AE9" i="22"/>
  <c r="AE79" i="22"/>
  <c r="AF89" i="22"/>
  <c r="AE26" i="22"/>
  <c r="AF85" i="22"/>
  <c r="AF65" i="22"/>
  <c r="AF93" i="22"/>
  <c r="AE90" i="22"/>
  <c r="AF95" i="22"/>
  <c r="AE45"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E16" i="22"/>
  <c r="AE98" i="22"/>
  <c r="AE31" i="22"/>
  <c r="AF98" i="22"/>
  <c r="AF71" i="22"/>
  <c r="AE66" i="22"/>
  <c r="AF47" i="22"/>
  <c r="AF10" i="22"/>
  <c r="AE85" i="22"/>
  <c r="AE46" i="22"/>
  <c r="AF81" i="22"/>
  <c r="AF97" i="22"/>
  <c r="AF91" i="22"/>
  <c r="AF45" i="22"/>
  <c r="AE11" i="22"/>
  <c r="AF37" i="22"/>
  <c r="AE69" i="22"/>
  <c r="AE60" i="22"/>
  <c r="AF43" i="22"/>
  <c r="AF63" i="22"/>
  <c r="AF58" i="22"/>
  <c r="AE7" i="22"/>
  <c r="AE82" i="22"/>
  <c r="AF59" i="22"/>
  <c r="AE28" i="22"/>
  <c r="AE74" i="22"/>
  <c r="AF30" i="22"/>
  <c r="AE5" i="22"/>
  <c r="AF12" i="22"/>
  <c r="AF14" i="22"/>
  <c r="F146" i="72" l="1"/>
  <c r="H146" i="72" s="1"/>
  <c r="H136" i="72"/>
  <c r="F137" i="72"/>
  <c r="H137" i="72" s="1"/>
  <c r="G32" i="110"/>
  <c r="T32" i="110" s="1"/>
  <c r="G93" i="110"/>
  <c r="G45" i="110"/>
  <c r="T45" i="110" s="1"/>
  <c r="G97" i="110"/>
  <c r="BB79" i="22"/>
  <c r="BE79" i="22" s="1"/>
  <c r="AF4" i="22"/>
  <c r="D23" i="72"/>
  <c r="D140" i="72"/>
  <c r="D25" i="72"/>
  <c r="D20" i="72"/>
  <c r="D15" i="72"/>
  <c r="BF87" i="22"/>
  <c r="BE88" i="22"/>
  <c r="BE85" i="22"/>
  <c r="D141" i="72"/>
  <c r="D22" i="72"/>
  <c r="D18" i="72"/>
  <c r="D16" i="72"/>
  <c r="BE86" i="22"/>
  <c r="D143" i="72"/>
  <c r="D19" i="72"/>
  <c r="D26" i="72"/>
  <c r="BE118" i="22"/>
  <c r="F130" i="72" s="1"/>
  <c r="H130" i="72" s="1"/>
  <c r="D130" i="72"/>
  <c r="BE150" i="22"/>
  <c r="D144" i="72"/>
  <c r="BE18" i="22"/>
  <c r="BE126" i="22"/>
  <c r="BF131" i="22"/>
  <c r="BF125" i="22"/>
  <c r="BF52" i="22"/>
  <c r="G62" i="72" s="1"/>
  <c r="F62" i="72"/>
  <c r="H62" i="72" s="1"/>
  <c r="BE7" i="22"/>
  <c r="BE8" i="22"/>
  <c r="BE17" i="22"/>
  <c r="BE10" i="22"/>
  <c r="BE12" i="22"/>
  <c r="BE11" i="22"/>
  <c r="BE14" i="22"/>
  <c r="BE16" i="22"/>
  <c r="D24" i="72"/>
  <c r="BE15" i="22"/>
  <c r="BF121" i="22"/>
  <c r="BF93" i="22"/>
  <c r="F103" i="72"/>
  <c r="BF124" i="22"/>
  <c r="BF81" i="22"/>
  <c r="F90" i="72"/>
  <c r="BE82" i="22"/>
  <c r="D91" i="72"/>
  <c r="AZ59" i="22"/>
  <c r="E78" i="36"/>
  <c r="AO4" i="22"/>
  <c r="R100" i="22"/>
  <c r="BB59" i="22" s="1"/>
  <c r="D58" i="72"/>
  <c r="BE50" i="22"/>
  <c r="BE149" i="22"/>
  <c r="F162" i="72" s="1"/>
  <c r="BE90" i="22"/>
  <c r="F99" i="72" s="1"/>
  <c r="D56" i="72"/>
  <c r="D53" i="72"/>
  <c r="BE43" i="22"/>
  <c r="D50" i="72"/>
  <c r="BE40" i="22"/>
  <c r="BE115" i="22"/>
  <c r="F127" i="72" s="1"/>
  <c r="H127" i="72" s="1"/>
  <c r="BE127" i="22"/>
  <c r="BE130" i="22"/>
  <c r="BE117" i="22"/>
  <c r="F129" i="72" s="1"/>
  <c r="H129" i="72" s="1"/>
  <c r="D51" i="72"/>
  <c r="BE41" i="22"/>
  <c r="D66" i="72"/>
  <c r="BE57" i="22"/>
  <c r="D101" i="72"/>
  <c r="BE91" i="22"/>
  <c r="D47" i="72"/>
  <c r="BE36" i="22"/>
  <c r="D94" i="72"/>
  <c r="F58" i="72"/>
  <c r="H58" i="72" s="1"/>
  <c r="BF48" i="22"/>
  <c r="G58" i="72" s="1"/>
  <c r="D96" i="72"/>
  <c r="D57" i="72"/>
  <c r="BE47" i="22"/>
  <c r="D55" i="72"/>
  <c r="BE45" i="22"/>
  <c r="D106" i="72"/>
  <c r="BE96" i="22"/>
  <c r="D107" i="72"/>
  <c r="BE97" i="22"/>
  <c r="D111" i="72"/>
  <c r="BE99" i="22"/>
  <c r="D48" i="72"/>
  <c r="BE37" i="22"/>
  <c r="D105" i="72"/>
  <c r="BE95" i="22"/>
  <c r="D61" i="72"/>
  <c r="BE51" i="22"/>
  <c r="D104" i="72"/>
  <c r="BE94" i="22"/>
  <c r="D41" i="72"/>
  <c r="BE30" i="22"/>
  <c r="F41" i="72" s="1"/>
  <c r="H41" i="72" s="1"/>
  <c r="D112" i="72"/>
  <c r="BE100" i="22"/>
  <c r="BE123" i="22"/>
  <c r="F135" i="72" s="1"/>
  <c r="H135" i="72" s="1"/>
  <c r="D63" i="72"/>
  <c r="BE53" i="22"/>
  <c r="D59" i="72"/>
  <c r="BE49" i="22"/>
  <c r="AE4" i="22"/>
  <c r="D65" i="72"/>
  <c r="BE56" i="22"/>
  <c r="D52" i="72"/>
  <c r="BE42" i="22"/>
  <c r="D93" i="72"/>
  <c r="D110" i="72"/>
  <c r="BE98" i="22"/>
  <c r="BE132" i="22"/>
  <c r="F147" i="72" s="1"/>
  <c r="D67" i="72"/>
  <c r="BE58" i="22"/>
  <c r="BE137" i="22"/>
  <c r="F150" i="72" s="1"/>
  <c r="D46" i="72"/>
  <c r="BE35" i="22"/>
  <c r="D44" i="72"/>
  <c r="BE33" i="22"/>
  <c r="D54" i="72"/>
  <c r="BE44" i="22"/>
  <c r="BE114" i="22"/>
  <c r="F126" i="72" s="1"/>
  <c r="H126" i="72" s="1"/>
  <c r="BE116" i="22"/>
  <c r="F128" i="72" s="1"/>
  <c r="H128" i="72" s="1"/>
  <c r="D69" i="72"/>
  <c r="D97" i="72"/>
  <c r="D49" i="72"/>
  <c r="BE39" i="22"/>
  <c r="BE135" i="22"/>
  <c r="BE138" i="22"/>
  <c r="F151" i="72" s="1"/>
  <c r="D42" i="72"/>
  <c r="BE31" i="22"/>
  <c r="D95" i="72"/>
  <c r="D98" i="72"/>
  <c r="BE89" i="22"/>
  <c r="BE122" i="22"/>
  <c r="F134" i="72" s="1"/>
  <c r="H134" i="72" s="1"/>
  <c r="BE129" i="22"/>
  <c r="F143" i="72" s="1"/>
  <c r="H143" i="72" s="1"/>
  <c r="BE136" i="22"/>
  <c r="F149" i="72" s="1"/>
  <c r="BE128" i="22"/>
  <c r="F142" i="72" s="1"/>
  <c r="D43" i="72"/>
  <c r="D102" i="72"/>
  <c r="BE92" i="22"/>
  <c r="AF51" i="22"/>
  <c r="AF49" i="22"/>
  <c r="F148" i="72" l="1"/>
  <c r="H148" i="72" s="1"/>
  <c r="H147" i="72"/>
  <c r="H149" i="72"/>
  <c r="H152" i="72"/>
  <c r="H151" i="72"/>
  <c r="H150" i="72"/>
  <c r="H153" i="72"/>
  <c r="H142" i="72"/>
  <c r="F145" i="72"/>
  <c r="H145" i="72" s="1"/>
  <c r="H162" i="72"/>
  <c r="F144" i="72"/>
  <c r="H144" i="72" s="1"/>
  <c r="H139" i="72"/>
  <c r="F141" i="72"/>
  <c r="H141" i="72" s="1"/>
  <c r="H138" i="72"/>
  <c r="F140" i="72"/>
  <c r="H140" i="72" s="1"/>
  <c r="G60" i="110"/>
  <c r="T60" i="110" s="1"/>
  <c r="G81" i="110"/>
  <c r="G24" i="110"/>
  <c r="T24" i="110" s="1"/>
  <c r="G87" i="110"/>
  <c r="G66" i="110"/>
  <c r="T66" i="110" s="1"/>
  <c r="G96" i="110"/>
  <c r="G47" i="110"/>
  <c r="T47" i="110" s="1"/>
  <c r="G101" i="110"/>
  <c r="G36" i="110"/>
  <c r="T36" i="110" s="1"/>
  <c r="G102" i="110"/>
  <c r="G23" i="110"/>
  <c r="T23" i="110" s="1"/>
  <c r="G86" i="110"/>
  <c r="G63" i="110"/>
  <c r="T63" i="110" s="1"/>
  <c r="G95" i="110"/>
  <c r="E125" i="110" s="1"/>
  <c r="G46" i="110"/>
  <c r="T46" i="110" s="1"/>
  <c r="G98" i="110"/>
  <c r="G35" i="110"/>
  <c r="T35" i="110" s="1"/>
  <c r="G100" i="110"/>
  <c r="G28" i="110"/>
  <c r="T28" i="110" s="1"/>
  <c r="G89" i="110"/>
  <c r="G22" i="110"/>
  <c r="T22" i="110" s="1"/>
  <c r="G85" i="110"/>
  <c r="G62" i="110"/>
  <c r="T62" i="110" s="1"/>
  <c r="G83" i="110"/>
  <c r="G29" i="110"/>
  <c r="T29" i="110" s="1"/>
  <c r="G90" i="110"/>
  <c r="G61" i="110"/>
  <c r="T61" i="110" s="1"/>
  <c r="G82" i="110"/>
  <c r="G21" i="110"/>
  <c r="T21" i="110" s="1"/>
  <c r="G84" i="110"/>
  <c r="G58" i="110"/>
  <c r="T58" i="110" s="1"/>
  <c r="G79" i="110"/>
  <c r="G33" i="110"/>
  <c r="T33" i="110" s="1"/>
  <c r="G94" i="110"/>
  <c r="G25" i="110"/>
  <c r="T25" i="110" s="1"/>
  <c r="G88" i="110"/>
  <c r="G31" i="110"/>
  <c r="T31" i="110" s="1"/>
  <c r="G92" i="110"/>
  <c r="G76" i="110"/>
  <c r="G65" i="110"/>
  <c r="T65" i="110" s="1"/>
  <c r="G77" i="110"/>
  <c r="G27" i="110"/>
  <c r="T27" i="110" s="1"/>
  <c r="BF79" i="22"/>
  <c r="BF12" i="22"/>
  <c r="G20" i="72" s="1"/>
  <c r="BF8" i="22"/>
  <c r="G16" i="72" s="1"/>
  <c r="BF18" i="22"/>
  <c r="G26" i="72" s="1"/>
  <c r="BF10" i="22"/>
  <c r="G18" i="72" s="1"/>
  <c r="F15" i="72"/>
  <c r="H15" i="72" s="1"/>
  <c r="BF86" i="22"/>
  <c r="BF85" i="22"/>
  <c r="BF14" i="22"/>
  <c r="G22" i="72" s="1"/>
  <c r="BF17" i="22"/>
  <c r="G25" i="72" s="1"/>
  <c r="BF50" i="22"/>
  <c r="G60" i="72" s="1"/>
  <c r="F23" i="72"/>
  <c r="H23" i="72" s="1"/>
  <c r="F19" i="72"/>
  <c r="H19" i="72" s="1"/>
  <c r="BF88" i="22"/>
  <c r="BF118" i="22"/>
  <c r="BF150" i="22"/>
  <c r="BF7" i="22"/>
  <c r="G15" i="72" s="1"/>
  <c r="F26" i="72"/>
  <c r="H26" i="72" s="1"/>
  <c r="BF126" i="22"/>
  <c r="F16" i="72"/>
  <c r="H16" i="72" s="1"/>
  <c r="F25" i="72"/>
  <c r="H25" i="72" s="1"/>
  <c r="BF11" i="22"/>
  <c r="G19" i="72" s="1"/>
  <c r="F22" i="72"/>
  <c r="H22" i="72" s="1"/>
  <c r="F18" i="72"/>
  <c r="H18" i="72" s="1"/>
  <c r="F20" i="72"/>
  <c r="H20" i="72" s="1"/>
  <c r="BF16" i="22"/>
  <c r="G24" i="72" s="1"/>
  <c r="F24" i="72"/>
  <c r="H24" i="72" s="1"/>
  <c r="BF15" i="22"/>
  <c r="G23" i="72" s="1"/>
  <c r="BF82" i="22"/>
  <c r="F91" i="72"/>
  <c r="AF100" i="22"/>
  <c r="F60" i="72"/>
  <c r="H60" i="72" s="1"/>
  <c r="F102" i="72"/>
  <c r="BF92" i="22"/>
  <c r="BF136" i="22"/>
  <c r="BF122" i="22"/>
  <c r="F95" i="72"/>
  <c r="BF138" i="22"/>
  <c r="BF39" i="22"/>
  <c r="G49" i="72" s="1"/>
  <c r="F49" i="72"/>
  <c r="H49" i="72" s="1"/>
  <c r="BF116" i="22"/>
  <c r="F46" i="72"/>
  <c r="H46" i="72" s="1"/>
  <c r="BF35" i="22"/>
  <c r="G46" i="72" s="1"/>
  <c r="BF137" i="22"/>
  <c r="BF132" i="22"/>
  <c r="F110" i="72"/>
  <c r="BF98" i="22"/>
  <c r="F52" i="72"/>
  <c r="H52" i="72" s="1"/>
  <c r="BF42" i="22"/>
  <c r="G52" i="72" s="1"/>
  <c r="BF49" i="22"/>
  <c r="G59" i="72" s="1"/>
  <c r="F59" i="72"/>
  <c r="H59" i="72" s="1"/>
  <c r="BF123" i="22"/>
  <c r="BF100" i="22"/>
  <c r="F112" i="72"/>
  <c r="BF94" i="22"/>
  <c r="F104" i="72"/>
  <c r="G103" i="72" s="1"/>
  <c r="BF95" i="22"/>
  <c r="F105" i="72"/>
  <c r="G105" i="72" s="1"/>
  <c r="BF99" i="22"/>
  <c r="F111" i="72"/>
  <c r="F107" i="72"/>
  <c r="BF97" i="22"/>
  <c r="F94" i="72"/>
  <c r="BF91" i="22"/>
  <c r="F101" i="72"/>
  <c r="BF57" i="22"/>
  <c r="G66" i="72" s="1"/>
  <c r="F66" i="72"/>
  <c r="H66" i="72" s="1"/>
  <c r="BF117" i="22"/>
  <c r="BF130" i="22"/>
  <c r="BF40" i="22"/>
  <c r="G50" i="72" s="1"/>
  <c r="F50" i="72"/>
  <c r="H50" i="72" s="1"/>
  <c r="F53" i="72"/>
  <c r="H53" i="72" s="1"/>
  <c r="BF43" i="22"/>
  <c r="G53" i="72" s="1"/>
  <c r="D89" i="72"/>
  <c r="BF128" i="22"/>
  <c r="BF129" i="22"/>
  <c r="F98" i="72"/>
  <c r="BF89" i="22"/>
  <c r="BF31" i="22"/>
  <c r="G42" i="72" s="1"/>
  <c r="F42" i="72"/>
  <c r="H42" i="72" s="1"/>
  <c r="BF135" i="22"/>
  <c r="F97" i="72"/>
  <c r="BF114" i="22"/>
  <c r="BF44" i="22"/>
  <c r="G54" i="72" s="1"/>
  <c r="F54" i="72"/>
  <c r="H54" i="72" s="1"/>
  <c r="BF33" i="22"/>
  <c r="G44" i="72" s="1"/>
  <c r="F44" i="72"/>
  <c r="H44" i="72" s="1"/>
  <c r="F67" i="72"/>
  <c r="H67" i="72" s="1"/>
  <c r="BF58" i="22"/>
  <c r="G67" i="72" s="1"/>
  <c r="BF56" i="22"/>
  <c r="G65" i="72" s="1"/>
  <c r="F65" i="72"/>
  <c r="H65" i="72" s="1"/>
  <c r="F63" i="72"/>
  <c r="H63" i="72" s="1"/>
  <c r="BF53" i="22"/>
  <c r="G63" i="72" s="1"/>
  <c r="BF30" i="22"/>
  <c r="G41" i="72" s="1"/>
  <c r="F61" i="72"/>
  <c r="H61" i="72" s="1"/>
  <c r="BF51" i="22"/>
  <c r="G61" i="72" s="1"/>
  <c r="BF37" i="22"/>
  <c r="G48" i="72" s="1"/>
  <c r="F48" i="72"/>
  <c r="H48" i="72" s="1"/>
  <c r="F106" i="72"/>
  <c r="BF96" i="22"/>
  <c r="BF45" i="22"/>
  <c r="G55" i="72" s="1"/>
  <c r="F55" i="72"/>
  <c r="H55" i="72" s="1"/>
  <c r="F57" i="72"/>
  <c r="H57" i="72" s="1"/>
  <c r="BF47" i="22"/>
  <c r="G57" i="72" s="1"/>
  <c r="F96" i="72"/>
  <c r="F47" i="72"/>
  <c r="H47" i="72" s="1"/>
  <c r="BF36" i="22"/>
  <c r="G47" i="72" s="1"/>
  <c r="BF41" i="22"/>
  <c r="G51" i="72" s="1"/>
  <c r="F51" i="72"/>
  <c r="H51" i="72" s="1"/>
  <c r="BF127" i="22"/>
  <c r="BF115" i="22"/>
  <c r="BF90" i="22"/>
  <c r="BF149" i="22"/>
  <c r="G130" i="110" l="1"/>
  <c r="H105" i="72"/>
  <c r="G129" i="110"/>
  <c r="H103" i="72"/>
  <c r="H21" i="110"/>
  <c r="H65" i="110"/>
  <c r="E124" i="110"/>
  <c r="G110" i="72"/>
  <c r="G96" i="72"/>
  <c r="G106" i="72"/>
  <c r="D68" i="72"/>
  <c r="BE59" i="22"/>
  <c r="F89" i="72"/>
  <c r="G125" i="110" l="1"/>
  <c r="H125" i="110" s="1"/>
  <c r="O125" i="110" s="1"/>
  <c r="H106" i="72"/>
  <c r="G127" i="110"/>
  <c r="H110" i="72"/>
  <c r="G124" i="110"/>
  <c r="H124" i="110" s="1"/>
  <c r="O124" i="110" s="1"/>
  <c r="H96" i="72"/>
  <c r="G37" i="110"/>
  <c r="T37" i="110" s="1"/>
  <c r="G103" i="110"/>
  <c r="BF59" i="22"/>
  <c r="G68" i="72" s="1"/>
  <c r="F68" i="72"/>
  <c r="H68" i="72" s="1"/>
  <c r="O83" i="22" l="1"/>
  <c r="AY13" i="22" s="1"/>
  <c r="AY9" i="22" l="1"/>
  <c r="P83" i="22"/>
  <c r="F65" i="36"/>
  <c r="AK11" i="11" a="1"/>
  <c r="AK11" i="11" s="1"/>
  <c r="AX34" i="22" l="1"/>
  <c r="AZ13" i="22"/>
  <c r="N83" i="32"/>
  <c r="AN83" i="32" s="1"/>
  <c r="AN258" i="32" s="1"/>
  <c r="AZ9" i="22"/>
  <c r="AN10" i="22"/>
  <c r="F45" i="36" s="1"/>
  <c r="AM10" i="22"/>
  <c r="E45" i="36" s="1"/>
  <c r="E65" i="36"/>
  <c r="G65" i="36" s="1"/>
  <c r="AK12" i="11" a="1"/>
  <c r="AK12" i="11" s="1"/>
  <c r="AK13" i="11" s="1" a="1"/>
  <c r="AK13" i="11" s="1"/>
  <c r="AK14" i="11" s="1" a="1"/>
  <c r="AK14" i="11" s="1"/>
  <c r="Q83" i="22"/>
  <c r="BA9" i="22" l="1"/>
  <c r="BA13" i="22"/>
  <c r="R25" i="22"/>
  <c r="AO10" i="22"/>
  <c r="AK15" i="11" a="1"/>
  <c r="AK15" i="11" s="1"/>
  <c r="AK16" i="11" s="1" a="1"/>
  <c r="AK16" i="11" s="1"/>
  <c r="AX13" i="22"/>
  <c r="AE83" i="22"/>
  <c r="BB34" i="22" l="1"/>
  <c r="AF25" i="22"/>
  <c r="AL10" i="22"/>
  <c r="D65" i="36"/>
  <c r="H65" i="36" s="1"/>
  <c r="AK17" i="11" a="1"/>
  <c r="AK17" i="11" s="1"/>
  <c r="AK18" i="11" s="1" a="1"/>
  <c r="AK18" i="11" s="1"/>
  <c r="R83" i="22"/>
  <c r="C15" i="104" l="1"/>
  <c r="BB9" i="22"/>
  <c r="BB13" i="22"/>
  <c r="BE34" i="22"/>
  <c r="D45" i="72"/>
  <c r="AP10" i="22"/>
  <c r="AK19" i="11" a="1"/>
  <c r="AK19" i="11" s="1"/>
  <c r="AK20" i="11" s="1" a="1"/>
  <c r="AK20" i="11" s="1"/>
  <c r="AF83" i="22"/>
  <c r="G59" i="110" l="1"/>
  <c r="T59" i="110" s="1"/>
  <c r="G80" i="110"/>
  <c r="I32" i="104"/>
  <c r="D17" i="72"/>
  <c r="BE9" i="22"/>
  <c r="D21" i="72"/>
  <c r="BE13" i="22"/>
  <c r="BF34" i="22"/>
  <c r="G45" i="72" s="1"/>
  <c r="F45" i="72"/>
  <c r="H45" i="72" s="1"/>
  <c r="AK21" i="11" a="1"/>
  <c r="AK21" i="11" s="1"/>
  <c r="J32" i="104" l="1"/>
  <c r="I33" i="104"/>
  <c r="F7" i="104" s="1"/>
  <c r="E15" i="104"/>
  <c r="BF9" i="22"/>
  <c r="G17" i="72" s="1"/>
  <c r="F17" i="72"/>
  <c r="BF13" i="22"/>
  <c r="G21" i="72" s="1"/>
  <c r="F21" i="72"/>
  <c r="AK22" i="11" a="1"/>
  <c r="AK22" i="11" s="1"/>
  <c r="E131" i="110" l="1"/>
  <c r="H131" i="110" s="1"/>
  <c r="O131" i="110" s="1"/>
  <c r="H21" i="72"/>
  <c r="E129" i="110"/>
  <c r="H129" i="110" s="1"/>
  <c r="O129" i="110" s="1"/>
  <c r="H17" i="72"/>
  <c r="J33" i="104"/>
  <c r="F149" i="110"/>
  <c r="AK23" i="11" a="1"/>
  <c r="AK23" i="11" s="1"/>
  <c r="AK24" i="11" l="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5" i="36"/>
  <c r="C78" i="36" l="1"/>
  <c r="G39" i="36"/>
  <c r="F81" i="36"/>
  <c r="H42" i="36"/>
  <c r="F88" i="36"/>
  <c r="H49" i="36"/>
  <c r="G44" i="36"/>
  <c r="E83" i="36"/>
  <c r="D86" i="36"/>
  <c r="F84" i="36"/>
  <c r="H45" i="36"/>
  <c r="E82" i="36"/>
  <c r="G43" i="36"/>
  <c r="H48" i="36"/>
  <c r="F87" i="36"/>
  <c r="D87" i="36"/>
  <c r="D84" i="36"/>
  <c r="E84" i="36"/>
  <c r="G45" i="36"/>
  <c r="E89" i="36"/>
  <c r="G50" i="36"/>
  <c r="H43" i="36"/>
  <c r="E85" i="36"/>
  <c r="G46" i="36"/>
  <c r="F86" i="36"/>
  <c r="H47" i="36"/>
  <c r="D80" i="36"/>
  <c r="F80" i="36"/>
  <c r="H41" i="36"/>
  <c r="D88" i="36"/>
  <c r="H44" i="36"/>
  <c r="E81" i="36"/>
  <c r="G42" i="36"/>
  <c r="E86" i="36"/>
  <c r="G47" i="36"/>
  <c r="F89" i="36"/>
  <c r="H50" i="36"/>
  <c r="G40" i="36"/>
  <c r="E79" i="36"/>
  <c r="D81" i="36"/>
  <c r="D78" i="36"/>
  <c r="E80" i="36"/>
  <c r="G41" i="36"/>
  <c r="E88" i="36"/>
  <c r="G49" i="36"/>
  <c r="G48" i="36"/>
  <c r="E87" i="36"/>
  <c r="H84" i="36" l="1"/>
  <c r="G83" i="36"/>
  <c r="G87" i="36"/>
  <c r="G81" i="36"/>
  <c r="H86" i="36"/>
  <c r="H81" i="36"/>
  <c r="G79" i="36"/>
  <c r="G86" i="36"/>
  <c r="G85" i="36"/>
  <c r="G89" i="36"/>
  <c r="H87" i="36"/>
  <c r="H88" i="36"/>
  <c r="G78" i="36"/>
  <c r="H89" i="36"/>
  <c r="H80" i="36"/>
  <c r="G88" i="36"/>
  <c r="G80" i="36"/>
  <c r="G82" i="36"/>
  <c r="G84" i="36"/>
  <c r="B125" i="72" l="1"/>
  <c r="BA113" i="22"/>
  <c r="BC113" i="22"/>
  <c r="AY113" i="22"/>
  <c r="AW113" i="22"/>
  <c r="AZ113" i="22"/>
  <c r="BD113" i="22"/>
  <c r="BB113" i="22"/>
  <c r="E125" i="72" l="1"/>
  <c r="D125" i="72"/>
  <c r="C47" i="104"/>
  <c r="BE113" i="22"/>
  <c r="BF113" i="22" l="1"/>
  <c r="E47" i="104"/>
  <c r="I43" i="104" s="1"/>
  <c r="J43" i="104" s="1"/>
  <c r="F125" i="72"/>
  <c r="H125" i="72" s="1"/>
  <c r="G174" i="22"/>
  <c r="H176" i="22"/>
  <c r="G176" i="22"/>
  <c r="G173" i="22"/>
  <c r="G172" i="22"/>
  <c r="G175" i="22"/>
  <c r="AK14" i="63"/>
  <c r="AP10" i="63" s="1" a="1"/>
  <c r="AP10" i="63" s="1"/>
  <c r="AJ14" i="63"/>
  <c r="AO10" i="63" s="1" a="1"/>
  <c r="AO10" i="63" s="1"/>
  <c r="F14" i="63"/>
  <c r="E172" i="22"/>
  <c r="C163" i="36" s="1"/>
  <c r="C203" i="36" s="1"/>
  <c r="E176" i="22"/>
  <c r="C167" i="36" s="1"/>
  <c r="C207" i="36" s="1"/>
  <c r="E173" i="22"/>
  <c r="C164" i="36" s="1"/>
  <c r="C204" i="36" s="1"/>
  <c r="E175" i="22"/>
  <c r="C166" i="36" s="1"/>
  <c r="C206" i="36" s="1"/>
  <c r="E174" i="22"/>
  <c r="C165" i="36" s="1"/>
  <c r="C205" i="36" s="1"/>
  <c r="J172" i="22"/>
  <c r="F172" i="22"/>
  <c r="D163" i="36" s="1"/>
  <c r="J176" i="22"/>
  <c r="F176" i="22"/>
  <c r="D167" i="36" s="1"/>
  <c r="D207" i="36" s="1"/>
  <c r="I172" i="22"/>
  <c r="Q14" i="63"/>
  <c r="I175" i="22"/>
  <c r="AR14" i="63"/>
  <c r="I173" i="22"/>
  <c r="I174" i="22"/>
  <c r="I176" i="22"/>
  <c r="AT14" i="63" l="1"/>
  <c r="AT258" i="63" s="1"/>
  <c r="I44" i="104"/>
  <c r="F8" i="104" s="1"/>
  <c r="AE14" i="63"/>
  <c r="AE258" i="63" s="1"/>
  <c r="AF14" i="63"/>
  <c r="K168" i="36"/>
  <c r="K166" i="36"/>
  <c r="AO11" i="63" a="1"/>
  <c r="AO11" i="63" s="1"/>
  <c r="B12" i="65"/>
  <c r="AP11" i="63" a="1"/>
  <c r="AP11" i="63" s="1"/>
  <c r="B13" i="65" s="1"/>
  <c r="K170" i="36"/>
  <c r="K164" i="36"/>
  <c r="G14" i="63"/>
  <c r="R14" i="63" s="1"/>
  <c r="Z14" i="63" s="1"/>
  <c r="Z258" i="63" s="1"/>
  <c r="J44" i="104" l="1"/>
  <c r="I54" i="104"/>
  <c r="F150" i="110"/>
  <c r="H173" i="22"/>
  <c r="W14" i="63"/>
  <c r="W258" i="63" s="1" a="1"/>
  <c r="W258" i="63" s="1"/>
  <c r="AX12" i="65"/>
  <c r="BA13" i="65"/>
  <c r="AZ13" i="65"/>
  <c r="BA12" i="65"/>
  <c r="AZ12" i="65"/>
  <c r="AS13" i="65"/>
  <c r="AX13" i="65"/>
  <c r="AS12" i="65"/>
  <c r="C12" i="65"/>
  <c r="F173" i="22"/>
  <c r="D164" i="36" s="1"/>
  <c r="D204" i="36" s="1"/>
  <c r="L166" i="36"/>
  <c r="AU13" i="65"/>
  <c r="AT13" i="65"/>
  <c r="AU12" i="65"/>
  <c r="AT12" i="65"/>
  <c r="L164" i="36"/>
  <c r="H174" i="22"/>
  <c r="F174" i="22"/>
  <c r="D165" i="36" s="1"/>
  <c r="D205" i="36" s="1"/>
  <c r="X14" i="63"/>
  <c r="L170" i="36"/>
  <c r="L168" i="36"/>
  <c r="AP12" i="63" a="1"/>
  <c r="AP12" i="63" s="1"/>
  <c r="B14" i="65" s="1"/>
  <c r="L12" i="65"/>
  <c r="M12" i="65" s="1"/>
  <c r="AO12" i="63" a="1"/>
  <c r="AO12" i="63" s="1"/>
  <c r="AO13" i="63" s="1" a="1"/>
  <c r="AO13" i="63" s="1"/>
  <c r="L13" i="65"/>
  <c r="M13" i="65" s="1"/>
  <c r="C13" i="65"/>
  <c r="R258" i="63" l="1"/>
  <c r="F151" i="110"/>
  <c r="G147" i="110" s="1"/>
  <c r="J54" i="104"/>
  <c r="F9" i="104"/>
  <c r="X258" i="63" a="1"/>
  <c r="X258" i="63" s="1"/>
  <c r="H28" i="36" s="1"/>
  <c r="BA14" i="65"/>
  <c r="AY14" i="65"/>
  <c r="AZ14" i="65"/>
  <c r="AS14" i="65"/>
  <c r="AX14" i="65"/>
  <c r="L14" i="65"/>
  <c r="M14" i="65" s="1"/>
  <c r="AU14" i="65"/>
  <c r="AT14" i="65"/>
  <c r="Q12" i="65"/>
  <c r="M172" i="22" s="1"/>
  <c r="H30" i="36"/>
  <c r="H27" i="36"/>
  <c r="H24" i="36"/>
  <c r="H21" i="36"/>
  <c r="J175" i="22"/>
  <c r="F175" i="22"/>
  <c r="D166" i="36" s="1"/>
  <c r="D206" i="36" s="1"/>
  <c r="H175" i="22"/>
  <c r="C14" i="65"/>
  <c r="P14" i="65" s="1"/>
  <c r="AP13" i="63" a="1"/>
  <c r="AP13" i="63" s="1"/>
  <c r="B15" i="65" s="1"/>
  <c r="AO14" i="63" a="1"/>
  <c r="AO14" i="63" s="1"/>
  <c r="D13" i="65"/>
  <c r="E13" i="65" s="1"/>
  <c r="F13" i="65" s="1"/>
  <c r="G13" i="65" s="1"/>
  <c r="H13" i="65" s="1"/>
  <c r="I13" i="65" s="1"/>
  <c r="J13" i="65" s="1"/>
  <c r="K13" i="65" s="1"/>
  <c r="D12" i="65"/>
  <c r="E12" i="65" s="1"/>
  <c r="F12" i="65" s="1"/>
  <c r="G12" i="65" l="1"/>
  <c r="H12" i="65" s="1"/>
  <c r="I12" i="65" s="1"/>
  <c r="J12" i="65" s="1"/>
  <c r="K12" i="65" s="1"/>
  <c r="O12" i="65"/>
  <c r="O5" i="57" a="1"/>
  <c r="O5" i="57" s="1"/>
  <c r="M5" i="58" a="1"/>
  <c r="M5" i="58" s="1"/>
  <c r="J5" i="52" a="1"/>
  <c r="J5" i="52" s="1"/>
  <c r="I5" i="55" a="1"/>
  <c r="I5" i="55" s="1"/>
  <c r="O5" i="53" a="1"/>
  <c r="O5" i="53" s="1"/>
  <c r="I5" i="42" a="1"/>
  <c r="I5" i="42" s="1"/>
  <c r="AY12" i="65"/>
  <c r="BA15" i="65"/>
  <c r="AY15" i="65"/>
  <c r="AZ15" i="65"/>
  <c r="AS15" i="65"/>
  <c r="AX15" i="65"/>
  <c r="AM14" i="65"/>
  <c r="Q13" i="65"/>
  <c r="U13" i="65"/>
  <c r="AU15" i="65"/>
  <c r="AT15" i="65"/>
  <c r="D14" i="65"/>
  <c r="E14" i="65" s="1"/>
  <c r="F14" i="65" s="1"/>
  <c r="G14" i="65" s="1"/>
  <c r="H14" i="65" s="1"/>
  <c r="I14" i="65" s="1"/>
  <c r="J14" i="65" s="1"/>
  <c r="K14" i="65" s="1"/>
  <c r="H25" i="36"/>
  <c r="H10" i="73"/>
  <c r="AP14" i="63" a="1"/>
  <c r="AP14" i="63" s="1"/>
  <c r="AP15" i="63" s="1" a="1"/>
  <c r="AP15" i="63" s="1"/>
  <c r="AV13" i="65"/>
  <c r="R13" i="65"/>
  <c r="S13" i="65" s="1"/>
  <c r="O13" i="65" s="1"/>
  <c r="AE13" i="65"/>
  <c r="R12" i="65"/>
  <c r="S12" i="65" s="1"/>
  <c r="AE12" i="65"/>
  <c r="U12" i="65"/>
  <c r="AV12" i="65"/>
  <c r="AO15" i="63" a="1"/>
  <c r="AO15" i="63" s="1"/>
  <c r="AO16" i="63" s="1" a="1"/>
  <c r="AO16" i="63" s="1"/>
  <c r="C15" i="65"/>
  <c r="P15" i="65" s="1"/>
  <c r="L15" i="65"/>
  <c r="M15" i="65" s="1"/>
  <c r="AY13" i="65" l="1"/>
  <c r="P13" i="65"/>
  <c r="Y13" i="65" s="1"/>
  <c r="P12" i="65"/>
  <c r="Y12" i="65" s="1"/>
  <c r="E63" i="73"/>
  <c r="F63" i="73" s="1"/>
  <c r="F5" i="110" s="1"/>
  <c r="E5" i="110"/>
  <c r="AM15" i="65"/>
  <c r="AH14" i="65"/>
  <c r="Q14" i="65"/>
  <c r="Q15" i="65"/>
  <c r="AE14" i="65"/>
  <c r="U14" i="65"/>
  <c r="AV14" i="65"/>
  <c r="R14" i="65"/>
  <c r="S14" i="65" s="1"/>
  <c r="O14" i="65" s="1"/>
  <c r="Y14" i="65" s="1"/>
  <c r="B16" i="65"/>
  <c r="AP16" i="63" a="1"/>
  <c r="AP16" i="63" s="1"/>
  <c r="AO17" i="63" a="1"/>
  <c r="AO17" i="63" s="1"/>
  <c r="D15" i="65"/>
  <c r="E15" i="65" s="1"/>
  <c r="F15" i="65" s="1"/>
  <c r="G15" i="65" s="1"/>
  <c r="H15" i="65" s="1"/>
  <c r="I15" i="65" s="1"/>
  <c r="J15" i="65" s="1"/>
  <c r="K15" i="65" s="1"/>
  <c r="B17" i="65"/>
  <c r="AZ17" i="65" l="1"/>
  <c r="BA17" i="65"/>
  <c r="AY17" i="65"/>
  <c r="AZ16" i="65"/>
  <c r="BA16" i="65"/>
  <c r="AY16" i="65"/>
  <c r="AS17" i="65"/>
  <c r="AX17" i="65"/>
  <c r="AS16" i="65"/>
  <c r="AX16" i="65"/>
  <c r="AU17" i="65"/>
  <c r="AT17" i="65"/>
  <c r="L16" i="65"/>
  <c r="M16" i="65" s="1"/>
  <c r="AT16" i="65"/>
  <c r="AU16" i="65"/>
  <c r="U15" i="65"/>
  <c r="AH15" i="65"/>
  <c r="AB13" i="65"/>
  <c r="C16" i="65"/>
  <c r="P16" i="65" s="1"/>
  <c r="AP17" i="63" a="1"/>
  <c r="AP17" i="63" s="1"/>
  <c r="B19" i="65" s="1"/>
  <c r="AO18" i="63" a="1"/>
  <c r="AO18" i="63" s="1"/>
  <c r="AO19" i="63" s="1" a="1"/>
  <c r="AO19" i="63" s="1"/>
  <c r="AE15" i="65"/>
  <c r="R15" i="65"/>
  <c r="S15" i="65" s="1"/>
  <c r="O15" i="65" s="1"/>
  <c r="Y15" i="65" s="1"/>
  <c r="AV15" i="65"/>
  <c r="B18" i="65"/>
  <c r="C17" i="65"/>
  <c r="P17" i="65" s="1"/>
  <c r="L17" i="65"/>
  <c r="M17" i="65" s="1"/>
  <c r="AZ19" i="65" l="1"/>
  <c r="AY19" i="65"/>
  <c r="BA19" i="65"/>
  <c r="AZ18" i="65"/>
  <c r="AY18" i="65"/>
  <c r="BA18" i="65"/>
  <c r="AS19" i="65"/>
  <c r="AX19" i="65"/>
  <c r="AS18" i="65"/>
  <c r="AX18" i="65"/>
  <c r="AM16" i="65"/>
  <c r="AM17" i="65"/>
  <c r="C19" i="65"/>
  <c r="P19" i="65" s="1"/>
  <c r="AU19" i="65"/>
  <c r="AT19" i="65"/>
  <c r="AU18" i="65"/>
  <c r="AT18" i="65"/>
  <c r="AC13" i="65"/>
  <c r="AD13" i="65" s="1"/>
  <c r="Q17" i="65"/>
  <c r="Q16" i="65"/>
  <c r="AB14" i="65"/>
  <c r="AF13" i="65"/>
  <c r="AG13" i="65" s="1"/>
  <c r="AH13" i="65" s="1"/>
  <c r="AM13" i="65" s="1"/>
  <c r="AF14" i="65"/>
  <c r="D16" i="65"/>
  <c r="E16" i="65" s="1"/>
  <c r="F16" i="65" s="1"/>
  <c r="G16" i="65" s="1"/>
  <c r="H16" i="65" s="1"/>
  <c r="I16" i="65" s="1"/>
  <c r="J16" i="65" s="1"/>
  <c r="K16" i="65" s="1"/>
  <c r="L19" i="65"/>
  <c r="M19" i="65" s="1"/>
  <c r="AP18" i="63" a="1"/>
  <c r="AP18" i="63" s="1"/>
  <c r="B20" i="65" s="1"/>
  <c r="AO20" i="63" a="1"/>
  <c r="AO20" i="63" s="1"/>
  <c r="AO21" i="63" s="1" a="1"/>
  <c r="AO21" i="63" s="1"/>
  <c r="D17" i="65"/>
  <c r="E17" i="65" s="1"/>
  <c r="F17" i="65" s="1"/>
  <c r="G17" i="65" s="1"/>
  <c r="H17" i="65" s="1"/>
  <c r="I17" i="65" s="1"/>
  <c r="J17" i="65" s="1"/>
  <c r="K17" i="65" s="1"/>
  <c r="AB15" i="65"/>
  <c r="AC15" i="65" s="1"/>
  <c r="L18" i="65"/>
  <c r="M18" i="65" s="1"/>
  <c r="C18" i="65"/>
  <c r="P18" i="65" s="1"/>
  <c r="AZ20" i="65" l="1"/>
  <c r="BA20" i="65"/>
  <c r="AY20" i="65"/>
  <c r="AS20" i="65"/>
  <c r="AX20" i="65"/>
  <c r="AM18" i="65"/>
  <c r="AM19" i="65"/>
  <c r="D19" i="65"/>
  <c r="E19" i="65" s="1"/>
  <c r="F19" i="65" s="1"/>
  <c r="G19" i="65" s="1"/>
  <c r="H19" i="65" s="1"/>
  <c r="I19" i="65" s="1"/>
  <c r="J19" i="65" s="1"/>
  <c r="K19" i="65" s="1"/>
  <c r="Q19" i="65"/>
  <c r="AT20" i="65"/>
  <c r="AU20" i="65"/>
  <c r="U17" i="65"/>
  <c r="AH17" i="65"/>
  <c r="U16" i="65"/>
  <c r="AH16" i="65"/>
  <c r="AC14" i="65"/>
  <c r="AD14" i="65" s="1"/>
  <c r="AE16" i="65"/>
  <c r="Q18" i="65"/>
  <c r="AG14" i="65"/>
  <c r="R16" i="65"/>
  <c r="S16" i="65" s="1"/>
  <c r="AV16" i="65"/>
  <c r="O16" i="65"/>
  <c r="Y16" i="65" s="1"/>
  <c r="L20" i="65"/>
  <c r="M20" i="65" s="1"/>
  <c r="C20" i="65"/>
  <c r="P20" i="65" s="1"/>
  <c r="AP19" i="63" a="1"/>
  <c r="AP19" i="63" s="1"/>
  <c r="AO22" i="63" a="1"/>
  <c r="AO22" i="63" s="1"/>
  <c r="D18" i="65"/>
  <c r="E18" i="65" s="1"/>
  <c r="F18" i="65" s="1"/>
  <c r="G18" i="65" s="1"/>
  <c r="H18" i="65" s="1"/>
  <c r="I18" i="65" s="1"/>
  <c r="J18" i="65" s="1"/>
  <c r="K18" i="65" s="1"/>
  <c r="AD15" i="65"/>
  <c r="AF15" i="65"/>
  <c r="AG15" i="65" s="1"/>
  <c r="R17" i="65"/>
  <c r="S17" i="65" s="1"/>
  <c r="O17" i="65" s="1"/>
  <c r="Y17" i="65" s="1"/>
  <c r="AE17" i="65"/>
  <c r="AV17" i="65"/>
  <c r="AM20" i="65" l="1"/>
  <c r="U19" i="65"/>
  <c r="AV19" i="65"/>
  <c r="R19" i="65"/>
  <c r="S19" i="65" s="1"/>
  <c r="O19" i="65" s="1"/>
  <c r="AE19" i="65"/>
  <c r="AH19" i="65"/>
  <c r="U18" i="65"/>
  <c r="AH18" i="65"/>
  <c r="AB16" i="65"/>
  <c r="AC16" i="65" s="1"/>
  <c r="AF16" i="65"/>
  <c r="AP20" i="63" a="1"/>
  <c r="AP20" i="63" s="1"/>
  <c r="B22" i="65" s="1"/>
  <c r="B21" i="65"/>
  <c r="D20" i="65"/>
  <c r="E20" i="65" s="1"/>
  <c r="F20" i="65" s="1"/>
  <c r="G20" i="65" s="1"/>
  <c r="H20" i="65" s="1"/>
  <c r="I20" i="65" s="1"/>
  <c r="J20" i="65" s="1"/>
  <c r="K20" i="65" s="1"/>
  <c r="AO23" i="63" a="1"/>
  <c r="AO23" i="63" s="1"/>
  <c r="AO24" i="63" s="1" a="1"/>
  <c r="AO24" i="63" s="1"/>
  <c r="AO25" i="63" s="1" a="1"/>
  <c r="AO25" i="63" s="1"/>
  <c r="AO26" i="63" s="1" a="1"/>
  <c r="AO26" i="63" s="1"/>
  <c r="AO27" i="63" s="1" a="1"/>
  <c r="AO27" i="63" s="1"/>
  <c r="AO28" i="63" s="1" a="1"/>
  <c r="AO28" i="63" s="1"/>
  <c r="AO29" i="63" s="1" a="1"/>
  <c r="AO29" i="63" s="1"/>
  <c r="AB17" i="65"/>
  <c r="AC17" i="65" s="1"/>
  <c r="AV18" i="65"/>
  <c r="R18" i="65"/>
  <c r="S18" i="65" s="1"/>
  <c r="O18" i="65" s="1"/>
  <c r="Y18" i="65" s="1"/>
  <c r="AE18" i="65"/>
  <c r="AF19" i="65"/>
  <c r="Y19" i="65" l="1"/>
  <c r="AB19" i="65" s="1"/>
  <c r="AC19" i="65" s="1"/>
  <c r="AD19" i="65" s="1"/>
  <c r="BA21" i="65"/>
  <c r="AZ21" i="65"/>
  <c r="AY21" i="65"/>
  <c r="BA22" i="65"/>
  <c r="AZ22" i="65"/>
  <c r="AY22" i="65"/>
  <c r="AS21" i="65"/>
  <c r="AX21" i="65"/>
  <c r="AS22" i="65"/>
  <c r="AX22" i="65"/>
  <c r="AH20" i="65"/>
  <c r="Q20" i="65"/>
  <c r="AU22" i="65"/>
  <c r="AT22" i="65"/>
  <c r="AU21" i="65"/>
  <c r="AT21" i="65"/>
  <c r="AD16" i="65"/>
  <c r="AG16" i="65"/>
  <c r="U20" i="65"/>
  <c r="AB18" i="65"/>
  <c r="AC18" i="65" s="1"/>
  <c r="R20" i="65"/>
  <c r="S20" i="65" s="1"/>
  <c r="O20" i="65" s="1"/>
  <c r="Y20" i="65" s="1"/>
  <c r="AV20" i="65"/>
  <c r="AE20" i="65"/>
  <c r="AP21" i="63" a="1"/>
  <c r="AP21" i="63" s="1"/>
  <c r="B23" i="65" s="1"/>
  <c r="L21" i="65"/>
  <c r="M21" i="65" s="1"/>
  <c r="C21" i="65"/>
  <c r="P21" i="65" s="1"/>
  <c r="C22" i="65"/>
  <c r="P22" i="65" s="1"/>
  <c r="L22" i="65"/>
  <c r="M22" i="65" s="1"/>
  <c r="AO30" i="63" a="1"/>
  <c r="AO30" i="63" s="1"/>
  <c r="AO31" i="63" s="1" a="1"/>
  <c r="AO31" i="63" s="1"/>
  <c r="AO32" i="63" s="1" a="1"/>
  <c r="AO32" i="63" s="1"/>
  <c r="AO33" i="63" s="1" a="1"/>
  <c r="AO33" i="63" s="1"/>
  <c r="AD17" i="65"/>
  <c r="AF17" i="65"/>
  <c r="AG17" i="65" s="1"/>
  <c r="AG19" i="65" l="1"/>
  <c r="BA23" i="65"/>
  <c r="AZ23" i="65"/>
  <c r="AY23" i="65"/>
  <c r="AS23" i="65"/>
  <c r="AX23" i="65"/>
  <c r="AM21" i="65"/>
  <c r="AM22" i="65"/>
  <c r="AU23" i="65"/>
  <c r="AT23" i="65"/>
  <c r="Q22" i="65"/>
  <c r="AD18" i="65"/>
  <c r="AF18" i="65"/>
  <c r="AG18" i="65" s="1"/>
  <c r="AP22" i="63" a="1"/>
  <c r="AP22" i="63" s="1"/>
  <c r="B24" i="65" s="1"/>
  <c r="D21" i="65"/>
  <c r="E21" i="65" s="1"/>
  <c r="F21" i="65" s="1"/>
  <c r="G21" i="65" s="1"/>
  <c r="H21" i="65" s="1"/>
  <c r="I21" i="65" s="1"/>
  <c r="J21" i="65" s="1"/>
  <c r="K21" i="65" s="1"/>
  <c r="L23" i="65"/>
  <c r="M23" i="65" s="1"/>
  <c r="C23" i="65"/>
  <c r="P23" i="65" s="1"/>
  <c r="D22" i="65"/>
  <c r="E22" i="65" s="1"/>
  <c r="F22" i="65" s="1"/>
  <c r="G22" i="65" s="1"/>
  <c r="H22" i="65" s="1"/>
  <c r="I22" i="65" s="1"/>
  <c r="J22" i="65" s="1"/>
  <c r="K22" i="65" s="1"/>
  <c r="AO34" i="63" a="1"/>
  <c r="AO34" i="63" s="1"/>
  <c r="AO35" i="63" s="1" a="1"/>
  <c r="AO35" i="63" s="1"/>
  <c r="AO36" i="63" s="1" a="1"/>
  <c r="AO36" i="63" s="1"/>
  <c r="AO37" i="63" s="1" a="1"/>
  <c r="AO37" i="63" s="1"/>
  <c r="AO38" i="63" s="1" a="1"/>
  <c r="AO38" i="63" s="1"/>
  <c r="AO39" i="63" s="1" a="1"/>
  <c r="AO39" i="63" s="1"/>
  <c r="AO40" i="63" s="1" a="1"/>
  <c r="AO40" i="63" s="1"/>
  <c r="AO41" i="63" s="1" a="1"/>
  <c r="AO41" i="63" s="1"/>
  <c r="AO42" i="63" s="1" a="1"/>
  <c r="AO42" i="63" s="1"/>
  <c r="AO43" i="63" s="1" a="1"/>
  <c r="AO43" i="63" s="1"/>
  <c r="AO44" i="63" s="1" a="1"/>
  <c r="AO44" i="63" s="1"/>
  <c r="AO45" i="63" s="1" a="1"/>
  <c r="AO45" i="63" s="1"/>
  <c r="AO46" i="63" s="1" a="1"/>
  <c r="AO46" i="63" s="1"/>
  <c r="AO47" i="63" s="1" a="1"/>
  <c r="AO47" i="63" s="1"/>
  <c r="AO48" i="63" s="1" a="1"/>
  <c r="AO48" i="63" s="1"/>
  <c r="AO49" i="63" s="1" a="1"/>
  <c r="AO49" i="63" s="1"/>
  <c r="AO50" i="63" s="1" a="1"/>
  <c r="AO50" i="63" s="1"/>
  <c r="AO51" i="63" s="1" a="1"/>
  <c r="AO51" i="63" s="1"/>
  <c r="AO52" i="63" s="1" a="1"/>
  <c r="AO52" i="63" s="1"/>
  <c r="AO53" i="63" s="1" a="1"/>
  <c r="AO53" i="63" s="1"/>
  <c r="AO54" i="63" s="1" a="1"/>
  <c r="AO54" i="63" s="1"/>
  <c r="AO55" i="63" s="1" a="1"/>
  <c r="AO55" i="63" s="1"/>
  <c r="AO56" i="63" s="1" a="1"/>
  <c r="AO56" i="63" s="1"/>
  <c r="AO57" i="63" s="1" a="1"/>
  <c r="AO57" i="63" s="1"/>
  <c r="AO58" i="63" s="1" a="1"/>
  <c r="AO58" i="63" s="1"/>
  <c r="AO59" i="63" s="1" a="1"/>
  <c r="AO59" i="63" s="1"/>
  <c r="AO60" i="63" s="1" a="1"/>
  <c r="AO60" i="63" s="1"/>
  <c r="AO61" i="63" s="1" a="1"/>
  <c r="AO61" i="63" s="1"/>
  <c r="AO62" i="63" s="1" a="1"/>
  <c r="AO62" i="63" s="1"/>
  <c r="AO63" i="63" s="1" a="1"/>
  <c r="AO63" i="63" s="1"/>
  <c r="AO64" i="63" s="1" a="1"/>
  <c r="AO64" i="63" s="1"/>
  <c r="AO65" i="63" s="1" a="1"/>
  <c r="AO65" i="63" s="1"/>
  <c r="AO66" i="63" s="1" a="1"/>
  <c r="AO66" i="63" s="1"/>
  <c r="AO67" i="63" s="1" a="1"/>
  <c r="AO67" i="63" s="1"/>
  <c r="AO68" i="63" s="1" a="1"/>
  <c r="AO68" i="63" s="1"/>
  <c r="AO69" i="63" s="1" a="1"/>
  <c r="AO69" i="63" s="1"/>
  <c r="AO70" i="63" s="1" a="1"/>
  <c r="AO70" i="63" s="1"/>
  <c r="AO71" i="63" s="1" a="1"/>
  <c r="AO71" i="63" s="1"/>
  <c r="AO72" i="63" s="1" a="1"/>
  <c r="AO72" i="63" s="1"/>
  <c r="AO73" i="63" s="1" a="1"/>
  <c r="AO73" i="63" s="1"/>
  <c r="AO74" i="63" s="1" a="1"/>
  <c r="AO74" i="63" s="1"/>
  <c r="AO75" i="63" s="1" a="1"/>
  <c r="AO75" i="63" s="1"/>
  <c r="AO76" i="63" s="1" a="1"/>
  <c r="AO76" i="63" s="1"/>
  <c r="AO77" i="63" s="1" a="1"/>
  <c r="AO77" i="63" s="1"/>
  <c r="AO78" i="63" s="1" a="1"/>
  <c r="AO78" i="63" s="1"/>
  <c r="AO79" i="63" s="1" a="1"/>
  <c r="AO79" i="63" s="1"/>
  <c r="AO80" i="63" s="1" a="1"/>
  <c r="AO80" i="63" s="1"/>
  <c r="AO81" i="63" s="1" a="1"/>
  <c r="AO81" i="63" s="1"/>
  <c r="AO82" i="63" s="1" a="1"/>
  <c r="AO82" i="63" s="1"/>
  <c r="AO83" i="63" s="1" a="1"/>
  <c r="AO83" i="63" s="1"/>
  <c r="AO84" i="63" s="1" a="1"/>
  <c r="AO84" i="63" s="1"/>
  <c r="AO85" i="63" s="1" a="1"/>
  <c r="AO85" i="63" s="1"/>
  <c r="AO86" i="63" s="1" a="1"/>
  <c r="AO86" i="63" s="1"/>
  <c r="AO87" i="63" s="1" a="1"/>
  <c r="AO87" i="63" s="1"/>
  <c r="AO88" i="63" s="1" a="1"/>
  <c r="AO88" i="63" s="1"/>
  <c r="AO89" i="63" s="1" a="1"/>
  <c r="AO89" i="63" s="1"/>
  <c r="AO90" i="63" s="1" a="1"/>
  <c r="AO90" i="63" s="1"/>
  <c r="AO91" i="63" s="1" a="1"/>
  <c r="AO91" i="63" s="1"/>
  <c r="AO92" i="63" s="1" a="1"/>
  <c r="AO92" i="63" s="1"/>
  <c r="AO93" i="63" s="1" a="1"/>
  <c r="AO93" i="63" s="1"/>
  <c r="AO94" i="63" s="1" a="1"/>
  <c r="AO94" i="63" s="1"/>
  <c r="AO95" i="63" s="1" a="1"/>
  <c r="AO95" i="63" s="1"/>
  <c r="AO96" i="63" s="1" a="1"/>
  <c r="AO96" i="63" s="1"/>
  <c r="AO97" i="63" s="1" a="1"/>
  <c r="AO97" i="63" s="1"/>
  <c r="AO98" i="63" s="1" a="1"/>
  <c r="AO98" i="63" s="1"/>
  <c r="AO99" i="63" s="1" a="1"/>
  <c r="AO99" i="63" s="1"/>
  <c r="AO100" i="63" s="1" a="1"/>
  <c r="AO100" i="63" s="1"/>
  <c r="AO101" i="63" s="1" a="1"/>
  <c r="AO101" i="63" s="1"/>
  <c r="AO102" i="63" s="1" a="1"/>
  <c r="AO102" i="63" s="1"/>
  <c r="AO103" i="63" s="1" a="1"/>
  <c r="AO103" i="63" s="1"/>
  <c r="AO104" i="63" s="1" a="1"/>
  <c r="AO104" i="63" s="1"/>
  <c r="AO105" i="63" s="1" a="1"/>
  <c r="AO105" i="63" s="1"/>
  <c r="AO106" i="63" s="1" a="1"/>
  <c r="AO106" i="63" s="1"/>
  <c r="AO107" i="63" s="1" a="1"/>
  <c r="AO107" i="63" s="1"/>
  <c r="AO108" i="63" s="1" a="1"/>
  <c r="AO108" i="63" s="1"/>
  <c r="AO109" i="63" s="1" a="1"/>
  <c r="AO109" i="63" s="1"/>
  <c r="AO110" i="63" s="1" a="1"/>
  <c r="AO110" i="63" s="1"/>
  <c r="AO111" i="63" s="1" a="1"/>
  <c r="AO111" i="63" s="1"/>
  <c r="AO112" i="63" s="1" a="1"/>
  <c r="AO112" i="63" s="1"/>
  <c r="AO113" i="63" s="1" a="1"/>
  <c r="AO113" i="63" s="1"/>
  <c r="AO114" i="63" s="1" a="1"/>
  <c r="AO114" i="63" s="1"/>
  <c r="AO115" i="63" s="1" a="1"/>
  <c r="AO115" i="63" s="1"/>
  <c r="AO116" i="63" s="1" a="1"/>
  <c r="AO116" i="63" s="1"/>
  <c r="AO117" i="63" s="1" a="1"/>
  <c r="AO117" i="63" s="1"/>
  <c r="AO118" i="63" s="1" a="1"/>
  <c r="AO118" i="63" s="1"/>
  <c r="AO119" i="63" s="1" a="1"/>
  <c r="AO119" i="63" s="1"/>
  <c r="AO120" i="63" s="1" a="1"/>
  <c r="AO120" i="63" s="1"/>
  <c r="AO121" i="63" s="1" a="1"/>
  <c r="AO121" i="63" s="1"/>
  <c r="AO122" i="63" s="1" a="1"/>
  <c r="AO122" i="63" s="1"/>
  <c r="AO123" i="63" s="1" a="1"/>
  <c r="AO123" i="63" s="1"/>
  <c r="AO124" i="63" s="1" a="1"/>
  <c r="AO124" i="63" s="1"/>
  <c r="AO125" i="63" s="1" a="1"/>
  <c r="AO125" i="63" s="1"/>
  <c r="AO126" i="63" s="1" a="1"/>
  <c r="AO126" i="63" s="1"/>
  <c r="AO127" i="63" s="1" a="1"/>
  <c r="AO127" i="63" s="1"/>
  <c r="AO128" i="63" s="1" a="1"/>
  <c r="AO128" i="63" s="1"/>
  <c r="AO129" i="63" s="1" a="1"/>
  <c r="AO129" i="63" s="1"/>
  <c r="AO130" i="63" s="1" a="1"/>
  <c r="AO130" i="63" s="1"/>
  <c r="AO131" i="63" s="1" a="1"/>
  <c r="AO131" i="63" s="1"/>
  <c r="AO132" i="63" s="1" a="1"/>
  <c r="AO132" i="63" s="1"/>
  <c r="AO133" i="63" s="1" a="1"/>
  <c r="AO133" i="63" s="1"/>
  <c r="AO134" i="63" s="1" a="1"/>
  <c r="AO134" i="63" s="1"/>
  <c r="AO135" i="63" s="1" a="1"/>
  <c r="AO135" i="63" s="1"/>
  <c r="AO136" i="63" s="1" a="1"/>
  <c r="AO136" i="63" s="1"/>
  <c r="AO137" i="63" s="1" a="1"/>
  <c r="AO137" i="63" s="1"/>
  <c r="AO138" i="63" s="1" a="1"/>
  <c r="AO138" i="63" s="1"/>
  <c r="AO139" i="63" s="1" a="1"/>
  <c r="AO139" i="63" s="1"/>
  <c r="AO140" i="63" s="1" a="1"/>
  <c r="AO140" i="63" s="1"/>
  <c r="AO141" i="63" s="1" a="1"/>
  <c r="AO141" i="63" s="1"/>
  <c r="AO142" i="63" s="1" a="1"/>
  <c r="AO142" i="63" s="1"/>
  <c r="AO143" i="63" s="1" a="1"/>
  <c r="AO143" i="63" s="1"/>
  <c r="AO144" i="63" s="1" a="1"/>
  <c r="AO144" i="63" s="1"/>
  <c r="AO145" i="63" s="1" a="1"/>
  <c r="AO145" i="63" s="1"/>
  <c r="AO146" i="63" s="1" a="1"/>
  <c r="AO146" i="63" s="1"/>
  <c r="AO147" i="63" s="1" a="1"/>
  <c r="AO147" i="63" s="1"/>
  <c r="AO148" i="63" s="1" a="1"/>
  <c r="AO148" i="63" s="1"/>
  <c r="AO149" i="63" s="1" a="1"/>
  <c r="AO149" i="63" s="1"/>
  <c r="AO150" i="63" s="1" a="1"/>
  <c r="AO150" i="63" s="1"/>
  <c r="AO151" i="63" s="1" a="1"/>
  <c r="AO151" i="63" s="1"/>
  <c r="AO152" i="63" s="1" a="1"/>
  <c r="AO152" i="63" s="1"/>
  <c r="AO153" i="63" s="1" a="1"/>
  <c r="AO153" i="63" s="1"/>
  <c r="AO154" i="63" s="1" a="1"/>
  <c r="AO154" i="63" s="1"/>
  <c r="AO155" i="63" s="1" a="1"/>
  <c r="AO155" i="63" s="1"/>
  <c r="AO156" i="63" s="1" a="1"/>
  <c r="AO156" i="63" s="1"/>
  <c r="AO157" i="63" s="1" a="1"/>
  <c r="AO157" i="63" s="1"/>
  <c r="AO158" i="63" s="1" a="1"/>
  <c r="AO158" i="63" s="1"/>
  <c r="AO159" i="63" s="1" a="1"/>
  <c r="AO159" i="63" s="1"/>
  <c r="AO160" i="63" s="1" a="1"/>
  <c r="AO160" i="63" s="1"/>
  <c r="AO161" i="63" s="1" a="1"/>
  <c r="AO161" i="63" s="1"/>
  <c r="AO162" i="63" s="1" a="1"/>
  <c r="AO162" i="63" s="1"/>
  <c r="AO163" i="63" s="1" a="1"/>
  <c r="AO163" i="63" s="1"/>
  <c r="AO164" i="63" s="1" a="1"/>
  <c r="AO164" i="63" s="1"/>
  <c r="AO165" i="63" s="1" a="1"/>
  <c r="AO165" i="63" s="1"/>
  <c r="AO166" i="63" s="1" a="1"/>
  <c r="AO166" i="63" s="1"/>
  <c r="AO167" i="63" s="1" a="1"/>
  <c r="AO167" i="63" s="1"/>
  <c r="AO168" i="63" s="1" a="1"/>
  <c r="AO168" i="63" s="1"/>
  <c r="AO169" i="63" s="1" a="1"/>
  <c r="AO169" i="63" s="1"/>
  <c r="AO170" i="63" s="1" a="1"/>
  <c r="AO170" i="63" s="1"/>
  <c r="AO171" i="63" s="1" a="1"/>
  <c r="AO171" i="63" s="1"/>
  <c r="AO172" i="63" s="1" a="1"/>
  <c r="AO172" i="63" s="1"/>
  <c r="AO173" i="63" s="1" a="1"/>
  <c r="AO173" i="63" s="1"/>
  <c r="AO174" i="63" s="1" a="1"/>
  <c r="AO174" i="63" s="1"/>
  <c r="AO175" i="63" s="1" a="1"/>
  <c r="AO175" i="63" s="1"/>
  <c r="AO176" i="63" s="1" a="1"/>
  <c r="AO176" i="63" s="1"/>
  <c r="AO177" i="63" s="1" a="1"/>
  <c r="AO177" i="63" s="1"/>
  <c r="AO178" i="63" s="1" a="1"/>
  <c r="AO178" i="63" s="1"/>
  <c r="AO179" i="63" s="1" a="1"/>
  <c r="AO179" i="63" s="1"/>
  <c r="AO180" i="63" s="1" a="1"/>
  <c r="AO180" i="63" s="1"/>
  <c r="AO181" i="63" s="1" a="1"/>
  <c r="AO181" i="63" s="1"/>
  <c r="AO182" i="63" s="1" a="1"/>
  <c r="AO182" i="63" s="1"/>
  <c r="AO183" i="63" s="1" a="1"/>
  <c r="AO183" i="63" s="1"/>
  <c r="AO184" i="63" s="1" a="1"/>
  <c r="AO184" i="63" s="1"/>
  <c r="AO185" i="63" s="1" a="1"/>
  <c r="AO185" i="63" s="1"/>
  <c r="AO186" i="63" s="1" a="1"/>
  <c r="AO186" i="63" s="1"/>
  <c r="AO187" i="63" s="1" a="1"/>
  <c r="AO187" i="63" s="1"/>
  <c r="AO188" i="63" s="1" a="1"/>
  <c r="AO188" i="63" s="1"/>
  <c r="AO189" i="63" s="1" a="1"/>
  <c r="AO189" i="63" s="1"/>
  <c r="AO190" i="63" s="1" a="1"/>
  <c r="AO190" i="63" s="1"/>
  <c r="AO191" i="63" s="1" a="1"/>
  <c r="AO191" i="63" s="1"/>
  <c r="AO192" i="63" s="1" a="1"/>
  <c r="AO192" i="63" s="1"/>
  <c r="AO193" i="63" s="1" a="1"/>
  <c r="AO193" i="63" s="1"/>
  <c r="AO194" i="63" s="1" a="1"/>
  <c r="AO194" i="63" s="1"/>
  <c r="AO195" i="63" s="1" a="1"/>
  <c r="AO195" i="63" s="1"/>
  <c r="AO196" i="63" s="1" a="1"/>
  <c r="AO196" i="63" s="1"/>
  <c r="AO197" i="63" s="1" a="1"/>
  <c r="AO197" i="63" s="1"/>
  <c r="AO198" i="63" s="1" a="1"/>
  <c r="AO198" i="63" s="1"/>
  <c r="AO199" i="63" s="1" a="1"/>
  <c r="AO199" i="63" s="1"/>
  <c r="AO200" i="63" s="1" a="1"/>
  <c r="AO200" i="63" s="1"/>
  <c r="AO201" i="63" s="1" a="1"/>
  <c r="AO201" i="63" s="1"/>
  <c r="AO202" i="63" s="1" a="1"/>
  <c r="AO202" i="63" s="1"/>
  <c r="AO203" i="63" s="1" a="1"/>
  <c r="AO203" i="63" s="1"/>
  <c r="AO204" i="63" s="1" a="1"/>
  <c r="AO204" i="63" s="1"/>
  <c r="AO205" i="63" s="1" a="1"/>
  <c r="AO205" i="63" s="1"/>
  <c r="AO206" i="63" s="1" a="1"/>
  <c r="AO206" i="63" s="1"/>
  <c r="AO207" i="63" s="1" a="1"/>
  <c r="AO207" i="63" s="1"/>
  <c r="AO208" i="63" s="1" a="1"/>
  <c r="AO208" i="63" s="1"/>
  <c r="AO209" i="63" s="1" a="1"/>
  <c r="AO209" i="63" s="1"/>
  <c r="AO210" i="63" s="1" a="1"/>
  <c r="AO210" i="63" s="1"/>
  <c r="AO211" i="63" s="1" a="1"/>
  <c r="AO211" i="63" s="1"/>
  <c r="AO212" i="63" s="1" a="1"/>
  <c r="AO212" i="63" s="1"/>
  <c r="AO213" i="63" s="1" a="1"/>
  <c r="AO213" i="63" s="1"/>
  <c r="AO214" i="63" s="1" a="1"/>
  <c r="AO214" i="63" s="1"/>
  <c r="AO215" i="63" s="1" a="1"/>
  <c r="AO215" i="63" s="1"/>
  <c r="AO216" i="63" s="1" a="1"/>
  <c r="AO216" i="63" s="1"/>
  <c r="AO217" i="63" s="1" a="1"/>
  <c r="AO217" i="63" s="1"/>
  <c r="AO218" i="63" s="1" a="1"/>
  <c r="AO218" i="63" s="1"/>
  <c r="AO219" i="63" s="1" a="1"/>
  <c r="AO219" i="63" s="1"/>
  <c r="AO220" i="63" s="1" a="1"/>
  <c r="AO220" i="63" s="1"/>
  <c r="AO221" i="63" s="1" a="1"/>
  <c r="AO221" i="63" s="1"/>
  <c r="AO222" i="63" s="1" a="1"/>
  <c r="AO222" i="63" s="1"/>
  <c r="AO223" i="63" s="1" a="1"/>
  <c r="AO223" i="63" s="1"/>
  <c r="AO224" i="63" s="1" a="1"/>
  <c r="AO224" i="63" s="1"/>
  <c r="AO225" i="63" s="1" a="1"/>
  <c r="AO225" i="63" s="1"/>
  <c r="AO226" i="63" s="1" a="1"/>
  <c r="AO226" i="63" s="1"/>
  <c r="AO227" i="63" s="1" a="1"/>
  <c r="AO227" i="63" s="1"/>
  <c r="AO228" i="63" s="1" a="1"/>
  <c r="AO228" i="63" s="1"/>
  <c r="AO229" i="63" s="1" a="1"/>
  <c r="AO229" i="63" s="1"/>
  <c r="AO230" i="63" s="1" a="1"/>
  <c r="AO230" i="63" s="1"/>
  <c r="AO231" i="63" s="1" a="1"/>
  <c r="AO231" i="63" s="1"/>
  <c r="AO232" i="63" s="1" a="1"/>
  <c r="AO232" i="63" s="1"/>
  <c r="AO233" i="63" s="1" a="1"/>
  <c r="AO233" i="63" s="1"/>
  <c r="AO234" i="63" s="1" a="1"/>
  <c r="AO234" i="63" s="1"/>
  <c r="AO235" i="63" s="1" a="1"/>
  <c r="AO235" i="63" s="1"/>
  <c r="AO236" i="63" s="1" a="1"/>
  <c r="AO236" i="63" s="1"/>
  <c r="AO237" i="63" s="1" a="1"/>
  <c r="AO237" i="63" s="1"/>
  <c r="AO238" i="63" s="1" a="1"/>
  <c r="AO238" i="63" s="1"/>
  <c r="AO239" i="63" s="1" a="1"/>
  <c r="AO239" i="63" s="1"/>
  <c r="AO240" i="63" s="1" a="1"/>
  <c r="AO240" i="63" s="1"/>
  <c r="AO241" i="63" s="1" a="1"/>
  <c r="AO241" i="63" s="1"/>
  <c r="AO242" i="63" s="1" a="1"/>
  <c r="AO242" i="63" s="1"/>
  <c r="AO243" i="63" s="1" a="1"/>
  <c r="AO243" i="63" s="1"/>
  <c r="AO244" i="63" s="1" a="1"/>
  <c r="AO244" i="63" s="1"/>
  <c r="AO245" i="63" s="1" a="1"/>
  <c r="AO245" i="63" s="1"/>
  <c r="AO246" i="63" s="1" a="1"/>
  <c r="AO246" i="63" s="1"/>
  <c r="AO247" i="63" s="1" a="1"/>
  <c r="AO247" i="63" s="1"/>
  <c r="AO248" i="63" s="1" a="1"/>
  <c r="AO248" i="63" s="1"/>
  <c r="AO249" i="63" s="1" a="1"/>
  <c r="AO249" i="63" s="1"/>
  <c r="AO250" i="63" s="1" a="1"/>
  <c r="AO250" i="63" s="1"/>
  <c r="AO251" i="63" s="1" a="1"/>
  <c r="AO251" i="63" s="1"/>
  <c r="AO252" i="63" s="1" a="1"/>
  <c r="AO252" i="63" s="1"/>
  <c r="AO253" i="63" s="1" a="1"/>
  <c r="AO253" i="63" s="1"/>
  <c r="AO254" i="63" s="1" a="1"/>
  <c r="AO254" i="63" s="1"/>
  <c r="AO255" i="63" s="1" a="1"/>
  <c r="AO255" i="63" s="1"/>
  <c r="AO256" i="63" s="1" a="1"/>
  <c r="AO256" i="63" s="1"/>
  <c r="AO257" i="63" s="1" a="1"/>
  <c r="AO257" i="63" s="1"/>
  <c r="AZ24" i="65" l="1"/>
  <c r="BA24" i="65"/>
  <c r="AY24" i="65"/>
  <c r="AS24" i="65"/>
  <c r="AX24" i="65"/>
  <c r="AM23" i="65"/>
  <c r="AH21" i="65"/>
  <c r="Q21" i="65"/>
  <c r="AT24" i="65"/>
  <c r="AU24" i="65"/>
  <c r="U22" i="65"/>
  <c r="AH22" i="65"/>
  <c r="Q23" i="65"/>
  <c r="AB20" i="65"/>
  <c r="AF20" i="65"/>
  <c r="U21" i="65"/>
  <c r="R22" i="65"/>
  <c r="S22" i="65" s="1"/>
  <c r="O22" i="65" s="1"/>
  <c r="Y22" i="65" s="1"/>
  <c r="AV22" i="65"/>
  <c r="AE22" i="65"/>
  <c r="AF22" i="65"/>
  <c r="D23" i="65"/>
  <c r="E23" i="65" s="1"/>
  <c r="F23" i="65" s="1"/>
  <c r="G23" i="65" s="1"/>
  <c r="H23" i="65" s="1"/>
  <c r="I23" i="65" s="1"/>
  <c r="J23" i="65" s="1"/>
  <c r="K23" i="65" s="1"/>
  <c r="AV21" i="65"/>
  <c r="R21" i="65"/>
  <c r="S21" i="65" s="1"/>
  <c r="O21" i="65" s="1"/>
  <c r="Y21" i="65" s="1"/>
  <c r="AE21" i="65"/>
  <c r="AP23" i="63" a="1"/>
  <c r="AP23" i="63" s="1"/>
  <c r="B25" i="65" s="1"/>
  <c r="L24" i="65"/>
  <c r="M24" i="65" s="1"/>
  <c r="C24" i="65"/>
  <c r="P24" i="65" s="1"/>
  <c r="AZ25" i="65" l="1"/>
  <c r="BA25" i="65"/>
  <c r="AY25" i="65"/>
  <c r="AS25" i="65"/>
  <c r="AX25" i="65"/>
  <c r="AM24" i="65"/>
  <c r="AU25" i="65"/>
  <c r="AT25" i="65"/>
  <c r="U23" i="65"/>
  <c r="AH23" i="65"/>
  <c r="AC20" i="65"/>
  <c r="AD20" i="65" s="1"/>
  <c r="AG20" i="65"/>
  <c r="AB22" i="65"/>
  <c r="AP24" i="63" a="1"/>
  <c r="AP24" i="63" s="1"/>
  <c r="B26" i="65" s="1"/>
  <c r="C25" i="65"/>
  <c r="P25" i="65" s="1"/>
  <c r="L25" i="65"/>
  <c r="M25" i="65" s="1"/>
  <c r="AG22" i="65"/>
  <c r="D24" i="65"/>
  <c r="E24" i="65" s="1"/>
  <c r="F24" i="65" s="1"/>
  <c r="G24" i="65" s="1"/>
  <c r="H24" i="65" s="1"/>
  <c r="I24" i="65" s="1"/>
  <c r="J24" i="65" s="1"/>
  <c r="K24" i="65" s="1"/>
  <c r="AE23" i="65"/>
  <c r="R23" i="65"/>
  <c r="S23" i="65" s="1"/>
  <c r="O23" i="65" s="1"/>
  <c r="Y23" i="65" s="1"/>
  <c r="AV23" i="65"/>
  <c r="AF23" i="65"/>
  <c r="BA26" i="65" l="1"/>
  <c r="AY26" i="65"/>
  <c r="AZ26" i="65"/>
  <c r="AS26" i="65"/>
  <c r="AX26" i="65"/>
  <c r="AM25" i="65"/>
  <c r="AH24" i="65"/>
  <c r="Q24" i="65"/>
  <c r="AU26" i="65"/>
  <c r="AT26" i="65"/>
  <c r="AC22" i="65"/>
  <c r="AD22" i="65" s="1"/>
  <c r="Q25" i="65"/>
  <c r="AB21" i="65"/>
  <c r="AB23" i="65"/>
  <c r="AF21" i="65"/>
  <c r="AF24" i="65"/>
  <c r="U24" i="65"/>
  <c r="R24" i="65"/>
  <c r="S24" i="65" s="1"/>
  <c r="O24" i="65" s="1"/>
  <c r="Y24" i="65" s="1"/>
  <c r="AE24" i="65"/>
  <c r="AV24" i="65"/>
  <c r="D25" i="65"/>
  <c r="E25" i="65" s="1"/>
  <c r="F25" i="65" s="1"/>
  <c r="G25" i="65" s="1"/>
  <c r="H25" i="65" s="1"/>
  <c r="I25" i="65" s="1"/>
  <c r="J25" i="65" s="1"/>
  <c r="K25" i="65" s="1"/>
  <c r="AP25" i="63" a="1"/>
  <c r="AP25" i="63" s="1"/>
  <c r="B27" i="65" s="1"/>
  <c r="C26" i="65"/>
  <c r="P26" i="65" s="1"/>
  <c r="L26" i="65"/>
  <c r="M26" i="65" s="1"/>
  <c r="BA27" i="65" l="1"/>
  <c r="AZ27" i="65"/>
  <c r="AY27" i="65"/>
  <c r="AS27" i="65"/>
  <c r="AX27" i="65"/>
  <c r="AM26" i="65"/>
  <c r="AU27" i="65"/>
  <c r="AT27" i="65"/>
  <c r="U25" i="65"/>
  <c r="AH25" i="65"/>
  <c r="AC23" i="65"/>
  <c r="AD23" i="65" s="1"/>
  <c r="AC21" i="65"/>
  <c r="AD21" i="65" s="1"/>
  <c r="Q26" i="65"/>
  <c r="AG23" i="65"/>
  <c r="AB24" i="65"/>
  <c r="AG21" i="65"/>
  <c r="L27" i="65"/>
  <c r="M27" i="65" s="1"/>
  <c r="C27" i="65"/>
  <c r="P27" i="65" s="1"/>
  <c r="AV25" i="65"/>
  <c r="R25" i="65"/>
  <c r="S25" i="65" s="1"/>
  <c r="O25" i="65" s="1"/>
  <c r="Y25" i="65" s="1"/>
  <c r="AE25" i="65"/>
  <c r="AP26" i="63" a="1"/>
  <c r="AP26" i="63" s="1"/>
  <c r="B28" i="65" s="1"/>
  <c r="D26" i="65"/>
  <c r="E26" i="65" s="1"/>
  <c r="F26" i="65" s="1"/>
  <c r="G26" i="65" s="1"/>
  <c r="H26" i="65" s="1"/>
  <c r="I26" i="65" s="1"/>
  <c r="J26" i="65" s="1"/>
  <c r="K26" i="65" s="1"/>
  <c r="AF25" i="65"/>
  <c r="AZ28" i="65" l="1"/>
  <c r="AY28" i="65"/>
  <c r="BA28" i="65"/>
  <c r="AS28" i="65"/>
  <c r="AX28" i="65"/>
  <c r="AM27" i="65"/>
  <c r="AT28" i="65"/>
  <c r="AU28" i="65"/>
  <c r="U26" i="65"/>
  <c r="AH26" i="65"/>
  <c r="AC24" i="65"/>
  <c r="AD24" i="65" s="1"/>
  <c r="AG24" i="65"/>
  <c r="AB25" i="65"/>
  <c r="AG25" i="65"/>
  <c r="R26" i="65"/>
  <c r="S26" i="65" s="1"/>
  <c r="O26" i="65" s="1"/>
  <c r="Y26" i="65" s="1"/>
  <c r="AE26" i="65"/>
  <c r="AV26" i="65"/>
  <c r="L28" i="65"/>
  <c r="M28" i="65" s="1"/>
  <c r="C28" i="65"/>
  <c r="P28" i="65" s="1"/>
  <c r="D27" i="65"/>
  <c r="E27" i="65" s="1"/>
  <c r="F27" i="65" s="1"/>
  <c r="G27" i="65" s="1"/>
  <c r="H27" i="65" s="1"/>
  <c r="I27" i="65" s="1"/>
  <c r="J27" i="65" s="1"/>
  <c r="K27" i="65" s="1"/>
  <c r="AP27" i="63" a="1"/>
  <c r="AP27" i="63" s="1"/>
  <c r="B29" i="65" s="1"/>
  <c r="AF26" i="65"/>
  <c r="AY29" i="65" l="1"/>
  <c r="BA29" i="65"/>
  <c r="AZ29" i="65"/>
  <c r="AS29" i="65"/>
  <c r="AX29" i="65"/>
  <c r="AM28" i="65"/>
  <c r="AH27" i="65"/>
  <c r="Q27" i="65"/>
  <c r="AU29" i="65"/>
  <c r="AT29" i="65"/>
  <c r="AC25" i="65"/>
  <c r="AD25" i="65" s="1"/>
  <c r="AB26" i="65"/>
  <c r="AF27" i="65"/>
  <c r="U27" i="65"/>
  <c r="AP28" i="63" a="1"/>
  <c r="AP28" i="63" s="1"/>
  <c r="B30" i="65" s="1"/>
  <c r="AV27" i="65"/>
  <c r="R27" i="65"/>
  <c r="S27" i="65" s="1"/>
  <c r="O27" i="65" s="1"/>
  <c r="Y27" i="65" s="1"/>
  <c r="AE27" i="65"/>
  <c r="D28" i="65"/>
  <c r="E28" i="65" s="1"/>
  <c r="F28" i="65" s="1"/>
  <c r="G28" i="65" s="1"/>
  <c r="H28" i="65" s="1"/>
  <c r="I28" i="65" s="1"/>
  <c r="J28" i="65" s="1"/>
  <c r="K28" i="65" s="1"/>
  <c r="C29" i="65"/>
  <c r="P29" i="65" s="1"/>
  <c r="L29" i="65"/>
  <c r="M29" i="65" s="1"/>
  <c r="BA30" i="65" l="1"/>
  <c r="AZ30" i="65"/>
  <c r="AY30" i="65"/>
  <c r="AS30" i="65"/>
  <c r="AX30" i="65"/>
  <c r="AM29" i="65"/>
  <c r="AH28" i="65"/>
  <c r="Q28" i="65"/>
  <c r="AU30" i="65"/>
  <c r="AT30" i="65"/>
  <c r="AC26" i="65"/>
  <c r="AD26" i="65" s="1"/>
  <c r="AG26" i="65"/>
  <c r="AB27" i="65"/>
  <c r="AF28" i="65"/>
  <c r="U28" i="65"/>
  <c r="AP29" i="63" a="1"/>
  <c r="AP29" i="63" s="1"/>
  <c r="B31" i="65" s="1"/>
  <c r="D29" i="65"/>
  <c r="E29" i="65" s="1"/>
  <c r="F29" i="65" s="1"/>
  <c r="G29" i="65" s="1"/>
  <c r="H29" i="65" s="1"/>
  <c r="I29" i="65" s="1"/>
  <c r="J29" i="65" s="1"/>
  <c r="K29" i="65" s="1"/>
  <c r="AV28" i="65"/>
  <c r="AE28" i="65"/>
  <c r="R28" i="65"/>
  <c r="S28" i="65" s="1"/>
  <c r="O28" i="65" s="1"/>
  <c r="Y28" i="65" s="1"/>
  <c r="L30" i="65"/>
  <c r="M30" i="65" s="1"/>
  <c r="C30" i="65"/>
  <c r="P30" i="65" s="1"/>
  <c r="BA31" i="65" l="1"/>
  <c r="AY31" i="65"/>
  <c r="AZ31" i="65"/>
  <c r="AS31" i="65"/>
  <c r="AX31" i="65"/>
  <c r="AM30" i="65"/>
  <c r="AH29" i="65"/>
  <c r="Q29" i="65"/>
  <c r="AU31" i="65"/>
  <c r="AT31" i="65"/>
  <c r="AC27" i="65"/>
  <c r="AD27" i="65" s="1"/>
  <c r="AB28" i="65"/>
  <c r="AG27" i="65"/>
  <c r="AF29" i="65"/>
  <c r="U29" i="65"/>
  <c r="AE29" i="65"/>
  <c r="AV29" i="65"/>
  <c r="R29" i="65"/>
  <c r="S29" i="65" s="1"/>
  <c r="O29" i="65" s="1"/>
  <c r="Y29" i="65" s="1"/>
  <c r="AP30" i="63" a="1"/>
  <c r="AP30" i="63" s="1"/>
  <c r="B32" i="65" s="1"/>
  <c r="D30" i="65"/>
  <c r="E30" i="65" s="1"/>
  <c r="F30" i="65" s="1"/>
  <c r="G30" i="65" s="1"/>
  <c r="H30" i="65" s="1"/>
  <c r="I30" i="65" s="1"/>
  <c r="J30" i="65" s="1"/>
  <c r="K30" i="65" s="1"/>
  <c r="L31" i="65"/>
  <c r="M31" i="65" s="1"/>
  <c r="O31" i="65"/>
  <c r="C31" i="65"/>
  <c r="P31" i="65" s="1"/>
  <c r="AZ32" i="65" l="1"/>
  <c r="BA32" i="65"/>
  <c r="AY32" i="65"/>
  <c r="AS32" i="65"/>
  <c r="AX32" i="65"/>
  <c r="AM31" i="65"/>
  <c r="AH30" i="65"/>
  <c r="Q30" i="65"/>
  <c r="AT32" i="65"/>
  <c r="AU32" i="65"/>
  <c r="AC28" i="65"/>
  <c r="AD28" i="65" s="1"/>
  <c r="Q31" i="65"/>
  <c r="AG28" i="65"/>
  <c r="AF30" i="65"/>
  <c r="U30" i="65"/>
  <c r="C32" i="65"/>
  <c r="P32" i="65" s="1"/>
  <c r="L32" i="65"/>
  <c r="M32" i="65" s="1"/>
  <c r="O32" i="65"/>
  <c r="D31" i="65"/>
  <c r="E31" i="65" s="1"/>
  <c r="F31" i="65" s="1"/>
  <c r="G31" i="65" s="1"/>
  <c r="H31" i="65" s="1"/>
  <c r="I31" i="65" s="1"/>
  <c r="J31" i="65" s="1"/>
  <c r="K31" i="65" s="1"/>
  <c r="AV30" i="65"/>
  <c r="AE30" i="65"/>
  <c r="R30" i="65"/>
  <c r="S30" i="65" s="1"/>
  <c r="O30" i="65" s="1"/>
  <c r="Y30" i="65" s="1"/>
  <c r="AP31" i="63" a="1"/>
  <c r="AP31" i="63" s="1"/>
  <c r="B33" i="65" s="1"/>
  <c r="Y31" i="65" l="1"/>
  <c r="AZ33" i="65"/>
  <c r="BA33" i="65"/>
  <c r="AY33" i="65"/>
  <c r="AS33" i="65"/>
  <c r="AX33" i="65"/>
  <c r="AM32" i="65"/>
  <c r="AU33" i="65"/>
  <c r="AT33" i="65"/>
  <c r="U31" i="65"/>
  <c r="AH31" i="65"/>
  <c r="Q32" i="65"/>
  <c r="AG30" i="65"/>
  <c r="AB29" i="65"/>
  <c r="AC29" i="65" s="1"/>
  <c r="AG29" i="65"/>
  <c r="L33" i="65"/>
  <c r="M33" i="65" s="1"/>
  <c r="O33" i="65"/>
  <c r="C33" i="65"/>
  <c r="P33" i="65" s="1"/>
  <c r="AE31" i="65"/>
  <c r="R31" i="65"/>
  <c r="S31" i="65" s="1"/>
  <c r="AF31" i="65"/>
  <c r="AV31" i="65"/>
  <c r="D32" i="65"/>
  <c r="E32" i="65" s="1"/>
  <c r="F32" i="65" s="1"/>
  <c r="G32" i="65" s="1"/>
  <c r="H32" i="65" s="1"/>
  <c r="I32" i="65" s="1"/>
  <c r="J32" i="65" s="1"/>
  <c r="K32" i="65" s="1"/>
  <c r="AP32" i="63" a="1"/>
  <c r="AP32" i="63" s="1"/>
  <c r="B34" i="65" s="1"/>
  <c r="Y32" i="65" l="1"/>
  <c r="AY34" i="65"/>
  <c r="AZ34" i="65"/>
  <c r="BA34" i="65"/>
  <c r="AS34" i="65"/>
  <c r="AX34" i="65"/>
  <c r="AM33" i="65"/>
  <c r="AU34" i="65"/>
  <c r="AT34" i="65"/>
  <c r="U32" i="65"/>
  <c r="AH32" i="65"/>
  <c r="AB30" i="65"/>
  <c r="AB31" i="65"/>
  <c r="AD29" i="65"/>
  <c r="C34" i="65"/>
  <c r="P34" i="65" s="1"/>
  <c r="O34" i="65"/>
  <c r="L34" i="65"/>
  <c r="M34" i="65" s="1"/>
  <c r="R32" i="65"/>
  <c r="S32" i="65" s="1"/>
  <c r="AV32" i="65"/>
  <c r="AF32" i="65"/>
  <c r="AE32" i="65"/>
  <c r="D33" i="65"/>
  <c r="E33" i="65" s="1"/>
  <c r="F33" i="65" s="1"/>
  <c r="G33" i="65" s="1"/>
  <c r="H33" i="65" s="1"/>
  <c r="I33" i="65" s="1"/>
  <c r="J33" i="65" s="1"/>
  <c r="K33" i="65" s="1"/>
  <c r="AP33" i="63" a="1"/>
  <c r="AP33" i="63" s="1"/>
  <c r="B35" i="65" s="1"/>
  <c r="Y33" i="65" l="1"/>
  <c r="BA35" i="65"/>
  <c r="AZ35" i="65"/>
  <c r="AY35" i="65"/>
  <c r="AS35" i="65"/>
  <c r="AX35" i="65"/>
  <c r="AM34" i="65"/>
  <c r="AH33" i="65"/>
  <c r="Q33" i="65"/>
  <c r="AU35" i="65"/>
  <c r="AT35" i="65"/>
  <c r="U33" i="65"/>
  <c r="AC31" i="65"/>
  <c r="AD31" i="65" s="1"/>
  <c r="AC30" i="65"/>
  <c r="AD30" i="65" s="1"/>
  <c r="Q34" i="65"/>
  <c r="AB32" i="65"/>
  <c r="AG31" i="65"/>
  <c r="AP34" i="63" a="1"/>
  <c r="AP34" i="63" s="1"/>
  <c r="B36" i="65" s="1"/>
  <c r="C35" i="65"/>
  <c r="P35" i="65" s="1"/>
  <c r="L35" i="65"/>
  <c r="M35" i="65" s="1"/>
  <c r="O35" i="65"/>
  <c r="AF33" i="65"/>
  <c r="AE33" i="65"/>
  <c r="AV33" i="65"/>
  <c r="R33" i="65"/>
  <c r="S33" i="65" s="1"/>
  <c r="AG32" i="65"/>
  <c r="D34" i="65"/>
  <c r="E34" i="65" s="1"/>
  <c r="F34" i="65" s="1"/>
  <c r="G34" i="65" s="1"/>
  <c r="H34" i="65" s="1"/>
  <c r="I34" i="65" s="1"/>
  <c r="J34" i="65" s="1"/>
  <c r="K34" i="65" s="1"/>
  <c r="Y34" i="65" l="1"/>
  <c r="AZ36" i="65"/>
  <c r="BA36" i="65"/>
  <c r="AY36" i="65"/>
  <c r="AS36" i="65"/>
  <c r="AX36" i="65"/>
  <c r="AM35" i="65"/>
  <c r="AT36" i="65"/>
  <c r="AU36" i="65"/>
  <c r="U34" i="65"/>
  <c r="AH34" i="65"/>
  <c r="AC32" i="65"/>
  <c r="AD32" i="65" s="1"/>
  <c r="Q35" i="65"/>
  <c r="AG33" i="65"/>
  <c r="AP35" i="63" a="1"/>
  <c r="AP35" i="63" s="1"/>
  <c r="B37" i="65" s="1"/>
  <c r="AF34" i="65"/>
  <c r="AV34" i="65"/>
  <c r="R34" i="65"/>
  <c r="S34" i="65" s="1"/>
  <c r="AE34" i="65"/>
  <c r="D35" i="65"/>
  <c r="E35" i="65" s="1"/>
  <c r="F35" i="65" s="1"/>
  <c r="G35" i="65" s="1"/>
  <c r="H35" i="65" s="1"/>
  <c r="I35" i="65" s="1"/>
  <c r="J35" i="65" s="1"/>
  <c r="K35" i="65" s="1"/>
  <c r="L36" i="65"/>
  <c r="M36" i="65" s="1"/>
  <c r="C36" i="65"/>
  <c r="P36" i="65" s="1"/>
  <c r="O36" i="65"/>
  <c r="Y35" i="65" l="1"/>
  <c r="AY37" i="65"/>
  <c r="AZ37" i="65"/>
  <c r="BA37" i="65"/>
  <c r="AS37" i="65"/>
  <c r="AX37" i="65"/>
  <c r="AM36" i="65"/>
  <c r="AU37" i="65"/>
  <c r="AT37" i="65"/>
  <c r="U35" i="65"/>
  <c r="AH35" i="65"/>
  <c r="Q36" i="65"/>
  <c r="AB33" i="65"/>
  <c r="AG34" i="65"/>
  <c r="AP36" i="63" a="1"/>
  <c r="AP36" i="63" s="1"/>
  <c r="D36" i="65"/>
  <c r="E36" i="65" s="1"/>
  <c r="F36" i="65" s="1"/>
  <c r="G36" i="65" s="1"/>
  <c r="H36" i="65" s="1"/>
  <c r="I36" i="65" s="1"/>
  <c r="J36" i="65" s="1"/>
  <c r="K36" i="65" s="1"/>
  <c r="AE35" i="65"/>
  <c r="R35" i="65"/>
  <c r="S35" i="65" s="1"/>
  <c r="AV35" i="65"/>
  <c r="AF35" i="65"/>
  <c r="O37" i="65"/>
  <c r="C37" i="65"/>
  <c r="P37" i="65" s="1"/>
  <c r="L37" i="65"/>
  <c r="M37" i="65" s="1"/>
  <c r="Y36" i="65" l="1"/>
  <c r="AM37" i="65"/>
  <c r="U36" i="65"/>
  <c r="AH36" i="65"/>
  <c r="AC33" i="65"/>
  <c r="AD33" i="65" s="1"/>
  <c r="Q37" i="65"/>
  <c r="AB34" i="65"/>
  <c r="AG35" i="65"/>
  <c r="AP37" i="63" a="1"/>
  <c r="AP37" i="63" s="1"/>
  <c r="B39" i="65" s="1"/>
  <c r="AE36" i="65"/>
  <c r="AF36" i="65"/>
  <c r="R36" i="65"/>
  <c r="S36" i="65" s="1"/>
  <c r="AV36" i="65"/>
  <c r="D37" i="65"/>
  <c r="E37" i="65" s="1"/>
  <c r="F37" i="65" s="1"/>
  <c r="G37" i="65" s="1"/>
  <c r="H37" i="65" s="1"/>
  <c r="I37" i="65" s="1"/>
  <c r="J37" i="65" s="1"/>
  <c r="K37" i="65" s="1"/>
  <c r="B38" i="65"/>
  <c r="Y37" i="65" l="1"/>
  <c r="BA39" i="65"/>
  <c r="AY39" i="65"/>
  <c r="AZ39" i="65"/>
  <c r="BA38" i="65"/>
  <c r="AY38" i="65"/>
  <c r="AZ38" i="65"/>
  <c r="AS39" i="65"/>
  <c r="AX39" i="65"/>
  <c r="AS38" i="65"/>
  <c r="AX38" i="65"/>
  <c r="AU39" i="65"/>
  <c r="AT39" i="65"/>
  <c r="AU38" i="65"/>
  <c r="AT38" i="65"/>
  <c r="U37" i="65"/>
  <c r="AH37" i="65"/>
  <c r="AC34" i="65"/>
  <c r="AD34" i="65" s="1"/>
  <c r="AB36" i="65"/>
  <c r="AB35" i="65"/>
  <c r="AG36" i="65"/>
  <c r="AP38" i="63" a="1"/>
  <c r="AP38" i="63" s="1"/>
  <c r="B40" i="65" s="1"/>
  <c r="AV37" i="65"/>
  <c r="AF37" i="65"/>
  <c r="AE37" i="65"/>
  <c r="R37" i="65"/>
  <c r="S37" i="65" s="1"/>
  <c r="O38" i="65"/>
  <c r="C38" i="65"/>
  <c r="P38" i="65" s="1"/>
  <c r="L38" i="65"/>
  <c r="M38" i="65" s="1"/>
  <c r="L39" i="65"/>
  <c r="M39" i="65" s="1"/>
  <c r="C39" i="65"/>
  <c r="P39" i="65" s="1"/>
  <c r="O39" i="65"/>
  <c r="BA40" i="65" l="1"/>
  <c r="AZ40" i="65"/>
  <c r="AY40" i="65"/>
  <c r="AS40" i="65"/>
  <c r="AX40" i="65"/>
  <c r="AM39" i="65"/>
  <c r="AM38" i="65"/>
  <c r="AT40" i="65"/>
  <c r="AU40" i="65"/>
  <c r="AC35" i="65"/>
  <c r="AD35" i="65" s="1"/>
  <c r="AC36" i="65"/>
  <c r="AD36" i="65" s="1"/>
  <c r="Q39" i="65"/>
  <c r="Q38" i="65"/>
  <c r="AB37" i="65"/>
  <c r="D38" i="65"/>
  <c r="E38" i="65" s="1"/>
  <c r="F38" i="65" s="1"/>
  <c r="G38" i="65" s="1"/>
  <c r="H38" i="65" s="1"/>
  <c r="I38" i="65" s="1"/>
  <c r="J38" i="65" s="1"/>
  <c r="K38" i="65" s="1"/>
  <c r="AG37" i="65"/>
  <c r="AP39" i="63" a="1"/>
  <c r="AP39" i="63" s="1"/>
  <c r="B41" i="65" s="1"/>
  <c r="D39" i="65"/>
  <c r="E39" i="65" s="1"/>
  <c r="F39" i="65" s="1"/>
  <c r="G39" i="65" s="1"/>
  <c r="H39" i="65" s="1"/>
  <c r="I39" i="65" s="1"/>
  <c r="J39" i="65" s="1"/>
  <c r="K39" i="65" s="1"/>
  <c r="L40" i="65"/>
  <c r="M40" i="65" s="1"/>
  <c r="O40" i="65"/>
  <c r="C40" i="65"/>
  <c r="P40" i="65" s="1"/>
  <c r="Y39" i="65" l="1"/>
  <c r="Y38" i="65"/>
  <c r="BA41" i="65"/>
  <c r="AZ41" i="65"/>
  <c r="AY41" i="65"/>
  <c r="AS41" i="65"/>
  <c r="AX41" i="65"/>
  <c r="AM40" i="65"/>
  <c r="AU41" i="65"/>
  <c r="AT41" i="65"/>
  <c r="U39" i="65"/>
  <c r="AH39" i="65"/>
  <c r="U38" i="65"/>
  <c r="AH38" i="65"/>
  <c r="AC37" i="65"/>
  <c r="AD37" i="65" s="1"/>
  <c r="Q40" i="65"/>
  <c r="AE38" i="65"/>
  <c r="R38" i="65"/>
  <c r="S38" i="65" s="1"/>
  <c r="AF38" i="65"/>
  <c r="AV38" i="65"/>
  <c r="O41" i="65"/>
  <c r="C41" i="65"/>
  <c r="P41" i="65" s="1"/>
  <c r="L41" i="65"/>
  <c r="M41" i="65" s="1"/>
  <c r="D40" i="65"/>
  <c r="E40" i="65" s="1"/>
  <c r="F40" i="65" s="1"/>
  <c r="G40" i="65" s="1"/>
  <c r="H40" i="65" s="1"/>
  <c r="I40" i="65" s="1"/>
  <c r="J40" i="65" s="1"/>
  <c r="K40" i="65" s="1"/>
  <c r="AF39" i="65"/>
  <c r="AE39" i="65"/>
  <c r="AV39" i="65"/>
  <c r="R39" i="65"/>
  <c r="S39" i="65" s="1"/>
  <c r="AP40" i="63" a="1"/>
  <c r="AP40" i="63" s="1"/>
  <c r="B42" i="65" s="1"/>
  <c r="Y40" i="65" l="1"/>
  <c r="AY42" i="65"/>
  <c r="BA42" i="65"/>
  <c r="AZ42" i="65"/>
  <c r="AS42" i="65"/>
  <c r="AX42" i="65"/>
  <c r="AM41" i="65"/>
  <c r="AU42" i="65"/>
  <c r="AT42" i="65"/>
  <c r="AF40" i="65"/>
  <c r="AH40" i="65"/>
  <c r="U40" i="65"/>
  <c r="R40" i="65"/>
  <c r="S40" i="65" s="1"/>
  <c r="AV40" i="65"/>
  <c r="Q41" i="65"/>
  <c r="AE40" i="65"/>
  <c r="AB39" i="65"/>
  <c r="AB38" i="65"/>
  <c r="L42" i="65"/>
  <c r="M42" i="65" s="1"/>
  <c r="C42" i="65"/>
  <c r="P42" i="65" s="1"/>
  <c r="O42" i="65"/>
  <c r="AG39" i="65"/>
  <c r="D41" i="65"/>
  <c r="E41" i="65" s="1"/>
  <c r="F41" i="65" s="1"/>
  <c r="G41" i="65" s="1"/>
  <c r="H41" i="65" s="1"/>
  <c r="I41" i="65" s="1"/>
  <c r="J41" i="65" s="1"/>
  <c r="K41" i="65" s="1"/>
  <c r="AP41" i="63" a="1"/>
  <c r="AP41" i="63" s="1"/>
  <c r="B43" i="65" s="1"/>
  <c r="Y41" i="65" l="1"/>
  <c r="AZ43" i="65"/>
  <c r="BA43" i="65"/>
  <c r="AY43" i="65"/>
  <c r="AS43" i="65"/>
  <c r="AX43" i="65"/>
  <c r="AM42" i="65"/>
  <c r="AU43" i="65"/>
  <c r="AT43" i="65"/>
  <c r="U41" i="65"/>
  <c r="AH41" i="65"/>
  <c r="AC38" i="65"/>
  <c r="AD38" i="65" s="1"/>
  <c r="AC39" i="65"/>
  <c r="AD39" i="65" s="1"/>
  <c r="Q42" i="65"/>
  <c r="AG38" i="65"/>
  <c r="L43" i="65"/>
  <c r="M43" i="65" s="1"/>
  <c r="C43" i="65"/>
  <c r="P43" i="65" s="1"/>
  <c r="O43" i="65"/>
  <c r="AG40" i="65"/>
  <c r="AB40" i="65"/>
  <c r="AC40" i="65" s="1"/>
  <c r="R41" i="65"/>
  <c r="S41" i="65" s="1"/>
  <c r="AE41" i="65"/>
  <c r="AF41" i="65"/>
  <c r="AV41" i="65"/>
  <c r="D42" i="65"/>
  <c r="E42" i="65" s="1"/>
  <c r="F42" i="65" s="1"/>
  <c r="G42" i="65" s="1"/>
  <c r="H42" i="65" s="1"/>
  <c r="I42" i="65" s="1"/>
  <c r="J42" i="65" s="1"/>
  <c r="K42" i="65" s="1"/>
  <c r="AP42" i="63" a="1"/>
  <c r="AP42" i="63" s="1"/>
  <c r="B44" i="65" s="1"/>
  <c r="Y42" i="65" l="1"/>
  <c r="BA44" i="65"/>
  <c r="AZ44" i="65"/>
  <c r="AY44" i="65"/>
  <c r="AS44" i="65"/>
  <c r="AX44" i="65"/>
  <c r="AM43" i="65"/>
  <c r="AT44" i="65"/>
  <c r="AU44" i="65"/>
  <c r="U42" i="65"/>
  <c r="AH42" i="65"/>
  <c r="Q43" i="65"/>
  <c r="AB41" i="65"/>
  <c r="AD40" i="65"/>
  <c r="L44" i="65"/>
  <c r="M44" i="65" s="1"/>
  <c r="O44" i="65"/>
  <c r="C44" i="65"/>
  <c r="P44" i="65" s="1"/>
  <c r="AE42" i="65"/>
  <c r="AF42" i="65"/>
  <c r="AV42" i="65"/>
  <c r="R42" i="65"/>
  <c r="S42" i="65" s="1"/>
  <c r="AP43" i="63" a="1"/>
  <c r="AP43" i="63" s="1"/>
  <c r="B45" i="65" s="1"/>
  <c r="D43" i="65"/>
  <c r="E43" i="65" s="1"/>
  <c r="F43" i="65" s="1"/>
  <c r="G43" i="65" s="1"/>
  <c r="H43" i="65" s="1"/>
  <c r="I43" i="65" s="1"/>
  <c r="J43" i="65" s="1"/>
  <c r="K43" i="65" s="1"/>
  <c r="Y43" i="65" l="1"/>
  <c r="AY45" i="65"/>
  <c r="BA45" i="65"/>
  <c r="AZ45" i="65"/>
  <c r="AS45" i="65"/>
  <c r="AX45" i="65"/>
  <c r="AM44" i="65"/>
  <c r="AU45" i="65"/>
  <c r="AT45" i="65"/>
  <c r="U43" i="65"/>
  <c r="AH43" i="65"/>
  <c r="AC41" i="65"/>
  <c r="AD41" i="65" s="1"/>
  <c r="Q44" i="65"/>
  <c r="AG41" i="65"/>
  <c r="AB42" i="65"/>
  <c r="C45" i="65"/>
  <c r="P45" i="65" s="1"/>
  <c r="O45" i="65"/>
  <c r="L45" i="65"/>
  <c r="M45" i="65" s="1"/>
  <c r="AP44" i="63" a="1"/>
  <c r="AP44" i="63" s="1"/>
  <c r="B46" i="65" s="1"/>
  <c r="D44" i="65"/>
  <c r="E44" i="65" s="1"/>
  <c r="F44" i="65" s="1"/>
  <c r="G44" i="65" s="1"/>
  <c r="H44" i="65" s="1"/>
  <c r="I44" i="65" s="1"/>
  <c r="J44" i="65" s="1"/>
  <c r="K44" i="65" s="1"/>
  <c r="AV43" i="65"/>
  <c r="AF43" i="65"/>
  <c r="R43" i="65"/>
  <c r="S43" i="65" s="1"/>
  <c r="AE43" i="65"/>
  <c r="Y44" i="65" l="1"/>
  <c r="BA46" i="65"/>
  <c r="AZ46" i="65"/>
  <c r="AY46" i="65"/>
  <c r="AS46" i="65"/>
  <c r="AX46" i="65"/>
  <c r="AM45" i="65"/>
  <c r="AU46" i="65"/>
  <c r="AT46" i="65"/>
  <c r="U44" i="65"/>
  <c r="AH44" i="65"/>
  <c r="AC42" i="65"/>
  <c r="AD42" i="65" s="1"/>
  <c r="Q45" i="65"/>
  <c r="AG42" i="65"/>
  <c r="AB43" i="65"/>
  <c r="AG43" i="65"/>
  <c r="AP45" i="63" a="1"/>
  <c r="AP45" i="63" s="1"/>
  <c r="B47" i="65" s="1"/>
  <c r="AF44" i="65"/>
  <c r="R44" i="65"/>
  <c r="S44" i="65" s="1"/>
  <c r="AV44" i="65"/>
  <c r="AE44" i="65"/>
  <c r="O46" i="65"/>
  <c r="C46" i="65"/>
  <c r="P46" i="65" s="1"/>
  <c r="L46" i="65"/>
  <c r="M46" i="65" s="1"/>
  <c r="D45" i="65"/>
  <c r="E45" i="65" s="1"/>
  <c r="F45" i="65" s="1"/>
  <c r="G45" i="65" s="1"/>
  <c r="H45" i="65" s="1"/>
  <c r="I45" i="65" s="1"/>
  <c r="J45" i="65" s="1"/>
  <c r="K45" i="65" s="1"/>
  <c r="Y45" i="65" l="1"/>
  <c r="AZ47" i="65"/>
  <c r="AY47" i="65"/>
  <c r="BA47" i="65"/>
  <c r="AS47" i="65"/>
  <c r="AX47" i="65"/>
  <c r="AM46" i="65"/>
  <c r="AU47" i="65"/>
  <c r="AT47" i="65"/>
  <c r="U45" i="65"/>
  <c r="AH45" i="65"/>
  <c r="AC43" i="65"/>
  <c r="AD43" i="65" s="1"/>
  <c r="Q46" i="65"/>
  <c r="AB44" i="65"/>
  <c r="AP46" i="63" a="1"/>
  <c r="AP46" i="63" s="1"/>
  <c r="B48" i="65" s="1"/>
  <c r="L47" i="65"/>
  <c r="M47" i="65" s="1"/>
  <c r="C47" i="65"/>
  <c r="P47" i="65" s="1"/>
  <c r="O47" i="65"/>
  <c r="R45" i="65"/>
  <c r="S45" i="65" s="1"/>
  <c r="AV45" i="65"/>
  <c r="AE45" i="65"/>
  <c r="AF45" i="65"/>
  <c r="D46" i="65"/>
  <c r="E46" i="65" s="1"/>
  <c r="F46" i="65" s="1"/>
  <c r="G46" i="65" s="1"/>
  <c r="H46" i="65" s="1"/>
  <c r="I46" i="65" s="1"/>
  <c r="J46" i="65" s="1"/>
  <c r="K46" i="65" s="1"/>
  <c r="Y46" i="65" l="1"/>
  <c r="AZ48" i="65"/>
  <c r="BA48" i="65"/>
  <c r="AY48" i="65"/>
  <c r="AS48" i="65"/>
  <c r="AX48" i="65"/>
  <c r="AM47" i="65"/>
  <c r="AT48" i="65"/>
  <c r="AU48" i="65"/>
  <c r="U46" i="65"/>
  <c r="AH46" i="65"/>
  <c r="AC44" i="65"/>
  <c r="AD44" i="65" s="1"/>
  <c r="Q47" i="65"/>
  <c r="AB45" i="65"/>
  <c r="AG44" i="65"/>
  <c r="R46" i="65"/>
  <c r="S46" i="65" s="1"/>
  <c r="AF46" i="65"/>
  <c r="AE46" i="65"/>
  <c r="AV46" i="65"/>
  <c r="D47" i="65"/>
  <c r="E47" i="65" s="1"/>
  <c r="F47" i="65" s="1"/>
  <c r="G47" i="65" s="1"/>
  <c r="H47" i="65" s="1"/>
  <c r="I47" i="65" s="1"/>
  <c r="J47" i="65" s="1"/>
  <c r="K47" i="65" s="1"/>
  <c r="AP47" i="63" a="1"/>
  <c r="AP47" i="63" s="1"/>
  <c r="B49" i="65" s="1"/>
  <c r="L48" i="65"/>
  <c r="M48" i="65" s="1"/>
  <c r="O48" i="65"/>
  <c r="C48" i="65"/>
  <c r="P48" i="65" s="1"/>
  <c r="Y47" i="65" l="1"/>
  <c r="BA49" i="65"/>
  <c r="AZ49" i="65"/>
  <c r="AY49" i="65"/>
  <c r="AS49" i="65"/>
  <c r="AX49" i="65"/>
  <c r="AM48" i="65"/>
  <c r="AU49" i="65"/>
  <c r="AT49" i="65"/>
  <c r="U47" i="65"/>
  <c r="AH47" i="65"/>
  <c r="AC45" i="65"/>
  <c r="AD45" i="65" s="1"/>
  <c r="AG45" i="65"/>
  <c r="Q48" i="65"/>
  <c r="AG46" i="65"/>
  <c r="AP48" i="63" a="1"/>
  <c r="AP48" i="63" s="1"/>
  <c r="B50" i="65" s="1"/>
  <c r="O49" i="65"/>
  <c r="L49" i="65"/>
  <c r="M49" i="65" s="1"/>
  <c r="C49" i="65"/>
  <c r="P49" i="65" s="1"/>
  <c r="AV47" i="65"/>
  <c r="R47" i="65"/>
  <c r="S47" i="65" s="1"/>
  <c r="AE47" i="65"/>
  <c r="AF47" i="65"/>
  <c r="D48" i="65"/>
  <c r="E48" i="65" s="1"/>
  <c r="F48" i="65" s="1"/>
  <c r="G48" i="65" s="1"/>
  <c r="H48" i="65" s="1"/>
  <c r="I48" i="65" s="1"/>
  <c r="J48" i="65" s="1"/>
  <c r="K48" i="65" s="1"/>
  <c r="Y48" i="65" l="1"/>
  <c r="BA50" i="65"/>
  <c r="AY50" i="65"/>
  <c r="AZ50" i="65"/>
  <c r="AS50" i="65"/>
  <c r="AX50" i="65"/>
  <c r="AM49" i="65"/>
  <c r="AU50" i="65"/>
  <c r="AT50" i="65"/>
  <c r="U48" i="65"/>
  <c r="AH48" i="65"/>
  <c r="Q49" i="65"/>
  <c r="AB46" i="65"/>
  <c r="AG47" i="65"/>
  <c r="AV48" i="65"/>
  <c r="AE48" i="65"/>
  <c r="AF48" i="65"/>
  <c r="R48" i="65"/>
  <c r="S48" i="65" s="1"/>
  <c r="D49" i="65"/>
  <c r="E49" i="65" s="1"/>
  <c r="F49" i="65" s="1"/>
  <c r="G49" i="65" s="1"/>
  <c r="H49" i="65" s="1"/>
  <c r="I49" i="65" s="1"/>
  <c r="J49" i="65" s="1"/>
  <c r="K49" i="65" s="1"/>
  <c r="AP49" i="63" a="1"/>
  <c r="AP49" i="63" s="1"/>
  <c r="B51" i="65" s="1"/>
  <c r="L50" i="65"/>
  <c r="M50" i="65" s="1"/>
  <c r="C50" i="65"/>
  <c r="P50" i="65" s="1"/>
  <c r="O50" i="65"/>
  <c r="Y49" i="65" l="1"/>
  <c r="BA51" i="65"/>
  <c r="AY51" i="65"/>
  <c r="AZ51" i="65"/>
  <c r="AS51" i="65"/>
  <c r="AX51" i="65"/>
  <c r="AM50" i="65"/>
  <c r="AU51" i="65"/>
  <c r="AT51" i="65"/>
  <c r="U49" i="65"/>
  <c r="AH49" i="65"/>
  <c r="AC46" i="65"/>
  <c r="AD46" i="65" s="1"/>
  <c r="Q50" i="65"/>
  <c r="AB47" i="65"/>
  <c r="AB48" i="65"/>
  <c r="D50" i="65"/>
  <c r="E50" i="65" s="1"/>
  <c r="F50" i="65" s="1"/>
  <c r="G50" i="65" s="1"/>
  <c r="H50" i="65" s="1"/>
  <c r="I50" i="65" s="1"/>
  <c r="J50" i="65" s="1"/>
  <c r="K50" i="65" s="1"/>
  <c r="L51" i="65"/>
  <c r="M51" i="65" s="1"/>
  <c r="O51" i="65"/>
  <c r="C51" i="65"/>
  <c r="P51" i="65" s="1"/>
  <c r="AP50" i="63" a="1"/>
  <c r="AP50" i="63" s="1"/>
  <c r="B52" i="65" s="1"/>
  <c r="AF49" i="65"/>
  <c r="R49" i="65"/>
  <c r="S49" i="65" s="1"/>
  <c r="AV49" i="65"/>
  <c r="AE49" i="65"/>
  <c r="Y50" i="65" l="1"/>
  <c r="AZ52" i="65"/>
  <c r="AY52" i="65"/>
  <c r="BA52" i="65"/>
  <c r="AS52" i="65"/>
  <c r="AX52" i="65"/>
  <c r="AM51" i="65"/>
  <c r="AT52" i="65"/>
  <c r="AU52" i="65"/>
  <c r="U50" i="65"/>
  <c r="AH50" i="65"/>
  <c r="AC48" i="65"/>
  <c r="AD48" i="65" s="1"/>
  <c r="AC47" i="65"/>
  <c r="AD47" i="65" s="1"/>
  <c r="AG48" i="65"/>
  <c r="AB49" i="65"/>
  <c r="Q51" i="65"/>
  <c r="AG49" i="65"/>
  <c r="D51" i="65"/>
  <c r="E51" i="65" s="1"/>
  <c r="F51" i="65" s="1"/>
  <c r="G51" i="65" s="1"/>
  <c r="H51" i="65" s="1"/>
  <c r="I51" i="65" s="1"/>
  <c r="J51" i="65" s="1"/>
  <c r="K51" i="65" s="1"/>
  <c r="AP51" i="63" a="1"/>
  <c r="AP51" i="63" s="1"/>
  <c r="B53" i="65" s="1"/>
  <c r="AF50" i="65"/>
  <c r="AE50" i="65"/>
  <c r="R50" i="65"/>
  <c r="S50" i="65" s="1"/>
  <c r="AV50" i="65"/>
  <c r="L52" i="65"/>
  <c r="M52" i="65" s="1"/>
  <c r="C52" i="65"/>
  <c r="P52" i="65" s="1"/>
  <c r="O52" i="65"/>
  <c r="Y51" i="65" l="1"/>
  <c r="BA53" i="65"/>
  <c r="AY53" i="65"/>
  <c r="AZ53" i="65"/>
  <c r="AS53" i="65"/>
  <c r="AX53" i="65"/>
  <c r="AM52" i="65"/>
  <c r="AU53" i="65"/>
  <c r="AT53" i="65"/>
  <c r="AH51" i="65"/>
  <c r="AC49" i="65"/>
  <c r="AD49" i="65" s="1"/>
  <c r="Q52" i="65"/>
  <c r="AB50" i="65"/>
  <c r="AV51" i="65"/>
  <c r="AE51" i="65"/>
  <c r="U51" i="65"/>
  <c r="R51" i="65"/>
  <c r="S51" i="65" s="1"/>
  <c r="L53" i="65"/>
  <c r="M53" i="65" s="1"/>
  <c r="C53" i="65"/>
  <c r="P53" i="65" s="1"/>
  <c r="O53" i="65"/>
  <c r="AP52" i="63" a="1"/>
  <c r="AP52" i="63" s="1"/>
  <c r="B54" i="65" s="1"/>
  <c r="AG50" i="65"/>
  <c r="D52" i="65"/>
  <c r="E52" i="65" s="1"/>
  <c r="F52" i="65" s="1"/>
  <c r="G52" i="65" s="1"/>
  <c r="H52" i="65" s="1"/>
  <c r="I52" i="65" s="1"/>
  <c r="J52" i="65" s="1"/>
  <c r="K52" i="65" s="1"/>
  <c r="Y52" i="65" l="1"/>
  <c r="BA54" i="65"/>
  <c r="AZ54" i="65"/>
  <c r="AY54" i="65"/>
  <c r="AS54" i="65"/>
  <c r="AX54" i="65"/>
  <c r="AM53" i="65"/>
  <c r="AU54" i="65"/>
  <c r="AT54" i="65"/>
  <c r="U52" i="65"/>
  <c r="AH52" i="65"/>
  <c r="AC50" i="65"/>
  <c r="AD50" i="65" s="1"/>
  <c r="Q53" i="65"/>
  <c r="AB51" i="65"/>
  <c r="AF51" i="65"/>
  <c r="AG51" i="65" s="1"/>
  <c r="C54" i="65"/>
  <c r="P54" i="65" s="1"/>
  <c r="L54" i="65"/>
  <c r="M54" i="65" s="1"/>
  <c r="O54" i="65"/>
  <c r="D53" i="65"/>
  <c r="E53" i="65" s="1"/>
  <c r="F53" i="65" s="1"/>
  <c r="G53" i="65" s="1"/>
  <c r="H53" i="65" s="1"/>
  <c r="I53" i="65" s="1"/>
  <c r="J53" i="65" s="1"/>
  <c r="K53" i="65" s="1"/>
  <c r="AP53" i="63" a="1"/>
  <c r="AP53" i="63" s="1"/>
  <c r="B55" i="65" s="1"/>
  <c r="AF52" i="65"/>
  <c r="AV52" i="65"/>
  <c r="AE52" i="65"/>
  <c r="R52" i="65"/>
  <c r="S52" i="65" s="1"/>
  <c r="Y53" i="65" l="1"/>
  <c r="BA55" i="65"/>
  <c r="AY55" i="65"/>
  <c r="AZ55" i="65"/>
  <c r="AS55" i="65"/>
  <c r="AX55" i="65"/>
  <c r="AM54" i="65"/>
  <c r="AU55" i="65"/>
  <c r="AT55" i="65"/>
  <c r="U53" i="65"/>
  <c r="AH53" i="65"/>
  <c r="AC51" i="65"/>
  <c r="AD51" i="65" s="1"/>
  <c r="Q54" i="65"/>
  <c r="AB52" i="65"/>
  <c r="L55" i="65"/>
  <c r="M55" i="65" s="1"/>
  <c r="O55" i="65"/>
  <c r="C55" i="65"/>
  <c r="P55" i="65" s="1"/>
  <c r="AE53" i="65"/>
  <c r="AV53" i="65"/>
  <c r="AF53" i="65"/>
  <c r="R53" i="65"/>
  <c r="S53" i="65" s="1"/>
  <c r="D54" i="65"/>
  <c r="E54" i="65" s="1"/>
  <c r="F54" i="65" s="1"/>
  <c r="G54" i="65" s="1"/>
  <c r="H54" i="65" s="1"/>
  <c r="I54" i="65" s="1"/>
  <c r="J54" i="65" s="1"/>
  <c r="K54" i="65" s="1"/>
  <c r="AP54" i="63" a="1"/>
  <c r="AP54" i="63" s="1"/>
  <c r="B56" i="65" s="1"/>
  <c r="Y54" i="65" l="1"/>
  <c r="AZ56" i="65"/>
  <c r="BA56" i="65"/>
  <c r="AY56" i="65"/>
  <c r="AS56" i="65"/>
  <c r="AX56" i="65"/>
  <c r="AM55" i="65"/>
  <c r="AT56" i="65"/>
  <c r="AU56" i="65"/>
  <c r="U54" i="65"/>
  <c r="AH54" i="65"/>
  <c r="AC52" i="65"/>
  <c r="AD52" i="65" s="1"/>
  <c r="Q55" i="65"/>
  <c r="AG52" i="65"/>
  <c r="AG53" i="65"/>
  <c r="D55" i="65"/>
  <c r="E55" i="65" s="1"/>
  <c r="F55" i="65" s="1"/>
  <c r="G55" i="65" s="1"/>
  <c r="H55" i="65" s="1"/>
  <c r="I55" i="65" s="1"/>
  <c r="J55" i="65" s="1"/>
  <c r="K55" i="65" s="1"/>
  <c r="C56" i="65"/>
  <c r="P56" i="65" s="1"/>
  <c r="O56" i="65"/>
  <c r="L56" i="65"/>
  <c r="M56" i="65" s="1"/>
  <c r="R54" i="65"/>
  <c r="S54" i="65" s="1"/>
  <c r="AV54" i="65"/>
  <c r="AF54" i="65"/>
  <c r="AE54" i="65"/>
  <c r="AP55" i="63" a="1"/>
  <c r="AP55" i="63" s="1"/>
  <c r="B57" i="65" s="1"/>
  <c r="Y55" i="65" l="1"/>
  <c r="AZ57" i="65"/>
  <c r="BA57" i="65"/>
  <c r="AY57" i="65"/>
  <c r="AS57" i="65"/>
  <c r="AX57" i="65"/>
  <c r="AM56" i="65"/>
  <c r="AU57" i="65"/>
  <c r="AT57" i="65"/>
  <c r="U55" i="65"/>
  <c r="AH55" i="65"/>
  <c r="Q56" i="65"/>
  <c r="AB53" i="65"/>
  <c r="AG54" i="65"/>
  <c r="L57" i="65"/>
  <c r="M57" i="65" s="1"/>
  <c r="C57" i="65"/>
  <c r="P57" i="65" s="1"/>
  <c r="O57" i="65"/>
  <c r="AF55" i="65"/>
  <c r="AV55" i="65"/>
  <c r="R55" i="65"/>
  <c r="S55" i="65" s="1"/>
  <c r="AE55" i="65"/>
  <c r="D56" i="65"/>
  <c r="E56" i="65" s="1"/>
  <c r="F56" i="65" s="1"/>
  <c r="G56" i="65" s="1"/>
  <c r="H56" i="65" s="1"/>
  <c r="I56" i="65" s="1"/>
  <c r="J56" i="65" s="1"/>
  <c r="K56" i="65" s="1"/>
  <c r="AP56" i="63" a="1"/>
  <c r="AP56" i="63" s="1"/>
  <c r="B58" i="65" s="1"/>
  <c r="Y56" i="65" l="1"/>
  <c r="BA58" i="65"/>
  <c r="AY58" i="65"/>
  <c r="AZ58" i="65"/>
  <c r="AS58" i="65"/>
  <c r="AX58" i="65"/>
  <c r="AM57" i="65"/>
  <c r="AU58" i="65"/>
  <c r="AT58" i="65"/>
  <c r="U56" i="65"/>
  <c r="AH56" i="65"/>
  <c r="AC53" i="65"/>
  <c r="AD53" i="65" s="1"/>
  <c r="Q57" i="65"/>
  <c r="AB54" i="65"/>
  <c r="AB55" i="65"/>
  <c r="L58" i="65"/>
  <c r="M58" i="65" s="1"/>
  <c r="C58" i="65"/>
  <c r="P58" i="65" s="1"/>
  <c r="O58" i="65"/>
  <c r="AG55" i="65"/>
  <c r="D57" i="65"/>
  <c r="E57" i="65" s="1"/>
  <c r="F57" i="65" s="1"/>
  <c r="G57" i="65" s="1"/>
  <c r="H57" i="65" s="1"/>
  <c r="I57" i="65" s="1"/>
  <c r="J57" i="65" s="1"/>
  <c r="K57" i="65" s="1"/>
  <c r="R56" i="65"/>
  <c r="S56" i="65" s="1"/>
  <c r="AF56" i="65"/>
  <c r="AE56" i="65"/>
  <c r="AV56" i="65"/>
  <c r="AP57" i="63" a="1"/>
  <c r="AP57" i="63" s="1"/>
  <c r="B59" i="65" s="1"/>
  <c r="Y57" i="65" l="1"/>
  <c r="BA59" i="65"/>
  <c r="AZ59" i="65"/>
  <c r="AY59" i="65"/>
  <c r="AS59" i="65"/>
  <c r="AX59" i="65"/>
  <c r="AM58" i="65"/>
  <c r="AU59" i="65"/>
  <c r="AT59" i="65"/>
  <c r="U57" i="65"/>
  <c r="AH57" i="65"/>
  <c r="AC55" i="65"/>
  <c r="AD55" i="65" s="1"/>
  <c r="AC54" i="65"/>
  <c r="AD54" i="65" s="1"/>
  <c r="Q58" i="65"/>
  <c r="AB56" i="65"/>
  <c r="C59" i="65"/>
  <c r="P59" i="65" s="1"/>
  <c r="O59" i="65"/>
  <c r="L59" i="65"/>
  <c r="M59" i="65" s="1"/>
  <c r="R57" i="65"/>
  <c r="S57" i="65" s="1"/>
  <c r="AF57" i="65"/>
  <c r="AV57" i="65"/>
  <c r="AE57" i="65"/>
  <c r="D58" i="65"/>
  <c r="E58" i="65" s="1"/>
  <c r="F58" i="65" s="1"/>
  <c r="G58" i="65" s="1"/>
  <c r="H58" i="65" s="1"/>
  <c r="I58" i="65" s="1"/>
  <c r="J58" i="65" s="1"/>
  <c r="K58" i="65" s="1"/>
  <c r="AP58" i="63" a="1"/>
  <c r="AP58" i="63" s="1"/>
  <c r="B60" i="65" s="1"/>
  <c r="Y58" i="65" l="1"/>
  <c r="AZ60" i="65"/>
  <c r="AY60" i="65"/>
  <c r="BA60" i="65"/>
  <c r="AS60" i="65"/>
  <c r="AX60" i="65"/>
  <c r="AM59" i="65"/>
  <c r="AT60" i="65"/>
  <c r="AU60" i="65"/>
  <c r="U58" i="65"/>
  <c r="AH58" i="65"/>
  <c r="AC56" i="65"/>
  <c r="AD56" i="65" s="1"/>
  <c r="Q59" i="65"/>
  <c r="AB57" i="65"/>
  <c r="AG56" i="65"/>
  <c r="AP59" i="63" a="1"/>
  <c r="AP59" i="63" s="1"/>
  <c r="B61" i="65" s="1"/>
  <c r="D59" i="65"/>
  <c r="E59" i="65" s="1"/>
  <c r="F59" i="65" s="1"/>
  <c r="G59" i="65" s="1"/>
  <c r="H59" i="65" s="1"/>
  <c r="I59" i="65" s="1"/>
  <c r="J59" i="65" s="1"/>
  <c r="K59" i="65" s="1"/>
  <c r="L60" i="65"/>
  <c r="M60" i="65" s="1"/>
  <c r="C60" i="65"/>
  <c r="P60" i="65" s="1"/>
  <c r="O60" i="65"/>
  <c r="AV58" i="65"/>
  <c r="AE58" i="65"/>
  <c r="AF58" i="65"/>
  <c r="R58" i="65"/>
  <c r="S58" i="65" s="1"/>
  <c r="Y59" i="65" l="1"/>
  <c r="AZ61" i="65"/>
  <c r="AY61" i="65"/>
  <c r="BA61" i="65"/>
  <c r="AS61" i="65"/>
  <c r="AX61" i="65"/>
  <c r="AM60" i="65"/>
  <c r="AU61" i="65"/>
  <c r="AT61" i="65"/>
  <c r="U59" i="65"/>
  <c r="AH59" i="65"/>
  <c r="AC57" i="65"/>
  <c r="AD57" i="65" s="1"/>
  <c r="Q60" i="65"/>
  <c r="AG57" i="65"/>
  <c r="AB58" i="65"/>
  <c r="R59" i="65"/>
  <c r="S59" i="65" s="1"/>
  <c r="AV59" i="65"/>
  <c r="AE59" i="65"/>
  <c r="AF59" i="65"/>
  <c r="D60" i="65"/>
  <c r="E60" i="65" s="1"/>
  <c r="F60" i="65" s="1"/>
  <c r="G60" i="65" s="1"/>
  <c r="H60" i="65" s="1"/>
  <c r="I60" i="65" s="1"/>
  <c r="J60" i="65" s="1"/>
  <c r="K60" i="65" s="1"/>
  <c r="AP60" i="63" a="1"/>
  <c r="AP60" i="63" s="1"/>
  <c r="B62" i="65" s="1"/>
  <c r="O61" i="65"/>
  <c r="L61" i="65"/>
  <c r="M61" i="65" s="1"/>
  <c r="C61" i="65"/>
  <c r="P61" i="65" s="1"/>
  <c r="Y60" i="65" l="1"/>
  <c r="BA62" i="65"/>
  <c r="AZ62" i="65"/>
  <c r="AY62" i="65"/>
  <c r="AS62" i="65"/>
  <c r="AX62" i="65"/>
  <c r="AM61" i="65"/>
  <c r="AU62" i="65"/>
  <c r="AT62" i="65"/>
  <c r="U60" i="65"/>
  <c r="AH60" i="65"/>
  <c r="AC58" i="65"/>
  <c r="AD58" i="65" s="1"/>
  <c r="Q61" i="65"/>
  <c r="AG58" i="65"/>
  <c r="AB59" i="65"/>
  <c r="D61" i="65"/>
  <c r="E61" i="65" s="1"/>
  <c r="F61" i="65" s="1"/>
  <c r="G61" i="65" s="1"/>
  <c r="H61" i="65" s="1"/>
  <c r="I61" i="65" s="1"/>
  <c r="J61" i="65" s="1"/>
  <c r="K61" i="65" s="1"/>
  <c r="L62" i="65"/>
  <c r="M62" i="65" s="1"/>
  <c r="O62" i="65"/>
  <c r="C62" i="65"/>
  <c r="P62" i="65" s="1"/>
  <c r="AV60" i="65"/>
  <c r="AE60" i="65"/>
  <c r="AF60" i="65"/>
  <c r="R60" i="65"/>
  <c r="S60" i="65" s="1"/>
  <c r="AG59" i="65"/>
  <c r="AP61" i="63" a="1"/>
  <c r="AP61" i="63" s="1"/>
  <c r="B63" i="65" s="1"/>
  <c r="Y61" i="65" l="1"/>
  <c r="BA63" i="65"/>
  <c r="AY63" i="65"/>
  <c r="AZ63" i="65"/>
  <c r="AS63" i="65"/>
  <c r="AX63" i="65"/>
  <c r="AM62" i="65"/>
  <c r="AU63" i="65"/>
  <c r="AT63" i="65"/>
  <c r="U61" i="65"/>
  <c r="AH61" i="65"/>
  <c r="AC59" i="65"/>
  <c r="AD59" i="65" s="1"/>
  <c r="Q62" i="65"/>
  <c r="AB60" i="65"/>
  <c r="O63" i="65"/>
  <c r="L63" i="65"/>
  <c r="M63" i="65" s="1"/>
  <c r="C63" i="65"/>
  <c r="P63" i="65" s="1"/>
  <c r="D62" i="65"/>
  <c r="E62" i="65" s="1"/>
  <c r="F62" i="65" s="1"/>
  <c r="G62" i="65" s="1"/>
  <c r="H62" i="65" s="1"/>
  <c r="I62" i="65" s="1"/>
  <c r="J62" i="65" s="1"/>
  <c r="K62" i="65" s="1"/>
  <c r="AP62" i="63" a="1"/>
  <c r="AP62" i="63" s="1"/>
  <c r="B64" i="65" s="1"/>
  <c r="AF61" i="65"/>
  <c r="R61" i="65"/>
  <c r="S61" i="65" s="1"/>
  <c r="AE61" i="65"/>
  <c r="AV61" i="65"/>
  <c r="Y62" i="65" l="1"/>
  <c r="AZ64" i="65"/>
  <c r="BA64" i="65"/>
  <c r="AY64" i="65"/>
  <c r="AS64" i="65"/>
  <c r="AX64" i="65"/>
  <c r="AM63" i="65"/>
  <c r="AT64" i="65"/>
  <c r="AU64" i="65"/>
  <c r="U62" i="65"/>
  <c r="AH62" i="65"/>
  <c r="AC60" i="65"/>
  <c r="AD60" i="65" s="1"/>
  <c r="Q63" i="65"/>
  <c r="AG60" i="65"/>
  <c r="AB61" i="65"/>
  <c r="AP63" i="63" a="1"/>
  <c r="AP63" i="63" s="1"/>
  <c r="B65" i="65" s="1"/>
  <c r="AF62" i="65"/>
  <c r="R62" i="65"/>
  <c r="S62" i="65" s="1"/>
  <c r="AV62" i="65"/>
  <c r="AE62" i="65"/>
  <c r="D63" i="65"/>
  <c r="E63" i="65" s="1"/>
  <c r="F63" i="65" s="1"/>
  <c r="G63" i="65" s="1"/>
  <c r="H63" i="65" s="1"/>
  <c r="I63" i="65" s="1"/>
  <c r="J63" i="65" s="1"/>
  <c r="K63" i="65" s="1"/>
  <c r="C64" i="65"/>
  <c r="P64" i="65" s="1"/>
  <c r="O64" i="65"/>
  <c r="L64" i="65"/>
  <c r="M64" i="65" s="1"/>
  <c r="Y63" i="65" l="1"/>
  <c r="BA65" i="65"/>
  <c r="AZ65" i="65"/>
  <c r="AY65" i="65"/>
  <c r="AS65" i="65"/>
  <c r="AX65" i="65"/>
  <c r="AM64" i="65"/>
  <c r="AU65" i="65"/>
  <c r="AT65" i="65"/>
  <c r="U63" i="65"/>
  <c r="AH63" i="65"/>
  <c r="AC61" i="65"/>
  <c r="AD61" i="65" s="1"/>
  <c r="Q64" i="65"/>
  <c r="AB62" i="65"/>
  <c r="AG61" i="65"/>
  <c r="D64" i="65"/>
  <c r="E64" i="65" s="1"/>
  <c r="F64" i="65" s="1"/>
  <c r="G64" i="65" s="1"/>
  <c r="H64" i="65" s="1"/>
  <c r="I64" i="65" s="1"/>
  <c r="J64" i="65" s="1"/>
  <c r="K64" i="65" s="1"/>
  <c r="AF63" i="65"/>
  <c r="R63" i="65"/>
  <c r="S63" i="65" s="1"/>
  <c r="AE63" i="65"/>
  <c r="AV63" i="65"/>
  <c r="AP64" i="63" a="1"/>
  <c r="AP64" i="63" s="1"/>
  <c r="B66" i="65" s="1"/>
  <c r="AG62" i="65"/>
  <c r="O65" i="65"/>
  <c r="L65" i="65"/>
  <c r="M65" i="65" s="1"/>
  <c r="C65" i="65"/>
  <c r="P65" i="65" s="1"/>
  <c r="Y64" i="65" l="1"/>
  <c r="AY66" i="65"/>
  <c r="BA66" i="65"/>
  <c r="AZ66" i="65"/>
  <c r="AS66" i="65"/>
  <c r="AX66" i="65"/>
  <c r="AM65" i="65"/>
  <c r="AU66" i="65"/>
  <c r="AT66" i="65"/>
  <c r="U64" i="65"/>
  <c r="AH64" i="65"/>
  <c r="AC62" i="65"/>
  <c r="AD62" i="65" s="1"/>
  <c r="Q65" i="65"/>
  <c r="AB63" i="65"/>
  <c r="C66" i="65"/>
  <c r="P66" i="65" s="1"/>
  <c r="O66" i="65"/>
  <c r="L66" i="65"/>
  <c r="M66" i="65" s="1"/>
  <c r="AV64" i="65"/>
  <c r="AF64" i="65"/>
  <c r="AE64" i="65"/>
  <c r="R64" i="65"/>
  <c r="S64" i="65" s="1"/>
  <c r="AP65" i="63" a="1"/>
  <c r="AP65" i="63" s="1"/>
  <c r="B67" i="65" s="1"/>
  <c r="AG63" i="65"/>
  <c r="D65" i="65"/>
  <c r="E65" i="65" s="1"/>
  <c r="F65" i="65" s="1"/>
  <c r="G65" i="65" s="1"/>
  <c r="H65" i="65" s="1"/>
  <c r="I65" i="65" s="1"/>
  <c r="J65" i="65" s="1"/>
  <c r="K65" i="65" s="1"/>
  <c r="Y65" i="65" l="1"/>
  <c r="BA67" i="65"/>
  <c r="AZ67" i="65"/>
  <c r="AY67" i="65"/>
  <c r="AS67" i="65"/>
  <c r="AX67" i="65"/>
  <c r="AM66" i="65"/>
  <c r="AU67" i="65"/>
  <c r="AT67" i="65"/>
  <c r="U65" i="65"/>
  <c r="AH65" i="65"/>
  <c r="AC63" i="65"/>
  <c r="AD63" i="65" s="1"/>
  <c r="Q66" i="65"/>
  <c r="AB64" i="65"/>
  <c r="O67" i="65"/>
  <c r="L67" i="65"/>
  <c r="M67" i="65" s="1"/>
  <c r="C67" i="65"/>
  <c r="P67" i="65" s="1"/>
  <c r="AP66" i="63" a="1"/>
  <c r="AP66" i="63" s="1"/>
  <c r="B68" i="65" s="1"/>
  <c r="R65" i="65"/>
  <c r="S65" i="65" s="1"/>
  <c r="AE65" i="65"/>
  <c r="AV65" i="65"/>
  <c r="AF65" i="65"/>
  <c r="D66" i="65"/>
  <c r="E66" i="65" s="1"/>
  <c r="F66" i="65" s="1"/>
  <c r="G66" i="65" s="1"/>
  <c r="H66" i="65" s="1"/>
  <c r="I66" i="65" s="1"/>
  <c r="J66" i="65" s="1"/>
  <c r="K66" i="65" s="1"/>
  <c r="Y66" i="65" l="1"/>
  <c r="BA68" i="65"/>
  <c r="AZ68" i="65"/>
  <c r="AY68" i="65"/>
  <c r="AS68" i="65"/>
  <c r="AX68" i="65"/>
  <c r="AM67" i="65"/>
  <c r="AT68" i="65"/>
  <c r="AU68" i="65"/>
  <c r="U66" i="65"/>
  <c r="AH66" i="65"/>
  <c r="AC64" i="65"/>
  <c r="AD64" i="65" s="1"/>
  <c r="Q67" i="65"/>
  <c r="AG64" i="65"/>
  <c r="AG65" i="65"/>
  <c r="AF66" i="65"/>
  <c r="R66" i="65"/>
  <c r="S66" i="65" s="1"/>
  <c r="AV66" i="65"/>
  <c r="AE66" i="65"/>
  <c r="D67" i="65"/>
  <c r="E67" i="65" s="1"/>
  <c r="F67" i="65" s="1"/>
  <c r="G67" i="65" s="1"/>
  <c r="H67" i="65" s="1"/>
  <c r="I67" i="65" s="1"/>
  <c r="J67" i="65" s="1"/>
  <c r="K67" i="65" s="1"/>
  <c r="O68" i="65"/>
  <c r="L68" i="65"/>
  <c r="M68" i="65" s="1"/>
  <c r="C68" i="65"/>
  <c r="P68" i="65" s="1"/>
  <c r="AP67" i="63" a="1"/>
  <c r="AP67" i="63" s="1"/>
  <c r="B69" i="65" s="1"/>
  <c r="Y67" i="65" l="1"/>
  <c r="BA69" i="65"/>
  <c r="AZ69" i="65"/>
  <c r="AY69" i="65"/>
  <c r="AS69" i="65"/>
  <c r="AX69" i="65"/>
  <c r="AM68" i="65"/>
  <c r="AU69" i="65"/>
  <c r="AT69" i="65"/>
  <c r="U67" i="65"/>
  <c r="AH67" i="65"/>
  <c r="Q68" i="65"/>
  <c r="AB65" i="65"/>
  <c r="AB66" i="65"/>
  <c r="AP68" i="63" a="1"/>
  <c r="AP68" i="63" s="1"/>
  <c r="B70" i="65" s="1"/>
  <c r="L69" i="65"/>
  <c r="M69" i="65" s="1"/>
  <c r="C69" i="65"/>
  <c r="P69" i="65" s="1"/>
  <c r="O69" i="65"/>
  <c r="D68" i="65"/>
  <c r="E68" i="65" s="1"/>
  <c r="F68" i="65" s="1"/>
  <c r="G68" i="65" s="1"/>
  <c r="H68" i="65" s="1"/>
  <c r="I68" i="65" s="1"/>
  <c r="J68" i="65" s="1"/>
  <c r="K68" i="65" s="1"/>
  <c r="AF67" i="65"/>
  <c r="AE67" i="65"/>
  <c r="AV67" i="65"/>
  <c r="R67" i="65"/>
  <c r="S67" i="65" s="1"/>
  <c r="Y68" i="65" l="1"/>
  <c r="BA70" i="65"/>
  <c r="AZ70" i="65"/>
  <c r="AY70" i="65"/>
  <c r="AS70" i="65"/>
  <c r="AX70" i="65"/>
  <c r="AM69" i="65"/>
  <c r="AU70" i="65"/>
  <c r="AT70" i="65"/>
  <c r="U68" i="65"/>
  <c r="AH68" i="65"/>
  <c r="AC66" i="65"/>
  <c r="AD66" i="65" s="1"/>
  <c r="AC65" i="65"/>
  <c r="AD65" i="65" s="1"/>
  <c r="Q69" i="65"/>
  <c r="AG66" i="65"/>
  <c r="AB67" i="65"/>
  <c r="AP69" i="63" a="1"/>
  <c r="AP69" i="63" s="1"/>
  <c r="B71" i="65" s="1"/>
  <c r="D69" i="65"/>
  <c r="E69" i="65" s="1"/>
  <c r="F69" i="65" s="1"/>
  <c r="G69" i="65" s="1"/>
  <c r="H69" i="65" s="1"/>
  <c r="I69" i="65" s="1"/>
  <c r="J69" i="65" s="1"/>
  <c r="K69" i="65" s="1"/>
  <c r="AF68" i="65"/>
  <c r="AV68" i="65"/>
  <c r="AE68" i="65"/>
  <c r="R68" i="65"/>
  <c r="S68" i="65" s="1"/>
  <c r="O70" i="65"/>
  <c r="C70" i="65"/>
  <c r="P70" i="65" s="1"/>
  <c r="L70" i="65"/>
  <c r="M70" i="65" s="1"/>
  <c r="Y69" i="65" l="1"/>
  <c r="BA71" i="65"/>
  <c r="AZ71" i="65"/>
  <c r="AY71" i="65"/>
  <c r="AS71" i="65"/>
  <c r="AX71" i="65"/>
  <c r="AM70" i="65"/>
  <c r="AU71" i="65"/>
  <c r="AT71" i="65"/>
  <c r="U69" i="65"/>
  <c r="AH69" i="65"/>
  <c r="AC67" i="65"/>
  <c r="AD67" i="65" s="1"/>
  <c r="Q70" i="65"/>
  <c r="AG67" i="65"/>
  <c r="AB68" i="65"/>
  <c r="AE69" i="65"/>
  <c r="R69" i="65"/>
  <c r="S69" i="65" s="1"/>
  <c r="AV69" i="65"/>
  <c r="AF69" i="65"/>
  <c r="AP70" i="63" a="1"/>
  <c r="AP70" i="63" s="1"/>
  <c r="B72" i="65" s="1"/>
  <c r="D70" i="65"/>
  <c r="E70" i="65" s="1"/>
  <c r="F70" i="65" s="1"/>
  <c r="G70" i="65" s="1"/>
  <c r="H70" i="65" s="1"/>
  <c r="I70" i="65" s="1"/>
  <c r="J70" i="65" s="1"/>
  <c r="K70" i="65" s="1"/>
  <c r="C71" i="65"/>
  <c r="P71" i="65" s="1"/>
  <c r="O71" i="65"/>
  <c r="L71" i="65"/>
  <c r="M71" i="65" s="1"/>
  <c r="Y70" i="65" l="1"/>
  <c r="AZ72" i="65"/>
  <c r="BA72" i="65"/>
  <c r="AY72" i="65"/>
  <c r="AS72" i="65"/>
  <c r="AX72" i="65"/>
  <c r="AM71" i="65"/>
  <c r="AT72" i="65"/>
  <c r="AU72" i="65"/>
  <c r="U70" i="65"/>
  <c r="AH70" i="65"/>
  <c r="AC68" i="65"/>
  <c r="AD68" i="65" s="1"/>
  <c r="Q71" i="65"/>
  <c r="AG68" i="65"/>
  <c r="AB69" i="65"/>
  <c r="O72" i="65"/>
  <c r="L72" i="65"/>
  <c r="M72" i="65" s="1"/>
  <c r="C72" i="65"/>
  <c r="P72" i="65" s="1"/>
  <c r="D71" i="65"/>
  <c r="E71" i="65" s="1"/>
  <c r="F71" i="65" s="1"/>
  <c r="G71" i="65" s="1"/>
  <c r="H71" i="65" s="1"/>
  <c r="I71" i="65" s="1"/>
  <c r="J71" i="65" s="1"/>
  <c r="K71" i="65" s="1"/>
  <c r="R70" i="65"/>
  <c r="S70" i="65" s="1"/>
  <c r="AE70" i="65"/>
  <c r="AV70" i="65"/>
  <c r="AF70" i="65"/>
  <c r="AG69" i="65"/>
  <c r="AP71" i="63" a="1"/>
  <c r="AP71" i="63" s="1"/>
  <c r="B73" i="65" s="1"/>
  <c r="Y71" i="65" l="1"/>
  <c r="BA73" i="65"/>
  <c r="AZ73" i="65"/>
  <c r="AY73" i="65"/>
  <c r="AS73" i="65"/>
  <c r="AX73" i="65"/>
  <c r="AM72" i="65"/>
  <c r="AU73" i="65"/>
  <c r="AT73" i="65"/>
  <c r="U71" i="65"/>
  <c r="AH71" i="65"/>
  <c r="AC69" i="65"/>
  <c r="AD69" i="65" s="1"/>
  <c r="Q72" i="65"/>
  <c r="AB70" i="65"/>
  <c r="D72" i="65"/>
  <c r="E72" i="65" s="1"/>
  <c r="F72" i="65" s="1"/>
  <c r="G72" i="65" s="1"/>
  <c r="H72" i="65" s="1"/>
  <c r="I72" i="65" s="1"/>
  <c r="J72" i="65" s="1"/>
  <c r="K72" i="65" s="1"/>
  <c r="L73" i="65"/>
  <c r="M73" i="65" s="1"/>
  <c r="C73" i="65"/>
  <c r="P73" i="65" s="1"/>
  <c r="O73" i="65"/>
  <c r="AE71" i="65"/>
  <c r="R71" i="65"/>
  <c r="S71" i="65" s="1"/>
  <c r="AF71" i="65"/>
  <c r="AV71" i="65"/>
  <c r="AP72" i="63" a="1"/>
  <c r="AP72" i="63" s="1"/>
  <c r="B74" i="65" s="1"/>
  <c r="Y72" i="65" l="1"/>
  <c r="AY74" i="65"/>
  <c r="BA74" i="65"/>
  <c r="AZ74" i="65"/>
  <c r="AS74" i="65"/>
  <c r="AX74" i="65"/>
  <c r="AM73" i="65"/>
  <c r="AU74" i="65"/>
  <c r="AT74" i="65"/>
  <c r="U72" i="65"/>
  <c r="AH72" i="65"/>
  <c r="AC70" i="65"/>
  <c r="AD70" i="65" s="1"/>
  <c r="Q73" i="65"/>
  <c r="AG70" i="65"/>
  <c r="AB71" i="65"/>
  <c r="AP73" i="63" a="1"/>
  <c r="AP73" i="63" s="1"/>
  <c r="B75" i="65" s="1"/>
  <c r="R72" i="65"/>
  <c r="S72" i="65" s="1"/>
  <c r="AE72" i="65"/>
  <c r="AF72" i="65"/>
  <c r="AV72" i="65"/>
  <c r="L74" i="65"/>
  <c r="M74" i="65" s="1"/>
  <c r="C74" i="65"/>
  <c r="P74" i="65" s="1"/>
  <c r="O74" i="65"/>
  <c r="D73" i="65"/>
  <c r="E73" i="65" s="1"/>
  <c r="F73" i="65" s="1"/>
  <c r="G73" i="65" s="1"/>
  <c r="H73" i="65" s="1"/>
  <c r="I73" i="65" s="1"/>
  <c r="J73" i="65" s="1"/>
  <c r="K73" i="65" s="1"/>
  <c r="Y73" i="65" l="1"/>
  <c r="AZ75" i="65"/>
  <c r="BA75" i="65"/>
  <c r="AY75" i="65"/>
  <c r="AS75" i="65"/>
  <c r="AX75" i="65"/>
  <c r="AM74" i="65"/>
  <c r="AU75" i="65"/>
  <c r="AT75" i="65"/>
  <c r="U73" i="65"/>
  <c r="AH73" i="65"/>
  <c r="AC71" i="65"/>
  <c r="AD71" i="65" s="1"/>
  <c r="Q74" i="65"/>
  <c r="AG71" i="65"/>
  <c r="AB72" i="65"/>
  <c r="AP74" i="63" a="1"/>
  <c r="AP74" i="63" s="1"/>
  <c r="B76" i="65" s="1"/>
  <c r="AF73" i="65"/>
  <c r="R73" i="65"/>
  <c r="S73" i="65" s="1"/>
  <c r="AV73" i="65"/>
  <c r="AE73" i="65"/>
  <c r="D74" i="65"/>
  <c r="E74" i="65" s="1"/>
  <c r="F74" i="65" s="1"/>
  <c r="G74" i="65" s="1"/>
  <c r="H74" i="65" s="1"/>
  <c r="I74" i="65" s="1"/>
  <c r="J74" i="65" s="1"/>
  <c r="K74" i="65" s="1"/>
  <c r="C75" i="65"/>
  <c r="P75" i="65" s="1"/>
  <c r="L75" i="65"/>
  <c r="M75" i="65" s="1"/>
  <c r="O75" i="65"/>
  <c r="Y74" i="65" l="1"/>
  <c r="BA76" i="65"/>
  <c r="AZ76" i="65"/>
  <c r="AY76" i="65"/>
  <c r="AS76" i="65"/>
  <c r="AX76" i="65"/>
  <c r="AM75" i="65"/>
  <c r="AT76" i="65"/>
  <c r="AU76" i="65"/>
  <c r="U74" i="65"/>
  <c r="AH74" i="65"/>
  <c r="AC72" i="65"/>
  <c r="AD72" i="65" s="1"/>
  <c r="Q75" i="65"/>
  <c r="AB73" i="65"/>
  <c r="AG72" i="65"/>
  <c r="L76" i="65"/>
  <c r="M76" i="65" s="1"/>
  <c r="O76" i="65"/>
  <c r="C76" i="65"/>
  <c r="P76" i="65" s="1"/>
  <c r="D75" i="65"/>
  <c r="E75" i="65" s="1"/>
  <c r="F75" i="65" s="1"/>
  <c r="G75" i="65" s="1"/>
  <c r="H75" i="65" s="1"/>
  <c r="I75" i="65" s="1"/>
  <c r="J75" i="65" s="1"/>
  <c r="K75" i="65" s="1"/>
  <c r="AP75" i="63" a="1"/>
  <c r="AP75" i="63" s="1"/>
  <c r="B77" i="65" s="1"/>
  <c r="AV74" i="65"/>
  <c r="R74" i="65"/>
  <c r="S74" i="65" s="1"/>
  <c r="AF74" i="65"/>
  <c r="AE74" i="65"/>
  <c r="Y75" i="65" l="1"/>
  <c r="BA77" i="65"/>
  <c r="AZ77" i="65"/>
  <c r="AY77" i="65"/>
  <c r="AS77" i="65"/>
  <c r="AX77" i="65"/>
  <c r="AM76" i="65"/>
  <c r="AU77" i="65"/>
  <c r="AT77" i="65"/>
  <c r="U75" i="65"/>
  <c r="AH75" i="65"/>
  <c r="AC73" i="65"/>
  <c r="AD73" i="65" s="1"/>
  <c r="Q76" i="65"/>
  <c r="AG73" i="65"/>
  <c r="AB74" i="65"/>
  <c r="AP76" i="63" a="1"/>
  <c r="AP76" i="63" s="1"/>
  <c r="B78" i="65" s="1"/>
  <c r="AG74" i="65"/>
  <c r="AE75" i="65"/>
  <c r="R75" i="65"/>
  <c r="S75" i="65" s="1"/>
  <c r="AF75" i="65"/>
  <c r="AV75" i="65"/>
  <c r="D76" i="65"/>
  <c r="E76" i="65" s="1"/>
  <c r="F76" i="65" s="1"/>
  <c r="G76" i="65" s="1"/>
  <c r="H76" i="65" s="1"/>
  <c r="I76" i="65" s="1"/>
  <c r="J76" i="65" s="1"/>
  <c r="K76" i="65" s="1"/>
  <c r="C77" i="65"/>
  <c r="P77" i="65" s="1"/>
  <c r="O77" i="65"/>
  <c r="L77" i="65"/>
  <c r="M77" i="65" s="1"/>
  <c r="Y76" i="65" l="1"/>
  <c r="BA78" i="65"/>
  <c r="AZ78" i="65"/>
  <c r="AY78" i="65"/>
  <c r="AS78" i="65"/>
  <c r="AX78" i="65"/>
  <c r="AM77" i="65"/>
  <c r="AU78" i="65"/>
  <c r="AT78" i="65"/>
  <c r="U76" i="65"/>
  <c r="AH76" i="65"/>
  <c r="AC74" i="65"/>
  <c r="AD74" i="65" s="1"/>
  <c r="Q77" i="65"/>
  <c r="AB75" i="65"/>
  <c r="R76" i="65"/>
  <c r="S76" i="65" s="1"/>
  <c r="AE76" i="65"/>
  <c r="AF76" i="65"/>
  <c r="AV76" i="65"/>
  <c r="D77" i="65"/>
  <c r="E77" i="65" s="1"/>
  <c r="F77" i="65" s="1"/>
  <c r="G77" i="65" s="1"/>
  <c r="H77" i="65" s="1"/>
  <c r="I77" i="65" s="1"/>
  <c r="J77" i="65" s="1"/>
  <c r="K77" i="65" s="1"/>
  <c r="O78" i="65"/>
  <c r="C78" i="65"/>
  <c r="P78" i="65" s="1"/>
  <c r="L78" i="65"/>
  <c r="M78" i="65" s="1"/>
  <c r="AP77" i="63" a="1"/>
  <c r="AP77" i="63" s="1"/>
  <c r="B79" i="65" s="1"/>
  <c r="Y77" i="65" l="1"/>
  <c r="AZ79" i="65"/>
  <c r="AY79" i="65"/>
  <c r="BA79" i="65"/>
  <c r="AS79" i="65"/>
  <c r="AX79" i="65"/>
  <c r="AM78" i="65"/>
  <c r="AU79" i="65"/>
  <c r="AT79" i="65"/>
  <c r="U77" i="65"/>
  <c r="AH77" i="65"/>
  <c r="AC75" i="65"/>
  <c r="AD75" i="65" s="1"/>
  <c r="Q78" i="65"/>
  <c r="AG75" i="65"/>
  <c r="AB76" i="65"/>
  <c r="D78" i="65"/>
  <c r="E78" i="65" s="1"/>
  <c r="F78" i="65" s="1"/>
  <c r="G78" i="65" s="1"/>
  <c r="H78" i="65" s="1"/>
  <c r="I78" i="65" s="1"/>
  <c r="J78" i="65" s="1"/>
  <c r="K78" i="65" s="1"/>
  <c r="AP78" i="63" a="1"/>
  <c r="AP78" i="63" s="1"/>
  <c r="B80" i="65" s="1"/>
  <c r="R77" i="65"/>
  <c r="S77" i="65" s="1"/>
  <c r="AE77" i="65"/>
  <c r="AF77" i="65"/>
  <c r="AV77" i="65"/>
  <c r="L79" i="65"/>
  <c r="M79" i="65" s="1"/>
  <c r="O79" i="65"/>
  <c r="C79" i="65"/>
  <c r="P79" i="65" s="1"/>
  <c r="Y78" i="65" l="1"/>
  <c r="AZ80" i="65"/>
  <c r="BA80" i="65"/>
  <c r="AY80" i="65"/>
  <c r="AS80" i="65"/>
  <c r="AX80" i="65"/>
  <c r="AM79" i="65"/>
  <c r="AT80" i="65"/>
  <c r="AU80" i="65"/>
  <c r="U78" i="65"/>
  <c r="AH78" i="65"/>
  <c r="AC76" i="65"/>
  <c r="AD76" i="65" s="1"/>
  <c r="Q79" i="65"/>
  <c r="AG76" i="65"/>
  <c r="AB77" i="65"/>
  <c r="D79" i="65"/>
  <c r="E79" i="65" s="1"/>
  <c r="F79" i="65" s="1"/>
  <c r="G79" i="65" s="1"/>
  <c r="H79" i="65" s="1"/>
  <c r="I79" i="65" s="1"/>
  <c r="J79" i="65" s="1"/>
  <c r="K79" i="65" s="1"/>
  <c r="R78" i="65"/>
  <c r="S78" i="65" s="1"/>
  <c r="AF78" i="65"/>
  <c r="AE78" i="65"/>
  <c r="AV78" i="65"/>
  <c r="AP79" i="63" a="1"/>
  <c r="AP79" i="63" s="1"/>
  <c r="B81" i="65" s="1"/>
  <c r="AG77" i="65"/>
  <c r="L80" i="65"/>
  <c r="M80" i="65" s="1"/>
  <c r="C80" i="65"/>
  <c r="P80" i="65" s="1"/>
  <c r="O80" i="65"/>
  <c r="Y79" i="65" l="1"/>
  <c r="BA81" i="65"/>
  <c r="AZ81" i="65"/>
  <c r="AY81" i="65"/>
  <c r="AS81" i="65"/>
  <c r="AX81" i="65"/>
  <c r="AM80" i="65"/>
  <c r="AU81" i="65"/>
  <c r="AT81" i="65"/>
  <c r="U79" i="65"/>
  <c r="AH79" i="65"/>
  <c r="AC77" i="65"/>
  <c r="AD77" i="65" s="1"/>
  <c r="Q80" i="65"/>
  <c r="AB78" i="65"/>
  <c r="L81" i="65"/>
  <c r="M81" i="65" s="1"/>
  <c r="C81" i="65"/>
  <c r="P81" i="65" s="1"/>
  <c r="O81" i="65"/>
  <c r="AF79" i="65"/>
  <c r="AV79" i="65"/>
  <c r="R79" i="65"/>
  <c r="S79" i="65" s="1"/>
  <c r="AE79" i="65"/>
  <c r="D80" i="65"/>
  <c r="E80" i="65" s="1"/>
  <c r="F80" i="65" s="1"/>
  <c r="G80" i="65" s="1"/>
  <c r="H80" i="65" s="1"/>
  <c r="I80" i="65" s="1"/>
  <c r="J80" i="65" s="1"/>
  <c r="K80" i="65" s="1"/>
  <c r="AP80" i="63" a="1"/>
  <c r="AP80" i="63" s="1"/>
  <c r="B82" i="65" s="1"/>
  <c r="Y80" i="65" l="1"/>
  <c r="AY82" i="65"/>
  <c r="AZ82" i="65"/>
  <c r="BA82" i="65"/>
  <c r="AS82" i="65"/>
  <c r="AX82" i="65"/>
  <c r="AM81" i="65"/>
  <c r="AU82" i="65"/>
  <c r="AT82" i="65"/>
  <c r="U80" i="65"/>
  <c r="AH80" i="65"/>
  <c r="AC78" i="65"/>
  <c r="AD78" i="65" s="1"/>
  <c r="Q81" i="65"/>
  <c r="AG78" i="65"/>
  <c r="AB79" i="65"/>
  <c r="AP81" i="63" a="1"/>
  <c r="AP81" i="63" s="1"/>
  <c r="B83" i="65" s="1"/>
  <c r="AF80" i="65"/>
  <c r="AV80" i="65"/>
  <c r="R80" i="65"/>
  <c r="S80" i="65" s="1"/>
  <c r="AE80" i="65"/>
  <c r="D81" i="65"/>
  <c r="E81" i="65" s="1"/>
  <c r="F81" i="65" s="1"/>
  <c r="G81" i="65" s="1"/>
  <c r="H81" i="65" s="1"/>
  <c r="I81" i="65" s="1"/>
  <c r="J81" i="65" s="1"/>
  <c r="K81" i="65" s="1"/>
  <c r="C82" i="65"/>
  <c r="P82" i="65" s="1"/>
  <c r="O82" i="65"/>
  <c r="L82" i="65"/>
  <c r="M82" i="65" s="1"/>
  <c r="Y81" i="65" l="1"/>
  <c r="BA83" i="65"/>
  <c r="AZ83" i="65"/>
  <c r="AY83" i="65"/>
  <c r="AS83" i="65"/>
  <c r="AX83" i="65"/>
  <c r="AM82" i="65"/>
  <c r="AU83" i="65"/>
  <c r="AT83" i="65"/>
  <c r="U81" i="65"/>
  <c r="AH81" i="65"/>
  <c r="AC79" i="65"/>
  <c r="AD79" i="65" s="1"/>
  <c r="Q82" i="65"/>
  <c r="AB80" i="65"/>
  <c r="AG79" i="65"/>
  <c r="AG80" i="65"/>
  <c r="O83" i="65"/>
  <c r="L83" i="65"/>
  <c r="M83" i="65" s="1"/>
  <c r="C83" i="65"/>
  <c r="P83" i="65" s="1"/>
  <c r="AP82" i="63" a="1"/>
  <c r="AP82" i="63" s="1"/>
  <c r="B84" i="65" s="1"/>
  <c r="D82" i="65"/>
  <c r="E82" i="65" s="1"/>
  <c r="F82" i="65" s="1"/>
  <c r="G82" i="65" s="1"/>
  <c r="H82" i="65" s="1"/>
  <c r="I82" i="65" s="1"/>
  <c r="J82" i="65" s="1"/>
  <c r="K82" i="65" s="1"/>
  <c r="AE81" i="65"/>
  <c r="AF81" i="65"/>
  <c r="R81" i="65"/>
  <c r="S81" i="65" s="1"/>
  <c r="AV81" i="65"/>
  <c r="Y82" i="65" l="1"/>
  <c r="AZ84" i="65"/>
  <c r="AY84" i="65"/>
  <c r="BA84" i="65"/>
  <c r="AS84" i="65"/>
  <c r="AX84" i="65"/>
  <c r="AM83" i="65"/>
  <c r="AT84" i="65"/>
  <c r="AU84" i="65"/>
  <c r="U82" i="65"/>
  <c r="AH82" i="65"/>
  <c r="AC80" i="65"/>
  <c r="AD80" i="65" s="1"/>
  <c r="Q83" i="65"/>
  <c r="AB81" i="65"/>
  <c r="C84" i="65"/>
  <c r="P84" i="65" s="1"/>
  <c r="L84" i="65"/>
  <c r="M84" i="65" s="1"/>
  <c r="O84" i="65"/>
  <c r="D83" i="65"/>
  <c r="E83" i="65" s="1"/>
  <c r="F83" i="65" s="1"/>
  <c r="G83" i="65" s="1"/>
  <c r="H83" i="65" s="1"/>
  <c r="I83" i="65" s="1"/>
  <c r="J83" i="65" s="1"/>
  <c r="K83" i="65" s="1"/>
  <c r="AP83" i="63" a="1"/>
  <c r="AP83" i="63" s="1"/>
  <c r="B85" i="65" s="1"/>
  <c r="AE82" i="65"/>
  <c r="AF82" i="65"/>
  <c r="AV82" i="65"/>
  <c r="R82" i="65"/>
  <c r="S82" i="65" s="1"/>
  <c r="Y83" i="65" l="1"/>
  <c r="BA85" i="65"/>
  <c r="AZ85" i="65"/>
  <c r="AY85" i="65"/>
  <c r="AS85" i="65"/>
  <c r="AX85" i="65"/>
  <c r="AM84" i="65"/>
  <c r="AU85" i="65"/>
  <c r="AT85" i="65"/>
  <c r="U83" i="65"/>
  <c r="AH83" i="65"/>
  <c r="AC81" i="65"/>
  <c r="AD81" i="65" s="1"/>
  <c r="Q84" i="65"/>
  <c r="AG81" i="65"/>
  <c r="AB82" i="65"/>
  <c r="AE83" i="65"/>
  <c r="R83" i="65"/>
  <c r="S83" i="65" s="1"/>
  <c r="AV83" i="65"/>
  <c r="AF83" i="65"/>
  <c r="C85" i="65"/>
  <c r="P85" i="65" s="1"/>
  <c r="L85" i="65"/>
  <c r="M85" i="65" s="1"/>
  <c r="O85" i="65"/>
  <c r="AP84" i="63" a="1"/>
  <c r="AP84" i="63" s="1"/>
  <c r="B86" i="65" s="1"/>
  <c r="D84" i="65"/>
  <c r="E84" i="65" s="1"/>
  <c r="F84" i="65" s="1"/>
  <c r="G84" i="65" s="1"/>
  <c r="H84" i="65" s="1"/>
  <c r="I84" i="65" s="1"/>
  <c r="J84" i="65" s="1"/>
  <c r="K84" i="65" s="1"/>
  <c r="Y84" i="65" l="1"/>
  <c r="BA86" i="65"/>
  <c r="AZ86" i="65"/>
  <c r="AY86" i="65"/>
  <c r="AS86" i="65"/>
  <c r="AX86" i="65"/>
  <c r="AM85" i="65"/>
  <c r="AU86" i="65"/>
  <c r="AT86" i="65"/>
  <c r="U84" i="65"/>
  <c r="AH84" i="65"/>
  <c r="AC82" i="65"/>
  <c r="AD82" i="65" s="1"/>
  <c r="Q85" i="65"/>
  <c r="AG82" i="65"/>
  <c r="AB83" i="65"/>
  <c r="AE84" i="65"/>
  <c r="AF84" i="65"/>
  <c r="R84" i="65"/>
  <c r="S84" i="65" s="1"/>
  <c r="AV84" i="65"/>
  <c r="C86" i="65"/>
  <c r="P86" i="65" s="1"/>
  <c r="L86" i="65"/>
  <c r="M86" i="65" s="1"/>
  <c r="O86" i="65"/>
  <c r="D85" i="65"/>
  <c r="E85" i="65" s="1"/>
  <c r="F85" i="65" s="1"/>
  <c r="G85" i="65" s="1"/>
  <c r="H85" i="65" s="1"/>
  <c r="I85" i="65" s="1"/>
  <c r="J85" i="65" s="1"/>
  <c r="K85" i="65" s="1"/>
  <c r="AP85" i="63" a="1"/>
  <c r="AP85" i="63" s="1"/>
  <c r="B87" i="65" s="1"/>
  <c r="Y85" i="65" l="1"/>
  <c r="BA87" i="65"/>
  <c r="AY87" i="65"/>
  <c r="AZ87" i="65"/>
  <c r="AS87" i="65"/>
  <c r="AX87" i="65"/>
  <c r="AM86" i="65"/>
  <c r="AU87" i="65"/>
  <c r="AT87" i="65"/>
  <c r="U85" i="65"/>
  <c r="AH85" i="65"/>
  <c r="AC83" i="65"/>
  <c r="AD83" i="65" s="1"/>
  <c r="Q86" i="65"/>
  <c r="AG83" i="65"/>
  <c r="AB84" i="65"/>
  <c r="AV85" i="65"/>
  <c r="AF85" i="65"/>
  <c r="R85" i="65"/>
  <c r="S85" i="65" s="1"/>
  <c r="AE85" i="65"/>
  <c r="L87" i="65"/>
  <c r="M87" i="65" s="1"/>
  <c r="C87" i="65"/>
  <c r="P87" i="65" s="1"/>
  <c r="O87" i="65"/>
  <c r="D86" i="65"/>
  <c r="E86" i="65" s="1"/>
  <c r="F86" i="65" s="1"/>
  <c r="G86" i="65" s="1"/>
  <c r="H86" i="65" s="1"/>
  <c r="I86" i="65" s="1"/>
  <c r="J86" i="65" s="1"/>
  <c r="K86" i="65" s="1"/>
  <c r="AP86" i="63" a="1"/>
  <c r="AP86" i="63" s="1"/>
  <c r="B88" i="65" s="1"/>
  <c r="AG84" i="65"/>
  <c r="Y86" i="65" l="1"/>
  <c r="AZ88" i="65"/>
  <c r="BA88" i="65"/>
  <c r="AY88" i="65"/>
  <c r="AS88" i="65"/>
  <c r="AX88" i="65"/>
  <c r="AM87" i="65"/>
  <c r="AT88" i="65"/>
  <c r="AU88" i="65"/>
  <c r="U86" i="65"/>
  <c r="AH86" i="65"/>
  <c r="AC84" i="65"/>
  <c r="AD84" i="65" s="1"/>
  <c r="Q87" i="65"/>
  <c r="AB85" i="65"/>
  <c r="C88" i="65"/>
  <c r="P88" i="65" s="1"/>
  <c r="L88" i="65"/>
  <c r="M88" i="65" s="1"/>
  <c r="O88" i="65"/>
  <c r="AV86" i="65"/>
  <c r="AF86" i="65"/>
  <c r="AE86" i="65"/>
  <c r="R86" i="65"/>
  <c r="S86" i="65" s="1"/>
  <c r="AP87" i="63" a="1"/>
  <c r="AP87" i="63" s="1"/>
  <c r="B89" i="65" s="1"/>
  <c r="D87" i="65"/>
  <c r="E87" i="65" s="1"/>
  <c r="F87" i="65" s="1"/>
  <c r="G87" i="65" s="1"/>
  <c r="H87" i="65" s="1"/>
  <c r="I87" i="65" s="1"/>
  <c r="J87" i="65" s="1"/>
  <c r="K87" i="65" s="1"/>
  <c r="Y87" i="65" l="1"/>
  <c r="AZ89" i="65"/>
  <c r="BA89" i="65"/>
  <c r="AY89" i="65"/>
  <c r="AS89" i="65"/>
  <c r="AX89" i="65"/>
  <c r="AM88" i="65"/>
  <c r="AU89" i="65"/>
  <c r="AT89" i="65"/>
  <c r="U87" i="65"/>
  <c r="AH87" i="65"/>
  <c r="AC85" i="65"/>
  <c r="AD85" i="65" s="1"/>
  <c r="AG85" i="65"/>
  <c r="AG86" i="65"/>
  <c r="O89" i="65"/>
  <c r="L89" i="65"/>
  <c r="M89" i="65" s="1"/>
  <c r="C89" i="65"/>
  <c r="P89" i="65" s="1"/>
  <c r="AP88" i="63" a="1"/>
  <c r="AP88" i="63" s="1"/>
  <c r="B90" i="65" s="1"/>
  <c r="AF87" i="65"/>
  <c r="AV87" i="65"/>
  <c r="AE87" i="65"/>
  <c r="R87" i="65"/>
  <c r="S87" i="65" s="1"/>
  <c r="D88" i="65"/>
  <c r="E88" i="65" s="1"/>
  <c r="F88" i="65" s="1"/>
  <c r="G88" i="65" s="1"/>
  <c r="H88" i="65" s="1"/>
  <c r="I88" i="65" s="1"/>
  <c r="J88" i="65" s="1"/>
  <c r="K88" i="65" s="1"/>
  <c r="Y88" i="65" l="1"/>
  <c r="BA90" i="65"/>
  <c r="AY90" i="65"/>
  <c r="AZ90" i="65"/>
  <c r="AS90" i="65"/>
  <c r="AX90" i="65"/>
  <c r="AM89" i="65"/>
  <c r="AH88" i="65"/>
  <c r="Q88" i="65"/>
  <c r="AU90" i="65"/>
  <c r="AT90" i="65"/>
  <c r="U88" i="65"/>
  <c r="Q89" i="65"/>
  <c r="AB86" i="65"/>
  <c r="AB87" i="65"/>
  <c r="AV88" i="65"/>
  <c r="AE88" i="65"/>
  <c r="R88" i="65"/>
  <c r="S88" i="65" s="1"/>
  <c r="AF88" i="65"/>
  <c r="D89" i="65"/>
  <c r="E89" i="65" s="1"/>
  <c r="F89" i="65" s="1"/>
  <c r="G89" i="65" s="1"/>
  <c r="H89" i="65" s="1"/>
  <c r="I89" i="65" s="1"/>
  <c r="J89" i="65" s="1"/>
  <c r="K89" i="65" s="1"/>
  <c r="L90" i="65"/>
  <c r="M90" i="65" s="1"/>
  <c r="O90" i="65"/>
  <c r="C90" i="65"/>
  <c r="P90" i="65" s="1"/>
  <c r="AP89" i="63" a="1"/>
  <c r="AP89" i="63" s="1"/>
  <c r="B91" i="65" s="1"/>
  <c r="Y89" i="65" l="1"/>
  <c r="AZ91" i="65"/>
  <c r="AY91" i="65"/>
  <c r="BA91" i="65"/>
  <c r="AS91" i="65"/>
  <c r="AX91" i="65"/>
  <c r="AM90" i="65"/>
  <c r="AU91" i="65"/>
  <c r="AT91" i="65"/>
  <c r="U89" i="65"/>
  <c r="AH89" i="65"/>
  <c r="AC87" i="65"/>
  <c r="AD87" i="65" s="1"/>
  <c r="AC86" i="65"/>
  <c r="AD86" i="65" s="1"/>
  <c r="Q90" i="65"/>
  <c r="AG87" i="65"/>
  <c r="AB88" i="65"/>
  <c r="AP90" i="63" a="1"/>
  <c r="AP90" i="63" s="1"/>
  <c r="B92" i="65" s="1"/>
  <c r="D90" i="65"/>
  <c r="E90" i="65" s="1"/>
  <c r="F90" i="65" s="1"/>
  <c r="G90" i="65" s="1"/>
  <c r="H90" i="65" s="1"/>
  <c r="I90" i="65" s="1"/>
  <c r="J90" i="65" s="1"/>
  <c r="K90" i="65" s="1"/>
  <c r="AG88" i="65"/>
  <c r="C91" i="65"/>
  <c r="P91" i="65" s="1"/>
  <c r="O91" i="65"/>
  <c r="L91" i="65"/>
  <c r="M91" i="65" s="1"/>
  <c r="AV89" i="65"/>
  <c r="AF89" i="65"/>
  <c r="AE89" i="65"/>
  <c r="R89" i="65"/>
  <c r="S89" i="65" s="1"/>
  <c r="Y90" i="65" l="1"/>
  <c r="AZ92" i="65"/>
  <c r="AY92" i="65"/>
  <c r="BA92" i="65"/>
  <c r="AS92" i="65"/>
  <c r="AX92" i="65"/>
  <c r="AM91" i="65"/>
  <c r="AT92" i="65"/>
  <c r="AU92" i="65"/>
  <c r="U90" i="65"/>
  <c r="AH90" i="65"/>
  <c r="AC88" i="65"/>
  <c r="AD88" i="65" s="1"/>
  <c r="Q91" i="65"/>
  <c r="AB89" i="65"/>
  <c r="AP91" i="63" a="1"/>
  <c r="AP91" i="63" s="1"/>
  <c r="B93" i="65" s="1"/>
  <c r="D91" i="65"/>
  <c r="E91" i="65" s="1"/>
  <c r="F91" i="65" s="1"/>
  <c r="G91" i="65" s="1"/>
  <c r="H91" i="65" s="1"/>
  <c r="I91" i="65" s="1"/>
  <c r="J91" i="65" s="1"/>
  <c r="K91" i="65" s="1"/>
  <c r="AV90" i="65"/>
  <c r="R90" i="65"/>
  <c r="S90" i="65" s="1"/>
  <c r="AF90" i="65"/>
  <c r="AE90" i="65"/>
  <c r="O92" i="65"/>
  <c r="L92" i="65"/>
  <c r="M92" i="65" s="1"/>
  <c r="C92" i="65"/>
  <c r="P92" i="65" s="1"/>
  <c r="Y91" i="65" l="1"/>
  <c r="BA93" i="65"/>
  <c r="AZ93" i="65"/>
  <c r="AY93" i="65"/>
  <c r="AS93" i="65"/>
  <c r="AX93" i="65"/>
  <c r="AM92" i="65"/>
  <c r="AU93" i="65"/>
  <c r="AT93" i="65"/>
  <c r="U91" i="65"/>
  <c r="AH91" i="65"/>
  <c r="AC89" i="65"/>
  <c r="AD89" i="65" s="1"/>
  <c r="Q92" i="65"/>
  <c r="AG89" i="65"/>
  <c r="AB90" i="65"/>
  <c r="AP92" i="63" a="1"/>
  <c r="AP92" i="63" s="1"/>
  <c r="B94" i="65" s="1"/>
  <c r="D92" i="65"/>
  <c r="E92" i="65" s="1"/>
  <c r="F92" i="65" s="1"/>
  <c r="G92" i="65" s="1"/>
  <c r="H92" i="65" s="1"/>
  <c r="I92" i="65" s="1"/>
  <c r="J92" i="65" s="1"/>
  <c r="K92" i="65" s="1"/>
  <c r="AG90" i="65"/>
  <c r="R91" i="65"/>
  <c r="S91" i="65" s="1"/>
  <c r="AF91" i="65"/>
  <c r="AE91" i="65"/>
  <c r="AV91" i="65"/>
  <c r="O93" i="65"/>
  <c r="C93" i="65"/>
  <c r="P93" i="65" s="1"/>
  <c r="L93" i="65"/>
  <c r="M93" i="65" s="1"/>
  <c r="Y92" i="65" l="1"/>
  <c r="BA94" i="65"/>
  <c r="AY94" i="65"/>
  <c r="AZ94" i="65"/>
  <c r="AS94" i="65"/>
  <c r="AX94" i="65"/>
  <c r="AM93" i="65"/>
  <c r="AU94" i="65"/>
  <c r="AT94" i="65"/>
  <c r="U92" i="65"/>
  <c r="AH92" i="65"/>
  <c r="AC90" i="65"/>
  <c r="AD90" i="65" s="1"/>
  <c r="Q93" i="65"/>
  <c r="AB91" i="65"/>
  <c r="AF92" i="65"/>
  <c r="AE92" i="65"/>
  <c r="AV92" i="65"/>
  <c r="R92" i="65"/>
  <c r="S92" i="65" s="1"/>
  <c r="C94" i="65"/>
  <c r="P94" i="65" s="1"/>
  <c r="O94" i="65"/>
  <c r="L94" i="65"/>
  <c r="M94" i="65" s="1"/>
  <c r="D93" i="65"/>
  <c r="E93" i="65" s="1"/>
  <c r="F93" i="65" s="1"/>
  <c r="G93" i="65" s="1"/>
  <c r="H93" i="65" s="1"/>
  <c r="I93" i="65" s="1"/>
  <c r="J93" i="65" s="1"/>
  <c r="K93" i="65" s="1"/>
  <c r="AP93" i="63" a="1"/>
  <c r="AP93" i="63" s="1"/>
  <c r="B95" i="65" s="1"/>
  <c r="Y93" i="65" l="1"/>
  <c r="BA95" i="65"/>
  <c r="AY95" i="65"/>
  <c r="AZ95" i="65"/>
  <c r="AS95" i="65"/>
  <c r="AX95" i="65"/>
  <c r="AM94" i="65"/>
  <c r="AU95" i="65"/>
  <c r="AT95" i="65"/>
  <c r="U93" i="65"/>
  <c r="AH93" i="65"/>
  <c r="AC91" i="65"/>
  <c r="AD91" i="65" s="1"/>
  <c r="Q94" i="65"/>
  <c r="AG91" i="65"/>
  <c r="AB92" i="65"/>
  <c r="AP94" i="63" a="1"/>
  <c r="AP94" i="63" s="1"/>
  <c r="B96" i="65" s="1"/>
  <c r="AF93" i="65"/>
  <c r="R93" i="65"/>
  <c r="S93" i="65" s="1"/>
  <c r="AE93" i="65"/>
  <c r="AV93" i="65"/>
  <c r="L95" i="65"/>
  <c r="M95" i="65" s="1"/>
  <c r="O95" i="65"/>
  <c r="C95" i="65"/>
  <c r="P95" i="65" s="1"/>
  <c r="D94" i="65"/>
  <c r="E94" i="65" s="1"/>
  <c r="F94" i="65" s="1"/>
  <c r="G94" i="65" s="1"/>
  <c r="H94" i="65" s="1"/>
  <c r="I94" i="65" s="1"/>
  <c r="J94" i="65" s="1"/>
  <c r="K94" i="65" s="1"/>
  <c r="AG92" i="65"/>
  <c r="Y94" i="65" l="1"/>
  <c r="AZ96" i="65"/>
  <c r="BA96" i="65"/>
  <c r="AY96" i="65"/>
  <c r="AS96" i="65"/>
  <c r="AX96" i="65"/>
  <c r="AM95" i="65"/>
  <c r="AT96" i="65"/>
  <c r="AU96" i="65"/>
  <c r="U94" i="65"/>
  <c r="AH94" i="65"/>
  <c r="AC92" i="65"/>
  <c r="AD92" i="65" s="1"/>
  <c r="Q95" i="65"/>
  <c r="AB93" i="65"/>
  <c r="AV94" i="65"/>
  <c r="AE94" i="65"/>
  <c r="AF94" i="65"/>
  <c r="R94" i="65"/>
  <c r="S94" i="65" s="1"/>
  <c r="D95" i="65"/>
  <c r="E95" i="65" s="1"/>
  <c r="F95" i="65" s="1"/>
  <c r="G95" i="65" s="1"/>
  <c r="H95" i="65" s="1"/>
  <c r="I95" i="65" s="1"/>
  <c r="J95" i="65" s="1"/>
  <c r="K95" i="65" s="1"/>
  <c r="L96" i="65"/>
  <c r="M96" i="65" s="1"/>
  <c r="O96" i="65"/>
  <c r="C96" i="65"/>
  <c r="P96" i="65" s="1"/>
  <c r="AP95" i="63" a="1"/>
  <c r="AP95" i="63" s="1"/>
  <c r="B97" i="65" s="1"/>
  <c r="Y95" i="65" l="1"/>
  <c r="AZ97" i="65"/>
  <c r="AY97" i="65"/>
  <c r="BA97" i="65"/>
  <c r="AS97" i="65"/>
  <c r="AX97" i="65"/>
  <c r="AM96" i="65"/>
  <c r="AU97" i="65"/>
  <c r="AT97" i="65"/>
  <c r="U95" i="65"/>
  <c r="AH95" i="65"/>
  <c r="AC93" i="65"/>
  <c r="AD93" i="65" s="1"/>
  <c r="Q96" i="65"/>
  <c r="AG93" i="65"/>
  <c r="AB94" i="65"/>
  <c r="AF95" i="65"/>
  <c r="R95" i="65"/>
  <c r="S95" i="65" s="1"/>
  <c r="AE95" i="65"/>
  <c r="AV95" i="65"/>
  <c r="L97" i="65"/>
  <c r="M97" i="65" s="1"/>
  <c r="O97" i="65"/>
  <c r="C97" i="65"/>
  <c r="P97" i="65" s="1"/>
  <c r="D96" i="65"/>
  <c r="E96" i="65" s="1"/>
  <c r="F96" i="65" s="1"/>
  <c r="G96" i="65" s="1"/>
  <c r="H96" i="65" s="1"/>
  <c r="I96" i="65" s="1"/>
  <c r="J96" i="65" s="1"/>
  <c r="K96" i="65" s="1"/>
  <c r="AP96" i="63" a="1"/>
  <c r="AP96" i="63" s="1"/>
  <c r="B98" i="65" s="1"/>
  <c r="Y96" i="65" l="1"/>
  <c r="AY98" i="65"/>
  <c r="BA98" i="65"/>
  <c r="AZ98" i="65"/>
  <c r="AS98" i="65"/>
  <c r="AX98" i="65"/>
  <c r="AM97" i="65"/>
  <c r="AU98" i="65"/>
  <c r="AT98" i="65"/>
  <c r="U96" i="65"/>
  <c r="AH96" i="65"/>
  <c r="AC94" i="65"/>
  <c r="AD94" i="65" s="1"/>
  <c r="Q97" i="65"/>
  <c r="AG94" i="65"/>
  <c r="AG95" i="65"/>
  <c r="AP97" i="63" a="1"/>
  <c r="AP97" i="63" s="1"/>
  <c r="B99" i="65" s="1"/>
  <c r="AE96" i="65"/>
  <c r="AV96" i="65"/>
  <c r="AF96" i="65"/>
  <c r="R96" i="65"/>
  <c r="S96" i="65" s="1"/>
  <c r="D97" i="65"/>
  <c r="E97" i="65" s="1"/>
  <c r="F97" i="65" s="1"/>
  <c r="G97" i="65" s="1"/>
  <c r="H97" i="65" s="1"/>
  <c r="I97" i="65" s="1"/>
  <c r="J97" i="65" s="1"/>
  <c r="K97" i="65" s="1"/>
  <c r="L98" i="65"/>
  <c r="M98" i="65" s="1"/>
  <c r="O98" i="65"/>
  <c r="C98" i="65"/>
  <c r="P98" i="65" s="1"/>
  <c r="Y97" i="65" l="1"/>
  <c r="BA99" i="65"/>
  <c r="AZ99" i="65"/>
  <c r="AY99" i="65"/>
  <c r="AS99" i="65"/>
  <c r="AX99" i="65"/>
  <c r="AM98" i="65"/>
  <c r="AU99" i="65"/>
  <c r="AT99" i="65"/>
  <c r="U97" i="65"/>
  <c r="AH97" i="65"/>
  <c r="Q98" i="65"/>
  <c r="AB95" i="65"/>
  <c r="AG96" i="65"/>
  <c r="D98" i="65"/>
  <c r="E98" i="65" s="1"/>
  <c r="F98" i="65" s="1"/>
  <c r="G98" i="65" s="1"/>
  <c r="H98" i="65" s="1"/>
  <c r="I98" i="65" s="1"/>
  <c r="J98" i="65" s="1"/>
  <c r="K98" i="65" s="1"/>
  <c r="AE97" i="65"/>
  <c r="AV97" i="65"/>
  <c r="AF97" i="65"/>
  <c r="R97" i="65"/>
  <c r="S97" i="65" s="1"/>
  <c r="AP98" i="63" a="1"/>
  <c r="AP98" i="63" s="1"/>
  <c r="B100" i="65" s="1"/>
  <c r="C99" i="65"/>
  <c r="P99" i="65" s="1"/>
  <c r="L99" i="65"/>
  <c r="M99" i="65" s="1"/>
  <c r="O99" i="65"/>
  <c r="Y98" i="65" l="1"/>
  <c r="AZ100" i="65"/>
  <c r="BA100" i="65"/>
  <c r="AY100" i="65"/>
  <c r="AS100" i="65"/>
  <c r="AX100" i="65"/>
  <c r="AM99" i="65"/>
  <c r="AT100" i="65"/>
  <c r="AU100" i="65"/>
  <c r="U98" i="65"/>
  <c r="AH98" i="65"/>
  <c r="AC95" i="65"/>
  <c r="AD95" i="65" s="1"/>
  <c r="Q99" i="65"/>
  <c r="AB96" i="65"/>
  <c r="AB97" i="65"/>
  <c r="D99" i="65"/>
  <c r="E99" i="65" s="1"/>
  <c r="F99" i="65" s="1"/>
  <c r="G99" i="65" s="1"/>
  <c r="H99" i="65" s="1"/>
  <c r="I99" i="65" s="1"/>
  <c r="J99" i="65" s="1"/>
  <c r="K99" i="65" s="1"/>
  <c r="AP99" i="63" a="1"/>
  <c r="AP99" i="63" s="1"/>
  <c r="B101" i="65" s="1"/>
  <c r="C100" i="65"/>
  <c r="P100" i="65" s="1"/>
  <c r="O100" i="65"/>
  <c r="L100" i="65"/>
  <c r="M100" i="65" s="1"/>
  <c r="AG97" i="65"/>
  <c r="AF98" i="65"/>
  <c r="AE98" i="65"/>
  <c r="R98" i="65"/>
  <c r="S98" i="65" s="1"/>
  <c r="AV98" i="65"/>
  <c r="Y99" i="65" l="1"/>
  <c r="AZ101" i="65"/>
  <c r="BA101" i="65"/>
  <c r="AY101" i="65"/>
  <c r="AS101" i="65"/>
  <c r="AX101" i="65"/>
  <c r="AM100" i="65"/>
  <c r="AU101" i="65"/>
  <c r="AT101" i="65"/>
  <c r="U99" i="65"/>
  <c r="AH99" i="65"/>
  <c r="AC97" i="65"/>
  <c r="AD97" i="65" s="1"/>
  <c r="AC96" i="65"/>
  <c r="AD96" i="65" s="1"/>
  <c r="Q100" i="65"/>
  <c r="AG98" i="65"/>
  <c r="AP100" i="63" a="1"/>
  <c r="AP100" i="63" s="1"/>
  <c r="B102" i="65" s="1"/>
  <c r="D100" i="65"/>
  <c r="E100" i="65" s="1"/>
  <c r="F100" i="65" s="1"/>
  <c r="G100" i="65" s="1"/>
  <c r="H100" i="65" s="1"/>
  <c r="I100" i="65" s="1"/>
  <c r="J100" i="65" s="1"/>
  <c r="K100" i="65" s="1"/>
  <c r="O101" i="65"/>
  <c r="C101" i="65"/>
  <c r="P101" i="65" s="1"/>
  <c r="L101" i="65"/>
  <c r="M101" i="65" s="1"/>
  <c r="AE99" i="65"/>
  <c r="AF99" i="65"/>
  <c r="AV99" i="65"/>
  <c r="R99" i="65"/>
  <c r="S99" i="65" s="1"/>
  <c r="Y100" i="65" l="1"/>
  <c r="BA102" i="65"/>
  <c r="AZ102" i="65"/>
  <c r="AY102" i="65"/>
  <c r="AS102" i="65"/>
  <c r="AX102" i="65"/>
  <c r="AM101" i="65"/>
  <c r="AU102" i="65"/>
  <c r="AT102" i="65"/>
  <c r="U100" i="65"/>
  <c r="AH100" i="65"/>
  <c r="Q101" i="65"/>
  <c r="AB98" i="65"/>
  <c r="AG99" i="65"/>
  <c r="D101" i="65"/>
  <c r="E101" i="65" s="1"/>
  <c r="F101" i="65" s="1"/>
  <c r="G101" i="65" s="1"/>
  <c r="H101" i="65" s="1"/>
  <c r="I101" i="65" s="1"/>
  <c r="J101" i="65" s="1"/>
  <c r="K101" i="65" s="1"/>
  <c r="AV100" i="65"/>
  <c r="R100" i="65"/>
  <c r="S100" i="65" s="1"/>
  <c r="AF100" i="65"/>
  <c r="AE100" i="65"/>
  <c r="C102" i="65"/>
  <c r="P102" i="65" s="1"/>
  <c r="L102" i="65"/>
  <c r="M102" i="65" s="1"/>
  <c r="O102" i="65"/>
  <c r="AP101" i="63" a="1"/>
  <c r="AP101" i="63" s="1"/>
  <c r="B103" i="65" s="1"/>
  <c r="Y101" i="65" l="1"/>
  <c r="BA103" i="65"/>
  <c r="AZ103" i="65"/>
  <c r="AY103" i="65"/>
  <c r="AS103" i="65"/>
  <c r="AX103" i="65"/>
  <c r="AM102" i="65"/>
  <c r="AU103" i="65"/>
  <c r="AT103" i="65"/>
  <c r="U101" i="65"/>
  <c r="AH101" i="65"/>
  <c r="AC98" i="65"/>
  <c r="AD98" i="65" s="1"/>
  <c r="Q102" i="65"/>
  <c r="AB99" i="65"/>
  <c r="AB100" i="65"/>
  <c r="L103" i="65"/>
  <c r="M103" i="65" s="1"/>
  <c r="C103" i="65"/>
  <c r="P103" i="65" s="1"/>
  <c r="O103" i="65"/>
  <c r="AP102" i="63" a="1"/>
  <c r="AP102" i="63" s="1"/>
  <c r="B104" i="65" s="1"/>
  <c r="D102" i="65"/>
  <c r="E102" i="65" s="1"/>
  <c r="F102" i="65" s="1"/>
  <c r="G102" i="65" s="1"/>
  <c r="H102" i="65" s="1"/>
  <c r="I102" i="65" s="1"/>
  <c r="J102" i="65" s="1"/>
  <c r="K102" i="65" s="1"/>
  <c r="AV101" i="65"/>
  <c r="R101" i="65"/>
  <c r="S101" i="65" s="1"/>
  <c r="AE101" i="65"/>
  <c r="AF101" i="65"/>
  <c r="Y102" i="65" l="1"/>
  <c r="BA104" i="65"/>
  <c r="AZ104" i="65"/>
  <c r="AY104" i="65"/>
  <c r="AS104" i="65"/>
  <c r="AX104" i="65"/>
  <c r="AM103" i="65"/>
  <c r="AT104" i="65"/>
  <c r="AU104" i="65"/>
  <c r="U102" i="65"/>
  <c r="AH102" i="65"/>
  <c r="AC100" i="65"/>
  <c r="AD100" i="65" s="1"/>
  <c r="AC99" i="65"/>
  <c r="AD99" i="65" s="1"/>
  <c r="Q103" i="65"/>
  <c r="AB101" i="65"/>
  <c r="AG100" i="65"/>
  <c r="D103" i="65"/>
  <c r="E103" i="65" s="1"/>
  <c r="F103" i="65" s="1"/>
  <c r="G103" i="65" s="1"/>
  <c r="H103" i="65" s="1"/>
  <c r="I103" i="65" s="1"/>
  <c r="J103" i="65" s="1"/>
  <c r="K103" i="65" s="1"/>
  <c r="AP103" i="63" a="1"/>
  <c r="AP103" i="63" s="1"/>
  <c r="B105" i="65" s="1"/>
  <c r="AV102" i="65"/>
  <c r="AF102" i="65"/>
  <c r="AE102" i="65"/>
  <c r="R102" i="65"/>
  <c r="S102" i="65" s="1"/>
  <c r="O104" i="65"/>
  <c r="L104" i="65"/>
  <c r="M104" i="65" s="1"/>
  <c r="C104" i="65"/>
  <c r="P104" i="65" s="1"/>
  <c r="Y103" i="65" l="1"/>
  <c r="BA105" i="65"/>
  <c r="AZ105" i="65"/>
  <c r="AY105" i="65"/>
  <c r="AS105" i="65"/>
  <c r="AX105" i="65"/>
  <c r="AM104" i="65"/>
  <c r="AU105" i="65"/>
  <c r="AT105" i="65"/>
  <c r="U103" i="65"/>
  <c r="AH103" i="65"/>
  <c r="AC101" i="65"/>
  <c r="AD101" i="65" s="1"/>
  <c r="Q104" i="65"/>
  <c r="AG101" i="65"/>
  <c r="AB102" i="65"/>
  <c r="C105" i="65"/>
  <c r="P105" i="65" s="1"/>
  <c r="L105" i="65"/>
  <c r="M105" i="65" s="1"/>
  <c r="O105" i="65"/>
  <c r="AP104" i="63" a="1"/>
  <c r="AP104" i="63" s="1"/>
  <c r="B106" i="65" s="1"/>
  <c r="AG102" i="65"/>
  <c r="AV103" i="65"/>
  <c r="R103" i="65"/>
  <c r="S103" i="65" s="1"/>
  <c r="AE103" i="65"/>
  <c r="AF103" i="65"/>
  <c r="D104" i="65"/>
  <c r="E104" i="65" s="1"/>
  <c r="F104" i="65" s="1"/>
  <c r="G104" i="65" s="1"/>
  <c r="H104" i="65" s="1"/>
  <c r="I104" i="65" s="1"/>
  <c r="J104" i="65" s="1"/>
  <c r="K104" i="65" s="1"/>
  <c r="Y104" i="65" l="1"/>
  <c r="AY106" i="65"/>
  <c r="BA106" i="65"/>
  <c r="AZ106" i="65"/>
  <c r="AS106" i="65"/>
  <c r="AX106" i="65"/>
  <c r="AM105" i="65"/>
  <c r="AU106" i="65"/>
  <c r="AT106" i="65"/>
  <c r="U104" i="65"/>
  <c r="AH104" i="65"/>
  <c r="AC102" i="65"/>
  <c r="AD102" i="65" s="1"/>
  <c r="Q105" i="65"/>
  <c r="AB103" i="65"/>
  <c r="C106" i="65"/>
  <c r="P106" i="65" s="1"/>
  <c r="O106" i="65"/>
  <c r="L106" i="65"/>
  <c r="M106" i="65" s="1"/>
  <c r="AP105" i="63" a="1"/>
  <c r="AP105" i="63" s="1"/>
  <c r="B107" i="65" s="1"/>
  <c r="AF104" i="65"/>
  <c r="AE104" i="65"/>
  <c r="R104" i="65"/>
  <c r="S104" i="65" s="1"/>
  <c r="AV104" i="65"/>
  <c r="D105" i="65"/>
  <c r="E105" i="65" s="1"/>
  <c r="F105" i="65" s="1"/>
  <c r="G105" i="65" s="1"/>
  <c r="H105" i="65" s="1"/>
  <c r="I105" i="65" s="1"/>
  <c r="J105" i="65" s="1"/>
  <c r="K105" i="65" s="1"/>
  <c r="Y105" i="65" l="1"/>
  <c r="AZ107" i="65"/>
  <c r="BA107" i="65"/>
  <c r="AY107" i="65"/>
  <c r="AS107" i="65"/>
  <c r="AX107" i="65"/>
  <c r="AM106" i="65"/>
  <c r="AU107" i="65"/>
  <c r="AT107" i="65"/>
  <c r="U105" i="65"/>
  <c r="AH105" i="65"/>
  <c r="AC103" i="65"/>
  <c r="AD103" i="65" s="1"/>
  <c r="Q106" i="65"/>
  <c r="AG103" i="65"/>
  <c r="AB104" i="65"/>
  <c r="R105" i="65"/>
  <c r="S105" i="65" s="1"/>
  <c r="AV105" i="65"/>
  <c r="AE105" i="65"/>
  <c r="AF105" i="65"/>
  <c r="O107" i="65"/>
  <c r="L107" i="65"/>
  <c r="M107" i="65" s="1"/>
  <c r="C107" i="65"/>
  <c r="P107" i="65" s="1"/>
  <c r="AP106" i="63" a="1"/>
  <c r="AP106" i="63" s="1"/>
  <c r="B108" i="65" s="1"/>
  <c r="AG104" i="65"/>
  <c r="D106" i="65"/>
  <c r="E106" i="65" s="1"/>
  <c r="F106" i="65" s="1"/>
  <c r="G106" i="65" s="1"/>
  <c r="H106" i="65" s="1"/>
  <c r="I106" i="65" s="1"/>
  <c r="J106" i="65" s="1"/>
  <c r="K106" i="65" s="1"/>
  <c r="Y106" i="65" l="1"/>
  <c r="BA108" i="65"/>
  <c r="AZ108" i="65"/>
  <c r="AY108" i="65"/>
  <c r="AS108" i="65"/>
  <c r="AX108" i="65"/>
  <c r="AM107" i="65"/>
  <c r="AT108" i="65"/>
  <c r="AU108" i="65"/>
  <c r="U106" i="65"/>
  <c r="AH106" i="65"/>
  <c r="AC104" i="65"/>
  <c r="AD104" i="65" s="1"/>
  <c r="Q107" i="65"/>
  <c r="AG105" i="65"/>
  <c r="AV106" i="65"/>
  <c r="R106" i="65"/>
  <c r="S106" i="65" s="1"/>
  <c r="AF106" i="65"/>
  <c r="AE106" i="65"/>
  <c r="D107" i="65"/>
  <c r="E107" i="65" s="1"/>
  <c r="F107" i="65" s="1"/>
  <c r="G107" i="65" s="1"/>
  <c r="H107" i="65" s="1"/>
  <c r="I107" i="65" s="1"/>
  <c r="J107" i="65" s="1"/>
  <c r="K107" i="65" s="1"/>
  <c r="L108" i="65"/>
  <c r="M108" i="65" s="1"/>
  <c r="C108" i="65"/>
  <c r="P108" i="65" s="1"/>
  <c r="O108" i="65"/>
  <c r="AP107" i="63" a="1"/>
  <c r="AP107" i="63" s="1"/>
  <c r="B109" i="65" s="1"/>
  <c r="Y107" i="65" l="1"/>
  <c r="BA109" i="65"/>
  <c r="AZ109" i="65"/>
  <c r="AY109" i="65"/>
  <c r="AS109" i="65"/>
  <c r="AX109" i="65"/>
  <c r="AM108" i="65"/>
  <c r="AU109" i="65"/>
  <c r="AT109" i="65"/>
  <c r="U107" i="65"/>
  <c r="AH107" i="65"/>
  <c r="Q108" i="65"/>
  <c r="AB105" i="65"/>
  <c r="AB106" i="65"/>
  <c r="AP108" i="63" a="1"/>
  <c r="AP108" i="63" s="1"/>
  <c r="B110" i="65" s="1"/>
  <c r="AE107" i="65"/>
  <c r="R107" i="65"/>
  <c r="S107" i="65" s="1"/>
  <c r="AF107" i="65"/>
  <c r="AV107" i="65"/>
  <c r="D108" i="65"/>
  <c r="E108" i="65" s="1"/>
  <c r="F108" i="65" s="1"/>
  <c r="G108" i="65" s="1"/>
  <c r="H108" i="65" s="1"/>
  <c r="I108" i="65" s="1"/>
  <c r="J108" i="65" s="1"/>
  <c r="K108" i="65" s="1"/>
  <c r="L109" i="65"/>
  <c r="M109" i="65" s="1"/>
  <c r="O109" i="65"/>
  <c r="C109" i="65"/>
  <c r="P109" i="65" s="1"/>
  <c r="Y108" i="65" l="1"/>
  <c r="BA110" i="65"/>
  <c r="AZ110" i="65"/>
  <c r="AY110" i="65"/>
  <c r="AS110" i="65"/>
  <c r="AX110" i="65"/>
  <c r="AM109" i="65"/>
  <c r="AU110" i="65"/>
  <c r="AT110" i="65"/>
  <c r="U108" i="65"/>
  <c r="AH108" i="65"/>
  <c r="AC106" i="65"/>
  <c r="AD106" i="65" s="1"/>
  <c r="AC105" i="65"/>
  <c r="AD105" i="65" s="1"/>
  <c r="Q109" i="65"/>
  <c r="AG106" i="65"/>
  <c r="AG107" i="65"/>
  <c r="D109" i="65"/>
  <c r="E109" i="65" s="1"/>
  <c r="F109" i="65" s="1"/>
  <c r="G109" i="65" s="1"/>
  <c r="H109" i="65" s="1"/>
  <c r="I109" i="65" s="1"/>
  <c r="J109" i="65" s="1"/>
  <c r="K109" i="65" s="1"/>
  <c r="AE108" i="65"/>
  <c r="R108" i="65"/>
  <c r="S108" i="65" s="1"/>
  <c r="AF108" i="65"/>
  <c r="AV108" i="65"/>
  <c r="AP109" i="63" a="1"/>
  <c r="AP109" i="63" s="1"/>
  <c r="B111" i="65" s="1"/>
  <c r="O110" i="65"/>
  <c r="C110" i="65"/>
  <c r="P110" i="65" s="1"/>
  <c r="L110" i="65"/>
  <c r="M110" i="65" s="1"/>
  <c r="Y109" i="65" l="1"/>
  <c r="AZ111" i="65"/>
  <c r="AY111" i="65"/>
  <c r="BA111" i="65"/>
  <c r="AS111" i="65"/>
  <c r="AX111" i="65"/>
  <c r="AM110" i="65"/>
  <c r="AU111" i="65"/>
  <c r="AT111" i="65"/>
  <c r="U109" i="65"/>
  <c r="AH109" i="65"/>
  <c r="Q110" i="65"/>
  <c r="AB107" i="65"/>
  <c r="AG108" i="65"/>
  <c r="D110" i="65"/>
  <c r="E110" i="65" s="1"/>
  <c r="F110" i="65" s="1"/>
  <c r="G110" i="65" s="1"/>
  <c r="H110" i="65" s="1"/>
  <c r="I110" i="65" s="1"/>
  <c r="J110" i="65" s="1"/>
  <c r="K110" i="65" s="1"/>
  <c r="AP110" i="63" a="1"/>
  <c r="AP110" i="63" s="1"/>
  <c r="B112" i="65" s="1"/>
  <c r="AE109" i="65"/>
  <c r="AV109" i="65"/>
  <c r="AF109" i="65"/>
  <c r="R109" i="65"/>
  <c r="S109" i="65" s="1"/>
  <c r="O111" i="65"/>
  <c r="L111" i="65"/>
  <c r="M111" i="65" s="1"/>
  <c r="C111" i="65"/>
  <c r="P111" i="65" s="1"/>
  <c r="Y110" i="65" l="1"/>
  <c r="AZ112" i="65"/>
  <c r="BA112" i="65"/>
  <c r="AY112" i="65"/>
  <c r="AS112" i="65"/>
  <c r="AX112" i="65"/>
  <c r="AM111" i="65"/>
  <c r="AU112" i="65"/>
  <c r="AT112" i="65"/>
  <c r="U110" i="65"/>
  <c r="AH110" i="65"/>
  <c r="AC107" i="65"/>
  <c r="AD107" i="65" s="1"/>
  <c r="Q111" i="65"/>
  <c r="AB108" i="65"/>
  <c r="AB109" i="65"/>
  <c r="C112" i="65"/>
  <c r="P112" i="65" s="1"/>
  <c r="L112" i="65"/>
  <c r="M112" i="65" s="1"/>
  <c r="O112" i="65"/>
  <c r="AP111" i="63" a="1"/>
  <c r="AP111" i="63" s="1"/>
  <c r="B113" i="65" s="1"/>
  <c r="D111" i="65"/>
  <c r="E111" i="65" s="1"/>
  <c r="F111" i="65" s="1"/>
  <c r="G111" i="65" s="1"/>
  <c r="H111" i="65" s="1"/>
  <c r="I111" i="65" s="1"/>
  <c r="J111" i="65" s="1"/>
  <c r="K111" i="65" s="1"/>
  <c r="AE110" i="65"/>
  <c r="AF110" i="65"/>
  <c r="AV110" i="65"/>
  <c r="R110" i="65"/>
  <c r="S110" i="65" s="1"/>
  <c r="Y111" i="65" l="1"/>
  <c r="BA113" i="65"/>
  <c r="AZ113" i="65"/>
  <c r="AY113" i="65"/>
  <c r="AS113" i="65"/>
  <c r="AX113" i="65"/>
  <c r="AM112" i="65"/>
  <c r="AU113" i="65"/>
  <c r="AT113" i="65"/>
  <c r="U111" i="65"/>
  <c r="AH111" i="65"/>
  <c r="AC108" i="65"/>
  <c r="AD108" i="65" s="1"/>
  <c r="AC109" i="65"/>
  <c r="AD109" i="65" s="1"/>
  <c r="Q112" i="65"/>
  <c r="AB110" i="65"/>
  <c r="AG109" i="65"/>
  <c r="AP112" i="63" a="1"/>
  <c r="AP112" i="63" s="1"/>
  <c r="B114" i="65" s="1"/>
  <c r="D112" i="65"/>
  <c r="E112" i="65" s="1"/>
  <c r="F112" i="65" s="1"/>
  <c r="G112" i="65" s="1"/>
  <c r="H112" i="65" s="1"/>
  <c r="I112" i="65" s="1"/>
  <c r="J112" i="65" s="1"/>
  <c r="K112" i="65" s="1"/>
  <c r="O113" i="65"/>
  <c r="L113" i="65"/>
  <c r="M113" i="65" s="1"/>
  <c r="C113" i="65"/>
  <c r="P113" i="65" s="1"/>
  <c r="AF111" i="65"/>
  <c r="AV111" i="65"/>
  <c r="AE111" i="65"/>
  <c r="R111" i="65"/>
  <c r="S111" i="65" s="1"/>
  <c r="AG110" i="65"/>
  <c r="Y112" i="65" l="1"/>
  <c r="BA114" i="65"/>
  <c r="AY114" i="65"/>
  <c r="AZ114" i="65"/>
  <c r="AS114" i="65"/>
  <c r="AX114" i="65"/>
  <c r="AM113" i="65"/>
  <c r="AU114" i="65"/>
  <c r="AT114" i="65"/>
  <c r="U112" i="65"/>
  <c r="AH112" i="65"/>
  <c r="AC110" i="65"/>
  <c r="AD110" i="65" s="1"/>
  <c r="Q113" i="65"/>
  <c r="AB111" i="65"/>
  <c r="AG111" i="65"/>
  <c r="AP113" i="63" a="1"/>
  <c r="AP113" i="63" s="1"/>
  <c r="B115" i="65" s="1"/>
  <c r="D113" i="65"/>
  <c r="E113" i="65" s="1"/>
  <c r="F113" i="65" s="1"/>
  <c r="G113" i="65" s="1"/>
  <c r="H113" i="65" s="1"/>
  <c r="I113" i="65" s="1"/>
  <c r="J113" i="65" s="1"/>
  <c r="K113" i="65" s="1"/>
  <c r="AE112" i="65"/>
  <c r="AF112" i="65"/>
  <c r="AV112" i="65"/>
  <c r="R112" i="65"/>
  <c r="S112" i="65" s="1"/>
  <c r="O114" i="65"/>
  <c r="C114" i="65"/>
  <c r="P114" i="65" s="1"/>
  <c r="L114" i="65"/>
  <c r="M114" i="65" s="1"/>
  <c r="Y113" i="65" l="1"/>
  <c r="BA115" i="65"/>
  <c r="AZ115" i="65"/>
  <c r="AY115" i="65"/>
  <c r="AS115" i="65"/>
  <c r="AX115" i="65"/>
  <c r="AM114" i="65"/>
  <c r="AU115" i="65"/>
  <c r="AT115" i="65"/>
  <c r="U113" i="65"/>
  <c r="AH113" i="65"/>
  <c r="AC111" i="65"/>
  <c r="AD111" i="65" s="1"/>
  <c r="Q114" i="65"/>
  <c r="AB112" i="65"/>
  <c r="AP114" i="63" a="1"/>
  <c r="AP114" i="63" s="1"/>
  <c r="B116" i="65" s="1"/>
  <c r="D114" i="65"/>
  <c r="E114" i="65" s="1"/>
  <c r="F114" i="65" s="1"/>
  <c r="G114" i="65" s="1"/>
  <c r="H114" i="65" s="1"/>
  <c r="I114" i="65" s="1"/>
  <c r="J114" i="65" s="1"/>
  <c r="K114" i="65" s="1"/>
  <c r="AV113" i="65"/>
  <c r="AF113" i="65"/>
  <c r="AE113" i="65"/>
  <c r="R113" i="65"/>
  <c r="S113" i="65" s="1"/>
  <c r="L115" i="65"/>
  <c r="M115" i="65" s="1"/>
  <c r="C115" i="65"/>
  <c r="P115" i="65" s="1"/>
  <c r="O115" i="65"/>
  <c r="Y114" i="65" l="1"/>
  <c r="AZ116" i="65"/>
  <c r="BA116" i="65"/>
  <c r="AY116" i="65"/>
  <c r="AS116" i="65"/>
  <c r="AX116" i="65"/>
  <c r="AM115" i="65"/>
  <c r="AU116" i="65"/>
  <c r="AT116" i="65"/>
  <c r="U114" i="65"/>
  <c r="AH114" i="65"/>
  <c r="AC112" i="65"/>
  <c r="AD112" i="65" s="1"/>
  <c r="Q115" i="65"/>
  <c r="AG112" i="65"/>
  <c r="AB113" i="65"/>
  <c r="AF114" i="65"/>
  <c r="AV114" i="65"/>
  <c r="R114" i="65"/>
  <c r="S114" i="65" s="1"/>
  <c r="AE114" i="65"/>
  <c r="D115" i="65"/>
  <c r="E115" i="65" s="1"/>
  <c r="F115" i="65" s="1"/>
  <c r="G115" i="65" s="1"/>
  <c r="H115" i="65" s="1"/>
  <c r="I115" i="65" s="1"/>
  <c r="J115" i="65" s="1"/>
  <c r="K115" i="65" s="1"/>
  <c r="L116" i="65"/>
  <c r="M116" i="65" s="1"/>
  <c r="C116" i="65"/>
  <c r="P116" i="65" s="1"/>
  <c r="O116" i="65"/>
  <c r="AP115" i="63" a="1"/>
  <c r="AP115" i="63" s="1"/>
  <c r="B117" i="65" s="1"/>
  <c r="Y115" i="65" l="1"/>
  <c r="BA117" i="65"/>
  <c r="AZ117" i="65"/>
  <c r="AY117" i="65"/>
  <c r="AS117" i="65"/>
  <c r="AX117" i="65"/>
  <c r="AM116" i="65"/>
  <c r="AU117" i="65"/>
  <c r="AT117" i="65"/>
  <c r="U115" i="65"/>
  <c r="AH115" i="65"/>
  <c r="AC113" i="65"/>
  <c r="AD113" i="65" s="1"/>
  <c r="Q116" i="65"/>
  <c r="AG113" i="65"/>
  <c r="AB114" i="65"/>
  <c r="L117" i="65"/>
  <c r="M117" i="65" s="1"/>
  <c r="O117" i="65"/>
  <c r="C117" i="65"/>
  <c r="P117" i="65" s="1"/>
  <c r="AV115" i="65"/>
  <c r="R115" i="65"/>
  <c r="S115" i="65" s="1"/>
  <c r="AF115" i="65"/>
  <c r="AE115" i="65"/>
  <c r="D116" i="65"/>
  <c r="E116" i="65" s="1"/>
  <c r="F116" i="65" s="1"/>
  <c r="G116" i="65" s="1"/>
  <c r="H116" i="65" s="1"/>
  <c r="I116" i="65" s="1"/>
  <c r="J116" i="65" s="1"/>
  <c r="K116" i="65" s="1"/>
  <c r="AP116" i="63" a="1"/>
  <c r="AP116" i="63" s="1"/>
  <c r="B118" i="65" s="1"/>
  <c r="Y116" i="65" l="1"/>
  <c r="BA118" i="65"/>
  <c r="AZ118" i="65"/>
  <c r="AY118" i="65"/>
  <c r="AS118" i="65"/>
  <c r="AX118" i="65"/>
  <c r="AM117" i="65"/>
  <c r="AU118" i="65"/>
  <c r="AT118" i="65"/>
  <c r="U116" i="65"/>
  <c r="AH116" i="65"/>
  <c r="AC114" i="65"/>
  <c r="AD114" i="65" s="1"/>
  <c r="Q117" i="65"/>
  <c r="AG114" i="65"/>
  <c r="AB115" i="65"/>
  <c r="AP117" i="63" a="1"/>
  <c r="AP117" i="63" s="1"/>
  <c r="B119" i="65" s="1"/>
  <c r="AG115" i="65"/>
  <c r="D117" i="65"/>
  <c r="E117" i="65" s="1"/>
  <c r="F117" i="65" s="1"/>
  <c r="G117" i="65" s="1"/>
  <c r="H117" i="65" s="1"/>
  <c r="I117" i="65" s="1"/>
  <c r="J117" i="65" s="1"/>
  <c r="K117" i="65" s="1"/>
  <c r="AE116" i="65"/>
  <c r="AF116" i="65"/>
  <c r="R116" i="65"/>
  <c r="S116" i="65" s="1"/>
  <c r="AV116" i="65"/>
  <c r="L118" i="65"/>
  <c r="M118" i="65" s="1"/>
  <c r="C118" i="65"/>
  <c r="P118" i="65" s="1"/>
  <c r="O118" i="65"/>
  <c r="Y117" i="65" l="1"/>
  <c r="BA119" i="65"/>
  <c r="AY119" i="65"/>
  <c r="AZ119" i="65"/>
  <c r="AS119" i="65"/>
  <c r="AX119" i="65"/>
  <c r="AM118" i="65"/>
  <c r="AU119" i="65"/>
  <c r="AT119" i="65"/>
  <c r="U117" i="65"/>
  <c r="AH117" i="65"/>
  <c r="AC115" i="65"/>
  <c r="AD115" i="65" s="1"/>
  <c r="Q118" i="65"/>
  <c r="AB116" i="65"/>
  <c r="AV117" i="65"/>
  <c r="AF117" i="65"/>
  <c r="R117" i="65"/>
  <c r="S117" i="65" s="1"/>
  <c r="AE117" i="65"/>
  <c r="D118" i="65"/>
  <c r="E118" i="65" s="1"/>
  <c r="F118" i="65" s="1"/>
  <c r="G118" i="65" s="1"/>
  <c r="H118" i="65" s="1"/>
  <c r="I118" i="65" s="1"/>
  <c r="J118" i="65" s="1"/>
  <c r="K118" i="65" s="1"/>
  <c r="AP118" i="63" a="1"/>
  <c r="AP118" i="63" s="1"/>
  <c r="B120" i="65" s="1"/>
  <c r="O119" i="65"/>
  <c r="L119" i="65"/>
  <c r="M119" i="65" s="1"/>
  <c r="C119" i="65"/>
  <c r="P119" i="65" s="1"/>
  <c r="Y118" i="65" l="1"/>
  <c r="AZ120" i="65"/>
  <c r="AY120" i="65"/>
  <c r="BA120" i="65"/>
  <c r="AS120" i="65"/>
  <c r="AX120" i="65"/>
  <c r="AM119" i="65"/>
  <c r="AU120" i="65"/>
  <c r="AT120" i="65"/>
  <c r="U118" i="65"/>
  <c r="AH118" i="65"/>
  <c r="AC116" i="65"/>
  <c r="AD116" i="65" s="1"/>
  <c r="Q119" i="65"/>
  <c r="AG116" i="65"/>
  <c r="AB117" i="65"/>
  <c r="AV118" i="65"/>
  <c r="R118" i="65"/>
  <c r="S118" i="65" s="1"/>
  <c r="AE118" i="65"/>
  <c r="AF118" i="65"/>
  <c r="AP119" i="63" a="1"/>
  <c r="AP119" i="63" s="1"/>
  <c r="B121" i="65" s="1"/>
  <c r="C120" i="65"/>
  <c r="P120" i="65" s="1"/>
  <c r="O120" i="65"/>
  <c r="L120" i="65"/>
  <c r="M120" i="65" s="1"/>
  <c r="D119" i="65"/>
  <c r="E119" i="65" s="1"/>
  <c r="F119" i="65" s="1"/>
  <c r="G119" i="65" s="1"/>
  <c r="H119" i="65" s="1"/>
  <c r="I119" i="65" s="1"/>
  <c r="J119" i="65" s="1"/>
  <c r="K119" i="65" s="1"/>
  <c r="Y119" i="65" l="1"/>
  <c r="AZ121" i="65"/>
  <c r="AY121" i="65"/>
  <c r="BA121" i="65"/>
  <c r="AS121" i="65"/>
  <c r="AX121" i="65"/>
  <c r="AM120" i="65"/>
  <c r="AU121" i="65"/>
  <c r="AT121" i="65"/>
  <c r="U119" i="65"/>
  <c r="AH119" i="65"/>
  <c r="AC117" i="65"/>
  <c r="AD117" i="65" s="1"/>
  <c r="Q120" i="65"/>
  <c r="AG117" i="65"/>
  <c r="AB118" i="65"/>
  <c r="L121" i="65"/>
  <c r="M121" i="65" s="1"/>
  <c r="C121" i="65"/>
  <c r="P121" i="65" s="1"/>
  <c r="O121" i="65"/>
  <c r="R119" i="65"/>
  <c r="S119" i="65" s="1"/>
  <c r="AF119" i="65"/>
  <c r="AV119" i="65"/>
  <c r="AE119" i="65"/>
  <c r="AP120" i="63" a="1"/>
  <c r="AP120" i="63" s="1"/>
  <c r="B122" i="65" s="1"/>
  <c r="D120" i="65"/>
  <c r="E120" i="65" s="1"/>
  <c r="F120" i="65" s="1"/>
  <c r="G120" i="65" s="1"/>
  <c r="H120" i="65" s="1"/>
  <c r="I120" i="65" s="1"/>
  <c r="J120" i="65" s="1"/>
  <c r="K120" i="65" s="1"/>
  <c r="Y120" i="65" l="1"/>
  <c r="BA122" i="65"/>
  <c r="AY122" i="65"/>
  <c r="AZ122" i="65"/>
  <c r="AS122" i="65"/>
  <c r="AX122" i="65"/>
  <c r="AM121" i="65"/>
  <c r="AU122" i="65"/>
  <c r="AT122" i="65"/>
  <c r="U120" i="65"/>
  <c r="AH120" i="65"/>
  <c r="AC118" i="65"/>
  <c r="AD118" i="65" s="1"/>
  <c r="Q121" i="65"/>
  <c r="AG118" i="65"/>
  <c r="AB119" i="65"/>
  <c r="C122" i="65"/>
  <c r="P122" i="65" s="1"/>
  <c r="L122" i="65"/>
  <c r="M122" i="65" s="1"/>
  <c r="O122" i="65"/>
  <c r="AG119" i="65"/>
  <c r="D121" i="65"/>
  <c r="E121" i="65" s="1"/>
  <c r="F121" i="65" s="1"/>
  <c r="G121" i="65" s="1"/>
  <c r="H121" i="65" s="1"/>
  <c r="I121" i="65" s="1"/>
  <c r="J121" i="65" s="1"/>
  <c r="K121" i="65" s="1"/>
  <c r="AP121" i="63" a="1"/>
  <c r="AP121" i="63" s="1"/>
  <c r="B123" i="65" s="1"/>
  <c r="AE120" i="65"/>
  <c r="R120" i="65"/>
  <c r="S120" i="65" s="1"/>
  <c r="AV120" i="65"/>
  <c r="AF120" i="65"/>
  <c r="Y121" i="65" l="1"/>
  <c r="BA123" i="65"/>
  <c r="AZ123" i="65"/>
  <c r="AY123" i="65"/>
  <c r="AS123" i="65"/>
  <c r="AX123" i="65"/>
  <c r="AM122" i="65"/>
  <c r="AU123" i="65"/>
  <c r="AT123" i="65"/>
  <c r="U121" i="65"/>
  <c r="AH121" i="65"/>
  <c r="AC119" i="65"/>
  <c r="AD119" i="65" s="1"/>
  <c r="Q122" i="65"/>
  <c r="AB120" i="65"/>
  <c r="L123" i="65"/>
  <c r="M123" i="65" s="1"/>
  <c r="C123" i="65"/>
  <c r="P123" i="65" s="1"/>
  <c r="O123" i="65"/>
  <c r="AE121" i="65"/>
  <c r="AV121" i="65"/>
  <c r="AF121" i="65"/>
  <c r="R121" i="65"/>
  <c r="S121" i="65" s="1"/>
  <c r="D122" i="65"/>
  <c r="E122" i="65" s="1"/>
  <c r="F122" i="65" s="1"/>
  <c r="G122" i="65" s="1"/>
  <c r="H122" i="65" s="1"/>
  <c r="I122" i="65" s="1"/>
  <c r="J122" i="65" s="1"/>
  <c r="K122" i="65" s="1"/>
  <c r="AP122" i="63" a="1"/>
  <c r="AP122" i="63" s="1"/>
  <c r="B124" i="65" s="1"/>
  <c r="Y122" i="65" l="1"/>
  <c r="BA124" i="65"/>
  <c r="AZ124" i="65"/>
  <c r="AY124" i="65"/>
  <c r="AS124" i="65"/>
  <c r="AX124" i="65"/>
  <c r="AM123" i="65"/>
  <c r="AT124" i="65"/>
  <c r="AU124" i="65"/>
  <c r="U122" i="65"/>
  <c r="AH122" i="65"/>
  <c r="AC120" i="65"/>
  <c r="AD120" i="65" s="1"/>
  <c r="Q123" i="65"/>
  <c r="AG120" i="65"/>
  <c r="AB121" i="65"/>
  <c r="L124" i="65"/>
  <c r="M124" i="65" s="1"/>
  <c r="O124" i="65"/>
  <c r="C124" i="65"/>
  <c r="P124" i="65" s="1"/>
  <c r="AG121" i="65"/>
  <c r="D123" i="65"/>
  <c r="E123" i="65" s="1"/>
  <c r="F123" i="65" s="1"/>
  <c r="G123" i="65" s="1"/>
  <c r="H123" i="65" s="1"/>
  <c r="I123" i="65" s="1"/>
  <c r="J123" i="65" s="1"/>
  <c r="K123" i="65" s="1"/>
  <c r="AE122" i="65"/>
  <c r="AF122" i="65"/>
  <c r="AV122" i="65"/>
  <c r="R122" i="65"/>
  <c r="S122" i="65" s="1"/>
  <c r="AP123" i="63" a="1"/>
  <c r="AP123" i="63" s="1"/>
  <c r="B125" i="65" s="1"/>
  <c r="Y123" i="65" l="1"/>
  <c r="BA125" i="65"/>
  <c r="AY125" i="65"/>
  <c r="AZ125" i="65"/>
  <c r="AS125" i="65"/>
  <c r="AX125" i="65"/>
  <c r="AM124" i="65"/>
  <c r="AU125" i="65"/>
  <c r="AT125" i="65"/>
  <c r="U123" i="65"/>
  <c r="AH123" i="65"/>
  <c r="AC121" i="65"/>
  <c r="AD121" i="65" s="1"/>
  <c r="Q124" i="65"/>
  <c r="AB122" i="65"/>
  <c r="AG122" i="65"/>
  <c r="L125" i="65"/>
  <c r="M125" i="65" s="1"/>
  <c r="O125" i="65"/>
  <c r="C125" i="65"/>
  <c r="P125" i="65" s="1"/>
  <c r="AE123" i="65"/>
  <c r="AF123" i="65"/>
  <c r="R123" i="65"/>
  <c r="S123" i="65" s="1"/>
  <c r="AV123" i="65"/>
  <c r="D124" i="65"/>
  <c r="E124" i="65" s="1"/>
  <c r="F124" i="65" s="1"/>
  <c r="G124" i="65" s="1"/>
  <c r="H124" i="65" s="1"/>
  <c r="I124" i="65" s="1"/>
  <c r="J124" i="65" s="1"/>
  <c r="K124" i="65" s="1"/>
  <c r="AP124" i="63" a="1"/>
  <c r="AP124" i="63" s="1"/>
  <c r="B126" i="65" s="1"/>
  <c r="Y124" i="65" l="1"/>
  <c r="BA126" i="65"/>
  <c r="AZ126" i="65"/>
  <c r="AY126" i="65"/>
  <c r="AS126" i="65"/>
  <c r="AX126" i="65"/>
  <c r="AM125" i="65"/>
  <c r="AU126" i="65"/>
  <c r="AT126" i="65"/>
  <c r="U124" i="65"/>
  <c r="AH124" i="65"/>
  <c r="AC122" i="65"/>
  <c r="AD122" i="65" s="1"/>
  <c r="Q125" i="65"/>
  <c r="AB123" i="65"/>
  <c r="AE124" i="65"/>
  <c r="AV124" i="65"/>
  <c r="R124" i="65"/>
  <c r="S124" i="65" s="1"/>
  <c r="AF124" i="65"/>
  <c r="C126" i="65"/>
  <c r="P126" i="65" s="1"/>
  <c r="O126" i="65"/>
  <c r="L126" i="65"/>
  <c r="M126" i="65" s="1"/>
  <c r="AP125" i="63" a="1"/>
  <c r="AP125" i="63" s="1"/>
  <c r="B127" i="65" s="1"/>
  <c r="D125" i="65"/>
  <c r="E125" i="65" s="1"/>
  <c r="F125" i="65" s="1"/>
  <c r="G125" i="65" s="1"/>
  <c r="H125" i="65" s="1"/>
  <c r="I125" i="65" s="1"/>
  <c r="J125" i="65" s="1"/>
  <c r="K125" i="65" s="1"/>
  <c r="Y125" i="65" l="1"/>
  <c r="BA127" i="65"/>
  <c r="AZ127" i="65"/>
  <c r="AY127" i="65"/>
  <c r="AS127" i="65"/>
  <c r="AX127" i="65"/>
  <c r="AM126" i="65"/>
  <c r="AU127" i="65"/>
  <c r="AT127" i="65"/>
  <c r="U125" i="65"/>
  <c r="AH125" i="65"/>
  <c r="AC123" i="65"/>
  <c r="AD123" i="65" s="1"/>
  <c r="Q126" i="65"/>
  <c r="AB124" i="65"/>
  <c r="AG123" i="65"/>
  <c r="AP126" i="63" a="1"/>
  <c r="AP126" i="63" s="1"/>
  <c r="B128" i="65" s="1"/>
  <c r="AG124" i="65"/>
  <c r="C127" i="65"/>
  <c r="P127" i="65" s="1"/>
  <c r="O127" i="65"/>
  <c r="L127" i="65"/>
  <c r="M127" i="65" s="1"/>
  <c r="D126" i="65"/>
  <c r="E126" i="65" s="1"/>
  <c r="F126" i="65" s="1"/>
  <c r="G126" i="65" s="1"/>
  <c r="H126" i="65" s="1"/>
  <c r="I126" i="65" s="1"/>
  <c r="J126" i="65" s="1"/>
  <c r="K126" i="65" s="1"/>
  <c r="AF125" i="65"/>
  <c r="AE125" i="65"/>
  <c r="AV125" i="65"/>
  <c r="R125" i="65"/>
  <c r="S125" i="65" s="1"/>
  <c r="Y126" i="65" l="1"/>
  <c r="BA128" i="65"/>
  <c r="AY128" i="65"/>
  <c r="AZ128" i="65"/>
  <c r="AS128" i="65"/>
  <c r="AX128" i="65"/>
  <c r="AM127" i="65"/>
  <c r="AU128" i="65"/>
  <c r="AT128" i="65"/>
  <c r="U126" i="65"/>
  <c r="AH126" i="65"/>
  <c r="AC124" i="65"/>
  <c r="AD124" i="65" s="1"/>
  <c r="Q127" i="65"/>
  <c r="AB125" i="65"/>
  <c r="AP127" i="63" a="1"/>
  <c r="AP127" i="63" s="1"/>
  <c r="B129" i="65" s="1"/>
  <c r="D127" i="65"/>
  <c r="E127" i="65" s="1"/>
  <c r="F127" i="65" s="1"/>
  <c r="G127" i="65" s="1"/>
  <c r="H127" i="65" s="1"/>
  <c r="I127" i="65" s="1"/>
  <c r="J127" i="65" s="1"/>
  <c r="K127" i="65" s="1"/>
  <c r="AV126" i="65"/>
  <c r="AF126" i="65"/>
  <c r="R126" i="65"/>
  <c r="S126" i="65" s="1"/>
  <c r="AE126" i="65"/>
  <c r="L128" i="65"/>
  <c r="M128" i="65" s="1"/>
  <c r="O128" i="65"/>
  <c r="C128" i="65"/>
  <c r="P128" i="65" s="1"/>
  <c r="Y127" i="65" l="1"/>
  <c r="AZ129" i="65"/>
  <c r="BA129" i="65"/>
  <c r="AY129" i="65"/>
  <c r="AS129" i="65"/>
  <c r="AX129" i="65"/>
  <c r="AM128" i="65"/>
  <c r="AU129" i="65"/>
  <c r="AT129" i="65"/>
  <c r="U127" i="65"/>
  <c r="AH127" i="65"/>
  <c r="AC125" i="65"/>
  <c r="AD125" i="65" s="1"/>
  <c r="Q128" i="65"/>
  <c r="AG125" i="65"/>
  <c r="AB126" i="65"/>
  <c r="AG126" i="65"/>
  <c r="AP128" i="63" a="1"/>
  <c r="AP128" i="63" s="1"/>
  <c r="B130" i="65" s="1"/>
  <c r="D128" i="65"/>
  <c r="E128" i="65" s="1"/>
  <c r="F128" i="65" s="1"/>
  <c r="G128" i="65" s="1"/>
  <c r="H128" i="65" s="1"/>
  <c r="I128" i="65" s="1"/>
  <c r="J128" i="65" s="1"/>
  <c r="K128" i="65" s="1"/>
  <c r="AF127" i="65"/>
  <c r="AV127" i="65"/>
  <c r="AE127" i="65"/>
  <c r="R127" i="65"/>
  <c r="S127" i="65" s="1"/>
  <c r="O129" i="65"/>
  <c r="L129" i="65"/>
  <c r="M129" i="65" s="1"/>
  <c r="C129" i="65"/>
  <c r="P129" i="65" s="1"/>
  <c r="Y128" i="65" l="1"/>
  <c r="AY130" i="65"/>
  <c r="AZ130" i="65"/>
  <c r="BA130" i="65"/>
  <c r="AS130" i="65"/>
  <c r="AX130" i="65"/>
  <c r="AM129" i="65"/>
  <c r="AU130" i="65"/>
  <c r="AT130" i="65"/>
  <c r="U128" i="65"/>
  <c r="AH128" i="65"/>
  <c r="AC126" i="65"/>
  <c r="AD126" i="65" s="1"/>
  <c r="Q129" i="65"/>
  <c r="AB127" i="65"/>
  <c r="D129" i="65"/>
  <c r="E129" i="65" s="1"/>
  <c r="F129" i="65" s="1"/>
  <c r="G129" i="65" s="1"/>
  <c r="H129" i="65" s="1"/>
  <c r="I129" i="65" s="1"/>
  <c r="J129" i="65" s="1"/>
  <c r="K129" i="65" s="1"/>
  <c r="AP129" i="63" a="1"/>
  <c r="AP129" i="63" s="1"/>
  <c r="B131" i="65" s="1"/>
  <c r="AV128" i="65"/>
  <c r="AF128" i="65"/>
  <c r="R128" i="65"/>
  <c r="S128" i="65" s="1"/>
  <c r="AE128" i="65"/>
  <c r="O130" i="65"/>
  <c r="C130" i="65"/>
  <c r="P130" i="65" s="1"/>
  <c r="L130" i="65"/>
  <c r="M130" i="65" s="1"/>
  <c r="Y129" i="65" l="1"/>
  <c r="BA131" i="65"/>
  <c r="AZ131" i="65"/>
  <c r="AY131" i="65"/>
  <c r="AS131" i="65"/>
  <c r="AX131" i="65"/>
  <c r="AM130" i="65"/>
  <c r="AU131" i="65"/>
  <c r="AT131" i="65"/>
  <c r="U129" i="65"/>
  <c r="AH129" i="65"/>
  <c r="AC127" i="65"/>
  <c r="AD127" i="65" s="1"/>
  <c r="Q130" i="65"/>
  <c r="AG127" i="65"/>
  <c r="AB128" i="65"/>
  <c r="AP130" i="63" a="1"/>
  <c r="AP130" i="63" s="1"/>
  <c r="B132" i="65" s="1"/>
  <c r="L131" i="65"/>
  <c r="M131" i="65" s="1"/>
  <c r="O131" i="65"/>
  <c r="C131" i="65"/>
  <c r="P131" i="65" s="1"/>
  <c r="AV129" i="65"/>
  <c r="R129" i="65"/>
  <c r="S129" i="65" s="1"/>
  <c r="AF129" i="65"/>
  <c r="AE129" i="65"/>
  <c r="D130" i="65"/>
  <c r="E130" i="65" s="1"/>
  <c r="F130" i="65" s="1"/>
  <c r="G130" i="65" s="1"/>
  <c r="H130" i="65" s="1"/>
  <c r="I130" i="65" s="1"/>
  <c r="J130" i="65" s="1"/>
  <c r="K130" i="65" s="1"/>
  <c r="Y130" i="65" l="1"/>
  <c r="BA132" i="65"/>
  <c r="AZ132" i="65"/>
  <c r="AY132" i="65"/>
  <c r="AS132" i="65"/>
  <c r="AX132" i="65"/>
  <c r="AM131" i="65"/>
  <c r="AU132" i="65"/>
  <c r="AT132" i="65"/>
  <c r="U130" i="65"/>
  <c r="AH130" i="65"/>
  <c r="AC128" i="65"/>
  <c r="AD128" i="65" s="1"/>
  <c r="Q131" i="65"/>
  <c r="AG128" i="65"/>
  <c r="AB129" i="65"/>
  <c r="AG129" i="65"/>
  <c r="C132" i="65"/>
  <c r="P132" i="65" s="1"/>
  <c r="L132" i="65"/>
  <c r="M132" i="65" s="1"/>
  <c r="O132" i="65"/>
  <c r="D131" i="65"/>
  <c r="E131" i="65" s="1"/>
  <c r="F131" i="65" s="1"/>
  <c r="G131" i="65" s="1"/>
  <c r="H131" i="65" s="1"/>
  <c r="I131" i="65" s="1"/>
  <c r="J131" i="65" s="1"/>
  <c r="K131" i="65" s="1"/>
  <c r="AP131" i="63" a="1"/>
  <c r="AP131" i="63" s="1"/>
  <c r="B133" i="65" s="1"/>
  <c r="R130" i="65"/>
  <c r="S130" i="65" s="1"/>
  <c r="AV130" i="65"/>
  <c r="AF130" i="65"/>
  <c r="AE130" i="65"/>
  <c r="Y131" i="65" l="1"/>
  <c r="BA133" i="65"/>
  <c r="AZ133" i="65"/>
  <c r="AY133" i="65"/>
  <c r="AS133" i="65"/>
  <c r="AX133" i="65"/>
  <c r="AM132" i="65"/>
  <c r="AU133" i="65"/>
  <c r="AT133" i="65"/>
  <c r="U131" i="65"/>
  <c r="AH131" i="65"/>
  <c r="AC129" i="65"/>
  <c r="AD129" i="65" s="1"/>
  <c r="Q132" i="65"/>
  <c r="AG130" i="65"/>
  <c r="AF131" i="65"/>
  <c r="R131" i="65"/>
  <c r="S131" i="65" s="1"/>
  <c r="AE131" i="65"/>
  <c r="AV131" i="65"/>
  <c r="AP132" i="63" a="1"/>
  <c r="AP132" i="63" s="1"/>
  <c r="B134" i="65" s="1"/>
  <c r="O133" i="65"/>
  <c r="C133" i="65"/>
  <c r="P133" i="65" s="1"/>
  <c r="L133" i="65"/>
  <c r="M133" i="65" s="1"/>
  <c r="D132" i="65"/>
  <c r="E132" i="65" s="1"/>
  <c r="F132" i="65" s="1"/>
  <c r="G132" i="65" s="1"/>
  <c r="H132" i="65" s="1"/>
  <c r="I132" i="65" s="1"/>
  <c r="J132" i="65" s="1"/>
  <c r="K132" i="65" s="1"/>
  <c r="Y132" i="65" l="1"/>
  <c r="BA134" i="65"/>
  <c r="AZ134" i="65"/>
  <c r="AY134" i="65"/>
  <c r="AS134" i="65"/>
  <c r="AX134" i="65"/>
  <c r="AM133" i="65"/>
  <c r="AU134" i="65"/>
  <c r="AT134" i="65"/>
  <c r="U132" i="65"/>
  <c r="AH132" i="65"/>
  <c r="Q133" i="65"/>
  <c r="AB130" i="65"/>
  <c r="AB131" i="65"/>
  <c r="D133" i="65"/>
  <c r="E133" i="65" s="1"/>
  <c r="F133" i="65" s="1"/>
  <c r="G133" i="65" s="1"/>
  <c r="H133" i="65" s="1"/>
  <c r="I133" i="65" s="1"/>
  <c r="J133" i="65" s="1"/>
  <c r="K133" i="65" s="1"/>
  <c r="C134" i="65"/>
  <c r="P134" i="65" s="1"/>
  <c r="L134" i="65"/>
  <c r="M134" i="65" s="1"/>
  <c r="O134" i="65"/>
  <c r="AE132" i="65"/>
  <c r="AV132" i="65"/>
  <c r="AF132" i="65"/>
  <c r="R132" i="65"/>
  <c r="S132" i="65" s="1"/>
  <c r="AP133" i="63" a="1"/>
  <c r="AP133" i="63" s="1"/>
  <c r="B135" i="65" s="1"/>
  <c r="Y133" i="65" l="1"/>
  <c r="AZ135" i="65"/>
  <c r="BA135" i="65"/>
  <c r="AY135" i="65"/>
  <c r="AS135" i="65"/>
  <c r="AX135" i="65"/>
  <c r="AM134" i="65"/>
  <c r="AU135" i="65"/>
  <c r="AT135" i="65"/>
  <c r="U133" i="65"/>
  <c r="AH133" i="65"/>
  <c r="AC131" i="65"/>
  <c r="AD131" i="65" s="1"/>
  <c r="AC130" i="65"/>
  <c r="AD130" i="65" s="1"/>
  <c r="Q134" i="65"/>
  <c r="AB132" i="65"/>
  <c r="AG131" i="65"/>
  <c r="AG132" i="65"/>
  <c r="L135" i="65"/>
  <c r="M135" i="65" s="1"/>
  <c r="O135" i="65"/>
  <c r="C135" i="65"/>
  <c r="P135" i="65" s="1"/>
  <c r="R133" i="65"/>
  <c r="S133" i="65" s="1"/>
  <c r="AF133" i="65"/>
  <c r="AV133" i="65"/>
  <c r="AE133" i="65"/>
  <c r="D134" i="65"/>
  <c r="E134" i="65" s="1"/>
  <c r="F134" i="65" s="1"/>
  <c r="G134" i="65" s="1"/>
  <c r="H134" i="65" s="1"/>
  <c r="I134" i="65" s="1"/>
  <c r="J134" i="65" s="1"/>
  <c r="K134" i="65" s="1"/>
  <c r="AP134" i="63" a="1"/>
  <c r="AP134" i="63" s="1"/>
  <c r="B136" i="65" s="1"/>
  <c r="Y134" i="65" l="1"/>
  <c r="BA136" i="65"/>
  <c r="AY136" i="65"/>
  <c r="AZ136" i="65"/>
  <c r="AS136" i="65"/>
  <c r="AX136" i="65"/>
  <c r="AM135" i="65"/>
  <c r="AU136" i="65"/>
  <c r="AT136" i="65"/>
  <c r="U134" i="65"/>
  <c r="AH134" i="65"/>
  <c r="AC132" i="65"/>
  <c r="AD132" i="65" s="1"/>
  <c r="Q135" i="65"/>
  <c r="AB133" i="65"/>
  <c r="L136" i="65"/>
  <c r="M136" i="65" s="1"/>
  <c r="O136" i="65"/>
  <c r="C136" i="65"/>
  <c r="P136" i="65" s="1"/>
  <c r="D135" i="65"/>
  <c r="E135" i="65" s="1"/>
  <c r="F135" i="65" s="1"/>
  <c r="G135" i="65" s="1"/>
  <c r="H135" i="65" s="1"/>
  <c r="I135" i="65" s="1"/>
  <c r="J135" i="65" s="1"/>
  <c r="K135" i="65" s="1"/>
  <c r="R134" i="65"/>
  <c r="S134" i="65" s="1"/>
  <c r="AV134" i="65"/>
  <c r="AF134" i="65"/>
  <c r="AE134" i="65"/>
  <c r="AP135" i="63" a="1"/>
  <c r="AP135" i="63" s="1"/>
  <c r="B137" i="65" s="1"/>
  <c r="Y135" i="65" l="1"/>
  <c r="AZ137" i="65"/>
  <c r="AY137" i="65"/>
  <c r="BA137" i="65"/>
  <c r="AS137" i="65"/>
  <c r="AX137" i="65"/>
  <c r="AM136" i="65"/>
  <c r="AU137" i="65"/>
  <c r="AT137" i="65"/>
  <c r="U135" i="65"/>
  <c r="AH135" i="65"/>
  <c r="AC133" i="65"/>
  <c r="AD133" i="65" s="1"/>
  <c r="AG133" i="65"/>
  <c r="Q136" i="65"/>
  <c r="AB134" i="65"/>
  <c r="AG134" i="65"/>
  <c r="O137" i="65"/>
  <c r="C137" i="65"/>
  <c r="P137" i="65" s="1"/>
  <c r="L137" i="65"/>
  <c r="M137" i="65" s="1"/>
  <c r="D136" i="65"/>
  <c r="E136" i="65" s="1"/>
  <c r="F136" i="65" s="1"/>
  <c r="G136" i="65" s="1"/>
  <c r="H136" i="65" s="1"/>
  <c r="I136" i="65" s="1"/>
  <c r="J136" i="65" s="1"/>
  <c r="K136" i="65" s="1"/>
  <c r="AV135" i="65"/>
  <c r="R135" i="65"/>
  <c r="S135" i="65" s="1"/>
  <c r="AF135" i="65"/>
  <c r="AE135" i="65"/>
  <c r="AP136" i="63" a="1"/>
  <c r="AP136" i="63" s="1"/>
  <c r="B138" i="65" s="1"/>
  <c r="Y136" i="65" l="1"/>
  <c r="BA138" i="65"/>
  <c r="AY138" i="65"/>
  <c r="AZ138" i="65"/>
  <c r="AS138" i="65"/>
  <c r="AX138" i="65"/>
  <c r="AM137" i="65"/>
  <c r="AU138" i="65"/>
  <c r="AT138" i="65"/>
  <c r="U136" i="65"/>
  <c r="AH136" i="65"/>
  <c r="AC134" i="65"/>
  <c r="AD134" i="65" s="1"/>
  <c r="Q137" i="65"/>
  <c r="AB135" i="65"/>
  <c r="C138" i="65"/>
  <c r="P138" i="65" s="1"/>
  <c r="O138" i="65"/>
  <c r="L138" i="65"/>
  <c r="M138" i="65" s="1"/>
  <c r="AV136" i="65"/>
  <c r="R136" i="65"/>
  <c r="S136" i="65" s="1"/>
  <c r="AF136" i="65"/>
  <c r="AE136" i="65"/>
  <c r="D137" i="65"/>
  <c r="E137" i="65" s="1"/>
  <c r="F137" i="65" s="1"/>
  <c r="G137" i="65" s="1"/>
  <c r="H137" i="65" s="1"/>
  <c r="I137" i="65" s="1"/>
  <c r="J137" i="65" s="1"/>
  <c r="K137" i="65" s="1"/>
  <c r="AP137" i="63" a="1"/>
  <c r="AP137" i="63" s="1"/>
  <c r="B139" i="65" s="1"/>
  <c r="Y137" i="65" l="1"/>
  <c r="AZ139" i="65"/>
  <c r="BA139" i="65"/>
  <c r="AY139" i="65"/>
  <c r="AS139" i="65"/>
  <c r="AX139" i="65"/>
  <c r="AM138" i="65"/>
  <c r="AU139" i="65"/>
  <c r="AT139" i="65"/>
  <c r="U137" i="65"/>
  <c r="AH137" i="65"/>
  <c r="AC135" i="65"/>
  <c r="AD135" i="65" s="1"/>
  <c r="Q138" i="65"/>
  <c r="AG135" i="65"/>
  <c r="AG136" i="65"/>
  <c r="AE137" i="65"/>
  <c r="AV137" i="65"/>
  <c r="R137" i="65"/>
  <c r="S137" i="65" s="1"/>
  <c r="AF137" i="65"/>
  <c r="O139" i="65"/>
  <c r="C139" i="65"/>
  <c r="P139" i="65" s="1"/>
  <c r="L139" i="65"/>
  <c r="M139" i="65" s="1"/>
  <c r="D138" i="65"/>
  <c r="E138" i="65" s="1"/>
  <c r="F138" i="65" s="1"/>
  <c r="G138" i="65" s="1"/>
  <c r="H138" i="65" s="1"/>
  <c r="I138" i="65" s="1"/>
  <c r="J138" i="65" s="1"/>
  <c r="K138" i="65" s="1"/>
  <c r="AP138" i="63" a="1"/>
  <c r="AP138" i="63" s="1"/>
  <c r="B140" i="65" s="1"/>
  <c r="Y138" i="65" l="1"/>
  <c r="BA140" i="65"/>
  <c r="AZ140" i="65"/>
  <c r="AY140" i="65"/>
  <c r="AS140" i="65"/>
  <c r="AX140" i="65"/>
  <c r="AM139" i="65"/>
  <c r="AT140" i="65"/>
  <c r="AU140" i="65"/>
  <c r="U138" i="65"/>
  <c r="AH138" i="65"/>
  <c r="Q139" i="65"/>
  <c r="AB136" i="65"/>
  <c r="AG137" i="65"/>
  <c r="O140" i="65"/>
  <c r="C140" i="65"/>
  <c r="P140" i="65" s="1"/>
  <c r="L140" i="65"/>
  <c r="M140" i="65" s="1"/>
  <c r="AV138" i="65"/>
  <c r="R138" i="65"/>
  <c r="S138" i="65" s="1"/>
  <c r="AE138" i="65"/>
  <c r="AF138" i="65"/>
  <c r="D139" i="65"/>
  <c r="E139" i="65" s="1"/>
  <c r="F139" i="65" s="1"/>
  <c r="G139" i="65" s="1"/>
  <c r="H139" i="65" s="1"/>
  <c r="I139" i="65" s="1"/>
  <c r="J139" i="65" s="1"/>
  <c r="K139" i="65" s="1"/>
  <c r="AP139" i="63" a="1"/>
  <c r="AP139" i="63" s="1"/>
  <c r="B141" i="65" s="1"/>
  <c r="Y139" i="65" l="1"/>
  <c r="BA141" i="65"/>
  <c r="AY141" i="65"/>
  <c r="AZ141" i="65"/>
  <c r="AS141" i="65"/>
  <c r="AX141" i="65"/>
  <c r="AM140" i="65"/>
  <c r="AU141" i="65"/>
  <c r="AT141" i="65"/>
  <c r="U139" i="65"/>
  <c r="AH139" i="65"/>
  <c r="AC136" i="65"/>
  <c r="AD136" i="65" s="1"/>
  <c r="Q140" i="65"/>
  <c r="AB137" i="65"/>
  <c r="AG138" i="65"/>
  <c r="L141" i="65"/>
  <c r="M141" i="65" s="1"/>
  <c r="C141" i="65"/>
  <c r="P141" i="65" s="1"/>
  <c r="O141" i="65"/>
  <c r="AV139" i="65"/>
  <c r="AF139" i="65"/>
  <c r="R139" i="65"/>
  <c r="S139" i="65" s="1"/>
  <c r="AE139" i="65"/>
  <c r="AP140" i="63" a="1"/>
  <c r="AP140" i="63" s="1"/>
  <c r="B142" i="65" s="1"/>
  <c r="D140" i="65"/>
  <c r="E140" i="65" s="1"/>
  <c r="F140" i="65" s="1"/>
  <c r="G140" i="65" s="1"/>
  <c r="H140" i="65" s="1"/>
  <c r="I140" i="65" s="1"/>
  <c r="J140" i="65" s="1"/>
  <c r="K140" i="65" s="1"/>
  <c r="Y140" i="65" l="1"/>
  <c r="BA142" i="65"/>
  <c r="AY142" i="65"/>
  <c r="AZ142" i="65"/>
  <c r="AS142" i="65"/>
  <c r="AX142" i="65"/>
  <c r="AM141" i="65"/>
  <c r="AU142" i="65"/>
  <c r="AT142" i="65"/>
  <c r="U140" i="65"/>
  <c r="AH140" i="65"/>
  <c r="AC137" i="65"/>
  <c r="AD137" i="65" s="1"/>
  <c r="Q141" i="65"/>
  <c r="AB138" i="65"/>
  <c r="AB139" i="65"/>
  <c r="AP141" i="63" a="1"/>
  <c r="AP141" i="63" s="1"/>
  <c r="B143" i="65" s="1"/>
  <c r="AF140" i="65"/>
  <c r="AE140" i="65"/>
  <c r="AV140" i="65"/>
  <c r="R140" i="65"/>
  <c r="S140" i="65" s="1"/>
  <c r="AG139" i="65"/>
  <c r="D141" i="65"/>
  <c r="E141" i="65" s="1"/>
  <c r="F141" i="65" s="1"/>
  <c r="G141" i="65" s="1"/>
  <c r="H141" i="65" s="1"/>
  <c r="I141" i="65" s="1"/>
  <c r="J141" i="65" s="1"/>
  <c r="K141" i="65" s="1"/>
  <c r="L142" i="65"/>
  <c r="M142" i="65" s="1"/>
  <c r="C142" i="65"/>
  <c r="P142" i="65" s="1"/>
  <c r="O142" i="65"/>
  <c r="Y141" i="65" l="1"/>
  <c r="AZ143" i="65"/>
  <c r="BA143" i="65"/>
  <c r="AY143" i="65"/>
  <c r="AS143" i="65"/>
  <c r="AX143" i="65"/>
  <c r="AM142" i="65"/>
  <c r="AU143" i="65"/>
  <c r="AT143" i="65"/>
  <c r="U141" i="65"/>
  <c r="AH141" i="65"/>
  <c r="AC139" i="65"/>
  <c r="AD139" i="65" s="1"/>
  <c r="AC138" i="65"/>
  <c r="AD138" i="65" s="1"/>
  <c r="Q142" i="65"/>
  <c r="AB140" i="65"/>
  <c r="D142" i="65"/>
  <c r="E142" i="65" s="1"/>
  <c r="F142" i="65" s="1"/>
  <c r="G142" i="65" s="1"/>
  <c r="H142" i="65" s="1"/>
  <c r="I142" i="65" s="1"/>
  <c r="J142" i="65" s="1"/>
  <c r="K142" i="65" s="1"/>
  <c r="L143" i="65"/>
  <c r="M143" i="65" s="1"/>
  <c r="O143" i="65"/>
  <c r="C143" i="65"/>
  <c r="P143" i="65" s="1"/>
  <c r="AF141" i="65"/>
  <c r="AE141" i="65"/>
  <c r="AV141" i="65"/>
  <c r="R141" i="65"/>
  <c r="S141" i="65" s="1"/>
  <c r="AP142" i="63" a="1"/>
  <c r="AP142" i="63" s="1"/>
  <c r="B144" i="65" s="1"/>
  <c r="Y142" i="65" l="1"/>
  <c r="BA144" i="65"/>
  <c r="AZ144" i="65"/>
  <c r="AY144" i="65"/>
  <c r="AS144" i="65"/>
  <c r="AX144" i="65"/>
  <c r="AM143" i="65"/>
  <c r="AU144" i="65"/>
  <c r="AT144" i="65"/>
  <c r="U142" i="65"/>
  <c r="AH142" i="65"/>
  <c r="AC140" i="65"/>
  <c r="AD140" i="65" s="1"/>
  <c r="Q143" i="65"/>
  <c r="AG140" i="65"/>
  <c r="AB141" i="65"/>
  <c r="D143" i="65"/>
  <c r="E143" i="65" s="1"/>
  <c r="F143" i="65" s="1"/>
  <c r="G143" i="65" s="1"/>
  <c r="H143" i="65" s="1"/>
  <c r="I143" i="65" s="1"/>
  <c r="J143" i="65" s="1"/>
  <c r="K143" i="65" s="1"/>
  <c r="AE142" i="65"/>
  <c r="AF142" i="65"/>
  <c r="AV142" i="65"/>
  <c r="R142" i="65"/>
  <c r="S142" i="65" s="1"/>
  <c r="C144" i="65"/>
  <c r="P144" i="65" s="1"/>
  <c r="O144" i="65"/>
  <c r="L144" i="65"/>
  <c r="M144" i="65" s="1"/>
  <c r="AG141" i="65"/>
  <c r="AP143" i="63" a="1"/>
  <c r="AP143" i="63" s="1"/>
  <c r="B145" i="65" s="1"/>
  <c r="Y143" i="65" l="1"/>
  <c r="BA145" i="65"/>
  <c r="AZ145" i="65"/>
  <c r="AY145" i="65"/>
  <c r="AS145" i="65"/>
  <c r="AX145" i="65"/>
  <c r="AM144" i="65"/>
  <c r="AU145" i="65"/>
  <c r="AT145" i="65"/>
  <c r="U143" i="65"/>
  <c r="AH143" i="65"/>
  <c r="AC141" i="65"/>
  <c r="AD141" i="65" s="1"/>
  <c r="Q144" i="65"/>
  <c r="AB142" i="65"/>
  <c r="L145" i="65"/>
  <c r="M145" i="65" s="1"/>
  <c r="C145" i="65"/>
  <c r="P145" i="65" s="1"/>
  <c r="O145" i="65"/>
  <c r="D144" i="65"/>
  <c r="E144" i="65" s="1"/>
  <c r="F144" i="65" s="1"/>
  <c r="G144" i="65" s="1"/>
  <c r="H144" i="65" s="1"/>
  <c r="I144" i="65" s="1"/>
  <c r="J144" i="65" s="1"/>
  <c r="K144" i="65" s="1"/>
  <c r="R143" i="65"/>
  <c r="S143" i="65" s="1"/>
  <c r="AV143" i="65"/>
  <c r="AE143" i="65"/>
  <c r="AF143" i="65"/>
  <c r="AP144" i="63" a="1"/>
  <c r="AP144" i="63" s="1"/>
  <c r="B146" i="65" s="1"/>
  <c r="Y144" i="65" l="1"/>
  <c r="AY146" i="65"/>
  <c r="AZ146" i="65"/>
  <c r="BA146" i="65"/>
  <c r="AS146" i="65"/>
  <c r="AX146" i="65"/>
  <c r="AM145" i="65"/>
  <c r="AU146" i="65"/>
  <c r="AT146" i="65"/>
  <c r="U144" i="65"/>
  <c r="AH144" i="65"/>
  <c r="AC142" i="65"/>
  <c r="AD142" i="65" s="1"/>
  <c r="Q145" i="65"/>
  <c r="AG142" i="65"/>
  <c r="AG143" i="65"/>
  <c r="AF144" i="65"/>
  <c r="AE144" i="65"/>
  <c r="R144" i="65"/>
  <c r="S144" i="65" s="1"/>
  <c r="AV144" i="65"/>
  <c r="AP145" i="63" a="1"/>
  <c r="AP145" i="63" s="1"/>
  <c r="B147" i="65" s="1"/>
  <c r="D145" i="65"/>
  <c r="E145" i="65" s="1"/>
  <c r="F145" i="65" s="1"/>
  <c r="G145" i="65" s="1"/>
  <c r="H145" i="65" s="1"/>
  <c r="I145" i="65" s="1"/>
  <c r="J145" i="65" s="1"/>
  <c r="K145" i="65" s="1"/>
  <c r="L146" i="65"/>
  <c r="M146" i="65" s="1"/>
  <c r="O146" i="65"/>
  <c r="C146" i="65"/>
  <c r="P146" i="65" s="1"/>
  <c r="Y145" i="65" l="1"/>
  <c r="AZ147" i="65"/>
  <c r="BA147" i="65"/>
  <c r="AY147" i="65"/>
  <c r="AS147" i="65"/>
  <c r="AX147" i="65"/>
  <c r="AM146" i="65"/>
  <c r="AU147" i="65"/>
  <c r="AT147" i="65"/>
  <c r="U145" i="65"/>
  <c r="AH145" i="65"/>
  <c r="Q146" i="65"/>
  <c r="AB143" i="65"/>
  <c r="AB144" i="65"/>
  <c r="O147" i="65"/>
  <c r="C147" i="65"/>
  <c r="P147" i="65" s="1"/>
  <c r="L147" i="65"/>
  <c r="M147" i="65" s="1"/>
  <c r="D146" i="65"/>
  <c r="E146" i="65" s="1"/>
  <c r="F146" i="65" s="1"/>
  <c r="G146" i="65" s="1"/>
  <c r="H146" i="65" s="1"/>
  <c r="I146" i="65" s="1"/>
  <c r="J146" i="65" s="1"/>
  <c r="K146" i="65" s="1"/>
  <c r="AG144" i="65"/>
  <c r="R145" i="65"/>
  <c r="S145" i="65" s="1"/>
  <c r="AF145" i="65"/>
  <c r="AE145" i="65"/>
  <c r="AV145" i="65"/>
  <c r="AP146" i="63" a="1"/>
  <c r="AP146" i="63" s="1"/>
  <c r="B148" i="65" s="1"/>
  <c r="Y146" i="65" l="1"/>
  <c r="AZ148" i="65"/>
  <c r="BA148" i="65"/>
  <c r="AY148" i="65"/>
  <c r="AS148" i="65"/>
  <c r="AX148" i="65"/>
  <c r="AM147" i="65"/>
  <c r="AU148" i="65"/>
  <c r="AT148" i="65"/>
  <c r="U146" i="65"/>
  <c r="AH146" i="65"/>
  <c r="AC144" i="65"/>
  <c r="AD144" i="65" s="1"/>
  <c r="AC143" i="65"/>
  <c r="AD143" i="65" s="1"/>
  <c r="Q147" i="65"/>
  <c r="AG145" i="65"/>
  <c r="O148" i="65"/>
  <c r="L148" i="65"/>
  <c r="M148" i="65" s="1"/>
  <c r="C148" i="65"/>
  <c r="P148" i="65" s="1"/>
  <c r="D147" i="65"/>
  <c r="E147" i="65" s="1"/>
  <c r="F147" i="65" s="1"/>
  <c r="G147" i="65" s="1"/>
  <c r="H147" i="65" s="1"/>
  <c r="I147" i="65" s="1"/>
  <c r="J147" i="65" s="1"/>
  <c r="K147" i="65" s="1"/>
  <c r="AP147" i="63" a="1"/>
  <c r="AP147" i="63" s="1"/>
  <c r="B149" i="65" s="1"/>
  <c r="AV146" i="65"/>
  <c r="AE146" i="65"/>
  <c r="R146" i="65"/>
  <c r="S146" i="65" s="1"/>
  <c r="AF146" i="65"/>
  <c r="Y147" i="65" l="1"/>
  <c r="BA149" i="65"/>
  <c r="AZ149" i="65"/>
  <c r="AY149" i="65"/>
  <c r="AS149" i="65"/>
  <c r="AX149" i="65"/>
  <c r="AM148" i="65"/>
  <c r="AU149" i="65"/>
  <c r="AT149" i="65"/>
  <c r="U147" i="65"/>
  <c r="AH147" i="65"/>
  <c r="Q148" i="65"/>
  <c r="AB145" i="65"/>
  <c r="AB146" i="65"/>
  <c r="L149" i="65"/>
  <c r="M149" i="65" s="1"/>
  <c r="O149" i="65"/>
  <c r="C149" i="65"/>
  <c r="P149" i="65" s="1"/>
  <c r="AF147" i="65"/>
  <c r="AE147" i="65"/>
  <c r="AV147" i="65"/>
  <c r="R147" i="65"/>
  <c r="S147" i="65" s="1"/>
  <c r="D148" i="65"/>
  <c r="E148" i="65" s="1"/>
  <c r="F148" i="65" s="1"/>
  <c r="G148" i="65" s="1"/>
  <c r="H148" i="65" s="1"/>
  <c r="I148" i="65" s="1"/>
  <c r="J148" i="65" s="1"/>
  <c r="K148" i="65" s="1"/>
  <c r="AP148" i="63" a="1"/>
  <c r="AP148" i="63" s="1"/>
  <c r="B150" i="65" s="1"/>
  <c r="Y148" i="65" l="1"/>
  <c r="BA150" i="65"/>
  <c r="AZ150" i="65"/>
  <c r="AY150" i="65"/>
  <c r="AS150" i="65"/>
  <c r="AX150" i="65"/>
  <c r="AM149" i="65"/>
  <c r="AU150" i="65"/>
  <c r="AT150" i="65"/>
  <c r="U148" i="65"/>
  <c r="AH148" i="65"/>
  <c r="AC146" i="65"/>
  <c r="AD146" i="65" s="1"/>
  <c r="AC145" i="65"/>
  <c r="AD145" i="65" s="1"/>
  <c r="AG146" i="65"/>
  <c r="AB147" i="65"/>
  <c r="Q149" i="65"/>
  <c r="AP149" i="63" a="1"/>
  <c r="AP149" i="63" s="1"/>
  <c r="B151" i="65" s="1"/>
  <c r="D149" i="65"/>
  <c r="E149" i="65" s="1"/>
  <c r="F149" i="65" s="1"/>
  <c r="G149" i="65" s="1"/>
  <c r="H149" i="65" s="1"/>
  <c r="I149" i="65" s="1"/>
  <c r="J149" i="65" s="1"/>
  <c r="K149" i="65" s="1"/>
  <c r="AG147" i="65"/>
  <c r="O150" i="65"/>
  <c r="C150" i="65"/>
  <c r="P150" i="65" s="1"/>
  <c r="L150" i="65"/>
  <c r="M150" i="65" s="1"/>
  <c r="R148" i="65"/>
  <c r="S148" i="65" s="1"/>
  <c r="AF148" i="65"/>
  <c r="AE148" i="65"/>
  <c r="AV148" i="65"/>
  <c r="Y149" i="65" l="1"/>
  <c r="BA151" i="65"/>
  <c r="AZ151" i="65"/>
  <c r="AY151" i="65"/>
  <c r="AS151" i="65"/>
  <c r="AX151" i="65"/>
  <c r="AM150" i="65"/>
  <c r="AU151" i="65"/>
  <c r="AT151" i="65"/>
  <c r="AH149" i="65"/>
  <c r="AC147" i="65"/>
  <c r="AD147" i="65" s="1"/>
  <c r="Q150" i="65"/>
  <c r="AB148" i="65"/>
  <c r="R149" i="65"/>
  <c r="S149" i="65" s="1"/>
  <c r="AE149" i="65"/>
  <c r="U149" i="65"/>
  <c r="AV149" i="65"/>
  <c r="AP150" i="63" a="1"/>
  <c r="AP150" i="63" s="1"/>
  <c r="B152" i="65" s="1"/>
  <c r="D150" i="65"/>
  <c r="E150" i="65" s="1"/>
  <c r="F150" i="65" s="1"/>
  <c r="G150" i="65" s="1"/>
  <c r="H150" i="65" s="1"/>
  <c r="I150" i="65" s="1"/>
  <c r="J150" i="65" s="1"/>
  <c r="K150" i="65" s="1"/>
  <c r="L151" i="65"/>
  <c r="M151" i="65" s="1"/>
  <c r="O151" i="65"/>
  <c r="C151" i="65"/>
  <c r="P151" i="65" s="1"/>
  <c r="Y150" i="65" l="1"/>
  <c r="BA152" i="65"/>
  <c r="AZ152" i="65"/>
  <c r="AY152" i="65"/>
  <c r="AS152" i="65"/>
  <c r="AX152" i="65"/>
  <c r="AM151" i="65"/>
  <c r="AU152" i="65"/>
  <c r="AT152" i="65"/>
  <c r="U150" i="65"/>
  <c r="AH150" i="65"/>
  <c r="AC148" i="65"/>
  <c r="AD148" i="65" s="1"/>
  <c r="Q151" i="65"/>
  <c r="AG148" i="65"/>
  <c r="AB149" i="65"/>
  <c r="AF149" i="65"/>
  <c r="AE150" i="65"/>
  <c r="AF150" i="65"/>
  <c r="R150" i="65"/>
  <c r="S150" i="65" s="1"/>
  <c r="AV150" i="65"/>
  <c r="D151" i="65"/>
  <c r="E151" i="65" s="1"/>
  <c r="F151" i="65" s="1"/>
  <c r="G151" i="65" s="1"/>
  <c r="H151" i="65" s="1"/>
  <c r="I151" i="65" s="1"/>
  <c r="J151" i="65" s="1"/>
  <c r="K151" i="65" s="1"/>
  <c r="AP151" i="63" a="1"/>
  <c r="AP151" i="63" s="1"/>
  <c r="B153" i="65" s="1"/>
  <c r="O152" i="65"/>
  <c r="C152" i="65"/>
  <c r="P152" i="65" s="1"/>
  <c r="L152" i="65"/>
  <c r="M152" i="65" s="1"/>
  <c r="Y151" i="65" l="1"/>
  <c r="BA153" i="65"/>
  <c r="AZ153" i="65"/>
  <c r="AY153" i="65"/>
  <c r="AS153" i="65"/>
  <c r="AX153" i="65"/>
  <c r="AM152" i="65"/>
  <c r="AU153" i="65"/>
  <c r="AT153" i="65"/>
  <c r="U151" i="65"/>
  <c r="AH151" i="65"/>
  <c r="AC149" i="65"/>
  <c r="AD149" i="65" s="1"/>
  <c r="Q152" i="65"/>
  <c r="AB150" i="65"/>
  <c r="AG149" i="65"/>
  <c r="D152" i="65"/>
  <c r="E152" i="65" s="1"/>
  <c r="F152" i="65" s="1"/>
  <c r="G152" i="65" s="1"/>
  <c r="H152" i="65" s="1"/>
  <c r="I152" i="65" s="1"/>
  <c r="J152" i="65" s="1"/>
  <c r="K152" i="65" s="1"/>
  <c r="AE151" i="65"/>
  <c r="R151" i="65"/>
  <c r="S151" i="65" s="1"/>
  <c r="AF151" i="65"/>
  <c r="AV151" i="65"/>
  <c r="AG150" i="65"/>
  <c r="C153" i="65"/>
  <c r="P153" i="65" s="1"/>
  <c r="L153" i="65"/>
  <c r="M153" i="65" s="1"/>
  <c r="O153" i="65"/>
  <c r="AP152" i="63" a="1"/>
  <c r="AP152" i="63" s="1"/>
  <c r="B154" i="65" s="1"/>
  <c r="Y152" i="65" l="1"/>
  <c r="BA154" i="65"/>
  <c r="AY154" i="65"/>
  <c r="AZ154" i="65"/>
  <c r="AS154" i="65"/>
  <c r="AX154" i="65"/>
  <c r="AM153" i="65"/>
  <c r="AU154" i="65"/>
  <c r="AT154" i="65"/>
  <c r="U152" i="65"/>
  <c r="AH152" i="65"/>
  <c r="AC150" i="65"/>
  <c r="AD150" i="65" s="1"/>
  <c r="Q153" i="65"/>
  <c r="AG151" i="65"/>
  <c r="R152" i="65"/>
  <c r="S152" i="65" s="1"/>
  <c r="AV152" i="65"/>
  <c r="AF152" i="65"/>
  <c r="AE152" i="65"/>
  <c r="C154" i="65"/>
  <c r="P154" i="65" s="1"/>
  <c r="O154" i="65"/>
  <c r="L154" i="65"/>
  <c r="M154" i="65" s="1"/>
  <c r="D153" i="65"/>
  <c r="E153" i="65" s="1"/>
  <c r="F153" i="65" s="1"/>
  <c r="G153" i="65" s="1"/>
  <c r="H153" i="65" s="1"/>
  <c r="I153" i="65" s="1"/>
  <c r="J153" i="65" s="1"/>
  <c r="K153" i="65" s="1"/>
  <c r="AP153" i="63" a="1"/>
  <c r="AP153" i="63" s="1"/>
  <c r="B155" i="65" s="1"/>
  <c r="Y153" i="65" l="1"/>
  <c r="AZ155" i="65"/>
  <c r="BA155" i="65"/>
  <c r="AY155" i="65"/>
  <c r="AS155" i="65"/>
  <c r="AX155" i="65"/>
  <c r="AM154" i="65"/>
  <c r="AU155" i="65"/>
  <c r="AT155" i="65"/>
  <c r="U153" i="65"/>
  <c r="AH153" i="65"/>
  <c r="Q154" i="65"/>
  <c r="AB151" i="65"/>
  <c r="AB152" i="65"/>
  <c r="AP154" i="63" a="1"/>
  <c r="AP154" i="63" s="1"/>
  <c r="B156" i="65" s="1"/>
  <c r="D154" i="65"/>
  <c r="E154" i="65" s="1"/>
  <c r="F154" i="65" s="1"/>
  <c r="G154" i="65" s="1"/>
  <c r="H154" i="65" s="1"/>
  <c r="I154" i="65" s="1"/>
  <c r="J154" i="65" s="1"/>
  <c r="K154" i="65" s="1"/>
  <c r="L155" i="65"/>
  <c r="M155" i="65" s="1"/>
  <c r="O155" i="65"/>
  <c r="C155" i="65"/>
  <c r="P155" i="65" s="1"/>
  <c r="R153" i="65"/>
  <c r="S153" i="65" s="1"/>
  <c r="AE153" i="65"/>
  <c r="AV153" i="65"/>
  <c r="AF153" i="65"/>
  <c r="Y154" i="65" l="1"/>
  <c r="BA156" i="65"/>
  <c r="AZ156" i="65"/>
  <c r="AY156" i="65"/>
  <c r="AS156" i="65"/>
  <c r="AX156" i="65"/>
  <c r="AM155" i="65"/>
  <c r="AT156" i="65"/>
  <c r="AU156" i="65"/>
  <c r="U154" i="65"/>
  <c r="AH154" i="65"/>
  <c r="AC152" i="65"/>
  <c r="AD152" i="65" s="1"/>
  <c r="AC151" i="65"/>
  <c r="AD151" i="65" s="1"/>
  <c r="Q155" i="65"/>
  <c r="AB153" i="65"/>
  <c r="AG152" i="65"/>
  <c r="AP155" i="63" a="1"/>
  <c r="AP155" i="63" s="1"/>
  <c r="B157" i="65" s="1"/>
  <c r="D155" i="65"/>
  <c r="E155" i="65" s="1"/>
  <c r="F155" i="65" s="1"/>
  <c r="G155" i="65" s="1"/>
  <c r="H155" i="65" s="1"/>
  <c r="I155" i="65" s="1"/>
  <c r="J155" i="65" s="1"/>
  <c r="K155" i="65" s="1"/>
  <c r="AE154" i="65"/>
  <c r="AV154" i="65"/>
  <c r="R154" i="65"/>
  <c r="S154" i="65" s="1"/>
  <c r="AF154" i="65"/>
  <c r="L156" i="65"/>
  <c r="M156" i="65" s="1"/>
  <c r="O156" i="65"/>
  <c r="C156" i="65"/>
  <c r="P156" i="65" s="1"/>
  <c r="Y155" i="65" l="1"/>
  <c r="BA157" i="65"/>
  <c r="AY157" i="65"/>
  <c r="AZ157" i="65"/>
  <c r="AS157" i="65"/>
  <c r="AX157" i="65"/>
  <c r="AM156" i="65"/>
  <c r="AU157" i="65"/>
  <c r="AT157" i="65"/>
  <c r="U155" i="65"/>
  <c r="AH155" i="65"/>
  <c r="AC153" i="65"/>
  <c r="AD153" i="65" s="1"/>
  <c r="Q156" i="65"/>
  <c r="AB154" i="65"/>
  <c r="AG153" i="65"/>
  <c r="AG154" i="65"/>
  <c r="AP156" i="63" a="1"/>
  <c r="AP156" i="63" s="1"/>
  <c r="B158" i="65" s="1"/>
  <c r="R155" i="65"/>
  <c r="S155" i="65" s="1"/>
  <c r="AE155" i="65"/>
  <c r="AF155" i="65"/>
  <c r="AV155" i="65"/>
  <c r="D156" i="65"/>
  <c r="E156" i="65" s="1"/>
  <c r="F156" i="65" s="1"/>
  <c r="G156" i="65" s="1"/>
  <c r="H156" i="65" s="1"/>
  <c r="I156" i="65" s="1"/>
  <c r="J156" i="65" s="1"/>
  <c r="K156" i="65" s="1"/>
  <c r="L157" i="65"/>
  <c r="M157" i="65" s="1"/>
  <c r="O157" i="65"/>
  <c r="C157" i="65"/>
  <c r="P157" i="65" s="1"/>
  <c r="Y156" i="65" l="1"/>
  <c r="BA158" i="65"/>
  <c r="AY158" i="65"/>
  <c r="AZ158" i="65"/>
  <c r="AS158" i="65"/>
  <c r="AX158" i="65"/>
  <c r="AM157" i="65"/>
  <c r="AU158" i="65"/>
  <c r="AT158" i="65"/>
  <c r="U156" i="65"/>
  <c r="AH156" i="65"/>
  <c r="AC154" i="65"/>
  <c r="AD154" i="65" s="1"/>
  <c r="Q157" i="65"/>
  <c r="AB155" i="65"/>
  <c r="AV156" i="65"/>
  <c r="AF156" i="65"/>
  <c r="AE156" i="65"/>
  <c r="R156" i="65"/>
  <c r="S156" i="65" s="1"/>
  <c r="AP157" i="63" a="1"/>
  <c r="AP157" i="63" s="1"/>
  <c r="B159" i="65" s="1"/>
  <c r="D157" i="65"/>
  <c r="E157" i="65" s="1"/>
  <c r="F157" i="65" s="1"/>
  <c r="G157" i="65" s="1"/>
  <c r="H157" i="65" s="1"/>
  <c r="I157" i="65" s="1"/>
  <c r="J157" i="65" s="1"/>
  <c r="K157" i="65" s="1"/>
  <c r="L158" i="65"/>
  <c r="M158" i="65" s="1"/>
  <c r="O158" i="65"/>
  <c r="C158" i="65"/>
  <c r="P158" i="65" s="1"/>
  <c r="Y157" i="65" l="1"/>
  <c r="BA159" i="65"/>
  <c r="AZ159" i="65"/>
  <c r="AY159" i="65"/>
  <c r="AS159" i="65"/>
  <c r="AX159" i="65"/>
  <c r="AM158" i="65"/>
  <c r="AU159" i="65"/>
  <c r="AT159" i="65"/>
  <c r="U157" i="65"/>
  <c r="AH157" i="65"/>
  <c r="AC155" i="65"/>
  <c r="AD155" i="65" s="1"/>
  <c r="Q158" i="65"/>
  <c r="AG155" i="65"/>
  <c r="AB156" i="65"/>
  <c r="D158" i="65"/>
  <c r="E158" i="65" s="1"/>
  <c r="F158" i="65" s="1"/>
  <c r="G158" i="65" s="1"/>
  <c r="H158" i="65" s="1"/>
  <c r="I158" i="65" s="1"/>
  <c r="J158" i="65" s="1"/>
  <c r="K158" i="65" s="1"/>
  <c r="AE157" i="65"/>
  <c r="R157" i="65"/>
  <c r="S157" i="65" s="1"/>
  <c r="AV157" i="65"/>
  <c r="AF157" i="65"/>
  <c r="C159" i="65"/>
  <c r="P159" i="65" s="1"/>
  <c r="O159" i="65"/>
  <c r="L159" i="65"/>
  <c r="M159" i="65" s="1"/>
  <c r="AP158" i="63" a="1"/>
  <c r="AP158" i="63" s="1"/>
  <c r="B160" i="65" s="1"/>
  <c r="Y158" i="65" l="1"/>
  <c r="BA160" i="65"/>
  <c r="AY160" i="65"/>
  <c r="AZ160" i="65"/>
  <c r="AS160" i="65"/>
  <c r="AX160" i="65"/>
  <c r="AM159" i="65"/>
  <c r="AU160" i="65"/>
  <c r="AT160" i="65"/>
  <c r="U158" i="65"/>
  <c r="AH158" i="65"/>
  <c r="AC156" i="65"/>
  <c r="AD156" i="65" s="1"/>
  <c r="Q159" i="65"/>
  <c r="AG156" i="65"/>
  <c r="AB157" i="65"/>
  <c r="AP159" i="63" a="1"/>
  <c r="AP159" i="63" s="1"/>
  <c r="B161" i="65" s="1"/>
  <c r="D159" i="65"/>
  <c r="E159" i="65" s="1"/>
  <c r="F159" i="65" s="1"/>
  <c r="G159" i="65" s="1"/>
  <c r="H159" i="65" s="1"/>
  <c r="I159" i="65" s="1"/>
  <c r="J159" i="65" s="1"/>
  <c r="K159" i="65" s="1"/>
  <c r="R158" i="65"/>
  <c r="S158" i="65" s="1"/>
  <c r="AE158" i="65"/>
  <c r="AF158" i="65"/>
  <c r="AV158" i="65"/>
  <c r="O160" i="65"/>
  <c r="L160" i="65"/>
  <c r="M160" i="65" s="1"/>
  <c r="C160" i="65"/>
  <c r="P160" i="65" s="1"/>
  <c r="Y159" i="65" l="1"/>
  <c r="AZ161" i="65"/>
  <c r="BA161" i="65"/>
  <c r="AY161" i="65"/>
  <c r="AS161" i="65"/>
  <c r="AX161" i="65"/>
  <c r="AM160" i="65"/>
  <c r="AU161" i="65"/>
  <c r="AT161" i="65"/>
  <c r="U159" i="65"/>
  <c r="AH159" i="65"/>
  <c r="AC157" i="65"/>
  <c r="AD157" i="65" s="1"/>
  <c r="Q160" i="65"/>
  <c r="AB158" i="65"/>
  <c r="AG157" i="65"/>
  <c r="L161" i="65"/>
  <c r="M161" i="65" s="1"/>
  <c r="C161" i="65"/>
  <c r="P161" i="65" s="1"/>
  <c r="O161" i="65"/>
  <c r="AP160" i="63" a="1"/>
  <c r="AP160" i="63" s="1"/>
  <c r="B162" i="65" s="1"/>
  <c r="D160" i="65"/>
  <c r="E160" i="65" s="1"/>
  <c r="F160" i="65" s="1"/>
  <c r="G160" i="65" s="1"/>
  <c r="H160" i="65" s="1"/>
  <c r="I160" i="65" s="1"/>
  <c r="J160" i="65" s="1"/>
  <c r="K160" i="65" s="1"/>
  <c r="R159" i="65"/>
  <c r="S159" i="65" s="1"/>
  <c r="AV159" i="65"/>
  <c r="AF159" i="65"/>
  <c r="AE159" i="65"/>
  <c r="Y160" i="65" l="1"/>
  <c r="AY162" i="65"/>
  <c r="AZ162" i="65"/>
  <c r="BA162" i="65"/>
  <c r="AS162" i="65"/>
  <c r="AX162" i="65"/>
  <c r="AM161" i="65"/>
  <c r="AU162" i="65"/>
  <c r="AT162" i="65"/>
  <c r="U160" i="65"/>
  <c r="AH160" i="65"/>
  <c r="AC158" i="65"/>
  <c r="AD158" i="65" s="1"/>
  <c r="Q161" i="65"/>
  <c r="AG158" i="65"/>
  <c r="AB159" i="65"/>
  <c r="D161" i="65"/>
  <c r="E161" i="65" s="1"/>
  <c r="F161" i="65" s="1"/>
  <c r="G161" i="65" s="1"/>
  <c r="H161" i="65" s="1"/>
  <c r="I161" i="65" s="1"/>
  <c r="J161" i="65" s="1"/>
  <c r="K161" i="65" s="1"/>
  <c r="L162" i="65"/>
  <c r="M162" i="65" s="1"/>
  <c r="O162" i="65"/>
  <c r="C162" i="65"/>
  <c r="P162" i="65" s="1"/>
  <c r="AP161" i="63" a="1"/>
  <c r="AP161" i="63" s="1"/>
  <c r="B163" i="65" s="1"/>
  <c r="AG159" i="65"/>
  <c r="R160" i="65"/>
  <c r="S160" i="65" s="1"/>
  <c r="AV160" i="65"/>
  <c r="AF160" i="65"/>
  <c r="AE160" i="65"/>
  <c r="Y161" i="65" l="1"/>
  <c r="BA163" i="65"/>
  <c r="AZ163" i="65"/>
  <c r="AY163" i="65"/>
  <c r="AS163" i="65"/>
  <c r="AX163" i="65"/>
  <c r="AM162" i="65"/>
  <c r="AU163" i="65"/>
  <c r="AT163" i="65"/>
  <c r="U161" i="65"/>
  <c r="AH161" i="65"/>
  <c r="AC159" i="65"/>
  <c r="AD159" i="65" s="1"/>
  <c r="Q162" i="65"/>
  <c r="AB160" i="65"/>
  <c r="L163" i="65"/>
  <c r="M163" i="65" s="1"/>
  <c r="O163" i="65"/>
  <c r="C163" i="65"/>
  <c r="P163" i="65" s="1"/>
  <c r="AE161" i="65"/>
  <c r="AV161" i="65"/>
  <c r="AF161" i="65"/>
  <c r="R161" i="65"/>
  <c r="S161" i="65" s="1"/>
  <c r="D162" i="65"/>
  <c r="E162" i="65" s="1"/>
  <c r="F162" i="65" s="1"/>
  <c r="G162" i="65" s="1"/>
  <c r="H162" i="65" s="1"/>
  <c r="I162" i="65" s="1"/>
  <c r="J162" i="65" s="1"/>
  <c r="K162" i="65" s="1"/>
  <c r="AP162" i="63" a="1"/>
  <c r="AP162" i="63" s="1"/>
  <c r="B164" i="65" s="1"/>
  <c r="Y162" i="65" l="1"/>
  <c r="AZ164" i="65"/>
  <c r="AY164" i="65"/>
  <c r="BA164" i="65"/>
  <c r="AS164" i="65"/>
  <c r="AX164" i="65"/>
  <c r="AM163" i="65"/>
  <c r="AU164" i="65"/>
  <c r="AT164" i="65"/>
  <c r="U162" i="65"/>
  <c r="AH162" i="65"/>
  <c r="AC160" i="65"/>
  <c r="AD160" i="65" s="1"/>
  <c r="Q163" i="65"/>
  <c r="AG160" i="65"/>
  <c r="AB161" i="65"/>
  <c r="R162" i="65"/>
  <c r="S162" i="65" s="1"/>
  <c r="AV162" i="65"/>
  <c r="AF162" i="65"/>
  <c r="AE162" i="65"/>
  <c r="D163" i="65"/>
  <c r="E163" i="65" s="1"/>
  <c r="F163" i="65" s="1"/>
  <c r="G163" i="65" s="1"/>
  <c r="H163" i="65" s="1"/>
  <c r="I163" i="65" s="1"/>
  <c r="J163" i="65" s="1"/>
  <c r="K163" i="65" s="1"/>
  <c r="AP163" i="63" a="1"/>
  <c r="AP163" i="63" s="1"/>
  <c r="B165" i="65" s="1"/>
  <c r="O164" i="65"/>
  <c r="L164" i="65"/>
  <c r="M164" i="65" s="1"/>
  <c r="C164" i="65"/>
  <c r="P164" i="65" s="1"/>
  <c r="Y163" i="65" l="1"/>
  <c r="AY165" i="65"/>
  <c r="BA165" i="65"/>
  <c r="AZ165" i="65"/>
  <c r="AS165" i="65"/>
  <c r="AX165" i="65"/>
  <c r="AM164" i="65"/>
  <c r="AU165" i="65"/>
  <c r="AT165" i="65"/>
  <c r="U163" i="65"/>
  <c r="AH163" i="65"/>
  <c r="AC161" i="65"/>
  <c r="AD161" i="65" s="1"/>
  <c r="Q164" i="65"/>
  <c r="AB162" i="65"/>
  <c r="AG161" i="65"/>
  <c r="AP164" i="63" a="1"/>
  <c r="AP164" i="63" s="1"/>
  <c r="B166" i="65" s="1"/>
  <c r="D164" i="65"/>
  <c r="E164" i="65" s="1"/>
  <c r="F164" i="65" s="1"/>
  <c r="G164" i="65" s="1"/>
  <c r="H164" i="65" s="1"/>
  <c r="I164" i="65" s="1"/>
  <c r="J164" i="65" s="1"/>
  <c r="K164" i="65" s="1"/>
  <c r="R163" i="65"/>
  <c r="S163" i="65" s="1"/>
  <c r="AF163" i="65"/>
  <c r="AV163" i="65"/>
  <c r="AE163" i="65"/>
  <c r="C165" i="65"/>
  <c r="P165" i="65" s="1"/>
  <c r="L165" i="65"/>
  <c r="M165" i="65" s="1"/>
  <c r="O165" i="65"/>
  <c r="Y164" i="65" l="1"/>
  <c r="BA166" i="65"/>
  <c r="AY166" i="65"/>
  <c r="AZ166" i="65"/>
  <c r="AS166" i="65"/>
  <c r="AX166" i="65"/>
  <c r="AM165" i="65"/>
  <c r="AU166" i="65"/>
  <c r="AT166" i="65"/>
  <c r="U164" i="65"/>
  <c r="AH164" i="65"/>
  <c r="AC162" i="65"/>
  <c r="AD162" i="65" s="1"/>
  <c r="Q165" i="65"/>
  <c r="AG162" i="65"/>
  <c r="AB163" i="65"/>
  <c r="AG163" i="65"/>
  <c r="AP165" i="63" a="1"/>
  <c r="AP165" i="63" s="1"/>
  <c r="B167" i="65" s="1"/>
  <c r="AF164" i="65"/>
  <c r="AV164" i="65"/>
  <c r="R164" i="65"/>
  <c r="S164" i="65" s="1"/>
  <c r="AE164" i="65"/>
  <c r="D165" i="65"/>
  <c r="E165" i="65" s="1"/>
  <c r="F165" i="65" s="1"/>
  <c r="G165" i="65" s="1"/>
  <c r="H165" i="65" s="1"/>
  <c r="I165" i="65" s="1"/>
  <c r="J165" i="65" s="1"/>
  <c r="K165" i="65" s="1"/>
  <c r="O166" i="65"/>
  <c r="C166" i="65"/>
  <c r="P166" i="65" s="1"/>
  <c r="L166" i="65"/>
  <c r="M166" i="65" s="1"/>
  <c r="Y165" i="65" l="1"/>
  <c r="BA167" i="65"/>
  <c r="AZ167" i="65"/>
  <c r="AY167" i="65"/>
  <c r="AS167" i="65"/>
  <c r="AX167" i="65"/>
  <c r="AM166" i="65"/>
  <c r="AU167" i="65"/>
  <c r="AT167" i="65"/>
  <c r="U165" i="65"/>
  <c r="AH165" i="65"/>
  <c r="AC163" i="65"/>
  <c r="AD163" i="65" s="1"/>
  <c r="Q166" i="65"/>
  <c r="AB164" i="65"/>
  <c r="L167" i="65"/>
  <c r="M167" i="65" s="1"/>
  <c r="O167" i="65"/>
  <c r="C167" i="65"/>
  <c r="P167" i="65" s="1"/>
  <c r="AF165" i="65"/>
  <c r="R165" i="65"/>
  <c r="S165" i="65" s="1"/>
  <c r="AV165" i="65"/>
  <c r="AE165" i="65"/>
  <c r="D166" i="65"/>
  <c r="E166" i="65" s="1"/>
  <c r="F166" i="65" s="1"/>
  <c r="G166" i="65" s="1"/>
  <c r="H166" i="65" s="1"/>
  <c r="I166" i="65" s="1"/>
  <c r="J166" i="65" s="1"/>
  <c r="K166" i="65" s="1"/>
  <c r="AP166" i="63" a="1"/>
  <c r="AP166" i="63" s="1"/>
  <c r="B168" i="65" s="1"/>
  <c r="Y166" i="65" l="1"/>
  <c r="BA168" i="65"/>
  <c r="AZ168" i="65"/>
  <c r="AY168" i="65"/>
  <c r="AS168" i="65"/>
  <c r="AX168" i="65"/>
  <c r="AM167" i="65"/>
  <c r="AU168" i="65"/>
  <c r="AT168" i="65"/>
  <c r="U166" i="65"/>
  <c r="AH166" i="65"/>
  <c r="AC164" i="65"/>
  <c r="AD164" i="65" s="1"/>
  <c r="Q167" i="65"/>
  <c r="AG164" i="65"/>
  <c r="AB165" i="65"/>
  <c r="AP167" i="63" a="1"/>
  <c r="AP167" i="63" s="1"/>
  <c r="B169" i="65" s="1"/>
  <c r="D167" i="65"/>
  <c r="E167" i="65" s="1"/>
  <c r="F167" i="65" s="1"/>
  <c r="G167" i="65" s="1"/>
  <c r="H167" i="65" s="1"/>
  <c r="I167" i="65" s="1"/>
  <c r="J167" i="65" s="1"/>
  <c r="K167" i="65" s="1"/>
  <c r="C168" i="65"/>
  <c r="P168" i="65" s="1"/>
  <c r="L168" i="65"/>
  <c r="M168" i="65" s="1"/>
  <c r="O168" i="65"/>
  <c r="AV166" i="65"/>
  <c r="AE166" i="65"/>
  <c r="R166" i="65"/>
  <c r="S166" i="65" s="1"/>
  <c r="AF166" i="65"/>
  <c r="Y167" i="65" l="1"/>
  <c r="BA169" i="65"/>
  <c r="AZ169" i="65"/>
  <c r="AY169" i="65"/>
  <c r="AS169" i="65"/>
  <c r="AX169" i="65"/>
  <c r="AM168" i="65"/>
  <c r="AU169" i="65"/>
  <c r="AT169" i="65"/>
  <c r="U167" i="65"/>
  <c r="AH167" i="65"/>
  <c r="AC165" i="65"/>
  <c r="AD165" i="65" s="1"/>
  <c r="Q168" i="65"/>
  <c r="AG165" i="65"/>
  <c r="AB166" i="65"/>
  <c r="AP168" i="63" a="1"/>
  <c r="AP168" i="63" s="1"/>
  <c r="B170" i="65" s="1"/>
  <c r="AG166" i="65"/>
  <c r="D168" i="65"/>
  <c r="E168" i="65" s="1"/>
  <c r="F168" i="65" s="1"/>
  <c r="G168" i="65" s="1"/>
  <c r="H168" i="65" s="1"/>
  <c r="I168" i="65" s="1"/>
  <c r="J168" i="65" s="1"/>
  <c r="K168" i="65" s="1"/>
  <c r="AF167" i="65"/>
  <c r="R167" i="65"/>
  <c r="S167" i="65" s="1"/>
  <c r="AV167" i="65"/>
  <c r="AE167" i="65"/>
  <c r="C169" i="65"/>
  <c r="P169" i="65" s="1"/>
  <c r="O169" i="65"/>
  <c r="L169" i="65"/>
  <c r="M169" i="65" s="1"/>
  <c r="Y168" i="65" l="1"/>
  <c r="AY170" i="65"/>
  <c r="AZ170" i="65"/>
  <c r="BA170" i="65"/>
  <c r="AS170" i="65"/>
  <c r="AX170" i="65"/>
  <c r="AM169" i="65"/>
  <c r="AU170" i="65"/>
  <c r="AT170" i="65"/>
  <c r="U168" i="65"/>
  <c r="AH168" i="65"/>
  <c r="AC166" i="65"/>
  <c r="AD166" i="65" s="1"/>
  <c r="Q169" i="65"/>
  <c r="AB167" i="65"/>
  <c r="AP169" i="63" a="1"/>
  <c r="AP169" i="63" s="1"/>
  <c r="B171" i="65" s="1"/>
  <c r="AF168" i="65"/>
  <c r="R168" i="65"/>
  <c r="S168" i="65" s="1"/>
  <c r="AE168" i="65"/>
  <c r="AV168" i="65"/>
  <c r="D169" i="65"/>
  <c r="E169" i="65" s="1"/>
  <c r="F169" i="65" s="1"/>
  <c r="G169" i="65" s="1"/>
  <c r="H169" i="65" s="1"/>
  <c r="I169" i="65" s="1"/>
  <c r="J169" i="65" s="1"/>
  <c r="K169" i="65" s="1"/>
  <c r="AG167" i="65"/>
  <c r="L170" i="65"/>
  <c r="M170" i="65" s="1"/>
  <c r="C170" i="65"/>
  <c r="P170" i="65" s="1"/>
  <c r="O170" i="65"/>
  <c r="Y169" i="65" l="1"/>
  <c r="BA171" i="65"/>
  <c r="AZ171" i="65"/>
  <c r="AY171" i="65"/>
  <c r="AS171" i="65"/>
  <c r="AX171" i="65"/>
  <c r="AM170" i="65"/>
  <c r="AU171" i="65"/>
  <c r="AT171" i="65"/>
  <c r="U169" i="65"/>
  <c r="AH169" i="65"/>
  <c r="AC167" i="65"/>
  <c r="AD167" i="65" s="1"/>
  <c r="Q170" i="65"/>
  <c r="AB168" i="65"/>
  <c r="D170" i="65"/>
  <c r="E170" i="65" s="1"/>
  <c r="F170" i="65" s="1"/>
  <c r="G170" i="65" s="1"/>
  <c r="H170" i="65" s="1"/>
  <c r="I170" i="65" s="1"/>
  <c r="J170" i="65" s="1"/>
  <c r="K170" i="65" s="1"/>
  <c r="AE169" i="65"/>
  <c r="AV169" i="65"/>
  <c r="AF169" i="65"/>
  <c r="R169" i="65"/>
  <c r="S169" i="65" s="1"/>
  <c r="AP170" i="63" a="1"/>
  <c r="AP170" i="63" s="1"/>
  <c r="B172" i="65" s="1"/>
  <c r="L171" i="65"/>
  <c r="M171" i="65" s="1"/>
  <c r="C171" i="65"/>
  <c r="P171" i="65" s="1"/>
  <c r="O171" i="65"/>
  <c r="Y170" i="65" l="1"/>
  <c r="BA172" i="65"/>
  <c r="AZ172" i="65"/>
  <c r="AY172" i="65"/>
  <c r="AS172" i="65"/>
  <c r="AX172" i="65"/>
  <c r="AM171" i="65"/>
  <c r="AT172" i="65"/>
  <c r="AU172" i="65"/>
  <c r="U170" i="65"/>
  <c r="AH170" i="65"/>
  <c r="AC168" i="65"/>
  <c r="AD168" i="65" s="1"/>
  <c r="Q171" i="65"/>
  <c r="AG168" i="65"/>
  <c r="AB169" i="65"/>
  <c r="AP171" i="63" a="1"/>
  <c r="AP171" i="63" s="1"/>
  <c r="B173" i="65" s="1"/>
  <c r="C172" i="65"/>
  <c r="P172" i="65" s="1"/>
  <c r="L172" i="65"/>
  <c r="M172" i="65" s="1"/>
  <c r="O172" i="65"/>
  <c r="AE170" i="65"/>
  <c r="AV170" i="65"/>
  <c r="R170" i="65"/>
  <c r="S170" i="65" s="1"/>
  <c r="AF170" i="65"/>
  <c r="D171" i="65"/>
  <c r="E171" i="65" s="1"/>
  <c r="F171" i="65" s="1"/>
  <c r="G171" i="65" s="1"/>
  <c r="H171" i="65" s="1"/>
  <c r="I171" i="65" s="1"/>
  <c r="J171" i="65" s="1"/>
  <c r="K171" i="65" s="1"/>
  <c r="Y171" i="65" l="1"/>
  <c r="BA173" i="65"/>
  <c r="AZ173" i="65"/>
  <c r="AY173" i="65"/>
  <c r="AS173" i="65"/>
  <c r="AX173" i="65"/>
  <c r="AM172" i="65"/>
  <c r="AU173" i="65"/>
  <c r="AT173" i="65"/>
  <c r="U171" i="65"/>
  <c r="AH171" i="65"/>
  <c r="AC169" i="65"/>
  <c r="AD169" i="65" s="1"/>
  <c r="Q172" i="65"/>
  <c r="AB170" i="65"/>
  <c r="AG169" i="65"/>
  <c r="AP172" i="63" a="1"/>
  <c r="AP172" i="63" s="1"/>
  <c r="B174" i="65" s="1"/>
  <c r="AG170" i="65"/>
  <c r="D172" i="65"/>
  <c r="E172" i="65" s="1"/>
  <c r="F172" i="65" s="1"/>
  <c r="G172" i="65" s="1"/>
  <c r="H172" i="65" s="1"/>
  <c r="I172" i="65" s="1"/>
  <c r="J172" i="65" s="1"/>
  <c r="K172" i="65" s="1"/>
  <c r="O173" i="65"/>
  <c r="L173" i="65"/>
  <c r="M173" i="65" s="1"/>
  <c r="C173" i="65"/>
  <c r="P173" i="65" s="1"/>
  <c r="AF171" i="65"/>
  <c r="AE171" i="65"/>
  <c r="AV171" i="65"/>
  <c r="R171" i="65"/>
  <c r="S171" i="65" s="1"/>
  <c r="Y172" i="65" l="1"/>
  <c r="BA174" i="65"/>
  <c r="AY174" i="65"/>
  <c r="AZ174" i="65"/>
  <c r="AS174" i="65"/>
  <c r="AX174" i="65"/>
  <c r="AM173" i="65"/>
  <c r="AU174" i="65"/>
  <c r="AT174" i="65"/>
  <c r="U172" i="65"/>
  <c r="AH172" i="65"/>
  <c r="AC170" i="65"/>
  <c r="AD170" i="65" s="1"/>
  <c r="Q173" i="65"/>
  <c r="AB171" i="65"/>
  <c r="AP173" i="63" a="1"/>
  <c r="AP173" i="63" s="1"/>
  <c r="B175" i="65" s="1"/>
  <c r="D173" i="65"/>
  <c r="E173" i="65" s="1"/>
  <c r="F173" i="65" s="1"/>
  <c r="G173" i="65" s="1"/>
  <c r="H173" i="65" s="1"/>
  <c r="I173" i="65" s="1"/>
  <c r="J173" i="65" s="1"/>
  <c r="K173" i="65" s="1"/>
  <c r="R172" i="65"/>
  <c r="S172" i="65" s="1"/>
  <c r="AV172" i="65"/>
  <c r="AE172" i="65"/>
  <c r="AF172" i="65"/>
  <c r="L174" i="65"/>
  <c r="M174" i="65" s="1"/>
  <c r="O174" i="65"/>
  <c r="C174" i="65"/>
  <c r="P174" i="65" s="1"/>
  <c r="Y173" i="65" l="1"/>
  <c r="AZ175" i="65"/>
  <c r="BA175" i="65"/>
  <c r="AY175" i="65"/>
  <c r="AS175" i="65"/>
  <c r="AX175" i="65"/>
  <c r="AM174" i="65"/>
  <c r="AU175" i="65"/>
  <c r="AT175" i="65"/>
  <c r="U173" i="65"/>
  <c r="AH173" i="65"/>
  <c r="AC171" i="65"/>
  <c r="AD171" i="65" s="1"/>
  <c r="Q174" i="65"/>
  <c r="AB172" i="65"/>
  <c r="AG171" i="65"/>
  <c r="D174" i="65"/>
  <c r="E174" i="65" s="1"/>
  <c r="F174" i="65" s="1"/>
  <c r="G174" i="65" s="1"/>
  <c r="H174" i="65" s="1"/>
  <c r="I174" i="65" s="1"/>
  <c r="J174" i="65" s="1"/>
  <c r="K174" i="65" s="1"/>
  <c r="AV173" i="65"/>
  <c r="R173" i="65"/>
  <c r="S173" i="65" s="1"/>
  <c r="AE173" i="65"/>
  <c r="AF173" i="65"/>
  <c r="L175" i="65"/>
  <c r="M175" i="65" s="1"/>
  <c r="C175" i="65"/>
  <c r="P175" i="65" s="1"/>
  <c r="O175" i="65"/>
  <c r="AP174" i="63" a="1"/>
  <c r="AP174" i="63" s="1"/>
  <c r="B176" i="65" s="1"/>
  <c r="Y174" i="65" l="1"/>
  <c r="BA176" i="65"/>
  <c r="AY176" i="65"/>
  <c r="AZ176" i="65"/>
  <c r="AS176" i="65"/>
  <c r="AX176" i="65"/>
  <c r="AM175" i="65"/>
  <c r="AU176" i="65"/>
  <c r="AT176" i="65"/>
  <c r="U174" i="65"/>
  <c r="AH174" i="65"/>
  <c r="AC172" i="65"/>
  <c r="AD172" i="65" s="1"/>
  <c r="Q175" i="65"/>
  <c r="AG172" i="65"/>
  <c r="AB173" i="65"/>
  <c r="D175" i="65"/>
  <c r="E175" i="65" s="1"/>
  <c r="F175" i="65" s="1"/>
  <c r="G175" i="65" s="1"/>
  <c r="H175" i="65" s="1"/>
  <c r="I175" i="65" s="1"/>
  <c r="J175" i="65" s="1"/>
  <c r="K175" i="65" s="1"/>
  <c r="AP175" i="63" a="1"/>
  <c r="AP175" i="63" s="1"/>
  <c r="B177" i="65" s="1"/>
  <c r="AF174" i="65"/>
  <c r="R174" i="65"/>
  <c r="S174" i="65" s="1"/>
  <c r="AE174" i="65"/>
  <c r="AV174" i="65"/>
  <c r="C176" i="65"/>
  <c r="P176" i="65" s="1"/>
  <c r="L176" i="65"/>
  <c r="M176" i="65" s="1"/>
  <c r="O176" i="65"/>
  <c r="AG173" i="65"/>
  <c r="Y175" i="65" l="1"/>
  <c r="BA177" i="65"/>
  <c r="AZ177" i="65"/>
  <c r="AY177" i="65"/>
  <c r="AS177" i="65"/>
  <c r="AX177" i="65"/>
  <c r="AM176" i="65"/>
  <c r="AU177" i="65"/>
  <c r="AT177" i="65"/>
  <c r="U175" i="65"/>
  <c r="AH175" i="65"/>
  <c r="AC173" i="65"/>
  <c r="AD173" i="65" s="1"/>
  <c r="Q176" i="65"/>
  <c r="AB174" i="65"/>
  <c r="AP176" i="63" a="1"/>
  <c r="AP176" i="63" s="1"/>
  <c r="B178" i="65" s="1"/>
  <c r="D176" i="65"/>
  <c r="E176" i="65" s="1"/>
  <c r="F176" i="65" s="1"/>
  <c r="G176" i="65" s="1"/>
  <c r="H176" i="65" s="1"/>
  <c r="I176" i="65" s="1"/>
  <c r="J176" i="65" s="1"/>
  <c r="K176" i="65" s="1"/>
  <c r="R175" i="65"/>
  <c r="S175" i="65" s="1"/>
  <c r="AF175" i="65"/>
  <c r="AV175" i="65"/>
  <c r="AE175" i="65"/>
  <c r="L177" i="65"/>
  <c r="M177" i="65" s="1"/>
  <c r="C177" i="65"/>
  <c r="P177" i="65" s="1"/>
  <c r="O177" i="65"/>
  <c r="Y176" i="65" l="1"/>
  <c r="BA178" i="65"/>
  <c r="AZ178" i="65"/>
  <c r="AY178" i="65"/>
  <c r="AS178" i="65"/>
  <c r="AX178" i="65"/>
  <c r="AM177" i="65"/>
  <c r="AU178" i="65"/>
  <c r="AT178" i="65"/>
  <c r="U176" i="65"/>
  <c r="AH176" i="65"/>
  <c r="AC174" i="65"/>
  <c r="AD174" i="65" s="1"/>
  <c r="Q177" i="65"/>
  <c r="AG174" i="65"/>
  <c r="AB175" i="65"/>
  <c r="AP177" i="63" a="1"/>
  <c r="AP177" i="63" s="1"/>
  <c r="B179" i="65" s="1"/>
  <c r="D177" i="65"/>
  <c r="E177" i="65" s="1"/>
  <c r="F177" i="65" s="1"/>
  <c r="G177" i="65" s="1"/>
  <c r="H177" i="65" s="1"/>
  <c r="I177" i="65" s="1"/>
  <c r="J177" i="65" s="1"/>
  <c r="K177" i="65" s="1"/>
  <c r="AV176" i="65"/>
  <c r="AE176" i="65"/>
  <c r="R176" i="65"/>
  <c r="S176" i="65" s="1"/>
  <c r="AF176" i="65"/>
  <c r="C178" i="65"/>
  <c r="P178" i="65" s="1"/>
  <c r="O178" i="65"/>
  <c r="L178" i="65"/>
  <c r="M178" i="65" s="1"/>
  <c r="Y177" i="65" l="1"/>
  <c r="AZ179" i="65"/>
  <c r="AY179" i="65"/>
  <c r="BA179" i="65"/>
  <c r="AS179" i="65"/>
  <c r="AX179" i="65"/>
  <c r="AM178" i="65"/>
  <c r="AU179" i="65"/>
  <c r="AT179" i="65"/>
  <c r="U177" i="65"/>
  <c r="AH177" i="65"/>
  <c r="AC175" i="65"/>
  <c r="AD175" i="65" s="1"/>
  <c r="Q178" i="65"/>
  <c r="AG175" i="65"/>
  <c r="AB176" i="65"/>
  <c r="D178" i="65"/>
  <c r="E178" i="65" s="1"/>
  <c r="F178" i="65" s="1"/>
  <c r="G178" i="65" s="1"/>
  <c r="H178" i="65" s="1"/>
  <c r="I178" i="65" s="1"/>
  <c r="J178" i="65" s="1"/>
  <c r="K178" i="65" s="1"/>
  <c r="C179" i="65"/>
  <c r="P179" i="65" s="1"/>
  <c r="L179" i="65"/>
  <c r="M179" i="65" s="1"/>
  <c r="O179" i="65"/>
  <c r="AE177" i="65"/>
  <c r="R177" i="65"/>
  <c r="S177" i="65" s="1"/>
  <c r="AF177" i="65"/>
  <c r="AV177" i="65"/>
  <c r="AP178" i="63" a="1"/>
  <c r="AP178" i="63" s="1"/>
  <c r="B180" i="65" s="1"/>
  <c r="Y178" i="65" l="1"/>
  <c r="AZ180" i="65"/>
  <c r="BA180" i="65"/>
  <c r="AY180" i="65"/>
  <c r="AS180" i="65"/>
  <c r="AX180" i="65"/>
  <c r="AM179" i="65"/>
  <c r="AU180" i="65"/>
  <c r="AT180" i="65"/>
  <c r="U178" i="65"/>
  <c r="AH178" i="65"/>
  <c r="AC176" i="65"/>
  <c r="AD176" i="65" s="1"/>
  <c r="Q179" i="65"/>
  <c r="AG176" i="65"/>
  <c r="AB177" i="65"/>
  <c r="D179" i="65"/>
  <c r="E179" i="65" s="1"/>
  <c r="F179" i="65" s="1"/>
  <c r="G179" i="65" s="1"/>
  <c r="H179" i="65" s="1"/>
  <c r="I179" i="65" s="1"/>
  <c r="J179" i="65" s="1"/>
  <c r="K179" i="65" s="1"/>
  <c r="O180" i="65"/>
  <c r="L180" i="65"/>
  <c r="M180" i="65" s="1"/>
  <c r="C180" i="65"/>
  <c r="P180" i="65" s="1"/>
  <c r="R178" i="65"/>
  <c r="S178" i="65" s="1"/>
  <c r="AV178" i="65"/>
  <c r="AF178" i="65"/>
  <c r="AE178" i="65"/>
  <c r="AP179" i="63" a="1"/>
  <c r="AP179" i="63" s="1"/>
  <c r="B181" i="65" s="1"/>
  <c r="Y179" i="65" l="1"/>
  <c r="BA181" i="65"/>
  <c r="AZ181" i="65"/>
  <c r="AY181" i="65"/>
  <c r="AS181" i="65"/>
  <c r="AX181" i="65"/>
  <c r="AM180" i="65"/>
  <c r="AU181" i="65"/>
  <c r="AT181" i="65"/>
  <c r="U179" i="65"/>
  <c r="AH179" i="65"/>
  <c r="AC177" i="65"/>
  <c r="AD177" i="65" s="1"/>
  <c r="Q180" i="65"/>
  <c r="AB178" i="65"/>
  <c r="AG177" i="65"/>
  <c r="AP180" i="63" a="1"/>
  <c r="AP180" i="63" s="1"/>
  <c r="B182" i="65" s="1"/>
  <c r="AG178" i="65"/>
  <c r="D180" i="65"/>
  <c r="E180" i="65" s="1"/>
  <c r="F180" i="65" s="1"/>
  <c r="G180" i="65" s="1"/>
  <c r="H180" i="65" s="1"/>
  <c r="I180" i="65" s="1"/>
  <c r="J180" i="65" s="1"/>
  <c r="K180" i="65" s="1"/>
  <c r="AV179" i="65"/>
  <c r="R179" i="65"/>
  <c r="S179" i="65" s="1"/>
  <c r="AE179" i="65"/>
  <c r="AF179" i="65"/>
  <c r="L181" i="65"/>
  <c r="M181" i="65" s="1"/>
  <c r="O181" i="65"/>
  <c r="C181" i="65"/>
  <c r="P181" i="65" s="1"/>
  <c r="Y180" i="65" l="1"/>
  <c r="BA182" i="65"/>
  <c r="AY182" i="65"/>
  <c r="AZ182" i="65"/>
  <c r="AS182" i="65"/>
  <c r="AX182" i="65"/>
  <c r="AM181" i="65"/>
  <c r="AU182" i="65"/>
  <c r="AT182" i="65"/>
  <c r="U180" i="65"/>
  <c r="AH180" i="65"/>
  <c r="AC178" i="65"/>
  <c r="AD178" i="65" s="1"/>
  <c r="Q181" i="65"/>
  <c r="AB179" i="65"/>
  <c r="D181" i="65"/>
  <c r="E181" i="65" s="1"/>
  <c r="F181" i="65" s="1"/>
  <c r="G181" i="65" s="1"/>
  <c r="H181" i="65" s="1"/>
  <c r="I181" i="65" s="1"/>
  <c r="J181" i="65" s="1"/>
  <c r="K181" i="65" s="1"/>
  <c r="AP181" i="63" a="1"/>
  <c r="AP181" i="63" s="1"/>
  <c r="B183" i="65" s="1"/>
  <c r="R180" i="65"/>
  <c r="S180" i="65" s="1"/>
  <c r="AF180" i="65"/>
  <c r="AE180" i="65"/>
  <c r="AV180" i="65"/>
  <c r="O182" i="65"/>
  <c r="L182" i="65"/>
  <c r="M182" i="65" s="1"/>
  <c r="C182" i="65"/>
  <c r="P182" i="65" s="1"/>
  <c r="Y181" i="65" l="1"/>
  <c r="BA183" i="65"/>
  <c r="AZ183" i="65"/>
  <c r="AY183" i="65"/>
  <c r="AS183" i="65"/>
  <c r="AX183" i="65"/>
  <c r="AM182" i="65"/>
  <c r="AU183" i="65"/>
  <c r="AT183" i="65"/>
  <c r="U181" i="65"/>
  <c r="AH181" i="65"/>
  <c r="AC179" i="65"/>
  <c r="AD179" i="65" s="1"/>
  <c r="Q182" i="65"/>
  <c r="AB180" i="65"/>
  <c r="AG179" i="65"/>
  <c r="D182" i="65"/>
  <c r="E182" i="65" s="1"/>
  <c r="F182" i="65" s="1"/>
  <c r="G182" i="65" s="1"/>
  <c r="H182" i="65" s="1"/>
  <c r="I182" i="65" s="1"/>
  <c r="J182" i="65" s="1"/>
  <c r="K182" i="65" s="1"/>
  <c r="AG180" i="65"/>
  <c r="AE181" i="65"/>
  <c r="R181" i="65"/>
  <c r="S181" i="65" s="1"/>
  <c r="AV181" i="65"/>
  <c r="AF181" i="65"/>
  <c r="O183" i="65"/>
  <c r="C183" i="65"/>
  <c r="P183" i="65" s="1"/>
  <c r="L183" i="65"/>
  <c r="M183" i="65" s="1"/>
  <c r="AP182" i="63" a="1"/>
  <c r="AP182" i="63" s="1"/>
  <c r="B184" i="65" s="1"/>
  <c r="Y182" i="65" l="1"/>
  <c r="BA184" i="65"/>
  <c r="AY184" i="65"/>
  <c r="AZ184" i="65"/>
  <c r="AS184" i="65"/>
  <c r="AX184" i="65"/>
  <c r="AM183" i="65"/>
  <c r="AU184" i="65"/>
  <c r="AT184" i="65"/>
  <c r="U182" i="65"/>
  <c r="AH182" i="65"/>
  <c r="AC180" i="65"/>
  <c r="AD180" i="65" s="1"/>
  <c r="Q183" i="65"/>
  <c r="AB181" i="65"/>
  <c r="C184" i="65"/>
  <c r="P184" i="65" s="1"/>
  <c r="L184" i="65"/>
  <c r="M184" i="65" s="1"/>
  <c r="O184" i="65"/>
  <c r="D183" i="65"/>
  <c r="E183" i="65" s="1"/>
  <c r="F183" i="65" s="1"/>
  <c r="G183" i="65" s="1"/>
  <c r="H183" i="65" s="1"/>
  <c r="I183" i="65" s="1"/>
  <c r="J183" i="65" s="1"/>
  <c r="K183" i="65" s="1"/>
  <c r="AP183" i="63" a="1"/>
  <c r="AP183" i="63" s="1"/>
  <c r="B185" i="65" s="1"/>
  <c r="R182" i="65"/>
  <c r="S182" i="65" s="1"/>
  <c r="AF182" i="65"/>
  <c r="AV182" i="65"/>
  <c r="AE182" i="65"/>
  <c r="Y183" i="65" l="1"/>
  <c r="BA185" i="65"/>
  <c r="AZ185" i="65"/>
  <c r="AY185" i="65"/>
  <c r="AS185" i="65"/>
  <c r="AX185" i="65"/>
  <c r="AM184" i="65"/>
  <c r="AU185" i="65"/>
  <c r="AT185" i="65"/>
  <c r="U183" i="65"/>
  <c r="AH183" i="65"/>
  <c r="AC181" i="65"/>
  <c r="AD181" i="65" s="1"/>
  <c r="AB182" i="65"/>
  <c r="AG181" i="65"/>
  <c r="O185" i="65"/>
  <c r="C185" i="65"/>
  <c r="P185" i="65" s="1"/>
  <c r="L185" i="65"/>
  <c r="M185" i="65" s="1"/>
  <c r="AG182" i="65"/>
  <c r="AV183" i="65"/>
  <c r="AF183" i="65"/>
  <c r="R183" i="65"/>
  <c r="S183" i="65" s="1"/>
  <c r="AE183" i="65"/>
  <c r="AP184" i="63" a="1"/>
  <c r="AP184" i="63" s="1"/>
  <c r="B186" i="65" s="1"/>
  <c r="D184" i="65"/>
  <c r="E184" i="65" s="1"/>
  <c r="F184" i="65" s="1"/>
  <c r="G184" i="65" s="1"/>
  <c r="H184" i="65" s="1"/>
  <c r="I184" i="65" s="1"/>
  <c r="J184" i="65" s="1"/>
  <c r="K184" i="65" s="1"/>
  <c r="Y184" i="65" l="1"/>
  <c r="BA186" i="65"/>
  <c r="AZ186" i="65"/>
  <c r="AY186" i="65"/>
  <c r="AS186" i="65"/>
  <c r="AX186" i="65"/>
  <c r="AM185" i="65"/>
  <c r="AH184" i="65"/>
  <c r="Q184" i="65"/>
  <c r="AU186" i="65"/>
  <c r="AT186" i="65"/>
  <c r="U184" i="65"/>
  <c r="AC182" i="65"/>
  <c r="AD182" i="65" s="1"/>
  <c r="Q185" i="65"/>
  <c r="AG183" i="65"/>
  <c r="AE184" i="65"/>
  <c r="R184" i="65"/>
  <c r="S184" i="65" s="1"/>
  <c r="AF184" i="65"/>
  <c r="AV184" i="65"/>
  <c r="AP185" i="63" a="1"/>
  <c r="AP185" i="63" s="1"/>
  <c r="B187" i="65" s="1"/>
  <c r="D185" i="65"/>
  <c r="E185" i="65" s="1"/>
  <c r="F185" i="65" s="1"/>
  <c r="G185" i="65" s="1"/>
  <c r="H185" i="65" s="1"/>
  <c r="I185" i="65" s="1"/>
  <c r="J185" i="65" s="1"/>
  <c r="K185" i="65" s="1"/>
  <c r="O186" i="65"/>
  <c r="C186" i="65"/>
  <c r="P186" i="65" s="1"/>
  <c r="L186" i="65"/>
  <c r="M186" i="65" s="1"/>
  <c r="Y185" i="65" l="1"/>
  <c r="BA187" i="65"/>
  <c r="AZ187" i="65"/>
  <c r="AY187" i="65"/>
  <c r="AS187" i="65"/>
  <c r="AX187" i="65"/>
  <c r="AM186" i="65"/>
  <c r="AU187" i="65"/>
  <c r="AT187" i="65"/>
  <c r="U185" i="65"/>
  <c r="AH185" i="65"/>
  <c r="Q186" i="65"/>
  <c r="AB183" i="65"/>
  <c r="AG184" i="65"/>
  <c r="L187" i="65"/>
  <c r="M187" i="65" s="1"/>
  <c r="O187" i="65"/>
  <c r="C187" i="65"/>
  <c r="P187" i="65" s="1"/>
  <c r="D186" i="65"/>
  <c r="E186" i="65" s="1"/>
  <c r="F186" i="65" s="1"/>
  <c r="G186" i="65" s="1"/>
  <c r="H186" i="65" s="1"/>
  <c r="I186" i="65" s="1"/>
  <c r="J186" i="65" s="1"/>
  <c r="K186" i="65" s="1"/>
  <c r="AE185" i="65"/>
  <c r="AV185" i="65"/>
  <c r="AF185" i="65"/>
  <c r="R185" i="65"/>
  <c r="S185" i="65" s="1"/>
  <c r="AP186" i="63" a="1"/>
  <c r="AP186" i="63" s="1"/>
  <c r="B188" i="65" s="1"/>
  <c r="Y186" i="65" l="1"/>
  <c r="BA188" i="65"/>
  <c r="AZ188" i="65"/>
  <c r="AY188" i="65"/>
  <c r="AS188" i="65"/>
  <c r="AX188" i="65"/>
  <c r="AM187" i="65"/>
  <c r="AT188" i="65"/>
  <c r="AU188" i="65"/>
  <c r="U186" i="65"/>
  <c r="AH186" i="65"/>
  <c r="AC183" i="65"/>
  <c r="AD183" i="65" s="1"/>
  <c r="Q187" i="65"/>
  <c r="AB184" i="65"/>
  <c r="AG185" i="65"/>
  <c r="AP187" i="63" a="1"/>
  <c r="AP187" i="63" s="1"/>
  <c r="B189" i="65" s="1"/>
  <c r="AF186" i="65"/>
  <c r="R186" i="65"/>
  <c r="S186" i="65" s="1"/>
  <c r="AV186" i="65"/>
  <c r="AE186" i="65"/>
  <c r="D187" i="65"/>
  <c r="E187" i="65" s="1"/>
  <c r="F187" i="65" s="1"/>
  <c r="G187" i="65" s="1"/>
  <c r="H187" i="65" s="1"/>
  <c r="I187" i="65" s="1"/>
  <c r="J187" i="65" s="1"/>
  <c r="K187" i="65" s="1"/>
  <c r="C188" i="65"/>
  <c r="P188" i="65" s="1"/>
  <c r="L188" i="65"/>
  <c r="M188" i="65" s="1"/>
  <c r="O188" i="65"/>
  <c r="Y187" i="65" l="1"/>
  <c r="BA189" i="65"/>
  <c r="AY189" i="65"/>
  <c r="AZ189" i="65"/>
  <c r="AS189" i="65"/>
  <c r="AX189" i="65"/>
  <c r="AM188" i="65"/>
  <c r="AU189" i="65"/>
  <c r="AT189" i="65"/>
  <c r="U187" i="65"/>
  <c r="AH187" i="65"/>
  <c r="AC184" i="65"/>
  <c r="AD184" i="65" s="1"/>
  <c r="Q188" i="65"/>
  <c r="AB185" i="65"/>
  <c r="AB186" i="65"/>
  <c r="AP188" i="63" a="1"/>
  <c r="AP188" i="63" s="1"/>
  <c r="B190" i="65" s="1"/>
  <c r="D188" i="65"/>
  <c r="E188" i="65" s="1"/>
  <c r="F188" i="65" s="1"/>
  <c r="G188" i="65" s="1"/>
  <c r="H188" i="65" s="1"/>
  <c r="I188" i="65" s="1"/>
  <c r="J188" i="65" s="1"/>
  <c r="K188" i="65" s="1"/>
  <c r="R187" i="65"/>
  <c r="S187" i="65" s="1"/>
  <c r="AF187" i="65"/>
  <c r="AE187" i="65"/>
  <c r="AV187" i="65"/>
  <c r="O189" i="65"/>
  <c r="C189" i="65"/>
  <c r="P189" i="65" s="1"/>
  <c r="L189" i="65"/>
  <c r="M189" i="65" s="1"/>
  <c r="Y188" i="65" l="1"/>
  <c r="BA190" i="65"/>
  <c r="AZ190" i="65"/>
  <c r="AY190" i="65"/>
  <c r="AS190" i="65"/>
  <c r="AX190" i="65"/>
  <c r="AM189" i="65"/>
  <c r="AU190" i="65"/>
  <c r="AT190" i="65"/>
  <c r="U188" i="65"/>
  <c r="AH188" i="65"/>
  <c r="AC186" i="65"/>
  <c r="AD186" i="65" s="1"/>
  <c r="AC185" i="65"/>
  <c r="AD185" i="65" s="1"/>
  <c r="Q189" i="65"/>
  <c r="AG186" i="65"/>
  <c r="AB187" i="65"/>
  <c r="D189" i="65"/>
  <c r="E189" i="65" s="1"/>
  <c r="F189" i="65" s="1"/>
  <c r="G189" i="65" s="1"/>
  <c r="H189" i="65" s="1"/>
  <c r="I189" i="65" s="1"/>
  <c r="J189" i="65" s="1"/>
  <c r="K189" i="65" s="1"/>
  <c r="AP189" i="63" a="1"/>
  <c r="AP189" i="63" s="1"/>
  <c r="B191" i="65" s="1"/>
  <c r="AF188" i="65"/>
  <c r="R188" i="65"/>
  <c r="S188" i="65" s="1"/>
  <c r="AE188" i="65"/>
  <c r="AV188" i="65"/>
  <c r="C190" i="65"/>
  <c r="P190" i="65" s="1"/>
  <c r="O190" i="65"/>
  <c r="L190" i="65"/>
  <c r="M190" i="65" s="1"/>
  <c r="Y189" i="65" l="1"/>
  <c r="BA191" i="65"/>
  <c r="AZ191" i="65"/>
  <c r="AY191" i="65"/>
  <c r="AS191" i="65"/>
  <c r="AX191" i="65"/>
  <c r="AM190" i="65"/>
  <c r="AU191" i="65"/>
  <c r="AT191" i="65"/>
  <c r="U189" i="65"/>
  <c r="AH189" i="65"/>
  <c r="AC187" i="65"/>
  <c r="AD187" i="65" s="1"/>
  <c r="Q190" i="65"/>
  <c r="AG187" i="65"/>
  <c r="AB188" i="65"/>
  <c r="AG188" i="65"/>
  <c r="AP190" i="63" a="1"/>
  <c r="AP190" i="63" s="1"/>
  <c r="B192" i="65" s="1"/>
  <c r="L191" i="65"/>
  <c r="M191" i="65" s="1"/>
  <c r="O191" i="65"/>
  <c r="C191" i="65"/>
  <c r="P191" i="65" s="1"/>
  <c r="D190" i="65"/>
  <c r="E190" i="65" s="1"/>
  <c r="F190" i="65" s="1"/>
  <c r="G190" i="65" s="1"/>
  <c r="H190" i="65" s="1"/>
  <c r="I190" i="65" s="1"/>
  <c r="J190" i="65" s="1"/>
  <c r="K190" i="65" s="1"/>
  <c r="AE189" i="65"/>
  <c r="R189" i="65"/>
  <c r="S189" i="65" s="1"/>
  <c r="AF189" i="65"/>
  <c r="AV189" i="65"/>
  <c r="Y190" i="65" l="1"/>
  <c r="BA192" i="65"/>
  <c r="AZ192" i="65"/>
  <c r="AY192" i="65"/>
  <c r="AS192" i="65"/>
  <c r="AX192" i="65"/>
  <c r="AM191" i="65"/>
  <c r="AU192" i="65"/>
  <c r="AT192" i="65"/>
  <c r="U190" i="65"/>
  <c r="AH190" i="65"/>
  <c r="AC188" i="65"/>
  <c r="AD188" i="65" s="1"/>
  <c r="Q191" i="65"/>
  <c r="AG189" i="65"/>
  <c r="AF190" i="65"/>
  <c r="AE190" i="65"/>
  <c r="R190" i="65"/>
  <c r="S190" i="65" s="1"/>
  <c r="AV190" i="65"/>
  <c r="O192" i="65"/>
  <c r="L192" i="65"/>
  <c r="M192" i="65" s="1"/>
  <c r="C192" i="65"/>
  <c r="P192" i="65" s="1"/>
  <c r="AP191" i="63" a="1"/>
  <c r="AP191" i="63" s="1"/>
  <c r="B193" i="65" s="1"/>
  <c r="D191" i="65"/>
  <c r="E191" i="65" s="1"/>
  <c r="F191" i="65" s="1"/>
  <c r="G191" i="65" s="1"/>
  <c r="H191" i="65" s="1"/>
  <c r="I191" i="65" s="1"/>
  <c r="J191" i="65" s="1"/>
  <c r="K191" i="65" s="1"/>
  <c r="Y191" i="65" l="1"/>
  <c r="AZ193" i="65"/>
  <c r="BA193" i="65"/>
  <c r="AY193" i="65"/>
  <c r="AS193" i="65"/>
  <c r="AX193" i="65"/>
  <c r="AM192" i="65"/>
  <c r="AU193" i="65"/>
  <c r="AT193" i="65"/>
  <c r="U191" i="65"/>
  <c r="AH191" i="65"/>
  <c r="Q192" i="65"/>
  <c r="AB189" i="65"/>
  <c r="AB190" i="65"/>
  <c r="O193" i="65"/>
  <c r="C193" i="65"/>
  <c r="P193" i="65" s="1"/>
  <c r="L193" i="65"/>
  <c r="M193" i="65" s="1"/>
  <c r="D192" i="65"/>
  <c r="E192" i="65" s="1"/>
  <c r="F192" i="65" s="1"/>
  <c r="G192" i="65" s="1"/>
  <c r="H192" i="65" s="1"/>
  <c r="I192" i="65" s="1"/>
  <c r="J192" i="65" s="1"/>
  <c r="K192" i="65" s="1"/>
  <c r="AP192" i="63" a="1"/>
  <c r="AP192" i="63" s="1"/>
  <c r="B194" i="65" s="1"/>
  <c r="AV191" i="65"/>
  <c r="AE191" i="65"/>
  <c r="AF191" i="65"/>
  <c r="R191" i="65"/>
  <c r="S191" i="65" s="1"/>
  <c r="Y192" i="65" l="1"/>
  <c r="AZ194" i="65"/>
  <c r="BA194" i="65"/>
  <c r="AY194" i="65"/>
  <c r="AS194" i="65"/>
  <c r="AX194" i="65"/>
  <c r="AM193" i="65"/>
  <c r="AU194" i="65"/>
  <c r="AT194" i="65"/>
  <c r="U192" i="65"/>
  <c r="AH192" i="65"/>
  <c r="AC190" i="65"/>
  <c r="AD190" i="65" s="1"/>
  <c r="AC189" i="65"/>
  <c r="AD189" i="65" s="1"/>
  <c r="Q193" i="65"/>
  <c r="AG190" i="65"/>
  <c r="AB191" i="65"/>
  <c r="C194" i="65"/>
  <c r="P194" i="65" s="1"/>
  <c r="O194" i="65"/>
  <c r="L194" i="65"/>
  <c r="M194" i="65" s="1"/>
  <c r="AV192" i="65"/>
  <c r="AF192" i="65"/>
  <c r="AE192" i="65"/>
  <c r="R192" i="65"/>
  <c r="S192" i="65" s="1"/>
  <c r="D193" i="65"/>
  <c r="E193" i="65" s="1"/>
  <c r="F193" i="65" s="1"/>
  <c r="G193" i="65" s="1"/>
  <c r="H193" i="65" s="1"/>
  <c r="I193" i="65" s="1"/>
  <c r="J193" i="65" s="1"/>
  <c r="K193" i="65" s="1"/>
  <c r="AP193" i="63" a="1"/>
  <c r="AP193" i="63" s="1"/>
  <c r="B195" i="65" s="1"/>
  <c r="Y193" i="65" l="1"/>
  <c r="BA195" i="65"/>
  <c r="AZ195" i="65"/>
  <c r="AY195" i="65"/>
  <c r="AS195" i="65"/>
  <c r="AX195" i="65"/>
  <c r="AM194" i="65"/>
  <c r="AU195" i="65"/>
  <c r="AT195" i="65"/>
  <c r="U193" i="65"/>
  <c r="AH193" i="65"/>
  <c r="AC191" i="65"/>
  <c r="AD191" i="65" s="1"/>
  <c r="Q194" i="65"/>
  <c r="AG191" i="65"/>
  <c r="AB192" i="65"/>
  <c r="L195" i="65"/>
  <c r="M195" i="65" s="1"/>
  <c r="O195" i="65"/>
  <c r="C195" i="65"/>
  <c r="P195" i="65" s="1"/>
  <c r="R193" i="65"/>
  <c r="S193" i="65" s="1"/>
  <c r="AE193" i="65"/>
  <c r="AV193" i="65"/>
  <c r="AF193" i="65"/>
  <c r="AP194" i="63" a="1"/>
  <c r="AP194" i="63" s="1"/>
  <c r="B196" i="65" s="1"/>
  <c r="D194" i="65"/>
  <c r="E194" i="65" s="1"/>
  <c r="F194" i="65" s="1"/>
  <c r="G194" i="65" s="1"/>
  <c r="H194" i="65" s="1"/>
  <c r="I194" i="65" s="1"/>
  <c r="J194" i="65" s="1"/>
  <c r="K194" i="65" s="1"/>
  <c r="Y194" i="65" l="1"/>
  <c r="BA196" i="65"/>
  <c r="AZ196" i="65"/>
  <c r="AY196" i="65"/>
  <c r="AS196" i="65"/>
  <c r="AX196" i="65"/>
  <c r="AM195" i="65"/>
  <c r="AU196" i="65"/>
  <c r="AT196" i="65"/>
  <c r="U194" i="65"/>
  <c r="AH194" i="65"/>
  <c r="AC192" i="65"/>
  <c r="AD192" i="65" s="1"/>
  <c r="Q195" i="65"/>
  <c r="AG192" i="65"/>
  <c r="AB193" i="65"/>
  <c r="C196" i="65"/>
  <c r="P196" i="65" s="1"/>
  <c r="L196" i="65"/>
  <c r="M196" i="65" s="1"/>
  <c r="O196" i="65"/>
  <c r="D195" i="65"/>
  <c r="E195" i="65" s="1"/>
  <c r="F195" i="65" s="1"/>
  <c r="G195" i="65" s="1"/>
  <c r="H195" i="65" s="1"/>
  <c r="I195" i="65" s="1"/>
  <c r="J195" i="65" s="1"/>
  <c r="K195" i="65" s="1"/>
  <c r="AV194" i="65"/>
  <c r="AF194" i="65"/>
  <c r="R194" i="65"/>
  <c r="S194" i="65" s="1"/>
  <c r="AE194" i="65"/>
  <c r="AP195" i="63" a="1"/>
  <c r="AP195" i="63" s="1"/>
  <c r="B197" i="65" s="1"/>
  <c r="Y195" i="65" l="1"/>
  <c r="BA197" i="65"/>
  <c r="AZ197" i="65"/>
  <c r="AY197" i="65"/>
  <c r="AS197" i="65"/>
  <c r="AX197" i="65"/>
  <c r="AM196" i="65"/>
  <c r="AU197" i="65"/>
  <c r="AT197" i="65"/>
  <c r="U195" i="65"/>
  <c r="AH195" i="65"/>
  <c r="AC193" i="65"/>
  <c r="AD193" i="65" s="1"/>
  <c r="Q196" i="65"/>
  <c r="AG193" i="65"/>
  <c r="AB194" i="65"/>
  <c r="R195" i="65"/>
  <c r="S195" i="65" s="1"/>
  <c r="AF195" i="65"/>
  <c r="AV195" i="65"/>
  <c r="AE195" i="65"/>
  <c r="AP196" i="63" a="1"/>
  <c r="AP196" i="63" s="1"/>
  <c r="B198" i="65" s="1"/>
  <c r="O197" i="65"/>
  <c r="L197" i="65"/>
  <c r="M197" i="65" s="1"/>
  <c r="C197" i="65"/>
  <c r="P197" i="65" s="1"/>
  <c r="D196" i="65"/>
  <c r="E196" i="65" s="1"/>
  <c r="F196" i="65" s="1"/>
  <c r="G196" i="65" s="1"/>
  <c r="H196" i="65" s="1"/>
  <c r="I196" i="65" s="1"/>
  <c r="J196" i="65" s="1"/>
  <c r="K196" i="65" s="1"/>
  <c r="Y196" i="65" l="1"/>
  <c r="BA198" i="65"/>
  <c r="AY198" i="65"/>
  <c r="AZ198" i="65"/>
  <c r="AS198" i="65"/>
  <c r="AX198" i="65"/>
  <c r="AM197" i="65"/>
  <c r="AU198" i="65"/>
  <c r="AT198" i="65"/>
  <c r="U196" i="65"/>
  <c r="AH196" i="65"/>
  <c r="AC194" i="65"/>
  <c r="AD194" i="65" s="1"/>
  <c r="Q197" i="65"/>
  <c r="AB195" i="65"/>
  <c r="AG194" i="65"/>
  <c r="AE196" i="65"/>
  <c r="AV196" i="65"/>
  <c r="AF196" i="65"/>
  <c r="R196" i="65"/>
  <c r="S196" i="65" s="1"/>
  <c r="D197" i="65"/>
  <c r="E197" i="65" s="1"/>
  <c r="F197" i="65" s="1"/>
  <c r="G197" i="65" s="1"/>
  <c r="H197" i="65" s="1"/>
  <c r="I197" i="65" s="1"/>
  <c r="J197" i="65" s="1"/>
  <c r="K197" i="65" s="1"/>
  <c r="C198" i="65"/>
  <c r="P198" i="65" s="1"/>
  <c r="O198" i="65"/>
  <c r="L198" i="65"/>
  <c r="M198" i="65" s="1"/>
  <c r="AP197" i="63" a="1"/>
  <c r="AP197" i="63" s="1"/>
  <c r="B199" i="65" s="1"/>
  <c r="Y197" i="65" l="1"/>
  <c r="AZ199" i="65"/>
  <c r="AY199" i="65"/>
  <c r="BA199" i="65"/>
  <c r="AS199" i="65"/>
  <c r="AX199" i="65"/>
  <c r="AM198" i="65"/>
  <c r="AU199" i="65"/>
  <c r="AT199" i="65"/>
  <c r="U197" i="65"/>
  <c r="AH197" i="65"/>
  <c r="AC195" i="65"/>
  <c r="AD195" i="65" s="1"/>
  <c r="Q198" i="65"/>
  <c r="AG195" i="65"/>
  <c r="AB196" i="65"/>
  <c r="AP198" i="63" a="1"/>
  <c r="AP198" i="63" s="1"/>
  <c r="B200" i="65" s="1"/>
  <c r="R197" i="65"/>
  <c r="S197" i="65" s="1"/>
  <c r="AF197" i="65"/>
  <c r="AV197" i="65"/>
  <c r="AE197" i="65"/>
  <c r="L199" i="65"/>
  <c r="M199" i="65" s="1"/>
  <c r="C199" i="65"/>
  <c r="P199" i="65" s="1"/>
  <c r="O199" i="65"/>
  <c r="D198" i="65"/>
  <c r="E198" i="65" s="1"/>
  <c r="F198" i="65" s="1"/>
  <c r="G198" i="65" s="1"/>
  <c r="H198" i="65" s="1"/>
  <c r="I198" i="65" s="1"/>
  <c r="J198" i="65" s="1"/>
  <c r="K198" i="65" s="1"/>
  <c r="Y198" i="65" l="1"/>
  <c r="BA200" i="65"/>
  <c r="AY200" i="65"/>
  <c r="AZ200" i="65"/>
  <c r="AS200" i="65"/>
  <c r="AX200" i="65"/>
  <c r="AM199" i="65"/>
  <c r="AU200" i="65"/>
  <c r="AT200" i="65"/>
  <c r="U198" i="65"/>
  <c r="AH198" i="65"/>
  <c r="AC196" i="65"/>
  <c r="AD196" i="65" s="1"/>
  <c r="Q199" i="65"/>
  <c r="AG196" i="65"/>
  <c r="AB197" i="65"/>
  <c r="AF198" i="65"/>
  <c r="AV198" i="65"/>
  <c r="R198" i="65"/>
  <c r="S198" i="65" s="1"/>
  <c r="AE198" i="65"/>
  <c r="D199" i="65"/>
  <c r="E199" i="65" s="1"/>
  <c r="F199" i="65" s="1"/>
  <c r="G199" i="65" s="1"/>
  <c r="H199" i="65" s="1"/>
  <c r="I199" i="65" s="1"/>
  <c r="J199" i="65" s="1"/>
  <c r="K199" i="65" s="1"/>
  <c r="AG197" i="65"/>
  <c r="AP199" i="63" a="1"/>
  <c r="AP199" i="63" s="1"/>
  <c r="B201" i="65" s="1"/>
  <c r="L200" i="65"/>
  <c r="M200" i="65" s="1"/>
  <c r="C200" i="65"/>
  <c r="P200" i="65" s="1"/>
  <c r="O200" i="65"/>
  <c r="Y199" i="65" l="1"/>
  <c r="BA201" i="65"/>
  <c r="AZ201" i="65"/>
  <c r="AY201" i="65"/>
  <c r="AS201" i="65"/>
  <c r="AX201" i="65"/>
  <c r="AM200" i="65"/>
  <c r="AU201" i="65"/>
  <c r="AT201" i="65"/>
  <c r="U199" i="65"/>
  <c r="AH199" i="65"/>
  <c r="AC197" i="65"/>
  <c r="AD197" i="65" s="1"/>
  <c r="Q200" i="65"/>
  <c r="AB198" i="65"/>
  <c r="AE199" i="65"/>
  <c r="AV199" i="65"/>
  <c r="R199" i="65"/>
  <c r="S199" i="65" s="1"/>
  <c r="AF199" i="65"/>
  <c r="AP200" i="63" a="1"/>
  <c r="AP200" i="63" s="1"/>
  <c r="B202" i="65" s="1"/>
  <c r="C201" i="65"/>
  <c r="P201" i="65" s="1"/>
  <c r="O201" i="65"/>
  <c r="L201" i="65"/>
  <c r="M201" i="65" s="1"/>
  <c r="D200" i="65"/>
  <c r="E200" i="65" s="1"/>
  <c r="F200" i="65" s="1"/>
  <c r="G200" i="65" s="1"/>
  <c r="H200" i="65" s="1"/>
  <c r="I200" i="65" s="1"/>
  <c r="J200" i="65" s="1"/>
  <c r="K200" i="65" s="1"/>
  <c r="Y200" i="65" l="1"/>
  <c r="BA202" i="65"/>
  <c r="AZ202" i="65"/>
  <c r="AY202" i="65"/>
  <c r="AS202" i="65"/>
  <c r="AX202" i="65"/>
  <c r="AM201" i="65"/>
  <c r="AU202" i="65"/>
  <c r="AT202" i="65"/>
  <c r="U200" i="65"/>
  <c r="AH200" i="65"/>
  <c r="AC198" i="65"/>
  <c r="AD198" i="65" s="1"/>
  <c r="Q201" i="65"/>
  <c r="AG198" i="65"/>
  <c r="AB199" i="65"/>
  <c r="C202" i="65"/>
  <c r="P202" i="65" s="1"/>
  <c r="O202" i="65"/>
  <c r="L202" i="65"/>
  <c r="M202" i="65" s="1"/>
  <c r="D201" i="65"/>
  <c r="E201" i="65" s="1"/>
  <c r="F201" i="65" s="1"/>
  <c r="G201" i="65" s="1"/>
  <c r="H201" i="65" s="1"/>
  <c r="I201" i="65" s="1"/>
  <c r="J201" i="65" s="1"/>
  <c r="K201" i="65" s="1"/>
  <c r="AP201" i="63" a="1"/>
  <c r="AP201" i="63" s="1"/>
  <c r="B203" i="65" s="1"/>
  <c r="AF200" i="65"/>
  <c r="AV200" i="65"/>
  <c r="R200" i="65"/>
  <c r="S200" i="65" s="1"/>
  <c r="AE200" i="65"/>
  <c r="Y201" i="65" l="1"/>
  <c r="BA203" i="65"/>
  <c r="AZ203" i="65"/>
  <c r="AY203" i="65"/>
  <c r="AS203" i="65"/>
  <c r="AX203" i="65"/>
  <c r="AM202" i="65"/>
  <c r="AU203" i="65"/>
  <c r="AT203" i="65"/>
  <c r="U201" i="65"/>
  <c r="AH201" i="65"/>
  <c r="AC199" i="65"/>
  <c r="AD199" i="65" s="1"/>
  <c r="AB200" i="65"/>
  <c r="AG199" i="65"/>
  <c r="AP202" i="63" a="1"/>
  <c r="AP202" i="63" s="1"/>
  <c r="B204" i="65" s="1"/>
  <c r="AG200" i="65"/>
  <c r="O203" i="65"/>
  <c r="L203" i="65"/>
  <c r="M203" i="65" s="1"/>
  <c r="C203" i="65"/>
  <c r="P203" i="65" s="1"/>
  <c r="R201" i="65"/>
  <c r="S201" i="65" s="1"/>
  <c r="AV201" i="65"/>
  <c r="AF201" i="65"/>
  <c r="AE201" i="65"/>
  <c r="D202" i="65"/>
  <c r="E202" i="65" s="1"/>
  <c r="F202" i="65" s="1"/>
  <c r="G202" i="65" s="1"/>
  <c r="H202" i="65" s="1"/>
  <c r="I202" i="65" s="1"/>
  <c r="J202" i="65" s="1"/>
  <c r="K202" i="65" s="1"/>
  <c r="Y202" i="65" l="1"/>
  <c r="BA204" i="65"/>
  <c r="AZ204" i="65"/>
  <c r="AY204" i="65"/>
  <c r="AS204" i="65"/>
  <c r="AX204" i="65"/>
  <c r="AM203" i="65"/>
  <c r="AH202" i="65"/>
  <c r="Q202" i="65"/>
  <c r="AT204" i="65"/>
  <c r="AU204" i="65"/>
  <c r="U202" i="65"/>
  <c r="AC200" i="65"/>
  <c r="AD200" i="65" s="1"/>
  <c r="Q203" i="65"/>
  <c r="AB201" i="65"/>
  <c r="R202" i="65"/>
  <c r="S202" i="65" s="1"/>
  <c r="AE202" i="65"/>
  <c r="AV202" i="65"/>
  <c r="AF202" i="65"/>
  <c r="AG201" i="65"/>
  <c r="D203" i="65"/>
  <c r="E203" i="65" s="1"/>
  <c r="F203" i="65" s="1"/>
  <c r="G203" i="65" s="1"/>
  <c r="H203" i="65" s="1"/>
  <c r="I203" i="65" s="1"/>
  <c r="J203" i="65" s="1"/>
  <c r="K203" i="65" s="1"/>
  <c r="O204" i="65"/>
  <c r="L204" i="65"/>
  <c r="M204" i="65" s="1"/>
  <c r="C204" i="65"/>
  <c r="P204" i="65" s="1"/>
  <c r="AP203" i="63" a="1"/>
  <c r="AP203" i="63" s="1"/>
  <c r="B205" i="65" s="1"/>
  <c r="Y203" i="65" l="1"/>
  <c r="BA205" i="65"/>
  <c r="AZ205" i="65"/>
  <c r="AY205" i="65"/>
  <c r="AS205" i="65"/>
  <c r="AX205" i="65"/>
  <c r="AM204" i="65"/>
  <c r="AU205" i="65"/>
  <c r="AT205" i="65"/>
  <c r="U203" i="65"/>
  <c r="AH203" i="65"/>
  <c r="AC201" i="65"/>
  <c r="AD201" i="65" s="1"/>
  <c r="Q204" i="65"/>
  <c r="AB202" i="65"/>
  <c r="R203" i="65"/>
  <c r="S203" i="65" s="1"/>
  <c r="AE203" i="65"/>
  <c r="AV203" i="65"/>
  <c r="AF203" i="65"/>
  <c r="C205" i="65"/>
  <c r="P205" i="65" s="1"/>
  <c r="L205" i="65"/>
  <c r="M205" i="65" s="1"/>
  <c r="O205" i="65"/>
  <c r="D204" i="65"/>
  <c r="E204" i="65" s="1"/>
  <c r="F204" i="65" s="1"/>
  <c r="G204" i="65" s="1"/>
  <c r="H204" i="65" s="1"/>
  <c r="I204" i="65" s="1"/>
  <c r="J204" i="65" s="1"/>
  <c r="K204" i="65" s="1"/>
  <c r="AP204" i="63" a="1"/>
  <c r="AP204" i="63" s="1"/>
  <c r="B206" i="65" s="1"/>
  <c r="Y204" i="65" l="1"/>
  <c r="BA206" i="65"/>
  <c r="AY206" i="65"/>
  <c r="AZ206" i="65"/>
  <c r="AS206" i="65"/>
  <c r="AX206" i="65"/>
  <c r="AM205" i="65"/>
  <c r="AU206" i="65"/>
  <c r="AT206" i="65"/>
  <c r="U204" i="65"/>
  <c r="AH204" i="65"/>
  <c r="AC202" i="65"/>
  <c r="AD202" i="65" s="1"/>
  <c r="Q205" i="65"/>
  <c r="AG202" i="65"/>
  <c r="AG203" i="65"/>
  <c r="AP205" i="63" a="1"/>
  <c r="AP205" i="63" s="1"/>
  <c r="B207" i="65" s="1"/>
  <c r="D205" i="65"/>
  <c r="E205" i="65" s="1"/>
  <c r="F205" i="65" s="1"/>
  <c r="G205" i="65" s="1"/>
  <c r="H205" i="65" s="1"/>
  <c r="I205" i="65" s="1"/>
  <c r="J205" i="65" s="1"/>
  <c r="K205" i="65" s="1"/>
  <c r="AF204" i="65"/>
  <c r="R204" i="65"/>
  <c r="S204" i="65" s="1"/>
  <c r="AE204" i="65"/>
  <c r="AV204" i="65"/>
  <c r="L206" i="65"/>
  <c r="M206" i="65" s="1"/>
  <c r="O206" i="65"/>
  <c r="C206" i="65"/>
  <c r="P206" i="65" s="1"/>
  <c r="Y205" i="65" l="1"/>
  <c r="AZ207" i="65"/>
  <c r="BA207" i="65"/>
  <c r="AY207" i="65"/>
  <c r="AS207" i="65"/>
  <c r="AX207" i="65"/>
  <c r="AM206" i="65"/>
  <c r="AU207" i="65"/>
  <c r="AT207" i="65"/>
  <c r="U205" i="65"/>
  <c r="AH205" i="65"/>
  <c r="Q206" i="65"/>
  <c r="AB203" i="65"/>
  <c r="AB204" i="65"/>
  <c r="C207" i="65"/>
  <c r="P207" i="65" s="1"/>
  <c r="O207" i="65"/>
  <c r="L207" i="65"/>
  <c r="M207" i="65" s="1"/>
  <c r="AP206" i="63" a="1"/>
  <c r="AP206" i="63" s="1"/>
  <c r="B208" i="65" s="1"/>
  <c r="AV205" i="65"/>
  <c r="AF205" i="65"/>
  <c r="AE205" i="65"/>
  <c r="R205" i="65"/>
  <c r="S205" i="65" s="1"/>
  <c r="D206" i="65"/>
  <c r="E206" i="65" s="1"/>
  <c r="F206" i="65" s="1"/>
  <c r="G206" i="65" s="1"/>
  <c r="H206" i="65" s="1"/>
  <c r="I206" i="65" s="1"/>
  <c r="J206" i="65" s="1"/>
  <c r="K206" i="65" s="1"/>
  <c r="Y206" i="65" l="1"/>
  <c r="AY208" i="65"/>
  <c r="BA208" i="65"/>
  <c r="AZ208" i="65"/>
  <c r="AS208" i="65"/>
  <c r="AX208" i="65"/>
  <c r="AM207" i="65"/>
  <c r="AU208" i="65"/>
  <c r="AT208" i="65"/>
  <c r="U206" i="65"/>
  <c r="AH206" i="65"/>
  <c r="AC204" i="65"/>
  <c r="AD204" i="65" s="1"/>
  <c r="AC203" i="65"/>
  <c r="AD203" i="65" s="1"/>
  <c r="Q207" i="65"/>
  <c r="AB205" i="65"/>
  <c r="AG204" i="65"/>
  <c r="AP207" i="63" a="1"/>
  <c r="AP207" i="63" s="1"/>
  <c r="B209" i="65" s="1"/>
  <c r="AV206" i="65"/>
  <c r="AF206" i="65"/>
  <c r="R206" i="65"/>
  <c r="S206" i="65" s="1"/>
  <c r="AE206" i="65"/>
  <c r="D207" i="65"/>
  <c r="E207" i="65" s="1"/>
  <c r="F207" i="65" s="1"/>
  <c r="G207" i="65" s="1"/>
  <c r="H207" i="65" s="1"/>
  <c r="I207" i="65" s="1"/>
  <c r="J207" i="65" s="1"/>
  <c r="K207" i="65" s="1"/>
  <c r="L208" i="65"/>
  <c r="M208" i="65" s="1"/>
  <c r="O208" i="65"/>
  <c r="C208" i="65"/>
  <c r="P208" i="65" s="1"/>
  <c r="Y207" i="65" l="1"/>
  <c r="BA209" i="65"/>
  <c r="AZ209" i="65"/>
  <c r="AY209" i="65"/>
  <c r="AS209" i="65"/>
  <c r="AX209" i="65"/>
  <c r="AM208" i="65"/>
  <c r="AU209" i="65"/>
  <c r="AT209" i="65"/>
  <c r="U207" i="65"/>
  <c r="AH207" i="65"/>
  <c r="AC205" i="65"/>
  <c r="AD205" i="65" s="1"/>
  <c r="Q208" i="65"/>
  <c r="AB206" i="65"/>
  <c r="AG205" i="65"/>
  <c r="D208" i="65"/>
  <c r="E208" i="65" s="1"/>
  <c r="F208" i="65" s="1"/>
  <c r="G208" i="65" s="1"/>
  <c r="H208" i="65" s="1"/>
  <c r="I208" i="65" s="1"/>
  <c r="J208" i="65" s="1"/>
  <c r="K208" i="65" s="1"/>
  <c r="AP208" i="63" a="1"/>
  <c r="AP208" i="63" s="1"/>
  <c r="B210" i="65" s="1"/>
  <c r="R207" i="65"/>
  <c r="S207" i="65" s="1"/>
  <c r="AV207" i="65"/>
  <c r="AF207" i="65"/>
  <c r="AE207" i="65"/>
  <c r="O209" i="65"/>
  <c r="C209" i="65"/>
  <c r="P209" i="65" s="1"/>
  <c r="L209" i="65"/>
  <c r="M209" i="65" s="1"/>
  <c r="Y208" i="65" l="1"/>
  <c r="AZ210" i="65"/>
  <c r="AY210" i="65"/>
  <c r="BA210" i="65"/>
  <c r="AS210" i="65"/>
  <c r="AX210" i="65"/>
  <c r="AM209" i="65"/>
  <c r="AU210" i="65"/>
  <c r="AT210" i="65"/>
  <c r="U208" i="65"/>
  <c r="AH208" i="65"/>
  <c r="AC206" i="65"/>
  <c r="AD206" i="65" s="1"/>
  <c r="Q209" i="65"/>
  <c r="AG206" i="65"/>
  <c r="AB207" i="65"/>
  <c r="D209" i="65"/>
  <c r="E209" i="65" s="1"/>
  <c r="F209" i="65" s="1"/>
  <c r="G209" i="65" s="1"/>
  <c r="H209" i="65" s="1"/>
  <c r="I209" i="65" s="1"/>
  <c r="J209" i="65" s="1"/>
  <c r="K209" i="65" s="1"/>
  <c r="O210" i="65"/>
  <c r="C210" i="65"/>
  <c r="P210" i="65" s="1"/>
  <c r="L210" i="65"/>
  <c r="M210" i="65" s="1"/>
  <c r="AP209" i="63" a="1"/>
  <c r="AP209" i="63" s="1"/>
  <c r="B211" i="65" s="1"/>
  <c r="AF208" i="65"/>
  <c r="R208" i="65"/>
  <c r="S208" i="65" s="1"/>
  <c r="AV208" i="65"/>
  <c r="AE208" i="65"/>
  <c r="Y209" i="65" l="1"/>
  <c r="BA211" i="65"/>
  <c r="AZ211" i="65"/>
  <c r="AY211" i="65"/>
  <c r="AS211" i="65"/>
  <c r="AX211" i="65"/>
  <c r="AM210" i="65"/>
  <c r="AU211" i="65"/>
  <c r="AT211" i="65"/>
  <c r="U209" i="65"/>
  <c r="AH209" i="65"/>
  <c r="AC207" i="65"/>
  <c r="AD207" i="65" s="1"/>
  <c r="Q210" i="65"/>
  <c r="AG207" i="65"/>
  <c r="AB208" i="65"/>
  <c r="AP210" i="63" a="1"/>
  <c r="AP210" i="63" s="1"/>
  <c r="B212" i="65" s="1"/>
  <c r="AG208" i="65"/>
  <c r="D210" i="65"/>
  <c r="E210" i="65" s="1"/>
  <c r="F210" i="65" s="1"/>
  <c r="G210" i="65" s="1"/>
  <c r="H210" i="65" s="1"/>
  <c r="I210" i="65" s="1"/>
  <c r="J210" i="65" s="1"/>
  <c r="K210" i="65" s="1"/>
  <c r="O211" i="65"/>
  <c r="L211" i="65"/>
  <c r="M211" i="65" s="1"/>
  <c r="C211" i="65"/>
  <c r="P211" i="65" s="1"/>
  <c r="AE209" i="65"/>
  <c r="AF209" i="65"/>
  <c r="AV209" i="65"/>
  <c r="R209" i="65"/>
  <c r="S209" i="65" s="1"/>
  <c r="Y210" i="65" l="1"/>
  <c r="AZ212" i="65"/>
  <c r="AY212" i="65"/>
  <c r="BA212" i="65"/>
  <c r="AS212" i="65"/>
  <c r="AX212" i="65"/>
  <c r="AM211" i="65"/>
  <c r="AU212" i="65"/>
  <c r="AT212" i="65"/>
  <c r="U210" i="65"/>
  <c r="AH210" i="65"/>
  <c r="AC208" i="65"/>
  <c r="AD208" i="65" s="1"/>
  <c r="Q211" i="65"/>
  <c r="AG209" i="65"/>
  <c r="AE210" i="65"/>
  <c r="R210" i="65"/>
  <c r="S210" i="65" s="1"/>
  <c r="AF210" i="65"/>
  <c r="AV210" i="65"/>
  <c r="D211" i="65"/>
  <c r="E211" i="65" s="1"/>
  <c r="F211" i="65" s="1"/>
  <c r="G211" i="65" s="1"/>
  <c r="H211" i="65" s="1"/>
  <c r="I211" i="65" s="1"/>
  <c r="J211" i="65" s="1"/>
  <c r="K211" i="65" s="1"/>
  <c r="C212" i="65"/>
  <c r="P212" i="65" s="1"/>
  <c r="O212" i="65"/>
  <c r="L212" i="65"/>
  <c r="M212" i="65" s="1"/>
  <c r="AP211" i="63" a="1"/>
  <c r="AP211" i="63" s="1"/>
  <c r="B213" i="65" s="1"/>
  <c r="Y211" i="65" l="1"/>
  <c r="BA213" i="65"/>
  <c r="AZ213" i="65"/>
  <c r="AY213" i="65"/>
  <c r="AS213" i="65"/>
  <c r="AX213" i="65"/>
  <c r="AM212" i="65"/>
  <c r="AU213" i="65"/>
  <c r="AT213" i="65"/>
  <c r="U211" i="65"/>
  <c r="AH211" i="65"/>
  <c r="Q212" i="65"/>
  <c r="AB209" i="65"/>
  <c r="AB210" i="65"/>
  <c r="AP212" i="63" a="1"/>
  <c r="AP212" i="63" s="1"/>
  <c r="B214" i="65" s="1"/>
  <c r="C213" i="65"/>
  <c r="P213" i="65" s="1"/>
  <c r="O213" i="65"/>
  <c r="L213" i="65"/>
  <c r="M213" i="65" s="1"/>
  <c r="D212" i="65"/>
  <c r="E212" i="65" s="1"/>
  <c r="F212" i="65" s="1"/>
  <c r="G212" i="65" s="1"/>
  <c r="H212" i="65" s="1"/>
  <c r="I212" i="65" s="1"/>
  <c r="J212" i="65" s="1"/>
  <c r="K212" i="65" s="1"/>
  <c r="AV211" i="65"/>
  <c r="AF211" i="65"/>
  <c r="AE211" i="65"/>
  <c r="R211" i="65"/>
  <c r="S211" i="65" s="1"/>
  <c r="Y212" i="65" l="1"/>
  <c r="BA214" i="65"/>
  <c r="AY214" i="65"/>
  <c r="AZ214" i="65"/>
  <c r="AS214" i="65"/>
  <c r="AX214" i="65"/>
  <c r="AM213" i="65"/>
  <c r="AU214" i="65"/>
  <c r="AT214" i="65"/>
  <c r="U212" i="65"/>
  <c r="AH212" i="65"/>
  <c r="AC210" i="65"/>
  <c r="AD210" i="65" s="1"/>
  <c r="AC209" i="65"/>
  <c r="AD209" i="65" s="1"/>
  <c r="Q213" i="65"/>
  <c r="AB211" i="65"/>
  <c r="AG210" i="65"/>
  <c r="AG211" i="65"/>
  <c r="AP213" i="63" a="1"/>
  <c r="AP213" i="63" s="1"/>
  <c r="B215" i="65" s="1"/>
  <c r="R212" i="65"/>
  <c r="S212" i="65" s="1"/>
  <c r="AE212" i="65"/>
  <c r="AF212" i="65"/>
  <c r="AV212" i="65"/>
  <c r="D213" i="65"/>
  <c r="E213" i="65" s="1"/>
  <c r="F213" i="65" s="1"/>
  <c r="G213" i="65" s="1"/>
  <c r="H213" i="65" s="1"/>
  <c r="I213" i="65" s="1"/>
  <c r="J213" i="65" s="1"/>
  <c r="K213" i="65" s="1"/>
  <c r="O214" i="65"/>
  <c r="L214" i="65"/>
  <c r="M214" i="65" s="1"/>
  <c r="C214" i="65"/>
  <c r="P214" i="65" s="1"/>
  <c r="Y213" i="65" l="1"/>
  <c r="AZ215" i="65"/>
  <c r="BA215" i="65"/>
  <c r="AY215" i="65"/>
  <c r="AS215" i="65"/>
  <c r="AX215" i="65"/>
  <c r="AM214" i="65"/>
  <c r="AU215" i="65"/>
  <c r="AT215" i="65"/>
  <c r="U213" i="65"/>
  <c r="AH213" i="65"/>
  <c r="AC211" i="65"/>
  <c r="AD211" i="65" s="1"/>
  <c r="Q214" i="65"/>
  <c r="AB212" i="65"/>
  <c r="C215" i="65"/>
  <c r="P215" i="65" s="1"/>
  <c r="O215" i="65"/>
  <c r="L215" i="65"/>
  <c r="M215" i="65" s="1"/>
  <c r="D214" i="65"/>
  <c r="E214" i="65" s="1"/>
  <c r="F214" i="65" s="1"/>
  <c r="G214" i="65" s="1"/>
  <c r="H214" i="65" s="1"/>
  <c r="I214" i="65" s="1"/>
  <c r="J214" i="65" s="1"/>
  <c r="K214" i="65" s="1"/>
  <c r="AF213" i="65"/>
  <c r="AE213" i="65"/>
  <c r="AV213" i="65"/>
  <c r="R213" i="65"/>
  <c r="S213" i="65" s="1"/>
  <c r="AP214" i="63" a="1"/>
  <c r="AP214" i="63" s="1"/>
  <c r="B216" i="65" s="1"/>
  <c r="Y214" i="65" l="1"/>
  <c r="BA216" i="65"/>
  <c r="AZ216" i="65"/>
  <c r="AY216" i="65"/>
  <c r="AS216" i="65"/>
  <c r="AX216" i="65"/>
  <c r="AM215" i="65"/>
  <c r="AU216" i="65"/>
  <c r="AT216" i="65"/>
  <c r="U214" i="65"/>
  <c r="AH214" i="65"/>
  <c r="AC212" i="65"/>
  <c r="AD212" i="65" s="1"/>
  <c r="Q215" i="65"/>
  <c r="AB213" i="65"/>
  <c r="AG212" i="65"/>
  <c r="O216" i="65"/>
  <c r="L216" i="65"/>
  <c r="M216" i="65" s="1"/>
  <c r="C216" i="65"/>
  <c r="P216" i="65" s="1"/>
  <c r="AV214" i="65"/>
  <c r="AF214" i="65"/>
  <c r="AE214" i="65"/>
  <c r="R214" i="65"/>
  <c r="S214" i="65" s="1"/>
  <c r="D215" i="65"/>
  <c r="E215" i="65" s="1"/>
  <c r="F215" i="65" s="1"/>
  <c r="G215" i="65" s="1"/>
  <c r="H215" i="65" s="1"/>
  <c r="I215" i="65" s="1"/>
  <c r="J215" i="65" s="1"/>
  <c r="K215" i="65" s="1"/>
  <c r="AP215" i="63" a="1"/>
  <c r="AP215" i="63" s="1"/>
  <c r="B217" i="65" s="1"/>
  <c r="AG213" i="65"/>
  <c r="Y215" i="65" l="1"/>
  <c r="BA217" i="65"/>
  <c r="AZ217" i="65"/>
  <c r="AY217" i="65"/>
  <c r="AS217" i="65"/>
  <c r="AX217" i="65"/>
  <c r="AM216" i="65"/>
  <c r="AU217" i="65"/>
  <c r="AT217" i="65"/>
  <c r="U215" i="65"/>
  <c r="AH215" i="65"/>
  <c r="AC213" i="65"/>
  <c r="AD213" i="65" s="1"/>
  <c r="Q216" i="65"/>
  <c r="AB214" i="65"/>
  <c r="D216" i="65"/>
  <c r="E216" i="65" s="1"/>
  <c r="F216" i="65" s="1"/>
  <c r="G216" i="65" s="1"/>
  <c r="H216" i="65" s="1"/>
  <c r="I216" i="65" s="1"/>
  <c r="J216" i="65" s="1"/>
  <c r="K216" i="65" s="1"/>
  <c r="AP216" i="63" a="1"/>
  <c r="AP216" i="63" s="1"/>
  <c r="B218" i="65" s="1"/>
  <c r="O217" i="65"/>
  <c r="C217" i="65"/>
  <c r="P217" i="65" s="1"/>
  <c r="L217" i="65"/>
  <c r="M217" i="65" s="1"/>
  <c r="AV215" i="65"/>
  <c r="R215" i="65"/>
  <c r="S215" i="65" s="1"/>
  <c r="AF215" i="65"/>
  <c r="AE215" i="65"/>
  <c r="AG214" i="65"/>
  <c r="Y216" i="65" l="1"/>
  <c r="AZ218" i="65"/>
  <c r="BA218" i="65"/>
  <c r="AY218" i="65"/>
  <c r="AS218" i="65"/>
  <c r="AX218" i="65"/>
  <c r="AM217" i="65"/>
  <c r="AU218" i="65"/>
  <c r="AT218" i="65"/>
  <c r="U216" i="65"/>
  <c r="AH216" i="65"/>
  <c r="AC214" i="65"/>
  <c r="AD214" i="65" s="1"/>
  <c r="Q217" i="65"/>
  <c r="AB215" i="65"/>
  <c r="O218" i="65"/>
  <c r="C218" i="65"/>
  <c r="P218" i="65" s="1"/>
  <c r="L218" i="65"/>
  <c r="M218" i="65" s="1"/>
  <c r="D217" i="65"/>
  <c r="E217" i="65" s="1"/>
  <c r="F217" i="65" s="1"/>
  <c r="G217" i="65" s="1"/>
  <c r="H217" i="65" s="1"/>
  <c r="I217" i="65" s="1"/>
  <c r="J217" i="65" s="1"/>
  <c r="K217" i="65" s="1"/>
  <c r="R216" i="65"/>
  <c r="S216" i="65" s="1"/>
  <c r="AF216" i="65"/>
  <c r="AE216" i="65"/>
  <c r="AV216" i="65"/>
  <c r="AP217" i="63" a="1"/>
  <c r="AP217" i="63" s="1"/>
  <c r="B219" i="65" s="1"/>
  <c r="Y217" i="65" l="1"/>
  <c r="AZ219" i="65"/>
  <c r="BA219" i="65"/>
  <c r="AY219" i="65"/>
  <c r="AS219" i="65"/>
  <c r="AX219" i="65"/>
  <c r="AM218" i="65"/>
  <c r="AU219" i="65"/>
  <c r="AT219" i="65"/>
  <c r="U217" i="65"/>
  <c r="AH217" i="65"/>
  <c r="AC215" i="65"/>
  <c r="AD215" i="65" s="1"/>
  <c r="Q218" i="65"/>
  <c r="AG215" i="65"/>
  <c r="AB216" i="65"/>
  <c r="AP218" i="63" a="1"/>
  <c r="AP218" i="63" s="1"/>
  <c r="B220" i="65" s="1"/>
  <c r="D218" i="65"/>
  <c r="E218" i="65" s="1"/>
  <c r="F218" i="65" s="1"/>
  <c r="G218" i="65" s="1"/>
  <c r="H218" i="65" s="1"/>
  <c r="I218" i="65" s="1"/>
  <c r="J218" i="65" s="1"/>
  <c r="K218" i="65" s="1"/>
  <c r="O219" i="65"/>
  <c r="L219" i="65"/>
  <c r="M219" i="65" s="1"/>
  <c r="C219" i="65"/>
  <c r="P219" i="65" s="1"/>
  <c r="AG216" i="65"/>
  <c r="AV217" i="65"/>
  <c r="AE217" i="65"/>
  <c r="R217" i="65"/>
  <c r="S217" i="65" s="1"/>
  <c r="AF217" i="65"/>
  <c r="Y218" i="65" l="1"/>
  <c r="AZ220" i="65"/>
  <c r="BA220" i="65"/>
  <c r="AY220" i="65"/>
  <c r="AS220" i="65"/>
  <c r="AX220" i="65"/>
  <c r="AM219" i="65"/>
  <c r="AT220" i="65"/>
  <c r="AU220" i="65"/>
  <c r="U218" i="65"/>
  <c r="AH218" i="65"/>
  <c r="AC216" i="65"/>
  <c r="AD216" i="65" s="1"/>
  <c r="Q219" i="65"/>
  <c r="AB217" i="65"/>
  <c r="R218" i="65"/>
  <c r="S218" i="65" s="1"/>
  <c r="AV218" i="65"/>
  <c r="AE218" i="65"/>
  <c r="AF218" i="65"/>
  <c r="D219" i="65"/>
  <c r="E219" i="65" s="1"/>
  <c r="F219" i="65" s="1"/>
  <c r="G219" i="65" s="1"/>
  <c r="H219" i="65" s="1"/>
  <c r="I219" i="65" s="1"/>
  <c r="J219" i="65" s="1"/>
  <c r="K219" i="65" s="1"/>
  <c r="AP219" i="63" a="1"/>
  <c r="AP219" i="63" s="1"/>
  <c r="B221" i="65" s="1"/>
  <c r="L220" i="65"/>
  <c r="M220" i="65" s="1"/>
  <c r="O220" i="65"/>
  <c r="C220" i="65"/>
  <c r="P220" i="65" s="1"/>
  <c r="Y219" i="65" l="1"/>
  <c r="BA221" i="65"/>
  <c r="AZ221" i="65"/>
  <c r="AY221" i="65"/>
  <c r="AS221" i="65"/>
  <c r="AX221" i="65"/>
  <c r="AM220" i="65"/>
  <c r="AU221" i="65"/>
  <c r="AT221" i="65"/>
  <c r="U219" i="65"/>
  <c r="AH219" i="65"/>
  <c r="AC217" i="65"/>
  <c r="AD217" i="65" s="1"/>
  <c r="Q220" i="65"/>
  <c r="AG217" i="65"/>
  <c r="AG218" i="65"/>
  <c r="D220" i="65"/>
  <c r="E220" i="65" s="1"/>
  <c r="F220" i="65" s="1"/>
  <c r="G220" i="65" s="1"/>
  <c r="H220" i="65" s="1"/>
  <c r="I220" i="65" s="1"/>
  <c r="J220" i="65" s="1"/>
  <c r="K220" i="65" s="1"/>
  <c r="AP220" i="63" a="1"/>
  <c r="AP220" i="63" s="1"/>
  <c r="B222" i="65" s="1"/>
  <c r="O221" i="65"/>
  <c r="C221" i="65"/>
  <c r="P221" i="65" s="1"/>
  <c r="L221" i="65"/>
  <c r="M221" i="65" s="1"/>
  <c r="R219" i="65"/>
  <c r="S219" i="65" s="1"/>
  <c r="AV219" i="65"/>
  <c r="AE219" i="65"/>
  <c r="AF219" i="65"/>
  <c r="Y220" i="65" l="1"/>
  <c r="BA222" i="65"/>
  <c r="AY222" i="65"/>
  <c r="AZ222" i="65"/>
  <c r="AS222" i="65"/>
  <c r="AX222" i="65"/>
  <c r="AM221" i="65"/>
  <c r="AU222" i="65"/>
  <c r="AT222" i="65"/>
  <c r="U220" i="65"/>
  <c r="AH220" i="65"/>
  <c r="Q221" i="65"/>
  <c r="AB218" i="65"/>
  <c r="AB219" i="65"/>
  <c r="AP221" i="63" a="1"/>
  <c r="AP221" i="63" s="1"/>
  <c r="B223" i="65" s="1"/>
  <c r="D221" i="65"/>
  <c r="E221" i="65" s="1"/>
  <c r="F221" i="65" s="1"/>
  <c r="G221" i="65" s="1"/>
  <c r="H221" i="65" s="1"/>
  <c r="I221" i="65" s="1"/>
  <c r="J221" i="65" s="1"/>
  <c r="K221" i="65" s="1"/>
  <c r="R220" i="65"/>
  <c r="S220" i="65" s="1"/>
  <c r="AF220" i="65"/>
  <c r="AE220" i="65"/>
  <c r="AV220" i="65"/>
  <c r="L222" i="65"/>
  <c r="M222" i="65" s="1"/>
  <c r="O222" i="65"/>
  <c r="C222" i="65"/>
  <c r="P222" i="65" s="1"/>
  <c r="Y221" i="65" l="1"/>
  <c r="AZ223" i="65"/>
  <c r="BA223" i="65"/>
  <c r="AY223" i="65"/>
  <c r="AS223" i="65"/>
  <c r="AX223" i="65"/>
  <c r="AM222" i="65"/>
  <c r="AU223" i="65"/>
  <c r="AT223" i="65"/>
  <c r="U221" i="65"/>
  <c r="AH221" i="65"/>
  <c r="AC219" i="65"/>
  <c r="AD219" i="65" s="1"/>
  <c r="AC218" i="65"/>
  <c r="AD218" i="65" s="1"/>
  <c r="Q222" i="65"/>
  <c r="AG219" i="65"/>
  <c r="AB220" i="65"/>
  <c r="AP222" i="63" a="1"/>
  <c r="AP222" i="63" s="1"/>
  <c r="B224" i="65" s="1"/>
  <c r="D222" i="65"/>
  <c r="E222" i="65" s="1"/>
  <c r="F222" i="65" s="1"/>
  <c r="G222" i="65" s="1"/>
  <c r="H222" i="65" s="1"/>
  <c r="I222" i="65" s="1"/>
  <c r="J222" i="65" s="1"/>
  <c r="K222" i="65" s="1"/>
  <c r="R221" i="65"/>
  <c r="S221" i="65" s="1"/>
  <c r="AV221" i="65"/>
  <c r="AF221" i="65"/>
  <c r="AE221" i="65"/>
  <c r="AG220" i="65"/>
  <c r="O223" i="65"/>
  <c r="L223" i="65"/>
  <c r="M223" i="65" s="1"/>
  <c r="C223" i="65"/>
  <c r="P223" i="65" s="1"/>
  <c r="Y222" i="65" l="1"/>
  <c r="BA224" i="65"/>
  <c r="AY224" i="65"/>
  <c r="AZ224" i="65"/>
  <c r="AS224" i="65"/>
  <c r="AX224" i="65"/>
  <c r="AM223" i="65"/>
  <c r="AU224" i="65"/>
  <c r="AT224" i="65"/>
  <c r="U222" i="65"/>
  <c r="AH222" i="65"/>
  <c r="AC220" i="65"/>
  <c r="AD220" i="65" s="1"/>
  <c r="Q223" i="65"/>
  <c r="AB221" i="65"/>
  <c r="AP223" i="63" a="1"/>
  <c r="AP223" i="63" s="1"/>
  <c r="B225" i="65" s="1"/>
  <c r="AE222" i="65"/>
  <c r="AF222" i="65"/>
  <c r="AV222" i="65"/>
  <c r="R222" i="65"/>
  <c r="S222" i="65" s="1"/>
  <c r="D223" i="65"/>
  <c r="E223" i="65" s="1"/>
  <c r="F223" i="65" s="1"/>
  <c r="G223" i="65" s="1"/>
  <c r="H223" i="65" s="1"/>
  <c r="I223" i="65" s="1"/>
  <c r="J223" i="65" s="1"/>
  <c r="K223" i="65" s="1"/>
  <c r="C224" i="65"/>
  <c r="P224" i="65" s="1"/>
  <c r="L224" i="65"/>
  <c r="M224" i="65" s="1"/>
  <c r="O224" i="65"/>
  <c r="Y223" i="65" l="1"/>
  <c r="BA225" i="65"/>
  <c r="AZ225" i="65"/>
  <c r="AY225" i="65"/>
  <c r="AS225" i="65"/>
  <c r="AX225" i="65"/>
  <c r="AM224" i="65"/>
  <c r="AU225" i="65"/>
  <c r="AT225" i="65"/>
  <c r="U223" i="65"/>
  <c r="AH223" i="65"/>
  <c r="AC221" i="65"/>
  <c r="AD221" i="65" s="1"/>
  <c r="Q224" i="65"/>
  <c r="AG221" i="65"/>
  <c r="AB222" i="65"/>
  <c r="D224" i="65"/>
  <c r="E224" i="65" s="1"/>
  <c r="F224" i="65" s="1"/>
  <c r="G224" i="65" s="1"/>
  <c r="H224" i="65" s="1"/>
  <c r="I224" i="65" s="1"/>
  <c r="J224" i="65" s="1"/>
  <c r="K224" i="65" s="1"/>
  <c r="AP224" i="63" a="1"/>
  <c r="AP224" i="63" s="1"/>
  <c r="B226" i="65" s="1"/>
  <c r="AE223" i="65"/>
  <c r="AF223" i="65"/>
  <c r="R223" i="65"/>
  <c r="S223" i="65" s="1"/>
  <c r="AV223" i="65"/>
  <c r="L225" i="65"/>
  <c r="M225" i="65" s="1"/>
  <c r="O225" i="65"/>
  <c r="C225" i="65"/>
  <c r="P225" i="65" s="1"/>
  <c r="Y224" i="65" l="1"/>
  <c r="AZ226" i="65"/>
  <c r="BA226" i="65"/>
  <c r="AY226" i="65"/>
  <c r="AS226" i="65"/>
  <c r="AX226" i="65"/>
  <c r="AM225" i="65"/>
  <c r="AU226" i="65"/>
  <c r="AT226" i="65"/>
  <c r="U224" i="65"/>
  <c r="AH224" i="65"/>
  <c r="AC222" i="65"/>
  <c r="AD222" i="65" s="1"/>
  <c r="Q225" i="65"/>
  <c r="AG222" i="65"/>
  <c r="AB223" i="65"/>
  <c r="D225" i="65"/>
  <c r="E225" i="65" s="1"/>
  <c r="F225" i="65" s="1"/>
  <c r="G225" i="65" s="1"/>
  <c r="H225" i="65" s="1"/>
  <c r="I225" i="65" s="1"/>
  <c r="J225" i="65" s="1"/>
  <c r="K225" i="65" s="1"/>
  <c r="AV224" i="65"/>
  <c r="AE224" i="65"/>
  <c r="R224" i="65"/>
  <c r="S224" i="65" s="1"/>
  <c r="AF224" i="65"/>
  <c r="AP225" i="63" a="1"/>
  <c r="AP225" i="63" s="1"/>
  <c r="B227" i="65" s="1"/>
  <c r="L226" i="65"/>
  <c r="M226" i="65" s="1"/>
  <c r="C226" i="65"/>
  <c r="P226" i="65" s="1"/>
  <c r="O226" i="65"/>
  <c r="Y225" i="65" l="1"/>
  <c r="BA227" i="65"/>
  <c r="AZ227" i="65"/>
  <c r="AY227" i="65"/>
  <c r="AS227" i="65"/>
  <c r="AX227" i="65"/>
  <c r="AM226" i="65"/>
  <c r="AU227" i="65"/>
  <c r="AT227" i="65"/>
  <c r="U225" i="65"/>
  <c r="AH225" i="65"/>
  <c r="AC223" i="65"/>
  <c r="AD223" i="65" s="1"/>
  <c r="Q226" i="65"/>
  <c r="AG223" i="65"/>
  <c r="AB224" i="65"/>
  <c r="AG224" i="65"/>
  <c r="AP226" i="63" a="1"/>
  <c r="AP226" i="63" s="1"/>
  <c r="B228" i="65" s="1"/>
  <c r="AV225" i="65"/>
  <c r="AE225" i="65"/>
  <c r="AF225" i="65"/>
  <c r="R225" i="65"/>
  <c r="S225" i="65" s="1"/>
  <c r="D226" i="65"/>
  <c r="E226" i="65" s="1"/>
  <c r="F226" i="65" s="1"/>
  <c r="G226" i="65" s="1"/>
  <c r="H226" i="65" s="1"/>
  <c r="I226" i="65" s="1"/>
  <c r="J226" i="65" s="1"/>
  <c r="K226" i="65" s="1"/>
  <c r="L227" i="65"/>
  <c r="M227" i="65" s="1"/>
  <c r="C227" i="65"/>
  <c r="P227" i="65" s="1"/>
  <c r="O227" i="65"/>
  <c r="Y226" i="65" l="1"/>
  <c r="BA228" i="65"/>
  <c r="AZ228" i="65"/>
  <c r="AY228" i="65"/>
  <c r="AS228" i="65"/>
  <c r="AX228" i="65"/>
  <c r="AM227" i="65"/>
  <c r="AU228" i="65"/>
  <c r="AT228" i="65"/>
  <c r="U226" i="65"/>
  <c r="AH226" i="65"/>
  <c r="AC224" i="65"/>
  <c r="AD224" i="65" s="1"/>
  <c r="Q227" i="65"/>
  <c r="AB225" i="65"/>
  <c r="AP227" i="63" a="1"/>
  <c r="AP227" i="63" s="1"/>
  <c r="B229" i="65" s="1"/>
  <c r="D227" i="65"/>
  <c r="E227" i="65" s="1"/>
  <c r="F227" i="65" s="1"/>
  <c r="G227" i="65" s="1"/>
  <c r="H227" i="65" s="1"/>
  <c r="I227" i="65" s="1"/>
  <c r="J227" i="65" s="1"/>
  <c r="K227" i="65" s="1"/>
  <c r="R226" i="65"/>
  <c r="S226" i="65" s="1"/>
  <c r="AV226" i="65"/>
  <c r="AF226" i="65"/>
  <c r="AE226" i="65"/>
  <c r="C228" i="65"/>
  <c r="P228" i="65" s="1"/>
  <c r="O228" i="65"/>
  <c r="L228" i="65"/>
  <c r="M228" i="65" s="1"/>
  <c r="Y227" i="65" l="1"/>
  <c r="BA229" i="65"/>
  <c r="AY229" i="65"/>
  <c r="AZ229" i="65"/>
  <c r="AS229" i="65"/>
  <c r="AX229" i="65"/>
  <c r="AM228" i="65"/>
  <c r="AU229" i="65"/>
  <c r="AT229" i="65"/>
  <c r="U227" i="65"/>
  <c r="AH227" i="65"/>
  <c r="AC225" i="65"/>
  <c r="AD225" i="65" s="1"/>
  <c r="Q228" i="65"/>
  <c r="AB226" i="65"/>
  <c r="AG225" i="65"/>
  <c r="AV227" i="65"/>
  <c r="AE227" i="65"/>
  <c r="AF227" i="65"/>
  <c r="R227" i="65"/>
  <c r="S227" i="65" s="1"/>
  <c r="AP228" i="63" a="1"/>
  <c r="AP228" i="63" s="1"/>
  <c r="B230" i="65" s="1"/>
  <c r="D228" i="65"/>
  <c r="E228" i="65" s="1"/>
  <c r="F228" i="65" s="1"/>
  <c r="G228" i="65" s="1"/>
  <c r="H228" i="65" s="1"/>
  <c r="I228" i="65" s="1"/>
  <c r="J228" i="65" s="1"/>
  <c r="K228" i="65" s="1"/>
  <c r="O229" i="65"/>
  <c r="L229" i="65"/>
  <c r="M229" i="65" s="1"/>
  <c r="C229" i="65"/>
  <c r="P229" i="65" s="1"/>
  <c r="Y228" i="65" l="1"/>
  <c r="BA230" i="65"/>
  <c r="AY230" i="65"/>
  <c r="AZ230" i="65"/>
  <c r="AS230" i="65"/>
  <c r="AX230" i="65"/>
  <c r="AM229" i="65"/>
  <c r="AU230" i="65"/>
  <c r="AT230" i="65"/>
  <c r="U228" i="65"/>
  <c r="AH228" i="65"/>
  <c r="AC226" i="65"/>
  <c r="AD226" i="65" s="1"/>
  <c r="Q229" i="65"/>
  <c r="AG226" i="65"/>
  <c r="AB227" i="65"/>
  <c r="AP229" i="63" a="1"/>
  <c r="AP229" i="63" s="1"/>
  <c r="B231" i="65" s="1"/>
  <c r="AV228" i="65"/>
  <c r="R228" i="65"/>
  <c r="S228" i="65" s="1"/>
  <c r="AF228" i="65"/>
  <c r="AE228" i="65"/>
  <c r="C230" i="65"/>
  <c r="P230" i="65" s="1"/>
  <c r="L230" i="65"/>
  <c r="M230" i="65" s="1"/>
  <c r="O230" i="65"/>
  <c r="D229" i="65"/>
  <c r="E229" i="65" s="1"/>
  <c r="F229" i="65" s="1"/>
  <c r="G229" i="65" s="1"/>
  <c r="H229" i="65" s="1"/>
  <c r="I229" i="65" s="1"/>
  <c r="J229" i="65" s="1"/>
  <c r="K229" i="65" s="1"/>
  <c r="Y229" i="65" l="1"/>
  <c r="AZ231" i="65"/>
  <c r="BA231" i="65"/>
  <c r="AY231" i="65"/>
  <c r="AS231" i="65"/>
  <c r="AX231" i="65"/>
  <c r="AM230" i="65"/>
  <c r="AU231" i="65"/>
  <c r="AT231" i="65"/>
  <c r="U229" i="65"/>
  <c r="AH229" i="65"/>
  <c r="AC227" i="65"/>
  <c r="AD227" i="65" s="1"/>
  <c r="Q230" i="65"/>
  <c r="AG227" i="65"/>
  <c r="AG228" i="65"/>
  <c r="AP230" i="63" a="1"/>
  <c r="AP230" i="63" s="1"/>
  <c r="B232" i="65" s="1"/>
  <c r="R229" i="65"/>
  <c r="S229" i="65" s="1"/>
  <c r="AE229" i="65"/>
  <c r="AF229" i="65"/>
  <c r="AV229" i="65"/>
  <c r="D230" i="65"/>
  <c r="E230" i="65" s="1"/>
  <c r="F230" i="65" s="1"/>
  <c r="G230" i="65" s="1"/>
  <c r="H230" i="65" s="1"/>
  <c r="I230" i="65" s="1"/>
  <c r="J230" i="65" s="1"/>
  <c r="K230" i="65" s="1"/>
  <c r="O231" i="65"/>
  <c r="C231" i="65"/>
  <c r="P231" i="65" s="1"/>
  <c r="L231" i="65"/>
  <c r="M231" i="65" s="1"/>
  <c r="Y230" i="65" l="1"/>
  <c r="BA232" i="65"/>
  <c r="AZ232" i="65"/>
  <c r="AY232" i="65"/>
  <c r="AS232" i="65"/>
  <c r="AX232" i="65"/>
  <c r="AM231" i="65"/>
  <c r="AU232" i="65"/>
  <c r="AT232" i="65"/>
  <c r="U230" i="65"/>
  <c r="AH230" i="65"/>
  <c r="Q231" i="65"/>
  <c r="AB228" i="65"/>
  <c r="AB229" i="65"/>
  <c r="D231" i="65"/>
  <c r="E231" i="65" s="1"/>
  <c r="F231" i="65" s="1"/>
  <c r="G231" i="65" s="1"/>
  <c r="H231" i="65" s="1"/>
  <c r="I231" i="65" s="1"/>
  <c r="J231" i="65" s="1"/>
  <c r="K231" i="65" s="1"/>
  <c r="R230" i="65"/>
  <c r="S230" i="65" s="1"/>
  <c r="AE230" i="65"/>
  <c r="AV230" i="65"/>
  <c r="AF230" i="65"/>
  <c r="L232" i="65"/>
  <c r="M232" i="65" s="1"/>
  <c r="O232" i="65"/>
  <c r="C232" i="65"/>
  <c r="P232" i="65" s="1"/>
  <c r="AP231" i="63" a="1"/>
  <c r="AP231" i="63" s="1"/>
  <c r="B233" i="65" s="1"/>
  <c r="Y231" i="65" l="1"/>
  <c r="BA233" i="65"/>
  <c r="AZ233" i="65"/>
  <c r="AY233" i="65"/>
  <c r="AS233" i="65"/>
  <c r="AX233" i="65"/>
  <c r="AM232" i="65"/>
  <c r="AU233" i="65"/>
  <c r="AT233" i="65"/>
  <c r="U231" i="65"/>
  <c r="AH231" i="65"/>
  <c r="AC229" i="65"/>
  <c r="AD229" i="65" s="1"/>
  <c r="AC228" i="65"/>
  <c r="AD228" i="65" s="1"/>
  <c r="AB230" i="65"/>
  <c r="AG229" i="65"/>
  <c r="AG230" i="65"/>
  <c r="L233" i="65"/>
  <c r="M233" i="65" s="1"/>
  <c r="O233" i="65"/>
  <c r="C233" i="65"/>
  <c r="P233" i="65" s="1"/>
  <c r="AV231" i="65"/>
  <c r="AE231" i="65"/>
  <c r="AF231" i="65"/>
  <c r="R231" i="65"/>
  <c r="S231" i="65" s="1"/>
  <c r="D232" i="65"/>
  <c r="E232" i="65" s="1"/>
  <c r="F232" i="65" s="1"/>
  <c r="G232" i="65" s="1"/>
  <c r="H232" i="65" s="1"/>
  <c r="I232" i="65" s="1"/>
  <c r="J232" i="65" s="1"/>
  <c r="K232" i="65" s="1"/>
  <c r="AP232" i="63" a="1"/>
  <c r="AP232" i="63" s="1"/>
  <c r="B234" i="65" s="1"/>
  <c r="Y232" i="65" l="1"/>
  <c r="AZ234" i="65"/>
  <c r="BA234" i="65"/>
  <c r="AY234" i="65"/>
  <c r="AS234" i="65"/>
  <c r="AX234" i="65"/>
  <c r="AM233" i="65"/>
  <c r="AH232" i="65"/>
  <c r="Q232" i="65"/>
  <c r="AU234" i="65"/>
  <c r="AT234" i="65"/>
  <c r="U232" i="65"/>
  <c r="AC230" i="65"/>
  <c r="AD230" i="65" s="1"/>
  <c r="Q233" i="65"/>
  <c r="AB231" i="65"/>
  <c r="R232" i="65"/>
  <c r="S232" i="65" s="1"/>
  <c r="AE232" i="65"/>
  <c r="AV232" i="65"/>
  <c r="AF232" i="65"/>
  <c r="D233" i="65"/>
  <c r="E233" i="65" s="1"/>
  <c r="F233" i="65" s="1"/>
  <c r="G233" i="65" s="1"/>
  <c r="H233" i="65" s="1"/>
  <c r="I233" i="65" s="1"/>
  <c r="J233" i="65" s="1"/>
  <c r="K233" i="65" s="1"/>
  <c r="AP233" i="63" a="1"/>
  <c r="AP233" i="63" s="1"/>
  <c r="B235" i="65" s="1"/>
  <c r="O234" i="65"/>
  <c r="C234" i="65"/>
  <c r="P234" i="65" s="1"/>
  <c r="L234" i="65"/>
  <c r="M234" i="65" s="1"/>
  <c r="Y233" i="65" l="1"/>
  <c r="AZ235" i="65"/>
  <c r="BA235" i="65"/>
  <c r="AY235" i="65"/>
  <c r="AS235" i="65"/>
  <c r="AX235" i="65"/>
  <c r="AM234" i="65"/>
  <c r="AU235" i="65"/>
  <c r="AT235" i="65"/>
  <c r="U233" i="65"/>
  <c r="AH233" i="65"/>
  <c r="AC231" i="65"/>
  <c r="AD231" i="65" s="1"/>
  <c r="Q234" i="65"/>
  <c r="AG231" i="65"/>
  <c r="AG232" i="65"/>
  <c r="D234" i="65"/>
  <c r="E234" i="65" s="1"/>
  <c r="F234" i="65" s="1"/>
  <c r="G234" i="65" s="1"/>
  <c r="H234" i="65" s="1"/>
  <c r="I234" i="65" s="1"/>
  <c r="J234" i="65" s="1"/>
  <c r="K234" i="65" s="1"/>
  <c r="AV233" i="65"/>
  <c r="R233" i="65"/>
  <c r="S233" i="65" s="1"/>
  <c r="AE233" i="65"/>
  <c r="AF233" i="65"/>
  <c r="L235" i="65"/>
  <c r="M235" i="65" s="1"/>
  <c r="O235" i="65"/>
  <c r="C235" i="65"/>
  <c r="P235" i="65" s="1"/>
  <c r="AP234" i="63" a="1"/>
  <c r="AP234" i="63" s="1"/>
  <c r="B236" i="65" s="1"/>
  <c r="Y234" i="65" l="1"/>
  <c r="BA236" i="65"/>
  <c r="AZ236" i="65"/>
  <c r="AY236" i="65"/>
  <c r="AS236" i="65"/>
  <c r="AX236" i="65"/>
  <c r="AM235" i="65"/>
  <c r="AT236" i="65"/>
  <c r="AU236" i="65"/>
  <c r="U234" i="65"/>
  <c r="AH234" i="65"/>
  <c r="Q235" i="65"/>
  <c r="AB232" i="65"/>
  <c r="AB233" i="65"/>
  <c r="L236" i="65"/>
  <c r="M236" i="65" s="1"/>
  <c r="C236" i="65"/>
  <c r="P236" i="65" s="1"/>
  <c r="O236" i="65"/>
  <c r="D235" i="65"/>
  <c r="E235" i="65" s="1"/>
  <c r="F235" i="65" s="1"/>
  <c r="G235" i="65" s="1"/>
  <c r="H235" i="65" s="1"/>
  <c r="I235" i="65" s="1"/>
  <c r="J235" i="65" s="1"/>
  <c r="K235" i="65" s="1"/>
  <c r="AP235" i="63" a="1"/>
  <c r="AP235" i="63" s="1"/>
  <c r="B237" i="65" s="1"/>
  <c r="AF234" i="65"/>
  <c r="AV234" i="65"/>
  <c r="AE234" i="65"/>
  <c r="R234" i="65"/>
  <c r="S234" i="65" s="1"/>
  <c r="Y235" i="65" l="1"/>
  <c r="BA237" i="65"/>
  <c r="AZ237" i="65"/>
  <c r="AY237" i="65"/>
  <c r="AS237" i="65"/>
  <c r="AX237" i="65"/>
  <c r="AM236" i="65"/>
  <c r="AU237" i="65"/>
  <c r="AT237" i="65"/>
  <c r="U235" i="65"/>
  <c r="AH235" i="65"/>
  <c r="AC233" i="65"/>
  <c r="AD233" i="65" s="1"/>
  <c r="AC232" i="65"/>
  <c r="AD232" i="65" s="1"/>
  <c r="Q236" i="65"/>
  <c r="AB234" i="65"/>
  <c r="AG233" i="65"/>
  <c r="R235" i="65"/>
  <c r="S235" i="65" s="1"/>
  <c r="AV235" i="65"/>
  <c r="AE235" i="65"/>
  <c r="AF235" i="65"/>
  <c r="AP236" i="63" a="1"/>
  <c r="AP236" i="63" s="1"/>
  <c r="B238" i="65" s="1"/>
  <c r="D236" i="65"/>
  <c r="E236" i="65" s="1"/>
  <c r="F236" i="65" s="1"/>
  <c r="G236" i="65" s="1"/>
  <c r="H236" i="65" s="1"/>
  <c r="I236" i="65" s="1"/>
  <c r="J236" i="65" s="1"/>
  <c r="K236" i="65" s="1"/>
  <c r="C237" i="65"/>
  <c r="P237" i="65" s="1"/>
  <c r="O237" i="65"/>
  <c r="L237" i="65"/>
  <c r="M237" i="65" s="1"/>
  <c r="Y236" i="65" l="1"/>
  <c r="BA238" i="65"/>
  <c r="AY238" i="65"/>
  <c r="AZ238" i="65"/>
  <c r="AS238" i="65"/>
  <c r="AX238" i="65"/>
  <c r="AM237" i="65"/>
  <c r="AU238" i="65"/>
  <c r="AT238" i="65"/>
  <c r="U236" i="65"/>
  <c r="AH236" i="65"/>
  <c r="AC234" i="65"/>
  <c r="AD234" i="65" s="1"/>
  <c r="Q237" i="65"/>
  <c r="AG234" i="65"/>
  <c r="AB235" i="65"/>
  <c r="AG235" i="65"/>
  <c r="R236" i="65"/>
  <c r="S236" i="65" s="1"/>
  <c r="AF236" i="65"/>
  <c r="AV236" i="65"/>
  <c r="AE236" i="65"/>
  <c r="D237" i="65"/>
  <c r="E237" i="65" s="1"/>
  <c r="F237" i="65" s="1"/>
  <c r="G237" i="65" s="1"/>
  <c r="H237" i="65" s="1"/>
  <c r="I237" i="65" s="1"/>
  <c r="J237" i="65" s="1"/>
  <c r="K237" i="65" s="1"/>
  <c r="L238" i="65"/>
  <c r="M238" i="65" s="1"/>
  <c r="C238" i="65"/>
  <c r="P238" i="65" s="1"/>
  <c r="O238" i="65"/>
  <c r="AP237" i="63" a="1"/>
  <c r="AP237" i="63" s="1"/>
  <c r="B239" i="65" s="1"/>
  <c r="Y237" i="65" l="1"/>
  <c r="AZ239" i="65"/>
  <c r="AY239" i="65"/>
  <c r="BA239" i="65"/>
  <c r="AS239" i="65"/>
  <c r="AX239" i="65"/>
  <c r="AM238" i="65"/>
  <c r="AU239" i="65"/>
  <c r="AT239" i="65"/>
  <c r="U237" i="65"/>
  <c r="AH237" i="65"/>
  <c r="AC235" i="65"/>
  <c r="AD235" i="65" s="1"/>
  <c r="AG236" i="65"/>
  <c r="Q238" i="65"/>
  <c r="AP238" i="63" a="1"/>
  <c r="AP238" i="63" s="1"/>
  <c r="B240" i="65" s="1"/>
  <c r="AV237" i="65"/>
  <c r="R237" i="65"/>
  <c r="S237" i="65" s="1"/>
  <c r="AE237" i="65"/>
  <c r="AF237" i="65"/>
  <c r="L239" i="65"/>
  <c r="M239" i="65" s="1"/>
  <c r="C239" i="65"/>
  <c r="P239" i="65" s="1"/>
  <c r="O239" i="65"/>
  <c r="D238" i="65"/>
  <c r="E238" i="65" s="1"/>
  <c r="F238" i="65" s="1"/>
  <c r="G238" i="65" s="1"/>
  <c r="H238" i="65" s="1"/>
  <c r="I238" i="65" s="1"/>
  <c r="J238" i="65" s="1"/>
  <c r="K238" i="65" s="1"/>
  <c r="Y238" i="65" l="1"/>
  <c r="BA240" i="65"/>
  <c r="AY240" i="65"/>
  <c r="AZ240" i="65"/>
  <c r="AS240" i="65"/>
  <c r="AX240" i="65"/>
  <c r="AM239" i="65"/>
  <c r="AU240" i="65"/>
  <c r="AT240" i="65"/>
  <c r="AH238" i="65"/>
  <c r="Q239" i="65"/>
  <c r="AB236" i="65"/>
  <c r="AB237" i="65"/>
  <c r="R238" i="65"/>
  <c r="S238" i="65" s="1"/>
  <c r="AE238" i="65"/>
  <c r="U238" i="65"/>
  <c r="AV238" i="65"/>
  <c r="D239" i="65"/>
  <c r="E239" i="65" s="1"/>
  <c r="F239" i="65" s="1"/>
  <c r="G239" i="65" s="1"/>
  <c r="H239" i="65" s="1"/>
  <c r="I239" i="65" s="1"/>
  <c r="J239" i="65" s="1"/>
  <c r="K239" i="65" s="1"/>
  <c r="AP239" i="63" a="1"/>
  <c r="AP239" i="63" s="1"/>
  <c r="B241" i="65" s="1"/>
  <c r="L240" i="65"/>
  <c r="M240" i="65" s="1"/>
  <c r="C240" i="65"/>
  <c r="P240" i="65" s="1"/>
  <c r="O240" i="65"/>
  <c r="AB238" i="65" l="1"/>
  <c r="AC238" i="65" s="1"/>
  <c r="AD238" i="65" s="1"/>
  <c r="Y239" i="65"/>
  <c r="BA241" i="65"/>
  <c r="AZ241" i="65"/>
  <c r="AY241" i="65"/>
  <c r="AS241" i="65"/>
  <c r="AX241" i="65"/>
  <c r="AM240" i="65"/>
  <c r="AU241" i="65"/>
  <c r="AT241" i="65"/>
  <c r="U239" i="65"/>
  <c r="AH239" i="65"/>
  <c r="AC237" i="65"/>
  <c r="AD237" i="65" s="1"/>
  <c r="AC236" i="65"/>
  <c r="AD236" i="65" s="1"/>
  <c r="Q240" i="65"/>
  <c r="AG237" i="65"/>
  <c r="L241" i="65"/>
  <c r="M241" i="65" s="1"/>
  <c r="O241" i="65"/>
  <c r="C241" i="65"/>
  <c r="P241" i="65" s="1"/>
  <c r="AF239" i="65"/>
  <c r="AE239" i="65"/>
  <c r="R239" i="65"/>
  <c r="S239" i="65" s="1"/>
  <c r="AV239" i="65"/>
  <c r="AP240" i="63" a="1"/>
  <c r="AP240" i="63" s="1"/>
  <c r="B242" i="65" s="1"/>
  <c r="D240" i="65"/>
  <c r="E240" i="65" s="1"/>
  <c r="F240" i="65" s="1"/>
  <c r="G240" i="65" s="1"/>
  <c r="H240" i="65" s="1"/>
  <c r="I240" i="65" s="1"/>
  <c r="J240" i="65" s="1"/>
  <c r="K240" i="65" s="1"/>
  <c r="AF238" i="65"/>
  <c r="AG238" i="65" s="1"/>
  <c r="Y240" i="65" l="1"/>
  <c r="BA242" i="65"/>
  <c r="AZ242" i="65"/>
  <c r="AY242" i="65"/>
  <c r="AS242" i="65"/>
  <c r="AX242" i="65"/>
  <c r="AM241" i="65"/>
  <c r="AU242" i="65"/>
  <c r="AT242" i="65"/>
  <c r="U240" i="65"/>
  <c r="AH240" i="65"/>
  <c r="Q241" i="65"/>
  <c r="AB239" i="65"/>
  <c r="R240" i="65"/>
  <c r="S240" i="65" s="1"/>
  <c r="AF240" i="65"/>
  <c r="AE240" i="65"/>
  <c r="AV240" i="65"/>
  <c r="AP241" i="63" a="1"/>
  <c r="AP241" i="63" s="1"/>
  <c r="B243" i="65" s="1"/>
  <c r="D241" i="65"/>
  <c r="E241" i="65" s="1"/>
  <c r="F241" i="65" s="1"/>
  <c r="G241" i="65" s="1"/>
  <c r="H241" i="65" s="1"/>
  <c r="I241" i="65" s="1"/>
  <c r="J241" i="65" s="1"/>
  <c r="K241" i="65" s="1"/>
  <c r="O242" i="65"/>
  <c r="L242" i="65"/>
  <c r="M242" i="65" s="1"/>
  <c r="C242" i="65"/>
  <c r="P242" i="65" s="1"/>
  <c r="Y241" i="65" l="1"/>
  <c r="BA243" i="65"/>
  <c r="AZ243" i="65"/>
  <c r="AY243" i="65"/>
  <c r="AS243" i="65"/>
  <c r="AX243" i="65"/>
  <c r="AM242" i="65"/>
  <c r="AU243" i="65"/>
  <c r="AT243" i="65"/>
  <c r="U241" i="65"/>
  <c r="AH241" i="65"/>
  <c r="AC239" i="65"/>
  <c r="AD239" i="65" s="1"/>
  <c r="Q242" i="65"/>
  <c r="AG239" i="65"/>
  <c r="AB240" i="65"/>
  <c r="AE241" i="65"/>
  <c r="AV241" i="65"/>
  <c r="R241" i="65"/>
  <c r="S241" i="65" s="1"/>
  <c r="AF241" i="65"/>
  <c r="D242" i="65"/>
  <c r="E242" i="65" s="1"/>
  <c r="F242" i="65" s="1"/>
  <c r="G242" i="65" s="1"/>
  <c r="H242" i="65" s="1"/>
  <c r="I242" i="65" s="1"/>
  <c r="J242" i="65" s="1"/>
  <c r="K242" i="65" s="1"/>
  <c r="AG240" i="65"/>
  <c r="O243" i="65"/>
  <c r="C243" i="65"/>
  <c r="P243" i="65" s="1"/>
  <c r="L243" i="65"/>
  <c r="M243" i="65" s="1"/>
  <c r="AP242" i="63" a="1"/>
  <c r="AP242" i="63" s="1"/>
  <c r="B244" i="65" s="1"/>
  <c r="Y242" i="65" l="1"/>
  <c r="BA244" i="65"/>
  <c r="AZ244" i="65"/>
  <c r="AY244" i="65"/>
  <c r="AS244" i="65"/>
  <c r="AX244" i="65"/>
  <c r="AM243" i="65"/>
  <c r="AU244" i="65"/>
  <c r="AT244" i="65"/>
  <c r="U242" i="65"/>
  <c r="AH242" i="65"/>
  <c r="AC240" i="65"/>
  <c r="AD240" i="65" s="1"/>
  <c r="Q243" i="65"/>
  <c r="AG241" i="65"/>
  <c r="D243" i="65"/>
  <c r="E243" i="65" s="1"/>
  <c r="F243" i="65" s="1"/>
  <c r="G243" i="65" s="1"/>
  <c r="H243" i="65" s="1"/>
  <c r="I243" i="65" s="1"/>
  <c r="J243" i="65" s="1"/>
  <c r="K243" i="65" s="1"/>
  <c r="C244" i="65"/>
  <c r="P244" i="65" s="1"/>
  <c r="L244" i="65"/>
  <c r="M244" i="65" s="1"/>
  <c r="O244" i="65"/>
  <c r="R242" i="65"/>
  <c r="S242" i="65" s="1"/>
  <c r="AF242" i="65"/>
  <c r="AE242" i="65"/>
  <c r="AV242" i="65"/>
  <c r="AP243" i="63" a="1"/>
  <c r="AP243" i="63" s="1"/>
  <c r="B245" i="65" s="1"/>
  <c r="Y243" i="65" l="1"/>
  <c r="BA245" i="65"/>
  <c r="AY245" i="65"/>
  <c r="AZ245" i="65"/>
  <c r="AS245" i="65"/>
  <c r="AX245" i="65"/>
  <c r="AM244" i="65"/>
  <c r="AU245" i="65"/>
  <c r="AT245" i="65"/>
  <c r="U243" i="65"/>
  <c r="AH243" i="65"/>
  <c r="Q244" i="65"/>
  <c r="AB241" i="65"/>
  <c r="AB242" i="65"/>
  <c r="C245" i="65"/>
  <c r="P245" i="65" s="1"/>
  <c r="L245" i="65"/>
  <c r="M245" i="65" s="1"/>
  <c r="O245" i="65"/>
  <c r="AP244" i="63" a="1"/>
  <c r="AP244" i="63" s="1"/>
  <c r="B246" i="65" s="1"/>
  <c r="D244" i="65"/>
  <c r="E244" i="65" s="1"/>
  <c r="F244" i="65" s="1"/>
  <c r="G244" i="65" s="1"/>
  <c r="H244" i="65" s="1"/>
  <c r="I244" i="65" s="1"/>
  <c r="J244" i="65" s="1"/>
  <c r="K244" i="65" s="1"/>
  <c r="AF243" i="65"/>
  <c r="AV243" i="65"/>
  <c r="R243" i="65"/>
  <c r="S243" i="65" s="1"/>
  <c r="AE243" i="65"/>
  <c r="Y244" i="65" l="1"/>
  <c r="BA246" i="65"/>
  <c r="AY246" i="65"/>
  <c r="AZ246" i="65"/>
  <c r="AS246" i="65"/>
  <c r="AX246" i="65"/>
  <c r="AM245" i="65"/>
  <c r="AU246" i="65"/>
  <c r="AT246" i="65"/>
  <c r="U244" i="65"/>
  <c r="AH244" i="65"/>
  <c r="AC242" i="65"/>
  <c r="AD242" i="65" s="1"/>
  <c r="AC241" i="65"/>
  <c r="AD241" i="65" s="1"/>
  <c r="Q245" i="65"/>
  <c r="AB243" i="65"/>
  <c r="AG242" i="65"/>
  <c r="AV244" i="65"/>
  <c r="AF244" i="65"/>
  <c r="AE244" i="65"/>
  <c r="R244" i="65"/>
  <c r="S244" i="65" s="1"/>
  <c r="L246" i="65"/>
  <c r="M246" i="65" s="1"/>
  <c r="O246" i="65"/>
  <c r="C246" i="65"/>
  <c r="P246" i="65" s="1"/>
  <c r="AP245" i="63" a="1"/>
  <c r="AP245" i="63" s="1"/>
  <c r="B247" i="65" s="1"/>
  <c r="D245" i="65"/>
  <c r="E245" i="65" s="1"/>
  <c r="F245" i="65" s="1"/>
  <c r="G245" i="65" s="1"/>
  <c r="H245" i="65" s="1"/>
  <c r="I245" i="65" s="1"/>
  <c r="J245" i="65" s="1"/>
  <c r="K245" i="65" s="1"/>
  <c r="Y245" i="65" l="1"/>
  <c r="AZ247" i="65"/>
  <c r="AY247" i="65"/>
  <c r="BA247" i="65"/>
  <c r="AS247" i="65"/>
  <c r="AX247" i="65"/>
  <c r="AM246" i="65"/>
  <c r="AU247" i="65"/>
  <c r="AT247" i="65"/>
  <c r="U245" i="65"/>
  <c r="AH245" i="65"/>
  <c r="AC243" i="65"/>
  <c r="AD243" i="65" s="1"/>
  <c r="Q246" i="65"/>
  <c r="AG243" i="65"/>
  <c r="AB244" i="65"/>
  <c r="C247" i="65"/>
  <c r="P247" i="65" s="1"/>
  <c r="L247" i="65"/>
  <c r="M247" i="65" s="1"/>
  <c r="O247" i="65"/>
  <c r="AV245" i="65"/>
  <c r="AF245" i="65"/>
  <c r="R245" i="65"/>
  <c r="S245" i="65" s="1"/>
  <c r="AE245" i="65"/>
  <c r="D246" i="65"/>
  <c r="E246" i="65" s="1"/>
  <c r="F246" i="65" s="1"/>
  <c r="G246" i="65" s="1"/>
  <c r="H246" i="65" s="1"/>
  <c r="I246" i="65" s="1"/>
  <c r="J246" i="65" s="1"/>
  <c r="K246" i="65" s="1"/>
  <c r="AG244" i="65"/>
  <c r="AP246" i="63" a="1"/>
  <c r="AP246" i="63" s="1"/>
  <c r="B248" i="65" s="1"/>
  <c r="Y246" i="65" l="1"/>
  <c r="AY248" i="65"/>
  <c r="BA248" i="65"/>
  <c r="AZ248" i="65"/>
  <c r="AS248" i="65"/>
  <c r="AX248" i="65"/>
  <c r="AM247" i="65"/>
  <c r="AU248" i="65"/>
  <c r="AT248" i="65"/>
  <c r="U246" i="65"/>
  <c r="AH246" i="65"/>
  <c r="AC244" i="65"/>
  <c r="AD244" i="65" s="1"/>
  <c r="AB245" i="65"/>
  <c r="Q247" i="65"/>
  <c r="R246" i="65"/>
  <c r="S246" i="65" s="1"/>
  <c r="AF246" i="65"/>
  <c r="AV246" i="65"/>
  <c r="AE246" i="65"/>
  <c r="AP247" i="63" a="1"/>
  <c r="AP247" i="63" s="1"/>
  <c r="B249" i="65" s="1"/>
  <c r="C248" i="65"/>
  <c r="P248" i="65" s="1"/>
  <c r="L248" i="65"/>
  <c r="M248" i="65" s="1"/>
  <c r="O248" i="65"/>
  <c r="D247" i="65"/>
  <c r="E247" i="65" s="1"/>
  <c r="F247" i="65" s="1"/>
  <c r="G247" i="65" s="1"/>
  <c r="H247" i="65" s="1"/>
  <c r="I247" i="65" s="1"/>
  <c r="J247" i="65" s="1"/>
  <c r="K247" i="65" s="1"/>
  <c r="Y247" i="65" l="1"/>
  <c r="BA249" i="65"/>
  <c r="AZ249" i="65"/>
  <c r="AY249" i="65"/>
  <c r="AS249" i="65"/>
  <c r="AX249" i="65"/>
  <c r="AM248" i="65"/>
  <c r="AU249" i="65"/>
  <c r="AT249" i="65"/>
  <c r="U247" i="65"/>
  <c r="AH247" i="65"/>
  <c r="AC245" i="65"/>
  <c r="AD245" i="65" s="1"/>
  <c r="Q248" i="65"/>
  <c r="AG245" i="65"/>
  <c r="AG246" i="65"/>
  <c r="AE247" i="65"/>
  <c r="AV247" i="65"/>
  <c r="R247" i="65"/>
  <c r="S247" i="65" s="1"/>
  <c r="D248" i="65"/>
  <c r="E248" i="65" s="1"/>
  <c r="F248" i="65" s="1"/>
  <c r="G248" i="65" s="1"/>
  <c r="H248" i="65" s="1"/>
  <c r="I248" i="65" s="1"/>
  <c r="J248" i="65" s="1"/>
  <c r="K248" i="65" s="1"/>
  <c r="L249" i="65"/>
  <c r="M249" i="65" s="1"/>
  <c r="O249" i="65"/>
  <c r="C249" i="65"/>
  <c r="P249" i="65" s="1"/>
  <c r="AP248" i="63" a="1"/>
  <c r="AP248" i="63" s="1"/>
  <c r="B250" i="65" s="1"/>
  <c r="Y248" i="65" l="1"/>
  <c r="BA250" i="65"/>
  <c r="AZ250" i="65"/>
  <c r="AY250" i="65"/>
  <c r="AS250" i="65"/>
  <c r="AX250" i="65"/>
  <c r="AM249" i="65"/>
  <c r="AU250" i="65"/>
  <c r="AT250" i="65"/>
  <c r="U248" i="65"/>
  <c r="AH248" i="65"/>
  <c r="Q249" i="65"/>
  <c r="AB246" i="65"/>
  <c r="AB247" i="65"/>
  <c r="AF247" i="65"/>
  <c r="O250" i="65"/>
  <c r="L250" i="65"/>
  <c r="M250" i="65" s="1"/>
  <c r="C250" i="65"/>
  <c r="P250" i="65" s="1"/>
  <c r="D249" i="65"/>
  <c r="E249" i="65" s="1"/>
  <c r="F249" i="65" s="1"/>
  <c r="G249" i="65" s="1"/>
  <c r="H249" i="65" s="1"/>
  <c r="I249" i="65" s="1"/>
  <c r="J249" i="65" s="1"/>
  <c r="K249" i="65" s="1"/>
  <c r="AP249" i="63" a="1"/>
  <c r="AP249" i="63" s="1"/>
  <c r="B251" i="65" s="1"/>
  <c r="R248" i="65"/>
  <c r="S248" i="65" s="1"/>
  <c r="AE248" i="65"/>
  <c r="AF248" i="65"/>
  <c r="AV248" i="65"/>
  <c r="Y249" i="65" l="1"/>
  <c r="AZ251" i="65"/>
  <c r="BA251" i="65"/>
  <c r="AY251" i="65"/>
  <c r="AS251" i="65"/>
  <c r="AX251" i="65"/>
  <c r="AM250" i="65"/>
  <c r="AU251" i="65"/>
  <c r="AT251" i="65"/>
  <c r="U249" i="65"/>
  <c r="AH249" i="65"/>
  <c r="AC247" i="65"/>
  <c r="AD247" i="65" s="1"/>
  <c r="AC246" i="65"/>
  <c r="AD246" i="65" s="1"/>
  <c r="Q250" i="65"/>
  <c r="AG247" i="65"/>
  <c r="AB248" i="65"/>
  <c r="D250" i="65"/>
  <c r="E250" i="65" s="1"/>
  <c r="F250" i="65" s="1"/>
  <c r="G250" i="65" s="1"/>
  <c r="H250" i="65" s="1"/>
  <c r="I250" i="65" s="1"/>
  <c r="J250" i="65" s="1"/>
  <c r="K250" i="65" s="1"/>
  <c r="O251" i="65"/>
  <c r="L251" i="65"/>
  <c r="M251" i="65" s="1"/>
  <c r="C251" i="65"/>
  <c r="P251" i="65" s="1"/>
  <c r="AP250" i="63" a="1"/>
  <c r="AP250" i="63" s="1"/>
  <c r="B252" i="65" s="1"/>
  <c r="AV249" i="65"/>
  <c r="R249" i="65"/>
  <c r="S249" i="65" s="1"/>
  <c r="AE249" i="65"/>
  <c r="AF249" i="65"/>
  <c r="Y250" i="65" l="1"/>
  <c r="BA252" i="65"/>
  <c r="AZ252" i="65"/>
  <c r="AY252" i="65"/>
  <c r="AS252" i="65"/>
  <c r="AX252" i="65"/>
  <c r="AM251" i="65"/>
  <c r="AT252" i="65"/>
  <c r="AU252" i="65"/>
  <c r="U250" i="65"/>
  <c r="AH250" i="65"/>
  <c r="AC248" i="65"/>
  <c r="AD248" i="65" s="1"/>
  <c r="Q251" i="65"/>
  <c r="AG248" i="65"/>
  <c r="AB249" i="65"/>
  <c r="C252" i="65"/>
  <c r="P252" i="65" s="1"/>
  <c r="O252" i="65"/>
  <c r="L252" i="65"/>
  <c r="M252" i="65" s="1"/>
  <c r="D251" i="65"/>
  <c r="E251" i="65" s="1"/>
  <c r="F251" i="65" s="1"/>
  <c r="G251" i="65" s="1"/>
  <c r="H251" i="65" s="1"/>
  <c r="I251" i="65" s="1"/>
  <c r="J251" i="65" s="1"/>
  <c r="K251" i="65" s="1"/>
  <c r="R250" i="65"/>
  <c r="S250" i="65" s="1"/>
  <c r="AV250" i="65"/>
  <c r="AE250" i="65"/>
  <c r="AF250" i="65"/>
  <c r="AG249" i="65"/>
  <c r="AP251" i="63" a="1"/>
  <c r="AP251" i="63" s="1"/>
  <c r="B253" i="65" s="1"/>
  <c r="Y251" i="65" l="1"/>
  <c r="BA253" i="65"/>
  <c r="AZ253" i="65"/>
  <c r="AY253" i="65"/>
  <c r="AS253" i="65"/>
  <c r="AX253" i="65"/>
  <c r="AM252" i="65"/>
  <c r="AU253" i="65"/>
  <c r="AT253" i="65"/>
  <c r="U251" i="65"/>
  <c r="AH251" i="65"/>
  <c r="AC249" i="65"/>
  <c r="AD249" i="65" s="1"/>
  <c r="Q252" i="65"/>
  <c r="AG250" i="65"/>
  <c r="AE251" i="65"/>
  <c r="AF251" i="65"/>
  <c r="R251" i="65"/>
  <c r="S251" i="65" s="1"/>
  <c r="AV251" i="65"/>
  <c r="AP252" i="63" a="1"/>
  <c r="AP252" i="63" s="1"/>
  <c r="B254" i="65" s="1"/>
  <c r="L253" i="65"/>
  <c r="M253" i="65" s="1"/>
  <c r="O253" i="65"/>
  <c r="C253" i="65"/>
  <c r="P253" i="65" s="1"/>
  <c r="D252" i="65"/>
  <c r="E252" i="65" s="1"/>
  <c r="F252" i="65" s="1"/>
  <c r="G252" i="65" s="1"/>
  <c r="H252" i="65" s="1"/>
  <c r="I252" i="65" s="1"/>
  <c r="J252" i="65" s="1"/>
  <c r="K252" i="65" s="1"/>
  <c r="Y252" i="65" l="1"/>
  <c r="BA254" i="65"/>
  <c r="AZ254" i="65"/>
  <c r="AY254" i="65"/>
  <c r="AS254" i="65"/>
  <c r="AX254" i="65"/>
  <c r="AM253" i="65"/>
  <c r="AU254" i="65"/>
  <c r="AT254" i="65"/>
  <c r="U252" i="65"/>
  <c r="AH252" i="65"/>
  <c r="Q253" i="65"/>
  <c r="AB250" i="65"/>
  <c r="AB251" i="65"/>
  <c r="AE252" i="65"/>
  <c r="AV252" i="65"/>
  <c r="AF252" i="65"/>
  <c r="R252" i="65"/>
  <c r="S252" i="65" s="1"/>
  <c r="D253" i="65"/>
  <c r="E253" i="65" s="1"/>
  <c r="F253" i="65" s="1"/>
  <c r="G253" i="65" s="1"/>
  <c r="H253" i="65" s="1"/>
  <c r="I253" i="65" s="1"/>
  <c r="J253" i="65" s="1"/>
  <c r="K253" i="65" s="1"/>
  <c r="C254" i="65"/>
  <c r="P254" i="65" s="1"/>
  <c r="L254" i="65"/>
  <c r="M254" i="65" s="1"/>
  <c r="O254" i="65"/>
  <c r="AP253" i="63" a="1"/>
  <c r="AP253" i="63" s="1"/>
  <c r="B255" i="65" s="1"/>
  <c r="Y253" i="65" l="1"/>
  <c r="AZ255" i="65"/>
  <c r="BA255" i="65"/>
  <c r="AY255" i="65"/>
  <c r="AS255" i="65"/>
  <c r="AX255" i="65"/>
  <c r="AM254" i="65"/>
  <c r="AU255" i="65"/>
  <c r="AT255" i="65"/>
  <c r="U253" i="65"/>
  <c r="AH253" i="65"/>
  <c r="AC251" i="65"/>
  <c r="AD251" i="65" s="1"/>
  <c r="AC250" i="65"/>
  <c r="AD250" i="65" s="1"/>
  <c r="Q254" i="65"/>
  <c r="AG251" i="65"/>
  <c r="AB252" i="65"/>
  <c r="O255" i="65"/>
  <c r="L255" i="65"/>
  <c r="M255" i="65" s="1"/>
  <c r="C255" i="65"/>
  <c r="P255" i="65" s="1"/>
  <c r="D254" i="65"/>
  <c r="E254" i="65" s="1"/>
  <c r="F254" i="65" s="1"/>
  <c r="G254" i="65" s="1"/>
  <c r="H254" i="65" s="1"/>
  <c r="I254" i="65" s="1"/>
  <c r="J254" i="65" s="1"/>
  <c r="K254" i="65" s="1"/>
  <c r="R253" i="65"/>
  <c r="S253" i="65" s="1"/>
  <c r="AV253" i="65"/>
  <c r="AF253" i="65"/>
  <c r="AE253" i="65"/>
  <c r="AP254" i="63" a="1"/>
  <c r="AP254" i="63" s="1"/>
  <c r="B256" i="65" s="1"/>
  <c r="Y254" i="65" l="1"/>
  <c r="BA256" i="65"/>
  <c r="AZ256" i="65"/>
  <c r="AY256" i="65"/>
  <c r="AS256" i="65"/>
  <c r="AX256" i="65"/>
  <c r="AM255" i="65"/>
  <c r="AU256" i="65"/>
  <c r="AT256" i="65"/>
  <c r="U254" i="65"/>
  <c r="AH254" i="65"/>
  <c r="AC252" i="65"/>
  <c r="AD252" i="65" s="1"/>
  <c r="Q255" i="65"/>
  <c r="AG252" i="65"/>
  <c r="AB253" i="65"/>
  <c r="AP255" i="63" a="1"/>
  <c r="AP255" i="63" s="1"/>
  <c r="B257" i="65" s="1"/>
  <c r="R254" i="65"/>
  <c r="S254" i="65" s="1"/>
  <c r="AF254" i="65"/>
  <c r="AV254" i="65"/>
  <c r="AE254" i="65"/>
  <c r="D255" i="65"/>
  <c r="E255" i="65" s="1"/>
  <c r="F255" i="65" s="1"/>
  <c r="G255" i="65" s="1"/>
  <c r="H255" i="65" s="1"/>
  <c r="I255" i="65" s="1"/>
  <c r="J255" i="65" s="1"/>
  <c r="K255" i="65" s="1"/>
  <c r="L256" i="65"/>
  <c r="M256" i="65" s="1"/>
  <c r="C256" i="65"/>
  <c r="P256" i="65" s="1"/>
  <c r="O256" i="65"/>
  <c r="Y255" i="65" l="1"/>
  <c r="BA257" i="65"/>
  <c r="AZ257" i="65"/>
  <c r="AY257" i="65"/>
  <c r="AS257" i="65"/>
  <c r="F4" i="65" s="1" a="1"/>
  <c r="F4" i="65" s="1"/>
  <c r="AX257" i="65"/>
  <c r="AM256" i="65"/>
  <c r="AU257" i="65"/>
  <c r="AT257" i="65"/>
  <c r="U255" i="65"/>
  <c r="AH255" i="65"/>
  <c r="AC253" i="65"/>
  <c r="AD253" i="65" s="1"/>
  <c r="Q256" i="65"/>
  <c r="AG253" i="65"/>
  <c r="AB254" i="65"/>
  <c r="AV255" i="65"/>
  <c r="AE255" i="65"/>
  <c r="R255" i="65"/>
  <c r="S255" i="65" s="1"/>
  <c r="AF255" i="65"/>
  <c r="AG254" i="65"/>
  <c r="D256" i="65"/>
  <c r="E256" i="65" s="1"/>
  <c r="F256" i="65" s="1"/>
  <c r="G256" i="65" s="1"/>
  <c r="H256" i="65" s="1"/>
  <c r="I256" i="65" s="1"/>
  <c r="J256" i="65" s="1"/>
  <c r="K256" i="65" s="1"/>
  <c r="C257" i="65"/>
  <c r="P257" i="65" s="1"/>
  <c r="L257" i="65"/>
  <c r="M257" i="65" s="1"/>
  <c r="O257" i="65"/>
  <c r="AP256" i="63" a="1"/>
  <c r="AP256" i="63" s="1"/>
  <c r="AP257" i="63" s="1" a="1"/>
  <c r="AP257" i="63" s="1"/>
  <c r="Y256" i="65" l="1"/>
  <c r="AM257" i="65"/>
  <c r="U256" i="65"/>
  <c r="AH256" i="65"/>
  <c r="AC254" i="65"/>
  <c r="AD254" i="65" s="1"/>
  <c r="AB255" i="65"/>
  <c r="AF256" i="65"/>
  <c r="AE256" i="65"/>
  <c r="R256" i="65"/>
  <c r="S256" i="65" s="1"/>
  <c r="AV256" i="65"/>
  <c r="D257" i="65"/>
  <c r="E257" i="65" s="1"/>
  <c r="F257" i="65" s="1"/>
  <c r="G257" i="65" s="1"/>
  <c r="H257" i="65" s="1"/>
  <c r="I257" i="65" s="1"/>
  <c r="J257" i="65" s="1"/>
  <c r="K257" i="65" s="1"/>
  <c r="M174" i="22"/>
  <c r="O174" i="22" s="1"/>
  <c r="Y257" i="65" l="1"/>
  <c r="AH257" i="65"/>
  <c r="Q257" i="65"/>
  <c r="Q258" i="65" s="1"/>
  <c r="AC255" i="65"/>
  <c r="AD255" i="65" s="1"/>
  <c r="AG255" i="65"/>
  <c r="AB256" i="65"/>
  <c r="M176" i="22"/>
  <c r="O176" i="22" s="1"/>
  <c r="E167" i="36" s="1"/>
  <c r="E207" i="36" s="1"/>
  <c r="U257" i="65"/>
  <c r="M173" i="22"/>
  <c r="O173" i="22" s="1"/>
  <c r="M175" i="22"/>
  <c r="O175" i="22" s="1"/>
  <c r="AF257" i="65"/>
  <c r="AE257" i="65"/>
  <c r="R257" i="65"/>
  <c r="S257" i="65" s="1"/>
  <c r="O172" i="22"/>
  <c r="N175" i="22"/>
  <c r="P175" i="22" s="1"/>
  <c r="AV257" i="65"/>
  <c r="N176" i="22"/>
  <c r="P176" i="22" s="1"/>
  <c r="E165" i="36"/>
  <c r="Q174" i="22"/>
  <c r="AE174" i="22" s="1"/>
  <c r="AC256" i="65" l="1"/>
  <c r="AD256" i="65" s="1"/>
  <c r="AG256" i="65"/>
  <c r="G167" i="36"/>
  <c r="G207" i="36" s="1"/>
  <c r="Q176" i="22"/>
  <c r="AE176" i="22" s="1"/>
  <c r="E166" i="36"/>
  <c r="Q175" i="22"/>
  <c r="AE175" i="22" s="1"/>
  <c r="E164" i="36"/>
  <c r="Q173" i="22"/>
  <c r="AE173" i="22" s="1"/>
  <c r="AB257" i="65"/>
  <c r="AC257" i="65" s="1"/>
  <c r="F167" i="36"/>
  <c r="R176" i="22"/>
  <c r="E163" i="36"/>
  <c r="Q172" i="22"/>
  <c r="AE172" i="22" s="1"/>
  <c r="AG257" i="65"/>
  <c r="F166" i="36"/>
  <c r="R175" i="22"/>
  <c r="G165" i="36"/>
  <c r="G205" i="36" s="1"/>
  <c r="E205" i="36"/>
  <c r="AF176" i="22" l="1"/>
  <c r="E42" i="105" s="1"/>
  <c r="C42" i="105"/>
  <c r="C43" i="105" s="1"/>
  <c r="AF175" i="22"/>
  <c r="E31" i="105" s="1"/>
  <c r="F31" i="105" s="1"/>
  <c r="C31" i="105"/>
  <c r="G166" i="36"/>
  <c r="G206" i="36" s="1"/>
  <c r="E206" i="36"/>
  <c r="E204" i="36"/>
  <c r="G164" i="36"/>
  <c r="G204" i="36" s="1"/>
  <c r="H166" i="36"/>
  <c r="H206" i="36" s="1"/>
  <c r="F206" i="36"/>
  <c r="G163" i="36"/>
  <c r="G203" i="36" s="1"/>
  <c r="E203" i="36"/>
  <c r="H167" i="36"/>
  <c r="H207" i="36" s="1"/>
  <c r="F207" i="36"/>
  <c r="E43" i="105" l="1"/>
  <c r="I41" i="105" s="1"/>
  <c r="F42" i="105"/>
  <c r="AD257" i="65"/>
  <c r="J41" i="105" l="1"/>
  <c r="T172" i="22"/>
  <c r="AD172" i="22" s="1"/>
  <c r="D13" i="105" s="1"/>
  <c r="D14" i="105" s="1"/>
  <c r="H22" i="36"/>
  <c r="H31" i="36"/>
  <c r="D183" i="36" l="1"/>
  <c r="D203" i="36" s="1"/>
  <c r="H183" i="36" l="1"/>
  <c r="AW22" i="59" l="1"/>
  <c r="AW23" i="59" l="1"/>
  <c r="B23" i="59"/>
  <c r="J22" i="59"/>
  <c r="Y22" i="59" s="1"/>
  <c r="B22" i="59"/>
  <c r="AJ22" i="59"/>
  <c r="AJ23" i="59"/>
  <c r="J23" i="59"/>
  <c r="AL23" i="59"/>
  <c r="B21" i="59"/>
  <c r="AJ21" i="59"/>
  <c r="AW21" i="59"/>
  <c r="X23" i="59" l="1"/>
  <c r="T23" i="59" s="1"/>
  <c r="Y23" i="59"/>
  <c r="AL22" i="59"/>
  <c r="X22" i="59"/>
  <c r="T22" i="59" s="1"/>
  <c r="J21" i="59"/>
  <c r="Y21" i="59" s="1"/>
  <c r="AL21" i="59"/>
  <c r="AJ11" i="59"/>
  <c r="AO11" i="59" s="1" a="1"/>
  <c r="AO11" i="59" s="1"/>
  <c r="AO12" i="59" s="1" a="1"/>
  <c r="AO12" i="59" s="1"/>
  <c r="L11" i="59"/>
  <c r="AW11" i="59"/>
  <c r="I11" i="59" s="1"/>
  <c r="B11" i="59"/>
  <c r="H12" i="50"/>
  <c r="AY22" i="59" l="1"/>
  <c r="AY23" i="59"/>
  <c r="X21" i="59"/>
  <c r="T21" i="59" s="1"/>
  <c r="K12" i="50"/>
  <c r="K48" i="36"/>
  <c r="AL11" i="59"/>
  <c r="AQ11" i="59" s="1" a="1"/>
  <c r="AQ11" i="59" s="1"/>
  <c r="J11" i="59"/>
  <c r="AO13" i="59" a="1"/>
  <c r="AO13" i="59" s="1"/>
  <c r="AY21" i="59" l="1"/>
  <c r="Y11" i="59"/>
  <c r="Q11" i="59"/>
  <c r="D7" i="107" s="1"/>
  <c r="I12" i="50"/>
  <c r="T12" i="50" s="1"/>
  <c r="X11" i="59"/>
  <c r="T11" i="59" s="1"/>
  <c r="K44" i="36"/>
  <c r="K40" i="36"/>
  <c r="AQ12" i="59" a="1"/>
  <c r="AQ12" i="59" s="1"/>
  <c r="AQ13" i="59" s="1" a="1"/>
  <c r="AQ13" i="59" s="1"/>
  <c r="AO14" i="59" a="1"/>
  <c r="AO14" i="59" s="1"/>
  <c r="V20" i="22" l="1"/>
  <c r="V133" i="22"/>
  <c r="AB133" i="22" s="1"/>
  <c r="V102" i="22"/>
  <c r="V132" i="22"/>
  <c r="AB132" i="22" s="1"/>
  <c r="AY11" i="59"/>
  <c r="F7" i="107" s="1"/>
  <c r="AB17" i="22"/>
  <c r="U12" i="50"/>
  <c r="AB15" i="22"/>
  <c r="T17" i="22"/>
  <c r="T15" i="22"/>
  <c r="AB18" i="22"/>
  <c r="T76" i="22"/>
  <c r="AB76" i="22"/>
  <c r="AB61" i="22"/>
  <c r="AB101" i="22"/>
  <c r="E7" i="107"/>
  <c r="T61" i="22"/>
  <c r="AL26" i="22" s="1"/>
  <c r="D64" i="36" s="1"/>
  <c r="D83" i="36" s="1"/>
  <c r="Y259" i="59" a="1"/>
  <c r="Y259" i="59" s="1"/>
  <c r="D28" i="36" s="1"/>
  <c r="Z259" i="59"/>
  <c r="D30" i="36" s="1"/>
  <c r="X259" i="59" a="1"/>
  <c r="X259" i="59" s="1"/>
  <c r="K46" i="36"/>
  <c r="K42" i="36"/>
  <c r="V260" i="50"/>
  <c r="V259" i="32"/>
  <c r="AQ14" i="59" a="1"/>
  <c r="AQ14" i="59" s="1"/>
  <c r="AQ15" i="59" s="1" a="1"/>
  <c r="AQ15" i="59" s="1"/>
  <c r="AO15" i="59" a="1"/>
  <c r="AO15" i="59" s="1"/>
  <c r="AO16" i="59" s="1" a="1"/>
  <c r="AO16" i="59" s="1"/>
  <c r="T132" i="22" l="1"/>
  <c r="AD132" i="22" s="1"/>
  <c r="AA11" i="59"/>
  <c r="AN33" i="22"/>
  <c r="F71" i="36" s="1"/>
  <c r="F90" i="36" s="1"/>
  <c r="V19" i="22"/>
  <c r="AB19" i="22" s="1"/>
  <c r="T19" i="22"/>
  <c r="AD17" i="22"/>
  <c r="AF17" i="22" s="1"/>
  <c r="T18" i="22"/>
  <c r="AD18" i="22" s="1"/>
  <c r="BD5" i="22" s="1"/>
  <c r="AD12" i="50"/>
  <c r="AG12" i="50" s="1"/>
  <c r="AH12" i="50" s="1"/>
  <c r="AD15" i="22"/>
  <c r="AF15" i="22" s="1"/>
  <c r="Q259" i="59"/>
  <c r="AD76" i="22"/>
  <c r="AF76" i="22" s="1"/>
  <c r="L48" i="36"/>
  <c r="AD61" i="22"/>
  <c r="AN26" i="22"/>
  <c r="F64" i="36" s="1"/>
  <c r="T133" i="22"/>
  <c r="N12" i="50"/>
  <c r="T101" i="22"/>
  <c r="AD101" i="22" s="1"/>
  <c r="AF101" i="22" s="1"/>
  <c r="T52" i="22"/>
  <c r="AL25" i="22" s="1"/>
  <c r="D63" i="36" s="1"/>
  <c r="D82" i="36" s="1"/>
  <c r="C7" i="107"/>
  <c r="T135" i="22"/>
  <c r="AL34" i="22" s="1"/>
  <c r="D73" i="36" s="1"/>
  <c r="D92" i="36" s="1"/>
  <c r="L44" i="36"/>
  <c r="T259" i="59"/>
  <c r="H20" i="73" s="1"/>
  <c r="T20" i="22"/>
  <c r="T102" i="22"/>
  <c r="L46" i="36"/>
  <c r="L40" i="36"/>
  <c r="L42" i="36"/>
  <c r="AO17" i="59" a="1"/>
  <c r="AO17" i="59" s="1"/>
  <c r="AQ16" i="59" a="1"/>
  <c r="AQ16" i="59" s="1"/>
  <c r="AQ17" i="59" s="1" a="1"/>
  <c r="AQ17" i="59" s="1"/>
  <c r="AL33" i="22" l="1"/>
  <c r="D71" i="36" s="1"/>
  <c r="D90" i="36" s="1"/>
  <c r="AF132" i="22"/>
  <c r="BD148" i="22"/>
  <c r="E161" i="72" s="1"/>
  <c r="AD19" i="22"/>
  <c r="BD6" i="22" s="1"/>
  <c r="E14" i="72" s="1"/>
  <c r="AY259" i="59" a="1"/>
  <c r="AY259" i="59" s="1"/>
  <c r="AS259" i="59"/>
  <c r="BD32" i="22"/>
  <c r="E43" i="72" s="1"/>
  <c r="AK12" i="50"/>
  <c r="AL12" i="50" s="1"/>
  <c r="AI12" i="50"/>
  <c r="BD120" i="22"/>
  <c r="E132" i="72" s="1"/>
  <c r="AU11" i="59"/>
  <c r="AU259" i="59" s="1"/>
  <c r="AF18" i="22"/>
  <c r="BD105" i="22"/>
  <c r="E108" i="72" s="1"/>
  <c r="E13" i="72"/>
  <c r="BE5" i="22"/>
  <c r="AA259" i="59"/>
  <c r="H64" i="36"/>
  <c r="H83" i="36" s="1"/>
  <c r="F83" i="36"/>
  <c r="BD156" i="22"/>
  <c r="BE156" i="22" s="1"/>
  <c r="BF156" i="22" s="1"/>
  <c r="AP26" i="22"/>
  <c r="AF61" i="22"/>
  <c r="AD133" i="22"/>
  <c r="AP33" i="22" s="1"/>
  <c r="BD60" i="22"/>
  <c r="BE60" i="22" s="1"/>
  <c r="L20" i="73"/>
  <c r="B59" i="73" a="1"/>
  <c r="B59" i="73" s="1"/>
  <c r="AL28" i="22"/>
  <c r="D66" i="36" s="1"/>
  <c r="AL22" i="22"/>
  <c r="D60" i="36" s="1"/>
  <c r="AQ18" i="59" a="1"/>
  <c r="AQ18" i="59" s="1"/>
  <c r="AO18" i="59" a="1"/>
  <c r="AO18" i="59" s="1"/>
  <c r="AM12" i="50" l="1"/>
  <c r="AP12" i="50" s="1"/>
  <c r="H71" i="36"/>
  <c r="H90" i="36" s="1"/>
  <c r="BE148" i="22"/>
  <c r="F161" i="72" s="1"/>
  <c r="H161" i="72" s="1"/>
  <c r="BE32" i="22"/>
  <c r="G78" i="110" s="1"/>
  <c r="AD2" i="50"/>
  <c r="BE120" i="22"/>
  <c r="F132" i="72" s="1"/>
  <c r="H132" i="72" s="1"/>
  <c r="G48" i="110"/>
  <c r="T48" i="110" s="1"/>
  <c r="G104" i="110"/>
  <c r="BE105" i="22"/>
  <c r="BF105" i="22" s="1"/>
  <c r="F13" i="72"/>
  <c r="H13" i="72" s="1"/>
  <c r="BF5" i="22"/>
  <c r="G13" i="72" s="1"/>
  <c r="BD103" i="22"/>
  <c r="BE103" i="22" s="1"/>
  <c r="AF133" i="22"/>
  <c r="Z21" i="22"/>
  <c r="AB21" i="22" s="1"/>
  <c r="AD21" i="22" s="1"/>
  <c r="E69" i="72"/>
  <c r="BF60" i="22"/>
  <c r="G69" i="72" s="1"/>
  <c r="F69" i="72"/>
  <c r="H69" i="72" s="1"/>
  <c r="BD61" i="22"/>
  <c r="AQ19" i="59" a="1"/>
  <c r="AQ19" i="59" s="1"/>
  <c r="AO19" i="59" a="1"/>
  <c r="AO19" i="59" s="1"/>
  <c r="AP259" i="50" l="1"/>
  <c r="L24" i="73" s="1"/>
  <c r="H7" i="107"/>
  <c r="BF148" i="22"/>
  <c r="BF32" i="22"/>
  <c r="G43" i="72" s="1"/>
  <c r="F43" i="72"/>
  <c r="H43" i="72" s="1"/>
  <c r="G57" i="110"/>
  <c r="BF120" i="22"/>
  <c r="H45" i="110"/>
  <c r="F108" i="72"/>
  <c r="E115" i="72"/>
  <c r="BD84" i="22"/>
  <c r="AF21" i="22"/>
  <c r="Z20" i="22"/>
  <c r="AB20" i="22" s="1"/>
  <c r="AD20" i="22" s="1"/>
  <c r="G7" i="107"/>
  <c r="K7" i="107" s="1"/>
  <c r="BF103" i="22"/>
  <c r="F115" i="72"/>
  <c r="G113" i="72" s="1"/>
  <c r="H113" i="72" s="1"/>
  <c r="Z102" i="22"/>
  <c r="AB102" i="22" s="1"/>
  <c r="AN28" i="22" s="1"/>
  <c r="F66" i="36" s="1"/>
  <c r="Z52" i="22"/>
  <c r="AB52" i="22" s="1"/>
  <c r="Z135" i="22"/>
  <c r="AB135" i="22" s="1"/>
  <c r="AQ259" i="50"/>
  <c r="H24" i="73" s="1"/>
  <c r="E70" i="72"/>
  <c r="AQ20" i="59" a="1"/>
  <c r="AQ20" i="59" s="1"/>
  <c r="AQ21" i="59" s="1" a="1"/>
  <c r="AQ21" i="59" s="1"/>
  <c r="AO20" i="59" a="1"/>
  <c r="AO20" i="59" s="1"/>
  <c r="M7" i="107" l="1"/>
  <c r="B19" i="73" s="1" a="1"/>
  <c r="B19" i="73" s="1"/>
  <c r="H57" i="110"/>
  <c r="T57" i="110"/>
  <c r="H28" i="73"/>
  <c r="J28" i="73"/>
  <c r="G128" i="110"/>
  <c r="E93" i="72"/>
  <c r="BE84" i="22"/>
  <c r="AN22" i="22"/>
  <c r="F60" i="36" s="1"/>
  <c r="H60" i="36" s="1"/>
  <c r="BD119" i="22"/>
  <c r="AP22" i="22"/>
  <c r="AD102" i="22"/>
  <c r="AP28" i="22" s="1"/>
  <c r="H66" i="36"/>
  <c r="AN25" i="22"/>
  <c r="F63" i="36" s="1"/>
  <c r="AD52" i="22"/>
  <c r="AD135" i="22"/>
  <c r="AN34" i="22"/>
  <c r="F73" i="36" s="1"/>
  <c r="AQ22" i="59" a="1"/>
  <c r="AQ22" i="59" s="1"/>
  <c r="AQ23" i="59" s="1" a="1"/>
  <c r="AQ23" i="59" s="1"/>
  <c r="AO21" i="59"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BF84" i="22" l="1"/>
  <c r="F93" i="72"/>
  <c r="G93" i="72" s="1"/>
  <c r="H93" i="72" s="1"/>
  <c r="E131" i="72"/>
  <c r="E163" i="72" s="1"/>
  <c r="BD19" i="22"/>
  <c r="H63" i="36"/>
  <c r="H82" i="36" s="1"/>
  <c r="F82" i="36"/>
  <c r="BD46" i="22"/>
  <c r="AP25" i="22"/>
  <c r="AF52" i="22"/>
  <c r="H73" i="36"/>
  <c r="H92" i="36" s="1"/>
  <c r="F92" i="36"/>
  <c r="BD80" i="22"/>
  <c r="AF135" i="22"/>
  <c r="AP34" i="22"/>
  <c r="AQ24" i="59" a="1"/>
  <c r="AQ24" i="59" s="1"/>
  <c r="AQ25" i="59" s="1" a="1"/>
  <c r="AQ25" i="59" s="1"/>
  <c r="K28" i="73" l="1"/>
  <c r="K29" i="73"/>
  <c r="H32" i="73"/>
  <c r="H34" i="73"/>
  <c r="K30" i="73"/>
  <c r="H33" i="73"/>
  <c r="H48" i="73" s="1"/>
  <c r="H52" i="73" s="1"/>
  <c r="G123" i="110"/>
  <c r="E27" i="72"/>
  <c r="E33" i="72" s="1"/>
  <c r="E56" i="72"/>
  <c r="E83" i="72" s="1"/>
  <c r="BE46" i="22"/>
  <c r="E109" i="72"/>
  <c r="E116" i="72" s="1"/>
  <c r="BE80" i="22"/>
  <c r="AQ26" i="59" a="1"/>
  <c r="AQ26" i="59" s="1"/>
  <c r="AQ27" i="59" s="1" a="1"/>
  <c r="AQ27" i="59" s="1"/>
  <c r="AQ28" i="59" s="1" a="1"/>
  <c r="AQ28" i="59" s="1"/>
  <c r="AQ29" i="59" s="1" a="1"/>
  <c r="AQ29" i="59" s="1"/>
  <c r="AQ30" i="59" s="1" a="1"/>
  <c r="AQ30" i="59" s="1"/>
  <c r="AQ31" i="59" s="1" a="1"/>
  <c r="AQ31" i="59" s="1"/>
  <c r="AQ32" i="59" s="1" a="1"/>
  <c r="AQ32" i="59" s="1"/>
  <c r="AQ33" i="59" s="1" a="1"/>
  <c r="AQ33" i="59" s="1"/>
  <c r="AQ34" i="59" s="1" a="1"/>
  <c r="AQ34" i="59" s="1"/>
  <c r="AQ35" i="59" s="1" a="1"/>
  <c r="AQ35" i="59" s="1"/>
  <c r="AQ36" i="59" s="1" a="1"/>
  <c r="AQ36" i="59" s="1"/>
  <c r="AQ37" i="59" s="1" a="1"/>
  <c r="AQ37" i="59" s="1"/>
  <c r="AQ38" i="59" s="1" a="1"/>
  <c r="AQ38" i="59" s="1"/>
  <c r="AQ39" i="59" s="1" a="1"/>
  <c r="AQ39" i="59" s="1"/>
  <c r="AQ40" i="59" s="1" a="1"/>
  <c r="AQ40" i="59" s="1"/>
  <c r="J32" i="73" l="1"/>
  <c r="H38" i="73"/>
  <c r="H41" i="73"/>
  <c r="J34" i="73"/>
  <c r="H42" i="73"/>
  <c r="H62" i="73"/>
  <c r="H43" i="73"/>
  <c r="J33" i="73"/>
  <c r="G30" i="110"/>
  <c r="T30" i="110" s="1"/>
  <c r="G91" i="110"/>
  <c r="E130" i="110" s="1"/>
  <c r="H130" i="110" s="1"/>
  <c r="O130" i="110" s="1"/>
  <c r="P129" i="110" s="1"/>
  <c r="F56" i="72"/>
  <c r="H56" i="72" s="1"/>
  <c r="BF46" i="22"/>
  <c r="G56" i="72" s="1"/>
  <c r="F109" i="72"/>
  <c r="BF80" i="22"/>
  <c r="AQ41" i="59" a="1"/>
  <c r="AQ41" i="59" s="1"/>
  <c r="AQ42" i="59" s="1" a="1"/>
  <c r="AQ42" i="59" s="1"/>
  <c r="AQ43" i="59" s="1" a="1"/>
  <c r="AQ43" i="59" s="1"/>
  <c r="AQ44" i="59" s="1" a="1"/>
  <c r="AQ44" i="59" s="1"/>
  <c r="AQ45" i="59" s="1" a="1"/>
  <c r="AQ45" i="59" s="1"/>
  <c r="AQ46" i="59" s="1" a="1"/>
  <c r="AQ46" i="59" s="1"/>
  <c r="AQ47" i="59" s="1" a="1"/>
  <c r="AQ47" i="59" s="1"/>
  <c r="AQ48" i="59" s="1" a="1"/>
  <c r="AQ48" i="59" s="1"/>
  <c r="AQ49" i="59" s="1" a="1"/>
  <c r="AQ49" i="59" s="1"/>
  <c r="AQ50" i="59" s="1" a="1"/>
  <c r="AQ50" i="59" s="1"/>
  <c r="AQ51" i="59" s="1" a="1"/>
  <c r="AQ51" i="59" s="1"/>
  <c r="AQ52" i="59" s="1" a="1"/>
  <c r="AQ52" i="59" s="1"/>
  <c r="AQ53" i="59" s="1" a="1"/>
  <c r="AQ53" i="59" s="1"/>
  <c r="AQ54" i="59" s="1" a="1"/>
  <c r="AQ54" i="59" s="1"/>
  <c r="AQ55" i="59" s="1" a="1"/>
  <c r="AQ55" i="59" s="1"/>
  <c r="AQ56" i="59" s="1" a="1"/>
  <c r="AQ56" i="59" s="1"/>
  <c r="AQ57" i="59" s="1" a="1"/>
  <c r="AQ57" i="59" s="1"/>
  <c r="AQ58" i="59" s="1" a="1"/>
  <c r="AQ58" i="59" s="1"/>
  <c r="AQ59" i="59" s="1" a="1"/>
  <c r="AQ59" i="59" s="1"/>
  <c r="AQ60" i="59" s="1" a="1"/>
  <c r="AQ60" i="59" s="1"/>
  <c r="AQ61" i="59" s="1" a="1"/>
  <c r="AQ61" i="59" s="1"/>
  <c r="AQ62" i="59" s="1" a="1"/>
  <c r="AQ62" i="59" s="1"/>
  <c r="AQ63" i="59" s="1" a="1"/>
  <c r="AQ63" i="59" s="1"/>
  <c r="AQ64" i="59" s="1" a="1"/>
  <c r="AQ64" i="59" s="1"/>
  <c r="AQ65" i="59" s="1" a="1"/>
  <c r="AQ65" i="59" s="1"/>
  <c r="AQ66" i="59" s="1" a="1"/>
  <c r="AQ66" i="59" s="1"/>
  <c r="AQ67" i="59" s="1" a="1"/>
  <c r="AQ67" i="59" s="1"/>
  <c r="AQ68" i="59" s="1" a="1"/>
  <c r="AQ68" i="59" s="1"/>
  <c r="AQ69" i="59" s="1" a="1"/>
  <c r="AQ69" i="59" s="1"/>
  <c r="AQ70" i="59" s="1" a="1"/>
  <c r="AQ70" i="59" s="1"/>
  <c r="AQ71" i="59" s="1" a="1"/>
  <c r="AQ71" i="59" s="1"/>
  <c r="AQ72" i="59" s="1" a="1"/>
  <c r="AQ72" i="59" s="1"/>
  <c r="AQ73" i="59" s="1" a="1"/>
  <c r="AQ73" i="59" s="1"/>
  <c r="AQ74" i="59" s="1" a="1"/>
  <c r="AQ74" i="59" s="1"/>
  <c r="AQ75" i="59" s="1" a="1"/>
  <c r="AQ75" i="59" s="1"/>
  <c r="AQ76" i="59" s="1" a="1"/>
  <c r="AQ76" i="59" s="1"/>
  <c r="AQ77" i="59" s="1" a="1"/>
  <c r="AQ77" i="59" s="1"/>
  <c r="AQ78" i="59" s="1" a="1"/>
  <c r="AQ78" i="59" s="1"/>
  <c r="AQ79" i="59" s="1" a="1"/>
  <c r="AQ79" i="59" s="1"/>
  <c r="AQ80" i="59" s="1" a="1"/>
  <c r="AQ80" i="59" s="1"/>
  <c r="AQ81" i="59" s="1" a="1"/>
  <c r="AQ81" i="59" s="1"/>
  <c r="AQ82" i="59" s="1" a="1"/>
  <c r="AQ82" i="59" s="1"/>
  <c r="AQ83" i="59" s="1" a="1"/>
  <c r="AQ83" i="59" s="1"/>
  <c r="AQ84" i="59" s="1" a="1"/>
  <c r="AQ84" i="59" s="1"/>
  <c r="AQ85" i="59" s="1" a="1"/>
  <c r="AQ85" i="59" s="1"/>
  <c r="AQ86" i="59" s="1" a="1"/>
  <c r="AQ86" i="59" s="1"/>
  <c r="AQ87" i="59" s="1" a="1"/>
  <c r="AQ87" i="59" s="1"/>
  <c r="AQ88" i="59" s="1" a="1"/>
  <c r="AQ88" i="59" s="1"/>
  <c r="AQ89" i="59" s="1" a="1"/>
  <c r="AQ89" i="59" s="1"/>
  <c r="AQ90" i="59" s="1" a="1"/>
  <c r="AQ90" i="59" s="1"/>
  <c r="AQ91" i="59" s="1" a="1"/>
  <c r="AQ91" i="59" s="1"/>
  <c r="AQ92" i="59" s="1" a="1"/>
  <c r="AQ92" i="59" s="1"/>
  <c r="AQ93" i="59" s="1" a="1"/>
  <c r="AQ93" i="59" s="1"/>
  <c r="AQ94" i="59" s="1" a="1"/>
  <c r="AQ94" i="59" s="1"/>
  <c r="AQ95" i="59" s="1" a="1"/>
  <c r="AQ95" i="59" s="1"/>
  <c r="AQ96" i="59" s="1" a="1"/>
  <c r="AQ96" i="59" s="1"/>
  <c r="AQ97" i="59" s="1" a="1"/>
  <c r="AQ97" i="59" s="1"/>
  <c r="AQ98" i="59" s="1" a="1"/>
  <c r="AQ98" i="59" s="1"/>
  <c r="AQ99" i="59" s="1" a="1"/>
  <c r="AQ99" i="59" s="1"/>
  <c r="AQ100" i="59" s="1" a="1"/>
  <c r="AQ100" i="59" s="1"/>
  <c r="AQ101" i="59" s="1" a="1"/>
  <c r="AQ101" i="59" s="1"/>
  <c r="AQ102" i="59" s="1" a="1"/>
  <c r="AQ102" i="59" s="1"/>
  <c r="AQ103" i="59" s="1" a="1"/>
  <c r="AQ103" i="59" s="1"/>
  <c r="AQ104" i="59" s="1" a="1"/>
  <c r="AQ104" i="59" s="1"/>
  <c r="AQ105" i="59" s="1" a="1"/>
  <c r="AQ105" i="59" s="1"/>
  <c r="AQ106" i="59" s="1" a="1"/>
  <c r="AQ106" i="59" s="1"/>
  <c r="AQ107" i="59" s="1" a="1"/>
  <c r="AQ107" i="59" s="1"/>
  <c r="AQ108" i="59" s="1" a="1"/>
  <c r="AQ108" i="59" s="1"/>
  <c r="AQ109" i="59" s="1" a="1"/>
  <c r="AQ109" i="59" s="1"/>
  <c r="AQ110" i="59" s="1" a="1"/>
  <c r="AQ110" i="59" s="1"/>
  <c r="AQ111" i="59" s="1" a="1"/>
  <c r="AQ111" i="59" s="1"/>
  <c r="AQ112" i="59" s="1" a="1"/>
  <c r="AQ112" i="59" s="1"/>
  <c r="AQ113" i="59" s="1" a="1"/>
  <c r="AQ113" i="59" s="1"/>
  <c r="AQ114" i="59" s="1" a="1"/>
  <c r="AQ114" i="59" s="1"/>
  <c r="AQ115" i="59" s="1" a="1"/>
  <c r="AQ115" i="59" s="1"/>
  <c r="AQ116" i="59" s="1" a="1"/>
  <c r="AQ116" i="59" s="1"/>
  <c r="AQ117" i="59" s="1" a="1"/>
  <c r="AQ117" i="59" s="1"/>
  <c r="AQ118" i="59" s="1" a="1"/>
  <c r="AQ118" i="59" s="1"/>
  <c r="AQ119" i="59" s="1" a="1"/>
  <c r="AQ119" i="59" s="1"/>
  <c r="AQ120" i="59" s="1" a="1"/>
  <c r="AQ120" i="59" s="1"/>
  <c r="AQ121" i="59" s="1" a="1"/>
  <c r="AQ121" i="59" s="1"/>
  <c r="AQ122" i="59" s="1" a="1"/>
  <c r="AQ122" i="59" s="1"/>
  <c r="AQ123" i="59" s="1" a="1"/>
  <c r="AQ123" i="59" s="1"/>
  <c r="AQ124" i="59" s="1" a="1"/>
  <c r="AQ124" i="59" s="1"/>
  <c r="AQ125" i="59" s="1" a="1"/>
  <c r="AQ125" i="59" s="1"/>
  <c r="AQ126" i="59" s="1" a="1"/>
  <c r="AQ126" i="59" s="1"/>
  <c r="AQ127" i="59" s="1" a="1"/>
  <c r="AQ127" i="59" s="1"/>
  <c r="AQ128" i="59" s="1" a="1"/>
  <c r="AQ128" i="59" s="1"/>
  <c r="AQ129" i="59" s="1" a="1"/>
  <c r="AQ129" i="59" s="1"/>
  <c r="AQ130" i="59" s="1" a="1"/>
  <c r="AQ130" i="59" s="1"/>
  <c r="AQ131" i="59" s="1" a="1"/>
  <c r="AQ131" i="59" s="1"/>
  <c r="AQ132" i="59" s="1" a="1"/>
  <c r="AQ132" i="59" s="1"/>
  <c r="AQ133" i="59" s="1" a="1"/>
  <c r="AQ133" i="59" s="1"/>
  <c r="AQ134" i="59" s="1" a="1"/>
  <c r="AQ134" i="59" s="1"/>
  <c r="AQ135" i="59" s="1" a="1"/>
  <c r="AQ135" i="59" s="1"/>
  <c r="AQ136" i="59" s="1" a="1"/>
  <c r="AQ136" i="59" s="1"/>
  <c r="AQ137" i="59" s="1" a="1"/>
  <c r="AQ137" i="59" s="1"/>
  <c r="AQ138" i="59" s="1" a="1"/>
  <c r="AQ138" i="59" s="1"/>
  <c r="AQ139" i="59" s="1" a="1"/>
  <c r="AQ139" i="59" s="1"/>
  <c r="AQ140" i="59" s="1" a="1"/>
  <c r="AQ140" i="59" s="1"/>
  <c r="AQ141" i="59" s="1" a="1"/>
  <c r="AQ141" i="59" s="1"/>
  <c r="AQ142" i="59" s="1" a="1"/>
  <c r="AQ142" i="59" s="1"/>
  <c r="AQ143" i="59" s="1" a="1"/>
  <c r="AQ143" i="59" s="1"/>
  <c r="AQ144" i="59" s="1" a="1"/>
  <c r="AQ144" i="59" s="1"/>
  <c r="AQ145" i="59" s="1" a="1"/>
  <c r="AQ145" i="59" s="1"/>
  <c r="AQ146" i="59" s="1" a="1"/>
  <c r="AQ146" i="59" s="1"/>
  <c r="AQ147" i="59" s="1" a="1"/>
  <c r="AQ147" i="59" s="1"/>
  <c r="AQ148" i="59" s="1" a="1"/>
  <c r="AQ148" i="59" s="1"/>
  <c r="AQ149" i="59" s="1" a="1"/>
  <c r="AQ149" i="59" s="1"/>
  <c r="AQ150" i="59" s="1" a="1"/>
  <c r="AQ150" i="59" s="1"/>
  <c r="AQ151" i="59" s="1" a="1"/>
  <c r="AQ151" i="59" s="1"/>
  <c r="AQ152" i="59" s="1" a="1"/>
  <c r="AQ152" i="59" s="1"/>
  <c r="AQ153" i="59" s="1" a="1"/>
  <c r="AQ153" i="59" s="1"/>
  <c r="AQ154" i="59" s="1" a="1"/>
  <c r="AQ154" i="59" s="1"/>
  <c r="AQ155" i="59" s="1" a="1"/>
  <c r="AQ155" i="59" s="1"/>
  <c r="AQ156" i="59" s="1" a="1"/>
  <c r="AQ156" i="59" s="1"/>
  <c r="AQ157" i="59" s="1" a="1"/>
  <c r="AQ157" i="59" s="1"/>
  <c r="AQ158" i="59" s="1" a="1"/>
  <c r="AQ158" i="59" s="1"/>
  <c r="AQ159" i="59" s="1" a="1"/>
  <c r="AQ159" i="59" s="1"/>
  <c r="AQ160" i="59" s="1" a="1"/>
  <c r="AQ160" i="59" s="1"/>
  <c r="AQ161" i="59" s="1" a="1"/>
  <c r="AQ161" i="59" s="1"/>
  <c r="AQ162" i="59" s="1" a="1"/>
  <c r="AQ162" i="59" s="1"/>
  <c r="AQ163" i="59" s="1" a="1"/>
  <c r="AQ163" i="59" s="1"/>
  <c r="AQ164" i="59" s="1" a="1"/>
  <c r="AQ164" i="59" s="1"/>
  <c r="AQ165" i="59" s="1" a="1"/>
  <c r="AQ165" i="59" s="1"/>
  <c r="AQ166" i="59" s="1" a="1"/>
  <c r="AQ166" i="59" s="1"/>
  <c r="AQ167" i="59" s="1" a="1"/>
  <c r="AQ167" i="59" s="1"/>
  <c r="AQ168" i="59" s="1" a="1"/>
  <c r="AQ168" i="59" s="1"/>
  <c r="AQ169" i="59" s="1" a="1"/>
  <c r="AQ169" i="59" s="1"/>
  <c r="AQ170" i="59" s="1" a="1"/>
  <c r="AQ170" i="59" s="1"/>
  <c r="AQ171" i="59" s="1" a="1"/>
  <c r="AQ171" i="59" s="1"/>
  <c r="AQ172" i="59" s="1" a="1"/>
  <c r="AQ172" i="59" s="1"/>
  <c r="AQ173" i="59" s="1" a="1"/>
  <c r="AQ173" i="59" s="1"/>
  <c r="AQ174" i="59" s="1" a="1"/>
  <c r="AQ174" i="59" s="1"/>
  <c r="AQ175" i="59" s="1" a="1"/>
  <c r="AQ175" i="59" s="1"/>
  <c r="AQ176" i="59" s="1" a="1"/>
  <c r="AQ176" i="59" s="1"/>
  <c r="AQ177" i="59" s="1" a="1"/>
  <c r="AQ177" i="59" s="1"/>
  <c r="AQ178" i="59" s="1" a="1"/>
  <c r="AQ178" i="59" s="1"/>
  <c r="AQ179" i="59" s="1" a="1"/>
  <c r="AQ179" i="59" s="1"/>
  <c r="AQ180" i="59" s="1" a="1"/>
  <c r="AQ180" i="59" s="1"/>
  <c r="AQ181" i="59" s="1" a="1"/>
  <c r="AQ181" i="59" s="1"/>
  <c r="AQ182" i="59" s="1" a="1"/>
  <c r="AQ182" i="59" s="1"/>
  <c r="AQ183" i="59" s="1" a="1"/>
  <c r="AQ183" i="59" s="1"/>
  <c r="AQ184" i="59" s="1" a="1"/>
  <c r="AQ184" i="59" s="1"/>
  <c r="AQ185" i="59" s="1" a="1"/>
  <c r="AQ185" i="59" s="1"/>
  <c r="AQ186" i="59" s="1" a="1"/>
  <c r="AQ186" i="59" s="1"/>
  <c r="AQ187" i="59" s="1" a="1"/>
  <c r="AQ187" i="59" s="1"/>
  <c r="AQ188" i="59" s="1" a="1"/>
  <c r="AQ188" i="59" s="1"/>
  <c r="AQ189" i="59" s="1" a="1"/>
  <c r="AQ189" i="59" s="1"/>
  <c r="AQ190" i="59" s="1" a="1"/>
  <c r="AQ190" i="59" s="1"/>
  <c r="AQ191" i="59" s="1" a="1"/>
  <c r="AQ191" i="59" s="1"/>
  <c r="AQ192" i="59" s="1" a="1"/>
  <c r="AQ192" i="59" s="1"/>
  <c r="AQ193" i="59" s="1" a="1"/>
  <c r="AQ193" i="59" s="1"/>
  <c r="AQ194" i="59" s="1" a="1"/>
  <c r="AQ194" i="59" s="1"/>
  <c r="AQ195" i="59" s="1" a="1"/>
  <c r="AQ195" i="59" s="1"/>
  <c r="AQ196" i="59" s="1" a="1"/>
  <c r="AQ196" i="59" s="1"/>
  <c r="AQ197" i="59" s="1" a="1"/>
  <c r="AQ197" i="59" s="1"/>
  <c r="AQ198" i="59" s="1" a="1"/>
  <c r="AQ198" i="59" s="1"/>
  <c r="AQ199" i="59" s="1" a="1"/>
  <c r="AQ199" i="59" s="1"/>
  <c r="AQ200" i="59" s="1" a="1"/>
  <c r="AQ200" i="59" s="1"/>
  <c r="AQ201" i="59" s="1" a="1"/>
  <c r="AQ201" i="59" s="1"/>
  <c r="AQ202" i="59" s="1" a="1"/>
  <c r="AQ202" i="59" s="1"/>
  <c r="AQ203" i="59" s="1" a="1"/>
  <c r="AQ203" i="59" s="1"/>
  <c r="AQ204" i="59" s="1" a="1"/>
  <c r="AQ204" i="59" s="1"/>
  <c r="AQ205" i="59" s="1" a="1"/>
  <c r="AQ205" i="59" s="1"/>
  <c r="AQ206" i="59" s="1" a="1"/>
  <c r="AQ206" i="59" s="1"/>
  <c r="AQ207" i="59" s="1" a="1"/>
  <c r="AQ207" i="59" s="1"/>
  <c r="AQ208" i="59" s="1" a="1"/>
  <c r="AQ208" i="59" s="1"/>
  <c r="AQ209" i="59" s="1" a="1"/>
  <c r="AQ209" i="59" s="1"/>
  <c r="AQ210" i="59" s="1" a="1"/>
  <c r="AQ210" i="59" s="1"/>
  <c r="AQ211" i="59" s="1" a="1"/>
  <c r="AQ211" i="59" s="1"/>
  <c r="AQ212" i="59" s="1" a="1"/>
  <c r="AQ212" i="59" s="1"/>
  <c r="AQ213" i="59" s="1" a="1"/>
  <c r="AQ213" i="59" s="1"/>
  <c r="AQ214" i="59" s="1" a="1"/>
  <c r="AQ214" i="59" s="1"/>
  <c r="AQ215" i="59" s="1" a="1"/>
  <c r="AQ215" i="59" s="1"/>
  <c r="AQ216" i="59" s="1" a="1"/>
  <c r="AQ216" i="59" s="1"/>
  <c r="AQ217" i="59" s="1" a="1"/>
  <c r="AQ217" i="59" s="1"/>
  <c r="AQ218" i="59" s="1" a="1"/>
  <c r="AQ218" i="59" s="1"/>
  <c r="AQ219" i="59" s="1" a="1"/>
  <c r="AQ219" i="59" s="1"/>
  <c r="AQ220" i="59" s="1" a="1"/>
  <c r="AQ220" i="59" s="1"/>
  <c r="AQ221" i="59" s="1" a="1"/>
  <c r="AQ221" i="59" s="1"/>
  <c r="AQ222" i="59" s="1" a="1"/>
  <c r="AQ222" i="59" s="1"/>
  <c r="AQ223" i="59" s="1" a="1"/>
  <c r="AQ223" i="59" s="1"/>
  <c r="AQ224" i="59" s="1" a="1"/>
  <c r="AQ224" i="59" s="1"/>
  <c r="AQ225" i="59" s="1" a="1"/>
  <c r="AQ225" i="59" s="1"/>
  <c r="AQ226" i="59" s="1" a="1"/>
  <c r="AQ226" i="59" s="1"/>
  <c r="AQ227" i="59" s="1" a="1"/>
  <c r="AQ227" i="59" s="1"/>
  <c r="AQ228" i="59" s="1" a="1"/>
  <c r="AQ228" i="59" s="1"/>
  <c r="AQ229" i="59" s="1" a="1"/>
  <c r="AQ229" i="59" s="1"/>
  <c r="AQ230" i="59" s="1" a="1"/>
  <c r="AQ230" i="59" s="1"/>
  <c r="AQ231" i="59" s="1" a="1"/>
  <c r="AQ231" i="59" s="1"/>
  <c r="AQ232" i="59" s="1" a="1"/>
  <c r="AQ232" i="59" s="1"/>
  <c r="AQ233" i="59" s="1" a="1"/>
  <c r="AQ233" i="59" s="1"/>
  <c r="AQ234" i="59" s="1" a="1"/>
  <c r="AQ234" i="59" s="1"/>
  <c r="AQ235" i="59" s="1" a="1"/>
  <c r="AQ235" i="59" s="1"/>
  <c r="AQ236" i="59" s="1" a="1"/>
  <c r="AQ236" i="59" s="1"/>
  <c r="AQ237" i="59" s="1" a="1"/>
  <c r="AQ237" i="59" s="1"/>
  <c r="AQ238" i="59" s="1" a="1"/>
  <c r="AQ238" i="59" s="1"/>
  <c r="AQ239" i="59" s="1" a="1"/>
  <c r="AQ239" i="59" s="1"/>
  <c r="AQ240" i="59" s="1" a="1"/>
  <c r="AQ240" i="59" s="1"/>
  <c r="AQ241" i="59" s="1" a="1"/>
  <c r="AQ241" i="59" s="1"/>
  <c r="AQ242" i="59" s="1" a="1"/>
  <c r="AQ242" i="59" s="1"/>
  <c r="AQ243" i="59" s="1" a="1"/>
  <c r="AQ243" i="59" s="1"/>
  <c r="AQ244" i="59" s="1" a="1"/>
  <c r="AQ244" i="59" s="1"/>
  <c r="AQ245" i="59" s="1" a="1"/>
  <c r="AQ245" i="59" s="1"/>
  <c r="AQ246" i="59" s="1" a="1"/>
  <c r="AQ246" i="59" s="1"/>
  <c r="AQ247" i="59" s="1" a="1"/>
  <c r="AQ247" i="59" s="1"/>
  <c r="AQ248" i="59" s="1" a="1"/>
  <c r="AQ248" i="59" s="1"/>
  <c r="AQ249" i="59" s="1" a="1"/>
  <c r="AQ249" i="59" s="1"/>
  <c r="AQ250" i="59" s="1" a="1"/>
  <c r="AQ250" i="59" s="1"/>
  <c r="AQ251" i="59" s="1" a="1"/>
  <c r="AQ251" i="59" s="1"/>
  <c r="AQ252" i="59" s="1" a="1"/>
  <c r="AQ252" i="59" s="1"/>
  <c r="AQ253" i="59" s="1" a="1"/>
  <c r="AQ253" i="59" s="1"/>
  <c r="AQ254" i="59" s="1" a="1"/>
  <c r="AQ254" i="59" s="1"/>
  <c r="AQ255" i="59" s="1" a="1"/>
  <c r="AQ255" i="59" s="1"/>
  <c r="AQ256" i="59" s="1" a="1"/>
  <c r="AQ256" i="59" s="1"/>
  <c r="AQ257" i="59" s="1" a="1"/>
  <c r="AQ257" i="59" s="1"/>
  <c r="AQ258" i="59" s="1" a="1"/>
  <c r="AQ258" i="59" s="1"/>
  <c r="J62" i="73" l="1"/>
  <c r="G4" i="110"/>
  <c r="H4" i="110" s="1"/>
  <c r="H11" i="36"/>
  <c r="I3" i="55"/>
  <c r="I3" i="42"/>
  <c r="O3" i="57"/>
  <c r="O3" i="53"/>
  <c r="M3" i="58"/>
  <c r="J3" i="52"/>
  <c r="G108" i="72"/>
  <c r="O44" i="108"/>
  <c r="S44" i="108" s="1"/>
  <c r="U44" i="108" s="1"/>
  <c r="J52" i="73" l="1"/>
  <c r="H15" i="36"/>
  <c r="J4" i="52"/>
  <c r="O4" i="53"/>
  <c r="I4" i="55"/>
  <c r="I4" i="42"/>
  <c r="M4" i="58"/>
  <c r="O4" i="57"/>
  <c r="G126" i="110"/>
  <c r="H126" i="110" s="1"/>
  <c r="O126" i="110" s="1"/>
  <c r="H108" i="72"/>
  <c r="O45" i="108"/>
  <c r="S45" i="108" s="1"/>
  <c r="U45" i="108" s="1"/>
  <c r="O46" i="108" l="1"/>
  <c r="S46" i="108" l="1"/>
  <c r="U46" i="108" s="1"/>
  <c r="O47" i="108"/>
  <c r="O49" i="108" l="1"/>
  <c r="S47" i="108"/>
  <c r="U47" i="108" s="1"/>
  <c r="O48" i="108"/>
  <c r="S48" i="108" l="1"/>
  <c r="U48" i="108" s="1"/>
  <c r="O50" i="108"/>
  <c r="S49" i="108"/>
  <c r="U49" i="108" s="1"/>
  <c r="S50" i="108" l="1"/>
  <c r="U50" i="108" s="1"/>
  <c r="O51" i="108"/>
  <c r="S51" i="108" l="1"/>
  <c r="U51" i="108" s="1"/>
  <c r="O52" i="108"/>
  <c r="O53" i="108" l="1"/>
  <c r="S52" i="108"/>
  <c r="U52" i="108" s="1"/>
  <c r="S53" i="108" l="1"/>
  <c r="U53" i="108" s="1"/>
  <c r="O54" i="108"/>
  <c r="S54" i="108" s="1"/>
  <c r="U54" i="108" s="1"/>
  <c r="O55" i="108" l="1"/>
  <c r="S55" i="108" l="1"/>
  <c r="U55" i="108" s="1"/>
  <c r="O57" i="108"/>
  <c r="O56" i="108"/>
  <c r="S56" i="108" l="1"/>
  <c r="U56" i="108" s="1"/>
  <c r="S57" i="108"/>
  <c r="U57" i="108" s="1"/>
  <c r="O59" i="108"/>
  <c r="O58" i="108"/>
  <c r="S58" i="108" s="1"/>
  <c r="U58" i="108" s="1"/>
  <c r="O61" i="108" l="1"/>
  <c r="O60" i="108"/>
  <c r="S59" i="108"/>
  <c r="U59" i="108" s="1"/>
  <c r="S61" i="108" l="1"/>
  <c r="U61" i="108" s="1"/>
  <c r="S60" i="108"/>
  <c r="U60" i="108" s="1"/>
  <c r="O62" i="108"/>
  <c r="S62" i="108" l="1"/>
  <c r="U62" i="108" s="1"/>
  <c r="O63" i="108"/>
  <c r="S63" i="108" l="1"/>
  <c r="U63" i="108" s="1"/>
  <c r="O64" i="108"/>
  <c r="S64" i="108" l="1"/>
  <c r="U64" i="108" s="1"/>
  <c r="J173" i="22" l="1"/>
  <c r="J174" i="22"/>
  <c r="AB12" i="65" l="1"/>
  <c r="AC12" i="65" s="1"/>
  <c r="AF12" i="65" s="1"/>
  <c r="Y2" i="65" l="1"/>
  <c r="AD12" i="65"/>
  <c r="AG12" i="65"/>
  <c r="AH12" i="65" s="1"/>
  <c r="AM12" i="65" s="1"/>
  <c r="N172" i="22" l="1"/>
  <c r="P172" i="22" s="1"/>
  <c r="R172" i="22" s="1"/>
  <c r="N174" i="22"/>
  <c r="P174" i="22" s="1"/>
  <c r="N173" i="22"/>
  <c r="P173" i="22" s="1"/>
  <c r="AP6" i="65" l="1" a="1"/>
  <c r="AP6" i="65" s="1"/>
  <c r="F163" i="36"/>
  <c r="H163" i="36" s="1"/>
  <c r="H203" i="36" s="1"/>
  <c r="C13" i="105"/>
  <c r="C14" i="105" s="1"/>
  <c r="AF172" i="22"/>
  <c r="E13" i="105" s="1"/>
  <c r="F13" i="105" s="1"/>
  <c r="R174" i="22"/>
  <c r="F165" i="36"/>
  <c r="F164" i="36"/>
  <c r="R173" i="22"/>
  <c r="AM6" i="65" l="1"/>
  <c r="AM258" i="65" s="1"/>
  <c r="H14" i="73" s="1"/>
  <c r="H49" i="73" s="1"/>
  <c r="H53" i="73" s="1"/>
  <c r="F203" i="36"/>
  <c r="E14" i="105"/>
  <c r="I12" i="105"/>
  <c r="J12" i="105" s="1"/>
  <c r="H165" i="36"/>
  <c r="H205" i="36" s="1"/>
  <c r="F205" i="36"/>
  <c r="AF174" i="22"/>
  <c r="E30" i="105" s="1"/>
  <c r="C30" i="105"/>
  <c r="C32" i="105" s="1"/>
  <c r="AF173" i="22"/>
  <c r="E22" i="105" s="1"/>
  <c r="F22" i="105" s="1"/>
  <c r="C22" i="105"/>
  <c r="C23" i="105" s="1"/>
  <c r="H164" i="36"/>
  <c r="H204" i="36" s="1"/>
  <c r="F204" i="36"/>
  <c r="H63" i="73" l="1"/>
  <c r="J63" i="73" s="1"/>
  <c r="J18" i="73"/>
  <c r="K18" i="73" s="1"/>
  <c r="H18" i="73"/>
  <c r="H39" i="73" s="1"/>
  <c r="I29" i="105"/>
  <c r="F30" i="105"/>
  <c r="I30" i="105"/>
  <c r="J30" i="105" s="1"/>
  <c r="E23" i="105"/>
  <c r="I21" i="105" s="1"/>
  <c r="J21" i="105" s="1"/>
  <c r="I13" i="105"/>
  <c r="G5" i="105"/>
  <c r="E32" i="105"/>
  <c r="G5" i="110" l="1"/>
  <c r="H5" i="110" s="1"/>
  <c r="P3" i="65"/>
  <c r="K3" i="67"/>
  <c r="I3" i="63"/>
  <c r="M4" i="64"/>
  <c r="P4" i="69"/>
  <c r="L3" i="68"/>
  <c r="J53" i="73"/>
  <c r="H12" i="36"/>
  <c r="G7" i="105"/>
  <c r="J29" i="105"/>
  <c r="I42" i="105"/>
  <c r="F157" i="110"/>
  <c r="J13" i="105"/>
  <c r="I22" i="105"/>
  <c r="F158" i="110" s="1"/>
  <c r="F159" i="110"/>
  <c r="K4" i="67" l="1"/>
  <c r="H16" i="36"/>
  <c r="I4" i="63"/>
  <c r="M5" i="64"/>
  <c r="L4" i="68"/>
  <c r="P4" i="65"/>
  <c r="P5" i="69"/>
  <c r="G8" i="105"/>
  <c r="J42" i="105"/>
  <c r="G6" i="105"/>
  <c r="J22" i="105"/>
  <c r="F160" i="110"/>
  <c r="G157" i="110" l="1"/>
  <c r="I5" i="63" a="1"/>
  <c r="I5" i="63" s="1"/>
  <c r="K5" i="67" a="1"/>
  <c r="K5" i="67" s="1"/>
  <c r="P6" i="69" a="1"/>
  <c r="P6" i="69" s="1"/>
  <c r="L5" i="68" a="1"/>
  <c r="L5" i="68" s="1"/>
  <c r="P5" i="65" a="1"/>
  <c r="P5" i="65" s="1"/>
  <c r="M6" i="64" a="1"/>
  <c r="M6" i="64" s="1"/>
  <c r="U259" i="11"/>
  <c r="D25" i="36" s="1"/>
  <c r="X11" i="11" l="1"/>
  <c r="AT11" i="11"/>
  <c r="H20" i="22" s="1"/>
  <c r="P20" i="22" s="1"/>
  <c r="H102" i="22"/>
  <c r="P102" i="22" s="1"/>
  <c r="F102" i="22"/>
  <c r="AL11" i="22" s="1"/>
  <c r="D46" i="36" s="1"/>
  <c r="D85" i="36" s="1"/>
  <c r="F19" i="22"/>
  <c r="AL5" i="22" s="1"/>
  <c r="D40" i="36" s="1"/>
  <c r="D79" i="36" s="1"/>
  <c r="Q259" i="11"/>
  <c r="D22" i="36" s="1"/>
  <c r="R20" i="22" l="1"/>
  <c r="AZ119" i="22"/>
  <c r="J92" i="22"/>
  <c r="AX54" i="22" s="1"/>
  <c r="J20" i="22"/>
  <c r="AX119" i="22" s="1"/>
  <c r="H7" i="22"/>
  <c r="P7" i="22" s="1"/>
  <c r="AZ83" i="22" s="1"/>
  <c r="H92" i="22"/>
  <c r="P92" i="22" s="1"/>
  <c r="B58" i="73" a="1"/>
  <c r="B58" i="73" s="1"/>
  <c r="F2" i="73" s="1"/>
  <c r="J7" i="22"/>
  <c r="AX83" i="22" s="1"/>
  <c r="J102" i="22"/>
  <c r="AX19" i="22" s="1"/>
  <c r="AZ19" i="22"/>
  <c r="R102" i="22"/>
  <c r="H8" i="73"/>
  <c r="E61" i="73" s="1"/>
  <c r="J19" i="22"/>
  <c r="AX6" i="22" s="1"/>
  <c r="AQ11" i="11"/>
  <c r="AQ259" i="11" s="1"/>
  <c r="X259" i="11"/>
  <c r="D31" i="36" s="1"/>
  <c r="H19" i="22"/>
  <c r="BB119" i="22" l="1"/>
  <c r="AF20" i="22"/>
  <c r="AN4" i="22"/>
  <c r="F39" i="36" s="1"/>
  <c r="F78" i="36" s="1"/>
  <c r="R7" i="22"/>
  <c r="AF7" i="22" s="1"/>
  <c r="AZ54" i="22"/>
  <c r="R92" i="22"/>
  <c r="AP11" i="22" s="1"/>
  <c r="AN11" i="22"/>
  <c r="F46" i="36" s="1"/>
  <c r="BB61" i="22"/>
  <c r="BB19" i="22"/>
  <c r="AF102" i="22"/>
  <c r="P19" i="22"/>
  <c r="R19" i="22" s="1"/>
  <c r="AT259" i="11"/>
  <c r="H12" i="73" s="1"/>
  <c r="H47" i="73" s="1"/>
  <c r="H51" i="73" s="1"/>
  <c r="F61" i="73"/>
  <c r="E3" i="110"/>
  <c r="D131" i="72" l="1"/>
  <c r="D163" i="72" s="1"/>
  <c r="BE119" i="22"/>
  <c r="H61" i="73"/>
  <c r="J61" i="73" s="1"/>
  <c r="AP4" i="22"/>
  <c r="BB83" i="22"/>
  <c r="D92" i="72" s="1"/>
  <c r="D116" i="72" s="1"/>
  <c r="H39" i="36"/>
  <c r="H78" i="36" s="1"/>
  <c r="H46" i="36"/>
  <c r="H85" i="36" s="1"/>
  <c r="F85" i="36"/>
  <c r="BB54" i="22"/>
  <c r="AF92" i="22"/>
  <c r="D27" i="72"/>
  <c r="BE19" i="22"/>
  <c r="D70" i="72"/>
  <c r="BE61" i="22"/>
  <c r="AZ6" i="22"/>
  <c r="AN5" i="22"/>
  <c r="F40" i="36" s="1"/>
  <c r="H40" i="36" s="1"/>
  <c r="H79" i="36" s="1"/>
  <c r="J16" i="73"/>
  <c r="K16" i="73" s="1"/>
  <c r="H16" i="73"/>
  <c r="H37" i="73" s="1"/>
  <c r="F3" i="110"/>
  <c r="AP5" i="22"/>
  <c r="BB6" i="22"/>
  <c r="AF19" i="22"/>
  <c r="F131" i="72" l="1"/>
  <c r="BF119" i="22"/>
  <c r="BE83" i="22"/>
  <c r="F92" i="72" s="1"/>
  <c r="D64" i="72"/>
  <c r="D83" i="72" s="1"/>
  <c r="BE54" i="22"/>
  <c r="G38" i="110"/>
  <c r="T38" i="110" s="1"/>
  <c r="G105" i="110"/>
  <c r="E128" i="110" s="1"/>
  <c r="H128" i="110" s="1"/>
  <c r="O128" i="110" s="1"/>
  <c r="F70" i="72"/>
  <c r="BF61" i="22"/>
  <c r="G70" i="72" s="1"/>
  <c r="BF19" i="22"/>
  <c r="G27" i="72" s="1"/>
  <c r="F27" i="72"/>
  <c r="F79" i="36"/>
  <c r="J51" i="73"/>
  <c r="T3" i="32"/>
  <c r="L3" i="11"/>
  <c r="K3" i="46"/>
  <c r="L3" i="71"/>
  <c r="M3" i="59"/>
  <c r="H10" i="36"/>
  <c r="T3" i="50"/>
  <c r="D14" i="72"/>
  <c r="D33" i="72" s="1"/>
  <c r="BE6" i="22"/>
  <c r="G3" i="110"/>
  <c r="H3" i="110" s="1"/>
  <c r="H131" i="72" l="1"/>
  <c r="F163" i="72"/>
  <c r="K124" i="72" s="1"/>
  <c r="BF83" i="22"/>
  <c r="G34" i="110"/>
  <c r="F64" i="72"/>
  <c r="H64" i="72" s="1"/>
  <c r="G99" i="110"/>
  <c r="E127" i="110" s="1"/>
  <c r="H127" i="110" s="1"/>
  <c r="BF54" i="22"/>
  <c r="G64" i="72" s="1"/>
  <c r="G83" i="72" s="1"/>
  <c r="K41" i="72" s="1"/>
  <c r="G89" i="72"/>
  <c r="F116" i="72"/>
  <c r="H27" i="72"/>
  <c r="H70" i="72"/>
  <c r="K4" i="46"/>
  <c r="H14" i="36"/>
  <c r="M4" i="59"/>
  <c r="L4" i="11"/>
  <c r="T4" i="50"/>
  <c r="T4" i="32"/>
  <c r="L4" i="71"/>
  <c r="F14" i="72"/>
  <c r="BF6" i="22"/>
  <c r="G14" i="72" s="1"/>
  <c r="G33" i="72" s="1"/>
  <c r="I127" i="110" l="1"/>
  <c r="O127" i="110"/>
  <c r="P127" i="110" s="1"/>
  <c r="H27" i="110"/>
  <c r="T34" i="110"/>
  <c r="D138" i="110"/>
  <c r="L124" i="72"/>
  <c r="K40" i="72"/>
  <c r="L40" i="72" s="1"/>
  <c r="F83" i="72"/>
  <c r="L41" i="72"/>
  <c r="G6" i="72"/>
  <c r="G122" i="110"/>
  <c r="H122" i="110" s="1"/>
  <c r="O122" i="110" s="1"/>
  <c r="H89" i="72"/>
  <c r="K88" i="72"/>
  <c r="K89" i="72"/>
  <c r="L89" i="72" s="1"/>
  <c r="K13" i="72"/>
  <c r="G5" i="72"/>
  <c r="F33" i="72"/>
  <c r="K12" i="72"/>
  <c r="E123" i="110"/>
  <c r="H123" i="110" s="1"/>
  <c r="O123" i="110" s="1"/>
  <c r="H14" i="72"/>
  <c r="P122" i="110" l="1"/>
  <c r="F13" i="110"/>
  <c r="G13" i="110" s="1"/>
  <c r="F11" i="110"/>
  <c r="G11" i="110" s="1"/>
  <c r="F14" i="110"/>
  <c r="G14" i="110" s="1"/>
  <c r="F15" i="110"/>
  <c r="G15" i="110" s="1"/>
  <c r="D11" i="109" s="1"/>
  <c r="L88" i="72"/>
  <c r="E138" i="110"/>
  <c r="E16" i="110"/>
  <c r="C15" i="109"/>
  <c r="G18" i="110"/>
  <c r="G7" i="72"/>
  <c r="K90" i="72"/>
  <c r="L12" i="72"/>
  <c r="H133" i="110"/>
  <c r="I129" i="110" s="1"/>
  <c r="J129" i="110" s="1"/>
  <c r="K129" i="110" s="1"/>
  <c r="M129" i="110" s="1"/>
  <c r="Q129" i="110" s="1"/>
  <c r="I122" i="110"/>
  <c r="L13" i="72"/>
  <c r="H18" i="110"/>
  <c r="F12" i="110" l="1"/>
  <c r="G12" i="110" s="1"/>
  <c r="H14" i="110"/>
  <c r="D10" i="109"/>
  <c r="E10" i="109" s="1"/>
  <c r="D9" i="109"/>
  <c r="E9" i="109" s="1"/>
  <c r="H11" i="110"/>
  <c r="D7" i="109"/>
  <c r="E7" i="109" s="1"/>
  <c r="E11" i="109"/>
  <c r="H15" i="110"/>
  <c r="H13" i="110"/>
  <c r="L90" i="72"/>
  <c r="K91" i="72"/>
  <c r="J122" i="110"/>
  <c r="I133" i="110"/>
  <c r="J127" i="110" s="1"/>
  <c r="K127" i="110" s="1"/>
  <c r="M127" i="110" s="1"/>
  <c r="Q127" i="110" s="1"/>
  <c r="F10" i="110" l="1"/>
  <c r="R131" i="110"/>
  <c r="T131" i="110" s="1"/>
  <c r="R130" i="110"/>
  <c r="T130" i="110" s="1"/>
  <c r="R129" i="110"/>
  <c r="T129" i="110" s="1"/>
  <c r="D8" i="109"/>
  <c r="E8" i="109" s="1"/>
  <c r="H12" i="110"/>
  <c r="J133" i="110"/>
  <c r="K122" i="110" s="1"/>
  <c r="K125" i="72"/>
  <c r="L91" i="72"/>
  <c r="R127" i="110" l="1"/>
  <c r="T127" i="110" s="1"/>
  <c r="R128" i="110"/>
  <c r="T128" i="110" s="1"/>
  <c r="G10" i="110"/>
  <c r="D6" i="109" s="1"/>
  <c r="M122" i="110"/>
  <c r="Q122" i="110" s="1"/>
  <c r="K133" i="110"/>
  <c r="F138" i="110" s="1"/>
  <c r="G138" i="110" s="1"/>
  <c r="G8" i="72"/>
  <c r="L125" i="72"/>
  <c r="R124" i="110" l="1"/>
  <c r="T124" i="110" s="1"/>
  <c r="R125" i="110"/>
  <c r="T125" i="110" s="1"/>
  <c r="R123" i="110"/>
  <c r="T123" i="110" s="1"/>
  <c r="R126" i="110"/>
  <c r="T126" i="110" s="1"/>
  <c r="R122" i="110"/>
  <c r="T122" i="110" s="1"/>
  <c r="F9" i="110"/>
  <c r="G9" i="110" s="1"/>
  <c r="E6" i="109"/>
  <c r="H10" i="110"/>
  <c r="T5" i="32" a="1"/>
  <c r="T5" i="32" s="1"/>
  <c r="K5" i="46" a="1"/>
  <c r="K5" i="46" s="1"/>
  <c r="M5" i="59" a="1"/>
  <c r="M5" i="59" s="1"/>
  <c r="F55" i="73" a="1"/>
  <c r="F55" i="73" s="1"/>
  <c r="L5" i="71" a="1"/>
  <c r="L5" i="71" s="1"/>
  <c r="T5" i="50" a="1"/>
  <c r="T5" i="50" s="1"/>
  <c r="L5" i="11" a="1"/>
  <c r="L5" i="11" s="1"/>
  <c r="B94" i="73" l="1" a="1"/>
  <c r="B94" i="73" s="1"/>
  <c r="D5" i="109"/>
  <c r="E5" i="109" s="1"/>
  <c r="H9" i="1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<sst xmlns="http://schemas.openxmlformats.org/spreadsheetml/2006/main" count="8519" uniqueCount="1812">
  <si>
    <t>Project details</t>
  </si>
  <si>
    <t>Planning authority:</t>
  </si>
  <si>
    <t>Project name:</t>
  </si>
  <si>
    <t>Applicant:</t>
  </si>
  <si>
    <t>Application type:</t>
  </si>
  <si>
    <t>Planning application reference:</t>
  </si>
  <si>
    <t>Completed by:</t>
  </si>
  <si>
    <t>Date of metric completion:</t>
  </si>
  <si>
    <t>Reviewer:</t>
  </si>
  <si>
    <t>Calculation iteration:</t>
  </si>
  <si>
    <t>Planning authority reviewer:</t>
  </si>
  <si>
    <t>Date of planning authority review:</t>
  </si>
  <si>
    <t>Target % net gain:</t>
  </si>
  <si>
    <t>Irreplaceable habitat present at baseline:</t>
  </si>
  <si>
    <t>Total site area - including irreplaceable habitat area (hectares):</t>
  </si>
  <si>
    <t>Irreplaceable habitat site area (hectares):</t>
  </si>
  <si>
    <t>Total off-site area - including irreplaceable habitat area (hectares):</t>
  </si>
  <si>
    <t>Irreplaceable habitat area off-site (hectares):</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</si>
  <si>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</si>
  <si>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</si>
  <si>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</si>
  <si>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</si>
  <si>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</si>
  <si>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</si>
  <si>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</si>
  <si>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</si>
  <si>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</si>
  <si>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</si>
  <si>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</si>
  <si>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</si>
  <si>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</si>
  <si>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</si>
  <si>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Tree helper</t>
  </si>
  <si>
    <t>Tree size</t>
  </si>
  <si>
    <t>Number of trees and area (ha) for each condition state</t>
  </si>
  <si>
    <t xml:space="preserve">Poor </t>
  </si>
  <si>
    <t>Area</t>
  </si>
  <si>
    <t>Moderate</t>
  </si>
  <si>
    <t>Good</t>
  </si>
  <si>
    <t>Small</t>
  </si>
  <si>
    <t>Medium</t>
  </si>
  <si>
    <t>Large</t>
  </si>
  <si>
    <t>Very large</t>
  </si>
  <si>
    <t>Total</t>
  </si>
  <si>
    <t>Target</t>
  </si>
  <si>
    <t>Baseline Units</t>
  </si>
  <si>
    <t>Required Units</t>
  </si>
  <si>
    <t xml:space="preserve">Unit Deficit </t>
  </si>
  <si>
    <t>Area habitats</t>
  </si>
  <si>
    <t>Hedgerows</t>
  </si>
  <si>
    <t>Watercourses</t>
  </si>
  <si>
    <t>Tier</t>
  </si>
  <si>
    <t>Unit Shortfall by Tier</t>
  </si>
  <si>
    <t>Unit Shortfall by Tier (SRM Included)</t>
  </si>
  <si>
    <t>A1</t>
  </si>
  <si>
    <t>A2</t>
  </si>
  <si>
    <t>A3</t>
  </si>
  <si>
    <t>A4</t>
  </si>
  <si>
    <t>A5</t>
  </si>
  <si>
    <t>H</t>
  </si>
  <si>
    <t>W</t>
  </si>
  <si>
    <t>VH</t>
  </si>
  <si>
    <t xml:space="preserve">Habitat </t>
  </si>
  <si>
    <t>Habitat Group</t>
  </si>
  <si>
    <t xml:space="preserve">Net Gains </t>
  </si>
  <si>
    <t>Net Losses</t>
  </si>
  <si>
    <t>All Very High Distinctiveness Habitats</t>
  </si>
  <si>
    <t>Various</t>
  </si>
  <si>
    <t>Unit Change</t>
  </si>
  <si>
    <t>Losses in Tier</t>
  </si>
  <si>
    <t>HIGH</t>
  </si>
  <si>
    <t>Lakes - High alkalinity lakes</t>
  </si>
  <si>
    <t>Lakes</t>
  </si>
  <si>
    <t>Lakes - Low alkalinity lakes</t>
  </si>
  <si>
    <t>Lakes - Marl lakes</t>
  </si>
  <si>
    <t>Lakes - Moderate alkalinity lakes</t>
  </si>
  <si>
    <t>Lakes - Peat lakes</t>
  </si>
  <si>
    <t>Grassland - Floodplain wetland mosaic and CFGM</t>
  </si>
  <si>
    <t>Grassland</t>
  </si>
  <si>
    <t>Lakes - Ponds (priority habitat)</t>
  </si>
  <si>
    <t>Lakes - Temporary lakes ponds and pools (H3170)</t>
  </si>
  <si>
    <t>Sparsely vegetated land - Coastal sand dunes</t>
  </si>
  <si>
    <t>Sparsely vegetated land</t>
  </si>
  <si>
    <t>Sparsely vegetated land - Coastal vegetated shingle</t>
  </si>
  <si>
    <t>Sparsely vegetated land - Inland rock outcrop and scree habitats</t>
  </si>
  <si>
    <t>Sparsely vegetated land - Maritime cliff and slopes</t>
  </si>
  <si>
    <t>Woodland and forest - Lowland mixed deciduous woodland</t>
  </si>
  <si>
    <t>Woodland and forest</t>
  </si>
  <si>
    <t>Woodland and forest - Native pine woodlands</t>
  </si>
  <si>
    <t>Woodland and forest - Upland mixed ashwoods</t>
  </si>
  <si>
    <t>Woodland and forest - Upland oakwood</t>
  </si>
  <si>
    <t>Coastal lagoons - Coastal lagoons</t>
  </si>
  <si>
    <t>Coastal lagoons</t>
  </si>
  <si>
    <t>Rocky shore - High energy littoral rock</t>
  </si>
  <si>
    <t>Rocky shore</t>
  </si>
  <si>
    <t>Rocky shore - Moderate energy littoral rock</t>
  </si>
  <si>
    <t>Rocky shore - Low energy littoral rock</t>
  </si>
  <si>
    <t>Rocky shore - Features of littoral rock</t>
  </si>
  <si>
    <t>Coastal saltmarsh - Saltmarshes and saline reedbeds</t>
  </si>
  <si>
    <t>Coastal saltmarsh</t>
  </si>
  <si>
    <t>Woodland and forest - Felled./Replacement for felled woodland</t>
  </si>
  <si>
    <t>Woodland and forest - Lowland beech and yew woodland</t>
  </si>
  <si>
    <t>Woodland and forest - Upland birchwoods</t>
  </si>
  <si>
    <t>Woodland and forest - Wet woodland</t>
  </si>
  <si>
    <t>Intertidal sediment - Littoral mud</t>
  </si>
  <si>
    <t>Intertidal sediment</t>
  </si>
  <si>
    <t>Intertidal sediment - Littoral mixed sediments</t>
  </si>
  <si>
    <t>Intertidal sediment - Littoral biogenic reefs - Mussels</t>
  </si>
  <si>
    <t>Intertidal sediment - Littoral biogenic reefs - Sabellaria</t>
  </si>
  <si>
    <t>Intertidal sediment - Features of littoral sediment</t>
  </si>
  <si>
    <t>Intertidal sediment - Littoral muddy sand</t>
  </si>
  <si>
    <t>Intertidal sediment - Littoral seagrass</t>
  </si>
  <si>
    <t>Grassland - Lowland calcareous grassland</t>
  </si>
  <si>
    <t>Grassland - Tall herb communities (H6430)</t>
  </si>
  <si>
    <t>Grassland - Upland calcareous grassland</t>
  </si>
  <si>
    <t>Heathland and shrub - Lowland Heathland</t>
  </si>
  <si>
    <t>Heathland and shrub</t>
  </si>
  <si>
    <t>Heathland and shrub - Dunes with sea buckthorn (H2160)</t>
  </si>
  <si>
    <t>Heathland and shrub - Upland heathland</t>
  </si>
  <si>
    <t>Urban - Open mosaic habitats on previously developed land</t>
  </si>
  <si>
    <t>Urban</t>
  </si>
  <si>
    <t>Grassland - Traditional orchards</t>
  </si>
  <si>
    <t>Wetland - Reedbeds</t>
  </si>
  <si>
    <t>Wetland</t>
  </si>
  <si>
    <t>Rule 1</t>
  </si>
  <si>
    <t>Higher surplus is used to offset loss of medium distinctiveness of the same broad habitat category.</t>
  </si>
  <si>
    <t>Rule 2</t>
  </si>
  <si>
    <t>Remaining higher surplus is used to offset the loss of the most expensive medium credit tier of A4</t>
  </si>
  <si>
    <t>Rule 3</t>
  </si>
  <si>
    <t>Remaining higher surplus is used to offset the loss of the second most expensive medium credit tier of A2</t>
  </si>
  <si>
    <t>Rule 4</t>
  </si>
  <si>
    <t>Remaining higher surplus is used to offset the loss of the third most expensive medium credit tier A1</t>
  </si>
  <si>
    <t>Rule 5</t>
  </si>
  <si>
    <t>Remaining higher surplus is used to offset losses from low distinctiveness habitats</t>
  </si>
  <si>
    <t>High Distinctiveness</t>
  </si>
  <si>
    <t>Habitat</t>
  </si>
  <si>
    <t>Net Change Units</t>
  </si>
  <si>
    <t>Very High + High Distinctiveness Surplus Availability</t>
  </si>
  <si>
    <t>Medium Distinctiveness Losses</t>
  </si>
  <si>
    <t>Final Losses in Tier</t>
  </si>
  <si>
    <t xml:space="preserve">Unit Gain Available in Broad Habitat Group </t>
  </si>
  <si>
    <t>Losses Requiring Offset</t>
  </si>
  <si>
    <t>Remaining Available After Rule 1</t>
  </si>
  <si>
    <t>Remaining Available After Rule 2</t>
  </si>
  <si>
    <t>Remaining Available After Rule 3</t>
  </si>
  <si>
    <t>Remaining Available After Rule 4</t>
  </si>
  <si>
    <t>MEDIUM</t>
  </si>
  <si>
    <t>Cropland</t>
  </si>
  <si>
    <t>Individual trees</t>
  </si>
  <si>
    <t xml:space="preserve">Total Remaining Units Available </t>
  </si>
  <si>
    <t>Net Unit Change for Low Distinctiveness Habitats</t>
  </si>
  <si>
    <t>Total Unit Change for Low Distinctiveness Habitats Following Offset from Higher Distinctiveness Habitats</t>
  </si>
  <si>
    <t>Units Remaining Available After Rule 5</t>
  </si>
  <si>
    <t>LOW</t>
  </si>
  <si>
    <t>Losses</t>
  </si>
  <si>
    <t>Final Losses</t>
  </si>
  <si>
    <t>VHD Losses Not Offset</t>
  </si>
  <si>
    <t>Trading rules applied</t>
  </si>
  <si>
    <t>HD Losses Not Offset</t>
  </si>
  <si>
    <t>MD Losses Not Offset</t>
  </si>
  <si>
    <t>LD Losses Not Offset</t>
  </si>
  <si>
    <t>VLD Losses Not Offset</t>
  </si>
  <si>
    <t xml:space="preserve">Unit Shortfall by Tier/Module </t>
  </si>
  <si>
    <t xml:space="preserve">Unit Shortfall </t>
  </si>
  <si>
    <t xml:space="preserve">*The spatial risk multiplier has been applied to all unit shortfall values. </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</si>
  <si>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</si>
  <si>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</si>
  <si>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</si>
  <si>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</si>
  <si>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</si>
  <si>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</si>
  <si>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</si>
  <si>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</si>
  <si>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</si>
  <si>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</si>
  <si>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</si>
  <si>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</si>
  <si>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</si>
  <si>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</si>
  <si>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</si>
  <si>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</si>
  <si>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</si>
  <si>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</si>
  <si>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</si>
  <si>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</si>
  <si>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</si>
  <si>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</si>
  <si>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</si>
  <si>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</si>
  <si>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</si>
  <si>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</si>
  <si>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</si>
  <si>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</si>
  <si>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</si>
  <si>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Total on-site and off-site area / length proposed for enhancement</t>
  </si>
  <si>
    <t>Total on-site and off-site baseline units proposed for enhancement</t>
  </si>
  <si>
    <t>Total on-site and off-site baseline area / length lost</t>
  </si>
  <si>
    <t>Total on-site and off-site baseline units lost</t>
  </si>
  <si>
    <t>Area Habitats                                                                                                                          Area Habitats                                                                                                                          Area Habitats</t>
  </si>
  <si>
    <t>On-site change by broad habitat type</t>
  </si>
  <si>
    <t>Combined area lost from baseline(s)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</si>
  <si>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</si>
  <si>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</si>
  <si>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</si>
  <si>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</si>
  <si>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</si>
  <si>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</si>
  <si>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</si>
  <si>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</si>
  <si>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</si>
  <si>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</si>
  <si>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</si>
  <si>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</si>
  <si>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</si>
  <si>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 xml:space="preserve">Coastal saltmarsh </t>
  </si>
  <si>
    <t xml:space="preserve">Rocky shore </t>
  </si>
  <si>
    <t>Intertidal hard structures</t>
  </si>
  <si>
    <t>Watercourse footprint</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</si>
  <si>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</si>
  <si>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</si>
  <si>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</si>
  <si>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</si>
  <si>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</si>
  <si>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</si>
  <si>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</si>
  <si>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</si>
  <si>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</si>
  <si>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</si>
  <si>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</si>
  <si>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</si>
  <si>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</si>
  <si>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</si>
  <si>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</si>
  <si>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</si>
  <si>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</si>
  <si>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</si>
  <si>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</si>
  <si>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</si>
  <si>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</si>
  <si>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from baseline(s)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</si>
  <si>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</si>
  <si>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</si>
  <si>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</si>
  <si>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</si>
  <si>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</si>
  <si>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</si>
  <si>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</si>
  <si>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</si>
  <si>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</si>
  <si>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</si>
  <si>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</si>
  <si>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</si>
  <si>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</si>
  <si>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</si>
  <si>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</si>
  <si>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</si>
  <si>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</si>
  <si>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</si>
  <si>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</si>
  <si>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</si>
  <si>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</si>
  <si>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</si>
  <si>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</si>
  <si>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</si>
  <si>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</si>
  <si>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</si>
  <si>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</si>
  <si>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</si>
  <si>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</si>
  <si>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</si>
  <si>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</si>
  <si>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</si>
  <si>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</si>
  <si>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</si>
  <si>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</si>
  <si>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</si>
  <si>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</si>
  <si>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</si>
  <si>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</si>
  <si>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</si>
  <si>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</si>
  <si>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</si>
  <si>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</si>
  <si>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</si>
  <si>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</si>
  <si>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</si>
  <si>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Trading Summary</t>
  </si>
  <si>
    <t>Distinctiveness Group</t>
  </si>
  <si>
    <t>Trading Rule</t>
  </si>
  <si>
    <t>Trading Satisfied?</t>
  </si>
  <si>
    <t>Very High</t>
  </si>
  <si>
    <t>Same habitat required – bespoke compensation option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</si>
  <si>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</si>
  <si>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</si>
  <si>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</si>
  <si>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</si>
  <si>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</si>
  <si>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</si>
  <si>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</si>
  <si>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</si>
  <si>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</si>
  <si>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</si>
  <si>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</si>
  <si>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</si>
  <si>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Remaining losses; Like for like not satisfied</t>
  </si>
  <si>
    <t>High Distinctiveness Summary</t>
  </si>
  <si>
    <t xml:space="preserve">Losses not yet accounted for </t>
  </si>
  <si>
    <t>High Distinctiveness Units available to offset lower distinctiveness deficit</t>
  </si>
  <si>
    <t>Woodland and forest - Felled/Replacement for felled woodland</t>
  </si>
  <si>
    <t>Medium Distinctiveness</t>
  </si>
  <si>
    <t>Medium Distinctiveness Summary</t>
  </si>
  <si>
    <t xml:space="preserve">Project wide unit change </t>
  </si>
  <si>
    <t>Cumulative broad habitat change</t>
  </si>
  <si>
    <t>Medium Distinctiveness Units available to offset Lower Distinctiveness Deficit</t>
  </si>
  <si>
    <t>Medium Distinctiveness Broad Habitat losses to be offset by trading up</t>
  </si>
  <si>
    <t>Higher Distinctiveness Surplus Units minus Medium Distinctiveness Broad Habitat Deficit</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</si>
  <si>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</si>
  <si>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</si>
  <si>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</si>
  <si>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</si>
  <si>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</si>
  <si>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</si>
  <si>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</si>
  <si>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Very Low</t>
  </si>
  <si>
    <t xml:space="preserve">High Distinctiveness losses to be offset by trading up </t>
  </si>
  <si>
    <t>Higher Distinctiveness surplus units minus any high distinctiveness deficit</t>
  </si>
  <si>
    <t>Units available from higher distinctiveness habitats</t>
  </si>
  <si>
    <t>Medium Distinctiveness net change in units</t>
  </si>
  <si>
    <t>Cumulative availability of units</t>
  </si>
  <si>
    <t>Very Low Distinctiveness</t>
  </si>
  <si>
    <t>Very Low Distinctiveness Summary</t>
  </si>
  <si>
    <t xml:space="preserve"> Very Low Distinctiveness net change in units</t>
  </si>
  <si>
    <t>Better distinctiveness habitat required</t>
  </si>
  <si>
    <t>Summary of sites providing area habitat unit gains</t>
  </si>
  <si>
    <t xml:space="preserve">Summary of sites providing hedgerow unit gains 
</t>
  </si>
  <si>
    <t xml:space="preserve">Summary of sites providing watercourse unit gains 
</t>
  </si>
  <si>
    <t>Gain site reference</t>
  </si>
  <si>
    <t>Off-site units baseline</t>
  </si>
  <si>
    <t>SRM Off-site units baseline</t>
  </si>
  <si>
    <t>Off-site units retained</t>
  </si>
  <si>
    <t>SRM Off-site units retained</t>
  </si>
  <si>
    <t>Off-site units enhanced</t>
  </si>
  <si>
    <t>SRM Off-site units enhanced</t>
  </si>
  <si>
    <t>Off-site units created</t>
  </si>
  <si>
    <t>SRM Off-site units created</t>
  </si>
  <si>
    <t>Off-site unit change per gain site (pre-SRM)</t>
  </si>
  <si>
    <t xml:space="preserve">SRM </t>
  </si>
  <si>
    <t>Off-site unit change per gain site (post-SRM)</t>
  </si>
  <si>
    <t>SRM</t>
  </si>
  <si>
    <t>Irreplaceable area habitats on-site</t>
  </si>
  <si>
    <t>Irreplaceable Watercourses on-site</t>
  </si>
  <si>
    <t xml:space="preserve">👁 For further information please refer to the irreplaceable habitats section of the metric user guide. This sheet is autopopulated from the A1 on-site habitat baseline tab, with the exception of irreplaceable habitat name.
</t>
  </si>
  <si>
    <t xml:space="preserve">👁 For further information please refer to the irreplaceable habitats section of the metric user guide. This sheet is autopopulated from the C1 on-site waterC' baseline tab, with the exception of irreplaceable habitat name.
</t>
  </si>
  <si>
    <t>Habitat reference</t>
  </si>
  <si>
    <t>Metric habitat type</t>
  </si>
  <si>
    <t>Irreplaceable habitat name</t>
  </si>
  <si>
    <t>Total area at baseline</t>
  </si>
  <si>
    <t>Area retained</t>
  </si>
  <si>
    <t>Area enhanced</t>
  </si>
  <si>
    <t>Area lost</t>
  </si>
  <si>
    <t>Bespoke compensation agreed for losses?</t>
  </si>
  <si>
    <t xml:space="preserve">User comments </t>
  </si>
  <si>
    <t>Planning authority comments</t>
  </si>
  <si>
    <t>Habitat reference number</t>
  </si>
  <si>
    <t>Onsite</t>
  </si>
  <si>
    <t>Column no</t>
  </si>
  <si>
    <t>Off-site</t>
  </si>
  <si>
    <t>Habitat type</t>
  </si>
  <si>
    <t>Length (km) at baseline</t>
  </si>
  <si>
    <t>Length retained (km)</t>
  </si>
  <si>
    <t>Length enhanced (km)</t>
  </si>
  <si>
    <t>Bespoke compensation agreed?</t>
  </si>
  <si>
    <t xml:space="preserve">Consenting body comments </t>
  </si>
  <si>
    <t>GIS reference number</t>
  </si>
  <si>
    <t>Offsite</t>
  </si>
  <si>
    <t>Bespoke compensation agreed WC?</t>
  </si>
  <si>
    <t>Bespoke compensation agreed area?</t>
  </si>
  <si>
    <t>Irreplaceable habitat area including individual trees, green walls and intertidal hard structures:</t>
  </si>
  <si>
    <t>Total irreplaceable watercourse length:</t>
  </si>
  <si>
    <t>Total irreplaceable habitat area excluding individual trees, green walls and intertidal hard structures:</t>
  </si>
  <si>
    <t>Irreplaceable area habitats off-site</t>
  </si>
  <si>
    <t>Irreplaceable Watercourses off-site</t>
  </si>
  <si>
    <t xml:space="preserve">👁 For further information please refer to the irreplaceable habitats section of the metric user guide. This sheet is autopopulated from the D1 off-site habitat baseline tab, with the exception of irreplaceable habitat name.
</t>
  </si>
  <si>
    <t xml:space="preserve">👁 For further information please refer to the irreplaceable habitats section of the metric user guide. This sheet is autopopulated from the F1 off-site waterC' baseline tab, with the exception of irreplaceable habitat name.
</t>
  </si>
  <si>
    <t>Metric Habitat type</t>
  </si>
  <si>
    <t>User comments</t>
  </si>
  <si>
    <t xml:space="preserve">Planning authority comments </t>
  </si>
  <si>
    <t>Total irreplaceable habitat area excluding individual trees, Green walls and intertidal hard structures:</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</si>
  <si>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</si>
  <si>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</si>
  <si>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</si>
  <si>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</si>
  <si>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</si>
  <si>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</si>
  <si>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</si>
  <si>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</si>
  <si>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</si>
  <si>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</si>
  <si>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</si>
  <si>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</si>
  <si>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Bespoke compensation agreed for losses of VHDH or irreplaceable habitat</t>
  </si>
  <si>
    <t>Comments</t>
  </si>
  <si>
    <t>retention cat checks</t>
  </si>
  <si>
    <t>list of lines for enhanced and succession</t>
  </si>
  <si>
    <t>Bespoke Compensation agreed?</t>
  </si>
  <si>
    <t>Condition Group</t>
  </si>
  <si>
    <t>Ref</t>
  </si>
  <si>
    <t>Broad Habitat</t>
  </si>
  <si>
    <t xml:space="preserve"> Habitat Type</t>
  </si>
  <si>
    <t>Irreplaceable habitat</t>
  </si>
  <si>
    <t>Area (hectares)</t>
  </si>
  <si>
    <t>Score</t>
  </si>
  <si>
    <t>Strategic significance multiplier</t>
  </si>
  <si>
    <t>Total habitat units</t>
  </si>
  <si>
    <t>Baseline units retained</t>
  </si>
  <si>
    <t>Baseline units enhanced</t>
  </si>
  <si>
    <t>Area habitat lost</t>
  </si>
  <si>
    <t>Units lost</t>
  </si>
  <si>
    <t>Area of Unacceptable Losses</t>
  </si>
  <si>
    <t>Units Unacceptable Losses</t>
  </si>
  <si>
    <t>Retained</t>
  </si>
  <si>
    <t>Enhanced</t>
  </si>
  <si>
    <t>Succession</t>
  </si>
  <si>
    <t>line number</t>
  </si>
  <si>
    <t>VHDH bespoke compensation units</t>
  </si>
  <si>
    <t xml:space="preserve"> Habitat type</t>
  </si>
  <si>
    <t>Yes</t>
  </si>
  <si>
    <t>No</t>
  </si>
  <si>
    <t xml:space="preserve">Total habitat area </t>
  </si>
  <si>
    <t>TOTAL</t>
  </si>
  <si>
    <t>Site Area (Excluding area of individual trees, green walls, intertidal hard structures)</t>
  </si>
  <si>
    <t>Total area lost (excluding area of individual trees, green walls and intertidal hard structures)</t>
  </si>
  <si>
    <t>M² to hectares conversion tool:</t>
  </si>
  <si>
    <t>Select a unit</t>
  </si>
  <si>
    <t>Hectares</t>
  </si>
  <si>
    <t>M²</t>
  </si>
  <si>
    <t>Area Check</t>
  </si>
  <si>
    <t xml:space="preserve">Post intervention habitats </t>
  </si>
  <si>
    <t>Time to Poor cond</t>
  </si>
  <si>
    <t>Proposed habitat</t>
  </si>
  <si>
    <t>Temporal multiplier</t>
  </si>
  <si>
    <t>Difficulty multipliers</t>
  </si>
  <si>
    <t>Habitat units delivered</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</si>
  <si>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</si>
  <si>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</si>
  <si>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</si>
  <si>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</si>
  <si>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</si>
  <si>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</si>
  <si>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</si>
  <si>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</si>
  <si>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</si>
  <si>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</si>
  <si>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</si>
  <si>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</si>
  <si>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</si>
  <si>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</si>
  <si>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</si>
  <si>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(Broad habitat pre-populated but can be overridden)</t>
  </si>
  <si>
    <t>Change in distinctiveness and condition</t>
  </si>
  <si>
    <t xml:space="preserve">Area (hectares) </t>
  </si>
  <si>
    <t>Temporal risk multiplier</t>
  </si>
  <si>
    <t>Difficulty risk multipliers</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</si>
  <si>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</si>
  <si>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</si>
  <si>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</si>
  <si>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</si>
  <si>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</si>
  <si>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</si>
  <si>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</si>
  <si>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</si>
  <si>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</si>
  <si>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</si>
  <si>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</si>
  <si>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</si>
  <si>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</si>
  <si>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</si>
  <si>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</si>
  <si>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</si>
  <si>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</si>
  <si>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</si>
  <si>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Change in broad habitat type</t>
  </si>
  <si>
    <t>Condition</t>
  </si>
  <si>
    <t>Spatial risk multiplier</t>
  </si>
  <si>
    <t>Broad habitat</t>
  </si>
  <si>
    <t>Total habitat units (SRM)</t>
  </si>
  <si>
    <t>Spatial risk category</t>
  </si>
  <si>
    <t xml:space="preserve">Habitat reference </t>
  </si>
  <si>
    <t>Off-site reference</t>
  </si>
  <si>
    <t>Units unacceptable Losses</t>
  </si>
  <si>
    <t>Baseline units retained (srm)</t>
  </si>
  <si>
    <t>Habitat units delivered (inc. SRM)</t>
  </si>
  <si>
    <t>Conditional Data Validation</t>
  </si>
  <si>
    <t xml:space="preserve">Habitat created in advance (years) </t>
  </si>
  <si>
    <t>Baseline Ref</t>
  </si>
  <si>
    <t>take account of trading</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</si>
  <si>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</si>
  <si>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</si>
  <si>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</si>
  <si>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</si>
  <si>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</si>
  <si>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</si>
  <si>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</si>
  <si>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</si>
  <si>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</si>
  <si>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</si>
  <si>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</si>
  <si>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</si>
  <si>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</si>
  <si>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</si>
  <si>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</si>
  <si>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</si>
  <si>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</si>
  <si>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</si>
  <si>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</si>
  <si>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</si>
  <si>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Applied  difficulty multiplier</t>
  </si>
  <si>
    <t>Baseline Habitats</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</si>
  <si>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</si>
  <si>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</si>
  <si>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</si>
  <si>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</si>
  <si>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</si>
  <si>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</si>
  <si>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</si>
  <si>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intervention habitats</t>
  </si>
  <si>
    <t>Watercourse summary</t>
  </si>
  <si>
    <t>Existing watercourse type</t>
  </si>
  <si>
    <t>Watercourse encroachment</t>
  </si>
  <si>
    <t>Riparian encroachment</t>
  </si>
  <si>
    <t>Bespoke compensation agreed for losses of VHDH</t>
  </si>
  <si>
    <t>Extent of encroachment</t>
  </si>
  <si>
    <t>Multiplier</t>
  </si>
  <si>
    <t>Extent of encroachment for both banks</t>
  </si>
  <si>
    <t>Total watercourse units</t>
  </si>
  <si>
    <t>Length Lost</t>
  </si>
  <si>
    <t>Units Lost</t>
  </si>
  <si>
    <t>User Comments</t>
  </si>
  <si>
    <t>Length match</t>
  </si>
  <si>
    <t>Encroachment group</t>
  </si>
  <si>
    <t>Ditch with fairly category used</t>
  </si>
  <si>
    <t>Watercourse units delivered</t>
  </si>
  <si>
    <t xml:space="preserve">Applied difficulty multiplier </t>
  </si>
  <si>
    <t>Ditch and fairly category</t>
  </si>
  <si>
    <t xml:space="preserve">Proposed habitat
</t>
  </si>
  <si>
    <t>Habitat distinctiveness</t>
  </si>
  <si>
    <t>Habitat condition</t>
  </si>
  <si>
    <t>Baseline strategic significance Score</t>
  </si>
  <si>
    <t>Baseline WC encroachment multiplier</t>
  </si>
  <si>
    <t>Baseline R encroachment multiplier</t>
  </si>
  <si>
    <t>Baseline Units Enhanced</t>
  </si>
  <si>
    <t>Baseline Units Enhanced not including lengthening</t>
  </si>
  <si>
    <t>Baseline Units Retained</t>
  </si>
  <si>
    <t>Baseline length retained</t>
  </si>
  <si>
    <t>Ditches and fairly category used</t>
  </si>
  <si>
    <t>Total river units (SRM)</t>
  </si>
  <si>
    <t>Length Match</t>
  </si>
  <si>
    <t>River units delivered (inc SRM)</t>
  </si>
  <si>
    <t>Final time to target condition/years</t>
  </si>
  <si>
    <t>Final time to target Multiplier</t>
  </si>
  <si>
    <t>ditches and fairly category</t>
  </si>
  <si>
    <t>`</t>
  </si>
  <si>
    <t xml:space="preserve">Proposed habitat 
</t>
  </si>
  <si>
    <t>Watercourse units delivered (inc SRM)</t>
  </si>
  <si>
    <t>All Habitats Based on UKHab</t>
  </si>
  <si>
    <t>Distinctiveness categories</t>
  </si>
  <si>
    <t>Condition categories</t>
  </si>
  <si>
    <t xml:space="preserve">Broad Habitats </t>
  </si>
  <si>
    <t>Conditional Broad Habitat Label</t>
  </si>
  <si>
    <t>Labelling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</si>
  <si>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</si>
  <si>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</si>
  <si>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</si>
  <si>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</si>
  <si>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</si>
  <si>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</si>
  <si>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</si>
  <si>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</si>
  <si>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</si>
  <si>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</si>
  <si>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Rules</t>
  </si>
  <si>
    <t>Technical Difficulty Creation</t>
  </si>
  <si>
    <t>Technical Difficulty Enhancement</t>
  </si>
  <si>
    <t>Basic Description</t>
  </si>
  <si>
    <t>Condition Assessment Notes</t>
  </si>
  <si>
    <t>Irreplaceable</t>
  </si>
  <si>
    <t>Distinctiveness category</t>
  </si>
  <si>
    <t>Distinctiveness score</t>
  </si>
  <si>
    <t>Suggested action</t>
  </si>
  <si>
    <t>Condition Multiplier</t>
  </si>
  <si>
    <t>Condition Assessment Score</t>
  </si>
  <si>
    <t>Bespoke Compensation For Unacceptable Losses Agreed</t>
  </si>
  <si>
    <t>Arable field margins cultivated annually</t>
  </si>
  <si>
    <t>Cropland - Arable field margins cultivated annually</t>
  </si>
  <si>
    <t>c1a7</t>
  </si>
  <si>
    <t>Terrestrial</t>
  </si>
  <si>
    <t>c</t>
  </si>
  <si>
    <t>c1</t>
  </si>
  <si>
    <t>Arable and horticulture</t>
  </si>
  <si>
    <t>c1a</t>
  </si>
  <si>
    <t>Arable field margins</t>
  </si>
  <si>
    <t>V.High</t>
  </si>
  <si>
    <t>Arable field margins game bird mix</t>
  </si>
  <si>
    <t>Cropland - Arable field margins game bird mix</t>
  </si>
  <si>
    <t>c1a8</t>
  </si>
  <si>
    <t>Fairly Good</t>
  </si>
  <si>
    <t>Arable field margins pollen and nectar</t>
  </si>
  <si>
    <t>Cropland - Arable field margins pollen and nectar</t>
  </si>
  <si>
    <t>c1a6</t>
  </si>
  <si>
    <t>Pending</t>
  </si>
  <si>
    <t>Heathland_and_shrub</t>
  </si>
  <si>
    <t>Arable field margins tussocky</t>
  </si>
  <si>
    <t>Cropland - Arable field margins tussocky</t>
  </si>
  <si>
    <t>c1a5</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</si>
  <si>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</si>
  <si>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</si>
  <si>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</si>
  <si>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</si>
  <si>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</si>
  <si>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</si>
  <si>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</si>
  <si>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</si>
  <si>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</si>
  <si>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</si>
  <si>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</si>
  <si>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</si>
  <si>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</si>
  <si>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</si>
  <si>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Irreplaceable Habitats</t>
  </si>
  <si>
    <t>Bespoke compensation likely to be required</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</si>
  <si>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</si>
  <si>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</si>
  <si>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</si>
  <si>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</si>
  <si>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</si>
  <si>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</si>
  <si>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</si>
  <si>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</si>
  <si>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</si>
  <si>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</si>
  <si>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</si>
  <si>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</si>
  <si>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Rocky_shore</t>
  </si>
  <si>
    <t>Traditional orchards</t>
  </si>
  <si>
    <t>Woodlands and Trees</t>
  </si>
  <si>
    <t>Coastal_saltmarsh</t>
  </si>
  <si>
    <t>Bracken</t>
  </si>
  <si>
    <t>Grassland - Bracken</t>
  </si>
  <si>
    <t>g1c</t>
  </si>
  <si>
    <t>g</t>
  </si>
  <si>
    <t>g1</t>
  </si>
  <si>
    <t>Acid grassland</t>
  </si>
  <si>
    <t>Intertidal_sediment</t>
  </si>
  <si>
    <t>Floodplain wetland mosaic and CFGM</t>
  </si>
  <si>
    <t>NE0011</t>
  </si>
  <si>
    <t>Floodplain Wetland Mosaic</t>
  </si>
  <si>
    <t>Intertidal_hard_structures</t>
  </si>
  <si>
    <t>Lowland calcareous grassland</t>
  </si>
  <si>
    <t>g2a</t>
  </si>
  <si>
    <t>g2</t>
  </si>
  <si>
    <t>Calcareous grassland</t>
  </si>
  <si>
    <t>Watercourse_footprint</t>
  </si>
  <si>
    <t>Lowland dry acid grassland</t>
  </si>
  <si>
    <t>Grassland - Lowland dry acid grassland</t>
  </si>
  <si>
    <t>g1a</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</si>
  <si>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</si>
  <si>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</si>
  <si>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</si>
  <si>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</si>
  <si>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</si>
  <si>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</si>
  <si>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</si>
  <si>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</si>
  <si>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</si>
  <si>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</si>
  <si>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</si>
  <si>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</si>
  <si>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</si>
  <si>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</si>
  <si>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</si>
  <si>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</si>
  <si>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</si>
  <si>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s1a9</t>
  </si>
  <si>
    <t>s</t>
  </si>
  <si>
    <t>s1</t>
  </si>
  <si>
    <t>Inland rock</t>
  </si>
  <si>
    <t>Tall herb communities</t>
  </si>
  <si>
    <t>Upland acid grassland</t>
  </si>
  <si>
    <t>Grassland - Upland acid grassland</t>
  </si>
  <si>
    <t>g1b</t>
  </si>
  <si>
    <t>Creation</t>
  </si>
  <si>
    <t>Upland calcareous grassland</t>
  </si>
  <si>
    <t>g2b</t>
  </si>
  <si>
    <t>Upland hay meadows</t>
  </si>
  <si>
    <t>Grassland - Upland hay meadows</t>
  </si>
  <si>
    <t>g3b</t>
  </si>
  <si>
    <t>Blackthorn scrub</t>
  </si>
  <si>
    <t>Heathland and shrub - Blackthorn scrub</t>
  </si>
  <si>
    <t>h3a</t>
  </si>
  <si>
    <t>h</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</si>
  <si>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</si>
  <si>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</si>
  <si>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</si>
  <si>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</si>
  <si>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</si>
  <si>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</si>
  <si>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</si>
  <si>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</si>
  <si>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</si>
  <si>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</si>
  <si>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</si>
  <si>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</si>
  <si>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</si>
  <si>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</si>
  <si>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</si>
  <si>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</si>
  <si>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</si>
  <si>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h1</t>
  </si>
  <si>
    <t>Dwarf shrub heath</t>
  </si>
  <si>
    <t>Lowland Heathland</t>
  </si>
  <si>
    <t>Mixed scrub</t>
  </si>
  <si>
    <t>Heathland and shrub - Mixed scrub</t>
  </si>
  <si>
    <t>h3h</t>
  </si>
  <si>
    <t>Mountain heaths and willow scrub</t>
  </si>
  <si>
    <t>Heathland and shrub - Mountain heaths and willow scrub</t>
  </si>
  <si>
    <t>h1c</t>
  </si>
  <si>
    <t>Rhododendron scrub</t>
  </si>
  <si>
    <t>Heathland and shrub - Rhododendron scrub</t>
  </si>
  <si>
    <t>h3g</t>
  </si>
  <si>
    <t>Woodland_and_forest_2</t>
  </si>
  <si>
    <t>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</si>
  <si>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</si>
  <si>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</si>
  <si>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</si>
  <si>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</si>
  <si>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</si>
  <si>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</si>
  <si>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</si>
  <si>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</si>
  <si>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</si>
  <si>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</si>
  <si>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</si>
  <si>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h1b</t>
  </si>
  <si>
    <t>Upland Heathland</t>
  </si>
  <si>
    <t>Aquifer fed naturally fluctuating water bodies</t>
  </si>
  <si>
    <t>Lakes - Aquifer fed naturally fluctuating water bodies</t>
  </si>
  <si>
    <t>r1d</t>
  </si>
  <si>
    <t>Freshwater</t>
  </si>
  <si>
    <t>r</t>
  </si>
  <si>
    <t>Rivers and lakes</t>
  </si>
  <si>
    <t>r1</t>
  </si>
  <si>
    <t>Standing open water and canals</t>
  </si>
  <si>
    <t>Ornamental lake or pond</t>
  </si>
  <si>
    <t>Lakes - Ornamental lake or pond</t>
  </si>
  <si>
    <t>Built-up areas and gardens</t>
  </si>
  <si>
    <t>High alkalinity lakes</t>
  </si>
  <si>
    <t>NE0001</t>
  </si>
  <si>
    <t>Low alkalinity lakes</t>
  </si>
  <si>
    <t>NE0002</t>
  </si>
  <si>
    <t>Marl lakes</t>
  </si>
  <si>
    <t>NE0003</t>
  </si>
  <si>
    <t>Moderate alkalinity lakes</t>
  </si>
  <si>
    <t>NE0004</t>
  </si>
  <si>
    <t>Peat lakes</t>
  </si>
  <si>
    <t>NE0005</t>
  </si>
  <si>
    <t>Enhancement</t>
  </si>
  <si>
    <t>Ponds (priority habitat)</t>
  </si>
  <si>
    <t>NE0006</t>
  </si>
  <si>
    <t>Ponds (non-priority habitat)</t>
  </si>
  <si>
    <t>Lakes - Ponds (non-priority habitat)</t>
  </si>
  <si>
    <t>Reservoirs</t>
  </si>
  <si>
    <t>Lakes - Reservoirs</t>
  </si>
  <si>
    <t>Temporary lakes ponds and pools (H3170)</t>
  </si>
  <si>
    <t>NE0013</t>
  </si>
  <si>
    <t>Calaminarian grasslands</t>
  </si>
  <si>
    <t>Sparsely vegetated land - Calaminarian grasslands</t>
  </si>
  <si>
    <t>s1c</t>
  </si>
  <si>
    <t>Coastal sand dunes</t>
  </si>
  <si>
    <t>s3a</t>
  </si>
  <si>
    <t>Supralittoral Sediment</t>
  </si>
  <si>
    <t>Coastal vegetated shingle</t>
  </si>
  <si>
    <t>s3b</t>
  </si>
  <si>
    <t>Ruderal/Ephemeral</t>
  </si>
  <si>
    <t>Sparsely vegetated land - Ruderal/Ephemeral</t>
  </si>
  <si>
    <t>Built environment</t>
  </si>
  <si>
    <t>Ephemeral</t>
  </si>
  <si>
    <t>Tall forbs</t>
  </si>
  <si>
    <t>Sparsely vegetated land - Tall forbs</t>
  </si>
  <si>
    <t>Grasslands and heathlands</t>
  </si>
  <si>
    <t>Inland rock outcrop and scree habitats</t>
  </si>
  <si>
    <t>s1a</t>
  </si>
  <si>
    <t>Limestone pavement</t>
  </si>
  <si>
    <t>Sparsely vegetated land - Limestone pavement</t>
  </si>
  <si>
    <t>s1b</t>
  </si>
  <si>
    <t>Woodland_and_forest_3</t>
  </si>
  <si>
    <t>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</si>
  <si>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</si>
  <si>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</si>
  <si>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</si>
  <si>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</si>
  <si>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</si>
  <si>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</si>
  <si>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</si>
  <si>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</si>
  <si>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</si>
  <si>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</si>
  <si>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</si>
  <si>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u</t>
  </si>
  <si>
    <t>u1</t>
  </si>
  <si>
    <t>Bioswale</t>
  </si>
  <si>
    <t>Urban - Bioswale</t>
  </si>
  <si>
    <t>Intensive green roof</t>
  </si>
  <si>
    <t>Urban - Intensive green roof</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</si>
  <si>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</si>
  <si>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</si>
  <si>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</si>
  <si>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</si>
  <si>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</si>
  <si>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</si>
  <si>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</si>
  <si>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</si>
  <si>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</si>
  <si>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</si>
  <si>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</si>
  <si>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</si>
  <si>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</si>
  <si>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</si>
  <si>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</si>
  <si>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</si>
  <si>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</si>
  <si>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</si>
  <si>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</si>
  <si>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Introduced shrub</t>
  </si>
  <si>
    <t>Urban - Introduced shrub</t>
  </si>
  <si>
    <t>Open mosaic habitats on previously developed land</t>
  </si>
  <si>
    <t>u1a</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</si>
  <si>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</si>
  <si>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</si>
  <si>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</si>
  <si>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</si>
  <si>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</si>
  <si>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</si>
  <si>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</si>
  <si>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</si>
  <si>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</si>
  <si>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</si>
  <si>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</si>
  <si>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</si>
  <si>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</si>
  <si>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</si>
  <si>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</si>
  <si>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</si>
  <si>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</si>
  <si>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All habitats</t>
  </si>
  <si>
    <t>Vegetated garden</t>
  </si>
  <si>
    <t>Urban - Vegetated garden</t>
  </si>
  <si>
    <t>Urban tree</t>
  </si>
  <si>
    <t>Individual trees - Urban tree</t>
  </si>
  <si>
    <t>NE0014</t>
  </si>
  <si>
    <t>Street Tree</t>
  </si>
  <si>
    <t>Yes/No</t>
  </si>
  <si>
    <t>Rural tree</t>
  </si>
  <si>
    <t>Individual trees - Rural tree</t>
  </si>
  <si>
    <t>NE0016</t>
  </si>
  <si>
    <t>Blanket bog</t>
  </si>
  <si>
    <t>Wetland - Blanket bog</t>
  </si>
  <si>
    <t>f1a</t>
  </si>
  <si>
    <t>f</t>
  </si>
  <si>
    <t>f1</t>
  </si>
  <si>
    <t>Bog</t>
  </si>
  <si>
    <t>Depressions on peat substrates (H7150)</t>
  </si>
  <si>
    <t>Wetland - Depressions on peat substrates (H7150)</t>
  </si>
  <si>
    <t>Depressions on Peat substrates (H7150)</t>
  </si>
  <si>
    <t>Fens (upland and lowland)</t>
  </si>
  <si>
    <t>Wetland - Fens (upland and lowland)</t>
  </si>
  <si>
    <t>NE0020</t>
  </si>
  <si>
    <t>Fen marsh and swamp</t>
  </si>
  <si>
    <t>f2a</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</si>
  <si>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</si>
  <si>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</si>
  <si>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</si>
  <si>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</si>
  <si>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</si>
  <si>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</si>
  <si>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</si>
  <si>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</si>
  <si>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</si>
  <si>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</si>
  <si>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</si>
  <si>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</si>
  <si>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f2</t>
  </si>
  <si>
    <t>Reedbeds</t>
  </si>
  <si>
    <t>f2e</t>
  </si>
  <si>
    <t>Transition mires and quaking bogs (H7140)</t>
  </si>
  <si>
    <t>Wetland - Transition mires and quaking bogs (H7140)</t>
  </si>
  <si>
    <t>NE0021</t>
  </si>
  <si>
    <t>f2c8</t>
  </si>
  <si>
    <t>Felled</t>
  </si>
  <si>
    <t>Woodland and forest - Felled</t>
  </si>
  <si>
    <t>Other woodland</t>
  </si>
  <si>
    <t>Lowland beech and yew woodland</t>
  </si>
  <si>
    <t>w1c</t>
  </si>
  <si>
    <t>w</t>
  </si>
  <si>
    <t>w1</t>
  </si>
  <si>
    <t>Broadleaved mixed and yew woodland</t>
  </si>
  <si>
    <t>Lowland mixed deciduous woodland</t>
  </si>
  <si>
    <t>w1f</t>
  </si>
  <si>
    <t>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</si>
  <si>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</si>
  <si>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</si>
  <si>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</si>
  <si>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</si>
  <si>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</si>
  <si>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</si>
  <si>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</si>
  <si>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</si>
  <si>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</si>
  <si>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</si>
  <si>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</si>
  <si>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</si>
  <si>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</si>
  <si>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</si>
  <si>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</si>
  <si>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</si>
  <si>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</si>
  <si>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w1e</t>
  </si>
  <si>
    <t>Upland mixed ashwoods</t>
  </si>
  <si>
    <t>w1b</t>
  </si>
  <si>
    <t>Upland oakwood</t>
  </si>
  <si>
    <t>w1a</t>
  </si>
  <si>
    <t>Wet woodland</t>
  </si>
  <si>
    <t>w1d</t>
  </si>
  <si>
    <t>Wood-pasture and parkland</t>
  </si>
  <si>
    <t>Woodland and forest - Wood-pasture and parkland</t>
  </si>
  <si>
    <t>Replacement for felled woodland</t>
  </si>
  <si>
    <t>Woodland and Trees</t>
  </si>
  <si>
    <t>x02</t>
  </si>
  <si>
    <t>Intertidal</t>
  </si>
  <si>
    <t>X02/03</t>
  </si>
  <si>
    <t>High energy littoral rock</t>
  </si>
  <si>
    <t>a1.1</t>
  </si>
  <si>
    <t>High energy littoral rock - on peat, clay or chalk</t>
  </si>
  <si>
    <t>Rocky shore - High energy littoral rock - on peat, clay or chalk</t>
  </si>
  <si>
    <t>A1.1</t>
  </si>
  <si>
    <t>High energy littoral rock - on bedrock including chalk, peat or clay</t>
  </si>
  <si>
    <t>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</si>
  <si>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</si>
  <si>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</si>
  <si>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</si>
  <si>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</si>
  <si>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</si>
  <si>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</si>
  <si>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</si>
  <si>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</si>
  <si>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</si>
  <si>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</si>
  <si>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</si>
  <si>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</si>
  <si>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</si>
  <si>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</si>
  <si>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</si>
  <si>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</si>
  <si>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</si>
  <si>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</si>
  <si>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A2.5</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</si>
  <si>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</si>
  <si>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</si>
  <si>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</si>
  <si>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</si>
  <si>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</si>
  <si>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</si>
  <si>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</si>
  <si>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</si>
  <si>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A2.3</t>
  </si>
  <si>
    <t>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</si>
  <si>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</si>
  <si>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</si>
  <si>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</si>
  <si>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</si>
  <si>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</si>
  <si>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</si>
  <si>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</si>
  <si>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</si>
  <si>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</si>
  <si>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A2.7 M</t>
  </si>
  <si>
    <t xml:space="preserve"> Littoral biogenic reefs - Mussels</t>
  </si>
  <si>
    <t>Littoral biogenic reefs - Sabellaria</t>
  </si>
  <si>
    <t>A2.7 S</t>
  </si>
  <si>
    <t>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</si>
  <si>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</si>
  <si>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</si>
  <si>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</si>
  <si>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</si>
  <si>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</si>
  <si>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</si>
  <si>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</si>
  <si>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</si>
  <si>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</si>
  <si>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</si>
  <si>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</si>
  <si>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</si>
  <si>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</si>
  <si>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</si>
  <si>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</si>
  <si>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</si>
  <si>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</si>
  <si>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</si>
  <si>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</si>
  <si>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</si>
  <si>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</si>
  <si>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</si>
  <si>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</si>
  <si>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</si>
  <si>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</si>
  <si>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</si>
  <si>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</si>
  <si>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</si>
  <si>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</si>
  <si>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</si>
  <si>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</si>
  <si>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</si>
  <si>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</si>
  <si>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</si>
  <si>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</si>
  <si>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</si>
  <si>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</si>
  <si>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</si>
  <si>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</si>
  <si>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</si>
  <si>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</si>
  <si>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</si>
  <si>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</si>
  <si>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Distinctiveness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</si>
  <si>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</si>
  <si>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</si>
  <si>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</si>
  <si>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</si>
  <si>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</si>
  <si>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</si>
  <si>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</si>
  <si>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</si>
  <si>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</si>
  <si>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</si>
  <si>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</si>
  <si>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</si>
  <si>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</si>
  <si>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</si>
  <si>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</si>
  <si>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</si>
  <si>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</si>
  <si>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</si>
  <si>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</si>
  <si>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</si>
  <si>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</si>
  <si>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</si>
  <si>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</si>
  <si>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</si>
  <si>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</si>
  <si>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</si>
  <si>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</si>
  <si>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</si>
  <si>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</si>
  <si>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</si>
  <si>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</si>
  <si>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</si>
  <si>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</si>
  <si>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</si>
  <si>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</si>
  <si>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</si>
  <si>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</si>
  <si>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</si>
  <si>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</si>
  <si>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</si>
  <si>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</si>
  <si>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</si>
  <si>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</si>
  <si>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</si>
  <si>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</si>
  <si>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</si>
  <si>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</si>
  <si>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</si>
  <si>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</si>
  <si>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</si>
  <si>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On-site  Unit Change</t>
  </si>
  <si>
    <t>Units Required Off-site or Trading Up</t>
  </si>
  <si>
    <t>Sparsely vegetated land - Ruderal/ephemeral</t>
  </si>
  <si>
    <t xml:space="preserve">Hedgerow type </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</si>
  <si>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</si>
  <si>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</si>
  <si>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</si>
  <si>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</si>
  <si>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</si>
  <si>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</si>
  <si>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</si>
  <si>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</si>
  <si>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</si>
  <si>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</si>
  <si>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</si>
  <si>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</si>
  <si>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</si>
  <si>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</si>
  <si>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</si>
  <si>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</si>
  <si>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</si>
  <si>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 xml:space="preserve">Watercourse type </t>
  </si>
  <si>
    <t>Existing length lost on-site</t>
  </si>
  <si>
    <t>Existing units lost baseline on-site</t>
  </si>
  <si>
    <t>Risk</t>
  </si>
  <si>
    <t>Spatial multipliers</t>
  </si>
  <si>
    <t>connectivity</t>
  </si>
  <si>
    <t>Strategic Significance</t>
  </si>
  <si>
    <t>Value</t>
  </si>
  <si>
    <t>Spatial risk</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</si>
  <si>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</si>
  <si>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</si>
  <si>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</si>
  <si>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</si>
  <si>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</si>
  <si>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</si>
  <si>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</si>
  <si>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</si>
  <si>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</si>
  <si>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</si>
  <si>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</si>
  <si>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</si>
  <si>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</si>
  <si>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</si>
  <si>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</si>
  <si>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</si>
  <si>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</si>
  <si>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</si>
  <si>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</si>
  <si>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</si>
  <si>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</si>
  <si>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</si>
  <si>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</si>
  <si>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</si>
  <si>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Year</t>
  </si>
  <si>
    <t>% of original unit</t>
  </si>
  <si>
    <t>Time to target Multiplier</t>
  </si>
  <si>
    <t>Not Possible ▲</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</si>
  <si>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</si>
  <si>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</si>
  <si>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</si>
  <si>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</si>
  <si>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</si>
  <si>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</si>
  <si>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</si>
  <si>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</si>
  <si>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</si>
  <si>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</si>
  <si>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</si>
  <si>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</si>
  <si>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</si>
  <si>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</si>
  <si>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</si>
  <si>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</si>
  <si>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</si>
  <si>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</si>
  <si>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</si>
  <si>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</si>
  <si>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</si>
  <si>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</si>
  <si>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</si>
  <si>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</si>
  <si>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</si>
  <si>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</si>
  <si>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</si>
  <si>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</si>
  <si>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</si>
  <si>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</si>
  <si>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</si>
  <si>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</si>
  <si>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</si>
  <si>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</si>
  <si>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</si>
  <si>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</si>
  <si>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</si>
  <si>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</si>
  <si>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</si>
  <si>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 ▲</t>
  </si>
  <si>
    <t>Like for like</t>
  </si>
  <si>
    <t>V.High -  V.High</t>
  </si>
  <si>
    <t>Error Trading Down ▲</t>
  </si>
  <si>
    <t>High - V.High</t>
  </si>
  <si>
    <t>High - High</t>
  </si>
  <si>
    <t>Error - Enhancement not possible ▲</t>
  </si>
  <si>
    <t>Same distinctiveness band or better</t>
  </si>
  <si>
    <t>Medium - V.High</t>
  </si>
  <si>
    <t>Medium - High</t>
  </si>
  <si>
    <t>Medium - Medium</t>
  </si>
  <si>
    <t>Low - V.High</t>
  </si>
  <si>
    <t>Low - High</t>
  </si>
  <si>
    <t>Low - Medium</t>
  </si>
  <si>
    <t>Low - Low</t>
  </si>
  <si>
    <t>Not possible ▲</t>
  </si>
  <si>
    <t>V.Low - V.Low</t>
  </si>
  <si>
    <t xml:space="preserve">Creation - Years to Target Condition for All Habitats </t>
  </si>
  <si>
    <t xml:space="preserve">Enhancement - Years to Target Condition for All Habitats </t>
  </si>
  <si>
    <t>Enhancement  - Years to Target Condition</t>
  </si>
  <si>
    <t>Encroachment</t>
  </si>
  <si>
    <t>Spatial</t>
  </si>
  <si>
    <t>Rivercond1</t>
  </si>
  <si>
    <t>Rivercond2</t>
  </si>
  <si>
    <t>Baseline Condition</t>
  </si>
  <si>
    <t>Proposed Condition</t>
  </si>
  <si>
    <t>Encroachment into Watercourse</t>
  </si>
  <si>
    <t>multiplier</t>
  </si>
  <si>
    <t>Riparian Encroachment for Both Banks</t>
  </si>
  <si>
    <t>Description of multiplier</t>
  </si>
  <si>
    <t>Strategic multiplier</t>
  </si>
  <si>
    <t>Distinctiveness Category</t>
  </si>
  <si>
    <t>Suggested Action</t>
  </si>
  <si>
    <t>Priority Habitat</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</si>
  <si>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</si>
  <si>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</si>
  <si>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</si>
  <si>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</si>
  <si>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</si>
  <si>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</si>
  <si>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</si>
  <si>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</si>
  <si>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</si>
  <si>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</si>
  <si>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</si>
  <si>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</si>
  <si>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</si>
  <si>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</si>
  <si>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</si>
  <si>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</si>
  <si>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</si>
  <si>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</si>
  <si>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</si>
  <si>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</si>
  <si>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</si>
  <si>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</si>
  <si>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</si>
  <si>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</si>
  <si>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</si>
  <si>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</si>
  <si>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</si>
  <si>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</si>
  <si>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</si>
  <si>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</si>
  <si>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</si>
  <si>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</si>
  <si>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</si>
  <si>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</si>
  <si>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Version</t>
  </si>
  <si>
    <t>Changes made</t>
  </si>
  <si>
    <t>Date released</t>
  </si>
  <si>
    <t>Version 1.0.0</t>
  </si>
  <si>
    <t xml:space="preserve"> Initial statutory version</t>
  </si>
  <si>
    <t>29th November 2023</t>
  </si>
  <si>
    <t>Version 1.0.1</t>
  </si>
  <si>
    <t>Amended to fix an error in the irreplaceable habitats dropdown and minor changes to the working of the tool such as ensuring the rows auto populate correctly and cells adjust their height so error messages can be read</t>
  </si>
  <si>
    <t>15th December 2023</t>
  </si>
  <si>
    <t>Version 1.0.2</t>
  </si>
  <si>
    <t>12th February 2024</t>
  </si>
  <si>
    <t>Version 1.0.3</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</si>
  <si>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</si>
  <si>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</si>
  <si>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</si>
  <si>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</si>
  <si>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</si>
  <si>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</si>
  <si>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</si>
  <si>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</si>
  <si>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</si>
  <si>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</si>
  <si>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</si>
  <si>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</si>
  <si>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</si>
  <si>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</si>
  <si>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</si>
  <si>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</si>
  <si>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</si>
  <si>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</si>
  <si>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</si>
  <si>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</si>
  <si>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</si>
  <si>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</si>
  <si>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</si>
  <si>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</si>
  <si>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</si>
  <si>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</si>
  <si>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</si>
  <si>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</si>
  <si>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</si>
  <si>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</si>
  <si>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</si>
  <si>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</si>
  <si>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</si>
  <si>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</si>
  <si>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</si>
  <si>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</si>
  <si>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</si>
  <si>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</si>
  <si>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</si>
  <si>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</si>
  <si>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</si>
  <si>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</si>
  <si>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</si>
  <si>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</si>
  <si>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</si>
  <si>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</si>
  <si>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</si>
  <si>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</si>
  <si>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</si>
  <si>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</si>
  <si>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</si>
  <si>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</si>
  <si>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</si>
  <si>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</si>
  <si>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</si>
  <si>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</si>
  <si>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</si>
  <si>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</si>
  <si>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</si>
  <si>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</si>
  <si>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</si>
  <si>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</si>
  <si>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</si>
  <si>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</si>
  <si>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</si>
  <si>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</si>
  <si>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</si>
  <si>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</si>
  <si>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</si>
  <si>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</si>
  <si>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</si>
  <si>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</si>
  <si>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</si>
  <si>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</si>
  <si>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</si>
  <si>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</si>
  <si>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</si>
  <si>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</si>
  <si>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</si>
  <si>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</si>
  <si>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</si>
  <si>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</si>
  <si>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</si>
  <si>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</si>
  <si>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</si>
  <si>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</si>
  <si>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</si>
  <si>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</si>
  <si>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</si>
  <si>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</si>
  <si>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</si>
  <si>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</si>
  <si>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</si>
  <si>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</si>
  <si>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</si>
  <si>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</si>
  <si>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</si>
  <si>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</si>
  <si>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</si>
  <si>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</si>
  <si>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</si>
  <si>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</si>
  <si>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</si>
  <si>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</si>
  <si>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</si>
  <si>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</si>
  <si>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</si>
  <si>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</si>
  <si>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</si>
  <si>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</si>
  <si>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</si>
  <si>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type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</si>
  <si>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</si>
  <si>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</si>
  <si>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</si>
  <si>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</si>
  <si>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</si>
  <si>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</si>
  <si>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</si>
  <si>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</si>
  <si>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</si>
  <si>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</si>
  <si>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</si>
  <si>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</si>
  <si>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</si>
  <si>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</si>
  <si>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</si>
  <si>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</si>
  <si>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</si>
  <si>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</si>
  <si>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</si>
  <si>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</si>
  <si>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</si>
  <si>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</si>
  <si>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</si>
  <si>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</si>
  <si>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</si>
  <si>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</si>
  <si>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</si>
  <si>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</si>
  <si>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</si>
  <si>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</si>
  <si>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</si>
  <si>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</si>
  <si>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</si>
  <si>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</si>
  <si>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</si>
  <si>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</si>
  <si>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</si>
  <si>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</si>
  <si>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</si>
  <si>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</si>
  <si>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</si>
  <si>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</si>
  <si>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</si>
  <si>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</si>
  <si>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</si>
  <si>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</si>
  <si>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</si>
  <si>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</si>
  <si>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</si>
  <si>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</si>
  <si>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</si>
  <si>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</si>
  <si>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</si>
  <si>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</si>
  <si>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</si>
  <si>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</si>
  <si>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</si>
  <si>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</si>
  <si>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</si>
  <si>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</si>
  <si>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</si>
  <si>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</si>
  <si>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</si>
  <si>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</si>
  <si>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</si>
  <si>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</si>
  <si>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</si>
  <si>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</si>
  <si>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</si>
  <si>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</si>
  <si>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</si>
  <si>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</si>
  <si>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</si>
  <si>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</si>
  <si>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</si>
  <si>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</si>
  <si>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</si>
  <si>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</si>
  <si>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</si>
  <si>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</si>
  <si>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</si>
  <si>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</si>
  <si>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</si>
  <si>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</si>
  <si>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</si>
  <si>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</si>
  <si>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</si>
  <si>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</si>
  <si>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</si>
  <si>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</si>
  <si>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</si>
  <si>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</si>
  <si>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</si>
  <si>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</si>
  <si>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</si>
  <si>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</si>
  <si>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</si>
  <si>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</si>
  <si>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</si>
  <si>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</si>
  <si>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</si>
  <si>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</si>
  <si>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</si>
  <si>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</si>
  <si>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</si>
  <si>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</si>
  <si>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</si>
  <si>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</si>
  <si>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</si>
  <si>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</si>
  <si>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</si>
  <si>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</si>
  <si>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</si>
  <si>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</si>
  <si>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</si>
  <si>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</si>
  <si>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</si>
  <si>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</si>
  <si>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</si>
  <si>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</si>
  <si>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</si>
  <si>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</si>
  <si>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</si>
  <si>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</si>
  <si>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</si>
  <si>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</si>
  <si>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</si>
  <si>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</si>
  <si>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</si>
  <si>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</si>
  <si>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</si>
  <si>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</si>
  <si>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</si>
  <si>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</si>
  <si>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</si>
  <si>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</si>
  <si>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</si>
  <si>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</si>
  <si>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</si>
  <si>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</si>
  <si>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</si>
  <si>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</si>
  <si>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</si>
  <si>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</si>
  <si>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</si>
  <si>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</si>
  <si>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</si>
  <si>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</si>
  <si>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</si>
  <si>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</si>
  <si>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</si>
  <si>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</si>
  <si>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</si>
  <si>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</si>
  <si>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</si>
  <si>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</si>
  <si>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</si>
  <si>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</si>
  <si>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</si>
  <si>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</si>
  <si>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</si>
  <si>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</si>
  <si>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</si>
  <si>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</si>
  <si>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</si>
  <si>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</si>
  <si>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</si>
  <si>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</si>
  <si>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</si>
  <si>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</si>
  <si>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</si>
  <si>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</si>
  <si>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</si>
  <si>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</si>
  <si>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</si>
  <si>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</si>
  <si>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</si>
  <si>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</si>
  <si>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</si>
  <si>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</si>
  <si>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</si>
  <si>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</si>
  <si>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</si>
  <si>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</si>
  <si>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</si>
  <si>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</si>
  <si>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</si>
  <si>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</si>
  <si>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</si>
  <si>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</si>
  <si>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</si>
  <si>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</si>
  <si>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</si>
  <si>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</si>
  <si>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</si>
  <si>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</si>
  <si>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</si>
  <si>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</si>
  <si>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</si>
  <si>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</si>
  <si>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</si>
  <si>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</si>
  <si>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</si>
  <si>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</si>
  <si>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</si>
  <si>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</si>
  <si>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</si>
  <si>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</si>
  <si>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</si>
  <si>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</si>
  <si>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</si>
  <si>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</si>
  <si>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</si>
  <si>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</si>
  <si>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</si>
  <si>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</si>
  <si>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</si>
  <si>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</si>
  <si>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</si>
  <si>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</si>
  <si>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</si>
  <si>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</si>
  <si>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</si>
  <si>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</si>
  <si>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</si>
  <si>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</si>
  <si>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</si>
  <si>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</si>
  <si>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</si>
  <si>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</si>
  <si>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</si>
  <si>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</si>
  <si>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</si>
  <si>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</si>
  <si>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</si>
  <si>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</si>
  <si>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</si>
  <si>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</si>
  <si>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</si>
  <si>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</si>
  <si>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</si>
  <si>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</si>
  <si>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</si>
  <si>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</si>
  <si>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</si>
  <si>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</si>
  <si>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</si>
  <si>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</si>
  <si>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</si>
  <si>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</si>
  <si>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</si>
  <si>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</si>
  <si>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</si>
  <si>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</si>
  <si>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</si>
  <si>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</si>
  <si>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</si>
  <si>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</si>
  <si>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</si>
  <si>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</si>
  <si>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</si>
  <si>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</si>
  <si>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</si>
  <si>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</si>
  <si>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</si>
  <si>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</si>
  <si>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</si>
  <si>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</si>
  <si>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</si>
  <si>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</si>
  <si>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</si>
  <si>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</si>
  <si>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</si>
  <si>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</si>
  <si>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</si>
  <si>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</si>
  <si>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</si>
  <si>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</si>
  <si>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</si>
  <si>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</si>
  <si>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</si>
  <si>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</si>
  <si>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</si>
  <si>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</si>
  <si>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</si>
  <si>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</si>
  <si>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</si>
  <si>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</si>
  <si>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</si>
  <si>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</si>
  <si>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</si>
  <si>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</si>
  <si>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</si>
  <si>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</si>
  <si>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</si>
  <si>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</si>
  <si>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</si>
  <si>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</si>
  <si>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</si>
  <si>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</si>
  <si>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</si>
  <si>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</si>
  <si>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</si>
  <si>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</si>
  <si>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</si>
  <si>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</si>
  <si>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</si>
  <si>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</si>
  <si>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</si>
  <si>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</si>
  <si>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</si>
  <si>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</si>
  <si>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</si>
  <si>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</si>
  <si>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</si>
  <si>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</si>
  <si>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</si>
  <si>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</si>
  <si>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</si>
  <si>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</si>
  <si>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</si>
  <si>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</si>
  <si>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</si>
  <si>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</si>
  <si>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</si>
  <si>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</si>
  <si>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</si>
  <si>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</si>
  <si>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</si>
  <si>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</si>
  <si>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</si>
  <si>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</si>
  <si>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</si>
  <si>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</si>
  <si>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</si>
  <si>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</si>
  <si>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</si>
  <si>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</si>
  <si>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</si>
  <si>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</si>
  <si>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</si>
  <si>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</si>
  <si>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</si>
  <si>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</si>
  <si>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</si>
  <si>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</si>
  <si>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</si>
  <si>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</si>
  <si>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</si>
  <si>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</si>
  <si>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</si>
  <si>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</si>
  <si>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</si>
  <si>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</si>
  <si>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</si>
  <si>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</si>
  <si>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</si>
  <si>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</si>
  <si>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</si>
  <si>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</si>
  <si>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</si>
  <si>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</si>
  <si>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</si>
  <si>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</si>
  <si>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</si>
  <si>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</si>
  <si>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</si>
  <si>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</si>
  <si>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</si>
  <si>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</si>
  <si>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</si>
  <si>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</si>
  <si>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</si>
  <si>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</si>
  <si>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</si>
  <si>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</si>
  <si>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</si>
  <si>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</si>
  <si>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</si>
  <si>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</si>
  <si>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</si>
  <si>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</si>
  <si>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</si>
  <si>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</si>
  <si>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</si>
  <si>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</si>
  <si>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</si>
  <si>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</si>
  <si>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</si>
  <si>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</si>
  <si>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</si>
  <si>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</si>
  <si>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</si>
  <si>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</si>
  <si>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</si>
  <si>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</si>
  <si>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</si>
  <si>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</si>
  <si>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</si>
  <si>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</si>
  <si>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</si>
  <si>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</si>
  <si>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</si>
  <si>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Updated to correct some labelling errors, minor formula errors and expand width of columns</t>
  </si>
  <si>
    <t>Losses after Rule 1</t>
  </si>
  <si>
    <t>Sum of Rule 1 by Tier</t>
  </si>
  <si>
    <t>Ratio (Final losses/Sum of Rule 1)</t>
  </si>
  <si>
    <t>Ratio X Broad Habitat Loss (After Rule 1)</t>
  </si>
  <si>
    <t>Calculations for Losses by Broad Habitat Group</t>
  </si>
  <si>
    <t>Medium Distinctiveness Credits by Broad Habitat Group (SRM applied)</t>
  </si>
  <si>
    <t>Credits (SRM applied)</t>
  </si>
  <si>
    <t>Minor formatting errors corrected to ensure text is visible and flags appear correctly, version history sheet added.</t>
  </si>
  <si>
    <t>23rd July 2024</t>
  </si>
  <si>
    <t>Artificial hard structures are man-made structures fulfilling a range of functions (for example coastal defences, port, harbour and marina installations, energy infrastructure, aquaculture). They can be made of various hard materials (artificial or natural rock, wood, plastics, metal) that would not normally be found in the area they are being deployed. Examples: seawalls, breakwaters, groynes, jetties, pilings, aquaculture trestles.</t>
  </si>
  <si>
    <t>Where natural materials (most commonly naturally occurring rock) are used to create man-made structures for a range of functions (for example coastal defences, aquaculture). The structures’ designs must maximise likeness to the naturally occurring hard habitats from that area in terms of material (for example geological origin), position (tidal level, exposure, aspect), topographic complexity (surface roughness, availability of microhabitat like rock pools or crevices, slope), to support their colonisation with species naturally occurring in the area and to maximise benefits for biodiversity and ecosystem function. Examples: breakwaters or seawalls built with materials local to the region, and with depressions (rock pools) added during the design process or retrospectively</t>
  </si>
  <si>
    <t>Artificial sedimentary habitats will be those that cannot meet the general natural definition, particularly in respect to using substrate that is not of marine origin or that cannot remain in situation without significant engineering. Beneficial use &amp; beach recharge or replenishment: Provided these use the same sediment type as originally present they fall into enhancement of existing habitats. In these situations, do not use the artificial habitat definition. Ensuring condition is as good as or better than originally and still requiring the 10% biodiversity unit gain. If it’s a different sediment type then it will be habitat creation – to be considered natural sediment creation the scheme must meet the natural habitat definition including an aim for biodiversity conservation. Otherwise, they will be considered artificial in the metric. Examples of artificial littoral sediment habitats: Sediments deposited around artificial islands, sediments contained in floating devices</t>
  </si>
  <si>
    <t>See basic description for 'Artificial saltmarshes and saline reedbeds'.</t>
  </si>
  <si>
    <t>See above</t>
  </si>
  <si>
    <t>For these habitats the artificial nature is determined by the underlying substrate, most restoration activities will fall under the net gain definition of recreated natural habitats. Situations that fall under artificial will be limited but not impossible and include any base substrate that falls under artificial in the definition above. Example: floating habitat creation systems where the underlying substrate is artificially contained.</t>
  </si>
  <si>
    <t>Where man-made materials are used to create artificial versions of A1.4 Features of littoral rock</t>
  </si>
  <si>
    <t>FPCR Environment and Design Ltd</t>
  </si>
  <si>
    <t>Chickenhall Lane</t>
  </si>
  <si>
    <t>ONG</t>
  </si>
  <si>
    <t xml:space="preserve">Barton River </t>
  </si>
  <si>
    <t xml:space="preserve">Module 1 next to bridge enroachment into watercourse artificial banks </t>
  </si>
  <si>
    <t>area where road is 9+m from bank top but within 10m</t>
  </si>
  <si>
    <t xml:space="preserve">Highwood Group </t>
  </si>
  <si>
    <t>Full</t>
  </si>
  <si>
    <t>TBC</t>
  </si>
  <si>
    <t>Issue</t>
  </si>
  <si>
    <t>H2</t>
  </si>
  <si>
    <t>H3</t>
  </si>
  <si>
    <t>H1</t>
  </si>
  <si>
    <t>G1</t>
  </si>
  <si>
    <t>2 large poplars cut down already T6 and T7 (Based off arb reports)</t>
  </si>
  <si>
    <t>loss of 1 tree in development (small budleia)</t>
  </si>
  <si>
    <t>29 GI proposed trees</t>
  </si>
  <si>
    <t>28 small trees in poor condition to be planted</t>
  </si>
  <si>
    <t>19.06.25</t>
  </si>
  <si>
    <t>APD / 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</si>
</sst>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00"/>
    <numFmt numFmtId="167" formatCode="0.0000"/>
    <numFmt numFmtId="168" formatCode="[$-F800]dddd\,\ mmmm\ dd\,\ yyyy"/>
  </numFmts>
  <fonts count="7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
      <b/>
      <sz val="20"/>
      <color theme="0"/>
      <name val="Rockwell Light"/>
      <family val="1"/>
    </font>
    <font>
      <sz val="11"/>
      <color theme="0"/>
      <name val="Rockwell Light"/>
      <family val="1"/>
    </font>
    <font>
      <b/>
      <sz val="11"/>
      <color rgb="FFABC3C9"/>
      <name val="Rockwell Light"/>
      <family val="1"/>
    </font>
    <font>
      <sz val="12"/>
      <name val="Segoe UI Symbol"/>
      <family val="2"/>
    </font>
    <font>
      <b/>
      <sz val="11"/>
      <color theme="1"/>
      <name val="Calibri"/>
      <family val="2"/>
      <scheme val="minor"/>
    </font>
    <font>
      <b/>
      <sz val="20"/>
      <color theme="1"/>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rgb="FF000000"/>
        <bgColor indexed="64"/>
      </patternFill>
    </fill>
    <fill>
      <patternFill patternType="solid">
        <fgColor rgb="FFFFFF00"/>
        <bgColor indexed="64"/>
      </patternFill>
    </fill>
    <fill>
      <patternFill patternType="solid">
        <fgColor rgb="FFBEE296"/>
        <bgColor indexed="64"/>
      </patternFill>
    </fill>
  </fills>
  <borders count="84">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s>
  <cellStyleXfs count="33">
    <xf numFmtId="0" fontId="0"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9" fontId="2" fillId="0" borderId="0" applyFont="0" applyFill="0" applyBorder="0" applyAlignment="0" applyProtection="0"/>
  </cellStyleXfs>
  <cellXfs count="1915">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0" borderId="42" xfId="0" applyFont="1" applyBorder="1" applyAlignment="1" applyProtection="1">
      <alignment horizontal="center" vertical="center"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1" fillId="11" borderId="5" xfId="0" applyFont="1" applyFill="1" applyBorder="1" applyAlignment="1">
      <alignment horizontal="center" vertical="center"/>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9" borderId="57" xfId="0" applyFont="1" applyFill="1" applyBorder="1" applyAlignment="1">
      <alignment horizontal="center" vertical="center" wrapText="1"/>
    </xf>
    <xf numFmtId="0" fontId="20" fillId="9" borderId="0" xfId="0" applyFont="1" applyFill="1"/>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5" fillId="11" borderId="0" xfId="0" applyFont="1" applyFill="1" applyAlignment="1">
      <alignment wrapText="1"/>
    </xf>
    <xf numFmtId="0" fontId="31" fillId="5" borderId="13" xfId="0" applyFont="1" applyFill="1" applyBorder="1" applyAlignment="1">
      <alignment horizontal="center" vertical="center"/>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17" fontId="31" fillId="5" borderId="5" xfId="0" applyNumberFormat="1" applyFont="1" applyFill="1" applyBorder="1" applyAlignment="1">
      <alignment horizontal="center" vertical="center" wrapText="1"/>
    </xf>
    <xf numFmtId="0" fontId="31" fillId="5" borderId="9" xfId="0" applyFont="1" applyFill="1" applyBorder="1"/>
    <xf numFmtId="0" fontId="31" fillId="5" borderId="11"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75"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19" borderId="52" xfId="0" applyNumberFormat="1" applyFont="1" applyFill="1" applyBorder="1" applyAlignment="1">
      <alignment horizontal="center" vertical="center" wrapText="1"/>
    </xf>
    <xf numFmtId="2" fontId="35" fillId="19" borderId="38" xfId="0" applyNumberFormat="1" applyFont="1" applyFill="1" applyBorder="1" applyAlignment="1">
      <alignment horizontal="center" vertical="center"/>
    </xf>
    <xf numFmtId="2" fontId="31" fillId="19" borderId="30" xfId="0" applyNumberFormat="1" applyFont="1" applyFill="1" applyBorder="1" applyAlignment="1">
      <alignment horizontal="center" vertical="center" wrapText="1"/>
    </xf>
    <xf numFmtId="2" fontId="31" fillId="20" borderId="5"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xf>
    <xf numFmtId="2" fontId="31" fillId="20" borderId="17" xfId="0" applyNumberFormat="1" applyFont="1" applyFill="1" applyBorder="1" applyAlignment="1">
      <alignment horizontal="center" vertical="center"/>
    </xf>
    <xf numFmtId="2" fontId="31" fillId="20" borderId="18" xfId="0" applyNumberFormat="1" applyFont="1" applyFill="1" applyBorder="1" applyAlignment="1">
      <alignment horizontal="center" vertical="center"/>
    </xf>
    <xf numFmtId="2" fontId="31" fillId="20" borderId="10" xfId="0" applyNumberFormat="1" applyFont="1" applyFill="1" applyBorder="1" applyAlignment="1">
      <alignment horizontal="center" vertical="center"/>
    </xf>
    <xf numFmtId="2" fontId="31" fillId="20" borderId="11" xfId="0" applyNumberFormat="1" applyFont="1" applyFill="1" applyBorder="1" applyAlignment="1">
      <alignment horizontal="center" vertical="center"/>
    </xf>
    <xf numFmtId="2" fontId="31" fillId="20" borderId="5" xfId="0" applyNumberFormat="1" applyFont="1" applyFill="1" applyBorder="1"/>
    <xf numFmtId="0" fontId="31" fillId="20" borderId="25" xfId="0" applyFont="1" applyFill="1" applyBorder="1" applyAlignment="1">
      <alignment horizontal="center" vertical="center" wrapText="1"/>
    </xf>
    <xf numFmtId="0" fontId="31" fillId="20" borderId="26" xfId="0" applyFont="1" applyFill="1" applyBorder="1" applyAlignment="1">
      <alignment horizontal="center" vertical="center" wrapText="1"/>
    </xf>
    <xf numFmtId="0" fontId="31" fillId="20" borderId="13" xfId="0" applyFont="1" applyFill="1" applyBorder="1" applyAlignment="1">
      <alignment horizontal="center" vertical="center" wrapText="1"/>
    </xf>
    <xf numFmtId="0" fontId="31" fillId="20" borderId="22" xfId="0" applyFont="1" applyFill="1" applyBorder="1" applyAlignment="1">
      <alignment horizontal="center" vertical="center" wrapText="1"/>
    </xf>
    <xf numFmtId="2" fontId="35" fillId="19" borderId="54" xfId="0" applyNumberFormat="1" applyFont="1" applyFill="1" applyBorder="1" applyAlignment="1">
      <alignment horizontal="center" vertical="center" wrapText="1"/>
    </xf>
    <xf numFmtId="0" fontId="31" fillId="20" borderId="17" xfId="0" applyFont="1" applyFill="1" applyBorder="1" applyAlignment="1">
      <alignment horizontal="center" vertical="center" wrapText="1"/>
    </xf>
    <xf numFmtId="0" fontId="31" fillId="20" borderId="67" xfId="0" applyFont="1" applyFill="1" applyBorder="1" applyAlignment="1">
      <alignment horizontal="center" vertical="center" wrapText="1"/>
    </xf>
    <xf numFmtId="0" fontId="31" fillId="20" borderId="44" xfId="0" applyFont="1" applyFill="1" applyBorder="1" applyAlignment="1">
      <alignment horizontal="center" vertical="center" wrapText="1"/>
    </xf>
    <xf numFmtId="0" fontId="31" fillId="20" borderId="42" xfId="0" applyFont="1" applyFill="1" applyBorder="1" applyAlignment="1">
      <alignment horizontal="center" vertical="center" wrapText="1"/>
    </xf>
    <xf numFmtId="0" fontId="31" fillId="20" borderId="18" xfId="0" applyFont="1" applyFill="1" applyBorder="1" applyAlignment="1">
      <alignment horizontal="center" vertical="center" wrapText="1"/>
    </xf>
    <xf numFmtId="0" fontId="31" fillId="20" borderId="64" xfId="0" applyFont="1" applyFill="1" applyBorder="1" applyAlignment="1">
      <alignment horizontal="center" vertical="center" wrapText="1"/>
    </xf>
    <xf numFmtId="0" fontId="31" fillId="20" borderId="45" xfId="0" applyFont="1" applyFill="1" applyBorder="1" applyAlignment="1">
      <alignment horizontal="center" vertical="center" wrapText="1"/>
    </xf>
    <xf numFmtId="2" fontId="31" fillId="20" borderId="42" xfId="0" applyNumberFormat="1" applyFont="1" applyFill="1" applyBorder="1" applyAlignment="1">
      <alignment horizontal="center" vertical="center" wrapText="1"/>
    </xf>
    <xf numFmtId="2" fontId="31" fillId="20" borderId="18" xfId="0" applyNumberFormat="1" applyFont="1" applyFill="1" applyBorder="1" applyAlignment="1">
      <alignment horizontal="center" vertical="center" wrapText="1"/>
    </xf>
    <xf numFmtId="2" fontId="31" fillId="19" borderId="49" xfId="0" applyNumberFormat="1" applyFont="1" applyFill="1" applyBorder="1" applyAlignment="1">
      <alignment horizontal="center" vertical="center" wrapText="1"/>
    </xf>
    <xf numFmtId="2" fontId="35" fillId="19" borderId="11" xfId="0" applyNumberFormat="1" applyFont="1" applyFill="1" applyBorder="1" applyAlignment="1">
      <alignment horizontal="center" vertical="center"/>
    </xf>
    <xf numFmtId="2" fontId="31" fillId="19" borderId="42" xfId="0" applyNumberFormat="1" applyFont="1" applyFill="1" applyBorder="1" applyAlignment="1">
      <alignment horizontal="center" vertical="center" wrapText="1"/>
    </xf>
    <xf numFmtId="2" fontId="35" fillId="19" borderId="9" xfId="0" applyNumberFormat="1" applyFont="1" applyFill="1" applyBorder="1" applyAlignment="1">
      <alignment horizontal="center" vertical="center"/>
    </xf>
    <xf numFmtId="2" fontId="35" fillId="19" borderId="10" xfId="0" applyNumberFormat="1" applyFont="1" applyFill="1" applyBorder="1" applyAlignment="1">
      <alignment horizontal="center" vertical="center"/>
    </xf>
    <xf numFmtId="2" fontId="35" fillId="19" borderId="11" xfId="0" applyNumberFormat="1" applyFont="1" applyFill="1" applyBorder="1" applyAlignment="1">
      <alignment horizontal="center" vertical="center" wrapText="1"/>
    </xf>
    <xf numFmtId="0" fontId="31" fillId="20" borderId="5" xfId="0" applyFont="1" applyFill="1" applyBorder="1" applyAlignment="1">
      <alignment horizontal="center" vertical="center" wrapText="1"/>
    </xf>
    <xf numFmtId="0" fontId="31" fillId="20" borderId="42" xfId="0" applyFont="1" applyFill="1" applyBorder="1" applyAlignment="1">
      <alignment horizontal="center" vertical="center"/>
    </xf>
    <xf numFmtId="166" fontId="31" fillId="20" borderId="26" xfId="0" applyNumberFormat="1" applyFont="1" applyFill="1" applyBorder="1" applyAlignment="1">
      <alignment horizontal="center" vertical="center" wrapText="1"/>
    </xf>
    <xf numFmtId="0" fontId="31" fillId="20" borderId="6" xfId="0" applyFont="1" applyFill="1" applyBorder="1" applyAlignment="1">
      <alignment horizontal="center" vertical="center" wrapText="1"/>
    </xf>
    <xf numFmtId="0" fontId="31" fillId="20" borderId="21" xfId="0" applyFont="1" applyFill="1" applyBorder="1" applyAlignment="1">
      <alignment horizontal="center" vertical="center" wrapText="1"/>
    </xf>
    <xf numFmtId="166" fontId="31" fillId="20" borderId="21" xfId="0" applyNumberFormat="1" applyFont="1" applyFill="1" applyBorder="1" applyAlignment="1">
      <alignment horizontal="center" vertical="center" wrapText="1"/>
    </xf>
    <xf numFmtId="0" fontId="31" fillId="20" borderId="18" xfId="0" applyFont="1" applyFill="1" applyBorder="1" applyAlignment="1">
      <alignment horizontal="center" vertical="center"/>
    </xf>
    <xf numFmtId="0" fontId="31" fillId="20" borderId="58" xfId="0" applyFont="1" applyFill="1" applyBorder="1" applyAlignment="1">
      <alignment horizontal="center" vertical="center" wrapText="1"/>
    </xf>
    <xf numFmtId="2" fontId="31" fillId="19" borderId="67" xfId="0" applyNumberFormat="1" applyFont="1" applyFill="1" applyBorder="1" applyAlignment="1">
      <alignment horizontal="center" vertical="center" wrapText="1"/>
    </xf>
    <xf numFmtId="2" fontId="31" fillId="19" borderId="64" xfId="0" applyNumberFormat="1" applyFont="1" applyFill="1" applyBorder="1" applyAlignment="1">
      <alignment horizontal="center" vertical="center" wrapText="1"/>
    </xf>
    <xf numFmtId="0" fontId="39" fillId="20" borderId="12" xfId="9" applyFont="1" applyFill="1" applyBorder="1" applyAlignment="1">
      <alignment horizontal="center" vertical="center"/>
    </xf>
    <xf numFmtId="2" fontId="31" fillId="20" borderId="5" xfId="0" applyNumberFormat="1" applyFont="1" applyFill="1" applyBorder="1" applyAlignment="1">
      <alignment horizontal="center" vertical="center" wrapText="1"/>
    </xf>
    <xf numFmtId="0" fontId="39" fillId="20" borderId="41" xfId="9" applyFont="1" applyFill="1" applyBorder="1" applyAlignment="1">
      <alignment horizontal="center" vertical="center"/>
    </xf>
    <xf numFmtId="0" fontId="31" fillId="20" borderId="66" xfId="0" applyFont="1" applyFill="1" applyBorder="1" applyAlignment="1">
      <alignment horizontal="center" vertical="center" wrapText="1"/>
    </xf>
    <xf numFmtId="2" fontId="31" fillId="20" borderId="66" xfId="0" applyNumberFormat="1" applyFont="1" applyFill="1" applyBorder="1" applyAlignment="1">
      <alignment horizontal="center" vertical="center" wrapText="1"/>
    </xf>
    <xf numFmtId="0" fontId="31" fillId="20" borderId="43" xfId="0" applyFont="1" applyFill="1" applyBorder="1" applyAlignment="1">
      <alignment horizontal="center" vertical="center" wrapText="1"/>
    </xf>
    <xf numFmtId="0" fontId="31" fillId="20" borderId="12" xfId="0" applyFont="1" applyFill="1" applyBorder="1" applyAlignment="1">
      <alignment horizontal="center" vertical="center" wrapText="1"/>
    </xf>
    <xf numFmtId="0" fontId="31" fillId="20" borderId="41" xfId="0" applyFont="1" applyFill="1" applyBorder="1" applyAlignment="1">
      <alignment horizontal="center" vertical="center" wrapText="1"/>
    </xf>
    <xf numFmtId="0" fontId="31" fillId="20" borderId="2" xfId="0" applyFont="1" applyFill="1" applyBorder="1" applyAlignment="1">
      <alignment horizontal="center" vertical="center"/>
    </xf>
    <xf numFmtId="0" fontId="31" fillId="20" borderId="60" xfId="0" applyFont="1" applyFill="1" applyBorder="1" applyAlignment="1">
      <alignment horizontal="center" vertical="center" wrapText="1"/>
    </xf>
    <xf numFmtId="2" fontId="35" fillId="19" borderId="38" xfId="0" applyNumberFormat="1" applyFont="1" applyFill="1" applyBorder="1" applyAlignment="1">
      <alignment horizontal="center" vertical="center" wrapText="1"/>
    </xf>
    <xf numFmtId="0" fontId="31" fillId="20" borderId="5" xfId="0" applyFont="1" applyFill="1" applyBorder="1" applyAlignment="1">
      <alignment horizontal="center" vertical="center"/>
    </xf>
    <xf numFmtId="2" fontId="31" fillId="19" borderId="26" xfId="0" applyNumberFormat="1" applyFont="1" applyFill="1" applyBorder="1" applyAlignment="1">
      <alignment horizontal="center" vertical="center" wrapText="1"/>
    </xf>
    <xf numFmtId="2" fontId="31" fillId="19" borderId="22" xfId="0" applyNumberFormat="1" applyFont="1" applyFill="1" applyBorder="1" applyAlignment="1">
      <alignment horizontal="center" vertical="center" wrapText="1"/>
    </xf>
    <xf numFmtId="0" fontId="39" fillId="20" borderId="12" xfId="9" applyFont="1" applyFill="1" applyBorder="1" applyAlignment="1">
      <alignment horizontal="center" vertical="center" wrapText="1"/>
    </xf>
    <xf numFmtId="0" fontId="39" fillId="20" borderId="41" xfId="9" applyFont="1" applyFill="1" applyBorder="1" applyAlignment="1">
      <alignment horizontal="center" vertical="center" wrapText="1"/>
    </xf>
    <xf numFmtId="2" fontId="35" fillId="19" borderId="54" xfId="0" applyNumberFormat="1" applyFont="1" applyFill="1" applyBorder="1"/>
    <xf numFmtId="2" fontId="35" fillId="19" borderId="54" xfId="0" applyNumberFormat="1" applyFont="1" applyFill="1" applyBorder="1" applyAlignment="1">
      <alignment horizontal="center" vertical="center"/>
    </xf>
    <xf numFmtId="0" fontId="31" fillId="20" borderId="2" xfId="0" applyFont="1" applyFill="1" applyBorder="1" applyAlignment="1">
      <alignment horizontal="center" vertical="center" wrapText="1"/>
    </xf>
    <xf numFmtId="2" fontId="35" fillId="19" borderId="59" xfId="0" applyNumberFormat="1" applyFont="1" applyFill="1" applyBorder="1" applyAlignment="1">
      <alignment horizontal="center" vertical="center" wrapText="1"/>
    </xf>
    <xf numFmtId="2" fontId="31" fillId="19" borderId="40" xfId="0" applyNumberFormat="1" applyFont="1" applyFill="1" applyBorder="1" applyAlignment="1">
      <alignment horizontal="center" vertical="center" wrapText="1"/>
    </xf>
    <xf numFmtId="2" fontId="35" fillId="19" borderId="30" xfId="0" applyNumberFormat="1" applyFont="1" applyFill="1" applyBorder="1" applyAlignment="1">
      <alignment horizontal="center" vertical="center" wrapText="1"/>
    </xf>
    <xf numFmtId="2" fontId="31" fillId="19" borderId="21" xfId="0" applyNumberFormat="1" applyFont="1" applyFill="1" applyBorder="1" applyAlignment="1">
      <alignment horizontal="center" vertical="center" wrapText="1"/>
    </xf>
    <xf numFmtId="0" fontId="39" fillId="20" borderId="13" xfId="9" applyFont="1" applyFill="1" applyBorder="1" applyAlignment="1">
      <alignment horizontal="center" vertical="center"/>
    </xf>
    <xf numFmtId="0" fontId="31" fillId="20" borderId="4" xfId="0" applyFont="1" applyFill="1" applyBorder="1" applyAlignment="1">
      <alignment horizontal="center" vertical="center" wrapText="1"/>
    </xf>
    <xf numFmtId="0" fontId="31" fillId="20" borderId="32" xfId="0" applyFont="1" applyFill="1" applyBorder="1" applyAlignment="1">
      <alignment horizontal="center" vertical="center" wrapText="1"/>
    </xf>
    <xf numFmtId="167" fontId="21" fillId="19" borderId="5" xfId="0" applyNumberFormat="1" applyFont="1" applyFill="1" applyBorder="1" applyAlignment="1">
      <alignment horizontal="center" vertical="center" wrapText="1"/>
    </xf>
    <xf numFmtId="167" fontId="22" fillId="20" borderId="5" xfId="0" applyNumberFormat="1" applyFont="1" applyFill="1" applyBorder="1" applyAlignment="1">
      <alignment horizontal="center" vertical="center" wrapText="1"/>
    </xf>
    <xf numFmtId="2" fontId="35" fillId="19" borderId="24" xfId="0" applyNumberFormat="1" applyFont="1" applyFill="1" applyBorder="1" applyAlignment="1">
      <alignment horizontal="center" vertical="center" wrapText="1"/>
    </xf>
    <xf numFmtId="166" fontId="31" fillId="20" borderId="42" xfId="0" applyNumberFormat="1" applyFont="1" applyFill="1" applyBorder="1" applyAlignment="1">
      <alignment horizontal="center" vertical="center" wrapText="1"/>
    </xf>
    <xf numFmtId="2" fontId="35" fillId="19" borderId="79" xfId="0" applyNumberFormat="1" applyFont="1" applyFill="1" applyBorder="1" applyAlignment="1">
      <alignment horizontal="center" vertical="center" wrapText="1"/>
    </xf>
    <xf numFmtId="0" fontId="31" fillId="20" borderId="49" xfId="0" applyFont="1" applyFill="1" applyBorder="1" applyAlignment="1">
      <alignment horizontal="center" vertical="center" wrapText="1"/>
    </xf>
    <xf numFmtId="0" fontId="31" fillId="20" borderId="40" xfId="0" applyFont="1" applyFill="1" applyBorder="1" applyAlignment="1">
      <alignment horizontal="center" vertical="center" wrapText="1"/>
    </xf>
    <xf numFmtId="2" fontId="31" fillId="19" borderId="54" xfId="0" applyNumberFormat="1" applyFont="1" applyFill="1" applyBorder="1" applyAlignment="1">
      <alignment horizontal="center" vertical="center" wrapText="1"/>
    </xf>
    <xf numFmtId="0" fontId="31" fillId="20" borderId="5" xfId="0" applyFont="1" applyFill="1" applyBorder="1" applyAlignment="1">
      <alignment horizontal="center"/>
    </xf>
    <xf numFmtId="0" fontId="35" fillId="20" borderId="5" xfId="0" applyFont="1" applyFill="1" applyBorder="1" applyAlignment="1">
      <alignment horizontal="center" vertical="center"/>
    </xf>
    <xf numFmtId="0" fontId="31" fillId="20" borderId="5" xfId="0" applyFont="1" applyFill="1" applyBorder="1" applyAlignment="1">
      <alignment horizontal="center" vertical="top"/>
    </xf>
    <xf numFmtId="0" fontId="35" fillId="20" borderId="18" xfId="0" applyFont="1" applyFill="1" applyBorder="1" applyAlignment="1">
      <alignment horizontal="center" vertical="center"/>
    </xf>
    <xf numFmtId="0" fontId="41" fillId="20" borderId="5" xfId="0" applyFont="1" applyFill="1" applyBorder="1" applyAlignment="1">
      <alignment horizontal="center" vertical="center"/>
    </xf>
    <xf numFmtId="0" fontId="39" fillId="20" borderId="18" xfId="0" applyFont="1" applyFill="1" applyBorder="1" applyAlignment="1">
      <alignment horizontal="center" vertical="center"/>
    </xf>
    <xf numFmtId="0" fontId="31" fillId="20" borderId="10" xfId="0" applyFont="1" applyFill="1" applyBorder="1" applyAlignment="1">
      <alignment horizontal="center" vertical="center"/>
    </xf>
    <xf numFmtId="0" fontId="31" fillId="20" borderId="10" xfId="0" applyFont="1" applyFill="1" applyBorder="1" applyAlignment="1">
      <alignment horizontal="center" vertical="center" wrapText="1"/>
    </xf>
    <xf numFmtId="2" fontId="31" fillId="20" borderId="5" xfId="0" applyNumberFormat="1" applyFont="1" applyFill="1" applyBorder="1" applyAlignment="1">
      <alignment vertical="top"/>
    </xf>
    <xf numFmtId="0" fontId="31" fillId="20" borderId="0" xfId="0" applyFont="1" applyFill="1" applyAlignment="1">
      <alignment horizontal="center" vertical="center"/>
    </xf>
    <xf numFmtId="0" fontId="31" fillId="20" borderId="22" xfId="0" applyFont="1" applyFill="1" applyBorder="1" applyAlignment="1">
      <alignment horizontal="center" vertical="center"/>
    </xf>
    <xf numFmtId="0" fontId="31" fillId="20" borderId="14" xfId="0" applyFont="1" applyFill="1" applyBorder="1" applyAlignment="1">
      <alignment horizontal="center" vertical="center" wrapText="1"/>
    </xf>
    <xf numFmtId="0" fontId="31" fillId="20" borderId="19" xfId="0" applyFont="1" applyFill="1" applyBorder="1" applyAlignment="1">
      <alignment horizontal="center" vertical="center"/>
    </xf>
    <xf numFmtId="0" fontId="31" fillId="20" borderId="14" xfId="0" applyFont="1" applyFill="1" applyBorder="1" applyAlignment="1">
      <alignment horizontal="center" vertical="center"/>
    </xf>
    <xf numFmtId="0" fontId="31" fillId="20" borderId="17" xfId="0" applyFont="1" applyFill="1" applyBorder="1" applyAlignment="1">
      <alignment horizontal="center" vertical="center"/>
    </xf>
    <xf numFmtId="0" fontId="31" fillId="20" borderId="15" xfId="0" applyFont="1" applyFill="1" applyBorder="1" applyAlignment="1">
      <alignment horizontal="center" vertical="center"/>
    </xf>
    <xf numFmtId="0" fontId="39" fillId="20" borderId="5" xfId="0" applyFont="1" applyFill="1" applyBorder="1" applyAlignment="1">
      <alignment vertical="center" wrapText="1"/>
    </xf>
    <xf numFmtId="0" fontId="31" fillId="20" borderId="12" xfId="0" applyFont="1" applyFill="1" applyBorder="1" applyAlignment="1">
      <alignment horizontal="center" vertical="center"/>
    </xf>
    <xf numFmtId="0" fontId="31" fillId="20" borderId="21" xfId="0" applyFont="1" applyFill="1" applyBorder="1" applyAlignment="1">
      <alignment horizontal="center" vertical="center"/>
    </xf>
    <xf numFmtId="0" fontId="31" fillId="20" borderId="29" xfId="0" applyFont="1" applyFill="1" applyBorder="1" applyAlignment="1">
      <alignment horizontal="center" vertical="center" wrapText="1"/>
    </xf>
    <xf numFmtId="0" fontId="31" fillId="20" borderId="39" xfId="0" applyFont="1" applyFill="1" applyBorder="1" applyAlignment="1">
      <alignment horizontal="center" vertical="center"/>
    </xf>
    <xf numFmtId="0" fontId="31" fillId="20" borderId="55" xfId="0" applyFont="1" applyFill="1" applyBorder="1" applyAlignment="1">
      <alignment horizontal="center" vertical="center" wrapText="1"/>
    </xf>
    <xf numFmtId="0" fontId="31" fillId="20" borderId="13" xfId="0" applyFont="1" applyFill="1" applyBorder="1" applyAlignment="1">
      <alignment horizontal="center" vertical="center"/>
    </xf>
    <xf numFmtId="0" fontId="31" fillId="20" borderId="64" xfId="0" applyFont="1" applyFill="1" applyBorder="1" applyAlignment="1">
      <alignment horizontal="center" vertical="center"/>
    </xf>
    <xf numFmtId="0" fontId="31" fillId="20" borderId="26" xfId="0" applyFont="1" applyFill="1" applyBorder="1" applyAlignment="1">
      <alignment vertical="center"/>
    </xf>
    <xf numFmtId="0" fontId="31" fillId="20" borderId="21" xfId="0" applyFont="1" applyFill="1" applyBorder="1"/>
    <xf numFmtId="0" fontId="31" fillId="20" borderId="22" xfId="0" applyFont="1" applyFill="1" applyBorder="1"/>
    <xf numFmtId="0" fontId="39" fillId="20" borderId="5" xfId="0" applyFont="1" applyFill="1" applyBorder="1" applyAlignment="1">
      <alignment horizontal="center" vertical="center" wrapText="1"/>
    </xf>
    <xf numFmtId="2" fontId="31" fillId="20" borderId="51" xfId="0" applyNumberFormat="1" applyFont="1" applyFill="1" applyBorder="1" applyAlignment="1">
      <alignment horizontal="center" vertical="center" wrapText="1"/>
    </xf>
    <xf numFmtId="0" fontId="31" fillId="20" borderId="51" xfId="0" applyFont="1" applyFill="1" applyBorder="1" applyAlignment="1">
      <alignment horizontal="center" vertical="center" wrapText="1"/>
    </xf>
    <xf numFmtId="0" fontId="35" fillId="21"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14"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1" fontId="31" fillId="20" borderId="25" xfId="0" applyNumberFormat="1" applyFont="1" applyFill="1" applyBorder="1" applyAlignment="1">
      <alignment horizontal="center" vertical="center" wrapText="1"/>
    </xf>
    <xf numFmtId="1" fontId="31" fillId="20"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1" fillId="20" borderId="26" xfId="0" applyFont="1" applyFill="1" applyBorder="1" applyAlignment="1">
      <alignment horizontal="center" vertical="center"/>
    </xf>
    <xf numFmtId="1" fontId="21" fillId="19" borderId="5" xfId="0" applyNumberFormat="1" applyFont="1" applyFill="1" applyBorder="1" applyAlignment="1">
      <alignment horizontal="center" vertical="center" wrapText="1"/>
    </xf>
    <xf numFmtId="166" fontId="31" fillId="20" borderId="5" xfId="0" applyNumberFormat="1" applyFont="1" applyFill="1" applyBorder="1" applyAlignment="1">
      <alignment horizontal="center" vertical="center"/>
    </xf>
    <xf numFmtId="0" fontId="22" fillId="20" borderId="5" xfId="0" applyFont="1" applyFill="1" applyBorder="1"/>
    <xf numFmtId="0" fontId="22" fillId="20" borderId="6" xfId="0" applyFont="1" applyFill="1" applyBorder="1"/>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2" fontId="31" fillId="3" borderId="49" xfId="0" applyNumberFormat="1" applyFont="1" applyFill="1" applyBorder="1" applyAlignment="1" applyProtection="1">
      <alignment horizontal="center" vertical="center" wrapText="1"/>
      <protection locked="0"/>
    </xf>
    <xf numFmtId="0" fontId="31" fillId="20" borderId="5" xfId="0" applyFont="1" applyFill="1" applyBorder="1" applyAlignment="1">
      <alignment horizontal="left" vertical="center"/>
    </xf>
    <xf numFmtId="0" fontId="31" fillId="20" borderId="18" xfId="0" applyFont="1" applyFill="1" applyBorder="1" applyAlignment="1">
      <alignment horizontal="left" vertical="center"/>
    </xf>
    <xf numFmtId="0" fontId="31" fillId="20" borderId="10" xfId="0" applyFont="1" applyFill="1" applyBorder="1" applyAlignment="1">
      <alignment horizontal="left" vertical="center"/>
    </xf>
    <xf numFmtId="0" fontId="31" fillId="20" borderId="5" xfId="0" applyFont="1" applyFill="1" applyBorder="1" applyAlignment="1">
      <alignment horizontal="left" vertical="center" wrapText="1"/>
    </xf>
    <xf numFmtId="0" fontId="31" fillId="20" borderId="18"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0" fontId="31" fillId="0" borderId="0" xfId="0" applyFont="1"/>
    <xf numFmtId="0" fontId="31" fillId="0" borderId="0" xfId="0" applyFont="1" applyAlignment="1">
      <alignment wrapText="1"/>
    </xf>
    <xf numFmtId="2" fontId="35" fillId="19" borderId="0" xfId="0" applyNumberFormat="1" applyFont="1" applyFill="1" applyAlignment="1">
      <alignment horizontal="center" vertical="center" wrapText="1"/>
    </xf>
    <xf numFmtId="165" fontId="31" fillId="20" borderId="5" xfId="0" applyNumberFormat="1" applyFont="1" applyFill="1" applyBorder="1" applyAlignment="1">
      <alignment vertical="center"/>
    </xf>
    <xf numFmtId="165" fontId="31" fillId="20" borderId="5" xfId="0" applyNumberFormat="1" applyFont="1" applyFill="1" applyBorder="1"/>
    <xf numFmtId="0" fontId="52" fillId="11" borderId="0" xfId="0" applyFont="1" applyFill="1" applyAlignment="1">
      <alignment horizontal="center" vertical="center" wrapText="1"/>
    </xf>
    <xf numFmtId="0" fontId="31" fillId="20"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31" fillId="20" borderId="66" xfId="0" applyFont="1" applyFill="1" applyBorder="1" applyAlignment="1">
      <alignment horizontal="left" vertical="center" wrapText="1"/>
    </xf>
    <xf numFmtId="0" fontId="31" fillId="20" borderId="66" xfId="0" applyFont="1" applyFill="1" applyBorder="1" applyAlignment="1">
      <alignment horizontal="left" vertical="center"/>
    </xf>
    <xf numFmtId="2" fontId="35" fillId="9" borderId="0" xfId="0" applyNumberFormat="1" applyFont="1" applyFill="1" applyAlignment="1">
      <alignment horizontal="center" vertical="center"/>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0"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0"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0"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37" fillId="11" borderId="0" xfId="0" applyFont="1" applyFill="1"/>
    <xf numFmtId="0" fontId="35" fillId="3" borderId="54" xfId="0" applyFont="1" applyFill="1" applyBorder="1" applyAlignment="1" applyProtection="1">
      <alignment horizontal="center" vertical="center"/>
      <protection locked="0"/>
    </xf>
    <xf numFmtId="2" fontId="31" fillId="20" borderId="75"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0" borderId="21" xfId="0" applyNumberFormat="1" applyFont="1" applyFill="1" applyBorder="1" applyAlignment="1">
      <alignment horizontal="center" vertical="center" wrapText="1"/>
    </xf>
    <xf numFmtId="2" fontId="31" fillId="9" borderId="0" xfId="0" applyNumberFormat="1" applyFont="1" applyFill="1" applyAlignment="1">
      <alignment horizontal="center" vertical="center"/>
    </xf>
    <xf numFmtId="2" fontId="31" fillId="9" borderId="0" xfId="0" applyNumberFormat="1" applyFont="1" applyFill="1" applyAlignment="1">
      <alignment vertical="center"/>
    </xf>
    <xf numFmtId="2" fontId="35" fillId="19" borderId="8" xfId="0" applyNumberFormat="1" applyFont="1" applyFill="1" applyBorder="1" applyAlignment="1">
      <alignment horizontal="center" vertical="center"/>
    </xf>
    <xf numFmtId="2" fontId="35" fillId="19" borderId="52" xfId="0" applyNumberFormat="1" applyFont="1" applyFill="1" applyBorder="1" applyAlignment="1">
      <alignment horizontal="center" vertical="center"/>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0"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2" fontId="13" fillId="19" borderId="42" xfId="0" applyNumberFormat="1" applyFont="1" applyFill="1" applyBorder="1" applyAlignment="1">
      <alignment horizontal="center" vertical="center"/>
    </xf>
    <xf numFmtId="2" fontId="13" fillId="19" borderId="5" xfId="0" applyNumberFormat="1" applyFont="1" applyFill="1" applyBorder="1" applyAlignment="1">
      <alignment horizontal="center" vertical="center"/>
    </xf>
    <xf numFmtId="2" fontId="13" fillId="19" borderId="21" xfId="0" applyNumberFormat="1" applyFont="1" applyFill="1" applyBorder="1" applyAlignment="1">
      <alignment horizontal="center" vertical="center"/>
    </xf>
    <xf numFmtId="2" fontId="13" fillId="19" borderId="18" xfId="0" applyNumberFormat="1" applyFont="1" applyFill="1" applyBorder="1" applyAlignment="1">
      <alignment horizontal="center" vertical="center"/>
    </xf>
    <xf numFmtId="2" fontId="13" fillId="19" borderId="22" xfId="0" applyNumberFormat="1" applyFont="1" applyFill="1" applyBorder="1" applyAlignment="1">
      <alignment horizontal="center" vertical="center"/>
    </xf>
    <xf numFmtId="0" fontId="60"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19" borderId="17" xfId="0" applyNumberFormat="1" applyFont="1" applyFill="1" applyBorder="1" applyAlignment="1">
      <alignment horizontal="center" vertical="center"/>
    </xf>
    <xf numFmtId="2" fontId="13" fillId="19"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165" fontId="13" fillId="19"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5" fontId="31" fillId="20"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0" borderId="33" xfId="0" applyFont="1" applyFill="1" applyBorder="1" applyAlignment="1">
      <alignment horizontal="right" vertical="center" wrapText="1"/>
    </xf>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19" borderId="60" xfId="0" applyNumberFormat="1" applyFont="1" applyFill="1" applyBorder="1" applyAlignment="1">
      <alignment horizontal="center" vertical="center" wrapText="1"/>
    </xf>
    <xf numFmtId="0" fontId="62" fillId="9" borderId="0" xfId="0" applyFont="1" applyFill="1" applyAlignment="1">
      <alignment vertical="center"/>
    </xf>
    <xf numFmtId="0" fontId="61" fillId="9" borderId="0" xfId="0" applyFont="1" applyFill="1" applyAlignment="1">
      <alignment vertical="center" wrapText="1"/>
    </xf>
    <xf numFmtId="0" fontId="35" fillId="10" borderId="37" xfId="0" applyFont="1" applyFill="1" applyBorder="1" applyAlignment="1">
      <alignment horizontal="center" vertical="center" wrapText="1"/>
    </xf>
    <xf numFmtId="0" fontId="15" fillId="5" borderId="7" xfId="0" applyFont="1" applyFill="1" applyBorder="1"/>
    <xf numFmtId="0" fontId="39" fillId="5" borderId="14" xfId="10" applyFont="1" applyFill="1" applyBorder="1" applyAlignment="1">
      <alignment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19"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6" borderId="0" xfId="0" applyFill="1"/>
    <xf numFmtId="0" fontId="31" fillId="20" borderId="25" xfId="0" applyFont="1" applyFill="1" applyBorder="1" applyAlignment="1">
      <alignment horizontal="center" vertical="center"/>
    </xf>
    <xf numFmtId="0" fontId="31" fillId="20" borderId="67" xfId="0" applyFont="1" applyFill="1" applyBorder="1" applyAlignment="1">
      <alignment horizontal="center" vertical="center"/>
    </xf>
    <xf numFmtId="2" fontId="31" fillId="19"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3" borderId="35" xfId="0" applyFont="1" applyFill="1" applyBorder="1" applyAlignment="1" applyProtection="1">
      <alignment horizontal="center" vertical="center" wrapText="1"/>
      <protection locked="0"/>
    </xf>
    <xf numFmtId="2" fontId="35" fillId="19" borderId="9" xfId="0" applyNumberFormat="1" applyFont="1" applyFill="1" applyBorder="1" applyAlignment="1">
      <alignment horizontal="center" vertical="center" wrapText="1"/>
    </xf>
    <xf numFmtId="2" fontId="35" fillId="19"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5" fillId="5" borderId="33" xfId="0"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2" fontId="35" fillId="19" borderId="8" xfId="0" applyNumberFormat="1" applyFont="1" applyFill="1" applyBorder="1" applyAlignment="1">
      <alignment horizontal="center"/>
    </xf>
    <xf numFmtId="0" fontId="67" fillId="9" borderId="0" xfId="0" applyFont="1" applyFill="1"/>
    <xf numFmtId="0" fontId="67" fillId="26" borderId="0" xfId="0" applyFont="1" applyFill="1"/>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2" fontId="35" fillId="19"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0"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0" borderId="15" xfId="0" applyFont="1" applyFill="1" applyBorder="1" applyAlignment="1">
      <alignment horizontal="center" vertical="center" wrapText="1"/>
    </xf>
    <xf numFmtId="0" fontId="31" fillId="20" borderId="35" xfId="0" applyFont="1" applyFill="1" applyBorder="1" applyAlignment="1">
      <alignment horizontal="center" vertical="center" wrapText="1"/>
    </xf>
    <xf numFmtId="2" fontId="31" fillId="19" borderId="29" xfId="0" applyNumberFormat="1" applyFont="1" applyFill="1" applyBorder="1" applyAlignment="1">
      <alignment horizontal="center" vertical="center" wrapText="1"/>
    </xf>
    <xf numFmtId="0" fontId="31" fillId="20" borderId="8" xfId="0" applyFont="1" applyFill="1" applyBorder="1" applyAlignment="1">
      <alignment horizontal="center" vertical="center" wrapText="1"/>
    </xf>
    <xf numFmtId="0" fontId="31" fillId="20" borderId="38" xfId="0" applyFont="1" applyFill="1" applyBorder="1" applyAlignment="1">
      <alignment horizontal="center" vertical="center" wrapText="1"/>
    </xf>
    <xf numFmtId="0" fontId="31" fillId="20" borderId="52" xfId="0" applyFont="1" applyFill="1" applyBorder="1" applyAlignment="1">
      <alignment horizontal="center" vertical="center" wrapText="1"/>
    </xf>
    <xf numFmtId="0" fontId="31" fillId="20" borderId="33" xfId="0" applyFont="1" applyFill="1" applyBorder="1" applyAlignment="1">
      <alignment horizontal="center" vertical="center" wrapText="1"/>
    </xf>
    <xf numFmtId="2" fontId="35" fillId="19"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0" borderId="17" xfId="0" applyNumberFormat="1" applyFont="1" applyFill="1" applyBorder="1" applyAlignment="1">
      <alignment horizontal="center" vertical="center" wrapText="1"/>
    </xf>
    <xf numFmtId="2" fontId="31" fillId="19" borderId="17"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2" fontId="31" fillId="19" borderId="52" xfId="0" applyNumberFormat="1" applyFont="1" applyFill="1" applyBorder="1" applyAlignment="1">
      <alignment horizontal="center" vertical="center" wrapText="1"/>
    </xf>
    <xf numFmtId="0" fontId="31" fillId="0" borderId="81"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6" fontId="31" fillId="20" borderId="19" xfId="0" applyNumberFormat="1" applyFont="1" applyFill="1" applyBorder="1" applyAlignment="1">
      <alignment horizontal="center" vertical="center" wrapText="1"/>
    </xf>
    <xf numFmtId="0" fontId="31" fillId="20"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0" borderId="59" xfId="0" applyFont="1" applyFill="1" applyBorder="1" applyAlignment="1">
      <alignment horizontal="center" vertical="center" wrapText="1"/>
    </xf>
    <xf numFmtId="0" fontId="31" fillId="20" borderId="52" xfId="0" applyFont="1" applyFill="1" applyBorder="1" applyAlignment="1">
      <alignment horizontal="center" vertical="center"/>
    </xf>
    <xf numFmtId="166" fontId="31" fillId="20"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2" fontId="31" fillId="19"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0" borderId="8" xfId="0" applyFont="1" applyFill="1" applyBorder="1" applyAlignment="1">
      <alignment horizontal="center" vertical="center"/>
    </xf>
    <xf numFmtId="2" fontId="31" fillId="19" borderId="30" xfId="0" applyNumberFormat="1" applyFont="1" applyFill="1" applyBorder="1" applyAlignment="1">
      <alignment horizontal="center" vertical="center"/>
    </xf>
    <xf numFmtId="0" fontId="31" fillId="20"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0" borderId="62" xfId="0" applyFont="1" applyFill="1" applyBorder="1" applyAlignment="1">
      <alignment horizontal="center" vertical="center" wrapText="1"/>
    </xf>
    <xf numFmtId="2" fontId="31" fillId="19"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0" borderId="80" xfId="0" applyFont="1" applyFill="1" applyBorder="1" applyAlignment="1">
      <alignment horizontal="center" vertical="center" wrapText="1"/>
    </xf>
    <xf numFmtId="166" fontId="31" fillId="20" borderId="22" xfId="0" applyNumberFormat="1" applyFont="1" applyFill="1" applyBorder="1" applyAlignment="1">
      <alignment horizontal="center" vertical="center" wrapText="1"/>
    </xf>
    <xf numFmtId="2" fontId="31" fillId="19"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0" borderId="25" xfId="9" applyFont="1" applyFill="1" applyBorder="1" applyAlignment="1">
      <alignment horizontal="center" vertical="center" wrapText="1"/>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9" fillId="20"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1"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19"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18" xfId="0" applyFont="1" applyFill="1" applyBorder="1" applyAlignment="1">
      <alignment horizontal="center" vertical="center" wrapText="1"/>
    </xf>
    <xf numFmtId="0" fontId="31" fillId="3" borderId="81" xfId="0" applyFont="1" applyFill="1" applyBorder="1" applyAlignment="1" applyProtection="1">
      <alignment horizontal="center" vertical="center" wrapText="1"/>
      <protection locked="0"/>
    </xf>
    <xf numFmtId="166" fontId="31" fillId="20"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6" fontId="31" fillId="20"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0" borderId="75" xfId="0" applyFont="1" applyFill="1" applyBorder="1" applyAlignment="1">
      <alignment horizontal="center" vertical="center" wrapText="1"/>
    </xf>
    <xf numFmtId="0" fontId="35" fillId="5" borderId="80" xfId="0" applyFont="1" applyFill="1" applyBorder="1" applyAlignment="1">
      <alignment horizontal="center" vertical="center" wrapText="1"/>
    </xf>
    <xf numFmtId="0" fontId="31" fillId="11" borderId="6" xfId="0" applyFont="1" applyFill="1" applyBorder="1"/>
    <xf numFmtId="0" fontId="35" fillId="5" borderId="23" xfId="0" applyFont="1" applyFill="1" applyBorder="1" applyAlignment="1">
      <alignment horizontal="center" vertical="center" wrapText="1"/>
    </xf>
    <xf numFmtId="0" fontId="35" fillId="20"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8" fillId="9" borderId="0" xfId="0" applyFont="1" applyFill="1"/>
    <xf numFmtId="0" fontId="68" fillId="11" borderId="57" xfId="0" applyFont="1" applyFill="1" applyBorder="1"/>
    <xf numFmtId="0" fontId="51" fillId="11" borderId="0" xfId="0" applyFont="1" applyFill="1" applyAlignment="1">
      <alignment horizontal="center" vertical="center" wrapText="1"/>
    </xf>
    <xf numFmtId="0" fontId="31" fillId="9" borderId="0" xfId="0" applyFont="1" applyFill="1" applyAlignment="1">
      <alignment horizontal="center" vertical="top"/>
    </xf>
    <xf numFmtId="0" fontId="13" fillId="20" borderId="14" xfId="0" applyFont="1" applyFill="1" applyBorder="1" applyAlignment="1">
      <alignment vertical="center"/>
    </xf>
    <xf numFmtId="0" fontId="54" fillId="20" borderId="17" xfId="0" applyFont="1" applyFill="1" applyBorder="1" applyAlignment="1">
      <alignment vertical="center"/>
    </xf>
    <xf numFmtId="0" fontId="13" fillId="20" borderId="12" xfId="0" applyFont="1" applyFill="1" applyBorder="1" applyAlignment="1">
      <alignment vertical="center"/>
    </xf>
    <xf numFmtId="0" fontId="54" fillId="20" borderId="5" xfId="0" applyFont="1" applyFill="1" applyBorder="1" applyAlignment="1">
      <alignment vertical="center"/>
    </xf>
    <xf numFmtId="0" fontId="13" fillId="20" borderId="13" xfId="0" applyFont="1" applyFill="1" applyBorder="1" applyAlignment="1">
      <alignment vertical="center"/>
    </xf>
    <xf numFmtId="0" fontId="54" fillId="20" borderId="18" xfId="0" applyFont="1" applyFill="1" applyBorder="1" applyAlignment="1">
      <alignment vertical="center"/>
    </xf>
    <xf numFmtId="0" fontId="13" fillId="20" borderId="17" xfId="0" applyFont="1" applyFill="1" applyBorder="1" applyAlignment="1">
      <alignment vertical="center" wrapText="1"/>
    </xf>
    <xf numFmtId="0" fontId="13" fillId="20" borderId="5" xfId="0" applyFont="1" applyFill="1" applyBorder="1" applyAlignment="1">
      <alignment vertical="center" wrapText="1"/>
    </xf>
    <xf numFmtId="0" fontId="13" fillId="20" borderId="18" xfId="0" applyFont="1" applyFill="1" applyBorder="1" applyAlignment="1">
      <alignment vertical="center" wrapText="1"/>
    </xf>
    <xf numFmtId="0" fontId="16" fillId="20" borderId="5" xfId="0" applyFont="1" applyFill="1" applyBorder="1" applyAlignment="1">
      <alignment horizontal="center" vertical="center" wrapText="1"/>
    </xf>
    <xf numFmtId="0" fontId="16" fillId="20" borderId="17" xfId="0" applyFont="1" applyFill="1" applyBorder="1" applyAlignment="1">
      <alignment horizontal="center" vertical="center" wrapText="1"/>
    </xf>
    <xf numFmtId="0" fontId="16" fillId="20" borderId="18" xfId="0" applyFont="1" applyFill="1" applyBorder="1" applyAlignment="1">
      <alignment horizontal="center" vertical="center" wrapText="1"/>
    </xf>
    <xf numFmtId="0" fontId="13" fillId="20" borderId="18" xfId="0" applyFont="1" applyFill="1" applyBorder="1" applyAlignment="1">
      <alignment horizontal="center" vertical="center" wrapText="1"/>
    </xf>
    <xf numFmtId="0" fontId="13" fillId="20" borderId="5" xfId="0" applyFont="1" applyFill="1" applyBorder="1" applyAlignment="1">
      <alignment horizontal="center" vertical="center" wrapText="1"/>
    </xf>
    <xf numFmtId="0" fontId="13" fillId="20" borderId="17" xfId="0" applyFont="1" applyFill="1" applyBorder="1" applyAlignment="1">
      <alignment horizontal="center" vertical="center" wrapText="1"/>
    </xf>
    <xf numFmtId="0" fontId="13" fillId="9" borderId="0" xfId="0" applyFont="1" applyFill="1"/>
    <xf numFmtId="0" fontId="16" fillId="10" borderId="57" xfId="0" applyFont="1" applyFill="1" applyBorder="1" applyAlignment="1">
      <alignment vertical="top" wrapText="1"/>
    </xf>
    <xf numFmtId="0" fontId="16" fillId="10" borderId="0" xfId="0" applyFont="1" applyFill="1" applyAlignment="1">
      <alignment vertical="top" wrapText="1"/>
    </xf>
    <xf numFmtId="0" fontId="16" fillId="9" borderId="0" xfId="0" applyFont="1" applyFill="1" applyAlignment="1">
      <alignment vertical="top" wrapText="1"/>
    </xf>
    <xf numFmtId="0" fontId="16" fillId="10" borderId="33" xfId="0" applyFont="1" applyFill="1" applyBorder="1" applyAlignment="1">
      <alignment vertical="top" wrapText="1"/>
    </xf>
    <xf numFmtId="0" fontId="16" fillId="10" borderId="34" xfId="0" applyFont="1" applyFill="1" applyBorder="1" applyAlignment="1">
      <alignment vertical="top" wrapText="1"/>
    </xf>
    <xf numFmtId="0" fontId="16" fillId="10" borderId="27" xfId="0" applyFont="1" applyFill="1" applyBorder="1" applyAlignment="1">
      <alignment vertical="center"/>
    </xf>
    <xf numFmtId="0" fontId="16" fillId="10" borderId="56" xfId="0" applyFont="1" applyFill="1" applyBorder="1" applyAlignment="1">
      <alignment vertical="center"/>
    </xf>
    <xf numFmtId="0" fontId="16" fillId="10" borderId="20" xfId="0" applyFont="1" applyFill="1" applyBorder="1" applyAlignment="1">
      <alignment horizontal="center" vertical="center"/>
    </xf>
    <xf numFmtId="0" fontId="16" fillId="10" borderId="20" xfId="0" applyFont="1" applyFill="1" applyBorder="1" applyAlignment="1">
      <alignment horizontal="center" vertical="center" wrapText="1"/>
    </xf>
    <xf numFmtId="0" fontId="16" fillId="10" borderId="28"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3" fillId="9" borderId="6" xfId="0" applyFont="1" applyFill="1" applyBorder="1" applyAlignment="1">
      <alignment horizontal="left" vertical="top"/>
    </xf>
    <xf numFmtId="0" fontId="13" fillId="9" borderId="5" xfId="0" applyFont="1" applyFill="1" applyBorder="1" applyAlignment="1">
      <alignment horizontal="left" vertical="top" wrapText="1"/>
    </xf>
    <xf numFmtId="0" fontId="13" fillId="9" borderId="5" xfId="0" applyFont="1" applyFill="1" applyBorder="1" applyAlignment="1">
      <alignment horizontal="left" vertical="top"/>
    </xf>
    <xf numFmtId="0" fontId="13" fillId="9" borderId="0" xfId="0" applyFont="1" applyFill="1" applyAlignment="1">
      <alignment horizontal="left" vertical="top"/>
    </xf>
    <xf numFmtId="0" fontId="16" fillId="10" borderId="20" xfId="0" applyFont="1" applyFill="1" applyBorder="1" applyAlignment="1">
      <alignment vertical="center"/>
    </xf>
    <xf numFmtId="0" fontId="13" fillId="20" borderId="19" xfId="0" applyFont="1" applyFill="1" applyBorder="1" applyAlignment="1">
      <alignment horizontal="center" vertical="center" wrapText="1"/>
    </xf>
    <xf numFmtId="0" fontId="16" fillId="9" borderId="0" xfId="0" applyFont="1" applyFill="1" applyAlignment="1">
      <alignment vertical="center" wrapText="1"/>
    </xf>
    <xf numFmtId="0" fontId="13" fillId="9" borderId="0" xfId="0" applyFont="1" applyFill="1" applyAlignment="1">
      <alignment horizontal="center" vertical="center" wrapText="1"/>
    </xf>
    <xf numFmtId="0" fontId="13" fillId="20" borderId="21" xfId="0" applyFont="1" applyFill="1" applyBorder="1" applyAlignment="1">
      <alignment horizontal="center" vertical="center" wrapText="1"/>
    </xf>
    <xf numFmtId="0" fontId="13" fillId="9" borderId="0" xfId="0" applyFont="1" applyFill="1" applyAlignment="1">
      <alignment horizontal="center"/>
    </xf>
    <xf numFmtId="0" fontId="13" fillId="20" borderId="5" xfId="0" applyFont="1" applyFill="1" applyBorder="1" applyAlignment="1">
      <alignment horizontal="center" wrapText="1"/>
    </xf>
    <xf numFmtId="0" fontId="13" fillId="20" borderId="18" xfId="0" applyFont="1" applyFill="1" applyBorder="1" applyAlignment="1">
      <alignment horizontal="center" wrapText="1"/>
    </xf>
    <xf numFmtId="0" fontId="13" fillId="20" borderId="22" xfId="0" applyFont="1" applyFill="1" applyBorder="1" applyAlignment="1">
      <alignment horizontal="center" vertical="center" wrapText="1"/>
    </xf>
    <xf numFmtId="0" fontId="16" fillId="9" borderId="0" xfId="0" applyFont="1" applyFill="1"/>
    <xf numFmtId="0" fontId="13" fillId="9" borderId="0" xfId="0" applyFont="1" applyFill="1" applyAlignment="1">
      <alignment horizontal="center" vertical="center"/>
    </xf>
    <xf numFmtId="0" fontId="16" fillId="10" borderId="57" xfId="0" applyFont="1" applyFill="1" applyBorder="1" applyAlignment="1">
      <alignment horizontal="center" vertical="center" wrapText="1"/>
    </xf>
    <xf numFmtId="0" fontId="16" fillId="10" borderId="33" xfId="0" applyFont="1" applyFill="1" applyBorder="1" applyAlignment="1">
      <alignment horizontal="center" vertical="center" wrapText="1"/>
    </xf>
    <xf numFmtId="0" fontId="13" fillId="20" borderId="14" xfId="0" applyFont="1" applyFill="1" applyBorder="1" applyAlignment="1">
      <alignment horizontal="center" vertical="center"/>
    </xf>
    <xf numFmtId="0" fontId="13" fillId="20" borderId="12" xfId="0" applyFont="1" applyFill="1" applyBorder="1" applyAlignment="1">
      <alignment horizontal="center" vertical="center"/>
    </xf>
    <xf numFmtId="0" fontId="13" fillId="20" borderId="13" xfId="0" applyFont="1" applyFill="1" applyBorder="1" applyAlignment="1">
      <alignment horizontal="center" vertical="center"/>
    </xf>
    <xf numFmtId="0" fontId="13" fillId="10" borderId="34" xfId="0" applyFont="1" applyFill="1" applyBorder="1"/>
    <xf numFmtId="0" fontId="13" fillId="20" borderId="21" xfId="0" applyFont="1" applyFill="1" applyBorder="1" applyAlignment="1">
      <alignment horizontal="center"/>
    </xf>
    <xf numFmtId="0" fontId="13" fillId="20" borderId="22" xfId="0" applyFont="1" applyFill="1" applyBorder="1" applyAlignment="1">
      <alignment horizontal="center"/>
    </xf>
    <xf numFmtId="0" fontId="52" fillId="11" borderId="0" xfId="0" applyFont="1" applyFill="1" applyAlignment="1">
      <alignment horizontal="center" vertical="center"/>
    </xf>
    <xf numFmtId="0" fontId="13" fillId="10" borderId="33" xfId="0" applyFont="1" applyFill="1" applyBorder="1"/>
    <xf numFmtId="0" fontId="13" fillId="10" borderId="46" xfId="0" applyFont="1" applyFill="1" applyBorder="1"/>
    <xf numFmtId="0" fontId="13" fillId="10" borderId="54" xfId="0" applyFont="1" applyFill="1" applyBorder="1"/>
    <xf numFmtId="2" fontId="31" fillId="20" borderId="29" xfId="0" applyNumberFormat="1" applyFont="1" applyFill="1" applyBorder="1" applyAlignment="1">
      <alignment horizontal="center" vertical="center" wrapText="1"/>
    </xf>
    <xf numFmtId="2" fontId="31" fillId="20" borderId="55"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0" fontId="31" fillId="3" borderId="17" xfId="0" applyFont="1" applyFill="1" applyBorder="1" applyAlignment="1" applyProtection="1">
      <alignment horizontal="center" vertical="center"/>
      <protection locked="0"/>
    </xf>
    <xf numFmtId="0" fontId="31" fillId="3" borderId="52" xfId="0" applyFont="1" applyFill="1" applyBorder="1" applyAlignment="1" applyProtection="1">
      <alignment horizontal="center" vertical="center" wrapText="1"/>
      <protection locked="0"/>
    </xf>
    <xf numFmtId="2" fontId="35" fillId="10" borderId="19" xfId="0" applyNumberFormat="1" applyFont="1" applyFill="1" applyBorder="1" applyAlignment="1">
      <alignment horizontal="center" vertical="center" wrapText="1"/>
    </xf>
    <xf numFmtId="10" fontId="35" fillId="10" borderId="21"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wrapText="1"/>
      <protection locked="0"/>
    </xf>
    <xf numFmtId="0" fontId="31" fillId="20" borderId="63" xfId="0" applyFont="1" applyFill="1" applyBorder="1" applyAlignment="1">
      <alignment horizontal="center" vertical="center" wrapText="1"/>
    </xf>
    <xf numFmtId="0" fontId="31" fillId="0" borderId="6" xfId="0" applyFont="1" applyBorder="1" applyAlignment="1" applyProtection="1">
      <alignment horizontal="center" vertical="center" wrapText="1"/>
      <protection locked="0"/>
    </xf>
    <xf numFmtId="0" fontId="35" fillId="3" borderId="54" xfId="0" applyFont="1" applyFill="1" applyBorder="1" applyAlignment="1" applyProtection="1">
      <alignment horizontal="center" vertical="center" wrapText="1"/>
      <protection locked="0"/>
    </xf>
    <xf numFmtId="2" fontId="31" fillId="9" borderId="0" xfId="0" applyNumberFormat="1" applyFont="1" applyFill="1"/>
    <xf numFmtId="2" fontId="10" fillId="9" borderId="0" xfId="0" applyNumberFormat="1" applyFont="1" applyFill="1"/>
    <xf numFmtId="2" fontId="31" fillId="11" borderId="0" xfId="0" applyNumberFormat="1" applyFont="1" applyFill="1"/>
    <xf numFmtId="0" fontId="16" fillId="10" borderId="0" xfId="0" applyFont="1" applyFill="1" applyAlignment="1">
      <alignment horizontal="center" vertical="center" wrapText="1"/>
    </xf>
    <xf numFmtId="0" fontId="16" fillId="10" borderId="34" xfId="0" applyFont="1" applyFill="1" applyBorder="1" applyAlignment="1">
      <alignment horizontal="center" vertical="center" wrapText="1"/>
    </xf>
    <xf numFmtId="2" fontId="13" fillId="9" borderId="0" xfId="0" applyNumberFormat="1" applyFont="1" applyFill="1"/>
    <xf numFmtId="2" fontId="16" fillId="10" borderId="0" xfId="0" applyNumberFormat="1" applyFont="1" applyFill="1" applyAlignment="1">
      <alignment vertical="top" wrapText="1"/>
    </xf>
    <xf numFmtId="2" fontId="16" fillId="10" borderId="34" xfId="0" applyNumberFormat="1" applyFont="1" applyFill="1" applyBorder="1" applyAlignment="1">
      <alignment vertical="top" wrapText="1"/>
    </xf>
    <xf numFmtId="2" fontId="31" fillId="20" borderId="49" xfId="0" applyNumberFormat="1" applyFont="1" applyFill="1" applyBorder="1" applyAlignment="1">
      <alignment horizontal="center" vertical="center" wrapText="1"/>
    </xf>
    <xf numFmtId="2" fontId="31" fillId="20" borderId="4" xfId="0" applyNumberFormat="1" applyFont="1" applyFill="1" applyBorder="1" applyAlignment="1">
      <alignment horizontal="center" vertical="center" wrapText="1"/>
    </xf>
    <xf numFmtId="0" fontId="14" fillId="11" borderId="0" xfId="0" applyFont="1" applyFill="1"/>
    <xf numFmtId="0" fontId="16" fillId="10" borderId="18" xfId="0" applyFont="1" applyFill="1" applyBorder="1" applyAlignment="1">
      <alignment horizontal="center" vertical="center" wrapText="1"/>
    </xf>
    <xf numFmtId="0" fontId="35" fillId="10" borderId="24" xfId="0" applyFont="1" applyFill="1" applyBorder="1" applyAlignment="1">
      <alignment horizontal="center" vertical="center" wrapText="1"/>
    </xf>
    <xf numFmtId="0" fontId="35" fillId="9" borderId="0" xfId="0" applyFont="1" applyFill="1" applyAlignment="1">
      <alignment horizontal="center" vertical="center"/>
    </xf>
    <xf numFmtId="2" fontId="51" fillId="20" borderId="22" xfId="0" applyNumberFormat="1" applyFont="1" applyFill="1" applyBorder="1" applyAlignment="1">
      <alignment horizontal="center" vertical="center"/>
    </xf>
    <xf numFmtId="0" fontId="65" fillId="9" borderId="34" xfId="0" applyFont="1" applyFill="1" applyBorder="1"/>
    <xf numFmtId="0" fontId="35" fillId="10" borderId="74"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35" fillId="5" borderId="83" xfId="0" applyFont="1" applyFill="1" applyBorder="1" applyAlignment="1">
      <alignment horizontal="center" vertical="center" wrapText="1"/>
    </xf>
    <xf numFmtId="0" fontId="35" fillId="10" borderId="10" xfId="0" applyFont="1" applyFill="1" applyBorder="1" applyAlignment="1">
      <alignment horizontal="center" vertical="center" wrapText="1"/>
    </xf>
    <xf numFmtId="0" fontId="35" fillId="10" borderId="83" xfId="0" applyFont="1" applyFill="1" applyBorder="1" applyAlignment="1">
      <alignment horizontal="center" vertical="center" wrapText="1"/>
    </xf>
    <xf numFmtId="0" fontId="35" fillId="10" borderId="7" xfId="0" applyFont="1" applyFill="1" applyBorder="1" applyAlignment="1">
      <alignment horizontal="center" vertical="center"/>
    </xf>
    <xf numFmtId="2" fontId="35" fillId="20" borderId="35" xfId="0" applyNumberFormat="1" applyFont="1" applyFill="1" applyBorder="1" applyAlignment="1">
      <alignment horizontal="center" vertical="center"/>
    </xf>
    <xf numFmtId="2" fontId="51" fillId="20" borderId="36" xfId="0" applyNumberFormat="1" applyFont="1" applyFill="1" applyBorder="1" applyAlignment="1">
      <alignment horizontal="center" vertical="center"/>
    </xf>
    <xf numFmtId="2" fontId="51" fillId="20" borderId="33" xfId="0" applyNumberFormat="1" applyFont="1" applyFill="1" applyBorder="1" applyAlignment="1">
      <alignment horizontal="center" vertical="center"/>
    </xf>
    <xf numFmtId="2" fontId="35" fillId="20" borderId="36" xfId="0" applyNumberFormat="1" applyFont="1" applyFill="1" applyBorder="1" applyAlignment="1">
      <alignment horizontal="center" vertical="center"/>
    </xf>
    <xf numFmtId="2" fontId="35" fillId="20" borderId="45" xfId="0" applyNumberFormat="1" applyFont="1" applyFill="1" applyBorder="1" applyAlignment="1">
      <alignment horizontal="center" vertical="center"/>
    </xf>
    <xf numFmtId="0" fontId="35" fillId="10" borderId="28" xfId="0" applyFont="1" applyFill="1" applyBorder="1" applyAlignment="1">
      <alignment horizontal="center" vertical="center"/>
    </xf>
    <xf numFmtId="0" fontId="61" fillId="9" borderId="0" xfId="0" applyFont="1" applyFill="1"/>
    <xf numFmtId="2" fontId="61" fillId="9" borderId="0" xfId="0" applyNumberFormat="1" applyFont="1" applyFill="1"/>
    <xf numFmtId="0" fontId="35" fillId="10" borderId="54" xfId="0" applyFont="1" applyFill="1" applyBorder="1" applyAlignment="1">
      <alignment horizontal="center" vertical="center"/>
    </xf>
    <xf numFmtId="0" fontId="35" fillId="10" borderId="9" xfId="0" applyFont="1" applyFill="1" applyBorder="1" applyAlignment="1">
      <alignment horizontal="center" vertical="center"/>
    </xf>
    <xf numFmtId="0" fontId="61" fillId="9" borderId="0" xfId="0" applyFont="1" applyFill="1" applyAlignment="1">
      <alignment wrapText="1"/>
    </xf>
    <xf numFmtId="0" fontId="31" fillId="9" borderId="12" xfId="0" applyFont="1" applyFill="1" applyBorder="1" applyAlignment="1">
      <alignment horizontal="center" vertical="center"/>
    </xf>
    <xf numFmtId="0" fontId="31" fillId="9" borderId="5" xfId="0" applyFont="1" applyFill="1" applyBorder="1" applyAlignment="1">
      <alignment horizontal="center" vertical="center"/>
    </xf>
    <xf numFmtId="2" fontId="31" fillId="9" borderId="5" xfId="0" applyNumberFormat="1" applyFont="1" applyFill="1" applyBorder="1" applyAlignment="1">
      <alignment horizontal="center" vertical="center"/>
    </xf>
    <xf numFmtId="0" fontId="61" fillId="9" borderId="0" xfId="0" applyFont="1" applyFill="1" applyAlignment="1">
      <alignment horizontal="center"/>
    </xf>
    <xf numFmtId="0" fontId="31" fillId="9" borderId="13" xfId="0" applyFont="1" applyFill="1" applyBorder="1" applyAlignment="1">
      <alignment horizontal="center" vertical="center"/>
    </xf>
    <xf numFmtId="2" fontId="31" fillId="9" borderId="18" xfId="0" applyNumberFormat="1" applyFont="1" applyFill="1" applyBorder="1" applyAlignment="1">
      <alignment horizontal="center" vertical="center"/>
    </xf>
    <xf numFmtId="0" fontId="35" fillId="10" borderId="10" xfId="0" applyFont="1" applyFill="1" applyBorder="1" applyAlignment="1">
      <alignment horizontal="center" vertical="center"/>
    </xf>
    <xf numFmtId="0" fontId="35" fillId="10" borderId="11" xfId="0" applyFont="1" applyFill="1" applyBorder="1" applyAlignment="1">
      <alignment horizontal="center" vertical="center"/>
    </xf>
    <xf numFmtId="0" fontId="49" fillId="9" borderId="0" xfId="0" applyFont="1" applyFill="1" applyAlignment="1">
      <alignment vertical="center" textRotation="90"/>
    </xf>
    <xf numFmtId="0" fontId="35" fillId="10" borderId="74" xfId="0" applyFont="1" applyFill="1" applyBorder="1" applyAlignment="1">
      <alignment horizontal="center" vertical="center"/>
    </xf>
    <xf numFmtId="0" fontId="35" fillId="10" borderId="73" xfId="0" applyFont="1" applyFill="1" applyBorder="1" applyAlignment="1">
      <alignment horizontal="center" vertical="center"/>
    </xf>
    <xf numFmtId="0" fontId="35" fillId="10" borderId="37" xfId="0" applyFont="1" applyFill="1" applyBorder="1" applyAlignment="1">
      <alignment horizontal="center" vertical="center"/>
    </xf>
    <xf numFmtId="0" fontId="31" fillId="10" borderId="54" xfId="0" applyFont="1" applyFill="1" applyBorder="1" applyAlignment="1">
      <alignment horizontal="center" vertical="center"/>
    </xf>
    <xf numFmtId="2" fontId="31" fillId="20" borderId="46" xfId="0" applyNumberFormat="1" applyFont="1" applyFill="1" applyBorder="1" applyAlignment="1">
      <alignment horizontal="center" vertical="center"/>
    </xf>
    <xf numFmtId="0" fontId="31" fillId="10" borderId="23" xfId="0" applyFont="1" applyFill="1" applyBorder="1" applyAlignment="1">
      <alignment horizontal="center" vertical="center"/>
    </xf>
    <xf numFmtId="2" fontId="31" fillId="20" borderId="29" xfId="0" applyNumberFormat="1" applyFont="1" applyFill="1" applyBorder="1" applyAlignment="1">
      <alignment horizontal="center" vertical="center"/>
    </xf>
    <xf numFmtId="2" fontId="31" fillId="20" borderId="67" xfId="0" applyNumberFormat="1" applyFont="1" applyFill="1" applyBorder="1" applyAlignment="1">
      <alignment horizontal="center" vertical="center"/>
    </xf>
    <xf numFmtId="0" fontId="31" fillId="10" borderId="40" xfId="0" applyFont="1" applyFill="1" applyBorder="1" applyAlignment="1">
      <alignment horizontal="center" vertical="center"/>
    </xf>
    <xf numFmtId="2" fontId="31" fillId="20" borderId="32" xfId="0" applyNumberFormat="1" applyFont="1" applyFill="1" applyBorder="1" applyAlignment="1">
      <alignment horizontal="center" vertical="center"/>
    </xf>
    <xf numFmtId="0" fontId="31" fillId="10" borderId="45" xfId="0" applyFont="1" applyFill="1" applyBorder="1" applyAlignment="1">
      <alignment horizontal="center" vertical="center"/>
    </xf>
    <xf numFmtId="2" fontId="31" fillId="20" borderId="55" xfId="0" applyNumberFormat="1" applyFont="1" applyFill="1" applyBorder="1" applyAlignment="1">
      <alignment horizontal="center" vertical="center"/>
    </xf>
    <xf numFmtId="2" fontId="31" fillId="20" borderId="39" xfId="0" applyNumberFormat="1" applyFont="1" applyFill="1" applyBorder="1" applyAlignment="1">
      <alignment horizontal="center" vertical="center"/>
    </xf>
    <xf numFmtId="0" fontId="31" fillId="10" borderId="30" xfId="0" applyFont="1" applyFill="1" applyBorder="1" applyAlignment="1">
      <alignment horizontal="center" vertical="center"/>
    </xf>
    <xf numFmtId="0" fontId="31" fillId="10" borderId="33" xfId="0" applyFont="1" applyFill="1" applyBorder="1" applyAlignment="1">
      <alignment horizontal="center" vertical="center"/>
    </xf>
    <xf numFmtId="2" fontId="31" fillId="20" borderId="40" xfId="0" applyNumberFormat="1" applyFont="1" applyFill="1" applyBorder="1" applyAlignment="1">
      <alignment horizontal="center" vertical="center"/>
    </xf>
    <xf numFmtId="2" fontId="31" fillId="20" borderId="64" xfId="0" applyNumberFormat="1" applyFont="1" applyFill="1" applyBorder="1" applyAlignment="1">
      <alignment horizontal="center" vertical="center"/>
    </xf>
    <xf numFmtId="0" fontId="51" fillId="10" borderId="54" xfId="0" applyFont="1" applyFill="1" applyBorder="1" applyAlignment="1">
      <alignment horizontal="center" vertical="center" wrapText="1"/>
    </xf>
    <xf numFmtId="0" fontId="66" fillId="16" borderId="23" xfId="0" applyFont="1" applyFill="1" applyBorder="1" applyAlignment="1">
      <alignment horizontal="center" vertical="center"/>
    </xf>
    <xf numFmtId="2" fontId="10" fillId="20" borderId="54" xfId="0" applyNumberFormat="1" applyFont="1" applyFill="1" applyBorder="1" applyAlignment="1">
      <alignment horizontal="center" vertical="center"/>
    </xf>
    <xf numFmtId="2" fontId="31" fillId="20" borderId="48" xfId="0" applyNumberFormat="1" applyFont="1" applyFill="1" applyBorder="1" applyAlignment="1">
      <alignment horizontal="center" vertical="center"/>
    </xf>
    <xf numFmtId="2" fontId="31" fillId="20" borderId="54" xfId="0" applyNumberFormat="1" applyFont="1" applyFill="1" applyBorder="1" applyAlignment="1">
      <alignment horizontal="center" vertical="center"/>
    </xf>
    <xf numFmtId="0" fontId="31" fillId="5" borderId="35" xfId="0" applyFont="1" applyFill="1" applyBorder="1" applyAlignment="1">
      <alignment horizontal="left" vertical="top" wrapText="1"/>
    </xf>
    <xf numFmtId="0" fontId="71" fillId="9" borderId="0" xfId="0" applyFont="1" applyFill="1" applyAlignment="1">
      <alignment vertical="center"/>
    </xf>
    <xf numFmtId="0" fontId="68" fillId="9" borderId="0" xfId="0" applyFont="1" applyFill="1" applyAlignment="1">
      <alignment horizontal="left" vertical="top" wrapText="1"/>
    </xf>
    <xf numFmtId="2" fontId="68" fillId="9" borderId="0" xfId="0" applyNumberFormat="1" applyFont="1" applyFill="1" applyAlignment="1">
      <alignment horizontal="center" vertical="center"/>
    </xf>
    <xf numFmtId="2" fontId="68" fillId="9" borderId="0" xfId="0" applyNumberFormat="1" applyFont="1" applyFill="1" applyAlignment="1">
      <alignment vertical="center"/>
    </xf>
    <xf numFmtId="0" fontId="61" fillId="9" borderId="0" xfId="0" applyFont="1" applyFill="1" applyAlignment="1">
      <alignment horizontal="right"/>
    </xf>
    <xf numFmtId="0" fontId="31" fillId="5" borderId="23" xfId="0" applyFont="1" applyFill="1" applyBorder="1" applyAlignment="1">
      <alignment horizontal="left" vertical="top" wrapText="1"/>
    </xf>
    <xf numFmtId="0" fontId="51" fillId="10" borderId="54" xfId="0" applyFont="1" applyFill="1" applyBorder="1" applyAlignment="1">
      <alignment horizontal="center"/>
    </xf>
    <xf numFmtId="0" fontId="68" fillId="11" borderId="0" xfId="0" applyFont="1" applyFill="1"/>
    <xf numFmtId="0" fontId="31" fillId="0" borderId="44" xfId="0" quotePrefix="1" applyFont="1" applyBorder="1" applyAlignment="1" applyProtection="1">
      <alignment horizontal="center" vertical="center" wrapText="1"/>
      <protection locked="0"/>
    </xf>
    <xf numFmtId="0" fontId="10" fillId="11" borderId="5" xfId="0" applyFont="1" applyFill="1" applyBorder="1"/>
    <xf numFmtId="0" fontId="49" fillId="10" borderId="29" xfId="0" applyFont="1" applyFill="1" applyBorder="1" applyAlignment="1">
      <alignment horizontal="center" vertical="center"/>
    </xf>
    <xf numFmtId="0" fontId="49" fillId="10" borderId="55" xfId="0" applyFont="1" applyFill="1" applyBorder="1" applyAlignment="1">
      <alignment horizontal="center" vertical="center"/>
    </xf>
    <xf numFmtId="0" fontId="49" fillId="10" borderId="40" xfId="0" applyFont="1" applyFill="1" applyBorder="1" applyAlignment="1">
      <alignment horizontal="center" vertical="center"/>
    </xf>
    <xf numFmtId="0" fontId="31" fillId="20" borderId="17" xfId="0" applyFont="1" applyFill="1" applyBorder="1" applyAlignment="1">
      <alignment horizontal="left" vertical="center" wrapText="1"/>
    </xf>
    <xf numFmtId="0" fontId="35" fillId="20" borderId="17" xfId="0" applyFont="1" applyFill="1" applyBorder="1" applyAlignment="1">
      <alignment horizontal="center" vertical="center"/>
    </xf>
    <xf numFmtId="0" fontId="31" fillId="20" borderId="17" xfId="0" applyFont="1" applyFill="1" applyBorder="1" applyAlignment="1">
      <alignment horizontal="left" vertical="center"/>
    </xf>
    <xf numFmtId="0" fontId="31" fillId="5" borderId="5" xfId="0" applyFont="1" applyFill="1" applyBorder="1" applyAlignment="1">
      <alignment horizontal="center" textRotation="90" wrapText="1"/>
    </xf>
    <xf numFmtId="0" fontId="39" fillId="5" borderId="5" xfId="0" applyFont="1" applyFill="1" applyBorder="1" applyAlignment="1">
      <alignment horizontal="center" vertical="center" textRotation="90" wrapText="1"/>
    </xf>
    <xf numFmtId="0" fontId="39" fillId="20" borderId="12" xfId="0" applyFont="1" applyFill="1" applyBorder="1" applyAlignment="1">
      <alignment horizontal="center" vertical="center" wrapText="1"/>
    </xf>
    <xf numFmtId="0" fontId="39" fillId="20" borderId="21" xfId="0" applyFont="1" applyFill="1" applyBorder="1" applyAlignment="1">
      <alignment horizontal="center" vertical="center" wrapText="1"/>
    </xf>
    <xf numFmtId="0" fontId="39" fillId="20" borderId="13" xfId="0" applyFont="1" applyFill="1" applyBorder="1" applyAlignment="1">
      <alignment horizontal="center" vertical="center" wrapText="1"/>
    </xf>
    <xf numFmtId="0" fontId="39" fillId="20" borderId="18" xfId="0" applyFont="1" applyFill="1" applyBorder="1" applyAlignment="1">
      <alignment horizontal="center" vertical="center" wrapText="1"/>
    </xf>
    <xf numFmtId="0" fontId="39" fillId="20" borderId="22" xfId="0" applyFont="1" applyFill="1" applyBorder="1" applyAlignment="1">
      <alignment horizontal="center" vertical="center" wrapText="1"/>
    </xf>
    <xf numFmtId="0" fontId="72" fillId="9" borderId="0" xfId="0" applyFont="1" applyFill="1" applyAlignment="1">
      <alignment vertical="top" wrapText="1"/>
    </xf>
    <xf numFmtId="0" fontId="49" fillId="10" borderId="54" xfId="0" applyFont="1" applyFill="1" applyBorder="1" applyAlignment="1">
      <alignment vertical="center" textRotation="90"/>
    </xf>
    <xf numFmtId="0" fontId="0" fillId="9" borderId="0" xfId="0" applyFill="1" applyAlignment="1">
      <alignment horizontal="left"/>
    </xf>
    <xf numFmtId="0" fontId="15" fillId="5" borderId="73" xfId="0" applyFont="1" applyFill="1" applyBorder="1" applyAlignment="1">
      <alignment horizontal="center" vertical="center"/>
    </xf>
    <xf numFmtId="0" fontId="15" fillId="5" borderId="37" xfId="0" applyFont="1" applyFill="1" applyBorder="1" applyAlignment="1">
      <alignment horizontal="center"/>
    </xf>
    <xf numFmtId="0" fontId="35" fillId="20" borderId="54" xfId="0" applyFont="1" applyFill="1" applyBorder="1" applyAlignment="1">
      <alignment horizontal="right" wrapText="1"/>
    </xf>
    <xf numFmtId="0" fontId="35" fillId="5" borderId="53" xfId="0" applyFont="1" applyFill="1" applyBorder="1" applyAlignment="1">
      <alignment horizontal="center" vertical="center" wrapText="1"/>
    </xf>
    <xf numFmtId="2" fontId="31" fillId="20" borderId="38" xfId="0" applyNumberFormat="1" applyFont="1" applyFill="1" applyBorder="1" applyAlignment="1">
      <alignment horizontal="center" vertical="center"/>
    </xf>
    <xf numFmtId="2" fontId="31" fillId="3" borderId="61" xfId="0" applyNumberFormat="1" applyFont="1" applyFill="1" applyBorder="1" applyAlignment="1" applyProtection="1">
      <alignment horizontal="center" vertical="center" wrapText="1"/>
      <protection locked="0"/>
    </xf>
    <xf numFmtId="2" fontId="31" fillId="3" borderId="6" xfId="0" applyNumberFormat="1" applyFont="1" applyFill="1" applyBorder="1" applyAlignment="1" applyProtection="1">
      <alignment horizontal="center" vertical="center" wrapText="1"/>
      <protection locked="0"/>
    </xf>
    <xf numFmtId="2" fontId="31" fillId="3" borderId="58" xfId="0" applyNumberFormat="1" applyFont="1" applyFill="1" applyBorder="1" applyAlignment="1" applyProtection="1">
      <alignment horizontal="center" vertical="center" wrapText="1"/>
      <protection locked="0"/>
    </xf>
    <xf numFmtId="2" fontId="31" fillId="20" borderId="15" xfId="0" applyNumberFormat="1" applyFont="1" applyFill="1" applyBorder="1" applyAlignment="1">
      <alignment horizontal="center" vertical="center" wrapText="1"/>
    </xf>
    <xf numFmtId="2" fontId="31" fillId="20" borderId="39"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1" fillId="20" borderId="66" xfId="0" applyFont="1" applyFill="1" applyBorder="1" applyAlignment="1">
      <alignment horizontal="center" vertical="center"/>
    </xf>
    <xf numFmtId="2" fontId="31" fillId="20" borderId="62" xfId="0" applyNumberFormat="1" applyFont="1" applyFill="1" applyBorder="1" applyAlignment="1">
      <alignment horizontal="center" vertical="center"/>
    </xf>
    <xf numFmtId="2" fontId="31" fillId="20" borderId="16" xfId="0" applyNumberFormat="1" applyFont="1" applyFill="1" applyBorder="1" applyAlignment="1">
      <alignment horizontal="center" vertical="center"/>
    </xf>
    <xf numFmtId="2" fontId="31" fillId="20" borderId="63" xfId="0" applyNumberFormat="1" applyFont="1" applyFill="1" applyBorder="1" applyAlignment="1">
      <alignment horizontal="center" vertical="center"/>
    </xf>
    <xf numFmtId="0" fontId="70" fillId="16" borderId="8" xfId="0" applyFont="1" applyFill="1" applyBorder="1" applyAlignment="1">
      <alignment horizontal="center" vertical="center"/>
    </xf>
    <xf numFmtId="0" fontId="31" fillId="10" borderId="52" xfId="0" applyFont="1" applyFill="1" applyBorder="1" applyAlignment="1">
      <alignment horizontal="center" vertical="center"/>
    </xf>
    <xf numFmtId="2" fontId="31" fillId="20" borderId="52" xfId="0" applyNumberFormat="1" applyFont="1" applyFill="1" applyBorder="1" applyAlignment="1">
      <alignment horizontal="center" vertical="center"/>
    </xf>
    <xf numFmtId="0" fontId="31" fillId="20" borderId="66" xfId="0" applyFont="1" applyFill="1" applyBorder="1"/>
    <xf numFmtId="0" fontId="31" fillId="20" borderId="42" xfId="0" applyFont="1" applyFill="1" applyBorder="1"/>
    <xf numFmtId="0" fontId="31" fillId="20" borderId="42" xfId="0" applyFont="1" applyFill="1" applyBorder="1" applyAlignment="1">
      <alignment horizontal="center" vertical="top"/>
    </xf>
    <xf numFmtId="0" fontId="31" fillId="25" borderId="66" xfId="0" applyFont="1" applyFill="1" applyBorder="1"/>
    <xf numFmtId="0" fontId="35" fillId="25" borderId="42" xfId="0" applyFont="1" applyFill="1" applyBorder="1" applyAlignment="1">
      <alignment horizontal="center" vertical="top" wrapText="1"/>
    </xf>
    <xf numFmtId="0" fontId="35" fillId="20" borderId="66"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31" fillId="20" borderId="39" xfId="0" applyFont="1" applyFill="1" applyBorder="1" applyAlignment="1">
      <alignment horizontal="center" vertical="center" wrapText="1"/>
    </xf>
    <xf numFmtId="2" fontId="31" fillId="20" borderId="83" xfId="0" applyNumberFormat="1" applyFont="1" applyFill="1" applyBorder="1" applyAlignment="1">
      <alignment horizontal="center" vertical="center"/>
    </xf>
    <xf numFmtId="0" fontId="31" fillId="20" borderId="82" xfId="0" applyFont="1" applyFill="1" applyBorder="1" applyAlignment="1">
      <alignment horizontal="center" vertical="center" wrapText="1"/>
    </xf>
    <xf numFmtId="0" fontId="31" fillId="10" borderId="42" xfId="0" applyFont="1" applyFill="1" applyBorder="1" applyAlignment="1">
      <alignment horizontal="center" vertical="center"/>
    </xf>
    <xf numFmtId="2" fontId="31" fillId="20" borderId="60" xfId="0" applyNumberFormat="1" applyFont="1" applyFill="1" applyBorder="1" applyAlignment="1">
      <alignment horizontal="center" vertical="center"/>
    </xf>
    <xf numFmtId="0" fontId="15" fillId="5" borderId="18" xfId="0" applyFont="1" applyFill="1" applyBorder="1" applyAlignment="1">
      <alignment horizontal="center" vertical="center" wrapText="1"/>
    </xf>
    <xf numFmtId="0" fontId="31" fillId="20" borderId="24" xfId="0" applyFont="1" applyFill="1" applyBorder="1" applyAlignment="1">
      <alignment horizontal="center" vertical="center" wrapText="1"/>
    </xf>
    <xf numFmtId="0" fontId="15" fillId="5" borderId="13" xfId="0" applyFont="1" applyFill="1" applyBorder="1" applyAlignment="1">
      <alignment horizontal="center" vertical="center" wrapText="1"/>
    </xf>
    <xf numFmtId="2" fontId="31" fillId="20" borderId="16" xfId="0" applyNumberFormat="1" applyFont="1" applyFill="1" applyBorder="1" applyAlignment="1">
      <alignment horizontal="center" vertical="center" wrapText="1"/>
    </xf>
    <xf numFmtId="0" fontId="31" fillId="5" borderId="45" xfId="0" applyFont="1" applyFill="1" applyBorder="1" applyAlignment="1">
      <alignment horizontal="center" vertical="center" wrapText="1"/>
    </xf>
    <xf numFmtId="2" fontId="31" fillId="20" borderId="1"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2" fontId="31" fillId="20" borderId="74" xfId="0" applyNumberFormat="1" applyFont="1" applyFill="1" applyBorder="1" applyAlignment="1">
      <alignment horizontal="center" vertical="center" wrapText="1"/>
    </xf>
    <xf numFmtId="0" fontId="31" fillId="20" borderId="56" xfId="0" applyFont="1" applyFill="1" applyBorder="1" applyAlignment="1">
      <alignment horizontal="center" vertical="center" wrapText="1"/>
    </xf>
    <xf numFmtId="2" fontId="31" fillId="20" borderId="63" xfId="0" applyNumberFormat="1" applyFont="1" applyFill="1" applyBorder="1" applyAlignment="1">
      <alignment horizontal="center" vertical="center" wrapText="1"/>
    </xf>
    <xf numFmtId="0" fontId="31" fillId="5" borderId="35"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0" fontId="31" fillId="5" borderId="36" xfId="0" applyFont="1" applyFill="1" applyBorder="1" applyAlignment="1">
      <alignment horizontal="center" vertical="center" wrapText="1"/>
    </xf>
    <xf numFmtId="2" fontId="31" fillId="20" borderId="27" xfId="0" applyNumberFormat="1" applyFont="1" applyFill="1" applyBorder="1" applyAlignment="1">
      <alignment horizontal="center" vertical="center"/>
    </xf>
    <xf numFmtId="2" fontId="31" fillId="20" borderId="74" xfId="0" applyNumberFormat="1" applyFont="1" applyFill="1" applyBorder="1" applyAlignment="1">
      <alignment horizontal="center" vertical="center"/>
    </xf>
    <xf numFmtId="2" fontId="35" fillId="19" borderId="80" xfId="0" applyNumberFormat="1" applyFont="1" applyFill="1" applyBorder="1" applyAlignment="1">
      <alignment horizontal="center" vertical="center"/>
    </xf>
    <xf numFmtId="0" fontId="33" fillId="9" borderId="0" xfId="0" applyFont="1" applyFill="1" applyAlignment="1">
      <alignment vertical="center" wrapText="1"/>
    </xf>
    <xf numFmtId="2" fontId="35" fillId="19" borderId="80" xfId="0" applyNumberFormat="1" applyFont="1" applyFill="1" applyBorder="1" applyAlignment="1">
      <alignment horizontal="center" vertical="center" wrapText="1"/>
    </xf>
    <xf numFmtId="2" fontId="31" fillId="20" borderId="51" xfId="0" applyNumberFormat="1" applyFont="1" applyFill="1" applyBorder="1" applyAlignment="1">
      <alignment horizontal="center" vertical="center"/>
    </xf>
    <xf numFmtId="0" fontId="31" fillId="10" borderId="35" xfId="0" applyFont="1" applyFill="1" applyBorder="1" applyAlignment="1">
      <alignment horizontal="center" vertical="center" wrapText="1"/>
    </xf>
    <xf numFmtId="2" fontId="35" fillId="19" borderId="46" xfId="0" applyNumberFormat="1" applyFont="1" applyFill="1" applyBorder="1" applyAlignment="1">
      <alignment horizontal="center" vertical="center" wrapText="1"/>
    </xf>
    <xf numFmtId="2" fontId="31" fillId="20" borderId="63" xfId="0" applyNumberFormat="1" applyFont="1" applyFill="1" applyBorder="1" applyAlignment="1">
      <alignment horizontal="right" vertical="center"/>
    </xf>
    <xf numFmtId="2" fontId="31" fillId="20" borderId="16" xfId="0" applyNumberFormat="1" applyFont="1" applyFill="1" applyBorder="1" applyAlignment="1">
      <alignment horizontal="right" vertical="center"/>
    </xf>
    <xf numFmtId="2" fontId="31" fillId="20" borderId="1" xfId="0" applyNumberFormat="1" applyFont="1" applyFill="1" applyBorder="1" applyAlignment="1">
      <alignment horizontal="right" vertical="center"/>
    </xf>
    <xf numFmtId="2" fontId="35" fillId="19" borderId="23" xfId="0" applyNumberFormat="1" applyFont="1" applyFill="1" applyBorder="1" applyAlignment="1">
      <alignment vertical="center"/>
    </xf>
    <xf numFmtId="2" fontId="35" fillId="19" borderId="24" xfId="0" applyNumberFormat="1" applyFont="1" applyFill="1" applyBorder="1" applyAlignment="1">
      <alignment vertical="center"/>
    </xf>
    <xf numFmtId="2" fontId="35" fillId="19" borderId="23" xfId="0" applyNumberFormat="1" applyFont="1" applyFill="1" applyBorder="1" applyAlignment="1">
      <alignment vertical="center" wrapText="1"/>
    </xf>
    <xf numFmtId="2" fontId="35" fillId="19" borderId="24" xfId="0" applyNumberFormat="1" applyFont="1" applyFill="1" applyBorder="1" applyAlignment="1">
      <alignment vertical="center" wrapText="1"/>
    </xf>
    <xf numFmtId="2" fontId="35" fillId="19" borderId="33" xfId="0" applyNumberFormat="1" applyFont="1" applyFill="1" applyBorder="1" applyAlignment="1">
      <alignment vertical="center" wrapText="1"/>
    </xf>
    <xf numFmtId="2" fontId="35" fillId="19" borderId="59" xfId="0" applyNumberFormat="1" applyFont="1" applyFill="1" applyBorder="1" applyAlignment="1">
      <alignment vertical="center" wrapText="1"/>
    </xf>
    <xf numFmtId="2" fontId="35" fillId="19" borderId="33" xfId="0" applyNumberFormat="1" applyFont="1" applyFill="1" applyBorder="1" applyAlignment="1">
      <alignment vertical="center"/>
    </xf>
    <xf numFmtId="2" fontId="35" fillId="19" borderId="59" xfId="0" applyNumberFormat="1" applyFont="1" applyFill="1" applyBorder="1" applyAlignment="1">
      <alignment vertical="center"/>
    </xf>
    <xf numFmtId="0" fontId="31" fillId="5" borderId="33" xfId="0" applyFont="1" applyFill="1" applyBorder="1" applyAlignment="1">
      <alignment horizontal="center" vertical="center" wrapText="1"/>
    </xf>
    <xf numFmtId="0" fontId="26" fillId="9" borderId="0" xfId="0" applyFont="1" applyFill="1" applyAlignment="1">
      <alignment vertical="center" wrapText="1"/>
    </xf>
    <xf numFmtId="0" fontId="0" fillId="20" borderId="39" xfId="0" applyFill="1" applyBorder="1"/>
    <xf numFmtId="0" fontId="0" fillId="20" borderId="82" xfId="0" applyFill="1" applyBorder="1"/>
    <xf numFmtId="0" fontId="0" fillId="20" borderId="24" xfId="0" applyFill="1" applyBorder="1"/>
    <xf numFmtId="0" fontId="35" fillId="10" borderId="20" xfId="0" applyFont="1" applyFill="1" applyBorder="1" applyAlignment="1">
      <alignment horizontal="center" vertical="center"/>
    </xf>
    <xf numFmtId="2" fontId="31" fillId="20" borderId="15" xfId="0" applyNumberFormat="1" applyFont="1" applyFill="1" applyBorder="1" applyAlignment="1">
      <alignment horizontal="center" vertical="center"/>
    </xf>
    <xf numFmtId="2" fontId="31" fillId="20" borderId="59" xfId="0" applyNumberFormat="1" applyFont="1" applyFill="1" applyBorder="1" applyAlignment="1">
      <alignment horizontal="center" vertical="center"/>
    </xf>
    <xf numFmtId="2" fontId="35" fillId="20" borderId="35" xfId="0" applyNumberFormat="1" applyFont="1" applyFill="1" applyBorder="1" applyAlignment="1">
      <alignment horizontal="right" vertical="center"/>
    </xf>
    <xf numFmtId="2" fontId="35" fillId="20" borderId="36" xfId="0" applyNumberFormat="1" applyFont="1" applyFill="1" applyBorder="1" applyAlignment="1">
      <alignment horizontal="right" vertical="center"/>
    </xf>
    <xf numFmtId="2" fontId="35" fillId="20" borderId="45" xfId="0" applyNumberFormat="1" applyFont="1" applyFill="1" applyBorder="1" applyAlignment="1">
      <alignment horizontal="right" vertical="center"/>
    </xf>
    <xf numFmtId="10" fontId="35" fillId="20" borderId="47" xfId="0" applyNumberFormat="1" applyFont="1" applyFill="1" applyBorder="1" applyAlignment="1">
      <alignment horizontal="center" vertical="center"/>
    </xf>
    <xf numFmtId="10" fontId="35" fillId="20" borderId="31" xfId="0" applyNumberFormat="1" applyFont="1" applyFill="1" applyBorder="1" applyAlignment="1">
      <alignment horizontal="center" vertical="center"/>
    </xf>
    <xf numFmtId="10" fontId="35" fillId="20" borderId="32" xfId="0" applyNumberFormat="1" applyFont="1" applyFill="1" applyBorder="1" applyAlignment="1">
      <alignment horizontal="center" vertical="center"/>
    </xf>
    <xf numFmtId="0" fontId="66" fillId="16" borderId="35" xfId="0" applyFont="1" applyFill="1" applyBorder="1" applyAlignment="1">
      <alignment horizontal="center" vertical="center"/>
    </xf>
    <xf numFmtId="0" fontId="66" fillId="16" borderId="36" xfId="0" applyFont="1" applyFill="1" applyBorder="1" applyAlignment="1">
      <alignment horizontal="center" vertical="center"/>
    </xf>
    <xf numFmtId="0" fontId="66" fillId="17" borderId="23" xfId="0" applyFont="1" applyFill="1" applyBorder="1" applyAlignment="1">
      <alignment horizontal="center" vertical="center"/>
    </xf>
    <xf numFmtId="0" fontId="66" fillId="18" borderId="23" xfId="0" applyFont="1" applyFill="1" applyBorder="1" applyAlignment="1">
      <alignment horizontal="center" vertical="center"/>
    </xf>
    <xf numFmtId="2" fontId="51" fillId="20" borderId="16" xfId="0" applyNumberFormat="1" applyFont="1" applyFill="1" applyBorder="1" applyAlignment="1">
      <alignment horizontal="center" vertical="center"/>
    </xf>
    <xf numFmtId="0" fontId="66" fillId="16" borderId="70" xfId="0" applyFont="1" applyFill="1" applyBorder="1" applyAlignment="1">
      <alignment horizontal="center" vertical="center"/>
    </xf>
    <xf numFmtId="2" fontId="51" fillId="20" borderId="1" xfId="0" applyNumberFormat="1" applyFont="1" applyFill="1" applyBorder="1" applyAlignment="1">
      <alignment horizontal="center" vertical="center"/>
    </xf>
    <xf numFmtId="2" fontId="51" fillId="20" borderId="83" xfId="0" applyNumberFormat="1" applyFont="1" applyFill="1" applyBorder="1" applyAlignment="1">
      <alignment horizontal="center" vertical="center"/>
    </xf>
    <xf numFmtId="2" fontId="51" fillId="20" borderId="62" xfId="0" applyNumberFormat="1" applyFont="1" applyFill="1" applyBorder="1" applyAlignment="1">
      <alignment horizontal="center" vertical="center"/>
    </xf>
    <xf numFmtId="0" fontId="0" fillId="20" borderId="15" xfId="0" applyFill="1" applyBorder="1"/>
    <xf numFmtId="2" fontId="31" fillId="20" borderId="66" xfId="0" applyNumberFormat="1" applyFont="1" applyFill="1" applyBorder="1" applyAlignment="1">
      <alignment horizontal="center" vertical="center"/>
    </xf>
    <xf numFmtId="2" fontId="31" fillId="20" borderId="1" xfId="0" applyNumberFormat="1" applyFont="1" applyFill="1" applyBorder="1" applyAlignment="1">
      <alignment horizontal="center" vertical="center"/>
    </xf>
    <xf numFmtId="2" fontId="35" fillId="19" borderId="24" xfId="0" applyNumberFormat="1" applyFont="1" applyFill="1" applyBorder="1" applyAlignment="1">
      <alignment horizontal="center" vertical="center"/>
    </xf>
    <xf numFmtId="0" fontId="31" fillId="20" borderId="56" xfId="0" applyFont="1" applyFill="1" applyBorder="1" applyAlignment="1">
      <alignment horizontal="center" vertical="center"/>
    </xf>
    <xf numFmtId="0" fontId="31" fillId="20" borderId="82" xfId="0" applyFont="1" applyFill="1" applyBorder="1" applyAlignment="1">
      <alignment horizontal="center" vertical="center"/>
    </xf>
    <xf numFmtId="0" fontId="31" fillId="27" borderId="0" xfId="0" applyFont="1" applyFill="1"/>
    <xf numFmtId="0" fontId="31" fillId="27" borderId="0" xfId="0" applyFont="1" applyFill="1" applyAlignment="1">
      <alignment wrapText="1"/>
    </xf>
    <xf numFmtId="0" fontId="61" fillId="20" borderId="15" xfId="0" applyFont="1" applyFill="1" applyBorder="1" applyAlignment="1">
      <alignment horizontal="center"/>
    </xf>
    <xf numFmtId="0" fontId="61" fillId="20" borderId="39" xfId="0" applyFont="1" applyFill="1" applyBorder="1" applyAlignment="1">
      <alignment horizontal="center"/>
    </xf>
    <xf numFmtId="0" fontId="0" fillId="20" borderId="39" xfId="0" applyFill="1" applyBorder="1" applyAlignment="1">
      <alignment horizontal="center"/>
    </xf>
    <xf numFmtId="0" fontId="0" fillId="20" borderId="59" xfId="0" applyFill="1" applyBorder="1" applyAlignment="1">
      <alignment horizontal="center"/>
    </xf>
    <xf numFmtId="0" fontId="35" fillId="10" borderId="30" xfId="0" applyFont="1" applyFill="1" applyBorder="1" applyAlignment="1">
      <alignment horizontal="center" vertical="center"/>
    </xf>
    <xf numFmtId="0" fontId="70" fillId="16" borderId="35" xfId="0" applyFont="1" applyFill="1" applyBorder="1" applyAlignment="1">
      <alignment horizontal="center" vertical="center"/>
    </xf>
    <xf numFmtId="0" fontId="70" fillId="16" borderId="36" xfId="0" applyFont="1" applyFill="1" applyBorder="1" applyAlignment="1">
      <alignment horizontal="center" vertical="center"/>
    </xf>
    <xf numFmtId="0" fontId="70" fillId="16" borderId="45" xfId="0" applyFont="1" applyFill="1" applyBorder="1" applyAlignment="1">
      <alignment horizontal="center" vertical="center"/>
    </xf>
    <xf numFmtId="0" fontId="0" fillId="20" borderId="64" xfId="0" applyFill="1" applyBorder="1" applyAlignment="1">
      <alignment horizontal="center"/>
    </xf>
    <xf numFmtId="0" fontId="70" fillId="17" borderId="33" xfId="0" applyFont="1" applyFill="1" applyBorder="1" applyAlignment="1">
      <alignment horizontal="center" vertical="center"/>
    </xf>
    <xf numFmtId="0" fontId="70" fillId="18" borderId="33" xfId="0" applyFont="1" applyFill="1" applyBorder="1" applyAlignment="1">
      <alignment horizontal="center" vertical="center"/>
    </xf>
    <xf numFmtId="2" fontId="35" fillId="20" borderId="47" xfId="0" applyNumberFormat="1" applyFont="1" applyFill="1" applyBorder="1" applyAlignment="1">
      <alignment horizontal="right" vertical="center"/>
    </xf>
    <xf numFmtId="2" fontId="35" fillId="20" borderId="31" xfId="0" applyNumberFormat="1" applyFont="1" applyFill="1" applyBorder="1" applyAlignment="1">
      <alignment horizontal="right" vertical="center"/>
    </xf>
    <xf numFmtId="2" fontId="35" fillId="20" borderId="32" xfId="0" applyNumberFormat="1" applyFont="1" applyFill="1" applyBorder="1" applyAlignment="1">
      <alignment horizontal="right" vertical="center"/>
    </xf>
    <xf numFmtId="2" fontId="35" fillId="20" borderId="34" xfId="0" applyNumberFormat="1" applyFont="1" applyFill="1" applyBorder="1" applyAlignment="1">
      <alignment horizontal="right" vertical="center"/>
    </xf>
    <xf numFmtId="2" fontId="35" fillId="20" borderId="29" xfId="0" applyNumberFormat="1" applyFont="1" applyFill="1" applyBorder="1" applyAlignment="1">
      <alignment horizontal="center" vertical="center"/>
    </xf>
    <xf numFmtId="2" fontId="35" fillId="20" borderId="55" xfId="0" applyNumberFormat="1" applyFont="1" applyFill="1" applyBorder="1" applyAlignment="1">
      <alignment horizontal="center" vertical="center"/>
    </xf>
    <xf numFmtId="2" fontId="35" fillId="20" borderId="40" xfId="0" applyNumberFormat="1" applyFont="1" applyFill="1" applyBorder="1" applyAlignment="1">
      <alignment horizontal="center" vertical="center"/>
    </xf>
    <xf numFmtId="2" fontId="35" fillId="20" borderId="30" xfId="0" applyNumberFormat="1" applyFont="1" applyFill="1" applyBorder="1" applyAlignment="1">
      <alignment horizontal="center" vertical="center"/>
    </xf>
    <xf numFmtId="0" fontId="35" fillId="10" borderId="24" xfId="0" applyFont="1" applyFill="1" applyBorder="1" applyAlignment="1">
      <alignment horizontal="center" vertical="center"/>
    </xf>
    <xf numFmtId="0" fontId="35" fillId="5" borderId="46"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11" borderId="16" xfId="0" applyFont="1" applyFill="1" applyBorder="1" applyAlignment="1">
      <alignment horizontal="left" vertical="top" wrapText="1"/>
    </xf>
    <xf numFmtId="0" fontId="31" fillId="5" borderId="14" xfId="0" applyFont="1" applyFill="1" applyBorder="1" applyAlignment="1">
      <alignment horizontal="left" vertical="top"/>
    </xf>
    <xf numFmtId="0" fontId="31" fillId="5" borderId="13" xfId="0" applyFont="1" applyFill="1" applyBorder="1" applyAlignment="1">
      <alignment horizontal="left" vertical="top"/>
    </xf>
    <xf numFmtId="0" fontId="31" fillId="11" borderId="16" xfId="0" applyFont="1" applyFill="1" applyBorder="1" applyAlignment="1">
      <alignment wrapText="1"/>
    </xf>
    <xf numFmtId="0" fontId="31" fillId="11" borderId="1" xfId="0" applyFont="1" applyFill="1" applyBorder="1" applyAlignment="1">
      <alignment wrapText="1"/>
    </xf>
    <xf numFmtId="0" fontId="31" fillId="20" borderId="52" xfId="0" applyFont="1" applyFill="1" applyBorder="1" applyAlignment="1">
      <alignment horizontal="left" vertical="center"/>
    </xf>
    <xf numFmtId="0" fontId="31" fillId="5" borderId="14" xfId="0" applyFont="1" applyFill="1" applyBorder="1" applyAlignment="1">
      <alignment wrapText="1"/>
    </xf>
    <xf numFmtId="0" fontId="31" fillId="5" borderId="12" xfId="0" applyFont="1" applyFill="1" applyBorder="1" applyAlignment="1">
      <alignment wrapText="1"/>
    </xf>
    <xf numFmtId="0" fontId="31" fillId="5" borderId="13" xfId="0" applyFont="1" applyFill="1" applyBorder="1" applyAlignment="1">
      <alignment wrapText="1"/>
    </xf>
    <xf numFmtId="0" fontId="31" fillId="5" borderId="9" xfId="0" applyFont="1" applyFill="1" applyBorder="1" applyAlignment="1">
      <alignment wrapText="1"/>
    </xf>
    <xf numFmtId="0" fontId="31" fillId="20" borderId="11" xfId="0" applyFont="1" applyFill="1" applyBorder="1" applyAlignment="1">
      <alignment horizontal="center" vertical="center"/>
    </xf>
    <xf numFmtId="0" fontId="31" fillId="5" borderId="12" xfId="0" applyFont="1" applyFill="1" applyBorder="1" applyAlignment="1">
      <alignment horizontal="left" vertical="top"/>
    </xf>
    <xf numFmtId="0" fontId="31" fillId="5" borderId="9" xfId="0" applyFont="1" applyFill="1" applyBorder="1" applyAlignment="1">
      <alignment horizontal="left" vertical="top"/>
    </xf>
    <xf numFmtId="0" fontId="31" fillId="11" borderId="60" xfId="0" applyFont="1" applyFill="1" applyBorder="1" applyAlignment="1">
      <alignment horizontal="left" vertical="top" wrapText="1"/>
    </xf>
    <xf numFmtId="0" fontId="31" fillId="5" borderId="8" xfId="0" applyFont="1" applyFill="1" applyBorder="1" applyAlignment="1">
      <alignment horizontal="left" vertical="top"/>
    </xf>
    <xf numFmtId="0" fontId="31" fillId="20" borderId="52" xfId="0" applyFont="1" applyFill="1" applyBorder="1" applyAlignment="1">
      <alignment horizontal="left" vertical="center" wrapText="1"/>
    </xf>
    <xf numFmtId="0" fontId="31" fillId="20" borderId="38" xfId="0" applyFont="1" applyFill="1" applyBorder="1" applyAlignment="1">
      <alignment horizontal="center" vertical="center"/>
    </xf>
    <xf numFmtId="0" fontId="31" fillId="11" borderId="1" xfId="0" applyFont="1" applyFill="1" applyBorder="1" applyAlignment="1">
      <alignment horizontal="left" vertical="top" wrapText="1"/>
    </xf>
    <xf numFmtId="0" fontId="31" fillId="5" borderId="41" xfId="0" applyFont="1" applyFill="1" applyBorder="1" applyAlignment="1">
      <alignment horizontal="left" vertical="top"/>
    </xf>
    <xf numFmtId="0" fontId="31" fillId="20" borderId="5" xfId="0" applyFont="1" applyFill="1" applyBorder="1" applyAlignment="1">
      <alignment horizontal="center" wrapText="1"/>
    </xf>
    <xf numFmtId="0" fontId="39" fillId="0" borderId="42" xfId="0" applyFont="1" applyBorder="1" applyAlignment="1" applyProtection="1">
      <alignment horizontal="center" vertical="center"/>
      <protection locked="0"/>
    </xf>
    <xf numFmtId="0" fontId="39" fillId="0" borderId="42" xfId="0" applyFont="1" applyBorder="1" applyAlignment="1" applyProtection="1">
      <alignment horizontal="center"/>
      <protection locked="0"/>
    </xf>
    <xf numFmtId="0" fontId="39" fillId="3" borderId="42" xfId="0" applyFont="1" applyFill="1" applyBorder="1" applyAlignment="1" applyProtection="1">
      <alignment horizontal="center"/>
      <protection locked="0"/>
    </xf>
    <xf numFmtId="0" fontId="39" fillId="3" borderId="18" xfId="0" applyFont="1" applyFill="1" applyBorder="1" applyAlignment="1" applyProtection="1">
      <alignment horizontal="center"/>
      <protection locked="0"/>
    </xf>
    <xf numFmtId="0" fontId="39" fillId="0" borderId="5" xfId="0" applyFont="1" applyBorder="1" applyAlignment="1" applyProtection="1">
      <alignment horizontal="center" vertical="center"/>
      <protection locked="0"/>
    </xf>
    <xf numFmtId="0" fontId="39" fillId="3" borderId="5" xfId="0" applyFont="1" applyFill="1" applyBorder="1" applyAlignment="1" applyProtection="1">
      <alignment horizontal="center" vertical="center"/>
      <protection locked="0"/>
    </xf>
    <xf numFmtId="0" fontId="39" fillId="3" borderId="18" xfId="0" applyFont="1" applyFill="1" applyBorder="1" applyAlignment="1" applyProtection="1">
      <alignment horizontal="center" vertical="center"/>
      <protection locked="0"/>
    </xf>
    <xf numFmtId="2" fontId="31" fillId="19" borderId="62" xfId="0" applyNumberFormat="1" applyFont="1" applyFill="1" applyBorder="1" applyAlignment="1">
      <alignment horizontal="center" vertical="center"/>
    </xf>
    <xf numFmtId="2" fontId="31" fillId="19" borderId="60" xfId="0" applyNumberFormat="1" applyFont="1" applyFill="1" applyBorder="1" applyAlignment="1">
      <alignment horizontal="center" vertical="center"/>
    </xf>
    <xf numFmtId="2" fontId="31" fillId="19" borderId="63" xfId="0" applyNumberFormat="1" applyFont="1" applyFill="1" applyBorder="1" applyAlignment="1">
      <alignment horizontal="center" vertical="center"/>
    </xf>
    <xf numFmtId="2" fontId="31" fillId="19" borderId="55" xfId="0" applyNumberFormat="1" applyFont="1" applyFill="1" applyBorder="1" applyAlignment="1">
      <alignment horizontal="center" vertical="center" wrapText="1"/>
    </xf>
    <xf numFmtId="0" fontId="31" fillId="3" borderId="40" xfId="0" applyFont="1" applyFill="1" applyBorder="1" applyAlignment="1" applyProtection="1">
      <alignment horizontal="center" vertical="center" wrapText="1"/>
      <protection locked="0"/>
    </xf>
    <xf numFmtId="0" fontId="31" fillId="0" borderId="43" xfId="0" applyFont="1" applyBorder="1" applyAlignment="1" applyProtection="1">
      <alignment horizontal="center" vertical="center" wrapText="1"/>
      <protection locked="0"/>
    </xf>
    <xf numFmtId="0" fontId="31" fillId="3" borderId="29" xfId="0" applyFont="1" applyFill="1" applyBorder="1" applyAlignment="1" applyProtection="1">
      <alignment horizontal="center" vertical="center" wrapText="1"/>
      <protection locked="0"/>
    </xf>
    <xf numFmtId="0" fontId="31" fillId="3" borderId="30" xfId="0" applyFont="1" applyFill="1" applyBorder="1" applyAlignment="1" applyProtection="1">
      <alignment horizontal="center" vertical="center" wrapText="1"/>
      <protection locked="0"/>
    </xf>
    <xf numFmtId="0" fontId="31" fillId="3" borderId="15" xfId="0" applyFont="1" applyFill="1" applyBorder="1" applyAlignment="1" applyProtection="1">
      <alignment horizontal="center" vertical="center" wrapText="1"/>
      <protection locked="0"/>
    </xf>
    <xf numFmtId="0" fontId="31" fillId="3" borderId="39" xfId="0" applyFont="1" applyFill="1" applyBorder="1" applyAlignment="1" applyProtection="1">
      <alignment horizontal="center" vertical="center" wrapText="1"/>
      <protection locked="0"/>
    </xf>
    <xf numFmtId="0" fontId="31" fillId="3" borderId="80" xfId="0" applyFont="1" applyFill="1" applyBorder="1" applyAlignment="1" applyProtection="1">
      <alignment horizontal="center" vertical="center" wrapText="1"/>
      <protection locked="0"/>
    </xf>
    <xf numFmtId="0" fontId="31" fillId="3" borderId="5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60" xfId="0" applyFont="1" applyFill="1" applyBorder="1" applyAlignment="1" applyProtection="1">
      <alignment horizontal="center" vertical="center" wrapText="1"/>
      <protection locked="0"/>
    </xf>
    <xf numFmtId="0" fontId="31" fillId="3" borderId="67" xfId="0"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0" fontId="31" fillId="3" borderId="64" xfId="0" applyFont="1" applyFill="1" applyBorder="1" applyAlignment="1" applyProtection="1">
      <alignment horizontal="center" vertical="center" wrapText="1"/>
      <protection locked="0"/>
    </xf>
    <xf numFmtId="0" fontId="31" fillId="3" borderId="43" xfId="0" applyFont="1" applyFill="1" applyBorder="1" applyAlignment="1" applyProtection="1">
      <alignment horizontal="center" vertical="center" wrapText="1"/>
      <protection locked="0"/>
    </xf>
    <xf numFmtId="0" fontId="31" fillId="0" borderId="60" xfId="0" applyFont="1" applyBorder="1" applyAlignment="1" applyProtection="1">
      <alignment horizontal="center" vertical="center" wrapText="1"/>
      <protection locked="0"/>
    </xf>
    <xf numFmtId="0" fontId="31" fillId="0" borderId="75" xfId="0" applyFont="1" applyBorder="1" applyAlignment="1" applyProtection="1">
      <alignment horizontal="center" vertical="center" wrapText="1"/>
      <protection locked="0"/>
    </xf>
    <xf numFmtId="0" fontId="35" fillId="10" borderId="27" xfId="0" applyFont="1" applyFill="1" applyBorder="1" applyAlignment="1">
      <alignment horizontal="center" vertical="center"/>
    </xf>
    <xf numFmtId="0" fontId="16" fillId="5" borderId="54"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5" borderId="48" xfId="0" applyFont="1" applyFill="1" applyBorder="1" applyAlignment="1">
      <alignment horizontal="center" vertical="center" wrapText="1"/>
    </xf>
    <xf numFmtId="2" fontId="13" fillId="19" borderId="26" xfId="0" applyNumberFormat="1" applyFont="1" applyFill="1" applyBorder="1" applyAlignment="1">
      <alignment horizontal="center" vertical="center"/>
    </xf>
    <xf numFmtId="0" fontId="13" fillId="5" borderId="36" xfId="0" applyFont="1" applyFill="1" applyBorder="1" applyAlignment="1">
      <alignment horizontal="center" vertical="top"/>
    </xf>
    <xf numFmtId="0" fontId="13" fillId="5" borderId="45" xfId="0" applyFont="1" applyFill="1" applyBorder="1" applyAlignment="1">
      <alignment horizontal="center" vertical="top"/>
    </xf>
    <xf numFmtId="2" fontId="13" fillId="19" borderId="52" xfId="0" applyNumberFormat="1" applyFont="1" applyFill="1" applyBorder="1" applyAlignment="1">
      <alignment horizontal="center" vertical="center"/>
    </xf>
    <xf numFmtId="2" fontId="13" fillId="19" borderId="38" xfId="0" applyNumberFormat="1" applyFont="1" applyFill="1" applyBorder="1" applyAlignment="1">
      <alignment horizontal="center" vertical="center"/>
    </xf>
    <xf numFmtId="165" fontId="13" fillId="19" borderId="26" xfId="0" applyNumberFormat="1" applyFont="1" applyFill="1" applyBorder="1" applyAlignment="1">
      <alignment horizontal="center" vertical="center"/>
    </xf>
    <xf numFmtId="0" fontId="13" fillId="5" borderId="45" xfId="0" applyFont="1" applyFill="1" applyBorder="1" applyAlignment="1">
      <alignment horizontal="center" vertical="top" wrapText="1"/>
    </xf>
    <xf numFmtId="165" fontId="13" fillId="19" borderId="52" xfId="0" applyNumberFormat="1" applyFont="1" applyFill="1" applyBorder="1" applyAlignment="1">
      <alignment horizontal="center" vertical="center"/>
    </xf>
    <xf numFmtId="165" fontId="13" fillId="19" borderId="38" xfId="0" applyNumberFormat="1" applyFont="1" applyFill="1" applyBorder="1" applyAlignment="1">
      <alignment horizontal="center" vertical="center"/>
    </xf>
    <xf numFmtId="0" fontId="35" fillId="0" borderId="25" xfId="0" applyFont="1" applyBorder="1" applyAlignment="1" applyProtection="1">
      <alignment horizontal="center" vertical="center" wrapText="1"/>
      <protection locked="0"/>
    </xf>
    <xf numFmtId="0" fontId="31" fillId="8" borderId="4" xfId="0" applyFont="1" applyFill="1" applyBorder="1" applyAlignment="1">
      <alignment horizontal="center" vertical="top" wrapText="1"/>
    </xf>
    <xf numFmtId="0" fontId="35" fillId="10" borderId="80" xfId="0" applyFont="1" applyFill="1" applyBorder="1" applyAlignment="1">
      <alignment horizontal="center" vertical="center" wrapText="1"/>
    </xf>
    <xf numFmtId="0" fontId="35" fillId="5" borderId="48" xfId="0" applyFont="1" applyFill="1" applyBorder="1" applyAlignment="1">
      <alignment vertical="center" wrapText="1"/>
    </xf>
    <xf numFmtId="0" fontId="35" fillId="5" borderId="24" xfId="0" applyFont="1" applyFill="1" applyBorder="1" applyAlignment="1">
      <alignment vertical="center"/>
    </xf>
    <xf numFmtId="0" fontId="31" fillId="11" borderId="50"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14" xfId="0" applyFont="1" applyFill="1" applyBorder="1" applyAlignment="1">
      <alignment horizontal="center" vertical="center"/>
    </xf>
    <xf numFmtId="0" fontId="35" fillId="5" borderId="19" xfId="0" applyFont="1" applyFill="1" applyBorder="1" applyAlignment="1">
      <alignment horizontal="center" vertical="center"/>
    </xf>
    <xf numFmtId="0" fontId="31" fillId="10" borderId="12" xfId="0" applyFont="1" applyFill="1" applyBorder="1" applyAlignment="1">
      <alignment horizontal="center" vertical="center" wrapText="1"/>
    </xf>
    <xf numFmtId="0" fontId="31" fillId="10" borderId="13" xfId="0" applyFont="1" applyFill="1" applyBorder="1" applyAlignment="1">
      <alignment horizontal="center" vertical="center" wrapText="1"/>
    </xf>
    <xf numFmtId="0" fontId="35" fillId="5" borderId="17" xfId="0" applyFont="1" applyFill="1" applyBorder="1" applyAlignment="1">
      <alignment horizontal="center" vertical="center"/>
    </xf>
    <xf numFmtId="167" fontId="31" fillId="20" borderId="21" xfId="0" applyNumberFormat="1" applyFont="1" applyFill="1" applyBorder="1" applyAlignment="1">
      <alignment horizontal="center" vertical="center"/>
    </xf>
    <xf numFmtId="167" fontId="31" fillId="20" borderId="22" xfId="0" applyNumberFormat="1" applyFont="1" applyFill="1" applyBorder="1" applyAlignment="1">
      <alignment horizontal="center" vertical="center"/>
    </xf>
    <xf numFmtId="0" fontId="35" fillId="5" borderId="12" xfId="0" applyFont="1" applyFill="1" applyBorder="1" applyAlignment="1">
      <alignment horizontal="center" vertical="center"/>
    </xf>
    <xf numFmtId="0" fontId="35" fillId="5" borderId="21" xfId="0" applyFont="1" applyFill="1" applyBorder="1" applyAlignment="1">
      <alignment horizontal="center" vertical="center"/>
    </xf>
    <xf numFmtId="0" fontId="31" fillId="5" borderId="12" xfId="0" applyFont="1" applyFill="1" applyBorder="1" applyAlignment="1">
      <alignment horizontal="left" vertical="center"/>
    </xf>
    <xf numFmtId="0" fontId="31" fillId="5" borderId="13" xfId="0" applyFont="1" applyFill="1" applyBorder="1" applyAlignment="1">
      <alignment horizontal="left" vertical="center"/>
    </xf>
    <xf numFmtId="0" fontId="10" fillId="20" borderId="6" xfId="0" applyFont="1" applyFill="1" applyBorder="1" applyAlignment="1">
      <alignment horizontal="center" vertical="center"/>
    </xf>
    <xf numFmtId="0" fontId="31" fillId="5" borderId="14" xfId="0" applyFont="1" applyFill="1" applyBorder="1"/>
    <xf numFmtId="0" fontId="10" fillId="20" borderId="31" xfId="0" applyFont="1" applyFill="1" applyBorder="1" applyAlignment="1">
      <alignment horizontal="center" vertical="center"/>
    </xf>
    <xf numFmtId="0" fontId="31" fillId="5" borderId="42" xfId="0" applyFont="1" applyFill="1" applyBorder="1" applyAlignment="1">
      <alignment horizontal="center" vertical="center" wrapText="1"/>
    </xf>
    <xf numFmtId="0" fontId="31" fillId="5" borderId="21" xfId="0" applyFont="1" applyFill="1" applyBorder="1" applyAlignment="1">
      <alignment horizontal="center" vertical="center" wrapText="1"/>
    </xf>
    <xf numFmtId="0" fontId="31" fillId="5" borderId="42" xfId="0" applyFont="1" applyFill="1" applyBorder="1" applyAlignment="1">
      <alignment horizontal="center" vertical="center"/>
    </xf>
    <xf numFmtId="2" fontId="61" fillId="20" borderId="26" xfId="0" applyNumberFormat="1" applyFont="1" applyFill="1" applyBorder="1" applyAlignment="1">
      <alignment horizontal="center" vertical="center" wrapText="1"/>
    </xf>
    <xf numFmtId="0" fontId="0" fillId="9" borderId="0" xfId="0" applyFill="1" applyAlignment="1">
      <alignment wrapText="1"/>
    </xf>
    <xf numFmtId="2" fontId="61" fillId="20" borderId="19" xfId="0" applyNumberFormat="1" applyFont="1" applyFill="1" applyBorder="1" applyAlignment="1">
      <alignment horizontal="center" vertical="center" wrapText="1"/>
    </xf>
    <xf numFmtId="2" fontId="61" fillId="20" borderId="21" xfId="0" applyNumberFormat="1" applyFont="1" applyFill="1" applyBorder="1" applyAlignment="1">
      <alignment horizontal="center" vertical="center" wrapText="1"/>
    </xf>
    <xf numFmtId="2" fontId="61" fillId="20" borderId="22" xfId="0" applyNumberFormat="1" applyFont="1" applyFill="1" applyBorder="1" applyAlignment="1">
      <alignment horizontal="center" vertical="center" wrapText="1"/>
    </xf>
    <xf numFmtId="0" fontId="67" fillId="9" borderId="0" xfId="0" applyFont="1" applyFill="1" applyAlignment="1">
      <alignment horizontal="center" vertical="center" wrapText="1"/>
    </xf>
    <xf numFmtId="0" fontId="61" fillId="20" borderId="25" xfId="0" applyFont="1" applyFill="1" applyBorder="1" applyAlignment="1">
      <alignment horizontal="center" vertical="center" wrapText="1"/>
    </xf>
    <xf numFmtId="2" fontId="61" fillId="20" borderId="4" xfId="0" applyNumberFormat="1" applyFont="1" applyFill="1" applyBorder="1" applyAlignment="1">
      <alignment horizontal="center" vertical="center" wrapText="1"/>
    </xf>
    <xf numFmtId="2" fontId="61" fillId="20" borderId="42" xfId="0" applyNumberFormat="1" applyFont="1" applyFill="1" applyBorder="1" applyAlignment="1">
      <alignment horizontal="center" vertical="center" wrapText="1"/>
    </xf>
    <xf numFmtId="0" fontId="0" fillId="9" borderId="0" xfId="0" applyFill="1" applyAlignment="1">
      <alignment horizontal="center" vertical="center" wrapText="1"/>
    </xf>
    <xf numFmtId="0" fontId="61" fillId="20" borderId="14" xfId="0" applyFont="1" applyFill="1" applyBorder="1" applyAlignment="1">
      <alignment horizontal="center" vertical="center" wrapText="1"/>
    </xf>
    <xf numFmtId="2" fontId="61" fillId="20" borderId="17" xfId="0" applyNumberFormat="1" applyFont="1" applyFill="1" applyBorder="1" applyAlignment="1">
      <alignment horizontal="center" vertical="center" wrapText="1"/>
    </xf>
    <xf numFmtId="0" fontId="61" fillId="9" borderId="0" xfId="0" applyFont="1" applyFill="1" applyAlignment="1">
      <alignment horizontal="center" vertical="center" wrapText="1"/>
    </xf>
    <xf numFmtId="0" fontId="61" fillId="20" borderId="12" xfId="0" applyFont="1" applyFill="1" applyBorder="1" applyAlignment="1">
      <alignment horizontal="center" vertical="center" wrapText="1"/>
    </xf>
    <xf numFmtId="2" fontId="61" fillId="20" borderId="31" xfId="0" applyNumberFormat="1" applyFont="1" applyFill="1" applyBorder="1" applyAlignment="1">
      <alignment horizontal="center" vertical="center" wrapText="1"/>
    </xf>
    <xf numFmtId="2" fontId="61" fillId="20" borderId="16" xfId="0" applyNumberFormat="1" applyFont="1" applyFill="1" applyBorder="1" applyAlignment="1">
      <alignment horizontal="center" vertical="center" wrapText="1"/>
    </xf>
    <xf numFmtId="2" fontId="61" fillId="20" borderId="6" xfId="0" applyNumberFormat="1" applyFont="1" applyFill="1" applyBorder="1" applyAlignment="1">
      <alignment horizontal="center" vertical="center" wrapText="1"/>
    </xf>
    <xf numFmtId="2" fontId="61" fillId="20" borderId="5" xfId="0" applyNumberFormat="1" applyFont="1" applyFill="1" applyBorder="1" applyAlignment="1">
      <alignment horizontal="center" vertical="center" wrapText="1"/>
    </xf>
    <xf numFmtId="0" fontId="61" fillId="20" borderId="13" xfId="0" applyFont="1" applyFill="1" applyBorder="1" applyAlignment="1">
      <alignment horizontal="center" vertical="center" wrapText="1"/>
    </xf>
    <xf numFmtId="2" fontId="61" fillId="20" borderId="32" xfId="0" applyNumberFormat="1" applyFont="1" applyFill="1" applyBorder="1" applyAlignment="1">
      <alignment horizontal="center" vertical="center" wrapText="1"/>
    </xf>
    <xf numFmtId="2" fontId="61" fillId="20" borderId="34" xfId="0" applyNumberFormat="1" applyFont="1" applyFill="1" applyBorder="1" applyAlignment="1">
      <alignment horizontal="center" vertical="center" wrapText="1"/>
    </xf>
    <xf numFmtId="2" fontId="61" fillId="20" borderId="63" xfId="0" applyNumberFormat="1" applyFont="1" applyFill="1" applyBorder="1" applyAlignment="1">
      <alignment horizontal="center" vertical="center" wrapText="1"/>
    </xf>
    <xf numFmtId="2" fontId="61" fillId="20" borderId="58" xfId="0" applyNumberFormat="1" applyFont="1" applyFill="1" applyBorder="1" applyAlignment="1">
      <alignment horizontal="center" vertical="center" wrapText="1"/>
    </xf>
    <xf numFmtId="2" fontId="61" fillId="20" borderId="18" xfId="0" applyNumberFormat="1" applyFont="1" applyFill="1" applyBorder="1" applyAlignment="1">
      <alignment horizontal="center" vertical="center" wrapText="1"/>
    </xf>
    <xf numFmtId="2" fontId="61" fillId="20" borderId="52" xfId="0" applyNumberFormat="1" applyFont="1" applyFill="1" applyBorder="1" applyAlignment="1">
      <alignment horizontal="center" vertical="center" wrapText="1"/>
    </xf>
    <xf numFmtId="0" fontId="67" fillId="9" borderId="0" xfId="0" applyFont="1" applyFill="1" applyAlignment="1">
      <alignment horizontal="center" vertical="center"/>
    </xf>
    <xf numFmtId="2" fontId="61" fillId="20" borderId="47" xfId="0" applyNumberFormat="1" applyFont="1" applyFill="1" applyBorder="1" applyAlignment="1">
      <alignment horizontal="center" vertical="center" wrapText="1"/>
    </xf>
    <xf numFmtId="2" fontId="61" fillId="20" borderId="62" xfId="0" applyNumberFormat="1" applyFont="1" applyFill="1" applyBorder="1" applyAlignment="1">
      <alignment horizontal="center" vertical="center" wrapText="1"/>
    </xf>
    <xf numFmtId="2" fontId="61" fillId="20" borderId="61" xfId="0" applyNumberFormat="1" applyFont="1" applyFill="1" applyBorder="1" applyAlignment="1">
      <alignment horizontal="center" vertical="center" wrapText="1"/>
    </xf>
    <xf numFmtId="2" fontId="61" fillId="20" borderId="38" xfId="0" applyNumberFormat="1" applyFont="1" applyFill="1" applyBorder="1" applyAlignment="1">
      <alignment horizontal="center" vertical="center" wrapText="1"/>
    </xf>
    <xf numFmtId="0" fontId="39" fillId="9" borderId="0" xfId="10" applyFont="1" applyFill="1" applyAlignment="1">
      <alignment vertical="center" wrapText="1"/>
    </xf>
    <xf numFmtId="0" fontId="39" fillId="5" borderId="14" xfId="10" applyFont="1" applyFill="1" applyBorder="1" applyAlignment="1">
      <alignment horizontal="center" vertical="center" wrapText="1"/>
    </xf>
    <xf numFmtId="0" fontId="39" fillId="5" borderId="12" xfId="10" applyFont="1" applyFill="1" applyBorder="1" applyAlignment="1">
      <alignment horizontal="center" vertical="center" wrapText="1"/>
    </xf>
    <xf numFmtId="0" fontId="39" fillId="5" borderId="13" xfId="10" applyFont="1" applyFill="1" applyBorder="1" applyAlignment="1">
      <alignment horizontal="center" vertical="center" wrapText="1"/>
    </xf>
    <xf numFmtId="0" fontId="20" fillId="5" borderId="7" xfId="0" applyFont="1" applyFill="1" applyBorder="1" applyAlignment="1">
      <alignment horizontal="center" vertical="center"/>
    </xf>
    <xf numFmtId="0" fontId="35" fillId="10" borderId="35" xfId="0" applyFont="1" applyFill="1" applyBorder="1" applyAlignment="1">
      <alignment horizontal="center" vertical="center" wrapText="1"/>
    </xf>
    <xf numFmtId="0" fontId="35" fillId="10" borderId="35" xfId="0" applyFont="1" applyFill="1" applyBorder="1" applyAlignment="1">
      <alignment horizontal="center" vertical="center"/>
    </xf>
    <xf numFmtId="2" fontId="10" fillId="20" borderId="55" xfId="0" applyNumberFormat="1" applyFont="1" applyFill="1" applyBorder="1" applyAlignment="1">
      <alignment horizontal="center" vertical="center"/>
    </xf>
    <xf numFmtId="2" fontId="10" fillId="20" borderId="40" xfId="0" applyNumberFormat="1" applyFont="1" applyFill="1" applyBorder="1" applyAlignment="1">
      <alignment horizontal="center" vertical="center"/>
    </xf>
    <xf numFmtId="0" fontId="10" fillId="10" borderId="55" xfId="0" applyFont="1" applyFill="1" applyBorder="1" applyAlignment="1">
      <alignment horizontal="center" vertical="center"/>
    </xf>
    <xf numFmtId="0" fontId="10" fillId="10" borderId="40" xfId="0" applyFont="1" applyFill="1" applyBorder="1" applyAlignment="1">
      <alignment horizontal="center" vertical="center"/>
    </xf>
    <xf numFmtId="0" fontId="51" fillId="10" borderId="49" xfId="0" applyFont="1" applyFill="1" applyBorder="1" applyAlignment="1">
      <alignment horizontal="center" vertical="center"/>
    </xf>
    <xf numFmtId="0" fontId="51" fillId="10" borderId="29" xfId="0" applyFont="1" applyFill="1" applyBorder="1" applyAlignment="1">
      <alignment horizontal="center" vertical="center" wrapText="1"/>
    </xf>
    <xf numFmtId="0" fontId="31" fillId="10" borderId="36" xfId="0" applyFont="1" applyFill="1" applyBorder="1" applyAlignment="1">
      <alignment horizontal="center" vertical="center"/>
    </xf>
    <xf numFmtId="0" fontId="31" fillId="10" borderId="35" xfId="0" applyFont="1" applyFill="1" applyBorder="1" applyAlignment="1">
      <alignment horizontal="center" vertical="center"/>
    </xf>
    <xf numFmtId="0" fontId="31" fillId="10" borderId="29" xfId="0" applyFont="1" applyFill="1" applyBorder="1" applyAlignment="1">
      <alignment horizontal="center" vertical="center"/>
    </xf>
    <xf numFmtId="0" fontId="31" fillId="10" borderId="55" xfId="0" applyFont="1" applyFill="1" applyBorder="1" applyAlignment="1">
      <alignment horizontal="center" vertical="center"/>
    </xf>
    <xf numFmtId="2" fontId="61" fillId="20" borderId="29" xfId="0" applyNumberFormat="1" applyFont="1" applyFill="1" applyBorder="1" applyAlignment="1">
      <alignment horizontal="center" vertical="center"/>
    </xf>
    <xf numFmtId="2" fontId="61" fillId="20" borderId="55" xfId="0" applyNumberFormat="1" applyFont="1" applyFill="1" applyBorder="1" applyAlignment="1">
      <alignment horizontal="center" vertical="center"/>
    </xf>
    <xf numFmtId="2" fontId="61" fillId="20" borderId="40" xfId="0" applyNumberFormat="1" applyFont="1" applyFill="1" applyBorder="1" applyAlignment="1">
      <alignment horizontal="center" vertical="center"/>
    </xf>
    <xf numFmtId="2" fontId="61" fillId="9" borderId="0" xfId="0" applyNumberFormat="1" applyFont="1" applyFill="1" applyAlignment="1">
      <alignment horizontal="center" vertical="center"/>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3" borderId="12" xfId="0" applyFont="1" applyFill="1" applyBorder="1" applyAlignment="1">
      <alignment horizontal="center"/>
    </xf>
    <xf numFmtId="0" fontId="54" fillId="23"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2" borderId="14" xfId="0" applyFont="1" applyFill="1" applyBorder="1" applyAlignment="1">
      <alignment horizontal="center"/>
    </xf>
    <xf numFmtId="0" fontId="17" fillId="22"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0" borderId="5" xfId="0" applyNumberFormat="1" applyFont="1" applyFill="1" applyBorder="1" applyAlignment="1">
      <alignment horizontal="center" vertical="center"/>
    </xf>
    <xf numFmtId="0" fontId="51" fillId="20" borderId="5" xfId="0" applyFont="1" applyFill="1" applyBorder="1" applyAlignment="1">
      <alignment horizontal="center" vertic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20" borderId="18" xfId="0" applyNumberFormat="1"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19" borderId="13" xfId="9" applyFont="1" applyFill="1" applyBorder="1" applyAlignment="1">
      <alignment horizontal="center"/>
    </xf>
    <xf numFmtId="0" fontId="13" fillId="19"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2" fontId="51" fillId="0" borderId="18" xfId="0" applyNumberFormat="1" applyFont="1" applyBorder="1" applyAlignment="1" applyProtection="1">
      <alignment horizontal="center" vertical="center"/>
      <protection locked="0"/>
    </xf>
    <xf numFmtId="0" fontId="51" fillId="20" borderId="18" xfId="0" applyFont="1" applyFill="1" applyBorder="1" applyAlignment="1">
      <alignment horizontal="center" vertical="center" wrapText="1"/>
    </xf>
    <xf numFmtId="0" fontId="51" fillId="20" borderId="22" xfId="0" applyFont="1" applyFill="1" applyBorder="1" applyAlignment="1">
      <alignment horizontal="center" vertical="center" wrapText="1"/>
    </xf>
    <xf numFmtId="0" fontId="13" fillId="20" borderId="12" xfId="9" applyFont="1" applyFill="1" applyBorder="1" applyAlignment="1">
      <alignment horizontal="center"/>
    </xf>
    <xf numFmtId="0" fontId="13" fillId="20" borderId="5" xfId="9" applyFont="1" applyFill="1" applyBorder="1" applyAlignment="1">
      <alignment horizontal="center"/>
    </xf>
    <xf numFmtId="0" fontId="54" fillId="24" borderId="36" xfId="0" applyFont="1" applyFill="1" applyBorder="1" applyAlignment="1">
      <alignment horizontal="center"/>
    </xf>
    <xf numFmtId="0" fontId="54" fillId="24"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16" fillId="9" borderId="34" xfId="0" applyFont="1" applyFill="1" applyBorder="1" applyAlignment="1">
      <alignment horizontal="center" vertical="center"/>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168" fontId="13" fillId="3" borderId="5" xfId="0" applyNumberFormat="1" applyFont="1" applyFill="1" applyBorder="1" applyAlignment="1" applyProtection="1">
      <alignment horizontal="center"/>
      <protection locked="0"/>
    </xf>
    <xf numFmtId="168" fontId="13"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8" fontId="13" fillId="3" borderId="5" xfId="9" applyNumberFormat="1" applyFont="1" applyFill="1" applyBorder="1" applyAlignment="1" applyProtection="1">
      <alignment horizontal="center" vertical="center"/>
      <protection locked="0"/>
    </xf>
    <xf numFmtId="168" fontId="13" fillId="3" borderId="21" xfId="9" applyNumberFormat="1" applyFont="1" applyFill="1" applyBorder="1" applyAlignment="1" applyProtection="1">
      <alignment horizontal="center" vertical="center"/>
      <protection locked="0"/>
    </xf>
    <xf numFmtId="9" fontId="16" fillId="3" borderId="5" xfId="32" applyFont="1" applyFill="1" applyBorder="1" applyAlignment="1" applyProtection="1">
      <alignment horizontal="center" vertical="center"/>
      <protection locked="0"/>
    </xf>
    <xf numFmtId="2" fontId="16" fillId="20" borderId="5" xfId="9" applyNumberFormat="1" applyFont="1" applyFill="1" applyBorder="1" applyAlignment="1">
      <alignment horizontal="center" vertical="center"/>
    </xf>
    <xf numFmtId="2" fontId="16" fillId="20" borderId="21" xfId="9" applyNumberFormat="1" applyFont="1" applyFill="1" applyBorder="1" applyAlignment="1">
      <alignment horizontal="center" vertical="center"/>
    </xf>
    <xf numFmtId="2" fontId="51" fillId="3" borderId="5" xfId="0" applyNumberFormat="1" applyFont="1" applyFill="1" applyBorder="1" applyAlignment="1">
      <alignment horizontal="center" vertical="center"/>
    </xf>
    <xf numFmtId="2" fontId="51" fillId="3" borderId="21" xfId="0" applyNumberFormat="1" applyFont="1" applyFill="1" applyBorder="1" applyAlignment="1">
      <alignment horizontal="center" vertical="center"/>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73" fillId="9" borderId="0" xfId="0" applyFont="1" applyFill="1" applyAlignment="1">
      <alignment horizontal="center" vertical="center" wrapText="1"/>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27" fillId="11" borderId="27" xfId="0" applyFont="1" applyFill="1" applyBorder="1" applyAlignment="1">
      <alignment horizontal="center" vertical="center"/>
    </xf>
    <xf numFmtId="0" fontId="27" fillId="11" borderId="0" xfId="0" applyFont="1" applyFill="1" applyAlignment="1">
      <alignment horizontal="center" vertical="center"/>
    </xf>
    <xf numFmtId="0" fontId="74" fillId="11" borderId="46" xfId="0" applyFont="1" applyFill="1" applyBorder="1" applyAlignment="1">
      <alignment horizontal="center" vertical="center"/>
    </xf>
    <xf numFmtId="0" fontId="11" fillId="9" borderId="0" xfId="0" applyFont="1" applyFill="1" applyAlignment="1">
      <alignment horizontal="center" vertical="center"/>
    </xf>
    <xf numFmtId="0" fontId="63" fillId="22" borderId="20" xfId="0" applyFont="1" applyFill="1" applyBorder="1" applyAlignment="1">
      <alignment horizontal="center" vertical="center"/>
    </xf>
    <xf numFmtId="0" fontId="64" fillId="22" borderId="27" xfId="0" applyFont="1" applyFill="1" applyBorder="1" applyAlignment="1">
      <alignment horizontal="center" vertical="center"/>
    </xf>
    <xf numFmtId="0" fontId="64" fillId="22" borderId="56" xfId="0" applyFont="1" applyFill="1" applyBorder="1" applyAlignment="1">
      <alignment horizontal="center" vertical="center"/>
    </xf>
    <xf numFmtId="0" fontId="64" fillId="22" borderId="57" xfId="0" applyFont="1" applyFill="1" applyBorder="1" applyAlignment="1">
      <alignment horizontal="center" vertical="center"/>
    </xf>
    <xf numFmtId="0" fontId="64" fillId="22" borderId="0" xfId="0" applyFont="1" applyFill="1" applyAlignment="1">
      <alignment horizontal="center" vertical="center"/>
    </xf>
    <xf numFmtId="0" fontId="64" fillId="22" borderId="50" xfId="0" applyFont="1" applyFill="1" applyBorder="1" applyAlignment="1">
      <alignment horizontal="center" vertical="center"/>
    </xf>
    <xf numFmtId="0" fontId="64" fillId="22" borderId="33" xfId="0" applyFont="1" applyFill="1" applyBorder="1" applyAlignment="1">
      <alignment horizontal="center" vertical="center"/>
    </xf>
    <xf numFmtId="0" fontId="64" fillId="22" borderId="34" xfId="0" applyFont="1" applyFill="1" applyBorder="1" applyAlignment="1">
      <alignment horizontal="center" vertical="center"/>
    </xf>
    <xf numFmtId="0" fontId="64" fillId="22"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19" borderId="63" xfId="0" applyNumberFormat="1" applyFont="1" applyFill="1" applyBorder="1" applyAlignment="1">
      <alignment horizontal="center" vertical="center" wrapText="1"/>
    </xf>
    <xf numFmtId="10" fontId="14" fillId="19"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16" fillId="11" borderId="34" xfId="0"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19" borderId="17"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19"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18" xfId="0" applyNumberFormat="1"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27" fillId="11" borderId="0" xfId="0" applyFont="1" applyFill="1" applyAlignment="1">
      <alignment horizontal="center"/>
    </xf>
    <xf numFmtId="0" fontId="46" fillId="9" borderId="46" xfId="0" applyFont="1" applyFill="1" applyBorder="1" applyAlignment="1">
      <alignment horizontal="center" vertic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19" borderId="43" xfId="0" applyNumberFormat="1" applyFont="1" applyFill="1" applyBorder="1" applyAlignment="1">
      <alignment horizontal="center" vertical="center"/>
    </xf>
    <xf numFmtId="1" fontId="10" fillId="19"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19" borderId="38" xfId="0" applyNumberFormat="1" applyFont="1" applyFill="1" applyBorder="1" applyAlignment="1">
      <alignment horizontal="center" vertical="center"/>
    </xf>
    <xf numFmtId="0" fontId="10" fillId="19" borderId="66" xfId="0" applyFont="1" applyFill="1" applyBorder="1" applyAlignment="1">
      <alignment horizontal="center" vertical="center"/>
    </xf>
    <xf numFmtId="0" fontId="10" fillId="19"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8" fillId="5" borderId="45" xfId="0" applyFont="1" applyFill="1" applyBorder="1" applyAlignment="1">
      <alignment horizontal="center" vertical="center" wrapText="1"/>
    </xf>
    <xf numFmtId="0" fontId="58"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19" borderId="63" xfId="0" applyNumberFormat="1" applyFont="1" applyFill="1" applyBorder="1" applyAlignment="1">
      <alignment horizontal="center" wrapText="1"/>
    </xf>
    <xf numFmtId="2" fontId="46" fillId="19"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5" fillId="5" borderId="20" xfId="0" applyFont="1" applyFill="1" applyBorder="1" applyAlignment="1">
      <alignment horizontal="center" vertical="center"/>
    </xf>
    <xf numFmtId="0" fontId="55" fillId="5" borderId="27" xfId="0" applyFont="1" applyFill="1" applyBorder="1" applyAlignment="1">
      <alignment horizontal="center" vertical="center"/>
    </xf>
    <xf numFmtId="0" fontId="55" fillId="5" borderId="56" xfId="0" applyFont="1" applyFill="1" applyBorder="1" applyAlignment="1">
      <alignment horizontal="center" vertical="center"/>
    </xf>
    <xf numFmtId="0" fontId="55" fillId="5" borderId="33" xfId="0" applyFont="1" applyFill="1" applyBorder="1" applyAlignment="1">
      <alignment horizontal="center" vertical="center"/>
    </xf>
    <xf numFmtId="0" fontId="55" fillId="5" borderId="34" xfId="0" applyFont="1" applyFill="1" applyBorder="1" applyAlignment="1">
      <alignment horizontal="center" vertical="center"/>
    </xf>
    <xf numFmtId="0" fontId="55"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6" fillId="5" borderId="20" xfId="0" applyFont="1" applyFill="1" applyBorder="1" applyAlignment="1">
      <alignment horizontal="center" vertical="center" wrapText="1"/>
    </xf>
    <xf numFmtId="0" fontId="56" fillId="5" borderId="27" xfId="0" applyFont="1" applyFill="1" applyBorder="1" applyAlignment="1">
      <alignment horizontal="center" vertical="center" wrapText="1"/>
    </xf>
    <xf numFmtId="0" fontId="56" fillId="5" borderId="56" xfId="0" applyFont="1" applyFill="1" applyBorder="1" applyAlignment="1">
      <alignment horizontal="center" vertical="center" wrapText="1"/>
    </xf>
    <xf numFmtId="0" fontId="56" fillId="5" borderId="57" xfId="0" applyFont="1" applyFill="1" applyBorder="1" applyAlignment="1">
      <alignment horizontal="center" vertical="center" wrapText="1"/>
    </xf>
    <xf numFmtId="0" fontId="56" fillId="5" borderId="0" xfId="0" applyFont="1" applyFill="1" applyAlignment="1">
      <alignment horizontal="center" vertical="center" wrapText="1"/>
    </xf>
    <xf numFmtId="0" fontId="56" fillId="5" borderId="50" xfId="0" applyFont="1" applyFill="1" applyBorder="1" applyAlignment="1">
      <alignment horizontal="center" vertical="center" wrapText="1"/>
    </xf>
    <xf numFmtId="0" fontId="56" fillId="5" borderId="33" xfId="0" applyFont="1" applyFill="1" applyBorder="1" applyAlignment="1">
      <alignment horizontal="center" vertical="center" wrapText="1"/>
    </xf>
    <xf numFmtId="0" fontId="56" fillId="5" borderId="34" xfId="0" applyFont="1" applyFill="1" applyBorder="1" applyAlignment="1">
      <alignment horizontal="center" vertical="center" wrapText="1"/>
    </xf>
    <xf numFmtId="0" fontId="56" fillId="5" borderId="59" xfId="0" applyFont="1" applyFill="1" applyBorder="1" applyAlignment="1">
      <alignment horizontal="center" vertical="center" wrapText="1"/>
    </xf>
    <xf numFmtId="2" fontId="46" fillId="19" borderId="62" xfId="0" applyNumberFormat="1" applyFont="1" applyFill="1" applyBorder="1" applyAlignment="1">
      <alignment horizontal="center" wrapText="1"/>
    </xf>
    <xf numFmtId="2" fontId="46" fillId="19" borderId="15" xfId="0" applyNumberFormat="1" applyFont="1" applyFill="1" applyBorder="1" applyAlignment="1">
      <alignment horizontal="center" wrapText="1"/>
    </xf>
    <xf numFmtId="0" fontId="58" fillId="5" borderId="35" xfId="0" applyFont="1" applyFill="1" applyBorder="1" applyAlignment="1">
      <alignment horizontal="center" vertical="center" wrapText="1"/>
    </xf>
    <xf numFmtId="0" fontId="58" fillId="5" borderId="61" xfId="0" applyFont="1" applyFill="1" applyBorder="1" applyAlignment="1">
      <alignment horizontal="center" vertical="center" wrapText="1"/>
    </xf>
    <xf numFmtId="10" fontId="46" fillId="19" borderId="5" xfId="0" applyNumberFormat="1" applyFont="1" applyFill="1" applyBorder="1" applyAlignment="1">
      <alignment horizontal="center" vertical="center" wrapText="1"/>
    </xf>
    <xf numFmtId="10" fontId="46" fillId="19" borderId="21" xfId="0" applyNumberFormat="1" applyFont="1" applyFill="1" applyBorder="1" applyAlignment="1">
      <alignment horizontal="center" vertical="center" wrapText="1"/>
    </xf>
    <xf numFmtId="0" fontId="58" fillId="5" borderId="36" xfId="0" applyFont="1" applyFill="1" applyBorder="1" applyAlignment="1">
      <alignment horizontal="center" vertical="center" wrapText="1"/>
    </xf>
    <xf numFmtId="0" fontId="58" fillId="5" borderId="31" xfId="0" applyFont="1" applyFill="1" applyBorder="1" applyAlignment="1">
      <alignment horizontal="center" vertical="center" wrapText="1"/>
    </xf>
    <xf numFmtId="10" fontId="46" fillId="19" borderId="17" xfId="0" applyNumberFormat="1" applyFont="1" applyFill="1" applyBorder="1" applyAlignment="1">
      <alignment horizontal="center" vertical="center" wrapText="1"/>
    </xf>
    <xf numFmtId="10" fontId="46" fillId="19" borderId="19" xfId="0" applyNumberFormat="1" applyFont="1" applyFill="1" applyBorder="1" applyAlignment="1">
      <alignment horizontal="center" vertical="center" wrapText="1"/>
    </xf>
    <xf numFmtId="0" fontId="58" fillId="5" borderId="47" xfId="0" applyFont="1" applyFill="1" applyBorder="1" applyAlignment="1">
      <alignment horizontal="center" vertical="center" wrapText="1"/>
    </xf>
    <xf numFmtId="2" fontId="46" fillId="19" borderId="16" xfId="0" applyNumberFormat="1" applyFont="1" applyFill="1" applyBorder="1" applyAlignment="1">
      <alignment horizontal="center" wrapText="1"/>
    </xf>
    <xf numFmtId="2" fontId="46" fillId="19" borderId="39" xfId="0" applyNumberFormat="1" applyFont="1" applyFill="1" applyBorder="1" applyAlignment="1">
      <alignment horizontal="center" wrapText="1"/>
    </xf>
    <xf numFmtId="0" fontId="58" fillId="5" borderId="6" xfId="0" applyFont="1" applyFill="1" applyBorder="1" applyAlignment="1">
      <alignment horizontal="center" vertical="center" wrapText="1"/>
    </xf>
    <xf numFmtId="10" fontId="46" fillId="19" borderId="18" xfId="0" applyNumberFormat="1" applyFont="1" applyFill="1" applyBorder="1" applyAlignment="1">
      <alignment horizontal="center" vertical="center" wrapText="1"/>
    </xf>
    <xf numFmtId="10" fontId="46" fillId="19" borderId="22" xfId="0" applyNumberFormat="1" applyFont="1" applyFill="1" applyBorder="1" applyAlignment="1">
      <alignment horizontal="center" vertical="center" wrapText="1"/>
    </xf>
    <xf numFmtId="0" fontId="58" fillId="5" borderId="32" xfId="0" applyFont="1" applyFill="1" applyBorder="1" applyAlignment="1">
      <alignment horizontal="center" vertical="center" wrapText="1"/>
    </xf>
    <xf numFmtId="2" fontId="10" fillId="19" borderId="17" xfId="0" applyNumberFormat="1" applyFont="1" applyFill="1" applyBorder="1" applyAlignment="1">
      <alignment horizontal="center" vertical="center"/>
    </xf>
    <xf numFmtId="2" fontId="10" fillId="19" borderId="18" xfId="0" applyNumberFormat="1" applyFont="1" applyFill="1" applyBorder="1" applyAlignment="1">
      <alignment horizontal="center" vertical="center"/>
    </xf>
    <xf numFmtId="0" fontId="57" fillId="5" borderId="54" xfId="0" applyFont="1" applyFill="1" applyBorder="1" applyAlignment="1">
      <alignment horizontal="center" vertical="center" wrapText="1"/>
    </xf>
    <xf numFmtId="0" fontId="59" fillId="5" borderId="28" xfId="0" applyFont="1" applyFill="1" applyBorder="1" applyAlignment="1">
      <alignment horizontal="center" wrapText="1"/>
    </xf>
    <xf numFmtId="0" fontId="59" fillId="5" borderId="53" xfId="0" applyFont="1" applyFill="1" applyBorder="1" applyAlignment="1">
      <alignment horizontal="center" wrapText="1"/>
    </xf>
    <xf numFmtId="0" fontId="10" fillId="19" borderId="42" xfId="0" applyFont="1" applyFill="1" applyBorder="1" applyAlignment="1">
      <alignment horizontal="center" vertical="center"/>
    </xf>
    <xf numFmtId="0" fontId="11" fillId="5" borderId="30" xfId="0" applyFont="1" applyFill="1" applyBorder="1" applyAlignment="1">
      <alignment horizontal="center"/>
    </xf>
    <xf numFmtId="0" fontId="57" fillId="5" borderId="14" xfId="0" applyFont="1" applyFill="1" applyBorder="1" applyAlignment="1">
      <alignment horizontal="center" vertical="center" wrapText="1"/>
    </xf>
    <xf numFmtId="0" fontId="57" fillId="5" borderId="17" xfId="0" applyFont="1" applyFill="1" applyBorder="1" applyAlignment="1">
      <alignment horizontal="center" vertical="center" wrapText="1"/>
    </xf>
    <xf numFmtId="0" fontId="57" fillId="5" borderId="13" xfId="0" applyFont="1" applyFill="1" applyBorder="1" applyAlignment="1">
      <alignment horizontal="center" vertical="center" wrapText="1"/>
    </xf>
    <xf numFmtId="0" fontId="57" fillId="5" borderId="18" xfId="0" applyFont="1" applyFill="1" applyBorder="1" applyAlignment="1">
      <alignment horizontal="center" vertical="center" wrapText="1"/>
    </xf>
    <xf numFmtId="2" fontId="10" fillId="19" borderId="17" xfId="0" applyNumberFormat="1" applyFont="1" applyFill="1" applyBorder="1" applyAlignment="1">
      <alignment horizontal="center"/>
    </xf>
    <xf numFmtId="2" fontId="10" fillId="19" borderId="18" xfId="0" applyNumberFormat="1" applyFont="1" applyFill="1" applyBorder="1" applyAlignment="1">
      <alignment horizontal="center"/>
    </xf>
    <xf numFmtId="0" fontId="10" fillId="5" borderId="8" xfId="0" applyFont="1" applyFill="1" applyBorder="1" applyAlignment="1">
      <alignment horizontal="center" vertical="center" wrapText="1"/>
    </xf>
    <xf numFmtId="2" fontId="10" fillId="19" borderId="19" xfId="0" applyNumberFormat="1" applyFont="1" applyFill="1" applyBorder="1" applyAlignment="1">
      <alignment horizontal="center"/>
    </xf>
    <xf numFmtId="2" fontId="10" fillId="19" borderId="22" xfId="0" applyNumberFormat="1" applyFont="1" applyFill="1" applyBorder="1" applyAlignment="1">
      <alignment horizontal="center"/>
    </xf>
    <xf numFmtId="0" fontId="66" fillId="16" borderId="77" xfId="0" applyFont="1" applyFill="1" applyBorder="1" applyAlignment="1">
      <alignment horizontal="center" vertical="center" textRotation="90"/>
    </xf>
    <xf numFmtId="0" fontId="66" fillId="16" borderId="0" xfId="0" applyFont="1" applyFill="1" applyAlignment="1">
      <alignment horizontal="center" vertical="center" textRotation="90"/>
    </xf>
    <xf numFmtId="0" fontId="66" fillId="16" borderId="76" xfId="0" applyFont="1" applyFill="1" applyBorder="1" applyAlignment="1">
      <alignment horizontal="center" vertical="center" textRotation="90"/>
    </xf>
    <xf numFmtId="0" fontId="66" fillId="17" borderId="77" xfId="0" applyFont="1" applyFill="1" applyBorder="1" applyAlignment="1">
      <alignment horizontal="center" vertical="center" textRotation="90"/>
    </xf>
    <xf numFmtId="0" fontId="66" fillId="17" borderId="0" xfId="0" applyFont="1" applyFill="1" applyAlignment="1">
      <alignment horizontal="center" vertical="center" textRotation="90"/>
    </xf>
    <xf numFmtId="0" fontId="66" fillId="17" borderId="76" xfId="0" applyFont="1" applyFill="1" applyBorder="1" applyAlignment="1">
      <alignment horizontal="center" vertical="center" textRotation="90"/>
    </xf>
    <xf numFmtId="0" fontId="66" fillId="18" borderId="77" xfId="0" applyFont="1" applyFill="1" applyBorder="1" applyAlignment="1">
      <alignment textRotation="90"/>
    </xf>
    <xf numFmtId="0" fontId="66" fillId="18" borderId="0" xfId="0" applyFont="1" applyFill="1" applyAlignment="1">
      <alignment textRotation="90"/>
    </xf>
    <xf numFmtId="0" fontId="46" fillId="5" borderId="54" xfId="0" applyFont="1" applyFill="1" applyBorder="1" applyAlignment="1">
      <alignment horizontal="center" vertical="center"/>
    </xf>
    <xf numFmtId="2" fontId="35" fillId="19" borderId="23" xfId="0" applyNumberFormat="1" applyFont="1" applyFill="1" applyBorder="1" applyAlignment="1">
      <alignment horizontal="center" vertical="center" wrapText="1"/>
    </xf>
    <xf numFmtId="2" fontId="35" fillId="19" borderId="46" xfId="0" applyNumberFormat="1"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2" fontId="31" fillId="20" borderId="16" xfId="0" applyNumberFormat="1" applyFont="1" applyFill="1" applyBorder="1" applyAlignment="1">
      <alignment horizontal="center" vertical="center"/>
    </xf>
    <xf numFmtId="2" fontId="31" fillId="20" borderId="31" xfId="0" applyNumberFormat="1" applyFont="1" applyFill="1" applyBorder="1" applyAlignment="1">
      <alignment horizontal="center" vertical="center"/>
    </xf>
    <xf numFmtId="2" fontId="31" fillId="20" borderId="63" xfId="0" applyNumberFormat="1" applyFont="1" applyFill="1" applyBorder="1" applyAlignment="1">
      <alignment horizontal="center" vertical="center"/>
    </xf>
    <xf numFmtId="2" fontId="31" fillId="20" borderId="32" xfId="0" applyNumberFormat="1" applyFont="1" applyFill="1" applyBorder="1" applyAlignment="1">
      <alignment horizontal="center" vertical="center"/>
    </xf>
    <xf numFmtId="0" fontId="31" fillId="20" borderId="50" xfId="0" applyFont="1" applyFill="1" applyBorder="1" applyAlignment="1">
      <alignment horizontal="center" vertical="center" wrapText="1"/>
    </xf>
    <xf numFmtId="0" fontId="31" fillId="20" borderId="59" xfId="0" applyFont="1" applyFill="1" applyBorder="1" applyAlignment="1">
      <alignment horizontal="center" vertical="center" wrapText="1"/>
    </xf>
    <xf numFmtId="0" fontId="15" fillId="5" borderId="60"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67"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33" fillId="5" borderId="17"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1" fillId="20" borderId="56" xfId="0" applyFont="1" applyFill="1" applyBorder="1" applyAlignment="1">
      <alignment horizontal="center" vertical="center" wrapText="1"/>
    </xf>
    <xf numFmtId="2" fontId="35" fillId="19" borderId="23" xfId="0" applyNumberFormat="1" applyFont="1" applyFill="1" applyBorder="1" applyAlignment="1">
      <alignment horizontal="center" vertical="center"/>
    </xf>
    <xf numFmtId="2" fontId="35" fillId="19" borderId="24" xfId="0" applyNumberFormat="1"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15" fillId="5" borderId="22" xfId="0" applyFont="1" applyFill="1" applyBorder="1" applyAlignment="1">
      <alignment horizontal="center" vertic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2" borderId="5" xfId="0" applyFont="1" applyFill="1" applyBorder="1" applyAlignment="1">
      <alignment horizontal="center" vertical="center"/>
    </xf>
    <xf numFmtId="0" fontId="31" fillId="13" borderId="5" xfId="0" applyFont="1" applyFill="1" applyBorder="1" applyAlignment="1">
      <alignment horizontal="center" vertical="center"/>
    </xf>
    <xf numFmtId="0" fontId="31" fillId="15" borderId="5" xfId="0" applyFont="1" applyFill="1" applyBorder="1" applyAlignment="1">
      <alignment horizontal="center" vertical="center"/>
    </xf>
    <xf numFmtId="0" fontId="31" fillId="14"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5" fillId="5" borderId="21" xfId="0" applyFont="1" applyFill="1" applyBorder="1" applyAlignment="1">
      <alignment horizontal="center" vertical="center" wrapText="1"/>
    </xf>
    <xf numFmtId="2" fontId="31" fillId="20" borderId="74" xfId="0" applyNumberFormat="1" applyFont="1" applyFill="1" applyBorder="1" applyAlignment="1">
      <alignment horizontal="center" vertical="center"/>
    </xf>
    <xf numFmtId="2" fontId="31" fillId="20" borderId="71" xfId="0" applyNumberFormat="1" applyFont="1" applyFill="1" applyBorder="1" applyAlignment="1">
      <alignment horizontal="center" vertical="center"/>
    </xf>
    <xf numFmtId="2" fontId="31" fillId="20" borderId="80"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15" fillId="5" borderId="21"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50"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26" fillId="5" borderId="46" xfId="0" applyFont="1" applyFill="1" applyBorder="1" applyAlignment="1">
      <alignment horizontal="center" vertical="center" wrapText="1"/>
    </xf>
    <xf numFmtId="0" fontId="26" fillId="5" borderId="24" xfId="0" applyFont="1" applyFill="1" applyBorder="1" applyAlignment="1">
      <alignment horizontal="center" vertical="center" wrapText="1"/>
    </xf>
    <xf numFmtId="0" fontId="34" fillId="5" borderId="35" xfId="0" applyFont="1" applyFill="1" applyBorder="1" applyAlignment="1">
      <alignment horizontal="center" vertical="center" wrapText="1"/>
    </xf>
    <xf numFmtId="0" fontId="34" fillId="5" borderId="47" xfId="0" applyFont="1" applyFill="1" applyBorder="1" applyAlignment="1">
      <alignment horizontal="center" vertical="center" wrapText="1"/>
    </xf>
    <xf numFmtId="0" fontId="34" fillId="5" borderId="15" xfId="0" applyFont="1" applyFill="1" applyBorder="1" applyAlignment="1">
      <alignment horizontal="center" vertical="center" wrapText="1"/>
    </xf>
    <xf numFmtId="0" fontId="33" fillId="5" borderId="35" xfId="0" applyFont="1" applyFill="1" applyBorder="1" applyAlignment="1">
      <alignment horizontal="center" vertical="center" wrapText="1"/>
    </xf>
    <xf numFmtId="0" fontId="33" fillId="5" borderId="47" xfId="0" applyFont="1" applyFill="1" applyBorder="1" applyAlignment="1">
      <alignment horizontal="center" vertical="center" wrapText="1"/>
    </xf>
    <xf numFmtId="0" fontId="33" fillId="5" borderId="15"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14" borderId="16" xfId="0" applyFont="1" applyFill="1" applyBorder="1" applyAlignment="1">
      <alignment horizontal="center" vertical="center"/>
    </xf>
    <xf numFmtId="0" fontId="35" fillId="14" borderId="31" xfId="0" applyFont="1" applyFill="1" applyBorder="1" applyAlignment="1">
      <alignment horizontal="center" vertical="center"/>
    </xf>
    <xf numFmtId="0" fontId="35" fillId="14" borderId="6" xfId="0" applyFont="1" applyFill="1" applyBorder="1" applyAlignment="1">
      <alignment horizontal="center" vertical="center"/>
    </xf>
    <xf numFmtId="0" fontId="35" fillId="14" borderId="63" xfId="0" applyFont="1" applyFill="1" applyBorder="1" applyAlignment="1">
      <alignment horizontal="center" vertical="center"/>
    </xf>
    <xf numFmtId="0" fontId="35" fillId="14" borderId="32" xfId="0" applyFont="1" applyFill="1" applyBorder="1" applyAlignment="1">
      <alignment horizontal="center" vertical="center"/>
    </xf>
    <xf numFmtId="0" fontId="35" fillId="14" borderId="58" xfId="0" applyFont="1" applyFill="1" applyBorder="1" applyAlignment="1">
      <alignment horizontal="center" vertical="center"/>
    </xf>
    <xf numFmtId="0" fontId="35" fillId="5" borderId="74"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35" fillId="5" borderId="67" xfId="0" applyFont="1" applyFill="1" applyBorder="1" applyAlignment="1">
      <alignment horizontal="center" vertical="center" wrapText="1"/>
    </xf>
    <xf numFmtId="0" fontId="35" fillId="12" borderId="16" xfId="0" applyFont="1" applyFill="1" applyBorder="1" applyAlignment="1">
      <alignment horizontal="center" vertical="center" wrapText="1"/>
    </xf>
    <xf numFmtId="0" fontId="35" fillId="12" borderId="39" xfId="0" applyFont="1" applyFill="1" applyBorder="1" applyAlignment="1">
      <alignment horizontal="center" vertical="center" wrapText="1"/>
    </xf>
    <xf numFmtId="0" fontId="35" fillId="12" borderId="63" xfId="0" applyFont="1" applyFill="1" applyBorder="1" applyAlignment="1">
      <alignment horizontal="center" vertical="center" wrapText="1"/>
    </xf>
    <xf numFmtId="0" fontId="35" fillId="12" borderId="64" xfId="0" applyFont="1" applyFill="1" applyBorder="1" applyAlignment="1">
      <alignment horizontal="center" vertical="center" wrapText="1"/>
    </xf>
    <xf numFmtId="0" fontId="35" fillId="5" borderId="27" xfId="0" applyFont="1" applyFill="1" applyBorder="1" applyAlignment="1">
      <alignment horizontal="center" vertical="center" wrapText="1"/>
    </xf>
    <xf numFmtId="0" fontId="35" fillId="5" borderId="78" xfId="0" applyFont="1" applyFill="1" applyBorder="1" applyAlignment="1">
      <alignment horizontal="center" vertical="center" wrapText="1"/>
    </xf>
    <xf numFmtId="0" fontId="35" fillId="5" borderId="4" xfId="0" applyFont="1" applyFill="1" applyBorder="1" applyAlignment="1">
      <alignment horizontal="center" vertical="center" wrapText="1"/>
    </xf>
    <xf numFmtId="0" fontId="35" fillId="5" borderId="2" xfId="0" applyFont="1" applyFill="1" applyBorder="1" applyAlignment="1">
      <alignment horizontal="center" vertical="center" wrapText="1"/>
    </xf>
    <xf numFmtId="0" fontId="35" fillId="13" borderId="16" xfId="0" applyFont="1" applyFill="1" applyBorder="1" applyAlignment="1">
      <alignment horizontal="center" vertical="center"/>
    </xf>
    <xf numFmtId="0" fontId="35" fillId="13" borderId="31" xfId="0" applyFont="1" applyFill="1" applyBorder="1" applyAlignment="1">
      <alignment horizontal="center" vertical="center"/>
    </xf>
    <xf numFmtId="0" fontId="35" fillId="13" borderId="6" xfId="0" applyFont="1" applyFill="1" applyBorder="1" applyAlignment="1">
      <alignment horizontal="center" vertical="center"/>
    </xf>
    <xf numFmtId="0" fontId="35" fillId="15" borderId="16" xfId="0" applyFont="1" applyFill="1" applyBorder="1" applyAlignment="1">
      <alignment horizontal="center" vertical="center"/>
    </xf>
    <xf numFmtId="0" fontId="35" fillId="15" borderId="31" xfId="0" applyFont="1" applyFill="1" applyBorder="1" applyAlignment="1">
      <alignment horizontal="center" vertical="center"/>
    </xf>
    <xf numFmtId="0" fontId="35" fillId="15" borderId="6" xfId="0" applyFont="1" applyFill="1" applyBorder="1" applyAlignment="1">
      <alignment horizontal="center" vertical="center"/>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22" borderId="5" xfId="0" applyFont="1" applyFill="1" applyBorder="1" applyAlignment="1">
      <alignment horizontal="center" vertical="center"/>
    </xf>
    <xf numFmtId="0" fontId="35" fillId="21" borderId="5" xfId="0" applyFont="1" applyFill="1" applyBorder="1" applyAlignment="1">
      <alignment horizontal="center" vertical="center"/>
    </xf>
    <xf numFmtId="0" fontId="35" fillId="28" borderId="18" xfId="0" applyFont="1" applyFill="1" applyBorder="1" applyAlignment="1">
      <alignment horizontal="center" vertical="center"/>
    </xf>
    <xf numFmtId="0" fontId="62" fillId="18" borderId="20" xfId="0" applyFont="1" applyFill="1" applyBorder="1" applyAlignment="1">
      <alignment horizontal="center" vertical="center"/>
    </xf>
    <xf numFmtId="0" fontId="62" fillId="18" borderId="27" xfId="0" applyFont="1" applyFill="1" applyBorder="1" applyAlignment="1">
      <alignment horizontal="center" vertical="center"/>
    </xf>
    <xf numFmtId="0" fontId="62" fillId="18" borderId="56" xfId="0" applyFont="1" applyFill="1" applyBorder="1" applyAlignment="1">
      <alignment horizontal="center" vertical="center"/>
    </xf>
    <xf numFmtId="0" fontId="62" fillId="18" borderId="33" xfId="0" applyFont="1" applyFill="1" applyBorder="1" applyAlignment="1">
      <alignment horizontal="center" vertical="center"/>
    </xf>
    <xf numFmtId="0" fontId="62" fillId="18" borderId="34" xfId="0" applyFont="1" applyFill="1" applyBorder="1" applyAlignment="1">
      <alignment horizontal="center" vertical="center"/>
    </xf>
    <xf numFmtId="0" fontId="62" fillId="18" borderId="59" xfId="0" applyFont="1" applyFill="1" applyBorder="1" applyAlignment="1">
      <alignment horizontal="center" vertical="center"/>
    </xf>
    <xf numFmtId="0" fontId="0" fillId="10" borderId="23" xfId="0" applyFill="1" applyBorder="1" applyAlignment="1">
      <alignment horizontal="center"/>
    </xf>
    <xf numFmtId="0" fontId="0" fillId="10" borderId="46" xfId="0" applyFill="1" applyBorder="1" applyAlignment="1">
      <alignment horizontal="center"/>
    </xf>
    <xf numFmtId="0" fontId="0" fillId="10" borderId="24" xfId="0" applyFill="1" applyBorder="1" applyAlignment="1">
      <alignment horizontal="center"/>
    </xf>
    <xf numFmtId="0" fontId="61" fillId="10" borderId="14" xfId="0" applyFont="1" applyFill="1" applyBorder="1" applyAlignment="1">
      <alignment horizontal="center" vertical="center" wrapText="1"/>
    </xf>
    <xf numFmtId="0" fontId="61" fillId="10" borderId="13" xfId="0" applyFont="1" applyFill="1" applyBorder="1" applyAlignment="1">
      <alignment horizontal="center" vertical="center" wrapText="1"/>
    </xf>
    <xf numFmtId="0" fontId="61" fillId="10" borderId="17" xfId="0" applyFont="1" applyFill="1" applyBorder="1" applyAlignment="1">
      <alignment horizontal="center" vertical="center" wrapText="1"/>
    </xf>
    <xf numFmtId="0" fontId="61" fillId="10" borderId="18"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0" fillId="10" borderId="59" xfId="0" applyFill="1" applyBorder="1" applyAlignment="1">
      <alignment horizontal="center"/>
    </xf>
    <xf numFmtId="0" fontId="61" fillId="9" borderId="0" xfId="0" applyFont="1" applyFill="1" applyAlignment="1">
      <alignment horizontal="center" vertical="center" wrapText="1"/>
    </xf>
    <xf numFmtId="0" fontId="62" fillId="17" borderId="20" xfId="0" applyFont="1" applyFill="1" applyBorder="1" applyAlignment="1">
      <alignment horizontal="center" vertical="center"/>
    </xf>
    <xf numFmtId="0" fontId="62" fillId="17" borderId="27" xfId="0" applyFont="1" applyFill="1" applyBorder="1" applyAlignment="1">
      <alignment horizontal="center" vertical="center"/>
    </xf>
    <xf numFmtId="0" fontId="62" fillId="17" borderId="56" xfId="0" applyFont="1" applyFill="1" applyBorder="1" applyAlignment="1">
      <alignment horizontal="center" vertical="center"/>
    </xf>
    <xf numFmtId="0" fontId="62" fillId="17" borderId="57" xfId="0" applyFont="1" applyFill="1" applyBorder="1" applyAlignment="1">
      <alignment horizontal="center" vertical="center"/>
    </xf>
    <xf numFmtId="0" fontId="62" fillId="17" borderId="0" xfId="0" applyFont="1" applyFill="1" applyAlignment="1">
      <alignment horizontal="center" vertical="center"/>
    </xf>
    <xf numFmtId="0" fontId="62" fillId="17" borderId="50" xfId="0" applyFont="1" applyFill="1" applyBorder="1" applyAlignment="1">
      <alignment horizontal="center" vertical="center"/>
    </xf>
    <xf numFmtId="0" fontId="62" fillId="16" borderId="20" xfId="0" applyFont="1" applyFill="1" applyBorder="1" applyAlignment="1">
      <alignment horizontal="center" vertical="center"/>
    </xf>
    <xf numFmtId="0" fontId="62" fillId="16" borderId="27" xfId="0" applyFont="1" applyFill="1" applyBorder="1" applyAlignment="1">
      <alignment horizontal="center" vertical="center"/>
    </xf>
    <xf numFmtId="0" fontId="62" fillId="16" borderId="56" xfId="0" applyFont="1" applyFill="1" applyBorder="1" applyAlignment="1">
      <alignment horizontal="center" vertical="center"/>
    </xf>
    <xf numFmtId="0" fontId="62" fillId="16" borderId="57" xfId="0" applyFont="1" applyFill="1" applyBorder="1" applyAlignment="1">
      <alignment horizontal="center" vertical="center"/>
    </xf>
    <xf numFmtId="0" fontId="62" fillId="16" borderId="0" xfId="0" applyFont="1" applyFill="1" applyAlignment="1">
      <alignment horizontal="center" vertical="center"/>
    </xf>
    <xf numFmtId="0" fontId="62" fillId="16" borderId="50" xfId="0" applyFont="1" applyFill="1" applyBorder="1" applyAlignment="1">
      <alignment horizontal="center" vertical="center"/>
    </xf>
    <xf numFmtId="0" fontId="61" fillId="10" borderId="27" xfId="0" applyFont="1" applyFill="1" applyBorder="1" applyAlignment="1">
      <alignment horizontal="center" vertical="center" wrapText="1"/>
    </xf>
    <xf numFmtId="0" fontId="61" fillId="10" borderId="34" xfId="0" applyFont="1" applyFill="1" applyBorder="1" applyAlignment="1">
      <alignment horizontal="center" vertical="center" wrapText="1"/>
    </xf>
    <xf numFmtId="0" fontId="61" fillId="10" borderId="74" xfId="0" applyFont="1" applyFill="1" applyBorder="1" applyAlignment="1">
      <alignment horizontal="center" vertical="center" wrapText="1"/>
    </xf>
    <xf numFmtId="0" fontId="61" fillId="10" borderId="80" xfId="0" applyFont="1" applyFill="1" applyBorder="1" applyAlignment="1">
      <alignment horizontal="center" vertical="center" wrapText="1"/>
    </xf>
    <xf numFmtId="0" fontId="61" fillId="10" borderId="37" xfId="0" applyFont="1" applyFill="1" applyBorder="1" applyAlignment="1">
      <alignment horizontal="center" vertical="center" wrapText="1"/>
    </xf>
    <xf numFmtId="0" fontId="61" fillId="10" borderId="38" xfId="0" applyFont="1" applyFill="1" applyBorder="1" applyAlignment="1">
      <alignment horizontal="center" vertical="center" wrapText="1"/>
    </xf>
    <xf numFmtId="0" fontId="61" fillId="10" borderId="73" xfId="0" applyFont="1" applyFill="1" applyBorder="1" applyAlignment="1">
      <alignment horizontal="center" vertical="center" wrapText="1"/>
    </xf>
    <xf numFmtId="0" fontId="61" fillId="10" borderId="52" xfId="0" applyFont="1" applyFill="1" applyBorder="1" applyAlignment="1">
      <alignment horizontal="center" vertical="center" wrapText="1"/>
    </xf>
    <xf numFmtId="0" fontId="61" fillId="10" borderId="78" xfId="0" applyFont="1" applyFill="1" applyBorder="1" applyAlignment="1">
      <alignment horizontal="center" vertical="center" wrapText="1"/>
    </xf>
    <xf numFmtId="0" fontId="61" fillId="10" borderId="81" xfId="0" applyFont="1" applyFill="1" applyBorder="1" applyAlignment="1">
      <alignment horizontal="center" vertical="center" wrapText="1"/>
    </xf>
    <xf numFmtId="0" fontId="61" fillId="10" borderId="19" xfId="0" applyFont="1" applyFill="1" applyBorder="1" applyAlignment="1">
      <alignment horizontal="center" vertical="center" wrapText="1"/>
    </xf>
    <xf numFmtId="0" fontId="61" fillId="10" borderId="22" xfId="0" applyFont="1" applyFill="1" applyBorder="1" applyAlignment="1">
      <alignment horizontal="center" vertical="center" wrapText="1"/>
    </xf>
    <xf numFmtId="0" fontId="13" fillId="0" borderId="18" xfId="0" applyFont="1" applyBorder="1" applyAlignment="1" applyProtection="1">
      <alignment horizontal="center" vertical="center" wrapText="1"/>
      <protection locked="0"/>
    </xf>
    <xf numFmtId="0" fontId="69" fillId="18" borderId="20" xfId="0" applyFont="1" applyFill="1" applyBorder="1" applyAlignment="1">
      <alignment horizontal="center" vertical="top"/>
    </xf>
    <xf numFmtId="0" fontId="69" fillId="18" borderId="27" xfId="0" applyFont="1" applyFill="1" applyBorder="1" applyAlignment="1">
      <alignment horizontal="center" vertical="top"/>
    </xf>
    <xf numFmtId="0" fontId="69" fillId="18" borderId="56" xfId="0" applyFont="1" applyFill="1" applyBorder="1" applyAlignment="1">
      <alignment horizontal="center" vertical="top"/>
    </xf>
    <xf numFmtId="0" fontId="69" fillId="18" borderId="33" xfId="0" applyFont="1" applyFill="1" applyBorder="1" applyAlignment="1">
      <alignment horizontal="center" vertical="top"/>
    </xf>
    <xf numFmtId="0" fontId="69" fillId="18" borderId="34" xfId="0" applyFont="1" applyFill="1" applyBorder="1" applyAlignment="1">
      <alignment horizontal="center" vertical="top"/>
    </xf>
    <xf numFmtId="0" fontId="69" fillId="18" borderId="59" xfId="0" applyFont="1" applyFill="1" applyBorder="1" applyAlignment="1">
      <alignment horizontal="center" vertical="top"/>
    </xf>
    <xf numFmtId="0" fontId="16" fillId="10" borderId="20" xfId="0" applyFont="1" applyFill="1" applyBorder="1" applyAlignment="1">
      <alignment horizontal="center" vertical="top" wrapText="1"/>
    </xf>
    <xf numFmtId="0" fontId="16" fillId="10" borderId="27" xfId="0" applyFont="1" applyFill="1" applyBorder="1" applyAlignment="1">
      <alignment horizontal="center" vertical="top" wrapText="1"/>
    </xf>
    <xf numFmtId="0" fontId="16" fillId="10" borderId="56" xfId="0" applyFont="1" applyFill="1" applyBorder="1" applyAlignment="1">
      <alignment horizontal="center" vertical="top" wrapText="1"/>
    </xf>
    <xf numFmtId="0" fontId="16" fillId="10" borderId="33" xfId="0" applyFont="1" applyFill="1" applyBorder="1" applyAlignment="1">
      <alignment horizontal="center" vertical="top" wrapText="1"/>
    </xf>
    <xf numFmtId="0" fontId="16" fillId="10" borderId="34" xfId="0" applyFont="1" applyFill="1" applyBorder="1" applyAlignment="1">
      <alignment horizontal="center" vertical="top" wrapText="1"/>
    </xf>
    <xf numFmtId="0" fontId="16" fillId="10" borderId="59" xfId="0" applyFont="1" applyFill="1" applyBorder="1" applyAlignment="1">
      <alignment horizontal="center" vertical="top" wrapText="1"/>
    </xf>
    <xf numFmtId="0" fontId="13" fillId="20" borderId="5" xfId="0" applyFont="1" applyFill="1" applyBorder="1" applyAlignment="1">
      <alignment horizontal="center" vertical="center" wrapText="1"/>
    </xf>
    <xf numFmtId="0" fontId="13" fillId="20" borderId="18" xfId="0" applyFont="1" applyFill="1" applyBorder="1" applyAlignment="1">
      <alignment horizontal="center" vertical="center" wrapText="1"/>
    </xf>
    <xf numFmtId="0" fontId="16" fillId="10" borderId="20" xfId="0" applyFont="1" applyFill="1" applyBorder="1" applyAlignment="1">
      <alignment horizontal="center" vertical="center" wrapText="1"/>
    </xf>
    <xf numFmtId="0" fontId="16" fillId="10" borderId="27" xfId="0" applyFont="1" applyFill="1" applyBorder="1" applyAlignment="1">
      <alignment horizontal="center" vertical="center" wrapText="1"/>
    </xf>
    <xf numFmtId="0" fontId="16" fillId="10" borderId="56" xfId="0" applyFont="1" applyFill="1" applyBorder="1" applyAlignment="1">
      <alignment horizontal="center" vertical="center" wrapText="1"/>
    </xf>
    <xf numFmtId="0" fontId="13" fillId="0" borderId="17"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6" fillId="10" borderId="20" xfId="0" applyFont="1" applyFill="1" applyBorder="1" applyAlignment="1">
      <alignment horizontal="center" vertical="center"/>
    </xf>
    <xf numFmtId="0" fontId="16" fillId="10" borderId="27" xfId="0" applyFont="1" applyFill="1" applyBorder="1" applyAlignment="1">
      <alignment horizontal="center" vertical="center"/>
    </xf>
    <xf numFmtId="0" fontId="13" fillId="20" borderId="17" xfId="0" applyFont="1" applyFill="1" applyBorder="1" applyAlignment="1">
      <alignment horizontal="center" vertical="center" wrapText="1"/>
    </xf>
    <xf numFmtId="0" fontId="16" fillId="10" borderId="23" xfId="0" applyFont="1" applyFill="1" applyBorder="1" applyAlignment="1">
      <alignment horizontal="center" wrapText="1"/>
    </xf>
    <xf numFmtId="0" fontId="16" fillId="10" borderId="46" xfId="0" applyFont="1" applyFill="1" applyBorder="1" applyAlignment="1">
      <alignment horizontal="center" wrapText="1"/>
    </xf>
    <xf numFmtId="0" fontId="16" fillId="10" borderId="24" xfId="0" applyFont="1" applyFill="1" applyBorder="1" applyAlignment="1">
      <alignment horizontal="center" wrapText="1"/>
    </xf>
    <xf numFmtId="0" fontId="16" fillId="10" borderId="56" xfId="0" applyFont="1" applyFill="1" applyBorder="1" applyAlignment="1">
      <alignment horizontal="center" vertical="center"/>
    </xf>
    <xf numFmtId="2" fontId="13" fillId="20" borderId="17" xfId="0" applyNumberFormat="1" applyFont="1" applyFill="1" applyBorder="1" applyAlignment="1">
      <alignment horizontal="center" vertical="center" wrapText="1"/>
    </xf>
    <xf numFmtId="2" fontId="13" fillId="20" borderId="5" xfId="0" applyNumberFormat="1" applyFont="1" applyFill="1" applyBorder="1" applyAlignment="1">
      <alignment horizontal="center" vertical="center" wrapText="1"/>
    </xf>
    <xf numFmtId="2" fontId="16" fillId="10" borderId="20" xfId="0" applyNumberFormat="1" applyFont="1" applyFill="1" applyBorder="1" applyAlignment="1">
      <alignment horizontal="center" vertical="center" wrapText="1"/>
    </xf>
    <xf numFmtId="2" fontId="16" fillId="10" borderId="56" xfId="0" applyNumberFormat="1" applyFont="1" applyFill="1" applyBorder="1" applyAlignment="1">
      <alignment horizontal="center" vertical="center" wrapText="1"/>
    </xf>
    <xf numFmtId="2" fontId="13" fillId="20" borderId="16" xfId="0" applyNumberFormat="1" applyFont="1" applyFill="1" applyBorder="1" applyAlignment="1">
      <alignment horizontal="center" vertical="center" wrapText="1"/>
    </xf>
    <xf numFmtId="2" fontId="13" fillId="20" borderId="6" xfId="0" applyNumberFormat="1" applyFont="1" applyFill="1" applyBorder="1" applyAlignment="1">
      <alignment horizontal="center" vertical="center" wrapText="1"/>
    </xf>
    <xf numFmtId="2" fontId="13" fillId="20" borderId="31" xfId="0" applyNumberFormat="1" applyFont="1" applyFill="1" applyBorder="1" applyAlignment="1">
      <alignment horizontal="center" vertical="center" wrapText="1"/>
    </xf>
    <xf numFmtId="0" fontId="16" fillId="20" borderId="16" xfId="0" applyFont="1" applyFill="1" applyBorder="1" applyAlignment="1">
      <alignment horizontal="center" vertical="center" wrapText="1"/>
    </xf>
    <xf numFmtId="0" fontId="16" fillId="20" borderId="31" xfId="0" applyFont="1" applyFill="1" applyBorder="1" applyAlignment="1">
      <alignment horizontal="center" vertical="center" wrapText="1"/>
    </xf>
    <xf numFmtId="0" fontId="16" fillId="20" borderId="6" xfId="0" applyFont="1" applyFill="1" applyBorder="1" applyAlignment="1">
      <alignment horizontal="center" vertical="center" wrapText="1"/>
    </xf>
    <xf numFmtId="0" fontId="16" fillId="20" borderId="62" xfId="0" applyFont="1" applyFill="1" applyBorder="1" applyAlignment="1">
      <alignment horizontal="center" vertical="center" wrapText="1"/>
    </xf>
    <xf numFmtId="0" fontId="16" fillId="20" borderId="47" xfId="0" applyFont="1" applyFill="1" applyBorder="1" applyAlignment="1">
      <alignment horizontal="center" vertical="center" wrapText="1"/>
    </xf>
    <xf numFmtId="0" fontId="16" fillId="20" borderId="61" xfId="0" applyFont="1" applyFill="1" applyBorder="1" applyAlignment="1">
      <alignment horizontal="center" vertical="center" wrapText="1"/>
    </xf>
    <xf numFmtId="2" fontId="16" fillId="19" borderId="33" xfId="0" applyNumberFormat="1" applyFont="1" applyFill="1" applyBorder="1" applyAlignment="1">
      <alignment horizontal="center" vertical="center"/>
    </xf>
    <xf numFmtId="2" fontId="16" fillId="19" borderId="59" xfId="0" applyNumberFormat="1" applyFont="1" applyFill="1" applyBorder="1" applyAlignment="1">
      <alignment horizontal="center" vertical="center"/>
    </xf>
    <xf numFmtId="2" fontId="16" fillId="19" borderId="23" xfId="0" applyNumberFormat="1" applyFont="1" applyFill="1" applyBorder="1" applyAlignment="1">
      <alignment horizontal="center" vertical="center"/>
    </xf>
    <xf numFmtId="2" fontId="16" fillId="19" borderId="24"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wrapText="1"/>
    </xf>
    <xf numFmtId="2" fontId="13" fillId="20" borderId="63" xfId="0" applyNumberFormat="1" applyFont="1" applyFill="1" applyBorder="1" applyAlignment="1">
      <alignment horizontal="center" vertical="center" wrapText="1"/>
    </xf>
    <xf numFmtId="2" fontId="13" fillId="20" borderId="58" xfId="0" applyNumberFormat="1" applyFont="1" applyFill="1" applyBorder="1" applyAlignment="1">
      <alignment horizontal="center" vertical="center" wrapText="1"/>
    </xf>
    <xf numFmtId="2" fontId="13" fillId="20" borderId="32" xfId="0" applyNumberFormat="1" applyFont="1" applyFill="1" applyBorder="1" applyAlignment="1">
      <alignment horizontal="center" vertical="center" wrapText="1"/>
    </xf>
    <xf numFmtId="0" fontId="16" fillId="20" borderId="63" xfId="0" applyFont="1" applyFill="1" applyBorder="1" applyAlignment="1">
      <alignment horizontal="center" vertical="center" wrapText="1"/>
    </xf>
    <xf numFmtId="0" fontId="16" fillId="20" borderId="32" xfId="0" applyFont="1" applyFill="1" applyBorder="1" applyAlignment="1">
      <alignment horizontal="center" vertical="center" wrapText="1"/>
    </xf>
    <xf numFmtId="0" fontId="16" fillId="20" borderId="58" xfId="0" applyFont="1" applyFill="1" applyBorder="1" applyAlignment="1">
      <alignment horizontal="center" vertical="center" wrapText="1"/>
    </xf>
    <xf numFmtId="2" fontId="16" fillId="19" borderId="34" xfId="0" applyNumberFormat="1" applyFont="1" applyFill="1" applyBorder="1" applyAlignment="1">
      <alignment horizontal="center" vertical="center"/>
    </xf>
    <xf numFmtId="0" fontId="16" fillId="10" borderId="23" xfId="0" applyFont="1" applyFill="1" applyBorder="1" applyAlignment="1">
      <alignment horizontal="center" vertical="center" wrapText="1"/>
    </xf>
    <xf numFmtId="0" fontId="16" fillId="10" borderId="46" xfId="0" applyFont="1" applyFill="1" applyBorder="1" applyAlignment="1">
      <alignment horizontal="center" vertical="center" wrapText="1"/>
    </xf>
    <xf numFmtId="0" fontId="16" fillId="10" borderId="24" xfId="0" applyFont="1" applyFill="1" applyBorder="1" applyAlignment="1">
      <alignment horizontal="center" vertical="center" wrapText="1"/>
    </xf>
    <xf numFmtId="0" fontId="69" fillId="16" borderId="20" xfId="0" applyFont="1" applyFill="1" applyBorder="1" applyAlignment="1">
      <alignment horizontal="center" vertical="center"/>
    </xf>
    <xf numFmtId="0" fontId="69" fillId="16" borderId="27" xfId="0" applyFont="1" applyFill="1" applyBorder="1" applyAlignment="1">
      <alignment horizontal="center" vertical="center"/>
    </xf>
    <xf numFmtId="0" fontId="69" fillId="16" borderId="56" xfId="0" applyFont="1" applyFill="1" applyBorder="1" applyAlignment="1">
      <alignment horizontal="center" vertical="center"/>
    </xf>
    <xf numFmtId="0" fontId="69" fillId="16" borderId="33" xfId="0" applyFont="1" applyFill="1" applyBorder="1" applyAlignment="1">
      <alignment horizontal="center" vertical="center"/>
    </xf>
    <xf numFmtId="0" fontId="69" fillId="16" borderId="34" xfId="0" applyFont="1" applyFill="1" applyBorder="1" applyAlignment="1">
      <alignment horizontal="center" vertical="center"/>
    </xf>
    <xf numFmtId="0" fontId="69" fillId="16" borderId="59" xfId="0" applyFont="1" applyFill="1" applyBorder="1" applyAlignment="1">
      <alignment horizontal="center" vertical="center"/>
    </xf>
    <xf numFmtId="0" fontId="13" fillId="10" borderId="28" xfId="0" applyFont="1" applyFill="1" applyBorder="1" applyAlignment="1">
      <alignment horizontal="center" vertical="center"/>
    </xf>
    <xf numFmtId="0" fontId="13" fillId="10" borderId="30" xfId="0" applyFont="1" applyFill="1" applyBorder="1" applyAlignment="1">
      <alignment horizontal="center" vertical="center"/>
    </xf>
    <xf numFmtId="0" fontId="13" fillId="10" borderId="20" xfId="0" applyFont="1" applyFill="1" applyBorder="1" applyAlignment="1">
      <alignment horizontal="center"/>
    </xf>
    <xf numFmtId="0" fontId="13" fillId="10" borderId="27" xfId="0" applyFont="1" applyFill="1" applyBorder="1" applyAlignment="1">
      <alignment horizontal="center"/>
    </xf>
    <xf numFmtId="0" fontId="13" fillId="10" borderId="56" xfId="0" applyFont="1" applyFill="1" applyBorder="1" applyAlignment="1">
      <alignment horizontal="center"/>
    </xf>
    <xf numFmtId="0" fontId="13" fillId="10" borderId="33" xfId="0" applyFont="1" applyFill="1" applyBorder="1" applyAlignment="1">
      <alignment horizontal="center"/>
    </xf>
    <xf numFmtId="0" fontId="13" fillId="10" borderId="34" xfId="0" applyFont="1" applyFill="1" applyBorder="1" applyAlignment="1">
      <alignment horizontal="center"/>
    </xf>
    <xf numFmtId="0" fontId="13" fillId="10" borderId="59" xfId="0" applyFont="1" applyFill="1" applyBorder="1" applyAlignment="1">
      <alignment horizontal="center"/>
    </xf>
    <xf numFmtId="2" fontId="16" fillId="10" borderId="20" xfId="0" applyNumberFormat="1" applyFont="1" applyFill="1" applyBorder="1" applyAlignment="1">
      <alignment horizontal="center"/>
    </xf>
    <xf numFmtId="2" fontId="16" fillId="10" borderId="27" xfId="0" applyNumberFormat="1" applyFont="1" applyFill="1" applyBorder="1" applyAlignment="1">
      <alignment horizontal="center"/>
    </xf>
    <xf numFmtId="2" fontId="16" fillId="10" borderId="56" xfId="0" applyNumberFormat="1" applyFont="1" applyFill="1" applyBorder="1" applyAlignment="1">
      <alignment horizontal="center"/>
    </xf>
    <xf numFmtId="2" fontId="16" fillId="10" borderId="33" xfId="0" applyNumberFormat="1" applyFont="1" applyFill="1" applyBorder="1" applyAlignment="1">
      <alignment horizontal="center"/>
    </xf>
    <xf numFmtId="2" fontId="16" fillId="10" borderId="34" xfId="0" applyNumberFormat="1" applyFont="1" applyFill="1" applyBorder="1" applyAlignment="1">
      <alignment horizontal="center"/>
    </xf>
    <xf numFmtId="2" fontId="16" fillId="10" borderId="59" xfId="0" applyNumberFormat="1" applyFont="1" applyFill="1" applyBorder="1" applyAlignment="1">
      <alignment horizontal="center"/>
    </xf>
    <xf numFmtId="2" fontId="16" fillId="10" borderId="23" xfId="0" applyNumberFormat="1" applyFont="1" applyFill="1" applyBorder="1" applyAlignment="1">
      <alignment horizontal="center"/>
    </xf>
    <xf numFmtId="2" fontId="16" fillId="10" borderId="46" xfId="0" applyNumberFormat="1" applyFont="1" applyFill="1" applyBorder="1" applyAlignment="1">
      <alignment horizontal="center"/>
    </xf>
    <xf numFmtId="2" fontId="16" fillId="10" borderId="24" xfId="0" applyNumberFormat="1" applyFont="1" applyFill="1" applyBorder="1" applyAlignment="1">
      <alignment horizontal="center"/>
    </xf>
    <xf numFmtId="0" fontId="16" fillId="10" borderId="46" xfId="0" applyFont="1" applyFill="1" applyBorder="1" applyAlignment="1">
      <alignment horizontal="center" vertical="center"/>
    </xf>
    <xf numFmtId="0" fontId="16" fillId="10" borderId="24" xfId="0" applyFont="1" applyFill="1" applyBorder="1" applyAlignment="1">
      <alignment horizontal="center" vertical="center"/>
    </xf>
    <xf numFmtId="0" fontId="16" fillId="10" borderId="23" xfId="0" applyFont="1" applyFill="1" applyBorder="1" applyAlignment="1">
      <alignment horizontal="center" vertical="center"/>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35" fillId="20" borderId="20" xfId="0" applyFont="1" applyFill="1" applyBorder="1" applyAlignment="1">
      <alignment horizontal="center" vertical="center" wrapText="1"/>
    </xf>
    <xf numFmtId="0" fontId="35" fillId="20" borderId="56" xfId="0" applyFont="1" applyFill="1" applyBorder="1" applyAlignment="1">
      <alignment horizontal="center" vertical="center" wrapText="1"/>
    </xf>
    <xf numFmtId="0" fontId="35" fillId="20" borderId="33" xfId="0" applyFont="1" applyFill="1" applyBorder="1" applyAlignment="1">
      <alignment horizontal="center" vertical="center" wrapText="1"/>
    </xf>
    <xf numFmtId="0" fontId="35" fillId="20" borderId="59" xfId="0" applyFont="1" applyFill="1" applyBorder="1" applyAlignment="1">
      <alignment horizontal="center" vertical="center" wrapText="1"/>
    </xf>
    <xf numFmtId="0" fontId="35" fillId="20" borderId="23" xfId="0" applyFont="1" applyFill="1" applyBorder="1" applyAlignment="1">
      <alignment horizontal="right" wrapText="1"/>
    </xf>
    <xf numFmtId="0" fontId="35" fillId="20" borderId="24" xfId="0" applyFont="1" applyFill="1" applyBorder="1" applyAlignment="1">
      <alignment horizontal="right" wrapText="1"/>
    </xf>
    <xf numFmtId="0" fontId="35" fillId="20" borderId="23" xfId="0" applyFont="1" applyFill="1" applyBorder="1" applyAlignment="1">
      <alignment horizontal="right" vertical="center" wrapText="1"/>
    </xf>
    <xf numFmtId="0" fontId="35" fillId="20" borderId="24" xfId="0" applyFont="1" applyFill="1" applyBorder="1" applyAlignment="1">
      <alignment horizontal="right" vertical="center" wrapText="1"/>
    </xf>
    <xf numFmtId="0" fontId="14" fillId="10" borderId="23" xfId="0" applyFont="1" applyFill="1" applyBorder="1" applyAlignment="1">
      <alignment horizontal="center" vertical="center"/>
    </xf>
    <xf numFmtId="0" fontId="14" fillId="10" borderId="46" xfId="0" applyFont="1" applyFill="1" applyBorder="1" applyAlignment="1">
      <alignment horizontal="center" vertical="center"/>
    </xf>
    <xf numFmtId="0" fontId="14" fillId="10" borderId="24" xfId="0" applyFont="1" applyFill="1" applyBorder="1" applyAlignment="1">
      <alignment horizontal="center" vertic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1" fillId="20" borderId="45" xfId="0" applyFont="1" applyFill="1" applyBorder="1" applyAlignment="1">
      <alignment horizontal="center" vertical="center"/>
    </xf>
    <xf numFmtId="0" fontId="31" fillId="20"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0" borderId="23" xfId="0" applyFont="1" applyFill="1" applyBorder="1" applyAlignment="1">
      <alignment horizontal="center" vertical="center" wrapText="1"/>
    </xf>
    <xf numFmtId="0" fontId="35" fillId="20" borderId="46" xfId="0" applyFont="1" applyFill="1" applyBorder="1" applyAlignment="1">
      <alignment horizontal="center" vertical="center" wrapText="1"/>
    </xf>
    <xf numFmtId="0" fontId="35" fillId="20"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20" borderId="28" xfId="0" applyFont="1" applyFill="1" applyBorder="1" applyAlignment="1">
      <alignment horizontal="center" vertical="center"/>
    </xf>
    <xf numFmtId="0" fontId="35" fillId="20"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59" xfId="0" applyFont="1" applyFill="1" applyBorder="1" applyAlignment="1">
      <alignment horizontal="center" vertical="center" wrapText="1"/>
    </xf>
    <xf numFmtId="0" fontId="35" fillId="10" borderId="47" xfId="0" applyFont="1" applyFill="1" applyBorder="1" applyAlignment="1">
      <alignment horizontal="center" vertical="center"/>
    </xf>
    <xf numFmtId="0" fontId="35" fillId="10" borderId="61" xfId="0" applyFont="1" applyFill="1" applyBorder="1" applyAlignment="1">
      <alignment horizontal="center" vertic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27"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51" xfId="0" applyFont="1" applyFill="1" applyBorder="1" applyAlignment="1">
      <alignment horizontal="center" vertical="center" wrapText="1"/>
    </xf>
    <xf numFmtId="0" fontId="35" fillId="10" borderId="44" xfId="0" applyFont="1" applyFill="1" applyBorder="1" applyAlignment="1">
      <alignment horizontal="center" vertical="center" wrapText="1"/>
    </xf>
    <xf numFmtId="0" fontId="35" fillId="10" borderId="4" xfId="0" applyFont="1" applyFill="1" applyBorder="1" applyAlignment="1">
      <alignment horizontal="center" vertical="center" wrapText="1"/>
    </xf>
    <xf numFmtId="0" fontId="35" fillId="10" borderId="6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19"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14" fillId="9" borderId="0" xfId="0" applyFont="1" applyFill="1" applyAlignment="1">
      <alignment horizontal="center"/>
    </xf>
    <xf numFmtId="0" fontId="35" fillId="10" borderId="20" xfId="0" applyFont="1" applyFill="1" applyBorder="1" applyAlignment="1">
      <alignment horizontal="center" vertical="center"/>
    </xf>
    <xf numFmtId="0" fontId="35" fillId="10" borderId="27" xfId="0" applyFont="1" applyFill="1" applyBorder="1" applyAlignment="1">
      <alignment horizontal="center" vertical="center"/>
    </xf>
    <xf numFmtId="0" fontId="35" fillId="10" borderId="56" xfId="0" applyFont="1" applyFill="1" applyBorder="1" applyAlignment="1">
      <alignment horizontal="center" vertic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1" fillId="11" borderId="0" xfId="0" applyFont="1" applyFill="1" applyAlignment="1">
      <alignment horizontal="center" wrapText="1"/>
    </xf>
    <xf numFmtId="0" fontId="31" fillId="11" borderId="69" xfId="0" applyFont="1" applyFill="1" applyBorder="1" applyAlignment="1">
      <alignment horizontal="center" wrapText="1"/>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20" borderId="23" xfId="0" applyFont="1" applyFill="1" applyBorder="1" applyAlignment="1">
      <alignment horizontal="right" vertical="center"/>
    </xf>
    <xf numFmtId="0" fontId="35" fillId="20" borderId="24" xfId="0" applyFont="1" applyFill="1" applyBorder="1" applyAlignment="1">
      <alignment horizontal="right" vertical="center"/>
    </xf>
    <xf numFmtId="0" fontId="35" fillId="20" borderId="20" xfId="0" applyFont="1" applyFill="1" applyBorder="1" applyAlignment="1">
      <alignment horizontal="center" vertical="center"/>
    </xf>
    <xf numFmtId="0" fontId="35" fillId="20" borderId="56" xfId="0" applyFont="1" applyFill="1" applyBorder="1" applyAlignment="1">
      <alignment horizontal="center" vertical="center"/>
    </xf>
    <xf numFmtId="0" fontId="35" fillId="20" borderId="33" xfId="0" applyFont="1" applyFill="1" applyBorder="1" applyAlignment="1">
      <alignment horizontal="center" vertical="center"/>
    </xf>
    <xf numFmtId="0" fontId="35" fillId="20" borderId="59" xfId="0" applyFont="1" applyFill="1" applyBorder="1" applyAlignment="1">
      <alignment horizontal="center" vertical="center"/>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5" borderId="20" xfId="0" applyFont="1" applyFill="1" applyBorder="1" applyAlignment="1">
      <alignment horizontal="center" vertical="center" wrapText="1"/>
    </xf>
    <xf numFmtId="0" fontId="35" fillId="5" borderId="54" xfId="0" applyFont="1" applyFill="1" applyBorder="1" applyAlignment="1">
      <alignment horizontal="center" vertic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11" borderId="0" xfId="0" applyFont="1" applyFill="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0" borderId="13"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40" xfId="0" applyFont="1" applyFill="1" applyBorder="1" applyAlignment="1">
      <alignment horizontal="center" vertical="center" wrapText="1"/>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center"/>
    </xf>
    <xf numFmtId="0" fontId="26" fillId="5" borderId="0" xfId="0" applyFont="1" applyFill="1" applyAlignment="1">
      <alignment horizontal="center" vertical="center"/>
    </xf>
    <xf numFmtId="0" fontId="26" fillId="5" borderId="50" xfId="0" applyFont="1" applyFill="1" applyBorder="1" applyAlignment="1">
      <alignment horizontal="center" vertical="center"/>
    </xf>
    <xf numFmtId="0" fontId="52" fillId="11" borderId="0" xfId="0" applyFont="1" applyFill="1" applyAlignment="1">
      <alignment horizontal="center" vertical="center" wrapText="1"/>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1" fillId="11" borderId="0" xfId="0" applyFont="1" applyFill="1" applyAlignment="1">
      <alignment horizontal="center"/>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vertical="center"/>
    </xf>
    <xf numFmtId="0" fontId="35" fillId="5" borderId="19" xfId="0" applyFont="1" applyFill="1" applyBorder="1" applyAlignment="1">
      <alignment horizontal="center" vertical="center"/>
    </xf>
    <xf numFmtId="0" fontId="51" fillId="10" borderId="9" xfId="0" applyFont="1" applyFill="1" applyBorder="1" applyAlignment="1">
      <alignment horizontal="center" vertical="center"/>
    </xf>
    <xf numFmtId="0" fontId="51" fillId="10" borderId="10" xfId="0" applyFont="1" applyFill="1" applyBorder="1" applyAlignment="1">
      <alignment horizontal="center" vertical="center"/>
    </xf>
    <xf numFmtId="0" fontId="51" fillId="10" borderId="11" xfId="0" applyFont="1" applyFill="1" applyBorder="1" applyAlignment="1">
      <alignment horizontal="center" vertical="center"/>
    </xf>
    <xf numFmtId="2" fontId="10" fillId="20" borderId="55" xfId="0" applyNumberFormat="1" applyFont="1" applyFill="1" applyBorder="1" applyAlignment="1">
      <alignment horizontal="center" vertical="center"/>
    </xf>
    <xf numFmtId="2" fontId="10" fillId="20" borderId="40" xfId="0" applyNumberFormat="1" applyFont="1" applyFill="1" applyBorder="1" applyAlignment="1">
      <alignment horizontal="center" vertical="center"/>
    </xf>
    <xf numFmtId="2" fontId="31" fillId="20" borderId="28" xfId="0" applyNumberFormat="1" applyFont="1" applyFill="1" applyBorder="1" applyAlignment="1">
      <alignment horizontal="center" vertical="center"/>
    </xf>
    <xf numFmtId="2" fontId="31" fillId="20" borderId="53"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xf>
    <xf numFmtId="0" fontId="66" fillId="17" borderId="28" xfId="0" applyFont="1" applyFill="1" applyBorder="1" applyAlignment="1">
      <alignment horizontal="center" vertical="center"/>
    </xf>
    <xf numFmtId="0" fontId="66" fillId="17" borderId="53" xfId="0" applyFont="1" applyFill="1" applyBorder="1" applyAlignment="1">
      <alignment horizontal="center" vertical="center"/>
    </xf>
    <xf numFmtId="0" fontId="66" fillId="17" borderId="30" xfId="0" applyFont="1" applyFill="1" applyBorder="1" applyAlignment="1">
      <alignment horizontal="center" vertical="center"/>
    </xf>
    <xf numFmtId="0" fontId="51" fillId="10" borderId="23" xfId="0" applyFont="1" applyFill="1" applyBorder="1" applyAlignment="1">
      <alignment horizontal="center"/>
    </xf>
    <xf numFmtId="0" fontId="51" fillId="10" borderId="46" xfId="0" applyFont="1" applyFill="1" applyBorder="1" applyAlignment="1">
      <alignment horizontal="center"/>
    </xf>
    <xf numFmtId="0" fontId="51" fillId="10" borderId="24" xfId="0" applyFont="1" applyFill="1" applyBorder="1" applyAlignment="1">
      <alignment horizontal="center"/>
    </xf>
    <xf numFmtId="0" fontId="66" fillId="18" borderId="28" xfId="0" applyFont="1" applyFill="1" applyBorder="1" applyAlignment="1">
      <alignment horizontal="center" vertical="center"/>
    </xf>
    <xf numFmtId="0" fontId="66" fillId="18" borderId="53" xfId="0" applyFont="1" applyFill="1" applyBorder="1" applyAlignment="1">
      <alignment horizontal="center" vertical="center"/>
    </xf>
    <xf numFmtId="0" fontId="66" fillId="18" borderId="30" xfId="0" applyFont="1" applyFill="1" applyBorder="1" applyAlignment="1">
      <alignment horizontal="center" vertical="center"/>
    </xf>
    <xf numFmtId="2" fontId="31" fillId="20" borderId="5" xfId="0" applyNumberFormat="1" applyFont="1" applyFill="1" applyBorder="1" applyAlignment="1">
      <alignment horizontal="center" vertical="center"/>
    </xf>
    <xf numFmtId="2" fontId="31" fillId="20" borderId="18" xfId="0" applyNumberFormat="1" applyFont="1" applyFill="1" applyBorder="1" applyAlignment="1">
      <alignment horizontal="center" vertical="center"/>
    </xf>
    <xf numFmtId="2" fontId="31" fillId="20" borderId="21"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2" fontId="31" fillId="20" borderId="6" xfId="0" applyNumberFormat="1" applyFont="1" applyFill="1" applyBorder="1" applyAlignment="1">
      <alignment horizontal="center" vertical="center"/>
    </xf>
    <xf numFmtId="2" fontId="31" fillId="20" borderId="58" xfId="0" applyNumberFormat="1" applyFont="1" applyFill="1" applyBorder="1" applyAlignment="1">
      <alignment horizontal="center" vertical="center"/>
    </xf>
    <xf numFmtId="2" fontId="31" fillId="20" borderId="17"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xf>
    <xf numFmtId="0" fontId="66" fillId="16" borderId="20" xfId="0" applyFont="1" applyFill="1" applyBorder="1" applyAlignment="1">
      <alignment horizontal="center" vertical="center"/>
    </xf>
    <xf numFmtId="0" fontId="66" fillId="16" borderId="33" xfId="0" applyFont="1" applyFill="1" applyBorder="1" applyAlignment="1">
      <alignment horizontal="center" vertical="center"/>
    </xf>
    <xf numFmtId="2" fontId="31" fillId="20" borderId="61" xfId="0" applyNumberFormat="1" applyFont="1" applyFill="1" applyBorder="1" applyAlignment="1">
      <alignment horizontal="center" vertical="center"/>
    </xf>
    <xf numFmtId="0" fontId="61" fillId="9" borderId="71" xfId="0" applyFont="1" applyFill="1" applyBorder="1" applyAlignment="1">
      <alignment horizontal="center"/>
    </xf>
    <xf numFmtId="0" fontId="35" fillId="10" borderId="48" xfId="0" applyFont="1" applyFill="1" applyBorder="1" applyAlignment="1">
      <alignment horizontal="center" vertical="center"/>
    </xf>
    <xf numFmtId="0" fontId="35" fillId="10" borderId="83" xfId="0" applyFont="1" applyFill="1" applyBorder="1" applyAlignment="1">
      <alignment horizontal="center" vertical="center"/>
    </xf>
    <xf numFmtId="0" fontId="49" fillId="10" borderId="28" xfId="0" applyFont="1" applyFill="1" applyBorder="1" applyAlignment="1">
      <alignment horizontal="center" vertical="center" textRotation="90"/>
    </xf>
    <xf numFmtId="0" fontId="49" fillId="10" borderId="53" xfId="0" applyFont="1" applyFill="1" applyBorder="1" applyAlignment="1">
      <alignment horizontal="center" vertical="center" textRotation="90"/>
    </xf>
    <xf numFmtId="0" fontId="49" fillId="10" borderId="30" xfId="0" applyFont="1" applyFill="1" applyBorder="1" applyAlignment="1">
      <alignment horizontal="center" vertical="center" textRotation="90"/>
    </xf>
    <xf numFmtId="0" fontId="66" fillId="16" borderId="27" xfId="0" applyFont="1" applyFill="1" applyBorder="1" applyAlignment="1">
      <alignment horizontal="center" vertical="center"/>
    </xf>
    <xf numFmtId="0" fontId="66" fillId="16" borderId="0" xfId="0" applyFont="1" applyFill="1" applyAlignment="1">
      <alignment horizontal="center" vertical="center"/>
    </xf>
    <xf numFmtId="0" fontId="66" fillId="16" borderId="34" xfId="0" applyFont="1" applyFill="1" applyBorder="1" applyAlignment="1">
      <alignment horizontal="center" vertical="center"/>
    </xf>
    <xf numFmtId="0" fontId="66" fillId="16" borderId="28" xfId="0" applyFont="1" applyFill="1" applyBorder="1" applyAlignment="1">
      <alignment horizontal="center" vertical="center"/>
    </xf>
    <xf numFmtId="0" fontId="66" fillId="16" borderId="53" xfId="0" applyFont="1" applyFill="1" applyBorder="1" applyAlignment="1">
      <alignment horizontal="center" vertical="center"/>
    </xf>
    <xf numFmtId="0" fontId="66" fillId="16" borderId="30" xfId="0" applyFont="1" applyFill="1" applyBorder="1" applyAlignment="1">
      <alignment horizontal="center" vertical="center"/>
    </xf>
    <xf numFmtId="2" fontId="31" fillId="20" borderId="37"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61" fillId="10" borderId="61" xfId="0" quotePrefix="1" applyFont="1" applyFill="1" applyBorder="1" applyAlignment="1">
      <alignment horizontal="center" vertical="center" wrapText="1"/>
    </xf>
    <xf numFmtId="0" fontId="61" fillId="10" borderId="17" xfId="0" quotePrefix="1" applyFont="1" applyFill="1" applyBorder="1" applyAlignment="1">
      <alignment horizontal="center" vertical="center" wrapText="1"/>
    </xf>
    <xf numFmtId="0" fontId="61" fillId="10" borderId="19" xfId="0" quotePrefix="1" applyFont="1" applyFill="1" applyBorder="1" applyAlignment="1">
      <alignment horizontal="center" vertical="center" wrapText="1"/>
    </xf>
    <xf numFmtId="0" fontId="61" fillId="10" borderId="6" xfId="0" applyFont="1" applyFill="1" applyBorder="1" applyAlignment="1">
      <alignment horizontal="center" vertical="center" wrapText="1"/>
    </xf>
    <xf numFmtId="0" fontId="61" fillId="10" borderId="5" xfId="0" applyFont="1" applyFill="1" applyBorder="1" applyAlignment="1">
      <alignment horizontal="center" vertical="center" wrapText="1"/>
    </xf>
    <xf numFmtId="0" fontId="61" fillId="10" borderId="21" xfId="0" applyFont="1" applyFill="1" applyBorder="1" applyAlignment="1">
      <alignment horizontal="center" vertical="center" wrapText="1"/>
    </xf>
    <xf numFmtId="0" fontId="61" fillId="10" borderId="31" xfId="0" applyFont="1" applyFill="1" applyBorder="1" applyAlignment="1">
      <alignment horizontal="center" vertical="center" wrapText="1"/>
    </xf>
    <xf numFmtId="0" fontId="61" fillId="10" borderId="39" xfId="0" applyFont="1" applyFill="1" applyBorder="1" applyAlignment="1">
      <alignment horizontal="center" vertical="center" wrapText="1"/>
    </xf>
    <xf numFmtId="0" fontId="61" fillId="10" borderId="32" xfId="0" applyFont="1" applyFill="1" applyBorder="1" applyAlignment="1">
      <alignment horizontal="center" vertical="center" wrapText="1"/>
    </xf>
    <xf numFmtId="0" fontId="61" fillId="10" borderId="64" xfId="0" applyFont="1" applyFill="1" applyBorder="1" applyAlignment="1">
      <alignment horizontal="center" vertical="center" wrapText="1"/>
    </xf>
    <xf numFmtId="0" fontId="61" fillId="9" borderId="0" xfId="0" applyFont="1" applyFill="1" applyAlignment="1">
      <alignment horizontal="center"/>
    </xf>
    <xf numFmtId="0" fontId="70" fillId="16" borderId="28" xfId="0" applyFont="1" applyFill="1" applyBorder="1" applyAlignment="1">
      <alignment horizontal="center" vertical="center"/>
    </xf>
    <xf numFmtId="0" fontId="70" fillId="16" borderId="53" xfId="0" applyFont="1" applyFill="1" applyBorder="1" applyAlignment="1">
      <alignment horizontal="center" vertical="center"/>
    </xf>
    <xf numFmtId="0" fontId="70" fillId="16" borderId="30" xfId="0" applyFont="1" applyFill="1" applyBorder="1" applyAlignment="1">
      <alignment horizontal="center" vertical="center"/>
    </xf>
    <xf numFmtId="2" fontId="31" fillId="20" borderId="37" xfId="0" applyNumberFormat="1" applyFont="1" applyFill="1" applyBorder="1" applyAlignment="1">
      <alignment horizontal="center" vertical="center"/>
    </xf>
    <xf numFmtId="2" fontId="31" fillId="20" borderId="75" xfId="0" applyNumberFormat="1" applyFont="1" applyFill="1" applyBorder="1" applyAlignment="1">
      <alignment horizontal="center" vertical="center"/>
    </xf>
    <xf numFmtId="2" fontId="31" fillId="20" borderId="38" xfId="0" applyNumberFormat="1" applyFont="1" applyFill="1" applyBorder="1" applyAlignment="1">
      <alignment horizontal="center" vertical="center"/>
    </xf>
    <xf numFmtId="0" fontId="70" fillId="16" borderId="7" xfId="0" applyFont="1" applyFill="1" applyBorder="1" applyAlignment="1">
      <alignment horizontal="center" vertical="center"/>
    </xf>
    <xf numFmtId="0" fontId="70" fillId="16" borderId="72" xfId="0" applyFont="1" applyFill="1" applyBorder="1" applyAlignment="1">
      <alignment horizontal="center" vertical="center"/>
    </xf>
    <xf numFmtId="0" fontId="70" fillId="16" borderId="8" xfId="0" applyFont="1" applyFill="1" applyBorder="1" applyAlignment="1">
      <alignment horizontal="center" vertical="center"/>
    </xf>
    <xf numFmtId="0" fontId="61" fillId="9" borderId="0" xfId="0" applyFont="1" applyFill="1" applyAlignment="1">
      <alignment horizontal="center" wrapText="1"/>
    </xf>
    <xf numFmtId="0" fontId="49" fillId="10" borderId="14" xfId="0" applyFont="1" applyFill="1" applyBorder="1" applyAlignment="1">
      <alignment horizontal="center" vertical="center"/>
    </xf>
    <xf numFmtId="0" fontId="49" fillId="10" borderId="19" xfId="0" applyFont="1" applyFill="1" applyBorder="1" applyAlignment="1">
      <alignment horizontal="center" vertical="center"/>
    </xf>
    <xf numFmtId="0" fontId="49" fillId="10" borderId="12" xfId="0" applyFont="1" applyFill="1" applyBorder="1" applyAlignment="1">
      <alignment horizontal="center" vertical="center"/>
    </xf>
    <xf numFmtId="0" fontId="49" fillId="10" borderId="21" xfId="0" applyFont="1" applyFill="1" applyBorder="1" applyAlignment="1">
      <alignment horizontal="center" vertical="center"/>
    </xf>
    <xf numFmtId="0" fontId="49" fillId="10" borderId="13" xfId="0" applyFont="1" applyFill="1" applyBorder="1" applyAlignment="1">
      <alignment horizontal="center" vertical="center"/>
    </xf>
    <xf numFmtId="0" fontId="49" fillId="10" borderId="22" xfId="0" applyFont="1" applyFill="1" applyBorder="1" applyAlignment="1">
      <alignment horizontal="center" vertical="center"/>
    </xf>
    <xf numFmtId="0" fontId="35" fillId="10" borderId="42" xfId="0" applyFont="1" applyFill="1" applyBorder="1" applyAlignment="1">
      <alignment horizontal="center" vertical="center" wrapText="1"/>
    </xf>
    <xf numFmtId="0" fontId="26" fillId="5" borderId="66"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1" fillId="20" borderId="73" xfId="0" applyFont="1" applyFill="1" applyBorder="1" applyAlignment="1">
      <alignment horizontal="center" vertical="center"/>
    </xf>
    <xf numFmtId="0" fontId="31" fillId="20" borderId="51" xfId="0" applyFont="1" applyFill="1" applyBorder="1" applyAlignment="1">
      <alignment horizontal="center" vertical="center"/>
    </xf>
    <xf numFmtId="0" fontId="31" fillId="20" borderId="52" xfId="0" applyFont="1" applyFill="1" applyBorder="1" applyAlignment="1">
      <alignment horizontal="center" vertic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vertical="center"/>
    </xf>
    <xf numFmtId="0" fontId="33" fillId="5" borderId="46" xfId="0" applyFont="1" applyFill="1" applyBorder="1" applyAlignment="1">
      <alignment horizontal="center" vertical="center"/>
    </xf>
    <xf numFmtId="0" fontId="33" fillId="5" borderId="24" xfId="0" applyFont="1" applyFill="1" applyBorder="1" applyAlignment="1">
      <alignment horizontal="center" vertical="center"/>
    </xf>
    <xf numFmtId="0" fontId="35" fillId="5" borderId="35" xfId="0" applyFont="1" applyFill="1" applyBorder="1" applyAlignment="1">
      <alignment horizontal="center"/>
    </xf>
    <xf numFmtId="0" fontId="35" fillId="5" borderId="47" xfId="0" applyFont="1" applyFill="1" applyBorder="1" applyAlignment="1">
      <alignment horizontal="center"/>
    </xf>
    <xf numFmtId="0" fontId="35" fillId="5" borderId="15"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46" xfId="0" applyFont="1" applyFill="1" applyBorder="1" applyAlignment="1">
      <alignment horizontal="center" wrapText="1"/>
    </xf>
    <xf numFmtId="0" fontId="35" fillId="5" borderId="24" xfId="0" applyFont="1" applyFill="1" applyBorder="1" applyAlignment="1">
      <alignment horizontal="center" wrapText="1"/>
    </xf>
    <xf numFmtId="0" fontId="35" fillId="10" borderId="0" xfId="0" applyFont="1" applyFill="1" applyAlignment="1">
      <alignment horizontal="center" vertical="center" wrapText="1"/>
    </xf>
    <xf numFmtId="0" fontId="32" fillId="5" borderId="5"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128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FF99"/>
        </patternFill>
      </fill>
    </dxf>
    <dxf>
      <fill>
        <patternFill>
          <bgColor rgb="FFFFC000"/>
        </patternFill>
      </fill>
    </dxf>
    <dxf>
      <font>
        <b/>
        <i val="0"/>
        <color theme="0"/>
      </font>
      <fill>
        <patternFill>
          <bgColor rgb="FFC00000"/>
        </patternFill>
      </fill>
    </dxf>
    <dxf>
      <font>
        <color theme="0"/>
      </font>
      <fill>
        <patternFill>
          <bgColor rgb="FFC00000"/>
        </patternFill>
      </fill>
    </dxf>
    <dxf>
      <font>
        <color theme="4" tint="-0.499984740745262"/>
      </font>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FFC000"/>
        </patternFill>
      </fill>
    </dxf>
    <dxf>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00B0F0"/>
        </patternFill>
      </fill>
    </dxf>
    <dxf>
      <fill>
        <patternFill>
          <bgColor theme="6" tint="-0.24994659260841701"/>
        </patternFill>
      </fill>
    </dxf>
    <dxf>
      <fill>
        <patternFill>
          <bgColor rgb="FFFFC000"/>
        </patternFill>
      </fill>
    </dxf>
    <dxf>
      <fill>
        <patternFill>
          <bgColor rgb="FFBEE296"/>
        </patternFill>
      </fill>
    </dxf>
    <dxf>
      <font>
        <color theme="0"/>
      </font>
      <fill>
        <patternFill>
          <bgColor rgb="FFC00000"/>
        </patternFill>
      </fill>
    </dxf>
    <dxf>
      <fill>
        <patternFill>
          <bgColor rgb="FF00B0F0"/>
        </patternFill>
      </fill>
    </dxf>
    <dxf>
      <fill>
        <patternFill>
          <bgColor rgb="FFE0DCD3"/>
        </patternFill>
      </fill>
    </dxf>
    <dxf>
      <font>
        <color theme="0"/>
      </font>
      <fill>
        <patternFill>
          <bgColor rgb="FFC00000"/>
        </patternFill>
      </fill>
    </dxf>
    <dxf>
      <fill>
        <patternFill>
          <bgColor rgb="FFFFC000"/>
        </patternFill>
      </fill>
    </dxf>
    <dxf>
      <fill>
        <patternFill>
          <bgColor theme="4" tint="0.79998168889431442"/>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rgb="FFFFFFFF"/>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E0DCD3"/>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C00000"/>
        </patternFill>
      </fill>
    </dxf>
    <dxf>
      <fill>
        <patternFill>
          <bgColor rgb="FFFFC000"/>
        </patternFill>
      </fill>
    </dxf>
    <dxf>
      <fill>
        <patternFill>
          <bgColor rgb="FFBEE296"/>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auto="1"/>
      </font>
      <fill>
        <patternFill>
          <bgColor rgb="FF92D050"/>
        </patternFill>
      </fill>
    </dxf>
    <dxf>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theme="6"/>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FFC000"/>
        </patternFill>
      </fill>
    </dxf>
    <dxf>
      <font>
        <color theme="0"/>
      </font>
      <fill>
        <patternFill>
          <bgColor rgb="FFC00000"/>
        </patternFill>
      </fill>
    </dxf>
    <dxf>
      <fill>
        <patternFill>
          <bgColor rgb="FFFFC000"/>
        </patternFill>
      </fill>
    </dxf>
    <dxf>
      <fill>
        <patternFill>
          <bgColor theme="6" tint="-0.24994659260841701"/>
        </patternFill>
      </fill>
    </dxf>
    <dxf>
      <fill>
        <patternFill>
          <bgColor theme="6"/>
        </patternFill>
      </fill>
    </dxf>
    <dxf>
      <fill>
        <patternFill>
          <bgColor rgb="FFFFC000"/>
        </patternFill>
      </fill>
    </dxf>
    <dxf>
      <fill>
        <patternFill>
          <bgColor rgb="FFBEE296"/>
        </patternFill>
      </fill>
    </dxf>
    <dxf>
      <fill>
        <patternFill>
          <bgColor rgb="FFFFC000"/>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ill>
        <patternFill>
          <bgColor rgb="FFD5D3DC"/>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00B0F0"/>
        </patternFill>
      </fill>
    </dxf>
    <dxf>
      <fill>
        <patternFill>
          <bgColor rgb="FF00B0F0"/>
        </patternFill>
      </fill>
    </dxf>
    <dxf>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E0DCD3"/>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auto="1"/>
      </font>
      <fill>
        <patternFill>
          <bgColor rgb="FFE0DCD3"/>
        </patternFill>
      </fill>
    </dxf>
    <dxf>
      <fill>
        <patternFill>
          <bgColor rgb="FFFFC000"/>
        </patternFill>
      </fill>
    </dxf>
    <dxf>
      <fill>
        <patternFill>
          <bgColor rgb="FFBEE296"/>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theme="6"/>
        </patternFill>
      </fill>
    </dxf>
    <dxf>
      <font>
        <color auto="1"/>
      </font>
      <fill>
        <patternFill>
          <bgColor theme="6" tint="-0.24994659260841701"/>
        </patternFill>
      </fill>
    </dxf>
    <dxf>
      <fill>
        <patternFill>
          <bgColor theme="6"/>
        </patternFill>
      </fill>
    </dxf>
    <dxf>
      <font>
        <color rgb="FF383745"/>
      </font>
      <fill>
        <patternFill>
          <bgColor rgb="FFFFC000"/>
        </patternFill>
      </fill>
    </dxf>
    <dxf>
      <font>
        <color rgb="FF383745"/>
      </font>
      <fill>
        <patternFill>
          <bgColor rgb="FF92D050"/>
        </patternFill>
      </fill>
    </dxf>
    <dxf>
      <font>
        <color auto="1"/>
      </font>
      <fill>
        <patternFill>
          <bgColor rgb="FFE0DCD3"/>
        </patternFill>
      </fill>
    </dxf>
    <dxf>
      <font>
        <color theme="0"/>
      </font>
      <fill>
        <patternFill>
          <bgColor rgb="FFC00000"/>
        </patternFill>
      </fill>
    </dxf>
    <dxf>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E0DCD3"/>
        </patternFill>
      </fill>
    </dxf>
    <dxf>
      <font>
        <color rgb="FFFFFFFF"/>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C00000"/>
        </patternFill>
      </fill>
    </dxf>
    <dxf>
      <font>
        <color theme="0"/>
      </font>
      <fill>
        <patternFill>
          <bgColor rgb="FFC00000"/>
        </patternFill>
      </fill>
    </dxf>
    <dxf>
      <fill>
        <patternFill>
          <bgColor rgb="FFFFC000"/>
        </patternFill>
      </fill>
    </dxf>
    <dxf>
      <fill>
        <patternFill>
          <bgColor rgb="FFE0DCD3"/>
        </patternFill>
      </fill>
    </dxf>
    <dxf>
      <font>
        <color rgb="FF383745"/>
      </font>
      <fill>
        <patternFill>
          <bgColor rgb="FFFFC000"/>
        </patternFill>
      </fill>
    </dxf>
    <dxf>
      <font>
        <color rgb="FF383745"/>
      </font>
      <fill>
        <patternFill>
          <bgColor rgb="FFFFC000"/>
        </patternFill>
      </fill>
    </dxf>
    <dxf>
      <font>
        <color rgb="FFFFFFFF"/>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ont>
        <color rgb="FF383745"/>
      </font>
      <fill>
        <patternFill>
          <bgColor rgb="FFE0DCD3"/>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theme="0"/>
      </font>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0000"/>
        </patternFill>
      </fill>
    </dxf>
    <dxf>
      <fill>
        <patternFill>
          <bgColor rgb="FFFF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auto="1"/>
      </font>
      <fill>
        <patternFill>
          <bgColor rgb="FFFFC000"/>
        </patternFill>
      </fill>
    </dxf>
    <dxf>
      <font>
        <color auto="1"/>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FFC000"/>
        </patternFill>
      </fill>
    </dxf>
    <dxf>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F0"/>
        </patternFill>
      </fill>
    </dxf>
    <dxf>
      <fill>
        <patternFill>
          <bgColor rgb="FF00B0F0"/>
        </patternFill>
      </fill>
    </dxf>
    <dxf>
      <fill>
        <patternFill>
          <bgColor rgb="FFE0DCD3"/>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auto="1"/>
      </font>
      <fill>
        <patternFill>
          <bgColor theme="6" tint="-0.24994659260841701"/>
        </patternFill>
      </fill>
    </dxf>
    <dxf>
      <font>
        <color rgb="FFFFFFFF"/>
      </font>
      <fill>
        <patternFill>
          <bgColor rgb="FFCB0000"/>
        </patternFill>
      </fill>
    </dxf>
    <dxf>
      <font>
        <color theme="0"/>
      </font>
      <fill>
        <patternFill>
          <bgColor rgb="FFCB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C00000"/>
        </patternFill>
      </fill>
    </dxf>
    <dxf>
      <font>
        <color theme="0"/>
      </font>
      <fill>
        <patternFill>
          <bgColor rgb="FFC00000"/>
        </patternFill>
      </fill>
    </dxf>
    <dxf>
      <fill>
        <patternFill>
          <bgColor rgb="FFE0DCD3"/>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auto="1"/>
      </font>
      <fill>
        <patternFill>
          <bgColor rgb="FFE0DCD3"/>
        </patternFill>
      </fill>
    </dxf>
    <dxf>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E0DCD3"/>
        </patternFill>
      </fill>
    </dxf>
    <dxf>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theme="0"/>
      </font>
      <fill>
        <patternFill>
          <bgColor rgb="FFCB0000"/>
        </patternFill>
      </fill>
    </dxf>
    <dxf>
      <font>
        <b/>
        <i val="0"/>
        <color theme="0"/>
      </font>
      <fill>
        <patternFill>
          <bgColor rgb="FFC0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0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ont>
        <color theme="0"/>
      </font>
      <fill>
        <patternFill>
          <bgColor rgb="FFC0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ill>
        <patternFill>
          <bgColor rgb="FFFFC000"/>
        </patternFill>
      </fill>
    </dxf>
    <dxf>
      <font>
        <b/>
        <i val="0"/>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92D050"/>
        </patternFill>
      </fill>
    </dxf>
    <dxf>
      <font>
        <color auto="1"/>
      </font>
      <fill>
        <patternFill>
          <bgColor rgb="FFE0DCD3"/>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00B0F0"/>
        </patternFill>
      </fill>
    </dxf>
    <dxf>
      <fill>
        <patternFill>
          <bgColor rgb="FF00B0F0"/>
        </patternFill>
      </fill>
    </dxf>
    <dxf>
      <fill>
        <patternFill>
          <bgColor rgb="FFE0DCD3"/>
        </patternFill>
      </fill>
    </dxf>
    <dxf>
      <fill>
        <patternFill>
          <bgColor rgb="FFFFC000"/>
        </patternFill>
      </fill>
    </dxf>
    <dxf>
      <fill>
        <patternFill>
          <bgColor rgb="FFFF0000"/>
        </patternFill>
      </fill>
    </dxf>
    <dxf>
      <font>
        <color rgb="FF383745"/>
      </font>
      <fill>
        <patternFill>
          <bgColor rgb="FFE0DCD3"/>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0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b val="0"/>
        <i val="0"/>
        <color theme="0"/>
      </font>
      <fill>
        <patternFill>
          <bgColor rgb="FFC00000"/>
        </patternFill>
      </fill>
    </dxf>
    <dxf>
      <fill>
        <patternFill>
          <bgColor rgb="FFFFC000"/>
        </patternFill>
      </fill>
    </dxf>
    <dxf>
      <fill>
        <patternFill>
          <bgColor rgb="FFE0DCD3"/>
        </patternFill>
      </fill>
    </dxf>
    <dxf>
      <font>
        <color rgb="FFFFFFFF"/>
      </font>
      <fill>
        <patternFill>
          <bgColor rgb="FFCB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auto="1"/>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auto="1"/>
      </font>
      <fill>
        <patternFill>
          <bgColor rgb="FFE0DCD3"/>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ill>
        <patternFill>
          <bgColor rgb="FFFFC000"/>
        </patternFill>
      </fill>
    </dxf>
    <dxf>
      <fill>
        <patternFill>
          <bgColor rgb="FFFF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FFFFFF"/>
      </font>
      <fill>
        <patternFill>
          <bgColor rgb="FFCB0000"/>
        </patternFill>
      </fill>
    </dxf>
    <dxf>
      <fill>
        <patternFill>
          <bgColor rgb="FFFFC000"/>
        </patternFill>
      </fill>
    </dxf>
    <dxf>
      <font>
        <b/>
        <i val="0"/>
        <color rgb="FFFFFFFF"/>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ont>
        <color theme="0"/>
      </font>
      <fill>
        <patternFill>
          <bgColor rgb="FFC00000"/>
        </patternFill>
      </fill>
    </dxf>
    <dxf>
      <fill>
        <patternFill>
          <bgColor rgb="FF92D05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FFC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2" tint="-0.89996032593768116"/>
      </font>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auto="1"/>
      </font>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auto="1"/>
      </font>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ont>
        <color theme="2" tint="-0.89996032593768116"/>
      </font>
      <fill>
        <patternFill>
          <bgColor rgb="FF92D050"/>
        </patternFill>
      </fill>
    </dxf>
    <dxf>
      <font>
        <color theme="0"/>
      </font>
      <fill>
        <patternFill>
          <bgColor rgb="FFC00000"/>
        </patternFill>
      </fill>
    </dxf>
    <dxf>
      <fill>
        <patternFill>
          <bgColor rgb="FF92D050"/>
        </patternFill>
      </fill>
    </dxf>
    <dxf>
      <font>
        <color theme="2" tint="-0.89996032593768116"/>
      </font>
      <fill>
        <patternFill>
          <bgColor rgb="FFFFC000"/>
        </patternFill>
      </fill>
    </dxf>
    <dxf>
      <font>
        <color theme="2" tint="-0.89996032593768116"/>
      </font>
      <fill>
        <patternFill>
          <bgColor rgb="FF92D050"/>
        </patternFill>
      </fill>
    </dxf>
    <dxf>
      <font>
        <color theme="0"/>
      </font>
      <fill>
        <patternFill>
          <bgColor rgb="FFC00000"/>
        </patternFill>
      </fill>
    </dxf>
    <dxf>
      <font>
        <color theme="2" tint="-0.89996032593768116"/>
      </font>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auto="1"/>
      </font>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color theme="0"/>
      </font>
      <fill>
        <patternFill>
          <bgColor rgb="FFC00000"/>
        </patternFill>
      </fill>
    </dxf>
    <dxf>
      <fill>
        <patternFill>
          <bgColor rgb="FFFFFF99"/>
        </patternFill>
      </fill>
    </dxf>
    <dxf>
      <font>
        <color theme="0"/>
      </font>
      <fill>
        <patternFill>
          <bgColor rgb="FFC00000"/>
        </patternFill>
      </fill>
    </dxf>
    <dxf>
      <font>
        <color theme="4" tint="-0.499984740745262"/>
      </font>
      <fill>
        <patternFill>
          <bgColor rgb="FF92D050"/>
        </patternFill>
      </fill>
    </dxf>
    <dxf>
      <fill>
        <patternFill>
          <bgColor rgb="FFFFC000"/>
        </patternFill>
      </fill>
    </dxf>
    <dxf>
      <fill>
        <patternFill>
          <bgColor rgb="FF92D050"/>
        </patternFill>
      </fill>
    </dxf>
    <dxf>
      <fill>
        <patternFill>
          <bgColor rgb="FF92D050"/>
        </patternFill>
      </fill>
    </dxf>
    <dxf>
      <font>
        <color theme="0"/>
      </font>
      <fill>
        <patternFill>
          <bgColor rgb="FFC00000"/>
        </patternFill>
      </fill>
    </dxf>
    <dxf>
      <font>
        <color theme="2" tint="-0.89996032593768116"/>
      </font>
      <fill>
        <patternFill>
          <bgColor rgb="FFFFC000"/>
        </patternFill>
      </fill>
    </dxf>
    <dxf>
      <fill>
        <patternFill>
          <bgColor rgb="FF92D050"/>
        </patternFill>
      </fill>
    </dxf>
    <dxf>
      <font>
        <color theme="0"/>
      </font>
      <fill>
        <patternFill>
          <bgColor rgb="FFC00000"/>
        </patternFill>
      </fill>
    </dxf>
    <dxf>
      <font>
        <color theme="2" tint="-0.89996032593768116"/>
      </font>
      <fill>
        <patternFill>
          <bgColor rgb="FFFFC000"/>
        </patternFill>
      </fill>
    </dxf>
    <dxf>
      <font>
        <color theme="2" tint="-0.89996032593768116"/>
      </font>
      <fill>
        <patternFill>
          <bgColor rgb="FF92D050"/>
        </patternFill>
      </fill>
    </dxf>
    <dxf>
      <font>
        <color theme="0"/>
      </font>
      <fill>
        <patternFill>
          <bgColor rgb="FFC00000"/>
        </patternFill>
      </fill>
    </dxf>
    <dxf>
      <font>
        <color theme="0"/>
      </font>
      <fill>
        <patternFill>
          <bgColor rgb="FFC00000"/>
        </patternFill>
      </fill>
    </dxf>
    <dxf>
      <font>
        <color theme="2" tint="-0.89996032593768116"/>
      </font>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auto="1"/>
      </font>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auto="1"/>
      </font>
      <fill>
        <patternFill>
          <bgColor rgb="FFFFC000"/>
        </patternFill>
      </fill>
    </dxf>
    <dxf>
      <fill>
        <patternFill>
          <bgColor rgb="FF92D050"/>
        </patternFill>
      </fill>
    </dxf>
    <dxf>
      <font>
        <color theme="2" tint="-0.89996032593768116"/>
      </font>
      <fill>
        <patternFill>
          <bgColor rgb="FFD5D3DC"/>
        </patternFill>
      </fill>
    </dxf>
    <dxf>
      <fill>
        <patternFill>
          <bgColor rgb="FF92D050"/>
        </patternFill>
      </fill>
    </dxf>
    <dxf>
      <fill>
        <patternFill>
          <bgColor rgb="FF92D050"/>
        </patternFill>
      </fill>
    </dxf>
    <dxf>
      <font>
        <color theme="0"/>
      </font>
      <fill>
        <patternFill>
          <bgColor rgb="FFC00000"/>
        </patternFill>
      </fill>
    </dxf>
    <dxf>
      <font>
        <color auto="1"/>
      </font>
      <fill>
        <patternFill>
          <bgColor rgb="FFD5D3DC"/>
        </patternFill>
      </fill>
    </dxf>
    <dxf>
      <font>
        <color auto="1"/>
      </font>
      <fill>
        <patternFill>
          <bgColor rgb="FFD5D3DC"/>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auto="1"/>
      </font>
      <fill>
        <patternFill>
          <bgColor rgb="FFD5D3DC"/>
        </patternFill>
      </fill>
    </dxf>
    <dxf>
      <font>
        <b/>
        <i val="0"/>
        <color rgb="FFFF0000"/>
      </font>
    </dxf>
    <dxf>
      <font>
        <color auto="1"/>
      </font>
      <fill>
        <patternFill>
          <bgColor rgb="FFFFC000"/>
        </patternFill>
      </fill>
    </dxf>
    <dxf>
      <font>
        <color theme="0"/>
      </font>
      <fill>
        <patternFill>
          <bgColor rgb="FFC00000"/>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rgb="FF383745"/>
      </font>
      <fill>
        <patternFill>
          <bgColor rgb="FF92D050"/>
        </patternFill>
      </fill>
    </dxf>
    <dxf>
      <font>
        <color rgb="FF383745"/>
      </font>
      <fill>
        <patternFill>
          <bgColor rgb="FF92D05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theme="0"/>
      </font>
      <fill>
        <patternFill>
          <bgColor rgb="FFC00000"/>
        </patternFill>
      </fill>
    </dxf>
    <dxf>
      <fill>
        <patternFill>
          <bgColor rgb="FFFFC000"/>
        </patternFill>
      </fill>
    </dxf>
    <dxf>
      <font>
        <b/>
        <i val="0"/>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b/>
        <i val="0"/>
        <color rgb="FFFF0000"/>
      </font>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D5D3DC"/>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D5D3DC"/>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theme="1"/>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ont>
        <color auto="1"/>
      </font>
      <fill>
        <patternFill>
          <bgColor rgb="FFFFC000"/>
        </patternFill>
      </fill>
    </dxf>
    <dxf>
      <font>
        <color auto="1"/>
      </font>
      <fill>
        <patternFill>
          <bgColor rgb="FFD5D3DC"/>
        </patternFill>
      </fill>
    </dxf>
    <dxf>
      <font>
        <color rgb="FF383745"/>
      </font>
      <fill>
        <patternFill>
          <bgColor rgb="FFFFC000"/>
        </patternFill>
      </fill>
    </dxf>
    <dxf>
      <font>
        <color auto="1"/>
      </font>
      <fill>
        <patternFill>
          <bgColor rgb="FFD5D3DC"/>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color rgb="FFFF0000"/>
      </font>
    </dxf>
    <dxf>
      <font>
        <color rgb="FF383745"/>
      </font>
      <fill>
        <patternFill>
          <bgColor rgb="FFFFC000"/>
        </patternFill>
      </fill>
    </dxf>
    <dxf>
      <font>
        <color auto="1"/>
      </font>
      <fill>
        <patternFill>
          <bgColor rgb="FFD5D3DC"/>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ont>
        <color theme="0"/>
      </font>
      <fill>
        <patternFill>
          <bgColor rgb="FFC00000"/>
        </patternFill>
      </fill>
    </dxf>
    <dxf>
      <font>
        <color theme="0"/>
      </font>
      <fill>
        <patternFill>
          <bgColor rgb="FFC00000"/>
        </patternFill>
      </fill>
    </dxf>
    <dxf>
      <font>
        <color theme="2" tint="-0.89996032593768116"/>
      </font>
      <fill>
        <patternFill>
          <bgColor rgb="FF92D050"/>
        </patternFill>
      </fill>
    </dxf>
    <dxf>
      <fill>
        <patternFill>
          <bgColor rgb="FF92D050"/>
        </patternFill>
      </fill>
    </dxf>
    <dxf>
      <font>
        <color theme="0"/>
      </font>
      <fill>
        <patternFill>
          <bgColor rgb="FFC00000"/>
        </patternFill>
      </fill>
    </dxf>
    <dxf>
      <font>
        <color rgb="FFC00000"/>
      </font>
      <fill>
        <patternFill>
          <bgColor rgb="FFC00000"/>
        </patternFill>
      </fill>
    </dxf>
    <dxf>
      <font>
        <color theme="0"/>
      </font>
      <fill>
        <patternFill>
          <bgColor rgb="FFC00000"/>
        </patternFill>
      </fill>
    </dxf>
    <dxf>
      <fill>
        <patternFill>
          <bgColor rgb="FFC00000"/>
        </patternFill>
      </fill>
    </dxf>
    <dxf>
      <fill>
        <patternFill>
          <bgColor rgb="FFC000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92D050"/>
        </patternFill>
      </fill>
    </dxf>
    <dxf>
      <font>
        <color rgb="FFFFFFFF"/>
      </font>
      <fill>
        <patternFill>
          <bgColor rgb="FFCB0000"/>
        </patternFill>
      </fill>
    </dxf>
  </dxfs>
  <tableStyles count="0" defaultTableStyle="TableStyleMedium2" defaultPivotStyle="PivotStyleLight16"/>
  <colors>
    <mruColors>
      <color rgb="FFE0DCD3"/>
      <color rgb="FFFFC000"/>
      <color rgb="FFABC3C9"/>
      <color rgb="FFFFFF99"/>
      <color rgb="FFBFBFBF"/>
      <color rgb="FF006600"/>
      <color rgb="FF663300"/>
      <color rgb="FF0033CC"/>
      <color rgb="FFCB0000"/>
      <color rgb="FFBEE2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55"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Total on-site and off-site area / length proposed for enhancement</c:v>
                </c:pt>
                <c:pt idx="2">
                  <c:v>Total on-site and off-site baseline area / length lost</c:v>
                </c:pt>
              </c:strCache>
            </c:strRef>
          </c:cat>
          <c:val>
            <c:numRef>
              <c:f>('Detailed Results'!$D$24,'Detailed Results'!$D$27,'Detailed Results'!$D$30)</c:f>
              <c:numCache>
                <c:formatCode>0.00</c:formatCode>
                <c:ptCount val="3"/>
                <c:pt idx="0">
                  <c:v>0.35830000000000001</c:v>
                </c:pt>
                <c:pt idx="1">
                  <c:v>0</c:v>
                </c:pt>
                <c:pt idx="2">
                  <c:v>1.0047999999999999</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Results'!$D$25,'Detailed Results'!$D$28,'Detailed Results'!$D$31)</c:f>
              <c:numCache>
                <c:formatCode>0.00</c:formatCode>
                <c:ptCount val="3"/>
                <c:pt idx="0">
                  <c:v>2.7744899999999997</c:v>
                </c:pt>
                <c:pt idx="1">
                  <c:v>0</c:v>
                </c:pt>
                <c:pt idx="2">
                  <c:v>3.2912999999999997</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0.46379999999999999</c:v>
                </c:pt>
                <c:pt idx="2">
                  <c:v>0</c:v>
                </c:pt>
                <c:pt idx="3">
                  <c:v>0</c:v>
                </c:pt>
                <c:pt idx="4">
                  <c:v>7.5999999999999998E-2</c:v>
                </c:pt>
                <c:pt idx="5">
                  <c:v>7.8000000000000014E-2</c:v>
                </c:pt>
                <c:pt idx="6">
                  <c:v>0</c:v>
                </c:pt>
                <c:pt idx="7">
                  <c:v>0</c:v>
                </c:pt>
                <c:pt idx="8">
                  <c:v>0</c:v>
                </c:pt>
                <c:pt idx="9">
                  <c:v>0</c:v>
                </c:pt>
                <c:pt idx="10">
                  <c:v>0</c:v>
                </c:pt>
                <c:pt idx="11">
                  <c:v>0</c:v>
                </c:pt>
                <c:pt idx="12">
                  <c:v>0</c:v>
                </c:pt>
                <c:pt idx="13">
                  <c:v>0</c:v>
                </c:pt>
                <c:pt idx="14">
                  <c:v>0.10589999999999999</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0.16689999999999999</c:v>
                </c:pt>
                <c:pt idx="2">
                  <c:v>2.98E-2</c:v>
                </c:pt>
                <c:pt idx="3">
                  <c:v>0</c:v>
                </c:pt>
                <c:pt idx="4">
                  <c:v>2.1499999999999998E-2</c:v>
                </c:pt>
                <c:pt idx="5">
                  <c:v>0.39960000000000007</c:v>
                </c:pt>
                <c:pt idx="6">
                  <c:v>0</c:v>
                </c:pt>
                <c:pt idx="7">
                  <c:v>0</c:v>
                </c:pt>
                <c:pt idx="8">
                  <c:v>0</c:v>
                </c:pt>
                <c:pt idx="9">
                  <c:v>0</c:v>
                </c:pt>
                <c:pt idx="10">
                  <c:v>0</c:v>
                </c:pt>
                <c:pt idx="11">
                  <c:v>0</c:v>
                </c:pt>
                <c:pt idx="12">
                  <c:v>0</c:v>
                </c:pt>
                <c:pt idx="13">
                  <c:v>0</c:v>
                </c:pt>
                <c:pt idx="14">
                  <c:v>0.14657361829251864</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0.25390000000000001</c:v>
                </c:pt>
                <c:pt idx="2">
                  <c:v>0</c:v>
                </c:pt>
                <c:pt idx="3">
                  <c:v>0</c:v>
                </c:pt>
                <c:pt idx="4">
                  <c:v>1.2E-2</c:v>
                </c:pt>
                <c:pt idx="5">
                  <c:v>7.7200000000000005E-2</c:v>
                </c:pt>
                <c:pt idx="6">
                  <c:v>0</c:v>
                </c:pt>
                <c:pt idx="7">
                  <c:v>0</c:v>
                </c:pt>
                <c:pt idx="8">
                  <c:v>0</c:v>
                </c:pt>
                <c:pt idx="9">
                  <c:v>0</c:v>
                </c:pt>
                <c:pt idx="10">
                  <c:v>0</c:v>
                </c:pt>
                <c:pt idx="11">
                  <c:v>0</c:v>
                </c:pt>
                <c:pt idx="12">
                  <c:v>0</c:v>
                </c:pt>
                <c:pt idx="13">
                  <c:v>0.10489999999999999</c:v>
                </c:pt>
                <c:pt idx="14">
                  <c:v>0.19139999999999999</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0.1331</c:v>
                </c:pt>
                <c:pt idx="2">
                  <c:v>0.1943</c:v>
                </c:pt>
                <c:pt idx="3">
                  <c:v>0</c:v>
                </c:pt>
                <c:pt idx="4">
                  <c:v>1.2E-2</c:v>
                </c:pt>
                <c:pt idx="5">
                  <c:v>3.7000000000000002E-3</c:v>
                </c:pt>
                <c:pt idx="6">
                  <c:v>0</c:v>
                </c:pt>
                <c:pt idx="7">
                  <c:v>0</c:v>
                </c:pt>
                <c:pt idx="8">
                  <c:v>0</c:v>
                </c:pt>
                <c:pt idx="9">
                  <c:v>0</c:v>
                </c:pt>
                <c:pt idx="10">
                  <c:v>0</c:v>
                </c:pt>
                <c:pt idx="11">
                  <c:v>0</c:v>
                </c:pt>
                <c:pt idx="12">
                  <c:v>0</c:v>
                </c:pt>
                <c:pt idx="13">
                  <c:v>0.10489999999999999</c:v>
                </c:pt>
                <c:pt idx="14">
                  <c:v>0.3054</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-0.41770000000000002</c:v>
                </c:pt>
                <c:pt idx="2">
                  <c:v>0.22409999999999999</c:v>
                </c:pt>
                <c:pt idx="3">
                  <c:v>0</c:v>
                </c:pt>
                <c:pt idx="4">
                  <c:v>-5.45E-2</c:v>
                </c:pt>
                <c:pt idx="5">
                  <c:v>0.24810000000000004</c:v>
                </c:pt>
                <c:pt idx="6">
                  <c:v>0</c:v>
                </c:pt>
                <c:pt idx="7">
                  <c:v>0</c:v>
                </c:pt>
                <c:pt idx="8">
                  <c:v>0</c:v>
                </c:pt>
                <c:pt idx="9">
                  <c:v>0</c:v>
                </c:pt>
                <c:pt idx="10">
                  <c:v>0</c:v>
                </c:pt>
                <c:pt idx="11">
                  <c:v>0</c:v>
                </c:pt>
                <c:pt idx="12">
                  <c:v>0</c:v>
                </c:pt>
                <c:pt idx="13">
                  <c:v>0</c:v>
                </c:pt>
                <c:pt idx="14">
                  <c:v>0.15467361829251866</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1.4588899999999998</c:v>
                </c:pt>
                <c:pt idx="2">
                  <c:v>0</c:v>
                </c:pt>
                <c:pt idx="3">
                  <c:v>0</c:v>
                </c:pt>
                <c:pt idx="4">
                  <c:v>0.17479999999999998</c:v>
                </c:pt>
                <c:pt idx="5">
                  <c:v>7.6359999999999997E-2</c:v>
                </c:pt>
                <c:pt idx="6">
                  <c:v>0</c:v>
                </c:pt>
                <c:pt idx="7">
                  <c:v>0</c:v>
                </c:pt>
                <c:pt idx="8">
                  <c:v>0</c:v>
                </c:pt>
                <c:pt idx="9">
                  <c:v>0</c:v>
                </c:pt>
                <c:pt idx="10">
                  <c:v>0</c:v>
                </c:pt>
                <c:pt idx="11">
                  <c:v>0</c:v>
                </c:pt>
                <c:pt idx="12">
                  <c:v>0</c:v>
                </c:pt>
                <c:pt idx="13">
                  <c:v>0</c:v>
                </c:pt>
                <c:pt idx="14">
                  <c:v>0.97427999999999981</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0.65982627699999996</c:v>
                </c:pt>
                <c:pt idx="2">
                  <c:v>0.13228219999999999</c:v>
                </c:pt>
                <c:pt idx="3">
                  <c:v>0</c:v>
                </c:pt>
                <c:pt idx="4">
                  <c:v>4.9449999999999994E-2</c:v>
                </c:pt>
                <c:pt idx="5">
                  <c:v>0.19772405762249998</c:v>
                </c:pt>
                <c:pt idx="6">
                  <c:v>0</c:v>
                </c:pt>
                <c:pt idx="7">
                  <c:v>0</c:v>
                </c:pt>
                <c:pt idx="8">
                  <c:v>0</c:v>
                </c:pt>
                <c:pt idx="9">
                  <c:v>0</c:v>
                </c:pt>
                <c:pt idx="10">
                  <c:v>0</c:v>
                </c:pt>
                <c:pt idx="11">
                  <c:v>0</c:v>
                </c:pt>
                <c:pt idx="12">
                  <c:v>0</c:v>
                </c:pt>
                <c:pt idx="13">
                  <c:v>0</c:v>
                </c:pt>
                <c:pt idx="14">
                  <c:v>0.66141036492817529</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0.75991999999999993</c:v>
                </c:pt>
                <c:pt idx="2">
                  <c:v>0</c:v>
                </c:pt>
                <c:pt idx="3">
                  <c:v>0</c:v>
                </c:pt>
                <c:pt idx="4">
                  <c:v>2.76E-2</c:v>
                </c:pt>
                <c:pt idx="5">
                  <c:v>0.17756</c:v>
                </c:pt>
                <c:pt idx="6">
                  <c:v>0</c:v>
                </c:pt>
                <c:pt idx="7">
                  <c:v>0</c:v>
                </c:pt>
                <c:pt idx="8">
                  <c:v>0</c:v>
                </c:pt>
                <c:pt idx="9">
                  <c:v>0</c:v>
                </c:pt>
                <c:pt idx="10">
                  <c:v>0</c:v>
                </c:pt>
                <c:pt idx="11">
                  <c:v>0</c:v>
                </c:pt>
                <c:pt idx="12">
                  <c:v>0</c:v>
                </c:pt>
                <c:pt idx="13">
                  <c:v>0</c:v>
                </c:pt>
                <c:pt idx="14">
                  <c:v>2.4163799999999998</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1.2862644756050756</c:v>
                </c:pt>
                <c:pt idx="2">
                  <c:v>1.0998160430737105</c:v>
                </c:pt>
                <c:pt idx="3">
                  <c:v>0</c:v>
                </c:pt>
                <c:pt idx="4">
                  <c:v>2.76E-2</c:v>
                </c:pt>
                <c:pt idx="5">
                  <c:v>1.1004280999999999E-2</c:v>
                </c:pt>
                <c:pt idx="6">
                  <c:v>0</c:v>
                </c:pt>
                <c:pt idx="7">
                  <c:v>0</c:v>
                </c:pt>
                <c:pt idx="8">
                  <c:v>0</c:v>
                </c:pt>
                <c:pt idx="9">
                  <c:v>0</c:v>
                </c:pt>
                <c:pt idx="10">
                  <c:v>0</c:v>
                </c:pt>
                <c:pt idx="11">
                  <c:v>0</c:v>
                </c:pt>
                <c:pt idx="12">
                  <c:v>0</c:v>
                </c:pt>
                <c:pt idx="13">
                  <c:v>0</c:v>
                </c:pt>
                <c:pt idx="14">
                  <c:v>2.7836080245904795</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-0.27271924739492415</c:v>
                </c:pt>
                <c:pt idx="2">
                  <c:v>1.2320982430737104</c:v>
                </c:pt>
                <c:pt idx="3">
                  <c:v>0</c:v>
                </c:pt>
                <c:pt idx="4">
                  <c:v>-0.12534999999999999</c:v>
                </c:pt>
                <c:pt idx="5">
                  <c:v>-4.5191661377500011E-2</c:v>
                </c:pt>
                <c:pt idx="6">
                  <c:v>0</c:v>
                </c:pt>
                <c:pt idx="7">
                  <c:v>0</c:v>
                </c:pt>
                <c:pt idx="8">
                  <c:v>0</c:v>
                </c:pt>
                <c:pt idx="9">
                  <c:v>0</c:v>
                </c:pt>
                <c:pt idx="10">
                  <c:v>0</c:v>
                </c:pt>
                <c:pt idx="11">
                  <c:v>0</c:v>
                </c:pt>
                <c:pt idx="12">
                  <c:v>0</c:v>
                </c:pt>
                <c:pt idx="13">
                  <c:v>0</c:v>
                </c:pt>
                <c:pt idx="14">
                  <c:v>5.4358389518655237E-2</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0.32440000000000002</c:v>
                </c:pt>
                <c:pt idx="3">
                  <c:v>0.63559999999999994</c:v>
                </c:pt>
                <c:pt idx="4">
                  <c:v>4.48E-2</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c:v>
                </c:pt>
                <c:pt idx="4">
                  <c:v>1.2999999999999999E-2</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Total on-site and off-site 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0.11</c:v>
                </c:pt>
                <c:pt idx="2">
                  <c:v>1.2999999999999999E-2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hedge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0.22</c:v>
                </c:pt>
                <c:pt idx="2">
                  <c:v>1.2999999999999999E-2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0</c:v>
                </c:pt>
                <c:pt idx="8">
                  <c:v>0</c:v>
                </c:pt>
                <c:pt idx="9">
                  <c:v>0.22</c:v>
                </c:pt>
                <c:pt idx="10">
                  <c:v>0</c:v>
                </c:pt>
                <c:pt idx="11">
                  <c:v>0</c:v>
                </c:pt>
                <c:pt idx="12">
                  <c:v>1.2999999999999999E-2</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0</c:v>
                </c:pt>
                <c:pt idx="5">
                  <c:v>0</c:v>
                </c:pt>
                <c:pt idx="6">
                  <c:v>0</c:v>
                </c:pt>
                <c:pt idx="7">
                  <c:v>0</c:v>
                </c:pt>
                <c:pt idx="8">
                  <c:v>0</c:v>
                </c:pt>
                <c:pt idx="9">
                  <c:v>0.48035392762499995</c:v>
                </c:pt>
                <c:pt idx="10">
                  <c:v>0</c:v>
                </c:pt>
                <c:pt idx="11">
                  <c:v>0</c:v>
                </c:pt>
                <c:pt idx="12">
                  <c:v>4.1060749999999993E-2</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c:v>
                </c:pt>
                <c:pt idx="5">
                  <c:v>0</c:v>
                </c:pt>
                <c:pt idx="6">
                  <c:v>0</c:v>
                </c:pt>
                <c:pt idx="7">
                  <c:v>0</c:v>
                </c:pt>
                <c:pt idx="8">
                  <c:v>0</c:v>
                </c:pt>
                <c:pt idx="9">
                  <c:v>0.26035392762499998</c:v>
                </c:pt>
                <c:pt idx="10">
                  <c:v>0</c:v>
                </c:pt>
                <c:pt idx="11">
                  <c:v>0</c:v>
                </c:pt>
                <c:pt idx="12">
                  <c:v>2.8060749999999995E-2</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0</c:v>
                </c:pt>
                <c:pt idx="8">
                  <c:v>0</c:v>
                </c:pt>
                <c:pt idx="9">
                  <c:v>0.11</c:v>
                </c:pt>
                <c:pt idx="10">
                  <c:v>0</c:v>
                </c:pt>
                <c:pt idx="11">
                  <c:v>0</c:v>
                </c:pt>
                <c:pt idx="12">
                  <c:v>1.2999999999999999E-2</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0</c:v>
                </c:pt>
                <c:pt idx="5">
                  <c:v>0</c:v>
                </c:pt>
                <c:pt idx="6">
                  <c:v>0</c:v>
                </c:pt>
                <c:pt idx="7">
                  <c:v>0</c:v>
                </c:pt>
                <c:pt idx="8">
                  <c:v>0</c:v>
                </c:pt>
                <c:pt idx="9">
                  <c:v>0.11</c:v>
                </c:pt>
                <c:pt idx="10">
                  <c:v>0</c:v>
                </c:pt>
                <c:pt idx="11">
                  <c:v>0</c:v>
                </c:pt>
                <c:pt idx="12">
                  <c:v>3.6999999999999998E-2</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2.4E-2</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Total on-site and off-site 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0.14899999999999999</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1.598868</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1.598868</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1.8646560000000001</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0.26578800000000014</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0.14899999999999999</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0.14899999999999999</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47623</xdr:colOff>
      <xdr:row>4</xdr:row>
      <xdr:rowOff>15875</xdr:rowOff>
    </xdr:from>
    <xdr:to>
      <xdr:col>9</xdr:col>
      <xdr:colOff>1047748</xdr:colOff>
      <xdr:row>16</xdr:row>
      <xdr:rowOff>182879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3" y="1039813"/>
          <a:ext cx="6596063" cy="27387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Statutory Biodiversity Metric</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editAs="oneCell">
    <xdr:from>
      <xdr:col>9</xdr:col>
      <xdr:colOff>1106964</xdr:colOff>
      <xdr:row>0</xdr:row>
      <xdr:rowOff>66674</xdr:rowOff>
    </xdr:from>
    <xdr:to>
      <xdr:col>15</xdr:col>
      <xdr:colOff>393427</xdr:colOff>
      <xdr:row>23</xdr:row>
      <xdr:rowOff>104775</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2902" y="66674"/>
          <a:ext cx="5923800" cy="5133976"/>
        </a:xfrm>
        <a:prstGeom prst="rect">
          <a:avLst/>
        </a:prstGeom>
        <a:noFill/>
        <a:ln>
          <a:noFill/>
        </a:ln>
      </xdr:spPr>
    </xdr:pic>
    <xdr:clientData/>
  </xdr:twoCellAnchor>
  <xdr:twoCellAnchor>
    <xdr:from>
      <xdr:col>2</xdr:col>
      <xdr:colOff>126999</xdr:colOff>
      <xdr:row>11</xdr:row>
      <xdr:rowOff>31749</xdr:rowOff>
    </xdr:from>
    <xdr:to>
      <xdr:col>8</xdr:col>
      <xdr:colOff>357188</xdr:colOff>
      <xdr:row>14</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341437" y="2555874"/>
          <a:ext cx="3718720" cy="801689"/>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9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rPr>
            <a:t>Version 1.0.3</a:t>
          </a:r>
        </a:p>
      </xdr:txBody>
    </xdr:sp>
    <xdr:clientData/>
  </xdr:twoCellAnchor>
  <xdr:twoCellAnchor>
    <xdr:from>
      <xdr:col>4</xdr:col>
      <xdr:colOff>94457</xdr:colOff>
      <xdr:row>12</xdr:row>
      <xdr:rowOff>103795</xdr:rowOff>
    </xdr:from>
    <xdr:to>
      <xdr:col>6</xdr:col>
      <xdr:colOff>576048</xdr:colOff>
      <xdr:row>14</xdr:row>
      <xdr:rowOff>104371</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2380457" y="2842233"/>
          <a:ext cx="1696029" cy="4292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xdr:from>
      <xdr:col>20</xdr:col>
      <xdr:colOff>0</xdr:colOff>
      <xdr:row>7</xdr:row>
      <xdr:rowOff>0</xdr:rowOff>
    </xdr:from>
    <xdr:to>
      <xdr:col>22</xdr:col>
      <xdr:colOff>29369</xdr:colOff>
      <xdr:row>9</xdr:row>
      <xdr:rowOff>81756</xdr:rowOff>
    </xdr:to>
    <xdr:sp macro="[0]!Protectall" textlink="">
      <xdr:nvSpPr>
        <xdr:cNvPr id="3" name="Rectangle: Rounded Corners 2" descr="Protect all&#10;">
          <a:extLst>
            <a:ext uri="{FF2B5EF4-FFF2-40B4-BE49-F238E27FC236}">
              <a16:creationId xmlns:a16="http://schemas.microsoft.com/office/drawing/2014/main" id="{00000000-0008-0000-0000-000003000000}"/>
            </a:ext>
          </a:extLst>
        </xdr:cNvPr>
        <xdr:cNvSpPr/>
      </xdr:nvSpPr>
      <xdr:spPr>
        <a:xfrm>
          <a:off x="15462250" y="1619250"/>
          <a:ext cx="1315244" cy="49450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rPr>
            <a:t>Protect all</a:t>
          </a:r>
        </a:p>
        <a:p>
          <a:pPr algn="ctr"/>
          <a:endParaRPr lang="en-GB" sz="11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Statutory Biodiversity Metric </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137974</xdr:colOff>
      <xdr:row>14</xdr:row>
      <xdr:rowOff>125458</xdr:rowOff>
    </xdr:from>
    <xdr:to>
      <xdr:col>4</xdr:col>
      <xdr:colOff>364065</xdr:colOff>
      <xdr:row>39</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14</xdr:row>
      <xdr:rowOff>67733</xdr:rowOff>
    </xdr:from>
    <xdr:to>
      <xdr:col>12</xdr:col>
      <xdr:colOff>536637</xdr:colOff>
      <xdr:row>39</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19</xdr:row>
      <xdr:rowOff>151039</xdr:rowOff>
    </xdr:from>
    <xdr:to>
      <xdr:col>4</xdr:col>
      <xdr:colOff>185057</xdr:colOff>
      <xdr:row>26</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19</xdr:row>
      <xdr:rowOff>143933</xdr:rowOff>
    </xdr:from>
    <xdr:to>
      <xdr:col>8</xdr:col>
      <xdr:colOff>194733</xdr:colOff>
      <xdr:row>25</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19</xdr:row>
      <xdr:rowOff>159354</xdr:rowOff>
    </xdr:from>
    <xdr:to>
      <xdr:col>11</xdr:col>
      <xdr:colOff>499534</xdr:colOff>
      <xdr:row>26</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14</xdr:row>
      <xdr:rowOff>50800</xdr:rowOff>
    </xdr:from>
    <xdr:to>
      <xdr:col>21</xdr:col>
      <xdr:colOff>400050</xdr:colOff>
      <xdr:row>40</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19</xdr:row>
      <xdr:rowOff>152400</xdr:rowOff>
    </xdr:from>
    <xdr:to>
      <xdr:col>17</xdr:col>
      <xdr:colOff>441960</xdr:colOff>
      <xdr:row>26</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807356</xdr:colOff>
      <xdr:row>19</xdr:row>
      <xdr:rowOff>160655</xdr:rowOff>
    </xdr:from>
    <xdr:to>
      <xdr:col>21</xdr:col>
      <xdr:colOff>23812</xdr:colOff>
      <xdr:row>26</xdr:row>
      <xdr:rowOff>88265</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2523106" y="4625499"/>
          <a:ext cx="2216831" cy="1427797"/>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27</xdr:row>
      <xdr:rowOff>88853</xdr:rowOff>
    </xdr:from>
    <xdr:to>
      <xdr:col>11</xdr:col>
      <xdr:colOff>499533</xdr:colOff>
      <xdr:row>34</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27</xdr:row>
      <xdr:rowOff>87795</xdr:rowOff>
    </xdr:from>
    <xdr:to>
      <xdr:col>8</xdr:col>
      <xdr:colOff>135467</xdr:colOff>
      <xdr:row>34</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36</xdr:row>
      <xdr:rowOff>61215</xdr:rowOff>
    </xdr:from>
    <xdr:to>
      <xdr:col>11</xdr:col>
      <xdr:colOff>541865</xdr:colOff>
      <xdr:row>39</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36</xdr:row>
      <xdr:rowOff>59267</xdr:rowOff>
    </xdr:from>
    <xdr:to>
      <xdr:col>8</xdr:col>
      <xdr:colOff>152400</xdr:colOff>
      <xdr:row>39</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27</xdr:row>
      <xdr:rowOff>175666</xdr:rowOff>
    </xdr:from>
    <xdr:to>
      <xdr:col>21</xdr:col>
      <xdr:colOff>0</xdr:colOff>
      <xdr:row>34</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27</xdr:row>
      <xdr:rowOff>123414</xdr:rowOff>
    </xdr:from>
    <xdr:to>
      <xdr:col>17</xdr:col>
      <xdr:colOff>426720</xdr:colOff>
      <xdr:row>34</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36</xdr:row>
      <xdr:rowOff>13063</xdr:rowOff>
    </xdr:from>
    <xdr:to>
      <xdr:col>21</xdr:col>
      <xdr:colOff>38099</xdr:colOff>
      <xdr:row>39</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36</xdr:row>
      <xdr:rowOff>23676</xdr:rowOff>
    </xdr:from>
    <xdr:to>
      <xdr:col>17</xdr:col>
      <xdr:colOff>464820</xdr:colOff>
      <xdr:row>39</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27</xdr:row>
      <xdr:rowOff>9675</xdr:rowOff>
    </xdr:from>
    <xdr:to>
      <xdr:col>4</xdr:col>
      <xdr:colOff>186266</xdr:colOff>
      <xdr:row>34</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36</xdr:row>
      <xdr:rowOff>10429</xdr:rowOff>
    </xdr:from>
    <xdr:to>
      <xdr:col>4</xdr:col>
      <xdr:colOff>186267</xdr:colOff>
      <xdr:row>39</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14</xdr:row>
      <xdr:rowOff>44903</xdr:rowOff>
    </xdr:from>
    <xdr:to>
      <xdr:col>15</xdr:col>
      <xdr:colOff>956733</xdr:colOff>
      <xdr:row>40</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36</xdr:row>
      <xdr:rowOff>112423</xdr:rowOff>
    </xdr:from>
    <xdr:to>
      <xdr:col>15</xdr:col>
      <xdr:colOff>863600</xdr:colOff>
      <xdr:row>39</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27</xdr:row>
      <xdr:rowOff>76200</xdr:rowOff>
    </xdr:from>
    <xdr:to>
      <xdr:col>15</xdr:col>
      <xdr:colOff>863599</xdr:colOff>
      <xdr:row>34</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19</xdr:row>
      <xdr:rowOff>142875</xdr:rowOff>
    </xdr:from>
    <xdr:to>
      <xdr:col>15</xdr:col>
      <xdr:colOff>872066</xdr:colOff>
      <xdr:row>26</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10</xdr:row>
      <xdr:rowOff>133350</xdr:rowOff>
    </xdr:from>
    <xdr:to>
      <xdr:col>3</xdr:col>
      <xdr:colOff>1172634</xdr:colOff>
      <xdr:row>11</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11</xdr:row>
      <xdr:rowOff>142875</xdr:rowOff>
    </xdr:from>
    <xdr:to>
      <xdr:col>3</xdr:col>
      <xdr:colOff>1025525</xdr:colOff>
      <xdr:row>13</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11</xdr:row>
      <xdr:rowOff>15875</xdr:rowOff>
    </xdr:from>
    <xdr:to>
      <xdr:col>9</xdr:col>
      <xdr:colOff>155575</xdr:colOff>
      <xdr:row>13</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11</xdr:row>
      <xdr:rowOff>24946</xdr:rowOff>
    </xdr:from>
    <xdr:to>
      <xdr:col>15</xdr:col>
      <xdr:colOff>177346</xdr:colOff>
      <xdr:row>13</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11</xdr:row>
      <xdr:rowOff>2267</xdr:rowOff>
    </xdr:from>
    <xdr:to>
      <xdr:col>17</xdr:col>
      <xdr:colOff>863599</xdr:colOff>
      <xdr:row>13</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11</xdr:row>
      <xdr:rowOff>89353</xdr:rowOff>
    </xdr:from>
    <xdr:to>
      <xdr:col>5</xdr:col>
      <xdr:colOff>540657</xdr:colOff>
      <xdr:row>12</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103323</xdr:colOff>
      <xdr:row>6</xdr:row>
      <xdr:rowOff>167604</xdr:rowOff>
    </xdr:from>
    <xdr:to>
      <xdr:col>8</xdr:col>
      <xdr:colOff>301262</xdr:colOff>
      <xdr:row>9</xdr:row>
      <xdr:rowOff>154684</xdr:rowOff>
    </xdr:to>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3163229" y="1655885"/>
          <a:ext cx="1483814" cy="65383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clientData/>
  </xdr:twoCellAnchor>
  <xdr:twoCellAnchor>
    <xdr:from>
      <xdr:col>15</xdr:col>
      <xdr:colOff>268782</xdr:colOff>
      <xdr:row>6</xdr:row>
      <xdr:rowOff>152282</xdr:rowOff>
    </xdr:from>
    <xdr:to>
      <xdr:col>15</xdr:col>
      <xdr:colOff>1744799</xdr:colOff>
      <xdr:row>9</xdr:row>
      <xdr:rowOff>139362</xdr:rowOff>
    </xdr:to>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924626" y="1640563"/>
          <a:ext cx="1476017" cy="65383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10</xdr:col>
      <xdr:colOff>596994</xdr:colOff>
      <xdr:row>6</xdr:row>
      <xdr:rowOff>191198</xdr:rowOff>
    </xdr:from>
    <xdr:to>
      <xdr:col>12</xdr:col>
      <xdr:colOff>773565</xdr:colOff>
      <xdr:row>9</xdr:row>
      <xdr:rowOff>171928</xdr:rowOff>
    </xdr:to>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073869" y="1679479"/>
          <a:ext cx="1462446" cy="6474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clientData/>
  </xdr:twoCellAnchor>
  <xdr:twoCellAnchor>
    <xdr:from>
      <xdr:col>11</xdr:col>
      <xdr:colOff>158750</xdr:colOff>
      <xdr:row>11</xdr:row>
      <xdr:rowOff>85725</xdr:rowOff>
    </xdr:from>
    <xdr:to>
      <xdr:col>12</xdr:col>
      <xdr:colOff>368300</xdr:colOff>
      <xdr:row>12</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11</xdr:row>
      <xdr:rowOff>114300</xdr:rowOff>
    </xdr:from>
    <xdr:to>
      <xdr:col>15</xdr:col>
      <xdr:colOff>1971675</xdr:colOff>
      <xdr:row>13</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Statutory Biodiversity Metric </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23</xdr:row>
      <xdr:rowOff>36739</xdr:rowOff>
    </xdr:from>
    <xdr:to>
      <xdr:col>3</xdr:col>
      <xdr:colOff>1006475</xdr:colOff>
      <xdr:row>25</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22</xdr:row>
      <xdr:rowOff>156633</xdr:rowOff>
    </xdr:from>
    <xdr:to>
      <xdr:col>7</xdr:col>
      <xdr:colOff>189894</xdr:colOff>
      <xdr:row>24</xdr:row>
      <xdr:rowOff>172599</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23</xdr:row>
      <xdr:rowOff>64104</xdr:rowOff>
    </xdr:from>
    <xdr:to>
      <xdr:col>10</xdr:col>
      <xdr:colOff>441294</xdr:colOff>
      <xdr:row>25</xdr:row>
      <xdr:rowOff>59115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23</xdr:row>
      <xdr:rowOff>73025</xdr:rowOff>
    </xdr:from>
    <xdr:to>
      <xdr:col>15</xdr:col>
      <xdr:colOff>130627</xdr:colOff>
      <xdr:row>25</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23</xdr:row>
      <xdr:rowOff>66992</xdr:rowOff>
    </xdr:from>
    <xdr:to>
      <xdr:col>16</xdr:col>
      <xdr:colOff>686314</xdr:colOff>
      <xdr:row>25</xdr:row>
      <xdr:rowOff>59463</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23</xdr:row>
      <xdr:rowOff>73342</xdr:rowOff>
    </xdr:from>
    <xdr:to>
      <xdr:col>19</xdr:col>
      <xdr:colOff>593602</xdr:colOff>
      <xdr:row>25</xdr:row>
      <xdr:rowOff>74703</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32</xdr:row>
      <xdr:rowOff>16025</xdr:rowOff>
    </xdr:from>
    <xdr:to>
      <xdr:col>3</xdr:col>
      <xdr:colOff>1022501</xdr:colOff>
      <xdr:row>32</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31</xdr:row>
      <xdr:rowOff>183045</xdr:rowOff>
    </xdr:from>
    <xdr:to>
      <xdr:col>7</xdr:col>
      <xdr:colOff>217412</xdr:colOff>
      <xdr:row>32</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31</xdr:row>
      <xdr:rowOff>177753</xdr:rowOff>
    </xdr:from>
    <xdr:to>
      <xdr:col>10</xdr:col>
      <xdr:colOff>514137</xdr:colOff>
      <xdr:row>32</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32</xdr:row>
      <xdr:rowOff>6350</xdr:rowOff>
    </xdr:from>
    <xdr:to>
      <xdr:col>15</xdr:col>
      <xdr:colOff>170392</xdr:colOff>
      <xdr:row>32</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31</xdr:row>
      <xdr:rowOff>180564</xdr:rowOff>
    </xdr:from>
    <xdr:to>
      <xdr:col>16</xdr:col>
      <xdr:colOff>779599</xdr:colOff>
      <xdr:row>32</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31</xdr:row>
      <xdr:rowOff>169316</xdr:rowOff>
    </xdr:from>
    <xdr:to>
      <xdr:col>19</xdr:col>
      <xdr:colOff>724987</xdr:colOff>
      <xdr:row>32</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39</xdr:row>
      <xdr:rowOff>272366</xdr:rowOff>
    </xdr:from>
    <xdr:to>
      <xdr:col>3</xdr:col>
      <xdr:colOff>931227</xdr:colOff>
      <xdr:row>39</xdr:row>
      <xdr:rowOff>590232</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39</xdr:row>
      <xdr:rowOff>262467</xdr:rowOff>
    </xdr:from>
    <xdr:to>
      <xdr:col>7</xdr:col>
      <xdr:colOff>95580</xdr:colOff>
      <xdr:row>39</xdr:row>
      <xdr:rowOff>587953</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39</xdr:row>
      <xdr:rowOff>304102</xdr:rowOff>
    </xdr:from>
    <xdr:to>
      <xdr:col>10</xdr:col>
      <xdr:colOff>403220</xdr:colOff>
      <xdr:row>39</xdr:row>
      <xdr:rowOff>630858</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39</xdr:row>
      <xdr:rowOff>315623</xdr:rowOff>
    </xdr:from>
    <xdr:to>
      <xdr:col>15</xdr:col>
      <xdr:colOff>55270</xdr:colOff>
      <xdr:row>39</xdr:row>
      <xdr:rowOff>627774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39</xdr:row>
      <xdr:rowOff>304346</xdr:rowOff>
    </xdr:from>
    <xdr:to>
      <xdr:col>16</xdr:col>
      <xdr:colOff>551044</xdr:colOff>
      <xdr:row>39</xdr:row>
      <xdr:rowOff>631102</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39</xdr:row>
      <xdr:rowOff>309925</xdr:rowOff>
    </xdr:from>
    <xdr:to>
      <xdr:col>19</xdr:col>
      <xdr:colOff>609145</xdr:colOff>
      <xdr:row>39</xdr:row>
      <xdr:rowOff>627791</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10</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80964</xdr:colOff>
      <xdr:row>3</xdr:row>
      <xdr:rowOff>435768</xdr:rowOff>
    </xdr:from>
    <xdr:to>
      <xdr:col>3</xdr:col>
      <xdr:colOff>547688</xdr:colOff>
      <xdr:row>6</xdr:row>
      <xdr:rowOff>2381</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45308" y="1042987"/>
          <a:ext cx="466724" cy="447675"/>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159545</xdr:colOff>
      <xdr:row>4</xdr:row>
      <xdr:rowOff>164306</xdr:rowOff>
    </xdr:from>
    <xdr:to>
      <xdr:col>3</xdr:col>
      <xdr:colOff>473870</xdr:colOff>
      <xdr:row>5</xdr:row>
      <xdr:rowOff>7143</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3889" y="1223962"/>
          <a:ext cx="314325" cy="571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474345</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85725</xdr:colOff>
      <xdr:row>6</xdr:row>
      <xdr:rowOff>104775</xdr:rowOff>
    </xdr:from>
    <xdr:to>
      <xdr:col>3</xdr:col>
      <xdr:colOff>561975</xdr:colOff>
      <xdr:row>8</xdr:row>
      <xdr:rowOff>119062</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50069" y="1593056"/>
          <a:ext cx="476250" cy="454819"/>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479605</xdr:colOff>
      <xdr:row>8</xdr:row>
      <xdr:rowOff>21321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412751</xdr:colOff>
      <xdr:row>9</xdr:row>
      <xdr:rowOff>314324</xdr:rowOff>
    </xdr:from>
    <xdr:to>
      <xdr:col>8</xdr:col>
      <xdr:colOff>293689</xdr:colOff>
      <xdr:row>14</xdr:row>
      <xdr:rowOff>158750</xdr:rowOff>
    </xdr:to>
    <xdr:sp macro="[0]!ActivateHeadlineResults" textlink="">
      <xdr:nvSpPr>
        <xdr:cNvPr id="6" name="TextBox 5">
          <a:extLst>
            <a:ext uri="{FF2B5EF4-FFF2-40B4-BE49-F238E27FC236}">
              <a16:creationId xmlns:a16="http://schemas.microsoft.com/office/drawing/2014/main" id="{00000000-0008-0000-0600-000006000000}"/>
            </a:ext>
          </a:extLst>
        </xdr:cNvPr>
        <xdr:cNvSpPr txBox="1"/>
      </xdr:nvSpPr>
      <xdr:spPr>
        <a:xfrm>
          <a:off x="2817814" y="2147887"/>
          <a:ext cx="1809750" cy="1050926"/>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9</xdr:col>
      <xdr:colOff>123296</xdr:colOff>
      <xdr:row>9</xdr:row>
      <xdr:rowOff>279399</xdr:rowOff>
    </xdr:from>
    <xdr:to>
      <xdr:col>11</xdr:col>
      <xdr:colOff>601421</xdr:colOff>
      <xdr:row>14</xdr:row>
      <xdr:rowOff>188899</xdr:rowOff>
    </xdr:to>
    <xdr:sp macro="[0]!ActivateDetailedResults" textlink="">
      <xdr:nvSpPr>
        <xdr:cNvPr id="9" name="Rounded Rectangle 8">
          <a:extLst>
            <a:ext uri="{FF2B5EF4-FFF2-40B4-BE49-F238E27FC236}">
              <a16:creationId xmlns:a16="http://schemas.microsoft.com/office/drawing/2014/main" id="{00000000-0008-0000-0600-000009000000}"/>
            </a:ext>
          </a:extLst>
        </xdr:cNvPr>
        <xdr:cNvSpPr/>
      </xdr:nvSpPr>
      <xdr:spPr>
        <a:xfrm>
          <a:off x="4949296" y="2112962"/>
          <a:ext cx="1764000" cy="1116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308504</xdr:colOff>
      <xdr:row>9</xdr:row>
      <xdr:rowOff>285750</xdr:rowOff>
    </xdr:from>
    <xdr:to>
      <xdr:col>15</xdr:col>
      <xdr:colOff>183379</xdr:colOff>
      <xdr:row>14</xdr:row>
      <xdr:rowOff>195250</xdr:rowOff>
    </xdr:to>
    <xdr:sp macro="[0]!ActivateTradingSummary" textlink="">
      <xdr:nvSpPr>
        <xdr:cNvPr id="17" name="Rounded Rectangle 16">
          <a:extLst>
            <a:ext uri="{FF2B5EF4-FFF2-40B4-BE49-F238E27FC236}">
              <a16:creationId xmlns:a16="http://schemas.microsoft.com/office/drawing/2014/main" id="{00000000-0008-0000-0600-000011000000}"/>
            </a:ext>
          </a:extLst>
        </xdr:cNvPr>
        <xdr:cNvSpPr/>
      </xdr:nvSpPr>
      <xdr:spPr>
        <a:xfrm>
          <a:off x="7063317" y="2119313"/>
          <a:ext cx="1764000" cy="1116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3</xdr:col>
      <xdr:colOff>299508</xdr:colOff>
      <xdr:row>9</xdr:row>
      <xdr:rowOff>301625</xdr:rowOff>
    </xdr:from>
    <xdr:to>
      <xdr:col>5</xdr:col>
      <xdr:colOff>110883</xdr:colOff>
      <xdr:row>15</xdr:row>
      <xdr:rowOff>4750</xdr:rowOff>
    </xdr:to>
    <xdr:sp macro="[0]!Activatestart" textlink="">
      <xdr:nvSpPr>
        <xdr:cNvPr id="11" name="TextBox 10">
          <a:extLst>
            <a:ext uri="{FF2B5EF4-FFF2-40B4-BE49-F238E27FC236}">
              <a16:creationId xmlns:a16="http://schemas.microsoft.com/office/drawing/2014/main" id="{00000000-0008-0000-0600-00000B000000}"/>
            </a:ext>
          </a:extLst>
        </xdr:cNvPr>
        <xdr:cNvSpPr txBox="1"/>
      </xdr:nvSpPr>
      <xdr:spPr>
        <a:xfrm>
          <a:off x="751946" y="2135188"/>
          <a:ext cx="1764000" cy="1116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272256</xdr:colOff>
      <xdr:row>1</xdr:row>
      <xdr:rowOff>153194</xdr:rowOff>
    </xdr:from>
    <xdr:to>
      <xdr:col>16</xdr:col>
      <xdr:colOff>206375</xdr:colOff>
      <xdr:row>8</xdr:row>
      <xdr:rowOff>189706</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724694" y="351632"/>
          <a:ext cx="10538619" cy="1465262"/>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Statutory Biodiversity Metric </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5</xdr:col>
      <xdr:colOff>448733</xdr:colOff>
      <xdr:row>16</xdr:row>
      <xdr:rowOff>109537</xdr:rowOff>
    </xdr:from>
    <xdr:to>
      <xdr:col>8</xdr:col>
      <xdr:colOff>283921</xdr:colOff>
      <xdr:row>21</xdr:row>
      <xdr:rowOff>193662</xdr:rowOff>
    </xdr:to>
    <xdr:sp macro="[0]!ActivateSelectOffsitesummary" textlink="">
      <xdr:nvSpPr>
        <xdr:cNvPr id="7" name="TextBox 6">
          <a:extLst>
            <a:ext uri="{FF2B5EF4-FFF2-40B4-BE49-F238E27FC236}">
              <a16:creationId xmlns:a16="http://schemas.microsoft.com/office/drawing/2014/main" id="{00000000-0008-0000-0600-000007000000}"/>
            </a:ext>
          </a:extLst>
        </xdr:cNvPr>
        <xdr:cNvSpPr txBox="1"/>
      </xdr:nvSpPr>
      <xdr:spPr>
        <a:xfrm>
          <a:off x="2853796" y="3562350"/>
          <a:ext cx="1764000" cy="1116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twoCellAnchor>
    <xdr:from>
      <xdr:col>9</xdr:col>
      <xdr:colOff>134936</xdr:colOff>
      <xdr:row>16</xdr:row>
      <xdr:rowOff>119061</xdr:rowOff>
    </xdr:from>
    <xdr:to>
      <xdr:col>11</xdr:col>
      <xdr:colOff>613061</xdr:colOff>
      <xdr:row>21</xdr:row>
      <xdr:rowOff>203186</xdr:rowOff>
    </xdr:to>
    <xdr:sp macro="[0]!ActivateIrreplaceablehabitatstab" textlink="">
      <xdr:nvSpPr>
        <xdr:cNvPr id="2" name="TextBox 1">
          <a:extLst>
            <a:ext uri="{FF2B5EF4-FFF2-40B4-BE49-F238E27FC236}">
              <a16:creationId xmlns:a16="http://schemas.microsoft.com/office/drawing/2014/main" id="{00000000-0008-0000-0600-000002000000}"/>
            </a:ext>
          </a:extLst>
        </xdr:cNvPr>
        <xdr:cNvSpPr txBox="1"/>
      </xdr:nvSpPr>
      <xdr:spPr>
        <a:xfrm>
          <a:off x="4960936" y="3571874"/>
          <a:ext cx="1764000" cy="1116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Irreplaceable</a:t>
          </a:r>
          <a:r>
            <a:rPr lang="en-GB" sz="1400" b="1" baseline="0">
              <a:solidFill>
                <a:schemeClr val="accent1"/>
              </a:solidFill>
              <a:latin typeface="Rockwell Light" panose="02040303020102020203" pitchFamily="18" charset="0"/>
            </a:rPr>
            <a:t> habitats summary</a:t>
          </a:r>
          <a:endParaRPr lang="en-GB" sz="1400" b="1">
            <a:solidFill>
              <a:schemeClr val="accent1"/>
            </a:solidFill>
            <a:latin typeface="Rockwell Light" panose="02040303020102020203" pitchFamily="18" charset="0"/>
          </a:endParaRPr>
        </a:p>
      </xdr:txBody>
    </xdr:sp>
    <xdr:clientData/>
  </xdr:twoCellAnchor>
  <xdr:twoCellAnchor>
    <xdr:from>
      <xdr:col>12</xdr:col>
      <xdr:colOff>325439</xdr:colOff>
      <xdr:row>16</xdr:row>
      <xdr:rowOff>126999</xdr:rowOff>
    </xdr:from>
    <xdr:to>
      <xdr:col>15</xdr:col>
      <xdr:colOff>194734</xdr:colOff>
      <xdr:row>22</xdr:row>
      <xdr:rowOff>4749</xdr:rowOff>
    </xdr:to>
    <xdr:sp macro="[0]!ActivateUnitshortfallsummary" textlink="">
      <xdr:nvSpPr>
        <xdr:cNvPr id="13" name="Rounded Rectangle 16">
          <a:extLst>
            <a:ext uri="{FF2B5EF4-FFF2-40B4-BE49-F238E27FC236}">
              <a16:creationId xmlns:a16="http://schemas.microsoft.com/office/drawing/2014/main" id="{00000000-0008-0000-0600-00000D000000}"/>
            </a:ext>
          </a:extLst>
        </xdr:cNvPr>
        <xdr:cNvSpPr/>
      </xdr:nvSpPr>
      <xdr:spPr>
        <a:xfrm>
          <a:off x="7080252" y="3579812"/>
          <a:ext cx="1758420" cy="1116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Unit</a:t>
          </a:r>
          <a:r>
            <a:rPr lang="en-GB" sz="1400" b="1" baseline="0">
              <a:solidFill>
                <a:schemeClr val="accent1"/>
              </a:solidFill>
              <a:latin typeface="Rockwell Light" panose="02040303020102020203" pitchFamily="18" charset="0"/>
            </a:rPr>
            <a:t> shortfall summary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7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18</xdr:col>
      <xdr:colOff>628913</xdr:colOff>
      <xdr:row>35</xdr:row>
      <xdr:rowOff>8504</xdr:rowOff>
    </xdr:from>
    <xdr:to>
      <xdr:col>27</xdr:col>
      <xdr:colOff>255587</xdr:colOff>
      <xdr:row>49</xdr:row>
      <xdr:rowOff>8731</xdr:rowOff>
    </xdr:to>
    <xdr:graphicFrame macro="">
      <xdr:nvGraphicFramePr>
        <xdr:cNvPr id="23" name="Chart 22">
          <a:extLst>
            <a:ext uri="{FF2B5EF4-FFF2-40B4-BE49-F238E27FC236}">
              <a16:creationId xmlns:a16="http://schemas.microsoft.com/office/drawing/2014/main" id="{00000000-0008-0000-08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220821</xdr:rowOff>
    </xdr:from>
    <xdr:to>
      <xdr:col>36</xdr:col>
      <xdr:colOff>539910</xdr:colOff>
      <xdr:row>49</xdr:row>
      <xdr:rowOff>35717</xdr:rowOff>
    </xdr:to>
    <xdr:graphicFrame macro="">
      <xdr:nvGraphicFramePr>
        <xdr:cNvPr id="25" name="Chart 24">
          <a:extLst>
            <a:ext uri="{FF2B5EF4-FFF2-40B4-BE49-F238E27FC236}">
              <a16:creationId xmlns:a16="http://schemas.microsoft.com/office/drawing/2014/main" id="{00000000-0008-0000-08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637379</xdr:colOff>
      <xdr:row>52</xdr:row>
      <xdr:rowOff>82550</xdr:rowOff>
    </xdr:from>
    <xdr:to>
      <xdr:col>36</xdr:col>
      <xdr:colOff>588167</xdr:colOff>
      <xdr:row>90</xdr:row>
      <xdr:rowOff>38894</xdr:rowOff>
    </xdr:to>
    <xdr:graphicFrame macro="">
      <xdr:nvGraphicFramePr>
        <xdr:cNvPr id="27" name="Chart 26">
          <a:extLst>
            <a:ext uri="{FF2B5EF4-FFF2-40B4-BE49-F238E27FC236}">
              <a16:creationId xmlns:a16="http://schemas.microsoft.com/office/drawing/2014/main" id="{00000000-0008-0000-08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10160</xdr:colOff>
      <xdr:row>52</xdr:row>
      <xdr:rowOff>86668</xdr:rowOff>
    </xdr:from>
    <xdr:to>
      <xdr:col>18</xdr:col>
      <xdr:colOff>163512</xdr:colOff>
      <xdr:row>90</xdr:row>
      <xdr:rowOff>55563</xdr:rowOff>
    </xdr:to>
    <xdr:graphicFrame macro="">
      <xdr:nvGraphicFramePr>
        <xdr:cNvPr id="28" name="Chart 27">
          <a:extLst>
            <a:ext uri="{FF2B5EF4-FFF2-40B4-BE49-F238E27FC236}">
              <a16:creationId xmlns:a16="http://schemas.microsoft.com/office/drawing/2014/main" id="{00000000-0008-0000-08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10093</xdr:rowOff>
    </xdr:from>
    <xdr:to>
      <xdr:col>17</xdr:col>
      <xdr:colOff>619125</xdr:colOff>
      <xdr:row>49</xdr:row>
      <xdr:rowOff>10930</xdr:rowOff>
    </xdr:to>
    <xdr:graphicFrame macro="">
      <xdr:nvGraphicFramePr>
        <xdr:cNvPr id="31" name="Chart 30">
          <a:extLst>
            <a:ext uri="{FF2B5EF4-FFF2-40B4-BE49-F238E27FC236}">
              <a16:creationId xmlns:a16="http://schemas.microsoft.com/office/drawing/2014/main" id="{00000000-0008-0000-08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8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389730</xdr:colOff>
      <xdr:row>96</xdr:row>
      <xdr:rowOff>67468</xdr:rowOff>
    </xdr:from>
    <xdr:to>
      <xdr:col>18</xdr:col>
      <xdr:colOff>130967</xdr:colOff>
      <xdr:row>110</xdr:row>
      <xdr:rowOff>111389</xdr:rowOff>
    </xdr:to>
    <xdr:graphicFrame macro="">
      <xdr:nvGraphicFramePr>
        <xdr:cNvPr id="15" name="Chart 14">
          <a:extLst>
            <a:ext uri="{FF2B5EF4-FFF2-40B4-BE49-F238E27FC236}">
              <a16:creationId xmlns:a16="http://schemas.microsoft.com/office/drawing/2014/main" id="{00000000-0008-0000-08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658813</xdr:colOff>
      <xdr:row>96</xdr:row>
      <xdr:rowOff>100012</xdr:rowOff>
    </xdr:from>
    <xdr:to>
      <xdr:col>27</xdr:col>
      <xdr:colOff>95250</xdr:colOff>
      <xdr:row>110</xdr:row>
      <xdr:rowOff>169447</xdr:rowOff>
    </xdr:to>
    <xdr:graphicFrame macro="">
      <xdr:nvGraphicFramePr>
        <xdr:cNvPr id="16" name="Chart 15">
          <a:extLst>
            <a:ext uri="{FF2B5EF4-FFF2-40B4-BE49-F238E27FC236}">
              <a16:creationId xmlns:a16="http://schemas.microsoft.com/office/drawing/2014/main" id="{00000000-0008-0000-08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64293</xdr:rowOff>
    </xdr:from>
    <xdr:to>
      <xdr:col>36</xdr:col>
      <xdr:colOff>488383</xdr:colOff>
      <xdr:row>110</xdr:row>
      <xdr:rowOff>188496</xdr:rowOff>
    </xdr:to>
    <xdr:graphicFrame macro="">
      <xdr:nvGraphicFramePr>
        <xdr:cNvPr id="17" name="Chart 16">
          <a:extLst>
            <a:ext uri="{FF2B5EF4-FFF2-40B4-BE49-F238E27FC236}">
              <a16:creationId xmlns:a16="http://schemas.microsoft.com/office/drawing/2014/main" i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10071</xdr:colOff>
      <xdr:row>113</xdr:row>
      <xdr:rowOff>12701</xdr:rowOff>
    </xdr:from>
    <xdr:to>
      <xdr:col>18</xdr:col>
      <xdr:colOff>130968</xdr:colOff>
      <xdr:row>149</xdr:row>
      <xdr:rowOff>152665</xdr:rowOff>
    </xdr:to>
    <xdr:graphicFrame macro="">
      <xdr:nvGraphicFramePr>
        <xdr:cNvPr id="19" name="Chart 18">
          <a:extLst>
            <a:ext uri="{FF2B5EF4-FFF2-40B4-BE49-F238E27FC236}">
              <a16:creationId xmlns:a16="http://schemas.microsoft.com/office/drawing/2014/main" id="{00000000-0008-0000-08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113</xdr:row>
      <xdr:rowOff>17463</xdr:rowOff>
    </xdr:from>
    <xdr:to>
      <xdr:col>36</xdr:col>
      <xdr:colOff>541904</xdr:colOff>
      <xdr:row>149</xdr:row>
      <xdr:rowOff>151077</xdr:rowOff>
    </xdr:to>
    <xdr:graphicFrame macro="">
      <xdr:nvGraphicFramePr>
        <xdr:cNvPr id="21" name="Chart 20">
          <a:extLst>
            <a:ext uri="{FF2B5EF4-FFF2-40B4-BE49-F238E27FC236}">
              <a16:creationId xmlns:a16="http://schemas.microsoft.com/office/drawing/2014/main" id="{00000000-0008-0000-0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158062</xdr:rowOff>
    </xdr:from>
    <xdr:to>
      <xdr:col>18</xdr:col>
      <xdr:colOff>35718</xdr:colOff>
      <xdr:row>168</xdr:row>
      <xdr:rowOff>91908</xdr:rowOff>
    </xdr:to>
    <xdr:graphicFrame macro="">
      <xdr:nvGraphicFramePr>
        <xdr:cNvPr id="24" name="Chart 23">
          <a:extLst>
            <a:ext uri="{FF2B5EF4-FFF2-40B4-BE49-F238E27FC236}">
              <a16:creationId xmlns:a16="http://schemas.microsoft.com/office/drawing/2014/main" id="{00000000-0008-0000-08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657874</xdr:colOff>
      <xdr:row>156</xdr:row>
      <xdr:rowOff>119235</xdr:rowOff>
    </xdr:from>
    <xdr:to>
      <xdr:col>27</xdr:col>
      <xdr:colOff>241299</xdr:colOff>
      <xdr:row>168</xdr:row>
      <xdr:rowOff>43750</xdr:rowOff>
    </xdr:to>
    <xdr:graphicFrame macro="">
      <xdr:nvGraphicFramePr>
        <xdr:cNvPr id="26" name="Chart 25">
          <a:extLst>
            <a:ext uri="{FF2B5EF4-FFF2-40B4-BE49-F238E27FC236}">
              <a16:creationId xmlns:a16="http://schemas.microsoft.com/office/drawing/2014/main" id="{00000000-0008-0000-08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160337</xdr:colOff>
      <xdr:row>156</xdr:row>
      <xdr:rowOff>118420</xdr:rowOff>
    </xdr:from>
    <xdr:to>
      <xdr:col>36</xdr:col>
      <xdr:colOff>488837</xdr:colOff>
      <xdr:row>168</xdr:row>
      <xdr:rowOff>45507</xdr:rowOff>
    </xdr:to>
    <xdr:graphicFrame macro="">
      <xdr:nvGraphicFramePr>
        <xdr:cNvPr id="30" name="Chart 29">
          <a:extLst>
            <a:ext uri="{FF2B5EF4-FFF2-40B4-BE49-F238E27FC236}">
              <a16:creationId xmlns:a16="http://schemas.microsoft.com/office/drawing/2014/main" id="{00000000-0008-0000-08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225</xdr:colOff>
      <xdr:row>174</xdr:row>
      <xdr:rowOff>55223</xdr:rowOff>
    </xdr:from>
    <xdr:to>
      <xdr:col>18</xdr:col>
      <xdr:colOff>28913</xdr:colOff>
      <xdr:row>208</xdr:row>
      <xdr:rowOff>118609</xdr:rowOff>
    </xdr:to>
    <xdr:graphicFrame macro="">
      <xdr:nvGraphicFramePr>
        <xdr:cNvPr id="35" name="Chart 34">
          <a:extLst>
            <a:ext uri="{FF2B5EF4-FFF2-40B4-BE49-F238E27FC236}">
              <a16:creationId xmlns:a16="http://schemas.microsoft.com/office/drawing/2014/main" id="{00000000-0008-0000-08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580571</xdr:colOff>
      <xdr:row>174</xdr:row>
      <xdr:rowOff>54962</xdr:rowOff>
    </xdr:from>
    <xdr:to>
      <xdr:col>36</xdr:col>
      <xdr:colOff>540883</xdr:colOff>
      <xdr:row>208</xdr:row>
      <xdr:rowOff>61005</xdr:rowOff>
    </xdr:to>
    <xdr:graphicFrame macro="">
      <xdr:nvGraphicFramePr>
        <xdr:cNvPr id="36" name="Chart 35">
          <a:extLst>
            <a:ext uri="{FF2B5EF4-FFF2-40B4-BE49-F238E27FC236}">
              <a16:creationId xmlns:a16="http://schemas.microsoft.com/office/drawing/2014/main" id="{00000000-0008-0000-08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9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9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A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A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B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B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B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2535440</xdr:colOff>
      <xdr:row>4</xdr:row>
      <xdr:rowOff>131094</xdr:rowOff>
    </xdr:from>
    <xdr:to>
      <xdr:col>7</xdr:col>
      <xdr:colOff>15156</xdr:colOff>
      <xdr:row>6</xdr:row>
      <xdr:rowOff>98823</xdr:rowOff>
    </xdr:to>
    <xdr:sp macro="[0]!ToggleHideRows" textlink="">
      <xdr:nvSpPr>
        <xdr:cNvPr id="17" name="Rectangle: Rounded Corners 19">
          <a:extLst>
            <a:ext uri="{FF2B5EF4-FFF2-40B4-BE49-F238E27FC236}">
              <a16:creationId xmlns:a16="http://schemas.microsoft.com/office/drawing/2014/main" id="{00000000-0008-0000-0E00-000011000000}"/>
            </a:ext>
          </a:extLst>
        </xdr:cNvPr>
        <xdr:cNvSpPr/>
      </xdr:nvSpPr>
      <xdr:spPr>
        <a:xfrm>
          <a:off x="4595221" y="893094"/>
          <a:ext cx="4349623" cy="324917"/>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clientData/>
  </xdr:twoCellAnchor>
  <xdr:twoCellAnchor>
    <xdr:from>
      <xdr:col>0</xdr:col>
      <xdr:colOff>0</xdr:colOff>
      <xdr:row>7</xdr:row>
      <xdr:rowOff>7960</xdr:rowOff>
    </xdr:from>
    <xdr:to>
      <xdr:col>5</xdr:col>
      <xdr:colOff>2289842</xdr:colOff>
      <xdr:row>7</xdr:row>
      <xdr:rowOff>267893</xdr:rowOff>
    </xdr:to>
    <xdr:sp macro="[0]!ActivateSelectWorksheet" textlink="">
      <xdr:nvSpPr>
        <xdr:cNvPr id="15" name="Rounded Rectangle 14">
          <a:extLst>
            <a:ext uri="{FF2B5EF4-FFF2-40B4-BE49-F238E27FC236}">
              <a16:creationId xmlns:a16="http://schemas.microsoft.com/office/drawing/2014/main" id="{00000000-0008-0000-0E00-00000F000000}"/>
            </a:ext>
          </a:extLst>
        </xdr:cNvPr>
        <xdr:cNvSpPr/>
      </xdr:nvSpPr>
      <xdr:spPr>
        <a:xfrm>
          <a:off x="0" y="1305741"/>
          <a:ext cx="4349623" cy="259933"/>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clientData/>
  </xdr:twoCellAnchor>
  <xdr:twoCellAnchor>
    <xdr:from>
      <xdr:col>0</xdr:col>
      <xdr:colOff>2053</xdr:colOff>
      <xdr:row>4</xdr:row>
      <xdr:rowOff>105070</xdr:rowOff>
    </xdr:from>
    <xdr:to>
      <xdr:col>5</xdr:col>
      <xdr:colOff>2291895</xdr:colOff>
      <xdr:row>6</xdr:row>
      <xdr:rowOff>72799</xdr:rowOff>
    </xdr:to>
    <xdr:sp macro="[0]!ToggleHideColumns" textlink="">
      <xdr:nvSpPr>
        <xdr:cNvPr id="19" name="Rectangle: Rounded Corners 19">
          <a:extLst>
            <a:ext uri="{FF2B5EF4-FFF2-40B4-BE49-F238E27FC236}">
              <a16:creationId xmlns:a16="http://schemas.microsoft.com/office/drawing/2014/main" id="{00000000-0008-0000-0E00-000013000000}"/>
            </a:ext>
          </a:extLst>
        </xdr:cNvPr>
        <xdr:cNvSpPr/>
      </xdr:nvSpPr>
      <xdr:spPr>
        <a:xfrm>
          <a:off x="2053" y="867070"/>
          <a:ext cx="4349623" cy="324917"/>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1986733</xdr:colOff>
      <xdr:row>3</xdr:row>
      <xdr:rowOff>113360</xdr:rowOff>
    </xdr:from>
    <xdr:to>
      <xdr:col>5</xdr:col>
      <xdr:colOff>0</xdr:colOff>
      <xdr:row>5</xdr:row>
      <xdr:rowOff>149757</xdr:rowOff>
    </xdr:to>
    <xdr:sp macro="[0]!ToggleHideRows" textlink="">
      <xdr:nvSpPr>
        <xdr:cNvPr id="39" name="Rectangle: Rounded Corners 19">
          <a:extLst>
            <a:ext uri="{FF2B5EF4-FFF2-40B4-BE49-F238E27FC236}">
              <a16:creationId xmlns:a16="http://schemas.microsoft.com/office/drawing/2014/main" id="{00000000-0008-0000-0F00-000027000000}"/>
            </a:ext>
          </a:extLst>
        </xdr:cNvPr>
        <xdr:cNvSpPr/>
      </xdr:nvSpPr>
      <xdr:spPr>
        <a:xfrm>
          <a:off x="4629921" y="839641"/>
          <a:ext cx="3252017" cy="54836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3</xdr:col>
      <xdr:colOff>120650</xdr:colOff>
      <xdr:row>5</xdr:row>
      <xdr:rowOff>275483</xdr:rowOff>
    </xdr:from>
    <xdr:to>
      <xdr:col>4</xdr:col>
      <xdr:colOff>1688969</xdr:colOff>
      <xdr:row>6</xdr:row>
      <xdr:rowOff>273050</xdr:rowOff>
    </xdr:to>
    <xdr:sp macro="[0]!ActivateSelectWorksheet" textlink="">
      <xdr:nvSpPr>
        <xdr:cNvPr id="40" name="Rounded Rectangle 39">
          <a:extLst>
            <a:ext uri="{FF2B5EF4-FFF2-40B4-BE49-F238E27FC236}">
              <a16:creationId xmlns:a16="http://schemas.microsoft.com/office/drawing/2014/main" id="{00000000-0008-0000-0F00-000028000000}"/>
            </a:ext>
          </a:extLst>
        </xdr:cNvPr>
        <xdr:cNvSpPr/>
      </xdr:nvSpPr>
      <xdr:spPr>
        <a:xfrm>
          <a:off x="870744" y="1513733"/>
          <a:ext cx="3461413" cy="45000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3</xdr:col>
      <xdr:colOff>152172</xdr:colOff>
      <xdr:row>3</xdr:row>
      <xdr:rowOff>160838</xdr:rowOff>
    </xdr:from>
    <xdr:to>
      <xdr:col>4</xdr:col>
      <xdr:colOff>1661197</xdr:colOff>
      <xdr:row>5</xdr:row>
      <xdr:rowOff>149753</xdr:rowOff>
    </xdr:to>
    <xdr:sp macro="[0]!ToggleHideColumns" textlink="">
      <xdr:nvSpPr>
        <xdr:cNvPr id="42" name="Rectangle: Rounded Corners 19">
          <a:extLst>
            <a:ext uri="{FF2B5EF4-FFF2-40B4-BE49-F238E27FC236}">
              <a16:creationId xmlns:a16="http://schemas.microsoft.com/office/drawing/2014/main" id="{00000000-0008-0000-0F00-00002A000000}"/>
            </a:ext>
          </a:extLst>
        </xdr:cNvPr>
        <xdr:cNvSpPr/>
      </xdr:nvSpPr>
      <xdr:spPr>
        <a:xfrm>
          <a:off x="902266" y="887119"/>
          <a:ext cx="3402119" cy="5008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2173555</xdr:colOff>
      <xdr:row>4</xdr:row>
      <xdr:rowOff>93742</xdr:rowOff>
    </xdr:from>
    <xdr:to>
      <xdr:col>7</xdr:col>
      <xdr:colOff>10335</xdr:colOff>
      <xdr:row>6</xdr:row>
      <xdr:rowOff>58245</xdr:rowOff>
    </xdr:to>
    <xdr:sp macro="[0]!ToggleHideRows" textlink="">
      <xdr:nvSpPr>
        <xdr:cNvPr id="22" name="Rectangle: Rounded Corners 19">
          <a:extLst>
            <a:ext uri="{FF2B5EF4-FFF2-40B4-BE49-F238E27FC236}">
              <a16:creationId xmlns:a16="http://schemas.microsoft.com/office/drawing/2014/main" id="{00000000-0008-0000-1000-000016000000}"/>
            </a:ext>
          </a:extLst>
        </xdr:cNvPr>
        <xdr:cNvSpPr/>
      </xdr:nvSpPr>
      <xdr:spPr>
        <a:xfrm>
          <a:off x="2959368" y="891461"/>
          <a:ext cx="2789780" cy="35740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4</xdr:col>
      <xdr:colOff>12066</xdr:colOff>
      <xdr:row>6</xdr:row>
      <xdr:rowOff>161126</xdr:rowOff>
    </xdr:from>
    <xdr:to>
      <xdr:col>5</xdr:col>
      <xdr:colOff>2016033</xdr:colOff>
      <xdr:row>8</xdr:row>
      <xdr:rowOff>42240</xdr:rowOff>
    </xdr:to>
    <xdr:sp macro="[0]!ActivateSelectWorksheet" textlink="">
      <xdr:nvSpPr>
        <xdr:cNvPr id="23" name="Rounded Rectangle 22">
          <a:extLst>
            <a:ext uri="{FF2B5EF4-FFF2-40B4-BE49-F238E27FC236}">
              <a16:creationId xmlns:a16="http://schemas.microsoft.com/office/drawing/2014/main" id="{00000000-0008-0000-1000-000017000000}"/>
            </a:ext>
          </a:extLst>
        </xdr:cNvPr>
        <xdr:cNvSpPr/>
      </xdr:nvSpPr>
      <xdr:spPr>
        <a:xfrm>
          <a:off x="12066" y="1351751"/>
          <a:ext cx="2789780" cy="285927"/>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4</xdr:col>
      <xdr:colOff>13383</xdr:colOff>
      <xdr:row>4</xdr:row>
      <xdr:rowOff>86995</xdr:rowOff>
    </xdr:from>
    <xdr:to>
      <xdr:col>5</xdr:col>
      <xdr:colOff>2017350</xdr:colOff>
      <xdr:row>6</xdr:row>
      <xdr:rowOff>51498</xdr:rowOff>
    </xdr:to>
    <xdr:sp macro="[0]!ToggleHideColumns" textlink="">
      <xdr:nvSpPr>
        <xdr:cNvPr id="25" name="Rectangle: Rounded Corners 19">
          <a:extLst>
            <a:ext uri="{FF2B5EF4-FFF2-40B4-BE49-F238E27FC236}">
              <a16:creationId xmlns:a16="http://schemas.microsoft.com/office/drawing/2014/main" id="{00000000-0008-0000-1000-000019000000}"/>
            </a:ext>
          </a:extLst>
        </xdr:cNvPr>
        <xdr:cNvSpPr/>
      </xdr:nvSpPr>
      <xdr:spPr>
        <a:xfrm>
          <a:off x="13383" y="884714"/>
          <a:ext cx="2789780" cy="35740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1447763</xdr:colOff>
      <xdr:row>4</xdr:row>
      <xdr:rowOff>131583</xdr:rowOff>
    </xdr:from>
    <xdr:to>
      <xdr:col>5</xdr:col>
      <xdr:colOff>4830203</xdr:colOff>
      <xdr:row>6</xdr:row>
      <xdr:rowOff>50794</xdr:rowOff>
    </xdr:to>
    <xdr:sp macro="[0]!ToggleHideRows" textlink="">
      <xdr:nvSpPr>
        <xdr:cNvPr id="37" name="Rectangle: Rounded Corners 19">
          <a:extLst>
            <a:ext uri="{FF2B5EF4-FFF2-40B4-BE49-F238E27FC236}">
              <a16:creationId xmlns:a16="http://schemas.microsoft.com/office/drawing/2014/main" id="{00000000-0008-0000-1100-000025000000}"/>
            </a:ext>
          </a:extLst>
        </xdr:cNvPr>
        <xdr:cNvSpPr/>
      </xdr:nvSpPr>
      <xdr:spPr>
        <a:xfrm>
          <a:off x="3733763" y="893583"/>
          <a:ext cx="3382440" cy="27639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3</xdr:col>
      <xdr:colOff>160337</xdr:colOff>
      <xdr:row>6</xdr:row>
      <xdr:rowOff>130356</xdr:rowOff>
    </xdr:from>
    <xdr:to>
      <xdr:col>5</xdr:col>
      <xdr:colOff>1256777</xdr:colOff>
      <xdr:row>7</xdr:row>
      <xdr:rowOff>172881</xdr:rowOff>
    </xdr:to>
    <xdr:sp macro="[0]!ActivateSelectWorksheet" textlink="">
      <xdr:nvSpPr>
        <xdr:cNvPr id="38" name="Rounded Rectangle 37">
          <a:extLst>
            <a:ext uri="{FF2B5EF4-FFF2-40B4-BE49-F238E27FC236}">
              <a16:creationId xmlns:a16="http://schemas.microsoft.com/office/drawing/2014/main" id="{00000000-0008-0000-1100-000026000000}"/>
            </a:ext>
          </a:extLst>
        </xdr:cNvPr>
        <xdr:cNvSpPr/>
      </xdr:nvSpPr>
      <xdr:spPr>
        <a:xfrm>
          <a:off x="160337" y="1249544"/>
          <a:ext cx="3382440" cy="221118"/>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3</xdr:col>
      <xdr:colOff>161934</xdr:colOff>
      <xdr:row>4</xdr:row>
      <xdr:rowOff>126365</xdr:rowOff>
    </xdr:from>
    <xdr:to>
      <xdr:col>5</xdr:col>
      <xdr:colOff>1258374</xdr:colOff>
      <xdr:row>6</xdr:row>
      <xdr:rowOff>45576</xdr:rowOff>
    </xdr:to>
    <xdr:sp macro="[0]!ToggleHideColumns" textlink="">
      <xdr:nvSpPr>
        <xdr:cNvPr id="40" name="Rectangle: Rounded Corners 19">
          <a:extLst>
            <a:ext uri="{FF2B5EF4-FFF2-40B4-BE49-F238E27FC236}">
              <a16:creationId xmlns:a16="http://schemas.microsoft.com/office/drawing/2014/main" id="{00000000-0008-0000-1100-000028000000}"/>
            </a:ext>
          </a:extLst>
        </xdr:cNvPr>
        <xdr:cNvSpPr/>
      </xdr:nvSpPr>
      <xdr:spPr>
        <a:xfrm>
          <a:off x="161934" y="888365"/>
          <a:ext cx="3382440" cy="27639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1677655</xdr:colOff>
      <xdr:row>4</xdr:row>
      <xdr:rowOff>104855</xdr:rowOff>
    </xdr:from>
    <xdr:to>
      <xdr:col>4</xdr:col>
      <xdr:colOff>4711198</xdr:colOff>
      <xdr:row>5</xdr:row>
      <xdr:rowOff>203203</xdr:rowOff>
    </xdr:to>
    <xdr:sp macro="[0]!ToggleHideRows" textlink="">
      <xdr:nvSpPr>
        <xdr:cNvPr id="35" name="Rectangle: Rounded Corners 19">
          <a:extLst>
            <a:ext uri="{FF2B5EF4-FFF2-40B4-BE49-F238E27FC236}">
              <a16:creationId xmlns:a16="http://schemas.microsoft.com/office/drawing/2014/main" id="{00000000-0008-0000-1200-000023000000}"/>
            </a:ext>
          </a:extLst>
        </xdr:cNvPr>
        <xdr:cNvSpPr/>
      </xdr:nvSpPr>
      <xdr:spPr>
        <a:xfrm>
          <a:off x="3987468" y="1104980"/>
          <a:ext cx="3033543" cy="40791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3</xdr:col>
      <xdr:colOff>44450</xdr:colOff>
      <xdr:row>5</xdr:row>
      <xdr:rowOff>320621</xdr:rowOff>
    </xdr:from>
    <xdr:to>
      <xdr:col>4</xdr:col>
      <xdr:colOff>1506368</xdr:colOff>
      <xdr:row>6</xdr:row>
      <xdr:rowOff>87356</xdr:rowOff>
    </xdr:to>
    <xdr:sp macro="[0]!ActivateSelectWorksheet" textlink="">
      <xdr:nvSpPr>
        <xdr:cNvPr id="36" name="Rounded Rectangle 35">
          <a:extLst>
            <a:ext uri="{FF2B5EF4-FFF2-40B4-BE49-F238E27FC236}">
              <a16:creationId xmlns:a16="http://schemas.microsoft.com/office/drawing/2014/main" id="{00000000-0008-0000-1200-000024000000}"/>
            </a:ext>
          </a:extLst>
        </xdr:cNvPr>
        <xdr:cNvSpPr/>
      </xdr:nvSpPr>
      <xdr:spPr>
        <a:xfrm>
          <a:off x="782638" y="1630309"/>
          <a:ext cx="3033543" cy="326328"/>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3</xdr:col>
      <xdr:colOff>45882</xdr:colOff>
      <xdr:row>4</xdr:row>
      <xdr:rowOff>97155</xdr:rowOff>
    </xdr:from>
    <xdr:to>
      <xdr:col>4</xdr:col>
      <xdr:colOff>1507800</xdr:colOff>
      <xdr:row>5</xdr:row>
      <xdr:rowOff>195503</xdr:rowOff>
    </xdr:to>
    <xdr:sp macro="[0]!ToggleHideColumns" textlink="">
      <xdr:nvSpPr>
        <xdr:cNvPr id="38" name="Rectangle: Rounded Corners 19">
          <a:extLst>
            <a:ext uri="{FF2B5EF4-FFF2-40B4-BE49-F238E27FC236}">
              <a16:creationId xmlns:a16="http://schemas.microsoft.com/office/drawing/2014/main" id="{00000000-0008-0000-1200-000026000000}"/>
            </a:ext>
          </a:extLst>
        </xdr:cNvPr>
        <xdr:cNvSpPr/>
      </xdr:nvSpPr>
      <xdr:spPr>
        <a:xfrm>
          <a:off x="784070" y="1097280"/>
          <a:ext cx="3033543" cy="40791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2219760</xdr:colOff>
      <xdr:row>4</xdr:row>
      <xdr:rowOff>93658</xdr:rowOff>
    </xdr:from>
    <xdr:to>
      <xdr:col>5</xdr:col>
      <xdr:colOff>5131113</xdr:colOff>
      <xdr:row>6</xdr:row>
      <xdr:rowOff>53718</xdr:rowOff>
    </xdr:to>
    <xdr:sp macro="[0]!ToggleHideRows" textlink="">
      <xdr:nvSpPr>
        <xdr:cNvPr id="32" name="Rectangle: Rounded Corners 19">
          <a:extLst>
            <a:ext uri="{FF2B5EF4-FFF2-40B4-BE49-F238E27FC236}">
              <a16:creationId xmlns:a16="http://schemas.microsoft.com/office/drawing/2014/main" id="{00000000-0008-0000-1300-000020000000}"/>
            </a:ext>
          </a:extLst>
        </xdr:cNvPr>
        <xdr:cNvSpPr/>
      </xdr:nvSpPr>
      <xdr:spPr>
        <a:xfrm>
          <a:off x="3077010" y="950908"/>
          <a:ext cx="2911353" cy="35296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0</xdr:col>
      <xdr:colOff>1270</xdr:colOff>
      <xdr:row>6</xdr:row>
      <xdr:rowOff>155321</xdr:rowOff>
    </xdr:from>
    <xdr:to>
      <xdr:col>5</xdr:col>
      <xdr:colOff>2055373</xdr:colOff>
      <xdr:row>8</xdr:row>
      <xdr:rowOff>80505</xdr:rowOff>
    </xdr:to>
    <xdr:sp macro="[0]!ActivateSelectWorksheet" textlink="">
      <xdr:nvSpPr>
        <xdr:cNvPr id="33" name="Rounded Rectangle 32">
          <a:extLst>
            <a:ext uri="{FF2B5EF4-FFF2-40B4-BE49-F238E27FC236}">
              <a16:creationId xmlns:a16="http://schemas.microsoft.com/office/drawing/2014/main" id="{00000000-0008-0000-1300-000021000000}"/>
            </a:ext>
          </a:extLst>
        </xdr:cNvPr>
        <xdr:cNvSpPr/>
      </xdr:nvSpPr>
      <xdr:spPr>
        <a:xfrm>
          <a:off x="1270" y="1405477"/>
          <a:ext cx="2911353" cy="282372"/>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2644</xdr:colOff>
      <xdr:row>4</xdr:row>
      <xdr:rowOff>86994</xdr:rowOff>
    </xdr:from>
    <xdr:to>
      <xdr:col>5</xdr:col>
      <xdr:colOff>2056747</xdr:colOff>
      <xdr:row>6</xdr:row>
      <xdr:rowOff>47053</xdr:rowOff>
    </xdr:to>
    <xdr:sp macro="[0]!ToggleHideColumns" textlink="">
      <xdr:nvSpPr>
        <xdr:cNvPr id="41" name="Rectangle: Rounded Corners 19">
          <a:extLst>
            <a:ext uri="{FF2B5EF4-FFF2-40B4-BE49-F238E27FC236}">
              <a16:creationId xmlns:a16="http://schemas.microsoft.com/office/drawing/2014/main" id="{00000000-0008-0000-1300-000029000000}"/>
            </a:ext>
          </a:extLst>
        </xdr:cNvPr>
        <xdr:cNvSpPr/>
      </xdr:nvSpPr>
      <xdr:spPr>
        <a:xfrm>
          <a:off x="2644" y="944244"/>
          <a:ext cx="2911353" cy="35296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1091265</xdr:colOff>
      <xdr:row>4</xdr:row>
      <xdr:rowOff>92898</xdr:rowOff>
    </xdr:from>
    <xdr:to>
      <xdr:col>3</xdr:col>
      <xdr:colOff>3759394</xdr:colOff>
      <xdr:row>5</xdr:row>
      <xdr:rowOff>159703</xdr:rowOff>
    </xdr:to>
    <xdr:sp macro="[0]!ToggleHideRows" textlink="">
      <xdr:nvSpPr>
        <xdr:cNvPr id="12" name="Rectangle: Rounded Corners 19">
          <a:extLst>
            <a:ext uri="{FF2B5EF4-FFF2-40B4-BE49-F238E27FC236}">
              <a16:creationId xmlns:a16="http://schemas.microsoft.com/office/drawing/2014/main" id="{00000000-0008-0000-1400-00000C000000}"/>
            </a:ext>
          </a:extLst>
        </xdr:cNvPr>
        <xdr:cNvSpPr/>
      </xdr:nvSpPr>
      <xdr:spPr>
        <a:xfrm>
          <a:off x="3020078" y="854898"/>
          <a:ext cx="2668129" cy="24539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0</xdr:col>
      <xdr:colOff>201295</xdr:colOff>
      <xdr:row>6</xdr:row>
      <xdr:rowOff>51748</xdr:rowOff>
    </xdr:from>
    <xdr:to>
      <xdr:col>3</xdr:col>
      <xdr:colOff>940611</xdr:colOff>
      <xdr:row>6</xdr:row>
      <xdr:rowOff>248067</xdr:rowOff>
    </xdr:to>
    <xdr:sp macro="[0]!ActivateSelectWorksheet" textlink="">
      <xdr:nvSpPr>
        <xdr:cNvPr id="13" name="Rounded Rectangle 12">
          <a:extLst>
            <a:ext uri="{FF2B5EF4-FFF2-40B4-BE49-F238E27FC236}">
              <a16:creationId xmlns:a16="http://schemas.microsoft.com/office/drawing/2014/main" id="{00000000-0008-0000-1400-00000D000000}"/>
            </a:ext>
          </a:extLst>
        </xdr:cNvPr>
        <xdr:cNvSpPr/>
      </xdr:nvSpPr>
      <xdr:spPr>
        <a:xfrm>
          <a:off x="201295" y="1170936"/>
          <a:ext cx="2668129" cy="19631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202554</xdr:colOff>
      <xdr:row>4</xdr:row>
      <xdr:rowOff>88265</xdr:rowOff>
    </xdr:from>
    <xdr:to>
      <xdr:col>3</xdr:col>
      <xdr:colOff>941870</xdr:colOff>
      <xdr:row>5</xdr:row>
      <xdr:rowOff>155070</xdr:rowOff>
    </xdr:to>
    <xdr:sp macro="[0]!ToggleHideColumns" textlink="">
      <xdr:nvSpPr>
        <xdr:cNvPr id="15" name="Rectangle: Rounded Corners 19">
          <a:extLst>
            <a:ext uri="{FF2B5EF4-FFF2-40B4-BE49-F238E27FC236}">
              <a16:creationId xmlns:a16="http://schemas.microsoft.com/office/drawing/2014/main" id="{00000000-0008-0000-1400-00000F000000}"/>
            </a:ext>
          </a:extLst>
        </xdr:cNvPr>
        <xdr:cNvSpPr/>
      </xdr:nvSpPr>
      <xdr:spPr>
        <a:xfrm>
          <a:off x="202554" y="850265"/>
          <a:ext cx="2668129" cy="24539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1425876</xdr:colOff>
      <xdr:row>4</xdr:row>
      <xdr:rowOff>108983</xdr:rowOff>
    </xdr:from>
    <xdr:to>
      <xdr:col>4</xdr:col>
      <xdr:colOff>49668</xdr:colOff>
      <xdr:row>6</xdr:row>
      <xdr:rowOff>61654</xdr:rowOff>
    </xdr:to>
    <xdr:sp macro="[0]!ToggleHideRows" textlink="">
      <xdr:nvSpPr>
        <xdr:cNvPr id="12" name="Rectangle: Rounded Corners 19">
          <a:extLst>
            <a:ext uri="{FF2B5EF4-FFF2-40B4-BE49-F238E27FC236}">
              <a16:creationId xmlns:a16="http://schemas.microsoft.com/office/drawing/2014/main" id="{00000000-0008-0000-1500-00000C000000}"/>
            </a:ext>
          </a:extLst>
        </xdr:cNvPr>
        <xdr:cNvSpPr/>
      </xdr:nvSpPr>
      <xdr:spPr>
        <a:xfrm>
          <a:off x="3354689" y="978139"/>
          <a:ext cx="3005292" cy="3574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0</xdr:col>
      <xdr:colOff>179706</xdr:colOff>
      <xdr:row>6</xdr:row>
      <xdr:rowOff>164556</xdr:rowOff>
    </xdr:from>
    <xdr:to>
      <xdr:col>3</xdr:col>
      <xdr:colOff>1256185</xdr:colOff>
      <xdr:row>8</xdr:row>
      <xdr:rowOff>69542</xdr:rowOff>
    </xdr:to>
    <xdr:sp macro="[0]!ActivateSelectWorksheet" textlink="">
      <xdr:nvSpPr>
        <xdr:cNvPr id="13" name="Rounded Rectangle 12">
          <a:extLst>
            <a:ext uri="{FF2B5EF4-FFF2-40B4-BE49-F238E27FC236}">
              <a16:creationId xmlns:a16="http://schemas.microsoft.com/office/drawing/2014/main" id="{00000000-0008-0000-1500-00000D000000}"/>
            </a:ext>
          </a:extLst>
        </xdr:cNvPr>
        <xdr:cNvSpPr/>
      </xdr:nvSpPr>
      <xdr:spPr>
        <a:xfrm>
          <a:off x="179706" y="1438525"/>
          <a:ext cx="3005292" cy="28598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181125</xdr:colOff>
      <xdr:row>4</xdr:row>
      <xdr:rowOff>102235</xdr:rowOff>
    </xdr:from>
    <xdr:to>
      <xdr:col>3</xdr:col>
      <xdr:colOff>1257604</xdr:colOff>
      <xdr:row>6</xdr:row>
      <xdr:rowOff>54906</xdr:rowOff>
    </xdr:to>
    <xdr:sp macro="[0]!ToggleHideColumns" textlink="">
      <xdr:nvSpPr>
        <xdr:cNvPr id="15" name="Rectangle: Rounded Corners 19">
          <a:extLst>
            <a:ext uri="{FF2B5EF4-FFF2-40B4-BE49-F238E27FC236}">
              <a16:creationId xmlns:a16="http://schemas.microsoft.com/office/drawing/2014/main" id="{00000000-0008-0000-1500-00000F000000}"/>
            </a:ext>
          </a:extLst>
        </xdr:cNvPr>
        <xdr:cNvSpPr/>
      </xdr:nvSpPr>
      <xdr:spPr>
        <a:xfrm>
          <a:off x="181125" y="971391"/>
          <a:ext cx="3005292" cy="3574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1920751</xdr:colOff>
      <xdr:row>4</xdr:row>
      <xdr:rowOff>93181</xdr:rowOff>
    </xdr:from>
    <xdr:to>
      <xdr:col>4</xdr:col>
      <xdr:colOff>28802</xdr:colOff>
      <xdr:row>6</xdr:row>
      <xdr:rowOff>49702</xdr:rowOff>
    </xdr:to>
    <xdr:sp macro="[0]!ToggleHideRows" textlink="">
      <xdr:nvSpPr>
        <xdr:cNvPr id="8" name="Rectangle: Rounded Corners 19">
          <a:extLst>
            <a:ext uri="{FF2B5EF4-FFF2-40B4-BE49-F238E27FC236}">
              <a16:creationId xmlns:a16="http://schemas.microsoft.com/office/drawing/2014/main" id="{00000000-0008-0000-1600-000008000000}"/>
            </a:ext>
          </a:extLst>
        </xdr:cNvPr>
        <xdr:cNvSpPr/>
      </xdr:nvSpPr>
      <xdr:spPr>
        <a:xfrm>
          <a:off x="2813720" y="1009962"/>
          <a:ext cx="2465738" cy="36133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1</xdr:col>
      <xdr:colOff>6350</xdr:colOff>
      <xdr:row>6</xdr:row>
      <xdr:rowOff>153713</xdr:rowOff>
    </xdr:from>
    <xdr:to>
      <xdr:col>2</xdr:col>
      <xdr:colOff>1781525</xdr:colOff>
      <xdr:row>8</xdr:row>
      <xdr:rowOff>14154</xdr:rowOff>
    </xdr:to>
    <xdr:sp macro="[0]!ActivateSelectWorksheet" textlink="">
      <xdr:nvSpPr>
        <xdr:cNvPr id="9" name="Rounded Rectangle 8">
          <a:extLst>
            <a:ext uri="{FF2B5EF4-FFF2-40B4-BE49-F238E27FC236}">
              <a16:creationId xmlns:a16="http://schemas.microsoft.com/office/drawing/2014/main" id="{00000000-0008-0000-1600-000009000000}"/>
            </a:ext>
          </a:extLst>
        </xdr:cNvPr>
        <xdr:cNvSpPr/>
      </xdr:nvSpPr>
      <xdr:spPr>
        <a:xfrm>
          <a:off x="208756" y="1475307"/>
          <a:ext cx="2465738" cy="28906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7514</xdr:colOff>
      <xdr:row>4</xdr:row>
      <xdr:rowOff>86360</xdr:rowOff>
    </xdr:from>
    <xdr:to>
      <xdr:col>2</xdr:col>
      <xdr:colOff>1782689</xdr:colOff>
      <xdr:row>6</xdr:row>
      <xdr:rowOff>42881</xdr:rowOff>
    </xdr:to>
    <xdr:sp macro="[0]!ToggleHideColumns" textlink="">
      <xdr:nvSpPr>
        <xdr:cNvPr id="16" name="Rectangle: Rounded Corners 19">
          <a:extLst>
            <a:ext uri="{FF2B5EF4-FFF2-40B4-BE49-F238E27FC236}">
              <a16:creationId xmlns:a16="http://schemas.microsoft.com/office/drawing/2014/main" id="{00000000-0008-0000-1600-000010000000}"/>
            </a:ext>
          </a:extLst>
        </xdr:cNvPr>
        <xdr:cNvSpPr/>
      </xdr:nvSpPr>
      <xdr:spPr>
        <a:xfrm>
          <a:off x="209920" y="1003141"/>
          <a:ext cx="2465738" cy="36133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1238452</xdr:colOff>
      <xdr:row>4</xdr:row>
      <xdr:rowOff>107245</xdr:rowOff>
    </xdr:from>
    <xdr:to>
      <xdr:col>4</xdr:col>
      <xdr:colOff>10378</xdr:colOff>
      <xdr:row>5</xdr:row>
      <xdr:rowOff>86861</xdr:rowOff>
    </xdr:to>
    <xdr:sp macro="[0]!ToggleHideRows" textlink="">
      <xdr:nvSpPr>
        <xdr:cNvPr id="31" name="Rectangle: Rounded Corners 19">
          <a:extLst>
            <a:ext uri="{FF2B5EF4-FFF2-40B4-BE49-F238E27FC236}">
              <a16:creationId xmlns:a16="http://schemas.microsoft.com/office/drawing/2014/main" id="{00000000-0008-0000-1700-00001F000000}"/>
            </a:ext>
          </a:extLst>
        </xdr:cNvPr>
        <xdr:cNvSpPr/>
      </xdr:nvSpPr>
      <xdr:spPr>
        <a:xfrm>
          <a:off x="3060108" y="976401"/>
          <a:ext cx="2522395" cy="26536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1</xdr:col>
      <xdr:colOff>38100</xdr:colOff>
      <xdr:row>5</xdr:row>
      <xdr:rowOff>163247</xdr:rowOff>
    </xdr:from>
    <xdr:to>
      <xdr:col>3</xdr:col>
      <xdr:colOff>1096027</xdr:colOff>
      <xdr:row>6</xdr:row>
      <xdr:rowOff>18351</xdr:rowOff>
    </xdr:to>
    <xdr:sp macro="[0]!ActivateSelectWorksheet" textlink="">
      <xdr:nvSpPr>
        <xdr:cNvPr id="32" name="Rounded Rectangle 31">
          <a:extLst>
            <a:ext uri="{FF2B5EF4-FFF2-40B4-BE49-F238E27FC236}">
              <a16:creationId xmlns:a16="http://schemas.microsoft.com/office/drawing/2014/main" id="{00000000-0008-0000-1700-000020000000}"/>
            </a:ext>
          </a:extLst>
        </xdr:cNvPr>
        <xdr:cNvSpPr/>
      </xdr:nvSpPr>
      <xdr:spPr>
        <a:xfrm>
          <a:off x="395288" y="1318153"/>
          <a:ext cx="2522395" cy="212292"/>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39291</xdr:colOff>
      <xdr:row>4</xdr:row>
      <xdr:rowOff>102235</xdr:rowOff>
    </xdr:from>
    <xdr:to>
      <xdr:col>3</xdr:col>
      <xdr:colOff>1097218</xdr:colOff>
      <xdr:row>5</xdr:row>
      <xdr:rowOff>81851</xdr:rowOff>
    </xdr:to>
    <xdr:sp macro="[0]!ToggleHideColumns" textlink="">
      <xdr:nvSpPr>
        <xdr:cNvPr id="34" name="Rectangle: Rounded Corners 19">
          <a:extLst>
            <a:ext uri="{FF2B5EF4-FFF2-40B4-BE49-F238E27FC236}">
              <a16:creationId xmlns:a16="http://schemas.microsoft.com/office/drawing/2014/main" id="{00000000-0008-0000-1700-000022000000}"/>
            </a:ext>
          </a:extLst>
        </xdr:cNvPr>
        <xdr:cNvSpPr/>
      </xdr:nvSpPr>
      <xdr:spPr>
        <a:xfrm>
          <a:off x="396479" y="971391"/>
          <a:ext cx="2522395" cy="26536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1743602</xdr:colOff>
      <xdr:row>4</xdr:row>
      <xdr:rowOff>131843</xdr:rowOff>
    </xdr:from>
    <xdr:to>
      <xdr:col>4</xdr:col>
      <xdr:colOff>543692</xdr:colOff>
      <xdr:row>6</xdr:row>
      <xdr:rowOff>84514</xdr:rowOff>
    </xdr:to>
    <xdr:sp macro="[0]!ToggleHideRows" textlink="">
      <xdr:nvSpPr>
        <xdr:cNvPr id="48" name="Rectangle: Rounded Corners 19">
          <a:extLst>
            <a:ext uri="{FF2B5EF4-FFF2-40B4-BE49-F238E27FC236}">
              <a16:creationId xmlns:a16="http://schemas.microsoft.com/office/drawing/2014/main" id="{00000000-0008-0000-1800-000030000000}"/>
            </a:ext>
          </a:extLst>
        </xdr:cNvPr>
        <xdr:cNvSpPr/>
      </xdr:nvSpPr>
      <xdr:spPr>
        <a:xfrm>
          <a:off x="3374758" y="989093"/>
          <a:ext cx="3038715" cy="3574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clientData/>
  </xdr:twoCellAnchor>
  <xdr:twoCellAnchor>
    <xdr:from>
      <xdr:col>0</xdr:col>
      <xdr:colOff>164465</xdr:colOff>
      <xdr:row>6</xdr:row>
      <xdr:rowOff>187416</xdr:rowOff>
    </xdr:from>
    <xdr:to>
      <xdr:col>3</xdr:col>
      <xdr:colOff>1572024</xdr:colOff>
      <xdr:row>8</xdr:row>
      <xdr:rowOff>92402</xdr:rowOff>
    </xdr:to>
    <xdr:sp macro="[0]!ActivateSelectWorksheet" textlink="">
      <xdr:nvSpPr>
        <xdr:cNvPr id="49" name="Rounded Rectangle 48">
          <a:extLst>
            <a:ext uri="{FF2B5EF4-FFF2-40B4-BE49-F238E27FC236}">
              <a16:creationId xmlns:a16="http://schemas.microsoft.com/office/drawing/2014/main" id="{00000000-0008-0000-1800-000031000000}"/>
            </a:ext>
          </a:extLst>
        </xdr:cNvPr>
        <xdr:cNvSpPr/>
      </xdr:nvSpPr>
      <xdr:spPr>
        <a:xfrm>
          <a:off x="164465" y="1449479"/>
          <a:ext cx="3038715" cy="28598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clientData/>
  </xdr:twoCellAnchor>
  <xdr:twoCellAnchor>
    <xdr:from>
      <xdr:col>0</xdr:col>
      <xdr:colOff>165899</xdr:colOff>
      <xdr:row>4</xdr:row>
      <xdr:rowOff>125095</xdr:rowOff>
    </xdr:from>
    <xdr:to>
      <xdr:col>3</xdr:col>
      <xdr:colOff>1573458</xdr:colOff>
      <xdr:row>6</xdr:row>
      <xdr:rowOff>77766</xdr:rowOff>
    </xdr:to>
    <xdr:sp macro="[0]!ToggleHideColumns" textlink="">
      <xdr:nvSpPr>
        <xdr:cNvPr id="51" name="Rectangle: Rounded Corners 19">
          <a:extLst>
            <a:ext uri="{FF2B5EF4-FFF2-40B4-BE49-F238E27FC236}">
              <a16:creationId xmlns:a16="http://schemas.microsoft.com/office/drawing/2014/main" id="{00000000-0008-0000-1800-000033000000}"/>
            </a:ext>
          </a:extLst>
        </xdr:cNvPr>
        <xdr:cNvSpPr/>
      </xdr:nvSpPr>
      <xdr:spPr>
        <a:xfrm>
          <a:off x="165899" y="982345"/>
          <a:ext cx="3038715" cy="3574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1461993</xdr:colOff>
      <xdr:row>4</xdr:row>
      <xdr:rowOff>121060</xdr:rowOff>
    </xdr:from>
    <xdr:to>
      <xdr:col>2</xdr:col>
      <xdr:colOff>3553749</xdr:colOff>
      <xdr:row>5</xdr:row>
      <xdr:rowOff>276729</xdr:rowOff>
    </xdr:to>
    <xdr:sp macro="[0]!ToggleHideRows" textlink="">
      <xdr:nvSpPr>
        <xdr:cNvPr id="60" name="Rectangle: Rounded Corners 19">
          <a:extLst>
            <a:ext uri="{FF2B5EF4-FFF2-40B4-BE49-F238E27FC236}">
              <a16:creationId xmlns:a16="http://schemas.microsoft.com/office/drawing/2014/main" id="{00000000-0008-0000-1900-00003C000000}"/>
            </a:ext>
          </a:extLst>
        </xdr:cNvPr>
        <xdr:cNvSpPr/>
      </xdr:nvSpPr>
      <xdr:spPr>
        <a:xfrm>
          <a:off x="2438306" y="1014029"/>
          <a:ext cx="2091756" cy="358075"/>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1</xdr:col>
      <xdr:colOff>26035</xdr:colOff>
      <xdr:row>6</xdr:row>
      <xdr:rowOff>22614</xdr:rowOff>
    </xdr:from>
    <xdr:to>
      <xdr:col>2</xdr:col>
      <xdr:colOff>1343884</xdr:colOff>
      <xdr:row>7</xdr:row>
      <xdr:rowOff>130481</xdr:rowOff>
    </xdr:to>
    <xdr:sp macro="[0]!ActivateSelectWorksheet" textlink="">
      <xdr:nvSpPr>
        <xdr:cNvPr id="61" name="Rounded Rectangle 60">
          <a:extLst>
            <a:ext uri="{FF2B5EF4-FFF2-40B4-BE49-F238E27FC236}">
              <a16:creationId xmlns:a16="http://schemas.microsoft.com/office/drawing/2014/main" id="{00000000-0008-0000-1900-00003D000000}"/>
            </a:ext>
          </a:extLst>
        </xdr:cNvPr>
        <xdr:cNvSpPr/>
      </xdr:nvSpPr>
      <xdr:spPr>
        <a:xfrm>
          <a:off x="228441" y="1475177"/>
          <a:ext cx="2091756" cy="28646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27022</xdr:colOff>
      <xdr:row>4</xdr:row>
      <xdr:rowOff>114300</xdr:rowOff>
    </xdr:from>
    <xdr:to>
      <xdr:col>2</xdr:col>
      <xdr:colOff>1344871</xdr:colOff>
      <xdr:row>5</xdr:row>
      <xdr:rowOff>269969</xdr:rowOff>
    </xdr:to>
    <xdr:sp macro="[0]!ToggleHideColumns" textlink="">
      <xdr:nvSpPr>
        <xdr:cNvPr id="63" name="Rectangle: Rounded Corners 19">
          <a:extLst>
            <a:ext uri="{FF2B5EF4-FFF2-40B4-BE49-F238E27FC236}">
              <a16:creationId xmlns:a16="http://schemas.microsoft.com/office/drawing/2014/main" id="{00000000-0008-0000-1900-00003F000000}"/>
            </a:ext>
          </a:extLst>
        </xdr:cNvPr>
        <xdr:cNvSpPr/>
      </xdr:nvSpPr>
      <xdr:spPr>
        <a:xfrm>
          <a:off x="229428" y="1007269"/>
          <a:ext cx="2091756" cy="358075"/>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1348786</xdr:colOff>
      <xdr:row>4</xdr:row>
      <xdr:rowOff>148221</xdr:rowOff>
    </xdr:from>
    <xdr:to>
      <xdr:col>3</xdr:col>
      <xdr:colOff>3811829</xdr:colOff>
      <xdr:row>6</xdr:row>
      <xdr:rowOff>38814</xdr:rowOff>
    </xdr:to>
    <xdr:sp macro="[0]!ToggleHideRows" textlink="">
      <xdr:nvSpPr>
        <xdr:cNvPr id="80" name="Rectangle: Rounded Corners 19">
          <a:extLst>
            <a:ext uri="{FF2B5EF4-FFF2-40B4-BE49-F238E27FC236}">
              <a16:creationId xmlns:a16="http://schemas.microsoft.com/office/drawing/2014/main" id="{00000000-0008-0000-1A00-000050000000}"/>
            </a:ext>
          </a:extLst>
        </xdr:cNvPr>
        <xdr:cNvSpPr/>
      </xdr:nvSpPr>
      <xdr:spPr>
        <a:xfrm>
          <a:off x="2753724" y="981659"/>
          <a:ext cx="2463043" cy="37874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0</xdr:col>
      <xdr:colOff>151607</xdr:colOff>
      <xdr:row>6</xdr:row>
      <xdr:rowOff>147838</xdr:rowOff>
    </xdr:from>
    <xdr:to>
      <xdr:col>3</xdr:col>
      <xdr:colOff>1209712</xdr:colOff>
      <xdr:row>6</xdr:row>
      <xdr:rowOff>450836</xdr:rowOff>
    </xdr:to>
    <xdr:sp macro="[0]!ActivateSelectWorksheet" textlink="">
      <xdr:nvSpPr>
        <xdr:cNvPr id="81" name="Rounded Rectangle 80">
          <a:extLst>
            <a:ext uri="{FF2B5EF4-FFF2-40B4-BE49-F238E27FC236}">
              <a16:creationId xmlns:a16="http://schemas.microsoft.com/office/drawing/2014/main" id="{00000000-0008-0000-1A00-000051000000}"/>
            </a:ext>
          </a:extLst>
        </xdr:cNvPr>
        <xdr:cNvSpPr/>
      </xdr:nvSpPr>
      <xdr:spPr>
        <a:xfrm>
          <a:off x="151607" y="1469432"/>
          <a:ext cx="2463043" cy="302998"/>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152770</xdr:colOff>
      <xdr:row>4</xdr:row>
      <xdr:rowOff>141071</xdr:rowOff>
    </xdr:from>
    <xdr:to>
      <xdr:col>3</xdr:col>
      <xdr:colOff>1210875</xdr:colOff>
      <xdr:row>6</xdr:row>
      <xdr:rowOff>31664</xdr:rowOff>
    </xdr:to>
    <xdr:sp macro="[0]!ToggleHideColumns" textlink="">
      <xdr:nvSpPr>
        <xdr:cNvPr id="83" name="Rectangle: Rounded Corners 19">
          <a:extLst>
            <a:ext uri="{FF2B5EF4-FFF2-40B4-BE49-F238E27FC236}">
              <a16:creationId xmlns:a16="http://schemas.microsoft.com/office/drawing/2014/main" id="{00000000-0008-0000-1A00-000053000000}"/>
            </a:ext>
          </a:extLst>
        </xdr:cNvPr>
        <xdr:cNvSpPr/>
      </xdr:nvSpPr>
      <xdr:spPr>
        <a:xfrm>
          <a:off x="152770" y="974509"/>
          <a:ext cx="2463043" cy="378749"/>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1978334</xdr:colOff>
      <xdr:row>4</xdr:row>
      <xdr:rowOff>93524</xdr:rowOff>
    </xdr:from>
    <xdr:to>
      <xdr:col>4</xdr:col>
      <xdr:colOff>1000968</xdr:colOff>
      <xdr:row>5</xdr:row>
      <xdr:rowOff>165538</xdr:rowOff>
    </xdr:to>
    <xdr:sp macro="[0]!ToggleHideRows" textlink="">
      <xdr:nvSpPr>
        <xdr:cNvPr id="97" name="Rectangle: Rounded Corners 19">
          <a:extLst>
            <a:ext uri="{FF2B5EF4-FFF2-40B4-BE49-F238E27FC236}">
              <a16:creationId xmlns:a16="http://schemas.microsoft.com/office/drawing/2014/main" id="{00000000-0008-0000-1B00-000061000000}"/>
            </a:ext>
          </a:extLst>
        </xdr:cNvPr>
        <xdr:cNvSpPr/>
      </xdr:nvSpPr>
      <xdr:spPr>
        <a:xfrm>
          <a:off x="2930834" y="855524"/>
          <a:ext cx="2582603" cy="345858"/>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1</xdr:col>
      <xdr:colOff>0</xdr:colOff>
      <xdr:row>5</xdr:row>
      <xdr:rowOff>265094</xdr:rowOff>
    </xdr:from>
    <xdr:to>
      <xdr:col>2</xdr:col>
      <xdr:colOff>1832509</xdr:colOff>
      <xdr:row>8</xdr:row>
      <xdr:rowOff>65529</xdr:rowOff>
    </xdr:to>
    <xdr:sp macro="[0]!ActivateSelectWorksheet" textlink="">
      <xdr:nvSpPr>
        <xdr:cNvPr id="98" name="Rounded Rectangle 97">
          <a:extLst>
            <a:ext uri="{FF2B5EF4-FFF2-40B4-BE49-F238E27FC236}">
              <a16:creationId xmlns:a16="http://schemas.microsoft.com/office/drawing/2014/main" id="{00000000-0008-0000-1B00-000062000000}"/>
            </a:ext>
          </a:extLst>
        </xdr:cNvPr>
        <xdr:cNvSpPr/>
      </xdr:nvSpPr>
      <xdr:spPr>
        <a:xfrm>
          <a:off x="202406" y="1300938"/>
          <a:ext cx="2582603" cy="27668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1219</xdr:colOff>
      <xdr:row>4</xdr:row>
      <xdr:rowOff>86995</xdr:rowOff>
    </xdr:from>
    <xdr:to>
      <xdr:col>2</xdr:col>
      <xdr:colOff>1833728</xdr:colOff>
      <xdr:row>5</xdr:row>
      <xdr:rowOff>159009</xdr:rowOff>
    </xdr:to>
    <xdr:sp macro="[0]!ToggleHideColumns" textlink="">
      <xdr:nvSpPr>
        <xdr:cNvPr id="100" name="Rectangle: Rounded Corners 19">
          <a:extLst>
            <a:ext uri="{FF2B5EF4-FFF2-40B4-BE49-F238E27FC236}">
              <a16:creationId xmlns:a16="http://schemas.microsoft.com/office/drawing/2014/main" id="{00000000-0008-0000-1B00-000064000000}"/>
            </a:ext>
          </a:extLst>
        </xdr:cNvPr>
        <xdr:cNvSpPr/>
      </xdr:nvSpPr>
      <xdr:spPr>
        <a:xfrm>
          <a:off x="203625" y="848995"/>
          <a:ext cx="2582603" cy="345858"/>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1866498</xdr:colOff>
      <xdr:row>4</xdr:row>
      <xdr:rowOff>110234</xdr:rowOff>
    </xdr:from>
    <xdr:to>
      <xdr:col>4</xdr:col>
      <xdr:colOff>1029513</xdr:colOff>
      <xdr:row>6</xdr:row>
      <xdr:rowOff>53704</xdr:rowOff>
    </xdr:to>
    <xdr:sp macro="[0]!ToggleHideRows" textlink="">
      <xdr:nvSpPr>
        <xdr:cNvPr id="39" name="Rectangle: Rounded Corners 19">
          <a:extLst>
            <a:ext uri="{FF2B5EF4-FFF2-40B4-BE49-F238E27FC236}">
              <a16:creationId xmlns:a16="http://schemas.microsoft.com/office/drawing/2014/main" id="{00000000-0008-0000-1C00-000027000000}"/>
            </a:ext>
          </a:extLst>
        </xdr:cNvPr>
        <xdr:cNvSpPr/>
      </xdr:nvSpPr>
      <xdr:spPr>
        <a:xfrm>
          <a:off x="3057123" y="1205609"/>
          <a:ext cx="2675359" cy="348283"/>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1</xdr:col>
      <xdr:colOff>28296</xdr:colOff>
      <xdr:row>6</xdr:row>
      <xdr:rowOff>153958</xdr:rowOff>
    </xdr:from>
    <xdr:to>
      <xdr:col>2</xdr:col>
      <xdr:colOff>1715436</xdr:colOff>
      <xdr:row>8</xdr:row>
      <xdr:rowOff>75397</xdr:rowOff>
    </xdr:to>
    <xdr:sp macro="[0]!ActivateSelectWorksheet" textlink="">
      <xdr:nvSpPr>
        <xdr:cNvPr id="40" name="Rounded Rectangle 39">
          <a:extLst>
            <a:ext uri="{FF2B5EF4-FFF2-40B4-BE49-F238E27FC236}">
              <a16:creationId xmlns:a16="http://schemas.microsoft.com/office/drawing/2014/main" id="{00000000-0008-0000-1C00-000028000000}"/>
            </a:ext>
          </a:extLst>
        </xdr:cNvPr>
        <xdr:cNvSpPr/>
      </xdr:nvSpPr>
      <xdr:spPr>
        <a:xfrm>
          <a:off x="230702" y="1654146"/>
          <a:ext cx="2675359" cy="2786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29559</xdr:colOff>
      <xdr:row>4</xdr:row>
      <xdr:rowOff>103659</xdr:rowOff>
    </xdr:from>
    <xdr:to>
      <xdr:col>2</xdr:col>
      <xdr:colOff>1716699</xdr:colOff>
      <xdr:row>6</xdr:row>
      <xdr:rowOff>47129</xdr:rowOff>
    </xdr:to>
    <xdr:sp macro="[0]!ToggleHideColumns" textlink="">
      <xdr:nvSpPr>
        <xdr:cNvPr id="42" name="Rectangle: Rounded Corners 19">
          <a:extLst>
            <a:ext uri="{FF2B5EF4-FFF2-40B4-BE49-F238E27FC236}">
              <a16:creationId xmlns:a16="http://schemas.microsoft.com/office/drawing/2014/main" id="{00000000-0008-0000-1C00-00002A000000}"/>
            </a:ext>
          </a:extLst>
        </xdr:cNvPr>
        <xdr:cNvSpPr/>
      </xdr:nvSpPr>
      <xdr:spPr>
        <a:xfrm>
          <a:off x="231965" y="1199034"/>
          <a:ext cx="2675359" cy="348283"/>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3</xdr:col>
      <xdr:colOff>1727189</xdr:colOff>
      <xdr:row>4</xdr:row>
      <xdr:rowOff>111456</xdr:rowOff>
    </xdr:from>
    <xdr:to>
      <xdr:col>4</xdr:col>
      <xdr:colOff>468414</xdr:colOff>
      <xdr:row>5</xdr:row>
      <xdr:rowOff>120129</xdr:rowOff>
    </xdr:to>
    <xdr:sp macro="[0]!ToggleHideRows" textlink="">
      <xdr:nvSpPr>
        <xdr:cNvPr id="153" name="Rectangle: Rounded Corners 19">
          <a:extLst>
            <a:ext uri="{FF2B5EF4-FFF2-40B4-BE49-F238E27FC236}">
              <a16:creationId xmlns:a16="http://schemas.microsoft.com/office/drawing/2014/main" id="{00000000-0008-0000-1D00-000099000000}"/>
            </a:ext>
          </a:extLst>
        </xdr:cNvPr>
        <xdr:cNvSpPr/>
      </xdr:nvSpPr>
      <xdr:spPr>
        <a:xfrm>
          <a:off x="2965439" y="909175"/>
          <a:ext cx="2575038" cy="35395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1</xdr:col>
      <xdr:colOff>30690</xdr:colOff>
      <xdr:row>5</xdr:row>
      <xdr:rowOff>222015</xdr:rowOff>
    </xdr:from>
    <xdr:to>
      <xdr:col>3</xdr:col>
      <xdr:colOff>1581791</xdr:colOff>
      <xdr:row>6</xdr:row>
      <xdr:rowOff>5114</xdr:rowOff>
    </xdr:to>
    <xdr:sp macro="[0]!ActivateSelectWorksheet" textlink="">
      <xdr:nvSpPr>
        <xdr:cNvPr id="154" name="Rounded Rectangle 153">
          <a:extLst>
            <a:ext uri="{FF2B5EF4-FFF2-40B4-BE49-F238E27FC236}">
              <a16:creationId xmlns:a16="http://schemas.microsoft.com/office/drawing/2014/main" id="{00000000-0008-0000-1D00-00009A000000}"/>
            </a:ext>
          </a:extLst>
        </xdr:cNvPr>
        <xdr:cNvSpPr/>
      </xdr:nvSpPr>
      <xdr:spPr>
        <a:xfrm>
          <a:off x="245003" y="1365015"/>
          <a:ext cx="2575038" cy="283162"/>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clientData/>
  </xdr:twoCellAnchor>
  <xdr:twoCellAnchor>
    <xdr:from>
      <xdr:col>1</xdr:col>
      <xdr:colOff>31905</xdr:colOff>
      <xdr:row>4</xdr:row>
      <xdr:rowOff>104774</xdr:rowOff>
    </xdr:from>
    <xdr:to>
      <xdr:col>3</xdr:col>
      <xdr:colOff>1583006</xdr:colOff>
      <xdr:row>5</xdr:row>
      <xdr:rowOff>113447</xdr:rowOff>
    </xdr:to>
    <xdr:sp macro="[0]!ToggleHideColumns" textlink="">
      <xdr:nvSpPr>
        <xdr:cNvPr id="156" name="Rectangle: Rounded Corners 19">
          <a:extLst>
            <a:ext uri="{FF2B5EF4-FFF2-40B4-BE49-F238E27FC236}">
              <a16:creationId xmlns:a16="http://schemas.microsoft.com/office/drawing/2014/main" id="{00000000-0008-0000-1D00-00009C000000}"/>
            </a:ext>
          </a:extLst>
        </xdr:cNvPr>
        <xdr:cNvSpPr/>
      </xdr:nvSpPr>
      <xdr:spPr>
        <a:xfrm>
          <a:off x="246218" y="902493"/>
          <a:ext cx="2575038" cy="35395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1698282</xdr:colOff>
      <xdr:row>4</xdr:row>
      <xdr:rowOff>159213</xdr:rowOff>
    </xdr:from>
    <xdr:to>
      <xdr:col>4</xdr:col>
      <xdr:colOff>26915</xdr:colOff>
      <xdr:row>5</xdr:row>
      <xdr:rowOff>186728</xdr:rowOff>
    </xdr:to>
    <xdr:sp macro="[0]!ToggleHideRows" textlink="">
      <xdr:nvSpPr>
        <xdr:cNvPr id="65" name="Rectangle: Rounded Corners 19">
          <a:extLst>
            <a:ext uri="{FF2B5EF4-FFF2-40B4-BE49-F238E27FC236}">
              <a16:creationId xmlns:a16="http://schemas.microsoft.com/office/drawing/2014/main" id="{00000000-0008-0000-1E00-000041000000}"/>
            </a:ext>
          </a:extLst>
        </xdr:cNvPr>
        <xdr:cNvSpPr/>
      </xdr:nvSpPr>
      <xdr:spPr>
        <a:xfrm>
          <a:off x="2650782" y="1016463"/>
          <a:ext cx="2364852" cy="360890"/>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0</xdr:col>
      <xdr:colOff>152401</xdr:colOff>
      <xdr:row>5</xdr:row>
      <xdr:rowOff>290610</xdr:rowOff>
    </xdr:from>
    <xdr:to>
      <xdr:col>2</xdr:col>
      <xdr:colOff>1564753</xdr:colOff>
      <xdr:row>7</xdr:row>
      <xdr:rowOff>103071</xdr:rowOff>
    </xdr:to>
    <xdr:sp macro="[0]!ActivateSelectWorksheet" textlink="">
      <xdr:nvSpPr>
        <xdr:cNvPr id="66" name="Rounded Rectangle 65">
          <a:extLst>
            <a:ext uri="{FF2B5EF4-FFF2-40B4-BE49-F238E27FC236}">
              <a16:creationId xmlns:a16="http://schemas.microsoft.com/office/drawing/2014/main" id="{00000000-0008-0000-1E00-000042000000}"/>
            </a:ext>
          </a:extLst>
        </xdr:cNvPr>
        <xdr:cNvSpPr/>
      </xdr:nvSpPr>
      <xdr:spPr>
        <a:xfrm>
          <a:off x="152401" y="1481235"/>
          <a:ext cx="2364852" cy="288711"/>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153517</xdr:colOff>
      <xdr:row>4</xdr:row>
      <xdr:rowOff>152400</xdr:rowOff>
    </xdr:from>
    <xdr:to>
      <xdr:col>2</xdr:col>
      <xdr:colOff>1565869</xdr:colOff>
      <xdr:row>5</xdr:row>
      <xdr:rowOff>179915</xdr:rowOff>
    </xdr:to>
    <xdr:sp macro="[0]!ToggleHideColumns" textlink="">
      <xdr:nvSpPr>
        <xdr:cNvPr id="68" name="Rectangle: Rounded Corners 19">
          <a:extLst>
            <a:ext uri="{FF2B5EF4-FFF2-40B4-BE49-F238E27FC236}">
              <a16:creationId xmlns:a16="http://schemas.microsoft.com/office/drawing/2014/main" id="{00000000-0008-0000-1E00-000044000000}"/>
            </a:ext>
          </a:extLst>
        </xdr:cNvPr>
        <xdr:cNvSpPr/>
      </xdr:nvSpPr>
      <xdr:spPr>
        <a:xfrm>
          <a:off x="153517" y="1009650"/>
          <a:ext cx="2364852" cy="360890"/>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1295749</xdr:colOff>
      <xdr:row>4</xdr:row>
      <xdr:rowOff>81980</xdr:rowOff>
    </xdr:from>
    <xdr:to>
      <xdr:col>2</xdr:col>
      <xdr:colOff>3477868</xdr:colOff>
      <xdr:row>6</xdr:row>
      <xdr:rowOff>39615</xdr:rowOff>
    </xdr:to>
    <xdr:sp macro="[0]!ToggleHideRows" textlink="">
      <xdr:nvSpPr>
        <xdr:cNvPr id="43" name="Rectangle: Rounded Corners 19">
          <a:extLst>
            <a:ext uri="{FF2B5EF4-FFF2-40B4-BE49-F238E27FC236}">
              <a16:creationId xmlns:a16="http://schemas.microsoft.com/office/drawing/2014/main" id="{00000000-0008-0000-1F00-00002B000000}"/>
            </a:ext>
          </a:extLst>
        </xdr:cNvPr>
        <xdr:cNvSpPr/>
      </xdr:nvSpPr>
      <xdr:spPr>
        <a:xfrm>
          <a:off x="2486374" y="1213074"/>
          <a:ext cx="2182119" cy="35054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clientData/>
  </xdr:twoCellAnchor>
  <xdr:twoCellAnchor>
    <xdr:from>
      <xdr:col>0</xdr:col>
      <xdr:colOff>181044</xdr:colOff>
      <xdr:row>6</xdr:row>
      <xdr:rowOff>140520</xdr:rowOff>
    </xdr:from>
    <xdr:to>
      <xdr:col>2</xdr:col>
      <xdr:colOff>1172538</xdr:colOff>
      <xdr:row>8</xdr:row>
      <xdr:rowOff>63764</xdr:rowOff>
    </xdr:to>
    <xdr:sp macro="[0]!ActivateSelectWorksheet" textlink="">
      <xdr:nvSpPr>
        <xdr:cNvPr id="44" name="Rounded Rectangle 43">
          <a:extLst>
            <a:ext uri="{FF2B5EF4-FFF2-40B4-BE49-F238E27FC236}">
              <a16:creationId xmlns:a16="http://schemas.microsoft.com/office/drawing/2014/main" id="{00000000-0008-0000-1F00-00002C000000}"/>
            </a:ext>
          </a:extLst>
        </xdr:cNvPr>
        <xdr:cNvSpPr/>
      </xdr:nvSpPr>
      <xdr:spPr>
        <a:xfrm>
          <a:off x="181044" y="1664520"/>
          <a:ext cx="2182119" cy="280432"/>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182074</xdr:colOff>
      <xdr:row>4</xdr:row>
      <xdr:rowOff>75363</xdr:rowOff>
    </xdr:from>
    <xdr:to>
      <xdr:col>2</xdr:col>
      <xdr:colOff>1173568</xdr:colOff>
      <xdr:row>6</xdr:row>
      <xdr:rowOff>32998</xdr:rowOff>
    </xdr:to>
    <xdr:sp macro="[0]!ToggleHideColumns" textlink="">
      <xdr:nvSpPr>
        <xdr:cNvPr id="46" name="Rectangle: Rounded Corners 19">
          <a:extLst>
            <a:ext uri="{FF2B5EF4-FFF2-40B4-BE49-F238E27FC236}">
              <a16:creationId xmlns:a16="http://schemas.microsoft.com/office/drawing/2014/main" id="{00000000-0008-0000-1F00-00002E000000}"/>
            </a:ext>
          </a:extLst>
        </xdr:cNvPr>
        <xdr:cNvSpPr/>
      </xdr:nvSpPr>
      <xdr:spPr>
        <a:xfrm>
          <a:off x="182074" y="1206457"/>
          <a:ext cx="2182119" cy="35054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67946</xdr:colOff>
      <xdr:row>0</xdr:row>
      <xdr:rowOff>88899</xdr:rowOff>
    </xdr:from>
    <xdr:to>
      <xdr:col>1</xdr:col>
      <xdr:colOff>1499236</xdr:colOff>
      <xdr:row>0</xdr:row>
      <xdr:rowOff>505459</xdr:rowOff>
    </xdr:to>
    <xdr:sp macro="[0]!returnstartG1" textlink="">
      <xdr:nvSpPr>
        <xdr:cNvPr id="3" name="Rounded Rectangle 2">
          <a:extLst>
            <a:ext uri="{FF2B5EF4-FFF2-40B4-BE49-F238E27FC236}">
              <a16:creationId xmlns:a16="http://schemas.microsoft.com/office/drawing/2014/main" id="{00000000-0008-0000-2000-000003000000}"/>
            </a:ext>
          </a:extLst>
        </xdr:cNvPr>
        <xdr:cNvSpPr/>
      </xdr:nvSpPr>
      <xdr:spPr>
        <a:xfrm>
          <a:off x="67946" y="88899"/>
          <a:ext cx="1431290" cy="4165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21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2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3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4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5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6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6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7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8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59267</xdr:colOff>
      <xdr:row>9</xdr:row>
      <xdr:rowOff>200025</xdr:rowOff>
    </xdr:from>
    <xdr:to>
      <xdr:col>8</xdr:col>
      <xdr:colOff>162842</xdr:colOff>
      <xdr:row>15</xdr:row>
      <xdr:rowOff>59850</xdr:rowOff>
    </xdr:to>
    <xdr:sp macro="[0]!ActivateG1AllHabitats" textlink="">
      <xdr:nvSpPr>
        <xdr:cNvPr id="6" name="TextBox 5">
          <a:extLst>
            <a:ext uri="{FF2B5EF4-FFF2-40B4-BE49-F238E27FC236}">
              <a16:creationId xmlns:a16="http://schemas.microsoft.com/office/drawing/2014/main" id="{00000000-0008-0000-2900-000006000000}"/>
            </a:ext>
          </a:extLst>
        </xdr:cNvPr>
        <xdr:cNvSpPr txBox="1"/>
      </xdr:nvSpPr>
      <xdr:spPr>
        <a:xfrm>
          <a:off x="2459567" y="2057400"/>
          <a:ext cx="2018100" cy="128857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9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245534</xdr:colOff>
      <xdr:row>9</xdr:row>
      <xdr:rowOff>193673</xdr:rowOff>
    </xdr:from>
    <xdr:to>
      <xdr:col>15</xdr:col>
      <xdr:colOff>379801</xdr:colOff>
      <xdr:row>15</xdr:row>
      <xdr:rowOff>56673</xdr:rowOff>
    </xdr:to>
    <xdr:sp macro="[0]!ActivateG3Multipliers" textlink="">
      <xdr:nvSpPr>
        <xdr:cNvPr id="9" name="Rounded Rectangle 8">
          <a:extLst>
            <a:ext uri="{FF2B5EF4-FFF2-40B4-BE49-F238E27FC236}">
              <a16:creationId xmlns:a16="http://schemas.microsoft.com/office/drawing/2014/main" id="{00000000-0008-0000-2900-000009000000}"/>
            </a:ext>
          </a:extLst>
        </xdr:cNvPr>
        <xdr:cNvSpPr/>
      </xdr:nvSpPr>
      <xdr:spPr>
        <a:xfrm>
          <a:off x="6960659" y="2051048"/>
          <a:ext cx="2020217" cy="12917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4</xdr:col>
      <xdr:colOff>499409</xdr:colOff>
      <xdr:row>15</xdr:row>
      <xdr:rowOff>83784</xdr:rowOff>
    </xdr:to>
    <xdr:sp macro="[0]!returnstarttechdata" textlink="">
      <xdr:nvSpPr>
        <xdr:cNvPr id="10" name="TextBox 9">
          <a:extLst>
            <a:ext uri="{FF2B5EF4-FFF2-40B4-BE49-F238E27FC236}">
              <a16:creationId xmlns:a16="http://schemas.microsoft.com/office/drawing/2014/main" id="{00000000-0008-0000-2900-00000A000000}"/>
            </a:ext>
          </a:extLst>
        </xdr:cNvPr>
        <xdr:cNvSpPr txBox="1"/>
      </xdr:nvSpPr>
      <xdr:spPr>
        <a:xfrm>
          <a:off x="245534" y="2077509"/>
          <a:ext cx="2016000" cy="1292400"/>
        </a:xfrm>
        <a:prstGeom prst="roundRect">
          <a:avLst/>
        </a:prstGeom>
        <a:solidFill>
          <a:srgbClr val="F4D4D4"/>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Return to start</a:t>
          </a:r>
        </a:p>
        <a:p>
          <a:pPr algn="ctr"/>
          <a:r>
            <a:rPr lang="en-GB" sz="1400" b="1">
              <a:solidFill>
                <a:schemeClr val="accent1"/>
              </a:solidFill>
              <a:latin typeface="Rockwell Light" panose="02040303020102020203" pitchFamily="18" charset="0"/>
            </a:rPr>
            <a:t>page</a:t>
          </a:r>
        </a:p>
      </xdr:txBody>
    </xdr:sp>
    <xdr:clientData/>
  </xdr:twoCellAnchor>
  <xdr:twoCellAnchor>
    <xdr:from>
      <xdr:col>1</xdr:col>
      <xdr:colOff>114300</xdr:colOff>
      <xdr:row>16</xdr:row>
      <xdr:rowOff>168275</xdr:rowOff>
    </xdr:from>
    <xdr:to>
      <xdr:col>4</xdr:col>
      <xdr:colOff>525850</xdr:colOff>
      <xdr:row>23</xdr:row>
      <xdr:rowOff>9050</xdr:rowOff>
    </xdr:to>
    <xdr:sp macro="[0]!ActivateG4Temporalmultipliers" textlink="">
      <xdr:nvSpPr>
        <xdr:cNvPr id="12" name="TextBox 11">
          <a:extLst>
            <a:ext uri="{FF2B5EF4-FFF2-40B4-BE49-F238E27FC236}">
              <a16:creationId xmlns:a16="http://schemas.microsoft.com/office/drawing/2014/main" id="{00000000-0008-0000-2900-00000C000000}"/>
            </a:ext>
          </a:extLst>
        </xdr:cNvPr>
        <xdr:cNvSpPr txBox="1"/>
      </xdr:nvSpPr>
      <xdr:spPr>
        <a:xfrm>
          <a:off x="266700" y="3663950"/>
          <a:ext cx="2021275" cy="130762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5</xdr:col>
      <xdr:colOff>120651</xdr:colOff>
      <xdr:row>16</xdr:row>
      <xdr:rowOff>173567</xdr:rowOff>
    </xdr:from>
    <xdr:to>
      <xdr:col>8</xdr:col>
      <xdr:colOff>212584</xdr:colOff>
      <xdr:row>23</xdr:row>
      <xdr:rowOff>17517</xdr:rowOff>
    </xdr:to>
    <xdr:sp macro="[0]!ActivateG5EnhancementTemporaldata" textlink="">
      <xdr:nvSpPr>
        <xdr:cNvPr id="13" name="TextBox 12">
          <a:extLst>
            <a:ext uri="{FF2B5EF4-FFF2-40B4-BE49-F238E27FC236}">
              <a16:creationId xmlns:a16="http://schemas.microsoft.com/office/drawing/2014/main" id="{00000000-0008-0000-2900-00000D000000}"/>
            </a:ext>
          </a:extLst>
        </xdr:cNvPr>
        <xdr:cNvSpPr txBox="1"/>
      </xdr:nvSpPr>
      <xdr:spPr>
        <a:xfrm>
          <a:off x="2520951" y="3669242"/>
          <a:ext cx="2006458" cy="13108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8</xdr:col>
      <xdr:colOff>446617</xdr:colOff>
      <xdr:row>16</xdr:row>
      <xdr:rowOff>183092</xdr:rowOff>
    </xdr:from>
    <xdr:to>
      <xdr:col>12</xdr:col>
      <xdr:colOff>66534</xdr:colOff>
      <xdr:row>23</xdr:row>
      <xdr:rowOff>7992</xdr:rowOff>
    </xdr:to>
    <xdr:sp macro="[0]!ActivateG6Hedgerowdata" textlink="">
      <xdr:nvSpPr>
        <xdr:cNvPr id="14" name="TextBox 13">
          <a:extLst>
            <a:ext uri="{FF2B5EF4-FFF2-40B4-BE49-F238E27FC236}">
              <a16:creationId xmlns:a16="http://schemas.microsoft.com/office/drawing/2014/main" id="{00000000-0008-0000-2900-00000E000000}"/>
            </a:ext>
          </a:extLst>
        </xdr:cNvPr>
        <xdr:cNvSpPr txBox="1"/>
      </xdr:nvSpPr>
      <xdr:spPr>
        <a:xfrm>
          <a:off x="4761442" y="3678767"/>
          <a:ext cx="2020217" cy="12917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1</xdr:col>
      <xdr:colOff>136524</xdr:colOff>
      <xdr:row>24</xdr:row>
      <xdr:rowOff>7409</xdr:rowOff>
    </xdr:from>
    <xdr:to>
      <xdr:col>4</xdr:col>
      <xdr:colOff>544899</xdr:colOff>
      <xdr:row>30</xdr:row>
      <xdr:rowOff>115942</xdr:rowOff>
    </xdr:to>
    <xdr:sp macro="[0]!ActivateG7WaterCdata" textlink="">
      <xdr:nvSpPr>
        <xdr:cNvPr id="16" name="TextBox 15">
          <a:extLst>
            <a:ext uri="{FF2B5EF4-FFF2-40B4-BE49-F238E27FC236}">
              <a16:creationId xmlns:a16="http://schemas.microsoft.com/office/drawing/2014/main" id="{00000000-0008-0000-2900-000010000000}"/>
            </a:ext>
          </a:extLst>
        </xdr:cNvPr>
        <xdr:cNvSpPr txBox="1"/>
      </xdr:nvSpPr>
      <xdr:spPr>
        <a:xfrm>
          <a:off x="288924" y="5179484"/>
          <a:ext cx="2018100" cy="1251533"/>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5</xdr:col>
      <xdr:colOff>151341</xdr:colOff>
      <xdr:row>23</xdr:row>
      <xdr:rowOff>198967</xdr:rowOff>
    </xdr:from>
    <xdr:to>
      <xdr:col>8</xdr:col>
      <xdr:colOff>258091</xdr:colOff>
      <xdr:row>30</xdr:row>
      <xdr:rowOff>97950</xdr:rowOff>
    </xdr:to>
    <xdr:sp macro="[0]!ActivateConditionlookup" textlink="">
      <xdr:nvSpPr>
        <xdr:cNvPr id="17" name="TextBox 16">
          <a:extLst>
            <a:ext uri="{FF2B5EF4-FFF2-40B4-BE49-F238E27FC236}">
              <a16:creationId xmlns:a16="http://schemas.microsoft.com/office/drawing/2014/main" id="{00000000-0008-0000-2900-000011000000}"/>
            </a:ext>
          </a:extLst>
        </xdr:cNvPr>
        <xdr:cNvSpPr txBox="1"/>
      </xdr:nvSpPr>
      <xdr:spPr>
        <a:xfrm>
          <a:off x="2551641" y="5161492"/>
          <a:ext cx="2021275" cy="1251533"/>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302683</xdr:colOff>
      <xdr:row>16</xdr:row>
      <xdr:rowOff>154517</xdr:rowOff>
    </xdr:from>
    <xdr:to>
      <xdr:col>15</xdr:col>
      <xdr:colOff>436950</xdr:colOff>
      <xdr:row>22</xdr:row>
      <xdr:rowOff>145575</xdr:rowOff>
    </xdr:to>
    <xdr:sp macro="[0]!ActivateTranslationTool" textlink="">
      <xdr:nvSpPr>
        <xdr:cNvPr id="18" name="TextBox 17">
          <a:extLst>
            <a:ext uri="{FF2B5EF4-FFF2-40B4-BE49-F238E27FC236}">
              <a16:creationId xmlns:a16="http://schemas.microsoft.com/office/drawing/2014/main" id="{00000000-0008-0000-2900-000012000000}"/>
            </a:ext>
          </a:extLst>
        </xdr:cNvPr>
        <xdr:cNvSpPr txBox="1"/>
      </xdr:nvSpPr>
      <xdr:spPr>
        <a:xfrm>
          <a:off x="7017808" y="3650192"/>
          <a:ext cx="2020217" cy="1248358"/>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9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Statutory Biodiversity Metric </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9</xdr:col>
      <xdr:colOff>19050</xdr:colOff>
      <xdr:row>24</xdr:row>
      <xdr:rowOff>28575</xdr:rowOff>
    </xdr:from>
    <xdr:to>
      <xdr:col>12</xdr:col>
      <xdr:colOff>122625</xdr:colOff>
      <xdr:row>30</xdr:row>
      <xdr:rowOff>130758</xdr:rowOff>
    </xdr:to>
    <xdr:sp macro="[0]!Activatecalculations" textlink="">
      <xdr:nvSpPr>
        <xdr:cNvPr id="2" name="TextBox 1">
          <a:extLst>
            <a:ext uri="{FF2B5EF4-FFF2-40B4-BE49-F238E27FC236}">
              <a16:creationId xmlns:a16="http://schemas.microsoft.com/office/drawing/2014/main" id="{00000000-0008-0000-2900-000002000000}"/>
            </a:ext>
          </a:extLst>
        </xdr:cNvPr>
        <xdr:cNvSpPr txBox="1"/>
      </xdr:nvSpPr>
      <xdr:spPr>
        <a:xfrm>
          <a:off x="4819650" y="5200650"/>
          <a:ext cx="2018100" cy="1245183"/>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Unit shortfall calculations</a:t>
          </a:r>
        </a:p>
      </xdr:txBody>
    </xdr:sp>
    <xdr:clientData/>
  </xdr:twoCellAnchor>
  <xdr:twoCellAnchor>
    <xdr:from>
      <xdr:col>12</xdr:col>
      <xdr:colOff>321469</xdr:colOff>
      <xdr:row>24</xdr:row>
      <xdr:rowOff>23812</xdr:rowOff>
    </xdr:from>
    <xdr:to>
      <xdr:col>15</xdr:col>
      <xdr:colOff>436951</xdr:colOff>
      <xdr:row>30</xdr:row>
      <xdr:rowOff>125995</xdr:rowOff>
    </xdr:to>
    <xdr:sp macro="[0]!VersionHistory" textlink="">
      <xdr:nvSpPr>
        <xdr:cNvPr id="4" name="TextBox 3">
          <a:extLst>
            <a:ext uri="{FF2B5EF4-FFF2-40B4-BE49-F238E27FC236}">
              <a16:creationId xmlns:a16="http://schemas.microsoft.com/office/drawing/2014/main" id="{71C6AD97-0009-40C5-A96A-FE25AAFB93AA}"/>
            </a:ext>
          </a:extLst>
        </xdr:cNvPr>
        <xdr:cNvSpPr txBox="1"/>
      </xdr:nvSpPr>
      <xdr:spPr>
        <a:xfrm>
          <a:off x="6727032" y="5298281"/>
          <a:ext cx="1925232" cy="1292808"/>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Version history</a:t>
          </a:r>
        </a:p>
        <a:p>
          <a:pPr algn="ctr"/>
          <a:endParaRPr lang="en-GB" sz="1400" baseline="0">
            <a:solidFill>
              <a:schemeClr val="bg1"/>
            </a:solidFill>
            <a:latin typeface="Rockwell Light" panose="02040303020102020203"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rgb="FFBFBFBF"/>
  </sheetPr>
  <dimension ref="A1:Z591"/>
  <sheetViews>
    <sheetView showRowColHeaders="0" zoomScale="80" zoomScaleNormal="80" workbookViewId="0">
      <selection activeCell="V14" sqref="V14"/>
    </sheetView>
  </sheetViews>
  <sheetFormatPr defaultColWidth="9.33203125" defaultRowHeight="14.7" customHeight="1" zeroHeight="1" x14ac:dyDescent="0.3"/>
  <cols>
    <col min="1" max="2" width="9.33203125" style="9" customWidth="1"/>
    <col min="3" max="3" width="7" style="9" customWidth="1"/>
    <col min="4" max="6" width="9.33203125" style="9" customWidth="1"/>
    <col min="7" max="7" width="12.33203125" style="9" customWidth="1"/>
    <col min="8" max="8" width="5.6640625" style="9" customWidth="1"/>
    <col min="9" max="9" width="9.33203125" style="9" customWidth="1"/>
    <col min="10" max="10" width="34.5546875" style="9" customWidth="1"/>
    <col min="11" max="11" width="13.6640625" style="9" bestFit="1" customWidth="1"/>
    <col min="12" max="12" width="19.33203125" style="9" customWidth="1"/>
    <col min="13" max="14" width="9.33203125" style="9" customWidth="1"/>
    <col min="15" max="18" width="9.33203125" style="9"/>
    <col min="19" max="19" width="9.33203125" style="9" customWidth="1"/>
    <col min="20" max="26" width="9.33203125" style="9" hidden="1" customWidth="1"/>
    <col min="27" max="27" width="9.33203125" style="9" customWidth="1"/>
    <col min="28" max="16384" width="9.3320312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3" ht="14.7" customHeight="1" x14ac:dyDescent="0.3"/>
    <row r="584" ht="14.7" customHeight="1" x14ac:dyDescent="0.3"/>
    <row r="585" ht="14.7" customHeight="1" x14ac:dyDescent="0.3"/>
    <row r="586" ht="14.7" customHeight="1" x14ac:dyDescent="0.3"/>
    <row r="587" ht="14.7" customHeight="1" x14ac:dyDescent="0.3"/>
    <row r="588" ht="14.7" customHeight="1" x14ac:dyDescent="0.3"/>
    <row r="589" ht="14.7" customHeight="1" x14ac:dyDescent="0.3"/>
    <row r="590" ht="14.7" customHeight="1" x14ac:dyDescent="0.3"/>
    <row r="591" ht="14.7" customHeight="1" x14ac:dyDescent="0.3"/>
  </sheetData>
  <sheetProtection algorithmName="SHA-512" hashValue="ah1cDDXbxJQy1xTpZ5EnX0lQtUtrKNNLNJN+07NNn0qfjHhbQnhXtcoz8yjco9wNEusk5G0M71HOBudH/6uwvQ==" saltValue="jwdCDarRifn4ClF81pmTMQ=="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XFC67"/>
  <sheetViews>
    <sheetView showRowColHeaders="0" tabSelected="1" zoomScale="80" zoomScaleNormal="80" workbookViewId="0">
      <selection activeCell="P9" sqref="P9"/>
    </sheetView>
  </sheetViews>
  <sheetFormatPr defaultColWidth="0" defaultRowHeight="109.2" customHeight="1" zeroHeight="1" x14ac:dyDescent="0.25"/>
  <cols>
    <col min="1" max="2" width="2.33203125" style="11" customWidth="1"/>
    <col min="3" max="3" width="3" style="11" customWidth="1"/>
    <col min="4" max="4" width="10.5546875" style="11" customWidth="1"/>
    <col min="5" max="5" width="33.6640625" style="11" customWidth="1"/>
    <col min="6" max="6" width="14.6640625" style="11" customWidth="1"/>
    <col min="7" max="7" width="9.33203125" style="11" customWidth="1"/>
    <col min="8" max="8" width="7.6640625" style="11" customWidth="1"/>
    <col min="9" max="9" width="42.6640625" style="11" customWidth="1"/>
    <col min="10" max="10" width="23.6640625" style="11" customWidth="1"/>
    <col min="11" max="11" width="2.6640625" style="11" customWidth="1"/>
    <col min="12" max="12" width="1.5546875" style="11" customWidth="1"/>
    <col min="13" max="14" width="4.33203125" style="11" customWidth="1"/>
    <col min="15" max="15" width="5.6640625" style="11" customWidth="1"/>
    <col min="16" max="16" width="9.33203125" style="11" customWidth="1"/>
    <col min="17" max="17" width="34.5546875" style="11" customWidth="1"/>
    <col min="18" max="18" width="13.6640625" style="11" bestFit="1" customWidth="1"/>
    <col min="19" max="19" width="19.33203125" style="11" customWidth="1"/>
    <col min="20" max="20" width="9.33203125" style="11" customWidth="1"/>
    <col min="21" max="27" width="9.33203125" style="11" hidden="1"/>
    <col min="28" max="16383" width="10.5546875" style="11" hidden="1"/>
    <col min="16384" max="16384" width="15.6640625" style="11" hidden="1"/>
  </cols>
  <sheetData>
    <row r="1" spans="1:19" ht="15.6" customHeight="1" x14ac:dyDescent="0.5">
      <c r="B1" s="12"/>
      <c r="C1" s="12"/>
      <c r="E1" s="13"/>
      <c r="F1" s="1110"/>
      <c r="G1" s="1110"/>
      <c r="H1" s="1110"/>
      <c r="I1" s="1110"/>
      <c r="J1" s="1110"/>
      <c r="K1" s="1111"/>
      <c r="L1" s="1111"/>
      <c r="M1" s="1111"/>
      <c r="N1" s="1111"/>
      <c r="O1" s="1111"/>
      <c r="P1" s="1111"/>
    </row>
    <row r="2" spans="1:19" ht="15.75" customHeight="1" x14ac:dyDescent="0.5">
      <c r="B2" s="12"/>
      <c r="C2" s="12"/>
      <c r="E2" s="13"/>
    </row>
    <row r="3" spans="1:19" ht="15.75" customHeight="1" x14ac:dyDescent="0.5">
      <c r="A3" s="13"/>
      <c r="B3" s="13"/>
      <c r="C3" s="13"/>
      <c r="D3" s="13"/>
      <c r="E3" s="13"/>
      <c r="F3" s="1112"/>
      <c r="G3" s="1112"/>
      <c r="H3" s="1112"/>
      <c r="I3" s="1112"/>
      <c r="J3" s="1112"/>
      <c r="K3" s="1112"/>
      <c r="L3" s="1112"/>
      <c r="M3" s="1112"/>
      <c r="N3" s="1112"/>
      <c r="O3" s="1112"/>
      <c r="P3" s="1112"/>
      <c r="Q3" s="1112"/>
    </row>
    <row r="4" spans="1:19" ht="16.5" customHeight="1" x14ac:dyDescent="0.5">
      <c r="A4" s="13"/>
      <c r="B4" s="13"/>
      <c r="C4" s="13"/>
      <c r="D4" s="13"/>
      <c r="E4" s="13"/>
      <c r="F4" s="1112"/>
      <c r="G4" s="1112"/>
      <c r="H4" s="1112"/>
      <c r="I4" s="1112"/>
      <c r="J4" s="1112"/>
      <c r="K4" s="1112"/>
      <c r="L4" s="1112"/>
      <c r="M4" s="1112"/>
      <c r="N4" s="1112"/>
      <c r="O4" s="1112"/>
      <c r="P4" s="1112"/>
      <c r="Q4" s="1112"/>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7" customHeight="1" thickBot="1" x14ac:dyDescent="0.55000000000000004">
      <c r="B8" s="12"/>
      <c r="C8" s="12"/>
      <c r="D8" s="735">
        <v>4.0999999999999996</v>
      </c>
      <c r="E8" s="1117" t="str">
        <f>IF(OR(F16="",F17=""), "'Completed by' and 'Date of metric completion' fields must be filled in ▲","")</f>
        <v/>
      </c>
      <c r="F8" s="1117"/>
      <c r="G8" s="1117"/>
      <c r="H8" s="1117"/>
      <c r="I8" s="1117"/>
      <c r="J8" s="1117"/>
      <c r="K8" s="14"/>
      <c r="L8" s="14"/>
      <c r="M8" s="14"/>
      <c r="N8" s="14"/>
      <c r="O8" s="14"/>
      <c r="P8" s="14"/>
      <c r="Q8" s="14"/>
      <c r="R8" s="808"/>
      <c r="S8" s="14"/>
    </row>
    <row r="9" spans="1:19" ht="23.7" customHeight="1" x14ac:dyDescent="0.25">
      <c r="B9" s="12"/>
      <c r="D9" s="1118" t="s">
        <v>0</v>
      </c>
      <c r="E9" s="1119"/>
      <c r="F9" s="1119"/>
      <c r="G9" s="1119"/>
      <c r="H9" s="1119"/>
      <c r="I9" s="1119"/>
      <c r="J9" s="1120"/>
      <c r="K9" s="14"/>
      <c r="L9" s="14"/>
      <c r="M9" s="14"/>
      <c r="N9" s="14"/>
      <c r="O9" s="14"/>
      <c r="P9" s="14"/>
      <c r="Q9" s="14"/>
      <c r="R9" s="14"/>
      <c r="S9" s="14"/>
    </row>
    <row r="10" spans="1:19" ht="21.6" customHeight="1" thickBot="1" x14ac:dyDescent="0.3">
      <c r="B10" s="12"/>
      <c r="D10" s="1121"/>
      <c r="E10" s="1122"/>
      <c r="F10" s="1122"/>
      <c r="G10" s="1122"/>
      <c r="H10" s="1122"/>
      <c r="I10" s="1122"/>
      <c r="J10" s="1123"/>
      <c r="K10" s="14"/>
      <c r="L10" s="14"/>
      <c r="M10" s="14"/>
      <c r="N10" s="14"/>
      <c r="P10" s="14"/>
      <c r="Q10" s="14"/>
      <c r="R10" s="14"/>
    </row>
    <row r="11" spans="1:19" ht="26.1" customHeight="1" x14ac:dyDescent="0.25">
      <c r="B11" s="12"/>
      <c r="D11" s="1113" t="s">
        <v>1</v>
      </c>
      <c r="E11" s="1114"/>
      <c r="F11" s="1115" t="s">
        <v>1500</v>
      </c>
      <c r="G11" s="1115"/>
      <c r="H11" s="1115"/>
      <c r="I11" s="1115"/>
      <c r="J11" s="1116"/>
      <c r="K11" s="14"/>
      <c r="L11" s="14"/>
      <c r="M11" s="14"/>
      <c r="N11" s="14"/>
      <c r="P11" s="14"/>
      <c r="Q11" s="14"/>
      <c r="R11" s="14"/>
    </row>
    <row r="12" spans="1:19" ht="24" customHeight="1" x14ac:dyDescent="0.25">
      <c r="B12" s="12"/>
      <c r="D12" s="1108" t="s">
        <v>2</v>
      </c>
      <c r="E12" s="1109"/>
      <c r="F12" s="1106" t="s">
        <v>1793</v>
      </c>
      <c r="G12" s="1106"/>
      <c r="H12" s="1106"/>
      <c r="I12" s="1106"/>
      <c r="J12" s="1107"/>
      <c r="K12" s="14"/>
      <c r="L12" s="14"/>
      <c r="M12" s="14"/>
      <c r="N12" s="14"/>
      <c r="P12" s="14"/>
      <c r="Q12" s="14"/>
      <c r="R12" s="14"/>
    </row>
    <row r="13" spans="1:19" ht="21.6" customHeight="1" x14ac:dyDescent="0.25">
      <c r="B13" s="12"/>
      <c r="D13" s="1108" t="s">
        <v>3</v>
      </c>
      <c r="E13" s="1109"/>
      <c r="F13" s="1106" t="s">
        <v>1798</v>
      </c>
      <c r="G13" s="1106"/>
      <c r="H13" s="1106"/>
      <c r="I13" s="1106"/>
      <c r="J13" s="1107"/>
      <c r="K13" s="14"/>
      <c r="L13" s="14"/>
      <c r="M13" s="14"/>
      <c r="N13" s="14"/>
      <c r="P13" s="14"/>
      <c r="Q13" s="14"/>
      <c r="R13" s="14"/>
    </row>
    <row r="14" spans="1:19" ht="22.35" customHeight="1" x14ac:dyDescent="0.25">
      <c r="B14" s="12"/>
      <c r="D14" s="1108" t="s">
        <v>4</v>
      </c>
      <c r="E14" s="1109"/>
      <c r="F14" s="1106" t="s">
        <v>1799</v>
      </c>
      <c r="G14" s="1106"/>
      <c r="H14" s="1106"/>
      <c r="I14" s="1106"/>
      <c r="J14" s="1107"/>
      <c r="K14" s="14"/>
      <c r="L14" s="14"/>
      <c r="M14" s="14"/>
      <c r="N14" s="14"/>
      <c r="P14" s="14"/>
      <c r="Q14" s="14"/>
      <c r="R14" s="14"/>
    </row>
    <row r="15" spans="1:19" ht="21.6" customHeight="1" x14ac:dyDescent="0.25">
      <c r="B15" s="12"/>
      <c r="D15" s="1108" t="s">
        <v>5</v>
      </c>
      <c r="E15" s="1109"/>
      <c r="F15" s="1106" t="s">
        <v>1800</v>
      </c>
      <c r="G15" s="1106"/>
      <c r="H15" s="1106"/>
      <c r="I15" s="1106"/>
      <c r="J15" s="1107"/>
      <c r="K15" s="14"/>
      <c r="L15" s="14"/>
      <c r="M15" s="14"/>
      <c r="N15" s="14"/>
      <c r="P15" s="14"/>
      <c r="Q15" s="14"/>
      <c r="R15" s="14"/>
    </row>
    <row r="16" spans="1:19" ht="21" customHeight="1" x14ac:dyDescent="0.25">
      <c r="D16" s="1108" t="s">
        <v>6</v>
      </c>
      <c r="E16" s="1109"/>
      <c r="F16" s="1106" t="s">
        <v>1792</v>
      </c>
      <c r="G16" s="1106"/>
      <c r="H16" s="1106"/>
      <c r="I16" s="1106"/>
      <c r="J16" s="1107"/>
      <c r="K16" s="14"/>
      <c r="L16" s="14"/>
      <c r="M16" s="14"/>
      <c r="N16" s="14"/>
      <c r="P16" s="14"/>
      <c r="Q16" s="14"/>
      <c r="R16" s="14"/>
    </row>
    <row r="17" spans="3:18" ht="21" customHeight="1" x14ac:dyDescent="0.25">
      <c r="D17" s="1108" t="s">
        <v>7</v>
      </c>
      <c r="E17" s="1109"/>
      <c r="F17" s="1128" t="s">
        <v>1810</v>
      </c>
      <c r="G17" s="1128"/>
      <c r="H17" s="1128"/>
      <c r="I17" s="1128"/>
      <c r="J17" s="1129"/>
      <c r="K17" s="14"/>
      <c r="L17" s="14"/>
      <c r="M17" s="14"/>
      <c r="N17" s="14"/>
      <c r="P17" s="14"/>
      <c r="Q17" s="14"/>
      <c r="R17" s="14"/>
    </row>
    <row r="18" spans="3:18" ht="23.7" customHeight="1" x14ac:dyDescent="0.25">
      <c r="D18" s="1108" t="s">
        <v>8</v>
      </c>
      <c r="E18" s="1109"/>
      <c r="F18" s="1106" t="s">
        <v>1811</v>
      </c>
      <c r="G18" s="1106"/>
      <c r="H18" s="1106"/>
      <c r="I18" s="1106"/>
      <c r="J18" s="1107"/>
      <c r="K18" s="14"/>
      <c r="L18" s="14"/>
      <c r="M18" s="14"/>
      <c r="N18" s="14"/>
      <c r="P18" s="14"/>
      <c r="Q18" s="14"/>
      <c r="R18" s="14"/>
    </row>
    <row r="19" spans="3:18" ht="24.6" customHeight="1" x14ac:dyDescent="0.25">
      <c r="D19" s="1108" t="s">
        <v>9</v>
      </c>
      <c r="E19" s="1109"/>
      <c r="F19" s="1106" t="s">
        <v>1801</v>
      </c>
      <c r="G19" s="1106"/>
      <c r="H19" s="1106"/>
      <c r="I19" s="1106"/>
      <c r="J19" s="1107"/>
      <c r="K19" s="14"/>
      <c r="L19" s="14"/>
      <c r="M19" s="14"/>
      <c r="N19" s="14"/>
      <c r="P19" s="14"/>
      <c r="Q19" s="14"/>
      <c r="R19" s="14"/>
    </row>
    <row r="20" spans="3:18" ht="24.6" customHeight="1" x14ac:dyDescent="0.25">
      <c r="D20" s="1108" t="s">
        <v>10</v>
      </c>
      <c r="E20" s="1109"/>
      <c r="F20" s="1106"/>
      <c r="G20" s="1106"/>
      <c r="H20" s="1106"/>
      <c r="I20" s="1106"/>
      <c r="J20" s="1107"/>
      <c r="K20" s="14"/>
      <c r="L20" s="14"/>
      <c r="M20" s="14"/>
      <c r="N20" s="14"/>
      <c r="P20" s="14"/>
      <c r="Q20" s="14"/>
      <c r="R20" s="14"/>
    </row>
    <row r="21" spans="3:18" ht="20.100000000000001" customHeight="1" x14ac:dyDescent="0.3">
      <c r="D21" s="1126" t="s">
        <v>11</v>
      </c>
      <c r="E21" s="1127"/>
      <c r="F21" s="1124"/>
      <c r="G21" s="1124"/>
      <c r="H21" s="1124"/>
      <c r="I21" s="1124"/>
      <c r="J21" s="1125"/>
      <c r="K21" s="14"/>
      <c r="L21" s="14"/>
      <c r="M21" s="14"/>
      <c r="N21" s="14"/>
      <c r="P21" s="14"/>
      <c r="Q21" s="14"/>
      <c r="R21" s="14"/>
    </row>
    <row r="22" spans="3:18" ht="20.100000000000001" customHeight="1" x14ac:dyDescent="0.25">
      <c r="D22" s="1108" t="s">
        <v>12</v>
      </c>
      <c r="E22" s="1109"/>
      <c r="F22" s="1130">
        <v>0.1</v>
      </c>
      <c r="G22" s="1130"/>
      <c r="H22" s="1130"/>
      <c r="I22" s="1131" t="str">
        <f>IF(OR(F22&gt;=10%,F22=""),"","Target set below 10% ▲")</f>
        <v/>
      </c>
      <c r="J22" s="1132"/>
      <c r="K22" s="14"/>
      <c r="L22" s="14"/>
      <c r="M22" s="14"/>
      <c r="N22" s="14"/>
      <c r="P22" s="14"/>
      <c r="Q22" s="14"/>
      <c r="R22" s="14"/>
    </row>
    <row r="23" spans="3:18" ht="31.2" customHeight="1" x14ac:dyDescent="0.25">
      <c r="D23" s="1064" t="s">
        <v>13</v>
      </c>
      <c r="E23" s="1065"/>
      <c r="F23" s="1133" t="str">
        <f>IF(AND('Irreplaceable Habitats'!K32=0,'Irreplaceable Habitats'!K65=0,'Irreplaceable Habitats'!AP65=0,'Irreplaceable Habitats'!AP32=0),"No ✓","Yes ⚠")</f>
        <v>No ✓</v>
      </c>
      <c r="G23" s="1133"/>
      <c r="H23" s="1133"/>
      <c r="I23" s="1133"/>
      <c r="J23" s="1134"/>
      <c r="K23" s="14"/>
      <c r="L23" s="14"/>
      <c r="M23" s="14"/>
      <c r="N23" s="14"/>
      <c r="P23" s="14"/>
      <c r="Q23" s="14"/>
      <c r="R23" s="14"/>
    </row>
    <row r="24" spans="3:18" ht="37.200000000000003" customHeight="1" x14ac:dyDescent="0.25">
      <c r="D24" s="1064" t="s">
        <v>14</v>
      </c>
      <c r="E24" s="1065"/>
      <c r="F24" s="1081">
        <f>'A-1 On-Site Habitat Baseline'!H260</f>
        <v>0.6177999999999999</v>
      </c>
      <c r="G24" s="1082"/>
      <c r="H24" s="1082"/>
      <c r="I24" s="451" t="s">
        <v>15</v>
      </c>
      <c r="J24" s="452">
        <f>'Irreplaceable Habitats'!K33</f>
        <v>0</v>
      </c>
      <c r="K24" s="14"/>
      <c r="L24" s="14"/>
      <c r="M24" s="14"/>
      <c r="N24" s="14"/>
      <c r="P24" s="14"/>
      <c r="Q24" s="14"/>
      <c r="R24" s="14"/>
    </row>
    <row r="25" spans="3:18" ht="39" customHeight="1" thickBot="1" x14ac:dyDescent="0.3">
      <c r="D25" s="1083" t="s">
        <v>16</v>
      </c>
      <c r="E25" s="1084"/>
      <c r="F25" s="1085">
        <f>IF('D-1 Off-Site Habitat Baseline'!H261=0, "N/A", 'D-1 Off-Site Habitat Baseline'!H261)</f>
        <v>0.44800000000000001</v>
      </c>
      <c r="G25" s="1085"/>
      <c r="H25" s="1085"/>
      <c r="I25" s="731" t="s">
        <v>17</v>
      </c>
      <c r="J25" s="734" t="str">
        <f>IF('Irreplaceable Habitats'!K66=0, "N/A", 'Irreplaceable Habitats'!K66)</f>
        <v>N/A</v>
      </c>
      <c r="P25" s="14"/>
      <c r="Q25" s="14"/>
      <c r="R25" s="14"/>
    </row>
    <row r="26" spans="3:18" ht="14.1" customHeight="1" x14ac:dyDescent="0.25">
      <c r="P26" s="14"/>
      <c r="Q26" s="14"/>
      <c r="R26" s="14"/>
    </row>
    <row r="27" spans="3:18" ht="51" hidden="1" customHeight="1" thickBot="1" x14ac:dyDescent="0.3">
      <c r="D27" s="1083" t="s">
        <v>18</v>
      </c>
      <c r="E27" s="1084"/>
      <c r="F27" s="1096"/>
      <c r="G27" s="1096"/>
      <c r="H27" s="1096"/>
      <c r="I27" s="1097" t="str">
        <f>IF(F27="Yes", "Only acceptable in exceptionally rare circumstances, ensure any deviations have been agreed with the consenting body ⚠", "")</f>
        <v/>
      </c>
      <c r="J27" s="1098"/>
      <c r="P27" s="14"/>
      <c r="Q27" s="14"/>
      <c r="R27" s="14"/>
    </row>
    <row r="28" spans="3:18" ht="16.5" customHeight="1" thickBot="1" x14ac:dyDescent="0.3">
      <c r="C28" s="14"/>
      <c r="K28" s="14"/>
      <c r="P28" s="14"/>
      <c r="Q28" s="14"/>
      <c r="R28" s="14"/>
    </row>
    <row r="29" spans="3:18" ht="20.25" customHeight="1" thickBot="1" x14ac:dyDescent="0.4">
      <c r="C29" s="14"/>
      <c r="D29" s="1068" t="s">
        <v>19</v>
      </c>
      <c r="E29" s="1069"/>
      <c r="F29" s="1069"/>
      <c r="G29" s="1069"/>
      <c r="H29" s="1069"/>
      <c r="I29" s="1069"/>
      <c r="J29" s="1070"/>
      <c r="K29" s="14"/>
      <c r="L29" s="15"/>
      <c r="M29" s="15"/>
      <c r="N29" s="15"/>
      <c r="P29" s="14"/>
      <c r="Q29" s="14"/>
      <c r="R29" s="14"/>
    </row>
    <row r="30" spans="3:18" ht="20.25" customHeight="1" x14ac:dyDescent="0.35">
      <c r="C30" s="14"/>
      <c r="D30" s="1077" t="s">
        <v>20</v>
      </c>
      <c r="E30" s="1078"/>
      <c r="F30" s="1079" t="s">
        <v>21</v>
      </c>
      <c r="G30" s="1079"/>
      <c r="H30" s="1079"/>
      <c r="I30" s="1079"/>
      <c r="J30" s="1080"/>
      <c r="K30" s="14"/>
      <c r="L30" s="15"/>
      <c r="M30" s="15"/>
      <c r="N30" s="15"/>
      <c r="P30" s="14"/>
      <c r="Q30" s="14"/>
      <c r="R30" s="14"/>
    </row>
    <row r="31" spans="3:18" ht="16.5" customHeight="1" x14ac:dyDescent="0.3">
      <c r="D31" s="1073" t="s">
        <v>22</v>
      </c>
      <c r="E31" s="1074"/>
      <c r="F31" s="1075" t="s">
        <v>23</v>
      </c>
      <c r="G31" s="1075"/>
      <c r="H31" s="1075"/>
      <c r="I31" s="1075"/>
      <c r="J31" s="1076"/>
      <c r="P31" s="14"/>
      <c r="Q31" s="14"/>
      <c r="R31" s="14"/>
    </row>
    <row r="32" spans="3:18" ht="16.5" customHeight="1" x14ac:dyDescent="0.3">
      <c r="D32" s="1101"/>
      <c r="E32" s="1102"/>
      <c r="F32" s="1103" t="s">
        <v>24</v>
      </c>
      <c r="G32" s="1104"/>
      <c r="H32" s="1104"/>
      <c r="I32" s="1104"/>
      <c r="J32" s="1105"/>
      <c r="P32" s="14"/>
      <c r="Q32" s="14"/>
      <c r="R32" s="14"/>
    </row>
    <row r="33" spans="4:18" ht="16.5" customHeight="1" x14ac:dyDescent="0.3">
      <c r="D33" s="1066"/>
      <c r="E33" s="1067"/>
      <c r="F33" s="1071" t="s">
        <v>25</v>
      </c>
      <c r="G33" s="1071"/>
      <c r="H33" s="1071"/>
      <c r="I33" s="1071"/>
      <c r="J33" s="1072"/>
      <c r="K33" s="14"/>
      <c r="L33" s="14"/>
      <c r="M33" s="14"/>
      <c r="N33" s="14"/>
      <c r="P33" s="14"/>
      <c r="Q33" s="14"/>
      <c r="R33" s="14"/>
    </row>
    <row r="34" spans="4:18" ht="16.5" customHeight="1" x14ac:dyDescent="0.3">
      <c r="D34" s="1099"/>
      <c r="E34" s="1100"/>
      <c r="F34" s="1071" t="s">
        <v>26</v>
      </c>
      <c r="G34" s="1071"/>
      <c r="H34" s="1071"/>
      <c r="I34" s="1071"/>
      <c r="J34" s="1072"/>
      <c r="K34" s="14"/>
      <c r="L34" s="14"/>
      <c r="M34" s="14"/>
      <c r="N34" s="14"/>
      <c r="P34" s="14"/>
      <c r="Q34" s="14"/>
      <c r="R34" s="14"/>
    </row>
    <row r="35" spans="4:18" ht="16.5" customHeight="1" thickBot="1" x14ac:dyDescent="0.35">
      <c r="D35" s="1092"/>
      <c r="E35" s="1093"/>
      <c r="F35" s="1094" t="s">
        <v>27</v>
      </c>
      <c r="G35" s="1094"/>
      <c r="H35" s="1094"/>
      <c r="I35" s="1094"/>
      <c r="J35" s="1095"/>
      <c r="K35" s="14"/>
      <c r="L35" s="14"/>
      <c r="M35" s="14"/>
      <c r="N35" s="14"/>
      <c r="P35" s="14"/>
      <c r="Q35" s="14"/>
      <c r="R35" s="14"/>
    </row>
    <row r="36" spans="4:18" ht="16.5" customHeight="1" x14ac:dyDescent="0.25">
      <c r="D36" s="14"/>
      <c r="E36" s="14"/>
      <c r="F36" s="14"/>
      <c r="G36" s="14"/>
      <c r="H36" s="14"/>
      <c r="I36" s="14"/>
      <c r="J36" s="14"/>
      <c r="K36" s="14"/>
      <c r="L36" s="14"/>
      <c r="M36" s="14"/>
      <c r="N36" s="14"/>
      <c r="P36" s="14"/>
      <c r="Q36" s="14"/>
      <c r="R36" s="14"/>
    </row>
    <row r="37" spans="4:18" ht="24" customHeight="1" x14ac:dyDescent="0.25">
      <c r="D37" s="14"/>
      <c r="E37" s="14"/>
      <c r="F37" s="14"/>
      <c r="G37" s="14"/>
      <c r="H37" s="14"/>
      <c r="I37" s="14"/>
      <c r="J37" s="14"/>
      <c r="K37" s="14"/>
      <c r="L37" s="14"/>
      <c r="M37" s="14"/>
      <c r="N37" s="14"/>
      <c r="P37" s="14"/>
      <c r="Q37" s="14"/>
      <c r="R37" s="14"/>
    </row>
    <row r="38" spans="4:18" ht="15.6" x14ac:dyDescent="0.25">
      <c r="D38" s="14"/>
      <c r="E38" s="14"/>
      <c r="F38" s="14"/>
      <c r="G38" s="14"/>
      <c r="H38" s="14"/>
      <c r="I38" s="14"/>
      <c r="J38" s="14"/>
      <c r="K38" s="14"/>
      <c r="L38" s="14"/>
      <c r="M38" s="14"/>
      <c r="N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15.6" x14ac:dyDescent="0.25">
      <c r="D45" s="14"/>
      <c r="E45" s="14"/>
      <c r="F45" s="14"/>
      <c r="G45" s="14"/>
      <c r="H45" s="14"/>
      <c r="I45" s="14"/>
      <c r="J45" s="14"/>
      <c r="K45" s="14"/>
      <c r="L45" s="14"/>
      <c r="M45" s="14"/>
      <c r="N45" s="14"/>
      <c r="O45" s="14"/>
      <c r="P45" s="14"/>
      <c r="Q45" s="14"/>
      <c r="R45" s="14"/>
    </row>
    <row r="46" spans="4:18" ht="15.6" x14ac:dyDescent="0.25">
      <c r="D46" s="14"/>
      <c r="E46" s="14"/>
      <c r="F46" s="14"/>
      <c r="G46" s="14"/>
      <c r="H46" s="14"/>
      <c r="I46" s="14"/>
      <c r="J46" s="14"/>
      <c r="K46" s="14"/>
      <c r="L46" s="14"/>
      <c r="M46" s="14"/>
      <c r="N46" s="14"/>
      <c r="O46" s="14"/>
      <c r="P46" s="14"/>
      <c r="Q46" s="14"/>
      <c r="R46" s="14"/>
    </row>
    <row r="47" spans="4:18" ht="15.6" x14ac:dyDescent="0.25">
      <c r="D47" s="14"/>
      <c r="E47" s="14"/>
      <c r="F47" s="14"/>
      <c r="G47" s="14"/>
      <c r="H47" s="14"/>
      <c r="I47" s="14"/>
      <c r="J47" s="14"/>
      <c r="K47" s="14"/>
      <c r="L47" s="14"/>
      <c r="M47" s="14"/>
      <c r="N47" s="14"/>
      <c r="O47" s="14"/>
      <c r="P47" s="14"/>
      <c r="Q47" s="14"/>
      <c r="R47" s="14"/>
    </row>
    <row r="48" spans="4:18" ht="15.6" x14ac:dyDescent="0.25">
      <c r="D48" s="14"/>
      <c r="E48" s="14"/>
      <c r="F48" s="14"/>
      <c r="G48" s="14"/>
      <c r="H48" s="14"/>
      <c r="I48" s="14"/>
      <c r="J48" s="14"/>
      <c r="K48" s="14"/>
      <c r="L48" s="14"/>
      <c r="M48" s="14"/>
      <c r="N48" s="14"/>
      <c r="O48" s="14"/>
      <c r="P48" s="14"/>
      <c r="Q48" s="14"/>
      <c r="R48" s="14"/>
    </row>
    <row r="49" spans="4:18" ht="15.6" x14ac:dyDescent="0.25">
      <c r="D49" s="14"/>
      <c r="E49" s="14"/>
      <c r="F49" s="14"/>
      <c r="G49" s="14"/>
      <c r="H49" s="14"/>
      <c r="I49" s="14"/>
      <c r="J49" s="14"/>
      <c r="K49" s="14"/>
      <c r="L49" s="14"/>
      <c r="M49" s="14"/>
      <c r="N49" s="14"/>
      <c r="O49" s="14"/>
      <c r="P49" s="14"/>
      <c r="Q49" s="14"/>
      <c r="R49" s="14"/>
    </row>
    <row r="50" spans="4:18" ht="15.6" x14ac:dyDescent="0.25">
      <c r="D50" s="14"/>
      <c r="E50" s="14"/>
      <c r="F50" s="14"/>
      <c r="G50" s="14"/>
      <c r="H50" s="14"/>
      <c r="I50" s="14"/>
      <c r="J50" s="14"/>
      <c r="K50" s="14"/>
      <c r="L50" s="14"/>
      <c r="M50" s="14"/>
      <c r="N50" s="14"/>
      <c r="O50" s="14"/>
      <c r="P50" s="14"/>
      <c r="Q50" s="14"/>
      <c r="R50" s="14"/>
    </row>
    <row r="51" spans="4:18" ht="15.6" x14ac:dyDescent="0.25">
      <c r="D51" s="14"/>
      <c r="E51" s="14"/>
      <c r="F51" s="14"/>
      <c r="G51" s="14"/>
      <c r="H51" s="14"/>
      <c r="I51" s="14"/>
      <c r="J51" s="14"/>
      <c r="K51" s="14"/>
      <c r="L51" s="14"/>
      <c r="M51" s="14"/>
      <c r="N51" s="14"/>
      <c r="O51" s="14"/>
      <c r="P51" s="14"/>
      <c r="Q51" s="14"/>
      <c r="R51" s="14"/>
    </row>
    <row r="52" spans="4:18" ht="15.6" x14ac:dyDescent="0.25">
      <c r="D52" s="14"/>
      <c r="E52" s="14"/>
      <c r="F52" s="14"/>
      <c r="G52" s="14"/>
      <c r="H52" s="14"/>
      <c r="I52" s="14"/>
      <c r="J52" s="14"/>
      <c r="K52" s="14"/>
      <c r="L52" s="14"/>
      <c r="M52" s="14"/>
      <c r="N52" s="14"/>
      <c r="O52" s="14"/>
      <c r="P52" s="14"/>
      <c r="Q52" s="14"/>
      <c r="R52" s="14"/>
    </row>
    <row r="53" spans="4:18" ht="21" customHeight="1" x14ac:dyDescent="0.25">
      <c r="D53" s="14"/>
      <c r="E53" s="14"/>
      <c r="F53" s="14"/>
      <c r="G53" s="14"/>
      <c r="H53" s="14"/>
      <c r="I53" s="14"/>
      <c r="J53" s="14"/>
      <c r="K53" s="14"/>
      <c r="L53" s="14"/>
      <c r="M53" s="14"/>
      <c r="N53" s="14"/>
      <c r="O53" s="14"/>
      <c r="P53" s="14"/>
      <c r="Q53" s="14"/>
      <c r="R53" s="14"/>
    </row>
    <row r="54" spans="4:18" ht="16.2" thickBot="1" x14ac:dyDescent="0.3">
      <c r="P54" s="14"/>
      <c r="Q54" s="14"/>
      <c r="R54" s="14"/>
    </row>
    <row r="55" spans="4:18" ht="14.4" thickBot="1" x14ac:dyDescent="0.3">
      <c r="D55" s="1090" t="s">
        <v>28</v>
      </c>
      <c r="E55" s="1091"/>
      <c r="F55" s="1086"/>
      <c r="G55" s="1087"/>
      <c r="I55" s="1088" t="s">
        <v>29</v>
      </c>
      <c r="J55" s="1089"/>
      <c r="K55" s="1086"/>
      <c r="L55" s="1086"/>
      <c r="M55" s="1086"/>
      <c r="N55" s="1086"/>
      <c r="O55" s="1087"/>
    </row>
    <row r="56" spans="4:18" ht="13.8" x14ac:dyDescent="0.25"/>
    <row r="57" spans="4:18" ht="13.8" x14ac:dyDescent="0.25"/>
    <row r="58" spans="4:18" ht="13.8" x14ac:dyDescent="0.25"/>
    <row r="59" spans="4:18" ht="6" customHeight="1" x14ac:dyDescent="0.25"/>
    <row r="60" spans="4:18" ht="13.8" x14ac:dyDescent="0.25"/>
    <row r="61" spans="4:18" ht="13.8" x14ac:dyDescent="0.25"/>
    <row r="62" spans="4:18" ht="13.8" x14ac:dyDescent="0.25"/>
    <row r="63" spans="4:18" ht="63.75" customHeight="1" x14ac:dyDescent="0.25"/>
    <row r="64" spans="4:18" ht="105.75" customHeight="1" x14ac:dyDescent="0.25"/>
    <row r="65" spans="4:15" ht="48.75" customHeight="1" thickBot="1" x14ac:dyDescent="0.3"/>
    <row r="66" spans="4:15" ht="16.5" customHeight="1" thickBot="1" x14ac:dyDescent="0.3">
      <c r="D66" s="1088" t="s">
        <v>30</v>
      </c>
      <c r="E66" s="1089"/>
      <c r="F66" s="1086"/>
      <c r="G66" s="1087"/>
      <c r="I66" s="1088" t="s">
        <v>31</v>
      </c>
      <c r="J66" s="1089"/>
      <c r="K66" s="1086"/>
      <c r="L66" s="1086"/>
      <c r="M66" s="1086"/>
      <c r="N66" s="1086"/>
      <c r="O66" s="1087"/>
    </row>
    <row r="67" spans="4:15" ht="105.75" customHeight="1" x14ac:dyDescent="0.25"/>
  </sheetData>
  <sheetProtection algorithmName="SHA-512" hashValue="zyhxhhdz7CpkaZpipbBXfXjP/6wRhTqlQti6qqFmEApxBFV9BBNe0kH2lK7qliO2oZXIMq7WeLMBhn7LNmFkUQ==" saltValue="rjmNQwhk52jzvU1d1surTA==" spinCount="100000" sheet="1" objects="1" scenarios="1"/>
  <customSheetViews>
    <customSheetView guid="{8BDA793C-C9C5-4FC6-A0A5-F1109F6D4F22}" scale="90"/>
  </customSheetViews>
  <mergeCells count="60">
    <mergeCell ref="D22:E22"/>
    <mergeCell ref="F22:H22"/>
    <mergeCell ref="I22:J22"/>
    <mergeCell ref="D23:E23"/>
    <mergeCell ref="F23:J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 ref="D25:E25"/>
    <mergeCell ref="F25:H25"/>
  </mergeCells>
  <conditionalFormatting sqref="I22">
    <cfRule type="containsText" dxfId="1284" priority="17" operator="containsText" text="▲">
      <formula>NOT(ISERROR(SEARCH("▲",I22)))</formula>
    </cfRule>
  </conditionalFormatting>
  <conditionalFormatting sqref="F27 F23:F24">
    <cfRule type="containsText" dxfId="1283" priority="15" operator="containsText" text="No">
      <formula>NOT(ISERROR(SEARCH("No",F23)))</formula>
    </cfRule>
    <cfRule type="containsText" dxfId="1282" priority="16" operator="containsText" text="Yes">
      <formula>NOT(ISERROR(SEARCH("Yes",F23)))</formula>
    </cfRule>
  </conditionalFormatting>
  <conditionalFormatting sqref="I27 I24">
    <cfRule type="containsText" dxfId="1281" priority="11" operator="containsText" text="tab">
      <formula>NOT(ISERROR(SEARCH("tab",I24)))</formula>
    </cfRule>
    <cfRule type="containsText" dxfId="1280" priority="12" operator="containsText" text="▲">
      <formula>NOT(ISERROR(SEARCH("▲",I24)))</formula>
    </cfRule>
  </conditionalFormatting>
  <conditionalFormatting sqref="J24">
    <cfRule type="containsText" dxfId="1279" priority="7" operator="containsText" text="tab">
      <formula>NOT(ISERROR(SEARCH("tab",J24)))</formula>
    </cfRule>
    <cfRule type="containsText" dxfId="1278" priority="8" operator="containsText" text="▲">
      <formula>NOT(ISERROR(SEARCH("▲",J24)))</formula>
    </cfRule>
  </conditionalFormatting>
  <conditionalFormatting sqref="I27:J27">
    <cfRule type="containsBlanks" dxfId="1277" priority="6">
      <formula>LEN(TRIM(I27))=0</formula>
    </cfRule>
  </conditionalFormatting>
  <conditionalFormatting sqref="F16:J16">
    <cfRule type="containsBlanks" dxfId="1276" priority="5">
      <formula>LEN(TRIM(F16))=0</formula>
    </cfRule>
  </conditionalFormatting>
  <conditionalFormatting sqref="F17:J17">
    <cfRule type="containsBlanks" dxfId="1275" priority="4">
      <formula>LEN(TRIM(F17))=0</formula>
    </cfRule>
  </conditionalFormatting>
  <conditionalFormatting sqref="E8:J8">
    <cfRule type="containsText" dxfId="1274" priority="3" operator="containsText" text="▲">
      <formula>NOT(ISERROR(SEARCH("▲",E8)))</formula>
    </cfRule>
  </conditionalFormatting>
  <conditionalFormatting sqref="D8">
    <cfRule type="expression" dxfId="1273" priority="1">
      <formula>$E$8="'Completed by' and 'Date of metric completion' fields must be filled in ▲"</formula>
    </cfRule>
  </conditionalFormatting>
  <dataValidations count="1">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1"/>
  <sheetViews>
    <sheetView showRowColHeaders="0" zoomScale="80" zoomScaleNormal="80" workbookViewId="0">
      <selection activeCell="S10" sqref="S10"/>
    </sheetView>
  </sheetViews>
  <sheetFormatPr defaultColWidth="0" defaultRowHeight="24.6" customHeight="1" zeroHeight="1" x14ac:dyDescent="0.3"/>
  <cols>
    <col min="1" max="3" width="2.33203125" style="1" customWidth="1"/>
    <col min="4" max="4" width="18.6640625" style="1" customWidth="1"/>
    <col min="5" max="8" width="9.33203125" style="1" customWidth="1"/>
    <col min="9" max="9" width="7" style="1" customWidth="1"/>
    <col min="10" max="12" width="9.33203125" style="1" customWidth="1"/>
    <col min="13" max="13" width="12.33203125" style="1" customWidth="1"/>
    <col min="14" max="14" width="5.6640625" style="1" customWidth="1"/>
    <col min="15" max="15" width="9.33203125" style="1" customWidth="1"/>
    <col min="16" max="16" width="30" style="1" customWidth="1"/>
    <col min="17" max="17" width="13.6640625" style="1" bestFit="1" customWidth="1"/>
    <col min="18" max="18" width="12.6640625" style="1" bestFit="1" customWidth="1"/>
    <col min="19" max="19" width="9.33203125" style="1" customWidth="1"/>
    <col min="20" max="20" width="12.6640625" style="1" bestFit="1" customWidth="1"/>
    <col min="21" max="21" width="8.33203125" style="1" customWidth="1"/>
    <col min="22" max="22" width="12.6640625" style="1" bestFit="1" customWidth="1"/>
    <col min="23" max="23" width="9.5546875" style="1" customWidth="1"/>
    <col min="24" max="31" width="9.33203125" style="1" customWidth="1"/>
    <col min="32" max="16384" width="9.33203125" style="1" hidden="1"/>
  </cols>
  <sheetData>
    <row r="1" spans="1:23" ht="15.75" customHeight="1" x14ac:dyDescent="0.6">
      <c r="B1" s="2"/>
      <c r="C1" s="2"/>
      <c r="E1" s="6"/>
      <c r="F1" s="1140"/>
      <c r="G1" s="1140"/>
      <c r="H1" s="1140"/>
      <c r="I1" s="1140"/>
      <c r="J1" s="1140"/>
      <c r="K1" s="1141"/>
      <c r="L1" s="1141"/>
      <c r="M1" s="1141"/>
      <c r="N1" s="1141"/>
      <c r="O1" s="1141"/>
    </row>
    <row r="2" spans="1:23" ht="15.75" customHeight="1" x14ac:dyDescent="0.3">
      <c r="B2" s="2"/>
      <c r="C2" s="2"/>
      <c r="D2" s="1135"/>
      <c r="E2" s="1135"/>
    </row>
    <row r="3" spans="1:23" ht="15.75" customHeight="1" x14ac:dyDescent="0.6">
      <c r="A3" s="6"/>
      <c r="B3" s="6"/>
      <c r="C3" s="6"/>
      <c r="D3" s="6"/>
      <c r="E3" s="6"/>
      <c r="F3" s="7"/>
      <c r="G3" s="7"/>
      <c r="H3" s="7"/>
      <c r="I3" s="7"/>
      <c r="J3" s="7"/>
      <c r="K3" s="7"/>
      <c r="L3" s="7"/>
      <c r="M3" s="7"/>
      <c r="N3" s="7"/>
      <c r="O3" s="7"/>
      <c r="P3" s="7"/>
      <c r="Q3" s="1138" t="s">
        <v>32</v>
      </c>
      <c r="R3" s="1139"/>
      <c r="S3" s="1139"/>
    </row>
    <row r="4" spans="1:23" ht="35.25" customHeight="1" x14ac:dyDescent="0.6">
      <c r="A4" s="6"/>
      <c r="B4" s="6"/>
      <c r="C4" s="6"/>
      <c r="D4" s="6"/>
      <c r="E4" s="6"/>
      <c r="F4" s="7"/>
      <c r="G4" s="7"/>
      <c r="H4" s="7"/>
      <c r="I4" s="7"/>
      <c r="J4" s="7"/>
      <c r="K4" s="7"/>
      <c r="L4" s="7"/>
      <c r="M4" s="7"/>
      <c r="N4" s="7"/>
      <c r="O4" s="7"/>
      <c r="P4" s="7"/>
      <c r="Q4" s="1143" t="s">
        <v>33</v>
      </c>
      <c r="R4" s="1136" t="s">
        <v>34</v>
      </c>
      <c r="S4" s="1136"/>
      <c r="T4" s="1136"/>
      <c r="U4" s="1136"/>
      <c r="V4" s="1136"/>
      <c r="W4" s="1137"/>
    </row>
    <row r="5" spans="1:23" ht="16.5" customHeight="1" x14ac:dyDescent="0.6">
      <c r="A5" s="6"/>
      <c r="B5" s="6"/>
      <c r="C5" s="6"/>
      <c r="D5" s="6"/>
      <c r="E5" s="6"/>
      <c r="F5" s="4"/>
      <c r="G5" s="4"/>
      <c r="H5" s="4"/>
      <c r="I5" s="4"/>
      <c r="J5" s="4"/>
      <c r="K5" s="4"/>
      <c r="L5" s="4"/>
      <c r="M5" s="4"/>
      <c r="N5" s="4"/>
      <c r="O5" s="4"/>
      <c r="P5" s="4"/>
      <c r="Q5" s="1144"/>
      <c r="R5" s="379" t="s">
        <v>35</v>
      </c>
      <c r="S5" s="380" t="s">
        <v>36</v>
      </c>
      <c r="T5" s="381" t="s">
        <v>37</v>
      </c>
      <c r="U5" s="380" t="s">
        <v>36</v>
      </c>
      <c r="V5" s="380" t="s">
        <v>38</v>
      </c>
      <c r="W5" s="380" t="s">
        <v>36</v>
      </c>
    </row>
    <row r="6" spans="1:23" ht="16.5" customHeight="1" x14ac:dyDescent="0.6">
      <c r="B6" s="2"/>
      <c r="C6" s="2"/>
      <c r="D6" s="6"/>
      <c r="E6" s="6"/>
      <c r="F6" s="4"/>
      <c r="G6" s="4"/>
      <c r="H6" s="4"/>
      <c r="I6" s="4"/>
      <c r="J6" s="4"/>
      <c r="K6" s="4"/>
      <c r="L6" s="4"/>
      <c r="M6" s="4"/>
      <c r="N6" s="4"/>
      <c r="O6" s="4"/>
      <c r="P6" s="4"/>
      <c r="Q6" s="378" t="s">
        <v>39</v>
      </c>
      <c r="R6" s="21">
        <v>29</v>
      </c>
      <c r="S6" s="338">
        <f>R6*'G-3 Multipliers'!$Z$4</f>
        <v>0.11807361829251865</v>
      </c>
      <c r="T6" s="21"/>
      <c r="U6" s="338">
        <f>T6*'G-3 Multipliers'!$Z$4</f>
        <v>0</v>
      </c>
      <c r="V6" s="21">
        <v>5</v>
      </c>
      <c r="W6" s="338">
        <f>V6*'G-3 Multipliers'!$Z$4</f>
        <v>2.0357520395261834E-2</v>
      </c>
    </row>
    <row r="7" spans="1:23" ht="16.5" customHeight="1" x14ac:dyDescent="0.6">
      <c r="B7" s="2"/>
      <c r="C7" s="6"/>
      <c r="D7" s="6"/>
      <c r="E7" s="6"/>
      <c r="F7" s="4"/>
      <c r="G7" s="4"/>
      <c r="H7" s="4"/>
      <c r="I7" s="4"/>
      <c r="J7" s="4"/>
      <c r="K7" s="4"/>
      <c r="L7" s="4"/>
      <c r="M7" s="4"/>
      <c r="N7" s="4"/>
      <c r="O7" s="4"/>
      <c r="P7" s="4"/>
      <c r="Q7" s="378" t="s">
        <v>40</v>
      </c>
      <c r="R7" s="21"/>
      <c r="S7" s="338">
        <f>R7*'G-3 Multipliers'!$Z$5</f>
        <v>0</v>
      </c>
      <c r="T7" s="21">
        <v>3</v>
      </c>
      <c r="U7" s="338">
        <f>T7*'G-3 Multipliers'!$Z$5</f>
        <v>4.8858048948628406E-2</v>
      </c>
      <c r="V7" s="21">
        <v>3</v>
      </c>
      <c r="W7" s="338">
        <f>V7*'G-3 Multipliers'!$Z$5</f>
        <v>4.8858048948628406E-2</v>
      </c>
    </row>
    <row r="8" spans="1:23" ht="18" customHeight="1" x14ac:dyDescent="0.6">
      <c r="B8" s="2"/>
      <c r="C8" s="2"/>
      <c r="D8" s="6"/>
      <c r="E8" s="6"/>
      <c r="F8" s="4"/>
      <c r="G8" s="4"/>
      <c r="H8" s="4"/>
      <c r="I8" s="4"/>
      <c r="J8" s="4"/>
      <c r="K8" s="4"/>
      <c r="L8" s="4"/>
      <c r="M8" s="4"/>
      <c r="N8" s="4"/>
      <c r="O8" s="4"/>
      <c r="P8" s="4"/>
      <c r="Q8" s="378" t="s">
        <v>41</v>
      </c>
      <c r="R8" s="21"/>
      <c r="S8" s="338">
        <f>R8*'G-3 Multipliers'!$Z6</f>
        <v>0</v>
      </c>
      <c r="T8" s="21">
        <v>2</v>
      </c>
      <c r="U8" s="338">
        <f>T8*'G-3 Multipliers'!$Z6</f>
        <v>7.328707342294262E-2</v>
      </c>
      <c r="V8" s="21">
        <v>2</v>
      </c>
      <c r="W8" s="338">
        <f>V8*'G-3 Multipliers'!$Z6</f>
        <v>7.328707342294262E-2</v>
      </c>
    </row>
    <row r="9" spans="1:23" ht="18" customHeight="1" x14ac:dyDescent="0.6">
      <c r="B9" s="2"/>
      <c r="C9" s="2"/>
      <c r="D9" s="6"/>
      <c r="E9" s="6"/>
      <c r="F9" s="4"/>
      <c r="G9" s="4"/>
      <c r="H9" s="4"/>
      <c r="I9" s="4"/>
      <c r="J9" s="4"/>
      <c r="K9" s="4"/>
      <c r="L9" s="4"/>
      <c r="M9" s="4"/>
      <c r="N9" s="4"/>
      <c r="O9" s="4"/>
      <c r="P9" s="4"/>
      <c r="Q9" s="378" t="s">
        <v>42</v>
      </c>
      <c r="R9" s="21"/>
      <c r="S9" s="338">
        <f>R9*'G-3 Multipliers'!$Z7</f>
        <v>0</v>
      </c>
      <c r="T9" s="21"/>
      <c r="U9" s="338">
        <f>T9*'G-3 Multipliers'!$Z7</f>
        <v>0</v>
      </c>
      <c r="V9" s="21"/>
      <c r="W9" s="338">
        <f>V9*'G-3 Multipliers'!$Z7</f>
        <v>0</v>
      </c>
    </row>
    <row r="10" spans="1:23" ht="16.5" customHeight="1" x14ac:dyDescent="0.3">
      <c r="B10" s="2"/>
      <c r="C10" s="2"/>
      <c r="D10" s="3"/>
      <c r="E10" s="3"/>
      <c r="F10" s="4"/>
      <c r="G10" s="4"/>
      <c r="H10" s="4"/>
      <c r="I10" s="4"/>
      <c r="J10" s="4"/>
      <c r="K10" s="4"/>
      <c r="L10" s="4"/>
      <c r="M10" s="4"/>
      <c r="N10" s="4"/>
      <c r="O10" s="4"/>
      <c r="P10" s="4"/>
      <c r="Q10" s="378" t="s">
        <v>43</v>
      </c>
      <c r="R10" s="388">
        <f t="shared" ref="R10:W10" si="0">SUM(R6:R9)</f>
        <v>29</v>
      </c>
      <c r="S10" s="337">
        <f t="shared" si="0"/>
        <v>0.11807361829251865</v>
      </c>
      <c r="T10" s="388">
        <f t="shared" si="0"/>
        <v>5</v>
      </c>
      <c r="U10" s="337">
        <f t="shared" si="0"/>
        <v>0.12214512237157102</v>
      </c>
      <c r="V10" s="388">
        <f t="shared" si="0"/>
        <v>10</v>
      </c>
      <c r="W10" s="337">
        <f t="shared" si="0"/>
        <v>0.14250264276683286</v>
      </c>
    </row>
    <row r="11" spans="1:23" ht="30" customHeight="1" x14ac:dyDescent="0.4">
      <c r="B11" s="2"/>
      <c r="C11" s="2"/>
      <c r="D11" s="5"/>
      <c r="E11" s="5"/>
      <c r="F11" s="1142"/>
      <c r="G11" s="1142"/>
      <c r="H11" s="1142"/>
      <c r="I11" s="1142"/>
      <c r="J11" s="1142"/>
      <c r="K11" s="1142"/>
      <c r="L11" s="1142"/>
      <c r="M11" s="1142"/>
      <c r="N11" s="1142"/>
      <c r="O11" s="1142"/>
      <c r="P11" s="114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c r="B16" s="2"/>
      <c r="C16" s="2"/>
    </row>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6.5" customHeight="1"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89.7" customHeight="1"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24.6" customHeight="1" x14ac:dyDescent="0.3"/>
  </sheetData>
  <sheetProtection algorithmName="SHA-512" hashValue="MzrquZNYD9OJrgiCfC6KoPaLsRoWmntvleP6IlwaGi4fcU+whHdWA/R58RgubWKuc+VDLoISzu5GhXimfa8ZYQ==" saltValue="OmRQtMT9CiRpgLpyqexkpQ==" spinCount="100000" sheet="1" objects="1" scenarios="1"/>
  <customSheetViews>
    <customSheetView guid="{8BDA793C-C9C5-4FC6-A0A5-F1109F6D4F22}" scale="70">
      <selection sqref="A1:XFD1048576"/>
    </customSheetView>
  </customSheetViews>
  <mergeCells count="7">
    <mergeCell ref="F11:P11"/>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6DF1-227C-4746-8765-798D7567E210}">
  <sheetPr codeName="Sheet40">
    <tabColor rgb="FFF4D4D4"/>
  </sheetPr>
  <dimension ref="A1:AC58"/>
  <sheetViews>
    <sheetView zoomScale="80" zoomScaleNormal="80" workbookViewId="0"/>
  </sheetViews>
  <sheetFormatPr defaultColWidth="0" defaultRowHeight="14.4" zeroHeight="1" x14ac:dyDescent="0.3"/>
  <cols>
    <col min="1" max="2" width="8.6640625" customWidth="1"/>
    <col min="3" max="3" width="32.33203125" customWidth="1"/>
    <col min="4" max="4" width="40.33203125" bestFit="1" customWidth="1"/>
    <col min="5" max="29" width="8.6640625" customWidth="1"/>
    <col min="30" max="16384" width="8.6640625" hidden="1"/>
  </cols>
  <sheetData>
    <row r="1" spans="1:29" ht="15" thickBo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ht="15" thickBot="1" x14ac:dyDescent="0.35">
      <c r="A2" s="1"/>
      <c r="B2" s="1"/>
      <c r="C2" s="1145" t="s">
        <v>162</v>
      </c>
      <c r="D2" s="1146"/>
      <c r="E2" s="1147"/>
      <c r="F2" s="1"/>
      <c r="G2" s="1"/>
      <c r="H2" s="1"/>
      <c r="I2" s="1"/>
      <c r="J2" s="1"/>
      <c r="K2" s="1"/>
      <c r="L2" s="1"/>
      <c r="M2" s="1"/>
      <c r="N2" s="1"/>
      <c r="O2" s="1"/>
      <c r="P2" s="1"/>
      <c r="Q2" s="1"/>
      <c r="R2" s="1"/>
      <c r="S2" s="1"/>
      <c r="T2" s="1"/>
      <c r="U2" s="1"/>
      <c r="V2" s="1"/>
      <c r="W2" s="1"/>
      <c r="X2" s="1"/>
      <c r="Y2" s="1"/>
      <c r="Z2" s="1"/>
      <c r="AA2" s="1"/>
      <c r="AB2" s="1"/>
      <c r="AC2" s="1"/>
    </row>
    <row r="3" spans="1:29" ht="15" thickBo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row>
    <row r="4" spans="1:29" ht="15" thickBot="1" x14ac:dyDescent="0.35">
      <c r="A4" s="1"/>
      <c r="B4" s="1"/>
      <c r="C4" s="750" t="s">
        <v>51</v>
      </c>
      <c r="D4" s="1145" t="s">
        <v>163</v>
      </c>
      <c r="E4" s="1147"/>
      <c r="F4" s="1"/>
      <c r="G4" s="1"/>
      <c r="H4" s="1"/>
      <c r="I4" s="1"/>
      <c r="J4" s="1"/>
      <c r="K4" s="1"/>
      <c r="L4" s="1"/>
      <c r="M4" s="1"/>
      <c r="N4" s="1"/>
      <c r="O4" s="1"/>
      <c r="P4" s="1"/>
      <c r="Q4" s="1"/>
      <c r="R4" s="1"/>
      <c r="S4" s="1"/>
      <c r="T4" s="1"/>
      <c r="U4" s="1"/>
      <c r="V4" s="1"/>
      <c r="W4" s="1"/>
      <c r="X4" s="1"/>
      <c r="Y4" s="1"/>
      <c r="Z4" s="1"/>
      <c r="AA4" s="1"/>
      <c r="AB4" s="1"/>
      <c r="AC4" s="1"/>
    </row>
    <row r="5" spans="1:29" x14ac:dyDescent="0.3">
      <c r="A5" s="1"/>
      <c r="B5" s="1"/>
      <c r="C5" s="888" t="s">
        <v>54</v>
      </c>
      <c r="D5" s="896">
        <f>IFERROR(IF(OR('Trading Summary Area Habitats'!$K$13&lt;0,'Trading Summary WaterC''s'!$I$13&lt;0),"ERROR",'Unit shortfall calculations'!G9),"Error")</f>
        <v>0</v>
      </c>
      <c r="E5" s="897" t="str">
        <f t="shared" ref="E5:E10" si="0">IF(D5=0,"",IF(D5&gt;0,"▲","✓"))</f>
        <v/>
      </c>
      <c r="F5" s="1"/>
      <c r="G5" s="1"/>
      <c r="H5" s="1"/>
      <c r="I5" s="1"/>
      <c r="J5" s="1"/>
      <c r="K5" s="1"/>
      <c r="L5" s="1"/>
      <c r="M5" s="1"/>
      <c r="N5" s="1"/>
      <c r="O5" s="1"/>
      <c r="P5" s="1"/>
      <c r="Q5" s="1"/>
      <c r="R5" s="1"/>
      <c r="S5" s="1"/>
      <c r="T5" s="1"/>
      <c r="U5" s="1"/>
      <c r="V5" s="1"/>
      <c r="W5" s="1"/>
      <c r="X5" s="1"/>
      <c r="Y5" s="1"/>
      <c r="Z5" s="1"/>
      <c r="AA5" s="1"/>
      <c r="AB5" s="1"/>
      <c r="AC5" s="1"/>
    </row>
    <row r="6" spans="1:29" x14ac:dyDescent="0.3">
      <c r="A6" s="1"/>
      <c r="B6" s="1"/>
      <c r="C6" s="889" t="s">
        <v>55</v>
      </c>
      <c r="D6" s="892">
        <f>IFERROR(IF(OR('Trading Summary Area Habitats'!$K$13&lt;0,'Trading Summary WaterC''s'!$I$13&lt;0),"ERROR",'Unit shortfall calculations'!G10),"Error")</f>
        <v>0</v>
      </c>
      <c r="E6" s="876" t="str">
        <f t="shared" si="0"/>
        <v/>
      </c>
      <c r="F6" s="1"/>
      <c r="G6" s="1"/>
      <c r="H6" s="1"/>
      <c r="I6" s="1"/>
      <c r="J6" s="1"/>
      <c r="K6" s="1"/>
      <c r="L6" s="1"/>
      <c r="M6" s="1"/>
      <c r="N6" s="1"/>
      <c r="O6" s="1"/>
      <c r="P6" s="1"/>
      <c r="Q6" s="1"/>
      <c r="R6" s="1"/>
      <c r="S6" s="1"/>
      <c r="T6" s="1"/>
      <c r="U6" s="1"/>
      <c r="V6" s="1"/>
      <c r="W6" s="1"/>
      <c r="X6" s="1"/>
      <c r="Y6" s="1"/>
      <c r="Z6" s="1"/>
      <c r="AA6" s="1"/>
      <c r="AB6" s="1"/>
      <c r="AC6" s="1"/>
    </row>
    <row r="7" spans="1:29" x14ac:dyDescent="0.3">
      <c r="A7" s="1"/>
      <c r="B7" s="1"/>
      <c r="C7" s="889" t="s">
        <v>56</v>
      </c>
      <c r="D7" s="892">
        <f>IFERROR(IF(OR('Trading Summary Area Habitats'!$K$13&lt;0,'Trading Summary WaterC''s'!$I$13&lt;0),"ERROR",'Unit shortfall calculations'!G11),"Error")</f>
        <v>0</v>
      </c>
      <c r="E7" s="876" t="str">
        <f t="shared" si="0"/>
        <v/>
      </c>
      <c r="F7" s="1"/>
      <c r="G7" s="1"/>
      <c r="H7" s="1"/>
      <c r="I7" s="1"/>
      <c r="J7" s="1"/>
      <c r="K7" s="1"/>
      <c r="L7" s="1"/>
      <c r="M7" s="1"/>
      <c r="N7" s="1"/>
      <c r="O7" s="1"/>
      <c r="P7" s="1"/>
      <c r="Q7" s="1"/>
      <c r="R7" s="1"/>
      <c r="S7" s="1"/>
      <c r="T7" s="1"/>
      <c r="U7" s="1"/>
      <c r="V7" s="1"/>
      <c r="W7" s="1"/>
      <c r="X7" s="1"/>
      <c r="Y7" s="1"/>
      <c r="Z7" s="1"/>
      <c r="AA7" s="1"/>
      <c r="AB7" s="1"/>
      <c r="AC7" s="1"/>
    </row>
    <row r="8" spans="1:29" x14ac:dyDescent="0.3">
      <c r="A8" s="1"/>
      <c r="B8" s="1"/>
      <c r="C8" s="889" t="s">
        <v>57</v>
      </c>
      <c r="D8" s="892">
        <f>IFERROR(IF(OR('Trading Summary Area Habitats'!$K$13&lt;0,'Trading Summary WaterC''s'!$I$13&lt;0),"ERROR",'Unit shortfall calculations'!G12),"Error")</f>
        <v>0</v>
      </c>
      <c r="E8" s="876" t="str">
        <f t="shared" si="0"/>
        <v/>
      </c>
      <c r="F8" s="1"/>
      <c r="G8" s="1"/>
      <c r="H8" s="1"/>
      <c r="I8" s="1"/>
      <c r="J8" s="1"/>
      <c r="K8" s="1"/>
      <c r="L8" s="1"/>
      <c r="M8" s="1"/>
      <c r="N8" s="1"/>
      <c r="O8" s="1"/>
      <c r="P8" s="1"/>
      <c r="Q8" s="1"/>
      <c r="R8" s="1"/>
      <c r="S8" s="1"/>
      <c r="T8" s="1"/>
      <c r="U8" s="1"/>
      <c r="V8" s="1"/>
      <c r="W8" s="1"/>
      <c r="X8" s="1"/>
      <c r="Y8" s="1"/>
      <c r="Z8" s="1"/>
      <c r="AA8" s="1"/>
      <c r="AB8" s="1"/>
      <c r="AC8" s="1"/>
    </row>
    <row r="9" spans="1:29" ht="15" thickBot="1" x14ac:dyDescent="0.35">
      <c r="A9" s="1"/>
      <c r="B9" s="1"/>
      <c r="C9" s="893" t="s">
        <v>58</v>
      </c>
      <c r="D9" s="894">
        <f>IFERROR(IF(OR('Trading Summary Area Habitats'!$K$13&lt;0,'Trading Summary WaterC''s'!$I$13&lt;0),"ERROR",'Unit shortfall calculations'!G13),"Error")</f>
        <v>0</v>
      </c>
      <c r="E9" s="877" t="str">
        <f t="shared" si="0"/>
        <v/>
      </c>
      <c r="F9" s="1"/>
      <c r="G9" s="1"/>
      <c r="H9" s="1"/>
      <c r="I9" s="1"/>
      <c r="J9" s="1"/>
      <c r="K9" s="1"/>
      <c r="L9" s="1"/>
      <c r="M9" s="1"/>
      <c r="N9" s="1"/>
      <c r="O9" s="1"/>
      <c r="P9" s="1"/>
      <c r="Q9" s="1"/>
      <c r="R9" s="1"/>
      <c r="S9" s="1"/>
      <c r="T9" s="1"/>
      <c r="U9" s="1"/>
      <c r="V9" s="1"/>
      <c r="W9" s="1"/>
      <c r="X9" s="1"/>
      <c r="Y9" s="1"/>
      <c r="Z9" s="1"/>
      <c r="AA9" s="1"/>
      <c r="AB9" s="1"/>
      <c r="AC9" s="1"/>
    </row>
    <row r="10" spans="1:29" ht="15" thickBot="1" x14ac:dyDescent="0.35">
      <c r="A10" s="1"/>
      <c r="B10" s="1"/>
      <c r="C10" s="890" t="s">
        <v>59</v>
      </c>
      <c r="D10" s="895">
        <f ca="1">IFERROR(IF(OR('Trading Summary Area Habitats'!K13&lt;0,'Trading Summary WaterC''s'!I13&lt;0),"ERROR",'Unit shortfall calculations'!G14),"Error")</f>
        <v>0</v>
      </c>
      <c r="E10" s="878" t="str">
        <f t="shared" ca="1" si="0"/>
        <v/>
      </c>
      <c r="F10" s="1"/>
      <c r="G10" s="1"/>
      <c r="H10" s="1"/>
      <c r="I10" s="1"/>
      <c r="J10" s="1"/>
      <c r="K10" s="1"/>
      <c r="L10" s="1"/>
      <c r="M10" s="1"/>
      <c r="N10" s="1"/>
      <c r="O10" s="1"/>
      <c r="P10" s="1"/>
      <c r="Q10" s="1"/>
      <c r="R10" s="1"/>
      <c r="S10" s="1"/>
      <c r="T10" s="1"/>
      <c r="U10" s="1"/>
      <c r="V10" s="1"/>
      <c r="W10" s="1"/>
      <c r="X10" s="1"/>
      <c r="Y10" s="1"/>
      <c r="Z10" s="1"/>
      <c r="AA10" s="1"/>
      <c r="AB10" s="1"/>
      <c r="AC10" s="1"/>
    </row>
    <row r="11" spans="1:29" ht="15" thickBot="1" x14ac:dyDescent="0.35">
      <c r="A11" s="1"/>
      <c r="B11" s="1"/>
      <c r="C11" s="891" t="s">
        <v>60</v>
      </c>
      <c r="D11" s="895">
        <f>IFERROR(IF(OR('Trading Summary Area Habitats'!K13&lt;0,'Trading Summary WaterC''s'!I13&lt;0),"ERROR",'Unit shortfall calculations'!G15),"Error")</f>
        <v>0</v>
      </c>
      <c r="E11" s="878" t="str">
        <f>IF(D11=0,"",IF(D11&gt;0,"▲","✓"))</f>
        <v/>
      </c>
      <c r="F11" s="1"/>
      <c r="G11" s="1"/>
      <c r="H11" s="1"/>
      <c r="I11" s="1"/>
      <c r="J11" s="1"/>
      <c r="K11" s="1"/>
      <c r="L11" s="1"/>
      <c r="M11" s="1"/>
      <c r="N11" s="1"/>
      <c r="O11" s="1"/>
      <c r="P11" s="1"/>
      <c r="Q11" s="1"/>
      <c r="R11" s="1"/>
      <c r="S11" s="1"/>
      <c r="T11" s="1"/>
      <c r="U11" s="1"/>
      <c r="V11" s="1"/>
      <c r="W11" s="1"/>
      <c r="X11" s="1"/>
      <c r="Y11" s="1"/>
      <c r="Z11" s="1"/>
      <c r="AA11" s="1"/>
      <c r="AB11" s="1"/>
      <c r="AC11" s="1"/>
    </row>
    <row r="12" spans="1:29"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row>
    <row r="13" spans="1:29" x14ac:dyDescent="0.3">
      <c r="A13" s="1"/>
      <c r="B13" s="1"/>
      <c r="C13" s="1"/>
      <c r="D13" s="789" t="s">
        <v>164</v>
      </c>
      <c r="E13" s="1"/>
      <c r="F13" s="1"/>
      <c r="G13" s="1"/>
      <c r="H13" s="1"/>
      <c r="I13" s="1"/>
      <c r="J13" s="1"/>
      <c r="K13" s="1"/>
      <c r="L13" s="1"/>
      <c r="M13" s="1"/>
      <c r="N13" s="1"/>
      <c r="O13" s="1"/>
      <c r="P13" s="1"/>
      <c r="Q13" s="1"/>
      <c r="R13" s="1"/>
      <c r="S13" s="1"/>
      <c r="T13" s="1"/>
      <c r="U13" s="1"/>
      <c r="V13" s="1"/>
      <c r="W13" s="1"/>
      <c r="X13" s="1"/>
      <c r="Y13" s="1"/>
      <c r="Z13" s="1"/>
      <c r="AA13" s="1"/>
      <c r="AB13" s="1"/>
      <c r="AC13" s="1"/>
    </row>
    <row r="14" spans="1:29"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row>
    <row r="15" spans="1:29" ht="52.5" customHeight="1" x14ac:dyDescent="0.3">
      <c r="A15" s="1"/>
      <c r="B15" s="1"/>
      <c r="C15" s="1148" t="str">
        <f>IF(OR('Trading Summary Area Habitats'!$K$13&lt;0,'Trading Summary WaterC''s'!$I$13&lt;0), "ERROR - This metric still includes losses of very high distinctiveness habitat. Losses of very high distinctiveness units must be compensated for through this metric or through bespoke compensation ▲", " ")</f>
        <v xml:space="preserve"> </v>
      </c>
      <c r="D15" s="1148"/>
      <c r="E15" s="1148"/>
      <c r="F15" s="1"/>
      <c r="G15" s="1"/>
      <c r="H15" s="1"/>
      <c r="I15" s="1"/>
      <c r="J15" s="1"/>
      <c r="K15" s="1"/>
      <c r="L15" s="1"/>
      <c r="M15" s="1"/>
      <c r="N15" s="1"/>
      <c r="O15" s="1"/>
      <c r="P15" s="1"/>
      <c r="Q15" s="1"/>
      <c r="R15" s="1"/>
      <c r="S15" s="1"/>
      <c r="T15" s="1"/>
      <c r="U15" s="1"/>
      <c r="V15" s="1"/>
      <c r="W15" s="1"/>
      <c r="X15" s="1"/>
      <c r="Y15" s="1"/>
      <c r="Z15" s="1"/>
      <c r="AA15" s="1"/>
      <c r="AB15" s="1"/>
      <c r="AC15" s="1"/>
    </row>
    <row r="16" spans="1:29"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row>
    <row r="17" spans="1:29"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row>
    <row r="18" spans="1:29"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row>
    <row r="19" spans="1:29"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row>
    <row r="20" spans="1:29"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row>
    <row r="21" spans="1:29"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spans="1:29"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sheetData>
  <sheetProtection algorithmName="SHA-512" hashValue="1rgXSpAASzTH+PhbISLmJzZDO0qH4zjlRXZPNVKUy+KVQ3DCSj/j00saTXgbdHdi8syGayPQP2Kh3xfCrhYIoA==" saltValue="9Z/LRQsMFYXRJ1KitDDzsg==" spinCount="100000" sheet="1" objects="1" scenarios="1"/>
  <mergeCells count="3">
    <mergeCell ref="C2:E2"/>
    <mergeCell ref="D4:E4"/>
    <mergeCell ref="C15:E15"/>
  </mergeCells>
  <conditionalFormatting sqref="D5:D11">
    <cfRule type="cellIs" dxfId="1272" priority="4" operator="greaterThan">
      <formula>0</formula>
    </cfRule>
    <cfRule type="cellIs" dxfId="1271" priority="5" operator="lessThan">
      <formula>0</formula>
    </cfRule>
  </conditionalFormatting>
  <conditionalFormatting sqref="E5:E11">
    <cfRule type="containsText" dxfId="1270" priority="2" operator="containsText" text="✓">
      <formula>NOT(ISERROR(SEARCH("✓",E5)))</formula>
    </cfRule>
    <cfRule type="containsText" dxfId="1269" priority="3" operator="containsText" text="▲">
      <formula>NOT(ISERROR(SEARCH("▲",E5)))</formula>
    </cfRule>
  </conditionalFormatting>
  <conditionalFormatting sqref="C15:E15">
    <cfRule type="containsText" dxfId="1268" priority="1" operator="containsText" text="▲">
      <formula>NOT(ISERROR(SEARCH("▲",C15)))</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RowColHeaders="0" zoomScale="80" zoomScaleNormal="80" workbookViewId="0"/>
  </sheetViews>
  <sheetFormatPr defaultColWidth="0" defaultRowHeight="0" customHeight="1" zeroHeight="1" x14ac:dyDescent="0.25"/>
  <cols>
    <col min="1" max="3" width="2.33203125" style="166" customWidth="1"/>
    <col min="4" max="4" width="18.6640625" style="166" customWidth="1"/>
    <col min="5" max="8" width="9.33203125" style="166" customWidth="1"/>
    <col min="9" max="9" width="7" style="166" customWidth="1"/>
    <col min="10" max="12" width="9.33203125" style="166" customWidth="1"/>
    <col min="13" max="13" width="12.33203125" style="166" customWidth="1"/>
    <col min="14" max="14" width="5.6640625" style="166" customWidth="1"/>
    <col min="15" max="15" width="9.33203125" style="166" customWidth="1"/>
    <col min="16" max="16" width="34.5546875" style="166" customWidth="1"/>
    <col min="17" max="17" width="13.6640625" style="166" bestFit="1" customWidth="1"/>
    <col min="18" max="18" width="19.33203125" style="166" customWidth="1"/>
    <col min="19" max="31" width="9.33203125" style="166" customWidth="1"/>
    <col min="32" max="16384" width="9.33203125" style="166" hidden="1"/>
  </cols>
  <sheetData>
    <row r="1" spans="1:18" ht="15.75" customHeight="1" x14ac:dyDescent="0.5">
      <c r="B1" s="167"/>
      <c r="C1" s="167"/>
      <c r="E1" s="168"/>
      <c r="F1" s="1149"/>
      <c r="G1" s="1149"/>
      <c r="H1" s="1149"/>
      <c r="I1" s="1149"/>
      <c r="J1" s="1149"/>
      <c r="K1" s="1150"/>
      <c r="L1" s="1150"/>
      <c r="M1" s="1150"/>
      <c r="N1" s="1150"/>
      <c r="O1" s="1150"/>
    </row>
    <row r="2" spans="1:18" ht="15.75" customHeight="1" x14ac:dyDescent="0.5">
      <c r="B2" s="167"/>
      <c r="C2" s="167"/>
      <c r="E2" s="168"/>
    </row>
    <row r="3" spans="1:18" ht="15.75" customHeight="1" x14ac:dyDescent="0.5">
      <c r="A3" s="168"/>
      <c r="B3" s="168"/>
      <c r="C3" s="168"/>
      <c r="D3" s="168"/>
      <c r="E3" s="168"/>
      <c r="F3" s="169"/>
      <c r="G3" s="169"/>
      <c r="H3" s="169"/>
      <c r="I3" s="169"/>
      <c r="J3" s="169"/>
      <c r="K3" s="169"/>
      <c r="L3" s="169"/>
      <c r="M3" s="169"/>
      <c r="N3" s="169"/>
      <c r="O3" s="169"/>
      <c r="P3" s="169"/>
    </row>
    <row r="4" spans="1:18" ht="16.5" customHeight="1" x14ac:dyDescent="0.5">
      <c r="A4" s="168"/>
      <c r="B4" s="168"/>
      <c r="C4" s="168"/>
      <c r="D4" s="168"/>
      <c r="E4" s="168"/>
      <c r="F4" s="169"/>
      <c r="G4" s="169"/>
      <c r="H4" s="169"/>
      <c r="I4" s="169"/>
      <c r="J4" s="169"/>
      <c r="K4" s="169"/>
      <c r="L4" s="169"/>
      <c r="M4" s="169"/>
      <c r="N4" s="169"/>
      <c r="O4" s="169"/>
      <c r="P4" s="169"/>
    </row>
    <row r="5" spans="1:18" ht="16.5" customHeight="1" x14ac:dyDescent="0.5">
      <c r="A5" s="168"/>
      <c r="B5" s="168"/>
      <c r="C5" s="168"/>
      <c r="D5" s="168"/>
      <c r="E5" s="168"/>
      <c r="F5" s="170"/>
      <c r="G5" s="170"/>
      <c r="H5" s="170"/>
      <c r="I5" s="170"/>
      <c r="J5" s="170"/>
      <c r="K5" s="170"/>
      <c r="L5" s="170"/>
      <c r="M5" s="170"/>
      <c r="N5" s="170"/>
      <c r="O5" s="170"/>
      <c r="P5" s="170"/>
      <c r="Q5" s="170"/>
      <c r="R5" s="170"/>
    </row>
    <row r="6" spans="1:18" ht="16.5" customHeight="1" x14ac:dyDescent="0.5">
      <c r="B6" s="167"/>
      <c r="C6" s="167"/>
      <c r="D6" s="168"/>
      <c r="E6" s="168"/>
      <c r="F6" s="170"/>
      <c r="G6" s="170"/>
      <c r="H6" s="170"/>
      <c r="I6" s="170"/>
      <c r="J6" s="170"/>
      <c r="K6" s="170"/>
      <c r="L6" s="170"/>
      <c r="M6" s="170"/>
      <c r="N6" s="170"/>
      <c r="O6" s="170"/>
      <c r="P6" s="170"/>
      <c r="Q6" s="170"/>
      <c r="R6" s="170"/>
    </row>
    <row r="7" spans="1:18" ht="16.5" customHeight="1" x14ac:dyDescent="0.5">
      <c r="B7" s="167"/>
      <c r="C7" s="168"/>
      <c r="D7" s="168"/>
      <c r="E7" s="168"/>
      <c r="F7" s="170"/>
      <c r="G7" s="170"/>
      <c r="H7" s="170"/>
      <c r="I7" s="170"/>
      <c r="J7" s="170"/>
      <c r="K7" s="170"/>
      <c r="L7" s="170"/>
      <c r="M7" s="170"/>
      <c r="N7" s="170"/>
      <c r="O7" s="170"/>
      <c r="P7" s="170"/>
      <c r="Q7" s="170"/>
      <c r="R7" s="170"/>
    </row>
    <row r="8" spans="1:18" ht="16.5" customHeight="1" x14ac:dyDescent="0.5">
      <c r="B8" s="167"/>
      <c r="C8" s="167"/>
      <c r="D8" s="168"/>
      <c r="E8" s="168"/>
      <c r="F8" s="170"/>
      <c r="G8" s="170"/>
      <c r="H8" s="170"/>
      <c r="I8" s="170"/>
      <c r="J8" s="170"/>
      <c r="K8" s="170"/>
      <c r="L8" s="170"/>
      <c r="M8" s="170"/>
      <c r="N8" s="170"/>
      <c r="O8" s="170"/>
      <c r="P8" s="170"/>
      <c r="Q8" s="170"/>
      <c r="R8" s="170"/>
    </row>
    <row r="9" spans="1:18" ht="16.5" customHeight="1" x14ac:dyDescent="0.25">
      <c r="B9" s="167"/>
      <c r="C9" s="167"/>
      <c r="D9" s="171"/>
      <c r="E9" s="171"/>
      <c r="F9" s="170"/>
      <c r="G9" s="170"/>
      <c r="H9" s="170"/>
      <c r="I9" s="170"/>
      <c r="J9" s="170"/>
      <c r="K9" s="170"/>
      <c r="L9" s="170"/>
      <c r="M9" s="170"/>
      <c r="N9" s="170"/>
      <c r="O9" s="170"/>
      <c r="P9" s="170"/>
      <c r="Q9" s="170"/>
      <c r="R9" s="170"/>
    </row>
    <row r="10" spans="1:18" ht="30" customHeight="1" x14ac:dyDescent="0.35">
      <c r="B10" s="167"/>
      <c r="C10" s="167"/>
      <c r="D10" s="1151"/>
      <c r="E10" s="1151"/>
      <c r="F10" s="1151"/>
      <c r="G10" s="1151"/>
      <c r="H10" s="1151"/>
      <c r="I10" s="1151"/>
      <c r="J10" s="1151"/>
      <c r="K10" s="1151"/>
      <c r="L10" s="1151"/>
      <c r="M10" s="1151"/>
    </row>
    <row r="11" spans="1:18" ht="16.5" customHeight="1" x14ac:dyDescent="0.25">
      <c r="B11" s="167"/>
      <c r="C11" s="167"/>
    </row>
    <row r="12" spans="1:18" ht="16.5" customHeight="1" x14ac:dyDescent="0.25">
      <c r="B12" s="167"/>
      <c r="C12" s="167"/>
    </row>
    <row r="13" spans="1:18" ht="16.5" customHeight="1" x14ac:dyDescent="0.25">
      <c r="B13" s="167"/>
      <c r="C13" s="167"/>
    </row>
    <row r="14" spans="1:18" ht="16.5" customHeight="1" x14ac:dyDescent="0.25">
      <c r="B14" s="167"/>
      <c r="C14" s="167"/>
    </row>
    <row r="15" spans="1:18" ht="16.5" customHeight="1" x14ac:dyDescent="0.25">
      <c r="B15" s="167"/>
      <c r="C15" s="167"/>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fjBTWO1Fa16WCeKGwbbbVICxXgxQMOV7t4mXCIoQj4rzeX2gh6J8NRVbRCwP8o1Yn8qZ1eKcV9fjo9dd6TI4NQ==" saltValue="h81tDQlR5u8iB8w+phItU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G129"/>
  <sheetViews>
    <sheetView showRowColHeaders="0" topLeftCell="A6" zoomScale="80" zoomScaleNormal="80" workbookViewId="0">
      <selection activeCell="H8" sqref="H8:I8"/>
    </sheetView>
  </sheetViews>
  <sheetFormatPr defaultColWidth="46.5546875" defaultRowHeight="13.8" zeroHeight="1" x14ac:dyDescent="0.25"/>
  <cols>
    <col min="1" max="1" width="10.6640625" style="22" customWidth="1"/>
    <col min="2" max="2" width="31.44140625" style="22" customWidth="1"/>
    <col min="3" max="3" width="13.664062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23.33203125" style="22" customWidth="1"/>
    <col min="11" max="11" width="46.5546875" style="22"/>
    <col min="12" max="16382" width="0" style="22" hidden="1" customWidth="1"/>
    <col min="16383" max="16384" width="46.5546875" style="22"/>
  </cols>
  <sheetData>
    <row r="1" spans="2:22" ht="15.75" customHeight="1" thickBot="1" x14ac:dyDescent="0.3"/>
    <row r="2" spans="2:22" ht="19.350000000000001" customHeight="1" thickBot="1" x14ac:dyDescent="0.3">
      <c r="B2" s="1242" t="str">
        <f>IF(Start!$F$12="","",Start!$F$12)</f>
        <v>Chickenhall Lane</v>
      </c>
      <c r="C2" s="1243"/>
      <c r="D2" s="1244"/>
      <c r="F2" s="1251"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251"/>
      <c r="H2" s="1251"/>
      <c r="I2" s="1251"/>
    </row>
    <row r="3" spans="2:22" ht="15.75" customHeight="1" x14ac:dyDescent="0.25">
      <c r="B3" s="1236" t="str">
        <f ca="1">MID(CELL("filename",A1),FIND("]",CELL("filename",A1))+1,256)</f>
        <v>Headline Results</v>
      </c>
      <c r="C3" s="1237"/>
      <c r="D3" s="1238"/>
      <c r="F3" s="1251"/>
      <c r="G3" s="1251"/>
      <c r="H3" s="1251"/>
      <c r="I3" s="1251"/>
    </row>
    <row r="4" spans="2:22" ht="15.75" customHeight="1" thickBot="1" x14ac:dyDescent="0.3">
      <c r="B4" s="1239"/>
      <c r="C4" s="1240"/>
      <c r="D4" s="1241"/>
      <c r="F4" s="1251"/>
      <c r="G4" s="1251"/>
      <c r="H4" s="1251"/>
      <c r="I4" s="1251"/>
    </row>
    <row r="5" spans="2:22" ht="10.199999999999999" customHeight="1" x14ac:dyDescent="0.25">
      <c r="B5" s="1156" t="s">
        <v>165</v>
      </c>
      <c r="C5" s="1157"/>
      <c r="D5" s="1158"/>
      <c r="F5" s="1251"/>
      <c r="G5" s="1251"/>
      <c r="H5" s="1251"/>
      <c r="I5" s="1251"/>
    </row>
    <row r="6" spans="2:22" ht="10.199999999999999" customHeight="1" x14ac:dyDescent="0.5">
      <c r="B6" s="1159"/>
      <c r="C6" s="1160"/>
      <c r="D6" s="1161"/>
      <c r="K6" s="23"/>
      <c r="L6" s="23"/>
      <c r="M6" s="23"/>
      <c r="N6" s="23"/>
    </row>
    <row r="7" spans="2:22" ht="10.199999999999999" customHeight="1" thickBot="1" x14ac:dyDescent="0.55000000000000004">
      <c r="B7" s="1162"/>
      <c r="C7" s="1163"/>
      <c r="D7" s="1164"/>
      <c r="K7" s="23"/>
      <c r="L7" s="23"/>
      <c r="M7" s="23"/>
      <c r="N7" s="23"/>
      <c r="O7" s="24"/>
      <c r="Q7" s="24"/>
      <c r="R7" s="24"/>
    </row>
    <row r="8" spans="2:22" ht="22.2" customHeight="1" x14ac:dyDescent="0.5">
      <c r="B8" s="1186" t="s">
        <v>166</v>
      </c>
      <c r="C8" s="1187"/>
      <c r="D8" s="1187"/>
      <c r="E8" s="1187"/>
      <c r="F8" s="1180" t="s">
        <v>167</v>
      </c>
      <c r="G8" s="1181"/>
      <c r="H8" s="1226">
        <f>IFERROR('A-1 On-Site Habitat Baseline'!Q259,"Check Data ⚠")</f>
        <v>2.6843300000000001</v>
      </c>
      <c r="I8" s="1245"/>
      <c r="J8" s="25"/>
      <c r="K8" s="23"/>
      <c r="L8" s="23"/>
      <c r="M8" s="23"/>
      <c r="N8" s="23"/>
      <c r="O8" s="24"/>
      <c r="P8" s="24"/>
      <c r="Q8" s="24"/>
      <c r="R8" s="24"/>
      <c r="S8" s="24"/>
    </row>
    <row r="9" spans="2:22" ht="22.2" customHeight="1" x14ac:dyDescent="0.5">
      <c r="B9" s="1189"/>
      <c r="C9" s="1190"/>
      <c r="D9" s="1190"/>
      <c r="E9" s="1190"/>
      <c r="F9" s="1182" t="s">
        <v>168</v>
      </c>
      <c r="G9" s="1183"/>
      <c r="H9" s="1246">
        <f>IFERROR('B-1 On-Site Hedge Baseline'!N258,"Check Data ⚠")</f>
        <v>0.23300000000000001</v>
      </c>
      <c r="I9" s="1247"/>
      <c r="K9" s="23"/>
      <c r="L9" s="23"/>
      <c r="M9" s="23"/>
      <c r="N9" s="23"/>
    </row>
    <row r="10" spans="2:22" ht="22.2" customHeight="1" thickBot="1" x14ac:dyDescent="0.55000000000000004">
      <c r="B10" s="1192"/>
      <c r="C10" s="1193"/>
      <c r="D10" s="1193"/>
      <c r="E10" s="1193"/>
      <c r="F10" s="1178" t="s">
        <v>169</v>
      </c>
      <c r="G10" s="1179"/>
      <c r="H10" s="1222">
        <f>'C-1 On-Site WaterC'' Baseline'!R258</f>
        <v>0</v>
      </c>
      <c r="I10" s="1223"/>
      <c r="K10" s="23"/>
      <c r="L10" s="23"/>
      <c r="M10" s="23"/>
      <c r="N10" s="23"/>
    </row>
    <row r="11" spans="2:22" ht="4.5" customHeight="1" thickBot="1" x14ac:dyDescent="0.55000000000000004">
      <c r="H11" s="208"/>
      <c r="I11" s="208"/>
      <c r="K11" s="23"/>
      <c r="L11" s="23"/>
      <c r="M11" s="23"/>
      <c r="N11" s="23"/>
    </row>
    <row r="12" spans="2:22" ht="22.2" customHeight="1" x14ac:dyDescent="0.5">
      <c r="B12" s="1186" t="s">
        <v>170</v>
      </c>
      <c r="C12" s="1187"/>
      <c r="D12" s="1187"/>
      <c r="E12" s="1188"/>
      <c r="F12" s="1180" t="s">
        <v>167</v>
      </c>
      <c r="G12" s="1181"/>
      <c r="H12" s="1212">
        <f>IFERROR('A-2 On-Site Habitat Creation'!Y257+'A-3 On-Site Habitat Enhancement'!AN258+'A-1 On-Site Habitat Baseline'!U259+'A-1 On-Site Habitat Baseline'!AT259,"Check Data ⚠")</f>
        <v>1.7006928995506749</v>
      </c>
      <c r="I12" s="1213"/>
      <c r="K12" s="23"/>
      <c r="L12" s="23"/>
      <c r="M12" s="23"/>
      <c r="N12" s="23"/>
      <c r="U12" s="1220"/>
      <c r="V12" s="1220"/>
    </row>
    <row r="13" spans="2:22" ht="22.2" customHeight="1" x14ac:dyDescent="0.5">
      <c r="B13" s="1189"/>
      <c r="C13" s="1190"/>
      <c r="D13" s="1190"/>
      <c r="E13" s="1191"/>
      <c r="F13" s="1182" t="s">
        <v>168</v>
      </c>
      <c r="G13" s="1183"/>
      <c r="H13" s="1221">
        <f ca="1">IFERROR('B-2 On-Site Hedge Creation'!W260+'B-3 On-Site Hedge Enhancement'!AH258+'B-1 On-Site Hedge Baseline'!R258,"Check Data⚠")</f>
        <v>0.52141467762499993</v>
      </c>
      <c r="I13" s="1215"/>
      <c r="K13" s="23"/>
      <c r="L13" s="23"/>
      <c r="M13" s="23"/>
      <c r="N13" s="23"/>
      <c r="U13" s="1220"/>
      <c r="V13" s="1220"/>
    </row>
    <row r="14" spans="2:22" ht="22.2" customHeight="1" thickBot="1" x14ac:dyDescent="0.55000000000000004">
      <c r="B14" s="1192"/>
      <c r="C14" s="1193"/>
      <c r="D14" s="1193"/>
      <c r="E14" s="1194"/>
      <c r="F14" s="1178" t="s">
        <v>169</v>
      </c>
      <c r="G14" s="1179"/>
      <c r="H14" s="1222">
        <f>IFERROR('C-2 On-Site WaterC'' Creation'!Z260 + 'C-3 On-Site WaterC'' Enhancement'!AM258+'C-1 On-Site WaterC'' Baseline'!W258+'C-1 On-Site WaterC'' Baseline'!AT258,"Check Data ⚠")</f>
        <v>0</v>
      </c>
      <c r="I14" s="1223"/>
      <c r="K14" s="23"/>
      <c r="L14" s="23"/>
      <c r="M14" s="23"/>
      <c r="N14" s="23"/>
    </row>
    <row r="15" spans="2:22" ht="4.5" customHeight="1" thickBot="1" x14ac:dyDescent="0.55000000000000004">
      <c r="B15" s="263"/>
      <c r="C15" s="263"/>
      <c r="D15" s="263"/>
      <c r="E15" s="263"/>
      <c r="F15" s="264"/>
      <c r="G15" s="264"/>
      <c r="H15" s="265"/>
      <c r="I15" s="265"/>
      <c r="K15" s="429"/>
      <c r="L15" s="23"/>
      <c r="M15" s="23"/>
      <c r="N15" s="23"/>
    </row>
    <row r="16" spans="2:22" ht="22.2" customHeight="1" x14ac:dyDescent="0.5">
      <c r="B16" s="1186" t="s">
        <v>171</v>
      </c>
      <c r="C16" s="1187"/>
      <c r="D16" s="1187"/>
      <c r="E16" s="1187"/>
      <c r="F16" s="1180" t="s">
        <v>167</v>
      </c>
      <c r="G16" s="1181"/>
      <c r="H16" s="1226">
        <f>IFERROR(H12-H8, "Error ▲")</f>
        <v>-0.98363710044932517</v>
      </c>
      <c r="I16" s="1226"/>
      <c r="J16" s="499">
        <f>IF(AND(H8=0, H12=0),0,IF(AND(H8=0,H12&gt;0),"N/A",IFERROR((H12/H8)-1,"Check Data ⚠")))</f>
        <v>-0.36643672739541155</v>
      </c>
      <c r="K16" s="653" t="str">
        <f>IF(J16="N/A","Zero baseline units - % cannot be calculated",IF(OR(AND(H8=0,H12=0),J16&gt;=Start!$F$22)," ","On-site net gain is less than target set ⚠"))</f>
        <v>On-site net gain is less than target set ⚠</v>
      </c>
      <c r="L16" s="23"/>
      <c r="M16" s="23"/>
      <c r="N16" s="23"/>
    </row>
    <row r="17" spans="2:14" ht="22.2" customHeight="1" x14ac:dyDescent="0.5">
      <c r="B17" s="1189"/>
      <c r="C17" s="1190"/>
      <c r="D17" s="1190"/>
      <c r="E17" s="1190"/>
      <c r="F17" s="1182" t="s">
        <v>168</v>
      </c>
      <c r="G17" s="1183"/>
      <c r="H17" s="1246">
        <f ca="1">IFERROR(H13-H9, "Error ▲")</f>
        <v>0.28841467762499995</v>
      </c>
      <c r="I17" s="1246"/>
      <c r="J17" s="500">
        <f ca="1">IF(AND(H9=0, H13=0),0,IF(AND(H9=0,H13&gt;0),"N/A",IFERROR((H13/H9)-1,"Check Data ⚠")))</f>
        <v>1.2378312344420599</v>
      </c>
      <c r="K17" s="653" t="str">
        <f ca="1">IF(J17="N/A","Zero baseline units - % cannot be calculated",IF(OR(AND(H9=0,H13=0),J17&gt;=Start!$F$22)," ","On-site net gain is less than target set ⚠"))</f>
        <v xml:space="preserve"> </v>
      </c>
      <c r="L17" s="23"/>
      <c r="M17" s="23"/>
      <c r="N17" s="23"/>
    </row>
    <row r="18" spans="2:14" ht="22.2" customHeight="1" thickBot="1" x14ac:dyDescent="0.55000000000000004">
      <c r="B18" s="1192"/>
      <c r="C18" s="1193"/>
      <c r="D18" s="1193"/>
      <c r="E18" s="1193"/>
      <c r="F18" s="1178" t="s">
        <v>169</v>
      </c>
      <c r="G18" s="1179"/>
      <c r="H18" s="1252">
        <f>IFERROR(H14-H10, "Error ▲")</f>
        <v>0</v>
      </c>
      <c r="I18" s="1252"/>
      <c r="J18" s="501">
        <f>IF(AND(H10=0, H14=0),0,IF(AND(H10=0,H14&gt;0),"N/A",IFERROR((H14/H10)-1,"Check Data ⚠")))</f>
        <v>0</v>
      </c>
      <c r="K18" s="653" t="str">
        <f>IF(J18="N/A","Zero baseline units - % cannot be calculated",IF(OR(AND(H10=0,H14=0),J18&gt;=Start!$F$22)," ","On-site net gain is less than target set ⚠"))</f>
        <v xml:space="preserve"> </v>
      </c>
      <c r="L18" s="23"/>
      <c r="M18" s="23"/>
      <c r="N18" s="23"/>
    </row>
    <row r="19" spans="2:14" ht="25.2" customHeight="1" thickBot="1" x14ac:dyDescent="0.55000000000000004">
      <c r="B19" s="1154" t="str" cm="1">
        <f t="array" ref="B19">IF(OR('Off-site gain site summary'!M7:M107="Error - gain sites must be postive ▲",'Off-site gain site summary'!Z7:Z107="Error - gain sites must be positive ▲",'Off-site gain site summary'!AM7:AM107="Error - gain sites must be postive ▲"),"Error - off-site gain sites must be postive ▲","")</f>
        <v/>
      </c>
      <c r="C19" s="1154"/>
      <c r="D19" s="1154"/>
      <c r="E19" s="1154"/>
      <c r="F19" s="1154"/>
      <c r="G19" s="1154"/>
      <c r="H19" s="1154"/>
      <c r="I19" s="1154"/>
      <c r="K19" s="23"/>
      <c r="L19" s="23"/>
      <c r="M19" s="23"/>
      <c r="N19" s="23"/>
    </row>
    <row r="20" spans="2:14" ht="22.2" customHeight="1" x14ac:dyDescent="0.5">
      <c r="B20" s="1186" t="s">
        <v>172</v>
      </c>
      <c r="C20" s="1187"/>
      <c r="D20" s="1187"/>
      <c r="E20" s="1187"/>
      <c r="F20" s="1180" t="s">
        <v>167</v>
      </c>
      <c r="G20" s="1181"/>
      <c r="H20" s="1174">
        <f>IFERROR('D-1 Off-Site Habitat Baseline'!T259,"Check Data ⚠")</f>
        <v>3.3814599999999997</v>
      </c>
      <c r="I20" s="1175"/>
      <c r="K20" s="23"/>
      <c r="L20" s="1230">
        <f>IFERROR('D-1 Off-Site Habitat Baseline'!Q259,"Check Data ⚠")</f>
        <v>3.3814599999999997</v>
      </c>
      <c r="M20" s="1175"/>
      <c r="N20" s="23"/>
    </row>
    <row r="21" spans="2:14" ht="22.2" customHeight="1" x14ac:dyDescent="0.5">
      <c r="B21" s="1189"/>
      <c r="C21" s="1190"/>
      <c r="D21" s="1190"/>
      <c r="E21" s="1190"/>
      <c r="F21" s="1182" t="s">
        <v>168</v>
      </c>
      <c r="G21" s="1183"/>
      <c r="H21" s="1176">
        <f>IFERROR('E-1 Off-Site Hedge Baseline'!Q258,"Check Data ⚠")</f>
        <v>0</v>
      </c>
      <c r="I21" s="1177"/>
      <c r="K21" s="23"/>
      <c r="L21" s="1231">
        <f>IFERROR('E-1 Off-Site Hedge Baseline'!N258,"Check Data ⚠")</f>
        <v>0</v>
      </c>
      <c r="M21" s="1177"/>
      <c r="N21" s="23"/>
    </row>
    <row r="22" spans="2:14" ht="22.2" customHeight="1" thickBot="1" x14ac:dyDescent="0.55000000000000004">
      <c r="B22" s="1192"/>
      <c r="C22" s="1193"/>
      <c r="D22" s="1193"/>
      <c r="E22" s="1193"/>
      <c r="F22" s="1178" t="s">
        <v>169</v>
      </c>
      <c r="G22" s="1179"/>
      <c r="H22" s="1227">
        <f>IFERROR('F-1 Off-Site WaterC'' Baseline'!U258,"Check Data ⚠")</f>
        <v>1.598868</v>
      </c>
      <c r="I22" s="1228"/>
      <c r="K22" s="23"/>
      <c r="L22" s="1232">
        <f>IFERROR('F-1 Off-Site WaterC'' Baseline'!R258,"Check Data ⚠")</f>
        <v>1.598868</v>
      </c>
      <c r="M22" s="1228"/>
      <c r="N22" s="23"/>
    </row>
    <row r="23" spans="2:14" ht="5.7" customHeight="1" thickBot="1" x14ac:dyDescent="0.55000000000000004">
      <c r="H23" s="208"/>
      <c r="I23" s="208"/>
      <c r="K23" s="23"/>
      <c r="L23" s="208"/>
      <c r="M23" s="208"/>
      <c r="N23" s="23"/>
    </row>
    <row r="24" spans="2:14" ht="22.2" customHeight="1" x14ac:dyDescent="0.5">
      <c r="B24" s="1186" t="s">
        <v>173</v>
      </c>
      <c r="C24" s="1187"/>
      <c r="D24" s="1187"/>
      <c r="E24" s="1188"/>
      <c r="F24" s="1180" t="s">
        <v>167</v>
      </c>
      <c r="G24" s="1181"/>
      <c r="H24" s="1212">
        <f>IFERROR('D-1 Off-Site Habitat Baseline'!$X$259+'D-2 Off-Site Habitat Creation'!AB257+'D-3 Off-Site Habitat Enhancment'!AQ259+'D-1 Off-Site Habitat Baseline'!AS259,"Check Data ⚠")</f>
        <v>5.2082928242692654</v>
      </c>
      <c r="I24" s="1213"/>
      <c r="K24" s="23"/>
      <c r="L24" s="1233">
        <f>IFERROR('D-1 Off-Site Habitat Baseline'!$AY$259+'D-2 Off-Site Habitat Creation'!AA257+'D-3 Off-Site Habitat Enhancment'!AP259,"Check Data ⚠")</f>
        <v>5.2082928242692654</v>
      </c>
      <c r="M24" s="1213"/>
      <c r="N24" s="23"/>
    </row>
    <row r="25" spans="2:14" ht="22.2" customHeight="1" x14ac:dyDescent="0.5">
      <c r="B25" s="1189"/>
      <c r="C25" s="1190"/>
      <c r="D25" s="1190"/>
      <c r="E25" s="1191"/>
      <c r="F25" s="1182" t="s">
        <v>168</v>
      </c>
      <c r="G25" s="1183"/>
      <c r="H25" s="1214">
        <f>IFERROR('E-1 Off-Site Hedge Baseline'!U258+'E-2 Off-Site Hedge Creation'!Z260+'E-3 Off-Site Hedge Enhancement'!AK258,"Check Data ⚠")</f>
        <v>0</v>
      </c>
      <c r="I25" s="1215"/>
      <c r="K25" s="23"/>
      <c r="L25" s="1234">
        <f>IFERROR('E-1 Off-Site Hedge Baseline'!AY258+'E-2 Off-Site Hedge Creation'!Y260+'E-3 Off-Site Hedge Enhancement'!AJ258,"Check Data ⚠")</f>
        <v>0</v>
      </c>
      <c r="M25" s="1215"/>
      <c r="N25" s="23"/>
    </row>
    <row r="26" spans="2:14" ht="22.2" customHeight="1" thickBot="1" x14ac:dyDescent="0.55000000000000004">
      <c r="B26" s="1192"/>
      <c r="C26" s="1193"/>
      <c r="D26" s="1193"/>
      <c r="E26" s="1194"/>
      <c r="F26" s="1178" t="s">
        <v>169</v>
      </c>
      <c r="G26" s="1179"/>
      <c r="H26" s="1222">
        <f>IFERROR('F-1 Off-Site WaterC'' Baseline'!Z258+'F-2 Off-Site WaterC'' Creation'!AC260+'F-3 Off-Site WaterC Enhancement'!AP258+'F-1 Off-Site WaterC'' Baseline'!AT258,"Check Data ⚠")</f>
        <v>1.8646560000000001</v>
      </c>
      <c r="I26" s="1223"/>
      <c r="K26" s="23"/>
      <c r="L26" s="1229">
        <f>IFERROR('F-1 Off-Site WaterC'' Baseline'!BA258+'F-2 Off-Site WaterC'' Creation'!AB260+'F-3 Off-Site WaterC Enhancement'!AO258,"Check Data ⚠")</f>
        <v>1.8646560000000001</v>
      </c>
      <c r="M26" s="1223"/>
      <c r="N26" s="23"/>
    </row>
    <row r="27" spans="2:14" ht="5.0999999999999996" customHeight="1" thickBot="1" x14ac:dyDescent="0.55000000000000004">
      <c r="K27" s="23"/>
      <c r="L27" s="23"/>
      <c r="M27" s="23"/>
      <c r="N27" s="23"/>
    </row>
    <row r="28" spans="2:14" ht="22.2" customHeight="1" x14ac:dyDescent="0.5">
      <c r="B28" s="1186" t="s">
        <v>174</v>
      </c>
      <c r="C28" s="1187"/>
      <c r="D28" s="1187"/>
      <c r="E28" s="1187"/>
      <c r="F28" s="1180" t="s">
        <v>167</v>
      </c>
      <c r="G28" s="1181"/>
      <c r="H28" s="1174">
        <f>IFERROR(H24-H20, "Error ▲")</f>
        <v>1.8268328242692657</v>
      </c>
      <c r="I28" s="1174"/>
      <c r="J28" s="499">
        <f>IF(AND(H20=0, H24=0), 0,IF(AND(H20=0,H24&gt;0),"N/A",IFERROR((H24/H20)-1,"Check Data ⚠")))</f>
        <v>0.540249721797468</v>
      </c>
      <c r="K28" s="498" t="str">
        <f t="shared" ref="K28:K29" si="0">IF(J28="N/A","Zero baseline units - % cannot be calculated","")</f>
        <v/>
      </c>
      <c r="L28" s="23"/>
      <c r="M28" s="23"/>
      <c r="N28" s="23"/>
    </row>
    <row r="29" spans="2:14" ht="22.2" customHeight="1" x14ac:dyDescent="0.5">
      <c r="B29" s="1189"/>
      <c r="C29" s="1190"/>
      <c r="D29" s="1190"/>
      <c r="E29" s="1190"/>
      <c r="F29" s="1182" t="s">
        <v>168</v>
      </c>
      <c r="G29" s="1183"/>
      <c r="H29" s="1176">
        <f>IFERROR(H25-H21, "Error ▲")</f>
        <v>0</v>
      </c>
      <c r="I29" s="1176"/>
      <c r="J29" s="500">
        <f>IF(AND(H21=0, H25=0), 0,IF(AND(H21=0,H25&gt;0),"N/A",IFERROR((H25/H21)-1,"Check Data ⚠")))</f>
        <v>0</v>
      </c>
      <c r="K29" s="498" t="str">
        <f t="shared" si="0"/>
        <v/>
      </c>
      <c r="L29" s="23"/>
      <c r="M29" s="23"/>
      <c r="N29" s="23"/>
    </row>
    <row r="30" spans="2:14" ht="22.2" customHeight="1" thickBot="1" x14ac:dyDescent="0.55000000000000004">
      <c r="B30" s="1192"/>
      <c r="C30" s="1193"/>
      <c r="D30" s="1193"/>
      <c r="E30" s="1193"/>
      <c r="F30" s="1178" t="s">
        <v>169</v>
      </c>
      <c r="G30" s="1179"/>
      <c r="H30" s="1167">
        <f>IFERROR(H26-H22, "Error ▲")</f>
        <v>0.26578800000000014</v>
      </c>
      <c r="I30" s="1167"/>
      <c r="J30" s="501">
        <f>IF(AND(H22=0, H26=0), 0,IF(AND(H22=0,H26&gt;0),"N/A",IFERROR((H26/H22)-1,"Check Data ⚠")))</f>
        <v>0.16623511134127411</v>
      </c>
      <c r="K30" s="498" t="str">
        <f>IF(J30="N/A","Zero baseline units - % cannot be calculated","")</f>
        <v/>
      </c>
      <c r="L30" s="23"/>
      <c r="M30" s="23"/>
      <c r="N30" s="23"/>
    </row>
    <row r="31" spans="2:14" ht="22.2" customHeight="1" x14ac:dyDescent="0.5">
      <c r="K31" s="23"/>
      <c r="L31" s="23"/>
      <c r="M31" s="23"/>
      <c r="N31" s="23"/>
    </row>
    <row r="32" spans="2:14" ht="7.5" hidden="1" customHeight="1" x14ac:dyDescent="0.5">
      <c r="B32" s="1186" t="s">
        <v>175</v>
      </c>
      <c r="C32" s="1187"/>
      <c r="D32" s="1187"/>
      <c r="E32" s="1187"/>
      <c r="F32" s="1180" t="s">
        <v>167</v>
      </c>
      <c r="G32" s="1181"/>
      <c r="H32" s="1174">
        <f>IF((H28&lt;=0),"N/A",(L24-L20))</f>
        <v>1.8268328242692657</v>
      </c>
      <c r="I32" s="1175"/>
      <c r="J32" s="1165" t="str">
        <f>IF(H32="N/A", "SRM only applies where unit change is positive (uplift)", " ")</f>
        <v xml:space="preserve"> </v>
      </c>
      <c r="K32" s="1166"/>
      <c r="L32" s="23"/>
      <c r="M32" s="23"/>
      <c r="N32" s="23"/>
    </row>
    <row r="33" spans="2:14" ht="22.5" hidden="1" customHeight="1" x14ac:dyDescent="0.5">
      <c r="B33" s="1189"/>
      <c r="C33" s="1190"/>
      <c r="D33" s="1190"/>
      <c r="E33" s="1190"/>
      <c r="F33" s="1182" t="s">
        <v>168</v>
      </c>
      <c r="G33" s="1183"/>
      <c r="H33" s="1176" t="str">
        <f>IF((H29&lt;=0),"N/A",(L25-L21))</f>
        <v>N/A</v>
      </c>
      <c r="I33" s="1177"/>
      <c r="J33" s="1165" t="str">
        <f>IF(H33="N/A", "SRM only applies where unit change is positive", " ")</f>
        <v>SRM only applies where unit change is positive</v>
      </c>
      <c r="K33" s="1166"/>
      <c r="L33" s="23"/>
      <c r="M33" s="23"/>
      <c r="N33" s="23"/>
    </row>
    <row r="34" spans="2:14" ht="21" hidden="1" customHeight="1" thickBot="1" x14ac:dyDescent="0.55000000000000004">
      <c r="B34" s="1192"/>
      <c r="C34" s="1193"/>
      <c r="D34" s="1193"/>
      <c r="E34" s="1193"/>
      <c r="F34" s="1178" t="s">
        <v>169</v>
      </c>
      <c r="G34" s="1179"/>
      <c r="H34" s="1167">
        <f>IF((H30&lt;=0),"N/A",(L26-L22))</f>
        <v>0.26578800000000014</v>
      </c>
      <c r="I34" s="1168"/>
      <c r="J34" s="1165" t="str">
        <f>IF(H34="N/A", "SRM only applies where unit change is positive", " ")</f>
        <v xml:space="preserve"> </v>
      </c>
      <c r="K34" s="1166"/>
      <c r="L34" s="23"/>
      <c r="M34" s="23"/>
      <c r="N34" s="23"/>
    </row>
    <row r="35" spans="2:14" ht="13.5" hidden="1" customHeight="1" x14ac:dyDescent="0.5">
      <c r="B35" s="498"/>
      <c r="C35" s="498"/>
      <c r="D35" s="23"/>
      <c r="E35" s="23"/>
      <c r="F35" s="498"/>
      <c r="G35" s="498"/>
      <c r="H35" s="23"/>
      <c r="I35" s="23"/>
      <c r="J35" s="498"/>
      <c r="K35" s="498"/>
      <c r="L35" s="23"/>
      <c r="M35" s="23"/>
      <c r="N35" s="23"/>
    </row>
    <row r="36" spans="2:14" ht="22.2" customHeight="1" thickBot="1" x14ac:dyDescent="0.55000000000000004">
      <c r="B36" s="498"/>
      <c r="C36" s="498"/>
      <c r="D36" s="23"/>
      <c r="E36" s="23"/>
      <c r="F36" s="498"/>
      <c r="G36" s="498"/>
      <c r="H36" s="23"/>
      <c r="I36" s="23"/>
      <c r="J36" s="498"/>
      <c r="K36" s="23"/>
      <c r="L36" s="23"/>
      <c r="M36" s="23"/>
      <c r="N36" s="23"/>
    </row>
    <row r="37" spans="2:14" ht="22.2" customHeight="1" x14ac:dyDescent="0.5">
      <c r="B37" s="1186" t="s">
        <v>176</v>
      </c>
      <c r="C37" s="1187"/>
      <c r="D37" s="1187"/>
      <c r="E37" s="1188"/>
      <c r="F37" s="1180" t="s">
        <v>167</v>
      </c>
      <c r="G37" s="1181"/>
      <c r="H37" s="1212">
        <f>IFERROR((H16)+(H28),"Check Data ⚠")</f>
        <v>0.84319572381994057</v>
      </c>
      <c r="I37" s="1213"/>
      <c r="J37" s="498"/>
      <c r="K37" s="23"/>
      <c r="L37" s="23"/>
      <c r="M37" s="23"/>
      <c r="N37" s="23"/>
    </row>
    <row r="38" spans="2:14" ht="22.2" customHeight="1" x14ac:dyDescent="0.5">
      <c r="B38" s="1189"/>
      <c r="C38" s="1190"/>
      <c r="D38" s="1190"/>
      <c r="E38" s="1191"/>
      <c r="F38" s="1182" t="s">
        <v>168</v>
      </c>
      <c r="G38" s="1183"/>
      <c r="H38" s="1214">
        <f ca="1">IFERROR((H17)+(H29),"Check Data ⚠")</f>
        <v>0.28841467762499995</v>
      </c>
      <c r="I38" s="1215"/>
      <c r="J38" s="498"/>
      <c r="K38" s="23"/>
      <c r="L38" s="23"/>
      <c r="M38" s="23"/>
      <c r="N38" s="23"/>
    </row>
    <row r="39" spans="2:14" ht="22.2" customHeight="1" thickBot="1" x14ac:dyDescent="0.55000000000000004">
      <c r="B39" s="1192"/>
      <c r="C39" s="1193"/>
      <c r="D39" s="1193"/>
      <c r="E39" s="1194"/>
      <c r="F39" s="1178" t="s">
        <v>169</v>
      </c>
      <c r="G39" s="1179"/>
      <c r="H39" s="1222">
        <f>IFERROR((H18)+(H30),"Check Data ⚠")</f>
        <v>0.26578800000000014</v>
      </c>
      <c r="I39" s="1223"/>
      <c r="J39" s="498"/>
      <c r="K39" s="23"/>
      <c r="L39" s="23"/>
      <c r="M39" s="23"/>
      <c r="N39" s="23"/>
    </row>
    <row r="40" spans="2:14" ht="5.7" customHeight="1" thickBot="1" x14ac:dyDescent="0.55000000000000004">
      <c r="B40" s="498"/>
      <c r="C40" s="498"/>
      <c r="D40" s="23"/>
      <c r="E40" s="23"/>
      <c r="F40" s="498"/>
      <c r="G40" s="498"/>
      <c r="H40" s="23"/>
      <c r="I40" s="23"/>
      <c r="J40" s="498"/>
      <c r="K40" s="23"/>
      <c r="L40" s="23"/>
      <c r="M40" s="23"/>
      <c r="N40" s="23"/>
    </row>
    <row r="41" spans="2:14" ht="22.2" customHeight="1" x14ac:dyDescent="0.5">
      <c r="B41" s="1253" t="s">
        <v>177</v>
      </c>
      <c r="C41" s="1187"/>
      <c r="D41" s="1187"/>
      <c r="E41" s="1188"/>
      <c r="F41" s="1180" t="s">
        <v>167</v>
      </c>
      <c r="G41" s="1181"/>
      <c r="H41" s="1212">
        <f>IFERROR(H28-H32, "0.00")</f>
        <v>0</v>
      </c>
      <c r="I41" s="1213"/>
      <c r="J41" s="498"/>
      <c r="K41" s="23"/>
      <c r="L41" s="23"/>
      <c r="M41" s="23"/>
      <c r="N41" s="23"/>
    </row>
    <row r="42" spans="2:14" ht="22.2" customHeight="1" x14ac:dyDescent="0.5">
      <c r="B42" s="1189"/>
      <c r="C42" s="1190"/>
      <c r="D42" s="1190"/>
      <c r="E42" s="1191"/>
      <c r="F42" s="1182" t="s">
        <v>168</v>
      </c>
      <c r="G42" s="1183"/>
      <c r="H42" s="1214" t="str">
        <f>IFERROR(H29-H33, "0.00")</f>
        <v>0.00</v>
      </c>
      <c r="I42" s="1215"/>
      <c r="J42" s="498"/>
      <c r="K42" s="23"/>
      <c r="L42" s="23"/>
      <c r="M42" s="23"/>
      <c r="N42" s="23"/>
    </row>
    <row r="43" spans="2:14" ht="22.2" customHeight="1" thickBot="1" x14ac:dyDescent="0.55000000000000004">
      <c r="B43" s="1192"/>
      <c r="C43" s="1193"/>
      <c r="D43" s="1193"/>
      <c r="E43" s="1194"/>
      <c r="F43" s="1178" t="s">
        <v>169</v>
      </c>
      <c r="G43" s="1179"/>
      <c r="H43" s="1222">
        <f>IFERROR(H30-H34, "0.00")</f>
        <v>0</v>
      </c>
      <c r="I43" s="1223"/>
      <c r="J43" s="498"/>
      <c r="K43" s="23"/>
      <c r="L43" s="23"/>
      <c r="M43" s="23"/>
      <c r="N43" s="23"/>
    </row>
    <row r="44" spans="2:14" ht="37.200000000000003" customHeight="1" thickBot="1" x14ac:dyDescent="0.55000000000000004">
      <c r="B44" s="1258" t="str" cm="1">
        <f t="array" ref="B44">IF(OR('A-1 On-Site Habitat Baseline'!Y11:Y258="Yes",'D-1 Off-Site Habitat Baseline'!AB14:AB258="Yes", 'C-1 On-Site WaterC'' Baseline'!AA10:AA257="Yes", 'F-1 Off-Site WaterC'' Baseline'!AD10:AD257="Yes"),"Ensure bespoke compensation has been agreed where stated ⚠","")</f>
        <v/>
      </c>
      <c r="C44" s="1258"/>
      <c r="D44" s="1258"/>
      <c r="E44" s="1258"/>
      <c r="F44" s="1258"/>
      <c r="G44" s="1258"/>
      <c r="H44" s="1258"/>
      <c r="I44" s="1258"/>
      <c r="J44" s="498"/>
      <c r="K44" s="23"/>
      <c r="L44" s="23"/>
      <c r="M44" s="23"/>
      <c r="N44" s="23"/>
    </row>
    <row r="45" spans="2:14" ht="35.1" customHeight="1" thickBot="1" x14ac:dyDescent="0.55000000000000004">
      <c r="B45" s="1254" t="s">
        <v>178</v>
      </c>
      <c r="C45" s="1255"/>
      <c r="D45" s="1255"/>
      <c r="E45" s="1255"/>
      <c r="F45" s="1255"/>
      <c r="G45" s="1255"/>
      <c r="H45" s="1255"/>
      <c r="I45" s="1256"/>
      <c r="K45" s="23"/>
      <c r="L45" s="23"/>
      <c r="M45" s="23"/>
      <c r="N45" s="23"/>
    </row>
    <row r="46" spans="2:14" ht="10.199999999999999" customHeight="1" thickBot="1" x14ac:dyDescent="0.55000000000000004">
      <c r="B46" s="503"/>
      <c r="C46" s="503"/>
      <c r="D46" s="503"/>
      <c r="E46" s="503"/>
      <c r="F46" s="503"/>
      <c r="G46" s="503"/>
      <c r="H46" s="503"/>
      <c r="I46" s="503"/>
      <c r="K46" s="23"/>
      <c r="L46" s="23"/>
      <c r="M46" s="23"/>
      <c r="N46" s="23"/>
    </row>
    <row r="47" spans="2:14" ht="22.2" customHeight="1" x14ac:dyDescent="0.5">
      <c r="B47" s="1203" t="s">
        <v>179</v>
      </c>
      <c r="C47" s="1204"/>
      <c r="D47" s="1204"/>
      <c r="E47" s="1205"/>
      <c r="F47" s="1180" t="s">
        <v>167</v>
      </c>
      <c r="G47" s="1181"/>
      <c r="H47" s="1212">
        <f>IFERROR(IF(H32="N/A",(H12-H8)+(H28),(H12-H8)+(H32)),"Check Data ⚠")</f>
        <v>0.84319572381994057</v>
      </c>
      <c r="I47" s="1213"/>
      <c r="J47" s="1224"/>
      <c r="K47" s="1225"/>
      <c r="L47" s="23"/>
      <c r="M47" s="23"/>
      <c r="N47" s="23"/>
    </row>
    <row r="48" spans="2:14" ht="22.2" customHeight="1" x14ac:dyDescent="0.5">
      <c r="B48" s="1206"/>
      <c r="C48" s="1207"/>
      <c r="D48" s="1207"/>
      <c r="E48" s="1208"/>
      <c r="F48" s="1182" t="s">
        <v>168</v>
      </c>
      <c r="G48" s="1183"/>
      <c r="H48" s="1214">
        <f ca="1">IFERROR(IF(H33="N/A",(H13-H9)+(H29),(H13-H9)+(H33)),"Check Data ⚠")</f>
        <v>0.28841467762499995</v>
      </c>
      <c r="I48" s="1215"/>
      <c r="J48" s="1224"/>
      <c r="K48" s="1225"/>
      <c r="L48" s="23"/>
      <c r="M48" s="23"/>
      <c r="N48" s="23"/>
    </row>
    <row r="49" spans="1:33" ht="22.2" customHeight="1" thickBot="1" x14ac:dyDescent="0.55000000000000004">
      <c r="B49" s="1209"/>
      <c r="C49" s="1210"/>
      <c r="D49" s="1210"/>
      <c r="E49" s="1211"/>
      <c r="F49" s="1178" t="s">
        <v>169</v>
      </c>
      <c r="G49" s="1179"/>
      <c r="H49" s="1214">
        <f>IFERROR(IF(H34="N/A",(H14-H10)+(H30),(H14-H10)+(H34)),"Check Data ⚠")</f>
        <v>0.26578800000000014</v>
      </c>
      <c r="I49" s="1215"/>
      <c r="J49" s="1224"/>
      <c r="K49" s="1225"/>
      <c r="L49" s="428"/>
      <c r="M49" s="23"/>
      <c r="N49" s="23"/>
    </row>
    <row r="50" spans="1:33" ht="10.199999999999999" customHeight="1" thickBot="1" x14ac:dyDescent="0.55000000000000004">
      <c r="H50" s="502"/>
      <c r="I50" s="502"/>
      <c r="K50" s="23"/>
      <c r="L50" s="23"/>
      <c r="M50" s="23"/>
      <c r="N50" s="23"/>
    </row>
    <row r="51" spans="1:33" ht="33.6" customHeight="1" x14ac:dyDescent="0.5">
      <c r="B51" s="1186" t="s">
        <v>180</v>
      </c>
      <c r="C51" s="1187"/>
      <c r="D51" s="1187"/>
      <c r="E51" s="1188"/>
      <c r="F51" s="1180" t="s">
        <v>167</v>
      </c>
      <c r="G51" s="1181"/>
      <c r="H51" s="1196">
        <f>IF(H47=0,0,IF(H8=0,"N/A",IFERROR((H47/H8),"Check Data ⚠")))</f>
        <v>0.31411775892678639</v>
      </c>
      <c r="I51" s="1197"/>
      <c r="J51" s="1169" t="str">
        <f>IF(H51="N/A","0 baseline units - % cannot be calculated",IF(OR(AND(H8=0,H12=0),H51&gt;=Start!$F$22)," ","Total net gain achieved is less than target set ▲"))</f>
        <v xml:space="preserve"> </v>
      </c>
      <c r="K51" s="1170"/>
      <c r="L51" s="428"/>
      <c r="M51" s="428"/>
      <c r="N51" s="23"/>
    </row>
    <row r="52" spans="1:33" ht="32.1" customHeight="1" x14ac:dyDescent="0.5">
      <c r="A52" s="26"/>
      <c r="B52" s="1189"/>
      <c r="C52" s="1190"/>
      <c r="D52" s="1190"/>
      <c r="E52" s="1191"/>
      <c r="F52" s="1182" t="s">
        <v>168</v>
      </c>
      <c r="G52" s="1183"/>
      <c r="H52" s="1198">
        <f ca="1">IF(AND(H48=0,H9=0),0,IF(H9=0,"N/A",IFERROR((H48/H9),"Check Data ⚠")))</f>
        <v>1.2378312344420599</v>
      </c>
      <c r="I52" s="1199"/>
      <c r="J52" s="1169" t="str">
        <f ca="1">IF(H52="N/A","0 baseline units - % cannot be calculated",IF(OR(AND(H9=0,H13=0),H52&gt;=Start!$F$22)," ","Total net gain achieved is less than target set ▲"))</f>
        <v xml:space="preserve"> </v>
      </c>
      <c r="K52" s="1170"/>
      <c r="L52" s="23"/>
      <c r="M52" s="23"/>
      <c r="N52" s="23"/>
    </row>
    <row r="53" spans="1:33" ht="32.700000000000003" customHeight="1" thickBot="1" x14ac:dyDescent="0.55000000000000004">
      <c r="A53" s="26"/>
      <c r="B53" s="1192"/>
      <c r="C53" s="1193"/>
      <c r="D53" s="1193"/>
      <c r="E53" s="1194"/>
      <c r="F53" s="1178" t="s">
        <v>169</v>
      </c>
      <c r="G53" s="1200"/>
      <c r="H53" s="1201" t="str">
        <f>IF(H49=0,0,IF(H10=0,"N/A",IFERROR((H49/H10),"Check Data ⚠")))</f>
        <v>N/A</v>
      </c>
      <c r="I53" s="1202"/>
      <c r="J53" s="1169" t="str">
        <f>IF(H53="N/A","0 baseline units - % cannot be calculated",IF(OR(AND(H10=0,H14=0),H53&gt;=Start!$F$22)," ","Total net gain achieved is less than target set ▲"))</f>
        <v>0 baseline units - % cannot be calculated</v>
      </c>
      <c r="K53" s="1170"/>
      <c r="L53" s="23"/>
      <c r="M53" s="23"/>
      <c r="N53" s="23"/>
    </row>
    <row r="54" spans="1:33" ht="10.199999999999999" customHeight="1" thickBot="1" x14ac:dyDescent="0.55000000000000004">
      <c r="B54" s="1257"/>
      <c r="C54" s="1257"/>
      <c r="D54" s="1257"/>
      <c r="F54" s="27"/>
      <c r="G54" s="27"/>
      <c r="H54" s="27"/>
      <c r="I54" s="27"/>
      <c r="J54" s="27"/>
      <c r="K54" s="27"/>
      <c r="L54" s="27"/>
      <c r="M54" s="27"/>
    </row>
    <row r="55" spans="1:33" s="28" customFormat="1" ht="38.25" customHeight="1" thickBot="1" x14ac:dyDescent="0.3">
      <c r="B55" s="1248" t="s">
        <v>181</v>
      </c>
      <c r="C55" s="1249"/>
      <c r="D55" s="1249"/>
      <c r="E55" s="1250"/>
      <c r="F55" s="1216" t="str" cm="1">
        <f t="array" aca="1" ref="F55" ca="1">IF(OR('Trading Summary Area Habitats'!G5="No ▲",'Trading Summary Area Habitats'!G6="No ▲",'Trading Summary Area Habitats'!G7="No ▲",'Trading Summary Area Habitats'!G8="No ▲",'Trading Summary Hedgerows'!F5="No ▲",'Trading Summary Hedgerows'!F6:H6="No ▲", 'Trading Summary Hedgerows'!F7="No ▲", 'Trading Summary Hedgerows'!F8="No ▲", 'Trading Summary Hedgerows'!F9="No ▲", 'Trading Summary WaterC''s'!G5="No ▲", 'Trading Summary WaterC''s'!G6="No ▲", 'Trading Summary WaterC''s'!G7="No ▲", 'Trading Summary WaterC''s'!G8="No ▲", B58="Unacceptable loss of irreplaceable habitat recorded - no bespoke compensation for lossess has been agreed  ▲"),"No - Check Trading Summaries ▲","Yes ✓")</f>
        <v>Yes ✓</v>
      </c>
      <c r="G55" s="1217"/>
      <c r="H55" s="1217"/>
      <c r="I55" s="1218"/>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25">
      <c r="B56" s="1195" t="str">
        <f>IF(Start!F27="Yes", "This metric contains deviations from the statutory metric - these deviations are only acceptable in extremely rare circumstances and must be agreed with the consenting body ⚠", "")</f>
        <v/>
      </c>
      <c r="C56" s="1195"/>
      <c r="D56" s="1195"/>
      <c r="E56" s="1195"/>
      <c r="F56" s="1195"/>
      <c r="G56" s="1195"/>
      <c r="H56" s="1195"/>
      <c r="I56" s="1195"/>
      <c r="J56" s="29"/>
      <c r="K56" s="29"/>
      <c r="L56" s="29"/>
      <c r="M56" s="29"/>
      <c r="N56" s="22"/>
      <c r="O56" s="22"/>
      <c r="P56" s="22"/>
      <c r="Q56" s="22"/>
      <c r="X56" s="22"/>
      <c r="Y56" s="22"/>
      <c r="Z56" s="22"/>
      <c r="AA56" s="22"/>
      <c r="AB56" s="22"/>
      <c r="AC56" s="22"/>
      <c r="AD56" s="22"/>
      <c r="AE56" s="22"/>
      <c r="AF56" s="22"/>
      <c r="AG56" s="22"/>
    </row>
    <row r="57" spans="1:33" ht="15.6" x14ac:dyDescent="0.25">
      <c r="B57" s="1173" t="str">
        <f>IF(Start!I23="You must specify if irreplaceable habitats are on-site at baseline ▲", "You must specify if irreplaceable habitats are on-site at baseline ▲", "")</f>
        <v/>
      </c>
      <c r="C57" s="1173"/>
      <c r="D57" s="1173"/>
      <c r="E57" s="1173"/>
      <c r="F57" s="1173"/>
      <c r="G57" s="1173"/>
      <c r="H57" s="1173"/>
      <c r="I57" s="1173"/>
      <c r="J57" s="29"/>
      <c r="K57" s="29"/>
      <c r="L57" s="29"/>
      <c r="M57" s="29"/>
      <c r="X57" s="28"/>
      <c r="Y57" s="28"/>
      <c r="Z57" s="28"/>
      <c r="AA57" s="28"/>
      <c r="AB57" s="28"/>
    </row>
    <row r="58" spans="1:33" ht="33.6" customHeight="1" x14ac:dyDescent="0.25">
      <c r="B58" s="1173" t="str" cm="1">
        <f t="array" ref="B58">IF(OR('A-1 On-Site Habitat Baseline'!X11:X258="Any Loss Unacceptable ▲",'D-1 Off-Site Habitat Baseline'!AA11:AA258="Any Loss Unacceptable ▲",'C-1 On-Site WaterC'' Baseline'!Z10:Z257="Any Loss Unacceptable ▲",'F-1 Off-Site WaterC'' Baseline'!AC10:AC256="Any Loss Unacceptable ▲", 'A-1 On-Site Habitat Baseline'!X11:X258="Bespoke compensation must be agreed  ▲", 'D-1 Off-Site Habitat Baseline'!AA11:AA258="Bespoke compensation must be agreed  ▲"), "Unacceptable loss of irreplaceable habitat recorded - no bespoke compensation for losses has been agreed  ▲", "")</f>
        <v/>
      </c>
      <c r="C58" s="1173"/>
      <c r="D58" s="1173"/>
      <c r="E58" s="1173"/>
      <c r="F58" s="1173"/>
      <c r="G58" s="1173"/>
      <c r="H58" s="1173"/>
      <c r="I58" s="1173"/>
      <c r="J58" s="29"/>
      <c r="K58" s="29"/>
      <c r="L58" s="29"/>
      <c r="M58" s="29"/>
      <c r="X58" s="28"/>
      <c r="Y58" s="28"/>
      <c r="Z58" s="28"/>
      <c r="AA58" s="28"/>
      <c r="AB58" s="28"/>
    </row>
    <row r="59" spans="1:33" ht="17.100000000000001" customHeight="1" thickBot="1" x14ac:dyDescent="0.3">
      <c r="B59" s="1219" t="str" cm="1">
        <f t="array" ref="B59">IF(OR('A-2 On-Site Habitat Creation'!K6:L6="Error - Area created does not equal area lost ▲", 'D-2 Off-Site Habitat Creation'!L6="Error - Area created does not equal area lost ▲"), "Area created must match area lost for both onsite and offsite ▲", "")</f>
        <v/>
      </c>
      <c r="C59" s="1219"/>
      <c r="D59" s="1219"/>
      <c r="E59" s="1219"/>
      <c r="F59" s="1219"/>
      <c r="G59" s="1219"/>
      <c r="H59" s="1219"/>
      <c r="I59" s="1219"/>
      <c r="J59" s="29"/>
      <c r="K59" s="29"/>
      <c r="L59" s="29"/>
      <c r="M59" s="29"/>
      <c r="X59" s="28"/>
      <c r="Y59" s="28"/>
      <c r="Z59" s="28"/>
      <c r="AA59" s="28"/>
      <c r="AB59" s="28"/>
    </row>
    <row r="60" spans="1:33" ht="23.7" customHeight="1" thickBot="1" x14ac:dyDescent="0.3">
      <c r="B60" s="1184" t="s">
        <v>182</v>
      </c>
      <c r="C60" s="1185"/>
      <c r="D60" s="434" t="s">
        <v>44</v>
      </c>
      <c r="E60" s="435" t="s">
        <v>45</v>
      </c>
      <c r="F60" s="1171" t="s">
        <v>183</v>
      </c>
      <c r="G60" s="1171"/>
      <c r="H60" s="1171" t="s">
        <v>184</v>
      </c>
      <c r="I60" s="1172"/>
      <c r="J60" s="433"/>
    </row>
    <row r="61" spans="1:33" ht="17.399999999999999" x14ac:dyDescent="0.25">
      <c r="B61" s="1180" t="s">
        <v>167</v>
      </c>
      <c r="C61" s="1181"/>
      <c r="D61" s="517">
        <f>Start!F22</f>
        <v>0.1</v>
      </c>
      <c r="E61" s="513">
        <f>H8</f>
        <v>2.6843300000000001</v>
      </c>
      <c r="F61" s="1174">
        <f>IFERROR(E61*(1+D61), "Error ▲")</f>
        <v>2.9527630000000005</v>
      </c>
      <c r="G61" s="1174"/>
      <c r="H61" s="1174">
        <f>IF(B19="Error - off-site gain sites must be postive ▲","Error ▲",IFERROR(IF(H32="N/A",(IF(F61-(H12+(H28))&lt;0,0,F61-(H12+(H28)))),(IF(F61-(H12+H32)&lt;0,0,F61-(H12+H32)))),"Error ▲"))</f>
        <v>0</v>
      </c>
      <c r="I61" s="1175"/>
      <c r="J61" s="1235" t="str">
        <f>IF(H61=0, "No additional area habitat units required to meet target  ✓", " ")</f>
        <v>No additional area habitat units required to meet target  ✓</v>
      </c>
      <c r="K61" s="1235"/>
    </row>
    <row r="62" spans="1:33" ht="17.399999999999999" x14ac:dyDescent="0.25">
      <c r="B62" s="1182" t="s">
        <v>168</v>
      </c>
      <c r="C62" s="1183"/>
      <c r="D62" s="516">
        <f>Start!F22</f>
        <v>0.1</v>
      </c>
      <c r="E62" s="514">
        <f>H9</f>
        <v>0.23300000000000001</v>
      </c>
      <c r="F62" s="1176">
        <f>IFERROR(E62*(1+D62), "Error ▲")</f>
        <v>0.25630000000000003</v>
      </c>
      <c r="G62" s="1176"/>
      <c r="H62" s="1176">
        <f ca="1">IF(B19="Error - off-site gain sites must be postive ▲","Error ▲",IFERROR(IF(H33="N/A",(IF(F62-(H13+(H29))&lt;0,0,F62-(H13+(H29)))),(IF(F62-(H13+H33)&lt;0,0,F62-(H13+H33)))),"Error ▲"))</f>
        <v>0</v>
      </c>
      <c r="I62" s="1177"/>
      <c r="J62" s="1235" t="str">
        <f ca="1">IF(H62=0, "No additional hedgerow units required to meet target  ✓", " ")</f>
        <v>No additional hedgerow units required to meet target  ✓</v>
      </c>
      <c r="K62" s="1235"/>
    </row>
    <row r="63" spans="1:33" ht="18" thickBot="1" x14ac:dyDescent="0.3">
      <c r="B63" s="1178" t="s">
        <v>169</v>
      </c>
      <c r="C63" s="1179"/>
      <c r="D63" s="518">
        <f>Start!F22</f>
        <v>0.1</v>
      </c>
      <c r="E63" s="515">
        <f>H10</f>
        <v>0</v>
      </c>
      <c r="F63" s="1167">
        <f>IFERROR(E63*(1+D63), "Error ▲")</f>
        <v>0</v>
      </c>
      <c r="G63" s="1167"/>
      <c r="H63" s="1167">
        <f>IF(B19="Error - off-site gain sites must be postive ▲","Error ▲",IFERROR(IF(H34="N/A",(IF(F63-(H14+(H30))&lt;0,0,F63-(H14+(H30)))),(IF(F63-(H14+H34)&lt;0,0,F63-(H14+H34)))),"Error ▲"))</f>
        <v>0</v>
      </c>
      <c r="I63" s="1168"/>
      <c r="J63" s="1235" t="str">
        <f>IF(H63=0, "No additional watercourse units required to meet target  ✓", " ")</f>
        <v>No additional watercourse units required to meet target  ✓</v>
      </c>
      <c r="K63" s="1235"/>
    </row>
    <row r="64" spans="1:33" x14ac:dyDescent="0.25">
      <c r="B64" s="1152"/>
      <c r="C64" s="1152"/>
      <c r="D64" s="1152"/>
      <c r="E64" s="1152"/>
      <c r="F64" s="1152"/>
      <c r="G64" s="1152"/>
      <c r="H64" s="1152"/>
      <c r="I64" s="1152"/>
    </row>
    <row r="65" spans="2:9" ht="26.1" customHeight="1" x14ac:dyDescent="0.25">
      <c r="B65" s="1153"/>
      <c r="C65" s="1153"/>
      <c r="D65" s="1153"/>
      <c r="E65" s="1153"/>
      <c r="F65" s="1153"/>
      <c r="G65" s="1153"/>
      <c r="H65" s="1153"/>
      <c r="I65" s="1153"/>
    </row>
    <row r="66" spans="2:9" ht="15.75" hidden="1" customHeight="1" x14ac:dyDescent="0.25"/>
    <row r="67" spans="2:9" ht="15.75" hidden="1" customHeight="1" x14ac:dyDescent="0.25"/>
    <row r="68" spans="2:9" ht="15.75" hidden="1" customHeight="1" x14ac:dyDescent="0.25"/>
    <row r="69" spans="2:9" ht="15.75" hidden="1" customHeight="1" x14ac:dyDescent="0.25"/>
    <row r="70" spans="2:9" ht="15.75" hidden="1" customHeight="1" x14ac:dyDescent="0.25"/>
    <row r="71" spans="2:9" ht="15.75" hidden="1" customHeight="1" x14ac:dyDescent="0.25"/>
    <row r="72" spans="2:9" ht="15.75" hidden="1" customHeight="1" x14ac:dyDescent="0.25"/>
    <row r="73" spans="2:9" ht="15.75" hidden="1" customHeight="1" x14ac:dyDescent="0.25"/>
    <row r="74" spans="2:9" ht="15.75" hidden="1" customHeight="1" x14ac:dyDescent="0.25"/>
    <row r="75" spans="2:9" ht="15.75" hidden="1" customHeight="1" x14ac:dyDescent="0.25"/>
    <row r="76" spans="2:9" ht="15.75" hidden="1" customHeight="1" x14ac:dyDescent="0.25"/>
    <row r="77" spans="2:9" ht="15.75" hidden="1" customHeight="1" x14ac:dyDescent="0.25"/>
    <row r="78" spans="2:9" ht="15.75" hidden="1" customHeight="1" x14ac:dyDescent="0.25"/>
    <row r="79" spans="2:9" ht="15.75" hidden="1" customHeight="1" x14ac:dyDescent="0.25"/>
    <row r="80" spans="2:9" ht="15.75" hidden="1" customHeight="1" x14ac:dyDescent="0.25"/>
    <row r="81" spans="2:9" ht="15.75" hidden="1" customHeight="1" x14ac:dyDescent="0.25"/>
    <row r="82" spans="2:9" ht="15.75" hidden="1" customHeight="1" x14ac:dyDescent="0.25"/>
    <row r="83" spans="2:9" ht="15.75" hidden="1" customHeight="1" x14ac:dyDescent="0.25"/>
    <row r="94" spans="2:9" ht="14.7" customHeight="1" x14ac:dyDescent="0.25">
      <c r="B94" s="1155" t="str" cm="1">
        <f t="array" aca="1" ref="B94" ca="1">IF(OR(ISNUMBER(SEARCH("▲",A1:K64))),"Input errors/rule breaks present in metric ▲",IF(OR(ISNUMBER(SEARCH("▲",'A-1 On-Site Habitat Baseline'!D1:AB261))),"Input errors/rule breaks present in metric ▲",IF(OR(ISNUMBER(SEARCH("▲",'A-2 On-Site Habitat Creation'!D1:AB259))),"Input errors/rule breaks present in metric ▲",IF(OR(ISNUMBER(SEARCH("▲",'A-3 On-Site Habitat Enhancement'!E1:AR261))),"Input errors/rule breaks present in metric ▲",IF(OR(ISNUMBER(SEARCH("▲",'D-1 Off-Site Habitat Baseline'!D1:AF264))),"Input errors/rule breaks present in metric ▲",IF(OR(ISNUMBER(SEARCH("▲",'D-2 Off-Site Habitat Creation'!D1:AG262))),"Input errors/rule breaks present in metric ▲",IF(OR(ISNUMBER(SEARCH("▲",'D-3 Off-Site Habitat Enhancment'!E1:AU262))),"Input errors/rule breaks present in metric ▲",IF(OR(ISNUMBER(SEARCH("▲",'B-1 On-Site Hedge Baseline'!A1:X263))),"Input errors/rule breaks present in metric ▲",IF(OR(ISNUMBER(SEARCH("▲",'B-3 On-Site Hedge Enhancement'!A1:AK264))),"Input errors/rule breaks present in metric ▲",IF(OR(ISNUMBER(SEARCH("▲",'B-2 On-Site Hedge Creation'!A1:Z262))),"Input errors/rule breaks present in metric ▲",IF(OR(ISNUMBER(SEARCH("▲",'E-1 Off-Site Hedge Baseline'!A1:XAB261))),"Input errors/rule breaks present in metric ▲",IF(OR(ISNUMBER(SEARCH("▲",'E-2 Off-Site Hedge Creation'!A1:AE262))),"Input errors/rule breaks present in metric ▲",IF(OR(ISNUMBER(SEARCH("▲",'E-3 Off-Site Hedge Enhancement'!A1:AO261))),"Input errors/rule breaks present in metric ▲",IF(OR(ISNUMBER(SEARCH("▲",'C-1 On-Site WaterC'' Baseline'!A1:AD264))),"Input errors/rule breaks present in metric ▲",IF(OR(ISNUMBER(SEARCH("▲",'C-2 On-Site WaterC'' Creation'!A2:AC261))),"Input errors/rule breaks present in metric ▲",IF(OR(ISNUMBER(SEARCH("▲",'C-3 On-Site WaterC'' Enhancement'!A1:AP262))),"Input errors/rule breaks present in metric ▲",IF(OR(ISNUMBER(SEARCH("▲",'F-1 Off-Site WaterC'' Baseline'!A1:AH263))),"Input errors/rule breaks present in metric ▲",IF(OR(ISNUMBER(SEARCH("▲",'F-2 Off-Site WaterC'' Creation'!A1:AH262))),"Input errors/rule breaks present in metric ▲",IF(OR(ISNUMBER(SEARCH("▲",'F-3 Off-Site WaterC Enhancement'!B1:AT260))),"Input errors/rule breaks present in metric ▲",IF(OR(ISNUMBER(SEARCH("▲",Start!A1:R28))),"Input errors/rule breaks present in metric ▲",""))))))))))))))))))))</f>
        <v/>
      </c>
      <c r="C94" s="1155"/>
      <c r="D94" s="1155"/>
      <c r="E94" s="1155"/>
      <c r="F94" s="1155"/>
      <c r="G94" s="1155"/>
      <c r="H94" s="1155"/>
      <c r="I94" s="1155"/>
    </row>
    <row r="95" spans="2:9" ht="14.1" hidden="1" customHeight="1" x14ac:dyDescent="0.25">
      <c r="B95" s="1155"/>
      <c r="C95" s="1155"/>
      <c r="D95" s="1155"/>
      <c r="E95" s="1155"/>
      <c r="F95" s="1155"/>
      <c r="G95" s="1155"/>
      <c r="H95" s="1155"/>
      <c r="I95" s="1155"/>
    </row>
    <row r="96" spans="2:9" ht="14.1" hidden="1" customHeight="1" x14ac:dyDescent="0.25">
      <c r="B96" s="1155"/>
      <c r="C96" s="1155"/>
      <c r="D96" s="1155"/>
      <c r="E96" s="1155"/>
      <c r="F96" s="1155"/>
      <c r="G96" s="1155"/>
      <c r="H96" s="1155"/>
      <c r="I96" s="1155"/>
    </row>
    <row r="97" spans="2:9" ht="14.7" customHeight="1" x14ac:dyDescent="0.25">
      <c r="B97" s="1155"/>
      <c r="C97" s="1155"/>
      <c r="D97" s="1155"/>
      <c r="E97" s="1155"/>
      <c r="F97" s="1155"/>
      <c r="G97" s="1155"/>
      <c r="H97" s="1155"/>
      <c r="I97" s="1155"/>
    </row>
    <row r="98" spans="2:9" ht="15" customHeight="1" x14ac:dyDescent="0.25">
      <c r="B98" s="1155"/>
      <c r="C98" s="1155"/>
      <c r="D98" s="1155"/>
      <c r="E98" s="1155"/>
      <c r="F98" s="1155"/>
      <c r="G98" s="1155"/>
      <c r="H98" s="1155"/>
      <c r="I98" s="1155"/>
    </row>
    <row r="99" spans="2:9" x14ac:dyDescent="0.25"/>
    <row r="100" spans="2:9" x14ac:dyDescent="0.25"/>
    <row r="107" spans="2:9" x14ac:dyDescent="0.25"/>
    <row r="110" spans="2:9" ht="21.6" hidden="1" customHeight="1"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ht="65.099999999999994" hidden="1" customHeight="1" x14ac:dyDescent="0.25"/>
    <row r="124" x14ac:dyDescent="0.25"/>
    <row r="125" x14ac:dyDescent="0.25"/>
    <row r="126" ht="29.7" hidden="1" customHeight="1" x14ac:dyDescent="0.25"/>
    <row r="127" x14ac:dyDescent="0.25"/>
    <row r="128" x14ac:dyDescent="0.25"/>
    <row r="129" x14ac:dyDescent="0.25"/>
  </sheetData>
  <sheetProtection algorithmName="SHA-512" hashValue="+z5wnU8CyxFesvcutW+NnJuk0U5Bpx/PzL3+Cdn22m1tMJWcIEzYp8ZwsHCI4C13luT/R32fnPxbD+di1ZLHzA==" saltValue="aI69UPCSumry0kQe0PxjZQ==" spinCount="100000" sheet="1" objects="1" scenarios="1"/>
  <customSheetViews>
    <customSheetView guid="{8BDA793C-C9C5-4FC6-A0A5-F1109F6D4F22}" state="hidden" topLeftCell="A23">
      <selection activeCell="D14" sqref="D14"/>
    </customSheetView>
  </customSheetViews>
  <mergeCells count="124">
    <mergeCell ref="B41:E43"/>
    <mergeCell ref="F41:G41"/>
    <mergeCell ref="H41:I41"/>
    <mergeCell ref="F42:G42"/>
    <mergeCell ref="H42:I42"/>
    <mergeCell ref="F43:G43"/>
    <mergeCell ref="H43:I43"/>
    <mergeCell ref="B45:I45"/>
    <mergeCell ref="B54:D54"/>
    <mergeCell ref="B51:E53"/>
    <mergeCell ref="F51:G51"/>
    <mergeCell ref="F48:G48"/>
    <mergeCell ref="B44:I44"/>
    <mergeCell ref="F2:I5"/>
    <mergeCell ref="H17:I17"/>
    <mergeCell ref="F18:G18"/>
    <mergeCell ref="H18:I18"/>
    <mergeCell ref="F29:G29"/>
    <mergeCell ref="H29:I29"/>
    <mergeCell ref="F30:G30"/>
    <mergeCell ref="H30:I30"/>
    <mergeCell ref="H24:I24"/>
    <mergeCell ref="F24:G24"/>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H20:I20"/>
    <mergeCell ref="B28:E30"/>
    <mergeCell ref="F28:G28"/>
    <mergeCell ref="H28:I2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39:G39"/>
    <mergeCell ref="H39:I39"/>
    <mergeCell ref="F38:G38"/>
    <mergeCell ref="H38:I38"/>
    <mergeCell ref="U12:V13"/>
    <mergeCell ref="F13:G13"/>
    <mergeCell ref="H13:I13"/>
    <mergeCell ref="F14:G14"/>
    <mergeCell ref="H14:I14"/>
    <mergeCell ref="J47:K47"/>
    <mergeCell ref="J48:K48"/>
    <mergeCell ref="F16:G16"/>
    <mergeCell ref="H16:I16"/>
    <mergeCell ref="F17:G17"/>
    <mergeCell ref="H33:I33"/>
    <mergeCell ref="B60:C60"/>
    <mergeCell ref="F60:G60"/>
    <mergeCell ref="B24:E26"/>
    <mergeCell ref="B20:E22"/>
    <mergeCell ref="F20:G20"/>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F55:I55"/>
    <mergeCell ref="B37:E39"/>
    <mergeCell ref="F37:G37"/>
    <mergeCell ref="H37:I37"/>
    <mergeCell ref="B59:I59"/>
    <mergeCell ref="B64:I65"/>
    <mergeCell ref="B19:I19"/>
    <mergeCell ref="B94:I98"/>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s>
  <conditionalFormatting sqref="K58:L59">
    <cfRule type="cellIs" dxfId="1267" priority="167" operator="lessThan">
      <formula>0</formula>
    </cfRule>
    <cfRule type="cellIs" dxfId="1266" priority="168" operator="greaterThan">
      <formula>0</formula>
    </cfRule>
  </conditionalFormatting>
  <conditionalFormatting sqref="H47:I47">
    <cfRule type="cellIs" dxfId="1265" priority="160" operator="equal">
      <formula>"Error"</formula>
    </cfRule>
  </conditionalFormatting>
  <conditionalFormatting sqref="H51:I51">
    <cfRule type="expression" dxfId="1264" priority="25">
      <formula>$H$8=0</formula>
    </cfRule>
    <cfRule type="expression" dxfId="1263" priority="143">
      <formula>AND(OR($H$8&gt;0,$H$20&gt;0),$H$51&lt;0.1)</formula>
    </cfRule>
  </conditionalFormatting>
  <conditionalFormatting sqref="L27:L35 L37:L44">
    <cfRule type="cellIs" dxfId="1262" priority="158" operator="greaterThan">
      <formula>0</formula>
    </cfRule>
  </conditionalFormatting>
  <conditionalFormatting sqref="L8:L9">
    <cfRule type="cellIs" dxfId="1261" priority="157" operator="equal">
      <formula>"Error"</formula>
    </cfRule>
  </conditionalFormatting>
  <conditionalFormatting sqref="L11">
    <cfRule type="cellIs" dxfId="1260" priority="156" operator="equal">
      <formula>"Error"</formula>
    </cfRule>
  </conditionalFormatting>
  <conditionalFormatting sqref="L13:L18">
    <cfRule type="cellIs" dxfId="1259" priority="154" operator="equal">
      <formula>"Error"</formula>
    </cfRule>
  </conditionalFormatting>
  <conditionalFormatting sqref="H52:I53">
    <cfRule type="cellIs" dxfId="1258" priority="148" operator="equal">
      <formula>"Error"</formula>
    </cfRule>
  </conditionalFormatting>
  <conditionalFormatting sqref="H52:I53">
    <cfRule type="cellIs" dxfId="1257" priority="147" operator="equal">
      <formula>"Error"</formula>
    </cfRule>
  </conditionalFormatting>
  <conditionalFormatting sqref="H52:I52">
    <cfRule type="expression" dxfId="1256" priority="23">
      <formula>$H$9=0</formula>
    </cfRule>
    <cfRule type="expression" dxfId="1255" priority="146">
      <formula>AND(OR($H$9&gt;0,$H$21&gt;0),$H$52&lt;0.1)</formula>
    </cfRule>
  </conditionalFormatting>
  <conditionalFormatting sqref="H53:I53">
    <cfRule type="expression" dxfId="1254" priority="22">
      <formula>$H$10=0</formula>
    </cfRule>
    <cfRule type="expression" dxfId="1253" priority="144">
      <formula>AND(OR($H$10&gt;0,$H$22&gt;0),$H$53&lt;0.1)</formula>
    </cfRule>
  </conditionalFormatting>
  <conditionalFormatting sqref="H8:I15 H20:I26 H47:I53">
    <cfRule type="containsText" dxfId="1252" priority="21" operator="containsText" text="Check">
      <formula>NOT(ISERROR(SEARCH("Check",H8)))</formula>
    </cfRule>
    <cfRule type="containsText" dxfId="1251" priority="448" operator="containsText" text="Error">
      <formula>NOT(ISERROR(SEARCH("Error",H8)))</formula>
    </cfRule>
  </conditionalFormatting>
  <conditionalFormatting sqref="F55:I55">
    <cfRule type="containsText" dxfId="1250" priority="133" operator="containsText" text="No">
      <formula>NOT(ISERROR(SEARCH("No",F55)))</formula>
    </cfRule>
    <cfRule type="containsText" dxfId="1249" priority="134" operator="containsText" text="Yes">
      <formula>NOT(ISERROR(SEARCH("Yes",F55)))</formula>
    </cfRule>
  </conditionalFormatting>
  <conditionalFormatting sqref="K15 J51:J53">
    <cfRule type="containsText" dxfId="1248" priority="111" operator="containsText" text="⚠">
      <formula>NOT(ISERROR(SEARCH("⚠",J15)))</formula>
    </cfRule>
  </conditionalFormatting>
  <conditionalFormatting sqref="B57:I57">
    <cfRule type="containsText" dxfId="1247" priority="109" operator="containsText" text="▲">
      <formula>NOT(ISERROR(SEARCH("▲",B57)))</formula>
    </cfRule>
  </conditionalFormatting>
  <conditionalFormatting sqref="H28:I30">
    <cfRule type="containsText" dxfId="1246" priority="107" operator="containsText" text="Check">
      <formula>NOT(ISERROR(SEARCH("Check",H28)))</formula>
    </cfRule>
    <cfRule type="containsText" dxfId="1245" priority="108" operator="containsText" text="Error">
      <formula>NOT(ISERROR(SEARCH("Error",H28)))</formula>
    </cfRule>
  </conditionalFormatting>
  <conditionalFormatting sqref="H32:I34">
    <cfRule type="containsText" dxfId="1244" priority="105" operator="containsText" text="Check">
      <formula>NOT(ISERROR(SEARCH("Check",H32)))</formula>
    </cfRule>
    <cfRule type="containsText" dxfId="1243" priority="106" operator="containsText" text="Error">
      <formula>NOT(ISERROR(SEARCH("Error",H32)))</formula>
    </cfRule>
  </conditionalFormatting>
  <conditionalFormatting sqref="L20:M26">
    <cfRule type="containsText" dxfId="1242" priority="103" operator="containsText" text="Check">
      <formula>NOT(ISERROR(SEARCH("Check",L20)))</formula>
    </cfRule>
    <cfRule type="containsText" dxfId="1241" priority="104" operator="containsText" text="Error">
      <formula>NOT(ISERROR(SEARCH("Error",L20)))</formula>
    </cfRule>
  </conditionalFormatting>
  <conditionalFormatting sqref="D61:I63">
    <cfRule type="containsText" dxfId="1240" priority="101" operator="containsText" text="Check">
      <formula>NOT(ISERROR(SEARCH("Check",D61)))</formula>
    </cfRule>
    <cfRule type="containsText" dxfId="1239" priority="102" operator="containsText" text="Error">
      <formula>NOT(ISERROR(SEARCH("Error",D61)))</formula>
    </cfRule>
  </conditionalFormatting>
  <conditionalFormatting sqref="J61:K63">
    <cfRule type="containsBlanks" dxfId="1238" priority="99">
      <formula>LEN(TRIM(J61))=0</formula>
    </cfRule>
    <cfRule type="containsText" dxfId="1237" priority="100" operator="containsText" text="✓">
      <formula>NOT(ISERROR(SEARCH("✓",J61)))</formula>
    </cfRule>
  </conditionalFormatting>
  <conditionalFormatting sqref="B58:I58">
    <cfRule type="containsText" dxfId="1236" priority="98" operator="containsText" text="▲">
      <formula>NOT(ISERROR(SEARCH("▲",B58)))</formula>
    </cfRule>
  </conditionalFormatting>
  <conditionalFormatting sqref="B56:I56">
    <cfRule type="containsText" dxfId="1235" priority="97" operator="containsText" text="⚠">
      <formula>NOT(ISERROR(SEARCH("⚠",B56)))</formula>
    </cfRule>
  </conditionalFormatting>
  <conditionalFormatting sqref="F2:I5">
    <cfRule type="containsText" dxfId="1234" priority="30" operator="containsText" text="▲">
      <formula>NOT(ISERROR(SEARCH("▲",F2)))</formula>
    </cfRule>
    <cfRule type="containsText" dxfId="1233" priority="96" operator="containsText" text="⚠">
      <formula>NOT(ISERROR(SEARCH("⚠",F2)))</formula>
    </cfRule>
  </conditionalFormatting>
  <conditionalFormatting sqref="H51:I53">
    <cfRule type="containsText" dxfId="1232" priority="1" operator="containsText" text="Error">
      <formula>NOT(ISERROR(SEARCH("Error",H51)))</formula>
    </cfRule>
    <cfRule type="containsText" dxfId="1231" priority="141" operator="containsText" text="N/A">
      <formula>NOT(ISERROR(SEARCH("N/A",H51)))</formula>
    </cfRule>
    <cfRule type="cellIs" dxfId="1230" priority="142" operator="lessThan">
      <formula>0</formula>
    </cfRule>
  </conditionalFormatting>
  <conditionalFormatting sqref="K16:K18">
    <cfRule type="containsText" dxfId="1229" priority="27" operator="containsText" text="cannot be calculated">
      <formula>NOT(ISERROR(SEARCH("cannot be calculated",K16)))</formula>
    </cfRule>
    <cfRule type="containsText" dxfId="1228" priority="92" operator="containsText" text="⚠">
      <formula>NOT(ISERROR(SEARCH("⚠",K16)))</formula>
    </cfRule>
  </conditionalFormatting>
  <conditionalFormatting sqref="J16">
    <cfRule type="expression" dxfId="1227" priority="15">
      <formula>$H$8=0</formula>
    </cfRule>
    <cfRule type="cellIs" dxfId="1226" priority="85" operator="lessThan">
      <formula>0</formula>
    </cfRule>
    <cfRule type="containsText" dxfId="1225" priority="87" operator="containsText" text="Check">
      <formula>NOT(ISERROR(SEARCH("Check",J16)))</formula>
    </cfRule>
    <cfRule type="containsText" dxfId="1224" priority="90" operator="containsText" text="Error">
      <formula>NOT(ISERROR(SEARCH("Error",J16)))</formula>
    </cfRule>
  </conditionalFormatting>
  <conditionalFormatting sqref="J16">
    <cfRule type="expression" dxfId="1223" priority="88">
      <formula>AND($H$8&gt;0,$H$16&lt;0.1)</formula>
    </cfRule>
    <cfRule type="expression" dxfId="1222" priority="89">
      <formula>AND($H$8&gt;0,$H$16&gt;=0.1)</formula>
    </cfRule>
  </conditionalFormatting>
  <conditionalFormatting sqref="J16:J18">
    <cfRule type="containsText" dxfId="1221" priority="28" operator="containsText" text="N/A">
      <formula>NOT(ISERROR(SEARCH("N/A",J16)))</formula>
    </cfRule>
    <cfRule type="cellIs" dxfId="1220" priority="79" operator="lessThan">
      <formula>0</formula>
    </cfRule>
    <cfRule type="containsText" dxfId="1219" priority="81" operator="containsText" text="Check">
      <formula>NOT(ISERROR(SEARCH("Check",J16)))</formula>
    </cfRule>
    <cfRule type="containsText" dxfId="1218" priority="84" operator="containsText" text="Error">
      <formula>NOT(ISERROR(SEARCH("Error",J16)))</formula>
    </cfRule>
  </conditionalFormatting>
  <conditionalFormatting sqref="J16:J18">
    <cfRule type="expression" dxfId="1217" priority="82">
      <formula>AND($H$8&gt;0,$H$16&lt;0.1)</formula>
    </cfRule>
    <cfRule type="expression" dxfId="1216" priority="83">
      <formula>AND($H$8&gt;0,$H$16&gt;=0.1)</formula>
    </cfRule>
  </conditionalFormatting>
  <conditionalFormatting sqref="J18">
    <cfRule type="expression" dxfId="1215" priority="13">
      <formula>$H$10=0</formula>
    </cfRule>
    <cfRule type="cellIs" dxfId="1214" priority="73" operator="lessThan">
      <formula>0</formula>
    </cfRule>
    <cfRule type="containsText" dxfId="1213" priority="75" operator="containsText" text="Check">
      <formula>NOT(ISERROR(SEARCH("Check",J18)))</formula>
    </cfRule>
    <cfRule type="containsText" dxfId="1212" priority="78" operator="containsText" text="Error">
      <formula>NOT(ISERROR(SEARCH("Error",J18)))</formula>
    </cfRule>
  </conditionalFormatting>
  <conditionalFormatting sqref="J18">
    <cfRule type="expression" dxfId="1211" priority="76">
      <formula>AND($H$8&gt;0,$H$16&lt;0.1)</formula>
    </cfRule>
    <cfRule type="expression" dxfId="1210" priority="77">
      <formula>AND($H$8&gt;0,$H$16&gt;=0.1)</formula>
    </cfRule>
  </conditionalFormatting>
  <conditionalFormatting sqref="H16:I18">
    <cfRule type="containsText" dxfId="1209" priority="69" operator="containsText" text="Check">
      <formula>NOT(ISERROR(SEARCH("Check",H16)))</formula>
    </cfRule>
    <cfRule type="containsText" dxfId="1208" priority="70" operator="containsText" text="Error">
      <formula>NOT(ISERROR(SEARCH("Error",H16)))</formula>
    </cfRule>
  </conditionalFormatting>
  <conditionalFormatting sqref="J28">
    <cfRule type="expression" dxfId="1207" priority="12">
      <formula>$H$20=0</formula>
    </cfRule>
    <cfRule type="cellIs" dxfId="1206" priority="61" operator="lessThan">
      <formula>0</formula>
    </cfRule>
    <cfRule type="containsText" dxfId="1205" priority="63" operator="containsText" text="Check">
      <formula>NOT(ISERROR(SEARCH("Check",J28)))</formula>
    </cfRule>
    <cfRule type="containsText" dxfId="1204" priority="66" operator="containsText" text="Error">
      <formula>NOT(ISERROR(SEARCH("Error",J28)))</formula>
    </cfRule>
  </conditionalFormatting>
  <conditionalFormatting sqref="J29">
    <cfRule type="expression" dxfId="1203" priority="11">
      <formula>$H$21=0</formula>
    </cfRule>
    <cfRule type="cellIs" dxfId="1202" priority="55" operator="lessThan">
      <formula>0</formula>
    </cfRule>
    <cfRule type="containsText" dxfId="1201" priority="57" operator="containsText" text="Check">
      <formula>NOT(ISERROR(SEARCH("Check",J29)))</formula>
    </cfRule>
    <cfRule type="containsText" dxfId="1200" priority="60" operator="containsText" text="Error">
      <formula>NOT(ISERROR(SEARCH("Error",J29)))</formula>
    </cfRule>
  </conditionalFormatting>
  <conditionalFormatting sqref="J30">
    <cfRule type="expression" dxfId="1199" priority="10">
      <formula>$H$22=0</formula>
    </cfRule>
    <cfRule type="cellIs" dxfId="1198" priority="49" operator="lessThan">
      <formula>0</formula>
    </cfRule>
    <cfRule type="containsText" dxfId="1197" priority="51" operator="containsText" text="Check">
      <formula>NOT(ISERROR(SEARCH("Check",J30)))</formula>
    </cfRule>
    <cfRule type="containsText" dxfId="1196" priority="54" operator="containsText" text="Error">
      <formula>NOT(ISERROR(SEARCH("Error",J30)))</formula>
    </cfRule>
  </conditionalFormatting>
  <conditionalFormatting sqref="D36 H36">
    <cfRule type="cellIs" dxfId="1195" priority="48" operator="greaterThan">
      <formula>0</formula>
    </cfRule>
  </conditionalFormatting>
  <conditionalFormatting sqref="H37:I37">
    <cfRule type="cellIs" dxfId="1194" priority="47" operator="equal">
      <formula>"Error"</formula>
    </cfRule>
  </conditionalFormatting>
  <conditionalFormatting sqref="H37:I39">
    <cfRule type="containsText" dxfId="1193" priority="45" operator="containsText" text="Check">
      <formula>NOT(ISERROR(SEARCH("Check",H37)))</formula>
    </cfRule>
    <cfRule type="containsText" dxfId="1192" priority="46" operator="containsText" text="Error">
      <formula>NOT(ISERROR(SEARCH("Error",H37)))</formula>
    </cfRule>
  </conditionalFormatting>
  <conditionalFormatting sqref="D35 H35">
    <cfRule type="cellIs" dxfId="1191" priority="44" operator="greaterThan">
      <formula>0</formula>
    </cfRule>
  </conditionalFormatting>
  <conditionalFormatting sqref="L36">
    <cfRule type="cellIs" dxfId="1190" priority="43" operator="greaterThan">
      <formula>0</formula>
    </cfRule>
  </conditionalFormatting>
  <conditionalFormatting sqref="D40 H40">
    <cfRule type="cellIs" dxfId="1189" priority="39" operator="greaterThan">
      <formula>0</formula>
    </cfRule>
  </conditionalFormatting>
  <conditionalFormatting sqref="H41:I41">
    <cfRule type="cellIs" dxfId="1188" priority="38" operator="equal">
      <formula>"Error"</formula>
    </cfRule>
  </conditionalFormatting>
  <conditionalFormatting sqref="H41:I43">
    <cfRule type="containsText" dxfId="1187" priority="36" operator="containsText" text="Check">
      <formula>NOT(ISERROR(SEARCH("Check",H41)))</formula>
    </cfRule>
    <cfRule type="containsText" dxfId="1186" priority="37" operator="containsText" text="Error">
      <formula>NOT(ISERROR(SEARCH("Error",H41)))</formula>
    </cfRule>
  </conditionalFormatting>
  <conditionalFormatting sqref="H20:I22">
    <cfRule type="cellIs" dxfId="1185" priority="29" operator="lessThan">
      <formula>0</formula>
    </cfRule>
  </conditionalFormatting>
  <conditionalFormatting sqref="J51:K53">
    <cfRule type="containsText" dxfId="1184" priority="5" operator="containsText" text="▲">
      <formula>NOT(ISERROR(SEARCH("▲",J51)))</formula>
    </cfRule>
    <cfRule type="containsText" dxfId="1183" priority="26" operator="containsText" text="cannot be calculated">
      <formula>NOT(ISERROR(SEARCH("cannot be calculated",J51)))</formula>
    </cfRule>
  </conditionalFormatting>
  <conditionalFormatting sqref="B59:I59">
    <cfRule type="containsText" dxfId="1182" priority="17" operator="containsText" text="▲">
      <formula>NOT(ISERROR(SEARCH("▲",B59)))</formula>
    </cfRule>
  </conditionalFormatting>
  <conditionalFormatting sqref="H61:I63">
    <cfRule type="cellIs" dxfId="1181" priority="16" operator="greaterThan">
      <formula>0</formula>
    </cfRule>
  </conditionalFormatting>
  <conditionalFormatting sqref="J17">
    <cfRule type="expression" dxfId="1180" priority="14">
      <formula>$H$9=0</formula>
    </cfRule>
  </conditionalFormatting>
  <conditionalFormatting sqref="B94:I98">
    <cfRule type="containsText" dxfId="1179" priority="9" operator="containsText" text="error">
      <formula>NOT(ISERROR(SEARCH("error",B94)))</formula>
    </cfRule>
  </conditionalFormatting>
  <conditionalFormatting sqref="K28:K30">
    <cfRule type="containsText" dxfId="1178" priority="8" operator="containsText" text="Zero">
      <formula>NOT(ISERROR(SEARCH("Zero",K28)))</formula>
    </cfRule>
  </conditionalFormatting>
  <conditionalFormatting sqref="B44:I44">
    <cfRule type="containsText" dxfId="1177" priority="7" operator="containsText" text="⚠">
      <formula>NOT(ISERROR(SEARCH("⚠",B44)))</formula>
    </cfRule>
  </conditionalFormatting>
  <conditionalFormatting sqref="J1:J1048576">
    <cfRule type="containsText" dxfId="1176" priority="6" operator="containsText" text="⚠">
      <formula>NOT(ISERROR(SEARCH("⚠",J1)))</formula>
    </cfRule>
  </conditionalFormatting>
  <conditionalFormatting sqref="B19:I19">
    <cfRule type="containsText" dxfId="1175" priority="3" operator="containsText" text="Error - off-site gain sites must be postive ▲">
      <formula>NOT(ISERROR(SEARCH("Error - off-site gain sites must be postive ▲",B19)))</formula>
    </cfRule>
  </conditionalFormatting>
  <conditionalFormatting sqref="J29:J30">
    <cfRule type="containsText" dxfId="1174" priority="2" operator="containsText" text="Error">
      <formula>NOT(ISERROR(SEARCH("Error",J29)))</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59"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135"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45"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49" operator="equal" id="{6EEE2BFC-026C-4DBA-865F-850D56F4BDD9}">
            <xm:f>'G-1 All Habitats'!$X$6</xm:f>
            <x14:dxf>
              <fill>
                <patternFill>
                  <bgColor theme="7" tint="0.79998168889431442"/>
                </patternFill>
              </fill>
            </x14:dxf>
          </x14:cfRule>
          <x14:cfRule type="cellIs" priority="150" operator="equal" id="{B56D98BB-0AE5-4874-9D4E-3C4485D04071}">
            <xm:f>'G-1 All Habitats'!$X$7</xm:f>
            <x14:dxf>
              <fill>
                <patternFill>
                  <bgColor theme="4" tint="0.59996337778862885"/>
                </patternFill>
              </fill>
            </x14:dxf>
          </x14:cfRule>
          <x14:cfRule type="cellIs" priority="151" operator="equal" id="{E7D480FC-A0C4-44B1-A2E7-E2F87CB95EC5}">
            <xm:f>'G-1 All Habitats'!$X$5</xm:f>
            <x14:dxf>
              <fill>
                <patternFill>
                  <bgColor theme="7" tint="0.39994506668294322"/>
                </patternFill>
              </fill>
            </x14:dxf>
          </x14:cfRule>
          <x14:cfRule type="cellIs" priority="152" operator="equal" id="{90383316-2A46-4A3A-98B3-02D63A8114CA}">
            <xm:f>'G-1 All Habitats'!$X$4</xm:f>
            <x14:dxf>
              <fill>
                <patternFill>
                  <bgColor theme="5"/>
                </patternFill>
              </fill>
            </x14:dxf>
          </x14:cfRule>
          <x14:cfRule type="cellIs" priority="153" operator="equal" id="{24E51F1E-FA9B-4668-88E2-BBF17FE60338}">
            <xm:f>'G-1 All Habitats'!$X$3</xm:f>
            <x14:dxf>
              <font>
                <color theme="0"/>
              </font>
              <fill>
                <patternFill>
                  <bgColor rgb="FFC00000"/>
                </patternFill>
              </fill>
            </x14:dxf>
          </x14:cfRule>
          <xm:sqref>K50 K45:K46 K25:K31</xm:sqref>
        </x14:conditionalFormatting>
        <x14:conditionalFormatting xmlns:xm="http://schemas.microsoft.com/office/excel/2006/main">
          <x14:cfRule type="cellIs" priority="31" operator="equal" id="{34391782-A42B-48CB-9ACB-2E92103FAD17}">
            <xm:f>'G-1 All Habitats'!$X$6</xm:f>
            <x14:dxf>
              <fill>
                <patternFill>
                  <bgColor theme="7" tint="0.79998168889431442"/>
                </patternFill>
              </fill>
            </x14:dxf>
          </x14:cfRule>
          <x14:cfRule type="cellIs" priority="32" operator="equal" id="{CAC5EDAA-4B5F-4546-821F-1991FFC39B23}">
            <xm:f>'G-1 All Habitats'!$X$7</xm:f>
            <x14:dxf>
              <fill>
                <patternFill>
                  <bgColor theme="4" tint="0.59996337778862885"/>
                </patternFill>
              </fill>
            </x14:dxf>
          </x14:cfRule>
          <x14:cfRule type="cellIs" priority="33" operator="equal" id="{94843BC6-55B5-4209-A28E-6CCB4242554C}">
            <xm:f>'G-1 All Habitats'!$X$5</xm:f>
            <x14:dxf>
              <fill>
                <patternFill>
                  <bgColor theme="7" tint="0.39994506668294322"/>
                </patternFill>
              </fill>
            </x14:dxf>
          </x14:cfRule>
          <x14:cfRule type="cellIs" priority="34" operator="equal" id="{1148AB86-4D63-46F8-88F7-FE511952A740}">
            <xm:f>'G-1 All Habitats'!$X$4</xm:f>
            <x14:dxf>
              <fill>
                <patternFill>
                  <bgColor theme="5"/>
                </patternFill>
              </fill>
            </x14:dxf>
          </x14:cfRule>
          <x14:cfRule type="cellIs" priority="35"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94" operator="lessThan" id="{48EDEB45-2B10-4AC5-A2C2-202635DACD26}">
            <xm:f>Start!$F$22</xm:f>
            <x14:dxf>
              <font>
                <color theme="0"/>
              </font>
              <fill>
                <patternFill>
                  <bgColor rgb="FFC00000"/>
                </patternFill>
              </fill>
            </x14:dxf>
          </x14:cfRule>
          <xm:sqref>H51:H53</xm:sqref>
        </x14:conditionalFormatting>
        <x14:conditionalFormatting xmlns:xm="http://schemas.microsoft.com/office/excel/2006/main">
          <x14:cfRule type="cellIs" priority="24" operator="lessThan" id="{314993A7-CFE4-42FF-85AE-506F55CA1D24}">
            <xm:f>Start!$F$22</xm:f>
            <x14:dxf>
              <font>
                <color auto="1"/>
              </font>
              <fill>
                <patternFill>
                  <bgColor rgb="FFFFC000"/>
                </patternFill>
              </fill>
            </x14:dxf>
          </x14:cfRule>
          <xm:sqref>J16:J18 J28:J30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9"/>
  <sheetViews>
    <sheetView zoomScale="80" zoomScaleNormal="100" workbookViewId="0"/>
  </sheetViews>
  <sheetFormatPr defaultColWidth="8.6640625" defaultRowHeight="13.8" zeroHeight="1" x14ac:dyDescent="0.25"/>
  <cols>
    <col min="1" max="1" width="4.33203125" style="462" customWidth="1"/>
    <col min="2" max="2" width="72.6640625" style="462" customWidth="1"/>
    <col min="3" max="3" width="13.6640625" style="462" customWidth="1"/>
    <col min="4" max="4" width="18.33203125" style="462" customWidth="1"/>
    <col min="5" max="5" width="16" style="462" customWidth="1"/>
    <col min="6" max="6" width="14.5546875" style="462" customWidth="1"/>
    <col min="7" max="7" width="12.44140625" style="462" customWidth="1"/>
    <col min="8" max="8" width="15.5546875" style="462" customWidth="1"/>
    <col min="9" max="9" width="16.33203125" style="462" customWidth="1"/>
    <col min="10" max="10" width="20.33203125" style="462" customWidth="1"/>
    <col min="11" max="11" width="23.33203125" style="462" customWidth="1"/>
    <col min="12" max="12" width="28.33203125" style="462" customWidth="1"/>
    <col min="13" max="13" width="15" style="462" customWidth="1"/>
    <col min="14" max="14" width="16.33203125" style="462" customWidth="1"/>
    <col min="15" max="15" width="11.33203125" style="462" customWidth="1"/>
    <col min="16" max="16" width="16.33203125" style="462" customWidth="1"/>
    <col min="17" max="17" width="14" style="462" customWidth="1"/>
    <col min="18" max="18" width="12.33203125" style="462" customWidth="1"/>
    <col min="19" max="19" width="13.44140625" style="462" customWidth="1"/>
    <col min="20" max="20" width="10.5546875" style="462" customWidth="1"/>
    <col min="21" max="30" width="8.6640625" style="462"/>
    <col min="31" max="31" width="12.33203125" style="462" customWidth="1"/>
    <col min="32" max="16384" width="8.6640625" style="462"/>
  </cols>
  <sheetData>
    <row r="1" spans="2:19" ht="15.75" customHeight="1" thickBot="1" x14ac:dyDescent="0.3"/>
    <row r="2" spans="2:19" ht="22.35" customHeight="1" thickBot="1" x14ac:dyDescent="0.3">
      <c r="B2" s="1274" t="str">
        <f>IF(Start!$F$12="","",Start!$F$12)</f>
        <v>Chickenhall Lane</v>
      </c>
      <c r="C2" s="1275"/>
      <c r="D2" s="1276"/>
    </row>
    <row r="3" spans="2:19" ht="20.100000000000001" customHeight="1" x14ac:dyDescent="0.25">
      <c r="B3" s="1291" t="str">
        <f ca="1">MID(CELL("filename",A1),FIND("]",CELL("filename",A1))+1,256)</f>
        <v>Detailed Results</v>
      </c>
      <c r="C3" s="1292"/>
      <c r="D3" s="1293"/>
    </row>
    <row r="4" spans="2:19" ht="21.6" customHeight="1" thickBot="1" x14ac:dyDescent="0.3">
      <c r="B4" s="1294"/>
      <c r="C4" s="1295"/>
      <c r="D4" s="1296"/>
    </row>
    <row r="5" spans="2:19" ht="15.75" customHeight="1" x14ac:dyDescent="0.25"/>
    <row r="6" spans="2:19" ht="25.5" customHeight="1" thickBot="1" x14ac:dyDescent="0.3"/>
    <row r="7" spans="2:19" ht="18.75" customHeight="1" x14ac:dyDescent="0.25">
      <c r="B7" s="1297" t="s">
        <v>185</v>
      </c>
      <c r="C7" s="1298"/>
    </row>
    <row r="8" spans="2:19" ht="20.25" customHeight="1" thickBot="1" x14ac:dyDescent="0.3">
      <c r="B8" s="1299"/>
      <c r="C8" s="1300"/>
    </row>
    <row r="9" spans="2:19" ht="15.75" customHeight="1" thickBot="1" x14ac:dyDescent="0.55000000000000004">
      <c r="B9" s="463"/>
      <c r="C9" s="463"/>
      <c r="O9" s="464"/>
      <c r="Q9" s="464"/>
      <c r="R9" s="464"/>
    </row>
    <row r="10" spans="2:19" ht="18" customHeight="1" x14ac:dyDescent="0.3">
      <c r="B10" s="1301" t="s">
        <v>186</v>
      </c>
      <c r="C10" s="1302"/>
      <c r="D10" s="1302"/>
      <c r="E10" s="1303"/>
      <c r="F10" s="1312" t="s">
        <v>167</v>
      </c>
      <c r="G10" s="1313"/>
      <c r="H10" s="1310">
        <f>IFERROR('Headline Results'!$H$47:$I$47,"Check Data ⚠")</f>
        <v>0.84319572381994057</v>
      </c>
      <c r="I10" s="1311"/>
      <c r="J10" s="465"/>
      <c r="O10" s="464"/>
      <c r="P10" s="464"/>
      <c r="Q10" s="464"/>
      <c r="R10" s="464"/>
      <c r="S10" s="464"/>
    </row>
    <row r="11" spans="2:19" ht="15.75" customHeight="1" x14ac:dyDescent="0.3">
      <c r="B11" s="1304"/>
      <c r="C11" s="1305"/>
      <c r="D11" s="1305"/>
      <c r="E11" s="1306"/>
      <c r="F11" s="1316" t="s">
        <v>168</v>
      </c>
      <c r="G11" s="1323"/>
      <c r="H11" s="1321">
        <f ca="1">IFERROR('Headline Results'!$H$48:$I$48,"Check Data ⚠")</f>
        <v>0.28841467762499995</v>
      </c>
      <c r="I11" s="1322"/>
    </row>
    <row r="12" spans="2:19" ht="18.600000000000001" customHeight="1" thickBot="1" x14ac:dyDescent="0.35">
      <c r="B12" s="1307"/>
      <c r="C12" s="1308"/>
      <c r="D12" s="1308"/>
      <c r="E12" s="1309"/>
      <c r="F12" s="1277" t="s">
        <v>169</v>
      </c>
      <c r="G12" s="1278"/>
      <c r="H12" s="1285">
        <f>IFERROR('Headline Results'!$H$49:$I$49,"Check Data ⚠")</f>
        <v>0.26578800000000014</v>
      </c>
      <c r="I12" s="1286"/>
    </row>
    <row r="13" spans="2:19" ht="15.75" customHeight="1" thickBot="1" x14ac:dyDescent="0.3"/>
    <row r="14" spans="2:19" ht="18.75" customHeight="1" x14ac:dyDescent="0.25">
      <c r="B14" s="1301" t="s">
        <v>187</v>
      </c>
      <c r="C14" s="1302"/>
      <c r="D14" s="1302"/>
      <c r="E14" s="1303"/>
      <c r="F14" s="1312" t="s">
        <v>167</v>
      </c>
      <c r="G14" s="1320"/>
      <c r="H14" s="1318">
        <f>IFERROR('Headline Results'!$H$51:$I$51,"Check Data ⚠")</f>
        <v>0.31411775892678639</v>
      </c>
      <c r="I14" s="1319"/>
    </row>
    <row r="15" spans="2:19" ht="18.75" customHeight="1" x14ac:dyDescent="0.25">
      <c r="B15" s="1304"/>
      <c r="C15" s="1305"/>
      <c r="D15" s="1305"/>
      <c r="E15" s="1306"/>
      <c r="F15" s="1316" t="s">
        <v>168</v>
      </c>
      <c r="G15" s="1317"/>
      <c r="H15" s="1314">
        <f ca="1">IFERROR('Headline Results'!$H$52:$I$52,"Check Data ⚠")</f>
        <v>1.2378312344420599</v>
      </c>
      <c r="I15" s="1315"/>
    </row>
    <row r="16" spans="2:19" ht="18.75" customHeight="1" thickBot="1" x14ac:dyDescent="0.3">
      <c r="B16" s="1307"/>
      <c r="C16" s="1308"/>
      <c r="D16" s="1308"/>
      <c r="E16" s="1309"/>
      <c r="F16" s="1277" t="s">
        <v>169</v>
      </c>
      <c r="G16" s="1326"/>
      <c r="H16" s="1324" t="str">
        <f>IFERROR('Headline Results'!$H$53:$I$53,"Check Data ⚠")</f>
        <v>N/A</v>
      </c>
      <c r="I16" s="1325"/>
    </row>
    <row r="17" spans="2:9" ht="18.75" customHeight="1" thickBot="1" x14ac:dyDescent="0.3"/>
    <row r="18" spans="2:9" ht="25.5" customHeight="1" x14ac:dyDescent="0.25">
      <c r="B18" s="1330" t="s">
        <v>188</v>
      </c>
      <c r="C18" s="1330"/>
      <c r="D18" s="1330"/>
      <c r="E18" s="1330"/>
      <c r="F18" s="1330"/>
      <c r="G18" s="1330"/>
      <c r="H18" s="1330"/>
      <c r="I18" s="1330"/>
    </row>
    <row r="19" spans="2:9" ht="22.5" customHeight="1" thickBot="1" x14ac:dyDescent="0.3">
      <c r="B19" s="1331"/>
      <c r="C19" s="1331"/>
      <c r="D19" s="1331"/>
      <c r="E19" s="1331"/>
      <c r="F19" s="1331"/>
      <c r="G19" s="1331"/>
      <c r="H19" s="1331"/>
      <c r="I19" s="1331"/>
    </row>
    <row r="20" spans="2:9" ht="18.75" customHeight="1" thickBot="1" x14ac:dyDescent="0.55000000000000004">
      <c r="B20" s="1333"/>
      <c r="C20" s="1333"/>
      <c r="D20" s="1329" t="s">
        <v>189</v>
      </c>
      <c r="E20" s="1329"/>
      <c r="F20" s="1329" t="s">
        <v>49</v>
      </c>
      <c r="G20" s="1329"/>
      <c r="H20" s="1329" t="s">
        <v>50</v>
      </c>
      <c r="I20" s="1329"/>
    </row>
    <row r="21" spans="2:9" ht="18.75" customHeight="1" x14ac:dyDescent="0.25">
      <c r="B21" s="1334" t="s">
        <v>190</v>
      </c>
      <c r="C21" s="1335"/>
      <c r="D21" s="1327">
        <f>IFERROR('A-1 On-Site Habitat Baseline'!$H259+'D-1 Off-Site Habitat Baseline'!H259,"Error ▲")</f>
        <v>1.3630999999999998</v>
      </c>
      <c r="E21" s="1327"/>
      <c r="F21" s="1338">
        <f>'B-1 On-Site Hedge Baseline'!$E$258+'E-1 Off-Site Hedge Baseline'!$E$258</f>
        <v>0.123</v>
      </c>
      <c r="G21" s="1338"/>
      <c r="H21" s="1338">
        <f>'C-1 On-Site WaterC'' Baseline'!$E$258+'F-1 Off-Site WaterC'' Baseline'!$E$258</f>
        <v>0.14899999999999999</v>
      </c>
      <c r="I21" s="1341"/>
    </row>
    <row r="22" spans="2:9" ht="18.75" customHeight="1" thickBot="1" x14ac:dyDescent="0.3">
      <c r="B22" s="1336" t="s">
        <v>191</v>
      </c>
      <c r="C22" s="1337"/>
      <c r="D22" s="1328">
        <f>IFERROR('A-1 On-Site Habitat Baseline'!$Q259+'D-1 Off-Site Habitat Baseline'!T259,"Error ▲")</f>
        <v>6.0657899999999998</v>
      </c>
      <c r="E22" s="1328"/>
      <c r="F22" s="1339">
        <f>'B-1 On-Site Hedge Baseline'!$N$258+'E-1 Off-Site Hedge Baseline'!$Q$258</f>
        <v>0.23300000000000001</v>
      </c>
      <c r="G22" s="1339"/>
      <c r="H22" s="1339">
        <f>'C-1 On-Site WaterC'' Baseline'!$R$258+'F-1 Off-Site WaterC'' Baseline'!$U$258</f>
        <v>1.598868</v>
      </c>
      <c r="I22" s="1342"/>
    </row>
    <row r="23" spans="2:9" ht="18.75" customHeight="1" thickBot="1" x14ac:dyDescent="0.3">
      <c r="D23" s="465"/>
      <c r="F23" s="465"/>
      <c r="H23" s="465"/>
    </row>
    <row r="24" spans="2:9" ht="18.75" customHeight="1" x14ac:dyDescent="0.25">
      <c r="B24" s="1334" t="s">
        <v>192</v>
      </c>
      <c r="C24" s="1335"/>
      <c r="D24" s="1327">
        <f>IFERROR('A-1 On-Site Habitat Baseline'!$S259+'D-1 Off-Site Habitat Baseline'!V259,"Error ▲")</f>
        <v>0.35830000000000001</v>
      </c>
      <c r="E24" s="1327"/>
      <c r="F24" s="1338">
        <f>'B-1 On-Site Hedge Baseline'!$P$258+'E-1 Off-Site Hedge Baseline'!$S$258</f>
        <v>0</v>
      </c>
      <c r="G24" s="1338"/>
      <c r="H24" s="1338">
        <f>'C-1 On-Site WaterC'' Baseline'!U258+'F-1 Off-Site WaterC'' Baseline'!X258</f>
        <v>0</v>
      </c>
      <c r="I24" s="1341"/>
    </row>
    <row r="25" spans="2:9" ht="18.75" customHeight="1" thickBot="1" x14ac:dyDescent="0.3">
      <c r="B25" s="1336" t="s">
        <v>193</v>
      </c>
      <c r="C25" s="1337"/>
      <c r="D25" s="1328">
        <f>IFERROR('A-1 On-Site Habitat Baseline'!$U259+'D-1 Off-Site Habitat Baseline'!X259,"Error ▲")</f>
        <v>2.7744899999999997</v>
      </c>
      <c r="E25" s="1328"/>
      <c r="F25" s="1339">
        <f>'B-1 On-Site Hedge Baseline'!R258+'E-1 Off-Site Hedge Baseline'!U258</f>
        <v>0</v>
      </c>
      <c r="G25" s="1339"/>
      <c r="H25" s="1339">
        <f>'C-1 On-Site WaterC'' Baseline'!W258+'F-1 Off-Site WaterC'' Baseline'!Z258</f>
        <v>0</v>
      </c>
      <c r="I25" s="1342"/>
    </row>
    <row r="26" spans="2:9" ht="18.75" customHeight="1" thickBot="1" x14ac:dyDescent="0.3">
      <c r="D26" s="465"/>
      <c r="F26" s="465"/>
      <c r="H26" s="465"/>
    </row>
    <row r="27" spans="2:9" ht="18.75" customHeight="1" x14ac:dyDescent="0.25">
      <c r="B27" s="1334" t="s">
        <v>194</v>
      </c>
      <c r="C27" s="1335"/>
      <c r="D27" s="1327">
        <f>IFERROR('A-1 On-Site Habitat Baseline'!$T259+'D-1 Off-Site Habitat Baseline'!W259,"Error ▲")</f>
        <v>0</v>
      </c>
      <c r="E27" s="1327"/>
      <c r="F27" s="1338">
        <f>'B-1 On-Site Hedge Baseline'!$Q$258+'E-1 Off-Site Hedge Baseline'!$T$258</f>
        <v>0.11</v>
      </c>
      <c r="G27" s="1338"/>
      <c r="H27" s="1338">
        <f>'C-1 On-Site WaterC'' Baseline'!V258+'F-1 Off-Site WaterC'' Baseline'!Y258</f>
        <v>0.14899999999999999</v>
      </c>
      <c r="I27" s="1341"/>
    </row>
    <row r="28" spans="2:9" ht="18.75" customHeight="1" thickBot="1" x14ac:dyDescent="0.3">
      <c r="B28" s="1336" t="s">
        <v>195</v>
      </c>
      <c r="C28" s="1337"/>
      <c r="D28" s="1328">
        <f>IFERROR('A-1 On-Site Habitat Baseline'!$V259+'D-1 Off-Site Habitat Baseline'!Y259,"Error ▲")</f>
        <v>0</v>
      </c>
      <c r="E28" s="1328"/>
      <c r="F28" s="1339">
        <f>'B-1 On-Site Hedge Baseline'!$S$258+'E-1 Off-Site Hedge Baseline'!$V$258</f>
        <v>0.22</v>
      </c>
      <c r="G28" s="1339"/>
      <c r="H28" s="1339">
        <f>'C-1 On-Site WaterC'' Baseline'!X258+'F-1 Off-Site WaterC'' Baseline'!AA258</f>
        <v>1.598868</v>
      </c>
      <c r="I28" s="1342"/>
    </row>
    <row r="29" spans="2:9" ht="18.75" customHeight="1" thickBot="1" x14ac:dyDescent="0.3">
      <c r="D29" s="465"/>
      <c r="F29" s="465"/>
      <c r="H29" s="465"/>
    </row>
    <row r="30" spans="2:9" ht="18.75" customHeight="1" x14ac:dyDescent="0.25">
      <c r="B30" s="1334" t="s">
        <v>196</v>
      </c>
      <c r="C30" s="1335"/>
      <c r="D30" s="1327">
        <f>IFERROR('A-1 On-Site Habitat Baseline'!$W259+'D-1 Off-Site Habitat Baseline'!Z259,"Error ▲")</f>
        <v>1.0047999999999999</v>
      </c>
      <c r="E30" s="1327"/>
      <c r="F30" s="1338">
        <f>'B-1 On-Site Hedge Baseline'!$T$258+'E-1 Off-Site Hedge Baseline'!$W$258</f>
        <v>1.2999999999999999E-2</v>
      </c>
      <c r="G30" s="1338"/>
      <c r="H30" s="1338">
        <f>'C-1 On-Site WaterC'' Baseline'!Y258+'F-1 Off-Site WaterC'' Baseline'!AB258</f>
        <v>0</v>
      </c>
      <c r="I30" s="1341"/>
    </row>
    <row r="31" spans="2:9" ht="18.75" customHeight="1" thickBot="1" x14ac:dyDescent="0.3">
      <c r="B31" s="1336" t="s">
        <v>197</v>
      </c>
      <c r="C31" s="1337"/>
      <c r="D31" s="1328">
        <f>IFERROR('A-1 On-Site Habitat Baseline'!$X259+'D-1 Off-Site Habitat Baseline'!AA259,"Error ▲")</f>
        <v>3.2912999999999997</v>
      </c>
      <c r="E31" s="1328"/>
      <c r="F31" s="1339">
        <f>'B-1 On-Site Hedge Baseline'!$U$258+'E-1 Off-Site Hedge Baseline'!$X$258</f>
        <v>1.2999999999999999E-2</v>
      </c>
      <c r="G31" s="1339"/>
      <c r="H31" s="1339">
        <f>'C-1 On-Site WaterC'' Baseline'!Z258+'F-1 Off-Site WaterC'' Baseline'!AC258</f>
        <v>0</v>
      </c>
      <c r="I31" s="1342"/>
    </row>
    <row r="32" spans="2:9" ht="26.1" customHeight="1" thickBot="1" x14ac:dyDescent="0.3">
      <c r="C32" s="465"/>
      <c r="D32" s="465"/>
      <c r="E32" s="465"/>
    </row>
    <row r="33" spans="1:22" s="466" customFormat="1" ht="44.1" customHeight="1" thickTop="1" thickBot="1" x14ac:dyDescent="0.3">
      <c r="A33" s="1343" t="s">
        <v>198</v>
      </c>
      <c r="C33" s="467"/>
      <c r="D33" s="467"/>
      <c r="E33" s="467"/>
    </row>
    <row r="34" spans="1:22" ht="25.8" thickBot="1" x14ac:dyDescent="0.5">
      <c r="A34" s="1344"/>
      <c r="B34" s="468" t="s">
        <v>48</v>
      </c>
    </row>
    <row r="35" spans="1:22" ht="18.75" customHeight="1" thickBot="1" x14ac:dyDescent="0.3">
      <c r="A35" s="1344"/>
    </row>
    <row r="36" spans="1:22" ht="22.35" customHeight="1" thickBot="1" x14ac:dyDescent="0.35">
      <c r="A36" s="1344"/>
      <c r="B36" s="1265" t="s">
        <v>199</v>
      </c>
      <c r="C36" s="1265"/>
      <c r="D36" s="1265"/>
      <c r="E36" s="1265"/>
      <c r="F36" s="1265"/>
      <c r="G36" s="1265"/>
      <c r="H36" s="1265"/>
      <c r="J36" s="1279" t="s">
        <v>200</v>
      </c>
      <c r="K36" s="1280"/>
      <c r="L36" s="1281"/>
    </row>
    <row r="37" spans="1:22" ht="34.35" customHeight="1" thickBot="1" x14ac:dyDescent="0.3">
      <c r="A37" s="1344"/>
      <c r="B37" s="469"/>
      <c r="C37" s="1260" t="s">
        <v>201</v>
      </c>
      <c r="D37" s="1260"/>
      <c r="E37" s="1260" t="s">
        <v>202</v>
      </c>
      <c r="F37" s="1260"/>
      <c r="G37" s="1260" t="s">
        <v>203</v>
      </c>
      <c r="H37" s="1260"/>
      <c r="J37" s="1282"/>
      <c r="K37" s="1283"/>
      <c r="L37" s="1284"/>
      <c r="U37" s="1259"/>
      <c r="V37" s="1259"/>
    </row>
    <row r="38" spans="1:22" ht="53.1" customHeight="1" thickBot="1" x14ac:dyDescent="0.3">
      <c r="A38" s="1344"/>
      <c r="B38" s="478" t="s">
        <v>204</v>
      </c>
      <c r="C38" s="479" t="s">
        <v>205</v>
      </c>
      <c r="D38" s="479" t="s">
        <v>206</v>
      </c>
      <c r="E38" s="479" t="s">
        <v>207</v>
      </c>
      <c r="F38" s="479" t="s">
        <v>208</v>
      </c>
      <c r="G38" s="479" t="s">
        <v>209</v>
      </c>
      <c r="H38" s="479" t="s">
        <v>210</v>
      </c>
      <c r="J38" s="1269" t="s">
        <v>211</v>
      </c>
      <c r="K38" s="1287" t="s">
        <v>212</v>
      </c>
      <c r="L38" s="1289" t="s">
        <v>213</v>
      </c>
      <c r="U38" s="1259"/>
      <c r="V38" s="1259"/>
    </row>
    <row r="39" spans="1:22" ht="15.6" x14ac:dyDescent="0.25">
      <c r="A39" s="1344"/>
      <c r="B39" s="480" t="s">
        <v>147</v>
      </c>
      <c r="C39" s="481">
        <f>'G-2 Habitat groups'!$AK$4</f>
        <v>0</v>
      </c>
      <c r="D39" s="481">
        <f>'G-2 Habitat groups'!$AL$4</f>
        <v>0</v>
      </c>
      <c r="E39" s="481">
        <f>'G-2 Habitat groups'!$AM$4</f>
        <v>0</v>
      </c>
      <c r="F39" s="481">
        <f>'G-2 Habitat groups'!$AN$4</f>
        <v>0</v>
      </c>
      <c r="G39" s="481">
        <f>E39-C39</f>
        <v>0</v>
      </c>
      <c r="H39" s="482">
        <f>F39-D39</f>
        <v>0</v>
      </c>
      <c r="J39" s="1270"/>
      <c r="K39" s="1288"/>
      <c r="L39" s="1290"/>
    </row>
    <row r="40" spans="1:22" ht="15.6" x14ac:dyDescent="0.25">
      <c r="A40" s="1344"/>
      <c r="B40" s="483" t="s">
        <v>78</v>
      </c>
      <c r="C40" s="471">
        <f>'G-2 Habitat groups'!$AK$5</f>
        <v>0.46379999999999999</v>
      </c>
      <c r="D40" s="471">
        <f>'G-2 Habitat groups'!$AL$5</f>
        <v>1.4588899999999998</v>
      </c>
      <c r="E40" s="471">
        <f>'G-2 Habitat groups'!$AM$5</f>
        <v>0.16689999999999999</v>
      </c>
      <c r="F40" s="471">
        <f>'G-2 Habitat groups'!$AN$5</f>
        <v>0.65982627699999996</v>
      </c>
      <c r="G40" s="471">
        <f t="shared" ref="G40:G50" si="0">E40-C40</f>
        <v>-0.2969</v>
      </c>
      <c r="H40" s="472">
        <f t="shared" ref="H40:H50" si="1">F40-D40</f>
        <v>-0.79906372299999984</v>
      </c>
      <c r="J40" s="1263" t="str">
        <f>'G-1 All Habitats'!$V$3</f>
        <v>V.High</v>
      </c>
      <c r="K40" s="1272">
        <f>SUMIF('A-1 On-Site Habitat Baseline'!$I$11:$I$258,'Detailed Results'!J40,'A-1 On-Site Habitat Baseline'!$W$11:$W$258)+SUMIF('D-1 Off-Site Habitat Baseline'!$I$11:$I$258,'Detailed Results'!J40,'D-1 Off-Site Habitat Baseline'!$Z$11:$Z$258)</f>
        <v>0</v>
      </c>
      <c r="L40" s="1261" t="str">
        <f>IF(K40=0,"",(K40/(SUM($K$40:$K$49)))*100)</f>
        <v/>
      </c>
    </row>
    <row r="41" spans="1:22" ht="15.6" x14ac:dyDescent="0.25">
      <c r="A41" s="1344"/>
      <c r="B41" s="483" t="s">
        <v>116</v>
      </c>
      <c r="C41" s="471">
        <f>'G-2 Habitat groups'!$AK$6</f>
        <v>0</v>
      </c>
      <c r="D41" s="471">
        <f>'G-2 Habitat groups'!$AL$6</f>
        <v>0</v>
      </c>
      <c r="E41" s="471">
        <f>'G-2 Habitat groups'!$AM$6</f>
        <v>2.98E-2</v>
      </c>
      <c r="F41" s="471">
        <f>'G-2 Habitat groups'!$AN$6</f>
        <v>0.13228219999999999</v>
      </c>
      <c r="G41" s="471">
        <f t="shared" si="0"/>
        <v>2.98E-2</v>
      </c>
      <c r="H41" s="472">
        <f t="shared" si="1"/>
        <v>0.13228219999999999</v>
      </c>
      <c r="J41" s="1264"/>
      <c r="K41" s="1332"/>
      <c r="L41" s="1262"/>
    </row>
    <row r="42" spans="1:22" ht="15.6" x14ac:dyDescent="0.25">
      <c r="A42" s="1344"/>
      <c r="B42" s="483" t="s">
        <v>72</v>
      </c>
      <c r="C42" s="471">
        <f>'G-2 Habitat groups'!$AK$7</f>
        <v>0</v>
      </c>
      <c r="D42" s="471">
        <f>'G-2 Habitat groups'!$AL$7</f>
        <v>0</v>
      </c>
      <c r="E42" s="471">
        <f>'G-2 Habitat groups'!$AM$7</f>
        <v>0</v>
      </c>
      <c r="F42" s="471">
        <f>'G-2 Habitat groups'!$AN$7</f>
        <v>0</v>
      </c>
      <c r="G42" s="471">
        <f t="shared" si="0"/>
        <v>0</v>
      </c>
      <c r="H42" s="472">
        <f t="shared" si="1"/>
        <v>0</v>
      </c>
      <c r="J42" s="1263" t="str">
        <f>'G-1 All Habitats'!$V$4</f>
        <v>High</v>
      </c>
      <c r="K42" s="1272">
        <f>SUMIF('A-1 On-Site Habitat Baseline'!$I$11:$I$258,'Detailed Results'!J42,'A-1 On-Site Habitat Baseline'!$W$11:$W$258)+SUMIF('D-1 Off-Site Habitat Baseline'!$I$11:$I$258,'Detailed Results'!J42,'D-1 Off-Site Habitat Baseline'!$Z$11:$Z$258)</f>
        <v>0</v>
      </c>
      <c r="L42" s="1261" t="str">
        <f>IF(K42=0,"",(K42/(SUM($K$40:$K$49)))*100)</f>
        <v/>
      </c>
    </row>
    <row r="43" spans="1:22" ht="15.6" x14ac:dyDescent="0.25">
      <c r="A43" s="1344"/>
      <c r="B43" s="483" t="s">
        <v>82</v>
      </c>
      <c r="C43" s="471">
        <f>'G-2 Habitat groups'!$AK$8</f>
        <v>7.5999999999999998E-2</v>
      </c>
      <c r="D43" s="471">
        <f>'G-2 Habitat groups'!$AL$8</f>
        <v>0.17479999999999998</v>
      </c>
      <c r="E43" s="471">
        <f>'G-2 Habitat groups'!$AM$8</f>
        <v>2.1499999999999998E-2</v>
      </c>
      <c r="F43" s="471">
        <f>'G-2 Habitat groups'!$AN$8</f>
        <v>4.9449999999999994E-2</v>
      </c>
      <c r="G43" s="471">
        <f t="shared" si="0"/>
        <v>-5.45E-2</v>
      </c>
      <c r="H43" s="472">
        <f t="shared" si="1"/>
        <v>-0.12534999999999999</v>
      </c>
      <c r="J43" s="1264"/>
      <c r="K43" s="1332"/>
      <c r="L43" s="1262"/>
    </row>
    <row r="44" spans="1:22" ht="15.6" x14ac:dyDescent="0.25">
      <c r="A44" s="1344"/>
      <c r="B44" s="483" t="s">
        <v>120</v>
      </c>
      <c r="C44" s="471">
        <f>'G-2 Habitat groups'!$AK$9</f>
        <v>7.8000000000000014E-2</v>
      </c>
      <c r="D44" s="471">
        <f>'G-2 Habitat groups'!$AL$9</f>
        <v>7.6359999999999997E-2</v>
      </c>
      <c r="E44" s="471">
        <f>'G-2 Habitat groups'!$AM$9</f>
        <v>0.39960000000000007</v>
      </c>
      <c r="F44" s="471">
        <f>'G-2 Habitat groups'!$AN$9</f>
        <v>0.19772405762249998</v>
      </c>
      <c r="G44" s="471">
        <f t="shared" si="0"/>
        <v>0.32160000000000005</v>
      </c>
      <c r="H44" s="472">
        <f t="shared" si="1"/>
        <v>0.12136405762249998</v>
      </c>
      <c r="J44" s="1263" t="str">
        <f>'G-1 All Habitats'!$V5</f>
        <v>Medium</v>
      </c>
      <c r="K44" s="1272">
        <f>SUMIF('A-1 On-Site Habitat Baseline'!$I$11:$I$258,'Detailed Results'!J44,'A-1 On-Site Habitat Baseline'!$W$11:$W$258)+SUMIF('D-1 Off-Site Habitat Baseline'!$I$11:$I$258,'Detailed Results'!J44,'D-1 Off-Site Habitat Baseline'!$Z$11:$Z$258)</f>
        <v>0.32440000000000002</v>
      </c>
      <c r="L44" s="1261">
        <f>IF(K44=0,"",(K44/(SUM($K$40:$K$49)))*100)</f>
        <v>32.285031847133759</v>
      </c>
    </row>
    <row r="45" spans="1:22" ht="15.6" x14ac:dyDescent="0.25">
      <c r="A45" s="1344"/>
      <c r="B45" s="483" t="s">
        <v>123</v>
      </c>
      <c r="C45" s="471">
        <f>'G-2 Habitat groups'!$AK$10</f>
        <v>0</v>
      </c>
      <c r="D45" s="471">
        <f>'G-2 Habitat groups'!$AL$10</f>
        <v>0</v>
      </c>
      <c r="E45" s="471">
        <f>'G-2 Habitat groups'!$AM$10</f>
        <v>0</v>
      </c>
      <c r="F45" s="471">
        <f>'G-2 Habitat groups'!$AN$10</f>
        <v>0</v>
      </c>
      <c r="G45" s="471">
        <f t="shared" si="0"/>
        <v>0</v>
      </c>
      <c r="H45" s="472">
        <f t="shared" si="1"/>
        <v>0</v>
      </c>
      <c r="J45" s="1264"/>
      <c r="K45" s="1332"/>
      <c r="L45" s="1262"/>
    </row>
    <row r="46" spans="1:22" ht="15.6" x14ac:dyDescent="0.25">
      <c r="A46" s="1344"/>
      <c r="B46" s="483" t="s">
        <v>87</v>
      </c>
      <c r="C46" s="471">
        <f>'G-2 Habitat groups'!$AK$11</f>
        <v>0</v>
      </c>
      <c r="D46" s="471">
        <f>'G-2 Habitat groups'!$AL$11</f>
        <v>0</v>
      </c>
      <c r="E46" s="471">
        <f>'G-2 Habitat groups'!$AM$11</f>
        <v>0</v>
      </c>
      <c r="F46" s="471">
        <f>'G-2 Habitat groups'!$AN$11</f>
        <v>0</v>
      </c>
      <c r="G46" s="471">
        <f t="shared" si="0"/>
        <v>0</v>
      </c>
      <c r="H46" s="472">
        <f t="shared" si="1"/>
        <v>0</v>
      </c>
      <c r="J46" s="1263" t="str">
        <f>'G-1 All Habitats'!$V$6</f>
        <v>Low</v>
      </c>
      <c r="K46" s="1272">
        <f>SUMIF('A-1 On-Site Habitat Baseline'!$I$11:$I$258,'Detailed Results'!J46,'A-1 On-Site Habitat Baseline'!$W$11:$W$258)+SUMIF('D-1 Off-Site Habitat Baseline'!$I$11:$I$258,'Detailed Results'!J46,'D-1 Off-Site Habitat Baseline'!$Z$11:$Z$258)</f>
        <v>0.63559999999999994</v>
      </c>
      <c r="L46" s="1261">
        <f>IF(K46=0,"",(K46/(SUM($K$40:$K$49)))*100)</f>
        <v>63.25636942675159</v>
      </c>
    </row>
    <row r="47" spans="1:22" ht="15.6" x14ac:dyDescent="0.25">
      <c r="A47" s="1344"/>
      <c r="B47" s="484" t="s">
        <v>105</v>
      </c>
      <c r="C47" s="471">
        <f>'G-2 Habitat groups'!$AK$12</f>
        <v>0</v>
      </c>
      <c r="D47" s="471">
        <f>'G-2 Habitat groups'!$AL$12</f>
        <v>0</v>
      </c>
      <c r="E47" s="471">
        <f>'G-2 Habitat groups'!$AM$12</f>
        <v>0</v>
      </c>
      <c r="F47" s="471">
        <f>'G-2 Habitat groups'!$AN$12</f>
        <v>0</v>
      </c>
      <c r="G47" s="471">
        <f t="shared" si="0"/>
        <v>0</v>
      </c>
      <c r="H47" s="472">
        <f t="shared" si="1"/>
        <v>0</v>
      </c>
      <c r="J47" s="1264"/>
      <c r="K47" s="1332"/>
      <c r="L47" s="1262"/>
    </row>
    <row r="48" spans="1:22" ht="15.6" x14ac:dyDescent="0.25">
      <c r="A48" s="1344"/>
      <c r="B48" s="484" t="s">
        <v>214</v>
      </c>
      <c r="C48" s="471">
        <f>'G-2 Habitat groups'!$AK$13</f>
        <v>0</v>
      </c>
      <c r="D48" s="471">
        <f>'G-2 Habitat groups'!$AL$13</f>
        <v>0</v>
      </c>
      <c r="E48" s="471">
        <f>'G-2 Habitat groups'!$AM$13</f>
        <v>0</v>
      </c>
      <c r="F48" s="471">
        <f>'G-2 Habitat groups'!$AN$13</f>
        <v>0</v>
      </c>
      <c r="G48" s="471">
        <f t="shared" si="0"/>
        <v>0</v>
      </c>
      <c r="H48" s="472">
        <f t="shared" si="1"/>
        <v>0</v>
      </c>
      <c r="J48" s="1263" t="str">
        <f>'G-1 All Habitats'!$V$7</f>
        <v>V.Low</v>
      </c>
      <c r="K48" s="1272">
        <f>SUMIF('A-1 On-Site Habitat Baseline'!$I$11:$I$258,'Detailed Results'!J48,'A-1 On-Site Habitat Baseline'!$W$11:$W$258)+SUMIF('D-1 Off-Site Habitat Baseline'!$I$11:$I$258,'Detailed Results'!J48,'D-1 Off-Site Habitat Baseline'!$Z$11:$Z$258)</f>
        <v>4.48E-2</v>
      </c>
      <c r="L48" s="1261">
        <f>IF(K48=0,"",(K48/(SUM($K$40:$K$49)))*100)</f>
        <v>4.4585987261146505</v>
      </c>
    </row>
    <row r="49" spans="1:33" ht="16.2" thickBot="1" x14ac:dyDescent="0.3">
      <c r="A49" s="1344"/>
      <c r="B49" s="484" t="s">
        <v>215</v>
      </c>
      <c r="C49" s="471">
        <f>'G-2 Habitat groups'!$AK$14</f>
        <v>0</v>
      </c>
      <c r="D49" s="471">
        <f>'G-2 Habitat groups'!$AL$14</f>
        <v>0</v>
      </c>
      <c r="E49" s="471">
        <f>'G-2 Habitat groups'!$AM$14</f>
        <v>0</v>
      </c>
      <c r="F49" s="471">
        <f>'G-2 Habitat groups'!$AN$14</f>
        <v>0</v>
      </c>
      <c r="G49" s="471">
        <f t="shared" si="0"/>
        <v>0</v>
      </c>
      <c r="H49" s="472">
        <f t="shared" si="1"/>
        <v>0</v>
      </c>
      <c r="J49" s="1340"/>
      <c r="K49" s="1273"/>
      <c r="L49" s="1271"/>
    </row>
    <row r="50" spans="1:33" ht="15.6" x14ac:dyDescent="0.25">
      <c r="A50" s="1344"/>
      <c r="B50" s="484" t="s">
        <v>92</v>
      </c>
      <c r="C50" s="471">
        <f>'G-2 Habitat groups'!$AK$15</f>
        <v>0</v>
      </c>
      <c r="D50" s="471">
        <f>'G-2 Habitat groups'!$AL$15</f>
        <v>0</v>
      </c>
      <c r="E50" s="471">
        <f>'G-2 Habitat groups'!$AM$15</f>
        <v>0</v>
      </c>
      <c r="F50" s="471">
        <f>'G-2 Habitat groups'!$AN$15</f>
        <v>0</v>
      </c>
      <c r="G50" s="471">
        <f t="shared" si="0"/>
        <v>0</v>
      </c>
      <c r="H50" s="472">
        <f t="shared" si="1"/>
        <v>0</v>
      </c>
    </row>
    <row r="51" spans="1:33" ht="15.6" x14ac:dyDescent="0.25">
      <c r="A51" s="1344"/>
      <c r="B51" s="484" t="s">
        <v>216</v>
      </c>
      <c r="C51" s="471">
        <f>'G-2 Habitat groups'!$AK$16</f>
        <v>0</v>
      </c>
      <c r="D51" s="471">
        <f>'G-2 Habitat groups'!$AL$16</f>
        <v>0</v>
      </c>
      <c r="E51" s="471">
        <f>'G-2 Habitat groups'!$AM$16</f>
        <v>0</v>
      </c>
      <c r="F51" s="471">
        <f>'G-2 Habitat groups'!$AN$16</f>
        <v>0</v>
      </c>
      <c r="G51" s="471">
        <f t="shared" ref="G51:H53" si="2">E51-C51</f>
        <v>0</v>
      </c>
      <c r="H51" s="472">
        <f t="shared" si="2"/>
        <v>0</v>
      </c>
    </row>
    <row r="52" spans="1:33" ht="15.75" customHeight="1" x14ac:dyDescent="0.25">
      <c r="A52" s="1344"/>
      <c r="B52" s="494" t="s">
        <v>217</v>
      </c>
      <c r="C52" s="471">
        <f>'G-2 Habitat groups'!$AK$18</f>
        <v>0</v>
      </c>
      <c r="D52" s="471">
        <f>'G-2 Habitat groups'!$AL$18</f>
        <v>0</v>
      </c>
      <c r="E52" s="471">
        <f>'G-2 Habitat groups'!$AM$18</f>
        <v>0</v>
      </c>
      <c r="F52" s="471">
        <f>'G-2 Habitat groups'!$AN$18</f>
        <v>0</v>
      </c>
      <c r="G52" s="471">
        <f t="shared" si="2"/>
        <v>0</v>
      </c>
      <c r="H52" s="472">
        <f t="shared" si="2"/>
        <v>0</v>
      </c>
    </row>
    <row r="53" spans="1:33" ht="15.75" customHeight="1" thickBot="1" x14ac:dyDescent="0.3">
      <c r="A53" s="1344"/>
      <c r="B53" s="495" t="s">
        <v>148</v>
      </c>
      <c r="C53" s="473">
        <f>'G-2 Habitat groups'!$AK$17</f>
        <v>0.10589999999999999</v>
      </c>
      <c r="D53" s="473">
        <f>'G-2 Habitat groups'!$AL$17</f>
        <v>0.97427999999999981</v>
      </c>
      <c r="E53" s="473">
        <f>'G-2 Habitat groups'!$AM$17</f>
        <v>0.14657361829251864</v>
      </c>
      <c r="F53" s="473">
        <f>'G-2 Habitat groups'!$AN$17</f>
        <v>0.66141036492817529</v>
      </c>
      <c r="G53" s="473">
        <f t="shared" si="2"/>
        <v>4.0673618292518643E-2</v>
      </c>
      <c r="H53" s="474">
        <f t="shared" si="2"/>
        <v>-0.31286963507182453</v>
      </c>
    </row>
    <row r="54" spans="1:33" ht="15.75" customHeight="1" x14ac:dyDescent="0.25">
      <c r="A54" s="1344"/>
    </row>
    <row r="55" spans="1:33" ht="10.35" customHeight="1" thickBot="1" x14ac:dyDescent="0.3">
      <c r="A55" s="1344"/>
    </row>
    <row r="56" spans="1:33" ht="23.1" customHeight="1" thickBot="1" x14ac:dyDescent="0.5">
      <c r="A56" s="1344"/>
      <c r="B56" s="1265" t="s">
        <v>218</v>
      </c>
      <c r="C56" s="1265"/>
      <c r="D56" s="1265"/>
      <c r="E56" s="1265"/>
      <c r="F56" s="1265"/>
      <c r="G56" s="1265"/>
      <c r="H56" s="1265"/>
      <c r="I56" s="475"/>
      <c r="J56" s="475"/>
      <c r="K56" s="475"/>
      <c r="L56" s="475"/>
      <c r="M56" s="475"/>
    </row>
    <row r="57" spans="1:33" s="477" customFormat="1" ht="38.25" customHeight="1" thickBot="1" x14ac:dyDescent="0.3">
      <c r="A57" s="1344"/>
      <c r="B57" s="469"/>
      <c r="C57" s="1260" t="s">
        <v>201</v>
      </c>
      <c r="D57" s="1260"/>
      <c r="E57" s="1260" t="s">
        <v>219</v>
      </c>
      <c r="F57" s="1260"/>
      <c r="G57" s="1260" t="s">
        <v>220</v>
      </c>
      <c r="H57" s="1260"/>
      <c r="I57" s="476"/>
      <c r="J57" s="476"/>
      <c r="K57" s="462"/>
      <c r="L57" s="462"/>
      <c r="M57" s="462"/>
      <c r="N57" s="462"/>
      <c r="O57" s="462"/>
      <c r="P57" s="462"/>
      <c r="Q57" s="462"/>
      <c r="R57" s="462"/>
      <c r="S57" s="462"/>
      <c r="T57" s="462"/>
      <c r="U57" s="462"/>
      <c r="V57" s="462"/>
      <c r="W57" s="462"/>
      <c r="X57" s="462"/>
      <c r="Y57" s="462"/>
      <c r="Z57" s="462"/>
      <c r="AA57" s="462"/>
      <c r="AB57" s="462"/>
      <c r="AC57" s="462"/>
      <c r="AD57" s="462"/>
      <c r="AE57" s="462"/>
      <c r="AF57" s="462"/>
      <c r="AG57" s="462"/>
    </row>
    <row r="58" spans="1:33" ht="48" customHeight="1" thickBot="1" x14ac:dyDescent="0.3">
      <c r="A58" s="1344"/>
      <c r="B58" s="478" t="s">
        <v>204</v>
      </c>
      <c r="C58" s="479" t="s">
        <v>221</v>
      </c>
      <c r="D58" s="479" t="s">
        <v>222</v>
      </c>
      <c r="E58" s="479" t="s">
        <v>223</v>
      </c>
      <c r="F58" s="479" t="s">
        <v>224</v>
      </c>
      <c r="G58" s="479" t="s">
        <v>225</v>
      </c>
      <c r="H58" s="479" t="s">
        <v>226</v>
      </c>
      <c r="I58" s="476"/>
      <c r="J58" s="476"/>
    </row>
    <row r="59" spans="1:33" ht="15.6" x14ac:dyDescent="0.25">
      <c r="A59" s="1344"/>
      <c r="B59" s="480" t="s">
        <v>147</v>
      </c>
      <c r="C59" s="481">
        <f>'G-2 Habitat groups'!$AK$21</f>
        <v>0</v>
      </c>
      <c r="D59" s="481">
        <f>'G-2 Habitat groups'!$AL$21</f>
        <v>0</v>
      </c>
      <c r="E59" s="481">
        <f>'G-2 Habitat groups'!$AM$21</f>
        <v>0</v>
      </c>
      <c r="F59" s="481">
        <f>'G-2 Habitat groups'!$AN$21</f>
        <v>0</v>
      </c>
      <c r="G59" s="481">
        <f t="shared" ref="G59:G70" si="3">E59-C59</f>
        <v>0</v>
      </c>
      <c r="H59" s="482">
        <f t="shared" ref="H59:H70" si="4">F59-D59</f>
        <v>0</v>
      </c>
      <c r="I59" s="476"/>
      <c r="J59" s="476"/>
    </row>
    <row r="60" spans="1:33" ht="15.6" x14ac:dyDescent="0.25">
      <c r="A60" s="1344"/>
      <c r="B60" s="483" t="s">
        <v>78</v>
      </c>
      <c r="C60" s="471">
        <f>'G-2 Habitat groups'!$AK$22</f>
        <v>0.25390000000000001</v>
      </c>
      <c r="D60" s="471">
        <f>'G-2 Habitat groups'!$AL$22</f>
        <v>0.75991999999999993</v>
      </c>
      <c r="E60" s="471">
        <f>'G-2 Habitat groups'!$AM$22</f>
        <v>0.1331</v>
      </c>
      <c r="F60" s="471">
        <f>'G-2 Habitat groups'!$AN$22</f>
        <v>1.2862644756050756</v>
      </c>
      <c r="G60" s="471">
        <f t="shared" si="3"/>
        <v>-0.12080000000000002</v>
      </c>
      <c r="H60" s="472">
        <f t="shared" si="4"/>
        <v>0.52634447560507569</v>
      </c>
      <c r="I60" s="476"/>
      <c r="J60" s="476"/>
    </row>
    <row r="61" spans="1:33" ht="15.75" customHeight="1" x14ac:dyDescent="0.25">
      <c r="A61" s="1344"/>
      <c r="B61" s="483" t="s">
        <v>116</v>
      </c>
      <c r="C61" s="471">
        <f>'G-2 Habitat groups'!$AK$23</f>
        <v>0</v>
      </c>
      <c r="D61" s="471">
        <f>'G-2 Habitat groups'!$AL$23</f>
        <v>0</v>
      </c>
      <c r="E61" s="471">
        <f>'G-2 Habitat groups'!$AM$23</f>
        <v>0.1943</v>
      </c>
      <c r="F61" s="471">
        <f>'G-2 Habitat groups'!$AN$23</f>
        <v>1.0998160430737105</v>
      </c>
      <c r="G61" s="471">
        <f t="shared" si="3"/>
        <v>0.1943</v>
      </c>
      <c r="H61" s="472">
        <f t="shared" si="4"/>
        <v>1.0998160430737105</v>
      </c>
      <c r="I61" s="476"/>
      <c r="J61" s="476"/>
    </row>
    <row r="62" spans="1:33" ht="15.6" x14ac:dyDescent="0.25">
      <c r="A62" s="1344"/>
      <c r="B62" s="483" t="s">
        <v>72</v>
      </c>
      <c r="C62" s="471">
        <f>'G-2 Habitat groups'!$AK$24</f>
        <v>0</v>
      </c>
      <c r="D62" s="471">
        <f>'G-2 Habitat groups'!$AL$24</f>
        <v>0</v>
      </c>
      <c r="E62" s="471">
        <f>'G-2 Habitat groups'!$AM$24</f>
        <v>0</v>
      </c>
      <c r="F62" s="471">
        <f>'G-2 Habitat groups'!$AN$24</f>
        <v>0</v>
      </c>
      <c r="G62" s="471">
        <f t="shared" si="3"/>
        <v>0</v>
      </c>
      <c r="H62" s="472">
        <f t="shared" si="4"/>
        <v>0</v>
      </c>
      <c r="I62" s="476"/>
      <c r="J62" s="476"/>
    </row>
    <row r="63" spans="1:33" ht="15.6" x14ac:dyDescent="0.25">
      <c r="A63" s="1344"/>
      <c r="B63" s="483" t="s">
        <v>82</v>
      </c>
      <c r="C63" s="471">
        <f>'G-2 Habitat groups'!$AK$25</f>
        <v>1.2E-2</v>
      </c>
      <c r="D63" s="471">
        <f>'G-2 Habitat groups'!$AL$25</f>
        <v>2.76E-2</v>
      </c>
      <c r="E63" s="471">
        <f>'G-2 Habitat groups'!$AM$25</f>
        <v>1.2E-2</v>
      </c>
      <c r="F63" s="471">
        <f>'G-2 Habitat groups'!$AN$25</f>
        <v>2.76E-2</v>
      </c>
      <c r="G63" s="471">
        <f t="shared" si="3"/>
        <v>0</v>
      </c>
      <c r="H63" s="472">
        <f t="shared" si="4"/>
        <v>0</v>
      </c>
      <c r="I63" s="476"/>
      <c r="J63" s="476"/>
    </row>
    <row r="64" spans="1:33" ht="15.6" x14ac:dyDescent="0.25">
      <c r="A64" s="1344"/>
      <c r="B64" s="483" t="s">
        <v>120</v>
      </c>
      <c r="C64" s="471">
        <f>'G-2 Habitat groups'!$AK$26</f>
        <v>7.7200000000000005E-2</v>
      </c>
      <c r="D64" s="471">
        <f>'G-2 Habitat groups'!$AL$26</f>
        <v>0.17756</v>
      </c>
      <c r="E64" s="471">
        <f>'G-2 Habitat groups'!$AM$26</f>
        <v>3.7000000000000002E-3</v>
      </c>
      <c r="F64" s="471">
        <f>'G-2 Habitat groups'!$AN$26</f>
        <v>1.1004280999999999E-2</v>
      </c>
      <c r="G64" s="471">
        <f t="shared" si="3"/>
        <v>-7.350000000000001E-2</v>
      </c>
      <c r="H64" s="472">
        <f t="shared" si="4"/>
        <v>-0.16655571899999999</v>
      </c>
      <c r="I64" s="476"/>
      <c r="J64" s="476"/>
    </row>
    <row r="65" spans="1:10" ht="15.6" x14ac:dyDescent="0.25">
      <c r="A65" s="1344"/>
      <c r="B65" s="483" t="s">
        <v>123</v>
      </c>
      <c r="C65" s="471">
        <f>'G-2 Habitat groups'!$AK$27</f>
        <v>0</v>
      </c>
      <c r="D65" s="471">
        <f>'G-2 Habitat groups'!$AL$27</f>
        <v>0</v>
      </c>
      <c r="E65" s="471">
        <f>'G-2 Habitat groups'!$AM$27</f>
        <v>0</v>
      </c>
      <c r="F65" s="471">
        <f>'G-2 Habitat groups'!$AN$27</f>
        <v>0</v>
      </c>
      <c r="G65" s="471">
        <f t="shared" si="3"/>
        <v>0</v>
      </c>
      <c r="H65" s="472">
        <f t="shared" si="4"/>
        <v>0</v>
      </c>
      <c r="I65" s="476"/>
      <c r="J65" s="476"/>
    </row>
    <row r="66" spans="1:10" ht="15.6" x14ac:dyDescent="0.25">
      <c r="A66" s="1344"/>
      <c r="B66" s="483" t="s">
        <v>87</v>
      </c>
      <c r="C66" s="471">
        <f>'G-2 Habitat groups'!$AK$28</f>
        <v>0</v>
      </c>
      <c r="D66" s="471">
        <f>'G-2 Habitat groups'!$AL$28</f>
        <v>0</v>
      </c>
      <c r="E66" s="471">
        <f>'G-2 Habitat groups'!$AM$28</f>
        <v>0</v>
      </c>
      <c r="F66" s="471">
        <f>'G-2 Habitat groups'!$AN$28</f>
        <v>0</v>
      </c>
      <c r="G66" s="471">
        <f t="shared" si="3"/>
        <v>0</v>
      </c>
      <c r="H66" s="472">
        <f t="shared" si="4"/>
        <v>0</v>
      </c>
      <c r="I66" s="476"/>
      <c r="J66" s="476"/>
    </row>
    <row r="67" spans="1:10" ht="15.75" customHeight="1" x14ac:dyDescent="0.25">
      <c r="A67" s="1344"/>
      <c r="B67" s="484" t="s">
        <v>105</v>
      </c>
      <c r="C67" s="471">
        <f>'G-2 Habitat groups'!$AK$29</f>
        <v>0</v>
      </c>
      <c r="D67" s="471">
        <f>'G-2 Habitat groups'!$AL$29</f>
        <v>0</v>
      </c>
      <c r="E67" s="471">
        <f>'G-2 Habitat groups'!$AM$29</f>
        <v>0</v>
      </c>
      <c r="F67" s="471">
        <f>'G-2 Habitat groups'!$AN$29</f>
        <v>0</v>
      </c>
      <c r="G67" s="471">
        <f t="shared" si="3"/>
        <v>0</v>
      </c>
      <c r="H67" s="472">
        <f t="shared" si="4"/>
        <v>0</v>
      </c>
      <c r="I67" s="476"/>
      <c r="J67" s="476"/>
    </row>
    <row r="68" spans="1:10" ht="15.75" customHeight="1" x14ac:dyDescent="0.25">
      <c r="A68" s="1344"/>
      <c r="B68" s="484" t="s">
        <v>214</v>
      </c>
      <c r="C68" s="471">
        <f>'G-2 Habitat groups'!$AK$30</f>
        <v>0</v>
      </c>
      <c r="D68" s="471">
        <f>'G-2 Habitat groups'!$AL$30</f>
        <v>0</v>
      </c>
      <c r="E68" s="471">
        <f>'G-2 Habitat groups'!$AM$30</f>
        <v>0</v>
      </c>
      <c r="F68" s="471">
        <f>'G-2 Habitat groups'!$AN$30</f>
        <v>0</v>
      </c>
      <c r="G68" s="471">
        <f t="shared" si="3"/>
        <v>0</v>
      </c>
      <c r="H68" s="472">
        <f t="shared" si="4"/>
        <v>0</v>
      </c>
      <c r="I68" s="476"/>
      <c r="J68" s="476"/>
    </row>
    <row r="69" spans="1:10" ht="15.75" customHeight="1" x14ac:dyDescent="0.25">
      <c r="A69" s="1344"/>
      <c r="B69" s="484" t="s">
        <v>215</v>
      </c>
      <c r="C69" s="471">
        <f>'G-2 Habitat groups'!$AK$31</f>
        <v>0</v>
      </c>
      <c r="D69" s="471">
        <f>'G-2 Habitat groups'!$AL$31</f>
        <v>0</v>
      </c>
      <c r="E69" s="471">
        <f>'G-2 Habitat groups'!$AM$31</f>
        <v>0</v>
      </c>
      <c r="F69" s="471">
        <f>'G-2 Habitat groups'!$AN$31</f>
        <v>0</v>
      </c>
      <c r="G69" s="471">
        <f t="shared" si="3"/>
        <v>0</v>
      </c>
      <c r="H69" s="472">
        <f t="shared" si="4"/>
        <v>0</v>
      </c>
      <c r="I69" s="476"/>
      <c r="J69" s="476"/>
    </row>
    <row r="70" spans="1:10" ht="15.75" customHeight="1" x14ac:dyDescent="0.25">
      <c r="A70" s="1344"/>
      <c r="B70" s="484" t="s">
        <v>92</v>
      </c>
      <c r="C70" s="471">
        <f>'G-2 Habitat groups'!$AK$32</f>
        <v>0</v>
      </c>
      <c r="D70" s="471">
        <f>'G-2 Habitat groups'!$AL$32</f>
        <v>0</v>
      </c>
      <c r="E70" s="471">
        <f>'G-2 Habitat groups'!$AM$32</f>
        <v>0</v>
      </c>
      <c r="F70" s="471">
        <f>'G-2 Habitat groups'!$AN$32</f>
        <v>0</v>
      </c>
      <c r="G70" s="471">
        <f t="shared" si="3"/>
        <v>0</v>
      </c>
      <c r="H70" s="472">
        <f t="shared" si="4"/>
        <v>0</v>
      </c>
      <c r="I70" s="476"/>
      <c r="J70" s="476"/>
    </row>
    <row r="71" spans="1:10" ht="15.75" customHeight="1" x14ac:dyDescent="0.25">
      <c r="A71" s="1344"/>
      <c r="B71" s="484" t="s">
        <v>216</v>
      </c>
      <c r="C71" s="471">
        <f>'G-2 Habitat groups'!$AK$33</f>
        <v>0</v>
      </c>
      <c r="D71" s="471">
        <f>'G-2 Habitat groups'!$AL$33</f>
        <v>0</v>
      </c>
      <c r="E71" s="471">
        <f>'G-2 Habitat groups'!$AM$33</f>
        <v>0</v>
      </c>
      <c r="F71" s="471">
        <f>'G-2 Habitat groups'!$AN$33</f>
        <v>0</v>
      </c>
      <c r="G71" s="471">
        <f t="shared" ref="G71:H73" si="5">E71-C71</f>
        <v>0</v>
      </c>
      <c r="H71" s="472">
        <f t="shared" si="5"/>
        <v>0</v>
      </c>
      <c r="I71" s="476"/>
      <c r="J71" s="476"/>
    </row>
    <row r="72" spans="1:10" ht="15.75" customHeight="1" x14ac:dyDescent="0.25">
      <c r="A72" s="1344"/>
      <c r="B72" s="496" t="s">
        <v>217</v>
      </c>
      <c r="C72" s="471">
        <f>'G-2 Habitat groups'!$AK$35</f>
        <v>0.10489999999999999</v>
      </c>
      <c r="D72" s="471">
        <f>'G-2 Habitat groups'!$AL$35</f>
        <v>0</v>
      </c>
      <c r="E72" s="471">
        <f>'G-2 Habitat groups'!$AM$35</f>
        <v>0.10489999999999999</v>
      </c>
      <c r="F72" s="471">
        <f>'G-2 Habitat groups'!$AN$35</f>
        <v>0</v>
      </c>
      <c r="G72" s="471">
        <f t="shared" si="5"/>
        <v>0</v>
      </c>
      <c r="H72" s="472">
        <f t="shared" si="5"/>
        <v>0</v>
      </c>
      <c r="I72" s="476"/>
      <c r="J72" s="476"/>
    </row>
    <row r="73" spans="1:10" ht="15.75" customHeight="1" thickBot="1" x14ac:dyDescent="0.3">
      <c r="A73" s="1344"/>
      <c r="B73" s="485" t="s">
        <v>148</v>
      </c>
      <c r="C73" s="473">
        <f>'G-2 Habitat groups'!$AK$34</f>
        <v>0.19139999999999999</v>
      </c>
      <c r="D73" s="473">
        <f>'G-2 Habitat groups'!$AL$34</f>
        <v>2.4163799999999998</v>
      </c>
      <c r="E73" s="473">
        <f>'G-2 Habitat groups'!$AM$34</f>
        <v>0.3054</v>
      </c>
      <c r="F73" s="473">
        <f>'G-2 Habitat groups'!$AN$34</f>
        <v>2.7836080245904795</v>
      </c>
      <c r="G73" s="473">
        <f t="shared" si="5"/>
        <v>0.11400000000000002</v>
      </c>
      <c r="H73" s="474">
        <f t="shared" si="5"/>
        <v>0.36722802459047976</v>
      </c>
      <c r="I73" s="476"/>
      <c r="J73" s="476"/>
    </row>
    <row r="74" spans="1:10" ht="11.1" customHeight="1" thickBot="1" x14ac:dyDescent="0.3">
      <c r="A74" s="1344"/>
      <c r="B74" s="476"/>
      <c r="C74" s="476"/>
      <c r="D74" s="476"/>
      <c r="E74" s="476"/>
      <c r="F74" s="476"/>
      <c r="G74" s="476"/>
      <c r="H74" s="476"/>
      <c r="I74" s="476"/>
      <c r="J74" s="476"/>
    </row>
    <row r="75" spans="1:10" ht="18" thickBot="1" x14ac:dyDescent="0.35">
      <c r="A75" s="1344"/>
      <c r="B75" s="1265" t="s">
        <v>227</v>
      </c>
      <c r="C75" s="1265"/>
      <c r="D75" s="1265"/>
      <c r="E75" s="1265"/>
      <c r="F75" s="1265"/>
      <c r="G75" s="1265"/>
      <c r="H75" s="1265"/>
      <c r="I75" s="476"/>
      <c r="J75" s="476"/>
    </row>
    <row r="76" spans="1:10" ht="33.6" customHeight="1" thickBot="1" x14ac:dyDescent="0.3">
      <c r="A76" s="1344"/>
      <c r="B76" s="469"/>
      <c r="C76" s="1260" t="s">
        <v>201</v>
      </c>
      <c r="D76" s="1260"/>
      <c r="E76" s="1260" t="s">
        <v>228</v>
      </c>
      <c r="F76" s="1260"/>
      <c r="G76" s="1260" t="s">
        <v>229</v>
      </c>
      <c r="H76" s="1260"/>
      <c r="I76" s="476"/>
      <c r="J76" s="476"/>
    </row>
    <row r="77" spans="1:10" ht="45.6" customHeight="1" thickBot="1" x14ac:dyDescent="0.3">
      <c r="A77" s="1344"/>
      <c r="B77" s="478" t="s">
        <v>204</v>
      </c>
      <c r="C77" s="479" t="s">
        <v>230</v>
      </c>
      <c r="D77" s="479" t="s">
        <v>231</v>
      </c>
      <c r="E77" s="479" t="s">
        <v>232</v>
      </c>
      <c r="F77" s="479" t="s">
        <v>233</v>
      </c>
      <c r="G77" s="479" t="s">
        <v>234</v>
      </c>
      <c r="H77" s="479" t="s">
        <v>235</v>
      </c>
      <c r="I77" s="476"/>
      <c r="J77" s="476"/>
    </row>
    <row r="78" spans="1:10" ht="15.75" customHeight="1" x14ac:dyDescent="0.25">
      <c r="A78" s="1344"/>
      <c r="B78" s="480" t="s">
        <v>147</v>
      </c>
      <c r="C78" s="481">
        <f t="shared" ref="C78:H91" si="6">C39+C59</f>
        <v>0</v>
      </c>
      <c r="D78" s="481">
        <f t="shared" si="6"/>
        <v>0</v>
      </c>
      <c r="E78" s="481">
        <f t="shared" si="6"/>
        <v>0</v>
      </c>
      <c r="F78" s="481">
        <f t="shared" si="6"/>
        <v>0</v>
      </c>
      <c r="G78" s="481">
        <f t="shared" si="6"/>
        <v>0</v>
      </c>
      <c r="H78" s="482">
        <f t="shared" si="6"/>
        <v>0</v>
      </c>
      <c r="I78" s="476"/>
      <c r="J78" s="476"/>
    </row>
    <row r="79" spans="1:10" ht="15.75" customHeight="1" x14ac:dyDescent="0.25">
      <c r="A79" s="1344"/>
      <c r="B79" s="483" t="s">
        <v>78</v>
      </c>
      <c r="C79" s="471">
        <f t="shared" si="6"/>
        <v>0.7177</v>
      </c>
      <c r="D79" s="471">
        <f t="shared" si="6"/>
        <v>2.2188099999999995</v>
      </c>
      <c r="E79" s="471">
        <f t="shared" si="6"/>
        <v>0.3</v>
      </c>
      <c r="F79" s="471">
        <f t="shared" si="6"/>
        <v>1.9460907526050755</v>
      </c>
      <c r="G79" s="471">
        <f t="shared" si="6"/>
        <v>-0.41770000000000002</v>
      </c>
      <c r="H79" s="472">
        <f t="shared" si="6"/>
        <v>-0.27271924739492415</v>
      </c>
      <c r="I79" s="476"/>
      <c r="J79" s="476"/>
    </row>
    <row r="80" spans="1:10" ht="15.75" customHeight="1" x14ac:dyDescent="0.25">
      <c r="A80" s="1344"/>
      <c r="B80" s="483" t="s">
        <v>116</v>
      </c>
      <c r="C80" s="471">
        <f t="shared" si="6"/>
        <v>0</v>
      </c>
      <c r="D80" s="471">
        <f t="shared" si="6"/>
        <v>0</v>
      </c>
      <c r="E80" s="471">
        <f t="shared" si="6"/>
        <v>0.22409999999999999</v>
      </c>
      <c r="F80" s="471">
        <f t="shared" si="6"/>
        <v>1.2320982430737104</v>
      </c>
      <c r="G80" s="471">
        <f t="shared" si="6"/>
        <v>0.22409999999999999</v>
      </c>
      <c r="H80" s="472">
        <f t="shared" si="6"/>
        <v>1.2320982430737104</v>
      </c>
      <c r="I80" s="476"/>
      <c r="J80" s="476"/>
    </row>
    <row r="81" spans="1:10" ht="15.75" customHeight="1" x14ac:dyDescent="0.25">
      <c r="A81" s="1344"/>
      <c r="B81" s="483" t="s">
        <v>72</v>
      </c>
      <c r="C81" s="471">
        <f t="shared" si="6"/>
        <v>0</v>
      </c>
      <c r="D81" s="471">
        <f t="shared" si="6"/>
        <v>0</v>
      </c>
      <c r="E81" s="471">
        <f t="shared" si="6"/>
        <v>0</v>
      </c>
      <c r="F81" s="471">
        <f t="shared" si="6"/>
        <v>0</v>
      </c>
      <c r="G81" s="471">
        <f t="shared" si="6"/>
        <v>0</v>
      </c>
      <c r="H81" s="472">
        <f t="shared" si="6"/>
        <v>0</v>
      </c>
      <c r="I81" s="476"/>
      <c r="J81" s="476"/>
    </row>
    <row r="82" spans="1:10" ht="15.75" customHeight="1" x14ac:dyDescent="0.25">
      <c r="A82" s="1344"/>
      <c r="B82" s="483" t="s">
        <v>82</v>
      </c>
      <c r="C82" s="471">
        <f t="shared" si="6"/>
        <v>8.7999999999999995E-2</v>
      </c>
      <c r="D82" s="471">
        <f t="shared" si="6"/>
        <v>0.20239999999999997</v>
      </c>
      <c r="E82" s="471">
        <f t="shared" si="6"/>
        <v>3.3500000000000002E-2</v>
      </c>
      <c r="F82" s="471">
        <f t="shared" si="6"/>
        <v>7.7049999999999993E-2</v>
      </c>
      <c r="G82" s="471">
        <f t="shared" si="6"/>
        <v>-5.45E-2</v>
      </c>
      <c r="H82" s="472">
        <f t="shared" si="6"/>
        <v>-0.12534999999999999</v>
      </c>
      <c r="I82" s="476"/>
      <c r="J82" s="476"/>
    </row>
    <row r="83" spans="1:10" ht="15.75" customHeight="1" x14ac:dyDescent="0.25">
      <c r="A83" s="1344"/>
      <c r="B83" s="483" t="s">
        <v>120</v>
      </c>
      <c r="C83" s="471">
        <f t="shared" si="6"/>
        <v>0.1552</v>
      </c>
      <c r="D83" s="471">
        <f t="shared" si="6"/>
        <v>0.25391999999999998</v>
      </c>
      <c r="E83" s="471">
        <f t="shared" si="6"/>
        <v>0.40330000000000005</v>
      </c>
      <c r="F83" s="471">
        <f t="shared" si="6"/>
        <v>0.20872833862249998</v>
      </c>
      <c r="G83" s="471">
        <f t="shared" si="6"/>
        <v>0.24810000000000004</v>
      </c>
      <c r="H83" s="472">
        <f t="shared" si="6"/>
        <v>-4.5191661377500011E-2</v>
      </c>
      <c r="I83" s="476"/>
      <c r="J83" s="476"/>
    </row>
    <row r="84" spans="1:10" ht="15.75" customHeight="1" x14ac:dyDescent="0.25">
      <c r="A84" s="1344"/>
      <c r="B84" s="483" t="s">
        <v>123</v>
      </c>
      <c r="C84" s="471">
        <f t="shared" si="6"/>
        <v>0</v>
      </c>
      <c r="D84" s="471">
        <f t="shared" si="6"/>
        <v>0</v>
      </c>
      <c r="E84" s="471">
        <f t="shared" si="6"/>
        <v>0</v>
      </c>
      <c r="F84" s="471">
        <f t="shared" si="6"/>
        <v>0</v>
      </c>
      <c r="G84" s="471">
        <f t="shared" si="6"/>
        <v>0</v>
      </c>
      <c r="H84" s="472">
        <f t="shared" si="6"/>
        <v>0</v>
      </c>
      <c r="I84" s="476"/>
      <c r="J84" s="476"/>
    </row>
    <row r="85" spans="1:10" ht="18" customHeight="1" x14ac:dyDescent="0.25">
      <c r="A85" s="1344"/>
      <c r="B85" s="483" t="s">
        <v>87</v>
      </c>
      <c r="C85" s="471">
        <f t="shared" si="6"/>
        <v>0</v>
      </c>
      <c r="D85" s="471">
        <f t="shared" si="6"/>
        <v>0</v>
      </c>
      <c r="E85" s="471">
        <f t="shared" si="6"/>
        <v>0</v>
      </c>
      <c r="F85" s="471">
        <f t="shared" si="6"/>
        <v>0</v>
      </c>
      <c r="G85" s="471">
        <f t="shared" si="6"/>
        <v>0</v>
      </c>
      <c r="H85" s="472">
        <f t="shared" si="6"/>
        <v>0</v>
      </c>
      <c r="I85" s="476"/>
      <c r="J85" s="476"/>
    </row>
    <row r="86" spans="1:10" ht="15.6" x14ac:dyDescent="0.25">
      <c r="A86" s="1344"/>
      <c r="B86" s="484" t="s">
        <v>105</v>
      </c>
      <c r="C86" s="471">
        <f t="shared" si="6"/>
        <v>0</v>
      </c>
      <c r="D86" s="471">
        <f t="shared" si="6"/>
        <v>0</v>
      </c>
      <c r="E86" s="471">
        <f t="shared" si="6"/>
        <v>0</v>
      </c>
      <c r="F86" s="471">
        <f t="shared" si="6"/>
        <v>0</v>
      </c>
      <c r="G86" s="471">
        <f t="shared" si="6"/>
        <v>0</v>
      </c>
      <c r="H86" s="472">
        <f t="shared" si="6"/>
        <v>0</v>
      </c>
      <c r="I86" s="476"/>
      <c r="J86" s="476"/>
    </row>
    <row r="87" spans="1:10" ht="15.6" x14ac:dyDescent="0.25">
      <c r="A87" s="1344"/>
      <c r="B87" s="484" t="s">
        <v>214</v>
      </c>
      <c r="C87" s="471">
        <f t="shared" si="6"/>
        <v>0</v>
      </c>
      <c r="D87" s="471">
        <f t="shared" si="6"/>
        <v>0</v>
      </c>
      <c r="E87" s="471">
        <f t="shared" si="6"/>
        <v>0</v>
      </c>
      <c r="F87" s="471">
        <f t="shared" si="6"/>
        <v>0</v>
      </c>
      <c r="G87" s="471">
        <f t="shared" si="6"/>
        <v>0</v>
      </c>
      <c r="H87" s="472">
        <f t="shared" si="6"/>
        <v>0</v>
      </c>
      <c r="I87" s="476"/>
      <c r="J87" s="476"/>
    </row>
    <row r="88" spans="1:10" ht="15.6" x14ac:dyDescent="0.25">
      <c r="A88" s="1344"/>
      <c r="B88" s="484" t="s">
        <v>215</v>
      </c>
      <c r="C88" s="471">
        <f t="shared" si="6"/>
        <v>0</v>
      </c>
      <c r="D88" s="471">
        <f t="shared" si="6"/>
        <v>0</v>
      </c>
      <c r="E88" s="471">
        <f t="shared" si="6"/>
        <v>0</v>
      </c>
      <c r="F88" s="471">
        <f t="shared" si="6"/>
        <v>0</v>
      </c>
      <c r="G88" s="471">
        <f t="shared" si="6"/>
        <v>0</v>
      </c>
      <c r="H88" s="472">
        <f t="shared" si="6"/>
        <v>0</v>
      </c>
      <c r="I88" s="476"/>
      <c r="J88" s="476"/>
    </row>
    <row r="89" spans="1:10" ht="15.6" x14ac:dyDescent="0.25">
      <c r="A89" s="1344"/>
      <c r="B89" s="484" t="s">
        <v>92</v>
      </c>
      <c r="C89" s="471">
        <f t="shared" si="6"/>
        <v>0</v>
      </c>
      <c r="D89" s="471">
        <f t="shared" si="6"/>
        <v>0</v>
      </c>
      <c r="E89" s="471">
        <f t="shared" si="6"/>
        <v>0</v>
      </c>
      <c r="F89" s="471">
        <f t="shared" si="6"/>
        <v>0</v>
      </c>
      <c r="G89" s="471">
        <f t="shared" si="6"/>
        <v>0</v>
      </c>
      <c r="H89" s="472">
        <f t="shared" si="6"/>
        <v>0</v>
      </c>
      <c r="I89" s="476"/>
      <c r="J89" s="476"/>
    </row>
    <row r="90" spans="1:10" ht="15.6" x14ac:dyDescent="0.25">
      <c r="A90" s="1344"/>
      <c r="B90" s="484" t="s">
        <v>216</v>
      </c>
      <c r="C90" s="471">
        <f t="shared" si="6"/>
        <v>0</v>
      </c>
      <c r="D90" s="471">
        <f t="shared" si="6"/>
        <v>0</v>
      </c>
      <c r="E90" s="471">
        <f t="shared" si="6"/>
        <v>0</v>
      </c>
      <c r="F90" s="471">
        <f t="shared" si="6"/>
        <v>0</v>
      </c>
      <c r="G90" s="471">
        <f t="shared" si="6"/>
        <v>0</v>
      </c>
      <c r="H90" s="472">
        <f t="shared" si="6"/>
        <v>0</v>
      </c>
      <c r="I90" s="476"/>
      <c r="J90" s="476"/>
    </row>
    <row r="91" spans="1:10" ht="16.2" customHeight="1" x14ac:dyDescent="0.25">
      <c r="A91" s="1344"/>
      <c r="B91" s="496" t="s">
        <v>217</v>
      </c>
      <c r="C91" s="471">
        <f t="shared" si="6"/>
        <v>0.10489999999999999</v>
      </c>
      <c r="D91" s="471">
        <f t="shared" si="6"/>
        <v>0</v>
      </c>
      <c r="E91" s="471">
        <f t="shared" si="6"/>
        <v>0.10489999999999999</v>
      </c>
      <c r="F91" s="471">
        <f t="shared" si="6"/>
        <v>0</v>
      </c>
      <c r="G91" s="471">
        <f t="shared" si="6"/>
        <v>0</v>
      </c>
      <c r="H91" s="472">
        <f t="shared" si="6"/>
        <v>0</v>
      </c>
      <c r="I91" s="476"/>
      <c r="J91" s="476"/>
    </row>
    <row r="92" spans="1:10" s="486" customFormat="1" ht="15" customHeight="1" thickBot="1" x14ac:dyDescent="0.3">
      <c r="A92" s="1345"/>
      <c r="B92" s="495" t="s">
        <v>148</v>
      </c>
      <c r="C92" s="473">
        <f t="shared" ref="C92:H92" si="7">C53+C73</f>
        <v>0.29730000000000001</v>
      </c>
      <c r="D92" s="473">
        <f t="shared" si="7"/>
        <v>3.3906599999999996</v>
      </c>
      <c r="E92" s="473">
        <f t="shared" si="7"/>
        <v>0.45197361829251864</v>
      </c>
      <c r="F92" s="473">
        <f t="shared" si="7"/>
        <v>3.4450183895186548</v>
      </c>
      <c r="G92" s="473">
        <f t="shared" si="7"/>
        <v>0.15467361829251866</v>
      </c>
      <c r="H92" s="474">
        <f t="shared" si="7"/>
        <v>5.4358389518655237E-2</v>
      </c>
    </row>
    <row r="93" spans="1:10" ht="38.1" customHeight="1" thickTop="1" thickBot="1" x14ac:dyDescent="0.3">
      <c r="A93" s="1346" t="s">
        <v>236</v>
      </c>
    </row>
    <row r="94" spans="1:10" ht="25.8" thickBot="1" x14ac:dyDescent="0.5">
      <c r="A94" s="1347"/>
      <c r="B94" s="1266" t="s">
        <v>237</v>
      </c>
      <c r="C94" s="1267"/>
      <c r="D94" s="1268"/>
    </row>
    <row r="95" spans="1:10" x14ac:dyDescent="0.25">
      <c r="A95" s="1347"/>
    </row>
    <row r="96" spans="1:10" ht="15" customHeight="1" thickBot="1" x14ac:dyDescent="0.3">
      <c r="A96" s="1347"/>
    </row>
    <row r="97" spans="1:12" ht="28.5" customHeight="1" thickBot="1" x14ac:dyDescent="0.3">
      <c r="A97" s="1347"/>
      <c r="B97" s="1351" t="s">
        <v>238</v>
      </c>
      <c r="C97" s="1351"/>
      <c r="D97" s="1351"/>
      <c r="E97" s="1351"/>
      <c r="F97" s="1351"/>
      <c r="G97" s="1351"/>
      <c r="H97" s="1351"/>
      <c r="J97" s="1279" t="s">
        <v>239</v>
      </c>
      <c r="K97" s="1280"/>
      <c r="L97" s="1281"/>
    </row>
    <row r="98" spans="1:12" ht="36.6" customHeight="1" thickBot="1" x14ac:dyDescent="0.3">
      <c r="A98" s="1347"/>
      <c r="B98" s="469"/>
      <c r="C98" s="1260" t="s">
        <v>201</v>
      </c>
      <c r="D98" s="1260"/>
      <c r="E98" s="1260" t="s">
        <v>202</v>
      </c>
      <c r="F98" s="1260"/>
      <c r="G98" s="1260" t="s">
        <v>203</v>
      </c>
      <c r="H98" s="1260"/>
      <c r="J98" s="1282"/>
      <c r="K98" s="1283"/>
      <c r="L98" s="1284"/>
    </row>
    <row r="99" spans="1:12" ht="47.4" thickBot="1" x14ac:dyDescent="0.3">
      <c r="A99" s="1347"/>
      <c r="B99" s="976" t="s">
        <v>240</v>
      </c>
      <c r="C99" s="469" t="s">
        <v>241</v>
      </c>
      <c r="D99" s="469" t="s">
        <v>206</v>
      </c>
      <c r="E99" s="469" t="s">
        <v>242</v>
      </c>
      <c r="F99" s="469" t="s">
        <v>208</v>
      </c>
      <c r="G99" s="469" t="s">
        <v>243</v>
      </c>
      <c r="H99" s="469" t="s">
        <v>210</v>
      </c>
      <c r="J99" s="1269" t="s">
        <v>211</v>
      </c>
      <c r="K99" s="1287" t="s">
        <v>244</v>
      </c>
      <c r="L99" s="1289" t="s">
        <v>245</v>
      </c>
    </row>
    <row r="100" spans="1:12" ht="15.6" x14ac:dyDescent="0.25">
      <c r="A100" s="1347"/>
      <c r="B100" s="487" t="s">
        <v>246</v>
      </c>
      <c r="C100" s="470">
        <f>'G-2 Habitat groups'!E150</f>
        <v>0</v>
      </c>
      <c r="D100" s="470">
        <f>'G-2 Habitat groups'!F150</f>
        <v>0</v>
      </c>
      <c r="E100" s="470">
        <f>'G-2 Habitat groups'!O150</f>
        <v>0</v>
      </c>
      <c r="F100" s="470">
        <f>'G-2 Habitat groups'!P150</f>
        <v>0</v>
      </c>
      <c r="G100" s="470">
        <f>E100-C100</f>
        <v>0</v>
      </c>
      <c r="H100" s="980">
        <f t="shared" ref="H100:H112" si="8">F100-D100</f>
        <v>0</v>
      </c>
      <c r="J100" s="1270"/>
      <c r="K100" s="1288"/>
      <c r="L100" s="1290"/>
    </row>
    <row r="101" spans="1:12" ht="15.6" x14ac:dyDescent="0.25">
      <c r="A101" s="1347"/>
      <c r="B101" s="488" t="s">
        <v>247</v>
      </c>
      <c r="C101" s="470">
        <f>'G-2 Habitat groups'!E151</f>
        <v>0</v>
      </c>
      <c r="D101" s="470">
        <f>'G-2 Habitat groups'!F151</f>
        <v>0</v>
      </c>
      <c r="E101" s="470">
        <f>'G-2 Habitat groups'!O151</f>
        <v>0</v>
      </c>
      <c r="F101" s="470">
        <f>'G-2 Habitat groups'!P151</f>
        <v>0</v>
      </c>
      <c r="G101" s="470">
        <f t="shared" ref="G101:G112" si="9">E101-C101</f>
        <v>0</v>
      </c>
      <c r="H101" s="980">
        <f t="shared" si="8"/>
        <v>0</v>
      </c>
      <c r="J101" s="1263" t="str">
        <f>'G-1 All Habitats'!$V$3</f>
        <v>V.High</v>
      </c>
      <c r="K101" s="1272">
        <f>SUMIF('B-1 On-Site Hedge Baseline'!$F$10:$F$257,'Detailed Results'!J101,'B-1 On-Site Hedge Baseline'!$T$10:$T$257)+SUMIF('E-1 Off-Site Hedge Baseline'!$F$10:$F$257,'Detailed Results'!J101,'E-1 Off-Site Hedge Baseline'!$W$10:$W$257)</f>
        <v>0</v>
      </c>
      <c r="L101" s="1261" t="str">
        <f>IF(K101=0,"",(K101/(SUM($K$101:$K$110)))*100)</f>
        <v/>
      </c>
    </row>
    <row r="102" spans="1:12" ht="15.6" x14ac:dyDescent="0.25">
      <c r="A102" s="1347"/>
      <c r="B102" s="488" t="s">
        <v>248</v>
      </c>
      <c r="C102" s="470">
        <f>'G-2 Habitat groups'!E152</f>
        <v>0</v>
      </c>
      <c r="D102" s="470">
        <f>'G-2 Habitat groups'!F152</f>
        <v>0</v>
      </c>
      <c r="E102" s="470">
        <f>'G-2 Habitat groups'!O152</f>
        <v>0</v>
      </c>
      <c r="F102" s="470">
        <f>'G-2 Habitat groups'!P152</f>
        <v>0</v>
      </c>
      <c r="G102" s="470">
        <f t="shared" si="9"/>
        <v>0</v>
      </c>
      <c r="H102" s="980">
        <f t="shared" si="8"/>
        <v>0</v>
      </c>
      <c r="J102" s="1264"/>
      <c r="K102" s="1332"/>
      <c r="L102" s="1262"/>
    </row>
    <row r="103" spans="1:12" ht="15.6" x14ac:dyDescent="0.25">
      <c r="A103" s="1347"/>
      <c r="B103" s="488" t="s">
        <v>249</v>
      </c>
      <c r="C103" s="470">
        <f>'G-2 Habitat groups'!E153</f>
        <v>0</v>
      </c>
      <c r="D103" s="470">
        <f>'G-2 Habitat groups'!F153</f>
        <v>0</v>
      </c>
      <c r="E103" s="470">
        <f>'G-2 Habitat groups'!O153</f>
        <v>0</v>
      </c>
      <c r="F103" s="470">
        <f>'G-2 Habitat groups'!P153</f>
        <v>0</v>
      </c>
      <c r="G103" s="470">
        <f t="shared" si="9"/>
        <v>0</v>
      </c>
      <c r="H103" s="980">
        <f t="shared" si="8"/>
        <v>0</v>
      </c>
      <c r="J103" s="1263" t="str">
        <f>'G-1 All Habitats'!$V$4</f>
        <v>High</v>
      </c>
      <c r="K103" s="1272">
        <f>SUMIF('B-1 On-Site Hedge Baseline'!$F$10:$F$257,'Detailed Results'!J103,'B-1 On-Site Hedge Baseline'!$T$10:$T$257)+SUMIF('E-1 Off-Site Hedge Baseline'!$F$10:$F$257,'Detailed Results'!J103,'E-1 Off-Site Hedge Baseline'!$W$10:$W$257)</f>
        <v>0</v>
      </c>
      <c r="L103" s="1261" t="str">
        <f>IF(K103=0,"",(K103/(SUM($K$101:$K$110)))*100)</f>
        <v/>
      </c>
    </row>
    <row r="104" spans="1:12" ht="15.6" x14ac:dyDescent="0.25">
      <c r="A104" s="1347"/>
      <c r="B104" s="488" t="s">
        <v>250</v>
      </c>
      <c r="C104" s="470">
        <f>'G-2 Habitat groups'!E154</f>
        <v>0</v>
      </c>
      <c r="D104" s="470">
        <f>'G-2 Habitat groups'!F154</f>
        <v>0</v>
      </c>
      <c r="E104" s="470">
        <f>'G-2 Habitat groups'!O154</f>
        <v>0</v>
      </c>
      <c r="F104" s="470">
        <f>'G-2 Habitat groups'!P154</f>
        <v>0</v>
      </c>
      <c r="G104" s="470">
        <f t="shared" si="9"/>
        <v>0</v>
      </c>
      <c r="H104" s="980">
        <f t="shared" si="8"/>
        <v>0</v>
      </c>
      <c r="J104" s="1264"/>
      <c r="K104" s="1332"/>
      <c r="L104" s="1262"/>
    </row>
    <row r="105" spans="1:12" ht="15.6" x14ac:dyDescent="0.25">
      <c r="A105" s="1347"/>
      <c r="B105" s="488" t="s">
        <v>251</v>
      </c>
      <c r="C105" s="470">
        <f>'G-2 Habitat groups'!E155</f>
        <v>0</v>
      </c>
      <c r="D105" s="470">
        <f>'G-2 Habitat groups'!F155</f>
        <v>0</v>
      </c>
      <c r="E105" s="470">
        <f>'G-2 Habitat groups'!O155</f>
        <v>0</v>
      </c>
      <c r="F105" s="470">
        <f>'G-2 Habitat groups'!P155</f>
        <v>0</v>
      </c>
      <c r="G105" s="470">
        <f t="shared" si="9"/>
        <v>0</v>
      </c>
      <c r="H105" s="980">
        <f t="shared" si="8"/>
        <v>0</v>
      </c>
      <c r="J105" s="1263" t="str">
        <f>'G-1 All Habitats'!$V$5</f>
        <v>Medium</v>
      </c>
      <c r="K105" s="1272">
        <f>SUMIF('B-1 On-Site Hedge Baseline'!$F$10:$F$257,'Detailed Results'!J105,'B-1 On-Site Hedge Baseline'!$T$10:$T$257)+SUMIF('E-1 Off-Site Hedge Baseline'!$F$10:$F$257,'Detailed Results'!J105,'E-1 Off-Site Hedge Baseline'!$W$10:$W$257)</f>
        <v>0</v>
      </c>
      <c r="L105" s="1261" t="str">
        <f>IF(K105=0,"",(K105/(SUM($K$101:$K$110)))*100)</f>
        <v/>
      </c>
    </row>
    <row r="106" spans="1:12" ht="15.6" x14ac:dyDescent="0.25">
      <c r="A106" s="1347"/>
      <c r="B106" s="488" t="s">
        <v>252</v>
      </c>
      <c r="C106" s="470">
        <f>'G-2 Habitat groups'!E156</f>
        <v>0</v>
      </c>
      <c r="D106" s="470">
        <f>'G-2 Habitat groups'!F156</f>
        <v>0</v>
      </c>
      <c r="E106" s="470">
        <f>'G-2 Habitat groups'!O156</f>
        <v>0</v>
      </c>
      <c r="F106" s="470">
        <f>'G-2 Habitat groups'!P156</f>
        <v>0</v>
      </c>
      <c r="G106" s="470">
        <f t="shared" si="9"/>
        <v>0</v>
      </c>
      <c r="H106" s="980">
        <f t="shared" si="8"/>
        <v>0</v>
      </c>
      <c r="J106" s="1264"/>
      <c r="K106" s="1332"/>
      <c r="L106" s="1262"/>
    </row>
    <row r="107" spans="1:12" ht="15.6" x14ac:dyDescent="0.25">
      <c r="A107" s="1347"/>
      <c r="B107" s="489" t="s">
        <v>253</v>
      </c>
      <c r="C107" s="470">
        <f>'G-2 Habitat groups'!E157</f>
        <v>0</v>
      </c>
      <c r="D107" s="470">
        <f>'G-2 Habitat groups'!F157</f>
        <v>0</v>
      </c>
      <c r="E107" s="470">
        <f>'G-2 Habitat groups'!O157</f>
        <v>0</v>
      </c>
      <c r="F107" s="470">
        <f>'G-2 Habitat groups'!P157</f>
        <v>0</v>
      </c>
      <c r="G107" s="470">
        <f t="shared" si="9"/>
        <v>0</v>
      </c>
      <c r="H107" s="980">
        <f t="shared" si="8"/>
        <v>0</v>
      </c>
      <c r="J107" s="1263" t="str">
        <f>'G-1 All Habitats'!$V$6</f>
        <v>Low</v>
      </c>
      <c r="K107" s="1272">
        <f>SUMIF('B-1 On-Site Hedge Baseline'!$F$10:$F$257,'Detailed Results'!J107,'B-1 On-Site Hedge Baseline'!$T$10:$T$257)+SUMIF('E-1 Off-Site Hedge Baseline'!$F$10:$F$257,'Detailed Results'!J107,'E-1 Off-Site Hedge Baseline'!$W$10:$W$257)</f>
        <v>0</v>
      </c>
      <c r="L107" s="1261" t="str">
        <f>IF(K107=0,"",(K107/(SUM($K$101:$K$110)))*100)</f>
        <v/>
      </c>
    </row>
    <row r="108" spans="1:12" ht="15.6" x14ac:dyDescent="0.25">
      <c r="A108" s="1347"/>
      <c r="B108" s="981" t="s">
        <v>254</v>
      </c>
      <c r="C108" s="470">
        <f>'G-2 Habitat groups'!E158</f>
        <v>0</v>
      </c>
      <c r="D108" s="470">
        <f>'G-2 Habitat groups'!F158</f>
        <v>0</v>
      </c>
      <c r="E108" s="470">
        <f>'G-2 Habitat groups'!O158</f>
        <v>0</v>
      </c>
      <c r="F108" s="470">
        <f>'G-2 Habitat groups'!P158</f>
        <v>0</v>
      </c>
      <c r="G108" s="470">
        <f t="shared" si="9"/>
        <v>0</v>
      </c>
      <c r="H108" s="980">
        <f t="shared" si="8"/>
        <v>0</v>
      </c>
      <c r="J108" s="1264"/>
      <c r="K108" s="1332"/>
      <c r="L108" s="1262"/>
    </row>
    <row r="109" spans="1:12" ht="15.6" x14ac:dyDescent="0.25">
      <c r="A109" s="1347"/>
      <c r="B109" s="981" t="s">
        <v>255</v>
      </c>
      <c r="C109" s="470">
        <f>'G-2 Habitat groups'!E159</f>
        <v>0.11</v>
      </c>
      <c r="D109" s="470">
        <f>'G-2 Habitat groups'!F159</f>
        <v>0.22</v>
      </c>
      <c r="E109" s="470">
        <f>'G-2 Habitat groups'!O159</f>
        <v>0.11</v>
      </c>
      <c r="F109" s="470">
        <f ca="1">'G-2 Habitat groups'!P159</f>
        <v>0.48035392762499995</v>
      </c>
      <c r="G109" s="470">
        <f t="shared" si="9"/>
        <v>0</v>
      </c>
      <c r="H109" s="980">
        <f t="shared" ca="1" si="8"/>
        <v>0.26035392762499998</v>
      </c>
      <c r="J109" s="1263" t="str">
        <f>'G-1 All Habitats'!$V$7</f>
        <v>V.Low</v>
      </c>
      <c r="K109" s="1272">
        <f>SUMIF('B-1 On-Site Hedge Baseline'!$F$10:$F$257,'Detailed Results'!J109,'B-1 On-Site Hedge Baseline'!$T$10:$T$257)+SUMIF('E-1 Off-Site Hedge Baseline'!$F$10:$F$257,'Detailed Results'!J109,'E-1 Off-Site Hedge Baseline'!$W$10:$W$257)</f>
        <v>1.2999999999999999E-2</v>
      </c>
      <c r="L109" s="1261">
        <f>IF(K109=0,"",(K109/(SUM($K$101:$K$110)))*100)</f>
        <v>100</v>
      </c>
    </row>
    <row r="110" spans="1:12" ht="16.2" thickBot="1" x14ac:dyDescent="0.3">
      <c r="A110" s="1347"/>
      <c r="B110" s="981" t="s">
        <v>256</v>
      </c>
      <c r="C110" s="470">
        <f>'G-2 Habitat groups'!E160</f>
        <v>0</v>
      </c>
      <c r="D110" s="470">
        <f>'G-2 Habitat groups'!F160</f>
        <v>0</v>
      </c>
      <c r="E110" s="470">
        <f>'G-2 Habitat groups'!O160</f>
        <v>0</v>
      </c>
      <c r="F110" s="470">
        <f>'G-2 Habitat groups'!P160</f>
        <v>0</v>
      </c>
      <c r="G110" s="470">
        <f t="shared" si="9"/>
        <v>0</v>
      </c>
      <c r="H110" s="980">
        <f t="shared" si="8"/>
        <v>0</v>
      </c>
      <c r="J110" s="1340"/>
      <c r="K110" s="1273"/>
      <c r="L110" s="1271"/>
    </row>
    <row r="111" spans="1:12" ht="15.6" x14ac:dyDescent="0.25">
      <c r="A111" s="1347"/>
      <c r="B111" s="981" t="s">
        <v>257</v>
      </c>
      <c r="C111" s="470">
        <f>'G-2 Habitat groups'!E161</f>
        <v>0</v>
      </c>
      <c r="D111" s="470">
        <f>'G-2 Habitat groups'!F161</f>
        <v>0</v>
      </c>
      <c r="E111" s="470">
        <f>'G-2 Habitat groups'!O161</f>
        <v>0</v>
      </c>
      <c r="F111" s="470">
        <f>'G-2 Habitat groups'!P161</f>
        <v>0</v>
      </c>
      <c r="G111" s="470">
        <f t="shared" si="9"/>
        <v>0</v>
      </c>
      <c r="H111" s="980">
        <f t="shared" si="8"/>
        <v>0</v>
      </c>
    </row>
    <row r="112" spans="1:12" ht="16.2" thickBot="1" x14ac:dyDescent="0.3">
      <c r="A112" s="1347"/>
      <c r="B112" s="982" t="s">
        <v>258</v>
      </c>
      <c r="C112" s="983">
        <f>'G-2 Habitat groups'!E162</f>
        <v>1.2999999999999999E-2</v>
      </c>
      <c r="D112" s="983">
        <f>'G-2 Habitat groups'!F162</f>
        <v>1.2999999999999999E-2</v>
      </c>
      <c r="E112" s="983">
        <f>'G-2 Habitat groups'!O162</f>
        <v>3.6999999999999998E-2</v>
      </c>
      <c r="F112" s="983">
        <f>'G-2 Habitat groups'!P162</f>
        <v>4.1060749999999993E-2</v>
      </c>
      <c r="G112" s="983">
        <f t="shared" si="9"/>
        <v>2.4E-2</v>
      </c>
      <c r="H112" s="984">
        <f t="shared" si="8"/>
        <v>2.8060749999999995E-2</v>
      </c>
    </row>
    <row r="113" spans="1:8" x14ac:dyDescent="0.25">
      <c r="A113" s="1347"/>
    </row>
    <row r="114" spans="1:8" x14ac:dyDescent="0.25">
      <c r="A114" s="1347"/>
    </row>
    <row r="115" spans="1:8" x14ac:dyDescent="0.25">
      <c r="A115" s="1347"/>
    </row>
    <row r="116" spans="1:8" ht="14.4" thickBot="1" x14ac:dyDescent="0.3">
      <c r="A116" s="1347"/>
    </row>
    <row r="117" spans="1:8" ht="18" thickBot="1" x14ac:dyDescent="0.35">
      <c r="A117" s="1347"/>
      <c r="B117" s="1265" t="s">
        <v>259</v>
      </c>
      <c r="C117" s="1265"/>
      <c r="D117" s="1265"/>
      <c r="E117" s="1265"/>
      <c r="F117" s="1265"/>
      <c r="G117" s="1265"/>
      <c r="H117" s="1265"/>
    </row>
    <row r="118" spans="1:8" ht="16.2" thickBot="1" x14ac:dyDescent="0.3">
      <c r="A118" s="1347"/>
      <c r="B118" s="469"/>
      <c r="C118" s="1260" t="s">
        <v>172</v>
      </c>
      <c r="D118" s="1260"/>
      <c r="E118" s="1260" t="s">
        <v>219</v>
      </c>
      <c r="F118" s="1260"/>
      <c r="G118" s="1260" t="s">
        <v>220</v>
      </c>
      <c r="H118" s="1260"/>
    </row>
    <row r="119" spans="1:8" ht="47.4" thickBot="1" x14ac:dyDescent="0.3">
      <c r="A119" s="1347"/>
      <c r="B119" s="976" t="s">
        <v>240</v>
      </c>
      <c r="C119" s="469" t="s">
        <v>260</v>
      </c>
      <c r="D119" s="469" t="s">
        <v>222</v>
      </c>
      <c r="E119" s="469" t="s">
        <v>261</v>
      </c>
      <c r="F119" s="469" t="s">
        <v>224</v>
      </c>
      <c r="G119" s="469" t="s">
        <v>262</v>
      </c>
      <c r="H119" s="469" t="s">
        <v>226</v>
      </c>
    </row>
    <row r="120" spans="1:8" ht="15.6" x14ac:dyDescent="0.25">
      <c r="A120" s="1347"/>
      <c r="B120" s="487" t="s">
        <v>246</v>
      </c>
      <c r="C120" s="470">
        <f>'G-2 Habitat groups'!S150</f>
        <v>0</v>
      </c>
      <c r="D120" s="470">
        <f>'G-2 Habitat groups'!T150</f>
        <v>0</v>
      </c>
      <c r="E120" s="470">
        <f>'G-2 Habitat groups'!AA150</f>
        <v>0</v>
      </c>
      <c r="F120" s="470">
        <f>'G-2 Habitat groups'!AB150</f>
        <v>0</v>
      </c>
      <c r="G120" s="470">
        <f t="shared" ref="G120:G132" si="10">E120-C120</f>
        <v>0</v>
      </c>
      <c r="H120" s="980">
        <f t="shared" ref="H120:H132" si="11">F120-D120</f>
        <v>0</v>
      </c>
    </row>
    <row r="121" spans="1:8" ht="15.6" x14ac:dyDescent="0.25">
      <c r="A121" s="1347"/>
      <c r="B121" s="488" t="s">
        <v>247</v>
      </c>
      <c r="C121" s="470">
        <f>'G-2 Habitat groups'!S151</f>
        <v>0</v>
      </c>
      <c r="D121" s="470">
        <f>'G-2 Habitat groups'!T151</f>
        <v>0</v>
      </c>
      <c r="E121" s="470">
        <f>'G-2 Habitat groups'!AA151</f>
        <v>0</v>
      </c>
      <c r="F121" s="470">
        <f>'G-2 Habitat groups'!AB151</f>
        <v>0</v>
      </c>
      <c r="G121" s="470">
        <f t="shared" si="10"/>
        <v>0</v>
      </c>
      <c r="H121" s="980">
        <f t="shared" si="11"/>
        <v>0</v>
      </c>
    </row>
    <row r="122" spans="1:8" ht="15.6" x14ac:dyDescent="0.25">
      <c r="A122" s="1347"/>
      <c r="B122" s="488" t="s">
        <v>248</v>
      </c>
      <c r="C122" s="470">
        <f>'G-2 Habitat groups'!S152</f>
        <v>0</v>
      </c>
      <c r="D122" s="470">
        <f>'G-2 Habitat groups'!T152</f>
        <v>0</v>
      </c>
      <c r="E122" s="470">
        <f>'G-2 Habitat groups'!AA152</f>
        <v>0</v>
      </c>
      <c r="F122" s="470">
        <f>'G-2 Habitat groups'!AB152</f>
        <v>0</v>
      </c>
      <c r="G122" s="470">
        <f t="shared" si="10"/>
        <v>0</v>
      </c>
      <c r="H122" s="980">
        <f t="shared" si="11"/>
        <v>0</v>
      </c>
    </row>
    <row r="123" spans="1:8" ht="15.6" x14ac:dyDescent="0.25">
      <c r="A123" s="1347"/>
      <c r="B123" s="488" t="s">
        <v>249</v>
      </c>
      <c r="C123" s="470">
        <f>'G-2 Habitat groups'!S153</f>
        <v>0</v>
      </c>
      <c r="D123" s="470">
        <f>'G-2 Habitat groups'!T153</f>
        <v>0</v>
      </c>
      <c r="E123" s="470">
        <f>'G-2 Habitat groups'!AA153</f>
        <v>0</v>
      </c>
      <c r="F123" s="470">
        <f>'G-2 Habitat groups'!AB153</f>
        <v>0</v>
      </c>
      <c r="G123" s="470">
        <f t="shared" si="10"/>
        <v>0</v>
      </c>
      <c r="H123" s="980">
        <f t="shared" si="11"/>
        <v>0</v>
      </c>
    </row>
    <row r="124" spans="1:8" ht="15.6" x14ac:dyDescent="0.25">
      <c r="A124" s="1347"/>
      <c r="B124" s="488" t="s">
        <v>250</v>
      </c>
      <c r="C124" s="470">
        <f>'G-2 Habitat groups'!S154</f>
        <v>0</v>
      </c>
      <c r="D124" s="470">
        <f>'G-2 Habitat groups'!T154</f>
        <v>0</v>
      </c>
      <c r="E124" s="470">
        <f>'G-2 Habitat groups'!AA154</f>
        <v>0</v>
      </c>
      <c r="F124" s="470">
        <f>'G-2 Habitat groups'!AB154</f>
        <v>0</v>
      </c>
      <c r="G124" s="470">
        <f t="shared" si="10"/>
        <v>0</v>
      </c>
      <c r="H124" s="980">
        <f t="shared" si="11"/>
        <v>0</v>
      </c>
    </row>
    <row r="125" spans="1:8" ht="15.6" x14ac:dyDescent="0.25">
      <c r="A125" s="1347"/>
      <c r="B125" s="488" t="s">
        <v>251</v>
      </c>
      <c r="C125" s="470">
        <f>'G-2 Habitat groups'!S155</f>
        <v>0</v>
      </c>
      <c r="D125" s="470">
        <f>'G-2 Habitat groups'!T155</f>
        <v>0</v>
      </c>
      <c r="E125" s="470">
        <f>'G-2 Habitat groups'!AA155</f>
        <v>0</v>
      </c>
      <c r="F125" s="470">
        <f>'G-2 Habitat groups'!AB155</f>
        <v>0</v>
      </c>
      <c r="G125" s="470">
        <f t="shared" si="10"/>
        <v>0</v>
      </c>
      <c r="H125" s="980">
        <f t="shared" si="11"/>
        <v>0</v>
      </c>
    </row>
    <row r="126" spans="1:8" ht="15.6" x14ac:dyDescent="0.25">
      <c r="A126" s="1347"/>
      <c r="B126" s="488" t="s">
        <v>252</v>
      </c>
      <c r="C126" s="470">
        <f>'G-2 Habitat groups'!S156</f>
        <v>0</v>
      </c>
      <c r="D126" s="470">
        <f>'G-2 Habitat groups'!T156</f>
        <v>0</v>
      </c>
      <c r="E126" s="470">
        <f>'G-2 Habitat groups'!AA156</f>
        <v>0</v>
      </c>
      <c r="F126" s="470">
        <f>'G-2 Habitat groups'!AB156</f>
        <v>0</v>
      </c>
      <c r="G126" s="470">
        <f t="shared" si="10"/>
        <v>0</v>
      </c>
      <c r="H126" s="980">
        <f t="shared" si="11"/>
        <v>0</v>
      </c>
    </row>
    <row r="127" spans="1:8" ht="15.6" x14ac:dyDescent="0.25">
      <c r="A127" s="1347"/>
      <c r="B127" s="489" t="s">
        <v>253</v>
      </c>
      <c r="C127" s="470">
        <f>'G-2 Habitat groups'!S157</f>
        <v>0</v>
      </c>
      <c r="D127" s="470">
        <f>'G-2 Habitat groups'!T157</f>
        <v>0</v>
      </c>
      <c r="E127" s="470">
        <f>'G-2 Habitat groups'!AA157</f>
        <v>0</v>
      </c>
      <c r="F127" s="470">
        <f>'G-2 Habitat groups'!AB157</f>
        <v>0</v>
      </c>
      <c r="G127" s="470">
        <f t="shared" si="10"/>
        <v>0</v>
      </c>
      <c r="H127" s="980">
        <f t="shared" si="11"/>
        <v>0</v>
      </c>
    </row>
    <row r="128" spans="1:8" ht="15.6" x14ac:dyDescent="0.25">
      <c r="A128" s="1347"/>
      <c r="B128" s="981" t="s">
        <v>254</v>
      </c>
      <c r="C128" s="470">
        <f>'G-2 Habitat groups'!S158</f>
        <v>0</v>
      </c>
      <c r="D128" s="470">
        <f>'G-2 Habitat groups'!T158</f>
        <v>0</v>
      </c>
      <c r="E128" s="470">
        <f>'G-2 Habitat groups'!AA158</f>
        <v>0</v>
      </c>
      <c r="F128" s="470">
        <f>'G-2 Habitat groups'!AB158</f>
        <v>0</v>
      </c>
      <c r="G128" s="470">
        <f t="shared" si="10"/>
        <v>0</v>
      </c>
      <c r="H128" s="980">
        <f t="shared" si="11"/>
        <v>0</v>
      </c>
    </row>
    <row r="129" spans="1:8" ht="15.6" x14ac:dyDescent="0.25">
      <c r="A129" s="1347"/>
      <c r="B129" s="981" t="s">
        <v>255</v>
      </c>
      <c r="C129" s="470">
        <f>'G-2 Habitat groups'!S159</f>
        <v>0</v>
      </c>
      <c r="D129" s="470">
        <f>'G-2 Habitat groups'!T159</f>
        <v>0</v>
      </c>
      <c r="E129" s="470">
        <f>'G-2 Habitat groups'!AA159</f>
        <v>0</v>
      </c>
      <c r="F129" s="470">
        <f>'G-2 Habitat groups'!AB159</f>
        <v>0</v>
      </c>
      <c r="G129" s="470">
        <f t="shared" si="10"/>
        <v>0</v>
      </c>
      <c r="H129" s="980">
        <f t="shared" si="11"/>
        <v>0</v>
      </c>
    </row>
    <row r="130" spans="1:8" ht="15.6" x14ac:dyDescent="0.25">
      <c r="A130" s="1347"/>
      <c r="B130" s="981" t="s">
        <v>256</v>
      </c>
      <c r="C130" s="470">
        <f>'G-2 Habitat groups'!S160</f>
        <v>0</v>
      </c>
      <c r="D130" s="470">
        <f>'G-2 Habitat groups'!T160</f>
        <v>0</v>
      </c>
      <c r="E130" s="470">
        <f>'G-2 Habitat groups'!AA160</f>
        <v>0</v>
      </c>
      <c r="F130" s="470">
        <f>'G-2 Habitat groups'!AB160</f>
        <v>0</v>
      </c>
      <c r="G130" s="470">
        <f t="shared" si="10"/>
        <v>0</v>
      </c>
      <c r="H130" s="980">
        <f t="shared" si="11"/>
        <v>0</v>
      </c>
    </row>
    <row r="131" spans="1:8" ht="15.6" x14ac:dyDescent="0.25">
      <c r="A131" s="1347"/>
      <c r="B131" s="981" t="s">
        <v>257</v>
      </c>
      <c r="C131" s="470">
        <f>'G-2 Habitat groups'!S161</f>
        <v>0</v>
      </c>
      <c r="D131" s="470">
        <f>'G-2 Habitat groups'!T161</f>
        <v>0</v>
      </c>
      <c r="E131" s="470">
        <f>'G-2 Habitat groups'!AA161</f>
        <v>0</v>
      </c>
      <c r="F131" s="470">
        <f>'G-2 Habitat groups'!AB161</f>
        <v>0</v>
      </c>
      <c r="G131" s="470">
        <f t="shared" si="10"/>
        <v>0</v>
      </c>
      <c r="H131" s="980">
        <f t="shared" si="11"/>
        <v>0</v>
      </c>
    </row>
    <row r="132" spans="1:8" ht="16.2" thickBot="1" x14ac:dyDescent="0.3">
      <c r="A132" s="1347"/>
      <c r="B132" s="982" t="s">
        <v>258</v>
      </c>
      <c r="C132" s="983">
        <f>'G-2 Habitat groups'!S162</f>
        <v>0</v>
      </c>
      <c r="D132" s="983">
        <f>'G-2 Habitat groups'!T162</f>
        <v>0</v>
      </c>
      <c r="E132" s="983">
        <f>'G-2 Habitat groups'!AA162</f>
        <v>0</v>
      </c>
      <c r="F132" s="983">
        <f>'G-2 Habitat groups'!AB162</f>
        <v>0</v>
      </c>
      <c r="G132" s="983">
        <f t="shared" si="10"/>
        <v>0</v>
      </c>
      <c r="H132" s="984">
        <f t="shared" si="11"/>
        <v>0</v>
      </c>
    </row>
    <row r="133" spans="1:8" x14ac:dyDescent="0.25">
      <c r="A133" s="1347"/>
      <c r="B133" s="476"/>
      <c r="C133" s="476"/>
    </row>
    <row r="134" spans="1:8" x14ac:dyDescent="0.25">
      <c r="A134" s="1347"/>
      <c r="B134" s="476"/>
      <c r="C134" s="476"/>
    </row>
    <row r="135" spans="1:8" x14ac:dyDescent="0.25">
      <c r="A135" s="1347"/>
      <c r="B135" s="476"/>
      <c r="C135" s="476"/>
    </row>
    <row r="136" spans="1:8" ht="14.4" thickBot="1" x14ac:dyDescent="0.3">
      <c r="A136" s="1347"/>
      <c r="B136" s="476"/>
      <c r="C136" s="476"/>
    </row>
    <row r="137" spans="1:8" ht="18" thickBot="1" x14ac:dyDescent="0.35">
      <c r="A137" s="1347"/>
      <c r="B137" s="1265" t="s">
        <v>263</v>
      </c>
      <c r="C137" s="1265"/>
      <c r="D137" s="1265"/>
      <c r="E137" s="1265"/>
      <c r="F137" s="1265"/>
      <c r="G137" s="1265"/>
      <c r="H137" s="1265"/>
    </row>
    <row r="138" spans="1:8" ht="16.2" thickBot="1" x14ac:dyDescent="0.3">
      <c r="A138" s="1347"/>
      <c r="B138" s="469"/>
      <c r="C138" s="1260" t="s">
        <v>201</v>
      </c>
      <c r="D138" s="1260"/>
      <c r="E138" s="1260" t="s">
        <v>264</v>
      </c>
      <c r="F138" s="1260"/>
      <c r="G138" s="1260" t="s">
        <v>265</v>
      </c>
      <c r="H138" s="1260"/>
    </row>
    <row r="139" spans="1:8" ht="47.4" thickBot="1" x14ac:dyDescent="0.3">
      <c r="A139" s="1347"/>
      <c r="B139" s="976" t="s">
        <v>240</v>
      </c>
      <c r="C139" s="469" t="s">
        <v>266</v>
      </c>
      <c r="D139" s="469" t="s">
        <v>231</v>
      </c>
      <c r="E139" s="469" t="s">
        <v>267</v>
      </c>
      <c r="F139" s="469" t="s">
        <v>233</v>
      </c>
      <c r="G139" s="469" t="s">
        <v>268</v>
      </c>
      <c r="H139" s="469" t="s">
        <v>235</v>
      </c>
    </row>
    <row r="140" spans="1:8" ht="15.6" x14ac:dyDescent="0.25">
      <c r="A140" s="1347"/>
      <c r="B140" s="487" t="s">
        <v>246</v>
      </c>
      <c r="C140" s="471">
        <f t="shared" ref="C140:H140" si="12">C100+C120</f>
        <v>0</v>
      </c>
      <c r="D140" s="471">
        <f t="shared" si="12"/>
        <v>0</v>
      </c>
      <c r="E140" s="471">
        <f t="shared" si="12"/>
        <v>0</v>
      </c>
      <c r="F140" s="471">
        <f t="shared" si="12"/>
        <v>0</v>
      </c>
      <c r="G140" s="471">
        <f t="shared" si="12"/>
        <v>0</v>
      </c>
      <c r="H140" s="472">
        <f t="shared" si="12"/>
        <v>0</v>
      </c>
    </row>
    <row r="141" spans="1:8" ht="15.6" x14ac:dyDescent="0.25">
      <c r="A141" s="1347"/>
      <c r="B141" s="488" t="s">
        <v>247</v>
      </c>
      <c r="C141" s="471">
        <f t="shared" ref="C141:H141" si="13">C101+C121</f>
        <v>0</v>
      </c>
      <c r="D141" s="471">
        <f t="shared" si="13"/>
        <v>0</v>
      </c>
      <c r="E141" s="471">
        <f t="shared" si="13"/>
        <v>0</v>
      </c>
      <c r="F141" s="471">
        <f t="shared" si="13"/>
        <v>0</v>
      </c>
      <c r="G141" s="471">
        <f t="shared" si="13"/>
        <v>0</v>
      </c>
      <c r="H141" s="472">
        <f t="shared" si="13"/>
        <v>0</v>
      </c>
    </row>
    <row r="142" spans="1:8" ht="15.6" x14ac:dyDescent="0.25">
      <c r="A142" s="1347"/>
      <c r="B142" s="488" t="s">
        <v>248</v>
      </c>
      <c r="C142" s="471">
        <f t="shared" ref="C142:H142" si="14">C102+C122</f>
        <v>0</v>
      </c>
      <c r="D142" s="471">
        <f t="shared" si="14"/>
        <v>0</v>
      </c>
      <c r="E142" s="471">
        <f t="shared" si="14"/>
        <v>0</v>
      </c>
      <c r="F142" s="471">
        <f t="shared" si="14"/>
        <v>0</v>
      </c>
      <c r="G142" s="471">
        <f t="shared" si="14"/>
        <v>0</v>
      </c>
      <c r="H142" s="472">
        <f t="shared" si="14"/>
        <v>0</v>
      </c>
    </row>
    <row r="143" spans="1:8" ht="15.6" x14ac:dyDescent="0.25">
      <c r="A143" s="1347"/>
      <c r="B143" s="488" t="s">
        <v>249</v>
      </c>
      <c r="C143" s="471">
        <f t="shared" ref="C143:H143" si="15">C103+C123</f>
        <v>0</v>
      </c>
      <c r="D143" s="471">
        <f t="shared" si="15"/>
        <v>0</v>
      </c>
      <c r="E143" s="471">
        <f t="shared" si="15"/>
        <v>0</v>
      </c>
      <c r="F143" s="471">
        <f t="shared" si="15"/>
        <v>0</v>
      </c>
      <c r="G143" s="471">
        <f t="shared" si="15"/>
        <v>0</v>
      </c>
      <c r="H143" s="472">
        <f t="shared" si="15"/>
        <v>0</v>
      </c>
    </row>
    <row r="144" spans="1:8" ht="15.6" x14ac:dyDescent="0.25">
      <c r="A144" s="1347"/>
      <c r="B144" s="488" t="s">
        <v>250</v>
      </c>
      <c r="C144" s="471">
        <f t="shared" ref="C144:H144" si="16">C104+C124</f>
        <v>0</v>
      </c>
      <c r="D144" s="471">
        <f t="shared" si="16"/>
        <v>0</v>
      </c>
      <c r="E144" s="471">
        <f t="shared" si="16"/>
        <v>0</v>
      </c>
      <c r="F144" s="471">
        <f t="shared" si="16"/>
        <v>0</v>
      </c>
      <c r="G144" s="471">
        <f t="shared" si="16"/>
        <v>0</v>
      </c>
      <c r="H144" s="472">
        <f t="shared" si="16"/>
        <v>0</v>
      </c>
    </row>
    <row r="145" spans="1:12" ht="15.6" x14ac:dyDescent="0.25">
      <c r="A145" s="1347"/>
      <c r="B145" s="488" t="s">
        <v>251</v>
      </c>
      <c r="C145" s="471">
        <f t="shared" ref="C145:H145" si="17">C105+C125</f>
        <v>0</v>
      </c>
      <c r="D145" s="471">
        <f t="shared" si="17"/>
        <v>0</v>
      </c>
      <c r="E145" s="471">
        <f t="shared" si="17"/>
        <v>0</v>
      </c>
      <c r="F145" s="471">
        <f t="shared" si="17"/>
        <v>0</v>
      </c>
      <c r="G145" s="471">
        <f t="shared" si="17"/>
        <v>0</v>
      </c>
      <c r="H145" s="472">
        <f t="shared" si="17"/>
        <v>0</v>
      </c>
    </row>
    <row r="146" spans="1:12" ht="15.6" x14ac:dyDescent="0.25">
      <c r="A146" s="1347"/>
      <c r="B146" s="488" t="s">
        <v>252</v>
      </c>
      <c r="C146" s="471">
        <f t="shared" ref="C146:H146" si="18">C106+C126</f>
        <v>0</v>
      </c>
      <c r="D146" s="471">
        <f t="shared" si="18"/>
        <v>0</v>
      </c>
      <c r="E146" s="471">
        <f t="shared" si="18"/>
        <v>0</v>
      </c>
      <c r="F146" s="471">
        <f t="shared" si="18"/>
        <v>0</v>
      </c>
      <c r="G146" s="471">
        <f t="shared" si="18"/>
        <v>0</v>
      </c>
      <c r="H146" s="472">
        <f t="shared" si="18"/>
        <v>0</v>
      </c>
    </row>
    <row r="147" spans="1:12" ht="15.6" x14ac:dyDescent="0.25">
      <c r="A147" s="1347"/>
      <c r="B147" s="489" t="s">
        <v>253</v>
      </c>
      <c r="C147" s="471">
        <f t="shared" ref="C147:H147" si="19">C107+C127</f>
        <v>0</v>
      </c>
      <c r="D147" s="471">
        <f t="shared" si="19"/>
        <v>0</v>
      </c>
      <c r="E147" s="471">
        <f t="shared" si="19"/>
        <v>0</v>
      </c>
      <c r="F147" s="471">
        <f t="shared" si="19"/>
        <v>0</v>
      </c>
      <c r="G147" s="471">
        <f t="shared" si="19"/>
        <v>0</v>
      </c>
      <c r="H147" s="472">
        <f t="shared" si="19"/>
        <v>0</v>
      </c>
    </row>
    <row r="148" spans="1:12" ht="15.6" x14ac:dyDescent="0.25">
      <c r="A148" s="1347"/>
      <c r="B148" s="981" t="s">
        <v>254</v>
      </c>
      <c r="C148" s="471">
        <f t="shared" ref="C148:H148" si="20">C108+C128</f>
        <v>0</v>
      </c>
      <c r="D148" s="471">
        <f t="shared" si="20"/>
        <v>0</v>
      </c>
      <c r="E148" s="471">
        <f t="shared" si="20"/>
        <v>0</v>
      </c>
      <c r="F148" s="471">
        <f t="shared" si="20"/>
        <v>0</v>
      </c>
      <c r="G148" s="471">
        <f t="shared" si="20"/>
        <v>0</v>
      </c>
      <c r="H148" s="472">
        <f t="shared" si="20"/>
        <v>0</v>
      </c>
    </row>
    <row r="149" spans="1:12" ht="15.6" x14ac:dyDescent="0.25">
      <c r="A149" s="1347"/>
      <c r="B149" s="981" t="s">
        <v>255</v>
      </c>
      <c r="C149" s="471">
        <f t="shared" ref="C149:H149" si="21">C109+C129</f>
        <v>0.11</v>
      </c>
      <c r="D149" s="471">
        <f t="shared" si="21"/>
        <v>0.22</v>
      </c>
      <c r="E149" s="471">
        <f t="shared" si="21"/>
        <v>0.11</v>
      </c>
      <c r="F149" s="471">
        <f t="shared" ca="1" si="21"/>
        <v>0.48035392762499995</v>
      </c>
      <c r="G149" s="471">
        <f t="shared" si="21"/>
        <v>0</v>
      </c>
      <c r="H149" s="472">
        <f t="shared" ca="1" si="21"/>
        <v>0.26035392762499998</v>
      </c>
    </row>
    <row r="150" spans="1:12" ht="15.6" x14ac:dyDescent="0.25">
      <c r="A150" s="1347"/>
      <c r="B150" s="981" t="s">
        <v>256</v>
      </c>
      <c r="C150" s="471">
        <f t="shared" ref="C150:H150" si="22">C110+C130</f>
        <v>0</v>
      </c>
      <c r="D150" s="471">
        <f t="shared" si="22"/>
        <v>0</v>
      </c>
      <c r="E150" s="471">
        <f t="shared" si="22"/>
        <v>0</v>
      </c>
      <c r="F150" s="471">
        <f t="shared" si="22"/>
        <v>0</v>
      </c>
      <c r="G150" s="471">
        <f t="shared" si="22"/>
        <v>0</v>
      </c>
      <c r="H150" s="472">
        <f t="shared" si="22"/>
        <v>0</v>
      </c>
    </row>
    <row r="151" spans="1:12" ht="15.6" x14ac:dyDescent="0.25">
      <c r="A151" s="1347"/>
      <c r="B151" s="981" t="s">
        <v>257</v>
      </c>
      <c r="C151" s="471">
        <f t="shared" ref="C151:H151" si="23">C111+C131</f>
        <v>0</v>
      </c>
      <c r="D151" s="471">
        <f t="shared" si="23"/>
        <v>0</v>
      </c>
      <c r="E151" s="471">
        <f t="shared" si="23"/>
        <v>0</v>
      </c>
      <c r="F151" s="471">
        <f t="shared" si="23"/>
        <v>0</v>
      </c>
      <c r="G151" s="471">
        <f t="shared" si="23"/>
        <v>0</v>
      </c>
      <c r="H151" s="472">
        <f t="shared" si="23"/>
        <v>0</v>
      </c>
    </row>
    <row r="152" spans="1:12" ht="16.2" thickBot="1" x14ac:dyDescent="0.3">
      <c r="A152" s="1347"/>
      <c r="B152" s="982" t="s">
        <v>258</v>
      </c>
      <c r="C152" s="473">
        <f t="shared" ref="C152:H152" si="24">C112+C132</f>
        <v>1.2999999999999999E-2</v>
      </c>
      <c r="D152" s="473">
        <f t="shared" si="24"/>
        <v>1.2999999999999999E-2</v>
      </c>
      <c r="E152" s="473">
        <f t="shared" si="24"/>
        <v>3.6999999999999998E-2</v>
      </c>
      <c r="F152" s="473">
        <f t="shared" si="24"/>
        <v>4.1060749999999993E-2</v>
      </c>
      <c r="G152" s="473">
        <f t="shared" si="24"/>
        <v>2.4E-2</v>
      </c>
      <c r="H152" s="474">
        <f t="shared" si="24"/>
        <v>2.8060749999999995E-2</v>
      </c>
    </row>
    <row r="153" spans="1:12" x14ac:dyDescent="0.25">
      <c r="A153" s="1347"/>
    </row>
    <row r="154" spans="1:12" ht="14.4" thickBot="1" x14ac:dyDescent="0.3">
      <c r="A154" s="1348"/>
    </row>
    <row r="155" spans="1:12" s="466" customFormat="1" ht="32.1" customHeight="1" thickTop="1" x14ac:dyDescent="0.25">
      <c r="A155" s="1349" t="s">
        <v>269</v>
      </c>
    </row>
    <row r="156" spans="1:12" ht="14.4" thickBot="1" x14ac:dyDescent="0.3">
      <c r="A156" s="1350"/>
    </row>
    <row r="157" spans="1:12" ht="25.8" thickBot="1" x14ac:dyDescent="0.5">
      <c r="A157" s="1350"/>
      <c r="B157" s="1266" t="s">
        <v>50</v>
      </c>
      <c r="C157" s="1267"/>
      <c r="D157" s="1268"/>
    </row>
    <row r="158" spans="1:12" x14ac:dyDescent="0.25">
      <c r="A158" s="1350"/>
    </row>
    <row r="159" spans="1:12" ht="14.4" thickBot="1" x14ac:dyDescent="0.3">
      <c r="A159" s="1350"/>
    </row>
    <row r="160" spans="1:12" ht="28.2" customHeight="1" thickBot="1" x14ac:dyDescent="0.3">
      <c r="A160" s="1350"/>
      <c r="B160" s="1351" t="s">
        <v>270</v>
      </c>
      <c r="C160" s="1351"/>
      <c r="D160" s="1351"/>
      <c r="E160" s="1351"/>
      <c r="F160" s="1351"/>
      <c r="G160" s="1351"/>
      <c r="H160" s="1351"/>
      <c r="J160" s="1279" t="s">
        <v>239</v>
      </c>
      <c r="K160" s="1280"/>
      <c r="L160" s="1281"/>
    </row>
    <row r="161" spans="1:12" ht="36" customHeight="1" thickBot="1" x14ac:dyDescent="0.3">
      <c r="A161" s="1350"/>
      <c r="B161" s="469"/>
      <c r="C161" s="1260" t="s">
        <v>201</v>
      </c>
      <c r="D161" s="1260"/>
      <c r="E161" s="1260" t="s">
        <v>271</v>
      </c>
      <c r="F161" s="1260"/>
      <c r="G161" s="1260" t="s">
        <v>272</v>
      </c>
      <c r="H161" s="1260"/>
      <c r="J161" s="1282"/>
      <c r="K161" s="1283"/>
      <c r="L161" s="1284"/>
    </row>
    <row r="162" spans="1:12" ht="47.4" thickBot="1" x14ac:dyDescent="0.3">
      <c r="A162" s="1350"/>
      <c r="B162" s="976" t="s">
        <v>273</v>
      </c>
      <c r="C162" s="469" t="s">
        <v>274</v>
      </c>
      <c r="D162" s="469" t="s">
        <v>206</v>
      </c>
      <c r="E162" s="469" t="s">
        <v>275</v>
      </c>
      <c r="F162" s="469" t="s">
        <v>208</v>
      </c>
      <c r="G162" s="469" t="s">
        <v>243</v>
      </c>
      <c r="H162" s="469" t="s">
        <v>210</v>
      </c>
      <c r="J162" s="1269" t="s">
        <v>211</v>
      </c>
      <c r="K162" s="1287" t="s">
        <v>244</v>
      </c>
      <c r="L162" s="1289" t="s">
        <v>245</v>
      </c>
    </row>
    <row r="163" spans="1:12" ht="15.6" x14ac:dyDescent="0.25">
      <c r="A163" s="1350"/>
      <c r="B163" s="487" t="s">
        <v>276</v>
      </c>
      <c r="C163" s="490">
        <f>'G-2 Habitat groups'!E172</f>
        <v>0</v>
      </c>
      <c r="D163" s="490">
        <f>'G-2 Habitat groups'!F172</f>
        <v>0</v>
      </c>
      <c r="E163" s="490">
        <f>'G-2 Habitat groups'!O172</f>
        <v>0</v>
      </c>
      <c r="F163" s="490">
        <f>'G-2 Habitat groups'!P172</f>
        <v>0</v>
      </c>
      <c r="G163" s="490">
        <f t="shared" ref="G163:H167" si="25">E163-C163</f>
        <v>0</v>
      </c>
      <c r="H163" s="985">
        <f t="shared" si="25"/>
        <v>0</v>
      </c>
      <c r="J163" s="1270"/>
      <c r="K163" s="1288"/>
      <c r="L163" s="1290"/>
    </row>
    <row r="164" spans="1:12" ht="15.6" x14ac:dyDescent="0.25">
      <c r="A164" s="1350"/>
      <c r="B164" s="488" t="s">
        <v>277</v>
      </c>
      <c r="C164" s="490">
        <f>'G-2 Habitat groups'!E173</f>
        <v>0</v>
      </c>
      <c r="D164" s="490">
        <f>'G-2 Habitat groups'!F173</f>
        <v>0</v>
      </c>
      <c r="E164" s="490">
        <f>'G-2 Habitat groups'!O173</f>
        <v>0</v>
      </c>
      <c r="F164" s="490">
        <f>'G-2 Habitat groups'!P173</f>
        <v>0</v>
      </c>
      <c r="G164" s="490">
        <f t="shared" si="25"/>
        <v>0</v>
      </c>
      <c r="H164" s="985">
        <f t="shared" si="25"/>
        <v>0</v>
      </c>
      <c r="J164" s="1263" t="str">
        <f>'G-1 All Habitats'!$V$3</f>
        <v>V.High</v>
      </c>
      <c r="K164" s="1272">
        <f>SUMIF('C-1 On-Site WaterC'' Baseline'!$F$10:$F$257,'Detailed Results'!J164,'C-1 On-Site WaterC'' Baseline'!$Y$10:$Y$257)+SUMIF('F-1 Off-Site WaterC'' Baseline'!$F$10:$F$257,'Detailed Results'!J164,'F-1 Off-Site WaterC'' Baseline'!$AB$10:$AB$257)</f>
        <v>0</v>
      </c>
      <c r="L164" s="1261" t="str">
        <f>IF(K164=0,"",(K164/(SUM($K$164:$K$171)))*100)</f>
        <v/>
      </c>
    </row>
    <row r="165" spans="1:12" ht="15.6" x14ac:dyDescent="0.25">
      <c r="A165" s="1350"/>
      <c r="B165" s="488" t="s">
        <v>278</v>
      </c>
      <c r="C165" s="490">
        <f>'G-2 Habitat groups'!E174</f>
        <v>0</v>
      </c>
      <c r="D165" s="490">
        <f>'G-2 Habitat groups'!F174</f>
        <v>0</v>
      </c>
      <c r="E165" s="490">
        <f>'G-2 Habitat groups'!O174</f>
        <v>0</v>
      </c>
      <c r="F165" s="490">
        <f>'G-2 Habitat groups'!P174</f>
        <v>0</v>
      </c>
      <c r="G165" s="490">
        <f t="shared" si="25"/>
        <v>0</v>
      </c>
      <c r="H165" s="985">
        <f t="shared" si="25"/>
        <v>0</v>
      </c>
      <c r="J165" s="1264"/>
      <c r="K165" s="1332"/>
      <c r="L165" s="1262"/>
    </row>
    <row r="166" spans="1:12" ht="15.6" x14ac:dyDescent="0.25">
      <c r="A166" s="1350"/>
      <c r="B166" s="488" t="s">
        <v>279</v>
      </c>
      <c r="C166" s="490">
        <f>'G-2 Habitat groups'!E175</f>
        <v>0</v>
      </c>
      <c r="D166" s="490">
        <f>'G-2 Habitat groups'!F175</f>
        <v>0</v>
      </c>
      <c r="E166" s="490">
        <f>'G-2 Habitat groups'!O175</f>
        <v>0</v>
      </c>
      <c r="F166" s="490">
        <f>'G-2 Habitat groups'!P175</f>
        <v>0</v>
      </c>
      <c r="G166" s="490">
        <f t="shared" si="25"/>
        <v>0</v>
      </c>
      <c r="H166" s="985">
        <f t="shared" si="25"/>
        <v>0</v>
      </c>
      <c r="J166" s="1263" t="str">
        <f>'G-1 All Habitats'!$V$4</f>
        <v>High</v>
      </c>
      <c r="K166" s="1272">
        <f>SUMIF('C-1 On-Site WaterC'' Baseline'!$F$10:$F$257,'Detailed Results'!J166,'C-1 On-Site WaterC'' Baseline'!$Y$10:$Y$257)+SUMIF('F-1 Off-Site WaterC'' Baseline'!$F$10:$F$257,'Detailed Results'!J166,'F-1 Off-Site WaterC'' Baseline'!$AB$10:$AB$257)</f>
        <v>0</v>
      </c>
      <c r="L166" s="1261" t="str">
        <f>IF(K166=0,"",(K166/(SUM($K$164:$K$171)))*100)</f>
        <v/>
      </c>
    </row>
    <row r="167" spans="1:12" ht="16.2" thickBot="1" x14ac:dyDescent="0.3">
      <c r="A167" s="1350"/>
      <c r="B167" s="986" t="s">
        <v>280</v>
      </c>
      <c r="C167" s="987">
        <f>'G-2 Habitat groups'!E176</f>
        <v>0</v>
      </c>
      <c r="D167" s="987">
        <f>'G-2 Habitat groups'!F176</f>
        <v>0</v>
      </c>
      <c r="E167" s="987">
        <f>'G-2 Habitat groups'!O176</f>
        <v>0</v>
      </c>
      <c r="F167" s="987">
        <f>'G-2 Habitat groups'!P176</f>
        <v>0</v>
      </c>
      <c r="G167" s="987">
        <f t="shared" si="25"/>
        <v>0</v>
      </c>
      <c r="H167" s="988">
        <f t="shared" si="25"/>
        <v>0</v>
      </c>
      <c r="J167" s="1264"/>
      <c r="K167" s="1332"/>
      <c r="L167" s="1262"/>
    </row>
    <row r="168" spans="1:12" x14ac:dyDescent="0.25">
      <c r="A168" s="1350"/>
      <c r="J168" s="1263" t="str">
        <f>'G-1 All Habitats'!$V$5</f>
        <v>Medium</v>
      </c>
      <c r="K168" s="1272">
        <f>SUMIF('C-1 On-Site WaterC'' Baseline'!$F$10:$F$257,'Detailed Results'!J168,'C-1 On-Site WaterC'' Baseline'!$Y$10:$Y$257)+SUMIF('F-1 Off-Site WaterC'' Baseline'!$F$10:$F$257,'Detailed Results'!J168,'F-1 Off-Site WaterC'' Baseline'!$AB$10:$AB$257)</f>
        <v>0</v>
      </c>
      <c r="L168" s="1261" t="str">
        <f>IF(K168=0,"",(K168/(SUM($K$164:$K$171)))*100)</f>
        <v/>
      </c>
    </row>
    <row r="169" spans="1:12" x14ac:dyDescent="0.25">
      <c r="A169" s="1350"/>
      <c r="J169" s="1264"/>
      <c r="K169" s="1332"/>
      <c r="L169" s="1262"/>
    </row>
    <row r="170" spans="1:12" x14ac:dyDescent="0.25">
      <c r="A170" s="1350"/>
      <c r="J170" s="1263" t="str">
        <f>'G-1 All Habitats'!$V$6</f>
        <v>Low</v>
      </c>
      <c r="K170" s="1272">
        <f>SUMIF('C-1 On-Site WaterC'' Baseline'!$F$10:$F$257,'Detailed Results'!J170,'C-1 On-Site WaterC'' Baseline'!$Y$10:$Y$257)+SUMIF('F-1 Off-Site WaterC'' Baseline'!$F$10:$F$257,'Detailed Results'!J170,'F-1 Off-Site WaterC'' Baseline'!$AB$10:$AB$257)</f>
        <v>0</v>
      </c>
      <c r="L170" s="1261" t="str">
        <f>IF(K170=0,"",(K170/(SUM($K$164:$K$171)))*100)</f>
        <v/>
      </c>
    </row>
    <row r="171" spans="1:12" ht="14.4" thickBot="1" x14ac:dyDescent="0.3">
      <c r="A171" s="1350"/>
      <c r="J171" s="1340"/>
      <c r="K171" s="1273"/>
      <c r="L171" s="1271"/>
    </row>
    <row r="172" spans="1:12" x14ac:dyDescent="0.25">
      <c r="A172" s="1350"/>
    </row>
    <row r="173" spans="1:12" x14ac:dyDescent="0.25">
      <c r="A173" s="1350"/>
    </row>
    <row r="174" spans="1:12" x14ac:dyDescent="0.25">
      <c r="A174" s="1350"/>
    </row>
    <row r="175" spans="1:12" x14ac:dyDescent="0.25">
      <c r="A175" s="1350"/>
    </row>
    <row r="176" spans="1:12" x14ac:dyDescent="0.25">
      <c r="A176" s="1350"/>
    </row>
    <row r="177" spans="1:8" x14ac:dyDescent="0.25">
      <c r="A177" s="1350"/>
    </row>
    <row r="178" spans="1:8" x14ac:dyDescent="0.25">
      <c r="A178" s="1350"/>
    </row>
    <row r="179" spans="1:8" ht="14.4" thickBot="1" x14ac:dyDescent="0.3">
      <c r="A179" s="1350"/>
    </row>
    <row r="180" spans="1:8" ht="18" thickBot="1" x14ac:dyDescent="0.35">
      <c r="A180" s="1350"/>
      <c r="B180" s="1265" t="s">
        <v>281</v>
      </c>
      <c r="C180" s="1265"/>
      <c r="D180" s="1265"/>
      <c r="E180" s="1265"/>
      <c r="F180" s="1265"/>
      <c r="G180" s="1265"/>
      <c r="H180" s="1265"/>
    </row>
    <row r="181" spans="1:8" ht="16.2" thickBot="1" x14ac:dyDescent="0.3">
      <c r="A181" s="1350"/>
      <c r="B181" s="469"/>
      <c r="C181" s="1260" t="s">
        <v>201</v>
      </c>
      <c r="D181" s="1260"/>
      <c r="E181" s="1260" t="s">
        <v>282</v>
      </c>
      <c r="F181" s="1260"/>
      <c r="G181" s="1260" t="s">
        <v>283</v>
      </c>
      <c r="H181" s="1260"/>
    </row>
    <row r="182" spans="1:8" ht="47.4" thickBot="1" x14ac:dyDescent="0.3">
      <c r="A182" s="1350"/>
      <c r="B182" s="976" t="s">
        <v>273</v>
      </c>
      <c r="C182" s="469" t="s">
        <v>260</v>
      </c>
      <c r="D182" s="469" t="s">
        <v>222</v>
      </c>
      <c r="E182" s="469" t="s">
        <v>284</v>
      </c>
      <c r="F182" s="469" t="s">
        <v>224</v>
      </c>
      <c r="G182" s="469" t="s">
        <v>262</v>
      </c>
      <c r="H182" s="469" t="s">
        <v>226</v>
      </c>
    </row>
    <row r="183" spans="1:8" ht="15.6" x14ac:dyDescent="0.25">
      <c r="A183" s="1350"/>
      <c r="B183" s="487" t="s">
        <v>276</v>
      </c>
      <c r="C183" s="490">
        <f>'G-2 Habitat groups'!S172</f>
        <v>0.14899999999999999</v>
      </c>
      <c r="D183" s="490">
        <f>'G-2 Habitat groups'!T172</f>
        <v>1.598868</v>
      </c>
      <c r="E183" s="490">
        <f>'G-2 Habitat groups'!AA172</f>
        <v>0.14899999999999999</v>
      </c>
      <c r="F183" s="490">
        <f>'G-2 Habitat groups'!AB172</f>
        <v>1.8646560000000001</v>
      </c>
      <c r="G183" s="490">
        <f t="shared" ref="G183:H187" si="26">E183-C183</f>
        <v>0</v>
      </c>
      <c r="H183" s="985">
        <f t="shared" si="26"/>
        <v>0.26578800000000014</v>
      </c>
    </row>
    <row r="184" spans="1:8" ht="15.6" x14ac:dyDescent="0.25">
      <c r="A184" s="1350"/>
      <c r="B184" s="488" t="s">
        <v>277</v>
      </c>
      <c r="C184" s="490">
        <f>'G-2 Habitat groups'!S173</f>
        <v>0</v>
      </c>
      <c r="D184" s="490">
        <f>'G-2 Habitat groups'!T173</f>
        <v>0</v>
      </c>
      <c r="E184" s="490">
        <f>'G-2 Habitat groups'!AA173</f>
        <v>0</v>
      </c>
      <c r="F184" s="490">
        <f>'G-2 Habitat groups'!AB173</f>
        <v>0</v>
      </c>
      <c r="G184" s="490">
        <f t="shared" si="26"/>
        <v>0</v>
      </c>
      <c r="H184" s="985">
        <f t="shared" si="26"/>
        <v>0</v>
      </c>
    </row>
    <row r="185" spans="1:8" ht="15.6" x14ac:dyDescent="0.25">
      <c r="A185" s="1350"/>
      <c r="B185" s="488" t="s">
        <v>278</v>
      </c>
      <c r="C185" s="490">
        <f>'G-2 Habitat groups'!S174</f>
        <v>0</v>
      </c>
      <c r="D185" s="490">
        <f>'G-2 Habitat groups'!T174</f>
        <v>0</v>
      </c>
      <c r="E185" s="490">
        <f>'G-2 Habitat groups'!AA174</f>
        <v>0</v>
      </c>
      <c r="F185" s="490">
        <f>'G-2 Habitat groups'!AB174</f>
        <v>0</v>
      </c>
      <c r="G185" s="490">
        <f t="shared" si="26"/>
        <v>0</v>
      </c>
      <c r="H185" s="985">
        <f t="shared" si="26"/>
        <v>0</v>
      </c>
    </row>
    <row r="186" spans="1:8" ht="15.6" x14ac:dyDescent="0.25">
      <c r="A186" s="1350"/>
      <c r="B186" s="488" t="s">
        <v>279</v>
      </c>
      <c r="C186" s="490">
        <f>'G-2 Habitat groups'!S175</f>
        <v>0</v>
      </c>
      <c r="D186" s="490">
        <f>'G-2 Habitat groups'!T175</f>
        <v>0</v>
      </c>
      <c r="E186" s="490">
        <f>'G-2 Habitat groups'!AA175</f>
        <v>0</v>
      </c>
      <c r="F186" s="490">
        <f>'G-2 Habitat groups'!AB175</f>
        <v>0</v>
      </c>
      <c r="G186" s="490">
        <f t="shared" si="26"/>
        <v>0</v>
      </c>
      <c r="H186" s="985">
        <f t="shared" si="26"/>
        <v>0</v>
      </c>
    </row>
    <row r="187" spans="1:8" ht="16.2" thickBot="1" x14ac:dyDescent="0.3">
      <c r="A187" s="1350"/>
      <c r="B187" s="986" t="s">
        <v>280</v>
      </c>
      <c r="C187" s="987">
        <f>'G-2 Habitat groups'!S176</f>
        <v>0</v>
      </c>
      <c r="D187" s="987">
        <f>'G-2 Habitat groups'!T176</f>
        <v>0</v>
      </c>
      <c r="E187" s="987">
        <f>'G-2 Habitat groups'!AA176</f>
        <v>0</v>
      </c>
      <c r="F187" s="987">
        <f>'G-2 Habitat groups'!AB176</f>
        <v>0</v>
      </c>
      <c r="G187" s="987">
        <f t="shared" si="26"/>
        <v>0</v>
      </c>
      <c r="H187" s="988">
        <f t="shared" si="26"/>
        <v>0</v>
      </c>
    </row>
    <row r="188" spans="1:8" x14ac:dyDescent="0.25">
      <c r="A188" s="1350"/>
      <c r="B188" s="476"/>
      <c r="C188" s="476"/>
      <c r="D188" s="476"/>
      <c r="E188" s="476"/>
      <c r="F188" s="476"/>
      <c r="G188" s="476"/>
      <c r="H188" s="476"/>
    </row>
    <row r="189" spans="1:8" x14ac:dyDescent="0.25">
      <c r="A189" s="1350"/>
      <c r="B189" s="476"/>
      <c r="C189" s="476"/>
      <c r="D189" s="476"/>
      <c r="E189" s="476"/>
      <c r="F189" s="476"/>
      <c r="G189" s="476"/>
      <c r="H189" s="476"/>
    </row>
    <row r="190" spans="1:8" x14ac:dyDescent="0.25">
      <c r="A190" s="1350"/>
      <c r="B190" s="476"/>
      <c r="C190" s="476"/>
      <c r="D190" s="476"/>
      <c r="E190" s="476"/>
      <c r="F190" s="476"/>
      <c r="G190" s="476"/>
      <c r="H190" s="476"/>
    </row>
    <row r="191" spans="1:8" x14ac:dyDescent="0.25">
      <c r="A191" s="1350"/>
      <c r="B191" s="476"/>
      <c r="C191" s="476"/>
      <c r="D191" s="476"/>
      <c r="E191" s="476"/>
      <c r="F191" s="476"/>
      <c r="G191" s="476"/>
      <c r="H191" s="476"/>
    </row>
    <row r="192" spans="1:8" x14ac:dyDescent="0.25">
      <c r="A192" s="1350"/>
      <c r="B192" s="476"/>
      <c r="C192" s="476"/>
      <c r="D192" s="476"/>
      <c r="E192" s="476"/>
      <c r="F192" s="476"/>
      <c r="G192" s="476"/>
      <c r="H192" s="476"/>
    </row>
    <row r="193" spans="1:8" x14ac:dyDescent="0.25">
      <c r="A193" s="1350"/>
      <c r="B193" s="476"/>
      <c r="C193" s="476"/>
      <c r="D193" s="476"/>
      <c r="E193" s="476"/>
      <c r="F193" s="476"/>
      <c r="G193" s="476"/>
      <c r="H193" s="476"/>
    </row>
    <row r="194" spans="1:8" x14ac:dyDescent="0.25">
      <c r="A194" s="1350"/>
      <c r="B194" s="476"/>
      <c r="C194" s="476"/>
      <c r="D194" s="476"/>
      <c r="E194" s="476"/>
      <c r="F194" s="476"/>
      <c r="G194" s="476"/>
      <c r="H194" s="476"/>
    </row>
    <row r="195" spans="1:8" x14ac:dyDescent="0.25">
      <c r="A195" s="1350"/>
      <c r="B195" s="476"/>
      <c r="C195" s="476"/>
      <c r="D195" s="476"/>
      <c r="E195" s="476"/>
      <c r="F195" s="476"/>
      <c r="G195" s="476"/>
      <c r="H195" s="476"/>
    </row>
    <row r="196" spans="1:8" x14ac:dyDescent="0.25">
      <c r="A196" s="1350"/>
      <c r="B196" s="476"/>
      <c r="C196" s="476"/>
    </row>
    <row r="197" spans="1:8" x14ac:dyDescent="0.25">
      <c r="A197" s="1350"/>
      <c r="B197" s="476"/>
      <c r="C197" s="476"/>
    </row>
    <row r="198" spans="1:8" x14ac:dyDescent="0.25">
      <c r="A198" s="1350"/>
      <c r="B198" s="476"/>
      <c r="C198" s="476"/>
    </row>
    <row r="199" spans="1:8" ht="14.4" thickBot="1" x14ac:dyDescent="0.3">
      <c r="A199" s="1350"/>
      <c r="B199" s="476"/>
      <c r="C199" s="476"/>
    </row>
    <row r="200" spans="1:8" ht="18" thickBot="1" x14ac:dyDescent="0.35">
      <c r="A200" s="1350"/>
      <c r="B200" s="1265" t="s">
        <v>285</v>
      </c>
      <c r="C200" s="1265"/>
      <c r="D200" s="1265"/>
      <c r="E200" s="1265"/>
      <c r="F200" s="1265"/>
      <c r="G200" s="1265"/>
      <c r="H200" s="1265"/>
    </row>
    <row r="201" spans="1:8" ht="16.2" thickBot="1" x14ac:dyDescent="0.3">
      <c r="A201" s="1350"/>
      <c r="B201" s="469"/>
      <c r="C201" s="1260" t="s">
        <v>201</v>
      </c>
      <c r="D201" s="1260"/>
      <c r="E201" s="1260" t="s">
        <v>202</v>
      </c>
      <c r="F201" s="1260"/>
      <c r="G201" s="1260" t="s">
        <v>203</v>
      </c>
      <c r="H201" s="1260"/>
    </row>
    <row r="202" spans="1:8" ht="47.4" thickBot="1" x14ac:dyDescent="0.3">
      <c r="A202" s="1350"/>
      <c r="B202" s="976" t="s">
        <v>273</v>
      </c>
      <c r="C202" s="469" t="s">
        <v>266</v>
      </c>
      <c r="D202" s="469" t="s">
        <v>231</v>
      </c>
      <c r="E202" s="469" t="s">
        <v>267</v>
      </c>
      <c r="F202" s="469" t="s">
        <v>233</v>
      </c>
      <c r="G202" s="469" t="s">
        <v>268</v>
      </c>
      <c r="H202" s="469" t="s">
        <v>235</v>
      </c>
    </row>
    <row r="203" spans="1:8" ht="15.6" x14ac:dyDescent="0.25">
      <c r="A203" s="1350"/>
      <c r="B203" s="487" t="s">
        <v>276</v>
      </c>
      <c r="C203" s="490">
        <f t="shared" ref="C203:H204" si="27">C163+C183</f>
        <v>0.14899999999999999</v>
      </c>
      <c r="D203" s="490">
        <f t="shared" si="27"/>
        <v>1.598868</v>
      </c>
      <c r="E203" s="490">
        <f t="shared" si="27"/>
        <v>0.14899999999999999</v>
      </c>
      <c r="F203" s="490">
        <f t="shared" si="27"/>
        <v>1.8646560000000001</v>
      </c>
      <c r="G203" s="490">
        <f t="shared" si="27"/>
        <v>0</v>
      </c>
      <c r="H203" s="985">
        <f t="shared" si="27"/>
        <v>0.26578800000000014</v>
      </c>
    </row>
    <row r="204" spans="1:8" ht="15.6" x14ac:dyDescent="0.25">
      <c r="A204" s="1350"/>
      <c r="B204" s="488" t="s">
        <v>277</v>
      </c>
      <c r="C204" s="490">
        <f t="shared" si="27"/>
        <v>0</v>
      </c>
      <c r="D204" s="490">
        <f t="shared" si="27"/>
        <v>0</v>
      </c>
      <c r="E204" s="490">
        <f t="shared" si="27"/>
        <v>0</v>
      </c>
      <c r="F204" s="490">
        <f t="shared" si="27"/>
        <v>0</v>
      </c>
      <c r="G204" s="490">
        <f t="shared" si="27"/>
        <v>0</v>
      </c>
      <c r="H204" s="985">
        <f t="shared" si="27"/>
        <v>0</v>
      </c>
    </row>
    <row r="205" spans="1:8" ht="15.6" x14ac:dyDescent="0.25">
      <c r="A205" s="1350"/>
      <c r="B205" s="488" t="s">
        <v>278</v>
      </c>
      <c r="C205" s="490">
        <f t="shared" ref="C205:H205" si="28">C165+C185</f>
        <v>0</v>
      </c>
      <c r="D205" s="490">
        <f t="shared" si="28"/>
        <v>0</v>
      </c>
      <c r="E205" s="490">
        <f t="shared" si="28"/>
        <v>0</v>
      </c>
      <c r="F205" s="490">
        <f t="shared" si="28"/>
        <v>0</v>
      </c>
      <c r="G205" s="490">
        <f t="shared" si="28"/>
        <v>0</v>
      </c>
      <c r="H205" s="985">
        <f t="shared" si="28"/>
        <v>0</v>
      </c>
    </row>
    <row r="206" spans="1:8" ht="15.6" x14ac:dyDescent="0.25">
      <c r="A206" s="1350"/>
      <c r="B206" s="488" t="s">
        <v>279</v>
      </c>
      <c r="C206" s="490">
        <f t="shared" ref="C206:H206" si="29">C166+C186</f>
        <v>0</v>
      </c>
      <c r="D206" s="490">
        <f t="shared" si="29"/>
        <v>0</v>
      </c>
      <c r="E206" s="490">
        <f t="shared" si="29"/>
        <v>0</v>
      </c>
      <c r="F206" s="490">
        <f t="shared" si="29"/>
        <v>0</v>
      </c>
      <c r="G206" s="490">
        <f t="shared" si="29"/>
        <v>0</v>
      </c>
      <c r="H206" s="985">
        <f t="shared" si="29"/>
        <v>0</v>
      </c>
    </row>
    <row r="207" spans="1:8" ht="16.2" thickBot="1" x14ac:dyDescent="0.3">
      <c r="A207" s="1350"/>
      <c r="B207" s="986" t="s">
        <v>280</v>
      </c>
      <c r="C207" s="987">
        <f t="shared" ref="C207:H207" si="30">C167+C187</f>
        <v>0</v>
      </c>
      <c r="D207" s="987">
        <f t="shared" si="30"/>
        <v>0</v>
      </c>
      <c r="E207" s="987">
        <f t="shared" si="30"/>
        <v>0</v>
      </c>
      <c r="F207" s="987">
        <f t="shared" si="30"/>
        <v>0</v>
      </c>
      <c r="G207" s="987">
        <f t="shared" si="30"/>
        <v>0</v>
      </c>
      <c r="H207" s="988">
        <f t="shared" si="30"/>
        <v>0</v>
      </c>
    </row>
    <row r="208" spans="1:8" x14ac:dyDescent="0.25">
      <c r="A208" s="1350"/>
      <c r="B208" s="476"/>
      <c r="C208" s="476"/>
      <c r="D208" s="476"/>
      <c r="E208" s="476"/>
      <c r="F208" s="476"/>
      <c r="G208" s="476"/>
      <c r="H208" s="476"/>
    </row>
    <row r="209" spans="1:8" x14ac:dyDescent="0.25">
      <c r="A209" s="1350"/>
      <c r="B209" s="476"/>
      <c r="C209" s="476"/>
      <c r="D209" s="476"/>
      <c r="E209" s="476"/>
      <c r="F209" s="476"/>
      <c r="G209" s="476"/>
      <c r="H209" s="476"/>
    </row>
    <row r="210" spans="1:8" x14ac:dyDescent="0.25">
      <c r="A210" s="1350"/>
      <c r="B210" s="476"/>
      <c r="C210" s="476"/>
      <c r="D210" s="476"/>
      <c r="E210" s="476"/>
      <c r="F210" s="476"/>
      <c r="G210" s="476"/>
      <c r="H210" s="476"/>
    </row>
    <row r="211" spans="1:8" x14ac:dyDescent="0.25">
      <c r="A211" s="1350"/>
      <c r="B211" s="476"/>
      <c r="C211" s="476"/>
      <c r="D211" s="476"/>
      <c r="E211" s="476"/>
      <c r="F211" s="476"/>
      <c r="G211" s="476"/>
      <c r="H211" s="476"/>
    </row>
    <row r="212" spans="1:8" x14ac:dyDescent="0.25">
      <c r="B212" s="476"/>
      <c r="C212" s="476"/>
      <c r="D212" s="476"/>
      <c r="E212" s="476"/>
      <c r="F212" s="476"/>
      <c r="G212" s="476"/>
      <c r="H212" s="476"/>
    </row>
    <row r="213" spans="1:8" x14ac:dyDescent="0.25">
      <c r="B213" s="476"/>
      <c r="C213" s="476"/>
      <c r="D213" s="476"/>
      <c r="E213" s="476"/>
      <c r="F213" s="476"/>
      <c r="G213" s="476"/>
      <c r="H213" s="476"/>
    </row>
    <row r="214" spans="1:8" x14ac:dyDescent="0.25">
      <c r="B214" s="476"/>
      <c r="C214" s="476"/>
      <c r="D214" s="476"/>
      <c r="E214" s="476"/>
      <c r="F214" s="476"/>
      <c r="G214" s="476"/>
      <c r="H214" s="476"/>
    </row>
    <row r="215" spans="1:8" x14ac:dyDescent="0.25">
      <c r="B215" s="476"/>
      <c r="C215" s="476"/>
      <c r="D215" s="476"/>
      <c r="E215" s="476"/>
      <c r="F215" s="476"/>
      <c r="G215" s="476"/>
      <c r="H215" s="476"/>
    </row>
    <row r="216" spans="1:8" x14ac:dyDescent="0.25"/>
    <row r="217" spans="1:8" x14ac:dyDescent="0.25"/>
    <row r="218" spans="1:8" x14ac:dyDescent="0.25"/>
    <row r="219" spans="1:8" x14ac:dyDescent="0.25"/>
  </sheetData>
  <sheetProtection algorithmName="SHA-512" hashValue="2T/SxuUXg5nASyJyzXUmrJMHcsxUemE/Gd/J/J5XFby9+5MhrTlncq85mcJWiZ8eTU3OAdsXSDMEkmDoqDHqeA==" saltValue="fRXxuhKw3nLSnGax72nRDA==" spinCount="100000" sheet="1" objects="1" scenarios="1"/>
  <customSheetViews>
    <customSheetView guid="{8BDA793C-C9C5-4FC6-A0A5-F1109F6D4F22}" scale="80" state="hidden">
      <selection activeCell="D14" sqref="D14"/>
    </customSheetView>
  </customSheetViews>
  <mergeCells count="150">
    <mergeCell ref="J160:L161"/>
    <mergeCell ref="L166:L167"/>
    <mergeCell ref="K166:K167"/>
    <mergeCell ref="J166:J167"/>
    <mergeCell ref="L164:L165"/>
    <mergeCell ref="K164:K165"/>
    <mergeCell ref="J164:J165"/>
    <mergeCell ref="L162:L163"/>
    <mergeCell ref="K162:K163"/>
    <mergeCell ref="J162:J163"/>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1158" priority="95" operator="greaterThan">
      <formula>0</formula>
    </cfRule>
  </conditionalFormatting>
  <conditionalFormatting sqref="H14:I16">
    <cfRule type="containsText" dxfId="1157" priority="14" operator="containsText" text="N/A">
      <formula>NOT(ISERROR(SEARCH("N/A",H14)))</formula>
    </cfRule>
    <cfRule type="cellIs" dxfId="1156" priority="352" operator="equal">
      <formula>"Error"</formula>
    </cfRule>
  </conditionalFormatting>
  <conditionalFormatting sqref="D21:D22">
    <cfRule type="cellIs" dxfId="1155" priority="49" operator="equal">
      <formula>"Error ▲"</formula>
    </cfRule>
  </conditionalFormatting>
  <conditionalFormatting sqref="D24:D25">
    <cfRule type="cellIs" dxfId="1154" priority="48" operator="equal">
      <formula>"Error ▲"</formula>
    </cfRule>
  </conditionalFormatting>
  <conditionalFormatting sqref="D27:D28">
    <cfRule type="cellIs" dxfId="1153" priority="47" operator="equal">
      <formula>"Error ▲"</formula>
    </cfRule>
  </conditionalFormatting>
  <conditionalFormatting sqref="D30:D31">
    <cfRule type="cellIs" dxfId="1152" priority="26" operator="equal">
      <formula>"Error ▲"</formula>
    </cfRule>
  </conditionalFormatting>
  <conditionalFormatting sqref="H10:I12 H14:I16">
    <cfRule type="containsText" dxfId="1151" priority="1" operator="containsText" text="Check">
      <formula>NOT(ISERROR(SEARCH("Check",H10)))</formula>
    </cfRule>
  </conditionalFormatting>
  <conditionalFormatting sqref="I16">
    <cfRule type="expression" dxfId="1150" priority="345">
      <formula>AND($H$21&gt;0,$H$16&lt;0.1)</formula>
    </cfRule>
  </conditionalFormatting>
  <conditionalFormatting sqref="H15">
    <cfRule type="expression" dxfId="1149" priority="358">
      <formula>AND($F$21&gt;0,$H$15&lt;0.1)</formula>
    </cfRule>
  </conditionalFormatting>
  <conditionalFormatting sqref="H10:I10">
    <cfRule type="cellIs" dxfId="1148" priority="357" operator="equal">
      <formula>"Error"</formula>
    </cfRule>
  </conditionalFormatting>
  <conditionalFormatting sqref="H14">
    <cfRule type="expression" dxfId="1147" priority="359">
      <formula>AND($D$21&gt;0,$H$14&lt;0.1)</formula>
    </cfRule>
  </conditionalFormatting>
  <conditionalFormatting sqref="K103 K105 K107 K109">
    <cfRule type="cellIs" dxfId="1146" priority="11" operator="greaterThan">
      <formula>0</formula>
    </cfRule>
  </conditionalFormatting>
  <conditionalFormatting sqref="K164">
    <cfRule type="cellIs" dxfId="1145" priority="10" operator="greaterThan">
      <formula>0</formula>
    </cfRule>
  </conditionalFormatting>
  <conditionalFormatting sqref="K166 K168 K170">
    <cfRule type="cellIs" dxfId="1144" priority="9" operator="greaterThan">
      <formula>0</formula>
    </cfRule>
  </conditionalFormatting>
  <conditionalFormatting sqref="K101">
    <cfRule type="cellIs" dxfId="1143" priority="8" operator="greaterThan">
      <formula>0</formula>
    </cfRule>
  </conditionalFormatting>
  <conditionalFormatting sqref="H15:I15">
    <cfRule type="expression" dxfId="1142" priority="340">
      <formula>AND($F$21&gt;0,$H$16&lt;0.1)</formula>
    </cfRule>
  </conditionalFormatting>
  <conditionalFormatting sqref="H16:I16">
    <cfRule type="expression" dxfId="1141" priority="67">
      <formula>AND($H$21&gt;0,$H$16&lt;0.1)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3" id="{BCFC1F60-B5FB-4728-8B40-2402D4482821}">
            <xm:f>'Headline Results'!$H$9:$I$9=0</xm:f>
            <x14:dxf>
              <font>
                <color auto="1"/>
              </font>
              <fill>
                <patternFill>
                  <bgColor rgb="FFD5D3DC"/>
                </patternFill>
              </fill>
            </x14:dxf>
          </x14:cfRule>
          <xm:sqref>H15:I15</xm:sqref>
        </x14:conditionalFormatting>
        <x14:conditionalFormatting xmlns:xm="http://schemas.microsoft.com/office/excel/2006/main">
          <x14:cfRule type="expression" priority="2" id="{3D5606BF-FF34-4317-8982-3F0CE26E6189}">
            <xm:f>'Headline Results'!$H$10:$I$10=0</xm:f>
            <x14:dxf>
              <font>
                <color auto="1"/>
              </font>
              <fill>
                <patternFill>
                  <bgColor rgb="FFD5D3DC"/>
                </patternFill>
              </fill>
            </x14:dxf>
          </x14:cfRule>
          <xm:sqref>H16:I16</xm:sqref>
        </x14:conditionalFormatting>
        <x14:conditionalFormatting xmlns:xm="http://schemas.microsoft.com/office/excel/2006/main">
          <x14:cfRule type="cellIs" priority="5" operator="lessThan" id="{7AC3EA1A-D025-4E1D-83B7-15FE27209160}">
            <xm:f>Start!$F$22</xm:f>
            <x14:dxf>
              <font>
                <color theme="0"/>
              </font>
              <fill>
                <patternFill>
                  <bgColor rgb="FFC00000"/>
                </patternFill>
              </fill>
            </x14:dxf>
          </x14:cfRule>
          <xm:sqref>H14:I16</xm:sqref>
        </x14:conditionalFormatting>
        <x14:conditionalFormatting xmlns:xm="http://schemas.microsoft.com/office/excel/2006/main">
          <x14:cfRule type="cellIs" priority="7" operator="greaterThanOrEqual" id="{FE7C1990-5226-43AB-89FC-E5A6A8FD77CE}">
            <xm:f>Start!$F$22</xm:f>
            <x14:dxf>
              <fill>
                <patternFill>
                  <bgColor rgb="FF92D050"/>
                </patternFill>
              </fill>
            </x14:dxf>
          </x14:cfRule>
          <xm:sqref>H15:H16</xm:sqref>
        </x14:conditionalFormatting>
        <x14:conditionalFormatting xmlns:xm="http://schemas.microsoft.com/office/excel/2006/main">
          <x14:cfRule type="cellIs" priority="351" operator="greaterThanOrEqual" id="{4E51195C-781F-41C0-9EDC-C74E46DA1A2D}">
            <xm:f>Start!$F$22</xm:f>
            <x14:dxf>
              <fill>
                <patternFill>
                  <bgColor rgb="FF92D050"/>
                </patternFill>
              </fill>
            </x14:dxf>
          </x14:cfRule>
          <xm:sqref>H14</xm:sqref>
        </x14:conditionalFormatting>
        <x14:conditionalFormatting xmlns:xm="http://schemas.microsoft.com/office/excel/2006/main">
          <x14:cfRule type="expression" priority="4" id="{8FB8B042-10E9-49AF-A874-122E002C3233}">
            <xm:f>'Headline Results'!$H$8:$I$8=0</xm:f>
            <x14:dxf>
              <font>
                <color theme="2" tint="-0.89996032593768116"/>
              </font>
              <fill>
                <patternFill>
                  <bgColor rgb="FFD5D3DC"/>
                </patternFill>
              </fill>
            </x14:dxf>
          </x14:cfRule>
          <xm:sqref>H14:I14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Y269"/>
  <sheetViews>
    <sheetView topLeftCell="E1" zoomScale="80" zoomScaleNormal="80" workbookViewId="0">
      <pane ySplit="11" topLeftCell="A12" activePane="bottomLeft" state="frozen"/>
      <selection activeCell="E1" sqref="E1"/>
      <selection pane="bottomLeft" activeCell="Q12" sqref="Q12"/>
    </sheetView>
  </sheetViews>
  <sheetFormatPr defaultColWidth="14.33203125" defaultRowHeight="13.8" zeroHeight="1" x14ac:dyDescent="0.25"/>
  <cols>
    <col min="1" max="1" width="8.44140625" style="30" hidden="1" customWidth="1"/>
    <col min="2" max="2" width="7.5546875" style="30" hidden="1" customWidth="1"/>
    <col min="3" max="3" width="25.6640625" style="30" hidden="1" customWidth="1"/>
    <col min="4" max="4" width="13.44140625" style="30" hidden="1" customWidth="1"/>
    <col min="5" max="5" width="12.33203125" style="30" customWidth="1"/>
    <col min="6" max="6" width="73.44140625" style="30" customWidth="1"/>
    <col min="7" max="7" width="11.44140625" style="30" customWidth="1"/>
    <col min="8" max="8" width="18.33203125" style="30" customWidth="1"/>
    <col min="9" max="9" width="19.33203125" style="30" customWidth="1"/>
    <col min="10" max="10" width="18.33203125" style="30" customWidth="1"/>
    <col min="11" max="11" width="19.33203125" style="30" customWidth="1"/>
    <col min="12" max="12" width="22.33203125" style="30" customWidth="1"/>
    <col min="13" max="13" width="21.5546875" style="30" customWidth="1"/>
    <col min="14" max="14" width="20.6640625" style="30" customWidth="1"/>
    <col min="15" max="15" width="29.6640625" style="30" customWidth="1"/>
    <col min="16" max="16" width="25.6640625" style="30" hidden="1" customWidth="1"/>
    <col min="17" max="17" width="29.6640625" style="30" customWidth="1"/>
    <col min="18" max="18" width="71.33203125" style="30" customWidth="1"/>
    <col min="19" max="19" width="15.6640625" style="30" hidden="1" customWidth="1"/>
    <col min="20" max="20" width="34.33203125" style="30" customWidth="1"/>
    <col min="21" max="21" width="37.6640625" style="30" customWidth="1"/>
    <col min="22" max="22" width="13.33203125" style="30" customWidth="1"/>
    <col min="23" max="23" width="18.33203125" style="30" customWidth="1"/>
    <col min="24" max="24" width="13.33203125" style="30" customWidth="1"/>
    <col min="25" max="25" width="12.5546875" style="30" bestFit="1" customWidth="1"/>
    <col min="26" max="26" width="12.5546875" style="30" customWidth="1"/>
    <col min="27" max="27" width="41.6640625" style="30" customWidth="1"/>
    <col min="28" max="28" width="20.33203125" style="30" customWidth="1"/>
    <col min="29" max="29" width="14" style="30" customWidth="1"/>
    <col min="30" max="30" width="18.44140625" style="30" customWidth="1"/>
    <col min="31" max="31" width="21.33203125" style="30" customWidth="1"/>
    <col min="32" max="32" width="22.33203125" style="30" customWidth="1"/>
    <col min="33" max="33" width="33" style="30" customWidth="1"/>
    <col min="34" max="35" width="18.44140625" style="30" customWidth="1"/>
    <col min="36" max="36" width="15.33203125" style="30" customWidth="1"/>
    <col min="37" max="37" width="28.33203125" style="30" customWidth="1"/>
    <col min="38" max="38" width="20.33203125" style="30" customWidth="1"/>
    <col min="39" max="39" width="13.5546875" style="30" customWidth="1"/>
    <col min="40" max="40" width="91.44140625" style="30" customWidth="1"/>
    <col min="41" max="41" width="15.44140625" style="30" hidden="1" customWidth="1"/>
    <col min="42" max="42" width="12.44140625" style="30" hidden="1" customWidth="1"/>
    <col min="43" max="43" width="18.44140625" style="30" customWidth="1"/>
    <col min="44" max="44" width="45.6640625" style="30" customWidth="1"/>
    <col min="45" max="45" width="50.44140625" style="30" customWidth="1"/>
    <col min="46" max="46" width="15.5546875" style="30" customWidth="1"/>
    <col min="47" max="47" width="17.6640625" style="30" customWidth="1"/>
    <col min="48" max="48" width="14.33203125" style="30" customWidth="1"/>
    <col min="49" max="49" width="14.33203125" style="30" hidden="1" customWidth="1"/>
    <col min="50" max="16380" width="0" style="30" hidden="1" customWidth="1"/>
    <col min="16381" max="16384" width="14.33203125" style="30"/>
  </cols>
  <sheetData>
    <row r="1" spans="1:51" ht="15.75" customHeight="1" thickBot="1" x14ac:dyDescent="0.3"/>
    <row r="2" spans="1:51" ht="20.100000000000001" customHeight="1" thickBot="1" x14ac:dyDescent="0.3">
      <c r="E2" s="1740" t="str">
        <f>CONCATENATE("Project Name:", " ", Start!F12, "     ", "Map Reference:", " ", Start!K66)</f>
        <v xml:space="preserve">Project Name: Chickenhall Lane     Map Reference: </v>
      </c>
      <c r="F2" s="1741"/>
      <c r="G2" s="1742"/>
      <c r="R2" s="1591" t="s">
        <v>388</v>
      </c>
      <c r="S2" s="1592"/>
      <c r="T2" s="1592"/>
      <c r="U2" s="1593"/>
      <c r="V2" s="1704" t="str" cm="1">
        <f t="array" ref="V2">IF(OR(Y12:Y258 = "Fairly Good", Y12:Y258 = "Fairly Poor"),"A 'Fairly' Category has been used - check evidence to ensure this is appropriate ⚠", "")</f>
        <v/>
      </c>
      <c r="W2" s="1704"/>
      <c r="X2" s="1704"/>
      <c r="Y2" s="1704"/>
      <c r="Z2" s="1704"/>
      <c r="AA2" s="1704"/>
      <c r="AD2" s="1654" t="str">
        <f>IF(OR(COUNTIF($AD$12:AD257,"*30+*")&gt;0,COUNTIF(AH12:AH257,"*30+*")&gt;0),"Note; Habitat selected has a time to target condition greater than 30 years. Non standard agreement may be required. ⚠","")</f>
        <v/>
      </c>
      <c r="AE2" s="1654"/>
      <c r="AF2" s="1654"/>
      <c r="AG2" s="1654"/>
      <c r="AH2" s="1654"/>
      <c r="AI2" s="1654"/>
    </row>
    <row r="3" spans="1:51" ht="15.75" customHeight="1" thickBot="1" x14ac:dyDescent="0.3">
      <c r="E3" s="1357" t="str">
        <f ca="1">MID(CELL("filename",E1),FIND("]",CELL("filename",E1))+1,256)</f>
        <v>D-3 Off-Site Habitat Enhancment</v>
      </c>
      <c r="F3" s="1358"/>
      <c r="G3" s="1359"/>
      <c r="R3" s="413" t="s">
        <v>389</v>
      </c>
      <c r="S3" s="394"/>
      <c r="T3" s="1676">
        <f>'Headline Results'!H47</f>
        <v>0.84319572381994057</v>
      </c>
      <c r="U3" s="1677"/>
      <c r="V3" s="1704"/>
      <c r="W3" s="1704"/>
      <c r="X3" s="1704"/>
      <c r="Y3" s="1704"/>
      <c r="Z3" s="1704"/>
      <c r="AA3" s="1704"/>
      <c r="AD3" s="1654"/>
      <c r="AE3" s="1654"/>
      <c r="AF3" s="1654"/>
      <c r="AG3" s="1654"/>
      <c r="AH3" s="1654"/>
      <c r="AI3" s="1654"/>
    </row>
    <row r="4" spans="1:51" ht="15.75" customHeight="1" thickBot="1" x14ac:dyDescent="0.35">
      <c r="E4" s="1357"/>
      <c r="F4" s="1358"/>
      <c r="G4" s="1359"/>
      <c r="R4" s="395" t="s">
        <v>391</v>
      </c>
      <c r="S4" s="396"/>
      <c r="T4" s="1678">
        <f>'Headline Results'!H51</f>
        <v>0.31411775892678639</v>
      </c>
      <c r="U4" s="1679"/>
      <c r="V4" s="1704"/>
      <c r="W4" s="1704"/>
      <c r="X4" s="1704"/>
      <c r="Y4" s="1704"/>
      <c r="Z4" s="1704"/>
      <c r="AA4" s="1704"/>
      <c r="AB4" s="31"/>
      <c r="AC4" s="136"/>
      <c r="AD4" s="260"/>
      <c r="AE4" s="260"/>
      <c r="AF4" s="260"/>
      <c r="AG4" s="260"/>
      <c r="AH4" s="136"/>
      <c r="AI4" s="136"/>
      <c r="AJ4" s="136"/>
      <c r="AK4" s="136"/>
      <c r="AL4" s="136"/>
      <c r="AM4" s="136"/>
      <c r="AN4" s="136"/>
    </row>
    <row r="5" spans="1:51" ht="15" customHeight="1" thickBot="1" x14ac:dyDescent="0.3">
      <c r="H5" s="1728" t="str" cm="1">
        <f t="array" ref="H5">IF(OR(AY12:AY257="Yes"), "👁 Enhanced irreplaceable habitats highlighted below ", "")</f>
        <v/>
      </c>
      <c r="I5" s="1728"/>
      <c r="J5" s="1728"/>
      <c r="K5" s="1728"/>
      <c r="L5" s="1728"/>
      <c r="R5" s="414" t="s">
        <v>393</v>
      </c>
      <c r="S5" s="397"/>
      <c r="T5" s="1729" t="str" cm="1">
        <f t="array" ref="T5">IF(OR('Trading Summary Area Habitats'!G5:G8="No ▲"), "No - check trading summaries ▲", "Yes ✓")</f>
        <v>Yes ✓</v>
      </c>
      <c r="U5" s="1730"/>
      <c r="V5" s="1704"/>
      <c r="W5" s="1704"/>
      <c r="X5" s="1704"/>
      <c r="Y5" s="1704"/>
      <c r="Z5" s="1704"/>
      <c r="AA5" s="1704"/>
      <c r="AD5" s="1672" t="str">
        <f>IF(Q12&lt;&gt;A12,"Change in broad habitat type detected. Check compliance with guidance.","")</f>
        <v/>
      </c>
      <c r="AE5" s="1672"/>
      <c r="AF5" s="1672"/>
      <c r="AG5" s="1672"/>
      <c r="AH5" s="1672"/>
      <c r="AI5" s="1672"/>
    </row>
    <row r="6" spans="1:51" ht="15.75" customHeight="1" x14ac:dyDescent="0.25">
      <c r="H6" s="1728"/>
      <c r="I6" s="1728"/>
      <c r="J6" s="1728"/>
      <c r="K6" s="1728"/>
      <c r="L6" s="1728"/>
      <c r="R6" s="1717" t="str" cm="1">
        <f t="array" ref="R6">IF(OR(E11:E258="watercourse footprint"),"Please ensure the watercourse details for any watercourse footprints recorded are included in the watercourse tabs ⚠","")</f>
        <v/>
      </c>
      <c r="S6" s="1717"/>
      <c r="T6" s="1717"/>
      <c r="AD6" s="1672"/>
      <c r="AE6" s="1672"/>
      <c r="AF6" s="1672"/>
      <c r="AG6" s="1672"/>
      <c r="AH6" s="1672"/>
      <c r="AI6" s="1672"/>
    </row>
    <row r="7" spans="1:51" x14ac:dyDescent="0.25">
      <c r="F7" s="93"/>
      <c r="G7" s="92"/>
      <c r="R7" s="1717"/>
      <c r="S7" s="1717"/>
      <c r="T7" s="1717"/>
    </row>
    <row r="8" spans="1:51" ht="14.4" thickBot="1" x14ac:dyDescent="0.3">
      <c r="R8" s="1731"/>
      <c r="S8" s="1731"/>
      <c r="T8" s="1731"/>
    </row>
    <row r="9" spans="1:51" ht="14.4" thickBot="1" x14ac:dyDescent="0.3">
      <c r="F9" s="92"/>
      <c r="G9" s="92"/>
      <c r="H9" s="92"/>
      <c r="I9" s="92"/>
      <c r="J9" s="92"/>
      <c r="K9" s="92"/>
      <c r="L9" s="92"/>
      <c r="M9" s="92"/>
      <c r="N9" s="92"/>
      <c r="O9" s="92"/>
      <c r="P9" s="92"/>
      <c r="Q9" s="1722" t="s">
        <v>437</v>
      </c>
      <c r="R9" s="1723"/>
      <c r="S9" s="1723"/>
      <c r="T9" s="1723"/>
      <c r="U9" s="1723"/>
      <c r="V9" s="1723"/>
      <c r="W9" s="1723"/>
      <c r="X9" s="1723"/>
      <c r="Y9" s="1723"/>
      <c r="Z9" s="1723"/>
      <c r="AA9" s="1723"/>
      <c r="AB9" s="1723"/>
      <c r="AC9" s="1723"/>
      <c r="AD9" s="1723"/>
      <c r="AE9" s="1723"/>
      <c r="AF9" s="1723"/>
      <c r="AG9" s="1723"/>
      <c r="AH9" s="1723"/>
      <c r="AI9" s="1723"/>
      <c r="AJ9" s="1723"/>
      <c r="AK9" s="1723"/>
      <c r="AL9" s="1723"/>
      <c r="AM9" s="1723"/>
      <c r="AN9" s="1723"/>
      <c r="AO9" s="1724"/>
    </row>
    <row r="10" spans="1:51" ht="30.6" customHeight="1" thickBot="1" x14ac:dyDescent="0.3">
      <c r="F10" s="1743" t="s">
        <v>457</v>
      </c>
      <c r="G10" s="1745"/>
      <c r="H10" s="1745"/>
      <c r="I10" s="1745"/>
      <c r="J10" s="1745"/>
      <c r="K10" s="1745"/>
      <c r="L10" s="1745"/>
      <c r="M10" s="1745"/>
      <c r="N10" s="1745"/>
      <c r="O10" s="1746"/>
      <c r="P10" s="151"/>
      <c r="Q10" s="1743" t="s">
        <v>458</v>
      </c>
      <c r="R10" s="1746"/>
      <c r="S10" s="545"/>
      <c r="T10" s="1743" t="s">
        <v>459</v>
      </c>
      <c r="U10" s="1746"/>
      <c r="V10" s="1732" t="s">
        <v>410</v>
      </c>
      <c r="W10" s="1738" t="s">
        <v>395</v>
      </c>
      <c r="X10" s="1738" t="s">
        <v>411</v>
      </c>
      <c r="Y10" s="1738" t="s">
        <v>396</v>
      </c>
      <c r="Z10" s="1749" t="s">
        <v>411</v>
      </c>
      <c r="AA10" s="1747" t="s">
        <v>397</v>
      </c>
      <c r="AB10" s="1748"/>
      <c r="AC10" s="1744"/>
      <c r="AD10" s="1734" t="s">
        <v>440</v>
      </c>
      <c r="AE10" s="1735"/>
      <c r="AF10" s="1735"/>
      <c r="AG10" s="1735"/>
      <c r="AH10" s="1735"/>
      <c r="AI10" s="1736"/>
      <c r="AJ10" s="1734" t="s">
        <v>441</v>
      </c>
      <c r="AK10" s="1735"/>
      <c r="AL10" s="1735"/>
      <c r="AM10" s="1736"/>
      <c r="AN10" s="1743" t="s">
        <v>483</v>
      </c>
      <c r="AO10" s="1744"/>
      <c r="AP10" s="1688" t="s">
        <v>496</v>
      </c>
      <c r="AQ10" s="1688" t="s">
        <v>442</v>
      </c>
      <c r="AR10" s="1722" t="s">
        <v>401</v>
      </c>
      <c r="AS10" s="1723"/>
      <c r="AT10" s="1723"/>
      <c r="AU10" s="1724"/>
    </row>
    <row r="11" spans="1:51" ht="65.099999999999994" customHeight="1" thickBot="1" x14ac:dyDescent="0.3">
      <c r="A11" s="92" t="s">
        <v>407</v>
      </c>
      <c r="B11" s="92" t="s">
        <v>135</v>
      </c>
      <c r="C11" s="92" t="s">
        <v>405</v>
      </c>
      <c r="E11" s="120" t="s">
        <v>463</v>
      </c>
      <c r="F11" s="125" t="s">
        <v>464</v>
      </c>
      <c r="G11" s="125" t="s">
        <v>465</v>
      </c>
      <c r="H11" s="125" t="s">
        <v>466</v>
      </c>
      <c r="I11" s="125" t="s">
        <v>467</v>
      </c>
      <c r="J11" s="125" t="s">
        <v>468</v>
      </c>
      <c r="K11" s="125" t="s">
        <v>469</v>
      </c>
      <c r="L11" s="125" t="s">
        <v>470</v>
      </c>
      <c r="M11" s="125" t="s">
        <v>471</v>
      </c>
      <c r="N11" s="125" t="s">
        <v>472</v>
      </c>
      <c r="O11" s="124" t="s">
        <v>398</v>
      </c>
      <c r="P11" s="620" t="s">
        <v>492</v>
      </c>
      <c r="Q11" s="120" t="s">
        <v>474</v>
      </c>
      <c r="R11" s="124" t="s">
        <v>497</v>
      </c>
      <c r="S11" s="522" t="s">
        <v>498</v>
      </c>
      <c r="T11" s="120" t="s">
        <v>475</v>
      </c>
      <c r="U11" s="124" t="s">
        <v>476</v>
      </c>
      <c r="V11" s="1733"/>
      <c r="W11" s="1739"/>
      <c r="X11" s="1739"/>
      <c r="Y11" s="1739"/>
      <c r="Z11" s="1750"/>
      <c r="AA11" s="116" t="s">
        <v>397</v>
      </c>
      <c r="AB11" s="580" t="s">
        <v>397</v>
      </c>
      <c r="AC11" s="546" t="s">
        <v>412</v>
      </c>
      <c r="AD11" s="116" t="s">
        <v>443</v>
      </c>
      <c r="AE11" s="580" t="s">
        <v>499</v>
      </c>
      <c r="AF11" s="580" t="s">
        <v>478</v>
      </c>
      <c r="AG11" s="580" t="s">
        <v>446</v>
      </c>
      <c r="AH11" s="580" t="s">
        <v>447</v>
      </c>
      <c r="AI11" s="546" t="s">
        <v>448</v>
      </c>
      <c r="AJ11" s="116" t="s">
        <v>500</v>
      </c>
      <c r="AK11" s="580" t="s">
        <v>450</v>
      </c>
      <c r="AL11" s="580" t="s">
        <v>501</v>
      </c>
      <c r="AM11" s="546" t="s">
        <v>452</v>
      </c>
      <c r="AN11" s="522" t="s">
        <v>486</v>
      </c>
      <c r="AO11" s="621" t="s">
        <v>483</v>
      </c>
      <c r="AP11" s="1737"/>
      <c r="AQ11" s="1751"/>
      <c r="AR11" s="120" t="s">
        <v>385</v>
      </c>
      <c r="AS11" s="125" t="s">
        <v>362</v>
      </c>
      <c r="AT11" s="43" t="s">
        <v>487</v>
      </c>
      <c r="AU11" s="43" t="s">
        <v>488</v>
      </c>
      <c r="AY11" s="33" t="s">
        <v>409</v>
      </c>
    </row>
    <row r="12" spans="1:51" x14ac:dyDescent="0.25">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619" t="str">
        <f>'D-1 Off-Site Habitat Baseline'!AP11</f>
        <v/>
      </c>
      <c r="F12" s="289" t="str">
        <f>IF(E12="","",IF(ISNA(VLOOKUP($E12,'D-1 Off-Site Habitat Baseline'!$D$1:$ZZ$258,45,FALSE)),"",(VLOOKUP($E12,'D-1 Off-Site Habitat Baseline'!$D$1:$ZZ$258,45,FALSE))))</f>
        <v/>
      </c>
      <c r="G12" s="289" t="str">
        <f>IF(E12="","",IF(ISNA(VLOOKUP($E12,'D-1 Off-Site Habitat Baseline'!$D$1:$O$258,5,FALSE)),"",(VLOOKUP($E12,'D-1 Off-Site Habitat Baseline'!$D$1:$O$258,5,FALSE))))</f>
        <v/>
      </c>
      <c r="H12" s="289" t="str">
        <f>IF(E12="","",IF(ISNA(VLOOKUP($E12,'D-1 Off-Site Habitat Baseline'!$D$1:$O$258,6,FALSE)),"",(VLOOKUP($E12,'D-1 Off-Site Habitat Baseline'!$D$1:$O$258,6,FALSE))))</f>
        <v/>
      </c>
      <c r="I12" s="289" t="str">
        <f>IF(E12="","",IF(ISNA(VLOOKUP($E12,'D-1 Off-Site Habitat Baseline'!$D$1:$O$258,7,FALSE)),"",(VLOOKUP($E12,'D-1 Off-Site Habitat Baseline'!$D$1:$O$258,7,FALSE))))</f>
        <v/>
      </c>
      <c r="J12" s="289" t="str">
        <f>IF(E12="","",IF(ISNA(VLOOKUP($E12,'D-1 Off-Site Habitat Baseline'!$D$1:$O$258,8,FALSE)),"",(VLOOKUP($E12,'D-1 Off-Site Habitat Baseline'!$D$1:$O$258,8,FALSE))))</f>
        <v/>
      </c>
      <c r="K12" s="289" t="str">
        <f>IF(E12="","",IF(ISNA(VLOOKUP($E12,'D-1 Off-Site Habitat Baseline'!$D$1:$O$258,9,FALSE)),"",(VLOOKUP($E12,'D-1 Off-Site Habitat Baseline'!$D$1:$O$258,9,FALSE))))</f>
        <v/>
      </c>
      <c r="L12" s="289" t="str">
        <f>IF(E12="","",IF(ISNA(VLOOKUP($E12,'D-1 Off-Site Habitat Baseline'!$D$1:$O$258,11,FALSE)),"",(VLOOKUP($E12,'D-1 Off-Site Habitat Baseline'!$D$1:$O$258,11,FALSE))))</f>
        <v/>
      </c>
      <c r="M12" s="289" t="str">
        <f>IF(E12="","",IF(ISNA(VLOOKUP($E12,'D-1 Off-Site Habitat Baseline'!$D$1:$O$258,12,FALSE)),"",(VLOOKUP($E12,'D-1 Off-Site Habitat Baseline'!$D$1:$O$258,12,FALSE))))</f>
        <v/>
      </c>
      <c r="N12" s="301" t="str">
        <f>IF(E12="","",IF(ISNA(VLOOKUP($E12,'D-1 Off-Site Habitat Baseline'!$D$1:$AA$258,17,FALSE)),"",(VLOOKUP($E12,'D-1 Off-Site Habitat Baseline'!$D$1:$AA$258,17,FALSE))))</f>
        <v/>
      </c>
      <c r="O12" s="282" t="str">
        <f>IF(E12="","",IF(ISNA(VLOOKUP($E12,'D-1 Off-Site Habitat Baseline'!$D$1:$AA$258,13,FALSE)),"",(VLOOKUP($E12,'D-1 Off-Site Habitat Baseline'!$D$1:$AA$258,13,FALSE))))</f>
        <v/>
      </c>
      <c r="P12" s="152" t="str">
        <f>IFERROR(INDEX('G-1 All Habitats'!$AG$49:$AG$63,MATCH(Q12,'G-1 All Habitats'!$AF$27:$AF$41,0)),"")</f>
        <v/>
      </c>
      <c r="Q12" s="153"/>
      <c r="R12" s="154"/>
      <c r="S12" s="155" t="str">
        <f>IFERROR(INDEX('G-1 All Habitats'!$B$3:$B$135,MATCH(R12,'G-1 All Habitats'!$A$3:$A$135,0)),"")</f>
        <v/>
      </c>
      <c r="T12" s="289"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 IF(AND(R12="Littoral seagrass",F12&lt;&gt;"Intertidal sediment - Littoral seagrass", F12&lt;&gt;"Intertidal sediment - Littoral sand"),"Error - Enhancement not possible ▲",IF(AND(R12="Artificial hard structures with integrated greening of grey infrastructure (IGGI)",F12&lt;&gt;"Intertidal hard structures - Artificial hard structures with integrated greening of grey infrastructure (IGGI)", F12&lt;&gt;"Intertidal hard structures - Artificial hard structures", F12&lt;&gt;"Intertidal hard structures - Artificial features of hard structures"),"Error - Enhancement not possible ▲",H12&amp;" - "&amp;W12))))))))</f>
        <v/>
      </c>
      <c r="U12" s="282" t="str">
        <f>IF(F12="","",IF(AND(S12&lt;&gt;F12,AY12="Yes"),"Error you cannot replace an irreplaceable habitat ▲",IF(AND(LEFT(F12,55)&lt;&gt;LEFT(S12,55),T12=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329" t="str">
        <f>IF(S12="","",VLOOKUP(E12,BaselineHabOffsite,20,FALSE))</f>
        <v/>
      </c>
      <c r="W12" s="289" t="str">
        <f>IF(S12="","",VLOOKUP(S12,'G-1 All Habitats'!$B$2:$M$135,10,FALSE))</f>
        <v/>
      </c>
      <c r="X12" s="289" t="str">
        <f>IFERROR(VLOOKUP(W12,'G-1 All Habitats'!$V$3:$W$7,2,FALSE),"")</f>
        <v/>
      </c>
      <c r="Y12" s="137"/>
      <c r="Z12" s="282" t="str">
        <f>IFERROR(INDEX('G-8 Condition Look up'!$A$3:$H$135,MATCH(S12,'G-8 Condition Look up'!$A$3:$A$135,0),MATCH(Y12,'G-8 Condition Look up'!$A$3:$H$3,0)),"")</f>
        <v/>
      </c>
      <c r="AA12" s="105"/>
      <c r="AB12" s="320" t="str">
        <f>IF(AA12="","",IF(VLOOKUP(AA12,'G-3 Multipliers'!$L$3:$N$6,2,FALSE)=0,"Spatial Data Missing ⚠",VLOOKUP(AA12,'G-3 Multipliers'!$L$3:$N$6,2,FALSE)))</f>
        <v/>
      </c>
      <c r="AC12" s="282" t="str">
        <f>IF(AA12="","",IF(VLOOKUP(AA12,'G-3 Multipliers'!$L$3:$N$6,3,FALSE)=0,"Spatial Data Missing ⚠",VLOOKUP(AA12,'G-3 Multipliers'!$L$3:$N$6,3,FALSE)))</f>
        <v/>
      </c>
      <c r="AD12" s="281" t="str">
        <f t="shared" ref="AD12:AD75" si="0">IFERROR(IF(OR(LEFT(U12,5)="Error",LEFT(T12,5)="Error"),"Check Data ⚠",INDEX(EnhanceTemporal,MATCH(S12,EnhanceHabitat,0),MATCH(U12,EnhanceCondition,0))),"")</f>
        <v/>
      </c>
      <c r="AE12" s="137"/>
      <c r="AF12" s="137"/>
      <c r="AG12" s="28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02" t="str">
        <f>IF(AG12="Error -both advance and delayed habitat creation ▲","Check Data ⚠",IF(AG12="Check Data ⚠","Check Data ⚠",IF(AD12="","",IF(AD12="Not Possible ▲","CheckData ⚠",IF(AND(AD12="30+",AE12=0),"30+",IF(AND(AD12="30+",AE12="30+"),0,IF(AND(AD12="30+",AE12&lt;30),30-AE12,IF(AD12="30+",30-AE12,IF(AF12="30+","30+",IF(AE12&gt;AD12,0,IF(AD12+AF12&gt;30,"30+",IF(AD12+AF12&gt;30,"30+",IF(AD12-AE12&gt;30,"30+",IF(AD12+AF12-AE12&gt;0,AD12+AF12-AE12,IF(AD12-AE12&gt;0,AD12-AE12,AD12+AF12-AE12)))))))))))))))</f>
        <v/>
      </c>
      <c r="AI12" s="303" t="str">
        <f>IF(AH12="Check Data ⚠","Check Data ⚠",IFERROR(VLOOKUP(AH12,'G-4 Temporal multipliers'!$A$4:$C$36,3,FALSE),""))</f>
        <v/>
      </c>
      <c r="AJ12" s="281" t="str">
        <f>IF(S12="","",VLOOKUP(S12,'G-3 Multipliers'!$A$2:$E$134,4,FALSE))</f>
        <v/>
      </c>
      <c r="AK12" s="289" t="str">
        <f>IF(E12="","",IF(AG12="Check details - Is there evidence that habitat has reached target condition? ⚠","Low Difficulty - only applicable if all habitat created before losses ⚠","Standard difficulty applied"))</f>
        <v/>
      </c>
      <c r="AL12" s="289" t="str">
        <f>(IF(AND(AK12="Standard difficulty applied",AD12&gt;AE12),AJ12,IF(AND(AK12="Low Difficulty - only applicable if all habitat created before losses ⚠",AE12&gt;=AD12),"Low", AJ12)))</f>
        <v/>
      </c>
      <c r="AM12" s="282" t="str">
        <f>IFERROR(IF(F12="","",IF(AH12="Check Data ⚠","Check Data ⚠",VLOOKUP(AL12, 'G-3 Multipliers'!$P$2:$Q$6,2,FALSE))),"")</f>
        <v/>
      </c>
      <c r="AN12" s="728"/>
      <c r="AO12" s="335" t="str">
        <f>IF(AN12="","",IF(VLOOKUP(AN12,'G-3 Multipliers'!$S$3:$T$10,2,FALSE)=0,"Spatial Data Missing ⚠",VLOOKUP(AN12,'G-3 Multipliers'!$S$3:$T$10,2,FALSE)))</f>
        <v/>
      </c>
      <c r="AP12" s="295" t="str">
        <f>IFERROR(IF(N12="Check Data ⚠", "Check Data ⚠",(((((V12*X12*Z12)-(V12*I12*K12))*(AM12*AI12))+(V12*I12*K12))*(AC12)*AO12)),"")</f>
        <v/>
      </c>
      <c r="AQ12" s="295" t="str">
        <f>IFERROR(IF(AN12="","", (IF(AND(AN12&lt;&gt;"",AU12=""), "Off-site reference required ▲",IF(N12="Error - you cannot enhance irreplaceable individual trees ▲", "Error - you cannot enhance irreplaceable individual trees ▲", IF(N12="Check Data ⚠", "Check Data ⚠",((((V12*X12*Z12)-(V12*I12*K12))*(AM12*AI12))+(V12*I12*K12))*(AC12)))))),"")</f>
        <v/>
      </c>
      <c r="AR12" s="105"/>
      <c r="AS12" s="137"/>
      <c r="AT12" s="119"/>
      <c r="AU12" s="119"/>
      <c r="AY12" s="30" t="str">
        <f>IF(E12="","",IF(ISNA(VLOOKUP($E12,'D-1 Off-Site Habitat Baseline'!$D$1:$AV$258,4,FALSE)),"",(VLOOKUP($E12,'D-1 Off-Site Habitat Baseline'!$D$1:$AV$258,4,FALSE))))</f>
        <v/>
      </c>
    </row>
    <row r="13" spans="1:51" x14ac:dyDescent="0.25">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325" t="str">
        <f>'D-1 Off-Site Habitat Baseline'!AP12</f>
        <v/>
      </c>
      <c r="F13" s="289" t="str">
        <f>IF(E13="","",IF(ISNA(VLOOKUP($E13,'D-1 Off-Site Habitat Baseline'!$D$1:$ZZ$258,45,FALSE)),"",(VLOOKUP($E13,'D-1 Off-Site Habitat Baseline'!$D$1:$ZZ$258,45,FALSE))))</f>
        <v/>
      </c>
      <c r="G13" s="301" t="str">
        <f>IF(E13="","",IF(ISNA(VLOOKUP($E13,'D-1 Off-Site Habitat Baseline'!$D$1:$O$258,5,FALSE)),"",(VLOOKUP($E13,'D-1 Off-Site Habitat Baseline'!$D$1:$O$258,5,FALSE))))</f>
        <v/>
      </c>
      <c r="H13" s="301" t="str">
        <f>IF(E13="","",IF(ISNA(VLOOKUP($E13,'D-1 Off-Site Habitat Baseline'!$D$1:$O$258,6,FALSE)),"",(VLOOKUP($E13,'D-1 Off-Site Habitat Baseline'!$D$1:$O$258,6,FALSE))))</f>
        <v/>
      </c>
      <c r="I13" s="301" t="str">
        <f>IF(E13="","",IF(ISNA(VLOOKUP($E13,'D-1 Off-Site Habitat Baseline'!$D$1:$O$258,7,FALSE)),"",(VLOOKUP($E13,'D-1 Off-Site Habitat Baseline'!$D$1:$O$258,7,FALSE))))</f>
        <v/>
      </c>
      <c r="J13" s="301" t="str">
        <f>IF(E13="","",IF(ISNA(VLOOKUP($E13,'D-1 Off-Site Habitat Baseline'!$D$1:$O$258,8,FALSE)),"",(VLOOKUP($E13,'D-1 Off-Site Habitat Baseline'!$D$1:$O$258,8,FALSE))))</f>
        <v/>
      </c>
      <c r="K13" s="301" t="str">
        <f>IF(E13="","",IF(ISNA(VLOOKUP($E13,'D-1 Off-Site Habitat Baseline'!$D$1:$O$258,9,FALSE)),"",(VLOOKUP($E13,'D-1 Off-Site Habitat Baseline'!$D$1:$O$258,9,FALSE))))</f>
        <v/>
      </c>
      <c r="L13" s="301" t="str">
        <f>IF(E13="","",IF(ISNA(VLOOKUP($E13,'D-1 Off-Site Habitat Baseline'!$D$1:$O$258,11,FALSE)),"",(VLOOKUP($E13,'D-1 Off-Site Habitat Baseline'!$D$1:$O$258,11,FALSE))))</f>
        <v/>
      </c>
      <c r="M13" s="301" t="str">
        <f>IF(E13="","",IF(ISNA(VLOOKUP($E13,'D-1 Off-Site Habitat Baseline'!$D$1:$O$258,12,FALSE)),"",(VLOOKUP($E13,'D-1 Off-Site Habitat Baseline'!$D$1:$O$258,12,FALSE))))</f>
        <v/>
      </c>
      <c r="N13" s="301" t="str">
        <f>IF(E13="","",IF(ISNA(VLOOKUP($E13,'D-1 Off-Site Habitat Baseline'!$D$1:$AA$258,17,FALSE)),"",(VLOOKUP($E13,'D-1 Off-Site Habitat Baseline'!$D$1:$AA$258,17,FALSE))))</f>
        <v/>
      </c>
      <c r="O13" s="305" t="str">
        <f>IF(E13="","",IF(ISNA(VLOOKUP($E13,'D-1 Off-Site Habitat Baseline'!$D$1:$AA$258,13,FALSE)),"",(VLOOKUP($E13,'D-1 Off-Site Habitat Baseline'!$D$1:$AA$258,13,FALSE))))</f>
        <v/>
      </c>
      <c r="P13" s="152" t="str">
        <f>IFERROR(INDEX('G-1 All Habitats'!$AG$49:$AG$63,MATCH(Q13,'G-1 All Habitats'!$AF$27:$AF$41,0)),"")</f>
        <v/>
      </c>
      <c r="Q13" s="153"/>
      <c r="R13" s="154"/>
      <c r="S13" s="155" t="str">
        <f>IFERROR(INDEX('G-1 All Habitats'!$B$3:$B$135,MATCH(R13,'G-1 All Habitats'!$A$3:$A$135,0)),"")</f>
        <v/>
      </c>
      <c r="T13" s="289" t="str">
        <f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 IF(AND(R13="Littoral seagrass",F13&lt;&gt;"Intertidal sediment - Littoral seagrass", F13&lt;&gt;"Intertidal sediment - Littoral sand"),"Error - Enhancement not possible ▲",IF(AND(R13="Artificial hard structures with integrated greening of grey infrastructure (IGGI)",F13&lt;&gt;"Intertidal hard structures - Artificial hard structures with integrated greening of grey infrastructure (IGGI)", F13&lt;&gt;"Intertidal hard structures - Artificial hard structures", F13&lt;&gt;"Intertidal hard structures - Artificial features of hard structures"),"Error - Enhancement not possible ▲",H13&amp;" - "&amp;W13))))))))</f>
        <v/>
      </c>
      <c r="U13" s="305" t="str">
        <f t="shared" ref="U13:U76" si="2">IF(F13="","",IF(AND(S13&lt;&gt;F13,AY13="Yes"),"Error you cannot replace an irreplaceable habitat ▲",IF(AND(LEFT(F13,55)&lt;&gt;LEFT(S13,55),T13=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04" t="str">
        <f t="shared" ref="V13:V75" si="3">IF(S13="","",VLOOKUP(E13,BaselineHabOffsite,20,FALSE))</f>
        <v/>
      </c>
      <c r="W13" s="301" t="str">
        <f>IF(S13="","",VLOOKUP(S13,'G-1 All Habitats'!$B$2:$M$135,10,FALSE))</f>
        <v/>
      </c>
      <c r="X13" s="301" t="str">
        <f>IFERROR(VLOOKUP(W13,'G-1 All Habitats'!$V$3:$W$7,2,FALSE),"")</f>
        <v/>
      </c>
      <c r="Y13" s="142"/>
      <c r="Z13" s="305" t="str">
        <f>IFERROR(INDEX('G-8 Condition Look up'!$A$3:$H$135,MATCH(S13,'G-8 Condition Look up'!$A$3:$A$135,0),MATCH(Y13,'G-8 Condition Look up'!$A$3:$H$3,0)),"")</f>
        <v/>
      </c>
      <c r="AA13" s="105"/>
      <c r="AB13" s="320" t="str">
        <f>IF(AA13="","",IF(VLOOKUP(AA13,'G-3 Multipliers'!$L$3:$N$6,2,FALSE)=0,"Spatial Data Missing ⚠",VLOOKUP(AA13,'G-3 Multipliers'!$L$3:$N$6,2,FALSE)))</f>
        <v/>
      </c>
      <c r="AC13" s="305" t="str">
        <f>IF(AA13="","",IF(VLOOKUP(AA13,'G-3 Multipliers'!$L$3:$N$6,3,FALSE)=0,"Spatial Data Missing ⚠",VLOOKUP(AA13,'G-3 Multipliers'!$L$3:$N$6,3,FALSE)))</f>
        <v/>
      </c>
      <c r="AD13" s="317" t="str">
        <f t="shared" si="0"/>
        <v/>
      </c>
      <c r="AE13" s="142"/>
      <c r="AF13" s="142"/>
      <c r="AG13" s="301" t="str">
        <f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02" t="str">
        <f t="shared" ref="AH13:AH76" si="5">IF(AG13="Error -both advance and delayed habitat creation ▲","Check Data ⚠",IF(AG13="Check Data ⚠","Check Data ⚠",IF(AD13="","",IF(AD13="Not Possible ▲","CheckData ⚠",IF(AND(AD13="30+",AE13=0),"30+",IF(AND(AD13="30+",AE13="30+"),0,IF(AND(AD13="30+",AE13&lt;30),30-AE13,IF(AD13="30+",30-AE13,IF(AF13="30+","30+",IF(AE13&gt;AD13,0,IF(AD13+AF13&gt;30,"30+",IF(AD13+AF13&gt;30,"30+",IF(AD13-AE13&gt;30,"30+",IF(AD13+AF13-AE13&gt;0,AD13+AF13-AE13,IF(AD13-AE13&gt;0,AD13-AE13,AD13+AF13-AE13)))))))))))))))</f>
        <v/>
      </c>
      <c r="AI13" s="306" t="str">
        <f>IF(AH13="Check Data ⚠","Check Data ⚠",IFERROR(VLOOKUP(AH13,'G-4 Temporal multipliers'!$A$4:$C$36,3,FALSE),""))</f>
        <v/>
      </c>
      <c r="AJ13" s="317" t="str">
        <f>IF(S13="","",VLOOKUP(S13,'G-3 Multipliers'!$A$2:$E$134,4,FALSE))</f>
        <v/>
      </c>
      <c r="AK13" s="301" t="str">
        <f t="shared" ref="AK13:AK76" si="6">IF(E13="","",IF(AG13="Check details - Is there evidence that habitat has reached target condition? ⚠","Low Difficulty - only applicable if all habitat created before losses ⚠","Standard difficulty applied"))</f>
        <v/>
      </c>
      <c r="AL13" s="301" t="str">
        <f t="shared" ref="AL13:AL76" si="7">(IF(AND(AK13="Standard difficulty applied",AD13&gt;AE13),AJ13,IF(AND(AK13="Low Difficulty - only applicable if all habitat created before losses ⚠",AE13&gt;=AD13),"Low", AJ13)))</f>
        <v/>
      </c>
      <c r="AM13" s="305" t="str">
        <f>IFERROR(IF(F13="","",IF(AH13="Check Data ⚠","Check Data ⚠",VLOOKUP(AL13, 'G-3 Multipliers'!$P$2:$Q$6,2,FALSE))),"")</f>
        <v/>
      </c>
      <c r="AN13" s="728"/>
      <c r="AO13" s="335" t="str">
        <f>IF(AN13="","",IF(VLOOKUP(AN13,'G-3 Multipliers'!$S$3:$T$10,2,FALSE)=0,"Spatial Data Missing ⚠",VLOOKUP(AN13,'G-3 Multipliers'!$S$3:$T$10,2,FALSE)))</f>
        <v/>
      </c>
      <c r="AP13" s="295" t="str">
        <f t="shared" ref="AP13:AP76" si="8">IFERROR(IF(N13="Check Data ⚠", "Check Data ⚠",(((((V13*X13*Z13)-(V13*I13*K13))*(AM13*AI13))+(V13*I13*K13))*(AC13)*AO13)),"")</f>
        <v/>
      </c>
      <c r="AQ13" s="295" t="str">
        <f t="shared" ref="AQ13:AQ76" si="9">IFERROR(IF(AN13="","", (IF(AND(AN13&lt;&gt;"",AU13=""), "Off-site reference required ▲",IF(N13="Error - you cannot enhance irreplaceable individual trees ▲", "Error - you cannot enhance irreplaceable individual trees ▲", IF(N13="Check Data ⚠", "Check Data ⚠",((((V13*X13*Z13)-(V13*I13*K13))*(AM13*AI13))+(V13*I13*K13))*(AC13)))))),"")</f>
        <v/>
      </c>
      <c r="AR13" s="109"/>
      <c r="AS13" s="142"/>
      <c r="AT13" s="108"/>
      <c r="AU13" s="108"/>
      <c r="AY13" s="30" t="str">
        <f>IF(E13="","",IF(ISNA(VLOOKUP($E13,'D-1 Off-Site Habitat Baseline'!$D$1:$AV$258,4,FALSE)),"",(VLOOKUP($E13,'D-1 Off-Site Habitat Baseline'!$D$1:$AV$258,4,FALSE))))</f>
        <v/>
      </c>
    </row>
    <row r="14" spans="1:51" x14ac:dyDescent="0.25">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325" t="str">
        <f>'D-1 Off-Site Habitat Baseline'!AP13</f>
        <v/>
      </c>
      <c r="F14" s="289" t="str">
        <f>IF(E14="","",IF(ISNA(VLOOKUP($E14,'D-1 Off-Site Habitat Baseline'!$D$1:$ZZ$258,45,FALSE)),"",(VLOOKUP($E14,'D-1 Off-Site Habitat Baseline'!$D$1:$ZZ$258,45,FALSE))))</f>
        <v/>
      </c>
      <c r="G14" s="301" t="str">
        <f>IF(E14="","",IF(ISNA(VLOOKUP($E14,'D-1 Off-Site Habitat Baseline'!$D$1:$O$258,5,FALSE)),"",(VLOOKUP($E14,'D-1 Off-Site Habitat Baseline'!$D$1:$O$258,5,FALSE))))</f>
        <v/>
      </c>
      <c r="H14" s="301" t="str">
        <f>IF(E14="","",IF(ISNA(VLOOKUP($E14,'D-1 Off-Site Habitat Baseline'!$D$1:$O$258,6,FALSE)),"",(VLOOKUP($E14,'D-1 Off-Site Habitat Baseline'!$D$1:$O$258,6,FALSE))))</f>
        <v/>
      </c>
      <c r="I14" s="301" t="str">
        <f>IF(E14="","",IF(ISNA(VLOOKUP($E14,'D-1 Off-Site Habitat Baseline'!$D$1:$O$258,7,FALSE)),"",(VLOOKUP($E14,'D-1 Off-Site Habitat Baseline'!$D$1:$O$258,7,FALSE))))</f>
        <v/>
      </c>
      <c r="J14" s="301" t="str">
        <f>IF(E14="","",IF(ISNA(VLOOKUP($E14,'D-1 Off-Site Habitat Baseline'!$D$1:$O$258,8,FALSE)),"",(VLOOKUP($E14,'D-1 Off-Site Habitat Baseline'!$D$1:$O$258,8,FALSE))))</f>
        <v/>
      </c>
      <c r="K14" s="301" t="str">
        <f>IF(E14="","",IF(ISNA(VLOOKUP($E14,'D-1 Off-Site Habitat Baseline'!$D$1:$O$258,9,FALSE)),"",(VLOOKUP($E14,'D-1 Off-Site Habitat Baseline'!$D$1:$O$258,9,FALSE))))</f>
        <v/>
      </c>
      <c r="L14" s="301" t="str">
        <f>IF(E14="","",IF(ISNA(VLOOKUP($E14,'D-1 Off-Site Habitat Baseline'!$D$1:$O$258,11,FALSE)),"",(VLOOKUP($E14,'D-1 Off-Site Habitat Baseline'!$D$1:$O$258,11,FALSE))))</f>
        <v/>
      </c>
      <c r="M14" s="301" t="str">
        <f>IF(E14="","",IF(ISNA(VLOOKUP($E14,'D-1 Off-Site Habitat Baseline'!$D$1:$O$258,12,FALSE)),"",(VLOOKUP($E14,'D-1 Off-Site Habitat Baseline'!$D$1:$O$258,12,FALSE))))</f>
        <v/>
      </c>
      <c r="N14" s="301" t="str">
        <f>IF(E14="","",IF(ISNA(VLOOKUP($E14,'D-1 Off-Site Habitat Baseline'!$D$1:$AA$258,17,FALSE)),"",(VLOOKUP($E14,'D-1 Off-Site Habitat Baseline'!$D$1:$AA$258,17,FALSE))))</f>
        <v/>
      </c>
      <c r="O14" s="305" t="str">
        <f>IF(E14="","",IF(ISNA(VLOOKUP($E14,'D-1 Off-Site Habitat Baseline'!$D$1:$AA$258,13,FALSE)),"",(VLOOKUP($E14,'D-1 Off-Site Habitat Baseline'!$D$1:$AA$258,13,FALSE))))</f>
        <v/>
      </c>
      <c r="P14" s="152" t="str">
        <f>IFERROR(INDEX('G-1 All Habitats'!$AG$49:$AG$63,MATCH(Q14,'G-1 All Habitats'!$AF$27:$AF$41,0)),"")</f>
        <v/>
      </c>
      <c r="Q14" s="153"/>
      <c r="R14" s="154"/>
      <c r="S14" s="155" t="str">
        <f>IFERROR(INDEX('G-1 All Habitats'!$B$3:$B$135,MATCH(R14,'G-1 All Habitats'!$A$3:$A$135,0)),"")</f>
        <v/>
      </c>
      <c r="T14" s="289" t="str">
        <f t="shared" si="1"/>
        <v/>
      </c>
      <c r="U14" s="305" t="str">
        <f t="shared" si="2"/>
        <v/>
      </c>
      <c r="V14" s="304" t="str">
        <f t="shared" si="3"/>
        <v/>
      </c>
      <c r="W14" s="301" t="str">
        <f>IF(S14="","",VLOOKUP(S14,'G-1 All Habitats'!$B$2:$M$135,10,FALSE))</f>
        <v/>
      </c>
      <c r="X14" s="301" t="str">
        <f>IFERROR(VLOOKUP(W14,'G-1 All Habitats'!$V$3:$W$7,2,FALSE),"")</f>
        <v/>
      </c>
      <c r="Y14" s="142"/>
      <c r="Z14" s="305" t="str">
        <f>IFERROR(INDEX('G-8 Condition Look up'!$A$3:$H$135,MATCH(S14,'G-8 Condition Look up'!$A$3:$A$135,0),MATCH(Y14,'G-8 Condition Look up'!$A$3:$H$3,0)),"")</f>
        <v/>
      </c>
      <c r="AA14" s="105"/>
      <c r="AB14" s="320" t="str">
        <f>IF(AA14="","",IF(VLOOKUP(AA14,'G-3 Multipliers'!$L$3:$N$6,2,FALSE)=0,"Spatial Data Missing ⚠",VLOOKUP(AA14,'G-3 Multipliers'!$L$3:$N$6,2,FALSE)))</f>
        <v/>
      </c>
      <c r="AC14" s="305" t="str">
        <f>IF(AA14="","",IF(VLOOKUP(AA14,'G-3 Multipliers'!$L$3:$N$6,3,FALSE)=0,"Spatial Data Missing ⚠",VLOOKUP(AA14,'G-3 Multipliers'!$L$3:$N$6,3,FALSE)))</f>
        <v/>
      </c>
      <c r="AD14" s="317" t="str">
        <f t="shared" si="0"/>
        <v/>
      </c>
      <c r="AE14" s="142"/>
      <c r="AF14" s="142"/>
      <c r="AG14" s="301" t="str">
        <f t="shared" si="4"/>
        <v/>
      </c>
      <c r="AH14" s="302" t="str">
        <f t="shared" si="5"/>
        <v/>
      </c>
      <c r="AI14" s="306" t="str">
        <f>IF(AH14="Check Data ⚠","Check Data ⚠",IFERROR(VLOOKUP(AH14,'G-4 Temporal multipliers'!$A$4:$C$36,3,FALSE),""))</f>
        <v/>
      </c>
      <c r="AJ14" s="317" t="str">
        <f>IF(S14="","",VLOOKUP(S14,'G-3 Multipliers'!$A$2:$E$134,4,FALSE))</f>
        <v/>
      </c>
      <c r="AK14" s="301" t="str">
        <f t="shared" si="6"/>
        <v/>
      </c>
      <c r="AL14" s="301" t="str">
        <f t="shared" si="7"/>
        <v/>
      </c>
      <c r="AM14" s="305" t="str">
        <f>IFERROR(IF(F14="","",IF(AH14="Check Data ⚠","Check Data ⚠",VLOOKUP(AL14, 'G-3 Multipliers'!$P$2:$Q$6,2,FALSE))),"")</f>
        <v/>
      </c>
      <c r="AN14" s="728"/>
      <c r="AO14" s="335" t="str">
        <f>IF(AN14="","",IF(VLOOKUP(AN14,'G-3 Multipliers'!$S$3:$T$10,2,FALSE)=0,"Spatial Data Missing ⚠",VLOOKUP(AN14,'G-3 Multipliers'!$S$3:$T$10,2,FALSE)))</f>
        <v/>
      </c>
      <c r="AP14" s="295" t="str">
        <f t="shared" si="8"/>
        <v/>
      </c>
      <c r="AQ14" s="295" t="str">
        <f t="shared" si="9"/>
        <v/>
      </c>
      <c r="AR14" s="109"/>
      <c r="AS14" s="142"/>
      <c r="AT14" s="108"/>
      <c r="AU14" s="108"/>
      <c r="AY14" s="30" t="str">
        <f>IF(E14="","",IF(ISNA(VLOOKUP($E14,'D-1 Off-Site Habitat Baseline'!$D$1:$AV$258,4,FALSE)),"",(VLOOKUP($E14,'D-1 Off-Site Habitat Baseline'!$D$1:$AV$258,4,FALSE))))</f>
        <v/>
      </c>
    </row>
    <row r="15" spans="1:51" x14ac:dyDescent="0.25">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325" t="str">
        <f>'D-1 Off-Site Habitat Baseline'!AP14</f>
        <v/>
      </c>
      <c r="F15" s="289" t="str">
        <f>IF(E15="","",IF(ISNA(VLOOKUP($E15,'D-1 Off-Site Habitat Baseline'!$D$1:$ZZ$258,45,FALSE)),"",(VLOOKUP($E15,'D-1 Off-Site Habitat Baseline'!$D$1:$ZZ$258,45,FALSE))))</f>
        <v/>
      </c>
      <c r="G15" s="301" t="str">
        <f>IF(E15="","",IF(ISNA(VLOOKUP($E15,'D-1 Off-Site Habitat Baseline'!$D$1:$O$258,5,FALSE)),"",(VLOOKUP($E15,'D-1 Off-Site Habitat Baseline'!$D$1:$O$258,5,FALSE))))</f>
        <v/>
      </c>
      <c r="H15" s="301" t="str">
        <f>IF(E15="","",IF(ISNA(VLOOKUP($E15,'D-1 Off-Site Habitat Baseline'!$D$1:$O$258,6,FALSE)),"",(VLOOKUP($E15,'D-1 Off-Site Habitat Baseline'!$D$1:$O$258,6,FALSE))))</f>
        <v/>
      </c>
      <c r="I15" s="301" t="str">
        <f>IF(E15="","",IF(ISNA(VLOOKUP($E15,'D-1 Off-Site Habitat Baseline'!$D$1:$O$258,7,FALSE)),"",(VLOOKUP($E15,'D-1 Off-Site Habitat Baseline'!$D$1:$O$258,7,FALSE))))</f>
        <v/>
      </c>
      <c r="J15" s="301" t="str">
        <f>IF(E15="","",IF(ISNA(VLOOKUP($E15,'D-1 Off-Site Habitat Baseline'!$D$1:$O$258,8,FALSE)),"",(VLOOKUP($E15,'D-1 Off-Site Habitat Baseline'!$D$1:$O$258,8,FALSE))))</f>
        <v/>
      </c>
      <c r="K15" s="301" t="str">
        <f>IF(E15="","",IF(ISNA(VLOOKUP($E15,'D-1 Off-Site Habitat Baseline'!$D$1:$O$258,9,FALSE)),"",(VLOOKUP($E15,'D-1 Off-Site Habitat Baseline'!$D$1:$O$258,9,FALSE))))</f>
        <v/>
      </c>
      <c r="L15" s="301" t="str">
        <f>IF(E15="","",IF(ISNA(VLOOKUP($E15,'D-1 Off-Site Habitat Baseline'!$D$1:$O$258,11,FALSE)),"",(VLOOKUP($E15,'D-1 Off-Site Habitat Baseline'!$D$1:$O$258,11,FALSE))))</f>
        <v/>
      </c>
      <c r="M15" s="301" t="str">
        <f>IF(E15="","",IF(ISNA(VLOOKUP($E15,'D-1 Off-Site Habitat Baseline'!$D$1:$O$258,12,FALSE)),"",(VLOOKUP($E15,'D-1 Off-Site Habitat Baseline'!$D$1:$O$258,12,FALSE))))</f>
        <v/>
      </c>
      <c r="N15" s="301" t="str">
        <f>IF(E15="","",IF(ISNA(VLOOKUP($E15,'D-1 Off-Site Habitat Baseline'!$D$1:$AA$258,17,FALSE)),"",(VLOOKUP($E15,'D-1 Off-Site Habitat Baseline'!$D$1:$AA$258,17,FALSE))))</f>
        <v/>
      </c>
      <c r="O15" s="305" t="str">
        <f>IF(E15="","",IF(ISNA(VLOOKUP($E15,'D-1 Off-Site Habitat Baseline'!$D$1:$AA$258,13,FALSE)),"",(VLOOKUP($E15,'D-1 Off-Site Habitat Baseline'!$D$1:$AA$258,13,FALSE))))</f>
        <v/>
      </c>
      <c r="P15" s="152" t="str">
        <f>IFERROR(INDEX('G-1 All Habitats'!$AG$49:$AG$63,MATCH(Q15,'G-1 All Habitats'!$AF$27:$AF$41,0)),"")</f>
        <v/>
      </c>
      <c r="Q15" s="153"/>
      <c r="R15" s="154"/>
      <c r="S15" s="155" t="str">
        <f>IFERROR(INDEX('G-1 All Habitats'!$B$3:$B$135,MATCH(R15,'G-1 All Habitats'!$A$3:$A$135,0)),"")</f>
        <v/>
      </c>
      <c r="T15" s="289" t="str">
        <f t="shared" si="1"/>
        <v/>
      </c>
      <c r="U15" s="305" t="str">
        <f t="shared" si="2"/>
        <v/>
      </c>
      <c r="V15" s="304" t="str">
        <f t="shared" si="3"/>
        <v/>
      </c>
      <c r="W15" s="301" t="str">
        <f>IF(S15="","",VLOOKUP(S15,'G-1 All Habitats'!$B$2:$M$135,10,FALSE))</f>
        <v/>
      </c>
      <c r="X15" s="301" t="str">
        <f>IFERROR(VLOOKUP(W15,'G-1 All Habitats'!$V$3:$W$7,2,FALSE),"")</f>
        <v/>
      </c>
      <c r="Y15" s="142"/>
      <c r="Z15" s="305" t="str">
        <f>IFERROR(INDEX('G-8 Condition Look up'!$A$3:$H$135,MATCH(S15,'G-8 Condition Look up'!$A$3:$A$135,0),MATCH(Y15,'G-8 Condition Look up'!$A$3:$H$3,0)),"")</f>
        <v/>
      </c>
      <c r="AA15" s="105"/>
      <c r="AB15" s="320" t="str">
        <f>IF(AA15="","",IF(VLOOKUP(AA15,'G-3 Multipliers'!$L$3:$N$6,2,FALSE)=0,"Spatial Data Missing ⚠",VLOOKUP(AA15,'G-3 Multipliers'!$L$3:$N$6,2,FALSE)))</f>
        <v/>
      </c>
      <c r="AC15" s="305" t="str">
        <f>IF(AA15="","",IF(VLOOKUP(AA15,'G-3 Multipliers'!$L$3:$N$6,3,FALSE)=0,"Spatial Data Missing ⚠",VLOOKUP(AA15,'G-3 Multipliers'!$L$3:$N$6,3,FALSE)))</f>
        <v/>
      </c>
      <c r="AD15" s="317" t="str">
        <f t="shared" si="0"/>
        <v/>
      </c>
      <c r="AE15" s="142"/>
      <c r="AF15" s="142"/>
      <c r="AG15" s="301" t="str">
        <f t="shared" si="4"/>
        <v/>
      </c>
      <c r="AH15" s="302" t="str">
        <f t="shared" si="5"/>
        <v/>
      </c>
      <c r="AI15" s="306" t="str">
        <f>IF(AH15="Check Data ⚠","Check Data ⚠",IFERROR(VLOOKUP(AH15,'G-4 Temporal multipliers'!$A$4:$C$36,3,FALSE),""))</f>
        <v/>
      </c>
      <c r="AJ15" s="317" t="str">
        <f>IF(S15="","",VLOOKUP(S15,'G-3 Multipliers'!$A$2:$E$134,4,FALSE))</f>
        <v/>
      </c>
      <c r="AK15" s="301" t="str">
        <f t="shared" si="6"/>
        <v/>
      </c>
      <c r="AL15" s="301" t="str">
        <f t="shared" si="7"/>
        <v/>
      </c>
      <c r="AM15" s="305" t="str">
        <f>IFERROR(IF(F15="","",IF(AH15="Check Data ⚠","Check Data ⚠",VLOOKUP(AL15, 'G-3 Multipliers'!$P$2:$Q$6,2,FALSE))),"")</f>
        <v/>
      </c>
      <c r="AN15" s="728"/>
      <c r="AO15" s="335" t="str">
        <f>IF(AN15="","",IF(VLOOKUP(AN15,'G-3 Multipliers'!$S$3:$T$10,2,FALSE)=0,"Spatial Data Missing ⚠",VLOOKUP(AN15,'G-3 Multipliers'!$S$3:$T$10,2,FALSE)))</f>
        <v/>
      </c>
      <c r="AP15" s="295" t="str">
        <f t="shared" si="8"/>
        <v/>
      </c>
      <c r="AQ15" s="295" t="str">
        <f t="shared" si="9"/>
        <v/>
      </c>
      <c r="AR15" s="109"/>
      <c r="AS15" s="142"/>
      <c r="AT15" s="108"/>
      <c r="AU15" s="108"/>
      <c r="AY15" s="30" t="str">
        <f>IF(E15="","",IF(ISNA(VLOOKUP($E15,'D-1 Off-Site Habitat Baseline'!$D$1:$AV$258,4,FALSE)),"",(VLOOKUP($E15,'D-1 Off-Site Habitat Baseline'!$D$1:$AV$258,4,FALSE))))</f>
        <v/>
      </c>
    </row>
    <row r="16" spans="1:51" x14ac:dyDescent="0.25">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325" t="str">
        <f>'D-1 Off-Site Habitat Baseline'!AP15</f>
        <v/>
      </c>
      <c r="F16" s="289" t="str">
        <f>IF(E16="","",IF(ISNA(VLOOKUP($E16,'D-1 Off-Site Habitat Baseline'!$D$1:$ZZ$258,45,FALSE)),"",(VLOOKUP($E16,'D-1 Off-Site Habitat Baseline'!$D$1:$ZZ$258,45,FALSE))))</f>
        <v/>
      </c>
      <c r="G16" s="301" t="str">
        <f>IF(E16="","",IF(ISNA(VLOOKUP($E16,'D-1 Off-Site Habitat Baseline'!$D$1:$O$258,5,FALSE)),"",(VLOOKUP($E16,'D-1 Off-Site Habitat Baseline'!$D$1:$O$258,5,FALSE))))</f>
        <v/>
      </c>
      <c r="H16" s="301" t="str">
        <f>IF(E16="","",IF(ISNA(VLOOKUP($E16,'D-1 Off-Site Habitat Baseline'!$D$1:$O$258,6,FALSE)),"",(VLOOKUP($E16,'D-1 Off-Site Habitat Baseline'!$D$1:$O$258,6,FALSE))))</f>
        <v/>
      </c>
      <c r="I16" s="301" t="str">
        <f>IF(E16="","",IF(ISNA(VLOOKUP($E16,'D-1 Off-Site Habitat Baseline'!$D$1:$O$258,7,FALSE)),"",(VLOOKUP($E16,'D-1 Off-Site Habitat Baseline'!$D$1:$O$258,7,FALSE))))</f>
        <v/>
      </c>
      <c r="J16" s="301" t="str">
        <f>IF(E16="","",IF(ISNA(VLOOKUP($E16,'D-1 Off-Site Habitat Baseline'!$D$1:$O$258,8,FALSE)),"",(VLOOKUP($E16,'D-1 Off-Site Habitat Baseline'!$D$1:$O$258,8,FALSE))))</f>
        <v/>
      </c>
      <c r="K16" s="301" t="str">
        <f>IF(E16="","",IF(ISNA(VLOOKUP($E16,'D-1 Off-Site Habitat Baseline'!$D$1:$O$258,9,FALSE)),"",(VLOOKUP($E16,'D-1 Off-Site Habitat Baseline'!$D$1:$O$258,9,FALSE))))</f>
        <v/>
      </c>
      <c r="L16" s="301" t="str">
        <f>IF(E16="","",IF(ISNA(VLOOKUP($E16,'D-1 Off-Site Habitat Baseline'!$D$1:$O$258,11,FALSE)),"",(VLOOKUP($E16,'D-1 Off-Site Habitat Baseline'!$D$1:$O$258,11,FALSE))))</f>
        <v/>
      </c>
      <c r="M16" s="301" t="str">
        <f>IF(E16="","",IF(ISNA(VLOOKUP($E16,'D-1 Off-Site Habitat Baseline'!$D$1:$O$258,12,FALSE)),"",(VLOOKUP($E16,'D-1 Off-Site Habitat Baseline'!$D$1:$O$258,12,FALSE))))</f>
        <v/>
      </c>
      <c r="N16" s="301" t="str">
        <f>IF(E16="","",IF(ISNA(VLOOKUP($E16,'D-1 Off-Site Habitat Baseline'!$D$1:$AA$258,17,FALSE)),"",(VLOOKUP($E16,'D-1 Off-Site Habitat Baseline'!$D$1:$AA$258,17,FALSE))))</f>
        <v/>
      </c>
      <c r="O16" s="305" t="str">
        <f>IF(E16="","",IF(ISNA(VLOOKUP($E16,'D-1 Off-Site Habitat Baseline'!$D$1:$AA$258,13,FALSE)),"",(VLOOKUP($E16,'D-1 Off-Site Habitat Baseline'!$D$1:$AA$258,13,FALSE))))</f>
        <v/>
      </c>
      <c r="P16" s="152" t="str">
        <f>IFERROR(INDEX('G-1 All Habitats'!$AG$49:$AG$63,MATCH(Q16,'G-1 All Habitats'!$AF$27:$AF$41,0)),"")</f>
        <v/>
      </c>
      <c r="Q16" s="153"/>
      <c r="R16" s="154"/>
      <c r="S16" s="155" t="str">
        <f>IFERROR(INDEX('G-1 All Habitats'!$B$3:$B$135,MATCH(R16,'G-1 All Habitats'!$A$3:$A$135,0)),"")</f>
        <v/>
      </c>
      <c r="T16" s="289" t="str">
        <f t="shared" si="1"/>
        <v/>
      </c>
      <c r="U16" s="305" t="str">
        <f t="shared" si="2"/>
        <v/>
      </c>
      <c r="V16" s="304" t="str">
        <f t="shared" si="3"/>
        <v/>
      </c>
      <c r="W16" s="301" t="str">
        <f>IF(S16="","",VLOOKUP(S16,'G-1 All Habitats'!$B$2:$M$135,10,FALSE))</f>
        <v/>
      </c>
      <c r="X16" s="301" t="str">
        <f>IFERROR(VLOOKUP(W16,'G-1 All Habitats'!$V$3:$W$7,2,FALSE),"")</f>
        <v/>
      </c>
      <c r="Y16" s="142"/>
      <c r="Z16" s="305" t="str">
        <f>IFERROR(INDEX('G-8 Condition Look up'!$A$3:$H$135,MATCH(S16,'G-8 Condition Look up'!$A$3:$A$135,0),MATCH(Y16,'G-8 Condition Look up'!$A$3:$H$3,0)),"")</f>
        <v/>
      </c>
      <c r="AA16" s="105"/>
      <c r="AB16" s="320" t="str">
        <f>IF(AA16="","",IF(VLOOKUP(AA16,'G-3 Multipliers'!$L$3:$N$6,2,FALSE)=0,"Spatial Data Missing ⚠",VLOOKUP(AA16,'G-3 Multipliers'!$L$3:$N$6,2,FALSE)))</f>
        <v/>
      </c>
      <c r="AC16" s="305" t="str">
        <f>IF(AA16="","",IF(VLOOKUP(AA16,'G-3 Multipliers'!$L$3:$N$6,3,FALSE)=0,"Spatial Data Missing ⚠",VLOOKUP(AA16,'G-3 Multipliers'!$L$3:$N$6,3,FALSE)))</f>
        <v/>
      </c>
      <c r="AD16" s="317" t="str">
        <f t="shared" si="0"/>
        <v/>
      </c>
      <c r="AE16" s="142"/>
      <c r="AF16" s="142"/>
      <c r="AG16" s="301" t="str">
        <f t="shared" si="4"/>
        <v/>
      </c>
      <c r="AH16" s="302" t="str">
        <f t="shared" si="5"/>
        <v/>
      </c>
      <c r="AI16" s="306" t="str">
        <f>IF(AH16="Check Data ⚠","Check Data ⚠",IFERROR(VLOOKUP(AH16,'G-4 Temporal multipliers'!$A$4:$C$36,3,FALSE),""))</f>
        <v/>
      </c>
      <c r="AJ16" s="317" t="str">
        <f>IF(S16="","",VLOOKUP(S16,'G-3 Multipliers'!$A$2:$E$134,4,FALSE))</f>
        <v/>
      </c>
      <c r="AK16" s="301" t="str">
        <f t="shared" si="6"/>
        <v/>
      </c>
      <c r="AL16" s="301" t="str">
        <f t="shared" si="7"/>
        <v/>
      </c>
      <c r="AM16" s="305" t="str">
        <f>IFERROR(IF(F16="","",IF(AH16="Check Data ⚠","Check Data ⚠",VLOOKUP(AL16, 'G-3 Multipliers'!$P$2:$Q$6,2,FALSE))),"")</f>
        <v/>
      </c>
      <c r="AN16" s="728"/>
      <c r="AO16" s="335" t="str">
        <f>IF(AN16="","",IF(VLOOKUP(AN16,'G-3 Multipliers'!$S$3:$T$10,2,FALSE)=0,"Spatial Data Missing ⚠",VLOOKUP(AN16,'G-3 Multipliers'!$S$3:$T$10,2,FALSE)))</f>
        <v/>
      </c>
      <c r="AP16" s="295" t="str">
        <f t="shared" si="8"/>
        <v/>
      </c>
      <c r="AQ16" s="295" t="str">
        <f t="shared" si="9"/>
        <v/>
      </c>
      <c r="AR16" s="109"/>
      <c r="AS16" s="142"/>
      <c r="AT16" s="108"/>
      <c r="AU16" s="108"/>
      <c r="AY16" s="30" t="str">
        <f>IF(E16="","",IF(ISNA(VLOOKUP($E16,'D-1 Off-Site Habitat Baseline'!$D$1:$AV$258,4,FALSE)),"",(VLOOKUP($E16,'D-1 Off-Site Habitat Baseline'!$D$1:$AV$258,4,FALSE))))</f>
        <v/>
      </c>
    </row>
    <row r="17" spans="1:51" x14ac:dyDescent="0.25">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325" t="str">
        <f>'D-1 Off-Site Habitat Baseline'!AP16</f>
        <v/>
      </c>
      <c r="F17" s="289" t="str">
        <f>IF(E17="","",IF(ISNA(VLOOKUP($E17,'D-1 Off-Site Habitat Baseline'!$D$1:$ZZ$258,45,FALSE)),"",(VLOOKUP($E17,'D-1 Off-Site Habitat Baseline'!$D$1:$ZZ$258,45,FALSE))))</f>
        <v/>
      </c>
      <c r="G17" s="301" t="str">
        <f>IF(E17="","",IF(ISNA(VLOOKUP($E17,'D-1 Off-Site Habitat Baseline'!$D$1:$O$258,5,FALSE)),"",(VLOOKUP($E17,'D-1 Off-Site Habitat Baseline'!$D$1:$O$258,5,FALSE))))</f>
        <v/>
      </c>
      <c r="H17" s="301" t="str">
        <f>IF(E17="","",IF(ISNA(VLOOKUP($E17,'D-1 Off-Site Habitat Baseline'!$D$1:$O$258,6,FALSE)),"",(VLOOKUP($E17,'D-1 Off-Site Habitat Baseline'!$D$1:$O$258,6,FALSE))))</f>
        <v/>
      </c>
      <c r="I17" s="301" t="str">
        <f>IF(E17="","",IF(ISNA(VLOOKUP($E17,'D-1 Off-Site Habitat Baseline'!$D$1:$O$258,7,FALSE)),"",(VLOOKUP($E17,'D-1 Off-Site Habitat Baseline'!$D$1:$O$258,7,FALSE))))</f>
        <v/>
      </c>
      <c r="J17" s="301" t="str">
        <f>IF(E17="","",IF(ISNA(VLOOKUP($E17,'D-1 Off-Site Habitat Baseline'!$D$1:$O$258,8,FALSE)),"",(VLOOKUP($E17,'D-1 Off-Site Habitat Baseline'!$D$1:$O$258,8,FALSE))))</f>
        <v/>
      </c>
      <c r="K17" s="301" t="str">
        <f>IF(E17="","",IF(ISNA(VLOOKUP($E17,'D-1 Off-Site Habitat Baseline'!$D$1:$O$258,9,FALSE)),"",(VLOOKUP($E17,'D-1 Off-Site Habitat Baseline'!$D$1:$O$258,9,FALSE))))</f>
        <v/>
      </c>
      <c r="L17" s="301" t="str">
        <f>IF(E17="","",IF(ISNA(VLOOKUP($E17,'D-1 Off-Site Habitat Baseline'!$D$1:$O$258,11,FALSE)),"",(VLOOKUP($E17,'D-1 Off-Site Habitat Baseline'!$D$1:$O$258,11,FALSE))))</f>
        <v/>
      </c>
      <c r="M17" s="301" t="str">
        <f>IF(E17="","",IF(ISNA(VLOOKUP($E17,'D-1 Off-Site Habitat Baseline'!$D$1:$O$258,12,FALSE)),"",(VLOOKUP($E17,'D-1 Off-Site Habitat Baseline'!$D$1:$O$258,12,FALSE))))</f>
        <v/>
      </c>
      <c r="N17" s="301" t="str">
        <f>IF(E17="","",IF(ISNA(VLOOKUP($E17,'D-1 Off-Site Habitat Baseline'!$D$1:$AA$258,17,FALSE)),"",(VLOOKUP($E17,'D-1 Off-Site Habitat Baseline'!$D$1:$AA$258,17,FALSE))))</f>
        <v/>
      </c>
      <c r="O17" s="305" t="str">
        <f>IF(E17="","",IF(ISNA(VLOOKUP($E17,'D-1 Off-Site Habitat Baseline'!$D$1:$AA$258,13,FALSE)),"",(VLOOKUP($E17,'D-1 Off-Site Habitat Baseline'!$D$1:$AA$258,13,FALSE))))</f>
        <v/>
      </c>
      <c r="P17" s="152" t="str">
        <f>IFERROR(INDEX('G-1 All Habitats'!$AG$49:$AG$63,MATCH(Q17,'G-1 All Habitats'!$AF$27:$AF$41,0)),"")</f>
        <v/>
      </c>
      <c r="Q17" s="153"/>
      <c r="R17" s="154"/>
      <c r="S17" s="155" t="str">
        <f>IFERROR(INDEX('G-1 All Habitats'!$B$3:$B$135,MATCH(R17,'G-1 All Habitats'!$A$3:$A$135,0)),"")</f>
        <v/>
      </c>
      <c r="T17" s="289" t="str">
        <f t="shared" si="1"/>
        <v/>
      </c>
      <c r="U17" s="305" t="str">
        <f t="shared" si="2"/>
        <v/>
      </c>
      <c r="V17" s="304" t="str">
        <f t="shared" si="3"/>
        <v/>
      </c>
      <c r="W17" s="301" t="str">
        <f>IF(S17="","",VLOOKUP(S17,'G-1 All Habitats'!$B$2:$M$135,10,FALSE))</f>
        <v/>
      </c>
      <c r="X17" s="301" t="str">
        <f>IFERROR(VLOOKUP(W17,'G-1 All Habitats'!$V$3:$W$7,2,FALSE),"")</f>
        <v/>
      </c>
      <c r="Y17" s="142"/>
      <c r="Z17" s="305" t="str">
        <f>IFERROR(INDEX('G-8 Condition Look up'!$A$3:$H$135,MATCH(S17,'G-8 Condition Look up'!$A$3:$A$135,0),MATCH(Y17,'G-8 Condition Look up'!$A$3:$H$3,0)),"")</f>
        <v/>
      </c>
      <c r="AA17" s="105"/>
      <c r="AB17" s="320" t="str">
        <f>IF(AA17="","",IF(VLOOKUP(AA17,'G-3 Multipliers'!$L$3:$N$6,2,FALSE)=0,"Spatial Data Missing ⚠",VLOOKUP(AA17,'G-3 Multipliers'!$L$3:$N$6,2,FALSE)))</f>
        <v/>
      </c>
      <c r="AC17" s="305" t="str">
        <f>IF(AA17="","",IF(VLOOKUP(AA17,'G-3 Multipliers'!$L$3:$N$6,3,FALSE)=0,"Spatial Data Missing ⚠",VLOOKUP(AA17,'G-3 Multipliers'!$L$3:$N$6,3,FALSE)))</f>
        <v/>
      </c>
      <c r="AD17" s="317" t="str">
        <f t="shared" si="0"/>
        <v/>
      </c>
      <c r="AE17" s="142"/>
      <c r="AF17" s="142"/>
      <c r="AG17" s="301" t="str">
        <f t="shared" si="4"/>
        <v/>
      </c>
      <c r="AH17" s="302" t="str">
        <f t="shared" si="5"/>
        <v/>
      </c>
      <c r="AI17" s="306" t="str">
        <f>IF(AH17="Check Data ⚠","Check Data ⚠",IFERROR(VLOOKUP(AH17,'G-4 Temporal multipliers'!$A$4:$C$36,3,FALSE),""))</f>
        <v/>
      </c>
      <c r="AJ17" s="317" t="str">
        <f>IF(S17="","",VLOOKUP(S17,'G-3 Multipliers'!$A$2:$E$134,4,FALSE))</f>
        <v/>
      </c>
      <c r="AK17" s="301" t="str">
        <f t="shared" si="6"/>
        <v/>
      </c>
      <c r="AL17" s="301" t="str">
        <f t="shared" si="7"/>
        <v/>
      </c>
      <c r="AM17" s="305" t="str">
        <f>IFERROR(IF(F17="","",IF(AH17="Check Data ⚠","Check Data ⚠",VLOOKUP(AL17, 'G-3 Multipliers'!$P$2:$Q$6,2,FALSE))),"")</f>
        <v/>
      </c>
      <c r="AN17" s="728"/>
      <c r="AO17" s="335" t="str">
        <f>IF(AN17="","",IF(VLOOKUP(AN17,'G-3 Multipliers'!$S$3:$T$10,2,FALSE)=0,"Spatial Data Missing ⚠",VLOOKUP(AN17,'G-3 Multipliers'!$S$3:$T$10,2,FALSE)))</f>
        <v/>
      </c>
      <c r="AP17" s="295" t="str">
        <f t="shared" si="8"/>
        <v/>
      </c>
      <c r="AQ17" s="295" t="str">
        <f t="shared" si="9"/>
        <v/>
      </c>
      <c r="AR17" s="109"/>
      <c r="AS17" s="142"/>
      <c r="AT17" s="108"/>
      <c r="AU17" s="108"/>
      <c r="AY17" s="30" t="str">
        <f>IF(E17="","",IF(ISNA(VLOOKUP($E17,'D-1 Off-Site Habitat Baseline'!$D$1:$AV$258,4,FALSE)),"",(VLOOKUP($E17,'D-1 Off-Site Habitat Baseline'!$D$1:$AV$258,4,FALSE))))</f>
        <v/>
      </c>
    </row>
    <row r="18" spans="1:51" x14ac:dyDescent="0.25">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325" t="str">
        <f>'D-1 Off-Site Habitat Baseline'!AP17</f>
        <v/>
      </c>
      <c r="F18" s="289" t="str">
        <f>IF(E18="","",IF(ISNA(VLOOKUP($E18,'D-1 Off-Site Habitat Baseline'!$D$1:$ZZ$258,45,FALSE)),"",(VLOOKUP($E18,'D-1 Off-Site Habitat Baseline'!$D$1:$ZZ$258,45,FALSE))))</f>
        <v/>
      </c>
      <c r="G18" s="301" t="str">
        <f>IF(E18="","",IF(ISNA(VLOOKUP($E18,'D-1 Off-Site Habitat Baseline'!$D$1:$O$258,5,FALSE)),"",(VLOOKUP($E18,'D-1 Off-Site Habitat Baseline'!$D$1:$O$258,5,FALSE))))</f>
        <v/>
      </c>
      <c r="H18" s="301" t="str">
        <f>IF(E18="","",IF(ISNA(VLOOKUP($E18,'D-1 Off-Site Habitat Baseline'!$D$1:$O$258,6,FALSE)),"",(VLOOKUP($E18,'D-1 Off-Site Habitat Baseline'!$D$1:$O$258,6,FALSE))))</f>
        <v/>
      </c>
      <c r="I18" s="301" t="str">
        <f>IF(E18="","",IF(ISNA(VLOOKUP($E18,'D-1 Off-Site Habitat Baseline'!$D$1:$O$258,7,FALSE)),"",(VLOOKUP($E18,'D-1 Off-Site Habitat Baseline'!$D$1:$O$258,7,FALSE))))</f>
        <v/>
      </c>
      <c r="J18" s="301" t="str">
        <f>IF(E18="","",IF(ISNA(VLOOKUP($E18,'D-1 Off-Site Habitat Baseline'!$D$1:$O$258,8,FALSE)),"",(VLOOKUP($E18,'D-1 Off-Site Habitat Baseline'!$D$1:$O$258,8,FALSE))))</f>
        <v/>
      </c>
      <c r="K18" s="301" t="str">
        <f>IF(E18="","",IF(ISNA(VLOOKUP($E18,'D-1 Off-Site Habitat Baseline'!$D$1:$O$258,9,FALSE)),"",(VLOOKUP($E18,'D-1 Off-Site Habitat Baseline'!$D$1:$O$258,9,FALSE))))</f>
        <v/>
      </c>
      <c r="L18" s="301" t="str">
        <f>IF(E18="","",IF(ISNA(VLOOKUP($E18,'D-1 Off-Site Habitat Baseline'!$D$1:$O$258,11,FALSE)),"",(VLOOKUP($E18,'D-1 Off-Site Habitat Baseline'!$D$1:$O$258,11,FALSE))))</f>
        <v/>
      </c>
      <c r="M18" s="301" t="str">
        <f>IF(E18="","",IF(ISNA(VLOOKUP($E18,'D-1 Off-Site Habitat Baseline'!$D$1:$O$258,12,FALSE)),"",(VLOOKUP($E18,'D-1 Off-Site Habitat Baseline'!$D$1:$O$258,12,FALSE))))</f>
        <v/>
      </c>
      <c r="N18" s="301" t="str">
        <f>IF(E18="","",IF(ISNA(VLOOKUP($E18,'D-1 Off-Site Habitat Baseline'!$D$1:$AA$258,17,FALSE)),"",(VLOOKUP($E18,'D-1 Off-Site Habitat Baseline'!$D$1:$AA$258,17,FALSE))))</f>
        <v/>
      </c>
      <c r="O18" s="305" t="str">
        <f>IF(E18="","",IF(ISNA(VLOOKUP($E18,'D-1 Off-Site Habitat Baseline'!$D$1:$AA$258,13,FALSE)),"",(VLOOKUP($E18,'D-1 Off-Site Habitat Baseline'!$D$1:$AA$258,13,FALSE))))</f>
        <v/>
      </c>
      <c r="P18" s="152" t="str">
        <f>IFERROR(INDEX('G-1 All Habitats'!$AG$49:$AG$63,MATCH(Q18,'G-1 All Habitats'!$AF$27:$AF$41,0)),"")</f>
        <v/>
      </c>
      <c r="Q18" s="153"/>
      <c r="R18" s="154"/>
      <c r="S18" s="155" t="str">
        <f>IFERROR(INDEX('G-1 All Habitats'!$B$3:$B$135,MATCH(R18,'G-1 All Habitats'!$A$3:$A$135,0)),"")</f>
        <v/>
      </c>
      <c r="T18" s="289" t="str">
        <f t="shared" si="1"/>
        <v/>
      </c>
      <c r="U18" s="305" t="str">
        <f t="shared" si="2"/>
        <v/>
      </c>
      <c r="V18" s="304" t="str">
        <f t="shared" si="3"/>
        <v/>
      </c>
      <c r="W18" s="301" t="str">
        <f>IF(S18="","",VLOOKUP(S18,'G-1 All Habitats'!$B$2:$M$135,10,FALSE))</f>
        <v/>
      </c>
      <c r="X18" s="301" t="str">
        <f>IFERROR(VLOOKUP(W18,'G-1 All Habitats'!$V$3:$W$7,2,FALSE),"")</f>
        <v/>
      </c>
      <c r="Y18" s="142"/>
      <c r="Z18" s="305" t="str">
        <f>IFERROR(INDEX('G-8 Condition Look up'!$A$3:$H$135,MATCH(S18,'G-8 Condition Look up'!$A$3:$A$135,0),MATCH(Y18,'G-8 Condition Look up'!$A$3:$H$3,0)),"")</f>
        <v/>
      </c>
      <c r="AA18" s="105"/>
      <c r="AB18" s="320" t="str">
        <f>IF(AA18="","",IF(VLOOKUP(AA18,'G-3 Multipliers'!$L$3:$N$6,2,FALSE)=0,"Spatial Data Missing ⚠",VLOOKUP(AA18,'G-3 Multipliers'!$L$3:$N$6,2,FALSE)))</f>
        <v/>
      </c>
      <c r="AC18" s="305" t="str">
        <f>IF(AA18="","",IF(VLOOKUP(AA18,'G-3 Multipliers'!$L$3:$N$6,3,FALSE)=0,"Spatial Data Missing ⚠",VLOOKUP(AA18,'G-3 Multipliers'!$L$3:$N$6,3,FALSE)))</f>
        <v/>
      </c>
      <c r="AD18" s="317" t="str">
        <f t="shared" si="0"/>
        <v/>
      </c>
      <c r="AE18" s="142"/>
      <c r="AF18" s="142"/>
      <c r="AG18" s="301" t="str">
        <f t="shared" si="4"/>
        <v/>
      </c>
      <c r="AH18" s="302" t="str">
        <f t="shared" si="5"/>
        <v/>
      </c>
      <c r="AI18" s="306" t="str">
        <f>IF(AH18="Check Data ⚠","Check Data ⚠",IFERROR(VLOOKUP(AH18,'G-4 Temporal multipliers'!$A$4:$C$36,3,FALSE),""))</f>
        <v/>
      </c>
      <c r="AJ18" s="317" t="str">
        <f>IF(S18="","",VLOOKUP(S18,'G-3 Multipliers'!$A$2:$E$134,4,FALSE))</f>
        <v/>
      </c>
      <c r="AK18" s="301" t="str">
        <f t="shared" si="6"/>
        <v/>
      </c>
      <c r="AL18" s="301" t="str">
        <f t="shared" si="7"/>
        <v/>
      </c>
      <c r="AM18" s="305" t="str">
        <f>IFERROR(IF(F18="","",IF(AH18="Check Data ⚠","Check Data ⚠",VLOOKUP(AL18, 'G-3 Multipliers'!$P$2:$Q$6,2,FALSE))),"")</f>
        <v/>
      </c>
      <c r="AN18" s="728"/>
      <c r="AO18" s="335" t="str">
        <f>IF(AN18="","",IF(VLOOKUP(AN18,'G-3 Multipliers'!$S$3:$T$10,2,FALSE)=0,"Spatial Data Missing ⚠",VLOOKUP(AN18,'G-3 Multipliers'!$S$3:$T$10,2,FALSE)))</f>
        <v/>
      </c>
      <c r="AP18" s="295" t="str">
        <f t="shared" si="8"/>
        <v/>
      </c>
      <c r="AQ18" s="295" t="str">
        <f t="shared" si="9"/>
        <v/>
      </c>
      <c r="AR18" s="109"/>
      <c r="AS18" s="142"/>
      <c r="AT18" s="108"/>
      <c r="AU18" s="108"/>
      <c r="AY18" s="30" t="str">
        <f>IF(E18="","",IF(ISNA(VLOOKUP($E18,'D-1 Off-Site Habitat Baseline'!$D$1:$AV$258,4,FALSE)),"",(VLOOKUP($E18,'D-1 Off-Site Habitat Baseline'!$D$1:$AV$258,4,FALSE))))</f>
        <v/>
      </c>
    </row>
    <row r="19" spans="1:51" x14ac:dyDescent="0.25">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325" t="str">
        <f>'D-1 Off-Site Habitat Baseline'!AP18</f>
        <v/>
      </c>
      <c r="F19" s="289" t="str">
        <f>IF(E19="","",IF(ISNA(VLOOKUP($E19,'D-1 Off-Site Habitat Baseline'!$D$1:$ZZ$258,45,FALSE)),"",(VLOOKUP($E19,'D-1 Off-Site Habitat Baseline'!$D$1:$ZZ$258,45,FALSE))))</f>
        <v/>
      </c>
      <c r="G19" s="301" t="str">
        <f>IF(E19="","",IF(ISNA(VLOOKUP($E19,'D-1 Off-Site Habitat Baseline'!$D$1:$O$258,5,FALSE)),"",(VLOOKUP($E19,'D-1 Off-Site Habitat Baseline'!$D$1:$O$258,5,FALSE))))</f>
        <v/>
      </c>
      <c r="H19" s="301" t="str">
        <f>IF(E19="","",IF(ISNA(VLOOKUP($E19,'D-1 Off-Site Habitat Baseline'!$D$1:$O$258,6,FALSE)),"",(VLOOKUP($E19,'D-1 Off-Site Habitat Baseline'!$D$1:$O$258,6,FALSE))))</f>
        <v/>
      </c>
      <c r="I19" s="301" t="str">
        <f>IF(E19="","",IF(ISNA(VLOOKUP($E19,'D-1 Off-Site Habitat Baseline'!$D$1:$O$258,7,FALSE)),"",(VLOOKUP($E19,'D-1 Off-Site Habitat Baseline'!$D$1:$O$258,7,FALSE))))</f>
        <v/>
      </c>
      <c r="J19" s="301" t="str">
        <f>IF(E19="","",IF(ISNA(VLOOKUP($E19,'D-1 Off-Site Habitat Baseline'!$D$1:$O$258,8,FALSE)),"",(VLOOKUP($E19,'D-1 Off-Site Habitat Baseline'!$D$1:$O$258,8,FALSE))))</f>
        <v/>
      </c>
      <c r="K19" s="301" t="str">
        <f>IF(E19="","",IF(ISNA(VLOOKUP($E19,'D-1 Off-Site Habitat Baseline'!$D$1:$O$258,9,FALSE)),"",(VLOOKUP($E19,'D-1 Off-Site Habitat Baseline'!$D$1:$O$258,9,FALSE))))</f>
        <v/>
      </c>
      <c r="L19" s="301" t="str">
        <f>IF(E19="","",IF(ISNA(VLOOKUP($E19,'D-1 Off-Site Habitat Baseline'!$D$1:$O$258,11,FALSE)),"",(VLOOKUP($E19,'D-1 Off-Site Habitat Baseline'!$D$1:$O$258,11,FALSE))))</f>
        <v/>
      </c>
      <c r="M19" s="301" t="str">
        <f>IF(E19="","",IF(ISNA(VLOOKUP($E19,'D-1 Off-Site Habitat Baseline'!$D$1:$O$258,12,FALSE)),"",(VLOOKUP($E19,'D-1 Off-Site Habitat Baseline'!$D$1:$O$258,12,FALSE))))</f>
        <v/>
      </c>
      <c r="N19" s="301" t="str">
        <f>IF(E19="","",IF(ISNA(VLOOKUP($E19,'D-1 Off-Site Habitat Baseline'!$D$1:$AA$258,17,FALSE)),"",(VLOOKUP($E19,'D-1 Off-Site Habitat Baseline'!$D$1:$AA$258,17,FALSE))))</f>
        <v/>
      </c>
      <c r="O19" s="305" t="str">
        <f>IF(E19="","",IF(ISNA(VLOOKUP($E19,'D-1 Off-Site Habitat Baseline'!$D$1:$AA$258,13,FALSE)),"",(VLOOKUP($E19,'D-1 Off-Site Habitat Baseline'!$D$1:$AA$258,13,FALSE))))</f>
        <v/>
      </c>
      <c r="P19" s="152" t="str">
        <f>IFERROR(INDEX('G-1 All Habitats'!$AG$49:$AG$63,MATCH(Q19,'G-1 All Habitats'!$AF$27:$AF$41,0)),"")</f>
        <v/>
      </c>
      <c r="Q19" s="153"/>
      <c r="R19" s="154"/>
      <c r="S19" s="155" t="str">
        <f>IFERROR(INDEX('G-1 All Habitats'!$B$3:$B$135,MATCH(R19,'G-1 All Habitats'!$A$3:$A$135,0)),"")</f>
        <v/>
      </c>
      <c r="T19" s="289" t="str">
        <f t="shared" si="1"/>
        <v/>
      </c>
      <c r="U19" s="305" t="str">
        <f t="shared" si="2"/>
        <v/>
      </c>
      <c r="V19" s="304" t="str">
        <f t="shared" si="3"/>
        <v/>
      </c>
      <c r="W19" s="301" t="str">
        <f>IF(S19="","",VLOOKUP(S19,'G-1 All Habitats'!$B$2:$M$135,10,FALSE))</f>
        <v/>
      </c>
      <c r="X19" s="301" t="str">
        <f>IFERROR(VLOOKUP(W19,'G-1 All Habitats'!$V$3:$W$7,2,FALSE),"")</f>
        <v/>
      </c>
      <c r="Y19" s="142"/>
      <c r="Z19" s="305" t="str">
        <f>IFERROR(INDEX('G-8 Condition Look up'!$A$3:$H$135,MATCH(S19,'G-8 Condition Look up'!$A$3:$A$135,0),MATCH(Y19,'G-8 Condition Look up'!$A$3:$H$3,0)),"")</f>
        <v/>
      </c>
      <c r="AA19" s="105"/>
      <c r="AB19" s="320" t="str">
        <f>IF(AA19="","",IF(VLOOKUP(AA19,'G-3 Multipliers'!$L$3:$N$6,2,FALSE)=0,"Spatial Data Missing ⚠",VLOOKUP(AA19,'G-3 Multipliers'!$L$3:$N$6,2,FALSE)))</f>
        <v/>
      </c>
      <c r="AC19" s="305" t="str">
        <f>IF(AA19="","",IF(VLOOKUP(AA19,'G-3 Multipliers'!$L$3:$N$6,3,FALSE)=0,"Spatial Data Missing ⚠",VLOOKUP(AA19,'G-3 Multipliers'!$L$3:$N$6,3,FALSE)))</f>
        <v/>
      </c>
      <c r="AD19" s="317" t="str">
        <f t="shared" si="0"/>
        <v/>
      </c>
      <c r="AE19" s="142"/>
      <c r="AF19" s="142"/>
      <c r="AG19" s="301" t="str">
        <f t="shared" si="4"/>
        <v/>
      </c>
      <c r="AH19" s="302" t="str">
        <f t="shared" si="5"/>
        <v/>
      </c>
      <c r="AI19" s="306" t="str">
        <f>IF(AH19="Check Data ⚠","Check Data ⚠",IFERROR(VLOOKUP(AH19,'G-4 Temporal multipliers'!$A$4:$C$36,3,FALSE),""))</f>
        <v/>
      </c>
      <c r="AJ19" s="317" t="str">
        <f>IF(S19="","",VLOOKUP(S19,'G-3 Multipliers'!$A$2:$E$134,4,FALSE))</f>
        <v/>
      </c>
      <c r="AK19" s="301" t="str">
        <f t="shared" si="6"/>
        <v/>
      </c>
      <c r="AL19" s="301" t="str">
        <f t="shared" si="7"/>
        <v/>
      </c>
      <c r="AM19" s="305" t="str">
        <f>IFERROR(IF(F19="","",IF(AH19="Check Data ⚠","Check Data ⚠",VLOOKUP(AL19, 'G-3 Multipliers'!$P$2:$Q$6,2,FALSE))),"")</f>
        <v/>
      </c>
      <c r="AN19" s="728"/>
      <c r="AO19" s="335" t="str">
        <f>IF(AN19="","",IF(VLOOKUP(AN19,'G-3 Multipliers'!$S$3:$T$10,2,FALSE)=0,"Spatial Data Missing ⚠",VLOOKUP(AN19,'G-3 Multipliers'!$S$3:$T$10,2,FALSE)))</f>
        <v/>
      </c>
      <c r="AP19" s="295" t="str">
        <f t="shared" si="8"/>
        <v/>
      </c>
      <c r="AQ19" s="295" t="str">
        <f t="shared" si="9"/>
        <v/>
      </c>
      <c r="AR19" s="109"/>
      <c r="AS19" s="142"/>
      <c r="AT19" s="108"/>
      <c r="AU19" s="108"/>
      <c r="AY19" s="30" t="str">
        <f>IF(E19="","",IF(ISNA(VLOOKUP($E19,'D-1 Off-Site Habitat Baseline'!$D$1:$AV$258,4,FALSE)),"",(VLOOKUP($E19,'D-1 Off-Site Habitat Baseline'!$D$1:$AV$258,4,FALSE))))</f>
        <v/>
      </c>
    </row>
    <row r="20" spans="1:51" x14ac:dyDescent="0.25">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325" t="str">
        <f>'D-1 Off-Site Habitat Baseline'!AP19</f>
        <v/>
      </c>
      <c r="F20" s="289" t="str">
        <f>IF(E20="","",IF(ISNA(VLOOKUP($E20,'D-1 Off-Site Habitat Baseline'!$D$1:$ZZ$258,45,FALSE)),"",(VLOOKUP($E20,'D-1 Off-Site Habitat Baseline'!$D$1:$ZZ$258,45,FALSE))))</f>
        <v/>
      </c>
      <c r="G20" s="301" t="str">
        <f>IF(E20="","",IF(ISNA(VLOOKUP($E20,'D-1 Off-Site Habitat Baseline'!$D$1:$O$258,5,FALSE)),"",(VLOOKUP($E20,'D-1 Off-Site Habitat Baseline'!$D$1:$O$258,5,FALSE))))</f>
        <v/>
      </c>
      <c r="H20" s="301" t="str">
        <f>IF(E20="","",IF(ISNA(VLOOKUP($E20,'D-1 Off-Site Habitat Baseline'!$D$1:$O$258,6,FALSE)),"",(VLOOKUP($E20,'D-1 Off-Site Habitat Baseline'!$D$1:$O$258,6,FALSE))))</f>
        <v/>
      </c>
      <c r="I20" s="301" t="str">
        <f>IF(E20="","",IF(ISNA(VLOOKUP($E20,'D-1 Off-Site Habitat Baseline'!$D$1:$O$258,7,FALSE)),"",(VLOOKUP($E20,'D-1 Off-Site Habitat Baseline'!$D$1:$O$258,7,FALSE))))</f>
        <v/>
      </c>
      <c r="J20" s="301" t="str">
        <f>IF(E20="","",IF(ISNA(VLOOKUP($E20,'D-1 Off-Site Habitat Baseline'!$D$1:$O$258,8,FALSE)),"",(VLOOKUP($E20,'D-1 Off-Site Habitat Baseline'!$D$1:$O$258,8,FALSE))))</f>
        <v/>
      </c>
      <c r="K20" s="301" t="str">
        <f>IF(E20="","",IF(ISNA(VLOOKUP($E20,'D-1 Off-Site Habitat Baseline'!$D$1:$O$258,9,FALSE)),"",(VLOOKUP($E20,'D-1 Off-Site Habitat Baseline'!$D$1:$O$258,9,FALSE))))</f>
        <v/>
      </c>
      <c r="L20" s="301" t="str">
        <f>IF(E20="","",IF(ISNA(VLOOKUP($E20,'D-1 Off-Site Habitat Baseline'!$D$1:$O$258,11,FALSE)),"",(VLOOKUP($E20,'D-1 Off-Site Habitat Baseline'!$D$1:$O$258,11,FALSE))))</f>
        <v/>
      </c>
      <c r="M20" s="301" t="str">
        <f>IF(E20="","",IF(ISNA(VLOOKUP($E20,'D-1 Off-Site Habitat Baseline'!$D$1:$O$258,12,FALSE)),"",(VLOOKUP($E20,'D-1 Off-Site Habitat Baseline'!$D$1:$O$258,12,FALSE))))</f>
        <v/>
      </c>
      <c r="N20" s="301" t="str">
        <f>IF(E20="","",IF(ISNA(VLOOKUP($E20,'D-1 Off-Site Habitat Baseline'!$D$1:$AA$258,17,FALSE)),"",(VLOOKUP($E20,'D-1 Off-Site Habitat Baseline'!$D$1:$AA$258,17,FALSE))))</f>
        <v/>
      </c>
      <c r="O20" s="305" t="str">
        <f>IF(E20="","",IF(ISNA(VLOOKUP($E20,'D-1 Off-Site Habitat Baseline'!$D$1:$AA$258,13,FALSE)),"",(VLOOKUP($E20,'D-1 Off-Site Habitat Baseline'!$D$1:$AA$258,13,FALSE))))</f>
        <v/>
      </c>
      <c r="P20" s="152" t="str">
        <f>IFERROR(INDEX('G-1 All Habitats'!$AG$49:$AG$63,MATCH(Q20,'G-1 All Habitats'!$AF$27:$AF$41,0)),"")</f>
        <v/>
      </c>
      <c r="Q20" s="153"/>
      <c r="R20" s="154"/>
      <c r="S20" s="155" t="str">
        <f>IFERROR(INDEX('G-1 All Habitats'!$B$3:$B$135,MATCH(R20,'G-1 All Habitats'!$A$3:$A$135,0)),"")</f>
        <v/>
      </c>
      <c r="T20" s="289" t="str">
        <f t="shared" si="1"/>
        <v/>
      </c>
      <c r="U20" s="305" t="str">
        <f t="shared" si="2"/>
        <v/>
      </c>
      <c r="V20" s="304" t="str">
        <f t="shared" si="3"/>
        <v/>
      </c>
      <c r="W20" s="301" t="str">
        <f>IF(S20="","",VLOOKUP(S20,'G-1 All Habitats'!$B$2:$M$135,10,FALSE))</f>
        <v/>
      </c>
      <c r="X20" s="301" t="str">
        <f>IFERROR(VLOOKUP(W20,'G-1 All Habitats'!$V$3:$W$7,2,FALSE),"")</f>
        <v/>
      </c>
      <c r="Y20" s="142"/>
      <c r="Z20" s="305" t="str">
        <f>IFERROR(INDEX('G-8 Condition Look up'!$A$3:$H$135,MATCH(S20,'G-8 Condition Look up'!$A$3:$A$135,0),MATCH(Y20,'G-8 Condition Look up'!$A$3:$H$3,0)),"")</f>
        <v/>
      </c>
      <c r="AA20" s="105"/>
      <c r="AB20" s="320" t="str">
        <f>IF(AA20="","",IF(VLOOKUP(AA20,'G-3 Multipliers'!$L$3:$N$6,2,FALSE)=0,"Spatial Data Missing ⚠",VLOOKUP(AA20,'G-3 Multipliers'!$L$3:$N$6,2,FALSE)))</f>
        <v/>
      </c>
      <c r="AC20" s="305" t="str">
        <f>IF(AA20="","",IF(VLOOKUP(AA20,'G-3 Multipliers'!$L$3:$N$6,3,FALSE)=0,"Spatial Data Missing ⚠",VLOOKUP(AA20,'G-3 Multipliers'!$L$3:$N$6,3,FALSE)))</f>
        <v/>
      </c>
      <c r="AD20" s="317" t="str">
        <f t="shared" si="0"/>
        <v/>
      </c>
      <c r="AE20" s="142"/>
      <c r="AF20" s="142"/>
      <c r="AG20" s="301" t="str">
        <f t="shared" si="4"/>
        <v/>
      </c>
      <c r="AH20" s="302" t="str">
        <f t="shared" si="5"/>
        <v/>
      </c>
      <c r="AI20" s="306" t="str">
        <f>IF(AH20="Check Data ⚠","Check Data ⚠",IFERROR(VLOOKUP(AH20,'G-4 Temporal multipliers'!$A$4:$C$36,3,FALSE),""))</f>
        <v/>
      </c>
      <c r="AJ20" s="317" t="str">
        <f>IF(S20="","",VLOOKUP(S20,'G-3 Multipliers'!$A$2:$E$134,4,FALSE))</f>
        <v/>
      </c>
      <c r="AK20" s="301" t="str">
        <f t="shared" si="6"/>
        <v/>
      </c>
      <c r="AL20" s="301" t="str">
        <f t="shared" si="7"/>
        <v/>
      </c>
      <c r="AM20" s="305" t="str">
        <f>IFERROR(IF(F20="","",IF(AH20="Check Data ⚠","Check Data ⚠",VLOOKUP(AL20, 'G-3 Multipliers'!$P$2:$Q$6,2,FALSE))),"")</f>
        <v/>
      </c>
      <c r="AN20" s="728"/>
      <c r="AO20" s="335" t="str">
        <f>IF(AN20="","",IF(VLOOKUP(AN20,'G-3 Multipliers'!$S$3:$T$10,2,FALSE)=0,"Spatial Data Missing ⚠",VLOOKUP(AN20,'G-3 Multipliers'!$S$3:$T$10,2,FALSE)))</f>
        <v/>
      </c>
      <c r="AP20" s="295" t="str">
        <f t="shared" si="8"/>
        <v/>
      </c>
      <c r="AQ20" s="295" t="str">
        <f t="shared" si="9"/>
        <v/>
      </c>
      <c r="AR20" s="109"/>
      <c r="AS20" s="142"/>
      <c r="AT20" s="108"/>
      <c r="AU20" s="108"/>
      <c r="AY20" s="30" t="str">
        <f>IF(E20="","",IF(ISNA(VLOOKUP($E20,'D-1 Off-Site Habitat Baseline'!$D$1:$AV$258,4,FALSE)),"",(VLOOKUP($E20,'D-1 Off-Site Habitat Baseline'!$D$1:$AV$258,4,FALSE))))</f>
        <v/>
      </c>
    </row>
    <row r="21" spans="1:51" x14ac:dyDescent="0.25">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325" t="str">
        <f>'D-1 Off-Site Habitat Baseline'!AP20</f>
        <v/>
      </c>
      <c r="F21" s="289" t="str">
        <f>IF(E21="","",IF(ISNA(VLOOKUP($E21,'D-1 Off-Site Habitat Baseline'!$D$1:$ZZ$258,45,FALSE)),"",(VLOOKUP($E21,'D-1 Off-Site Habitat Baseline'!$D$1:$ZZ$258,45,FALSE))))</f>
        <v/>
      </c>
      <c r="G21" s="301" t="str">
        <f>IF(E21="","",IF(ISNA(VLOOKUP($E21,'D-1 Off-Site Habitat Baseline'!$D$1:$O$258,5,FALSE)),"",(VLOOKUP($E21,'D-1 Off-Site Habitat Baseline'!$D$1:$O$258,5,FALSE))))</f>
        <v/>
      </c>
      <c r="H21" s="301" t="str">
        <f>IF(E21="","",IF(ISNA(VLOOKUP($E21,'D-1 Off-Site Habitat Baseline'!$D$1:$O$258,6,FALSE)),"",(VLOOKUP($E21,'D-1 Off-Site Habitat Baseline'!$D$1:$O$258,6,FALSE))))</f>
        <v/>
      </c>
      <c r="I21" s="301" t="str">
        <f>IF(E21="","",IF(ISNA(VLOOKUP($E21,'D-1 Off-Site Habitat Baseline'!$D$1:$O$258,7,FALSE)),"",(VLOOKUP($E21,'D-1 Off-Site Habitat Baseline'!$D$1:$O$258,7,FALSE))))</f>
        <v/>
      </c>
      <c r="J21" s="301" t="str">
        <f>IF(E21="","",IF(ISNA(VLOOKUP($E21,'D-1 Off-Site Habitat Baseline'!$D$1:$O$258,8,FALSE)),"",(VLOOKUP($E21,'D-1 Off-Site Habitat Baseline'!$D$1:$O$258,8,FALSE))))</f>
        <v/>
      </c>
      <c r="K21" s="301" t="str">
        <f>IF(E21="","",IF(ISNA(VLOOKUP($E21,'D-1 Off-Site Habitat Baseline'!$D$1:$O$258,9,FALSE)),"",(VLOOKUP($E21,'D-1 Off-Site Habitat Baseline'!$D$1:$O$258,9,FALSE))))</f>
        <v/>
      </c>
      <c r="L21" s="301" t="str">
        <f>IF(E21="","",IF(ISNA(VLOOKUP($E21,'D-1 Off-Site Habitat Baseline'!$D$1:$O$258,11,FALSE)),"",(VLOOKUP($E21,'D-1 Off-Site Habitat Baseline'!$D$1:$O$258,11,FALSE))))</f>
        <v/>
      </c>
      <c r="M21" s="301" t="str">
        <f>IF(E21="","",IF(ISNA(VLOOKUP($E21,'D-1 Off-Site Habitat Baseline'!$D$1:$O$258,12,FALSE)),"",(VLOOKUP($E21,'D-1 Off-Site Habitat Baseline'!$D$1:$O$258,12,FALSE))))</f>
        <v/>
      </c>
      <c r="N21" s="301" t="str">
        <f>IF(E21="","",IF(ISNA(VLOOKUP($E21,'D-1 Off-Site Habitat Baseline'!$D$1:$AA$258,17,FALSE)),"",(VLOOKUP($E21,'D-1 Off-Site Habitat Baseline'!$D$1:$AA$258,17,FALSE))))</f>
        <v/>
      </c>
      <c r="O21" s="305" t="str">
        <f>IF(E21="","",IF(ISNA(VLOOKUP($E21,'D-1 Off-Site Habitat Baseline'!$D$1:$AA$258,13,FALSE)),"",(VLOOKUP($E21,'D-1 Off-Site Habitat Baseline'!$D$1:$AA$258,13,FALSE))))</f>
        <v/>
      </c>
      <c r="P21" s="152" t="str">
        <f>IFERROR(INDEX('G-1 All Habitats'!$AG$49:$AG$63,MATCH(Q21,'G-1 All Habitats'!$AF$27:$AF$41,0)),"")</f>
        <v/>
      </c>
      <c r="Q21" s="153"/>
      <c r="R21" s="154"/>
      <c r="S21" s="155" t="str">
        <f>IFERROR(INDEX('G-1 All Habitats'!$B$3:$B$135,MATCH(R21,'G-1 All Habitats'!$A$3:$A$135,0)),"")</f>
        <v/>
      </c>
      <c r="T21" s="289" t="str">
        <f t="shared" si="1"/>
        <v/>
      </c>
      <c r="U21" s="305" t="str">
        <f t="shared" si="2"/>
        <v/>
      </c>
      <c r="V21" s="304" t="str">
        <f t="shared" si="3"/>
        <v/>
      </c>
      <c r="W21" s="301" t="str">
        <f>IF(S21="","",VLOOKUP(S21,'G-1 All Habitats'!$B$2:$M$135,10,FALSE))</f>
        <v/>
      </c>
      <c r="X21" s="301" t="str">
        <f>IFERROR(VLOOKUP(W21,'G-1 All Habitats'!$V$3:$W$7,2,FALSE),"")</f>
        <v/>
      </c>
      <c r="Y21" s="142"/>
      <c r="Z21" s="305" t="str">
        <f>IFERROR(INDEX('G-8 Condition Look up'!$A$3:$H$135,MATCH(S21,'G-8 Condition Look up'!$A$3:$A$135,0),MATCH(Y21,'G-8 Condition Look up'!$A$3:$H$3,0)),"")</f>
        <v/>
      </c>
      <c r="AA21" s="105"/>
      <c r="AB21" s="320" t="str">
        <f>IF(AA21="","",IF(VLOOKUP(AA21,'G-3 Multipliers'!$L$3:$N$6,2,FALSE)=0,"Spatial Data Missing ⚠",VLOOKUP(AA21,'G-3 Multipliers'!$L$3:$N$6,2,FALSE)))</f>
        <v/>
      </c>
      <c r="AC21" s="305" t="str">
        <f>IF(AA21="","",IF(VLOOKUP(AA21,'G-3 Multipliers'!$L$3:$N$6,3,FALSE)=0,"Spatial Data Missing ⚠",VLOOKUP(AA21,'G-3 Multipliers'!$L$3:$N$6,3,FALSE)))</f>
        <v/>
      </c>
      <c r="AD21" s="317" t="str">
        <f t="shared" si="0"/>
        <v/>
      </c>
      <c r="AE21" s="142"/>
      <c r="AF21" s="142"/>
      <c r="AG21" s="301" t="str">
        <f t="shared" si="4"/>
        <v/>
      </c>
      <c r="AH21" s="302" t="str">
        <f t="shared" si="5"/>
        <v/>
      </c>
      <c r="AI21" s="306" t="str">
        <f>IF(AH21="Check Data ⚠","Check Data ⚠",IFERROR(VLOOKUP(AH21,'G-4 Temporal multipliers'!$A$4:$C$36,3,FALSE),""))</f>
        <v/>
      </c>
      <c r="AJ21" s="317" t="str">
        <f>IF(S21="","",VLOOKUP(S21,'G-3 Multipliers'!$A$2:$E$134,4,FALSE))</f>
        <v/>
      </c>
      <c r="AK21" s="301" t="str">
        <f t="shared" si="6"/>
        <v/>
      </c>
      <c r="AL21" s="301" t="str">
        <f t="shared" si="7"/>
        <v/>
      </c>
      <c r="AM21" s="305" t="str">
        <f>IFERROR(IF(F21="","",IF(AH21="Check Data ⚠","Check Data ⚠",VLOOKUP(AL21, 'G-3 Multipliers'!$P$2:$Q$6,2,FALSE))),"")</f>
        <v/>
      </c>
      <c r="AN21" s="728"/>
      <c r="AO21" s="335" t="str">
        <f>IF(AN21="","",IF(VLOOKUP(AN21,'G-3 Multipliers'!$S$3:$T$10,2,FALSE)=0,"Spatial Data Missing ⚠",VLOOKUP(AN21,'G-3 Multipliers'!$S$3:$T$10,2,FALSE)))</f>
        <v/>
      </c>
      <c r="AP21" s="295" t="str">
        <f t="shared" si="8"/>
        <v/>
      </c>
      <c r="AQ21" s="295" t="str">
        <f t="shared" si="9"/>
        <v/>
      </c>
      <c r="AR21" s="109"/>
      <c r="AS21" s="142"/>
      <c r="AT21" s="108"/>
      <c r="AU21" s="108"/>
      <c r="AY21" s="30" t="str">
        <f>IF(E21="","",IF(ISNA(VLOOKUP($E21,'D-1 Off-Site Habitat Baseline'!$D$1:$AV$258,4,FALSE)),"",(VLOOKUP($E21,'D-1 Off-Site Habitat Baseline'!$D$1:$AV$258,4,FALSE))))</f>
        <v/>
      </c>
    </row>
    <row r="22" spans="1:51" x14ac:dyDescent="0.25">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325" t="str">
        <f>'D-1 Off-Site Habitat Baseline'!AP21</f>
        <v/>
      </c>
      <c r="F22" s="289" t="str">
        <f>IF(E22="","",IF(ISNA(VLOOKUP($E22,'D-1 Off-Site Habitat Baseline'!$D$1:$ZZ$258,45,FALSE)),"",(VLOOKUP($E22,'D-1 Off-Site Habitat Baseline'!$D$1:$ZZ$258,45,FALSE))))</f>
        <v/>
      </c>
      <c r="G22" s="301" t="str">
        <f>IF(E22="","",IF(ISNA(VLOOKUP($E22,'D-1 Off-Site Habitat Baseline'!$D$1:$O$258,5,FALSE)),"",(VLOOKUP($E22,'D-1 Off-Site Habitat Baseline'!$D$1:$O$258,5,FALSE))))</f>
        <v/>
      </c>
      <c r="H22" s="301" t="str">
        <f>IF(E22="","",IF(ISNA(VLOOKUP($E22,'D-1 Off-Site Habitat Baseline'!$D$1:$O$258,6,FALSE)),"",(VLOOKUP($E22,'D-1 Off-Site Habitat Baseline'!$D$1:$O$258,6,FALSE))))</f>
        <v/>
      </c>
      <c r="I22" s="301" t="str">
        <f>IF(E22="","",IF(ISNA(VLOOKUP($E22,'D-1 Off-Site Habitat Baseline'!$D$1:$O$258,7,FALSE)),"",(VLOOKUP($E22,'D-1 Off-Site Habitat Baseline'!$D$1:$O$258,7,FALSE))))</f>
        <v/>
      </c>
      <c r="J22" s="301" t="str">
        <f>IF(E22="","",IF(ISNA(VLOOKUP($E22,'D-1 Off-Site Habitat Baseline'!$D$1:$O$258,8,FALSE)),"",(VLOOKUP($E22,'D-1 Off-Site Habitat Baseline'!$D$1:$O$258,8,FALSE))))</f>
        <v/>
      </c>
      <c r="K22" s="301" t="str">
        <f>IF(E22="","",IF(ISNA(VLOOKUP($E22,'D-1 Off-Site Habitat Baseline'!$D$1:$O$258,9,FALSE)),"",(VLOOKUP($E22,'D-1 Off-Site Habitat Baseline'!$D$1:$O$258,9,FALSE))))</f>
        <v/>
      </c>
      <c r="L22" s="301" t="str">
        <f>IF(E22="","",IF(ISNA(VLOOKUP($E22,'D-1 Off-Site Habitat Baseline'!$D$1:$O$258,11,FALSE)),"",(VLOOKUP($E22,'D-1 Off-Site Habitat Baseline'!$D$1:$O$258,11,FALSE))))</f>
        <v/>
      </c>
      <c r="M22" s="301" t="str">
        <f>IF(E22="","",IF(ISNA(VLOOKUP($E22,'D-1 Off-Site Habitat Baseline'!$D$1:$O$258,12,FALSE)),"",(VLOOKUP($E22,'D-1 Off-Site Habitat Baseline'!$D$1:$O$258,12,FALSE))))</f>
        <v/>
      </c>
      <c r="N22" s="301" t="str">
        <f>IF(E22="","",IF(ISNA(VLOOKUP($E22,'D-1 Off-Site Habitat Baseline'!$D$1:$AA$258,17,FALSE)),"",(VLOOKUP($E22,'D-1 Off-Site Habitat Baseline'!$D$1:$AA$258,17,FALSE))))</f>
        <v/>
      </c>
      <c r="O22" s="305" t="str">
        <f>IF(E22="","",IF(ISNA(VLOOKUP($E22,'D-1 Off-Site Habitat Baseline'!$D$1:$AA$258,13,FALSE)),"",(VLOOKUP($E22,'D-1 Off-Site Habitat Baseline'!$D$1:$AA$258,13,FALSE))))</f>
        <v/>
      </c>
      <c r="P22" s="152" t="str">
        <f>IFERROR(INDEX('G-1 All Habitats'!$AG$49:$AG$63,MATCH(Q22,'G-1 All Habitats'!$AF$27:$AF$41,0)),"")</f>
        <v/>
      </c>
      <c r="Q22" s="153"/>
      <c r="R22" s="154"/>
      <c r="S22" s="155" t="str">
        <f>IFERROR(INDEX('G-1 All Habitats'!$B$3:$B$135,MATCH(R22,'G-1 All Habitats'!$A$3:$A$135,0)),"")</f>
        <v/>
      </c>
      <c r="T22" s="289" t="str">
        <f t="shared" si="1"/>
        <v/>
      </c>
      <c r="U22" s="305" t="str">
        <f t="shared" si="2"/>
        <v/>
      </c>
      <c r="V22" s="304" t="str">
        <f t="shared" si="3"/>
        <v/>
      </c>
      <c r="W22" s="301" t="str">
        <f>IF(S22="","",VLOOKUP(S22,'G-1 All Habitats'!$B$2:$M$135,10,FALSE))</f>
        <v/>
      </c>
      <c r="X22" s="301" t="str">
        <f>IFERROR(VLOOKUP(W22,'G-1 All Habitats'!$V$3:$W$7,2,FALSE),"")</f>
        <v/>
      </c>
      <c r="Y22" s="142"/>
      <c r="Z22" s="305" t="str">
        <f>IFERROR(INDEX('G-8 Condition Look up'!$A$3:$H$135,MATCH(S22,'G-8 Condition Look up'!$A$3:$A$135,0),MATCH(Y22,'G-8 Condition Look up'!$A$3:$H$3,0)),"")</f>
        <v/>
      </c>
      <c r="AA22" s="105"/>
      <c r="AB22" s="320" t="str">
        <f>IF(AA22="","",IF(VLOOKUP(AA22,'G-3 Multipliers'!$L$3:$N$6,2,FALSE)=0,"Spatial Data Missing ⚠",VLOOKUP(AA22,'G-3 Multipliers'!$L$3:$N$6,2,FALSE)))</f>
        <v/>
      </c>
      <c r="AC22" s="305" t="str">
        <f>IF(AA22="","",IF(VLOOKUP(AA22,'G-3 Multipliers'!$L$3:$N$6,3,FALSE)=0,"Spatial Data Missing ⚠",VLOOKUP(AA22,'G-3 Multipliers'!$L$3:$N$6,3,FALSE)))</f>
        <v/>
      </c>
      <c r="AD22" s="317" t="str">
        <f t="shared" si="0"/>
        <v/>
      </c>
      <c r="AE22" s="142"/>
      <c r="AF22" s="142"/>
      <c r="AG22" s="301" t="str">
        <f t="shared" si="4"/>
        <v/>
      </c>
      <c r="AH22" s="302" t="str">
        <f t="shared" si="5"/>
        <v/>
      </c>
      <c r="AI22" s="306" t="str">
        <f>IF(AH22="Check Data ⚠","Check Data ⚠",IFERROR(VLOOKUP(AH22,'G-4 Temporal multipliers'!$A$4:$C$36,3,FALSE),""))</f>
        <v/>
      </c>
      <c r="AJ22" s="317" t="str">
        <f>IF(S22="","",VLOOKUP(S22,'G-3 Multipliers'!$A$2:$E$134,4,FALSE))</f>
        <v/>
      </c>
      <c r="AK22" s="301" t="str">
        <f t="shared" si="6"/>
        <v/>
      </c>
      <c r="AL22" s="301" t="str">
        <f t="shared" si="7"/>
        <v/>
      </c>
      <c r="AM22" s="305" t="str">
        <f>IFERROR(IF(F22="","",IF(AH22="Check Data ⚠","Check Data ⚠",VLOOKUP(AL22, 'G-3 Multipliers'!$P$2:$Q$6,2,FALSE))),"")</f>
        <v/>
      </c>
      <c r="AN22" s="728"/>
      <c r="AO22" s="335" t="str">
        <f>IF(AN22="","",IF(VLOOKUP(AN22,'G-3 Multipliers'!$S$3:$T$10,2,FALSE)=0,"Spatial Data Missing ⚠",VLOOKUP(AN22,'G-3 Multipliers'!$S$3:$T$10,2,FALSE)))</f>
        <v/>
      </c>
      <c r="AP22" s="295" t="str">
        <f t="shared" si="8"/>
        <v/>
      </c>
      <c r="AQ22" s="295" t="str">
        <f t="shared" si="9"/>
        <v/>
      </c>
      <c r="AR22" s="109"/>
      <c r="AS22" s="142"/>
      <c r="AT22" s="108"/>
      <c r="AU22" s="108"/>
      <c r="AY22" s="30" t="str">
        <f>IF(E22="","",IF(ISNA(VLOOKUP($E22,'D-1 Off-Site Habitat Baseline'!$D$1:$AV$258,4,FALSE)),"",(VLOOKUP($E22,'D-1 Off-Site Habitat Baseline'!$D$1:$AV$258,4,FALSE))))</f>
        <v/>
      </c>
    </row>
    <row r="23" spans="1:51" x14ac:dyDescent="0.25">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325" t="str">
        <f>'D-1 Off-Site Habitat Baseline'!AP22</f>
        <v/>
      </c>
      <c r="F23" s="289" t="str">
        <f>IF(E23="","",IF(ISNA(VLOOKUP($E23,'D-1 Off-Site Habitat Baseline'!$D$1:$ZZ$258,45,FALSE)),"",(VLOOKUP($E23,'D-1 Off-Site Habitat Baseline'!$D$1:$ZZ$258,45,FALSE))))</f>
        <v/>
      </c>
      <c r="G23" s="301" t="str">
        <f>IF(E23="","",IF(ISNA(VLOOKUP($E23,'D-1 Off-Site Habitat Baseline'!$D$1:$O$258,5,FALSE)),"",(VLOOKUP($E23,'D-1 Off-Site Habitat Baseline'!$D$1:$O$258,5,FALSE))))</f>
        <v/>
      </c>
      <c r="H23" s="301" t="str">
        <f>IF(E23="","",IF(ISNA(VLOOKUP($E23,'D-1 Off-Site Habitat Baseline'!$D$1:$O$258,6,FALSE)),"",(VLOOKUP($E23,'D-1 Off-Site Habitat Baseline'!$D$1:$O$258,6,FALSE))))</f>
        <v/>
      </c>
      <c r="I23" s="301" t="str">
        <f>IF(E23="","",IF(ISNA(VLOOKUP($E23,'D-1 Off-Site Habitat Baseline'!$D$1:$O$258,7,FALSE)),"",(VLOOKUP($E23,'D-1 Off-Site Habitat Baseline'!$D$1:$O$258,7,FALSE))))</f>
        <v/>
      </c>
      <c r="J23" s="301" t="str">
        <f>IF(E23="","",IF(ISNA(VLOOKUP($E23,'D-1 Off-Site Habitat Baseline'!$D$1:$O$258,8,FALSE)),"",(VLOOKUP($E23,'D-1 Off-Site Habitat Baseline'!$D$1:$O$258,8,FALSE))))</f>
        <v/>
      </c>
      <c r="K23" s="301" t="str">
        <f>IF(E23="","",IF(ISNA(VLOOKUP($E23,'D-1 Off-Site Habitat Baseline'!$D$1:$O$258,9,FALSE)),"",(VLOOKUP($E23,'D-1 Off-Site Habitat Baseline'!$D$1:$O$258,9,FALSE))))</f>
        <v/>
      </c>
      <c r="L23" s="301" t="str">
        <f>IF(E23="","",IF(ISNA(VLOOKUP($E23,'D-1 Off-Site Habitat Baseline'!$D$1:$O$258,11,FALSE)),"",(VLOOKUP($E23,'D-1 Off-Site Habitat Baseline'!$D$1:$O$258,11,FALSE))))</f>
        <v/>
      </c>
      <c r="M23" s="301" t="str">
        <f>IF(E23="","",IF(ISNA(VLOOKUP($E23,'D-1 Off-Site Habitat Baseline'!$D$1:$O$258,12,FALSE)),"",(VLOOKUP($E23,'D-1 Off-Site Habitat Baseline'!$D$1:$O$258,12,FALSE))))</f>
        <v/>
      </c>
      <c r="N23" s="301" t="str">
        <f>IF(E23="","",IF(ISNA(VLOOKUP($E23,'D-1 Off-Site Habitat Baseline'!$D$1:$AA$258,17,FALSE)),"",(VLOOKUP($E23,'D-1 Off-Site Habitat Baseline'!$D$1:$AA$258,17,FALSE))))</f>
        <v/>
      </c>
      <c r="O23" s="305" t="str">
        <f>IF(E23="","",IF(ISNA(VLOOKUP($E23,'D-1 Off-Site Habitat Baseline'!$D$1:$AA$258,13,FALSE)),"",(VLOOKUP($E23,'D-1 Off-Site Habitat Baseline'!$D$1:$AA$258,13,FALSE))))</f>
        <v/>
      </c>
      <c r="P23" s="152" t="str">
        <f>IFERROR(INDEX('G-1 All Habitats'!$AG$49:$AG$63,MATCH(Q23,'G-1 All Habitats'!$AF$27:$AF$41,0)),"")</f>
        <v/>
      </c>
      <c r="Q23" s="153"/>
      <c r="R23" s="154"/>
      <c r="S23" s="155" t="str">
        <f>IFERROR(INDEX('G-1 All Habitats'!$B$3:$B$135,MATCH(R23,'G-1 All Habitats'!$A$3:$A$135,0)),"")</f>
        <v/>
      </c>
      <c r="T23" s="289" t="str">
        <f t="shared" si="1"/>
        <v/>
      </c>
      <c r="U23" s="305" t="str">
        <f t="shared" si="2"/>
        <v/>
      </c>
      <c r="V23" s="304" t="str">
        <f t="shared" si="3"/>
        <v/>
      </c>
      <c r="W23" s="301" t="str">
        <f>IF(S23="","",VLOOKUP(S23,'G-1 All Habitats'!$B$2:$M$135,10,FALSE))</f>
        <v/>
      </c>
      <c r="X23" s="301" t="str">
        <f>IFERROR(VLOOKUP(W23,'G-1 All Habitats'!$V$3:$W$7,2,FALSE),"")</f>
        <v/>
      </c>
      <c r="Y23" s="142"/>
      <c r="Z23" s="305" t="str">
        <f>IFERROR(INDEX('G-8 Condition Look up'!$A$3:$H$135,MATCH(S23,'G-8 Condition Look up'!$A$3:$A$135,0),MATCH(Y23,'G-8 Condition Look up'!$A$3:$H$3,0)),"")</f>
        <v/>
      </c>
      <c r="AA23" s="105"/>
      <c r="AB23" s="320" t="str">
        <f>IF(AA23="","",IF(VLOOKUP(AA23,'G-3 Multipliers'!$L$3:$N$6,2,FALSE)=0,"Spatial Data Missing ⚠",VLOOKUP(AA23,'G-3 Multipliers'!$L$3:$N$6,2,FALSE)))</f>
        <v/>
      </c>
      <c r="AC23" s="305" t="str">
        <f>IF(AA23="","",IF(VLOOKUP(AA23,'G-3 Multipliers'!$L$3:$N$6,3,FALSE)=0,"Spatial Data Missing ⚠",VLOOKUP(AA23,'G-3 Multipliers'!$L$3:$N$6,3,FALSE)))</f>
        <v/>
      </c>
      <c r="AD23" s="317" t="str">
        <f t="shared" si="0"/>
        <v/>
      </c>
      <c r="AE23" s="142"/>
      <c r="AF23" s="142"/>
      <c r="AG23" s="301" t="str">
        <f t="shared" si="4"/>
        <v/>
      </c>
      <c r="AH23" s="302" t="str">
        <f t="shared" si="5"/>
        <v/>
      </c>
      <c r="AI23" s="306" t="str">
        <f>IF(AH23="Check Data ⚠","Check Data ⚠",IFERROR(VLOOKUP(AH23,'G-4 Temporal multipliers'!$A$4:$C$36,3,FALSE),""))</f>
        <v/>
      </c>
      <c r="AJ23" s="317" t="str">
        <f>IF(S23="","",VLOOKUP(S23,'G-3 Multipliers'!$A$2:$E$134,4,FALSE))</f>
        <v/>
      </c>
      <c r="AK23" s="301" t="str">
        <f t="shared" si="6"/>
        <v/>
      </c>
      <c r="AL23" s="301" t="str">
        <f t="shared" si="7"/>
        <v/>
      </c>
      <c r="AM23" s="305" t="str">
        <f>IFERROR(IF(F23="","",IF(AH23="Check Data ⚠","Check Data ⚠",VLOOKUP(AL23, 'G-3 Multipliers'!$P$2:$Q$6,2,FALSE))),"")</f>
        <v/>
      </c>
      <c r="AN23" s="728"/>
      <c r="AO23" s="335" t="str">
        <f>IF(AN23="","",IF(VLOOKUP(AN23,'G-3 Multipliers'!$S$3:$T$10,2,FALSE)=0,"Spatial Data Missing ⚠",VLOOKUP(AN23,'G-3 Multipliers'!$S$3:$T$10,2,FALSE)))</f>
        <v/>
      </c>
      <c r="AP23" s="295" t="str">
        <f t="shared" si="8"/>
        <v/>
      </c>
      <c r="AQ23" s="295" t="str">
        <f t="shared" si="9"/>
        <v/>
      </c>
      <c r="AR23" s="109"/>
      <c r="AS23" s="142"/>
      <c r="AT23" s="108"/>
      <c r="AU23" s="108"/>
      <c r="AY23" s="30" t="str">
        <f>IF(E23="","",IF(ISNA(VLOOKUP($E23,'D-1 Off-Site Habitat Baseline'!$D$1:$AV$258,4,FALSE)),"",(VLOOKUP($E23,'D-1 Off-Site Habitat Baseline'!$D$1:$AV$258,4,FALSE))))</f>
        <v/>
      </c>
    </row>
    <row r="24" spans="1:51" x14ac:dyDescent="0.25">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325" t="str">
        <f>'D-1 Off-Site Habitat Baseline'!AP23</f>
        <v/>
      </c>
      <c r="F24" s="289" t="str">
        <f>IF(E24="","",IF(ISNA(VLOOKUP($E24,'D-1 Off-Site Habitat Baseline'!$D$1:$ZZ$258,45,FALSE)),"",(VLOOKUP($E24,'D-1 Off-Site Habitat Baseline'!$D$1:$ZZ$258,45,FALSE))))</f>
        <v/>
      </c>
      <c r="G24" s="301" t="str">
        <f>IF(E24="","",IF(ISNA(VLOOKUP($E24,'D-1 Off-Site Habitat Baseline'!$D$1:$O$258,5,FALSE)),"",(VLOOKUP($E24,'D-1 Off-Site Habitat Baseline'!$D$1:$O$258,5,FALSE))))</f>
        <v/>
      </c>
      <c r="H24" s="301" t="str">
        <f>IF(E24="","",IF(ISNA(VLOOKUP($E24,'D-1 Off-Site Habitat Baseline'!$D$1:$O$258,6,FALSE)),"",(VLOOKUP($E24,'D-1 Off-Site Habitat Baseline'!$D$1:$O$258,6,FALSE))))</f>
        <v/>
      </c>
      <c r="I24" s="301" t="str">
        <f>IF(E24="","",IF(ISNA(VLOOKUP($E24,'D-1 Off-Site Habitat Baseline'!$D$1:$O$258,7,FALSE)),"",(VLOOKUP($E24,'D-1 Off-Site Habitat Baseline'!$D$1:$O$258,7,FALSE))))</f>
        <v/>
      </c>
      <c r="J24" s="301" t="str">
        <f>IF(E24="","",IF(ISNA(VLOOKUP($E24,'D-1 Off-Site Habitat Baseline'!$D$1:$O$258,8,FALSE)),"",(VLOOKUP($E24,'D-1 Off-Site Habitat Baseline'!$D$1:$O$258,8,FALSE))))</f>
        <v/>
      </c>
      <c r="K24" s="301" t="str">
        <f>IF(E24="","",IF(ISNA(VLOOKUP($E24,'D-1 Off-Site Habitat Baseline'!$D$1:$O$258,9,FALSE)),"",(VLOOKUP($E24,'D-1 Off-Site Habitat Baseline'!$D$1:$O$258,9,FALSE))))</f>
        <v/>
      </c>
      <c r="L24" s="301" t="str">
        <f>IF(E24="","",IF(ISNA(VLOOKUP($E24,'D-1 Off-Site Habitat Baseline'!$D$1:$O$258,11,FALSE)),"",(VLOOKUP($E24,'D-1 Off-Site Habitat Baseline'!$D$1:$O$258,11,FALSE))))</f>
        <v/>
      </c>
      <c r="M24" s="301" t="str">
        <f>IF(E24="","",IF(ISNA(VLOOKUP($E24,'D-1 Off-Site Habitat Baseline'!$D$1:$O$258,12,FALSE)),"",(VLOOKUP($E24,'D-1 Off-Site Habitat Baseline'!$D$1:$O$258,12,FALSE))))</f>
        <v/>
      </c>
      <c r="N24" s="301" t="str">
        <f>IF(E24="","",IF(ISNA(VLOOKUP($E24,'D-1 Off-Site Habitat Baseline'!$D$1:$AA$258,17,FALSE)),"",(VLOOKUP($E24,'D-1 Off-Site Habitat Baseline'!$D$1:$AA$258,17,FALSE))))</f>
        <v/>
      </c>
      <c r="O24" s="305" t="str">
        <f>IF(E24="","",IF(ISNA(VLOOKUP($E24,'D-1 Off-Site Habitat Baseline'!$D$1:$AA$258,13,FALSE)),"",(VLOOKUP($E24,'D-1 Off-Site Habitat Baseline'!$D$1:$AA$258,13,FALSE))))</f>
        <v/>
      </c>
      <c r="P24" s="152" t="str">
        <f>IFERROR(INDEX('G-1 All Habitats'!$AG$49:$AG$63,MATCH(Q24,'G-1 All Habitats'!$AF$27:$AF$41,0)),"")</f>
        <v/>
      </c>
      <c r="Q24" s="153"/>
      <c r="R24" s="154"/>
      <c r="S24" s="155" t="str">
        <f>IFERROR(INDEX('G-1 All Habitats'!$B$3:$B$135,MATCH(R24,'G-1 All Habitats'!$A$3:$A$135,0)),"")</f>
        <v/>
      </c>
      <c r="T24" s="289" t="str">
        <f t="shared" si="1"/>
        <v/>
      </c>
      <c r="U24" s="305" t="str">
        <f t="shared" si="2"/>
        <v/>
      </c>
      <c r="V24" s="304" t="str">
        <f t="shared" si="3"/>
        <v/>
      </c>
      <c r="W24" s="301" t="str">
        <f>IF(S24="","",VLOOKUP(S24,'G-1 All Habitats'!$B$2:$M$135,10,FALSE))</f>
        <v/>
      </c>
      <c r="X24" s="301" t="str">
        <f>IFERROR(VLOOKUP(W24,'G-1 All Habitats'!$V$3:$W$7,2,FALSE),"")</f>
        <v/>
      </c>
      <c r="Y24" s="142"/>
      <c r="Z24" s="305" t="str">
        <f>IFERROR(INDEX('G-8 Condition Look up'!$A$3:$H$135,MATCH(S24,'G-8 Condition Look up'!$A$3:$A$135,0),MATCH(Y24,'G-8 Condition Look up'!$A$3:$H$3,0)),"")</f>
        <v/>
      </c>
      <c r="AA24" s="105"/>
      <c r="AB24" s="320" t="str">
        <f>IF(AA24="","",IF(VLOOKUP(AA24,'G-3 Multipliers'!$L$3:$N$6,2,FALSE)=0,"Spatial Data Missing ⚠",VLOOKUP(AA24,'G-3 Multipliers'!$L$3:$N$6,2,FALSE)))</f>
        <v/>
      </c>
      <c r="AC24" s="305" t="str">
        <f>IF(AA24="","",IF(VLOOKUP(AA24,'G-3 Multipliers'!$L$3:$N$6,3,FALSE)=0,"Spatial Data Missing ⚠",VLOOKUP(AA24,'G-3 Multipliers'!$L$3:$N$6,3,FALSE)))</f>
        <v/>
      </c>
      <c r="AD24" s="317" t="str">
        <f t="shared" si="0"/>
        <v/>
      </c>
      <c r="AE24" s="142"/>
      <c r="AF24" s="142"/>
      <c r="AG24" s="301" t="str">
        <f t="shared" si="4"/>
        <v/>
      </c>
      <c r="AH24" s="302" t="str">
        <f t="shared" si="5"/>
        <v/>
      </c>
      <c r="AI24" s="306" t="str">
        <f>IF(AH24="Check Data ⚠","Check Data ⚠",IFERROR(VLOOKUP(AH24,'G-4 Temporal multipliers'!$A$4:$C$36,3,FALSE),""))</f>
        <v/>
      </c>
      <c r="AJ24" s="317" t="str">
        <f>IF(S24="","",VLOOKUP(S24,'G-3 Multipliers'!$A$2:$E$134,4,FALSE))</f>
        <v/>
      </c>
      <c r="AK24" s="301" t="str">
        <f t="shared" si="6"/>
        <v/>
      </c>
      <c r="AL24" s="301" t="str">
        <f t="shared" si="7"/>
        <v/>
      </c>
      <c r="AM24" s="305" t="str">
        <f>IFERROR(IF(F24="","",IF(AH24="Check Data ⚠","Check Data ⚠",VLOOKUP(AL24, 'G-3 Multipliers'!$P$2:$Q$6,2,FALSE))),"")</f>
        <v/>
      </c>
      <c r="AN24" s="728"/>
      <c r="AO24" s="335" t="str">
        <f>IF(AN24="","",IF(VLOOKUP(AN24,'G-3 Multipliers'!$S$3:$T$10,2,FALSE)=0,"Spatial Data Missing ⚠",VLOOKUP(AN24,'G-3 Multipliers'!$S$3:$T$10,2,FALSE)))</f>
        <v/>
      </c>
      <c r="AP24" s="295" t="str">
        <f t="shared" si="8"/>
        <v/>
      </c>
      <c r="AQ24" s="295" t="str">
        <f t="shared" si="9"/>
        <v/>
      </c>
      <c r="AR24" s="109"/>
      <c r="AS24" s="142"/>
      <c r="AT24" s="108"/>
      <c r="AU24" s="108"/>
      <c r="AY24" s="30" t="str">
        <f>IF(E24="","",IF(ISNA(VLOOKUP($E24,'D-1 Off-Site Habitat Baseline'!$D$1:$AV$258,4,FALSE)),"",(VLOOKUP($E24,'D-1 Off-Site Habitat Baseline'!$D$1:$AV$258,4,FALSE))))</f>
        <v/>
      </c>
    </row>
    <row r="25" spans="1:51" x14ac:dyDescent="0.25">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325" t="str">
        <f>'D-1 Off-Site Habitat Baseline'!AP24</f>
        <v/>
      </c>
      <c r="F25" s="289" t="str">
        <f>IF(E25="","",IF(ISNA(VLOOKUP($E25,'D-1 Off-Site Habitat Baseline'!$D$1:$ZZ$258,45,FALSE)),"",(VLOOKUP($E25,'D-1 Off-Site Habitat Baseline'!$D$1:$ZZ$258,45,FALSE))))</f>
        <v/>
      </c>
      <c r="G25" s="301" t="str">
        <f>IF(E25="","",IF(ISNA(VLOOKUP($E25,'D-1 Off-Site Habitat Baseline'!$D$1:$O$258,5,FALSE)),"",(VLOOKUP($E25,'D-1 Off-Site Habitat Baseline'!$D$1:$O$258,5,FALSE))))</f>
        <v/>
      </c>
      <c r="H25" s="301" t="str">
        <f>IF(E25="","",IF(ISNA(VLOOKUP($E25,'D-1 Off-Site Habitat Baseline'!$D$1:$O$258,6,FALSE)),"",(VLOOKUP($E25,'D-1 Off-Site Habitat Baseline'!$D$1:$O$258,6,FALSE))))</f>
        <v/>
      </c>
      <c r="I25" s="301" t="str">
        <f>IF(E25="","",IF(ISNA(VLOOKUP($E25,'D-1 Off-Site Habitat Baseline'!$D$1:$O$258,7,FALSE)),"",(VLOOKUP($E25,'D-1 Off-Site Habitat Baseline'!$D$1:$O$258,7,FALSE))))</f>
        <v/>
      </c>
      <c r="J25" s="301" t="str">
        <f>IF(E25="","",IF(ISNA(VLOOKUP($E25,'D-1 Off-Site Habitat Baseline'!$D$1:$O$258,8,FALSE)),"",(VLOOKUP($E25,'D-1 Off-Site Habitat Baseline'!$D$1:$O$258,8,FALSE))))</f>
        <v/>
      </c>
      <c r="K25" s="301" t="str">
        <f>IF(E25="","",IF(ISNA(VLOOKUP($E25,'D-1 Off-Site Habitat Baseline'!$D$1:$O$258,9,FALSE)),"",(VLOOKUP($E25,'D-1 Off-Site Habitat Baseline'!$D$1:$O$258,9,FALSE))))</f>
        <v/>
      </c>
      <c r="L25" s="301" t="str">
        <f>IF(E25="","",IF(ISNA(VLOOKUP($E25,'D-1 Off-Site Habitat Baseline'!$D$1:$O$258,11,FALSE)),"",(VLOOKUP($E25,'D-1 Off-Site Habitat Baseline'!$D$1:$O$258,11,FALSE))))</f>
        <v/>
      </c>
      <c r="M25" s="301" t="str">
        <f>IF(E25="","",IF(ISNA(VLOOKUP($E25,'D-1 Off-Site Habitat Baseline'!$D$1:$O$258,12,FALSE)),"",(VLOOKUP($E25,'D-1 Off-Site Habitat Baseline'!$D$1:$O$258,12,FALSE))))</f>
        <v/>
      </c>
      <c r="N25" s="301" t="str">
        <f>IF(E25="","",IF(ISNA(VLOOKUP($E25,'D-1 Off-Site Habitat Baseline'!$D$1:$AA$258,17,FALSE)),"",(VLOOKUP($E25,'D-1 Off-Site Habitat Baseline'!$D$1:$AA$258,17,FALSE))))</f>
        <v/>
      </c>
      <c r="O25" s="305" t="str">
        <f>IF(E25="","",IF(ISNA(VLOOKUP($E25,'D-1 Off-Site Habitat Baseline'!$D$1:$AA$258,13,FALSE)),"",(VLOOKUP($E25,'D-1 Off-Site Habitat Baseline'!$D$1:$AA$258,13,FALSE))))</f>
        <v/>
      </c>
      <c r="P25" s="152" t="str">
        <f>IFERROR(INDEX('G-1 All Habitats'!$AG$49:$AG$63,MATCH(Q25,'G-1 All Habitats'!$AF$27:$AF$41,0)),"")</f>
        <v/>
      </c>
      <c r="Q25" s="153"/>
      <c r="R25" s="154"/>
      <c r="S25" s="155" t="str">
        <f>IFERROR(INDEX('G-1 All Habitats'!$B$3:$B$135,MATCH(R25,'G-1 All Habitats'!$A$3:$A$135,0)),"")</f>
        <v/>
      </c>
      <c r="T25" s="289" t="str">
        <f t="shared" si="1"/>
        <v/>
      </c>
      <c r="U25" s="305" t="str">
        <f t="shared" si="2"/>
        <v/>
      </c>
      <c r="V25" s="304" t="str">
        <f t="shared" si="3"/>
        <v/>
      </c>
      <c r="W25" s="301" t="str">
        <f>IF(S25="","",VLOOKUP(S25,'G-1 All Habitats'!$B$2:$M$135,10,FALSE))</f>
        <v/>
      </c>
      <c r="X25" s="301" t="str">
        <f>IFERROR(VLOOKUP(W25,'G-1 All Habitats'!$V$3:$W$7,2,FALSE),"")</f>
        <v/>
      </c>
      <c r="Y25" s="142"/>
      <c r="Z25" s="305" t="str">
        <f>IFERROR(INDEX('G-8 Condition Look up'!$A$3:$H$135,MATCH(S25,'G-8 Condition Look up'!$A$3:$A$135,0),MATCH(Y25,'G-8 Condition Look up'!$A$3:$H$3,0)),"")</f>
        <v/>
      </c>
      <c r="AA25" s="105"/>
      <c r="AB25" s="320" t="str">
        <f>IF(AA25="","",IF(VLOOKUP(AA25,'G-3 Multipliers'!$L$3:$N$6,2,FALSE)=0,"Spatial Data Missing ⚠",VLOOKUP(AA25,'G-3 Multipliers'!$L$3:$N$6,2,FALSE)))</f>
        <v/>
      </c>
      <c r="AC25" s="305" t="str">
        <f>IF(AA25="","",IF(VLOOKUP(AA25,'G-3 Multipliers'!$L$3:$N$6,3,FALSE)=0,"Spatial Data Missing ⚠",VLOOKUP(AA25,'G-3 Multipliers'!$L$3:$N$6,3,FALSE)))</f>
        <v/>
      </c>
      <c r="AD25" s="317" t="str">
        <f t="shared" si="0"/>
        <v/>
      </c>
      <c r="AE25" s="142"/>
      <c r="AF25" s="142"/>
      <c r="AG25" s="301" t="str">
        <f t="shared" si="4"/>
        <v/>
      </c>
      <c r="AH25" s="302" t="str">
        <f t="shared" si="5"/>
        <v/>
      </c>
      <c r="AI25" s="306" t="str">
        <f>IF(AH25="Check Data ⚠","Check Data ⚠",IFERROR(VLOOKUP(AH25,'G-4 Temporal multipliers'!$A$4:$C$36,3,FALSE),""))</f>
        <v/>
      </c>
      <c r="AJ25" s="317" t="str">
        <f>IF(S25="","",VLOOKUP(S25,'G-3 Multipliers'!$A$2:$E$134,4,FALSE))</f>
        <v/>
      </c>
      <c r="AK25" s="301" t="str">
        <f t="shared" si="6"/>
        <v/>
      </c>
      <c r="AL25" s="301" t="str">
        <f t="shared" si="7"/>
        <v/>
      </c>
      <c r="AM25" s="305" t="str">
        <f>IFERROR(IF(F25="","",IF(AH25="Check Data ⚠","Check Data ⚠",VLOOKUP(AL25, 'G-3 Multipliers'!$P$2:$Q$6,2,FALSE))),"")</f>
        <v/>
      </c>
      <c r="AN25" s="728"/>
      <c r="AO25" s="335" t="str">
        <f>IF(AN25="","",IF(VLOOKUP(AN25,'G-3 Multipliers'!$S$3:$T$10,2,FALSE)=0,"Spatial Data Missing ⚠",VLOOKUP(AN25,'G-3 Multipliers'!$S$3:$T$10,2,FALSE)))</f>
        <v/>
      </c>
      <c r="AP25" s="295" t="str">
        <f t="shared" si="8"/>
        <v/>
      </c>
      <c r="AQ25" s="295" t="str">
        <f t="shared" si="9"/>
        <v/>
      </c>
      <c r="AR25" s="109"/>
      <c r="AS25" s="142"/>
      <c r="AT25" s="108"/>
      <c r="AU25" s="108"/>
      <c r="AY25" s="30" t="str">
        <f>IF(E25="","",IF(ISNA(VLOOKUP($E25,'D-1 Off-Site Habitat Baseline'!$D$1:$AV$258,4,FALSE)),"",(VLOOKUP($E25,'D-1 Off-Site Habitat Baseline'!$D$1:$AV$258,4,FALSE))))</f>
        <v/>
      </c>
    </row>
    <row r="26" spans="1:51" x14ac:dyDescent="0.25">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325" t="str">
        <f>'D-1 Off-Site Habitat Baseline'!AP25</f>
        <v/>
      </c>
      <c r="F26" s="289" t="str">
        <f>IF(E26="","",IF(ISNA(VLOOKUP($E26,'D-1 Off-Site Habitat Baseline'!$D$1:$ZZ$258,45,FALSE)),"",(VLOOKUP($E26,'D-1 Off-Site Habitat Baseline'!$D$1:$ZZ$258,45,FALSE))))</f>
        <v/>
      </c>
      <c r="G26" s="301" t="str">
        <f>IF(E26="","",IF(ISNA(VLOOKUP($E26,'D-1 Off-Site Habitat Baseline'!$D$1:$O$258,5,FALSE)),"",(VLOOKUP($E26,'D-1 Off-Site Habitat Baseline'!$D$1:$O$258,5,FALSE))))</f>
        <v/>
      </c>
      <c r="H26" s="301" t="str">
        <f>IF(E26="","",IF(ISNA(VLOOKUP($E26,'D-1 Off-Site Habitat Baseline'!$D$1:$O$258,6,FALSE)),"",(VLOOKUP($E26,'D-1 Off-Site Habitat Baseline'!$D$1:$O$258,6,FALSE))))</f>
        <v/>
      </c>
      <c r="I26" s="301" t="str">
        <f>IF(E26="","",IF(ISNA(VLOOKUP($E26,'D-1 Off-Site Habitat Baseline'!$D$1:$O$258,7,FALSE)),"",(VLOOKUP($E26,'D-1 Off-Site Habitat Baseline'!$D$1:$O$258,7,FALSE))))</f>
        <v/>
      </c>
      <c r="J26" s="301" t="str">
        <f>IF(E26="","",IF(ISNA(VLOOKUP($E26,'D-1 Off-Site Habitat Baseline'!$D$1:$O$258,8,FALSE)),"",(VLOOKUP($E26,'D-1 Off-Site Habitat Baseline'!$D$1:$O$258,8,FALSE))))</f>
        <v/>
      </c>
      <c r="K26" s="301" t="str">
        <f>IF(E26="","",IF(ISNA(VLOOKUP($E26,'D-1 Off-Site Habitat Baseline'!$D$1:$O$258,9,FALSE)),"",(VLOOKUP($E26,'D-1 Off-Site Habitat Baseline'!$D$1:$O$258,9,FALSE))))</f>
        <v/>
      </c>
      <c r="L26" s="301" t="str">
        <f>IF(E26="","",IF(ISNA(VLOOKUP($E26,'D-1 Off-Site Habitat Baseline'!$D$1:$O$258,11,FALSE)),"",(VLOOKUP($E26,'D-1 Off-Site Habitat Baseline'!$D$1:$O$258,11,FALSE))))</f>
        <v/>
      </c>
      <c r="M26" s="301" t="str">
        <f>IF(E26="","",IF(ISNA(VLOOKUP($E26,'D-1 Off-Site Habitat Baseline'!$D$1:$O$258,12,FALSE)),"",(VLOOKUP($E26,'D-1 Off-Site Habitat Baseline'!$D$1:$O$258,12,FALSE))))</f>
        <v/>
      </c>
      <c r="N26" s="301" t="str">
        <f>IF(E26="","",IF(ISNA(VLOOKUP($E26,'D-1 Off-Site Habitat Baseline'!$D$1:$AA$258,17,FALSE)),"",(VLOOKUP($E26,'D-1 Off-Site Habitat Baseline'!$D$1:$AA$258,17,FALSE))))</f>
        <v/>
      </c>
      <c r="O26" s="305" t="str">
        <f>IF(E26="","",IF(ISNA(VLOOKUP($E26,'D-1 Off-Site Habitat Baseline'!$D$1:$AA$258,13,FALSE)),"",(VLOOKUP($E26,'D-1 Off-Site Habitat Baseline'!$D$1:$AA$258,13,FALSE))))</f>
        <v/>
      </c>
      <c r="P26" s="152" t="str">
        <f>IFERROR(INDEX('G-1 All Habitats'!$AG$49:$AG$63,MATCH(Q26,'G-1 All Habitats'!$AF$27:$AF$41,0)),"")</f>
        <v/>
      </c>
      <c r="Q26" s="153"/>
      <c r="R26" s="154"/>
      <c r="S26" s="155" t="str">
        <f>IFERROR(INDEX('G-1 All Habitats'!$B$3:$B$135,MATCH(R26,'G-1 All Habitats'!$A$3:$A$135,0)),"")</f>
        <v/>
      </c>
      <c r="T26" s="289" t="str">
        <f t="shared" si="1"/>
        <v/>
      </c>
      <c r="U26" s="305" t="str">
        <f t="shared" si="2"/>
        <v/>
      </c>
      <c r="V26" s="304" t="str">
        <f t="shared" si="3"/>
        <v/>
      </c>
      <c r="W26" s="301" t="str">
        <f>IF(S26="","",VLOOKUP(S26,'G-1 All Habitats'!$B$2:$M$135,10,FALSE))</f>
        <v/>
      </c>
      <c r="X26" s="301" t="str">
        <f>IFERROR(VLOOKUP(W26,'G-1 All Habitats'!$V$3:$W$7,2,FALSE),"")</f>
        <v/>
      </c>
      <c r="Y26" s="142"/>
      <c r="Z26" s="305" t="str">
        <f>IFERROR(INDEX('G-8 Condition Look up'!$A$3:$H$135,MATCH(S26,'G-8 Condition Look up'!$A$3:$A$135,0),MATCH(Y26,'G-8 Condition Look up'!$A$3:$H$3,0)),"")</f>
        <v/>
      </c>
      <c r="AA26" s="105"/>
      <c r="AB26" s="320" t="str">
        <f>IF(AA26="","",IF(VLOOKUP(AA26,'G-3 Multipliers'!$L$3:$N$6,2,FALSE)=0,"Spatial Data Missing ⚠",VLOOKUP(AA26,'G-3 Multipliers'!$L$3:$N$6,2,FALSE)))</f>
        <v/>
      </c>
      <c r="AC26" s="305" t="str">
        <f>IF(AA26="","",IF(VLOOKUP(AA26,'G-3 Multipliers'!$L$3:$N$6,3,FALSE)=0,"Spatial Data Missing ⚠",VLOOKUP(AA26,'G-3 Multipliers'!$L$3:$N$6,3,FALSE)))</f>
        <v/>
      </c>
      <c r="AD26" s="317" t="str">
        <f t="shared" si="0"/>
        <v/>
      </c>
      <c r="AE26" s="142"/>
      <c r="AF26" s="142"/>
      <c r="AG26" s="301" t="str">
        <f t="shared" si="4"/>
        <v/>
      </c>
      <c r="AH26" s="302" t="str">
        <f t="shared" si="5"/>
        <v/>
      </c>
      <c r="AI26" s="306" t="str">
        <f>IF(AH26="Check Data ⚠","Check Data ⚠",IFERROR(VLOOKUP(AH26,'G-4 Temporal multipliers'!$A$4:$C$36,3,FALSE),""))</f>
        <v/>
      </c>
      <c r="AJ26" s="317" t="str">
        <f>IF(S26="","",VLOOKUP(S26,'G-3 Multipliers'!$A$2:$E$134,4,FALSE))</f>
        <v/>
      </c>
      <c r="AK26" s="301" t="str">
        <f t="shared" si="6"/>
        <v/>
      </c>
      <c r="AL26" s="301" t="str">
        <f t="shared" si="7"/>
        <v/>
      </c>
      <c r="AM26" s="305" t="str">
        <f>IFERROR(IF(F26="","",IF(AH26="Check Data ⚠","Check Data ⚠",VLOOKUP(AL26, 'G-3 Multipliers'!$P$2:$Q$6,2,FALSE))),"")</f>
        <v/>
      </c>
      <c r="AN26" s="728"/>
      <c r="AO26" s="335" t="str">
        <f>IF(AN26="","",IF(VLOOKUP(AN26,'G-3 Multipliers'!$S$3:$T$10,2,FALSE)=0,"Spatial Data Missing ⚠",VLOOKUP(AN26,'G-3 Multipliers'!$S$3:$T$10,2,FALSE)))</f>
        <v/>
      </c>
      <c r="AP26" s="295" t="str">
        <f t="shared" si="8"/>
        <v/>
      </c>
      <c r="AQ26" s="295" t="str">
        <f t="shared" si="9"/>
        <v/>
      </c>
      <c r="AR26" s="109"/>
      <c r="AS26" s="142"/>
      <c r="AT26" s="108"/>
      <c r="AU26" s="108"/>
      <c r="AY26" s="30" t="str">
        <f>IF(E26="","",IF(ISNA(VLOOKUP($E26,'D-1 Off-Site Habitat Baseline'!$D$1:$AV$258,4,FALSE)),"",(VLOOKUP($E26,'D-1 Off-Site Habitat Baseline'!$D$1:$AV$258,4,FALSE))))</f>
        <v/>
      </c>
    </row>
    <row r="27" spans="1:51" x14ac:dyDescent="0.25">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325" t="str">
        <f>'D-1 Off-Site Habitat Baseline'!AP26</f>
        <v/>
      </c>
      <c r="F27" s="289" t="str">
        <f>IF(E27="","",IF(ISNA(VLOOKUP($E27,'D-1 Off-Site Habitat Baseline'!$D$1:$ZZ$258,45,FALSE)),"",(VLOOKUP($E27,'D-1 Off-Site Habitat Baseline'!$D$1:$ZZ$258,45,FALSE))))</f>
        <v/>
      </c>
      <c r="G27" s="301" t="str">
        <f>IF(E27="","",IF(ISNA(VLOOKUP($E27,'D-1 Off-Site Habitat Baseline'!$D$1:$O$258,5,FALSE)),"",(VLOOKUP($E27,'D-1 Off-Site Habitat Baseline'!$D$1:$O$258,5,FALSE))))</f>
        <v/>
      </c>
      <c r="H27" s="301" t="str">
        <f>IF(E27="","",IF(ISNA(VLOOKUP($E27,'D-1 Off-Site Habitat Baseline'!$D$1:$O$258,6,FALSE)),"",(VLOOKUP($E27,'D-1 Off-Site Habitat Baseline'!$D$1:$O$258,6,FALSE))))</f>
        <v/>
      </c>
      <c r="I27" s="301" t="str">
        <f>IF(E27="","",IF(ISNA(VLOOKUP($E27,'D-1 Off-Site Habitat Baseline'!$D$1:$O$258,7,FALSE)),"",(VLOOKUP($E27,'D-1 Off-Site Habitat Baseline'!$D$1:$O$258,7,FALSE))))</f>
        <v/>
      </c>
      <c r="J27" s="301" t="str">
        <f>IF(E27="","",IF(ISNA(VLOOKUP($E27,'D-1 Off-Site Habitat Baseline'!$D$1:$O$258,8,FALSE)),"",(VLOOKUP($E27,'D-1 Off-Site Habitat Baseline'!$D$1:$O$258,8,FALSE))))</f>
        <v/>
      </c>
      <c r="K27" s="301" t="str">
        <f>IF(E27="","",IF(ISNA(VLOOKUP($E27,'D-1 Off-Site Habitat Baseline'!$D$1:$O$258,9,FALSE)),"",(VLOOKUP($E27,'D-1 Off-Site Habitat Baseline'!$D$1:$O$258,9,FALSE))))</f>
        <v/>
      </c>
      <c r="L27" s="301" t="str">
        <f>IF(E27="","",IF(ISNA(VLOOKUP($E27,'D-1 Off-Site Habitat Baseline'!$D$1:$O$258,11,FALSE)),"",(VLOOKUP($E27,'D-1 Off-Site Habitat Baseline'!$D$1:$O$258,11,FALSE))))</f>
        <v/>
      </c>
      <c r="M27" s="301" t="str">
        <f>IF(E27="","",IF(ISNA(VLOOKUP($E27,'D-1 Off-Site Habitat Baseline'!$D$1:$O$258,12,FALSE)),"",(VLOOKUP($E27,'D-1 Off-Site Habitat Baseline'!$D$1:$O$258,12,FALSE))))</f>
        <v/>
      </c>
      <c r="N27" s="301" t="str">
        <f>IF(E27="","",IF(ISNA(VLOOKUP($E27,'D-1 Off-Site Habitat Baseline'!$D$1:$AA$258,17,FALSE)),"",(VLOOKUP($E27,'D-1 Off-Site Habitat Baseline'!$D$1:$AA$258,17,FALSE))))</f>
        <v/>
      </c>
      <c r="O27" s="305" t="str">
        <f>IF(E27="","",IF(ISNA(VLOOKUP($E27,'D-1 Off-Site Habitat Baseline'!$D$1:$AA$258,13,FALSE)),"",(VLOOKUP($E27,'D-1 Off-Site Habitat Baseline'!$D$1:$AA$258,13,FALSE))))</f>
        <v/>
      </c>
      <c r="P27" s="152" t="str">
        <f>IFERROR(INDEX('G-1 All Habitats'!$AG$49:$AG$63,MATCH(Q27,'G-1 All Habitats'!$AF$27:$AF$41,0)),"")</f>
        <v/>
      </c>
      <c r="Q27" s="153"/>
      <c r="R27" s="154"/>
      <c r="S27" s="155" t="str">
        <f>IFERROR(INDEX('G-1 All Habitats'!$B$3:$B$135,MATCH(R27,'G-1 All Habitats'!$A$3:$A$135,0)),"")</f>
        <v/>
      </c>
      <c r="T27" s="289" t="str">
        <f t="shared" si="1"/>
        <v/>
      </c>
      <c r="U27" s="305" t="str">
        <f t="shared" si="2"/>
        <v/>
      </c>
      <c r="V27" s="304" t="str">
        <f t="shared" si="3"/>
        <v/>
      </c>
      <c r="W27" s="301" t="str">
        <f>IF(S27="","",VLOOKUP(S27,'G-1 All Habitats'!$B$2:$M$135,10,FALSE))</f>
        <v/>
      </c>
      <c r="X27" s="301" t="str">
        <f>IFERROR(VLOOKUP(W27,'G-1 All Habitats'!$V$3:$W$7,2,FALSE),"")</f>
        <v/>
      </c>
      <c r="Y27" s="142"/>
      <c r="Z27" s="305" t="str">
        <f>IFERROR(INDEX('G-8 Condition Look up'!$A$3:$H$135,MATCH(S27,'G-8 Condition Look up'!$A$3:$A$135,0),MATCH(Y27,'G-8 Condition Look up'!$A$3:$H$3,0)),"")</f>
        <v/>
      </c>
      <c r="AA27" s="105"/>
      <c r="AB27" s="320" t="str">
        <f>IF(AA27="","",IF(VLOOKUP(AA27,'G-3 Multipliers'!$L$3:$N$6,2,FALSE)=0,"Spatial Data Missing ⚠",VLOOKUP(AA27,'G-3 Multipliers'!$L$3:$N$6,2,FALSE)))</f>
        <v/>
      </c>
      <c r="AC27" s="305" t="str">
        <f>IF(AA27="","",IF(VLOOKUP(AA27,'G-3 Multipliers'!$L$3:$N$6,3,FALSE)=0,"Spatial Data Missing ⚠",VLOOKUP(AA27,'G-3 Multipliers'!$L$3:$N$6,3,FALSE)))</f>
        <v/>
      </c>
      <c r="AD27" s="317" t="str">
        <f t="shared" si="0"/>
        <v/>
      </c>
      <c r="AE27" s="142"/>
      <c r="AF27" s="142"/>
      <c r="AG27" s="301" t="str">
        <f t="shared" si="4"/>
        <v/>
      </c>
      <c r="AH27" s="302" t="str">
        <f t="shared" si="5"/>
        <v/>
      </c>
      <c r="AI27" s="306" t="str">
        <f>IF(AH27="Check Data ⚠","Check Data ⚠",IFERROR(VLOOKUP(AH27,'G-4 Temporal multipliers'!$A$4:$C$36,3,FALSE),""))</f>
        <v/>
      </c>
      <c r="AJ27" s="317" t="str">
        <f>IF(S27="","",VLOOKUP(S27,'G-3 Multipliers'!$A$2:$E$134,4,FALSE))</f>
        <v/>
      </c>
      <c r="AK27" s="301" t="str">
        <f t="shared" si="6"/>
        <v/>
      </c>
      <c r="AL27" s="301" t="str">
        <f t="shared" si="7"/>
        <v/>
      </c>
      <c r="AM27" s="305" t="str">
        <f>IFERROR(IF(F27="","",IF(AH27="Check Data ⚠","Check Data ⚠",VLOOKUP(AL27, 'G-3 Multipliers'!$P$2:$Q$6,2,FALSE))),"")</f>
        <v/>
      </c>
      <c r="AN27" s="728"/>
      <c r="AO27" s="335" t="str">
        <f>IF(AN27="","",IF(VLOOKUP(AN27,'G-3 Multipliers'!$S$3:$T$10,2,FALSE)=0,"Spatial Data Missing ⚠",VLOOKUP(AN27,'G-3 Multipliers'!$S$3:$T$10,2,FALSE)))</f>
        <v/>
      </c>
      <c r="AP27" s="295" t="str">
        <f t="shared" si="8"/>
        <v/>
      </c>
      <c r="AQ27" s="295" t="str">
        <f t="shared" si="9"/>
        <v/>
      </c>
      <c r="AR27" s="109"/>
      <c r="AS27" s="142"/>
      <c r="AT27" s="108"/>
      <c r="AU27" s="108"/>
      <c r="AY27" s="30" t="str">
        <f>IF(E27="","",IF(ISNA(VLOOKUP($E27,'D-1 Off-Site Habitat Baseline'!$D$1:$AV$258,4,FALSE)),"",(VLOOKUP($E27,'D-1 Off-Site Habitat Baseline'!$D$1:$AV$258,4,FALSE))))</f>
        <v/>
      </c>
    </row>
    <row r="28" spans="1:51" x14ac:dyDescent="0.25">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325" t="str">
        <f>'D-1 Off-Site Habitat Baseline'!AP27</f>
        <v/>
      </c>
      <c r="F28" s="289" t="str">
        <f>IF(E28="","",IF(ISNA(VLOOKUP($E28,'D-1 Off-Site Habitat Baseline'!$D$1:$ZZ$258,45,FALSE)),"",(VLOOKUP($E28,'D-1 Off-Site Habitat Baseline'!$D$1:$ZZ$258,45,FALSE))))</f>
        <v/>
      </c>
      <c r="G28" s="301" t="str">
        <f>IF(E28="","",IF(ISNA(VLOOKUP($E28,'D-1 Off-Site Habitat Baseline'!$D$1:$O$258,5,FALSE)),"",(VLOOKUP($E28,'D-1 Off-Site Habitat Baseline'!$D$1:$O$258,5,FALSE))))</f>
        <v/>
      </c>
      <c r="H28" s="301" t="str">
        <f>IF(E28="","",IF(ISNA(VLOOKUP($E28,'D-1 Off-Site Habitat Baseline'!$D$1:$O$258,6,FALSE)),"",(VLOOKUP($E28,'D-1 Off-Site Habitat Baseline'!$D$1:$O$258,6,FALSE))))</f>
        <v/>
      </c>
      <c r="I28" s="301" t="str">
        <f>IF(E28="","",IF(ISNA(VLOOKUP($E28,'D-1 Off-Site Habitat Baseline'!$D$1:$O$258,7,FALSE)),"",(VLOOKUP($E28,'D-1 Off-Site Habitat Baseline'!$D$1:$O$258,7,FALSE))))</f>
        <v/>
      </c>
      <c r="J28" s="301" t="str">
        <f>IF(E28="","",IF(ISNA(VLOOKUP($E28,'D-1 Off-Site Habitat Baseline'!$D$1:$O$258,8,FALSE)),"",(VLOOKUP($E28,'D-1 Off-Site Habitat Baseline'!$D$1:$O$258,8,FALSE))))</f>
        <v/>
      </c>
      <c r="K28" s="301" t="str">
        <f>IF(E28="","",IF(ISNA(VLOOKUP($E28,'D-1 Off-Site Habitat Baseline'!$D$1:$O$258,9,FALSE)),"",(VLOOKUP($E28,'D-1 Off-Site Habitat Baseline'!$D$1:$O$258,9,FALSE))))</f>
        <v/>
      </c>
      <c r="L28" s="301" t="str">
        <f>IF(E28="","",IF(ISNA(VLOOKUP($E28,'D-1 Off-Site Habitat Baseline'!$D$1:$O$258,11,FALSE)),"",(VLOOKUP($E28,'D-1 Off-Site Habitat Baseline'!$D$1:$O$258,11,FALSE))))</f>
        <v/>
      </c>
      <c r="M28" s="301" t="str">
        <f>IF(E28="","",IF(ISNA(VLOOKUP($E28,'D-1 Off-Site Habitat Baseline'!$D$1:$O$258,12,FALSE)),"",(VLOOKUP($E28,'D-1 Off-Site Habitat Baseline'!$D$1:$O$258,12,FALSE))))</f>
        <v/>
      </c>
      <c r="N28" s="301" t="str">
        <f>IF(E28="","",IF(ISNA(VLOOKUP($E28,'D-1 Off-Site Habitat Baseline'!$D$1:$AA$258,17,FALSE)),"",(VLOOKUP($E28,'D-1 Off-Site Habitat Baseline'!$D$1:$AA$258,17,FALSE))))</f>
        <v/>
      </c>
      <c r="O28" s="305" t="str">
        <f>IF(E28="","",IF(ISNA(VLOOKUP($E28,'D-1 Off-Site Habitat Baseline'!$D$1:$AA$258,13,FALSE)),"",(VLOOKUP($E28,'D-1 Off-Site Habitat Baseline'!$D$1:$AA$258,13,FALSE))))</f>
        <v/>
      </c>
      <c r="P28" s="152" t="str">
        <f>IFERROR(INDEX('G-1 All Habitats'!$AG$49:$AG$63,MATCH(Q28,'G-1 All Habitats'!$AF$27:$AF$41,0)),"")</f>
        <v/>
      </c>
      <c r="Q28" s="153"/>
      <c r="R28" s="154"/>
      <c r="S28" s="155" t="str">
        <f>IFERROR(INDEX('G-1 All Habitats'!$B$3:$B$135,MATCH(R28,'G-1 All Habitats'!$A$3:$A$135,0)),"")</f>
        <v/>
      </c>
      <c r="T28" s="289" t="str">
        <f t="shared" si="1"/>
        <v/>
      </c>
      <c r="U28" s="305" t="str">
        <f t="shared" si="2"/>
        <v/>
      </c>
      <c r="V28" s="304" t="str">
        <f t="shared" si="3"/>
        <v/>
      </c>
      <c r="W28" s="301" t="str">
        <f>IF(S28="","",VLOOKUP(S28,'G-1 All Habitats'!$B$2:$M$135,10,FALSE))</f>
        <v/>
      </c>
      <c r="X28" s="301" t="str">
        <f>IFERROR(VLOOKUP(W28,'G-1 All Habitats'!$V$3:$W$7,2,FALSE),"")</f>
        <v/>
      </c>
      <c r="Y28" s="142"/>
      <c r="Z28" s="305" t="str">
        <f>IFERROR(INDEX('G-8 Condition Look up'!$A$3:$H$135,MATCH(S28,'G-8 Condition Look up'!$A$3:$A$135,0),MATCH(Y28,'G-8 Condition Look up'!$A$3:$H$3,0)),"")</f>
        <v/>
      </c>
      <c r="AA28" s="105"/>
      <c r="AB28" s="320" t="str">
        <f>IF(AA28="","",IF(VLOOKUP(AA28,'G-3 Multipliers'!$L$3:$N$6,2,FALSE)=0,"Spatial Data Missing ⚠",VLOOKUP(AA28,'G-3 Multipliers'!$L$3:$N$6,2,FALSE)))</f>
        <v/>
      </c>
      <c r="AC28" s="305" t="str">
        <f>IF(AA28="","",IF(VLOOKUP(AA28,'G-3 Multipliers'!$L$3:$N$6,3,FALSE)=0,"Spatial Data Missing ⚠",VLOOKUP(AA28,'G-3 Multipliers'!$L$3:$N$6,3,FALSE)))</f>
        <v/>
      </c>
      <c r="AD28" s="317" t="str">
        <f t="shared" si="0"/>
        <v/>
      </c>
      <c r="AE28" s="142"/>
      <c r="AF28" s="142"/>
      <c r="AG28" s="301" t="str">
        <f t="shared" si="4"/>
        <v/>
      </c>
      <c r="AH28" s="302" t="str">
        <f t="shared" si="5"/>
        <v/>
      </c>
      <c r="AI28" s="306" t="str">
        <f>IF(AH28="Check Data ⚠","Check Data ⚠",IFERROR(VLOOKUP(AH28,'G-4 Temporal multipliers'!$A$4:$C$36,3,FALSE),""))</f>
        <v/>
      </c>
      <c r="AJ28" s="317" t="str">
        <f>IF(S28="","",VLOOKUP(S28,'G-3 Multipliers'!$A$2:$E$134,4,FALSE))</f>
        <v/>
      </c>
      <c r="AK28" s="301" t="str">
        <f t="shared" si="6"/>
        <v/>
      </c>
      <c r="AL28" s="301" t="str">
        <f t="shared" si="7"/>
        <v/>
      </c>
      <c r="AM28" s="305" t="str">
        <f>IFERROR(IF(F28="","",IF(AH28="Check Data ⚠","Check Data ⚠",VLOOKUP(AL28, 'G-3 Multipliers'!$P$2:$Q$6,2,FALSE))),"")</f>
        <v/>
      </c>
      <c r="AN28" s="728"/>
      <c r="AO28" s="335" t="str">
        <f>IF(AN28="","",IF(VLOOKUP(AN28,'G-3 Multipliers'!$S$3:$T$10,2,FALSE)=0,"Spatial Data Missing ⚠",VLOOKUP(AN28,'G-3 Multipliers'!$S$3:$T$10,2,FALSE)))</f>
        <v/>
      </c>
      <c r="AP28" s="295" t="str">
        <f t="shared" si="8"/>
        <v/>
      </c>
      <c r="AQ28" s="295" t="str">
        <f t="shared" si="9"/>
        <v/>
      </c>
      <c r="AR28" s="109"/>
      <c r="AS28" s="142"/>
      <c r="AT28" s="108"/>
      <c r="AU28" s="108"/>
      <c r="AY28" s="30" t="str">
        <f>IF(E28="","",IF(ISNA(VLOOKUP($E28,'D-1 Off-Site Habitat Baseline'!$D$1:$AV$258,4,FALSE)),"",(VLOOKUP($E28,'D-1 Off-Site Habitat Baseline'!$D$1:$AV$258,4,FALSE))))</f>
        <v/>
      </c>
    </row>
    <row r="29" spans="1:51" x14ac:dyDescent="0.25">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325" t="str">
        <f>'D-1 Off-Site Habitat Baseline'!AP28</f>
        <v/>
      </c>
      <c r="F29" s="289" t="str">
        <f>IF(E29="","",IF(ISNA(VLOOKUP($E29,'D-1 Off-Site Habitat Baseline'!$D$1:$ZZ$258,45,FALSE)),"",(VLOOKUP($E29,'D-1 Off-Site Habitat Baseline'!$D$1:$ZZ$258,45,FALSE))))</f>
        <v/>
      </c>
      <c r="G29" s="301" t="str">
        <f>IF(E29="","",IF(ISNA(VLOOKUP($E29,'D-1 Off-Site Habitat Baseline'!$D$1:$O$258,5,FALSE)),"",(VLOOKUP($E29,'D-1 Off-Site Habitat Baseline'!$D$1:$O$258,5,FALSE))))</f>
        <v/>
      </c>
      <c r="H29" s="301" t="str">
        <f>IF(E29="","",IF(ISNA(VLOOKUP($E29,'D-1 Off-Site Habitat Baseline'!$D$1:$O$258,6,FALSE)),"",(VLOOKUP($E29,'D-1 Off-Site Habitat Baseline'!$D$1:$O$258,6,FALSE))))</f>
        <v/>
      </c>
      <c r="I29" s="301" t="str">
        <f>IF(E29="","",IF(ISNA(VLOOKUP($E29,'D-1 Off-Site Habitat Baseline'!$D$1:$O$258,7,FALSE)),"",(VLOOKUP($E29,'D-1 Off-Site Habitat Baseline'!$D$1:$O$258,7,FALSE))))</f>
        <v/>
      </c>
      <c r="J29" s="301" t="str">
        <f>IF(E29="","",IF(ISNA(VLOOKUP($E29,'D-1 Off-Site Habitat Baseline'!$D$1:$O$258,8,FALSE)),"",(VLOOKUP($E29,'D-1 Off-Site Habitat Baseline'!$D$1:$O$258,8,FALSE))))</f>
        <v/>
      </c>
      <c r="K29" s="301" t="str">
        <f>IF(E29="","",IF(ISNA(VLOOKUP($E29,'D-1 Off-Site Habitat Baseline'!$D$1:$O$258,9,FALSE)),"",(VLOOKUP($E29,'D-1 Off-Site Habitat Baseline'!$D$1:$O$258,9,FALSE))))</f>
        <v/>
      </c>
      <c r="L29" s="301" t="str">
        <f>IF(E29="","",IF(ISNA(VLOOKUP($E29,'D-1 Off-Site Habitat Baseline'!$D$1:$O$258,11,FALSE)),"",(VLOOKUP($E29,'D-1 Off-Site Habitat Baseline'!$D$1:$O$258,11,FALSE))))</f>
        <v/>
      </c>
      <c r="M29" s="301" t="str">
        <f>IF(E29="","",IF(ISNA(VLOOKUP($E29,'D-1 Off-Site Habitat Baseline'!$D$1:$O$258,12,FALSE)),"",(VLOOKUP($E29,'D-1 Off-Site Habitat Baseline'!$D$1:$O$258,12,FALSE))))</f>
        <v/>
      </c>
      <c r="N29" s="301" t="str">
        <f>IF(E29="","",IF(ISNA(VLOOKUP($E29,'D-1 Off-Site Habitat Baseline'!$D$1:$AA$258,17,FALSE)),"",(VLOOKUP($E29,'D-1 Off-Site Habitat Baseline'!$D$1:$AA$258,17,FALSE))))</f>
        <v/>
      </c>
      <c r="O29" s="305" t="str">
        <f>IF(E29="","",IF(ISNA(VLOOKUP($E29,'D-1 Off-Site Habitat Baseline'!$D$1:$AA$258,13,FALSE)),"",(VLOOKUP($E29,'D-1 Off-Site Habitat Baseline'!$D$1:$AA$258,13,FALSE))))</f>
        <v/>
      </c>
      <c r="P29" s="152" t="str">
        <f>IFERROR(INDEX('G-1 All Habitats'!$AG$49:$AG$63,MATCH(Q29,'G-1 All Habitats'!$AF$27:$AF$41,0)),"")</f>
        <v/>
      </c>
      <c r="Q29" s="153"/>
      <c r="R29" s="154"/>
      <c r="S29" s="155" t="str">
        <f>IFERROR(INDEX('G-1 All Habitats'!$B$3:$B$135,MATCH(R29,'G-1 All Habitats'!$A$3:$A$135,0)),"")</f>
        <v/>
      </c>
      <c r="T29" s="289" t="str">
        <f t="shared" si="1"/>
        <v/>
      </c>
      <c r="U29" s="305" t="str">
        <f t="shared" si="2"/>
        <v/>
      </c>
      <c r="V29" s="304" t="str">
        <f t="shared" si="3"/>
        <v/>
      </c>
      <c r="W29" s="301" t="str">
        <f>IF(S29="","",VLOOKUP(S29,'G-1 All Habitats'!$B$2:$M$135,10,FALSE))</f>
        <v/>
      </c>
      <c r="X29" s="301" t="str">
        <f>IFERROR(VLOOKUP(W29,'G-1 All Habitats'!$V$3:$W$7,2,FALSE),"")</f>
        <v/>
      </c>
      <c r="Y29" s="142"/>
      <c r="Z29" s="305" t="str">
        <f>IFERROR(INDEX('G-8 Condition Look up'!$A$3:$H$135,MATCH(S29,'G-8 Condition Look up'!$A$3:$A$135,0),MATCH(Y29,'G-8 Condition Look up'!$A$3:$H$3,0)),"")</f>
        <v/>
      </c>
      <c r="AA29" s="105"/>
      <c r="AB29" s="320" t="str">
        <f>IF(AA29="","",IF(VLOOKUP(AA29,'G-3 Multipliers'!$L$3:$N$6,2,FALSE)=0,"Spatial Data Missing ⚠",VLOOKUP(AA29,'G-3 Multipliers'!$L$3:$N$6,2,FALSE)))</f>
        <v/>
      </c>
      <c r="AC29" s="305" t="str">
        <f>IF(AA29="","",IF(VLOOKUP(AA29,'G-3 Multipliers'!$L$3:$N$6,3,FALSE)=0,"Spatial Data Missing ⚠",VLOOKUP(AA29,'G-3 Multipliers'!$L$3:$N$6,3,FALSE)))</f>
        <v/>
      </c>
      <c r="AD29" s="317" t="str">
        <f t="shared" si="0"/>
        <v/>
      </c>
      <c r="AE29" s="142"/>
      <c r="AF29" s="142"/>
      <c r="AG29" s="301" t="str">
        <f t="shared" si="4"/>
        <v/>
      </c>
      <c r="AH29" s="302" t="str">
        <f t="shared" si="5"/>
        <v/>
      </c>
      <c r="AI29" s="306" t="str">
        <f>IF(AH29="Check Data ⚠","Check Data ⚠",IFERROR(VLOOKUP(AH29,'G-4 Temporal multipliers'!$A$4:$C$36,3,FALSE),""))</f>
        <v/>
      </c>
      <c r="AJ29" s="317" t="str">
        <f>IF(S29="","",VLOOKUP(S29,'G-3 Multipliers'!$A$2:$E$134,4,FALSE))</f>
        <v/>
      </c>
      <c r="AK29" s="301" t="str">
        <f t="shared" si="6"/>
        <v/>
      </c>
      <c r="AL29" s="301" t="str">
        <f t="shared" si="7"/>
        <v/>
      </c>
      <c r="AM29" s="305" t="str">
        <f>IFERROR(IF(F29="","",IF(AH29="Check Data ⚠","Check Data ⚠",VLOOKUP(AL29, 'G-3 Multipliers'!$P$2:$Q$6,2,FALSE))),"")</f>
        <v/>
      </c>
      <c r="AN29" s="728"/>
      <c r="AO29" s="335" t="str">
        <f>IF(AN29="","",IF(VLOOKUP(AN29,'G-3 Multipliers'!$S$3:$T$10,2,FALSE)=0,"Spatial Data Missing ⚠",VLOOKUP(AN29,'G-3 Multipliers'!$S$3:$T$10,2,FALSE)))</f>
        <v/>
      </c>
      <c r="AP29" s="295" t="str">
        <f t="shared" si="8"/>
        <v/>
      </c>
      <c r="AQ29" s="295" t="str">
        <f t="shared" si="9"/>
        <v/>
      </c>
      <c r="AR29" s="109"/>
      <c r="AS29" s="142"/>
      <c r="AT29" s="108"/>
      <c r="AU29" s="108"/>
      <c r="AY29" s="30" t="str">
        <f>IF(E29="","",IF(ISNA(VLOOKUP($E29,'D-1 Off-Site Habitat Baseline'!$D$1:$AV$258,4,FALSE)),"",(VLOOKUP($E29,'D-1 Off-Site Habitat Baseline'!$D$1:$AV$258,4,FALSE))))</f>
        <v/>
      </c>
    </row>
    <row r="30" spans="1:51" x14ac:dyDescent="0.25">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325" t="str">
        <f>'D-1 Off-Site Habitat Baseline'!AP29</f>
        <v/>
      </c>
      <c r="F30" s="289" t="str">
        <f>IF(E30="","",IF(ISNA(VLOOKUP($E30,'D-1 Off-Site Habitat Baseline'!$D$1:$ZZ$258,45,FALSE)),"",(VLOOKUP($E30,'D-1 Off-Site Habitat Baseline'!$D$1:$ZZ$258,45,FALSE))))</f>
        <v/>
      </c>
      <c r="G30" s="301" t="str">
        <f>IF(E30="","",IF(ISNA(VLOOKUP($E30,'D-1 Off-Site Habitat Baseline'!$D$1:$O$258,5,FALSE)),"",(VLOOKUP($E30,'D-1 Off-Site Habitat Baseline'!$D$1:$O$258,5,FALSE))))</f>
        <v/>
      </c>
      <c r="H30" s="301" t="str">
        <f>IF(E30="","",IF(ISNA(VLOOKUP($E30,'D-1 Off-Site Habitat Baseline'!$D$1:$O$258,6,FALSE)),"",(VLOOKUP($E30,'D-1 Off-Site Habitat Baseline'!$D$1:$O$258,6,FALSE))))</f>
        <v/>
      </c>
      <c r="I30" s="301" t="str">
        <f>IF(E30="","",IF(ISNA(VLOOKUP($E30,'D-1 Off-Site Habitat Baseline'!$D$1:$O$258,7,FALSE)),"",(VLOOKUP($E30,'D-1 Off-Site Habitat Baseline'!$D$1:$O$258,7,FALSE))))</f>
        <v/>
      </c>
      <c r="J30" s="301" t="str">
        <f>IF(E30="","",IF(ISNA(VLOOKUP($E30,'D-1 Off-Site Habitat Baseline'!$D$1:$O$258,8,FALSE)),"",(VLOOKUP($E30,'D-1 Off-Site Habitat Baseline'!$D$1:$O$258,8,FALSE))))</f>
        <v/>
      </c>
      <c r="K30" s="301" t="str">
        <f>IF(E30="","",IF(ISNA(VLOOKUP($E30,'D-1 Off-Site Habitat Baseline'!$D$1:$O$258,9,FALSE)),"",(VLOOKUP($E30,'D-1 Off-Site Habitat Baseline'!$D$1:$O$258,9,FALSE))))</f>
        <v/>
      </c>
      <c r="L30" s="301" t="str">
        <f>IF(E30="","",IF(ISNA(VLOOKUP($E30,'D-1 Off-Site Habitat Baseline'!$D$1:$O$258,11,FALSE)),"",(VLOOKUP($E30,'D-1 Off-Site Habitat Baseline'!$D$1:$O$258,11,FALSE))))</f>
        <v/>
      </c>
      <c r="M30" s="301" t="str">
        <f>IF(E30="","",IF(ISNA(VLOOKUP($E30,'D-1 Off-Site Habitat Baseline'!$D$1:$O$258,12,FALSE)),"",(VLOOKUP($E30,'D-1 Off-Site Habitat Baseline'!$D$1:$O$258,12,FALSE))))</f>
        <v/>
      </c>
      <c r="N30" s="301" t="str">
        <f>IF(E30="","",IF(ISNA(VLOOKUP($E30,'D-1 Off-Site Habitat Baseline'!$D$1:$AA$258,17,FALSE)),"",(VLOOKUP($E30,'D-1 Off-Site Habitat Baseline'!$D$1:$AA$258,17,FALSE))))</f>
        <v/>
      </c>
      <c r="O30" s="305" t="str">
        <f>IF(E30="","",IF(ISNA(VLOOKUP($E30,'D-1 Off-Site Habitat Baseline'!$D$1:$AA$258,13,FALSE)),"",(VLOOKUP($E30,'D-1 Off-Site Habitat Baseline'!$D$1:$AA$258,13,FALSE))))</f>
        <v/>
      </c>
      <c r="P30" s="152" t="str">
        <f>IFERROR(INDEX('G-1 All Habitats'!$AG$49:$AG$63,MATCH(Q30,'G-1 All Habitats'!$AF$27:$AF$41,0)),"")</f>
        <v/>
      </c>
      <c r="Q30" s="153"/>
      <c r="R30" s="154"/>
      <c r="S30" s="155" t="str">
        <f>IFERROR(INDEX('G-1 All Habitats'!$B$3:$B$135,MATCH(R30,'G-1 All Habitats'!$A$3:$A$135,0)),"")</f>
        <v/>
      </c>
      <c r="T30" s="289" t="str">
        <f t="shared" si="1"/>
        <v/>
      </c>
      <c r="U30" s="305" t="str">
        <f t="shared" si="2"/>
        <v/>
      </c>
      <c r="V30" s="304" t="str">
        <f t="shared" si="3"/>
        <v/>
      </c>
      <c r="W30" s="301" t="str">
        <f>IF(S30="","",VLOOKUP(S30,'G-1 All Habitats'!$B$2:$M$135,10,FALSE))</f>
        <v/>
      </c>
      <c r="X30" s="301" t="str">
        <f>IFERROR(VLOOKUP(W30,'G-1 All Habitats'!$V$3:$W$7,2,FALSE),"")</f>
        <v/>
      </c>
      <c r="Y30" s="142"/>
      <c r="Z30" s="305" t="str">
        <f>IFERROR(INDEX('G-8 Condition Look up'!$A$3:$H$135,MATCH(S30,'G-8 Condition Look up'!$A$3:$A$135,0),MATCH(Y30,'G-8 Condition Look up'!$A$3:$H$3,0)),"")</f>
        <v/>
      </c>
      <c r="AA30" s="105"/>
      <c r="AB30" s="320" t="str">
        <f>IF(AA30="","",IF(VLOOKUP(AA30,'G-3 Multipliers'!$L$3:$N$6,2,FALSE)=0,"Spatial Data Missing ⚠",VLOOKUP(AA30,'G-3 Multipliers'!$L$3:$N$6,2,FALSE)))</f>
        <v/>
      </c>
      <c r="AC30" s="305" t="str">
        <f>IF(AA30="","",IF(VLOOKUP(AA30,'G-3 Multipliers'!$L$3:$N$6,3,FALSE)=0,"Spatial Data Missing ⚠",VLOOKUP(AA30,'G-3 Multipliers'!$L$3:$N$6,3,FALSE)))</f>
        <v/>
      </c>
      <c r="AD30" s="317" t="str">
        <f t="shared" si="0"/>
        <v/>
      </c>
      <c r="AE30" s="142"/>
      <c r="AF30" s="142"/>
      <c r="AG30" s="301" t="str">
        <f t="shared" si="4"/>
        <v/>
      </c>
      <c r="AH30" s="302" t="str">
        <f t="shared" si="5"/>
        <v/>
      </c>
      <c r="AI30" s="306" t="str">
        <f>IF(AH30="Check Data ⚠","Check Data ⚠",IFERROR(VLOOKUP(AH30,'G-4 Temporal multipliers'!$A$4:$C$36,3,FALSE),""))</f>
        <v/>
      </c>
      <c r="AJ30" s="317" t="str">
        <f>IF(S30="","",VLOOKUP(S30,'G-3 Multipliers'!$A$2:$E$134,4,FALSE))</f>
        <v/>
      </c>
      <c r="AK30" s="301" t="str">
        <f t="shared" si="6"/>
        <v/>
      </c>
      <c r="AL30" s="301" t="str">
        <f t="shared" si="7"/>
        <v/>
      </c>
      <c r="AM30" s="305" t="str">
        <f>IFERROR(IF(F30="","",IF(AH30="Check Data ⚠","Check Data ⚠",VLOOKUP(AL30, 'G-3 Multipliers'!$P$2:$Q$6,2,FALSE))),"")</f>
        <v/>
      </c>
      <c r="AN30" s="728"/>
      <c r="AO30" s="335" t="str">
        <f>IF(AN30="","",IF(VLOOKUP(AN30,'G-3 Multipliers'!$S$3:$T$10,2,FALSE)=0,"Spatial Data Missing ⚠",VLOOKUP(AN30,'G-3 Multipliers'!$S$3:$T$10,2,FALSE)))</f>
        <v/>
      </c>
      <c r="AP30" s="295" t="str">
        <f t="shared" si="8"/>
        <v/>
      </c>
      <c r="AQ30" s="295" t="str">
        <f t="shared" si="9"/>
        <v/>
      </c>
      <c r="AR30" s="109"/>
      <c r="AS30" s="142"/>
      <c r="AT30" s="108"/>
      <c r="AU30" s="108"/>
      <c r="AY30" s="30" t="str">
        <f>IF(E30="","",IF(ISNA(VLOOKUP($E30,'D-1 Off-Site Habitat Baseline'!$D$1:$AV$258,4,FALSE)),"",(VLOOKUP($E30,'D-1 Off-Site Habitat Baseline'!$D$1:$AV$258,4,FALSE))))</f>
        <v/>
      </c>
    </row>
    <row r="31" spans="1:51" x14ac:dyDescent="0.25">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325" t="str">
        <f>'D-1 Off-Site Habitat Baseline'!AP30</f>
        <v/>
      </c>
      <c r="F31" s="289" t="str">
        <f>IF(E31="","",IF(ISNA(VLOOKUP($E31,'D-1 Off-Site Habitat Baseline'!$D$1:$ZZ$258,45,FALSE)),"",(VLOOKUP($E31,'D-1 Off-Site Habitat Baseline'!$D$1:$ZZ$258,45,FALSE))))</f>
        <v/>
      </c>
      <c r="G31" s="301" t="str">
        <f>IF(E31="","",IF(ISNA(VLOOKUP($E31,'D-1 Off-Site Habitat Baseline'!$D$1:$O$258,5,FALSE)),"",(VLOOKUP($E31,'D-1 Off-Site Habitat Baseline'!$D$1:$O$258,5,FALSE))))</f>
        <v/>
      </c>
      <c r="H31" s="301" t="str">
        <f>IF(E31="","",IF(ISNA(VLOOKUP($E31,'D-1 Off-Site Habitat Baseline'!$D$1:$O$258,6,FALSE)),"",(VLOOKUP($E31,'D-1 Off-Site Habitat Baseline'!$D$1:$O$258,6,FALSE))))</f>
        <v/>
      </c>
      <c r="I31" s="301" t="str">
        <f>IF(E31="","",IF(ISNA(VLOOKUP($E31,'D-1 Off-Site Habitat Baseline'!$D$1:$O$258,7,FALSE)),"",(VLOOKUP($E31,'D-1 Off-Site Habitat Baseline'!$D$1:$O$258,7,FALSE))))</f>
        <v/>
      </c>
      <c r="J31" s="301" t="str">
        <f>IF(E31="","",IF(ISNA(VLOOKUP($E31,'D-1 Off-Site Habitat Baseline'!$D$1:$O$258,8,FALSE)),"",(VLOOKUP($E31,'D-1 Off-Site Habitat Baseline'!$D$1:$O$258,8,FALSE))))</f>
        <v/>
      </c>
      <c r="K31" s="301" t="str">
        <f>IF(E31="","",IF(ISNA(VLOOKUP($E31,'D-1 Off-Site Habitat Baseline'!$D$1:$O$258,9,FALSE)),"",(VLOOKUP($E31,'D-1 Off-Site Habitat Baseline'!$D$1:$O$258,9,FALSE))))</f>
        <v/>
      </c>
      <c r="L31" s="301" t="str">
        <f>IF(E31="","",IF(ISNA(VLOOKUP($E31,'D-1 Off-Site Habitat Baseline'!$D$1:$O$258,11,FALSE)),"",(VLOOKUP($E31,'D-1 Off-Site Habitat Baseline'!$D$1:$O$258,11,FALSE))))</f>
        <v/>
      </c>
      <c r="M31" s="301" t="str">
        <f>IF(E31="","",IF(ISNA(VLOOKUP($E31,'D-1 Off-Site Habitat Baseline'!$D$1:$O$258,12,FALSE)),"",(VLOOKUP($E31,'D-1 Off-Site Habitat Baseline'!$D$1:$O$258,12,FALSE))))</f>
        <v/>
      </c>
      <c r="N31" s="301" t="str">
        <f>IF(E31="","",IF(ISNA(VLOOKUP($E31,'D-1 Off-Site Habitat Baseline'!$D$1:$AA$258,17,FALSE)),"",(VLOOKUP($E31,'D-1 Off-Site Habitat Baseline'!$D$1:$AA$258,17,FALSE))))</f>
        <v/>
      </c>
      <c r="O31" s="305" t="str">
        <f>IF(E31="","",IF(ISNA(VLOOKUP($E31,'D-1 Off-Site Habitat Baseline'!$D$1:$AA$258,13,FALSE)),"",(VLOOKUP($E31,'D-1 Off-Site Habitat Baseline'!$D$1:$AA$258,13,FALSE))))</f>
        <v/>
      </c>
      <c r="P31" s="152" t="str">
        <f>IFERROR(INDEX('G-1 All Habitats'!$AG$49:$AG$63,MATCH(Q31,'G-1 All Habitats'!$AF$27:$AF$41,0)),"")</f>
        <v/>
      </c>
      <c r="Q31" s="153"/>
      <c r="R31" s="154"/>
      <c r="S31" s="155" t="str">
        <f>IFERROR(INDEX('G-1 All Habitats'!$B$3:$B$135,MATCH(R31,'G-1 All Habitats'!$A$3:$A$135,0)),"")</f>
        <v/>
      </c>
      <c r="T31" s="289" t="str">
        <f t="shared" si="1"/>
        <v/>
      </c>
      <c r="U31" s="305" t="str">
        <f t="shared" si="2"/>
        <v/>
      </c>
      <c r="V31" s="304" t="str">
        <f t="shared" si="3"/>
        <v/>
      </c>
      <c r="W31" s="301" t="str">
        <f>IF(S31="","",VLOOKUP(S31,'G-1 All Habitats'!$B$2:$M$135,10,FALSE))</f>
        <v/>
      </c>
      <c r="X31" s="301" t="str">
        <f>IFERROR(VLOOKUP(W31,'G-1 All Habitats'!$V$3:$W$7,2,FALSE),"")</f>
        <v/>
      </c>
      <c r="Y31" s="142"/>
      <c r="Z31" s="305" t="str">
        <f>IFERROR(INDEX('G-8 Condition Look up'!$A$3:$H$135,MATCH(S31,'G-8 Condition Look up'!$A$3:$A$135,0),MATCH(Y31,'G-8 Condition Look up'!$A$3:$H$3,0)),"")</f>
        <v/>
      </c>
      <c r="AA31" s="105"/>
      <c r="AB31" s="320" t="str">
        <f>IF(AA31="","",IF(VLOOKUP(AA31,'G-3 Multipliers'!$L$3:$N$6,2,FALSE)=0,"Spatial Data Missing ⚠",VLOOKUP(AA31,'G-3 Multipliers'!$L$3:$N$6,2,FALSE)))</f>
        <v/>
      </c>
      <c r="AC31" s="305" t="str">
        <f>IF(AA31="","",IF(VLOOKUP(AA31,'G-3 Multipliers'!$L$3:$N$6,3,FALSE)=0,"Spatial Data Missing ⚠",VLOOKUP(AA31,'G-3 Multipliers'!$L$3:$N$6,3,FALSE)))</f>
        <v/>
      </c>
      <c r="AD31" s="317" t="str">
        <f t="shared" si="0"/>
        <v/>
      </c>
      <c r="AE31" s="142"/>
      <c r="AF31" s="142"/>
      <c r="AG31" s="301" t="str">
        <f t="shared" si="4"/>
        <v/>
      </c>
      <c r="AH31" s="302" t="str">
        <f t="shared" si="5"/>
        <v/>
      </c>
      <c r="AI31" s="306" t="str">
        <f>IF(AH31="Check Data ⚠","Check Data ⚠",IFERROR(VLOOKUP(AH31,'G-4 Temporal multipliers'!$A$4:$C$36,3,FALSE),""))</f>
        <v/>
      </c>
      <c r="AJ31" s="317" t="str">
        <f>IF(S31="","",VLOOKUP(S31,'G-3 Multipliers'!$A$2:$E$134,4,FALSE))</f>
        <v/>
      </c>
      <c r="AK31" s="301" t="str">
        <f t="shared" si="6"/>
        <v/>
      </c>
      <c r="AL31" s="301" t="str">
        <f t="shared" si="7"/>
        <v/>
      </c>
      <c r="AM31" s="305" t="str">
        <f>IFERROR(IF(F31="","",IF(AH31="Check Data ⚠","Check Data ⚠",VLOOKUP(AL31, 'G-3 Multipliers'!$P$2:$Q$6,2,FALSE))),"")</f>
        <v/>
      </c>
      <c r="AN31" s="728"/>
      <c r="AO31" s="335" t="str">
        <f>IF(AN31="","",IF(VLOOKUP(AN31,'G-3 Multipliers'!$S$3:$T$10,2,FALSE)=0,"Spatial Data Missing ⚠",VLOOKUP(AN31,'G-3 Multipliers'!$S$3:$T$10,2,FALSE)))</f>
        <v/>
      </c>
      <c r="AP31" s="295" t="str">
        <f t="shared" si="8"/>
        <v/>
      </c>
      <c r="AQ31" s="295" t="str">
        <f t="shared" si="9"/>
        <v/>
      </c>
      <c r="AR31" s="109"/>
      <c r="AS31" s="142"/>
      <c r="AT31" s="108"/>
      <c r="AU31" s="108"/>
      <c r="AY31" s="30" t="str">
        <f>IF(E31="","",IF(ISNA(VLOOKUP($E31,'D-1 Off-Site Habitat Baseline'!$D$1:$AV$258,4,FALSE)),"",(VLOOKUP($E31,'D-1 Off-Site Habitat Baseline'!$D$1:$AV$258,4,FALSE))))</f>
        <v/>
      </c>
    </row>
    <row r="32" spans="1:51" x14ac:dyDescent="0.25">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325" t="str">
        <f>'D-1 Off-Site Habitat Baseline'!AP31</f>
        <v/>
      </c>
      <c r="F32" s="289" t="str">
        <f>IF(E32="","",IF(ISNA(VLOOKUP($E32,'D-1 Off-Site Habitat Baseline'!$D$1:$ZZ$258,45,FALSE)),"",(VLOOKUP($E32,'D-1 Off-Site Habitat Baseline'!$D$1:$ZZ$258,45,FALSE))))</f>
        <v/>
      </c>
      <c r="G32" s="301" t="str">
        <f>IF(E32="","",IF(ISNA(VLOOKUP($E32,'D-1 Off-Site Habitat Baseline'!$D$1:$O$258,5,FALSE)),"",(VLOOKUP($E32,'D-1 Off-Site Habitat Baseline'!$D$1:$O$258,5,FALSE))))</f>
        <v/>
      </c>
      <c r="H32" s="301" t="str">
        <f>IF(E32="","",IF(ISNA(VLOOKUP($E32,'D-1 Off-Site Habitat Baseline'!$D$1:$O$258,6,FALSE)),"",(VLOOKUP($E32,'D-1 Off-Site Habitat Baseline'!$D$1:$O$258,6,FALSE))))</f>
        <v/>
      </c>
      <c r="I32" s="301" t="str">
        <f>IF(E32="","",IF(ISNA(VLOOKUP($E32,'D-1 Off-Site Habitat Baseline'!$D$1:$O$258,7,FALSE)),"",(VLOOKUP($E32,'D-1 Off-Site Habitat Baseline'!$D$1:$O$258,7,FALSE))))</f>
        <v/>
      </c>
      <c r="J32" s="301" t="str">
        <f>IF(E32="","",IF(ISNA(VLOOKUP($E32,'D-1 Off-Site Habitat Baseline'!$D$1:$O$258,8,FALSE)),"",(VLOOKUP($E32,'D-1 Off-Site Habitat Baseline'!$D$1:$O$258,8,FALSE))))</f>
        <v/>
      </c>
      <c r="K32" s="301" t="str">
        <f>IF(E32="","",IF(ISNA(VLOOKUP($E32,'D-1 Off-Site Habitat Baseline'!$D$1:$O$258,9,FALSE)),"",(VLOOKUP($E32,'D-1 Off-Site Habitat Baseline'!$D$1:$O$258,9,FALSE))))</f>
        <v/>
      </c>
      <c r="L32" s="301" t="str">
        <f>IF(E32="","",IF(ISNA(VLOOKUP($E32,'D-1 Off-Site Habitat Baseline'!$D$1:$O$258,11,FALSE)),"",(VLOOKUP($E32,'D-1 Off-Site Habitat Baseline'!$D$1:$O$258,11,FALSE))))</f>
        <v/>
      </c>
      <c r="M32" s="301" t="str">
        <f>IF(E32="","",IF(ISNA(VLOOKUP($E32,'D-1 Off-Site Habitat Baseline'!$D$1:$O$258,12,FALSE)),"",(VLOOKUP($E32,'D-1 Off-Site Habitat Baseline'!$D$1:$O$258,12,FALSE))))</f>
        <v/>
      </c>
      <c r="N32" s="301" t="str">
        <f>IF(E32="","",IF(ISNA(VLOOKUP($E32,'D-1 Off-Site Habitat Baseline'!$D$1:$AA$258,17,FALSE)),"",(VLOOKUP($E32,'D-1 Off-Site Habitat Baseline'!$D$1:$AA$258,17,FALSE))))</f>
        <v/>
      </c>
      <c r="O32" s="305" t="str">
        <f>IF(E32="","",IF(ISNA(VLOOKUP($E32,'D-1 Off-Site Habitat Baseline'!$D$1:$AA$258,13,FALSE)),"",(VLOOKUP($E32,'D-1 Off-Site Habitat Baseline'!$D$1:$AA$258,13,FALSE))))</f>
        <v/>
      </c>
      <c r="P32" s="152" t="str">
        <f>IFERROR(INDEX('G-1 All Habitats'!$AG$49:$AG$63,MATCH(Q32,'G-1 All Habitats'!$AF$27:$AF$41,0)),"")</f>
        <v/>
      </c>
      <c r="Q32" s="153"/>
      <c r="R32" s="154"/>
      <c r="S32" s="155" t="str">
        <f>IFERROR(INDEX('G-1 All Habitats'!$B$3:$B$135,MATCH(R32,'G-1 All Habitats'!$A$3:$A$135,0)),"")</f>
        <v/>
      </c>
      <c r="T32" s="289" t="str">
        <f t="shared" si="1"/>
        <v/>
      </c>
      <c r="U32" s="305" t="str">
        <f t="shared" si="2"/>
        <v/>
      </c>
      <c r="V32" s="304" t="str">
        <f t="shared" si="3"/>
        <v/>
      </c>
      <c r="W32" s="301" t="str">
        <f>IF(S32="","",VLOOKUP(S32,'G-1 All Habitats'!$B$2:$M$135,10,FALSE))</f>
        <v/>
      </c>
      <c r="X32" s="301" t="str">
        <f>IFERROR(VLOOKUP(W32,'G-1 All Habitats'!$V$3:$W$7,2,FALSE),"")</f>
        <v/>
      </c>
      <c r="Y32" s="142"/>
      <c r="Z32" s="305" t="str">
        <f>IFERROR(INDEX('G-8 Condition Look up'!$A$3:$H$135,MATCH(S32,'G-8 Condition Look up'!$A$3:$A$135,0),MATCH(Y32,'G-8 Condition Look up'!$A$3:$H$3,0)),"")</f>
        <v/>
      </c>
      <c r="AA32" s="105"/>
      <c r="AB32" s="320" t="str">
        <f>IF(AA32="","",IF(VLOOKUP(AA32,'G-3 Multipliers'!$L$3:$N$6,2,FALSE)=0,"Spatial Data Missing ⚠",VLOOKUP(AA32,'G-3 Multipliers'!$L$3:$N$6,2,FALSE)))</f>
        <v/>
      </c>
      <c r="AC32" s="305" t="str">
        <f>IF(AA32="","",IF(VLOOKUP(AA32,'G-3 Multipliers'!$L$3:$N$6,3,FALSE)=0,"Spatial Data Missing ⚠",VLOOKUP(AA32,'G-3 Multipliers'!$L$3:$N$6,3,FALSE)))</f>
        <v/>
      </c>
      <c r="AD32" s="317" t="str">
        <f t="shared" si="0"/>
        <v/>
      </c>
      <c r="AE32" s="142"/>
      <c r="AF32" s="142"/>
      <c r="AG32" s="301" t="str">
        <f t="shared" si="4"/>
        <v/>
      </c>
      <c r="AH32" s="302" t="str">
        <f t="shared" si="5"/>
        <v/>
      </c>
      <c r="AI32" s="306" t="str">
        <f>IF(AH32="Check Data ⚠","Check Data ⚠",IFERROR(VLOOKUP(AH32,'G-4 Temporal multipliers'!$A$4:$C$36,3,FALSE),""))</f>
        <v/>
      </c>
      <c r="AJ32" s="317" t="str">
        <f>IF(S32="","",VLOOKUP(S32,'G-3 Multipliers'!$A$2:$E$134,4,FALSE))</f>
        <v/>
      </c>
      <c r="AK32" s="301" t="str">
        <f t="shared" si="6"/>
        <v/>
      </c>
      <c r="AL32" s="301" t="str">
        <f t="shared" si="7"/>
        <v/>
      </c>
      <c r="AM32" s="305" t="str">
        <f>IFERROR(IF(F32="","",IF(AH32="Check Data ⚠","Check Data ⚠",VLOOKUP(AL32, 'G-3 Multipliers'!$P$2:$Q$6,2,FALSE))),"")</f>
        <v/>
      </c>
      <c r="AN32" s="728"/>
      <c r="AO32" s="335" t="str">
        <f>IF(AN32="","",IF(VLOOKUP(AN32,'G-3 Multipliers'!$S$3:$T$10,2,FALSE)=0,"Spatial Data Missing ⚠",VLOOKUP(AN32,'G-3 Multipliers'!$S$3:$T$10,2,FALSE)))</f>
        <v/>
      </c>
      <c r="AP32" s="295" t="str">
        <f t="shared" si="8"/>
        <v/>
      </c>
      <c r="AQ32" s="295" t="str">
        <f t="shared" si="9"/>
        <v/>
      </c>
      <c r="AR32" s="109"/>
      <c r="AS32" s="142"/>
      <c r="AT32" s="108"/>
      <c r="AU32" s="108"/>
      <c r="AY32" s="30" t="str">
        <f>IF(E32="","",IF(ISNA(VLOOKUP($E32,'D-1 Off-Site Habitat Baseline'!$D$1:$AV$258,4,FALSE)),"",(VLOOKUP($E32,'D-1 Off-Site Habitat Baseline'!$D$1:$AV$258,4,FALSE))))</f>
        <v/>
      </c>
    </row>
    <row r="33" spans="1:51" x14ac:dyDescent="0.25">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325" t="str">
        <f>'D-1 Off-Site Habitat Baseline'!AP32</f>
        <v/>
      </c>
      <c r="F33" s="289" t="str">
        <f>IF(E33="","",IF(ISNA(VLOOKUP($E33,'D-1 Off-Site Habitat Baseline'!$D$1:$ZZ$258,45,FALSE)),"",(VLOOKUP($E33,'D-1 Off-Site Habitat Baseline'!$D$1:$ZZ$258,45,FALSE))))</f>
        <v/>
      </c>
      <c r="G33" s="301" t="str">
        <f>IF(E33="","",IF(ISNA(VLOOKUP($E33,'D-1 Off-Site Habitat Baseline'!$D$1:$O$258,5,FALSE)),"",(VLOOKUP($E33,'D-1 Off-Site Habitat Baseline'!$D$1:$O$258,5,FALSE))))</f>
        <v/>
      </c>
      <c r="H33" s="301" t="str">
        <f>IF(E33="","",IF(ISNA(VLOOKUP($E33,'D-1 Off-Site Habitat Baseline'!$D$1:$O$258,6,FALSE)),"",(VLOOKUP($E33,'D-1 Off-Site Habitat Baseline'!$D$1:$O$258,6,FALSE))))</f>
        <v/>
      </c>
      <c r="I33" s="301" t="str">
        <f>IF(E33="","",IF(ISNA(VLOOKUP($E33,'D-1 Off-Site Habitat Baseline'!$D$1:$O$258,7,FALSE)),"",(VLOOKUP($E33,'D-1 Off-Site Habitat Baseline'!$D$1:$O$258,7,FALSE))))</f>
        <v/>
      </c>
      <c r="J33" s="301" t="str">
        <f>IF(E33="","",IF(ISNA(VLOOKUP($E33,'D-1 Off-Site Habitat Baseline'!$D$1:$O$258,8,FALSE)),"",(VLOOKUP($E33,'D-1 Off-Site Habitat Baseline'!$D$1:$O$258,8,FALSE))))</f>
        <v/>
      </c>
      <c r="K33" s="301" t="str">
        <f>IF(E33="","",IF(ISNA(VLOOKUP($E33,'D-1 Off-Site Habitat Baseline'!$D$1:$O$258,9,FALSE)),"",(VLOOKUP($E33,'D-1 Off-Site Habitat Baseline'!$D$1:$O$258,9,FALSE))))</f>
        <v/>
      </c>
      <c r="L33" s="301" t="str">
        <f>IF(E33="","",IF(ISNA(VLOOKUP($E33,'D-1 Off-Site Habitat Baseline'!$D$1:$O$258,11,FALSE)),"",(VLOOKUP($E33,'D-1 Off-Site Habitat Baseline'!$D$1:$O$258,11,FALSE))))</f>
        <v/>
      </c>
      <c r="M33" s="301" t="str">
        <f>IF(E33="","",IF(ISNA(VLOOKUP($E33,'D-1 Off-Site Habitat Baseline'!$D$1:$O$258,12,FALSE)),"",(VLOOKUP($E33,'D-1 Off-Site Habitat Baseline'!$D$1:$O$258,12,FALSE))))</f>
        <v/>
      </c>
      <c r="N33" s="301" t="str">
        <f>IF(E33="","",IF(ISNA(VLOOKUP($E33,'D-1 Off-Site Habitat Baseline'!$D$1:$AA$258,17,FALSE)),"",(VLOOKUP($E33,'D-1 Off-Site Habitat Baseline'!$D$1:$AA$258,17,FALSE))))</f>
        <v/>
      </c>
      <c r="O33" s="305" t="str">
        <f>IF(E33="","",IF(ISNA(VLOOKUP($E33,'D-1 Off-Site Habitat Baseline'!$D$1:$AA$258,13,FALSE)),"",(VLOOKUP($E33,'D-1 Off-Site Habitat Baseline'!$D$1:$AA$258,13,FALSE))))</f>
        <v/>
      </c>
      <c r="P33" s="152" t="str">
        <f>IFERROR(INDEX('G-1 All Habitats'!$AG$49:$AG$63,MATCH(Q33,'G-1 All Habitats'!$AF$27:$AF$41,0)),"")</f>
        <v/>
      </c>
      <c r="Q33" s="153"/>
      <c r="R33" s="154"/>
      <c r="S33" s="155" t="str">
        <f>IFERROR(INDEX('G-1 All Habitats'!$B$3:$B$135,MATCH(R33,'G-1 All Habitats'!$A$3:$A$135,0)),"")</f>
        <v/>
      </c>
      <c r="T33" s="289" t="str">
        <f t="shared" si="1"/>
        <v/>
      </c>
      <c r="U33" s="305" t="str">
        <f t="shared" si="2"/>
        <v/>
      </c>
      <c r="V33" s="304" t="str">
        <f t="shared" si="3"/>
        <v/>
      </c>
      <c r="W33" s="301" t="str">
        <f>IF(S33="","",VLOOKUP(S33,'G-1 All Habitats'!$B$2:$M$135,10,FALSE))</f>
        <v/>
      </c>
      <c r="X33" s="301" t="str">
        <f>IFERROR(VLOOKUP(W33,'G-1 All Habitats'!$V$3:$W$7,2,FALSE),"")</f>
        <v/>
      </c>
      <c r="Y33" s="142"/>
      <c r="Z33" s="305" t="str">
        <f>IFERROR(INDEX('G-8 Condition Look up'!$A$3:$H$135,MATCH(S33,'G-8 Condition Look up'!$A$3:$A$135,0),MATCH(Y33,'G-8 Condition Look up'!$A$3:$H$3,0)),"")</f>
        <v/>
      </c>
      <c r="AA33" s="105"/>
      <c r="AB33" s="320" t="str">
        <f>IF(AA33="","",IF(VLOOKUP(AA33,'G-3 Multipliers'!$L$3:$N$6,2,FALSE)=0,"Spatial Data Missing ⚠",VLOOKUP(AA33,'G-3 Multipliers'!$L$3:$N$6,2,FALSE)))</f>
        <v/>
      </c>
      <c r="AC33" s="305" t="str">
        <f>IF(AA33="","",IF(VLOOKUP(AA33,'G-3 Multipliers'!$L$3:$N$6,3,FALSE)=0,"Spatial Data Missing ⚠",VLOOKUP(AA33,'G-3 Multipliers'!$L$3:$N$6,3,FALSE)))</f>
        <v/>
      </c>
      <c r="AD33" s="317" t="str">
        <f t="shared" si="0"/>
        <v/>
      </c>
      <c r="AE33" s="142"/>
      <c r="AF33" s="142"/>
      <c r="AG33" s="301" t="str">
        <f t="shared" si="4"/>
        <v/>
      </c>
      <c r="AH33" s="302" t="str">
        <f t="shared" si="5"/>
        <v/>
      </c>
      <c r="AI33" s="306" t="str">
        <f>IF(AH33="Check Data ⚠","Check Data ⚠",IFERROR(VLOOKUP(AH33,'G-4 Temporal multipliers'!$A$4:$C$36,3,FALSE),""))</f>
        <v/>
      </c>
      <c r="AJ33" s="317" t="str">
        <f>IF(S33="","",VLOOKUP(S33,'G-3 Multipliers'!$A$2:$E$134,4,FALSE))</f>
        <v/>
      </c>
      <c r="AK33" s="301" t="str">
        <f t="shared" si="6"/>
        <v/>
      </c>
      <c r="AL33" s="301" t="str">
        <f t="shared" si="7"/>
        <v/>
      </c>
      <c r="AM33" s="305" t="str">
        <f>IFERROR(IF(F33="","",IF(AH33="Check Data ⚠","Check Data ⚠",VLOOKUP(AL33, 'G-3 Multipliers'!$P$2:$Q$6,2,FALSE))),"")</f>
        <v/>
      </c>
      <c r="AN33" s="728"/>
      <c r="AO33" s="335" t="str">
        <f>IF(AN33="","",IF(VLOOKUP(AN33,'G-3 Multipliers'!$S$3:$T$10,2,FALSE)=0,"Spatial Data Missing ⚠",VLOOKUP(AN33,'G-3 Multipliers'!$S$3:$T$10,2,FALSE)))</f>
        <v/>
      </c>
      <c r="AP33" s="295" t="str">
        <f t="shared" si="8"/>
        <v/>
      </c>
      <c r="AQ33" s="295" t="str">
        <f t="shared" si="9"/>
        <v/>
      </c>
      <c r="AR33" s="109"/>
      <c r="AS33" s="142"/>
      <c r="AT33" s="108"/>
      <c r="AU33" s="108"/>
      <c r="AY33" s="30" t="str">
        <f>IF(E33="","",IF(ISNA(VLOOKUP($E33,'D-1 Off-Site Habitat Baseline'!$D$1:$AV$258,4,FALSE)),"",(VLOOKUP($E33,'D-1 Off-Site Habitat Baseline'!$D$1:$AV$258,4,FALSE))))</f>
        <v/>
      </c>
    </row>
    <row r="34" spans="1:51" x14ac:dyDescent="0.25">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325" t="str">
        <f>'D-1 Off-Site Habitat Baseline'!AP33</f>
        <v/>
      </c>
      <c r="F34" s="289" t="str">
        <f>IF(E34="","",IF(ISNA(VLOOKUP($E34,'D-1 Off-Site Habitat Baseline'!$D$1:$ZZ$258,45,FALSE)),"",(VLOOKUP($E34,'D-1 Off-Site Habitat Baseline'!$D$1:$ZZ$258,45,FALSE))))</f>
        <v/>
      </c>
      <c r="G34" s="301" t="str">
        <f>IF(E34="","",IF(ISNA(VLOOKUP($E34,'D-1 Off-Site Habitat Baseline'!$D$1:$O$258,5,FALSE)),"",(VLOOKUP($E34,'D-1 Off-Site Habitat Baseline'!$D$1:$O$258,5,FALSE))))</f>
        <v/>
      </c>
      <c r="H34" s="301" t="str">
        <f>IF(E34="","",IF(ISNA(VLOOKUP($E34,'D-1 Off-Site Habitat Baseline'!$D$1:$O$258,6,FALSE)),"",(VLOOKUP($E34,'D-1 Off-Site Habitat Baseline'!$D$1:$O$258,6,FALSE))))</f>
        <v/>
      </c>
      <c r="I34" s="301" t="str">
        <f>IF(E34="","",IF(ISNA(VLOOKUP($E34,'D-1 Off-Site Habitat Baseline'!$D$1:$O$258,7,FALSE)),"",(VLOOKUP($E34,'D-1 Off-Site Habitat Baseline'!$D$1:$O$258,7,FALSE))))</f>
        <v/>
      </c>
      <c r="J34" s="301" t="str">
        <f>IF(E34="","",IF(ISNA(VLOOKUP($E34,'D-1 Off-Site Habitat Baseline'!$D$1:$O$258,8,FALSE)),"",(VLOOKUP($E34,'D-1 Off-Site Habitat Baseline'!$D$1:$O$258,8,FALSE))))</f>
        <v/>
      </c>
      <c r="K34" s="301" t="str">
        <f>IF(E34="","",IF(ISNA(VLOOKUP($E34,'D-1 Off-Site Habitat Baseline'!$D$1:$O$258,9,FALSE)),"",(VLOOKUP($E34,'D-1 Off-Site Habitat Baseline'!$D$1:$O$258,9,FALSE))))</f>
        <v/>
      </c>
      <c r="L34" s="301" t="str">
        <f>IF(E34="","",IF(ISNA(VLOOKUP($E34,'D-1 Off-Site Habitat Baseline'!$D$1:$O$258,11,FALSE)),"",(VLOOKUP($E34,'D-1 Off-Site Habitat Baseline'!$D$1:$O$258,11,FALSE))))</f>
        <v/>
      </c>
      <c r="M34" s="301" t="str">
        <f>IF(E34="","",IF(ISNA(VLOOKUP($E34,'D-1 Off-Site Habitat Baseline'!$D$1:$O$258,12,FALSE)),"",(VLOOKUP($E34,'D-1 Off-Site Habitat Baseline'!$D$1:$O$258,12,FALSE))))</f>
        <v/>
      </c>
      <c r="N34" s="301" t="str">
        <f>IF(E34="","",IF(ISNA(VLOOKUP($E34,'D-1 Off-Site Habitat Baseline'!$D$1:$AA$258,17,FALSE)),"",(VLOOKUP($E34,'D-1 Off-Site Habitat Baseline'!$D$1:$AA$258,17,FALSE))))</f>
        <v/>
      </c>
      <c r="O34" s="305" t="str">
        <f>IF(E34="","",IF(ISNA(VLOOKUP($E34,'D-1 Off-Site Habitat Baseline'!$D$1:$AA$258,13,FALSE)),"",(VLOOKUP($E34,'D-1 Off-Site Habitat Baseline'!$D$1:$AA$258,13,FALSE))))</f>
        <v/>
      </c>
      <c r="P34" s="152" t="str">
        <f>IFERROR(INDEX('G-1 All Habitats'!$AG$49:$AG$63,MATCH(Q34,'G-1 All Habitats'!$AF$27:$AF$41,0)),"")</f>
        <v/>
      </c>
      <c r="Q34" s="153"/>
      <c r="R34" s="154"/>
      <c r="S34" s="155" t="str">
        <f>IFERROR(INDEX('G-1 All Habitats'!$B$3:$B$135,MATCH(R34,'G-1 All Habitats'!$A$3:$A$135,0)),"")</f>
        <v/>
      </c>
      <c r="T34" s="289" t="str">
        <f t="shared" si="1"/>
        <v/>
      </c>
      <c r="U34" s="305" t="str">
        <f t="shared" si="2"/>
        <v/>
      </c>
      <c r="V34" s="304" t="str">
        <f t="shared" si="3"/>
        <v/>
      </c>
      <c r="W34" s="301" t="str">
        <f>IF(S34="","",VLOOKUP(S34,'G-1 All Habitats'!$B$2:$M$135,10,FALSE))</f>
        <v/>
      </c>
      <c r="X34" s="301" t="str">
        <f>IFERROR(VLOOKUP(W34,'G-1 All Habitats'!$V$3:$W$7,2,FALSE),"")</f>
        <v/>
      </c>
      <c r="Y34" s="142"/>
      <c r="Z34" s="305" t="str">
        <f>IFERROR(INDEX('G-8 Condition Look up'!$A$3:$H$135,MATCH(S34,'G-8 Condition Look up'!$A$3:$A$135,0),MATCH(Y34,'G-8 Condition Look up'!$A$3:$H$3,0)),"")</f>
        <v/>
      </c>
      <c r="AA34" s="105"/>
      <c r="AB34" s="320" t="str">
        <f>IF(AA34="","",IF(VLOOKUP(AA34,'G-3 Multipliers'!$L$3:$N$6,2,FALSE)=0,"Spatial Data Missing ⚠",VLOOKUP(AA34,'G-3 Multipliers'!$L$3:$N$6,2,FALSE)))</f>
        <v/>
      </c>
      <c r="AC34" s="305" t="str">
        <f>IF(AA34="","",IF(VLOOKUP(AA34,'G-3 Multipliers'!$L$3:$N$6,3,FALSE)=0,"Spatial Data Missing ⚠",VLOOKUP(AA34,'G-3 Multipliers'!$L$3:$N$6,3,FALSE)))</f>
        <v/>
      </c>
      <c r="AD34" s="317" t="str">
        <f t="shared" si="0"/>
        <v/>
      </c>
      <c r="AE34" s="142"/>
      <c r="AF34" s="142"/>
      <c r="AG34" s="301" t="str">
        <f t="shared" si="4"/>
        <v/>
      </c>
      <c r="AH34" s="302" t="str">
        <f t="shared" si="5"/>
        <v/>
      </c>
      <c r="AI34" s="306" t="str">
        <f>IF(AH34="Check Data ⚠","Check Data ⚠",IFERROR(VLOOKUP(AH34,'G-4 Temporal multipliers'!$A$4:$C$36,3,FALSE),""))</f>
        <v/>
      </c>
      <c r="AJ34" s="317" t="str">
        <f>IF(S34="","",VLOOKUP(S34,'G-3 Multipliers'!$A$2:$E$134,4,FALSE))</f>
        <v/>
      </c>
      <c r="AK34" s="301" t="str">
        <f t="shared" si="6"/>
        <v/>
      </c>
      <c r="AL34" s="301" t="str">
        <f t="shared" si="7"/>
        <v/>
      </c>
      <c r="AM34" s="305" t="str">
        <f>IFERROR(IF(F34="","",IF(AH34="Check Data ⚠","Check Data ⚠",VLOOKUP(AL34, 'G-3 Multipliers'!$P$2:$Q$6,2,FALSE))),"")</f>
        <v/>
      </c>
      <c r="AN34" s="728"/>
      <c r="AO34" s="335" t="str">
        <f>IF(AN34="","",IF(VLOOKUP(AN34,'G-3 Multipliers'!$S$3:$T$10,2,FALSE)=0,"Spatial Data Missing ⚠",VLOOKUP(AN34,'G-3 Multipliers'!$S$3:$T$10,2,FALSE)))</f>
        <v/>
      </c>
      <c r="AP34" s="295" t="str">
        <f t="shared" si="8"/>
        <v/>
      </c>
      <c r="AQ34" s="295" t="str">
        <f t="shared" si="9"/>
        <v/>
      </c>
      <c r="AR34" s="109"/>
      <c r="AS34" s="142"/>
      <c r="AT34" s="108"/>
      <c r="AU34" s="108"/>
      <c r="AY34" s="30" t="str">
        <f>IF(E34="","",IF(ISNA(VLOOKUP($E34,'D-1 Off-Site Habitat Baseline'!$D$1:$AV$258,4,FALSE)),"",(VLOOKUP($E34,'D-1 Off-Site Habitat Baseline'!$D$1:$AV$258,4,FALSE))))</f>
        <v/>
      </c>
    </row>
    <row r="35" spans="1:51" x14ac:dyDescent="0.25">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325" t="str">
        <f>'D-1 Off-Site Habitat Baseline'!AP34</f>
        <v/>
      </c>
      <c r="F35" s="289" t="str">
        <f>IF(E35="","",IF(ISNA(VLOOKUP($E35,'D-1 Off-Site Habitat Baseline'!$D$1:$ZZ$258,45,FALSE)),"",(VLOOKUP($E35,'D-1 Off-Site Habitat Baseline'!$D$1:$ZZ$258,45,FALSE))))</f>
        <v/>
      </c>
      <c r="G35" s="301" t="str">
        <f>IF(E35="","",IF(ISNA(VLOOKUP($E35,'D-1 Off-Site Habitat Baseline'!$D$1:$O$258,5,FALSE)),"",(VLOOKUP($E35,'D-1 Off-Site Habitat Baseline'!$D$1:$O$258,5,FALSE))))</f>
        <v/>
      </c>
      <c r="H35" s="301" t="str">
        <f>IF(E35="","",IF(ISNA(VLOOKUP($E35,'D-1 Off-Site Habitat Baseline'!$D$1:$O$258,6,FALSE)),"",(VLOOKUP($E35,'D-1 Off-Site Habitat Baseline'!$D$1:$O$258,6,FALSE))))</f>
        <v/>
      </c>
      <c r="I35" s="301" t="str">
        <f>IF(E35="","",IF(ISNA(VLOOKUP($E35,'D-1 Off-Site Habitat Baseline'!$D$1:$O$258,7,FALSE)),"",(VLOOKUP($E35,'D-1 Off-Site Habitat Baseline'!$D$1:$O$258,7,FALSE))))</f>
        <v/>
      </c>
      <c r="J35" s="301" t="str">
        <f>IF(E35="","",IF(ISNA(VLOOKUP($E35,'D-1 Off-Site Habitat Baseline'!$D$1:$O$258,8,FALSE)),"",(VLOOKUP($E35,'D-1 Off-Site Habitat Baseline'!$D$1:$O$258,8,FALSE))))</f>
        <v/>
      </c>
      <c r="K35" s="301" t="str">
        <f>IF(E35="","",IF(ISNA(VLOOKUP($E35,'D-1 Off-Site Habitat Baseline'!$D$1:$O$258,9,FALSE)),"",(VLOOKUP($E35,'D-1 Off-Site Habitat Baseline'!$D$1:$O$258,9,FALSE))))</f>
        <v/>
      </c>
      <c r="L35" s="301" t="str">
        <f>IF(E35="","",IF(ISNA(VLOOKUP($E35,'D-1 Off-Site Habitat Baseline'!$D$1:$O$258,11,FALSE)),"",(VLOOKUP($E35,'D-1 Off-Site Habitat Baseline'!$D$1:$O$258,11,FALSE))))</f>
        <v/>
      </c>
      <c r="M35" s="301" t="str">
        <f>IF(E35="","",IF(ISNA(VLOOKUP($E35,'D-1 Off-Site Habitat Baseline'!$D$1:$O$258,12,FALSE)),"",(VLOOKUP($E35,'D-1 Off-Site Habitat Baseline'!$D$1:$O$258,12,FALSE))))</f>
        <v/>
      </c>
      <c r="N35" s="301" t="str">
        <f>IF(E35="","",IF(ISNA(VLOOKUP($E35,'D-1 Off-Site Habitat Baseline'!$D$1:$AA$258,17,FALSE)),"",(VLOOKUP($E35,'D-1 Off-Site Habitat Baseline'!$D$1:$AA$258,17,FALSE))))</f>
        <v/>
      </c>
      <c r="O35" s="305" t="str">
        <f>IF(E35="","",IF(ISNA(VLOOKUP($E35,'D-1 Off-Site Habitat Baseline'!$D$1:$AA$258,13,FALSE)),"",(VLOOKUP($E35,'D-1 Off-Site Habitat Baseline'!$D$1:$AA$258,13,FALSE))))</f>
        <v/>
      </c>
      <c r="P35" s="152" t="str">
        <f>IFERROR(INDEX('G-1 All Habitats'!$AG$49:$AG$63,MATCH(Q35,'G-1 All Habitats'!$AF$27:$AF$41,0)),"")</f>
        <v/>
      </c>
      <c r="Q35" s="153"/>
      <c r="R35" s="154"/>
      <c r="S35" s="155" t="str">
        <f>IFERROR(INDEX('G-1 All Habitats'!$B$3:$B$135,MATCH(R35,'G-1 All Habitats'!$A$3:$A$135,0)),"")</f>
        <v/>
      </c>
      <c r="T35" s="289" t="str">
        <f t="shared" si="1"/>
        <v/>
      </c>
      <c r="U35" s="305" t="str">
        <f t="shared" si="2"/>
        <v/>
      </c>
      <c r="V35" s="304" t="str">
        <f t="shared" si="3"/>
        <v/>
      </c>
      <c r="W35" s="301" t="str">
        <f>IF(S35="","",VLOOKUP(S35,'G-1 All Habitats'!$B$2:$M$135,10,FALSE))</f>
        <v/>
      </c>
      <c r="X35" s="301" t="str">
        <f>IFERROR(VLOOKUP(W35,'G-1 All Habitats'!$V$3:$W$7,2,FALSE),"")</f>
        <v/>
      </c>
      <c r="Y35" s="142"/>
      <c r="Z35" s="305" t="str">
        <f>IFERROR(INDEX('G-8 Condition Look up'!$A$3:$H$135,MATCH(S35,'G-8 Condition Look up'!$A$3:$A$135,0),MATCH(Y35,'G-8 Condition Look up'!$A$3:$H$3,0)),"")</f>
        <v/>
      </c>
      <c r="AA35" s="105"/>
      <c r="AB35" s="320" t="str">
        <f>IF(AA35="","",IF(VLOOKUP(AA35,'G-3 Multipliers'!$L$3:$N$6,2,FALSE)=0,"Spatial Data Missing ⚠",VLOOKUP(AA35,'G-3 Multipliers'!$L$3:$N$6,2,FALSE)))</f>
        <v/>
      </c>
      <c r="AC35" s="305" t="str">
        <f>IF(AA35="","",IF(VLOOKUP(AA35,'G-3 Multipliers'!$L$3:$N$6,3,FALSE)=0,"Spatial Data Missing ⚠",VLOOKUP(AA35,'G-3 Multipliers'!$L$3:$N$6,3,FALSE)))</f>
        <v/>
      </c>
      <c r="AD35" s="317" t="str">
        <f t="shared" si="0"/>
        <v/>
      </c>
      <c r="AE35" s="142"/>
      <c r="AF35" s="142"/>
      <c r="AG35" s="301" t="str">
        <f t="shared" si="4"/>
        <v/>
      </c>
      <c r="AH35" s="302" t="str">
        <f t="shared" si="5"/>
        <v/>
      </c>
      <c r="AI35" s="306" t="str">
        <f>IF(AH35="Check Data ⚠","Check Data ⚠",IFERROR(VLOOKUP(AH35,'G-4 Temporal multipliers'!$A$4:$C$36,3,FALSE),""))</f>
        <v/>
      </c>
      <c r="AJ35" s="317" t="str">
        <f>IF(S35="","",VLOOKUP(S35,'G-3 Multipliers'!$A$2:$E$134,4,FALSE))</f>
        <v/>
      </c>
      <c r="AK35" s="301" t="str">
        <f t="shared" si="6"/>
        <v/>
      </c>
      <c r="AL35" s="301" t="str">
        <f t="shared" si="7"/>
        <v/>
      </c>
      <c r="AM35" s="305" t="str">
        <f>IFERROR(IF(F35="","",IF(AH35="Check Data ⚠","Check Data ⚠",VLOOKUP(AL35, 'G-3 Multipliers'!$P$2:$Q$6,2,FALSE))),"")</f>
        <v/>
      </c>
      <c r="AN35" s="728"/>
      <c r="AO35" s="335" t="str">
        <f>IF(AN35="","",IF(VLOOKUP(AN35,'G-3 Multipliers'!$S$3:$T$10,2,FALSE)=0,"Spatial Data Missing ⚠",VLOOKUP(AN35,'G-3 Multipliers'!$S$3:$T$10,2,FALSE)))</f>
        <v/>
      </c>
      <c r="AP35" s="295" t="str">
        <f t="shared" si="8"/>
        <v/>
      </c>
      <c r="AQ35" s="295" t="str">
        <f t="shared" si="9"/>
        <v/>
      </c>
      <c r="AR35" s="109"/>
      <c r="AS35" s="142"/>
      <c r="AT35" s="108"/>
      <c r="AU35" s="108"/>
      <c r="AY35" s="30" t="str">
        <f>IF(E35="","",IF(ISNA(VLOOKUP($E35,'D-1 Off-Site Habitat Baseline'!$D$1:$AV$258,4,FALSE)),"",(VLOOKUP($E35,'D-1 Off-Site Habitat Baseline'!$D$1:$AV$258,4,FALSE))))</f>
        <v/>
      </c>
    </row>
    <row r="36" spans="1:51" x14ac:dyDescent="0.25">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325" t="str">
        <f>'D-1 Off-Site Habitat Baseline'!AP35</f>
        <v/>
      </c>
      <c r="F36" s="289" t="str">
        <f>IF(E36="","",IF(ISNA(VLOOKUP($E36,'D-1 Off-Site Habitat Baseline'!$D$1:$ZZ$258,45,FALSE)),"",(VLOOKUP($E36,'D-1 Off-Site Habitat Baseline'!$D$1:$ZZ$258,45,FALSE))))</f>
        <v/>
      </c>
      <c r="G36" s="301" t="str">
        <f>IF(E36="","",IF(ISNA(VLOOKUP($E36,'D-1 Off-Site Habitat Baseline'!$D$1:$O$258,5,FALSE)),"",(VLOOKUP($E36,'D-1 Off-Site Habitat Baseline'!$D$1:$O$258,5,FALSE))))</f>
        <v/>
      </c>
      <c r="H36" s="301" t="str">
        <f>IF(E36="","",IF(ISNA(VLOOKUP($E36,'D-1 Off-Site Habitat Baseline'!$D$1:$O$258,6,FALSE)),"",(VLOOKUP($E36,'D-1 Off-Site Habitat Baseline'!$D$1:$O$258,6,FALSE))))</f>
        <v/>
      </c>
      <c r="I36" s="301" t="str">
        <f>IF(E36="","",IF(ISNA(VLOOKUP($E36,'D-1 Off-Site Habitat Baseline'!$D$1:$O$258,7,FALSE)),"",(VLOOKUP($E36,'D-1 Off-Site Habitat Baseline'!$D$1:$O$258,7,FALSE))))</f>
        <v/>
      </c>
      <c r="J36" s="301" t="str">
        <f>IF(E36="","",IF(ISNA(VLOOKUP($E36,'D-1 Off-Site Habitat Baseline'!$D$1:$O$258,8,FALSE)),"",(VLOOKUP($E36,'D-1 Off-Site Habitat Baseline'!$D$1:$O$258,8,FALSE))))</f>
        <v/>
      </c>
      <c r="K36" s="301" t="str">
        <f>IF(E36="","",IF(ISNA(VLOOKUP($E36,'D-1 Off-Site Habitat Baseline'!$D$1:$O$258,9,FALSE)),"",(VLOOKUP($E36,'D-1 Off-Site Habitat Baseline'!$D$1:$O$258,9,FALSE))))</f>
        <v/>
      </c>
      <c r="L36" s="301" t="str">
        <f>IF(E36="","",IF(ISNA(VLOOKUP($E36,'D-1 Off-Site Habitat Baseline'!$D$1:$O$258,11,FALSE)),"",(VLOOKUP($E36,'D-1 Off-Site Habitat Baseline'!$D$1:$O$258,11,FALSE))))</f>
        <v/>
      </c>
      <c r="M36" s="301" t="str">
        <f>IF(E36="","",IF(ISNA(VLOOKUP($E36,'D-1 Off-Site Habitat Baseline'!$D$1:$O$258,12,FALSE)),"",(VLOOKUP($E36,'D-1 Off-Site Habitat Baseline'!$D$1:$O$258,12,FALSE))))</f>
        <v/>
      </c>
      <c r="N36" s="301" t="str">
        <f>IF(E36="","",IF(ISNA(VLOOKUP($E36,'D-1 Off-Site Habitat Baseline'!$D$1:$AA$258,17,FALSE)),"",(VLOOKUP($E36,'D-1 Off-Site Habitat Baseline'!$D$1:$AA$258,17,FALSE))))</f>
        <v/>
      </c>
      <c r="O36" s="305" t="str">
        <f>IF(E36="","",IF(ISNA(VLOOKUP($E36,'D-1 Off-Site Habitat Baseline'!$D$1:$AA$258,13,FALSE)),"",(VLOOKUP($E36,'D-1 Off-Site Habitat Baseline'!$D$1:$AA$258,13,FALSE))))</f>
        <v/>
      </c>
      <c r="P36" s="152" t="str">
        <f>IFERROR(INDEX('G-1 All Habitats'!$AG$49:$AG$63,MATCH(Q36,'G-1 All Habitats'!$AF$27:$AF$41,0)),"")</f>
        <v/>
      </c>
      <c r="Q36" s="153"/>
      <c r="R36" s="154"/>
      <c r="S36" s="155" t="str">
        <f>IFERROR(INDEX('G-1 All Habitats'!$B$3:$B$135,MATCH(R36,'G-1 All Habitats'!$A$3:$A$135,0)),"")</f>
        <v/>
      </c>
      <c r="T36" s="289" t="str">
        <f t="shared" si="1"/>
        <v/>
      </c>
      <c r="U36" s="305" t="str">
        <f t="shared" si="2"/>
        <v/>
      </c>
      <c r="V36" s="304" t="str">
        <f t="shared" si="3"/>
        <v/>
      </c>
      <c r="W36" s="301" t="str">
        <f>IF(S36="","",VLOOKUP(S36,'G-1 All Habitats'!$B$2:$M$135,10,FALSE))</f>
        <v/>
      </c>
      <c r="X36" s="301" t="str">
        <f>IFERROR(VLOOKUP(W36,'G-1 All Habitats'!$V$3:$W$7,2,FALSE),"")</f>
        <v/>
      </c>
      <c r="Y36" s="142"/>
      <c r="Z36" s="305" t="str">
        <f>IFERROR(INDEX('G-8 Condition Look up'!$A$3:$H$135,MATCH(S36,'G-8 Condition Look up'!$A$3:$A$135,0),MATCH(Y36,'G-8 Condition Look up'!$A$3:$H$3,0)),"")</f>
        <v/>
      </c>
      <c r="AA36" s="105"/>
      <c r="AB36" s="320" t="str">
        <f>IF(AA36="","",IF(VLOOKUP(AA36,'G-3 Multipliers'!$L$3:$N$6,2,FALSE)=0,"Spatial Data Missing ⚠",VLOOKUP(AA36,'G-3 Multipliers'!$L$3:$N$6,2,FALSE)))</f>
        <v/>
      </c>
      <c r="AC36" s="305" t="str">
        <f>IF(AA36="","",IF(VLOOKUP(AA36,'G-3 Multipliers'!$L$3:$N$6,3,FALSE)=0,"Spatial Data Missing ⚠",VLOOKUP(AA36,'G-3 Multipliers'!$L$3:$N$6,3,FALSE)))</f>
        <v/>
      </c>
      <c r="AD36" s="317" t="str">
        <f t="shared" si="0"/>
        <v/>
      </c>
      <c r="AE36" s="142"/>
      <c r="AF36" s="142"/>
      <c r="AG36" s="301" t="str">
        <f t="shared" si="4"/>
        <v/>
      </c>
      <c r="AH36" s="302" t="str">
        <f t="shared" si="5"/>
        <v/>
      </c>
      <c r="AI36" s="306" t="str">
        <f>IF(AH36="Check Data ⚠","Check Data ⚠",IFERROR(VLOOKUP(AH36,'G-4 Temporal multipliers'!$A$4:$C$36,3,FALSE),""))</f>
        <v/>
      </c>
      <c r="AJ36" s="317" t="str">
        <f>IF(S36="","",VLOOKUP(S36,'G-3 Multipliers'!$A$2:$E$134,4,FALSE))</f>
        <v/>
      </c>
      <c r="AK36" s="301" t="str">
        <f t="shared" si="6"/>
        <v/>
      </c>
      <c r="AL36" s="301" t="str">
        <f t="shared" si="7"/>
        <v/>
      </c>
      <c r="AM36" s="305" t="str">
        <f>IFERROR(IF(F36="","",IF(AH36="Check Data ⚠","Check Data ⚠",VLOOKUP(AL36, 'G-3 Multipliers'!$P$2:$Q$6,2,FALSE))),"")</f>
        <v/>
      </c>
      <c r="AN36" s="728"/>
      <c r="AO36" s="335" t="str">
        <f>IF(AN36="","",IF(VLOOKUP(AN36,'G-3 Multipliers'!$S$3:$T$10,2,FALSE)=0,"Spatial Data Missing ⚠",VLOOKUP(AN36,'G-3 Multipliers'!$S$3:$T$10,2,FALSE)))</f>
        <v/>
      </c>
      <c r="AP36" s="295" t="str">
        <f t="shared" si="8"/>
        <v/>
      </c>
      <c r="AQ36" s="295" t="str">
        <f t="shared" si="9"/>
        <v/>
      </c>
      <c r="AR36" s="109"/>
      <c r="AS36" s="142"/>
      <c r="AT36" s="108"/>
      <c r="AU36" s="108"/>
      <c r="AY36" s="30" t="str">
        <f>IF(E36="","",IF(ISNA(VLOOKUP($E36,'D-1 Off-Site Habitat Baseline'!$D$1:$AV$258,4,FALSE)),"",(VLOOKUP($E36,'D-1 Off-Site Habitat Baseline'!$D$1:$AV$258,4,FALSE))))</f>
        <v/>
      </c>
    </row>
    <row r="37" spans="1:51" x14ac:dyDescent="0.25">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325" t="str">
        <f>'D-1 Off-Site Habitat Baseline'!AP36</f>
        <v/>
      </c>
      <c r="F37" s="289" t="str">
        <f>IF(E37="","",IF(ISNA(VLOOKUP($E37,'D-1 Off-Site Habitat Baseline'!$D$1:$ZZ$258,45,FALSE)),"",(VLOOKUP($E37,'D-1 Off-Site Habitat Baseline'!$D$1:$ZZ$258,45,FALSE))))</f>
        <v/>
      </c>
      <c r="G37" s="301" t="str">
        <f>IF(E37="","",IF(ISNA(VLOOKUP($E37,'D-1 Off-Site Habitat Baseline'!$D$1:$O$258,5,FALSE)),"",(VLOOKUP($E37,'D-1 Off-Site Habitat Baseline'!$D$1:$O$258,5,FALSE))))</f>
        <v/>
      </c>
      <c r="H37" s="301" t="str">
        <f>IF(E37="","",IF(ISNA(VLOOKUP($E37,'D-1 Off-Site Habitat Baseline'!$D$1:$O$258,6,FALSE)),"",(VLOOKUP($E37,'D-1 Off-Site Habitat Baseline'!$D$1:$O$258,6,FALSE))))</f>
        <v/>
      </c>
      <c r="I37" s="301" t="str">
        <f>IF(E37="","",IF(ISNA(VLOOKUP($E37,'D-1 Off-Site Habitat Baseline'!$D$1:$O$258,7,FALSE)),"",(VLOOKUP($E37,'D-1 Off-Site Habitat Baseline'!$D$1:$O$258,7,FALSE))))</f>
        <v/>
      </c>
      <c r="J37" s="301" t="str">
        <f>IF(E37="","",IF(ISNA(VLOOKUP($E37,'D-1 Off-Site Habitat Baseline'!$D$1:$O$258,8,FALSE)),"",(VLOOKUP($E37,'D-1 Off-Site Habitat Baseline'!$D$1:$O$258,8,FALSE))))</f>
        <v/>
      </c>
      <c r="K37" s="301" t="str">
        <f>IF(E37="","",IF(ISNA(VLOOKUP($E37,'D-1 Off-Site Habitat Baseline'!$D$1:$O$258,9,FALSE)),"",(VLOOKUP($E37,'D-1 Off-Site Habitat Baseline'!$D$1:$O$258,9,FALSE))))</f>
        <v/>
      </c>
      <c r="L37" s="301" t="str">
        <f>IF(E37="","",IF(ISNA(VLOOKUP($E37,'D-1 Off-Site Habitat Baseline'!$D$1:$O$258,11,FALSE)),"",(VLOOKUP($E37,'D-1 Off-Site Habitat Baseline'!$D$1:$O$258,11,FALSE))))</f>
        <v/>
      </c>
      <c r="M37" s="301" t="str">
        <f>IF(E37="","",IF(ISNA(VLOOKUP($E37,'D-1 Off-Site Habitat Baseline'!$D$1:$O$258,12,FALSE)),"",(VLOOKUP($E37,'D-1 Off-Site Habitat Baseline'!$D$1:$O$258,12,FALSE))))</f>
        <v/>
      </c>
      <c r="N37" s="301" t="str">
        <f>IF(E37="","",IF(ISNA(VLOOKUP($E37,'D-1 Off-Site Habitat Baseline'!$D$1:$AA$258,17,FALSE)),"",(VLOOKUP($E37,'D-1 Off-Site Habitat Baseline'!$D$1:$AA$258,17,FALSE))))</f>
        <v/>
      </c>
      <c r="O37" s="305" t="str">
        <f>IF(E37="","",IF(ISNA(VLOOKUP($E37,'D-1 Off-Site Habitat Baseline'!$D$1:$AA$258,13,FALSE)),"",(VLOOKUP($E37,'D-1 Off-Site Habitat Baseline'!$D$1:$AA$258,13,FALSE))))</f>
        <v/>
      </c>
      <c r="P37" s="152" t="str">
        <f>IFERROR(INDEX('G-1 All Habitats'!$AG$49:$AG$63,MATCH(Q37,'G-1 All Habitats'!$AF$27:$AF$41,0)),"")</f>
        <v/>
      </c>
      <c r="Q37" s="153"/>
      <c r="R37" s="154"/>
      <c r="S37" s="155" t="str">
        <f>IFERROR(INDEX('G-1 All Habitats'!$B$3:$B$135,MATCH(R37,'G-1 All Habitats'!$A$3:$A$135,0)),"")</f>
        <v/>
      </c>
      <c r="T37" s="289" t="str">
        <f t="shared" si="1"/>
        <v/>
      </c>
      <c r="U37" s="305" t="str">
        <f t="shared" si="2"/>
        <v/>
      </c>
      <c r="V37" s="304" t="str">
        <f t="shared" si="3"/>
        <v/>
      </c>
      <c r="W37" s="301" t="str">
        <f>IF(S37="","",VLOOKUP(S37,'G-1 All Habitats'!$B$2:$M$135,10,FALSE))</f>
        <v/>
      </c>
      <c r="X37" s="301" t="str">
        <f>IFERROR(VLOOKUP(W37,'G-1 All Habitats'!$V$3:$W$7,2,FALSE),"")</f>
        <v/>
      </c>
      <c r="Y37" s="142"/>
      <c r="Z37" s="305" t="str">
        <f>IFERROR(INDEX('G-8 Condition Look up'!$A$3:$H$135,MATCH(S37,'G-8 Condition Look up'!$A$3:$A$135,0),MATCH(Y37,'G-8 Condition Look up'!$A$3:$H$3,0)),"")</f>
        <v/>
      </c>
      <c r="AA37" s="105"/>
      <c r="AB37" s="320" t="str">
        <f>IF(AA37="","",IF(VLOOKUP(AA37,'G-3 Multipliers'!$L$3:$N$6,2,FALSE)=0,"Spatial Data Missing ⚠",VLOOKUP(AA37,'G-3 Multipliers'!$L$3:$N$6,2,FALSE)))</f>
        <v/>
      </c>
      <c r="AC37" s="305" t="str">
        <f>IF(AA37="","",IF(VLOOKUP(AA37,'G-3 Multipliers'!$L$3:$N$6,3,FALSE)=0,"Spatial Data Missing ⚠",VLOOKUP(AA37,'G-3 Multipliers'!$L$3:$N$6,3,FALSE)))</f>
        <v/>
      </c>
      <c r="AD37" s="317" t="str">
        <f t="shared" si="0"/>
        <v/>
      </c>
      <c r="AE37" s="142"/>
      <c r="AF37" s="142"/>
      <c r="AG37" s="301" t="str">
        <f t="shared" si="4"/>
        <v/>
      </c>
      <c r="AH37" s="302" t="str">
        <f t="shared" si="5"/>
        <v/>
      </c>
      <c r="AI37" s="306" t="str">
        <f>IF(AH37="Check Data ⚠","Check Data ⚠",IFERROR(VLOOKUP(AH37,'G-4 Temporal multipliers'!$A$4:$C$36,3,FALSE),""))</f>
        <v/>
      </c>
      <c r="AJ37" s="317" t="str">
        <f>IF(S37="","",VLOOKUP(S37,'G-3 Multipliers'!$A$2:$E$134,4,FALSE))</f>
        <v/>
      </c>
      <c r="AK37" s="301" t="str">
        <f t="shared" si="6"/>
        <v/>
      </c>
      <c r="AL37" s="301" t="str">
        <f t="shared" si="7"/>
        <v/>
      </c>
      <c r="AM37" s="305" t="str">
        <f>IFERROR(IF(F37="","",IF(AH37="Check Data ⚠","Check Data ⚠",VLOOKUP(AL37, 'G-3 Multipliers'!$P$2:$Q$6,2,FALSE))),"")</f>
        <v/>
      </c>
      <c r="AN37" s="728"/>
      <c r="AO37" s="335" t="str">
        <f>IF(AN37="","",IF(VLOOKUP(AN37,'G-3 Multipliers'!$S$3:$T$10,2,FALSE)=0,"Spatial Data Missing ⚠",VLOOKUP(AN37,'G-3 Multipliers'!$S$3:$T$10,2,FALSE)))</f>
        <v/>
      </c>
      <c r="AP37" s="295" t="str">
        <f t="shared" si="8"/>
        <v/>
      </c>
      <c r="AQ37" s="295" t="str">
        <f t="shared" si="9"/>
        <v/>
      </c>
      <c r="AR37" s="109"/>
      <c r="AS37" s="142"/>
      <c r="AT37" s="108"/>
      <c r="AU37" s="108"/>
      <c r="AY37" s="30" t="str">
        <f>IF(E37="","",IF(ISNA(VLOOKUP($E37,'D-1 Off-Site Habitat Baseline'!$D$1:$AV$258,4,FALSE)),"",(VLOOKUP($E37,'D-1 Off-Site Habitat Baseline'!$D$1:$AV$258,4,FALSE))))</f>
        <v/>
      </c>
    </row>
    <row r="38" spans="1:51" x14ac:dyDescent="0.25">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325" t="str">
        <f>'D-1 Off-Site Habitat Baseline'!AP37</f>
        <v/>
      </c>
      <c r="F38" s="289" t="str">
        <f>IF(E38="","",IF(ISNA(VLOOKUP($E38,'D-1 Off-Site Habitat Baseline'!$D$1:$ZZ$258,45,FALSE)),"",(VLOOKUP($E38,'D-1 Off-Site Habitat Baseline'!$D$1:$ZZ$258,45,FALSE))))</f>
        <v/>
      </c>
      <c r="G38" s="301" t="str">
        <f>IF(E38="","",IF(ISNA(VLOOKUP($E38,'D-1 Off-Site Habitat Baseline'!$D$1:$O$258,5,FALSE)),"",(VLOOKUP($E38,'D-1 Off-Site Habitat Baseline'!$D$1:$O$258,5,FALSE))))</f>
        <v/>
      </c>
      <c r="H38" s="301" t="str">
        <f>IF(E38="","",IF(ISNA(VLOOKUP($E38,'D-1 Off-Site Habitat Baseline'!$D$1:$O$258,6,FALSE)),"",(VLOOKUP($E38,'D-1 Off-Site Habitat Baseline'!$D$1:$O$258,6,FALSE))))</f>
        <v/>
      </c>
      <c r="I38" s="301" t="str">
        <f>IF(E38="","",IF(ISNA(VLOOKUP($E38,'D-1 Off-Site Habitat Baseline'!$D$1:$O$258,7,FALSE)),"",(VLOOKUP($E38,'D-1 Off-Site Habitat Baseline'!$D$1:$O$258,7,FALSE))))</f>
        <v/>
      </c>
      <c r="J38" s="301" t="str">
        <f>IF(E38="","",IF(ISNA(VLOOKUP($E38,'D-1 Off-Site Habitat Baseline'!$D$1:$O$258,8,FALSE)),"",(VLOOKUP($E38,'D-1 Off-Site Habitat Baseline'!$D$1:$O$258,8,FALSE))))</f>
        <v/>
      </c>
      <c r="K38" s="301" t="str">
        <f>IF(E38="","",IF(ISNA(VLOOKUP($E38,'D-1 Off-Site Habitat Baseline'!$D$1:$O$258,9,FALSE)),"",(VLOOKUP($E38,'D-1 Off-Site Habitat Baseline'!$D$1:$O$258,9,FALSE))))</f>
        <v/>
      </c>
      <c r="L38" s="301" t="str">
        <f>IF(E38="","",IF(ISNA(VLOOKUP($E38,'D-1 Off-Site Habitat Baseline'!$D$1:$O$258,11,FALSE)),"",(VLOOKUP($E38,'D-1 Off-Site Habitat Baseline'!$D$1:$O$258,11,FALSE))))</f>
        <v/>
      </c>
      <c r="M38" s="301" t="str">
        <f>IF(E38="","",IF(ISNA(VLOOKUP($E38,'D-1 Off-Site Habitat Baseline'!$D$1:$O$258,12,FALSE)),"",(VLOOKUP($E38,'D-1 Off-Site Habitat Baseline'!$D$1:$O$258,12,FALSE))))</f>
        <v/>
      </c>
      <c r="N38" s="301" t="str">
        <f>IF(E38="","",IF(ISNA(VLOOKUP($E38,'D-1 Off-Site Habitat Baseline'!$D$1:$AA$258,17,FALSE)),"",(VLOOKUP($E38,'D-1 Off-Site Habitat Baseline'!$D$1:$AA$258,17,FALSE))))</f>
        <v/>
      </c>
      <c r="O38" s="305" t="str">
        <f>IF(E38="","",IF(ISNA(VLOOKUP($E38,'D-1 Off-Site Habitat Baseline'!$D$1:$AA$258,13,FALSE)),"",(VLOOKUP($E38,'D-1 Off-Site Habitat Baseline'!$D$1:$AA$258,13,FALSE))))</f>
        <v/>
      </c>
      <c r="P38" s="152" t="str">
        <f>IFERROR(INDEX('G-1 All Habitats'!$AG$49:$AG$63,MATCH(Q38,'G-1 All Habitats'!$AF$27:$AF$41,0)),"")</f>
        <v/>
      </c>
      <c r="Q38" s="153"/>
      <c r="R38" s="154"/>
      <c r="S38" s="155" t="str">
        <f>IFERROR(INDEX('G-1 All Habitats'!$B$3:$B$135,MATCH(R38,'G-1 All Habitats'!$A$3:$A$135,0)),"")</f>
        <v/>
      </c>
      <c r="T38" s="289" t="str">
        <f t="shared" si="1"/>
        <v/>
      </c>
      <c r="U38" s="305" t="str">
        <f t="shared" si="2"/>
        <v/>
      </c>
      <c r="V38" s="304" t="str">
        <f t="shared" si="3"/>
        <v/>
      </c>
      <c r="W38" s="301" t="str">
        <f>IF(S38="","",VLOOKUP(S38,'G-1 All Habitats'!$B$2:$M$135,10,FALSE))</f>
        <v/>
      </c>
      <c r="X38" s="301" t="str">
        <f>IFERROR(VLOOKUP(W38,'G-1 All Habitats'!$V$3:$W$7,2,FALSE),"")</f>
        <v/>
      </c>
      <c r="Y38" s="142"/>
      <c r="Z38" s="305" t="str">
        <f>IFERROR(INDEX('G-8 Condition Look up'!$A$3:$H$135,MATCH(S38,'G-8 Condition Look up'!$A$3:$A$135,0),MATCH(Y38,'G-8 Condition Look up'!$A$3:$H$3,0)),"")</f>
        <v/>
      </c>
      <c r="AA38" s="105"/>
      <c r="AB38" s="320" t="str">
        <f>IF(AA38="","",IF(VLOOKUP(AA38,'G-3 Multipliers'!$L$3:$N$6,2,FALSE)=0,"Spatial Data Missing ⚠",VLOOKUP(AA38,'G-3 Multipliers'!$L$3:$N$6,2,FALSE)))</f>
        <v/>
      </c>
      <c r="AC38" s="305" t="str">
        <f>IF(AA38="","",IF(VLOOKUP(AA38,'G-3 Multipliers'!$L$3:$N$6,3,FALSE)=0,"Spatial Data Missing ⚠",VLOOKUP(AA38,'G-3 Multipliers'!$L$3:$N$6,3,FALSE)))</f>
        <v/>
      </c>
      <c r="AD38" s="317" t="str">
        <f t="shared" si="0"/>
        <v/>
      </c>
      <c r="AE38" s="142"/>
      <c r="AF38" s="142"/>
      <c r="AG38" s="301" t="str">
        <f t="shared" si="4"/>
        <v/>
      </c>
      <c r="AH38" s="302" t="str">
        <f t="shared" si="5"/>
        <v/>
      </c>
      <c r="AI38" s="306" t="str">
        <f>IF(AH38="Check Data ⚠","Check Data ⚠",IFERROR(VLOOKUP(AH38,'G-4 Temporal multipliers'!$A$4:$C$36,3,FALSE),""))</f>
        <v/>
      </c>
      <c r="AJ38" s="317" t="str">
        <f>IF(S38="","",VLOOKUP(S38,'G-3 Multipliers'!$A$2:$E$134,4,FALSE))</f>
        <v/>
      </c>
      <c r="AK38" s="301" t="str">
        <f t="shared" si="6"/>
        <v/>
      </c>
      <c r="AL38" s="301" t="str">
        <f t="shared" si="7"/>
        <v/>
      </c>
      <c r="AM38" s="305" t="str">
        <f>IFERROR(IF(F38="","",IF(AH38="Check Data ⚠","Check Data ⚠",VLOOKUP(AL38, 'G-3 Multipliers'!$P$2:$Q$6,2,FALSE))),"")</f>
        <v/>
      </c>
      <c r="AN38" s="728"/>
      <c r="AO38" s="335" t="str">
        <f>IF(AN38="","",IF(VLOOKUP(AN38,'G-3 Multipliers'!$S$3:$T$10,2,FALSE)=0,"Spatial Data Missing ⚠",VLOOKUP(AN38,'G-3 Multipliers'!$S$3:$T$10,2,FALSE)))</f>
        <v/>
      </c>
      <c r="AP38" s="295" t="str">
        <f t="shared" si="8"/>
        <v/>
      </c>
      <c r="AQ38" s="295" t="str">
        <f t="shared" si="9"/>
        <v/>
      </c>
      <c r="AR38" s="109"/>
      <c r="AS38" s="142"/>
      <c r="AT38" s="108"/>
      <c r="AU38" s="108"/>
      <c r="AY38" s="30" t="str">
        <f>IF(E38="","",IF(ISNA(VLOOKUP($E38,'D-1 Off-Site Habitat Baseline'!$D$1:$AV$258,4,FALSE)),"",(VLOOKUP($E38,'D-1 Off-Site Habitat Baseline'!$D$1:$AV$258,4,FALSE))))</f>
        <v/>
      </c>
    </row>
    <row r="39" spans="1:51" x14ac:dyDescent="0.25">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325" t="str">
        <f>'D-1 Off-Site Habitat Baseline'!AP38</f>
        <v/>
      </c>
      <c r="F39" s="289" t="str">
        <f>IF(E39="","",IF(ISNA(VLOOKUP($E39,'D-1 Off-Site Habitat Baseline'!$D$1:$ZZ$258,45,FALSE)),"",(VLOOKUP($E39,'D-1 Off-Site Habitat Baseline'!$D$1:$ZZ$258,45,FALSE))))</f>
        <v/>
      </c>
      <c r="G39" s="301" t="str">
        <f>IF(E39="","",IF(ISNA(VLOOKUP($E39,'D-1 Off-Site Habitat Baseline'!$D$1:$O$258,5,FALSE)),"",(VLOOKUP($E39,'D-1 Off-Site Habitat Baseline'!$D$1:$O$258,5,FALSE))))</f>
        <v/>
      </c>
      <c r="H39" s="301" t="str">
        <f>IF(E39="","",IF(ISNA(VLOOKUP($E39,'D-1 Off-Site Habitat Baseline'!$D$1:$O$258,6,FALSE)),"",(VLOOKUP($E39,'D-1 Off-Site Habitat Baseline'!$D$1:$O$258,6,FALSE))))</f>
        <v/>
      </c>
      <c r="I39" s="301" t="str">
        <f>IF(E39="","",IF(ISNA(VLOOKUP($E39,'D-1 Off-Site Habitat Baseline'!$D$1:$O$258,7,FALSE)),"",(VLOOKUP($E39,'D-1 Off-Site Habitat Baseline'!$D$1:$O$258,7,FALSE))))</f>
        <v/>
      </c>
      <c r="J39" s="301" t="str">
        <f>IF(E39="","",IF(ISNA(VLOOKUP($E39,'D-1 Off-Site Habitat Baseline'!$D$1:$O$258,8,FALSE)),"",(VLOOKUP($E39,'D-1 Off-Site Habitat Baseline'!$D$1:$O$258,8,FALSE))))</f>
        <v/>
      </c>
      <c r="K39" s="301" t="str">
        <f>IF(E39="","",IF(ISNA(VLOOKUP($E39,'D-1 Off-Site Habitat Baseline'!$D$1:$O$258,9,FALSE)),"",(VLOOKUP($E39,'D-1 Off-Site Habitat Baseline'!$D$1:$O$258,9,FALSE))))</f>
        <v/>
      </c>
      <c r="L39" s="301" t="str">
        <f>IF(E39="","",IF(ISNA(VLOOKUP($E39,'D-1 Off-Site Habitat Baseline'!$D$1:$O$258,11,FALSE)),"",(VLOOKUP($E39,'D-1 Off-Site Habitat Baseline'!$D$1:$O$258,11,FALSE))))</f>
        <v/>
      </c>
      <c r="M39" s="301" t="str">
        <f>IF(E39="","",IF(ISNA(VLOOKUP($E39,'D-1 Off-Site Habitat Baseline'!$D$1:$O$258,12,FALSE)),"",(VLOOKUP($E39,'D-1 Off-Site Habitat Baseline'!$D$1:$O$258,12,FALSE))))</f>
        <v/>
      </c>
      <c r="N39" s="301" t="str">
        <f>IF(E39="","",IF(ISNA(VLOOKUP($E39,'D-1 Off-Site Habitat Baseline'!$D$1:$AA$258,17,FALSE)),"",(VLOOKUP($E39,'D-1 Off-Site Habitat Baseline'!$D$1:$AA$258,17,FALSE))))</f>
        <v/>
      </c>
      <c r="O39" s="305" t="str">
        <f>IF(E39="","",IF(ISNA(VLOOKUP($E39,'D-1 Off-Site Habitat Baseline'!$D$1:$AA$258,13,FALSE)),"",(VLOOKUP($E39,'D-1 Off-Site Habitat Baseline'!$D$1:$AA$258,13,FALSE))))</f>
        <v/>
      </c>
      <c r="P39" s="152" t="str">
        <f>IFERROR(INDEX('G-1 All Habitats'!$AG$49:$AG$63,MATCH(Q39,'G-1 All Habitats'!$AF$27:$AF$41,0)),"")</f>
        <v/>
      </c>
      <c r="Q39" s="153"/>
      <c r="R39" s="154"/>
      <c r="S39" s="155" t="str">
        <f>IFERROR(INDEX('G-1 All Habitats'!$B$3:$B$135,MATCH(R39,'G-1 All Habitats'!$A$3:$A$135,0)),"")</f>
        <v/>
      </c>
      <c r="T39" s="289" t="str">
        <f t="shared" si="1"/>
        <v/>
      </c>
      <c r="U39" s="305" t="str">
        <f t="shared" si="2"/>
        <v/>
      </c>
      <c r="V39" s="304" t="str">
        <f t="shared" si="3"/>
        <v/>
      </c>
      <c r="W39" s="301" t="str">
        <f>IF(S39="","",VLOOKUP(S39,'G-1 All Habitats'!$B$2:$M$135,10,FALSE))</f>
        <v/>
      </c>
      <c r="X39" s="301" t="str">
        <f>IFERROR(VLOOKUP(W39,'G-1 All Habitats'!$V$3:$W$7,2,FALSE),"")</f>
        <v/>
      </c>
      <c r="Y39" s="142"/>
      <c r="Z39" s="305" t="str">
        <f>IFERROR(INDEX('G-8 Condition Look up'!$A$3:$H$135,MATCH(S39,'G-8 Condition Look up'!$A$3:$A$135,0),MATCH(Y39,'G-8 Condition Look up'!$A$3:$H$3,0)),"")</f>
        <v/>
      </c>
      <c r="AA39" s="105"/>
      <c r="AB39" s="320" t="str">
        <f>IF(AA39="","",IF(VLOOKUP(AA39,'G-3 Multipliers'!$L$3:$N$6,2,FALSE)=0,"Spatial Data Missing ⚠",VLOOKUP(AA39,'G-3 Multipliers'!$L$3:$N$6,2,FALSE)))</f>
        <v/>
      </c>
      <c r="AC39" s="305" t="str">
        <f>IF(AA39="","",IF(VLOOKUP(AA39,'G-3 Multipliers'!$L$3:$N$6,3,FALSE)=0,"Spatial Data Missing ⚠",VLOOKUP(AA39,'G-3 Multipliers'!$L$3:$N$6,3,FALSE)))</f>
        <v/>
      </c>
      <c r="AD39" s="317" t="str">
        <f t="shared" si="0"/>
        <v/>
      </c>
      <c r="AE39" s="142"/>
      <c r="AF39" s="142"/>
      <c r="AG39" s="301" t="str">
        <f t="shared" si="4"/>
        <v/>
      </c>
      <c r="AH39" s="302" t="str">
        <f t="shared" si="5"/>
        <v/>
      </c>
      <c r="AI39" s="306" t="str">
        <f>IF(AH39="Check Data ⚠","Check Data ⚠",IFERROR(VLOOKUP(AH39,'G-4 Temporal multipliers'!$A$4:$C$36,3,FALSE),""))</f>
        <v/>
      </c>
      <c r="AJ39" s="317" t="str">
        <f>IF(S39="","",VLOOKUP(S39,'G-3 Multipliers'!$A$2:$E$134,4,FALSE))</f>
        <v/>
      </c>
      <c r="AK39" s="301" t="str">
        <f t="shared" si="6"/>
        <v/>
      </c>
      <c r="AL39" s="301" t="str">
        <f t="shared" si="7"/>
        <v/>
      </c>
      <c r="AM39" s="305" t="str">
        <f>IFERROR(IF(F39="","",IF(AH39="Check Data ⚠","Check Data ⚠",VLOOKUP(AL39, 'G-3 Multipliers'!$P$2:$Q$6,2,FALSE))),"")</f>
        <v/>
      </c>
      <c r="AN39" s="728"/>
      <c r="AO39" s="335" t="str">
        <f>IF(AN39="","",IF(VLOOKUP(AN39,'G-3 Multipliers'!$S$3:$T$10,2,FALSE)=0,"Spatial Data Missing ⚠",VLOOKUP(AN39,'G-3 Multipliers'!$S$3:$T$10,2,FALSE)))</f>
        <v/>
      </c>
      <c r="AP39" s="295" t="str">
        <f t="shared" si="8"/>
        <v/>
      </c>
      <c r="AQ39" s="295" t="str">
        <f t="shared" si="9"/>
        <v/>
      </c>
      <c r="AR39" s="109"/>
      <c r="AS39" s="142"/>
      <c r="AT39" s="108"/>
      <c r="AU39" s="108"/>
      <c r="AY39" s="30" t="str">
        <f>IF(E39="","",IF(ISNA(VLOOKUP($E39,'D-1 Off-Site Habitat Baseline'!$D$1:$AV$258,4,FALSE)),"",(VLOOKUP($E39,'D-1 Off-Site Habitat Baseline'!$D$1:$AV$258,4,FALSE))))</f>
        <v/>
      </c>
    </row>
    <row r="40" spans="1:51" x14ac:dyDescent="0.25">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325" t="str">
        <f>'D-1 Off-Site Habitat Baseline'!AP39</f>
        <v/>
      </c>
      <c r="F40" s="289" t="str">
        <f>IF(E40="","",IF(ISNA(VLOOKUP($E40,'D-1 Off-Site Habitat Baseline'!$D$1:$ZZ$258,45,FALSE)),"",(VLOOKUP($E40,'D-1 Off-Site Habitat Baseline'!$D$1:$ZZ$258,45,FALSE))))</f>
        <v/>
      </c>
      <c r="G40" s="301" t="str">
        <f>IF(E40="","",IF(ISNA(VLOOKUP($E40,'D-1 Off-Site Habitat Baseline'!$D$1:$O$258,5,FALSE)),"",(VLOOKUP($E40,'D-1 Off-Site Habitat Baseline'!$D$1:$O$258,5,FALSE))))</f>
        <v/>
      </c>
      <c r="H40" s="301" t="str">
        <f>IF(E40="","",IF(ISNA(VLOOKUP($E40,'D-1 Off-Site Habitat Baseline'!$D$1:$O$258,6,FALSE)),"",(VLOOKUP($E40,'D-1 Off-Site Habitat Baseline'!$D$1:$O$258,6,FALSE))))</f>
        <v/>
      </c>
      <c r="I40" s="301" t="str">
        <f>IF(E40="","",IF(ISNA(VLOOKUP($E40,'D-1 Off-Site Habitat Baseline'!$D$1:$O$258,7,FALSE)),"",(VLOOKUP($E40,'D-1 Off-Site Habitat Baseline'!$D$1:$O$258,7,FALSE))))</f>
        <v/>
      </c>
      <c r="J40" s="301" t="str">
        <f>IF(E40="","",IF(ISNA(VLOOKUP($E40,'D-1 Off-Site Habitat Baseline'!$D$1:$O$258,8,FALSE)),"",(VLOOKUP($E40,'D-1 Off-Site Habitat Baseline'!$D$1:$O$258,8,FALSE))))</f>
        <v/>
      </c>
      <c r="K40" s="301" t="str">
        <f>IF(E40="","",IF(ISNA(VLOOKUP($E40,'D-1 Off-Site Habitat Baseline'!$D$1:$O$258,9,FALSE)),"",(VLOOKUP($E40,'D-1 Off-Site Habitat Baseline'!$D$1:$O$258,9,FALSE))))</f>
        <v/>
      </c>
      <c r="L40" s="301" t="str">
        <f>IF(E40="","",IF(ISNA(VLOOKUP($E40,'D-1 Off-Site Habitat Baseline'!$D$1:$O$258,11,FALSE)),"",(VLOOKUP($E40,'D-1 Off-Site Habitat Baseline'!$D$1:$O$258,11,FALSE))))</f>
        <v/>
      </c>
      <c r="M40" s="301" t="str">
        <f>IF(E40="","",IF(ISNA(VLOOKUP($E40,'D-1 Off-Site Habitat Baseline'!$D$1:$O$258,12,FALSE)),"",(VLOOKUP($E40,'D-1 Off-Site Habitat Baseline'!$D$1:$O$258,12,FALSE))))</f>
        <v/>
      </c>
      <c r="N40" s="301" t="str">
        <f>IF(E40="","",IF(ISNA(VLOOKUP($E40,'D-1 Off-Site Habitat Baseline'!$D$1:$AA$258,17,FALSE)),"",(VLOOKUP($E40,'D-1 Off-Site Habitat Baseline'!$D$1:$AA$258,17,FALSE))))</f>
        <v/>
      </c>
      <c r="O40" s="305" t="str">
        <f>IF(E40="","",IF(ISNA(VLOOKUP($E40,'D-1 Off-Site Habitat Baseline'!$D$1:$AA$258,13,FALSE)),"",(VLOOKUP($E40,'D-1 Off-Site Habitat Baseline'!$D$1:$AA$258,13,FALSE))))</f>
        <v/>
      </c>
      <c r="P40" s="152" t="str">
        <f>IFERROR(INDEX('G-1 All Habitats'!$AG$49:$AG$63,MATCH(Q40,'G-1 All Habitats'!$AF$27:$AF$41,0)),"")</f>
        <v/>
      </c>
      <c r="Q40" s="153"/>
      <c r="R40" s="154"/>
      <c r="S40" s="155" t="str">
        <f>IFERROR(INDEX('G-1 All Habitats'!$B$3:$B$135,MATCH(R40,'G-1 All Habitats'!$A$3:$A$135,0)),"")</f>
        <v/>
      </c>
      <c r="T40" s="289" t="str">
        <f t="shared" si="1"/>
        <v/>
      </c>
      <c r="U40" s="305" t="str">
        <f t="shared" si="2"/>
        <v/>
      </c>
      <c r="V40" s="304" t="str">
        <f t="shared" si="3"/>
        <v/>
      </c>
      <c r="W40" s="301" t="str">
        <f>IF(S40="","",VLOOKUP(S40,'G-1 All Habitats'!$B$2:$M$135,10,FALSE))</f>
        <v/>
      </c>
      <c r="X40" s="301" t="str">
        <f>IFERROR(VLOOKUP(W40,'G-1 All Habitats'!$V$3:$W$7,2,FALSE),"")</f>
        <v/>
      </c>
      <c r="Y40" s="142"/>
      <c r="Z40" s="305" t="str">
        <f>IFERROR(INDEX('G-8 Condition Look up'!$A$3:$H$135,MATCH(S40,'G-8 Condition Look up'!$A$3:$A$135,0),MATCH(Y40,'G-8 Condition Look up'!$A$3:$H$3,0)),"")</f>
        <v/>
      </c>
      <c r="AA40" s="105"/>
      <c r="AB40" s="320" t="str">
        <f>IF(AA40="","",IF(VLOOKUP(AA40,'G-3 Multipliers'!$L$3:$N$6,2,FALSE)=0,"Spatial Data Missing ⚠",VLOOKUP(AA40,'G-3 Multipliers'!$L$3:$N$6,2,FALSE)))</f>
        <v/>
      </c>
      <c r="AC40" s="305" t="str">
        <f>IF(AA40="","",IF(VLOOKUP(AA40,'G-3 Multipliers'!$L$3:$N$6,3,FALSE)=0,"Spatial Data Missing ⚠",VLOOKUP(AA40,'G-3 Multipliers'!$L$3:$N$6,3,FALSE)))</f>
        <v/>
      </c>
      <c r="AD40" s="317" t="str">
        <f t="shared" si="0"/>
        <v/>
      </c>
      <c r="AE40" s="142"/>
      <c r="AF40" s="142"/>
      <c r="AG40" s="301" t="str">
        <f t="shared" si="4"/>
        <v/>
      </c>
      <c r="AH40" s="302" t="str">
        <f t="shared" si="5"/>
        <v/>
      </c>
      <c r="AI40" s="306" t="str">
        <f>IF(AH40="Check Data ⚠","Check Data ⚠",IFERROR(VLOOKUP(AH40,'G-4 Temporal multipliers'!$A$4:$C$36,3,FALSE),""))</f>
        <v/>
      </c>
      <c r="AJ40" s="317" t="str">
        <f>IF(S40="","",VLOOKUP(S40,'G-3 Multipliers'!$A$2:$E$134,4,FALSE))</f>
        <v/>
      </c>
      <c r="AK40" s="301" t="str">
        <f t="shared" si="6"/>
        <v/>
      </c>
      <c r="AL40" s="301" t="str">
        <f t="shared" si="7"/>
        <v/>
      </c>
      <c r="AM40" s="305" t="str">
        <f>IFERROR(IF(F40="","",IF(AH40="Check Data ⚠","Check Data ⚠",VLOOKUP(AL40, 'G-3 Multipliers'!$P$2:$Q$6,2,FALSE))),"")</f>
        <v/>
      </c>
      <c r="AN40" s="728"/>
      <c r="AO40" s="335" t="str">
        <f>IF(AN40="","",IF(VLOOKUP(AN40,'G-3 Multipliers'!$S$3:$T$10,2,FALSE)=0,"Spatial Data Missing ⚠",VLOOKUP(AN40,'G-3 Multipliers'!$S$3:$T$10,2,FALSE)))</f>
        <v/>
      </c>
      <c r="AP40" s="295" t="str">
        <f t="shared" si="8"/>
        <v/>
      </c>
      <c r="AQ40" s="295" t="str">
        <f t="shared" si="9"/>
        <v/>
      </c>
      <c r="AR40" s="109"/>
      <c r="AS40" s="142"/>
      <c r="AT40" s="108"/>
      <c r="AU40" s="108"/>
      <c r="AY40" s="30" t="str">
        <f>IF(E40="","",IF(ISNA(VLOOKUP($E40,'D-1 Off-Site Habitat Baseline'!$D$1:$AV$258,4,FALSE)),"",(VLOOKUP($E40,'D-1 Off-Site Habitat Baseline'!$D$1:$AV$258,4,FALSE))))</f>
        <v/>
      </c>
    </row>
    <row r="41" spans="1:51" x14ac:dyDescent="0.25">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325" t="str">
        <f>'D-1 Off-Site Habitat Baseline'!AP40</f>
        <v/>
      </c>
      <c r="F41" s="289" t="str">
        <f>IF(E41="","",IF(ISNA(VLOOKUP($E41,'D-1 Off-Site Habitat Baseline'!$D$1:$ZZ$258,45,FALSE)),"",(VLOOKUP($E41,'D-1 Off-Site Habitat Baseline'!$D$1:$ZZ$258,45,FALSE))))</f>
        <v/>
      </c>
      <c r="G41" s="301" t="str">
        <f>IF(E41="","",IF(ISNA(VLOOKUP($E41,'D-1 Off-Site Habitat Baseline'!$D$1:$O$258,5,FALSE)),"",(VLOOKUP($E41,'D-1 Off-Site Habitat Baseline'!$D$1:$O$258,5,FALSE))))</f>
        <v/>
      </c>
      <c r="H41" s="301" t="str">
        <f>IF(E41="","",IF(ISNA(VLOOKUP($E41,'D-1 Off-Site Habitat Baseline'!$D$1:$O$258,6,FALSE)),"",(VLOOKUP($E41,'D-1 Off-Site Habitat Baseline'!$D$1:$O$258,6,FALSE))))</f>
        <v/>
      </c>
      <c r="I41" s="301" t="str">
        <f>IF(E41="","",IF(ISNA(VLOOKUP($E41,'D-1 Off-Site Habitat Baseline'!$D$1:$O$258,7,FALSE)),"",(VLOOKUP($E41,'D-1 Off-Site Habitat Baseline'!$D$1:$O$258,7,FALSE))))</f>
        <v/>
      </c>
      <c r="J41" s="301" t="str">
        <f>IF(E41="","",IF(ISNA(VLOOKUP($E41,'D-1 Off-Site Habitat Baseline'!$D$1:$O$258,8,FALSE)),"",(VLOOKUP($E41,'D-1 Off-Site Habitat Baseline'!$D$1:$O$258,8,FALSE))))</f>
        <v/>
      </c>
      <c r="K41" s="301" t="str">
        <f>IF(E41="","",IF(ISNA(VLOOKUP($E41,'D-1 Off-Site Habitat Baseline'!$D$1:$O$258,9,FALSE)),"",(VLOOKUP($E41,'D-1 Off-Site Habitat Baseline'!$D$1:$O$258,9,FALSE))))</f>
        <v/>
      </c>
      <c r="L41" s="301" t="str">
        <f>IF(E41="","",IF(ISNA(VLOOKUP($E41,'D-1 Off-Site Habitat Baseline'!$D$1:$O$258,11,FALSE)),"",(VLOOKUP($E41,'D-1 Off-Site Habitat Baseline'!$D$1:$O$258,11,FALSE))))</f>
        <v/>
      </c>
      <c r="M41" s="301" t="str">
        <f>IF(E41="","",IF(ISNA(VLOOKUP($E41,'D-1 Off-Site Habitat Baseline'!$D$1:$O$258,12,FALSE)),"",(VLOOKUP($E41,'D-1 Off-Site Habitat Baseline'!$D$1:$O$258,12,FALSE))))</f>
        <v/>
      </c>
      <c r="N41" s="301" t="str">
        <f>IF(E41="","",IF(ISNA(VLOOKUP($E41,'D-1 Off-Site Habitat Baseline'!$D$1:$AA$258,17,FALSE)),"",(VLOOKUP($E41,'D-1 Off-Site Habitat Baseline'!$D$1:$AA$258,17,FALSE))))</f>
        <v/>
      </c>
      <c r="O41" s="305" t="str">
        <f>IF(E41="","",IF(ISNA(VLOOKUP($E41,'D-1 Off-Site Habitat Baseline'!$D$1:$AA$258,13,FALSE)),"",(VLOOKUP($E41,'D-1 Off-Site Habitat Baseline'!$D$1:$AA$258,13,FALSE))))</f>
        <v/>
      </c>
      <c r="P41" s="152" t="str">
        <f>IFERROR(INDEX('G-1 All Habitats'!$AG$49:$AG$63,MATCH(Q41,'G-1 All Habitats'!$AF$27:$AF$41,0)),"")</f>
        <v/>
      </c>
      <c r="Q41" s="153"/>
      <c r="R41" s="154"/>
      <c r="S41" s="155" t="str">
        <f>IFERROR(INDEX('G-1 All Habitats'!$B$3:$B$135,MATCH(R41,'G-1 All Habitats'!$A$3:$A$135,0)),"")</f>
        <v/>
      </c>
      <c r="T41" s="289" t="str">
        <f t="shared" si="1"/>
        <v/>
      </c>
      <c r="U41" s="305" t="str">
        <f t="shared" si="2"/>
        <v/>
      </c>
      <c r="V41" s="304" t="str">
        <f t="shared" si="3"/>
        <v/>
      </c>
      <c r="W41" s="301" t="str">
        <f>IF(S41="","",VLOOKUP(S41,'G-1 All Habitats'!$B$2:$M$135,10,FALSE))</f>
        <v/>
      </c>
      <c r="X41" s="301" t="str">
        <f>IFERROR(VLOOKUP(W41,'G-1 All Habitats'!$V$3:$W$7,2,FALSE),"")</f>
        <v/>
      </c>
      <c r="Y41" s="142"/>
      <c r="Z41" s="305" t="str">
        <f>IFERROR(INDEX('G-8 Condition Look up'!$A$3:$H$135,MATCH(S41,'G-8 Condition Look up'!$A$3:$A$135,0),MATCH(Y41,'G-8 Condition Look up'!$A$3:$H$3,0)),"")</f>
        <v/>
      </c>
      <c r="AA41" s="105"/>
      <c r="AB41" s="320" t="str">
        <f>IF(AA41="","",IF(VLOOKUP(AA41,'G-3 Multipliers'!$L$3:$N$6,2,FALSE)=0,"Spatial Data Missing ⚠",VLOOKUP(AA41,'G-3 Multipliers'!$L$3:$N$6,2,FALSE)))</f>
        <v/>
      </c>
      <c r="AC41" s="305" t="str">
        <f>IF(AA41="","",IF(VLOOKUP(AA41,'G-3 Multipliers'!$L$3:$N$6,3,FALSE)=0,"Spatial Data Missing ⚠",VLOOKUP(AA41,'G-3 Multipliers'!$L$3:$N$6,3,FALSE)))</f>
        <v/>
      </c>
      <c r="AD41" s="317" t="str">
        <f t="shared" si="0"/>
        <v/>
      </c>
      <c r="AE41" s="142"/>
      <c r="AF41" s="142"/>
      <c r="AG41" s="301" t="str">
        <f t="shared" si="4"/>
        <v/>
      </c>
      <c r="AH41" s="302" t="str">
        <f t="shared" si="5"/>
        <v/>
      </c>
      <c r="AI41" s="306" t="str">
        <f>IF(AH41="Check Data ⚠","Check Data ⚠",IFERROR(VLOOKUP(AH41,'G-4 Temporal multipliers'!$A$4:$C$36,3,FALSE),""))</f>
        <v/>
      </c>
      <c r="AJ41" s="317" t="str">
        <f>IF(S41="","",VLOOKUP(S41,'G-3 Multipliers'!$A$2:$E$134,4,FALSE))</f>
        <v/>
      </c>
      <c r="AK41" s="301" t="str">
        <f t="shared" si="6"/>
        <v/>
      </c>
      <c r="AL41" s="301" t="str">
        <f t="shared" si="7"/>
        <v/>
      </c>
      <c r="AM41" s="305" t="str">
        <f>IFERROR(IF(F41="","",IF(AH41="Check Data ⚠","Check Data ⚠",VLOOKUP(AL41, 'G-3 Multipliers'!$P$2:$Q$6,2,FALSE))),"")</f>
        <v/>
      </c>
      <c r="AN41" s="728"/>
      <c r="AO41" s="335" t="str">
        <f>IF(AN41="","",IF(VLOOKUP(AN41,'G-3 Multipliers'!$S$3:$T$10,2,FALSE)=0,"Spatial Data Missing ⚠",VLOOKUP(AN41,'G-3 Multipliers'!$S$3:$T$10,2,FALSE)))</f>
        <v/>
      </c>
      <c r="AP41" s="295" t="str">
        <f t="shared" si="8"/>
        <v/>
      </c>
      <c r="AQ41" s="295" t="str">
        <f t="shared" si="9"/>
        <v/>
      </c>
      <c r="AR41" s="109"/>
      <c r="AS41" s="142"/>
      <c r="AT41" s="108"/>
      <c r="AU41" s="108"/>
      <c r="AY41" s="30" t="str">
        <f>IF(E41="","",IF(ISNA(VLOOKUP($E41,'D-1 Off-Site Habitat Baseline'!$D$1:$AV$258,4,FALSE)),"",(VLOOKUP($E41,'D-1 Off-Site Habitat Baseline'!$D$1:$AV$258,4,FALSE))))</f>
        <v/>
      </c>
    </row>
    <row r="42" spans="1:51" x14ac:dyDescent="0.25">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325" t="str">
        <f>'D-1 Off-Site Habitat Baseline'!AP41</f>
        <v/>
      </c>
      <c r="F42" s="289" t="str">
        <f>IF(E42="","",IF(ISNA(VLOOKUP($E42,'D-1 Off-Site Habitat Baseline'!$D$1:$ZZ$258,45,FALSE)),"",(VLOOKUP($E42,'D-1 Off-Site Habitat Baseline'!$D$1:$ZZ$258,45,FALSE))))</f>
        <v/>
      </c>
      <c r="G42" s="301" t="str">
        <f>IF(E42="","",IF(ISNA(VLOOKUP($E42,'D-1 Off-Site Habitat Baseline'!$D$1:$O$258,5,FALSE)),"",(VLOOKUP($E42,'D-1 Off-Site Habitat Baseline'!$D$1:$O$258,5,FALSE))))</f>
        <v/>
      </c>
      <c r="H42" s="301" t="str">
        <f>IF(E42="","",IF(ISNA(VLOOKUP($E42,'D-1 Off-Site Habitat Baseline'!$D$1:$O$258,6,FALSE)),"",(VLOOKUP($E42,'D-1 Off-Site Habitat Baseline'!$D$1:$O$258,6,FALSE))))</f>
        <v/>
      </c>
      <c r="I42" s="301" t="str">
        <f>IF(E42="","",IF(ISNA(VLOOKUP($E42,'D-1 Off-Site Habitat Baseline'!$D$1:$O$258,7,FALSE)),"",(VLOOKUP($E42,'D-1 Off-Site Habitat Baseline'!$D$1:$O$258,7,FALSE))))</f>
        <v/>
      </c>
      <c r="J42" s="301" t="str">
        <f>IF(E42="","",IF(ISNA(VLOOKUP($E42,'D-1 Off-Site Habitat Baseline'!$D$1:$O$258,8,FALSE)),"",(VLOOKUP($E42,'D-1 Off-Site Habitat Baseline'!$D$1:$O$258,8,FALSE))))</f>
        <v/>
      </c>
      <c r="K42" s="301" t="str">
        <f>IF(E42="","",IF(ISNA(VLOOKUP($E42,'D-1 Off-Site Habitat Baseline'!$D$1:$O$258,9,FALSE)),"",(VLOOKUP($E42,'D-1 Off-Site Habitat Baseline'!$D$1:$O$258,9,FALSE))))</f>
        <v/>
      </c>
      <c r="L42" s="301" t="str">
        <f>IF(E42="","",IF(ISNA(VLOOKUP($E42,'D-1 Off-Site Habitat Baseline'!$D$1:$O$258,11,FALSE)),"",(VLOOKUP($E42,'D-1 Off-Site Habitat Baseline'!$D$1:$O$258,11,FALSE))))</f>
        <v/>
      </c>
      <c r="M42" s="301" t="str">
        <f>IF(E42="","",IF(ISNA(VLOOKUP($E42,'D-1 Off-Site Habitat Baseline'!$D$1:$O$258,12,FALSE)),"",(VLOOKUP($E42,'D-1 Off-Site Habitat Baseline'!$D$1:$O$258,12,FALSE))))</f>
        <v/>
      </c>
      <c r="N42" s="301" t="str">
        <f>IF(E42="","",IF(ISNA(VLOOKUP($E42,'D-1 Off-Site Habitat Baseline'!$D$1:$AA$258,17,FALSE)),"",(VLOOKUP($E42,'D-1 Off-Site Habitat Baseline'!$D$1:$AA$258,17,FALSE))))</f>
        <v/>
      </c>
      <c r="O42" s="305" t="str">
        <f>IF(E42="","",IF(ISNA(VLOOKUP($E42,'D-1 Off-Site Habitat Baseline'!$D$1:$AA$258,13,FALSE)),"",(VLOOKUP($E42,'D-1 Off-Site Habitat Baseline'!$D$1:$AA$258,13,FALSE))))</f>
        <v/>
      </c>
      <c r="P42" s="152" t="str">
        <f>IFERROR(INDEX('G-1 All Habitats'!$AG$49:$AG$63,MATCH(Q42,'G-1 All Habitats'!$AF$27:$AF$41,0)),"")</f>
        <v/>
      </c>
      <c r="Q42" s="153"/>
      <c r="R42" s="154"/>
      <c r="S42" s="155" t="str">
        <f>IFERROR(INDEX('G-1 All Habitats'!$B$3:$B$135,MATCH(R42,'G-1 All Habitats'!$A$3:$A$135,0)),"")</f>
        <v/>
      </c>
      <c r="T42" s="289" t="str">
        <f t="shared" si="1"/>
        <v/>
      </c>
      <c r="U42" s="305" t="str">
        <f t="shared" si="2"/>
        <v/>
      </c>
      <c r="V42" s="304" t="str">
        <f t="shared" si="3"/>
        <v/>
      </c>
      <c r="W42" s="301" t="str">
        <f>IF(S42="","",VLOOKUP(S42,'G-1 All Habitats'!$B$2:$M$135,10,FALSE))</f>
        <v/>
      </c>
      <c r="X42" s="301" t="str">
        <f>IFERROR(VLOOKUP(W42,'G-1 All Habitats'!$V$3:$W$7,2,FALSE),"")</f>
        <v/>
      </c>
      <c r="Y42" s="142"/>
      <c r="Z42" s="305" t="str">
        <f>IFERROR(INDEX('G-8 Condition Look up'!$A$3:$H$135,MATCH(S42,'G-8 Condition Look up'!$A$3:$A$135,0),MATCH(Y42,'G-8 Condition Look up'!$A$3:$H$3,0)),"")</f>
        <v/>
      </c>
      <c r="AA42" s="105"/>
      <c r="AB42" s="320" t="str">
        <f>IF(AA42="","",IF(VLOOKUP(AA42,'G-3 Multipliers'!$L$3:$N$6,2,FALSE)=0,"Spatial Data Missing ⚠",VLOOKUP(AA42,'G-3 Multipliers'!$L$3:$N$6,2,FALSE)))</f>
        <v/>
      </c>
      <c r="AC42" s="305" t="str">
        <f>IF(AA42="","",IF(VLOOKUP(AA42,'G-3 Multipliers'!$L$3:$N$6,3,FALSE)=0,"Spatial Data Missing ⚠",VLOOKUP(AA42,'G-3 Multipliers'!$L$3:$N$6,3,FALSE)))</f>
        <v/>
      </c>
      <c r="AD42" s="317" t="str">
        <f t="shared" si="0"/>
        <v/>
      </c>
      <c r="AE42" s="142"/>
      <c r="AF42" s="142"/>
      <c r="AG42" s="301" t="str">
        <f t="shared" si="4"/>
        <v/>
      </c>
      <c r="AH42" s="302" t="str">
        <f t="shared" si="5"/>
        <v/>
      </c>
      <c r="AI42" s="306" t="str">
        <f>IF(AH42="Check Data ⚠","Check Data ⚠",IFERROR(VLOOKUP(AH42,'G-4 Temporal multipliers'!$A$4:$C$36,3,FALSE),""))</f>
        <v/>
      </c>
      <c r="AJ42" s="317" t="str">
        <f>IF(S42="","",VLOOKUP(S42,'G-3 Multipliers'!$A$2:$E$134,4,FALSE))</f>
        <v/>
      </c>
      <c r="AK42" s="301" t="str">
        <f t="shared" si="6"/>
        <v/>
      </c>
      <c r="AL42" s="301" t="str">
        <f t="shared" si="7"/>
        <v/>
      </c>
      <c r="AM42" s="305" t="str">
        <f>IFERROR(IF(F42="","",IF(AH42="Check Data ⚠","Check Data ⚠",VLOOKUP(AL42, 'G-3 Multipliers'!$P$2:$Q$6,2,FALSE))),"")</f>
        <v/>
      </c>
      <c r="AN42" s="728"/>
      <c r="AO42" s="335" t="str">
        <f>IF(AN42="","",IF(VLOOKUP(AN42,'G-3 Multipliers'!$S$3:$T$10,2,FALSE)=0,"Spatial Data Missing ⚠",VLOOKUP(AN42,'G-3 Multipliers'!$S$3:$T$10,2,FALSE)))</f>
        <v/>
      </c>
      <c r="AP42" s="295" t="str">
        <f t="shared" si="8"/>
        <v/>
      </c>
      <c r="AQ42" s="295" t="str">
        <f t="shared" si="9"/>
        <v/>
      </c>
      <c r="AR42" s="109"/>
      <c r="AS42" s="142"/>
      <c r="AT42" s="108"/>
      <c r="AU42" s="108"/>
      <c r="AY42" s="30" t="str">
        <f>IF(E42="","",IF(ISNA(VLOOKUP($E42,'D-1 Off-Site Habitat Baseline'!$D$1:$AV$258,4,FALSE)),"",(VLOOKUP($E42,'D-1 Off-Site Habitat Baseline'!$D$1:$AV$258,4,FALSE))))</f>
        <v/>
      </c>
    </row>
    <row r="43" spans="1:51" x14ac:dyDescent="0.25">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325" t="str">
        <f>'D-1 Off-Site Habitat Baseline'!AP42</f>
        <v/>
      </c>
      <c r="F43" s="289" t="str">
        <f>IF(E43="","",IF(ISNA(VLOOKUP($E43,'D-1 Off-Site Habitat Baseline'!$D$1:$ZZ$258,45,FALSE)),"",(VLOOKUP($E43,'D-1 Off-Site Habitat Baseline'!$D$1:$ZZ$258,45,FALSE))))</f>
        <v/>
      </c>
      <c r="G43" s="301" t="str">
        <f>IF(E43="","",IF(ISNA(VLOOKUP($E43,'D-1 Off-Site Habitat Baseline'!$D$1:$O$258,5,FALSE)),"",(VLOOKUP($E43,'D-1 Off-Site Habitat Baseline'!$D$1:$O$258,5,FALSE))))</f>
        <v/>
      </c>
      <c r="H43" s="301" t="str">
        <f>IF(E43="","",IF(ISNA(VLOOKUP($E43,'D-1 Off-Site Habitat Baseline'!$D$1:$O$258,6,FALSE)),"",(VLOOKUP($E43,'D-1 Off-Site Habitat Baseline'!$D$1:$O$258,6,FALSE))))</f>
        <v/>
      </c>
      <c r="I43" s="301" t="str">
        <f>IF(E43="","",IF(ISNA(VLOOKUP($E43,'D-1 Off-Site Habitat Baseline'!$D$1:$O$258,7,FALSE)),"",(VLOOKUP($E43,'D-1 Off-Site Habitat Baseline'!$D$1:$O$258,7,FALSE))))</f>
        <v/>
      </c>
      <c r="J43" s="301" t="str">
        <f>IF(E43="","",IF(ISNA(VLOOKUP($E43,'D-1 Off-Site Habitat Baseline'!$D$1:$O$258,8,FALSE)),"",(VLOOKUP($E43,'D-1 Off-Site Habitat Baseline'!$D$1:$O$258,8,FALSE))))</f>
        <v/>
      </c>
      <c r="K43" s="301" t="str">
        <f>IF(E43="","",IF(ISNA(VLOOKUP($E43,'D-1 Off-Site Habitat Baseline'!$D$1:$O$258,9,FALSE)),"",(VLOOKUP($E43,'D-1 Off-Site Habitat Baseline'!$D$1:$O$258,9,FALSE))))</f>
        <v/>
      </c>
      <c r="L43" s="301" t="str">
        <f>IF(E43="","",IF(ISNA(VLOOKUP($E43,'D-1 Off-Site Habitat Baseline'!$D$1:$O$258,11,FALSE)),"",(VLOOKUP($E43,'D-1 Off-Site Habitat Baseline'!$D$1:$O$258,11,FALSE))))</f>
        <v/>
      </c>
      <c r="M43" s="301" t="str">
        <f>IF(E43="","",IF(ISNA(VLOOKUP($E43,'D-1 Off-Site Habitat Baseline'!$D$1:$O$258,12,FALSE)),"",(VLOOKUP($E43,'D-1 Off-Site Habitat Baseline'!$D$1:$O$258,12,FALSE))))</f>
        <v/>
      </c>
      <c r="N43" s="301" t="str">
        <f>IF(E43="","",IF(ISNA(VLOOKUP($E43,'D-1 Off-Site Habitat Baseline'!$D$1:$AA$258,17,FALSE)),"",(VLOOKUP($E43,'D-1 Off-Site Habitat Baseline'!$D$1:$AA$258,17,FALSE))))</f>
        <v/>
      </c>
      <c r="O43" s="305" t="str">
        <f>IF(E43="","",IF(ISNA(VLOOKUP($E43,'D-1 Off-Site Habitat Baseline'!$D$1:$AA$258,13,FALSE)),"",(VLOOKUP($E43,'D-1 Off-Site Habitat Baseline'!$D$1:$AA$258,13,FALSE))))</f>
        <v/>
      </c>
      <c r="P43" s="152" t="str">
        <f>IFERROR(INDEX('G-1 All Habitats'!$AG$49:$AG$63,MATCH(Q43,'G-1 All Habitats'!$AF$27:$AF$41,0)),"")</f>
        <v/>
      </c>
      <c r="Q43" s="153"/>
      <c r="R43" s="154"/>
      <c r="S43" s="155" t="str">
        <f>IFERROR(INDEX('G-1 All Habitats'!$B$3:$B$135,MATCH(R43,'G-1 All Habitats'!$A$3:$A$135,0)),"")</f>
        <v/>
      </c>
      <c r="T43" s="289" t="str">
        <f t="shared" si="1"/>
        <v/>
      </c>
      <c r="U43" s="305" t="str">
        <f t="shared" si="2"/>
        <v/>
      </c>
      <c r="V43" s="304" t="str">
        <f t="shared" si="3"/>
        <v/>
      </c>
      <c r="W43" s="301" t="str">
        <f>IF(S43="","",VLOOKUP(S43,'G-1 All Habitats'!$B$2:$M$135,10,FALSE))</f>
        <v/>
      </c>
      <c r="X43" s="301" t="str">
        <f>IFERROR(VLOOKUP(W43,'G-1 All Habitats'!$V$3:$W$7,2,FALSE),"")</f>
        <v/>
      </c>
      <c r="Y43" s="142"/>
      <c r="Z43" s="305" t="str">
        <f>IFERROR(INDEX('G-8 Condition Look up'!$A$3:$H$135,MATCH(S43,'G-8 Condition Look up'!$A$3:$A$135,0),MATCH(Y43,'G-8 Condition Look up'!$A$3:$H$3,0)),"")</f>
        <v/>
      </c>
      <c r="AA43" s="105"/>
      <c r="AB43" s="320" t="str">
        <f>IF(AA43="","",IF(VLOOKUP(AA43,'G-3 Multipliers'!$L$3:$N$6,2,FALSE)=0,"Spatial Data Missing ⚠",VLOOKUP(AA43,'G-3 Multipliers'!$L$3:$N$6,2,FALSE)))</f>
        <v/>
      </c>
      <c r="AC43" s="305" t="str">
        <f>IF(AA43="","",IF(VLOOKUP(AA43,'G-3 Multipliers'!$L$3:$N$6,3,FALSE)=0,"Spatial Data Missing ⚠",VLOOKUP(AA43,'G-3 Multipliers'!$L$3:$N$6,3,FALSE)))</f>
        <v/>
      </c>
      <c r="AD43" s="317" t="str">
        <f t="shared" si="0"/>
        <v/>
      </c>
      <c r="AE43" s="142"/>
      <c r="AF43" s="142"/>
      <c r="AG43" s="301" t="str">
        <f t="shared" si="4"/>
        <v/>
      </c>
      <c r="AH43" s="302" t="str">
        <f t="shared" si="5"/>
        <v/>
      </c>
      <c r="AI43" s="306" t="str">
        <f>IF(AH43="Check Data ⚠","Check Data ⚠",IFERROR(VLOOKUP(AH43,'G-4 Temporal multipliers'!$A$4:$C$36,3,FALSE),""))</f>
        <v/>
      </c>
      <c r="AJ43" s="317" t="str">
        <f>IF(S43="","",VLOOKUP(S43,'G-3 Multipliers'!$A$2:$E$134,4,FALSE))</f>
        <v/>
      </c>
      <c r="AK43" s="301" t="str">
        <f t="shared" si="6"/>
        <v/>
      </c>
      <c r="AL43" s="301" t="str">
        <f t="shared" si="7"/>
        <v/>
      </c>
      <c r="AM43" s="305" t="str">
        <f>IFERROR(IF(F43="","",IF(AH43="Check Data ⚠","Check Data ⚠",VLOOKUP(AL43, 'G-3 Multipliers'!$P$2:$Q$6,2,FALSE))),"")</f>
        <v/>
      </c>
      <c r="AN43" s="728"/>
      <c r="AO43" s="335" t="str">
        <f>IF(AN43="","",IF(VLOOKUP(AN43,'G-3 Multipliers'!$S$3:$T$10,2,FALSE)=0,"Spatial Data Missing ⚠",VLOOKUP(AN43,'G-3 Multipliers'!$S$3:$T$10,2,FALSE)))</f>
        <v/>
      </c>
      <c r="AP43" s="295" t="str">
        <f t="shared" si="8"/>
        <v/>
      </c>
      <c r="AQ43" s="295" t="str">
        <f t="shared" si="9"/>
        <v/>
      </c>
      <c r="AR43" s="109"/>
      <c r="AS43" s="142"/>
      <c r="AT43" s="108"/>
      <c r="AU43" s="108"/>
      <c r="AY43" s="30" t="str">
        <f>IF(E43="","",IF(ISNA(VLOOKUP($E43,'D-1 Off-Site Habitat Baseline'!$D$1:$AV$258,4,FALSE)),"",(VLOOKUP($E43,'D-1 Off-Site Habitat Baseline'!$D$1:$AV$258,4,FALSE))))</f>
        <v/>
      </c>
    </row>
    <row r="44" spans="1:51" x14ac:dyDescent="0.25">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325" t="str">
        <f>'D-1 Off-Site Habitat Baseline'!AP43</f>
        <v/>
      </c>
      <c r="F44" s="289" t="str">
        <f>IF(E44="","",IF(ISNA(VLOOKUP($E44,'D-1 Off-Site Habitat Baseline'!$D$1:$ZZ$258,45,FALSE)),"",(VLOOKUP($E44,'D-1 Off-Site Habitat Baseline'!$D$1:$ZZ$258,45,FALSE))))</f>
        <v/>
      </c>
      <c r="G44" s="301" t="str">
        <f>IF(E44="","",IF(ISNA(VLOOKUP($E44,'D-1 Off-Site Habitat Baseline'!$D$1:$O$258,5,FALSE)),"",(VLOOKUP($E44,'D-1 Off-Site Habitat Baseline'!$D$1:$O$258,5,FALSE))))</f>
        <v/>
      </c>
      <c r="H44" s="301" t="str">
        <f>IF(E44="","",IF(ISNA(VLOOKUP($E44,'D-1 Off-Site Habitat Baseline'!$D$1:$O$258,6,FALSE)),"",(VLOOKUP($E44,'D-1 Off-Site Habitat Baseline'!$D$1:$O$258,6,FALSE))))</f>
        <v/>
      </c>
      <c r="I44" s="301" t="str">
        <f>IF(E44="","",IF(ISNA(VLOOKUP($E44,'D-1 Off-Site Habitat Baseline'!$D$1:$O$258,7,FALSE)),"",(VLOOKUP($E44,'D-1 Off-Site Habitat Baseline'!$D$1:$O$258,7,FALSE))))</f>
        <v/>
      </c>
      <c r="J44" s="301" t="str">
        <f>IF(E44="","",IF(ISNA(VLOOKUP($E44,'D-1 Off-Site Habitat Baseline'!$D$1:$O$258,8,FALSE)),"",(VLOOKUP($E44,'D-1 Off-Site Habitat Baseline'!$D$1:$O$258,8,FALSE))))</f>
        <v/>
      </c>
      <c r="K44" s="301" t="str">
        <f>IF(E44="","",IF(ISNA(VLOOKUP($E44,'D-1 Off-Site Habitat Baseline'!$D$1:$O$258,9,FALSE)),"",(VLOOKUP($E44,'D-1 Off-Site Habitat Baseline'!$D$1:$O$258,9,FALSE))))</f>
        <v/>
      </c>
      <c r="L44" s="301" t="str">
        <f>IF(E44="","",IF(ISNA(VLOOKUP($E44,'D-1 Off-Site Habitat Baseline'!$D$1:$O$258,11,FALSE)),"",(VLOOKUP($E44,'D-1 Off-Site Habitat Baseline'!$D$1:$O$258,11,FALSE))))</f>
        <v/>
      </c>
      <c r="M44" s="301" t="str">
        <f>IF(E44="","",IF(ISNA(VLOOKUP($E44,'D-1 Off-Site Habitat Baseline'!$D$1:$O$258,12,FALSE)),"",(VLOOKUP($E44,'D-1 Off-Site Habitat Baseline'!$D$1:$O$258,12,FALSE))))</f>
        <v/>
      </c>
      <c r="N44" s="301" t="str">
        <f>IF(E44="","",IF(ISNA(VLOOKUP($E44,'D-1 Off-Site Habitat Baseline'!$D$1:$AA$258,17,FALSE)),"",(VLOOKUP($E44,'D-1 Off-Site Habitat Baseline'!$D$1:$AA$258,17,FALSE))))</f>
        <v/>
      </c>
      <c r="O44" s="305" t="str">
        <f>IF(E44="","",IF(ISNA(VLOOKUP($E44,'D-1 Off-Site Habitat Baseline'!$D$1:$AA$258,13,FALSE)),"",(VLOOKUP($E44,'D-1 Off-Site Habitat Baseline'!$D$1:$AA$258,13,FALSE))))</f>
        <v/>
      </c>
      <c r="P44" s="152" t="str">
        <f>IFERROR(INDEX('G-1 All Habitats'!$AG$49:$AG$63,MATCH(Q44,'G-1 All Habitats'!$AF$27:$AF$41,0)),"")</f>
        <v/>
      </c>
      <c r="Q44" s="153"/>
      <c r="R44" s="154"/>
      <c r="S44" s="155" t="str">
        <f>IFERROR(INDEX('G-1 All Habitats'!$B$3:$B$135,MATCH(R44,'G-1 All Habitats'!$A$3:$A$135,0)),"")</f>
        <v/>
      </c>
      <c r="T44" s="289" t="str">
        <f t="shared" si="1"/>
        <v/>
      </c>
      <c r="U44" s="305" t="str">
        <f t="shared" si="2"/>
        <v/>
      </c>
      <c r="V44" s="304" t="str">
        <f t="shared" si="3"/>
        <v/>
      </c>
      <c r="W44" s="301" t="str">
        <f>IF(S44="","",VLOOKUP(S44,'G-1 All Habitats'!$B$2:$M$135,10,FALSE))</f>
        <v/>
      </c>
      <c r="X44" s="301" t="str">
        <f>IFERROR(VLOOKUP(W44,'G-1 All Habitats'!$V$3:$W$7,2,FALSE),"")</f>
        <v/>
      </c>
      <c r="Y44" s="142"/>
      <c r="Z44" s="305" t="str">
        <f>IFERROR(INDEX('G-8 Condition Look up'!$A$3:$H$135,MATCH(S44,'G-8 Condition Look up'!$A$3:$A$135,0),MATCH(Y44,'G-8 Condition Look up'!$A$3:$H$3,0)),"")</f>
        <v/>
      </c>
      <c r="AA44" s="105"/>
      <c r="AB44" s="320" t="str">
        <f>IF(AA44="","",IF(VLOOKUP(AA44,'G-3 Multipliers'!$L$3:$N$6,2,FALSE)=0,"Spatial Data Missing ⚠",VLOOKUP(AA44,'G-3 Multipliers'!$L$3:$N$6,2,FALSE)))</f>
        <v/>
      </c>
      <c r="AC44" s="305" t="str">
        <f>IF(AA44="","",IF(VLOOKUP(AA44,'G-3 Multipliers'!$L$3:$N$6,3,FALSE)=0,"Spatial Data Missing ⚠",VLOOKUP(AA44,'G-3 Multipliers'!$L$3:$N$6,3,FALSE)))</f>
        <v/>
      </c>
      <c r="AD44" s="317" t="str">
        <f t="shared" si="0"/>
        <v/>
      </c>
      <c r="AE44" s="142"/>
      <c r="AF44" s="142"/>
      <c r="AG44" s="301" t="str">
        <f t="shared" si="4"/>
        <v/>
      </c>
      <c r="AH44" s="302" t="str">
        <f t="shared" si="5"/>
        <v/>
      </c>
      <c r="AI44" s="306" t="str">
        <f>IF(AH44="Check Data ⚠","Check Data ⚠",IFERROR(VLOOKUP(AH44,'G-4 Temporal multipliers'!$A$4:$C$36,3,FALSE),""))</f>
        <v/>
      </c>
      <c r="AJ44" s="317" t="str">
        <f>IF(S44="","",VLOOKUP(S44,'G-3 Multipliers'!$A$2:$E$134,4,FALSE))</f>
        <v/>
      </c>
      <c r="AK44" s="301" t="str">
        <f t="shared" si="6"/>
        <v/>
      </c>
      <c r="AL44" s="301" t="str">
        <f t="shared" si="7"/>
        <v/>
      </c>
      <c r="AM44" s="305" t="str">
        <f>IFERROR(IF(F44="","",IF(AH44="Check Data ⚠","Check Data ⚠",VLOOKUP(AL44, 'G-3 Multipliers'!$P$2:$Q$6,2,FALSE))),"")</f>
        <v/>
      </c>
      <c r="AN44" s="728"/>
      <c r="AO44" s="335" t="str">
        <f>IF(AN44="","",IF(VLOOKUP(AN44,'G-3 Multipliers'!$S$3:$T$10,2,FALSE)=0,"Spatial Data Missing ⚠",VLOOKUP(AN44,'G-3 Multipliers'!$S$3:$T$10,2,FALSE)))</f>
        <v/>
      </c>
      <c r="AP44" s="295" t="str">
        <f t="shared" si="8"/>
        <v/>
      </c>
      <c r="AQ44" s="295" t="str">
        <f t="shared" si="9"/>
        <v/>
      </c>
      <c r="AR44" s="109"/>
      <c r="AS44" s="142"/>
      <c r="AT44" s="108"/>
      <c r="AU44" s="108"/>
      <c r="AY44" s="30" t="str">
        <f>IF(E44="","",IF(ISNA(VLOOKUP($E44,'D-1 Off-Site Habitat Baseline'!$D$1:$AV$258,4,FALSE)),"",(VLOOKUP($E44,'D-1 Off-Site Habitat Baseline'!$D$1:$AV$258,4,FALSE))))</f>
        <v/>
      </c>
    </row>
    <row r="45" spans="1:51" x14ac:dyDescent="0.25">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325" t="str">
        <f>'D-1 Off-Site Habitat Baseline'!AP44</f>
        <v/>
      </c>
      <c r="F45" s="289" t="str">
        <f>IF(E45="","",IF(ISNA(VLOOKUP($E45,'D-1 Off-Site Habitat Baseline'!$D$1:$ZZ$258,45,FALSE)),"",(VLOOKUP($E45,'D-1 Off-Site Habitat Baseline'!$D$1:$ZZ$258,45,FALSE))))</f>
        <v/>
      </c>
      <c r="G45" s="301" t="str">
        <f>IF(E45="","",IF(ISNA(VLOOKUP($E45,'D-1 Off-Site Habitat Baseline'!$D$1:$O$258,5,FALSE)),"",(VLOOKUP($E45,'D-1 Off-Site Habitat Baseline'!$D$1:$O$258,5,FALSE))))</f>
        <v/>
      </c>
      <c r="H45" s="301" t="str">
        <f>IF(E45="","",IF(ISNA(VLOOKUP($E45,'D-1 Off-Site Habitat Baseline'!$D$1:$O$258,6,FALSE)),"",(VLOOKUP($E45,'D-1 Off-Site Habitat Baseline'!$D$1:$O$258,6,FALSE))))</f>
        <v/>
      </c>
      <c r="I45" s="301" t="str">
        <f>IF(E45="","",IF(ISNA(VLOOKUP($E45,'D-1 Off-Site Habitat Baseline'!$D$1:$O$258,7,FALSE)),"",(VLOOKUP($E45,'D-1 Off-Site Habitat Baseline'!$D$1:$O$258,7,FALSE))))</f>
        <v/>
      </c>
      <c r="J45" s="301" t="str">
        <f>IF(E45="","",IF(ISNA(VLOOKUP($E45,'D-1 Off-Site Habitat Baseline'!$D$1:$O$258,8,FALSE)),"",(VLOOKUP($E45,'D-1 Off-Site Habitat Baseline'!$D$1:$O$258,8,FALSE))))</f>
        <v/>
      </c>
      <c r="K45" s="301" t="str">
        <f>IF(E45="","",IF(ISNA(VLOOKUP($E45,'D-1 Off-Site Habitat Baseline'!$D$1:$O$258,9,FALSE)),"",(VLOOKUP($E45,'D-1 Off-Site Habitat Baseline'!$D$1:$O$258,9,FALSE))))</f>
        <v/>
      </c>
      <c r="L45" s="301" t="str">
        <f>IF(E45="","",IF(ISNA(VLOOKUP($E45,'D-1 Off-Site Habitat Baseline'!$D$1:$O$258,11,FALSE)),"",(VLOOKUP($E45,'D-1 Off-Site Habitat Baseline'!$D$1:$O$258,11,FALSE))))</f>
        <v/>
      </c>
      <c r="M45" s="301" t="str">
        <f>IF(E45="","",IF(ISNA(VLOOKUP($E45,'D-1 Off-Site Habitat Baseline'!$D$1:$O$258,12,FALSE)),"",(VLOOKUP($E45,'D-1 Off-Site Habitat Baseline'!$D$1:$O$258,12,FALSE))))</f>
        <v/>
      </c>
      <c r="N45" s="301" t="str">
        <f>IF(E45="","",IF(ISNA(VLOOKUP($E45,'D-1 Off-Site Habitat Baseline'!$D$1:$AA$258,17,FALSE)),"",(VLOOKUP($E45,'D-1 Off-Site Habitat Baseline'!$D$1:$AA$258,17,FALSE))))</f>
        <v/>
      </c>
      <c r="O45" s="305" t="str">
        <f>IF(E45="","",IF(ISNA(VLOOKUP($E45,'D-1 Off-Site Habitat Baseline'!$D$1:$AA$258,13,FALSE)),"",(VLOOKUP($E45,'D-1 Off-Site Habitat Baseline'!$D$1:$AA$258,13,FALSE))))</f>
        <v/>
      </c>
      <c r="P45" s="152" t="str">
        <f>IFERROR(INDEX('G-1 All Habitats'!$AG$49:$AG$63,MATCH(Q45,'G-1 All Habitats'!$AF$27:$AF$41,0)),"")</f>
        <v/>
      </c>
      <c r="Q45" s="153"/>
      <c r="R45" s="154"/>
      <c r="S45" s="155" t="str">
        <f>IFERROR(INDEX('G-1 All Habitats'!$B$3:$B$135,MATCH(R45,'G-1 All Habitats'!$A$3:$A$135,0)),"")</f>
        <v/>
      </c>
      <c r="T45" s="289" t="str">
        <f t="shared" si="1"/>
        <v/>
      </c>
      <c r="U45" s="305" t="str">
        <f t="shared" si="2"/>
        <v/>
      </c>
      <c r="V45" s="304" t="str">
        <f t="shared" si="3"/>
        <v/>
      </c>
      <c r="W45" s="301" t="str">
        <f>IF(S45="","",VLOOKUP(S45,'G-1 All Habitats'!$B$2:$M$135,10,FALSE))</f>
        <v/>
      </c>
      <c r="X45" s="301" t="str">
        <f>IFERROR(VLOOKUP(W45,'G-1 All Habitats'!$V$3:$W$7,2,FALSE),"")</f>
        <v/>
      </c>
      <c r="Y45" s="142"/>
      <c r="Z45" s="305" t="str">
        <f>IFERROR(INDEX('G-8 Condition Look up'!$A$3:$H$135,MATCH(S45,'G-8 Condition Look up'!$A$3:$A$135,0),MATCH(Y45,'G-8 Condition Look up'!$A$3:$H$3,0)),"")</f>
        <v/>
      </c>
      <c r="AA45" s="105"/>
      <c r="AB45" s="320" t="str">
        <f>IF(AA45="","",IF(VLOOKUP(AA45,'G-3 Multipliers'!$L$3:$N$6,2,FALSE)=0,"Spatial Data Missing ⚠",VLOOKUP(AA45,'G-3 Multipliers'!$L$3:$N$6,2,FALSE)))</f>
        <v/>
      </c>
      <c r="AC45" s="305" t="str">
        <f>IF(AA45="","",IF(VLOOKUP(AA45,'G-3 Multipliers'!$L$3:$N$6,3,FALSE)=0,"Spatial Data Missing ⚠",VLOOKUP(AA45,'G-3 Multipliers'!$L$3:$N$6,3,FALSE)))</f>
        <v/>
      </c>
      <c r="AD45" s="317" t="str">
        <f t="shared" si="0"/>
        <v/>
      </c>
      <c r="AE45" s="142"/>
      <c r="AF45" s="142"/>
      <c r="AG45" s="301" t="str">
        <f t="shared" si="4"/>
        <v/>
      </c>
      <c r="AH45" s="302" t="str">
        <f t="shared" si="5"/>
        <v/>
      </c>
      <c r="AI45" s="306" t="str">
        <f>IF(AH45="Check Data ⚠","Check Data ⚠",IFERROR(VLOOKUP(AH45,'G-4 Temporal multipliers'!$A$4:$C$36,3,FALSE),""))</f>
        <v/>
      </c>
      <c r="AJ45" s="317" t="str">
        <f>IF(S45="","",VLOOKUP(S45,'G-3 Multipliers'!$A$2:$E$134,4,FALSE))</f>
        <v/>
      </c>
      <c r="AK45" s="301" t="str">
        <f t="shared" si="6"/>
        <v/>
      </c>
      <c r="AL45" s="301" t="str">
        <f t="shared" si="7"/>
        <v/>
      </c>
      <c r="AM45" s="305" t="str">
        <f>IFERROR(IF(F45="","",IF(AH45="Check Data ⚠","Check Data ⚠",VLOOKUP(AL45, 'G-3 Multipliers'!$P$2:$Q$6,2,FALSE))),"")</f>
        <v/>
      </c>
      <c r="AN45" s="728"/>
      <c r="AO45" s="335" t="str">
        <f>IF(AN45="","",IF(VLOOKUP(AN45,'G-3 Multipliers'!$S$3:$T$10,2,FALSE)=0,"Spatial Data Missing ⚠",VLOOKUP(AN45,'G-3 Multipliers'!$S$3:$T$10,2,FALSE)))</f>
        <v/>
      </c>
      <c r="AP45" s="295" t="str">
        <f t="shared" si="8"/>
        <v/>
      </c>
      <c r="AQ45" s="295" t="str">
        <f t="shared" si="9"/>
        <v/>
      </c>
      <c r="AR45" s="109"/>
      <c r="AS45" s="142"/>
      <c r="AT45" s="108"/>
      <c r="AU45" s="108"/>
      <c r="AY45" s="30" t="str">
        <f>IF(E45="","",IF(ISNA(VLOOKUP($E45,'D-1 Off-Site Habitat Baseline'!$D$1:$AV$258,4,FALSE)),"",(VLOOKUP($E45,'D-1 Off-Site Habitat Baseline'!$D$1:$AV$258,4,FALSE))))</f>
        <v/>
      </c>
    </row>
    <row r="46" spans="1:51" x14ac:dyDescent="0.25">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325" t="str">
        <f>'D-1 Off-Site Habitat Baseline'!AP45</f>
        <v/>
      </c>
      <c r="F46" s="289" t="str">
        <f>IF(E46="","",IF(ISNA(VLOOKUP($E46,'D-1 Off-Site Habitat Baseline'!$D$1:$ZZ$258,45,FALSE)),"",(VLOOKUP($E46,'D-1 Off-Site Habitat Baseline'!$D$1:$ZZ$258,45,FALSE))))</f>
        <v/>
      </c>
      <c r="G46" s="301" t="str">
        <f>IF(E46="","",IF(ISNA(VLOOKUP($E46,'D-1 Off-Site Habitat Baseline'!$D$1:$O$258,5,FALSE)),"",(VLOOKUP($E46,'D-1 Off-Site Habitat Baseline'!$D$1:$O$258,5,FALSE))))</f>
        <v/>
      </c>
      <c r="H46" s="301" t="str">
        <f>IF(E46="","",IF(ISNA(VLOOKUP($E46,'D-1 Off-Site Habitat Baseline'!$D$1:$O$258,6,FALSE)),"",(VLOOKUP($E46,'D-1 Off-Site Habitat Baseline'!$D$1:$O$258,6,FALSE))))</f>
        <v/>
      </c>
      <c r="I46" s="301" t="str">
        <f>IF(E46="","",IF(ISNA(VLOOKUP($E46,'D-1 Off-Site Habitat Baseline'!$D$1:$O$258,7,FALSE)),"",(VLOOKUP($E46,'D-1 Off-Site Habitat Baseline'!$D$1:$O$258,7,FALSE))))</f>
        <v/>
      </c>
      <c r="J46" s="301" t="str">
        <f>IF(E46="","",IF(ISNA(VLOOKUP($E46,'D-1 Off-Site Habitat Baseline'!$D$1:$O$258,8,FALSE)),"",(VLOOKUP($E46,'D-1 Off-Site Habitat Baseline'!$D$1:$O$258,8,FALSE))))</f>
        <v/>
      </c>
      <c r="K46" s="301" t="str">
        <f>IF(E46="","",IF(ISNA(VLOOKUP($E46,'D-1 Off-Site Habitat Baseline'!$D$1:$O$258,9,FALSE)),"",(VLOOKUP($E46,'D-1 Off-Site Habitat Baseline'!$D$1:$O$258,9,FALSE))))</f>
        <v/>
      </c>
      <c r="L46" s="301" t="str">
        <f>IF(E46="","",IF(ISNA(VLOOKUP($E46,'D-1 Off-Site Habitat Baseline'!$D$1:$O$258,11,FALSE)),"",(VLOOKUP($E46,'D-1 Off-Site Habitat Baseline'!$D$1:$O$258,11,FALSE))))</f>
        <v/>
      </c>
      <c r="M46" s="301" t="str">
        <f>IF(E46="","",IF(ISNA(VLOOKUP($E46,'D-1 Off-Site Habitat Baseline'!$D$1:$O$258,12,FALSE)),"",(VLOOKUP($E46,'D-1 Off-Site Habitat Baseline'!$D$1:$O$258,12,FALSE))))</f>
        <v/>
      </c>
      <c r="N46" s="301" t="str">
        <f>IF(E46="","",IF(ISNA(VLOOKUP($E46,'D-1 Off-Site Habitat Baseline'!$D$1:$AA$258,17,FALSE)),"",(VLOOKUP($E46,'D-1 Off-Site Habitat Baseline'!$D$1:$AA$258,17,FALSE))))</f>
        <v/>
      </c>
      <c r="O46" s="305" t="str">
        <f>IF(E46="","",IF(ISNA(VLOOKUP($E46,'D-1 Off-Site Habitat Baseline'!$D$1:$AA$258,13,FALSE)),"",(VLOOKUP($E46,'D-1 Off-Site Habitat Baseline'!$D$1:$AA$258,13,FALSE))))</f>
        <v/>
      </c>
      <c r="P46" s="152" t="str">
        <f>IFERROR(INDEX('G-1 All Habitats'!$AG$49:$AG$63,MATCH(Q46,'G-1 All Habitats'!$AF$27:$AF$41,0)),"")</f>
        <v/>
      </c>
      <c r="Q46" s="153"/>
      <c r="R46" s="154"/>
      <c r="S46" s="155" t="str">
        <f>IFERROR(INDEX('G-1 All Habitats'!$B$3:$B$135,MATCH(R46,'G-1 All Habitats'!$A$3:$A$135,0)),"")</f>
        <v/>
      </c>
      <c r="T46" s="289" t="str">
        <f t="shared" si="1"/>
        <v/>
      </c>
      <c r="U46" s="305" t="str">
        <f t="shared" si="2"/>
        <v/>
      </c>
      <c r="V46" s="304" t="str">
        <f t="shared" si="3"/>
        <v/>
      </c>
      <c r="W46" s="301" t="str">
        <f>IF(S46="","",VLOOKUP(S46,'G-1 All Habitats'!$B$2:$M$135,10,FALSE))</f>
        <v/>
      </c>
      <c r="X46" s="301" t="str">
        <f>IFERROR(VLOOKUP(W46,'G-1 All Habitats'!$V$3:$W$7,2,FALSE),"")</f>
        <v/>
      </c>
      <c r="Y46" s="142"/>
      <c r="Z46" s="305" t="str">
        <f>IFERROR(INDEX('G-8 Condition Look up'!$A$3:$H$135,MATCH(S46,'G-8 Condition Look up'!$A$3:$A$135,0),MATCH(Y46,'G-8 Condition Look up'!$A$3:$H$3,0)),"")</f>
        <v/>
      </c>
      <c r="AA46" s="105"/>
      <c r="AB46" s="320" t="str">
        <f>IF(AA46="","",IF(VLOOKUP(AA46,'G-3 Multipliers'!$L$3:$N$6,2,FALSE)=0,"Spatial Data Missing ⚠",VLOOKUP(AA46,'G-3 Multipliers'!$L$3:$N$6,2,FALSE)))</f>
        <v/>
      </c>
      <c r="AC46" s="305" t="str">
        <f>IF(AA46="","",IF(VLOOKUP(AA46,'G-3 Multipliers'!$L$3:$N$6,3,FALSE)=0,"Spatial Data Missing ⚠",VLOOKUP(AA46,'G-3 Multipliers'!$L$3:$N$6,3,FALSE)))</f>
        <v/>
      </c>
      <c r="AD46" s="317" t="str">
        <f t="shared" si="0"/>
        <v/>
      </c>
      <c r="AE46" s="142"/>
      <c r="AF46" s="142"/>
      <c r="AG46" s="301" t="str">
        <f t="shared" si="4"/>
        <v/>
      </c>
      <c r="AH46" s="302" t="str">
        <f t="shared" si="5"/>
        <v/>
      </c>
      <c r="AI46" s="306" t="str">
        <f>IF(AH46="Check Data ⚠","Check Data ⚠",IFERROR(VLOOKUP(AH46,'G-4 Temporal multipliers'!$A$4:$C$36,3,FALSE),""))</f>
        <v/>
      </c>
      <c r="AJ46" s="317" t="str">
        <f>IF(S46="","",VLOOKUP(S46,'G-3 Multipliers'!$A$2:$E$134,4,FALSE))</f>
        <v/>
      </c>
      <c r="AK46" s="301" t="str">
        <f t="shared" si="6"/>
        <v/>
      </c>
      <c r="AL46" s="301" t="str">
        <f t="shared" si="7"/>
        <v/>
      </c>
      <c r="AM46" s="305" t="str">
        <f>IFERROR(IF(F46="","",IF(AH46="Check Data ⚠","Check Data ⚠",VLOOKUP(AL46, 'G-3 Multipliers'!$P$2:$Q$6,2,FALSE))),"")</f>
        <v/>
      </c>
      <c r="AN46" s="728"/>
      <c r="AO46" s="335" t="str">
        <f>IF(AN46="","",IF(VLOOKUP(AN46,'G-3 Multipliers'!$S$3:$T$10,2,FALSE)=0,"Spatial Data Missing ⚠",VLOOKUP(AN46,'G-3 Multipliers'!$S$3:$T$10,2,FALSE)))</f>
        <v/>
      </c>
      <c r="AP46" s="295" t="str">
        <f t="shared" si="8"/>
        <v/>
      </c>
      <c r="AQ46" s="295" t="str">
        <f t="shared" si="9"/>
        <v/>
      </c>
      <c r="AR46" s="109"/>
      <c r="AS46" s="142"/>
      <c r="AT46" s="108"/>
      <c r="AU46" s="108"/>
      <c r="AY46" s="30" t="str">
        <f>IF(E46="","",IF(ISNA(VLOOKUP($E46,'D-1 Off-Site Habitat Baseline'!$D$1:$AV$258,4,FALSE)),"",(VLOOKUP($E46,'D-1 Off-Site Habitat Baseline'!$D$1:$AV$258,4,FALSE))))</f>
        <v/>
      </c>
    </row>
    <row r="47" spans="1:51" x14ac:dyDescent="0.25">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325" t="str">
        <f>'D-1 Off-Site Habitat Baseline'!AP46</f>
        <v/>
      </c>
      <c r="F47" s="289" t="str">
        <f>IF(E47="","",IF(ISNA(VLOOKUP($E47,'D-1 Off-Site Habitat Baseline'!$D$1:$ZZ$258,45,FALSE)),"",(VLOOKUP($E47,'D-1 Off-Site Habitat Baseline'!$D$1:$ZZ$258,45,FALSE))))</f>
        <v/>
      </c>
      <c r="G47" s="301" t="str">
        <f>IF(E47="","",IF(ISNA(VLOOKUP($E47,'D-1 Off-Site Habitat Baseline'!$D$1:$O$258,5,FALSE)),"",(VLOOKUP($E47,'D-1 Off-Site Habitat Baseline'!$D$1:$O$258,5,FALSE))))</f>
        <v/>
      </c>
      <c r="H47" s="301" t="str">
        <f>IF(E47="","",IF(ISNA(VLOOKUP($E47,'D-1 Off-Site Habitat Baseline'!$D$1:$O$258,6,FALSE)),"",(VLOOKUP($E47,'D-1 Off-Site Habitat Baseline'!$D$1:$O$258,6,FALSE))))</f>
        <v/>
      </c>
      <c r="I47" s="301" t="str">
        <f>IF(E47="","",IF(ISNA(VLOOKUP($E47,'D-1 Off-Site Habitat Baseline'!$D$1:$O$258,7,FALSE)),"",(VLOOKUP($E47,'D-1 Off-Site Habitat Baseline'!$D$1:$O$258,7,FALSE))))</f>
        <v/>
      </c>
      <c r="J47" s="301" t="str">
        <f>IF(E47="","",IF(ISNA(VLOOKUP($E47,'D-1 Off-Site Habitat Baseline'!$D$1:$O$258,8,FALSE)),"",(VLOOKUP($E47,'D-1 Off-Site Habitat Baseline'!$D$1:$O$258,8,FALSE))))</f>
        <v/>
      </c>
      <c r="K47" s="301" t="str">
        <f>IF(E47="","",IF(ISNA(VLOOKUP($E47,'D-1 Off-Site Habitat Baseline'!$D$1:$O$258,9,FALSE)),"",(VLOOKUP($E47,'D-1 Off-Site Habitat Baseline'!$D$1:$O$258,9,FALSE))))</f>
        <v/>
      </c>
      <c r="L47" s="301" t="str">
        <f>IF(E47="","",IF(ISNA(VLOOKUP($E47,'D-1 Off-Site Habitat Baseline'!$D$1:$O$258,11,FALSE)),"",(VLOOKUP($E47,'D-1 Off-Site Habitat Baseline'!$D$1:$O$258,11,FALSE))))</f>
        <v/>
      </c>
      <c r="M47" s="301" t="str">
        <f>IF(E47="","",IF(ISNA(VLOOKUP($E47,'D-1 Off-Site Habitat Baseline'!$D$1:$O$258,12,FALSE)),"",(VLOOKUP($E47,'D-1 Off-Site Habitat Baseline'!$D$1:$O$258,12,FALSE))))</f>
        <v/>
      </c>
      <c r="N47" s="301" t="str">
        <f>IF(E47="","",IF(ISNA(VLOOKUP($E47,'D-1 Off-Site Habitat Baseline'!$D$1:$AA$258,17,FALSE)),"",(VLOOKUP($E47,'D-1 Off-Site Habitat Baseline'!$D$1:$AA$258,17,FALSE))))</f>
        <v/>
      </c>
      <c r="O47" s="305" t="str">
        <f>IF(E47="","",IF(ISNA(VLOOKUP($E47,'D-1 Off-Site Habitat Baseline'!$D$1:$AA$258,13,FALSE)),"",(VLOOKUP($E47,'D-1 Off-Site Habitat Baseline'!$D$1:$AA$258,13,FALSE))))</f>
        <v/>
      </c>
      <c r="P47" s="152" t="str">
        <f>IFERROR(INDEX('G-1 All Habitats'!$AG$49:$AG$63,MATCH(Q47,'G-1 All Habitats'!$AF$27:$AF$41,0)),"")</f>
        <v/>
      </c>
      <c r="Q47" s="153"/>
      <c r="R47" s="154"/>
      <c r="S47" s="155" t="str">
        <f>IFERROR(INDEX('G-1 All Habitats'!$B$3:$B$135,MATCH(R47,'G-1 All Habitats'!$A$3:$A$135,0)),"")</f>
        <v/>
      </c>
      <c r="T47" s="289" t="str">
        <f t="shared" si="1"/>
        <v/>
      </c>
      <c r="U47" s="305" t="str">
        <f t="shared" si="2"/>
        <v/>
      </c>
      <c r="V47" s="304" t="str">
        <f t="shared" si="3"/>
        <v/>
      </c>
      <c r="W47" s="301" t="str">
        <f>IF(S47="","",VLOOKUP(S47,'G-1 All Habitats'!$B$2:$M$135,10,FALSE))</f>
        <v/>
      </c>
      <c r="X47" s="301" t="str">
        <f>IFERROR(VLOOKUP(W47,'G-1 All Habitats'!$V$3:$W$7,2,FALSE),"")</f>
        <v/>
      </c>
      <c r="Y47" s="142"/>
      <c r="Z47" s="305" t="str">
        <f>IFERROR(INDEX('G-8 Condition Look up'!$A$3:$H$135,MATCH(S47,'G-8 Condition Look up'!$A$3:$A$135,0),MATCH(Y47,'G-8 Condition Look up'!$A$3:$H$3,0)),"")</f>
        <v/>
      </c>
      <c r="AA47" s="105"/>
      <c r="AB47" s="320" t="str">
        <f>IF(AA47="","",IF(VLOOKUP(AA47,'G-3 Multipliers'!$L$3:$N$6,2,FALSE)=0,"Spatial Data Missing ⚠",VLOOKUP(AA47,'G-3 Multipliers'!$L$3:$N$6,2,FALSE)))</f>
        <v/>
      </c>
      <c r="AC47" s="305" t="str">
        <f>IF(AA47="","",IF(VLOOKUP(AA47,'G-3 Multipliers'!$L$3:$N$6,3,FALSE)=0,"Spatial Data Missing ⚠",VLOOKUP(AA47,'G-3 Multipliers'!$L$3:$N$6,3,FALSE)))</f>
        <v/>
      </c>
      <c r="AD47" s="317" t="str">
        <f t="shared" si="0"/>
        <v/>
      </c>
      <c r="AE47" s="142"/>
      <c r="AF47" s="142"/>
      <c r="AG47" s="301" t="str">
        <f t="shared" si="4"/>
        <v/>
      </c>
      <c r="AH47" s="302" t="str">
        <f t="shared" si="5"/>
        <v/>
      </c>
      <c r="AI47" s="306" t="str">
        <f>IF(AH47="Check Data ⚠","Check Data ⚠",IFERROR(VLOOKUP(AH47,'G-4 Temporal multipliers'!$A$4:$C$36,3,FALSE),""))</f>
        <v/>
      </c>
      <c r="AJ47" s="317" t="str">
        <f>IF(S47="","",VLOOKUP(S47,'G-3 Multipliers'!$A$2:$E$134,4,FALSE))</f>
        <v/>
      </c>
      <c r="AK47" s="301" t="str">
        <f t="shared" si="6"/>
        <v/>
      </c>
      <c r="AL47" s="301" t="str">
        <f t="shared" si="7"/>
        <v/>
      </c>
      <c r="AM47" s="305" t="str">
        <f>IFERROR(IF(F47="","",IF(AH47="Check Data ⚠","Check Data ⚠",VLOOKUP(AL47, 'G-3 Multipliers'!$P$2:$Q$6,2,FALSE))),"")</f>
        <v/>
      </c>
      <c r="AN47" s="728"/>
      <c r="AO47" s="335" t="str">
        <f>IF(AN47="","",IF(VLOOKUP(AN47,'G-3 Multipliers'!$S$3:$T$10,2,FALSE)=0,"Spatial Data Missing ⚠",VLOOKUP(AN47,'G-3 Multipliers'!$S$3:$T$10,2,FALSE)))</f>
        <v/>
      </c>
      <c r="AP47" s="295" t="str">
        <f t="shared" si="8"/>
        <v/>
      </c>
      <c r="AQ47" s="295" t="str">
        <f t="shared" si="9"/>
        <v/>
      </c>
      <c r="AR47" s="109"/>
      <c r="AS47" s="142"/>
      <c r="AT47" s="108"/>
      <c r="AU47" s="108"/>
      <c r="AY47" s="30" t="str">
        <f>IF(E47="","",IF(ISNA(VLOOKUP($E47,'D-1 Off-Site Habitat Baseline'!$D$1:$AV$258,4,FALSE)),"",(VLOOKUP($E47,'D-1 Off-Site Habitat Baseline'!$D$1:$AV$258,4,FALSE))))</f>
        <v/>
      </c>
    </row>
    <row r="48" spans="1:51" x14ac:dyDescent="0.25">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325" t="str">
        <f>'D-1 Off-Site Habitat Baseline'!AP47</f>
        <v/>
      </c>
      <c r="F48" s="289" t="str">
        <f>IF(E48="","",IF(ISNA(VLOOKUP($E48,'D-1 Off-Site Habitat Baseline'!$D$1:$ZZ$258,45,FALSE)),"",(VLOOKUP($E48,'D-1 Off-Site Habitat Baseline'!$D$1:$ZZ$258,45,FALSE))))</f>
        <v/>
      </c>
      <c r="G48" s="301" t="str">
        <f>IF(E48="","",IF(ISNA(VLOOKUP($E48,'D-1 Off-Site Habitat Baseline'!$D$1:$O$258,5,FALSE)),"",(VLOOKUP($E48,'D-1 Off-Site Habitat Baseline'!$D$1:$O$258,5,FALSE))))</f>
        <v/>
      </c>
      <c r="H48" s="301" t="str">
        <f>IF(E48="","",IF(ISNA(VLOOKUP($E48,'D-1 Off-Site Habitat Baseline'!$D$1:$O$258,6,FALSE)),"",(VLOOKUP($E48,'D-1 Off-Site Habitat Baseline'!$D$1:$O$258,6,FALSE))))</f>
        <v/>
      </c>
      <c r="I48" s="301" t="str">
        <f>IF(E48="","",IF(ISNA(VLOOKUP($E48,'D-1 Off-Site Habitat Baseline'!$D$1:$O$258,7,FALSE)),"",(VLOOKUP($E48,'D-1 Off-Site Habitat Baseline'!$D$1:$O$258,7,FALSE))))</f>
        <v/>
      </c>
      <c r="J48" s="301" t="str">
        <f>IF(E48="","",IF(ISNA(VLOOKUP($E48,'D-1 Off-Site Habitat Baseline'!$D$1:$O$258,8,FALSE)),"",(VLOOKUP($E48,'D-1 Off-Site Habitat Baseline'!$D$1:$O$258,8,FALSE))))</f>
        <v/>
      </c>
      <c r="K48" s="301" t="str">
        <f>IF(E48="","",IF(ISNA(VLOOKUP($E48,'D-1 Off-Site Habitat Baseline'!$D$1:$O$258,9,FALSE)),"",(VLOOKUP($E48,'D-1 Off-Site Habitat Baseline'!$D$1:$O$258,9,FALSE))))</f>
        <v/>
      </c>
      <c r="L48" s="301" t="str">
        <f>IF(E48="","",IF(ISNA(VLOOKUP($E48,'D-1 Off-Site Habitat Baseline'!$D$1:$O$258,11,FALSE)),"",(VLOOKUP($E48,'D-1 Off-Site Habitat Baseline'!$D$1:$O$258,11,FALSE))))</f>
        <v/>
      </c>
      <c r="M48" s="301" t="str">
        <f>IF(E48="","",IF(ISNA(VLOOKUP($E48,'D-1 Off-Site Habitat Baseline'!$D$1:$O$258,12,FALSE)),"",(VLOOKUP($E48,'D-1 Off-Site Habitat Baseline'!$D$1:$O$258,12,FALSE))))</f>
        <v/>
      </c>
      <c r="N48" s="301" t="str">
        <f>IF(E48="","",IF(ISNA(VLOOKUP($E48,'D-1 Off-Site Habitat Baseline'!$D$1:$AA$258,17,FALSE)),"",(VLOOKUP($E48,'D-1 Off-Site Habitat Baseline'!$D$1:$AA$258,17,FALSE))))</f>
        <v/>
      </c>
      <c r="O48" s="305" t="str">
        <f>IF(E48="","",IF(ISNA(VLOOKUP($E48,'D-1 Off-Site Habitat Baseline'!$D$1:$AA$258,13,FALSE)),"",(VLOOKUP($E48,'D-1 Off-Site Habitat Baseline'!$D$1:$AA$258,13,FALSE))))</f>
        <v/>
      </c>
      <c r="P48" s="152" t="str">
        <f>IFERROR(INDEX('G-1 All Habitats'!$AG$49:$AG$63,MATCH(Q48,'G-1 All Habitats'!$AF$27:$AF$41,0)),"")</f>
        <v/>
      </c>
      <c r="Q48" s="153"/>
      <c r="R48" s="154"/>
      <c r="S48" s="155" t="str">
        <f>IFERROR(INDEX('G-1 All Habitats'!$B$3:$B$135,MATCH(R48,'G-1 All Habitats'!$A$3:$A$135,0)),"")</f>
        <v/>
      </c>
      <c r="T48" s="289" t="str">
        <f t="shared" si="1"/>
        <v/>
      </c>
      <c r="U48" s="305" t="str">
        <f t="shared" si="2"/>
        <v/>
      </c>
      <c r="V48" s="304" t="str">
        <f t="shared" si="3"/>
        <v/>
      </c>
      <c r="W48" s="301" t="str">
        <f>IF(S48="","",VLOOKUP(S48,'G-1 All Habitats'!$B$2:$M$135,10,FALSE))</f>
        <v/>
      </c>
      <c r="X48" s="301" t="str">
        <f>IFERROR(VLOOKUP(W48,'G-1 All Habitats'!$V$3:$W$7,2,FALSE),"")</f>
        <v/>
      </c>
      <c r="Y48" s="142"/>
      <c r="Z48" s="305" t="str">
        <f>IFERROR(INDEX('G-8 Condition Look up'!$A$3:$H$135,MATCH(S48,'G-8 Condition Look up'!$A$3:$A$135,0),MATCH(Y48,'G-8 Condition Look up'!$A$3:$H$3,0)),"")</f>
        <v/>
      </c>
      <c r="AA48" s="105"/>
      <c r="AB48" s="320" t="str">
        <f>IF(AA48="","",IF(VLOOKUP(AA48,'G-3 Multipliers'!$L$3:$N$6,2,FALSE)=0,"Spatial Data Missing ⚠",VLOOKUP(AA48,'G-3 Multipliers'!$L$3:$N$6,2,FALSE)))</f>
        <v/>
      </c>
      <c r="AC48" s="305" t="str">
        <f>IF(AA48="","",IF(VLOOKUP(AA48,'G-3 Multipliers'!$L$3:$N$6,3,FALSE)=0,"Spatial Data Missing ⚠",VLOOKUP(AA48,'G-3 Multipliers'!$L$3:$N$6,3,FALSE)))</f>
        <v/>
      </c>
      <c r="AD48" s="317" t="str">
        <f t="shared" si="0"/>
        <v/>
      </c>
      <c r="AE48" s="142"/>
      <c r="AF48" s="142"/>
      <c r="AG48" s="301" t="str">
        <f t="shared" si="4"/>
        <v/>
      </c>
      <c r="AH48" s="302" t="str">
        <f t="shared" si="5"/>
        <v/>
      </c>
      <c r="AI48" s="306" t="str">
        <f>IF(AH48="Check Data ⚠","Check Data ⚠",IFERROR(VLOOKUP(AH48,'G-4 Temporal multipliers'!$A$4:$C$36,3,FALSE),""))</f>
        <v/>
      </c>
      <c r="AJ48" s="317" t="str">
        <f>IF(S48="","",VLOOKUP(S48,'G-3 Multipliers'!$A$2:$E$134,4,FALSE))</f>
        <v/>
      </c>
      <c r="AK48" s="301" t="str">
        <f t="shared" si="6"/>
        <v/>
      </c>
      <c r="AL48" s="301" t="str">
        <f t="shared" si="7"/>
        <v/>
      </c>
      <c r="AM48" s="305" t="str">
        <f>IFERROR(IF(F48="","",IF(AH48="Check Data ⚠","Check Data ⚠",VLOOKUP(AL48, 'G-3 Multipliers'!$P$2:$Q$6,2,FALSE))),"")</f>
        <v/>
      </c>
      <c r="AN48" s="728"/>
      <c r="AO48" s="335" t="str">
        <f>IF(AN48="","",IF(VLOOKUP(AN48,'G-3 Multipliers'!$S$3:$T$10,2,FALSE)=0,"Spatial Data Missing ⚠",VLOOKUP(AN48,'G-3 Multipliers'!$S$3:$T$10,2,FALSE)))</f>
        <v/>
      </c>
      <c r="AP48" s="295" t="str">
        <f t="shared" si="8"/>
        <v/>
      </c>
      <c r="AQ48" s="295" t="str">
        <f t="shared" si="9"/>
        <v/>
      </c>
      <c r="AR48" s="109"/>
      <c r="AS48" s="142"/>
      <c r="AT48" s="108"/>
      <c r="AU48" s="108"/>
      <c r="AY48" s="30" t="str">
        <f>IF(E48="","",IF(ISNA(VLOOKUP($E48,'D-1 Off-Site Habitat Baseline'!$D$1:$AV$258,4,FALSE)),"",(VLOOKUP($E48,'D-1 Off-Site Habitat Baseline'!$D$1:$AV$258,4,FALSE))))</f>
        <v/>
      </c>
    </row>
    <row r="49" spans="1:51" x14ac:dyDescent="0.25">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325" t="str">
        <f>'D-1 Off-Site Habitat Baseline'!AP48</f>
        <v/>
      </c>
      <c r="F49" s="289" t="str">
        <f>IF(E49="","",IF(ISNA(VLOOKUP($E49,'D-1 Off-Site Habitat Baseline'!$D$1:$ZZ$258,45,FALSE)),"",(VLOOKUP($E49,'D-1 Off-Site Habitat Baseline'!$D$1:$ZZ$258,45,FALSE))))</f>
        <v/>
      </c>
      <c r="G49" s="301" t="str">
        <f>IF(E49="","",IF(ISNA(VLOOKUP($E49,'D-1 Off-Site Habitat Baseline'!$D$1:$O$258,5,FALSE)),"",(VLOOKUP($E49,'D-1 Off-Site Habitat Baseline'!$D$1:$O$258,5,FALSE))))</f>
        <v/>
      </c>
      <c r="H49" s="301" t="str">
        <f>IF(E49="","",IF(ISNA(VLOOKUP($E49,'D-1 Off-Site Habitat Baseline'!$D$1:$O$258,6,FALSE)),"",(VLOOKUP($E49,'D-1 Off-Site Habitat Baseline'!$D$1:$O$258,6,FALSE))))</f>
        <v/>
      </c>
      <c r="I49" s="301" t="str">
        <f>IF(E49="","",IF(ISNA(VLOOKUP($E49,'D-1 Off-Site Habitat Baseline'!$D$1:$O$258,7,FALSE)),"",(VLOOKUP($E49,'D-1 Off-Site Habitat Baseline'!$D$1:$O$258,7,FALSE))))</f>
        <v/>
      </c>
      <c r="J49" s="301" t="str">
        <f>IF(E49="","",IF(ISNA(VLOOKUP($E49,'D-1 Off-Site Habitat Baseline'!$D$1:$O$258,8,FALSE)),"",(VLOOKUP($E49,'D-1 Off-Site Habitat Baseline'!$D$1:$O$258,8,FALSE))))</f>
        <v/>
      </c>
      <c r="K49" s="301" t="str">
        <f>IF(E49="","",IF(ISNA(VLOOKUP($E49,'D-1 Off-Site Habitat Baseline'!$D$1:$O$258,9,FALSE)),"",(VLOOKUP($E49,'D-1 Off-Site Habitat Baseline'!$D$1:$O$258,9,FALSE))))</f>
        <v/>
      </c>
      <c r="L49" s="301" t="str">
        <f>IF(E49="","",IF(ISNA(VLOOKUP($E49,'D-1 Off-Site Habitat Baseline'!$D$1:$O$258,11,FALSE)),"",(VLOOKUP($E49,'D-1 Off-Site Habitat Baseline'!$D$1:$O$258,11,FALSE))))</f>
        <v/>
      </c>
      <c r="M49" s="301" t="str">
        <f>IF(E49="","",IF(ISNA(VLOOKUP($E49,'D-1 Off-Site Habitat Baseline'!$D$1:$O$258,12,FALSE)),"",(VLOOKUP($E49,'D-1 Off-Site Habitat Baseline'!$D$1:$O$258,12,FALSE))))</f>
        <v/>
      </c>
      <c r="N49" s="301" t="str">
        <f>IF(E49="","",IF(ISNA(VLOOKUP($E49,'D-1 Off-Site Habitat Baseline'!$D$1:$AA$258,17,FALSE)),"",(VLOOKUP($E49,'D-1 Off-Site Habitat Baseline'!$D$1:$AA$258,17,FALSE))))</f>
        <v/>
      </c>
      <c r="O49" s="305" t="str">
        <f>IF(E49="","",IF(ISNA(VLOOKUP($E49,'D-1 Off-Site Habitat Baseline'!$D$1:$AA$258,13,FALSE)),"",(VLOOKUP($E49,'D-1 Off-Site Habitat Baseline'!$D$1:$AA$258,13,FALSE))))</f>
        <v/>
      </c>
      <c r="P49" s="152" t="str">
        <f>IFERROR(INDEX('G-1 All Habitats'!$AG$49:$AG$63,MATCH(Q49,'G-1 All Habitats'!$AF$27:$AF$41,0)),"")</f>
        <v/>
      </c>
      <c r="Q49" s="153"/>
      <c r="R49" s="154"/>
      <c r="S49" s="155" t="str">
        <f>IFERROR(INDEX('G-1 All Habitats'!$B$3:$B$135,MATCH(R49,'G-1 All Habitats'!$A$3:$A$135,0)),"")</f>
        <v/>
      </c>
      <c r="T49" s="289" t="str">
        <f t="shared" si="1"/>
        <v/>
      </c>
      <c r="U49" s="305" t="str">
        <f t="shared" si="2"/>
        <v/>
      </c>
      <c r="V49" s="304" t="str">
        <f t="shared" si="3"/>
        <v/>
      </c>
      <c r="W49" s="301" t="str">
        <f>IF(S49="","",VLOOKUP(S49,'G-1 All Habitats'!$B$2:$M$135,10,FALSE))</f>
        <v/>
      </c>
      <c r="X49" s="301" t="str">
        <f>IFERROR(VLOOKUP(W49,'G-1 All Habitats'!$V$3:$W$7,2,FALSE),"")</f>
        <v/>
      </c>
      <c r="Y49" s="142"/>
      <c r="Z49" s="305" t="str">
        <f>IFERROR(INDEX('G-8 Condition Look up'!$A$3:$H$135,MATCH(S49,'G-8 Condition Look up'!$A$3:$A$135,0),MATCH(Y49,'G-8 Condition Look up'!$A$3:$H$3,0)),"")</f>
        <v/>
      </c>
      <c r="AA49" s="105"/>
      <c r="AB49" s="320" t="str">
        <f>IF(AA49="","",IF(VLOOKUP(AA49,'G-3 Multipliers'!$L$3:$N$6,2,FALSE)=0,"Spatial Data Missing ⚠",VLOOKUP(AA49,'G-3 Multipliers'!$L$3:$N$6,2,FALSE)))</f>
        <v/>
      </c>
      <c r="AC49" s="305" t="str">
        <f>IF(AA49="","",IF(VLOOKUP(AA49,'G-3 Multipliers'!$L$3:$N$6,3,FALSE)=0,"Spatial Data Missing ⚠",VLOOKUP(AA49,'G-3 Multipliers'!$L$3:$N$6,3,FALSE)))</f>
        <v/>
      </c>
      <c r="AD49" s="317" t="str">
        <f t="shared" si="0"/>
        <v/>
      </c>
      <c r="AE49" s="142"/>
      <c r="AF49" s="142"/>
      <c r="AG49" s="301" t="str">
        <f t="shared" si="4"/>
        <v/>
      </c>
      <c r="AH49" s="302" t="str">
        <f t="shared" si="5"/>
        <v/>
      </c>
      <c r="AI49" s="306" t="str">
        <f>IF(AH49="Check Data ⚠","Check Data ⚠",IFERROR(VLOOKUP(AH49,'G-4 Temporal multipliers'!$A$4:$C$36,3,FALSE),""))</f>
        <v/>
      </c>
      <c r="AJ49" s="317" t="str">
        <f>IF(S49="","",VLOOKUP(S49,'G-3 Multipliers'!$A$2:$E$134,4,FALSE))</f>
        <v/>
      </c>
      <c r="AK49" s="301" t="str">
        <f t="shared" si="6"/>
        <v/>
      </c>
      <c r="AL49" s="301" t="str">
        <f t="shared" si="7"/>
        <v/>
      </c>
      <c r="AM49" s="305" t="str">
        <f>IFERROR(IF(F49="","",IF(AH49="Check Data ⚠","Check Data ⚠",VLOOKUP(AL49, 'G-3 Multipliers'!$P$2:$Q$6,2,FALSE))),"")</f>
        <v/>
      </c>
      <c r="AN49" s="728"/>
      <c r="AO49" s="335" t="str">
        <f>IF(AN49="","",IF(VLOOKUP(AN49,'G-3 Multipliers'!$S$3:$T$10,2,FALSE)=0,"Spatial Data Missing ⚠",VLOOKUP(AN49,'G-3 Multipliers'!$S$3:$T$10,2,FALSE)))</f>
        <v/>
      </c>
      <c r="AP49" s="295" t="str">
        <f t="shared" si="8"/>
        <v/>
      </c>
      <c r="AQ49" s="295" t="str">
        <f t="shared" si="9"/>
        <v/>
      </c>
      <c r="AR49" s="109"/>
      <c r="AS49" s="142"/>
      <c r="AT49" s="108"/>
      <c r="AU49" s="108"/>
      <c r="AY49" s="30" t="str">
        <f>IF(E49="","",IF(ISNA(VLOOKUP($E49,'D-1 Off-Site Habitat Baseline'!$D$1:$AV$258,4,FALSE)),"",(VLOOKUP($E49,'D-1 Off-Site Habitat Baseline'!$D$1:$AV$258,4,FALSE))))</f>
        <v/>
      </c>
    </row>
    <row r="50" spans="1:51" x14ac:dyDescent="0.25">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325" t="str">
        <f>'D-1 Off-Site Habitat Baseline'!AP49</f>
        <v/>
      </c>
      <c r="F50" s="289" t="str">
        <f>IF(E50="","",IF(ISNA(VLOOKUP($E50,'D-1 Off-Site Habitat Baseline'!$D$1:$ZZ$258,45,FALSE)),"",(VLOOKUP($E50,'D-1 Off-Site Habitat Baseline'!$D$1:$ZZ$258,45,FALSE))))</f>
        <v/>
      </c>
      <c r="G50" s="301" t="str">
        <f>IF(E50="","",IF(ISNA(VLOOKUP($E50,'D-1 Off-Site Habitat Baseline'!$D$1:$O$258,5,FALSE)),"",(VLOOKUP($E50,'D-1 Off-Site Habitat Baseline'!$D$1:$O$258,5,FALSE))))</f>
        <v/>
      </c>
      <c r="H50" s="301" t="str">
        <f>IF(E50="","",IF(ISNA(VLOOKUP($E50,'D-1 Off-Site Habitat Baseline'!$D$1:$O$258,6,FALSE)),"",(VLOOKUP($E50,'D-1 Off-Site Habitat Baseline'!$D$1:$O$258,6,FALSE))))</f>
        <v/>
      </c>
      <c r="I50" s="301" t="str">
        <f>IF(E50="","",IF(ISNA(VLOOKUP($E50,'D-1 Off-Site Habitat Baseline'!$D$1:$O$258,7,FALSE)),"",(VLOOKUP($E50,'D-1 Off-Site Habitat Baseline'!$D$1:$O$258,7,FALSE))))</f>
        <v/>
      </c>
      <c r="J50" s="301" t="str">
        <f>IF(E50="","",IF(ISNA(VLOOKUP($E50,'D-1 Off-Site Habitat Baseline'!$D$1:$O$258,8,FALSE)),"",(VLOOKUP($E50,'D-1 Off-Site Habitat Baseline'!$D$1:$O$258,8,FALSE))))</f>
        <v/>
      </c>
      <c r="K50" s="301" t="str">
        <f>IF(E50="","",IF(ISNA(VLOOKUP($E50,'D-1 Off-Site Habitat Baseline'!$D$1:$O$258,9,FALSE)),"",(VLOOKUP($E50,'D-1 Off-Site Habitat Baseline'!$D$1:$O$258,9,FALSE))))</f>
        <v/>
      </c>
      <c r="L50" s="301" t="str">
        <f>IF(E50="","",IF(ISNA(VLOOKUP($E50,'D-1 Off-Site Habitat Baseline'!$D$1:$O$258,11,FALSE)),"",(VLOOKUP($E50,'D-1 Off-Site Habitat Baseline'!$D$1:$O$258,11,FALSE))))</f>
        <v/>
      </c>
      <c r="M50" s="301" t="str">
        <f>IF(E50="","",IF(ISNA(VLOOKUP($E50,'D-1 Off-Site Habitat Baseline'!$D$1:$O$258,12,FALSE)),"",(VLOOKUP($E50,'D-1 Off-Site Habitat Baseline'!$D$1:$O$258,12,FALSE))))</f>
        <v/>
      </c>
      <c r="N50" s="301" t="str">
        <f>IF(E50="","",IF(ISNA(VLOOKUP($E50,'D-1 Off-Site Habitat Baseline'!$D$1:$AA$258,17,FALSE)),"",(VLOOKUP($E50,'D-1 Off-Site Habitat Baseline'!$D$1:$AA$258,17,FALSE))))</f>
        <v/>
      </c>
      <c r="O50" s="305" t="str">
        <f>IF(E50="","",IF(ISNA(VLOOKUP($E50,'D-1 Off-Site Habitat Baseline'!$D$1:$AA$258,13,FALSE)),"",(VLOOKUP($E50,'D-1 Off-Site Habitat Baseline'!$D$1:$AA$258,13,FALSE))))</f>
        <v/>
      </c>
      <c r="P50" s="152" t="str">
        <f>IFERROR(INDEX('G-1 All Habitats'!$AG$49:$AG$63,MATCH(Q50,'G-1 All Habitats'!$AF$27:$AF$41,0)),"")</f>
        <v/>
      </c>
      <c r="Q50" s="153"/>
      <c r="R50" s="154"/>
      <c r="S50" s="155" t="str">
        <f>IFERROR(INDEX('G-1 All Habitats'!$B$3:$B$135,MATCH(R50,'G-1 All Habitats'!$A$3:$A$135,0)),"")</f>
        <v/>
      </c>
      <c r="T50" s="289" t="str">
        <f t="shared" si="1"/>
        <v/>
      </c>
      <c r="U50" s="305" t="str">
        <f t="shared" si="2"/>
        <v/>
      </c>
      <c r="V50" s="304" t="str">
        <f t="shared" si="3"/>
        <v/>
      </c>
      <c r="W50" s="301" t="str">
        <f>IF(S50="","",VLOOKUP(S50,'G-1 All Habitats'!$B$2:$M$135,10,FALSE))</f>
        <v/>
      </c>
      <c r="X50" s="301" t="str">
        <f>IFERROR(VLOOKUP(W50,'G-1 All Habitats'!$V$3:$W$7,2,FALSE),"")</f>
        <v/>
      </c>
      <c r="Y50" s="142"/>
      <c r="Z50" s="305" t="str">
        <f>IFERROR(INDEX('G-8 Condition Look up'!$A$3:$H$135,MATCH(S50,'G-8 Condition Look up'!$A$3:$A$135,0),MATCH(Y50,'G-8 Condition Look up'!$A$3:$H$3,0)),"")</f>
        <v/>
      </c>
      <c r="AA50" s="105"/>
      <c r="AB50" s="320" t="str">
        <f>IF(AA50="","",IF(VLOOKUP(AA50,'G-3 Multipliers'!$L$3:$N$6,2,FALSE)=0,"Spatial Data Missing ⚠",VLOOKUP(AA50,'G-3 Multipliers'!$L$3:$N$6,2,FALSE)))</f>
        <v/>
      </c>
      <c r="AC50" s="305" t="str">
        <f>IF(AA50="","",IF(VLOOKUP(AA50,'G-3 Multipliers'!$L$3:$N$6,3,FALSE)=0,"Spatial Data Missing ⚠",VLOOKUP(AA50,'G-3 Multipliers'!$L$3:$N$6,3,FALSE)))</f>
        <v/>
      </c>
      <c r="AD50" s="317" t="str">
        <f t="shared" si="0"/>
        <v/>
      </c>
      <c r="AE50" s="142"/>
      <c r="AF50" s="142"/>
      <c r="AG50" s="301" t="str">
        <f t="shared" si="4"/>
        <v/>
      </c>
      <c r="AH50" s="302" t="str">
        <f t="shared" si="5"/>
        <v/>
      </c>
      <c r="AI50" s="306" t="str">
        <f>IF(AH50="Check Data ⚠","Check Data ⚠",IFERROR(VLOOKUP(AH50,'G-4 Temporal multipliers'!$A$4:$C$36,3,FALSE),""))</f>
        <v/>
      </c>
      <c r="AJ50" s="317" t="str">
        <f>IF(S50="","",VLOOKUP(S50,'G-3 Multipliers'!$A$2:$E$134,4,FALSE))</f>
        <v/>
      </c>
      <c r="AK50" s="301" t="str">
        <f t="shared" si="6"/>
        <v/>
      </c>
      <c r="AL50" s="301" t="str">
        <f t="shared" si="7"/>
        <v/>
      </c>
      <c r="AM50" s="305" t="str">
        <f>IFERROR(IF(F50="","",IF(AH50="Check Data ⚠","Check Data ⚠",VLOOKUP(AL50, 'G-3 Multipliers'!$P$2:$Q$6,2,FALSE))),"")</f>
        <v/>
      </c>
      <c r="AN50" s="728"/>
      <c r="AO50" s="335" t="str">
        <f>IF(AN50="","",IF(VLOOKUP(AN50,'G-3 Multipliers'!$S$3:$T$10,2,FALSE)=0,"Spatial Data Missing ⚠",VLOOKUP(AN50,'G-3 Multipliers'!$S$3:$T$10,2,FALSE)))</f>
        <v/>
      </c>
      <c r="AP50" s="295" t="str">
        <f t="shared" si="8"/>
        <v/>
      </c>
      <c r="AQ50" s="295" t="str">
        <f t="shared" si="9"/>
        <v/>
      </c>
      <c r="AR50" s="109"/>
      <c r="AS50" s="142"/>
      <c r="AT50" s="108"/>
      <c r="AU50" s="108"/>
      <c r="AY50" s="30" t="str">
        <f>IF(E50="","",IF(ISNA(VLOOKUP($E50,'D-1 Off-Site Habitat Baseline'!$D$1:$AV$258,4,FALSE)),"",(VLOOKUP($E50,'D-1 Off-Site Habitat Baseline'!$D$1:$AV$258,4,FALSE))))</f>
        <v/>
      </c>
    </row>
    <row r="51" spans="1:51" x14ac:dyDescent="0.25">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325" t="str">
        <f>'D-1 Off-Site Habitat Baseline'!AP50</f>
        <v/>
      </c>
      <c r="F51" s="289" t="str">
        <f>IF(E51="","",IF(ISNA(VLOOKUP($E51,'D-1 Off-Site Habitat Baseline'!$D$1:$ZZ$258,45,FALSE)),"",(VLOOKUP($E51,'D-1 Off-Site Habitat Baseline'!$D$1:$ZZ$258,45,FALSE))))</f>
        <v/>
      </c>
      <c r="G51" s="301" t="str">
        <f>IF(E51="","",IF(ISNA(VLOOKUP($E51,'D-1 Off-Site Habitat Baseline'!$D$1:$O$258,5,FALSE)),"",(VLOOKUP($E51,'D-1 Off-Site Habitat Baseline'!$D$1:$O$258,5,FALSE))))</f>
        <v/>
      </c>
      <c r="H51" s="301" t="str">
        <f>IF(E51="","",IF(ISNA(VLOOKUP($E51,'D-1 Off-Site Habitat Baseline'!$D$1:$O$258,6,FALSE)),"",(VLOOKUP($E51,'D-1 Off-Site Habitat Baseline'!$D$1:$O$258,6,FALSE))))</f>
        <v/>
      </c>
      <c r="I51" s="301" t="str">
        <f>IF(E51="","",IF(ISNA(VLOOKUP($E51,'D-1 Off-Site Habitat Baseline'!$D$1:$O$258,7,FALSE)),"",(VLOOKUP($E51,'D-1 Off-Site Habitat Baseline'!$D$1:$O$258,7,FALSE))))</f>
        <v/>
      </c>
      <c r="J51" s="301" t="str">
        <f>IF(E51="","",IF(ISNA(VLOOKUP($E51,'D-1 Off-Site Habitat Baseline'!$D$1:$O$258,8,FALSE)),"",(VLOOKUP($E51,'D-1 Off-Site Habitat Baseline'!$D$1:$O$258,8,FALSE))))</f>
        <v/>
      </c>
      <c r="K51" s="301" t="str">
        <f>IF(E51="","",IF(ISNA(VLOOKUP($E51,'D-1 Off-Site Habitat Baseline'!$D$1:$O$258,9,FALSE)),"",(VLOOKUP($E51,'D-1 Off-Site Habitat Baseline'!$D$1:$O$258,9,FALSE))))</f>
        <v/>
      </c>
      <c r="L51" s="301" t="str">
        <f>IF(E51="","",IF(ISNA(VLOOKUP($E51,'D-1 Off-Site Habitat Baseline'!$D$1:$O$258,11,FALSE)),"",(VLOOKUP($E51,'D-1 Off-Site Habitat Baseline'!$D$1:$O$258,11,FALSE))))</f>
        <v/>
      </c>
      <c r="M51" s="301" t="str">
        <f>IF(E51="","",IF(ISNA(VLOOKUP($E51,'D-1 Off-Site Habitat Baseline'!$D$1:$O$258,12,FALSE)),"",(VLOOKUP($E51,'D-1 Off-Site Habitat Baseline'!$D$1:$O$258,12,FALSE))))</f>
        <v/>
      </c>
      <c r="N51" s="301" t="str">
        <f>IF(E51="","",IF(ISNA(VLOOKUP($E51,'D-1 Off-Site Habitat Baseline'!$D$1:$AA$258,17,FALSE)),"",(VLOOKUP($E51,'D-1 Off-Site Habitat Baseline'!$D$1:$AA$258,17,FALSE))))</f>
        <v/>
      </c>
      <c r="O51" s="305" t="str">
        <f>IF(E51="","",IF(ISNA(VLOOKUP($E51,'D-1 Off-Site Habitat Baseline'!$D$1:$AA$258,13,FALSE)),"",(VLOOKUP($E51,'D-1 Off-Site Habitat Baseline'!$D$1:$AA$258,13,FALSE))))</f>
        <v/>
      </c>
      <c r="P51" s="152" t="str">
        <f>IFERROR(INDEX('G-1 All Habitats'!$AG$49:$AG$63,MATCH(Q51,'G-1 All Habitats'!$AF$27:$AF$41,0)),"")</f>
        <v/>
      </c>
      <c r="Q51" s="153"/>
      <c r="R51" s="154"/>
      <c r="S51" s="155" t="str">
        <f>IFERROR(INDEX('G-1 All Habitats'!$B$3:$B$135,MATCH(R51,'G-1 All Habitats'!$A$3:$A$135,0)),"")</f>
        <v/>
      </c>
      <c r="T51" s="289" t="str">
        <f t="shared" si="1"/>
        <v/>
      </c>
      <c r="U51" s="305" t="str">
        <f t="shared" si="2"/>
        <v/>
      </c>
      <c r="V51" s="304" t="str">
        <f t="shared" si="3"/>
        <v/>
      </c>
      <c r="W51" s="301" t="str">
        <f>IF(S51="","",VLOOKUP(S51,'G-1 All Habitats'!$B$2:$M$135,10,FALSE))</f>
        <v/>
      </c>
      <c r="X51" s="301" t="str">
        <f>IFERROR(VLOOKUP(W51,'G-1 All Habitats'!$V$3:$W$7,2,FALSE),"")</f>
        <v/>
      </c>
      <c r="Y51" s="142"/>
      <c r="Z51" s="305" t="str">
        <f>IFERROR(INDEX('G-8 Condition Look up'!$A$3:$H$135,MATCH(S51,'G-8 Condition Look up'!$A$3:$A$135,0),MATCH(Y51,'G-8 Condition Look up'!$A$3:$H$3,0)),"")</f>
        <v/>
      </c>
      <c r="AA51" s="105"/>
      <c r="AB51" s="320" t="str">
        <f>IF(AA51="","",IF(VLOOKUP(AA51,'G-3 Multipliers'!$L$3:$N$6,2,FALSE)=0,"Spatial Data Missing ⚠",VLOOKUP(AA51,'G-3 Multipliers'!$L$3:$N$6,2,FALSE)))</f>
        <v/>
      </c>
      <c r="AC51" s="305" t="str">
        <f>IF(AA51="","",IF(VLOOKUP(AA51,'G-3 Multipliers'!$L$3:$N$6,3,FALSE)=0,"Spatial Data Missing ⚠",VLOOKUP(AA51,'G-3 Multipliers'!$L$3:$N$6,3,FALSE)))</f>
        <v/>
      </c>
      <c r="AD51" s="317" t="str">
        <f t="shared" si="0"/>
        <v/>
      </c>
      <c r="AE51" s="142"/>
      <c r="AF51" s="142"/>
      <c r="AG51" s="301" t="str">
        <f t="shared" si="4"/>
        <v/>
      </c>
      <c r="AH51" s="302" t="str">
        <f t="shared" si="5"/>
        <v/>
      </c>
      <c r="AI51" s="306" t="str">
        <f>IF(AH51="Check Data ⚠","Check Data ⚠",IFERROR(VLOOKUP(AH51,'G-4 Temporal multipliers'!$A$4:$C$36,3,FALSE),""))</f>
        <v/>
      </c>
      <c r="AJ51" s="317" t="str">
        <f>IF(S51="","",VLOOKUP(S51,'G-3 Multipliers'!$A$2:$E$134,4,FALSE))</f>
        <v/>
      </c>
      <c r="AK51" s="301" t="str">
        <f t="shared" si="6"/>
        <v/>
      </c>
      <c r="AL51" s="301" t="str">
        <f t="shared" si="7"/>
        <v/>
      </c>
      <c r="AM51" s="305" t="str">
        <f>IFERROR(IF(F51="","",IF(AH51="Check Data ⚠","Check Data ⚠",VLOOKUP(AL51, 'G-3 Multipliers'!$P$2:$Q$6,2,FALSE))),"")</f>
        <v/>
      </c>
      <c r="AN51" s="728"/>
      <c r="AO51" s="335" t="str">
        <f>IF(AN51="","",IF(VLOOKUP(AN51,'G-3 Multipliers'!$S$3:$T$10,2,FALSE)=0,"Spatial Data Missing ⚠",VLOOKUP(AN51,'G-3 Multipliers'!$S$3:$T$10,2,FALSE)))</f>
        <v/>
      </c>
      <c r="AP51" s="295" t="str">
        <f t="shared" si="8"/>
        <v/>
      </c>
      <c r="AQ51" s="295" t="str">
        <f t="shared" si="9"/>
        <v/>
      </c>
      <c r="AR51" s="109"/>
      <c r="AS51" s="142"/>
      <c r="AT51" s="108"/>
      <c r="AU51" s="108"/>
      <c r="AY51" s="30" t="str">
        <f>IF(E51="","",IF(ISNA(VLOOKUP($E51,'D-1 Off-Site Habitat Baseline'!$D$1:$AV$258,4,FALSE)),"",(VLOOKUP($E51,'D-1 Off-Site Habitat Baseline'!$D$1:$AV$258,4,FALSE))))</f>
        <v/>
      </c>
    </row>
    <row r="52" spans="1:51" x14ac:dyDescent="0.25">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325" t="str">
        <f>'D-1 Off-Site Habitat Baseline'!AP51</f>
        <v/>
      </c>
      <c r="F52" s="289" t="str">
        <f>IF(E52="","",IF(ISNA(VLOOKUP($E52,'D-1 Off-Site Habitat Baseline'!$D$1:$ZZ$258,45,FALSE)),"",(VLOOKUP($E52,'D-1 Off-Site Habitat Baseline'!$D$1:$ZZ$258,45,FALSE))))</f>
        <v/>
      </c>
      <c r="G52" s="301" t="str">
        <f>IF(E52="","",IF(ISNA(VLOOKUP($E52,'D-1 Off-Site Habitat Baseline'!$D$1:$O$258,5,FALSE)),"",(VLOOKUP($E52,'D-1 Off-Site Habitat Baseline'!$D$1:$O$258,5,FALSE))))</f>
        <v/>
      </c>
      <c r="H52" s="301" t="str">
        <f>IF(E52="","",IF(ISNA(VLOOKUP($E52,'D-1 Off-Site Habitat Baseline'!$D$1:$O$258,6,FALSE)),"",(VLOOKUP($E52,'D-1 Off-Site Habitat Baseline'!$D$1:$O$258,6,FALSE))))</f>
        <v/>
      </c>
      <c r="I52" s="301" t="str">
        <f>IF(E52="","",IF(ISNA(VLOOKUP($E52,'D-1 Off-Site Habitat Baseline'!$D$1:$O$258,7,FALSE)),"",(VLOOKUP($E52,'D-1 Off-Site Habitat Baseline'!$D$1:$O$258,7,FALSE))))</f>
        <v/>
      </c>
      <c r="J52" s="301" t="str">
        <f>IF(E52="","",IF(ISNA(VLOOKUP($E52,'D-1 Off-Site Habitat Baseline'!$D$1:$O$258,8,FALSE)),"",(VLOOKUP($E52,'D-1 Off-Site Habitat Baseline'!$D$1:$O$258,8,FALSE))))</f>
        <v/>
      </c>
      <c r="K52" s="301" t="str">
        <f>IF(E52="","",IF(ISNA(VLOOKUP($E52,'D-1 Off-Site Habitat Baseline'!$D$1:$O$258,9,FALSE)),"",(VLOOKUP($E52,'D-1 Off-Site Habitat Baseline'!$D$1:$O$258,9,FALSE))))</f>
        <v/>
      </c>
      <c r="L52" s="301" t="str">
        <f>IF(E52="","",IF(ISNA(VLOOKUP($E52,'D-1 Off-Site Habitat Baseline'!$D$1:$O$258,11,FALSE)),"",(VLOOKUP($E52,'D-1 Off-Site Habitat Baseline'!$D$1:$O$258,11,FALSE))))</f>
        <v/>
      </c>
      <c r="M52" s="301" t="str">
        <f>IF(E52="","",IF(ISNA(VLOOKUP($E52,'D-1 Off-Site Habitat Baseline'!$D$1:$O$258,12,FALSE)),"",(VLOOKUP($E52,'D-1 Off-Site Habitat Baseline'!$D$1:$O$258,12,FALSE))))</f>
        <v/>
      </c>
      <c r="N52" s="301" t="str">
        <f>IF(E52="","",IF(ISNA(VLOOKUP($E52,'D-1 Off-Site Habitat Baseline'!$D$1:$AA$258,17,FALSE)),"",(VLOOKUP($E52,'D-1 Off-Site Habitat Baseline'!$D$1:$AA$258,17,FALSE))))</f>
        <v/>
      </c>
      <c r="O52" s="305" t="str">
        <f>IF(E52="","",IF(ISNA(VLOOKUP($E52,'D-1 Off-Site Habitat Baseline'!$D$1:$AA$258,13,FALSE)),"",(VLOOKUP($E52,'D-1 Off-Site Habitat Baseline'!$D$1:$AA$258,13,FALSE))))</f>
        <v/>
      </c>
      <c r="P52" s="152" t="str">
        <f>IFERROR(INDEX('G-1 All Habitats'!$AG$49:$AG$63,MATCH(Q52,'G-1 All Habitats'!$AF$27:$AF$41,0)),"")</f>
        <v/>
      </c>
      <c r="Q52" s="153"/>
      <c r="R52" s="154"/>
      <c r="S52" s="155" t="str">
        <f>IFERROR(INDEX('G-1 All Habitats'!$B$3:$B$135,MATCH(R52,'G-1 All Habitats'!$A$3:$A$135,0)),"")</f>
        <v/>
      </c>
      <c r="T52" s="289" t="str">
        <f t="shared" si="1"/>
        <v/>
      </c>
      <c r="U52" s="305" t="str">
        <f t="shared" si="2"/>
        <v/>
      </c>
      <c r="V52" s="304" t="str">
        <f t="shared" si="3"/>
        <v/>
      </c>
      <c r="W52" s="301" t="str">
        <f>IF(S52="","",VLOOKUP(S52,'G-1 All Habitats'!$B$2:$M$135,10,FALSE))</f>
        <v/>
      </c>
      <c r="X52" s="301" t="str">
        <f>IFERROR(VLOOKUP(W52,'G-1 All Habitats'!$V$3:$W$7,2,FALSE),"")</f>
        <v/>
      </c>
      <c r="Y52" s="142"/>
      <c r="Z52" s="305" t="str">
        <f>IFERROR(INDEX('G-8 Condition Look up'!$A$3:$H$135,MATCH(S52,'G-8 Condition Look up'!$A$3:$A$135,0),MATCH(Y52,'G-8 Condition Look up'!$A$3:$H$3,0)),"")</f>
        <v/>
      </c>
      <c r="AA52" s="105"/>
      <c r="AB52" s="320" t="str">
        <f>IF(AA52="","",IF(VLOOKUP(AA52,'G-3 Multipliers'!$L$3:$N$6,2,FALSE)=0,"Spatial Data Missing ⚠",VLOOKUP(AA52,'G-3 Multipliers'!$L$3:$N$6,2,FALSE)))</f>
        <v/>
      </c>
      <c r="AC52" s="305" t="str">
        <f>IF(AA52="","",IF(VLOOKUP(AA52,'G-3 Multipliers'!$L$3:$N$6,3,FALSE)=0,"Spatial Data Missing ⚠",VLOOKUP(AA52,'G-3 Multipliers'!$L$3:$N$6,3,FALSE)))</f>
        <v/>
      </c>
      <c r="AD52" s="317" t="str">
        <f t="shared" si="0"/>
        <v/>
      </c>
      <c r="AE52" s="142"/>
      <c r="AF52" s="142"/>
      <c r="AG52" s="301" t="str">
        <f t="shared" si="4"/>
        <v/>
      </c>
      <c r="AH52" s="302" t="str">
        <f t="shared" si="5"/>
        <v/>
      </c>
      <c r="AI52" s="306" t="str">
        <f>IF(AH52="Check Data ⚠","Check Data ⚠",IFERROR(VLOOKUP(AH52,'G-4 Temporal multipliers'!$A$4:$C$36,3,FALSE),""))</f>
        <v/>
      </c>
      <c r="AJ52" s="317" t="str">
        <f>IF(S52="","",VLOOKUP(S52,'G-3 Multipliers'!$A$2:$E$134,4,FALSE))</f>
        <v/>
      </c>
      <c r="AK52" s="301" t="str">
        <f t="shared" si="6"/>
        <v/>
      </c>
      <c r="AL52" s="301" t="str">
        <f t="shared" si="7"/>
        <v/>
      </c>
      <c r="AM52" s="305" t="str">
        <f>IFERROR(IF(F52="","",IF(AH52="Check Data ⚠","Check Data ⚠",VLOOKUP(AL52, 'G-3 Multipliers'!$P$2:$Q$6,2,FALSE))),"")</f>
        <v/>
      </c>
      <c r="AN52" s="728"/>
      <c r="AO52" s="335" t="str">
        <f>IF(AN52="","",IF(VLOOKUP(AN52,'G-3 Multipliers'!$S$3:$T$10,2,FALSE)=0,"Spatial Data Missing ⚠",VLOOKUP(AN52,'G-3 Multipliers'!$S$3:$T$10,2,FALSE)))</f>
        <v/>
      </c>
      <c r="AP52" s="295" t="str">
        <f t="shared" si="8"/>
        <v/>
      </c>
      <c r="AQ52" s="295" t="str">
        <f t="shared" si="9"/>
        <v/>
      </c>
      <c r="AR52" s="109"/>
      <c r="AS52" s="142"/>
      <c r="AT52" s="108"/>
      <c r="AU52" s="108"/>
      <c r="AY52" s="30" t="str">
        <f>IF(E52="","",IF(ISNA(VLOOKUP($E52,'D-1 Off-Site Habitat Baseline'!$D$1:$AV$258,4,FALSE)),"",(VLOOKUP($E52,'D-1 Off-Site Habitat Baseline'!$D$1:$AV$258,4,FALSE))))</f>
        <v/>
      </c>
    </row>
    <row r="53" spans="1:51" x14ac:dyDescent="0.25">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325" t="str">
        <f>'D-1 Off-Site Habitat Baseline'!AP52</f>
        <v/>
      </c>
      <c r="F53" s="289" t="str">
        <f>IF(E53="","",IF(ISNA(VLOOKUP($E53,'D-1 Off-Site Habitat Baseline'!$D$1:$ZZ$258,45,FALSE)),"",(VLOOKUP($E53,'D-1 Off-Site Habitat Baseline'!$D$1:$ZZ$258,45,FALSE))))</f>
        <v/>
      </c>
      <c r="G53" s="301" t="str">
        <f>IF(E53="","",IF(ISNA(VLOOKUP($E53,'D-1 Off-Site Habitat Baseline'!$D$1:$O$258,5,FALSE)),"",(VLOOKUP($E53,'D-1 Off-Site Habitat Baseline'!$D$1:$O$258,5,FALSE))))</f>
        <v/>
      </c>
      <c r="H53" s="301" t="str">
        <f>IF(E53="","",IF(ISNA(VLOOKUP($E53,'D-1 Off-Site Habitat Baseline'!$D$1:$O$258,6,FALSE)),"",(VLOOKUP($E53,'D-1 Off-Site Habitat Baseline'!$D$1:$O$258,6,FALSE))))</f>
        <v/>
      </c>
      <c r="I53" s="301" t="str">
        <f>IF(E53="","",IF(ISNA(VLOOKUP($E53,'D-1 Off-Site Habitat Baseline'!$D$1:$O$258,7,FALSE)),"",(VLOOKUP($E53,'D-1 Off-Site Habitat Baseline'!$D$1:$O$258,7,FALSE))))</f>
        <v/>
      </c>
      <c r="J53" s="301" t="str">
        <f>IF(E53="","",IF(ISNA(VLOOKUP($E53,'D-1 Off-Site Habitat Baseline'!$D$1:$O$258,8,FALSE)),"",(VLOOKUP($E53,'D-1 Off-Site Habitat Baseline'!$D$1:$O$258,8,FALSE))))</f>
        <v/>
      </c>
      <c r="K53" s="301" t="str">
        <f>IF(E53="","",IF(ISNA(VLOOKUP($E53,'D-1 Off-Site Habitat Baseline'!$D$1:$O$258,9,FALSE)),"",(VLOOKUP($E53,'D-1 Off-Site Habitat Baseline'!$D$1:$O$258,9,FALSE))))</f>
        <v/>
      </c>
      <c r="L53" s="301" t="str">
        <f>IF(E53="","",IF(ISNA(VLOOKUP($E53,'D-1 Off-Site Habitat Baseline'!$D$1:$O$258,11,FALSE)),"",(VLOOKUP($E53,'D-1 Off-Site Habitat Baseline'!$D$1:$O$258,11,FALSE))))</f>
        <v/>
      </c>
      <c r="M53" s="301" t="str">
        <f>IF(E53="","",IF(ISNA(VLOOKUP($E53,'D-1 Off-Site Habitat Baseline'!$D$1:$O$258,12,FALSE)),"",(VLOOKUP($E53,'D-1 Off-Site Habitat Baseline'!$D$1:$O$258,12,FALSE))))</f>
        <v/>
      </c>
      <c r="N53" s="301" t="str">
        <f>IF(E53="","",IF(ISNA(VLOOKUP($E53,'D-1 Off-Site Habitat Baseline'!$D$1:$AA$258,17,FALSE)),"",(VLOOKUP($E53,'D-1 Off-Site Habitat Baseline'!$D$1:$AA$258,17,FALSE))))</f>
        <v/>
      </c>
      <c r="O53" s="305" t="str">
        <f>IF(E53="","",IF(ISNA(VLOOKUP($E53,'D-1 Off-Site Habitat Baseline'!$D$1:$AA$258,13,FALSE)),"",(VLOOKUP($E53,'D-1 Off-Site Habitat Baseline'!$D$1:$AA$258,13,FALSE))))</f>
        <v/>
      </c>
      <c r="P53" s="152" t="str">
        <f>IFERROR(INDEX('G-1 All Habitats'!$AG$49:$AG$63,MATCH(Q53,'G-1 All Habitats'!$AF$27:$AF$41,0)),"")</f>
        <v/>
      </c>
      <c r="Q53" s="153"/>
      <c r="R53" s="154"/>
      <c r="S53" s="155" t="str">
        <f>IFERROR(INDEX('G-1 All Habitats'!$B$3:$B$135,MATCH(R53,'G-1 All Habitats'!$A$3:$A$135,0)),"")</f>
        <v/>
      </c>
      <c r="T53" s="289" t="str">
        <f t="shared" si="1"/>
        <v/>
      </c>
      <c r="U53" s="305" t="str">
        <f t="shared" si="2"/>
        <v/>
      </c>
      <c r="V53" s="304" t="str">
        <f t="shared" si="3"/>
        <v/>
      </c>
      <c r="W53" s="301" t="str">
        <f>IF(S53="","",VLOOKUP(S53,'G-1 All Habitats'!$B$2:$M$135,10,FALSE))</f>
        <v/>
      </c>
      <c r="X53" s="301" t="str">
        <f>IFERROR(VLOOKUP(W53,'G-1 All Habitats'!$V$3:$W$7,2,FALSE),"")</f>
        <v/>
      </c>
      <c r="Y53" s="142"/>
      <c r="Z53" s="305" t="str">
        <f>IFERROR(INDEX('G-8 Condition Look up'!$A$3:$H$135,MATCH(S53,'G-8 Condition Look up'!$A$3:$A$135,0),MATCH(Y53,'G-8 Condition Look up'!$A$3:$H$3,0)),"")</f>
        <v/>
      </c>
      <c r="AA53" s="105"/>
      <c r="AB53" s="320" t="str">
        <f>IF(AA53="","",IF(VLOOKUP(AA53,'G-3 Multipliers'!$L$3:$N$6,2,FALSE)=0,"Spatial Data Missing ⚠",VLOOKUP(AA53,'G-3 Multipliers'!$L$3:$N$6,2,FALSE)))</f>
        <v/>
      </c>
      <c r="AC53" s="305" t="str">
        <f>IF(AA53="","",IF(VLOOKUP(AA53,'G-3 Multipliers'!$L$3:$N$6,3,FALSE)=0,"Spatial Data Missing ⚠",VLOOKUP(AA53,'G-3 Multipliers'!$L$3:$N$6,3,FALSE)))</f>
        <v/>
      </c>
      <c r="AD53" s="317" t="str">
        <f t="shared" si="0"/>
        <v/>
      </c>
      <c r="AE53" s="142"/>
      <c r="AF53" s="142"/>
      <c r="AG53" s="301" t="str">
        <f t="shared" si="4"/>
        <v/>
      </c>
      <c r="AH53" s="302" t="str">
        <f t="shared" si="5"/>
        <v/>
      </c>
      <c r="AI53" s="306" t="str">
        <f>IF(AH53="Check Data ⚠","Check Data ⚠",IFERROR(VLOOKUP(AH53,'G-4 Temporal multipliers'!$A$4:$C$36,3,FALSE),""))</f>
        <v/>
      </c>
      <c r="AJ53" s="317" t="str">
        <f>IF(S53="","",VLOOKUP(S53,'G-3 Multipliers'!$A$2:$E$134,4,FALSE))</f>
        <v/>
      </c>
      <c r="AK53" s="301" t="str">
        <f t="shared" si="6"/>
        <v/>
      </c>
      <c r="AL53" s="301" t="str">
        <f t="shared" si="7"/>
        <v/>
      </c>
      <c r="AM53" s="305" t="str">
        <f>IFERROR(IF(F53="","",IF(AH53="Check Data ⚠","Check Data ⚠",VLOOKUP(AL53, 'G-3 Multipliers'!$P$2:$Q$6,2,FALSE))),"")</f>
        <v/>
      </c>
      <c r="AN53" s="728"/>
      <c r="AO53" s="335" t="str">
        <f>IF(AN53="","",IF(VLOOKUP(AN53,'G-3 Multipliers'!$S$3:$T$10,2,FALSE)=0,"Spatial Data Missing ⚠",VLOOKUP(AN53,'G-3 Multipliers'!$S$3:$T$10,2,FALSE)))</f>
        <v/>
      </c>
      <c r="AP53" s="295" t="str">
        <f t="shared" si="8"/>
        <v/>
      </c>
      <c r="AQ53" s="295" t="str">
        <f t="shared" si="9"/>
        <v/>
      </c>
      <c r="AR53" s="109"/>
      <c r="AS53" s="142"/>
      <c r="AT53" s="108"/>
      <c r="AU53" s="108"/>
      <c r="AY53" s="30" t="str">
        <f>IF(E53="","",IF(ISNA(VLOOKUP($E53,'D-1 Off-Site Habitat Baseline'!$D$1:$AV$258,4,FALSE)),"",(VLOOKUP($E53,'D-1 Off-Site Habitat Baseline'!$D$1:$AV$258,4,FALSE))))</f>
        <v/>
      </c>
    </row>
    <row r="54" spans="1:51" x14ac:dyDescent="0.25">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325" t="str">
        <f>'D-1 Off-Site Habitat Baseline'!AP53</f>
        <v/>
      </c>
      <c r="F54" s="289" t="str">
        <f>IF(E54="","",IF(ISNA(VLOOKUP($E54,'D-1 Off-Site Habitat Baseline'!$D$1:$ZZ$258,45,FALSE)),"",(VLOOKUP($E54,'D-1 Off-Site Habitat Baseline'!$D$1:$ZZ$258,45,FALSE))))</f>
        <v/>
      </c>
      <c r="G54" s="301" t="str">
        <f>IF(E54="","",IF(ISNA(VLOOKUP($E54,'D-1 Off-Site Habitat Baseline'!$D$1:$O$258,5,FALSE)),"",(VLOOKUP($E54,'D-1 Off-Site Habitat Baseline'!$D$1:$O$258,5,FALSE))))</f>
        <v/>
      </c>
      <c r="H54" s="301" t="str">
        <f>IF(E54="","",IF(ISNA(VLOOKUP($E54,'D-1 Off-Site Habitat Baseline'!$D$1:$O$258,6,FALSE)),"",(VLOOKUP($E54,'D-1 Off-Site Habitat Baseline'!$D$1:$O$258,6,FALSE))))</f>
        <v/>
      </c>
      <c r="I54" s="301" t="str">
        <f>IF(E54="","",IF(ISNA(VLOOKUP($E54,'D-1 Off-Site Habitat Baseline'!$D$1:$O$258,7,FALSE)),"",(VLOOKUP($E54,'D-1 Off-Site Habitat Baseline'!$D$1:$O$258,7,FALSE))))</f>
        <v/>
      </c>
      <c r="J54" s="301" t="str">
        <f>IF(E54="","",IF(ISNA(VLOOKUP($E54,'D-1 Off-Site Habitat Baseline'!$D$1:$O$258,8,FALSE)),"",(VLOOKUP($E54,'D-1 Off-Site Habitat Baseline'!$D$1:$O$258,8,FALSE))))</f>
        <v/>
      </c>
      <c r="K54" s="301" t="str">
        <f>IF(E54="","",IF(ISNA(VLOOKUP($E54,'D-1 Off-Site Habitat Baseline'!$D$1:$O$258,9,FALSE)),"",(VLOOKUP($E54,'D-1 Off-Site Habitat Baseline'!$D$1:$O$258,9,FALSE))))</f>
        <v/>
      </c>
      <c r="L54" s="301" t="str">
        <f>IF(E54="","",IF(ISNA(VLOOKUP($E54,'D-1 Off-Site Habitat Baseline'!$D$1:$O$258,11,FALSE)),"",(VLOOKUP($E54,'D-1 Off-Site Habitat Baseline'!$D$1:$O$258,11,FALSE))))</f>
        <v/>
      </c>
      <c r="M54" s="301" t="str">
        <f>IF(E54="","",IF(ISNA(VLOOKUP($E54,'D-1 Off-Site Habitat Baseline'!$D$1:$O$258,12,FALSE)),"",(VLOOKUP($E54,'D-1 Off-Site Habitat Baseline'!$D$1:$O$258,12,FALSE))))</f>
        <v/>
      </c>
      <c r="N54" s="301" t="str">
        <f>IF(E54="","",IF(ISNA(VLOOKUP($E54,'D-1 Off-Site Habitat Baseline'!$D$1:$AA$258,17,FALSE)),"",(VLOOKUP($E54,'D-1 Off-Site Habitat Baseline'!$D$1:$AA$258,17,FALSE))))</f>
        <v/>
      </c>
      <c r="O54" s="305" t="str">
        <f>IF(E54="","",IF(ISNA(VLOOKUP($E54,'D-1 Off-Site Habitat Baseline'!$D$1:$AA$258,13,FALSE)),"",(VLOOKUP($E54,'D-1 Off-Site Habitat Baseline'!$D$1:$AA$258,13,FALSE))))</f>
        <v/>
      </c>
      <c r="P54" s="152" t="str">
        <f>IFERROR(INDEX('G-1 All Habitats'!$AG$49:$AG$63,MATCH(Q54,'G-1 All Habitats'!$AF$27:$AF$41,0)),"")</f>
        <v/>
      </c>
      <c r="Q54" s="153"/>
      <c r="R54" s="154"/>
      <c r="S54" s="155" t="str">
        <f>IFERROR(INDEX('G-1 All Habitats'!$B$3:$B$135,MATCH(R54,'G-1 All Habitats'!$A$3:$A$135,0)),"")</f>
        <v/>
      </c>
      <c r="T54" s="289" t="str">
        <f t="shared" si="1"/>
        <v/>
      </c>
      <c r="U54" s="305" t="str">
        <f t="shared" si="2"/>
        <v/>
      </c>
      <c r="V54" s="304" t="str">
        <f t="shared" si="3"/>
        <v/>
      </c>
      <c r="W54" s="301" t="str">
        <f>IF(S54="","",VLOOKUP(S54,'G-1 All Habitats'!$B$2:$M$135,10,FALSE))</f>
        <v/>
      </c>
      <c r="X54" s="301" t="str">
        <f>IFERROR(VLOOKUP(W54,'G-1 All Habitats'!$V$3:$W$7,2,FALSE),"")</f>
        <v/>
      </c>
      <c r="Y54" s="142"/>
      <c r="Z54" s="305" t="str">
        <f>IFERROR(INDEX('G-8 Condition Look up'!$A$3:$H$135,MATCH(S54,'G-8 Condition Look up'!$A$3:$A$135,0),MATCH(Y54,'G-8 Condition Look up'!$A$3:$H$3,0)),"")</f>
        <v/>
      </c>
      <c r="AA54" s="105"/>
      <c r="AB54" s="320" t="str">
        <f>IF(AA54="","",IF(VLOOKUP(AA54,'G-3 Multipliers'!$L$3:$N$6,2,FALSE)=0,"Spatial Data Missing ⚠",VLOOKUP(AA54,'G-3 Multipliers'!$L$3:$N$6,2,FALSE)))</f>
        <v/>
      </c>
      <c r="AC54" s="305" t="str">
        <f>IF(AA54="","",IF(VLOOKUP(AA54,'G-3 Multipliers'!$L$3:$N$6,3,FALSE)=0,"Spatial Data Missing ⚠",VLOOKUP(AA54,'G-3 Multipliers'!$L$3:$N$6,3,FALSE)))</f>
        <v/>
      </c>
      <c r="AD54" s="317" t="str">
        <f t="shared" si="0"/>
        <v/>
      </c>
      <c r="AE54" s="142"/>
      <c r="AF54" s="142"/>
      <c r="AG54" s="301" t="str">
        <f t="shared" si="4"/>
        <v/>
      </c>
      <c r="AH54" s="302" t="str">
        <f t="shared" si="5"/>
        <v/>
      </c>
      <c r="AI54" s="306" t="str">
        <f>IF(AH54="Check Data ⚠","Check Data ⚠",IFERROR(VLOOKUP(AH54,'G-4 Temporal multipliers'!$A$4:$C$36,3,FALSE),""))</f>
        <v/>
      </c>
      <c r="AJ54" s="317" t="str">
        <f>IF(S54="","",VLOOKUP(S54,'G-3 Multipliers'!$A$2:$E$134,4,FALSE))</f>
        <v/>
      </c>
      <c r="AK54" s="301" t="str">
        <f t="shared" si="6"/>
        <v/>
      </c>
      <c r="AL54" s="301" t="str">
        <f t="shared" si="7"/>
        <v/>
      </c>
      <c r="AM54" s="305" t="str">
        <f>IFERROR(IF(F54="","",IF(AH54="Check Data ⚠","Check Data ⚠",VLOOKUP(AL54, 'G-3 Multipliers'!$P$2:$Q$6,2,FALSE))),"")</f>
        <v/>
      </c>
      <c r="AN54" s="728"/>
      <c r="AO54" s="335" t="str">
        <f>IF(AN54="","",IF(VLOOKUP(AN54,'G-3 Multipliers'!$S$3:$T$10,2,FALSE)=0,"Spatial Data Missing ⚠",VLOOKUP(AN54,'G-3 Multipliers'!$S$3:$T$10,2,FALSE)))</f>
        <v/>
      </c>
      <c r="AP54" s="295" t="str">
        <f t="shared" si="8"/>
        <v/>
      </c>
      <c r="AQ54" s="295" t="str">
        <f t="shared" si="9"/>
        <v/>
      </c>
      <c r="AR54" s="109"/>
      <c r="AS54" s="142"/>
      <c r="AT54" s="108"/>
      <c r="AU54" s="108"/>
      <c r="AY54" s="30" t="str">
        <f>IF(E54="","",IF(ISNA(VLOOKUP($E54,'D-1 Off-Site Habitat Baseline'!$D$1:$AV$258,4,FALSE)),"",(VLOOKUP($E54,'D-1 Off-Site Habitat Baseline'!$D$1:$AV$258,4,FALSE))))</f>
        <v/>
      </c>
    </row>
    <row r="55" spans="1:51" x14ac:dyDescent="0.25">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325" t="str">
        <f>'D-1 Off-Site Habitat Baseline'!AP54</f>
        <v/>
      </c>
      <c r="F55" s="289" t="str">
        <f>IF(E55="","",IF(ISNA(VLOOKUP($E55,'D-1 Off-Site Habitat Baseline'!$D$1:$ZZ$258,45,FALSE)),"",(VLOOKUP($E55,'D-1 Off-Site Habitat Baseline'!$D$1:$ZZ$258,45,FALSE))))</f>
        <v/>
      </c>
      <c r="G55" s="301" t="str">
        <f>IF(E55="","",IF(ISNA(VLOOKUP($E55,'D-1 Off-Site Habitat Baseline'!$D$1:$O$258,5,FALSE)),"",(VLOOKUP($E55,'D-1 Off-Site Habitat Baseline'!$D$1:$O$258,5,FALSE))))</f>
        <v/>
      </c>
      <c r="H55" s="301" t="str">
        <f>IF(E55="","",IF(ISNA(VLOOKUP($E55,'D-1 Off-Site Habitat Baseline'!$D$1:$O$258,6,FALSE)),"",(VLOOKUP($E55,'D-1 Off-Site Habitat Baseline'!$D$1:$O$258,6,FALSE))))</f>
        <v/>
      </c>
      <c r="I55" s="301" t="str">
        <f>IF(E55="","",IF(ISNA(VLOOKUP($E55,'D-1 Off-Site Habitat Baseline'!$D$1:$O$258,7,FALSE)),"",(VLOOKUP($E55,'D-1 Off-Site Habitat Baseline'!$D$1:$O$258,7,FALSE))))</f>
        <v/>
      </c>
      <c r="J55" s="301" t="str">
        <f>IF(E55="","",IF(ISNA(VLOOKUP($E55,'D-1 Off-Site Habitat Baseline'!$D$1:$O$258,8,FALSE)),"",(VLOOKUP($E55,'D-1 Off-Site Habitat Baseline'!$D$1:$O$258,8,FALSE))))</f>
        <v/>
      </c>
      <c r="K55" s="301" t="str">
        <f>IF(E55="","",IF(ISNA(VLOOKUP($E55,'D-1 Off-Site Habitat Baseline'!$D$1:$O$258,9,FALSE)),"",(VLOOKUP($E55,'D-1 Off-Site Habitat Baseline'!$D$1:$O$258,9,FALSE))))</f>
        <v/>
      </c>
      <c r="L55" s="301" t="str">
        <f>IF(E55="","",IF(ISNA(VLOOKUP($E55,'D-1 Off-Site Habitat Baseline'!$D$1:$O$258,11,FALSE)),"",(VLOOKUP($E55,'D-1 Off-Site Habitat Baseline'!$D$1:$O$258,11,FALSE))))</f>
        <v/>
      </c>
      <c r="M55" s="301" t="str">
        <f>IF(E55="","",IF(ISNA(VLOOKUP($E55,'D-1 Off-Site Habitat Baseline'!$D$1:$O$258,12,FALSE)),"",(VLOOKUP($E55,'D-1 Off-Site Habitat Baseline'!$D$1:$O$258,12,FALSE))))</f>
        <v/>
      </c>
      <c r="N55" s="301" t="str">
        <f>IF(E55="","",IF(ISNA(VLOOKUP($E55,'D-1 Off-Site Habitat Baseline'!$D$1:$AA$258,17,FALSE)),"",(VLOOKUP($E55,'D-1 Off-Site Habitat Baseline'!$D$1:$AA$258,17,FALSE))))</f>
        <v/>
      </c>
      <c r="O55" s="305" t="str">
        <f>IF(E55="","",IF(ISNA(VLOOKUP($E55,'D-1 Off-Site Habitat Baseline'!$D$1:$AA$258,13,FALSE)),"",(VLOOKUP($E55,'D-1 Off-Site Habitat Baseline'!$D$1:$AA$258,13,FALSE))))</f>
        <v/>
      </c>
      <c r="P55" s="152" t="str">
        <f>IFERROR(INDEX('G-1 All Habitats'!$AG$49:$AG$63,MATCH(Q55,'G-1 All Habitats'!$AF$27:$AF$41,0)),"")</f>
        <v/>
      </c>
      <c r="Q55" s="153"/>
      <c r="R55" s="154"/>
      <c r="S55" s="155" t="str">
        <f>IFERROR(INDEX('G-1 All Habitats'!$B$3:$B$135,MATCH(R55,'G-1 All Habitats'!$A$3:$A$135,0)),"")</f>
        <v/>
      </c>
      <c r="T55" s="289" t="str">
        <f t="shared" si="1"/>
        <v/>
      </c>
      <c r="U55" s="305" t="str">
        <f t="shared" si="2"/>
        <v/>
      </c>
      <c r="V55" s="304" t="str">
        <f t="shared" si="3"/>
        <v/>
      </c>
      <c r="W55" s="301" t="str">
        <f>IF(S55="","",VLOOKUP(S55,'G-1 All Habitats'!$B$2:$M$135,10,FALSE))</f>
        <v/>
      </c>
      <c r="X55" s="301" t="str">
        <f>IFERROR(VLOOKUP(W55,'G-1 All Habitats'!$V$3:$W$7,2,FALSE),"")</f>
        <v/>
      </c>
      <c r="Y55" s="142"/>
      <c r="Z55" s="305" t="str">
        <f>IFERROR(INDEX('G-8 Condition Look up'!$A$3:$H$135,MATCH(S55,'G-8 Condition Look up'!$A$3:$A$135,0),MATCH(Y55,'G-8 Condition Look up'!$A$3:$H$3,0)),"")</f>
        <v/>
      </c>
      <c r="AA55" s="105"/>
      <c r="AB55" s="320" t="str">
        <f>IF(AA55="","",IF(VLOOKUP(AA55,'G-3 Multipliers'!$L$3:$N$6,2,FALSE)=0,"Spatial Data Missing ⚠",VLOOKUP(AA55,'G-3 Multipliers'!$L$3:$N$6,2,FALSE)))</f>
        <v/>
      </c>
      <c r="AC55" s="305" t="str">
        <f>IF(AA55="","",IF(VLOOKUP(AA55,'G-3 Multipliers'!$L$3:$N$6,3,FALSE)=0,"Spatial Data Missing ⚠",VLOOKUP(AA55,'G-3 Multipliers'!$L$3:$N$6,3,FALSE)))</f>
        <v/>
      </c>
      <c r="AD55" s="317" t="str">
        <f t="shared" si="0"/>
        <v/>
      </c>
      <c r="AE55" s="142"/>
      <c r="AF55" s="142"/>
      <c r="AG55" s="301" t="str">
        <f t="shared" si="4"/>
        <v/>
      </c>
      <c r="AH55" s="302" t="str">
        <f t="shared" si="5"/>
        <v/>
      </c>
      <c r="AI55" s="306" t="str">
        <f>IF(AH55="Check Data ⚠","Check Data ⚠",IFERROR(VLOOKUP(AH55,'G-4 Temporal multipliers'!$A$4:$C$36,3,FALSE),""))</f>
        <v/>
      </c>
      <c r="AJ55" s="317" t="str">
        <f>IF(S55="","",VLOOKUP(S55,'G-3 Multipliers'!$A$2:$E$134,4,FALSE))</f>
        <v/>
      </c>
      <c r="AK55" s="301" t="str">
        <f t="shared" si="6"/>
        <v/>
      </c>
      <c r="AL55" s="301" t="str">
        <f t="shared" si="7"/>
        <v/>
      </c>
      <c r="AM55" s="305" t="str">
        <f>IFERROR(IF(F55="","",IF(AH55="Check Data ⚠","Check Data ⚠",VLOOKUP(AL55, 'G-3 Multipliers'!$P$2:$Q$6,2,FALSE))),"")</f>
        <v/>
      </c>
      <c r="AN55" s="728"/>
      <c r="AO55" s="335" t="str">
        <f>IF(AN55="","",IF(VLOOKUP(AN55,'G-3 Multipliers'!$S$3:$T$10,2,FALSE)=0,"Spatial Data Missing ⚠",VLOOKUP(AN55,'G-3 Multipliers'!$S$3:$T$10,2,FALSE)))</f>
        <v/>
      </c>
      <c r="AP55" s="295" t="str">
        <f t="shared" si="8"/>
        <v/>
      </c>
      <c r="AQ55" s="295" t="str">
        <f t="shared" si="9"/>
        <v/>
      </c>
      <c r="AR55" s="109"/>
      <c r="AS55" s="142"/>
      <c r="AT55" s="108"/>
      <c r="AU55" s="108"/>
      <c r="AY55" s="30" t="str">
        <f>IF(E55="","",IF(ISNA(VLOOKUP($E55,'D-1 Off-Site Habitat Baseline'!$D$1:$AV$258,4,FALSE)),"",(VLOOKUP($E55,'D-1 Off-Site Habitat Baseline'!$D$1:$AV$258,4,FALSE))))</f>
        <v/>
      </c>
    </row>
    <row r="56" spans="1:51" x14ac:dyDescent="0.25">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325" t="str">
        <f>'D-1 Off-Site Habitat Baseline'!AP55</f>
        <v/>
      </c>
      <c r="F56" s="289" t="str">
        <f>IF(E56="","",IF(ISNA(VLOOKUP($E56,'D-1 Off-Site Habitat Baseline'!$D$1:$ZZ$258,45,FALSE)),"",(VLOOKUP($E56,'D-1 Off-Site Habitat Baseline'!$D$1:$ZZ$258,45,FALSE))))</f>
        <v/>
      </c>
      <c r="G56" s="301" t="str">
        <f>IF(E56="","",IF(ISNA(VLOOKUP($E56,'D-1 Off-Site Habitat Baseline'!$D$1:$O$258,5,FALSE)),"",(VLOOKUP($E56,'D-1 Off-Site Habitat Baseline'!$D$1:$O$258,5,FALSE))))</f>
        <v/>
      </c>
      <c r="H56" s="301" t="str">
        <f>IF(E56="","",IF(ISNA(VLOOKUP($E56,'D-1 Off-Site Habitat Baseline'!$D$1:$O$258,6,FALSE)),"",(VLOOKUP($E56,'D-1 Off-Site Habitat Baseline'!$D$1:$O$258,6,FALSE))))</f>
        <v/>
      </c>
      <c r="I56" s="301" t="str">
        <f>IF(E56="","",IF(ISNA(VLOOKUP($E56,'D-1 Off-Site Habitat Baseline'!$D$1:$O$258,7,FALSE)),"",(VLOOKUP($E56,'D-1 Off-Site Habitat Baseline'!$D$1:$O$258,7,FALSE))))</f>
        <v/>
      </c>
      <c r="J56" s="301" t="str">
        <f>IF(E56="","",IF(ISNA(VLOOKUP($E56,'D-1 Off-Site Habitat Baseline'!$D$1:$O$258,8,FALSE)),"",(VLOOKUP($E56,'D-1 Off-Site Habitat Baseline'!$D$1:$O$258,8,FALSE))))</f>
        <v/>
      </c>
      <c r="K56" s="301" t="str">
        <f>IF(E56="","",IF(ISNA(VLOOKUP($E56,'D-1 Off-Site Habitat Baseline'!$D$1:$O$258,9,FALSE)),"",(VLOOKUP($E56,'D-1 Off-Site Habitat Baseline'!$D$1:$O$258,9,FALSE))))</f>
        <v/>
      </c>
      <c r="L56" s="301" t="str">
        <f>IF(E56="","",IF(ISNA(VLOOKUP($E56,'D-1 Off-Site Habitat Baseline'!$D$1:$O$258,11,FALSE)),"",(VLOOKUP($E56,'D-1 Off-Site Habitat Baseline'!$D$1:$O$258,11,FALSE))))</f>
        <v/>
      </c>
      <c r="M56" s="301" t="str">
        <f>IF(E56="","",IF(ISNA(VLOOKUP($E56,'D-1 Off-Site Habitat Baseline'!$D$1:$O$258,12,FALSE)),"",(VLOOKUP($E56,'D-1 Off-Site Habitat Baseline'!$D$1:$O$258,12,FALSE))))</f>
        <v/>
      </c>
      <c r="N56" s="301" t="str">
        <f>IF(E56="","",IF(ISNA(VLOOKUP($E56,'D-1 Off-Site Habitat Baseline'!$D$1:$AA$258,17,FALSE)),"",(VLOOKUP($E56,'D-1 Off-Site Habitat Baseline'!$D$1:$AA$258,17,FALSE))))</f>
        <v/>
      </c>
      <c r="O56" s="305" t="str">
        <f>IF(E56="","",IF(ISNA(VLOOKUP($E56,'D-1 Off-Site Habitat Baseline'!$D$1:$AA$258,13,FALSE)),"",(VLOOKUP($E56,'D-1 Off-Site Habitat Baseline'!$D$1:$AA$258,13,FALSE))))</f>
        <v/>
      </c>
      <c r="P56" s="152" t="str">
        <f>IFERROR(INDEX('G-1 All Habitats'!$AG$49:$AG$63,MATCH(Q56,'G-1 All Habitats'!$AF$27:$AF$41,0)),"")</f>
        <v/>
      </c>
      <c r="Q56" s="153"/>
      <c r="R56" s="154"/>
      <c r="S56" s="155" t="str">
        <f>IFERROR(INDEX('G-1 All Habitats'!$B$3:$B$135,MATCH(R56,'G-1 All Habitats'!$A$3:$A$135,0)),"")</f>
        <v/>
      </c>
      <c r="T56" s="289" t="str">
        <f t="shared" si="1"/>
        <v/>
      </c>
      <c r="U56" s="305" t="str">
        <f t="shared" si="2"/>
        <v/>
      </c>
      <c r="V56" s="304" t="str">
        <f t="shared" si="3"/>
        <v/>
      </c>
      <c r="W56" s="301" t="str">
        <f>IF(S56="","",VLOOKUP(S56,'G-1 All Habitats'!$B$2:$M$135,10,FALSE))</f>
        <v/>
      </c>
      <c r="X56" s="301" t="str">
        <f>IFERROR(VLOOKUP(W56,'G-1 All Habitats'!$V$3:$W$7,2,FALSE),"")</f>
        <v/>
      </c>
      <c r="Y56" s="142"/>
      <c r="Z56" s="305" t="str">
        <f>IFERROR(INDEX('G-8 Condition Look up'!$A$3:$H$135,MATCH(S56,'G-8 Condition Look up'!$A$3:$A$135,0),MATCH(Y56,'G-8 Condition Look up'!$A$3:$H$3,0)),"")</f>
        <v/>
      </c>
      <c r="AA56" s="105"/>
      <c r="AB56" s="320" t="str">
        <f>IF(AA56="","",IF(VLOOKUP(AA56,'G-3 Multipliers'!$L$3:$N$6,2,FALSE)=0,"Spatial Data Missing ⚠",VLOOKUP(AA56,'G-3 Multipliers'!$L$3:$N$6,2,FALSE)))</f>
        <v/>
      </c>
      <c r="AC56" s="305" t="str">
        <f>IF(AA56="","",IF(VLOOKUP(AA56,'G-3 Multipliers'!$L$3:$N$6,3,FALSE)=0,"Spatial Data Missing ⚠",VLOOKUP(AA56,'G-3 Multipliers'!$L$3:$N$6,3,FALSE)))</f>
        <v/>
      </c>
      <c r="AD56" s="317" t="str">
        <f t="shared" si="0"/>
        <v/>
      </c>
      <c r="AE56" s="142"/>
      <c r="AF56" s="142"/>
      <c r="AG56" s="301" t="str">
        <f t="shared" si="4"/>
        <v/>
      </c>
      <c r="AH56" s="302" t="str">
        <f t="shared" si="5"/>
        <v/>
      </c>
      <c r="AI56" s="306" t="str">
        <f>IF(AH56="Check Data ⚠","Check Data ⚠",IFERROR(VLOOKUP(AH56,'G-4 Temporal multipliers'!$A$4:$C$36,3,FALSE),""))</f>
        <v/>
      </c>
      <c r="AJ56" s="317" t="str">
        <f>IF(S56="","",VLOOKUP(S56,'G-3 Multipliers'!$A$2:$E$134,4,FALSE))</f>
        <v/>
      </c>
      <c r="AK56" s="301" t="str">
        <f t="shared" si="6"/>
        <v/>
      </c>
      <c r="AL56" s="301" t="str">
        <f t="shared" si="7"/>
        <v/>
      </c>
      <c r="AM56" s="305" t="str">
        <f>IFERROR(IF(F56="","",IF(AH56="Check Data ⚠","Check Data ⚠",VLOOKUP(AL56, 'G-3 Multipliers'!$P$2:$Q$6,2,FALSE))),"")</f>
        <v/>
      </c>
      <c r="AN56" s="728"/>
      <c r="AO56" s="335" t="str">
        <f>IF(AN56="","",IF(VLOOKUP(AN56,'G-3 Multipliers'!$S$3:$T$10,2,FALSE)=0,"Spatial Data Missing ⚠",VLOOKUP(AN56,'G-3 Multipliers'!$S$3:$T$10,2,FALSE)))</f>
        <v/>
      </c>
      <c r="AP56" s="295" t="str">
        <f t="shared" si="8"/>
        <v/>
      </c>
      <c r="AQ56" s="295" t="str">
        <f t="shared" si="9"/>
        <v/>
      </c>
      <c r="AR56" s="109"/>
      <c r="AS56" s="142"/>
      <c r="AT56" s="108"/>
      <c r="AU56" s="108"/>
      <c r="AY56" s="30" t="str">
        <f>IF(E56="","",IF(ISNA(VLOOKUP($E56,'D-1 Off-Site Habitat Baseline'!$D$1:$AV$258,4,FALSE)),"",(VLOOKUP($E56,'D-1 Off-Site Habitat Baseline'!$D$1:$AV$258,4,FALSE))))</f>
        <v/>
      </c>
    </row>
    <row r="57" spans="1:51" x14ac:dyDescent="0.25">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325" t="str">
        <f>'D-1 Off-Site Habitat Baseline'!AP56</f>
        <v/>
      </c>
      <c r="F57" s="289" t="str">
        <f>IF(E57="","",IF(ISNA(VLOOKUP($E57,'D-1 Off-Site Habitat Baseline'!$D$1:$ZZ$258,45,FALSE)),"",(VLOOKUP($E57,'D-1 Off-Site Habitat Baseline'!$D$1:$ZZ$258,45,FALSE))))</f>
        <v/>
      </c>
      <c r="G57" s="301" t="str">
        <f>IF(E57="","",IF(ISNA(VLOOKUP($E57,'D-1 Off-Site Habitat Baseline'!$D$1:$O$258,5,FALSE)),"",(VLOOKUP($E57,'D-1 Off-Site Habitat Baseline'!$D$1:$O$258,5,FALSE))))</f>
        <v/>
      </c>
      <c r="H57" s="301" t="str">
        <f>IF(E57="","",IF(ISNA(VLOOKUP($E57,'D-1 Off-Site Habitat Baseline'!$D$1:$O$258,6,FALSE)),"",(VLOOKUP($E57,'D-1 Off-Site Habitat Baseline'!$D$1:$O$258,6,FALSE))))</f>
        <v/>
      </c>
      <c r="I57" s="301" t="str">
        <f>IF(E57="","",IF(ISNA(VLOOKUP($E57,'D-1 Off-Site Habitat Baseline'!$D$1:$O$258,7,FALSE)),"",(VLOOKUP($E57,'D-1 Off-Site Habitat Baseline'!$D$1:$O$258,7,FALSE))))</f>
        <v/>
      </c>
      <c r="J57" s="301" t="str">
        <f>IF(E57="","",IF(ISNA(VLOOKUP($E57,'D-1 Off-Site Habitat Baseline'!$D$1:$O$258,8,FALSE)),"",(VLOOKUP($E57,'D-1 Off-Site Habitat Baseline'!$D$1:$O$258,8,FALSE))))</f>
        <v/>
      </c>
      <c r="K57" s="301" t="str">
        <f>IF(E57="","",IF(ISNA(VLOOKUP($E57,'D-1 Off-Site Habitat Baseline'!$D$1:$O$258,9,FALSE)),"",(VLOOKUP($E57,'D-1 Off-Site Habitat Baseline'!$D$1:$O$258,9,FALSE))))</f>
        <v/>
      </c>
      <c r="L57" s="301" t="str">
        <f>IF(E57="","",IF(ISNA(VLOOKUP($E57,'D-1 Off-Site Habitat Baseline'!$D$1:$O$258,11,FALSE)),"",(VLOOKUP($E57,'D-1 Off-Site Habitat Baseline'!$D$1:$O$258,11,FALSE))))</f>
        <v/>
      </c>
      <c r="M57" s="301" t="str">
        <f>IF(E57="","",IF(ISNA(VLOOKUP($E57,'D-1 Off-Site Habitat Baseline'!$D$1:$O$258,12,FALSE)),"",(VLOOKUP($E57,'D-1 Off-Site Habitat Baseline'!$D$1:$O$258,12,FALSE))))</f>
        <v/>
      </c>
      <c r="N57" s="301" t="str">
        <f>IF(E57="","",IF(ISNA(VLOOKUP($E57,'D-1 Off-Site Habitat Baseline'!$D$1:$AA$258,17,FALSE)),"",(VLOOKUP($E57,'D-1 Off-Site Habitat Baseline'!$D$1:$AA$258,17,FALSE))))</f>
        <v/>
      </c>
      <c r="O57" s="305" t="str">
        <f>IF(E57="","",IF(ISNA(VLOOKUP($E57,'D-1 Off-Site Habitat Baseline'!$D$1:$AA$258,13,FALSE)),"",(VLOOKUP($E57,'D-1 Off-Site Habitat Baseline'!$D$1:$AA$258,13,FALSE))))</f>
        <v/>
      </c>
      <c r="P57" s="152" t="str">
        <f>IFERROR(INDEX('G-1 All Habitats'!$AG$49:$AG$63,MATCH(Q57,'G-1 All Habitats'!$AF$27:$AF$41,0)),"")</f>
        <v/>
      </c>
      <c r="Q57" s="153"/>
      <c r="R57" s="154"/>
      <c r="S57" s="155" t="str">
        <f>IFERROR(INDEX('G-1 All Habitats'!$B$3:$B$135,MATCH(R57,'G-1 All Habitats'!$A$3:$A$135,0)),"")</f>
        <v/>
      </c>
      <c r="T57" s="289" t="str">
        <f t="shared" si="1"/>
        <v/>
      </c>
      <c r="U57" s="305" t="str">
        <f t="shared" si="2"/>
        <v/>
      </c>
      <c r="V57" s="304" t="str">
        <f t="shared" si="3"/>
        <v/>
      </c>
      <c r="W57" s="301" t="str">
        <f>IF(S57="","",VLOOKUP(S57,'G-1 All Habitats'!$B$2:$M$135,10,FALSE))</f>
        <v/>
      </c>
      <c r="X57" s="301" t="str">
        <f>IFERROR(VLOOKUP(W57,'G-1 All Habitats'!$V$3:$W$7,2,FALSE),"")</f>
        <v/>
      </c>
      <c r="Y57" s="142"/>
      <c r="Z57" s="305" t="str">
        <f>IFERROR(INDEX('G-8 Condition Look up'!$A$3:$H$135,MATCH(S57,'G-8 Condition Look up'!$A$3:$A$135,0),MATCH(Y57,'G-8 Condition Look up'!$A$3:$H$3,0)),"")</f>
        <v/>
      </c>
      <c r="AA57" s="105"/>
      <c r="AB57" s="320" t="str">
        <f>IF(AA57="","",IF(VLOOKUP(AA57,'G-3 Multipliers'!$L$3:$N$6,2,FALSE)=0,"Spatial Data Missing ⚠",VLOOKUP(AA57,'G-3 Multipliers'!$L$3:$N$6,2,FALSE)))</f>
        <v/>
      </c>
      <c r="AC57" s="305" t="str">
        <f>IF(AA57="","",IF(VLOOKUP(AA57,'G-3 Multipliers'!$L$3:$N$6,3,FALSE)=0,"Spatial Data Missing ⚠",VLOOKUP(AA57,'G-3 Multipliers'!$L$3:$N$6,3,FALSE)))</f>
        <v/>
      </c>
      <c r="AD57" s="317" t="str">
        <f t="shared" si="0"/>
        <v/>
      </c>
      <c r="AE57" s="142"/>
      <c r="AF57" s="142"/>
      <c r="AG57" s="301" t="str">
        <f t="shared" si="4"/>
        <v/>
      </c>
      <c r="AH57" s="302" t="str">
        <f t="shared" si="5"/>
        <v/>
      </c>
      <c r="AI57" s="306" t="str">
        <f>IF(AH57="Check Data ⚠","Check Data ⚠",IFERROR(VLOOKUP(AH57,'G-4 Temporal multipliers'!$A$4:$C$36,3,FALSE),""))</f>
        <v/>
      </c>
      <c r="AJ57" s="317" t="str">
        <f>IF(S57="","",VLOOKUP(S57,'G-3 Multipliers'!$A$2:$E$134,4,FALSE))</f>
        <v/>
      </c>
      <c r="AK57" s="301" t="str">
        <f t="shared" si="6"/>
        <v/>
      </c>
      <c r="AL57" s="301" t="str">
        <f t="shared" si="7"/>
        <v/>
      </c>
      <c r="AM57" s="305" t="str">
        <f>IFERROR(IF(F57="","",IF(AH57="Check Data ⚠","Check Data ⚠",VLOOKUP(AL57, 'G-3 Multipliers'!$P$2:$Q$6,2,FALSE))),"")</f>
        <v/>
      </c>
      <c r="AN57" s="728"/>
      <c r="AO57" s="335" t="str">
        <f>IF(AN57="","",IF(VLOOKUP(AN57,'G-3 Multipliers'!$S$3:$T$10,2,FALSE)=0,"Spatial Data Missing ⚠",VLOOKUP(AN57,'G-3 Multipliers'!$S$3:$T$10,2,FALSE)))</f>
        <v/>
      </c>
      <c r="AP57" s="295" t="str">
        <f t="shared" si="8"/>
        <v/>
      </c>
      <c r="AQ57" s="295" t="str">
        <f t="shared" si="9"/>
        <v/>
      </c>
      <c r="AR57" s="109"/>
      <c r="AS57" s="142"/>
      <c r="AT57" s="108"/>
      <c r="AU57" s="108"/>
      <c r="AY57" s="30" t="str">
        <f>IF(E57="","",IF(ISNA(VLOOKUP($E57,'D-1 Off-Site Habitat Baseline'!$D$1:$AV$258,4,FALSE)),"",(VLOOKUP($E57,'D-1 Off-Site Habitat Baseline'!$D$1:$AV$258,4,FALSE))))</f>
        <v/>
      </c>
    </row>
    <row r="58" spans="1:51" x14ac:dyDescent="0.25">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325" t="str">
        <f>'D-1 Off-Site Habitat Baseline'!AP57</f>
        <v/>
      </c>
      <c r="F58" s="289" t="str">
        <f>IF(E58="","",IF(ISNA(VLOOKUP($E58,'D-1 Off-Site Habitat Baseline'!$D$1:$ZZ$258,45,FALSE)),"",(VLOOKUP($E58,'D-1 Off-Site Habitat Baseline'!$D$1:$ZZ$258,45,FALSE))))</f>
        <v/>
      </c>
      <c r="G58" s="301" t="str">
        <f>IF(E58="","",IF(ISNA(VLOOKUP($E58,'D-1 Off-Site Habitat Baseline'!$D$1:$O$258,5,FALSE)),"",(VLOOKUP($E58,'D-1 Off-Site Habitat Baseline'!$D$1:$O$258,5,FALSE))))</f>
        <v/>
      </c>
      <c r="H58" s="301" t="str">
        <f>IF(E58="","",IF(ISNA(VLOOKUP($E58,'D-1 Off-Site Habitat Baseline'!$D$1:$O$258,6,FALSE)),"",(VLOOKUP($E58,'D-1 Off-Site Habitat Baseline'!$D$1:$O$258,6,FALSE))))</f>
        <v/>
      </c>
      <c r="I58" s="301" t="str">
        <f>IF(E58="","",IF(ISNA(VLOOKUP($E58,'D-1 Off-Site Habitat Baseline'!$D$1:$O$258,7,FALSE)),"",(VLOOKUP($E58,'D-1 Off-Site Habitat Baseline'!$D$1:$O$258,7,FALSE))))</f>
        <v/>
      </c>
      <c r="J58" s="301" t="str">
        <f>IF(E58="","",IF(ISNA(VLOOKUP($E58,'D-1 Off-Site Habitat Baseline'!$D$1:$O$258,8,FALSE)),"",(VLOOKUP($E58,'D-1 Off-Site Habitat Baseline'!$D$1:$O$258,8,FALSE))))</f>
        <v/>
      </c>
      <c r="K58" s="301" t="str">
        <f>IF(E58="","",IF(ISNA(VLOOKUP($E58,'D-1 Off-Site Habitat Baseline'!$D$1:$O$258,9,FALSE)),"",(VLOOKUP($E58,'D-1 Off-Site Habitat Baseline'!$D$1:$O$258,9,FALSE))))</f>
        <v/>
      </c>
      <c r="L58" s="301" t="str">
        <f>IF(E58="","",IF(ISNA(VLOOKUP($E58,'D-1 Off-Site Habitat Baseline'!$D$1:$O$258,11,FALSE)),"",(VLOOKUP($E58,'D-1 Off-Site Habitat Baseline'!$D$1:$O$258,11,FALSE))))</f>
        <v/>
      </c>
      <c r="M58" s="301" t="str">
        <f>IF(E58="","",IF(ISNA(VLOOKUP($E58,'D-1 Off-Site Habitat Baseline'!$D$1:$O$258,12,FALSE)),"",(VLOOKUP($E58,'D-1 Off-Site Habitat Baseline'!$D$1:$O$258,12,FALSE))))</f>
        <v/>
      </c>
      <c r="N58" s="301" t="str">
        <f>IF(E58="","",IF(ISNA(VLOOKUP($E58,'D-1 Off-Site Habitat Baseline'!$D$1:$AA$258,17,FALSE)),"",(VLOOKUP($E58,'D-1 Off-Site Habitat Baseline'!$D$1:$AA$258,17,FALSE))))</f>
        <v/>
      </c>
      <c r="O58" s="305" t="str">
        <f>IF(E58="","",IF(ISNA(VLOOKUP($E58,'D-1 Off-Site Habitat Baseline'!$D$1:$AA$258,13,FALSE)),"",(VLOOKUP($E58,'D-1 Off-Site Habitat Baseline'!$D$1:$AA$258,13,FALSE))))</f>
        <v/>
      </c>
      <c r="P58" s="152" t="str">
        <f>IFERROR(INDEX('G-1 All Habitats'!$AG$49:$AG$63,MATCH(Q58,'G-1 All Habitats'!$AF$27:$AF$41,0)),"")</f>
        <v/>
      </c>
      <c r="Q58" s="153"/>
      <c r="R58" s="154"/>
      <c r="S58" s="155" t="str">
        <f>IFERROR(INDEX('G-1 All Habitats'!$B$3:$B$135,MATCH(R58,'G-1 All Habitats'!$A$3:$A$135,0)),"")</f>
        <v/>
      </c>
      <c r="T58" s="289" t="str">
        <f t="shared" si="1"/>
        <v/>
      </c>
      <c r="U58" s="305" t="str">
        <f t="shared" si="2"/>
        <v/>
      </c>
      <c r="V58" s="304" t="str">
        <f t="shared" si="3"/>
        <v/>
      </c>
      <c r="W58" s="301" t="str">
        <f>IF(S58="","",VLOOKUP(S58,'G-1 All Habitats'!$B$2:$M$135,10,FALSE))</f>
        <v/>
      </c>
      <c r="X58" s="301" t="str">
        <f>IFERROR(VLOOKUP(W58,'G-1 All Habitats'!$V$3:$W$7,2,FALSE),"")</f>
        <v/>
      </c>
      <c r="Y58" s="142"/>
      <c r="Z58" s="305" t="str">
        <f>IFERROR(INDEX('G-8 Condition Look up'!$A$3:$H$135,MATCH(S58,'G-8 Condition Look up'!$A$3:$A$135,0),MATCH(Y58,'G-8 Condition Look up'!$A$3:$H$3,0)),"")</f>
        <v/>
      </c>
      <c r="AA58" s="105"/>
      <c r="AB58" s="320" t="str">
        <f>IF(AA58="","",IF(VLOOKUP(AA58,'G-3 Multipliers'!$L$3:$N$6,2,FALSE)=0,"Spatial Data Missing ⚠",VLOOKUP(AA58,'G-3 Multipliers'!$L$3:$N$6,2,FALSE)))</f>
        <v/>
      </c>
      <c r="AC58" s="305" t="str">
        <f>IF(AA58="","",IF(VLOOKUP(AA58,'G-3 Multipliers'!$L$3:$N$6,3,FALSE)=0,"Spatial Data Missing ⚠",VLOOKUP(AA58,'G-3 Multipliers'!$L$3:$N$6,3,FALSE)))</f>
        <v/>
      </c>
      <c r="AD58" s="317" t="str">
        <f t="shared" si="0"/>
        <v/>
      </c>
      <c r="AE58" s="142"/>
      <c r="AF58" s="142"/>
      <c r="AG58" s="301" t="str">
        <f t="shared" si="4"/>
        <v/>
      </c>
      <c r="AH58" s="302" t="str">
        <f t="shared" si="5"/>
        <v/>
      </c>
      <c r="AI58" s="306" t="str">
        <f>IF(AH58="Check Data ⚠","Check Data ⚠",IFERROR(VLOOKUP(AH58,'G-4 Temporal multipliers'!$A$4:$C$36,3,FALSE),""))</f>
        <v/>
      </c>
      <c r="AJ58" s="317" t="str">
        <f>IF(S58="","",VLOOKUP(S58,'G-3 Multipliers'!$A$2:$E$134,4,FALSE))</f>
        <v/>
      </c>
      <c r="AK58" s="301" t="str">
        <f t="shared" si="6"/>
        <v/>
      </c>
      <c r="AL58" s="301" t="str">
        <f t="shared" si="7"/>
        <v/>
      </c>
      <c r="AM58" s="305" t="str">
        <f>IFERROR(IF(F58="","",IF(AH58="Check Data ⚠","Check Data ⚠",VLOOKUP(AL58, 'G-3 Multipliers'!$P$2:$Q$6,2,FALSE))),"")</f>
        <v/>
      </c>
      <c r="AN58" s="728"/>
      <c r="AO58" s="335" t="str">
        <f>IF(AN58="","",IF(VLOOKUP(AN58,'G-3 Multipliers'!$S$3:$T$10,2,FALSE)=0,"Spatial Data Missing ⚠",VLOOKUP(AN58,'G-3 Multipliers'!$S$3:$T$10,2,FALSE)))</f>
        <v/>
      </c>
      <c r="AP58" s="295" t="str">
        <f t="shared" si="8"/>
        <v/>
      </c>
      <c r="AQ58" s="295" t="str">
        <f t="shared" si="9"/>
        <v/>
      </c>
      <c r="AR58" s="109"/>
      <c r="AS58" s="142"/>
      <c r="AT58" s="108"/>
      <c r="AU58" s="108"/>
      <c r="AY58" s="30" t="str">
        <f>IF(E58="","",IF(ISNA(VLOOKUP($E58,'D-1 Off-Site Habitat Baseline'!$D$1:$AV$258,4,FALSE)),"",(VLOOKUP($E58,'D-1 Off-Site Habitat Baseline'!$D$1:$AV$258,4,FALSE))))</f>
        <v/>
      </c>
    </row>
    <row r="59" spans="1:51" x14ac:dyDescent="0.25">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325" t="str">
        <f>'D-1 Off-Site Habitat Baseline'!AP58</f>
        <v/>
      </c>
      <c r="F59" s="289" t="str">
        <f>IF(E59="","",IF(ISNA(VLOOKUP($E59,'D-1 Off-Site Habitat Baseline'!$D$1:$ZZ$258,45,FALSE)),"",(VLOOKUP($E59,'D-1 Off-Site Habitat Baseline'!$D$1:$ZZ$258,45,FALSE))))</f>
        <v/>
      </c>
      <c r="G59" s="301" t="str">
        <f>IF(E59="","",IF(ISNA(VLOOKUP($E59,'D-1 Off-Site Habitat Baseline'!$D$1:$O$258,5,FALSE)),"",(VLOOKUP($E59,'D-1 Off-Site Habitat Baseline'!$D$1:$O$258,5,FALSE))))</f>
        <v/>
      </c>
      <c r="H59" s="301" t="str">
        <f>IF(E59="","",IF(ISNA(VLOOKUP($E59,'D-1 Off-Site Habitat Baseline'!$D$1:$O$258,6,FALSE)),"",(VLOOKUP($E59,'D-1 Off-Site Habitat Baseline'!$D$1:$O$258,6,FALSE))))</f>
        <v/>
      </c>
      <c r="I59" s="301" t="str">
        <f>IF(E59="","",IF(ISNA(VLOOKUP($E59,'D-1 Off-Site Habitat Baseline'!$D$1:$O$258,7,FALSE)),"",(VLOOKUP($E59,'D-1 Off-Site Habitat Baseline'!$D$1:$O$258,7,FALSE))))</f>
        <v/>
      </c>
      <c r="J59" s="301" t="str">
        <f>IF(E59="","",IF(ISNA(VLOOKUP($E59,'D-1 Off-Site Habitat Baseline'!$D$1:$O$258,8,FALSE)),"",(VLOOKUP($E59,'D-1 Off-Site Habitat Baseline'!$D$1:$O$258,8,FALSE))))</f>
        <v/>
      </c>
      <c r="K59" s="301" t="str">
        <f>IF(E59="","",IF(ISNA(VLOOKUP($E59,'D-1 Off-Site Habitat Baseline'!$D$1:$O$258,9,FALSE)),"",(VLOOKUP($E59,'D-1 Off-Site Habitat Baseline'!$D$1:$O$258,9,FALSE))))</f>
        <v/>
      </c>
      <c r="L59" s="301" t="str">
        <f>IF(E59="","",IF(ISNA(VLOOKUP($E59,'D-1 Off-Site Habitat Baseline'!$D$1:$O$258,11,FALSE)),"",(VLOOKUP($E59,'D-1 Off-Site Habitat Baseline'!$D$1:$O$258,11,FALSE))))</f>
        <v/>
      </c>
      <c r="M59" s="301" t="str">
        <f>IF(E59="","",IF(ISNA(VLOOKUP($E59,'D-1 Off-Site Habitat Baseline'!$D$1:$O$258,12,FALSE)),"",(VLOOKUP($E59,'D-1 Off-Site Habitat Baseline'!$D$1:$O$258,12,FALSE))))</f>
        <v/>
      </c>
      <c r="N59" s="301" t="str">
        <f>IF(E59="","",IF(ISNA(VLOOKUP($E59,'D-1 Off-Site Habitat Baseline'!$D$1:$AA$258,17,FALSE)),"",(VLOOKUP($E59,'D-1 Off-Site Habitat Baseline'!$D$1:$AA$258,17,FALSE))))</f>
        <v/>
      </c>
      <c r="O59" s="305" t="str">
        <f>IF(E59="","",IF(ISNA(VLOOKUP($E59,'D-1 Off-Site Habitat Baseline'!$D$1:$AA$258,13,FALSE)),"",(VLOOKUP($E59,'D-1 Off-Site Habitat Baseline'!$D$1:$AA$258,13,FALSE))))</f>
        <v/>
      </c>
      <c r="P59" s="152" t="str">
        <f>IFERROR(INDEX('G-1 All Habitats'!$AG$49:$AG$63,MATCH(Q59,'G-1 All Habitats'!$AF$27:$AF$41,0)),"")</f>
        <v/>
      </c>
      <c r="Q59" s="153"/>
      <c r="R59" s="154"/>
      <c r="S59" s="155" t="str">
        <f>IFERROR(INDEX('G-1 All Habitats'!$B$3:$B$135,MATCH(R59,'G-1 All Habitats'!$A$3:$A$135,0)),"")</f>
        <v/>
      </c>
      <c r="T59" s="289" t="str">
        <f t="shared" si="1"/>
        <v/>
      </c>
      <c r="U59" s="305" t="str">
        <f t="shared" si="2"/>
        <v/>
      </c>
      <c r="V59" s="304" t="str">
        <f t="shared" si="3"/>
        <v/>
      </c>
      <c r="W59" s="301" t="str">
        <f>IF(S59="","",VLOOKUP(S59,'G-1 All Habitats'!$B$2:$M$135,10,FALSE))</f>
        <v/>
      </c>
      <c r="X59" s="301" t="str">
        <f>IFERROR(VLOOKUP(W59,'G-1 All Habitats'!$V$3:$W$7,2,FALSE),"")</f>
        <v/>
      </c>
      <c r="Y59" s="142"/>
      <c r="Z59" s="305" t="str">
        <f>IFERROR(INDEX('G-8 Condition Look up'!$A$3:$H$135,MATCH(S59,'G-8 Condition Look up'!$A$3:$A$135,0),MATCH(Y59,'G-8 Condition Look up'!$A$3:$H$3,0)),"")</f>
        <v/>
      </c>
      <c r="AA59" s="105"/>
      <c r="AB59" s="320" t="str">
        <f>IF(AA59="","",IF(VLOOKUP(AA59,'G-3 Multipliers'!$L$3:$N$6,2,FALSE)=0,"Spatial Data Missing ⚠",VLOOKUP(AA59,'G-3 Multipliers'!$L$3:$N$6,2,FALSE)))</f>
        <v/>
      </c>
      <c r="AC59" s="305" t="str">
        <f>IF(AA59="","",IF(VLOOKUP(AA59,'G-3 Multipliers'!$L$3:$N$6,3,FALSE)=0,"Spatial Data Missing ⚠",VLOOKUP(AA59,'G-3 Multipliers'!$L$3:$N$6,3,FALSE)))</f>
        <v/>
      </c>
      <c r="AD59" s="317" t="str">
        <f t="shared" si="0"/>
        <v/>
      </c>
      <c r="AE59" s="142"/>
      <c r="AF59" s="142"/>
      <c r="AG59" s="301" t="str">
        <f t="shared" si="4"/>
        <v/>
      </c>
      <c r="AH59" s="302" t="str">
        <f t="shared" si="5"/>
        <v/>
      </c>
      <c r="AI59" s="306" t="str">
        <f>IF(AH59="Check Data ⚠","Check Data ⚠",IFERROR(VLOOKUP(AH59,'G-4 Temporal multipliers'!$A$4:$C$36,3,FALSE),""))</f>
        <v/>
      </c>
      <c r="AJ59" s="317" t="str">
        <f>IF(S59="","",VLOOKUP(S59,'G-3 Multipliers'!$A$2:$E$134,4,FALSE))</f>
        <v/>
      </c>
      <c r="AK59" s="301" t="str">
        <f t="shared" si="6"/>
        <v/>
      </c>
      <c r="AL59" s="301" t="str">
        <f t="shared" si="7"/>
        <v/>
      </c>
      <c r="AM59" s="305" t="str">
        <f>IFERROR(IF(F59="","",IF(AH59="Check Data ⚠","Check Data ⚠",VLOOKUP(AL59, 'G-3 Multipliers'!$P$2:$Q$6,2,FALSE))),"")</f>
        <v/>
      </c>
      <c r="AN59" s="728"/>
      <c r="AO59" s="335" t="str">
        <f>IF(AN59="","",IF(VLOOKUP(AN59,'G-3 Multipliers'!$S$3:$T$10,2,FALSE)=0,"Spatial Data Missing ⚠",VLOOKUP(AN59,'G-3 Multipliers'!$S$3:$T$10,2,FALSE)))</f>
        <v/>
      </c>
      <c r="AP59" s="295" t="str">
        <f t="shared" si="8"/>
        <v/>
      </c>
      <c r="AQ59" s="295" t="str">
        <f t="shared" si="9"/>
        <v/>
      </c>
      <c r="AR59" s="109"/>
      <c r="AS59" s="142"/>
      <c r="AT59" s="108"/>
      <c r="AU59" s="108"/>
      <c r="AY59" s="30" t="str">
        <f>IF(E59="","",IF(ISNA(VLOOKUP($E59,'D-1 Off-Site Habitat Baseline'!$D$1:$AV$258,4,FALSE)),"",(VLOOKUP($E59,'D-1 Off-Site Habitat Baseline'!$D$1:$AV$258,4,FALSE))))</f>
        <v/>
      </c>
    </row>
    <row r="60" spans="1:51" x14ac:dyDescent="0.25">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325" t="str">
        <f>'D-1 Off-Site Habitat Baseline'!AP59</f>
        <v/>
      </c>
      <c r="F60" s="289" t="str">
        <f>IF(E60="","",IF(ISNA(VLOOKUP($E60,'D-1 Off-Site Habitat Baseline'!$D$1:$ZZ$258,45,FALSE)),"",(VLOOKUP($E60,'D-1 Off-Site Habitat Baseline'!$D$1:$ZZ$258,45,FALSE))))</f>
        <v/>
      </c>
      <c r="G60" s="301" t="str">
        <f>IF(E60="","",IF(ISNA(VLOOKUP($E60,'D-1 Off-Site Habitat Baseline'!$D$1:$O$258,5,FALSE)),"",(VLOOKUP($E60,'D-1 Off-Site Habitat Baseline'!$D$1:$O$258,5,FALSE))))</f>
        <v/>
      </c>
      <c r="H60" s="301" t="str">
        <f>IF(E60="","",IF(ISNA(VLOOKUP($E60,'D-1 Off-Site Habitat Baseline'!$D$1:$O$258,6,FALSE)),"",(VLOOKUP($E60,'D-1 Off-Site Habitat Baseline'!$D$1:$O$258,6,FALSE))))</f>
        <v/>
      </c>
      <c r="I60" s="301" t="str">
        <f>IF(E60="","",IF(ISNA(VLOOKUP($E60,'D-1 Off-Site Habitat Baseline'!$D$1:$O$258,7,FALSE)),"",(VLOOKUP($E60,'D-1 Off-Site Habitat Baseline'!$D$1:$O$258,7,FALSE))))</f>
        <v/>
      </c>
      <c r="J60" s="301" t="str">
        <f>IF(E60="","",IF(ISNA(VLOOKUP($E60,'D-1 Off-Site Habitat Baseline'!$D$1:$O$258,8,FALSE)),"",(VLOOKUP($E60,'D-1 Off-Site Habitat Baseline'!$D$1:$O$258,8,FALSE))))</f>
        <v/>
      </c>
      <c r="K60" s="301" t="str">
        <f>IF(E60="","",IF(ISNA(VLOOKUP($E60,'D-1 Off-Site Habitat Baseline'!$D$1:$O$258,9,FALSE)),"",(VLOOKUP($E60,'D-1 Off-Site Habitat Baseline'!$D$1:$O$258,9,FALSE))))</f>
        <v/>
      </c>
      <c r="L60" s="301" t="str">
        <f>IF(E60="","",IF(ISNA(VLOOKUP($E60,'D-1 Off-Site Habitat Baseline'!$D$1:$O$258,11,FALSE)),"",(VLOOKUP($E60,'D-1 Off-Site Habitat Baseline'!$D$1:$O$258,11,FALSE))))</f>
        <v/>
      </c>
      <c r="M60" s="301" t="str">
        <f>IF(E60="","",IF(ISNA(VLOOKUP($E60,'D-1 Off-Site Habitat Baseline'!$D$1:$O$258,12,FALSE)),"",(VLOOKUP($E60,'D-1 Off-Site Habitat Baseline'!$D$1:$O$258,12,FALSE))))</f>
        <v/>
      </c>
      <c r="N60" s="301" t="str">
        <f>IF(E60="","",IF(ISNA(VLOOKUP($E60,'D-1 Off-Site Habitat Baseline'!$D$1:$AA$258,17,FALSE)),"",(VLOOKUP($E60,'D-1 Off-Site Habitat Baseline'!$D$1:$AA$258,17,FALSE))))</f>
        <v/>
      </c>
      <c r="O60" s="305" t="str">
        <f>IF(E60="","",IF(ISNA(VLOOKUP($E60,'D-1 Off-Site Habitat Baseline'!$D$1:$AA$258,13,FALSE)),"",(VLOOKUP($E60,'D-1 Off-Site Habitat Baseline'!$D$1:$AA$258,13,FALSE))))</f>
        <v/>
      </c>
      <c r="P60" s="152" t="str">
        <f>IFERROR(INDEX('G-1 All Habitats'!$AG$49:$AG$63,MATCH(Q60,'G-1 All Habitats'!$AF$27:$AF$41,0)),"")</f>
        <v/>
      </c>
      <c r="Q60" s="153"/>
      <c r="R60" s="154"/>
      <c r="S60" s="155" t="str">
        <f>IFERROR(INDEX('G-1 All Habitats'!$B$3:$B$135,MATCH(R60,'G-1 All Habitats'!$A$3:$A$135,0)),"")</f>
        <v/>
      </c>
      <c r="T60" s="289" t="str">
        <f t="shared" si="1"/>
        <v/>
      </c>
      <c r="U60" s="305" t="str">
        <f t="shared" si="2"/>
        <v/>
      </c>
      <c r="V60" s="304" t="str">
        <f t="shared" si="3"/>
        <v/>
      </c>
      <c r="W60" s="301" t="str">
        <f>IF(S60="","",VLOOKUP(S60,'G-1 All Habitats'!$B$2:$M$135,10,FALSE))</f>
        <v/>
      </c>
      <c r="X60" s="301" t="str">
        <f>IFERROR(VLOOKUP(W60,'G-1 All Habitats'!$V$3:$W$7,2,FALSE),"")</f>
        <v/>
      </c>
      <c r="Y60" s="142"/>
      <c r="Z60" s="305" t="str">
        <f>IFERROR(INDEX('G-8 Condition Look up'!$A$3:$H$135,MATCH(S60,'G-8 Condition Look up'!$A$3:$A$135,0),MATCH(Y60,'G-8 Condition Look up'!$A$3:$H$3,0)),"")</f>
        <v/>
      </c>
      <c r="AA60" s="105"/>
      <c r="AB60" s="320" t="str">
        <f>IF(AA60="","",IF(VLOOKUP(AA60,'G-3 Multipliers'!$L$3:$N$6,2,FALSE)=0,"Spatial Data Missing ⚠",VLOOKUP(AA60,'G-3 Multipliers'!$L$3:$N$6,2,FALSE)))</f>
        <v/>
      </c>
      <c r="AC60" s="305" t="str">
        <f>IF(AA60="","",IF(VLOOKUP(AA60,'G-3 Multipliers'!$L$3:$N$6,3,FALSE)=0,"Spatial Data Missing ⚠",VLOOKUP(AA60,'G-3 Multipliers'!$L$3:$N$6,3,FALSE)))</f>
        <v/>
      </c>
      <c r="AD60" s="317" t="str">
        <f t="shared" si="0"/>
        <v/>
      </c>
      <c r="AE60" s="142"/>
      <c r="AF60" s="142"/>
      <c r="AG60" s="301" t="str">
        <f t="shared" si="4"/>
        <v/>
      </c>
      <c r="AH60" s="302" t="str">
        <f t="shared" si="5"/>
        <v/>
      </c>
      <c r="AI60" s="306" t="str">
        <f>IF(AH60="Check Data ⚠","Check Data ⚠",IFERROR(VLOOKUP(AH60,'G-4 Temporal multipliers'!$A$4:$C$36,3,FALSE),""))</f>
        <v/>
      </c>
      <c r="AJ60" s="317" t="str">
        <f>IF(S60="","",VLOOKUP(S60,'G-3 Multipliers'!$A$2:$E$134,4,FALSE))</f>
        <v/>
      </c>
      <c r="AK60" s="301" t="str">
        <f t="shared" si="6"/>
        <v/>
      </c>
      <c r="AL60" s="301" t="str">
        <f t="shared" si="7"/>
        <v/>
      </c>
      <c r="AM60" s="305" t="str">
        <f>IFERROR(IF(F60="","",IF(AH60="Check Data ⚠","Check Data ⚠",VLOOKUP(AL60, 'G-3 Multipliers'!$P$2:$Q$6,2,FALSE))),"")</f>
        <v/>
      </c>
      <c r="AN60" s="728"/>
      <c r="AO60" s="335" t="str">
        <f>IF(AN60="","",IF(VLOOKUP(AN60,'G-3 Multipliers'!$S$3:$T$10,2,FALSE)=0,"Spatial Data Missing ⚠",VLOOKUP(AN60,'G-3 Multipliers'!$S$3:$T$10,2,FALSE)))</f>
        <v/>
      </c>
      <c r="AP60" s="295" t="str">
        <f t="shared" si="8"/>
        <v/>
      </c>
      <c r="AQ60" s="295" t="str">
        <f t="shared" si="9"/>
        <v/>
      </c>
      <c r="AR60" s="109"/>
      <c r="AS60" s="142"/>
      <c r="AT60" s="108"/>
      <c r="AU60" s="108"/>
      <c r="AY60" s="30" t="str">
        <f>IF(E60="","",IF(ISNA(VLOOKUP($E60,'D-1 Off-Site Habitat Baseline'!$D$1:$AV$258,4,FALSE)),"",(VLOOKUP($E60,'D-1 Off-Site Habitat Baseline'!$D$1:$AV$258,4,FALSE))))</f>
        <v/>
      </c>
    </row>
    <row r="61" spans="1:51" x14ac:dyDescent="0.25">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325" t="str">
        <f>'D-1 Off-Site Habitat Baseline'!AP60</f>
        <v/>
      </c>
      <c r="F61" s="289" t="str">
        <f>IF(E61="","",IF(ISNA(VLOOKUP($E61,'D-1 Off-Site Habitat Baseline'!$D$1:$ZZ$258,45,FALSE)),"",(VLOOKUP($E61,'D-1 Off-Site Habitat Baseline'!$D$1:$ZZ$258,45,FALSE))))</f>
        <v/>
      </c>
      <c r="G61" s="301" t="str">
        <f>IF(E61="","",IF(ISNA(VLOOKUP($E61,'D-1 Off-Site Habitat Baseline'!$D$1:$O$258,5,FALSE)),"",(VLOOKUP($E61,'D-1 Off-Site Habitat Baseline'!$D$1:$O$258,5,FALSE))))</f>
        <v/>
      </c>
      <c r="H61" s="301" t="str">
        <f>IF(E61="","",IF(ISNA(VLOOKUP($E61,'D-1 Off-Site Habitat Baseline'!$D$1:$O$258,6,FALSE)),"",(VLOOKUP($E61,'D-1 Off-Site Habitat Baseline'!$D$1:$O$258,6,FALSE))))</f>
        <v/>
      </c>
      <c r="I61" s="301" t="str">
        <f>IF(E61="","",IF(ISNA(VLOOKUP($E61,'D-1 Off-Site Habitat Baseline'!$D$1:$O$258,7,FALSE)),"",(VLOOKUP($E61,'D-1 Off-Site Habitat Baseline'!$D$1:$O$258,7,FALSE))))</f>
        <v/>
      </c>
      <c r="J61" s="301" t="str">
        <f>IF(E61="","",IF(ISNA(VLOOKUP($E61,'D-1 Off-Site Habitat Baseline'!$D$1:$O$258,8,FALSE)),"",(VLOOKUP($E61,'D-1 Off-Site Habitat Baseline'!$D$1:$O$258,8,FALSE))))</f>
        <v/>
      </c>
      <c r="K61" s="301" t="str">
        <f>IF(E61="","",IF(ISNA(VLOOKUP($E61,'D-1 Off-Site Habitat Baseline'!$D$1:$O$258,9,FALSE)),"",(VLOOKUP($E61,'D-1 Off-Site Habitat Baseline'!$D$1:$O$258,9,FALSE))))</f>
        <v/>
      </c>
      <c r="L61" s="301" t="str">
        <f>IF(E61="","",IF(ISNA(VLOOKUP($E61,'D-1 Off-Site Habitat Baseline'!$D$1:$O$258,11,FALSE)),"",(VLOOKUP($E61,'D-1 Off-Site Habitat Baseline'!$D$1:$O$258,11,FALSE))))</f>
        <v/>
      </c>
      <c r="M61" s="301" t="str">
        <f>IF(E61="","",IF(ISNA(VLOOKUP($E61,'D-1 Off-Site Habitat Baseline'!$D$1:$O$258,12,FALSE)),"",(VLOOKUP($E61,'D-1 Off-Site Habitat Baseline'!$D$1:$O$258,12,FALSE))))</f>
        <v/>
      </c>
      <c r="N61" s="301" t="str">
        <f>IF(E61="","",IF(ISNA(VLOOKUP($E61,'D-1 Off-Site Habitat Baseline'!$D$1:$AA$258,17,FALSE)),"",(VLOOKUP($E61,'D-1 Off-Site Habitat Baseline'!$D$1:$AA$258,17,FALSE))))</f>
        <v/>
      </c>
      <c r="O61" s="305" t="str">
        <f>IF(E61="","",IF(ISNA(VLOOKUP($E61,'D-1 Off-Site Habitat Baseline'!$D$1:$AA$258,13,FALSE)),"",(VLOOKUP($E61,'D-1 Off-Site Habitat Baseline'!$D$1:$AA$258,13,FALSE))))</f>
        <v/>
      </c>
      <c r="P61" s="152" t="str">
        <f>IFERROR(INDEX('G-1 All Habitats'!$AG$49:$AG$63,MATCH(Q61,'G-1 All Habitats'!$AF$27:$AF$41,0)),"")</f>
        <v/>
      </c>
      <c r="Q61" s="153"/>
      <c r="R61" s="154"/>
      <c r="S61" s="155" t="str">
        <f>IFERROR(INDEX('G-1 All Habitats'!$B$3:$B$135,MATCH(R61,'G-1 All Habitats'!$A$3:$A$135,0)),"")</f>
        <v/>
      </c>
      <c r="T61" s="289" t="str">
        <f t="shared" si="1"/>
        <v/>
      </c>
      <c r="U61" s="305" t="str">
        <f t="shared" si="2"/>
        <v/>
      </c>
      <c r="V61" s="304" t="str">
        <f t="shared" si="3"/>
        <v/>
      </c>
      <c r="W61" s="301" t="str">
        <f>IF(S61="","",VLOOKUP(S61,'G-1 All Habitats'!$B$2:$M$135,10,FALSE))</f>
        <v/>
      </c>
      <c r="X61" s="301" t="str">
        <f>IFERROR(VLOOKUP(W61,'G-1 All Habitats'!$V$3:$W$7,2,FALSE),"")</f>
        <v/>
      </c>
      <c r="Y61" s="142"/>
      <c r="Z61" s="305" t="str">
        <f>IFERROR(INDEX('G-8 Condition Look up'!$A$3:$H$135,MATCH(S61,'G-8 Condition Look up'!$A$3:$A$135,0),MATCH(Y61,'G-8 Condition Look up'!$A$3:$H$3,0)),"")</f>
        <v/>
      </c>
      <c r="AA61" s="105"/>
      <c r="AB61" s="320" t="str">
        <f>IF(AA61="","",IF(VLOOKUP(AA61,'G-3 Multipliers'!$L$3:$N$6,2,FALSE)=0,"Spatial Data Missing ⚠",VLOOKUP(AA61,'G-3 Multipliers'!$L$3:$N$6,2,FALSE)))</f>
        <v/>
      </c>
      <c r="AC61" s="305" t="str">
        <f>IF(AA61="","",IF(VLOOKUP(AA61,'G-3 Multipliers'!$L$3:$N$6,3,FALSE)=0,"Spatial Data Missing ⚠",VLOOKUP(AA61,'G-3 Multipliers'!$L$3:$N$6,3,FALSE)))</f>
        <v/>
      </c>
      <c r="AD61" s="317" t="str">
        <f t="shared" si="0"/>
        <v/>
      </c>
      <c r="AE61" s="142"/>
      <c r="AF61" s="142"/>
      <c r="AG61" s="301" t="str">
        <f t="shared" si="4"/>
        <v/>
      </c>
      <c r="AH61" s="302" t="str">
        <f t="shared" si="5"/>
        <v/>
      </c>
      <c r="AI61" s="306" t="str">
        <f>IF(AH61="Check Data ⚠","Check Data ⚠",IFERROR(VLOOKUP(AH61,'G-4 Temporal multipliers'!$A$4:$C$36,3,FALSE),""))</f>
        <v/>
      </c>
      <c r="AJ61" s="317" t="str">
        <f>IF(S61="","",VLOOKUP(S61,'G-3 Multipliers'!$A$2:$E$134,4,FALSE))</f>
        <v/>
      </c>
      <c r="AK61" s="301" t="str">
        <f t="shared" si="6"/>
        <v/>
      </c>
      <c r="AL61" s="301" t="str">
        <f t="shared" si="7"/>
        <v/>
      </c>
      <c r="AM61" s="305" t="str">
        <f>IFERROR(IF(F61="","",IF(AH61="Check Data ⚠","Check Data ⚠",VLOOKUP(AL61, 'G-3 Multipliers'!$P$2:$Q$6,2,FALSE))),"")</f>
        <v/>
      </c>
      <c r="AN61" s="728"/>
      <c r="AO61" s="335" t="str">
        <f>IF(AN61="","",IF(VLOOKUP(AN61,'G-3 Multipliers'!$S$3:$T$10,2,FALSE)=0,"Spatial Data Missing ⚠",VLOOKUP(AN61,'G-3 Multipliers'!$S$3:$T$10,2,FALSE)))</f>
        <v/>
      </c>
      <c r="AP61" s="295" t="str">
        <f t="shared" si="8"/>
        <v/>
      </c>
      <c r="AQ61" s="295" t="str">
        <f t="shared" si="9"/>
        <v/>
      </c>
      <c r="AR61" s="109"/>
      <c r="AS61" s="142"/>
      <c r="AT61" s="108"/>
      <c r="AU61" s="108"/>
      <c r="AY61" s="30" t="str">
        <f>IF(E61="","",IF(ISNA(VLOOKUP($E61,'D-1 Off-Site Habitat Baseline'!$D$1:$AV$258,4,FALSE)),"",(VLOOKUP($E61,'D-1 Off-Site Habitat Baseline'!$D$1:$AV$258,4,FALSE))))</f>
        <v/>
      </c>
    </row>
    <row r="62" spans="1:51" x14ac:dyDescent="0.25">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325" t="str">
        <f>'D-1 Off-Site Habitat Baseline'!AP61</f>
        <v/>
      </c>
      <c r="F62" s="289" t="str">
        <f>IF(E62="","",IF(ISNA(VLOOKUP($E62,'D-1 Off-Site Habitat Baseline'!$D$1:$ZZ$258,45,FALSE)),"",(VLOOKUP($E62,'D-1 Off-Site Habitat Baseline'!$D$1:$ZZ$258,45,FALSE))))</f>
        <v/>
      </c>
      <c r="G62" s="301" t="str">
        <f>IF(E62="","",IF(ISNA(VLOOKUP($E62,'D-1 Off-Site Habitat Baseline'!$D$1:$O$258,5,FALSE)),"",(VLOOKUP($E62,'D-1 Off-Site Habitat Baseline'!$D$1:$O$258,5,FALSE))))</f>
        <v/>
      </c>
      <c r="H62" s="301" t="str">
        <f>IF(E62="","",IF(ISNA(VLOOKUP($E62,'D-1 Off-Site Habitat Baseline'!$D$1:$O$258,6,FALSE)),"",(VLOOKUP($E62,'D-1 Off-Site Habitat Baseline'!$D$1:$O$258,6,FALSE))))</f>
        <v/>
      </c>
      <c r="I62" s="301" t="str">
        <f>IF(E62="","",IF(ISNA(VLOOKUP($E62,'D-1 Off-Site Habitat Baseline'!$D$1:$O$258,7,FALSE)),"",(VLOOKUP($E62,'D-1 Off-Site Habitat Baseline'!$D$1:$O$258,7,FALSE))))</f>
        <v/>
      </c>
      <c r="J62" s="301" t="str">
        <f>IF(E62="","",IF(ISNA(VLOOKUP($E62,'D-1 Off-Site Habitat Baseline'!$D$1:$O$258,8,FALSE)),"",(VLOOKUP($E62,'D-1 Off-Site Habitat Baseline'!$D$1:$O$258,8,FALSE))))</f>
        <v/>
      </c>
      <c r="K62" s="301" t="str">
        <f>IF(E62="","",IF(ISNA(VLOOKUP($E62,'D-1 Off-Site Habitat Baseline'!$D$1:$O$258,9,FALSE)),"",(VLOOKUP($E62,'D-1 Off-Site Habitat Baseline'!$D$1:$O$258,9,FALSE))))</f>
        <v/>
      </c>
      <c r="L62" s="301" t="str">
        <f>IF(E62="","",IF(ISNA(VLOOKUP($E62,'D-1 Off-Site Habitat Baseline'!$D$1:$O$258,11,FALSE)),"",(VLOOKUP($E62,'D-1 Off-Site Habitat Baseline'!$D$1:$O$258,11,FALSE))))</f>
        <v/>
      </c>
      <c r="M62" s="301" t="str">
        <f>IF(E62="","",IF(ISNA(VLOOKUP($E62,'D-1 Off-Site Habitat Baseline'!$D$1:$O$258,12,FALSE)),"",(VLOOKUP($E62,'D-1 Off-Site Habitat Baseline'!$D$1:$O$258,12,FALSE))))</f>
        <v/>
      </c>
      <c r="N62" s="301" t="str">
        <f>IF(E62="","",IF(ISNA(VLOOKUP($E62,'D-1 Off-Site Habitat Baseline'!$D$1:$AA$258,17,FALSE)),"",(VLOOKUP($E62,'D-1 Off-Site Habitat Baseline'!$D$1:$AA$258,17,FALSE))))</f>
        <v/>
      </c>
      <c r="O62" s="305" t="str">
        <f>IF(E62="","",IF(ISNA(VLOOKUP($E62,'D-1 Off-Site Habitat Baseline'!$D$1:$AA$258,13,FALSE)),"",(VLOOKUP($E62,'D-1 Off-Site Habitat Baseline'!$D$1:$AA$258,13,FALSE))))</f>
        <v/>
      </c>
      <c r="P62" s="152" t="str">
        <f>IFERROR(INDEX('G-1 All Habitats'!$AG$49:$AG$63,MATCH(Q62,'G-1 All Habitats'!$AF$27:$AF$41,0)),"")</f>
        <v/>
      </c>
      <c r="Q62" s="153"/>
      <c r="R62" s="154"/>
      <c r="S62" s="155" t="str">
        <f>IFERROR(INDEX('G-1 All Habitats'!$B$3:$B$135,MATCH(R62,'G-1 All Habitats'!$A$3:$A$135,0)),"")</f>
        <v/>
      </c>
      <c r="T62" s="289" t="str">
        <f t="shared" si="1"/>
        <v/>
      </c>
      <c r="U62" s="305" t="str">
        <f t="shared" si="2"/>
        <v/>
      </c>
      <c r="V62" s="304" t="str">
        <f t="shared" si="3"/>
        <v/>
      </c>
      <c r="W62" s="301" t="str">
        <f>IF(S62="","",VLOOKUP(S62,'G-1 All Habitats'!$B$2:$M$135,10,FALSE))</f>
        <v/>
      </c>
      <c r="X62" s="301" t="str">
        <f>IFERROR(VLOOKUP(W62,'G-1 All Habitats'!$V$3:$W$7,2,FALSE),"")</f>
        <v/>
      </c>
      <c r="Y62" s="142"/>
      <c r="Z62" s="305" t="str">
        <f>IFERROR(INDEX('G-8 Condition Look up'!$A$3:$H$135,MATCH(S62,'G-8 Condition Look up'!$A$3:$A$135,0),MATCH(Y62,'G-8 Condition Look up'!$A$3:$H$3,0)),"")</f>
        <v/>
      </c>
      <c r="AA62" s="105"/>
      <c r="AB62" s="320" t="str">
        <f>IF(AA62="","",IF(VLOOKUP(AA62,'G-3 Multipliers'!$L$3:$N$6,2,FALSE)=0,"Spatial Data Missing ⚠",VLOOKUP(AA62,'G-3 Multipliers'!$L$3:$N$6,2,FALSE)))</f>
        <v/>
      </c>
      <c r="AC62" s="305" t="str">
        <f>IF(AA62="","",IF(VLOOKUP(AA62,'G-3 Multipliers'!$L$3:$N$6,3,FALSE)=0,"Spatial Data Missing ⚠",VLOOKUP(AA62,'G-3 Multipliers'!$L$3:$N$6,3,FALSE)))</f>
        <v/>
      </c>
      <c r="AD62" s="317" t="str">
        <f t="shared" si="0"/>
        <v/>
      </c>
      <c r="AE62" s="142"/>
      <c r="AF62" s="142"/>
      <c r="AG62" s="301" t="str">
        <f t="shared" si="4"/>
        <v/>
      </c>
      <c r="AH62" s="302" t="str">
        <f t="shared" si="5"/>
        <v/>
      </c>
      <c r="AI62" s="306" t="str">
        <f>IF(AH62="Check Data ⚠","Check Data ⚠",IFERROR(VLOOKUP(AH62,'G-4 Temporal multipliers'!$A$4:$C$36,3,FALSE),""))</f>
        <v/>
      </c>
      <c r="AJ62" s="317" t="str">
        <f>IF(S62="","",VLOOKUP(S62,'G-3 Multipliers'!$A$2:$E$134,4,FALSE))</f>
        <v/>
      </c>
      <c r="AK62" s="301" t="str">
        <f t="shared" si="6"/>
        <v/>
      </c>
      <c r="AL62" s="301" t="str">
        <f t="shared" si="7"/>
        <v/>
      </c>
      <c r="AM62" s="305" t="str">
        <f>IFERROR(IF(F62="","",IF(AH62="Check Data ⚠","Check Data ⚠",VLOOKUP(AL62, 'G-3 Multipliers'!$P$2:$Q$6,2,FALSE))),"")</f>
        <v/>
      </c>
      <c r="AN62" s="728"/>
      <c r="AO62" s="335" t="str">
        <f>IF(AN62="","",IF(VLOOKUP(AN62,'G-3 Multipliers'!$S$3:$T$10,2,FALSE)=0,"Spatial Data Missing ⚠",VLOOKUP(AN62,'G-3 Multipliers'!$S$3:$T$10,2,FALSE)))</f>
        <v/>
      </c>
      <c r="AP62" s="295" t="str">
        <f t="shared" si="8"/>
        <v/>
      </c>
      <c r="AQ62" s="295" t="str">
        <f t="shared" si="9"/>
        <v/>
      </c>
      <c r="AR62" s="109"/>
      <c r="AS62" s="142"/>
      <c r="AT62" s="108"/>
      <c r="AU62" s="108"/>
      <c r="AY62" s="30" t="str">
        <f>IF(E62="","",IF(ISNA(VLOOKUP($E62,'D-1 Off-Site Habitat Baseline'!$D$1:$AV$258,4,FALSE)),"",(VLOOKUP($E62,'D-1 Off-Site Habitat Baseline'!$D$1:$AV$258,4,FALSE))))</f>
        <v/>
      </c>
    </row>
    <row r="63" spans="1:51" x14ac:dyDescent="0.25">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325" t="str">
        <f>'D-1 Off-Site Habitat Baseline'!AP62</f>
        <v/>
      </c>
      <c r="F63" s="289" t="str">
        <f>IF(E63="","",IF(ISNA(VLOOKUP($E63,'D-1 Off-Site Habitat Baseline'!$D$1:$ZZ$258,45,FALSE)),"",(VLOOKUP($E63,'D-1 Off-Site Habitat Baseline'!$D$1:$ZZ$258,45,FALSE))))</f>
        <v/>
      </c>
      <c r="G63" s="301" t="str">
        <f>IF(E63="","",IF(ISNA(VLOOKUP($E63,'D-1 Off-Site Habitat Baseline'!$D$1:$O$258,5,FALSE)),"",(VLOOKUP($E63,'D-1 Off-Site Habitat Baseline'!$D$1:$O$258,5,FALSE))))</f>
        <v/>
      </c>
      <c r="H63" s="301" t="str">
        <f>IF(E63="","",IF(ISNA(VLOOKUP($E63,'D-1 Off-Site Habitat Baseline'!$D$1:$O$258,6,FALSE)),"",(VLOOKUP($E63,'D-1 Off-Site Habitat Baseline'!$D$1:$O$258,6,FALSE))))</f>
        <v/>
      </c>
      <c r="I63" s="301" t="str">
        <f>IF(E63="","",IF(ISNA(VLOOKUP($E63,'D-1 Off-Site Habitat Baseline'!$D$1:$O$258,7,FALSE)),"",(VLOOKUP($E63,'D-1 Off-Site Habitat Baseline'!$D$1:$O$258,7,FALSE))))</f>
        <v/>
      </c>
      <c r="J63" s="301" t="str">
        <f>IF(E63="","",IF(ISNA(VLOOKUP($E63,'D-1 Off-Site Habitat Baseline'!$D$1:$O$258,8,FALSE)),"",(VLOOKUP($E63,'D-1 Off-Site Habitat Baseline'!$D$1:$O$258,8,FALSE))))</f>
        <v/>
      </c>
      <c r="K63" s="301" t="str">
        <f>IF(E63="","",IF(ISNA(VLOOKUP($E63,'D-1 Off-Site Habitat Baseline'!$D$1:$O$258,9,FALSE)),"",(VLOOKUP($E63,'D-1 Off-Site Habitat Baseline'!$D$1:$O$258,9,FALSE))))</f>
        <v/>
      </c>
      <c r="L63" s="301" t="str">
        <f>IF(E63="","",IF(ISNA(VLOOKUP($E63,'D-1 Off-Site Habitat Baseline'!$D$1:$O$258,11,FALSE)),"",(VLOOKUP($E63,'D-1 Off-Site Habitat Baseline'!$D$1:$O$258,11,FALSE))))</f>
        <v/>
      </c>
      <c r="M63" s="301" t="str">
        <f>IF(E63="","",IF(ISNA(VLOOKUP($E63,'D-1 Off-Site Habitat Baseline'!$D$1:$O$258,12,FALSE)),"",(VLOOKUP($E63,'D-1 Off-Site Habitat Baseline'!$D$1:$O$258,12,FALSE))))</f>
        <v/>
      </c>
      <c r="N63" s="301" t="str">
        <f>IF(E63="","",IF(ISNA(VLOOKUP($E63,'D-1 Off-Site Habitat Baseline'!$D$1:$AA$258,17,FALSE)),"",(VLOOKUP($E63,'D-1 Off-Site Habitat Baseline'!$D$1:$AA$258,17,FALSE))))</f>
        <v/>
      </c>
      <c r="O63" s="305" t="str">
        <f>IF(E63="","",IF(ISNA(VLOOKUP($E63,'D-1 Off-Site Habitat Baseline'!$D$1:$AA$258,13,FALSE)),"",(VLOOKUP($E63,'D-1 Off-Site Habitat Baseline'!$D$1:$AA$258,13,FALSE))))</f>
        <v/>
      </c>
      <c r="P63" s="152" t="str">
        <f>IFERROR(INDEX('G-1 All Habitats'!$AG$49:$AG$63,MATCH(Q63,'G-1 All Habitats'!$AF$27:$AF$41,0)),"")</f>
        <v/>
      </c>
      <c r="Q63" s="153"/>
      <c r="R63" s="154"/>
      <c r="S63" s="155" t="str">
        <f>IFERROR(INDEX('G-1 All Habitats'!$B$3:$B$135,MATCH(R63,'G-1 All Habitats'!$A$3:$A$135,0)),"")</f>
        <v/>
      </c>
      <c r="T63" s="289" t="str">
        <f t="shared" si="1"/>
        <v/>
      </c>
      <c r="U63" s="305" t="str">
        <f t="shared" si="2"/>
        <v/>
      </c>
      <c r="V63" s="304" t="str">
        <f t="shared" si="3"/>
        <v/>
      </c>
      <c r="W63" s="301" t="str">
        <f>IF(S63="","",VLOOKUP(S63,'G-1 All Habitats'!$B$2:$M$135,10,FALSE))</f>
        <v/>
      </c>
      <c r="X63" s="301" t="str">
        <f>IFERROR(VLOOKUP(W63,'G-1 All Habitats'!$V$3:$W$7,2,FALSE),"")</f>
        <v/>
      </c>
      <c r="Y63" s="142"/>
      <c r="Z63" s="305" t="str">
        <f>IFERROR(INDEX('G-8 Condition Look up'!$A$3:$H$135,MATCH(S63,'G-8 Condition Look up'!$A$3:$A$135,0),MATCH(Y63,'G-8 Condition Look up'!$A$3:$H$3,0)),"")</f>
        <v/>
      </c>
      <c r="AA63" s="105"/>
      <c r="AB63" s="320" t="str">
        <f>IF(AA63="","",IF(VLOOKUP(AA63,'G-3 Multipliers'!$L$3:$N$6,2,FALSE)=0,"Spatial Data Missing ⚠",VLOOKUP(AA63,'G-3 Multipliers'!$L$3:$N$6,2,FALSE)))</f>
        <v/>
      </c>
      <c r="AC63" s="305" t="str">
        <f>IF(AA63="","",IF(VLOOKUP(AA63,'G-3 Multipliers'!$L$3:$N$6,3,FALSE)=0,"Spatial Data Missing ⚠",VLOOKUP(AA63,'G-3 Multipliers'!$L$3:$N$6,3,FALSE)))</f>
        <v/>
      </c>
      <c r="AD63" s="317" t="str">
        <f t="shared" si="0"/>
        <v/>
      </c>
      <c r="AE63" s="142"/>
      <c r="AF63" s="142"/>
      <c r="AG63" s="301" t="str">
        <f t="shared" si="4"/>
        <v/>
      </c>
      <c r="AH63" s="302" t="str">
        <f t="shared" si="5"/>
        <v/>
      </c>
      <c r="AI63" s="306" t="str">
        <f>IF(AH63="Check Data ⚠","Check Data ⚠",IFERROR(VLOOKUP(AH63,'G-4 Temporal multipliers'!$A$4:$C$36,3,FALSE),""))</f>
        <v/>
      </c>
      <c r="AJ63" s="317" t="str">
        <f>IF(S63="","",VLOOKUP(S63,'G-3 Multipliers'!$A$2:$E$134,4,FALSE))</f>
        <v/>
      </c>
      <c r="AK63" s="301" t="str">
        <f t="shared" si="6"/>
        <v/>
      </c>
      <c r="AL63" s="301" t="str">
        <f t="shared" si="7"/>
        <v/>
      </c>
      <c r="AM63" s="305" t="str">
        <f>IFERROR(IF(F63="","",IF(AH63="Check Data ⚠","Check Data ⚠",VLOOKUP(AL63, 'G-3 Multipliers'!$P$2:$Q$6,2,FALSE))),"")</f>
        <v/>
      </c>
      <c r="AN63" s="728"/>
      <c r="AO63" s="335" t="str">
        <f>IF(AN63="","",IF(VLOOKUP(AN63,'G-3 Multipliers'!$S$3:$T$10,2,FALSE)=0,"Spatial Data Missing ⚠",VLOOKUP(AN63,'G-3 Multipliers'!$S$3:$T$10,2,FALSE)))</f>
        <v/>
      </c>
      <c r="AP63" s="295" t="str">
        <f t="shared" si="8"/>
        <v/>
      </c>
      <c r="AQ63" s="295" t="str">
        <f t="shared" si="9"/>
        <v/>
      </c>
      <c r="AR63" s="109"/>
      <c r="AS63" s="142"/>
      <c r="AT63" s="108"/>
      <c r="AU63" s="108"/>
      <c r="AY63" s="30" t="str">
        <f>IF(E63="","",IF(ISNA(VLOOKUP($E63,'D-1 Off-Site Habitat Baseline'!$D$1:$AV$258,4,FALSE)),"",(VLOOKUP($E63,'D-1 Off-Site Habitat Baseline'!$D$1:$AV$258,4,FALSE))))</f>
        <v/>
      </c>
    </row>
    <row r="64" spans="1:51" x14ac:dyDescent="0.25">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325" t="str">
        <f>'D-1 Off-Site Habitat Baseline'!AP63</f>
        <v/>
      </c>
      <c r="F64" s="289" t="str">
        <f>IF(E64="","",IF(ISNA(VLOOKUP($E64,'D-1 Off-Site Habitat Baseline'!$D$1:$ZZ$258,45,FALSE)),"",(VLOOKUP($E64,'D-1 Off-Site Habitat Baseline'!$D$1:$ZZ$258,45,FALSE))))</f>
        <v/>
      </c>
      <c r="G64" s="301" t="str">
        <f>IF(E64="","",IF(ISNA(VLOOKUP($E64,'D-1 Off-Site Habitat Baseline'!$D$1:$O$258,5,FALSE)),"",(VLOOKUP($E64,'D-1 Off-Site Habitat Baseline'!$D$1:$O$258,5,FALSE))))</f>
        <v/>
      </c>
      <c r="H64" s="301" t="str">
        <f>IF(E64="","",IF(ISNA(VLOOKUP($E64,'D-1 Off-Site Habitat Baseline'!$D$1:$O$258,6,FALSE)),"",(VLOOKUP($E64,'D-1 Off-Site Habitat Baseline'!$D$1:$O$258,6,FALSE))))</f>
        <v/>
      </c>
      <c r="I64" s="301" t="str">
        <f>IF(E64="","",IF(ISNA(VLOOKUP($E64,'D-1 Off-Site Habitat Baseline'!$D$1:$O$258,7,FALSE)),"",(VLOOKUP($E64,'D-1 Off-Site Habitat Baseline'!$D$1:$O$258,7,FALSE))))</f>
        <v/>
      </c>
      <c r="J64" s="301" t="str">
        <f>IF(E64="","",IF(ISNA(VLOOKUP($E64,'D-1 Off-Site Habitat Baseline'!$D$1:$O$258,8,FALSE)),"",(VLOOKUP($E64,'D-1 Off-Site Habitat Baseline'!$D$1:$O$258,8,FALSE))))</f>
        <v/>
      </c>
      <c r="K64" s="301" t="str">
        <f>IF(E64="","",IF(ISNA(VLOOKUP($E64,'D-1 Off-Site Habitat Baseline'!$D$1:$O$258,9,FALSE)),"",(VLOOKUP($E64,'D-1 Off-Site Habitat Baseline'!$D$1:$O$258,9,FALSE))))</f>
        <v/>
      </c>
      <c r="L64" s="301" t="str">
        <f>IF(E64="","",IF(ISNA(VLOOKUP($E64,'D-1 Off-Site Habitat Baseline'!$D$1:$O$258,11,FALSE)),"",(VLOOKUP($E64,'D-1 Off-Site Habitat Baseline'!$D$1:$O$258,11,FALSE))))</f>
        <v/>
      </c>
      <c r="M64" s="301" t="str">
        <f>IF(E64="","",IF(ISNA(VLOOKUP($E64,'D-1 Off-Site Habitat Baseline'!$D$1:$O$258,12,FALSE)),"",(VLOOKUP($E64,'D-1 Off-Site Habitat Baseline'!$D$1:$O$258,12,FALSE))))</f>
        <v/>
      </c>
      <c r="N64" s="301" t="str">
        <f>IF(E64="","",IF(ISNA(VLOOKUP($E64,'D-1 Off-Site Habitat Baseline'!$D$1:$AA$258,17,FALSE)),"",(VLOOKUP($E64,'D-1 Off-Site Habitat Baseline'!$D$1:$AA$258,17,FALSE))))</f>
        <v/>
      </c>
      <c r="O64" s="305" t="str">
        <f>IF(E64="","",IF(ISNA(VLOOKUP($E64,'D-1 Off-Site Habitat Baseline'!$D$1:$AA$258,13,FALSE)),"",(VLOOKUP($E64,'D-1 Off-Site Habitat Baseline'!$D$1:$AA$258,13,FALSE))))</f>
        <v/>
      </c>
      <c r="P64" s="152" t="str">
        <f>IFERROR(INDEX('G-1 All Habitats'!$AG$49:$AG$63,MATCH(Q64,'G-1 All Habitats'!$AF$27:$AF$41,0)),"")</f>
        <v/>
      </c>
      <c r="Q64" s="153"/>
      <c r="R64" s="154"/>
      <c r="S64" s="155" t="str">
        <f>IFERROR(INDEX('G-1 All Habitats'!$B$3:$B$135,MATCH(R64,'G-1 All Habitats'!$A$3:$A$135,0)),"")</f>
        <v/>
      </c>
      <c r="T64" s="289" t="str">
        <f t="shared" si="1"/>
        <v/>
      </c>
      <c r="U64" s="305" t="str">
        <f t="shared" si="2"/>
        <v/>
      </c>
      <c r="V64" s="304" t="str">
        <f t="shared" si="3"/>
        <v/>
      </c>
      <c r="W64" s="301" t="str">
        <f>IF(S64="","",VLOOKUP(S64,'G-1 All Habitats'!$B$2:$M$135,10,FALSE))</f>
        <v/>
      </c>
      <c r="X64" s="301" t="str">
        <f>IFERROR(VLOOKUP(W64,'G-1 All Habitats'!$V$3:$W$7,2,FALSE),"")</f>
        <v/>
      </c>
      <c r="Y64" s="142"/>
      <c r="Z64" s="305" t="str">
        <f>IFERROR(INDEX('G-8 Condition Look up'!$A$3:$H$135,MATCH(S64,'G-8 Condition Look up'!$A$3:$A$135,0),MATCH(Y64,'G-8 Condition Look up'!$A$3:$H$3,0)),"")</f>
        <v/>
      </c>
      <c r="AA64" s="105"/>
      <c r="AB64" s="320" t="str">
        <f>IF(AA64="","",IF(VLOOKUP(AA64,'G-3 Multipliers'!$L$3:$N$6,2,FALSE)=0,"Spatial Data Missing ⚠",VLOOKUP(AA64,'G-3 Multipliers'!$L$3:$N$6,2,FALSE)))</f>
        <v/>
      </c>
      <c r="AC64" s="305" t="str">
        <f>IF(AA64="","",IF(VLOOKUP(AA64,'G-3 Multipliers'!$L$3:$N$6,3,FALSE)=0,"Spatial Data Missing ⚠",VLOOKUP(AA64,'G-3 Multipliers'!$L$3:$N$6,3,FALSE)))</f>
        <v/>
      </c>
      <c r="AD64" s="317" t="str">
        <f t="shared" si="0"/>
        <v/>
      </c>
      <c r="AE64" s="142"/>
      <c r="AF64" s="142"/>
      <c r="AG64" s="301" t="str">
        <f t="shared" si="4"/>
        <v/>
      </c>
      <c r="AH64" s="302" t="str">
        <f t="shared" si="5"/>
        <v/>
      </c>
      <c r="AI64" s="306" t="str">
        <f>IF(AH64="Check Data ⚠","Check Data ⚠",IFERROR(VLOOKUP(AH64,'G-4 Temporal multipliers'!$A$4:$C$36,3,FALSE),""))</f>
        <v/>
      </c>
      <c r="AJ64" s="317" t="str">
        <f>IF(S64="","",VLOOKUP(S64,'G-3 Multipliers'!$A$2:$E$134,4,FALSE))</f>
        <v/>
      </c>
      <c r="AK64" s="301" t="str">
        <f t="shared" si="6"/>
        <v/>
      </c>
      <c r="AL64" s="301" t="str">
        <f t="shared" si="7"/>
        <v/>
      </c>
      <c r="AM64" s="305" t="str">
        <f>IFERROR(IF(F64="","",IF(AH64="Check Data ⚠","Check Data ⚠",VLOOKUP(AL64, 'G-3 Multipliers'!$P$2:$Q$6,2,FALSE))),"")</f>
        <v/>
      </c>
      <c r="AN64" s="728"/>
      <c r="AO64" s="335" t="str">
        <f>IF(AN64="","",IF(VLOOKUP(AN64,'G-3 Multipliers'!$S$3:$T$10,2,FALSE)=0,"Spatial Data Missing ⚠",VLOOKUP(AN64,'G-3 Multipliers'!$S$3:$T$10,2,FALSE)))</f>
        <v/>
      </c>
      <c r="AP64" s="295" t="str">
        <f t="shared" si="8"/>
        <v/>
      </c>
      <c r="AQ64" s="295" t="str">
        <f t="shared" si="9"/>
        <v/>
      </c>
      <c r="AR64" s="109"/>
      <c r="AS64" s="142"/>
      <c r="AT64" s="108"/>
      <c r="AU64" s="108"/>
      <c r="AY64" s="30" t="str">
        <f>IF(E64="","",IF(ISNA(VLOOKUP($E64,'D-1 Off-Site Habitat Baseline'!$D$1:$AV$258,4,FALSE)),"",(VLOOKUP($E64,'D-1 Off-Site Habitat Baseline'!$D$1:$AV$258,4,FALSE))))</f>
        <v/>
      </c>
    </row>
    <row r="65" spans="1:51" x14ac:dyDescent="0.25">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325" t="str">
        <f>'D-1 Off-Site Habitat Baseline'!AP64</f>
        <v/>
      </c>
      <c r="F65" s="289" t="str">
        <f>IF(E65="","",IF(ISNA(VLOOKUP($E65,'D-1 Off-Site Habitat Baseline'!$D$1:$ZZ$258,45,FALSE)),"",(VLOOKUP($E65,'D-1 Off-Site Habitat Baseline'!$D$1:$ZZ$258,45,FALSE))))</f>
        <v/>
      </c>
      <c r="G65" s="301" t="str">
        <f>IF(E65="","",IF(ISNA(VLOOKUP($E65,'D-1 Off-Site Habitat Baseline'!$D$1:$O$258,5,FALSE)),"",(VLOOKUP($E65,'D-1 Off-Site Habitat Baseline'!$D$1:$O$258,5,FALSE))))</f>
        <v/>
      </c>
      <c r="H65" s="301" t="str">
        <f>IF(E65="","",IF(ISNA(VLOOKUP($E65,'D-1 Off-Site Habitat Baseline'!$D$1:$O$258,6,FALSE)),"",(VLOOKUP($E65,'D-1 Off-Site Habitat Baseline'!$D$1:$O$258,6,FALSE))))</f>
        <v/>
      </c>
      <c r="I65" s="301" t="str">
        <f>IF(E65="","",IF(ISNA(VLOOKUP($E65,'D-1 Off-Site Habitat Baseline'!$D$1:$O$258,7,FALSE)),"",(VLOOKUP($E65,'D-1 Off-Site Habitat Baseline'!$D$1:$O$258,7,FALSE))))</f>
        <v/>
      </c>
      <c r="J65" s="301" t="str">
        <f>IF(E65="","",IF(ISNA(VLOOKUP($E65,'D-1 Off-Site Habitat Baseline'!$D$1:$O$258,8,FALSE)),"",(VLOOKUP($E65,'D-1 Off-Site Habitat Baseline'!$D$1:$O$258,8,FALSE))))</f>
        <v/>
      </c>
      <c r="K65" s="301" t="str">
        <f>IF(E65="","",IF(ISNA(VLOOKUP($E65,'D-1 Off-Site Habitat Baseline'!$D$1:$O$258,9,FALSE)),"",(VLOOKUP($E65,'D-1 Off-Site Habitat Baseline'!$D$1:$O$258,9,FALSE))))</f>
        <v/>
      </c>
      <c r="L65" s="301" t="str">
        <f>IF(E65="","",IF(ISNA(VLOOKUP($E65,'D-1 Off-Site Habitat Baseline'!$D$1:$O$258,11,FALSE)),"",(VLOOKUP($E65,'D-1 Off-Site Habitat Baseline'!$D$1:$O$258,11,FALSE))))</f>
        <v/>
      </c>
      <c r="M65" s="301" t="str">
        <f>IF(E65="","",IF(ISNA(VLOOKUP($E65,'D-1 Off-Site Habitat Baseline'!$D$1:$O$258,12,FALSE)),"",(VLOOKUP($E65,'D-1 Off-Site Habitat Baseline'!$D$1:$O$258,12,FALSE))))</f>
        <v/>
      </c>
      <c r="N65" s="301" t="str">
        <f>IF(E65="","",IF(ISNA(VLOOKUP($E65,'D-1 Off-Site Habitat Baseline'!$D$1:$AA$258,17,FALSE)),"",(VLOOKUP($E65,'D-1 Off-Site Habitat Baseline'!$D$1:$AA$258,17,FALSE))))</f>
        <v/>
      </c>
      <c r="O65" s="305" t="str">
        <f>IF(E65="","",IF(ISNA(VLOOKUP($E65,'D-1 Off-Site Habitat Baseline'!$D$1:$AA$258,13,FALSE)),"",(VLOOKUP($E65,'D-1 Off-Site Habitat Baseline'!$D$1:$AA$258,13,FALSE))))</f>
        <v/>
      </c>
      <c r="P65" s="152" t="str">
        <f>IFERROR(INDEX('G-1 All Habitats'!$AG$49:$AG$63,MATCH(Q65,'G-1 All Habitats'!$AF$27:$AF$41,0)),"")</f>
        <v/>
      </c>
      <c r="Q65" s="153"/>
      <c r="R65" s="154"/>
      <c r="S65" s="155" t="str">
        <f>IFERROR(INDEX('G-1 All Habitats'!$B$3:$B$135,MATCH(R65,'G-1 All Habitats'!$A$3:$A$135,0)),"")</f>
        <v/>
      </c>
      <c r="T65" s="289" t="str">
        <f t="shared" si="1"/>
        <v/>
      </c>
      <c r="U65" s="305" t="str">
        <f t="shared" si="2"/>
        <v/>
      </c>
      <c r="V65" s="304" t="str">
        <f t="shared" si="3"/>
        <v/>
      </c>
      <c r="W65" s="301" t="str">
        <f>IF(S65="","",VLOOKUP(S65,'G-1 All Habitats'!$B$2:$M$135,10,FALSE))</f>
        <v/>
      </c>
      <c r="X65" s="301" t="str">
        <f>IFERROR(VLOOKUP(W65,'G-1 All Habitats'!$V$3:$W$7,2,FALSE),"")</f>
        <v/>
      </c>
      <c r="Y65" s="142"/>
      <c r="Z65" s="305" t="str">
        <f>IFERROR(INDEX('G-8 Condition Look up'!$A$3:$H$135,MATCH(S65,'G-8 Condition Look up'!$A$3:$A$135,0),MATCH(Y65,'G-8 Condition Look up'!$A$3:$H$3,0)),"")</f>
        <v/>
      </c>
      <c r="AA65" s="105"/>
      <c r="AB65" s="320" t="str">
        <f>IF(AA65="","",IF(VLOOKUP(AA65,'G-3 Multipliers'!$L$3:$N$6,2,FALSE)=0,"Spatial Data Missing ⚠",VLOOKUP(AA65,'G-3 Multipliers'!$L$3:$N$6,2,FALSE)))</f>
        <v/>
      </c>
      <c r="AC65" s="305" t="str">
        <f>IF(AA65="","",IF(VLOOKUP(AA65,'G-3 Multipliers'!$L$3:$N$6,3,FALSE)=0,"Spatial Data Missing ⚠",VLOOKUP(AA65,'G-3 Multipliers'!$L$3:$N$6,3,FALSE)))</f>
        <v/>
      </c>
      <c r="AD65" s="317" t="str">
        <f t="shared" si="0"/>
        <v/>
      </c>
      <c r="AE65" s="142"/>
      <c r="AF65" s="142"/>
      <c r="AG65" s="301" t="str">
        <f t="shared" si="4"/>
        <v/>
      </c>
      <c r="AH65" s="302" t="str">
        <f t="shared" si="5"/>
        <v/>
      </c>
      <c r="AI65" s="306" t="str">
        <f>IF(AH65="Check Data ⚠","Check Data ⚠",IFERROR(VLOOKUP(AH65,'G-4 Temporal multipliers'!$A$4:$C$36,3,FALSE),""))</f>
        <v/>
      </c>
      <c r="AJ65" s="317" t="str">
        <f>IF(S65="","",VLOOKUP(S65,'G-3 Multipliers'!$A$2:$E$134,4,FALSE))</f>
        <v/>
      </c>
      <c r="AK65" s="301" t="str">
        <f t="shared" si="6"/>
        <v/>
      </c>
      <c r="AL65" s="301" t="str">
        <f t="shared" si="7"/>
        <v/>
      </c>
      <c r="AM65" s="305" t="str">
        <f>IFERROR(IF(F65="","",IF(AH65="Check Data ⚠","Check Data ⚠",VLOOKUP(AL65, 'G-3 Multipliers'!$P$2:$Q$6,2,FALSE))),"")</f>
        <v/>
      </c>
      <c r="AN65" s="728"/>
      <c r="AO65" s="335" t="str">
        <f>IF(AN65="","",IF(VLOOKUP(AN65,'G-3 Multipliers'!$S$3:$T$10,2,FALSE)=0,"Spatial Data Missing ⚠",VLOOKUP(AN65,'G-3 Multipliers'!$S$3:$T$10,2,FALSE)))</f>
        <v/>
      </c>
      <c r="AP65" s="295" t="str">
        <f t="shared" si="8"/>
        <v/>
      </c>
      <c r="AQ65" s="295" t="str">
        <f t="shared" si="9"/>
        <v/>
      </c>
      <c r="AR65" s="109"/>
      <c r="AS65" s="142"/>
      <c r="AT65" s="108"/>
      <c r="AU65" s="108"/>
      <c r="AY65" s="30" t="str">
        <f>IF(E65="","",IF(ISNA(VLOOKUP($E65,'D-1 Off-Site Habitat Baseline'!$D$1:$AV$258,4,FALSE)),"",(VLOOKUP($E65,'D-1 Off-Site Habitat Baseline'!$D$1:$AV$258,4,FALSE))))</f>
        <v/>
      </c>
    </row>
    <row r="66" spans="1:51" x14ac:dyDescent="0.25">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325" t="str">
        <f>'D-1 Off-Site Habitat Baseline'!AP65</f>
        <v/>
      </c>
      <c r="F66" s="289" t="str">
        <f>IF(E66="","",IF(ISNA(VLOOKUP($E66,'D-1 Off-Site Habitat Baseline'!$D$1:$ZZ$258,45,FALSE)),"",(VLOOKUP($E66,'D-1 Off-Site Habitat Baseline'!$D$1:$ZZ$258,45,FALSE))))</f>
        <v/>
      </c>
      <c r="G66" s="301" t="str">
        <f>IF(E66="","",IF(ISNA(VLOOKUP($E66,'D-1 Off-Site Habitat Baseline'!$D$1:$O$258,5,FALSE)),"",(VLOOKUP($E66,'D-1 Off-Site Habitat Baseline'!$D$1:$O$258,5,FALSE))))</f>
        <v/>
      </c>
      <c r="H66" s="301" t="str">
        <f>IF(E66="","",IF(ISNA(VLOOKUP($E66,'D-1 Off-Site Habitat Baseline'!$D$1:$O$258,6,FALSE)),"",(VLOOKUP($E66,'D-1 Off-Site Habitat Baseline'!$D$1:$O$258,6,FALSE))))</f>
        <v/>
      </c>
      <c r="I66" s="301" t="str">
        <f>IF(E66="","",IF(ISNA(VLOOKUP($E66,'D-1 Off-Site Habitat Baseline'!$D$1:$O$258,7,FALSE)),"",(VLOOKUP($E66,'D-1 Off-Site Habitat Baseline'!$D$1:$O$258,7,FALSE))))</f>
        <v/>
      </c>
      <c r="J66" s="301" t="str">
        <f>IF(E66="","",IF(ISNA(VLOOKUP($E66,'D-1 Off-Site Habitat Baseline'!$D$1:$O$258,8,FALSE)),"",(VLOOKUP($E66,'D-1 Off-Site Habitat Baseline'!$D$1:$O$258,8,FALSE))))</f>
        <v/>
      </c>
      <c r="K66" s="301" t="str">
        <f>IF(E66="","",IF(ISNA(VLOOKUP($E66,'D-1 Off-Site Habitat Baseline'!$D$1:$O$258,9,FALSE)),"",(VLOOKUP($E66,'D-1 Off-Site Habitat Baseline'!$D$1:$O$258,9,FALSE))))</f>
        <v/>
      </c>
      <c r="L66" s="301" t="str">
        <f>IF(E66="","",IF(ISNA(VLOOKUP($E66,'D-1 Off-Site Habitat Baseline'!$D$1:$O$258,11,FALSE)),"",(VLOOKUP($E66,'D-1 Off-Site Habitat Baseline'!$D$1:$O$258,11,FALSE))))</f>
        <v/>
      </c>
      <c r="M66" s="301" t="str">
        <f>IF(E66="","",IF(ISNA(VLOOKUP($E66,'D-1 Off-Site Habitat Baseline'!$D$1:$O$258,12,FALSE)),"",(VLOOKUP($E66,'D-1 Off-Site Habitat Baseline'!$D$1:$O$258,12,FALSE))))</f>
        <v/>
      </c>
      <c r="N66" s="301" t="str">
        <f>IF(E66="","",IF(ISNA(VLOOKUP($E66,'D-1 Off-Site Habitat Baseline'!$D$1:$AA$258,17,FALSE)),"",(VLOOKUP($E66,'D-1 Off-Site Habitat Baseline'!$D$1:$AA$258,17,FALSE))))</f>
        <v/>
      </c>
      <c r="O66" s="305" t="str">
        <f>IF(E66="","",IF(ISNA(VLOOKUP($E66,'D-1 Off-Site Habitat Baseline'!$D$1:$AA$258,13,FALSE)),"",(VLOOKUP($E66,'D-1 Off-Site Habitat Baseline'!$D$1:$AA$258,13,FALSE))))</f>
        <v/>
      </c>
      <c r="P66" s="152" t="str">
        <f>IFERROR(INDEX('G-1 All Habitats'!$AG$49:$AG$63,MATCH(Q66,'G-1 All Habitats'!$AF$27:$AF$41,0)),"")</f>
        <v/>
      </c>
      <c r="Q66" s="153"/>
      <c r="R66" s="154"/>
      <c r="S66" s="155" t="str">
        <f>IFERROR(INDEX('G-1 All Habitats'!$B$3:$B$135,MATCH(R66,'G-1 All Habitats'!$A$3:$A$135,0)),"")</f>
        <v/>
      </c>
      <c r="T66" s="289" t="str">
        <f t="shared" si="1"/>
        <v/>
      </c>
      <c r="U66" s="305" t="str">
        <f t="shared" si="2"/>
        <v/>
      </c>
      <c r="V66" s="304" t="str">
        <f t="shared" si="3"/>
        <v/>
      </c>
      <c r="W66" s="301" t="str">
        <f>IF(S66="","",VLOOKUP(S66,'G-1 All Habitats'!$B$2:$M$135,10,FALSE))</f>
        <v/>
      </c>
      <c r="X66" s="301" t="str">
        <f>IFERROR(VLOOKUP(W66,'G-1 All Habitats'!$V$3:$W$7,2,FALSE),"")</f>
        <v/>
      </c>
      <c r="Y66" s="142"/>
      <c r="Z66" s="305" t="str">
        <f>IFERROR(INDEX('G-8 Condition Look up'!$A$3:$H$135,MATCH(S66,'G-8 Condition Look up'!$A$3:$A$135,0),MATCH(Y66,'G-8 Condition Look up'!$A$3:$H$3,0)),"")</f>
        <v/>
      </c>
      <c r="AA66" s="105"/>
      <c r="AB66" s="320" t="str">
        <f>IF(AA66="","",IF(VLOOKUP(AA66,'G-3 Multipliers'!$L$3:$N$6,2,FALSE)=0,"Spatial Data Missing ⚠",VLOOKUP(AA66,'G-3 Multipliers'!$L$3:$N$6,2,FALSE)))</f>
        <v/>
      </c>
      <c r="AC66" s="305" t="str">
        <f>IF(AA66="","",IF(VLOOKUP(AA66,'G-3 Multipliers'!$L$3:$N$6,3,FALSE)=0,"Spatial Data Missing ⚠",VLOOKUP(AA66,'G-3 Multipliers'!$L$3:$N$6,3,FALSE)))</f>
        <v/>
      </c>
      <c r="AD66" s="317" t="str">
        <f t="shared" si="0"/>
        <v/>
      </c>
      <c r="AE66" s="142"/>
      <c r="AF66" s="142"/>
      <c r="AG66" s="301" t="str">
        <f t="shared" si="4"/>
        <v/>
      </c>
      <c r="AH66" s="302" t="str">
        <f t="shared" si="5"/>
        <v/>
      </c>
      <c r="AI66" s="306" t="str">
        <f>IF(AH66="Check Data ⚠","Check Data ⚠",IFERROR(VLOOKUP(AH66,'G-4 Temporal multipliers'!$A$4:$C$36,3,FALSE),""))</f>
        <v/>
      </c>
      <c r="AJ66" s="317" t="str">
        <f>IF(S66="","",VLOOKUP(S66,'G-3 Multipliers'!$A$2:$E$134,4,FALSE))</f>
        <v/>
      </c>
      <c r="AK66" s="301" t="str">
        <f t="shared" si="6"/>
        <v/>
      </c>
      <c r="AL66" s="301" t="str">
        <f t="shared" si="7"/>
        <v/>
      </c>
      <c r="AM66" s="305" t="str">
        <f>IFERROR(IF(F66="","",IF(AH66="Check Data ⚠","Check Data ⚠",VLOOKUP(AL66, 'G-3 Multipliers'!$P$2:$Q$6,2,FALSE))),"")</f>
        <v/>
      </c>
      <c r="AN66" s="728"/>
      <c r="AO66" s="335" t="str">
        <f>IF(AN66="","",IF(VLOOKUP(AN66,'G-3 Multipliers'!$S$3:$T$10,2,FALSE)=0,"Spatial Data Missing ⚠",VLOOKUP(AN66,'G-3 Multipliers'!$S$3:$T$10,2,FALSE)))</f>
        <v/>
      </c>
      <c r="AP66" s="295" t="str">
        <f t="shared" si="8"/>
        <v/>
      </c>
      <c r="AQ66" s="295" t="str">
        <f t="shared" si="9"/>
        <v/>
      </c>
      <c r="AR66" s="109"/>
      <c r="AS66" s="142"/>
      <c r="AT66" s="108"/>
      <c r="AU66" s="108"/>
      <c r="AY66" s="30" t="str">
        <f>IF(E66="","",IF(ISNA(VLOOKUP($E66,'D-1 Off-Site Habitat Baseline'!$D$1:$AV$258,4,FALSE)),"",(VLOOKUP($E66,'D-1 Off-Site Habitat Baseline'!$D$1:$AV$258,4,FALSE))))</f>
        <v/>
      </c>
    </row>
    <row r="67" spans="1:51" x14ac:dyDescent="0.25">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325" t="str">
        <f>'D-1 Off-Site Habitat Baseline'!AP66</f>
        <v/>
      </c>
      <c r="F67" s="289" t="str">
        <f>IF(E67="","",IF(ISNA(VLOOKUP($E67,'D-1 Off-Site Habitat Baseline'!$D$1:$ZZ$258,45,FALSE)),"",(VLOOKUP($E67,'D-1 Off-Site Habitat Baseline'!$D$1:$ZZ$258,45,FALSE))))</f>
        <v/>
      </c>
      <c r="G67" s="301" t="str">
        <f>IF(E67="","",IF(ISNA(VLOOKUP($E67,'D-1 Off-Site Habitat Baseline'!$D$1:$O$258,5,FALSE)),"",(VLOOKUP($E67,'D-1 Off-Site Habitat Baseline'!$D$1:$O$258,5,FALSE))))</f>
        <v/>
      </c>
      <c r="H67" s="301" t="str">
        <f>IF(E67="","",IF(ISNA(VLOOKUP($E67,'D-1 Off-Site Habitat Baseline'!$D$1:$O$258,6,FALSE)),"",(VLOOKUP($E67,'D-1 Off-Site Habitat Baseline'!$D$1:$O$258,6,FALSE))))</f>
        <v/>
      </c>
      <c r="I67" s="301" t="str">
        <f>IF(E67="","",IF(ISNA(VLOOKUP($E67,'D-1 Off-Site Habitat Baseline'!$D$1:$O$258,7,FALSE)),"",(VLOOKUP($E67,'D-1 Off-Site Habitat Baseline'!$D$1:$O$258,7,FALSE))))</f>
        <v/>
      </c>
      <c r="J67" s="301" t="str">
        <f>IF(E67="","",IF(ISNA(VLOOKUP($E67,'D-1 Off-Site Habitat Baseline'!$D$1:$O$258,8,FALSE)),"",(VLOOKUP($E67,'D-1 Off-Site Habitat Baseline'!$D$1:$O$258,8,FALSE))))</f>
        <v/>
      </c>
      <c r="K67" s="301" t="str">
        <f>IF(E67="","",IF(ISNA(VLOOKUP($E67,'D-1 Off-Site Habitat Baseline'!$D$1:$O$258,9,FALSE)),"",(VLOOKUP($E67,'D-1 Off-Site Habitat Baseline'!$D$1:$O$258,9,FALSE))))</f>
        <v/>
      </c>
      <c r="L67" s="301" t="str">
        <f>IF(E67="","",IF(ISNA(VLOOKUP($E67,'D-1 Off-Site Habitat Baseline'!$D$1:$O$258,11,FALSE)),"",(VLOOKUP($E67,'D-1 Off-Site Habitat Baseline'!$D$1:$O$258,11,FALSE))))</f>
        <v/>
      </c>
      <c r="M67" s="301" t="str">
        <f>IF(E67="","",IF(ISNA(VLOOKUP($E67,'D-1 Off-Site Habitat Baseline'!$D$1:$O$258,12,FALSE)),"",(VLOOKUP($E67,'D-1 Off-Site Habitat Baseline'!$D$1:$O$258,12,FALSE))))</f>
        <v/>
      </c>
      <c r="N67" s="301" t="str">
        <f>IF(E67="","",IF(ISNA(VLOOKUP($E67,'D-1 Off-Site Habitat Baseline'!$D$1:$AA$258,17,FALSE)),"",(VLOOKUP($E67,'D-1 Off-Site Habitat Baseline'!$D$1:$AA$258,17,FALSE))))</f>
        <v/>
      </c>
      <c r="O67" s="305" t="str">
        <f>IF(E67="","",IF(ISNA(VLOOKUP($E67,'D-1 Off-Site Habitat Baseline'!$D$1:$AA$258,13,FALSE)),"",(VLOOKUP($E67,'D-1 Off-Site Habitat Baseline'!$D$1:$AA$258,13,FALSE))))</f>
        <v/>
      </c>
      <c r="P67" s="152" t="str">
        <f>IFERROR(INDEX('G-1 All Habitats'!$AG$49:$AG$63,MATCH(Q67,'G-1 All Habitats'!$AF$27:$AF$41,0)),"")</f>
        <v/>
      </c>
      <c r="Q67" s="153"/>
      <c r="R67" s="154"/>
      <c r="S67" s="155" t="str">
        <f>IFERROR(INDEX('G-1 All Habitats'!$B$3:$B$135,MATCH(R67,'G-1 All Habitats'!$A$3:$A$135,0)),"")</f>
        <v/>
      </c>
      <c r="T67" s="289" t="str">
        <f t="shared" si="1"/>
        <v/>
      </c>
      <c r="U67" s="305" t="str">
        <f t="shared" si="2"/>
        <v/>
      </c>
      <c r="V67" s="304" t="str">
        <f t="shared" si="3"/>
        <v/>
      </c>
      <c r="W67" s="301" t="str">
        <f>IF(S67="","",VLOOKUP(S67,'G-1 All Habitats'!$B$2:$M$135,10,FALSE))</f>
        <v/>
      </c>
      <c r="X67" s="301" t="str">
        <f>IFERROR(VLOOKUP(W67,'G-1 All Habitats'!$V$3:$W$7,2,FALSE),"")</f>
        <v/>
      </c>
      <c r="Y67" s="142"/>
      <c r="Z67" s="305" t="str">
        <f>IFERROR(INDEX('G-8 Condition Look up'!$A$3:$H$135,MATCH(S67,'G-8 Condition Look up'!$A$3:$A$135,0),MATCH(Y67,'G-8 Condition Look up'!$A$3:$H$3,0)),"")</f>
        <v/>
      </c>
      <c r="AA67" s="105"/>
      <c r="AB67" s="320" t="str">
        <f>IF(AA67="","",IF(VLOOKUP(AA67,'G-3 Multipliers'!$L$3:$N$6,2,FALSE)=0,"Spatial Data Missing ⚠",VLOOKUP(AA67,'G-3 Multipliers'!$L$3:$N$6,2,FALSE)))</f>
        <v/>
      </c>
      <c r="AC67" s="305" t="str">
        <f>IF(AA67="","",IF(VLOOKUP(AA67,'G-3 Multipliers'!$L$3:$N$6,3,FALSE)=0,"Spatial Data Missing ⚠",VLOOKUP(AA67,'G-3 Multipliers'!$L$3:$N$6,3,FALSE)))</f>
        <v/>
      </c>
      <c r="AD67" s="317" t="str">
        <f t="shared" si="0"/>
        <v/>
      </c>
      <c r="AE67" s="142"/>
      <c r="AF67" s="142"/>
      <c r="AG67" s="301" t="str">
        <f t="shared" si="4"/>
        <v/>
      </c>
      <c r="AH67" s="302" t="str">
        <f t="shared" si="5"/>
        <v/>
      </c>
      <c r="AI67" s="306" t="str">
        <f>IF(AH67="Check Data ⚠","Check Data ⚠",IFERROR(VLOOKUP(AH67,'G-4 Temporal multipliers'!$A$4:$C$36,3,FALSE),""))</f>
        <v/>
      </c>
      <c r="AJ67" s="317" t="str">
        <f>IF(S67="","",VLOOKUP(S67,'G-3 Multipliers'!$A$2:$E$134,4,FALSE))</f>
        <v/>
      </c>
      <c r="AK67" s="301" t="str">
        <f t="shared" si="6"/>
        <v/>
      </c>
      <c r="AL67" s="301" t="str">
        <f t="shared" si="7"/>
        <v/>
      </c>
      <c r="AM67" s="305" t="str">
        <f>IFERROR(IF(F67="","",IF(AH67="Check Data ⚠","Check Data ⚠",VLOOKUP(AL67, 'G-3 Multipliers'!$P$2:$Q$6,2,FALSE))),"")</f>
        <v/>
      </c>
      <c r="AN67" s="728"/>
      <c r="AO67" s="335" t="str">
        <f>IF(AN67="","",IF(VLOOKUP(AN67,'G-3 Multipliers'!$S$3:$T$10,2,FALSE)=0,"Spatial Data Missing ⚠",VLOOKUP(AN67,'G-3 Multipliers'!$S$3:$T$10,2,FALSE)))</f>
        <v/>
      </c>
      <c r="AP67" s="295" t="str">
        <f t="shared" si="8"/>
        <v/>
      </c>
      <c r="AQ67" s="295" t="str">
        <f t="shared" si="9"/>
        <v/>
      </c>
      <c r="AR67" s="109"/>
      <c r="AS67" s="142"/>
      <c r="AT67" s="108"/>
      <c r="AU67" s="108"/>
      <c r="AY67" s="30" t="str">
        <f>IF(E67="","",IF(ISNA(VLOOKUP($E67,'D-1 Off-Site Habitat Baseline'!$D$1:$AV$258,4,FALSE)),"",(VLOOKUP($E67,'D-1 Off-Site Habitat Baseline'!$D$1:$AV$258,4,FALSE))))</f>
        <v/>
      </c>
    </row>
    <row r="68" spans="1:51" x14ac:dyDescent="0.25">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325" t="str">
        <f>'D-1 Off-Site Habitat Baseline'!AP67</f>
        <v/>
      </c>
      <c r="F68" s="289" t="str">
        <f>IF(E68="","",IF(ISNA(VLOOKUP($E68,'D-1 Off-Site Habitat Baseline'!$D$1:$ZZ$258,45,FALSE)),"",(VLOOKUP($E68,'D-1 Off-Site Habitat Baseline'!$D$1:$ZZ$258,45,FALSE))))</f>
        <v/>
      </c>
      <c r="G68" s="301" t="str">
        <f>IF(E68="","",IF(ISNA(VLOOKUP($E68,'D-1 Off-Site Habitat Baseline'!$D$1:$O$258,5,FALSE)),"",(VLOOKUP($E68,'D-1 Off-Site Habitat Baseline'!$D$1:$O$258,5,FALSE))))</f>
        <v/>
      </c>
      <c r="H68" s="301" t="str">
        <f>IF(E68="","",IF(ISNA(VLOOKUP($E68,'D-1 Off-Site Habitat Baseline'!$D$1:$O$258,6,FALSE)),"",(VLOOKUP($E68,'D-1 Off-Site Habitat Baseline'!$D$1:$O$258,6,FALSE))))</f>
        <v/>
      </c>
      <c r="I68" s="301" t="str">
        <f>IF(E68="","",IF(ISNA(VLOOKUP($E68,'D-1 Off-Site Habitat Baseline'!$D$1:$O$258,7,FALSE)),"",(VLOOKUP($E68,'D-1 Off-Site Habitat Baseline'!$D$1:$O$258,7,FALSE))))</f>
        <v/>
      </c>
      <c r="J68" s="301" t="str">
        <f>IF(E68="","",IF(ISNA(VLOOKUP($E68,'D-1 Off-Site Habitat Baseline'!$D$1:$O$258,8,FALSE)),"",(VLOOKUP($E68,'D-1 Off-Site Habitat Baseline'!$D$1:$O$258,8,FALSE))))</f>
        <v/>
      </c>
      <c r="K68" s="301" t="str">
        <f>IF(E68="","",IF(ISNA(VLOOKUP($E68,'D-1 Off-Site Habitat Baseline'!$D$1:$O$258,9,FALSE)),"",(VLOOKUP($E68,'D-1 Off-Site Habitat Baseline'!$D$1:$O$258,9,FALSE))))</f>
        <v/>
      </c>
      <c r="L68" s="301" t="str">
        <f>IF(E68="","",IF(ISNA(VLOOKUP($E68,'D-1 Off-Site Habitat Baseline'!$D$1:$O$258,11,FALSE)),"",(VLOOKUP($E68,'D-1 Off-Site Habitat Baseline'!$D$1:$O$258,11,FALSE))))</f>
        <v/>
      </c>
      <c r="M68" s="301" t="str">
        <f>IF(E68="","",IF(ISNA(VLOOKUP($E68,'D-1 Off-Site Habitat Baseline'!$D$1:$O$258,12,FALSE)),"",(VLOOKUP($E68,'D-1 Off-Site Habitat Baseline'!$D$1:$O$258,12,FALSE))))</f>
        <v/>
      </c>
      <c r="N68" s="301" t="str">
        <f>IF(E68="","",IF(ISNA(VLOOKUP($E68,'D-1 Off-Site Habitat Baseline'!$D$1:$AA$258,17,FALSE)),"",(VLOOKUP($E68,'D-1 Off-Site Habitat Baseline'!$D$1:$AA$258,17,FALSE))))</f>
        <v/>
      </c>
      <c r="O68" s="305" t="str">
        <f>IF(E68="","",IF(ISNA(VLOOKUP($E68,'D-1 Off-Site Habitat Baseline'!$D$1:$AA$258,13,FALSE)),"",(VLOOKUP($E68,'D-1 Off-Site Habitat Baseline'!$D$1:$AA$258,13,FALSE))))</f>
        <v/>
      </c>
      <c r="P68" s="152" t="str">
        <f>IFERROR(INDEX('G-1 All Habitats'!$AG$49:$AG$63,MATCH(Q68,'G-1 All Habitats'!$AF$27:$AF$41,0)),"")</f>
        <v/>
      </c>
      <c r="Q68" s="153"/>
      <c r="R68" s="154"/>
      <c r="S68" s="155" t="str">
        <f>IFERROR(INDEX('G-1 All Habitats'!$B$3:$B$135,MATCH(R68,'G-1 All Habitats'!$A$3:$A$135,0)),"")</f>
        <v/>
      </c>
      <c r="T68" s="289" t="str">
        <f t="shared" si="1"/>
        <v/>
      </c>
      <c r="U68" s="305" t="str">
        <f t="shared" si="2"/>
        <v/>
      </c>
      <c r="V68" s="304" t="str">
        <f t="shared" si="3"/>
        <v/>
      </c>
      <c r="W68" s="301" t="str">
        <f>IF(S68="","",VLOOKUP(S68,'G-1 All Habitats'!$B$2:$M$135,10,FALSE))</f>
        <v/>
      </c>
      <c r="X68" s="301" t="str">
        <f>IFERROR(VLOOKUP(W68,'G-1 All Habitats'!$V$3:$W$7,2,FALSE),"")</f>
        <v/>
      </c>
      <c r="Y68" s="142"/>
      <c r="Z68" s="305" t="str">
        <f>IFERROR(INDEX('G-8 Condition Look up'!$A$3:$H$135,MATCH(S68,'G-8 Condition Look up'!$A$3:$A$135,0),MATCH(Y68,'G-8 Condition Look up'!$A$3:$H$3,0)),"")</f>
        <v/>
      </c>
      <c r="AA68" s="105"/>
      <c r="AB68" s="320" t="str">
        <f>IF(AA68="","",IF(VLOOKUP(AA68,'G-3 Multipliers'!$L$3:$N$6,2,FALSE)=0,"Spatial Data Missing ⚠",VLOOKUP(AA68,'G-3 Multipliers'!$L$3:$N$6,2,FALSE)))</f>
        <v/>
      </c>
      <c r="AC68" s="305" t="str">
        <f>IF(AA68="","",IF(VLOOKUP(AA68,'G-3 Multipliers'!$L$3:$N$6,3,FALSE)=0,"Spatial Data Missing ⚠",VLOOKUP(AA68,'G-3 Multipliers'!$L$3:$N$6,3,FALSE)))</f>
        <v/>
      </c>
      <c r="AD68" s="317" t="str">
        <f t="shared" si="0"/>
        <v/>
      </c>
      <c r="AE68" s="142"/>
      <c r="AF68" s="142"/>
      <c r="AG68" s="301" t="str">
        <f t="shared" si="4"/>
        <v/>
      </c>
      <c r="AH68" s="302" t="str">
        <f t="shared" si="5"/>
        <v/>
      </c>
      <c r="AI68" s="306" t="str">
        <f>IF(AH68="Check Data ⚠","Check Data ⚠",IFERROR(VLOOKUP(AH68,'G-4 Temporal multipliers'!$A$4:$C$36,3,FALSE),""))</f>
        <v/>
      </c>
      <c r="AJ68" s="317" t="str">
        <f>IF(S68="","",VLOOKUP(S68,'G-3 Multipliers'!$A$2:$E$134,4,FALSE))</f>
        <v/>
      </c>
      <c r="AK68" s="301" t="str">
        <f t="shared" si="6"/>
        <v/>
      </c>
      <c r="AL68" s="301" t="str">
        <f t="shared" si="7"/>
        <v/>
      </c>
      <c r="AM68" s="305" t="str">
        <f>IFERROR(IF(F68="","",IF(AH68="Check Data ⚠","Check Data ⚠",VLOOKUP(AL68, 'G-3 Multipliers'!$P$2:$Q$6,2,FALSE))),"")</f>
        <v/>
      </c>
      <c r="AN68" s="728"/>
      <c r="AO68" s="335" t="str">
        <f>IF(AN68="","",IF(VLOOKUP(AN68,'G-3 Multipliers'!$S$3:$T$10,2,FALSE)=0,"Spatial Data Missing ⚠",VLOOKUP(AN68,'G-3 Multipliers'!$S$3:$T$10,2,FALSE)))</f>
        <v/>
      </c>
      <c r="AP68" s="295" t="str">
        <f t="shared" si="8"/>
        <v/>
      </c>
      <c r="AQ68" s="295" t="str">
        <f t="shared" si="9"/>
        <v/>
      </c>
      <c r="AR68" s="109"/>
      <c r="AS68" s="142"/>
      <c r="AT68" s="108"/>
      <c r="AU68" s="108"/>
      <c r="AY68" s="30" t="str">
        <f>IF(E68="","",IF(ISNA(VLOOKUP($E68,'D-1 Off-Site Habitat Baseline'!$D$1:$AV$258,4,FALSE)),"",(VLOOKUP($E68,'D-1 Off-Site Habitat Baseline'!$D$1:$AV$258,4,FALSE))))</f>
        <v/>
      </c>
    </row>
    <row r="69" spans="1:51" x14ac:dyDescent="0.25">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325" t="str">
        <f>'D-1 Off-Site Habitat Baseline'!AP68</f>
        <v/>
      </c>
      <c r="F69" s="289" t="str">
        <f>IF(E69="","",IF(ISNA(VLOOKUP($E69,'D-1 Off-Site Habitat Baseline'!$D$1:$ZZ$258,45,FALSE)),"",(VLOOKUP($E69,'D-1 Off-Site Habitat Baseline'!$D$1:$ZZ$258,45,FALSE))))</f>
        <v/>
      </c>
      <c r="G69" s="301" t="str">
        <f>IF(E69="","",IF(ISNA(VLOOKUP($E69,'D-1 Off-Site Habitat Baseline'!$D$1:$O$258,5,FALSE)),"",(VLOOKUP($E69,'D-1 Off-Site Habitat Baseline'!$D$1:$O$258,5,FALSE))))</f>
        <v/>
      </c>
      <c r="H69" s="301" t="str">
        <f>IF(E69="","",IF(ISNA(VLOOKUP($E69,'D-1 Off-Site Habitat Baseline'!$D$1:$O$258,6,FALSE)),"",(VLOOKUP($E69,'D-1 Off-Site Habitat Baseline'!$D$1:$O$258,6,FALSE))))</f>
        <v/>
      </c>
      <c r="I69" s="301" t="str">
        <f>IF(E69="","",IF(ISNA(VLOOKUP($E69,'D-1 Off-Site Habitat Baseline'!$D$1:$O$258,7,FALSE)),"",(VLOOKUP($E69,'D-1 Off-Site Habitat Baseline'!$D$1:$O$258,7,FALSE))))</f>
        <v/>
      </c>
      <c r="J69" s="301" t="str">
        <f>IF(E69="","",IF(ISNA(VLOOKUP($E69,'D-1 Off-Site Habitat Baseline'!$D$1:$O$258,8,FALSE)),"",(VLOOKUP($E69,'D-1 Off-Site Habitat Baseline'!$D$1:$O$258,8,FALSE))))</f>
        <v/>
      </c>
      <c r="K69" s="301" t="str">
        <f>IF(E69="","",IF(ISNA(VLOOKUP($E69,'D-1 Off-Site Habitat Baseline'!$D$1:$O$258,9,FALSE)),"",(VLOOKUP($E69,'D-1 Off-Site Habitat Baseline'!$D$1:$O$258,9,FALSE))))</f>
        <v/>
      </c>
      <c r="L69" s="301" t="str">
        <f>IF(E69="","",IF(ISNA(VLOOKUP($E69,'D-1 Off-Site Habitat Baseline'!$D$1:$O$258,11,FALSE)),"",(VLOOKUP($E69,'D-1 Off-Site Habitat Baseline'!$D$1:$O$258,11,FALSE))))</f>
        <v/>
      </c>
      <c r="M69" s="301" t="str">
        <f>IF(E69="","",IF(ISNA(VLOOKUP($E69,'D-1 Off-Site Habitat Baseline'!$D$1:$O$258,12,FALSE)),"",(VLOOKUP($E69,'D-1 Off-Site Habitat Baseline'!$D$1:$O$258,12,FALSE))))</f>
        <v/>
      </c>
      <c r="N69" s="301" t="str">
        <f>IF(E69="","",IF(ISNA(VLOOKUP($E69,'D-1 Off-Site Habitat Baseline'!$D$1:$AA$258,17,FALSE)),"",(VLOOKUP($E69,'D-1 Off-Site Habitat Baseline'!$D$1:$AA$258,17,FALSE))))</f>
        <v/>
      </c>
      <c r="O69" s="305" t="str">
        <f>IF(E69="","",IF(ISNA(VLOOKUP($E69,'D-1 Off-Site Habitat Baseline'!$D$1:$AA$258,13,FALSE)),"",(VLOOKUP($E69,'D-1 Off-Site Habitat Baseline'!$D$1:$AA$258,13,FALSE))))</f>
        <v/>
      </c>
      <c r="P69" s="152" t="str">
        <f>IFERROR(INDEX('G-1 All Habitats'!$AG$49:$AG$63,MATCH(Q69,'G-1 All Habitats'!$AF$27:$AF$41,0)),"")</f>
        <v/>
      </c>
      <c r="Q69" s="153"/>
      <c r="R69" s="154"/>
      <c r="S69" s="155" t="str">
        <f>IFERROR(INDEX('G-1 All Habitats'!$B$3:$B$135,MATCH(R69,'G-1 All Habitats'!$A$3:$A$135,0)),"")</f>
        <v/>
      </c>
      <c r="T69" s="289" t="str">
        <f t="shared" si="1"/>
        <v/>
      </c>
      <c r="U69" s="305" t="str">
        <f t="shared" si="2"/>
        <v/>
      </c>
      <c r="V69" s="304" t="str">
        <f t="shared" si="3"/>
        <v/>
      </c>
      <c r="W69" s="301" t="str">
        <f>IF(S69="","",VLOOKUP(S69,'G-1 All Habitats'!$B$2:$M$135,10,FALSE))</f>
        <v/>
      </c>
      <c r="X69" s="301" t="str">
        <f>IFERROR(VLOOKUP(W69,'G-1 All Habitats'!$V$3:$W$7,2,FALSE),"")</f>
        <v/>
      </c>
      <c r="Y69" s="142"/>
      <c r="Z69" s="305" t="str">
        <f>IFERROR(INDEX('G-8 Condition Look up'!$A$3:$H$135,MATCH(S69,'G-8 Condition Look up'!$A$3:$A$135,0),MATCH(Y69,'G-8 Condition Look up'!$A$3:$H$3,0)),"")</f>
        <v/>
      </c>
      <c r="AA69" s="105"/>
      <c r="AB69" s="320" t="str">
        <f>IF(AA69="","",IF(VLOOKUP(AA69,'G-3 Multipliers'!$L$3:$N$6,2,FALSE)=0,"Spatial Data Missing ⚠",VLOOKUP(AA69,'G-3 Multipliers'!$L$3:$N$6,2,FALSE)))</f>
        <v/>
      </c>
      <c r="AC69" s="305" t="str">
        <f>IF(AA69="","",IF(VLOOKUP(AA69,'G-3 Multipliers'!$L$3:$N$6,3,FALSE)=0,"Spatial Data Missing ⚠",VLOOKUP(AA69,'G-3 Multipliers'!$L$3:$N$6,3,FALSE)))</f>
        <v/>
      </c>
      <c r="AD69" s="317" t="str">
        <f t="shared" si="0"/>
        <v/>
      </c>
      <c r="AE69" s="142"/>
      <c r="AF69" s="142"/>
      <c r="AG69" s="301" t="str">
        <f t="shared" si="4"/>
        <v/>
      </c>
      <c r="AH69" s="302" t="str">
        <f t="shared" si="5"/>
        <v/>
      </c>
      <c r="AI69" s="306" t="str">
        <f>IF(AH69="Check Data ⚠","Check Data ⚠",IFERROR(VLOOKUP(AH69,'G-4 Temporal multipliers'!$A$4:$C$36,3,FALSE),""))</f>
        <v/>
      </c>
      <c r="AJ69" s="317" t="str">
        <f>IF(S69="","",VLOOKUP(S69,'G-3 Multipliers'!$A$2:$E$134,4,FALSE))</f>
        <v/>
      </c>
      <c r="AK69" s="301" t="str">
        <f t="shared" si="6"/>
        <v/>
      </c>
      <c r="AL69" s="301" t="str">
        <f t="shared" si="7"/>
        <v/>
      </c>
      <c r="AM69" s="305" t="str">
        <f>IFERROR(IF(F69="","",IF(AH69="Check Data ⚠","Check Data ⚠",VLOOKUP(AL69, 'G-3 Multipliers'!$P$2:$Q$6,2,FALSE))),"")</f>
        <v/>
      </c>
      <c r="AN69" s="728"/>
      <c r="AO69" s="335" t="str">
        <f>IF(AN69="","",IF(VLOOKUP(AN69,'G-3 Multipliers'!$S$3:$T$10,2,FALSE)=0,"Spatial Data Missing ⚠",VLOOKUP(AN69,'G-3 Multipliers'!$S$3:$T$10,2,FALSE)))</f>
        <v/>
      </c>
      <c r="AP69" s="295" t="str">
        <f t="shared" si="8"/>
        <v/>
      </c>
      <c r="AQ69" s="295" t="str">
        <f t="shared" si="9"/>
        <v/>
      </c>
      <c r="AR69" s="109"/>
      <c r="AS69" s="142"/>
      <c r="AT69" s="108"/>
      <c r="AU69" s="108"/>
      <c r="AY69" s="30" t="str">
        <f>IF(E69="","",IF(ISNA(VLOOKUP($E69,'D-1 Off-Site Habitat Baseline'!$D$1:$AV$258,4,FALSE)),"",(VLOOKUP($E69,'D-1 Off-Site Habitat Baseline'!$D$1:$AV$258,4,FALSE))))</f>
        <v/>
      </c>
    </row>
    <row r="70" spans="1:51" x14ac:dyDescent="0.25">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325" t="str">
        <f>'D-1 Off-Site Habitat Baseline'!AP69</f>
        <v/>
      </c>
      <c r="F70" s="289" t="str">
        <f>IF(E70="","",IF(ISNA(VLOOKUP($E70,'D-1 Off-Site Habitat Baseline'!$D$1:$ZZ$258,45,FALSE)),"",(VLOOKUP($E70,'D-1 Off-Site Habitat Baseline'!$D$1:$ZZ$258,45,FALSE))))</f>
        <v/>
      </c>
      <c r="G70" s="301" t="str">
        <f>IF(E70="","",IF(ISNA(VLOOKUP($E70,'D-1 Off-Site Habitat Baseline'!$D$1:$O$258,5,FALSE)),"",(VLOOKUP($E70,'D-1 Off-Site Habitat Baseline'!$D$1:$O$258,5,FALSE))))</f>
        <v/>
      </c>
      <c r="H70" s="301" t="str">
        <f>IF(E70="","",IF(ISNA(VLOOKUP($E70,'D-1 Off-Site Habitat Baseline'!$D$1:$O$258,6,FALSE)),"",(VLOOKUP($E70,'D-1 Off-Site Habitat Baseline'!$D$1:$O$258,6,FALSE))))</f>
        <v/>
      </c>
      <c r="I70" s="301" t="str">
        <f>IF(E70="","",IF(ISNA(VLOOKUP($E70,'D-1 Off-Site Habitat Baseline'!$D$1:$O$258,7,FALSE)),"",(VLOOKUP($E70,'D-1 Off-Site Habitat Baseline'!$D$1:$O$258,7,FALSE))))</f>
        <v/>
      </c>
      <c r="J70" s="301" t="str">
        <f>IF(E70="","",IF(ISNA(VLOOKUP($E70,'D-1 Off-Site Habitat Baseline'!$D$1:$O$258,8,FALSE)),"",(VLOOKUP($E70,'D-1 Off-Site Habitat Baseline'!$D$1:$O$258,8,FALSE))))</f>
        <v/>
      </c>
      <c r="K70" s="301" t="str">
        <f>IF(E70="","",IF(ISNA(VLOOKUP($E70,'D-1 Off-Site Habitat Baseline'!$D$1:$O$258,9,FALSE)),"",(VLOOKUP($E70,'D-1 Off-Site Habitat Baseline'!$D$1:$O$258,9,FALSE))))</f>
        <v/>
      </c>
      <c r="L70" s="301" t="str">
        <f>IF(E70="","",IF(ISNA(VLOOKUP($E70,'D-1 Off-Site Habitat Baseline'!$D$1:$O$258,11,FALSE)),"",(VLOOKUP($E70,'D-1 Off-Site Habitat Baseline'!$D$1:$O$258,11,FALSE))))</f>
        <v/>
      </c>
      <c r="M70" s="301" t="str">
        <f>IF(E70="","",IF(ISNA(VLOOKUP($E70,'D-1 Off-Site Habitat Baseline'!$D$1:$O$258,12,FALSE)),"",(VLOOKUP($E70,'D-1 Off-Site Habitat Baseline'!$D$1:$O$258,12,FALSE))))</f>
        <v/>
      </c>
      <c r="N70" s="301" t="str">
        <f>IF(E70="","",IF(ISNA(VLOOKUP($E70,'D-1 Off-Site Habitat Baseline'!$D$1:$AA$258,17,FALSE)),"",(VLOOKUP($E70,'D-1 Off-Site Habitat Baseline'!$D$1:$AA$258,17,FALSE))))</f>
        <v/>
      </c>
      <c r="O70" s="305" t="str">
        <f>IF(E70="","",IF(ISNA(VLOOKUP($E70,'D-1 Off-Site Habitat Baseline'!$D$1:$AA$258,13,FALSE)),"",(VLOOKUP($E70,'D-1 Off-Site Habitat Baseline'!$D$1:$AA$258,13,FALSE))))</f>
        <v/>
      </c>
      <c r="P70" s="152" t="str">
        <f>IFERROR(INDEX('G-1 All Habitats'!$AG$49:$AG$63,MATCH(Q70,'G-1 All Habitats'!$AF$27:$AF$41,0)),"")</f>
        <v/>
      </c>
      <c r="Q70" s="153"/>
      <c r="R70" s="154"/>
      <c r="S70" s="155" t="str">
        <f>IFERROR(INDEX('G-1 All Habitats'!$B$3:$B$135,MATCH(R70,'G-1 All Habitats'!$A$3:$A$135,0)),"")</f>
        <v/>
      </c>
      <c r="T70" s="289" t="str">
        <f t="shared" si="1"/>
        <v/>
      </c>
      <c r="U70" s="305" t="str">
        <f t="shared" si="2"/>
        <v/>
      </c>
      <c r="V70" s="304" t="str">
        <f t="shared" si="3"/>
        <v/>
      </c>
      <c r="W70" s="301" t="str">
        <f>IF(S70="","",VLOOKUP(S70,'G-1 All Habitats'!$B$2:$M$135,10,FALSE))</f>
        <v/>
      </c>
      <c r="X70" s="301" t="str">
        <f>IFERROR(VLOOKUP(W70,'G-1 All Habitats'!$V$3:$W$7,2,FALSE),"")</f>
        <v/>
      </c>
      <c r="Y70" s="142"/>
      <c r="Z70" s="305" t="str">
        <f>IFERROR(INDEX('G-8 Condition Look up'!$A$3:$H$135,MATCH(S70,'G-8 Condition Look up'!$A$3:$A$135,0),MATCH(Y70,'G-8 Condition Look up'!$A$3:$H$3,0)),"")</f>
        <v/>
      </c>
      <c r="AA70" s="105"/>
      <c r="AB70" s="320" t="str">
        <f>IF(AA70="","",IF(VLOOKUP(AA70,'G-3 Multipliers'!$L$3:$N$6,2,FALSE)=0,"Spatial Data Missing ⚠",VLOOKUP(AA70,'G-3 Multipliers'!$L$3:$N$6,2,FALSE)))</f>
        <v/>
      </c>
      <c r="AC70" s="305" t="str">
        <f>IF(AA70="","",IF(VLOOKUP(AA70,'G-3 Multipliers'!$L$3:$N$6,3,FALSE)=0,"Spatial Data Missing ⚠",VLOOKUP(AA70,'G-3 Multipliers'!$L$3:$N$6,3,FALSE)))</f>
        <v/>
      </c>
      <c r="AD70" s="317" t="str">
        <f t="shared" si="0"/>
        <v/>
      </c>
      <c r="AE70" s="142"/>
      <c r="AF70" s="142"/>
      <c r="AG70" s="301" t="str">
        <f t="shared" si="4"/>
        <v/>
      </c>
      <c r="AH70" s="302" t="str">
        <f t="shared" si="5"/>
        <v/>
      </c>
      <c r="AI70" s="306" t="str">
        <f>IF(AH70="Check Data ⚠","Check Data ⚠",IFERROR(VLOOKUP(AH70,'G-4 Temporal multipliers'!$A$4:$C$36,3,FALSE),""))</f>
        <v/>
      </c>
      <c r="AJ70" s="317" t="str">
        <f>IF(S70="","",VLOOKUP(S70,'G-3 Multipliers'!$A$2:$E$134,4,FALSE))</f>
        <v/>
      </c>
      <c r="AK70" s="301" t="str">
        <f t="shared" si="6"/>
        <v/>
      </c>
      <c r="AL70" s="301" t="str">
        <f t="shared" si="7"/>
        <v/>
      </c>
      <c r="AM70" s="305" t="str">
        <f>IFERROR(IF(F70="","",IF(AH70="Check Data ⚠","Check Data ⚠",VLOOKUP(AL70, 'G-3 Multipliers'!$P$2:$Q$6,2,FALSE))),"")</f>
        <v/>
      </c>
      <c r="AN70" s="728"/>
      <c r="AO70" s="335" t="str">
        <f>IF(AN70="","",IF(VLOOKUP(AN70,'G-3 Multipliers'!$S$3:$T$10,2,FALSE)=0,"Spatial Data Missing ⚠",VLOOKUP(AN70,'G-3 Multipliers'!$S$3:$T$10,2,FALSE)))</f>
        <v/>
      </c>
      <c r="AP70" s="295" t="str">
        <f t="shared" si="8"/>
        <v/>
      </c>
      <c r="AQ70" s="295" t="str">
        <f t="shared" si="9"/>
        <v/>
      </c>
      <c r="AR70" s="109"/>
      <c r="AS70" s="142"/>
      <c r="AT70" s="108"/>
      <c r="AU70" s="108"/>
      <c r="AY70" s="30" t="str">
        <f>IF(E70="","",IF(ISNA(VLOOKUP($E70,'D-1 Off-Site Habitat Baseline'!$D$1:$AV$258,4,FALSE)),"",(VLOOKUP($E70,'D-1 Off-Site Habitat Baseline'!$D$1:$AV$258,4,FALSE))))</f>
        <v/>
      </c>
    </row>
    <row r="71" spans="1:51" x14ac:dyDescent="0.25">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325" t="str">
        <f>'D-1 Off-Site Habitat Baseline'!AP70</f>
        <v/>
      </c>
      <c r="F71" s="289" t="str">
        <f>IF(E71="","",IF(ISNA(VLOOKUP($E71,'D-1 Off-Site Habitat Baseline'!$D$1:$ZZ$258,45,FALSE)),"",(VLOOKUP($E71,'D-1 Off-Site Habitat Baseline'!$D$1:$ZZ$258,45,FALSE))))</f>
        <v/>
      </c>
      <c r="G71" s="301" t="str">
        <f>IF(E71="","",IF(ISNA(VLOOKUP($E71,'D-1 Off-Site Habitat Baseline'!$D$1:$O$258,5,FALSE)),"",(VLOOKUP($E71,'D-1 Off-Site Habitat Baseline'!$D$1:$O$258,5,FALSE))))</f>
        <v/>
      </c>
      <c r="H71" s="301" t="str">
        <f>IF(E71="","",IF(ISNA(VLOOKUP($E71,'D-1 Off-Site Habitat Baseline'!$D$1:$O$258,6,FALSE)),"",(VLOOKUP($E71,'D-1 Off-Site Habitat Baseline'!$D$1:$O$258,6,FALSE))))</f>
        <v/>
      </c>
      <c r="I71" s="301" t="str">
        <f>IF(E71="","",IF(ISNA(VLOOKUP($E71,'D-1 Off-Site Habitat Baseline'!$D$1:$O$258,7,FALSE)),"",(VLOOKUP($E71,'D-1 Off-Site Habitat Baseline'!$D$1:$O$258,7,FALSE))))</f>
        <v/>
      </c>
      <c r="J71" s="301" t="str">
        <f>IF(E71="","",IF(ISNA(VLOOKUP($E71,'D-1 Off-Site Habitat Baseline'!$D$1:$O$258,8,FALSE)),"",(VLOOKUP($E71,'D-1 Off-Site Habitat Baseline'!$D$1:$O$258,8,FALSE))))</f>
        <v/>
      </c>
      <c r="K71" s="301" t="str">
        <f>IF(E71="","",IF(ISNA(VLOOKUP($E71,'D-1 Off-Site Habitat Baseline'!$D$1:$O$258,9,FALSE)),"",(VLOOKUP($E71,'D-1 Off-Site Habitat Baseline'!$D$1:$O$258,9,FALSE))))</f>
        <v/>
      </c>
      <c r="L71" s="301" t="str">
        <f>IF(E71="","",IF(ISNA(VLOOKUP($E71,'D-1 Off-Site Habitat Baseline'!$D$1:$O$258,11,FALSE)),"",(VLOOKUP($E71,'D-1 Off-Site Habitat Baseline'!$D$1:$O$258,11,FALSE))))</f>
        <v/>
      </c>
      <c r="M71" s="301" t="str">
        <f>IF(E71="","",IF(ISNA(VLOOKUP($E71,'D-1 Off-Site Habitat Baseline'!$D$1:$O$258,12,FALSE)),"",(VLOOKUP($E71,'D-1 Off-Site Habitat Baseline'!$D$1:$O$258,12,FALSE))))</f>
        <v/>
      </c>
      <c r="N71" s="301" t="str">
        <f>IF(E71="","",IF(ISNA(VLOOKUP($E71,'D-1 Off-Site Habitat Baseline'!$D$1:$AA$258,17,FALSE)),"",(VLOOKUP($E71,'D-1 Off-Site Habitat Baseline'!$D$1:$AA$258,17,FALSE))))</f>
        <v/>
      </c>
      <c r="O71" s="305" t="str">
        <f>IF(E71="","",IF(ISNA(VLOOKUP($E71,'D-1 Off-Site Habitat Baseline'!$D$1:$AA$258,13,FALSE)),"",(VLOOKUP($E71,'D-1 Off-Site Habitat Baseline'!$D$1:$AA$258,13,FALSE))))</f>
        <v/>
      </c>
      <c r="P71" s="152" t="str">
        <f>IFERROR(INDEX('G-1 All Habitats'!$AG$49:$AG$63,MATCH(Q71,'G-1 All Habitats'!$AF$27:$AF$41,0)),"")</f>
        <v/>
      </c>
      <c r="Q71" s="153"/>
      <c r="R71" s="154"/>
      <c r="S71" s="155" t="str">
        <f>IFERROR(INDEX('G-1 All Habitats'!$B$3:$B$135,MATCH(R71,'G-1 All Habitats'!$A$3:$A$135,0)),"")</f>
        <v/>
      </c>
      <c r="T71" s="289" t="str">
        <f t="shared" si="1"/>
        <v/>
      </c>
      <c r="U71" s="305" t="str">
        <f t="shared" si="2"/>
        <v/>
      </c>
      <c r="V71" s="304" t="str">
        <f t="shared" si="3"/>
        <v/>
      </c>
      <c r="W71" s="301" t="str">
        <f>IF(S71="","",VLOOKUP(S71,'G-1 All Habitats'!$B$2:$M$135,10,FALSE))</f>
        <v/>
      </c>
      <c r="X71" s="301" t="str">
        <f>IFERROR(VLOOKUP(W71,'G-1 All Habitats'!$V$3:$W$7,2,FALSE),"")</f>
        <v/>
      </c>
      <c r="Y71" s="142"/>
      <c r="Z71" s="305" t="str">
        <f>IFERROR(INDEX('G-8 Condition Look up'!$A$3:$H$135,MATCH(S71,'G-8 Condition Look up'!$A$3:$A$135,0),MATCH(Y71,'G-8 Condition Look up'!$A$3:$H$3,0)),"")</f>
        <v/>
      </c>
      <c r="AA71" s="105"/>
      <c r="AB71" s="320" t="str">
        <f>IF(AA71="","",IF(VLOOKUP(AA71,'G-3 Multipliers'!$L$3:$N$6,2,FALSE)=0,"Spatial Data Missing ⚠",VLOOKUP(AA71,'G-3 Multipliers'!$L$3:$N$6,2,FALSE)))</f>
        <v/>
      </c>
      <c r="AC71" s="305" t="str">
        <f>IF(AA71="","",IF(VLOOKUP(AA71,'G-3 Multipliers'!$L$3:$N$6,3,FALSE)=0,"Spatial Data Missing ⚠",VLOOKUP(AA71,'G-3 Multipliers'!$L$3:$N$6,3,FALSE)))</f>
        <v/>
      </c>
      <c r="AD71" s="317" t="str">
        <f t="shared" si="0"/>
        <v/>
      </c>
      <c r="AE71" s="142"/>
      <c r="AF71" s="142"/>
      <c r="AG71" s="301" t="str">
        <f t="shared" si="4"/>
        <v/>
      </c>
      <c r="AH71" s="302" t="str">
        <f t="shared" si="5"/>
        <v/>
      </c>
      <c r="AI71" s="306" t="str">
        <f>IF(AH71="Check Data ⚠","Check Data ⚠",IFERROR(VLOOKUP(AH71,'G-4 Temporal multipliers'!$A$4:$C$36,3,FALSE),""))</f>
        <v/>
      </c>
      <c r="AJ71" s="317" t="str">
        <f>IF(S71="","",VLOOKUP(S71,'G-3 Multipliers'!$A$2:$E$134,4,FALSE))</f>
        <v/>
      </c>
      <c r="AK71" s="301" t="str">
        <f t="shared" si="6"/>
        <v/>
      </c>
      <c r="AL71" s="301" t="str">
        <f t="shared" si="7"/>
        <v/>
      </c>
      <c r="AM71" s="305" t="str">
        <f>IFERROR(IF(F71="","",IF(AH71="Check Data ⚠","Check Data ⚠",VLOOKUP(AL71, 'G-3 Multipliers'!$P$2:$Q$6,2,FALSE))),"")</f>
        <v/>
      </c>
      <c r="AN71" s="728"/>
      <c r="AO71" s="335" t="str">
        <f>IF(AN71="","",IF(VLOOKUP(AN71,'G-3 Multipliers'!$S$3:$T$10,2,FALSE)=0,"Spatial Data Missing ⚠",VLOOKUP(AN71,'G-3 Multipliers'!$S$3:$T$10,2,FALSE)))</f>
        <v/>
      </c>
      <c r="AP71" s="295" t="str">
        <f t="shared" si="8"/>
        <v/>
      </c>
      <c r="AQ71" s="295" t="str">
        <f t="shared" si="9"/>
        <v/>
      </c>
      <c r="AR71" s="109"/>
      <c r="AS71" s="142"/>
      <c r="AT71" s="108"/>
      <c r="AU71" s="108"/>
      <c r="AY71" s="30" t="str">
        <f>IF(E71="","",IF(ISNA(VLOOKUP($E71,'D-1 Off-Site Habitat Baseline'!$D$1:$AV$258,4,FALSE)),"",(VLOOKUP($E71,'D-1 Off-Site Habitat Baseline'!$D$1:$AV$258,4,FALSE))))</f>
        <v/>
      </c>
    </row>
    <row r="72" spans="1:51" x14ac:dyDescent="0.25">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325" t="str">
        <f>'D-1 Off-Site Habitat Baseline'!AP71</f>
        <v/>
      </c>
      <c r="F72" s="289" t="str">
        <f>IF(E72="","",IF(ISNA(VLOOKUP($E72,'D-1 Off-Site Habitat Baseline'!$D$1:$ZZ$258,45,FALSE)),"",(VLOOKUP($E72,'D-1 Off-Site Habitat Baseline'!$D$1:$ZZ$258,45,FALSE))))</f>
        <v/>
      </c>
      <c r="G72" s="301" t="str">
        <f>IF(E72="","",IF(ISNA(VLOOKUP($E72,'D-1 Off-Site Habitat Baseline'!$D$1:$O$258,5,FALSE)),"",(VLOOKUP($E72,'D-1 Off-Site Habitat Baseline'!$D$1:$O$258,5,FALSE))))</f>
        <v/>
      </c>
      <c r="H72" s="301" t="str">
        <f>IF(E72="","",IF(ISNA(VLOOKUP($E72,'D-1 Off-Site Habitat Baseline'!$D$1:$O$258,6,FALSE)),"",(VLOOKUP($E72,'D-1 Off-Site Habitat Baseline'!$D$1:$O$258,6,FALSE))))</f>
        <v/>
      </c>
      <c r="I72" s="301" t="str">
        <f>IF(E72="","",IF(ISNA(VLOOKUP($E72,'D-1 Off-Site Habitat Baseline'!$D$1:$O$258,7,FALSE)),"",(VLOOKUP($E72,'D-1 Off-Site Habitat Baseline'!$D$1:$O$258,7,FALSE))))</f>
        <v/>
      </c>
      <c r="J72" s="301" t="str">
        <f>IF(E72="","",IF(ISNA(VLOOKUP($E72,'D-1 Off-Site Habitat Baseline'!$D$1:$O$258,8,FALSE)),"",(VLOOKUP($E72,'D-1 Off-Site Habitat Baseline'!$D$1:$O$258,8,FALSE))))</f>
        <v/>
      </c>
      <c r="K72" s="301" t="str">
        <f>IF(E72="","",IF(ISNA(VLOOKUP($E72,'D-1 Off-Site Habitat Baseline'!$D$1:$O$258,9,FALSE)),"",(VLOOKUP($E72,'D-1 Off-Site Habitat Baseline'!$D$1:$O$258,9,FALSE))))</f>
        <v/>
      </c>
      <c r="L72" s="301" t="str">
        <f>IF(E72="","",IF(ISNA(VLOOKUP($E72,'D-1 Off-Site Habitat Baseline'!$D$1:$O$258,11,FALSE)),"",(VLOOKUP($E72,'D-1 Off-Site Habitat Baseline'!$D$1:$O$258,11,FALSE))))</f>
        <v/>
      </c>
      <c r="M72" s="301" t="str">
        <f>IF(E72="","",IF(ISNA(VLOOKUP($E72,'D-1 Off-Site Habitat Baseline'!$D$1:$O$258,12,FALSE)),"",(VLOOKUP($E72,'D-1 Off-Site Habitat Baseline'!$D$1:$O$258,12,FALSE))))</f>
        <v/>
      </c>
      <c r="N72" s="301" t="str">
        <f>IF(E72="","",IF(ISNA(VLOOKUP($E72,'D-1 Off-Site Habitat Baseline'!$D$1:$AA$258,17,FALSE)),"",(VLOOKUP($E72,'D-1 Off-Site Habitat Baseline'!$D$1:$AA$258,17,FALSE))))</f>
        <v/>
      </c>
      <c r="O72" s="305" t="str">
        <f>IF(E72="","",IF(ISNA(VLOOKUP($E72,'D-1 Off-Site Habitat Baseline'!$D$1:$AA$258,13,FALSE)),"",(VLOOKUP($E72,'D-1 Off-Site Habitat Baseline'!$D$1:$AA$258,13,FALSE))))</f>
        <v/>
      </c>
      <c r="P72" s="152" t="str">
        <f>IFERROR(INDEX('G-1 All Habitats'!$AG$49:$AG$63,MATCH(Q72,'G-1 All Habitats'!$AF$27:$AF$41,0)),"")</f>
        <v/>
      </c>
      <c r="Q72" s="153"/>
      <c r="R72" s="154"/>
      <c r="S72" s="155" t="str">
        <f>IFERROR(INDEX('G-1 All Habitats'!$B$3:$B$135,MATCH(R72,'G-1 All Habitats'!$A$3:$A$135,0)),"")</f>
        <v/>
      </c>
      <c r="T72" s="289" t="str">
        <f t="shared" si="1"/>
        <v/>
      </c>
      <c r="U72" s="305" t="str">
        <f t="shared" si="2"/>
        <v/>
      </c>
      <c r="V72" s="304" t="str">
        <f t="shared" si="3"/>
        <v/>
      </c>
      <c r="W72" s="301" t="str">
        <f>IF(S72="","",VLOOKUP(S72,'G-1 All Habitats'!$B$2:$M$135,10,FALSE))</f>
        <v/>
      </c>
      <c r="X72" s="301" t="str">
        <f>IFERROR(VLOOKUP(W72,'G-1 All Habitats'!$V$3:$W$7,2,FALSE),"")</f>
        <v/>
      </c>
      <c r="Y72" s="142"/>
      <c r="Z72" s="305" t="str">
        <f>IFERROR(INDEX('G-8 Condition Look up'!$A$3:$H$135,MATCH(S72,'G-8 Condition Look up'!$A$3:$A$135,0),MATCH(Y72,'G-8 Condition Look up'!$A$3:$H$3,0)),"")</f>
        <v/>
      </c>
      <c r="AA72" s="105"/>
      <c r="AB72" s="320" t="str">
        <f>IF(AA72="","",IF(VLOOKUP(AA72,'G-3 Multipliers'!$L$3:$N$6,2,FALSE)=0,"Spatial Data Missing ⚠",VLOOKUP(AA72,'G-3 Multipliers'!$L$3:$N$6,2,FALSE)))</f>
        <v/>
      </c>
      <c r="AC72" s="305" t="str">
        <f>IF(AA72="","",IF(VLOOKUP(AA72,'G-3 Multipliers'!$L$3:$N$6,3,FALSE)=0,"Spatial Data Missing ⚠",VLOOKUP(AA72,'G-3 Multipliers'!$L$3:$N$6,3,FALSE)))</f>
        <v/>
      </c>
      <c r="AD72" s="317" t="str">
        <f t="shared" si="0"/>
        <v/>
      </c>
      <c r="AE72" s="142"/>
      <c r="AF72" s="142"/>
      <c r="AG72" s="301" t="str">
        <f t="shared" si="4"/>
        <v/>
      </c>
      <c r="AH72" s="302" t="str">
        <f t="shared" si="5"/>
        <v/>
      </c>
      <c r="AI72" s="306" t="str">
        <f>IF(AH72="Check Data ⚠","Check Data ⚠",IFERROR(VLOOKUP(AH72,'G-4 Temporal multipliers'!$A$4:$C$36,3,FALSE),""))</f>
        <v/>
      </c>
      <c r="AJ72" s="317" t="str">
        <f>IF(S72="","",VLOOKUP(S72,'G-3 Multipliers'!$A$2:$E$134,4,FALSE))</f>
        <v/>
      </c>
      <c r="AK72" s="301" t="str">
        <f t="shared" si="6"/>
        <v/>
      </c>
      <c r="AL72" s="301" t="str">
        <f t="shared" si="7"/>
        <v/>
      </c>
      <c r="AM72" s="305" t="str">
        <f>IFERROR(IF(F72="","",IF(AH72="Check Data ⚠","Check Data ⚠",VLOOKUP(AL72, 'G-3 Multipliers'!$P$2:$Q$6,2,FALSE))),"")</f>
        <v/>
      </c>
      <c r="AN72" s="728"/>
      <c r="AO72" s="335" t="str">
        <f>IF(AN72="","",IF(VLOOKUP(AN72,'G-3 Multipliers'!$S$3:$T$10,2,FALSE)=0,"Spatial Data Missing ⚠",VLOOKUP(AN72,'G-3 Multipliers'!$S$3:$T$10,2,FALSE)))</f>
        <v/>
      </c>
      <c r="AP72" s="295" t="str">
        <f t="shared" si="8"/>
        <v/>
      </c>
      <c r="AQ72" s="295" t="str">
        <f t="shared" si="9"/>
        <v/>
      </c>
      <c r="AR72" s="109"/>
      <c r="AS72" s="142"/>
      <c r="AT72" s="108"/>
      <c r="AU72" s="108"/>
      <c r="AY72" s="30" t="str">
        <f>IF(E72="","",IF(ISNA(VLOOKUP($E72,'D-1 Off-Site Habitat Baseline'!$D$1:$AV$258,4,FALSE)),"",(VLOOKUP($E72,'D-1 Off-Site Habitat Baseline'!$D$1:$AV$258,4,FALSE))))</f>
        <v/>
      </c>
    </row>
    <row r="73" spans="1:51" x14ac:dyDescent="0.25">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325" t="str">
        <f>'D-1 Off-Site Habitat Baseline'!AP72</f>
        <v/>
      </c>
      <c r="F73" s="289" t="str">
        <f>IF(E73="","",IF(ISNA(VLOOKUP($E73,'D-1 Off-Site Habitat Baseline'!$D$1:$ZZ$258,45,FALSE)),"",(VLOOKUP($E73,'D-1 Off-Site Habitat Baseline'!$D$1:$ZZ$258,45,FALSE))))</f>
        <v/>
      </c>
      <c r="G73" s="301" t="str">
        <f>IF(E73="","",IF(ISNA(VLOOKUP($E73,'D-1 Off-Site Habitat Baseline'!$D$1:$O$258,5,FALSE)),"",(VLOOKUP($E73,'D-1 Off-Site Habitat Baseline'!$D$1:$O$258,5,FALSE))))</f>
        <v/>
      </c>
      <c r="H73" s="301" t="str">
        <f>IF(E73="","",IF(ISNA(VLOOKUP($E73,'D-1 Off-Site Habitat Baseline'!$D$1:$O$258,6,FALSE)),"",(VLOOKUP($E73,'D-1 Off-Site Habitat Baseline'!$D$1:$O$258,6,FALSE))))</f>
        <v/>
      </c>
      <c r="I73" s="301" t="str">
        <f>IF(E73="","",IF(ISNA(VLOOKUP($E73,'D-1 Off-Site Habitat Baseline'!$D$1:$O$258,7,FALSE)),"",(VLOOKUP($E73,'D-1 Off-Site Habitat Baseline'!$D$1:$O$258,7,FALSE))))</f>
        <v/>
      </c>
      <c r="J73" s="301" t="str">
        <f>IF(E73="","",IF(ISNA(VLOOKUP($E73,'D-1 Off-Site Habitat Baseline'!$D$1:$O$258,8,FALSE)),"",(VLOOKUP($E73,'D-1 Off-Site Habitat Baseline'!$D$1:$O$258,8,FALSE))))</f>
        <v/>
      </c>
      <c r="K73" s="301" t="str">
        <f>IF(E73="","",IF(ISNA(VLOOKUP($E73,'D-1 Off-Site Habitat Baseline'!$D$1:$O$258,9,FALSE)),"",(VLOOKUP($E73,'D-1 Off-Site Habitat Baseline'!$D$1:$O$258,9,FALSE))))</f>
        <v/>
      </c>
      <c r="L73" s="301" t="str">
        <f>IF(E73="","",IF(ISNA(VLOOKUP($E73,'D-1 Off-Site Habitat Baseline'!$D$1:$O$258,11,FALSE)),"",(VLOOKUP($E73,'D-1 Off-Site Habitat Baseline'!$D$1:$O$258,11,FALSE))))</f>
        <v/>
      </c>
      <c r="M73" s="301" t="str">
        <f>IF(E73="","",IF(ISNA(VLOOKUP($E73,'D-1 Off-Site Habitat Baseline'!$D$1:$O$258,12,FALSE)),"",(VLOOKUP($E73,'D-1 Off-Site Habitat Baseline'!$D$1:$O$258,12,FALSE))))</f>
        <v/>
      </c>
      <c r="N73" s="301" t="str">
        <f>IF(E73="","",IF(ISNA(VLOOKUP($E73,'D-1 Off-Site Habitat Baseline'!$D$1:$AA$258,17,FALSE)),"",(VLOOKUP($E73,'D-1 Off-Site Habitat Baseline'!$D$1:$AA$258,17,FALSE))))</f>
        <v/>
      </c>
      <c r="O73" s="305" t="str">
        <f>IF(E73="","",IF(ISNA(VLOOKUP($E73,'D-1 Off-Site Habitat Baseline'!$D$1:$AA$258,13,FALSE)),"",(VLOOKUP($E73,'D-1 Off-Site Habitat Baseline'!$D$1:$AA$258,13,FALSE))))</f>
        <v/>
      </c>
      <c r="P73" s="152" t="str">
        <f>IFERROR(INDEX('G-1 All Habitats'!$AG$49:$AG$63,MATCH(Q73,'G-1 All Habitats'!$AF$27:$AF$41,0)),"")</f>
        <v/>
      </c>
      <c r="Q73" s="153"/>
      <c r="R73" s="154"/>
      <c r="S73" s="155" t="str">
        <f>IFERROR(INDEX('G-1 All Habitats'!$B$3:$B$135,MATCH(R73,'G-1 All Habitats'!$A$3:$A$135,0)),"")</f>
        <v/>
      </c>
      <c r="T73" s="289" t="str">
        <f t="shared" si="1"/>
        <v/>
      </c>
      <c r="U73" s="305" t="str">
        <f t="shared" si="2"/>
        <v/>
      </c>
      <c r="V73" s="304" t="str">
        <f t="shared" si="3"/>
        <v/>
      </c>
      <c r="W73" s="301" t="str">
        <f>IF(S73="","",VLOOKUP(S73,'G-1 All Habitats'!$B$2:$M$135,10,FALSE))</f>
        <v/>
      </c>
      <c r="X73" s="301" t="str">
        <f>IFERROR(VLOOKUP(W73,'G-1 All Habitats'!$V$3:$W$7,2,FALSE),"")</f>
        <v/>
      </c>
      <c r="Y73" s="142"/>
      <c r="Z73" s="305" t="str">
        <f>IFERROR(INDEX('G-8 Condition Look up'!$A$3:$H$135,MATCH(S73,'G-8 Condition Look up'!$A$3:$A$135,0),MATCH(Y73,'G-8 Condition Look up'!$A$3:$H$3,0)),"")</f>
        <v/>
      </c>
      <c r="AA73" s="105"/>
      <c r="AB73" s="320" t="str">
        <f>IF(AA73="","",IF(VLOOKUP(AA73,'G-3 Multipliers'!$L$3:$N$6,2,FALSE)=0,"Spatial Data Missing ⚠",VLOOKUP(AA73,'G-3 Multipliers'!$L$3:$N$6,2,FALSE)))</f>
        <v/>
      </c>
      <c r="AC73" s="305" t="str">
        <f>IF(AA73="","",IF(VLOOKUP(AA73,'G-3 Multipliers'!$L$3:$N$6,3,FALSE)=0,"Spatial Data Missing ⚠",VLOOKUP(AA73,'G-3 Multipliers'!$L$3:$N$6,3,FALSE)))</f>
        <v/>
      </c>
      <c r="AD73" s="317" t="str">
        <f t="shared" si="0"/>
        <v/>
      </c>
      <c r="AE73" s="142"/>
      <c r="AF73" s="142"/>
      <c r="AG73" s="301" t="str">
        <f t="shared" si="4"/>
        <v/>
      </c>
      <c r="AH73" s="302" t="str">
        <f t="shared" si="5"/>
        <v/>
      </c>
      <c r="AI73" s="306" t="str">
        <f>IF(AH73="Check Data ⚠","Check Data ⚠",IFERROR(VLOOKUP(AH73,'G-4 Temporal multipliers'!$A$4:$C$36,3,FALSE),""))</f>
        <v/>
      </c>
      <c r="AJ73" s="317" t="str">
        <f>IF(S73="","",VLOOKUP(S73,'G-3 Multipliers'!$A$2:$E$134,4,FALSE))</f>
        <v/>
      </c>
      <c r="AK73" s="301" t="str">
        <f t="shared" si="6"/>
        <v/>
      </c>
      <c r="AL73" s="301" t="str">
        <f t="shared" si="7"/>
        <v/>
      </c>
      <c r="AM73" s="305" t="str">
        <f>IFERROR(IF(F73="","",IF(AH73="Check Data ⚠","Check Data ⚠",VLOOKUP(AL73, 'G-3 Multipliers'!$P$2:$Q$6,2,FALSE))),"")</f>
        <v/>
      </c>
      <c r="AN73" s="728"/>
      <c r="AO73" s="335" t="str">
        <f>IF(AN73="","",IF(VLOOKUP(AN73,'G-3 Multipliers'!$S$3:$T$10,2,FALSE)=0,"Spatial Data Missing ⚠",VLOOKUP(AN73,'G-3 Multipliers'!$S$3:$T$10,2,FALSE)))</f>
        <v/>
      </c>
      <c r="AP73" s="295" t="str">
        <f t="shared" si="8"/>
        <v/>
      </c>
      <c r="AQ73" s="295" t="str">
        <f t="shared" si="9"/>
        <v/>
      </c>
      <c r="AR73" s="109"/>
      <c r="AS73" s="142"/>
      <c r="AT73" s="108"/>
      <c r="AU73" s="108"/>
      <c r="AY73" s="30" t="str">
        <f>IF(E73="","",IF(ISNA(VLOOKUP($E73,'D-1 Off-Site Habitat Baseline'!$D$1:$AV$258,4,FALSE)),"",(VLOOKUP($E73,'D-1 Off-Site Habitat Baseline'!$D$1:$AV$258,4,FALSE))))</f>
        <v/>
      </c>
    </row>
    <row r="74" spans="1:51" x14ac:dyDescent="0.25">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325" t="str">
        <f>'D-1 Off-Site Habitat Baseline'!AP73</f>
        <v/>
      </c>
      <c r="F74" s="289" t="str">
        <f>IF(E74="","",IF(ISNA(VLOOKUP($E74,'D-1 Off-Site Habitat Baseline'!$D$1:$ZZ$258,45,FALSE)),"",(VLOOKUP($E74,'D-1 Off-Site Habitat Baseline'!$D$1:$ZZ$258,45,FALSE))))</f>
        <v/>
      </c>
      <c r="G74" s="301" t="str">
        <f>IF(E74="","",IF(ISNA(VLOOKUP($E74,'D-1 Off-Site Habitat Baseline'!$D$1:$O$258,5,FALSE)),"",(VLOOKUP($E74,'D-1 Off-Site Habitat Baseline'!$D$1:$O$258,5,FALSE))))</f>
        <v/>
      </c>
      <c r="H74" s="301" t="str">
        <f>IF(E74="","",IF(ISNA(VLOOKUP($E74,'D-1 Off-Site Habitat Baseline'!$D$1:$O$258,6,FALSE)),"",(VLOOKUP($E74,'D-1 Off-Site Habitat Baseline'!$D$1:$O$258,6,FALSE))))</f>
        <v/>
      </c>
      <c r="I74" s="301" t="str">
        <f>IF(E74="","",IF(ISNA(VLOOKUP($E74,'D-1 Off-Site Habitat Baseline'!$D$1:$O$258,7,FALSE)),"",(VLOOKUP($E74,'D-1 Off-Site Habitat Baseline'!$D$1:$O$258,7,FALSE))))</f>
        <v/>
      </c>
      <c r="J74" s="301" t="str">
        <f>IF(E74="","",IF(ISNA(VLOOKUP($E74,'D-1 Off-Site Habitat Baseline'!$D$1:$O$258,8,FALSE)),"",(VLOOKUP($E74,'D-1 Off-Site Habitat Baseline'!$D$1:$O$258,8,FALSE))))</f>
        <v/>
      </c>
      <c r="K74" s="301" t="str">
        <f>IF(E74="","",IF(ISNA(VLOOKUP($E74,'D-1 Off-Site Habitat Baseline'!$D$1:$O$258,9,FALSE)),"",(VLOOKUP($E74,'D-1 Off-Site Habitat Baseline'!$D$1:$O$258,9,FALSE))))</f>
        <v/>
      </c>
      <c r="L74" s="301" t="str">
        <f>IF(E74="","",IF(ISNA(VLOOKUP($E74,'D-1 Off-Site Habitat Baseline'!$D$1:$O$258,11,FALSE)),"",(VLOOKUP($E74,'D-1 Off-Site Habitat Baseline'!$D$1:$O$258,11,FALSE))))</f>
        <v/>
      </c>
      <c r="M74" s="301" t="str">
        <f>IF(E74="","",IF(ISNA(VLOOKUP($E74,'D-1 Off-Site Habitat Baseline'!$D$1:$O$258,12,FALSE)),"",(VLOOKUP($E74,'D-1 Off-Site Habitat Baseline'!$D$1:$O$258,12,FALSE))))</f>
        <v/>
      </c>
      <c r="N74" s="301" t="str">
        <f>IF(E74="","",IF(ISNA(VLOOKUP($E74,'D-1 Off-Site Habitat Baseline'!$D$1:$AA$258,17,FALSE)),"",(VLOOKUP($E74,'D-1 Off-Site Habitat Baseline'!$D$1:$AA$258,17,FALSE))))</f>
        <v/>
      </c>
      <c r="O74" s="305" t="str">
        <f>IF(E74="","",IF(ISNA(VLOOKUP($E74,'D-1 Off-Site Habitat Baseline'!$D$1:$AA$258,13,FALSE)),"",(VLOOKUP($E74,'D-1 Off-Site Habitat Baseline'!$D$1:$AA$258,13,FALSE))))</f>
        <v/>
      </c>
      <c r="P74" s="152" t="str">
        <f>IFERROR(INDEX('G-1 All Habitats'!$AG$49:$AG$63,MATCH(Q74,'G-1 All Habitats'!$AF$27:$AF$41,0)),"")</f>
        <v/>
      </c>
      <c r="Q74" s="153"/>
      <c r="R74" s="154"/>
      <c r="S74" s="155" t="str">
        <f>IFERROR(INDEX('G-1 All Habitats'!$B$3:$B$135,MATCH(R74,'G-1 All Habitats'!$A$3:$A$135,0)),"")</f>
        <v/>
      </c>
      <c r="T74" s="289" t="str">
        <f t="shared" si="1"/>
        <v/>
      </c>
      <c r="U74" s="305" t="str">
        <f t="shared" si="2"/>
        <v/>
      </c>
      <c r="V74" s="304" t="str">
        <f t="shared" si="3"/>
        <v/>
      </c>
      <c r="W74" s="301" t="str">
        <f>IF(S74="","",VLOOKUP(S74,'G-1 All Habitats'!$B$2:$M$135,10,FALSE))</f>
        <v/>
      </c>
      <c r="X74" s="301" t="str">
        <f>IFERROR(VLOOKUP(W74,'G-1 All Habitats'!$V$3:$W$7,2,FALSE),"")</f>
        <v/>
      </c>
      <c r="Y74" s="142"/>
      <c r="Z74" s="305" t="str">
        <f>IFERROR(INDEX('G-8 Condition Look up'!$A$3:$H$135,MATCH(S74,'G-8 Condition Look up'!$A$3:$A$135,0),MATCH(Y74,'G-8 Condition Look up'!$A$3:$H$3,0)),"")</f>
        <v/>
      </c>
      <c r="AA74" s="105"/>
      <c r="AB74" s="320" t="str">
        <f>IF(AA74="","",IF(VLOOKUP(AA74,'G-3 Multipliers'!$L$3:$N$6,2,FALSE)=0,"Spatial Data Missing ⚠",VLOOKUP(AA74,'G-3 Multipliers'!$L$3:$N$6,2,FALSE)))</f>
        <v/>
      </c>
      <c r="AC74" s="305" t="str">
        <f>IF(AA74="","",IF(VLOOKUP(AA74,'G-3 Multipliers'!$L$3:$N$6,3,FALSE)=0,"Spatial Data Missing ⚠",VLOOKUP(AA74,'G-3 Multipliers'!$L$3:$N$6,3,FALSE)))</f>
        <v/>
      </c>
      <c r="AD74" s="317" t="str">
        <f t="shared" si="0"/>
        <v/>
      </c>
      <c r="AE74" s="142"/>
      <c r="AF74" s="142"/>
      <c r="AG74" s="301" t="str">
        <f t="shared" si="4"/>
        <v/>
      </c>
      <c r="AH74" s="302" t="str">
        <f t="shared" si="5"/>
        <v/>
      </c>
      <c r="AI74" s="306" t="str">
        <f>IF(AH74="Check Data ⚠","Check Data ⚠",IFERROR(VLOOKUP(AH74,'G-4 Temporal multipliers'!$A$4:$C$36,3,FALSE),""))</f>
        <v/>
      </c>
      <c r="AJ74" s="317" t="str">
        <f>IF(S74="","",VLOOKUP(S74,'G-3 Multipliers'!$A$2:$E$134,4,FALSE))</f>
        <v/>
      </c>
      <c r="AK74" s="301" t="str">
        <f t="shared" si="6"/>
        <v/>
      </c>
      <c r="AL74" s="301" t="str">
        <f t="shared" si="7"/>
        <v/>
      </c>
      <c r="AM74" s="305" t="str">
        <f>IFERROR(IF(F74="","",IF(AH74="Check Data ⚠","Check Data ⚠",VLOOKUP(AL74, 'G-3 Multipliers'!$P$2:$Q$6,2,FALSE))),"")</f>
        <v/>
      </c>
      <c r="AN74" s="728"/>
      <c r="AO74" s="335" t="str">
        <f>IF(AN74="","",IF(VLOOKUP(AN74,'G-3 Multipliers'!$S$3:$T$10,2,FALSE)=0,"Spatial Data Missing ⚠",VLOOKUP(AN74,'G-3 Multipliers'!$S$3:$T$10,2,FALSE)))</f>
        <v/>
      </c>
      <c r="AP74" s="295" t="str">
        <f t="shared" si="8"/>
        <v/>
      </c>
      <c r="AQ74" s="295" t="str">
        <f t="shared" si="9"/>
        <v/>
      </c>
      <c r="AR74" s="109"/>
      <c r="AS74" s="142"/>
      <c r="AT74" s="108"/>
      <c r="AU74" s="108"/>
      <c r="AY74" s="30" t="str">
        <f>IF(E74="","",IF(ISNA(VLOOKUP($E74,'D-1 Off-Site Habitat Baseline'!$D$1:$AV$258,4,FALSE)),"",(VLOOKUP($E74,'D-1 Off-Site Habitat Baseline'!$D$1:$AV$258,4,FALSE))))</f>
        <v/>
      </c>
    </row>
    <row r="75" spans="1:51" x14ac:dyDescent="0.25">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325" t="str">
        <f>'D-1 Off-Site Habitat Baseline'!AP74</f>
        <v/>
      </c>
      <c r="F75" s="289" t="str">
        <f>IF(E75="","",IF(ISNA(VLOOKUP($E75,'D-1 Off-Site Habitat Baseline'!$D$1:$ZZ$258,45,FALSE)),"",(VLOOKUP($E75,'D-1 Off-Site Habitat Baseline'!$D$1:$ZZ$258,45,FALSE))))</f>
        <v/>
      </c>
      <c r="G75" s="301" t="str">
        <f>IF(E75="","",IF(ISNA(VLOOKUP($E75,'D-1 Off-Site Habitat Baseline'!$D$1:$O$258,5,FALSE)),"",(VLOOKUP($E75,'D-1 Off-Site Habitat Baseline'!$D$1:$O$258,5,FALSE))))</f>
        <v/>
      </c>
      <c r="H75" s="301" t="str">
        <f>IF(E75="","",IF(ISNA(VLOOKUP($E75,'D-1 Off-Site Habitat Baseline'!$D$1:$O$258,6,FALSE)),"",(VLOOKUP($E75,'D-1 Off-Site Habitat Baseline'!$D$1:$O$258,6,FALSE))))</f>
        <v/>
      </c>
      <c r="I75" s="301" t="str">
        <f>IF(E75="","",IF(ISNA(VLOOKUP($E75,'D-1 Off-Site Habitat Baseline'!$D$1:$O$258,7,FALSE)),"",(VLOOKUP($E75,'D-1 Off-Site Habitat Baseline'!$D$1:$O$258,7,FALSE))))</f>
        <v/>
      </c>
      <c r="J75" s="301" t="str">
        <f>IF(E75="","",IF(ISNA(VLOOKUP($E75,'D-1 Off-Site Habitat Baseline'!$D$1:$O$258,8,FALSE)),"",(VLOOKUP($E75,'D-1 Off-Site Habitat Baseline'!$D$1:$O$258,8,FALSE))))</f>
        <v/>
      </c>
      <c r="K75" s="301" t="str">
        <f>IF(E75="","",IF(ISNA(VLOOKUP($E75,'D-1 Off-Site Habitat Baseline'!$D$1:$O$258,9,FALSE)),"",(VLOOKUP($E75,'D-1 Off-Site Habitat Baseline'!$D$1:$O$258,9,FALSE))))</f>
        <v/>
      </c>
      <c r="L75" s="301" t="str">
        <f>IF(E75="","",IF(ISNA(VLOOKUP($E75,'D-1 Off-Site Habitat Baseline'!$D$1:$O$258,11,FALSE)),"",(VLOOKUP($E75,'D-1 Off-Site Habitat Baseline'!$D$1:$O$258,11,FALSE))))</f>
        <v/>
      </c>
      <c r="M75" s="301" t="str">
        <f>IF(E75="","",IF(ISNA(VLOOKUP($E75,'D-1 Off-Site Habitat Baseline'!$D$1:$O$258,12,FALSE)),"",(VLOOKUP($E75,'D-1 Off-Site Habitat Baseline'!$D$1:$O$258,12,FALSE))))</f>
        <v/>
      </c>
      <c r="N75" s="301" t="str">
        <f>IF(E75="","",IF(ISNA(VLOOKUP($E75,'D-1 Off-Site Habitat Baseline'!$D$1:$AA$258,17,FALSE)),"",(VLOOKUP($E75,'D-1 Off-Site Habitat Baseline'!$D$1:$AA$258,17,FALSE))))</f>
        <v/>
      </c>
      <c r="O75" s="305" t="str">
        <f>IF(E75="","",IF(ISNA(VLOOKUP($E75,'D-1 Off-Site Habitat Baseline'!$D$1:$AA$258,13,FALSE)),"",(VLOOKUP($E75,'D-1 Off-Site Habitat Baseline'!$D$1:$AA$258,13,FALSE))))</f>
        <v/>
      </c>
      <c r="P75" s="152" t="str">
        <f>IFERROR(INDEX('G-1 All Habitats'!$AG$49:$AG$63,MATCH(Q75,'G-1 All Habitats'!$AF$27:$AF$41,0)),"")</f>
        <v/>
      </c>
      <c r="Q75" s="153"/>
      <c r="R75" s="154"/>
      <c r="S75" s="155" t="str">
        <f>IFERROR(INDEX('G-1 All Habitats'!$B$3:$B$135,MATCH(R75,'G-1 All Habitats'!$A$3:$A$135,0)),"")</f>
        <v/>
      </c>
      <c r="T75" s="289" t="str">
        <f t="shared" si="1"/>
        <v/>
      </c>
      <c r="U75" s="305" t="str">
        <f t="shared" si="2"/>
        <v/>
      </c>
      <c r="V75" s="304" t="str">
        <f t="shared" si="3"/>
        <v/>
      </c>
      <c r="W75" s="301" t="str">
        <f>IF(S75="","",VLOOKUP(S75,'G-1 All Habitats'!$B$2:$M$135,10,FALSE))</f>
        <v/>
      </c>
      <c r="X75" s="301" t="str">
        <f>IFERROR(VLOOKUP(W75,'G-1 All Habitats'!$V$3:$W$7,2,FALSE),"")</f>
        <v/>
      </c>
      <c r="Y75" s="142"/>
      <c r="Z75" s="305" t="str">
        <f>IFERROR(INDEX('G-8 Condition Look up'!$A$3:$H$135,MATCH(S75,'G-8 Condition Look up'!$A$3:$A$135,0),MATCH(Y75,'G-8 Condition Look up'!$A$3:$H$3,0)),"")</f>
        <v/>
      </c>
      <c r="AA75" s="105"/>
      <c r="AB75" s="320" t="str">
        <f>IF(AA75="","",IF(VLOOKUP(AA75,'G-3 Multipliers'!$L$3:$N$6,2,FALSE)=0,"Spatial Data Missing ⚠",VLOOKUP(AA75,'G-3 Multipliers'!$L$3:$N$6,2,FALSE)))</f>
        <v/>
      </c>
      <c r="AC75" s="305" t="str">
        <f>IF(AA75="","",IF(VLOOKUP(AA75,'G-3 Multipliers'!$L$3:$N$6,3,FALSE)=0,"Spatial Data Missing ⚠",VLOOKUP(AA75,'G-3 Multipliers'!$L$3:$N$6,3,FALSE)))</f>
        <v/>
      </c>
      <c r="AD75" s="317" t="str">
        <f t="shared" si="0"/>
        <v/>
      </c>
      <c r="AE75" s="142"/>
      <c r="AF75" s="142"/>
      <c r="AG75" s="301" t="str">
        <f t="shared" si="4"/>
        <v/>
      </c>
      <c r="AH75" s="302" t="str">
        <f t="shared" si="5"/>
        <v/>
      </c>
      <c r="AI75" s="306" t="str">
        <f>IF(AH75="Check Data ⚠","Check Data ⚠",IFERROR(VLOOKUP(AH75,'G-4 Temporal multipliers'!$A$4:$C$36,3,FALSE),""))</f>
        <v/>
      </c>
      <c r="AJ75" s="317" t="str">
        <f>IF(S75="","",VLOOKUP(S75,'G-3 Multipliers'!$A$2:$E$134,4,FALSE))</f>
        <v/>
      </c>
      <c r="AK75" s="301" t="str">
        <f t="shared" si="6"/>
        <v/>
      </c>
      <c r="AL75" s="301" t="str">
        <f t="shared" si="7"/>
        <v/>
      </c>
      <c r="AM75" s="305" t="str">
        <f>IFERROR(IF(F75="","",IF(AH75="Check Data ⚠","Check Data ⚠",VLOOKUP(AL75, 'G-3 Multipliers'!$P$2:$Q$6,2,FALSE))),"")</f>
        <v/>
      </c>
      <c r="AN75" s="728"/>
      <c r="AO75" s="335" t="str">
        <f>IF(AN75="","",IF(VLOOKUP(AN75,'G-3 Multipliers'!$S$3:$T$10,2,FALSE)=0,"Spatial Data Missing ⚠",VLOOKUP(AN75,'G-3 Multipliers'!$S$3:$T$10,2,FALSE)))</f>
        <v/>
      </c>
      <c r="AP75" s="295" t="str">
        <f t="shared" si="8"/>
        <v/>
      </c>
      <c r="AQ75" s="295" t="str">
        <f t="shared" si="9"/>
        <v/>
      </c>
      <c r="AR75" s="109"/>
      <c r="AS75" s="142"/>
      <c r="AT75" s="108"/>
      <c r="AU75" s="108"/>
      <c r="AY75" s="30" t="str">
        <f>IF(E75="","",IF(ISNA(VLOOKUP($E75,'D-1 Off-Site Habitat Baseline'!$D$1:$AV$258,4,FALSE)),"",(VLOOKUP($E75,'D-1 Off-Site Habitat Baseline'!$D$1:$AV$258,4,FALSE))))</f>
        <v/>
      </c>
    </row>
    <row r="76" spans="1:51" x14ac:dyDescent="0.25">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325" t="str">
        <f>'D-1 Off-Site Habitat Baseline'!AP75</f>
        <v/>
      </c>
      <c r="F76" s="289" t="str">
        <f>IF(E76="","",IF(ISNA(VLOOKUP($E76,'D-1 Off-Site Habitat Baseline'!$D$1:$ZZ$258,45,FALSE)),"",(VLOOKUP($E76,'D-1 Off-Site Habitat Baseline'!$D$1:$ZZ$258,45,FALSE))))</f>
        <v/>
      </c>
      <c r="G76" s="301" t="str">
        <f>IF(E76="","",IF(ISNA(VLOOKUP($E76,'D-1 Off-Site Habitat Baseline'!$D$1:$O$258,5,FALSE)),"",(VLOOKUP($E76,'D-1 Off-Site Habitat Baseline'!$D$1:$O$258,5,FALSE))))</f>
        <v/>
      </c>
      <c r="H76" s="301" t="str">
        <f>IF(E76="","",IF(ISNA(VLOOKUP($E76,'D-1 Off-Site Habitat Baseline'!$D$1:$O$258,6,FALSE)),"",(VLOOKUP($E76,'D-1 Off-Site Habitat Baseline'!$D$1:$O$258,6,FALSE))))</f>
        <v/>
      </c>
      <c r="I76" s="301" t="str">
        <f>IF(E76="","",IF(ISNA(VLOOKUP($E76,'D-1 Off-Site Habitat Baseline'!$D$1:$O$258,7,FALSE)),"",(VLOOKUP($E76,'D-1 Off-Site Habitat Baseline'!$D$1:$O$258,7,FALSE))))</f>
        <v/>
      </c>
      <c r="J76" s="301" t="str">
        <f>IF(E76="","",IF(ISNA(VLOOKUP($E76,'D-1 Off-Site Habitat Baseline'!$D$1:$O$258,8,FALSE)),"",(VLOOKUP($E76,'D-1 Off-Site Habitat Baseline'!$D$1:$O$258,8,FALSE))))</f>
        <v/>
      </c>
      <c r="K76" s="301" t="str">
        <f>IF(E76="","",IF(ISNA(VLOOKUP($E76,'D-1 Off-Site Habitat Baseline'!$D$1:$O$258,9,FALSE)),"",(VLOOKUP($E76,'D-1 Off-Site Habitat Baseline'!$D$1:$O$258,9,FALSE))))</f>
        <v/>
      </c>
      <c r="L76" s="301" t="str">
        <f>IF(E76="","",IF(ISNA(VLOOKUP($E76,'D-1 Off-Site Habitat Baseline'!$D$1:$O$258,11,FALSE)),"",(VLOOKUP($E76,'D-1 Off-Site Habitat Baseline'!$D$1:$O$258,11,FALSE))))</f>
        <v/>
      </c>
      <c r="M76" s="301" t="str">
        <f>IF(E76="","",IF(ISNA(VLOOKUP($E76,'D-1 Off-Site Habitat Baseline'!$D$1:$O$258,12,FALSE)),"",(VLOOKUP($E76,'D-1 Off-Site Habitat Baseline'!$D$1:$O$258,12,FALSE))))</f>
        <v/>
      </c>
      <c r="N76" s="301" t="str">
        <f>IF(E76="","",IF(ISNA(VLOOKUP($E76,'D-1 Off-Site Habitat Baseline'!$D$1:$AA$258,17,FALSE)),"",(VLOOKUP($E76,'D-1 Off-Site Habitat Baseline'!$D$1:$AA$258,17,FALSE))))</f>
        <v/>
      </c>
      <c r="O76" s="305" t="str">
        <f>IF(E76="","",IF(ISNA(VLOOKUP($E76,'D-1 Off-Site Habitat Baseline'!$D$1:$AA$258,13,FALSE)),"",(VLOOKUP($E76,'D-1 Off-Site Habitat Baseline'!$D$1:$AA$258,13,FALSE))))</f>
        <v/>
      </c>
      <c r="P76" s="152" t="str">
        <f>IFERROR(INDEX('G-1 All Habitats'!$AG$49:$AG$63,MATCH(Q76,'G-1 All Habitats'!$AF$27:$AF$41,0)),"")</f>
        <v/>
      </c>
      <c r="Q76" s="153"/>
      <c r="R76" s="154"/>
      <c r="S76" s="155" t="str">
        <f>IFERROR(INDEX('G-1 All Habitats'!$B$3:$B$135,MATCH(R76,'G-1 All Habitats'!$A$3:$A$135,0)),"")</f>
        <v/>
      </c>
      <c r="T76" s="289" t="str">
        <f t="shared" si="1"/>
        <v/>
      </c>
      <c r="U76" s="305" t="str">
        <f t="shared" si="2"/>
        <v/>
      </c>
      <c r="V76" s="304" t="str">
        <f t="shared" ref="V76:V139" si="10">IF(S76="","",VLOOKUP(E76,BaselineHabOffsite,20,FALSE))</f>
        <v/>
      </c>
      <c r="W76" s="301" t="str">
        <f>IF(S76="","",VLOOKUP(S76,'G-1 All Habitats'!$B$2:$M$135,10,FALSE))</f>
        <v/>
      </c>
      <c r="X76" s="301" t="str">
        <f>IFERROR(VLOOKUP(W76,'G-1 All Habitats'!$V$3:$W$7,2,FALSE),"")</f>
        <v/>
      </c>
      <c r="Y76" s="142"/>
      <c r="Z76" s="305" t="str">
        <f>IFERROR(INDEX('G-8 Condition Look up'!$A$3:$H$135,MATCH(S76,'G-8 Condition Look up'!$A$3:$A$135,0),MATCH(Y76,'G-8 Condition Look up'!$A$3:$H$3,0)),"")</f>
        <v/>
      </c>
      <c r="AA76" s="105"/>
      <c r="AB76" s="320" t="str">
        <f>IF(AA76="","",IF(VLOOKUP(AA76,'G-3 Multipliers'!$L$3:$N$6,2,FALSE)=0,"Spatial Data Missing ⚠",VLOOKUP(AA76,'G-3 Multipliers'!$L$3:$N$6,2,FALSE)))</f>
        <v/>
      </c>
      <c r="AC76" s="305" t="str">
        <f>IF(AA76="","",IF(VLOOKUP(AA76,'G-3 Multipliers'!$L$3:$N$6,3,FALSE)=0,"Spatial Data Missing ⚠",VLOOKUP(AA76,'G-3 Multipliers'!$L$3:$N$6,3,FALSE)))</f>
        <v/>
      </c>
      <c r="AD76" s="317" t="str">
        <f t="shared" ref="AD76:AD139" si="11">IFERROR(IF(OR(LEFT(U76,5)="Error",LEFT(T76,5)="Error"),"Check Data ⚠",INDEX(EnhanceTemporal,MATCH(S76,EnhanceHabitat,0),MATCH(U76,EnhanceCondition,0))),"")</f>
        <v/>
      </c>
      <c r="AE76" s="142"/>
      <c r="AF76" s="142"/>
      <c r="AG76" s="301" t="str">
        <f t="shared" si="4"/>
        <v/>
      </c>
      <c r="AH76" s="302" t="str">
        <f t="shared" si="5"/>
        <v/>
      </c>
      <c r="AI76" s="306" t="str">
        <f>IF(AH76="Check Data ⚠","Check Data ⚠",IFERROR(VLOOKUP(AH76,'G-4 Temporal multipliers'!$A$4:$C$36,3,FALSE),""))</f>
        <v/>
      </c>
      <c r="AJ76" s="317" t="str">
        <f>IF(S76="","",VLOOKUP(S76,'G-3 Multipliers'!$A$2:$E$134,4,FALSE))</f>
        <v/>
      </c>
      <c r="AK76" s="301" t="str">
        <f t="shared" si="6"/>
        <v/>
      </c>
      <c r="AL76" s="301" t="str">
        <f t="shared" si="7"/>
        <v/>
      </c>
      <c r="AM76" s="305" t="str">
        <f>IFERROR(IF(F76="","",IF(AH76="Check Data ⚠","Check Data ⚠",VLOOKUP(AL76, 'G-3 Multipliers'!$P$2:$Q$6,2,FALSE))),"")</f>
        <v/>
      </c>
      <c r="AN76" s="728"/>
      <c r="AO76" s="335" t="str">
        <f>IF(AN76="","",IF(VLOOKUP(AN76,'G-3 Multipliers'!$S$3:$T$10,2,FALSE)=0,"Spatial Data Missing ⚠",VLOOKUP(AN76,'G-3 Multipliers'!$S$3:$T$10,2,FALSE)))</f>
        <v/>
      </c>
      <c r="AP76" s="295" t="str">
        <f t="shared" si="8"/>
        <v/>
      </c>
      <c r="AQ76" s="295" t="str">
        <f t="shared" si="9"/>
        <v/>
      </c>
      <c r="AR76" s="109"/>
      <c r="AS76" s="142"/>
      <c r="AT76" s="108"/>
      <c r="AU76" s="108"/>
      <c r="AY76" s="30" t="str">
        <f>IF(E76="","",IF(ISNA(VLOOKUP($E76,'D-1 Off-Site Habitat Baseline'!$D$1:$AV$258,4,FALSE)),"",(VLOOKUP($E76,'D-1 Off-Site Habitat Baseline'!$D$1:$AV$258,4,FALSE))))</f>
        <v/>
      </c>
    </row>
    <row r="77" spans="1:51" x14ac:dyDescent="0.25">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325" t="str">
        <f>'D-1 Off-Site Habitat Baseline'!AP76</f>
        <v/>
      </c>
      <c r="F77" s="289" t="str">
        <f>IF(E77="","",IF(ISNA(VLOOKUP($E77,'D-1 Off-Site Habitat Baseline'!$D$1:$ZZ$258,45,FALSE)),"",(VLOOKUP($E77,'D-1 Off-Site Habitat Baseline'!$D$1:$ZZ$258,45,FALSE))))</f>
        <v/>
      </c>
      <c r="G77" s="301" t="str">
        <f>IF(E77="","",IF(ISNA(VLOOKUP($E77,'D-1 Off-Site Habitat Baseline'!$D$1:$O$258,5,FALSE)),"",(VLOOKUP($E77,'D-1 Off-Site Habitat Baseline'!$D$1:$O$258,5,FALSE))))</f>
        <v/>
      </c>
      <c r="H77" s="301" t="str">
        <f>IF(E77="","",IF(ISNA(VLOOKUP($E77,'D-1 Off-Site Habitat Baseline'!$D$1:$O$258,6,FALSE)),"",(VLOOKUP($E77,'D-1 Off-Site Habitat Baseline'!$D$1:$O$258,6,FALSE))))</f>
        <v/>
      </c>
      <c r="I77" s="301" t="str">
        <f>IF(E77="","",IF(ISNA(VLOOKUP($E77,'D-1 Off-Site Habitat Baseline'!$D$1:$O$258,7,FALSE)),"",(VLOOKUP($E77,'D-1 Off-Site Habitat Baseline'!$D$1:$O$258,7,FALSE))))</f>
        <v/>
      </c>
      <c r="J77" s="301" t="str">
        <f>IF(E77="","",IF(ISNA(VLOOKUP($E77,'D-1 Off-Site Habitat Baseline'!$D$1:$O$258,8,FALSE)),"",(VLOOKUP($E77,'D-1 Off-Site Habitat Baseline'!$D$1:$O$258,8,FALSE))))</f>
        <v/>
      </c>
      <c r="K77" s="301" t="str">
        <f>IF(E77="","",IF(ISNA(VLOOKUP($E77,'D-1 Off-Site Habitat Baseline'!$D$1:$O$258,9,FALSE)),"",(VLOOKUP($E77,'D-1 Off-Site Habitat Baseline'!$D$1:$O$258,9,FALSE))))</f>
        <v/>
      </c>
      <c r="L77" s="301" t="str">
        <f>IF(E77="","",IF(ISNA(VLOOKUP($E77,'D-1 Off-Site Habitat Baseline'!$D$1:$O$258,11,FALSE)),"",(VLOOKUP($E77,'D-1 Off-Site Habitat Baseline'!$D$1:$O$258,11,FALSE))))</f>
        <v/>
      </c>
      <c r="M77" s="301" t="str">
        <f>IF(E77="","",IF(ISNA(VLOOKUP($E77,'D-1 Off-Site Habitat Baseline'!$D$1:$O$258,12,FALSE)),"",(VLOOKUP($E77,'D-1 Off-Site Habitat Baseline'!$D$1:$O$258,12,FALSE))))</f>
        <v/>
      </c>
      <c r="N77" s="301" t="str">
        <f>IF(E77="","",IF(ISNA(VLOOKUP($E77,'D-1 Off-Site Habitat Baseline'!$D$1:$AA$258,17,FALSE)),"",(VLOOKUP($E77,'D-1 Off-Site Habitat Baseline'!$D$1:$AA$258,17,FALSE))))</f>
        <v/>
      </c>
      <c r="O77" s="305" t="str">
        <f>IF(E77="","",IF(ISNA(VLOOKUP($E77,'D-1 Off-Site Habitat Baseline'!$D$1:$AA$258,13,FALSE)),"",(VLOOKUP($E77,'D-1 Off-Site Habitat Baseline'!$D$1:$AA$258,13,FALSE))))</f>
        <v/>
      </c>
      <c r="P77" s="152" t="str">
        <f>IFERROR(INDEX('G-1 All Habitats'!$AG$49:$AG$63,MATCH(Q77,'G-1 All Habitats'!$AF$27:$AF$41,0)),"")</f>
        <v/>
      </c>
      <c r="Q77" s="153"/>
      <c r="R77" s="154"/>
      <c r="S77" s="155" t="str">
        <f>IFERROR(INDEX('G-1 All Habitats'!$B$3:$B$135,MATCH(R77,'G-1 All Habitats'!$A$3:$A$135,0)),"")</f>
        <v/>
      </c>
      <c r="T77" s="289" t="str">
        <f t="shared" ref="T77:T140" si="12">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 IF(AND(R77="Littoral seagrass",F77&lt;&gt;"Intertidal sediment - Littoral seagrass", F77&lt;&gt;"Intertidal sediment - Littoral sand"),"Error - Enhancement not possible ▲",IF(AND(R77="Artificial hard structures with integrated greening of grey infrastructure (IGGI)",F77&lt;&gt;"Intertidal hard structures - Artificial hard structures with integrated greening of grey infrastructure (IGGI)", F77&lt;&gt;"Intertidal hard structures - Artificial hard structures", F77&lt;&gt;"Intertidal hard structures - Artificial features of hard structures"),"Error - Enhancement not possible ▲",H77&amp;" - "&amp;W77))))))))</f>
        <v/>
      </c>
      <c r="U77" s="305" t="str">
        <f t="shared" ref="U77:U140" si="13">IF(F77="","",IF(AND(S77&lt;&gt;F77,AY77="Yes"),"Error you cannot replace an irreplaceable habitat ▲",IF(AND(LEFT(F77,55)&lt;&gt;LEFT(S77,55),T77=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04" t="str">
        <f t="shared" si="10"/>
        <v/>
      </c>
      <c r="W77" s="301" t="str">
        <f>IF(S77="","",VLOOKUP(S77,'G-1 All Habitats'!$B$2:$M$135,10,FALSE))</f>
        <v/>
      </c>
      <c r="X77" s="301" t="str">
        <f>IFERROR(VLOOKUP(W77,'G-1 All Habitats'!$V$3:$W$7,2,FALSE),"")</f>
        <v/>
      </c>
      <c r="Y77" s="142"/>
      <c r="Z77" s="305" t="str">
        <f>IFERROR(INDEX('G-8 Condition Look up'!$A$3:$H$135,MATCH(S77,'G-8 Condition Look up'!$A$3:$A$135,0),MATCH(Y77,'G-8 Condition Look up'!$A$3:$H$3,0)),"")</f>
        <v/>
      </c>
      <c r="AA77" s="105"/>
      <c r="AB77" s="320" t="str">
        <f>IF(AA77="","",IF(VLOOKUP(AA77,'G-3 Multipliers'!$L$3:$N$6,2,FALSE)=0,"Spatial Data Missing ⚠",VLOOKUP(AA77,'G-3 Multipliers'!$L$3:$N$6,2,FALSE)))</f>
        <v/>
      </c>
      <c r="AC77" s="305" t="str">
        <f>IF(AA77="","",IF(VLOOKUP(AA77,'G-3 Multipliers'!$L$3:$N$6,3,FALSE)=0,"Spatial Data Missing ⚠",VLOOKUP(AA77,'G-3 Multipliers'!$L$3:$N$6,3,FALSE)))</f>
        <v/>
      </c>
      <c r="AD77" s="317" t="str">
        <f t="shared" si="11"/>
        <v/>
      </c>
      <c r="AE77" s="142"/>
      <c r="AF77" s="142"/>
      <c r="AG77" s="301" t="str">
        <f t="shared" ref="AG77:AG140" si="14">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02" t="str">
        <f t="shared" ref="AH77:AH140" si="15">IF(AG77="Error -both advance and delayed habitat creation ▲","Check Data ⚠",IF(AG77="Check Data ⚠","Check Data ⚠",IF(AD77="","",IF(AD77="Not Possible ▲","CheckData ⚠",IF(AND(AD77="30+",AE77=0),"30+",IF(AND(AD77="30+",AE77="30+"),0,IF(AND(AD77="30+",AE77&lt;30),30-AE77,IF(AD77="30+",30-AE77,IF(AF77="30+","30+",IF(AE77&gt;AD77,0,IF(AD77+AF77&gt;30,"30+",IF(AD77+AF77&gt;30,"30+",IF(AD77-AE77&gt;30,"30+",IF(AD77+AF77-AE77&gt;0,AD77+AF77-AE77,IF(AD77-AE77&gt;0,AD77-AE77,AD77+AF77-AE77)))))))))))))))</f>
        <v/>
      </c>
      <c r="AI77" s="306" t="str">
        <f>IF(AH77="Check Data ⚠","Check Data ⚠",IFERROR(VLOOKUP(AH77,'G-4 Temporal multipliers'!$A$4:$C$36,3,FALSE),""))</f>
        <v/>
      </c>
      <c r="AJ77" s="317" t="str">
        <f>IF(S77="","",VLOOKUP(S77,'G-3 Multipliers'!$A$2:$E$134,4,FALSE))</f>
        <v/>
      </c>
      <c r="AK77" s="301" t="str">
        <f t="shared" ref="AK77:AK140" si="16">IF(E77="","",IF(AG77="Check details - Is there evidence that habitat has reached target condition? ⚠","Low Difficulty - only applicable if all habitat created before losses ⚠","Standard difficulty applied"))</f>
        <v/>
      </c>
      <c r="AL77" s="301" t="str">
        <f t="shared" ref="AL77:AL140" si="17">(IF(AND(AK77="Standard difficulty applied",AD77&gt;AE77),AJ77,IF(AND(AK77="Low Difficulty - only applicable if all habitat created before losses ⚠",AE77&gt;=AD77),"Low", AJ77)))</f>
        <v/>
      </c>
      <c r="AM77" s="305" t="str">
        <f>IFERROR(IF(F77="","",IF(AH77="Check Data ⚠","Check Data ⚠",VLOOKUP(AL77, 'G-3 Multipliers'!$P$2:$Q$6,2,FALSE))),"")</f>
        <v/>
      </c>
      <c r="AN77" s="728"/>
      <c r="AO77" s="335" t="str">
        <f>IF(AN77="","",IF(VLOOKUP(AN77,'G-3 Multipliers'!$S$3:$T$10,2,FALSE)=0,"Spatial Data Missing ⚠",VLOOKUP(AN77,'G-3 Multipliers'!$S$3:$T$10,2,FALSE)))</f>
        <v/>
      </c>
      <c r="AP77" s="295" t="str">
        <f t="shared" ref="AP77:AP140" si="18">IFERROR(IF(N77="Check Data ⚠", "Check Data ⚠",(((((V77*X77*Z77)-(V77*I77*K77))*(AM77*AI77))+(V77*I77*K77))*(AC77)*AO77)),"")</f>
        <v/>
      </c>
      <c r="AQ77" s="295" t="str">
        <f t="shared" ref="AQ77:AQ140" si="19">IFERROR(IF(AN77="","", (IF(AND(AN77&lt;&gt;"",AU77=""), "Off-site reference required ▲",IF(N77="Error - you cannot enhance irreplaceable individual trees ▲", "Error - you cannot enhance irreplaceable individual trees ▲", IF(N77="Check Data ⚠", "Check Data ⚠",((((V77*X77*Z77)-(V77*I77*K77))*(AM77*AI77))+(V77*I77*K77))*(AC77)))))),"")</f>
        <v/>
      </c>
      <c r="AR77" s="109"/>
      <c r="AS77" s="142"/>
      <c r="AT77" s="108"/>
      <c r="AU77" s="108"/>
      <c r="AY77" s="30" t="str">
        <f>IF(E77="","",IF(ISNA(VLOOKUP($E77,'D-1 Off-Site Habitat Baseline'!$D$1:$AV$258,4,FALSE)),"",(VLOOKUP($E77,'D-1 Off-Site Habitat Baseline'!$D$1:$AV$258,4,FALSE))))</f>
        <v/>
      </c>
    </row>
    <row r="78" spans="1:51" x14ac:dyDescent="0.25">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325" t="str">
        <f>'D-1 Off-Site Habitat Baseline'!AP77</f>
        <v/>
      </c>
      <c r="F78" s="289" t="str">
        <f>IF(E78="","",IF(ISNA(VLOOKUP($E78,'D-1 Off-Site Habitat Baseline'!$D$1:$ZZ$258,45,FALSE)),"",(VLOOKUP($E78,'D-1 Off-Site Habitat Baseline'!$D$1:$ZZ$258,45,FALSE))))</f>
        <v/>
      </c>
      <c r="G78" s="301" t="str">
        <f>IF(E78="","",IF(ISNA(VLOOKUP($E78,'D-1 Off-Site Habitat Baseline'!$D$1:$O$258,5,FALSE)),"",(VLOOKUP($E78,'D-1 Off-Site Habitat Baseline'!$D$1:$O$258,5,FALSE))))</f>
        <v/>
      </c>
      <c r="H78" s="301" t="str">
        <f>IF(E78="","",IF(ISNA(VLOOKUP($E78,'D-1 Off-Site Habitat Baseline'!$D$1:$O$258,6,FALSE)),"",(VLOOKUP($E78,'D-1 Off-Site Habitat Baseline'!$D$1:$O$258,6,FALSE))))</f>
        <v/>
      </c>
      <c r="I78" s="301" t="str">
        <f>IF(E78="","",IF(ISNA(VLOOKUP($E78,'D-1 Off-Site Habitat Baseline'!$D$1:$O$258,7,FALSE)),"",(VLOOKUP($E78,'D-1 Off-Site Habitat Baseline'!$D$1:$O$258,7,FALSE))))</f>
        <v/>
      </c>
      <c r="J78" s="301" t="str">
        <f>IF(E78="","",IF(ISNA(VLOOKUP($E78,'D-1 Off-Site Habitat Baseline'!$D$1:$O$258,8,FALSE)),"",(VLOOKUP($E78,'D-1 Off-Site Habitat Baseline'!$D$1:$O$258,8,FALSE))))</f>
        <v/>
      </c>
      <c r="K78" s="301" t="str">
        <f>IF(E78="","",IF(ISNA(VLOOKUP($E78,'D-1 Off-Site Habitat Baseline'!$D$1:$O$258,9,FALSE)),"",(VLOOKUP($E78,'D-1 Off-Site Habitat Baseline'!$D$1:$O$258,9,FALSE))))</f>
        <v/>
      </c>
      <c r="L78" s="301" t="str">
        <f>IF(E78="","",IF(ISNA(VLOOKUP($E78,'D-1 Off-Site Habitat Baseline'!$D$1:$O$258,11,FALSE)),"",(VLOOKUP($E78,'D-1 Off-Site Habitat Baseline'!$D$1:$O$258,11,FALSE))))</f>
        <v/>
      </c>
      <c r="M78" s="301" t="str">
        <f>IF(E78="","",IF(ISNA(VLOOKUP($E78,'D-1 Off-Site Habitat Baseline'!$D$1:$O$258,12,FALSE)),"",(VLOOKUP($E78,'D-1 Off-Site Habitat Baseline'!$D$1:$O$258,12,FALSE))))</f>
        <v/>
      </c>
      <c r="N78" s="301" t="str">
        <f>IF(E78="","",IF(ISNA(VLOOKUP($E78,'D-1 Off-Site Habitat Baseline'!$D$1:$AA$258,17,FALSE)),"",(VLOOKUP($E78,'D-1 Off-Site Habitat Baseline'!$D$1:$AA$258,17,FALSE))))</f>
        <v/>
      </c>
      <c r="O78" s="305" t="str">
        <f>IF(E78="","",IF(ISNA(VLOOKUP($E78,'D-1 Off-Site Habitat Baseline'!$D$1:$AA$258,13,FALSE)),"",(VLOOKUP($E78,'D-1 Off-Site Habitat Baseline'!$D$1:$AA$258,13,FALSE))))</f>
        <v/>
      </c>
      <c r="P78" s="152" t="str">
        <f>IFERROR(INDEX('G-1 All Habitats'!$AG$49:$AG$63,MATCH(Q78,'G-1 All Habitats'!$AF$27:$AF$41,0)),"")</f>
        <v/>
      </c>
      <c r="Q78" s="153"/>
      <c r="R78" s="154"/>
      <c r="S78" s="155" t="str">
        <f>IFERROR(INDEX('G-1 All Habitats'!$B$3:$B$135,MATCH(R78,'G-1 All Habitats'!$A$3:$A$135,0)),"")</f>
        <v/>
      </c>
      <c r="T78" s="289" t="str">
        <f t="shared" si="12"/>
        <v/>
      </c>
      <c r="U78" s="305" t="str">
        <f t="shared" si="13"/>
        <v/>
      </c>
      <c r="V78" s="304" t="str">
        <f t="shared" si="10"/>
        <v/>
      </c>
      <c r="W78" s="301" t="str">
        <f>IF(S78="","",VLOOKUP(S78,'G-1 All Habitats'!$B$2:$M$135,10,FALSE))</f>
        <v/>
      </c>
      <c r="X78" s="301" t="str">
        <f>IFERROR(VLOOKUP(W78,'G-1 All Habitats'!$V$3:$W$7,2,FALSE),"")</f>
        <v/>
      </c>
      <c r="Y78" s="142"/>
      <c r="Z78" s="305" t="str">
        <f>IFERROR(INDEX('G-8 Condition Look up'!$A$3:$H$135,MATCH(S78,'G-8 Condition Look up'!$A$3:$A$135,0),MATCH(Y78,'G-8 Condition Look up'!$A$3:$H$3,0)),"")</f>
        <v/>
      </c>
      <c r="AA78" s="105"/>
      <c r="AB78" s="320" t="str">
        <f>IF(AA78="","",IF(VLOOKUP(AA78,'G-3 Multipliers'!$L$3:$N$6,2,FALSE)=0,"Spatial Data Missing ⚠",VLOOKUP(AA78,'G-3 Multipliers'!$L$3:$N$6,2,FALSE)))</f>
        <v/>
      </c>
      <c r="AC78" s="305" t="str">
        <f>IF(AA78="","",IF(VLOOKUP(AA78,'G-3 Multipliers'!$L$3:$N$6,3,FALSE)=0,"Spatial Data Missing ⚠",VLOOKUP(AA78,'G-3 Multipliers'!$L$3:$N$6,3,FALSE)))</f>
        <v/>
      </c>
      <c r="AD78" s="317" t="str">
        <f t="shared" si="11"/>
        <v/>
      </c>
      <c r="AE78" s="142"/>
      <c r="AF78" s="142"/>
      <c r="AG78" s="301" t="str">
        <f t="shared" si="14"/>
        <v/>
      </c>
      <c r="AH78" s="302" t="str">
        <f t="shared" si="15"/>
        <v/>
      </c>
      <c r="AI78" s="306" t="str">
        <f>IF(AH78="Check Data ⚠","Check Data ⚠",IFERROR(VLOOKUP(AH78,'G-4 Temporal multipliers'!$A$4:$C$36,3,FALSE),""))</f>
        <v/>
      </c>
      <c r="AJ78" s="317" t="str">
        <f>IF(S78="","",VLOOKUP(S78,'G-3 Multipliers'!$A$2:$E$134,4,FALSE))</f>
        <v/>
      </c>
      <c r="AK78" s="301" t="str">
        <f t="shared" si="16"/>
        <v/>
      </c>
      <c r="AL78" s="301" t="str">
        <f t="shared" si="17"/>
        <v/>
      </c>
      <c r="AM78" s="305" t="str">
        <f>IFERROR(IF(F78="","",IF(AH78="Check Data ⚠","Check Data ⚠",VLOOKUP(AL78, 'G-3 Multipliers'!$P$2:$Q$6,2,FALSE))),"")</f>
        <v/>
      </c>
      <c r="AN78" s="728"/>
      <c r="AO78" s="335" t="str">
        <f>IF(AN78="","",IF(VLOOKUP(AN78,'G-3 Multipliers'!$S$3:$T$10,2,FALSE)=0,"Spatial Data Missing ⚠",VLOOKUP(AN78,'G-3 Multipliers'!$S$3:$T$10,2,FALSE)))</f>
        <v/>
      </c>
      <c r="AP78" s="295" t="str">
        <f t="shared" si="18"/>
        <v/>
      </c>
      <c r="AQ78" s="295" t="str">
        <f t="shared" si="19"/>
        <v/>
      </c>
      <c r="AR78" s="109"/>
      <c r="AS78" s="142"/>
      <c r="AT78" s="108"/>
      <c r="AU78" s="108"/>
      <c r="AY78" s="30" t="str">
        <f>IF(E78="","",IF(ISNA(VLOOKUP($E78,'D-1 Off-Site Habitat Baseline'!$D$1:$AV$258,4,FALSE)),"",(VLOOKUP($E78,'D-1 Off-Site Habitat Baseline'!$D$1:$AV$258,4,FALSE))))</f>
        <v/>
      </c>
    </row>
    <row r="79" spans="1:51" x14ac:dyDescent="0.25">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325" t="str">
        <f>'D-1 Off-Site Habitat Baseline'!AP78</f>
        <v/>
      </c>
      <c r="F79" s="289" t="str">
        <f>IF(E79="","",IF(ISNA(VLOOKUP($E79,'D-1 Off-Site Habitat Baseline'!$D$1:$ZZ$258,45,FALSE)),"",(VLOOKUP($E79,'D-1 Off-Site Habitat Baseline'!$D$1:$ZZ$258,45,FALSE))))</f>
        <v/>
      </c>
      <c r="G79" s="301" t="str">
        <f>IF(E79="","",IF(ISNA(VLOOKUP($E79,'D-1 Off-Site Habitat Baseline'!$D$1:$O$258,5,FALSE)),"",(VLOOKUP($E79,'D-1 Off-Site Habitat Baseline'!$D$1:$O$258,5,FALSE))))</f>
        <v/>
      </c>
      <c r="H79" s="301" t="str">
        <f>IF(E79="","",IF(ISNA(VLOOKUP($E79,'D-1 Off-Site Habitat Baseline'!$D$1:$O$258,6,FALSE)),"",(VLOOKUP($E79,'D-1 Off-Site Habitat Baseline'!$D$1:$O$258,6,FALSE))))</f>
        <v/>
      </c>
      <c r="I79" s="301" t="str">
        <f>IF(E79="","",IF(ISNA(VLOOKUP($E79,'D-1 Off-Site Habitat Baseline'!$D$1:$O$258,7,FALSE)),"",(VLOOKUP($E79,'D-1 Off-Site Habitat Baseline'!$D$1:$O$258,7,FALSE))))</f>
        <v/>
      </c>
      <c r="J79" s="301" t="str">
        <f>IF(E79="","",IF(ISNA(VLOOKUP($E79,'D-1 Off-Site Habitat Baseline'!$D$1:$O$258,8,FALSE)),"",(VLOOKUP($E79,'D-1 Off-Site Habitat Baseline'!$D$1:$O$258,8,FALSE))))</f>
        <v/>
      </c>
      <c r="K79" s="301" t="str">
        <f>IF(E79="","",IF(ISNA(VLOOKUP($E79,'D-1 Off-Site Habitat Baseline'!$D$1:$O$258,9,FALSE)),"",(VLOOKUP($E79,'D-1 Off-Site Habitat Baseline'!$D$1:$O$258,9,FALSE))))</f>
        <v/>
      </c>
      <c r="L79" s="301" t="str">
        <f>IF(E79="","",IF(ISNA(VLOOKUP($E79,'D-1 Off-Site Habitat Baseline'!$D$1:$O$258,11,FALSE)),"",(VLOOKUP($E79,'D-1 Off-Site Habitat Baseline'!$D$1:$O$258,11,FALSE))))</f>
        <v/>
      </c>
      <c r="M79" s="301" t="str">
        <f>IF(E79="","",IF(ISNA(VLOOKUP($E79,'D-1 Off-Site Habitat Baseline'!$D$1:$O$258,12,FALSE)),"",(VLOOKUP($E79,'D-1 Off-Site Habitat Baseline'!$D$1:$O$258,12,FALSE))))</f>
        <v/>
      </c>
      <c r="N79" s="301" t="str">
        <f>IF(E79="","",IF(ISNA(VLOOKUP($E79,'D-1 Off-Site Habitat Baseline'!$D$1:$AA$258,17,FALSE)),"",(VLOOKUP($E79,'D-1 Off-Site Habitat Baseline'!$D$1:$AA$258,17,FALSE))))</f>
        <v/>
      </c>
      <c r="O79" s="305" t="str">
        <f>IF(E79="","",IF(ISNA(VLOOKUP($E79,'D-1 Off-Site Habitat Baseline'!$D$1:$AA$258,13,FALSE)),"",(VLOOKUP($E79,'D-1 Off-Site Habitat Baseline'!$D$1:$AA$258,13,FALSE))))</f>
        <v/>
      </c>
      <c r="P79" s="152" t="str">
        <f>IFERROR(INDEX('G-1 All Habitats'!$AG$49:$AG$63,MATCH(Q79,'G-1 All Habitats'!$AF$27:$AF$41,0)),"")</f>
        <v/>
      </c>
      <c r="Q79" s="153"/>
      <c r="R79" s="154"/>
      <c r="S79" s="155" t="str">
        <f>IFERROR(INDEX('G-1 All Habitats'!$B$3:$B$135,MATCH(R79,'G-1 All Habitats'!$A$3:$A$135,0)),"")</f>
        <v/>
      </c>
      <c r="T79" s="289" t="str">
        <f t="shared" si="12"/>
        <v/>
      </c>
      <c r="U79" s="305" t="str">
        <f t="shared" si="13"/>
        <v/>
      </c>
      <c r="V79" s="304" t="str">
        <f t="shared" si="10"/>
        <v/>
      </c>
      <c r="W79" s="301" t="str">
        <f>IF(S79="","",VLOOKUP(S79,'G-1 All Habitats'!$B$2:$M$135,10,FALSE))</f>
        <v/>
      </c>
      <c r="X79" s="301" t="str">
        <f>IFERROR(VLOOKUP(W79,'G-1 All Habitats'!$V$3:$W$7,2,FALSE),"")</f>
        <v/>
      </c>
      <c r="Y79" s="142"/>
      <c r="Z79" s="305" t="str">
        <f>IFERROR(INDEX('G-8 Condition Look up'!$A$3:$H$135,MATCH(S79,'G-8 Condition Look up'!$A$3:$A$135,0),MATCH(Y79,'G-8 Condition Look up'!$A$3:$H$3,0)),"")</f>
        <v/>
      </c>
      <c r="AA79" s="105"/>
      <c r="AB79" s="320" t="str">
        <f>IF(AA79="","",IF(VLOOKUP(AA79,'G-3 Multipliers'!$L$3:$N$6,2,FALSE)=0,"Spatial Data Missing ⚠",VLOOKUP(AA79,'G-3 Multipliers'!$L$3:$N$6,2,FALSE)))</f>
        <v/>
      </c>
      <c r="AC79" s="305" t="str">
        <f>IF(AA79="","",IF(VLOOKUP(AA79,'G-3 Multipliers'!$L$3:$N$6,3,FALSE)=0,"Spatial Data Missing ⚠",VLOOKUP(AA79,'G-3 Multipliers'!$L$3:$N$6,3,FALSE)))</f>
        <v/>
      </c>
      <c r="AD79" s="317" t="str">
        <f t="shared" si="11"/>
        <v/>
      </c>
      <c r="AE79" s="142"/>
      <c r="AF79" s="142"/>
      <c r="AG79" s="301" t="str">
        <f t="shared" si="14"/>
        <v/>
      </c>
      <c r="AH79" s="302" t="str">
        <f t="shared" si="15"/>
        <v/>
      </c>
      <c r="AI79" s="306" t="str">
        <f>IF(AH79="Check Data ⚠","Check Data ⚠",IFERROR(VLOOKUP(AH79,'G-4 Temporal multipliers'!$A$4:$C$36,3,FALSE),""))</f>
        <v/>
      </c>
      <c r="AJ79" s="317" t="str">
        <f>IF(S79="","",VLOOKUP(S79,'G-3 Multipliers'!$A$2:$E$134,4,FALSE))</f>
        <v/>
      </c>
      <c r="AK79" s="301" t="str">
        <f t="shared" si="16"/>
        <v/>
      </c>
      <c r="AL79" s="301" t="str">
        <f t="shared" si="17"/>
        <v/>
      </c>
      <c r="AM79" s="305" t="str">
        <f>IFERROR(IF(F79="","",IF(AH79="Check Data ⚠","Check Data ⚠",VLOOKUP(AL79, 'G-3 Multipliers'!$P$2:$Q$6,2,FALSE))),"")</f>
        <v/>
      </c>
      <c r="AN79" s="728"/>
      <c r="AO79" s="335" t="str">
        <f>IF(AN79="","",IF(VLOOKUP(AN79,'G-3 Multipliers'!$S$3:$T$10,2,FALSE)=0,"Spatial Data Missing ⚠",VLOOKUP(AN79,'G-3 Multipliers'!$S$3:$T$10,2,FALSE)))</f>
        <v/>
      </c>
      <c r="AP79" s="295" t="str">
        <f t="shared" si="18"/>
        <v/>
      </c>
      <c r="AQ79" s="295" t="str">
        <f t="shared" si="19"/>
        <v/>
      </c>
      <c r="AR79" s="109"/>
      <c r="AS79" s="142"/>
      <c r="AT79" s="108"/>
      <c r="AU79" s="108"/>
      <c r="AY79" s="30" t="str">
        <f>IF(E79="","",IF(ISNA(VLOOKUP($E79,'D-1 Off-Site Habitat Baseline'!$D$1:$AV$258,4,FALSE)),"",(VLOOKUP($E79,'D-1 Off-Site Habitat Baseline'!$D$1:$AV$258,4,FALSE))))</f>
        <v/>
      </c>
    </row>
    <row r="80" spans="1:51" x14ac:dyDescent="0.25">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325" t="str">
        <f>'D-1 Off-Site Habitat Baseline'!AP79</f>
        <v/>
      </c>
      <c r="F80" s="289" t="str">
        <f>IF(E80="","",IF(ISNA(VLOOKUP($E80,'D-1 Off-Site Habitat Baseline'!$D$1:$ZZ$258,45,FALSE)),"",(VLOOKUP($E80,'D-1 Off-Site Habitat Baseline'!$D$1:$ZZ$258,45,FALSE))))</f>
        <v/>
      </c>
      <c r="G80" s="301" t="str">
        <f>IF(E80="","",IF(ISNA(VLOOKUP($E80,'D-1 Off-Site Habitat Baseline'!$D$1:$O$258,5,FALSE)),"",(VLOOKUP($E80,'D-1 Off-Site Habitat Baseline'!$D$1:$O$258,5,FALSE))))</f>
        <v/>
      </c>
      <c r="H80" s="301" t="str">
        <f>IF(E80="","",IF(ISNA(VLOOKUP($E80,'D-1 Off-Site Habitat Baseline'!$D$1:$O$258,6,FALSE)),"",(VLOOKUP($E80,'D-1 Off-Site Habitat Baseline'!$D$1:$O$258,6,FALSE))))</f>
        <v/>
      </c>
      <c r="I80" s="301" t="str">
        <f>IF(E80="","",IF(ISNA(VLOOKUP($E80,'D-1 Off-Site Habitat Baseline'!$D$1:$O$258,7,FALSE)),"",(VLOOKUP($E80,'D-1 Off-Site Habitat Baseline'!$D$1:$O$258,7,FALSE))))</f>
        <v/>
      </c>
      <c r="J80" s="301" t="str">
        <f>IF(E80="","",IF(ISNA(VLOOKUP($E80,'D-1 Off-Site Habitat Baseline'!$D$1:$O$258,8,FALSE)),"",(VLOOKUP($E80,'D-1 Off-Site Habitat Baseline'!$D$1:$O$258,8,FALSE))))</f>
        <v/>
      </c>
      <c r="K80" s="301" t="str">
        <f>IF(E80="","",IF(ISNA(VLOOKUP($E80,'D-1 Off-Site Habitat Baseline'!$D$1:$O$258,9,FALSE)),"",(VLOOKUP($E80,'D-1 Off-Site Habitat Baseline'!$D$1:$O$258,9,FALSE))))</f>
        <v/>
      </c>
      <c r="L80" s="301" t="str">
        <f>IF(E80="","",IF(ISNA(VLOOKUP($E80,'D-1 Off-Site Habitat Baseline'!$D$1:$O$258,11,FALSE)),"",(VLOOKUP($E80,'D-1 Off-Site Habitat Baseline'!$D$1:$O$258,11,FALSE))))</f>
        <v/>
      </c>
      <c r="M80" s="301" t="str">
        <f>IF(E80="","",IF(ISNA(VLOOKUP($E80,'D-1 Off-Site Habitat Baseline'!$D$1:$O$258,12,FALSE)),"",(VLOOKUP($E80,'D-1 Off-Site Habitat Baseline'!$D$1:$O$258,12,FALSE))))</f>
        <v/>
      </c>
      <c r="N80" s="301" t="str">
        <f>IF(E80="","",IF(ISNA(VLOOKUP($E80,'D-1 Off-Site Habitat Baseline'!$D$1:$AA$258,17,FALSE)),"",(VLOOKUP($E80,'D-1 Off-Site Habitat Baseline'!$D$1:$AA$258,17,FALSE))))</f>
        <v/>
      </c>
      <c r="O80" s="305" t="str">
        <f>IF(E80="","",IF(ISNA(VLOOKUP($E80,'D-1 Off-Site Habitat Baseline'!$D$1:$AA$258,13,FALSE)),"",(VLOOKUP($E80,'D-1 Off-Site Habitat Baseline'!$D$1:$AA$258,13,FALSE))))</f>
        <v/>
      </c>
      <c r="P80" s="152" t="str">
        <f>IFERROR(INDEX('G-1 All Habitats'!$AG$49:$AG$63,MATCH(Q80,'G-1 All Habitats'!$AF$27:$AF$41,0)),"")</f>
        <v/>
      </c>
      <c r="Q80" s="153"/>
      <c r="R80" s="154"/>
      <c r="S80" s="155" t="str">
        <f>IFERROR(INDEX('G-1 All Habitats'!$B$3:$B$135,MATCH(R80,'G-1 All Habitats'!$A$3:$A$135,0)),"")</f>
        <v/>
      </c>
      <c r="T80" s="289" t="str">
        <f t="shared" si="12"/>
        <v/>
      </c>
      <c r="U80" s="305" t="str">
        <f t="shared" si="13"/>
        <v/>
      </c>
      <c r="V80" s="304" t="str">
        <f t="shared" si="10"/>
        <v/>
      </c>
      <c r="W80" s="301" t="str">
        <f>IF(S80="","",VLOOKUP(S80,'G-1 All Habitats'!$B$2:$M$135,10,FALSE))</f>
        <v/>
      </c>
      <c r="X80" s="301" t="str">
        <f>IFERROR(VLOOKUP(W80,'G-1 All Habitats'!$V$3:$W$7,2,FALSE),"")</f>
        <v/>
      </c>
      <c r="Y80" s="142"/>
      <c r="Z80" s="305" t="str">
        <f>IFERROR(INDEX('G-8 Condition Look up'!$A$3:$H$135,MATCH(S80,'G-8 Condition Look up'!$A$3:$A$135,0),MATCH(Y80,'G-8 Condition Look up'!$A$3:$H$3,0)),"")</f>
        <v/>
      </c>
      <c r="AA80" s="105"/>
      <c r="AB80" s="320" t="str">
        <f>IF(AA80="","",IF(VLOOKUP(AA80,'G-3 Multipliers'!$L$3:$N$6,2,FALSE)=0,"Spatial Data Missing ⚠",VLOOKUP(AA80,'G-3 Multipliers'!$L$3:$N$6,2,FALSE)))</f>
        <v/>
      </c>
      <c r="AC80" s="305" t="str">
        <f>IF(AA80="","",IF(VLOOKUP(AA80,'G-3 Multipliers'!$L$3:$N$6,3,FALSE)=0,"Spatial Data Missing ⚠",VLOOKUP(AA80,'G-3 Multipliers'!$L$3:$N$6,3,FALSE)))</f>
        <v/>
      </c>
      <c r="AD80" s="317" t="str">
        <f t="shared" si="11"/>
        <v/>
      </c>
      <c r="AE80" s="142"/>
      <c r="AF80" s="142"/>
      <c r="AG80" s="301" t="str">
        <f t="shared" si="14"/>
        <v/>
      </c>
      <c r="AH80" s="302" t="str">
        <f t="shared" si="15"/>
        <v/>
      </c>
      <c r="AI80" s="306" t="str">
        <f>IF(AH80="Check Data ⚠","Check Data ⚠",IFERROR(VLOOKUP(AH80,'G-4 Temporal multipliers'!$A$4:$C$36,3,FALSE),""))</f>
        <v/>
      </c>
      <c r="AJ80" s="317" t="str">
        <f>IF(S80="","",VLOOKUP(S80,'G-3 Multipliers'!$A$2:$E$134,4,FALSE))</f>
        <v/>
      </c>
      <c r="AK80" s="301" t="str">
        <f t="shared" si="16"/>
        <v/>
      </c>
      <c r="AL80" s="301" t="str">
        <f t="shared" si="17"/>
        <v/>
      </c>
      <c r="AM80" s="305" t="str">
        <f>IFERROR(IF(F80="","",IF(AH80="Check Data ⚠","Check Data ⚠",VLOOKUP(AL80, 'G-3 Multipliers'!$P$2:$Q$6,2,FALSE))),"")</f>
        <v/>
      </c>
      <c r="AN80" s="728"/>
      <c r="AO80" s="335" t="str">
        <f>IF(AN80="","",IF(VLOOKUP(AN80,'G-3 Multipliers'!$S$3:$T$10,2,FALSE)=0,"Spatial Data Missing ⚠",VLOOKUP(AN80,'G-3 Multipliers'!$S$3:$T$10,2,FALSE)))</f>
        <v/>
      </c>
      <c r="AP80" s="295" t="str">
        <f t="shared" si="18"/>
        <v/>
      </c>
      <c r="AQ80" s="295" t="str">
        <f t="shared" si="19"/>
        <v/>
      </c>
      <c r="AR80" s="109"/>
      <c r="AS80" s="142"/>
      <c r="AT80" s="108"/>
      <c r="AU80" s="108"/>
      <c r="AY80" s="30" t="str">
        <f>IF(E80="","",IF(ISNA(VLOOKUP($E80,'D-1 Off-Site Habitat Baseline'!$D$1:$AV$258,4,FALSE)),"",(VLOOKUP($E80,'D-1 Off-Site Habitat Baseline'!$D$1:$AV$258,4,FALSE))))</f>
        <v/>
      </c>
    </row>
    <row r="81" spans="1:51" x14ac:dyDescent="0.25">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325" t="str">
        <f>'D-1 Off-Site Habitat Baseline'!AP80</f>
        <v/>
      </c>
      <c r="F81" s="289" t="str">
        <f>IF(E81="","",IF(ISNA(VLOOKUP($E81,'D-1 Off-Site Habitat Baseline'!$D$1:$ZZ$258,45,FALSE)),"",(VLOOKUP($E81,'D-1 Off-Site Habitat Baseline'!$D$1:$ZZ$258,45,FALSE))))</f>
        <v/>
      </c>
      <c r="G81" s="301" t="str">
        <f>IF(E81="","",IF(ISNA(VLOOKUP($E81,'D-1 Off-Site Habitat Baseline'!$D$1:$O$258,5,FALSE)),"",(VLOOKUP($E81,'D-1 Off-Site Habitat Baseline'!$D$1:$O$258,5,FALSE))))</f>
        <v/>
      </c>
      <c r="H81" s="301" t="str">
        <f>IF(E81="","",IF(ISNA(VLOOKUP($E81,'D-1 Off-Site Habitat Baseline'!$D$1:$O$258,6,FALSE)),"",(VLOOKUP($E81,'D-1 Off-Site Habitat Baseline'!$D$1:$O$258,6,FALSE))))</f>
        <v/>
      </c>
      <c r="I81" s="301" t="str">
        <f>IF(E81="","",IF(ISNA(VLOOKUP($E81,'D-1 Off-Site Habitat Baseline'!$D$1:$O$258,7,FALSE)),"",(VLOOKUP($E81,'D-1 Off-Site Habitat Baseline'!$D$1:$O$258,7,FALSE))))</f>
        <v/>
      </c>
      <c r="J81" s="301" t="str">
        <f>IF(E81="","",IF(ISNA(VLOOKUP($E81,'D-1 Off-Site Habitat Baseline'!$D$1:$O$258,8,FALSE)),"",(VLOOKUP($E81,'D-1 Off-Site Habitat Baseline'!$D$1:$O$258,8,FALSE))))</f>
        <v/>
      </c>
      <c r="K81" s="301" t="str">
        <f>IF(E81="","",IF(ISNA(VLOOKUP($E81,'D-1 Off-Site Habitat Baseline'!$D$1:$O$258,9,FALSE)),"",(VLOOKUP($E81,'D-1 Off-Site Habitat Baseline'!$D$1:$O$258,9,FALSE))))</f>
        <v/>
      </c>
      <c r="L81" s="301" t="str">
        <f>IF(E81="","",IF(ISNA(VLOOKUP($E81,'D-1 Off-Site Habitat Baseline'!$D$1:$O$258,11,FALSE)),"",(VLOOKUP($E81,'D-1 Off-Site Habitat Baseline'!$D$1:$O$258,11,FALSE))))</f>
        <v/>
      </c>
      <c r="M81" s="301" t="str">
        <f>IF(E81="","",IF(ISNA(VLOOKUP($E81,'D-1 Off-Site Habitat Baseline'!$D$1:$O$258,12,FALSE)),"",(VLOOKUP($E81,'D-1 Off-Site Habitat Baseline'!$D$1:$O$258,12,FALSE))))</f>
        <v/>
      </c>
      <c r="N81" s="301" t="str">
        <f>IF(E81="","",IF(ISNA(VLOOKUP($E81,'D-1 Off-Site Habitat Baseline'!$D$1:$AA$258,17,FALSE)),"",(VLOOKUP($E81,'D-1 Off-Site Habitat Baseline'!$D$1:$AA$258,17,FALSE))))</f>
        <v/>
      </c>
      <c r="O81" s="305" t="str">
        <f>IF(E81="","",IF(ISNA(VLOOKUP($E81,'D-1 Off-Site Habitat Baseline'!$D$1:$AA$258,13,FALSE)),"",(VLOOKUP($E81,'D-1 Off-Site Habitat Baseline'!$D$1:$AA$258,13,FALSE))))</f>
        <v/>
      </c>
      <c r="P81" s="152" t="str">
        <f>IFERROR(INDEX('G-1 All Habitats'!$AG$49:$AG$63,MATCH(Q81,'G-1 All Habitats'!$AF$27:$AF$41,0)),"")</f>
        <v/>
      </c>
      <c r="Q81" s="153"/>
      <c r="R81" s="154"/>
      <c r="S81" s="155" t="str">
        <f>IFERROR(INDEX('G-1 All Habitats'!$B$3:$B$135,MATCH(R81,'G-1 All Habitats'!$A$3:$A$135,0)),"")</f>
        <v/>
      </c>
      <c r="T81" s="289" t="str">
        <f t="shared" si="12"/>
        <v/>
      </c>
      <c r="U81" s="305" t="str">
        <f t="shared" si="13"/>
        <v/>
      </c>
      <c r="V81" s="304" t="str">
        <f t="shared" si="10"/>
        <v/>
      </c>
      <c r="W81" s="301" t="str">
        <f>IF(S81="","",VLOOKUP(S81,'G-1 All Habitats'!$B$2:$M$135,10,FALSE))</f>
        <v/>
      </c>
      <c r="X81" s="301" t="str">
        <f>IFERROR(VLOOKUP(W81,'G-1 All Habitats'!$V$3:$W$7,2,FALSE),"")</f>
        <v/>
      </c>
      <c r="Y81" s="142"/>
      <c r="Z81" s="305" t="str">
        <f>IFERROR(INDEX('G-8 Condition Look up'!$A$3:$H$135,MATCH(S81,'G-8 Condition Look up'!$A$3:$A$135,0),MATCH(Y81,'G-8 Condition Look up'!$A$3:$H$3,0)),"")</f>
        <v/>
      </c>
      <c r="AA81" s="105"/>
      <c r="AB81" s="320" t="str">
        <f>IF(AA81="","",IF(VLOOKUP(AA81,'G-3 Multipliers'!$L$3:$N$6,2,FALSE)=0,"Spatial Data Missing ⚠",VLOOKUP(AA81,'G-3 Multipliers'!$L$3:$N$6,2,FALSE)))</f>
        <v/>
      </c>
      <c r="AC81" s="305" t="str">
        <f>IF(AA81="","",IF(VLOOKUP(AA81,'G-3 Multipliers'!$L$3:$N$6,3,FALSE)=0,"Spatial Data Missing ⚠",VLOOKUP(AA81,'G-3 Multipliers'!$L$3:$N$6,3,FALSE)))</f>
        <v/>
      </c>
      <c r="AD81" s="317" t="str">
        <f t="shared" si="11"/>
        <v/>
      </c>
      <c r="AE81" s="142"/>
      <c r="AF81" s="142"/>
      <c r="AG81" s="301" t="str">
        <f t="shared" si="14"/>
        <v/>
      </c>
      <c r="AH81" s="302" t="str">
        <f t="shared" si="15"/>
        <v/>
      </c>
      <c r="AI81" s="306" t="str">
        <f>IF(AH81="Check Data ⚠","Check Data ⚠",IFERROR(VLOOKUP(AH81,'G-4 Temporal multipliers'!$A$4:$C$36,3,FALSE),""))</f>
        <v/>
      </c>
      <c r="AJ81" s="317" t="str">
        <f>IF(S81="","",VLOOKUP(S81,'G-3 Multipliers'!$A$2:$E$134,4,FALSE))</f>
        <v/>
      </c>
      <c r="AK81" s="301" t="str">
        <f t="shared" si="16"/>
        <v/>
      </c>
      <c r="AL81" s="301" t="str">
        <f t="shared" si="17"/>
        <v/>
      </c>
      <c r="AM81" s="305" t="str">
        <f>IFERROR(IF(F81="","",IF(AH81="Check Data ⚠","Check Data ⚠",VLOOKUP(AL81, 'G-3 Multipliers'!$P$2:$Q$6,2,FALSE))),"")</f>
        <v/>
      </c>
      <c r="AN81" s="728"/>
      <c r="AO81" s="335" t="str">
        <f>IF(AN81="","",IF(VLOOKUP(AN81,'G-3 Multipliers'!$S$3:$T$10,2,FALSE)=0,"Spatial Data Missing ⚠",VLOOKUP(AN81,'G-3 Multipliers'!$S$3:$T$10,2,FALSE)))</f>
        <v/>
      </c>
      <c r="AP81" s="295" t="str">
        <f t="shared" si="18"/>
        <v/>
      </c>
      <c r="AQ81" s="295" t="str">
        <f t="shared" si="19"/>
        <v/>
      </c>
      <c r="AR81" s="109"/>
      <c r="AS81" s="142"/>
      <c r="AT81" s="108"/>
      <c r="AU81" s="108"/>
      <c r="AY81" s="30" t="str">
        <f>IF(E81="","",IF(ISNA(VLOOKUP($E81,'D-1 Off-Site Habitat Baseline'!$D$1:$AV$258,4,FALSE)),"",(VLOOKUP($E81,'D-1 Off-Site Habitat Baseline'!$D$1:$AV$258,4,FALSE))))</f>
        <v/>
      </c>
    </row>
    <row r="82" spans="1:51" x14ac:dyDescent="0.25">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325" t="str">
        <f>'D-1 Off-Site Habitat Baseline'!AP81</f>
        <v/>
      </c>
      <c r="F82" s="289" t="str">
        <f>IF(E82="","",IF(ISNA(VLOOKUP($E82,'D-1 Off-Site Habitat Baseline'!$D$1:$ZZ$258,45,FALSE)),"",(VLOOKUP($E82,'D-1 Off-Site Habitat Baseline'!$D$1:$ZZ$258,45,FALSE))))</f>
        <v/>
      </c>
      <c r="G82" s="301" t="str">
        <f>IF(E82="","",IF(ISNA(VLOOKUP($E82,'D-1 Off-Site Habitat Baseline'!$D$1:$O$258,5,FALSE)),"",(VLOOKUP($E82,'D-1 Off-Site Habitat Baseline'!$D$1:$O$258,5,FALSE))))</f>
        <v/>
      </c>
      <c r="H82" s="301" t="str">
        <f>IF(E82="","",IF(ISNA(VLOOKUP($E82,'D-1 Off-Site Habitat Baseline'!$D$1:$O$258,6,FALSE)),"",(VLOOKUP($E82,'D-1 Off-Site Habitat Baseline'!$D$1:$O$258,6,FALSE))))</f>
        <v/>
      </c>
      <c r="I82" s="301" t="str">
        <f>IF(E82="","",IF(ISNA(VLOOKUP($E82,'D-1 Off-Site Habitat Baseline'!$D$1:$O$258,7,FALSE)),"",(VLOOKUP($E82,'D-1 Off-Site Habitat Baseline'!$D$1:$O$258,7,FALSE))))</f>
        <v/>
      </c>
      <c r="J82" s="301" t="str">
        <f>IF(E82="","",IF(ISNA(VLOOKUP($E82,'D-1 Off-Site Habitat Baseline'!$D$1:$O$258,8,FALSE)),"",(VLOOKUP($E82,'D-1 Off-Site Habitat Baseline'!$D$1:$O$258,8,FALSE))))</f>
        <v/>
      </c>
      <c r="K82" s="301" t="str">
        <f>IF(E82="","",IF(ISNA(VLOOKUP($E82,'D-1 Off-Site Habitat Baseline'!$D$1:$O$258,9,FALSE)),"",(VLOOKUP($E82,'D-1 Off-Site Habitat Baseline'!$D$1:$O$258,9,FALSE))))</f>
        <v/>
      </c>
      <c r="L82" s="301" t="str">
        <f>IF(E82="","",IF(ISNA(VLOOKUP($E82,'D-1 Off-Site Habitat Baseline'!$D$1:$O$258,11,FALSE)),"",(VLOOKUP($E82,'D-1 Off-Site Habitat Baseline'!$D$1:$O$258,11,FALSE))))</f>
        <v/>
      </c>
      <c r="M82" s="301" t="str">
        <f>IF(E82="","",IF(ISNA(VLOOKUP($E82,'D-1 Off-Site Habitat Baseline'!$D$1:$O$258,12,FALSE)),"",(VLOOKUP($E82,'D-1 Off-Site Habitat Baseline'!$D$1:$O$258,12,FALSE))))</f>
        <v/>
      </c>
      <c r="N82" s="301" t="str">
        <f>IF(E82="","",IF(ISNA(VLOOKUP($E82,'D-1 Off-Site Habitat Baseline'!$D$1:$AA$258,17,FALSE)),"",(VLOOKUP($E82,'D-1 Off-Site Habitat Baseline'!$D$1:$AA$258,17,FALSE))))</f>
        <v/>
      </c>
      <c r="O82" s="305" t="str">
        <f>IF(E82="","",IF(ISNA(VLOOKUP($E82,'D-1 Off-Site Habitat Baseline'!$D$1:$AA$258,13,FALSE)),"",(VLOOKUP($E82,'D-1 Off-Site Habitat Baseline'!$D$1:$AA$258,13,FALSE))))</f>
        <v/>
      </c>
      <c r="P82" s="152" t="str">
        <f>IFERROR(INDEX('G-1 All Habitats'!$AG$49:$AG$63,MATCH(Q82,'G-1 All Habitats'!$AF$27:$AF$41,0)),"")</f>
        <v/>
      </c>
      <c r="Q82" s="153"/>
      <c r="R82" s="154"/>
      <c r="S82" s="155" t="str">
        <f>IFERROR(INDEX('G-1 All Habitats'!$B$3:$B$135,MATCH(R82,'G-1 All Habitats'!$A$3:$A$135,0)),"")</f>
        <v/>
      </c>
      <c r="T82" s="289" t="str">
        <f t="shared" si="12"/>
        <v/>
      </c>
      <c r="U82" s="305" t="str">
        <f t="shared" si="13"/>
        <v/>
      </c>
      <c r="V82" s="304" t="str">
        <f t="shared" si="10"/>
        <v/>
      </c>
      <c r="W82" s="301" t="str">
        <f>IF(S82="","",VLOOKUP(S82,'G-1 All Habitats'!$B$2:$M$135,10,FALSE))</f>
        <v/>
      </c>
      <c r="X82" s="301" t="str">
        <f>IFERROR(VLOOKUP(W82,'G-1 All Habitats'!$V$3:$W$7,2,FALSE),"")</f>
        <v/>
      </c>
      <c r="Y82" s="142"/>
      <c r="Z82" s="305" t="str">
        <f>IFERROR(INDEX('G-8 Condition Look up'!$A$3:$H$135,MATCH(S82,'G-8 Condition Look up'!$A$3:$A$135,0),MATCH(Y82,'G-8 Condition Look up'!$A$3:$H$3,0)),"")</f>
        <v/>
      </c>
      <c r="AA82" s="105"/>
      <c r="AB82" s="320" t="str">
        <f>IF(AA82="","",IF(VLOOKUP(AA82,'G-3 Multipliers'!$L$3:$N$6,2,FALSE)=0,"Spatial Data Missing ⚠",VLOOKUP(AA82,'G-3 Multipliers'!$L$3:$N$6,2,FALSE)))</f>
        <v/>
      </c>
      <c r="AC82" s="305" t="str">
        <f>IF(AA82="","",IF(VLOOKUP(AA82,'G-3 Multipliers'!$L$3:$N$6,3,FALSE)=0,"Spatial Data Missing ⚠",VLOOKUP(AA82,'G-3 Multipliers'!$L$3:$N$6,3,FALSE)))</f>
        <v/>
      </c>
      <c r="AD82" s="317" t="str">
        <f t="shared" si="11"/>
        <v/>
      </c>
      <c r="AE82" s="142"/>
      <c r="AF82" s="142"/>
      <c r="AG82" s="301" t="str">
        <f t="shared" si="14"/>
        <v/>
      </c>
      <c r="AH82" s="302" t="str">
        <f t="shared" si="15"/>
        <v/>
      </c>
      <c r="AI82" s="306" t="str">
        <f>IF(AH82="Check Data ⚠","Check Data ⚠",IFERROR(VLOOKUP(AH82,'G-4 Temporal multipliers'!$A$4:$C$36,3,FALSE),""))</f>
        <v/>
      </c>
      <c r="AJ82" s="317" t="str">
        <f>IF(S82="","",VLOOKUP(S82,'G-3 Multipliers'!$A$2:$E$134,4,FALSE))</f>
        <v/>
      </c>
      <c r="AK82" s="301" t="str">
        <f t="shared" si="16"/>
        <v/>
      </c>
      <c r="AL82" s="301" t="str">
        <f t="shared" si="17"/>
        <v/>
      </c>
      <c r="AM82" s="305" t="str">
        <f>IFERROR(IF(F82="","",IF(AH82="Check Data ⚠","Check Data ⚠",VLOOKUP(AL82, 'G-3 Multipliers'!$P$2:$Q$6,2,FALSE))),"")</f>
        <v/>
      </c>
      <c r="AN82" s="728"/>
      <c r="AO82" s="335" t="str">
        <f>IF(AN82="","",IF(VLOOKUP(AN82,'G-3 Multipliers'!$S$3:$T$10,2,FALSE)=0,"Spatial Data Missing ⚠",VLOOKUP(AN82,'G-3 Multipliers'!$S$3:$T$10,2,FALSE)))</f>
        <v/>
      </c>
      <c r="AP82" s="295" t="str">
        <f t="shared" si="18"/>
        <v/>
      </c>
      <c r="AQ82" s="295" t="str">
        <f t="shared" si="19"/>
        <v/>
      </c>
      <c r="AR82" s="109"/>
      <c r="AS82" s="142"/>
      <c r="AT82" s="108"/>
      <c r="AU82" s="108"/>
      <c r="AY82" s="30" t="str">
        <f>IF(E82="","",IF(ISNA(VLOOKUP($E82,'D-1 Off-Site Habitat Baseline'!$D$1:$AV$258,4,FALSE)),"",(VLOOKUP($E82,'D-1 Off-Site Habitat Baseline'!$D$1:$AV$258,4,FALSE))))</f>
        <v/>
      </c>
    </row>
    <row r="83" spans="1:51" x14ac:dyDescent="0.25">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325" t="str">
        <f>'D-1 Off-Site Habitat Baseline'!AP82</f>
        <v/>
      </c>
      <c r="F83" s="289" t="str">
        <f>IF(E83="","",IF(ISNA(VLOOKUP($E83,'D-1 Off-Site Habitat Baseline'!$D$1:$ZZ$258,45,FALSE)),"",(VLOOKUP($E83,'D-1 Off-Site Habitat Baseline'!$D$1:$ZZ$258,45,FALSE))))</f>
        <v/>
      </c>
      <c r="G83" s="301" t="str">
        <f>IF(E83="","",IF(ISNA(VLOOKUP($E83,'D-1 Off-Site Habitat Baseline'!$D$1:$O$258,5,FALSE)),"",(VLOOKUP($E83,'D-1 Off-Site Habitat Baseline'!$D$1:$O$258,5,FALSE))))</f>
        <v/>
      </c>
      <c r="H83" s="301" t="str">
        <f>IF(E83="","",IF(ISNA(VLOOKUP($E83,'D-1 Off-Site Habitat Baseline'!$D$1:$O$258,6,FALSE)),"",(VLOOKUP($E83,'D-1 Off-Site Habitat Baseline'!$D$1:$O$258,6,FALSE))))</f>
        <v/>
      </c>
      <c r="I83" s="301" t="str">
        <f>IF(E83="","",IF(ISNA(VLOOKUP($E83,'D-1 Off-Site Habitat Baseline'!$D$1:$O$258,7,FALSE)),"",(VLOOKUP($E83,'D-1 Off-Site Habitat Baseline'!$D$1:$O$258,7,FALSE))))</f>
        <v/>
      </c>
      <c r="J83" s="301" t="str">
        <f>IF(E83="","",IF(ISNA(VLOOKUP($E83,'D-1 Off-Site Habitat Baseline'!$D$1:$O$258,8,FALSE)),"",(VLOOKUP($E83,'D-1 Off-Site Habitat Baseline'!$D$1:$O$258,8,FALSE))))</f>
        <v/>
      </c>
      <c r="K83" s="301" t="str">
        <f>IF(E83="","",IF(ISNA(VLOOKUP($E83,'D-1 Off-Site Habitat Baseline'!$D$1:$O$258,9,FALSE)),"",(VLOOKUP($E83,'D-1 Off-Site Habitat Baseline'!$D$1:$O$258,9,FALSE))))</f>
        <v/>
      </c>
      <c r="L83" s="301" t="str">
        <f>IF(E83="","",IF(ISNA(VLOOKUP($E83,'D-1 Off-Site Habitat Baseline'!$D$1:$O$258,11,FALSE)),"",(VLOOKUP($E83,'D-1 Off-Site Habitat Baseline'!$D$1:$O$258,11,FALSE))))</f>
        <v/>
      </c>
      <c r="M83" s="301" t="str">
        <f>IF(E83="","",IF(ISNA(VLOOKUP($E83,'D-1 Off-Site Habitat Baseline'!$D$1:$O$258,12,FALSE)),"",(VLOOKUP($E83,'D-1 Off-Site Habitat Baseline'!$D$1:$O$258,12,FALSE))))</f>
        <v/>
      </c>
      <c r="N83" s="301" t="str">
        <f>IF(E83="","",IF(ISNA(VLOOKUP($E83,'D-1 Off-Site Habitat Baseline'!$D$1:$AA$258,17,FALSE)),"",(VLOOKUP($E83,'D-1 Off-Site Habitat Baseline'!$D$1:$AA$258,17,FALSE))))</f>
        <v/>
      </c>
      <c r="O83" s="305" t="str">
        <f>IF(E83="","",IF(ISNA(VLOOKUP($E83,'D-1 Off-Site Habitat Baseline'!$D$1:$AA$258,13,FALSE)),"",(VLOOKUP($E83,'D-1 Off-Site Habitat Baseline'!$D$1:$AA$258,13,FALSE))))</f>
        <v/>
      </c>
      <c r="P83" s="152" t="str">
        <f>IFERROR(INDEX('G-1 All Habitats'!$AG$49:$AG$63,MATCH(Q83,'G-1 All Habitats'!$AF$27:$AF$41,0)),"")</f>
        <v/>
      </c>
      <c r="Q83" s="153"/>
      <c r="R83" s="154"/>
      <c r="S83" s="155" t="str">
        <f>IFERROR(INDEX('G-1 All Habitats'!$B$3:$B$135,MATCH(R83,'G-1 All Habitats'!$A$3:$A$135,0)),"")</f>
        <v/>
      </c>
      <c r="T83" s="289" t="str">
        <f t="shared" si="12"/>
        <v/>
      </c>
      <c r="U83" s="305" t="str">
        <f t="shared" si="13"/>
        <v/>
      </c>
      <c r="V83" s="304" t="str">
        <f t="shared" si="10"/>
        <v/>
      </c>
      <c r="W83" s="301" t="str">
        <f>IF(S83="","",VLOOKUP(S83,'G-1 All Habitats'!$B$2:$M$135,10,FALSE))</f>
        <v/>
      </c>
      <c r="X83" s="301" t="str">
        <f>IFERROR(VLOOKUP(W83,'G-1 All Habitats'!$V$3:$W$7,2,FALSE),"")</f>
        <v/>
      </c>
      <c r="Y83" s="142"/>
      <c r="Z83" s="305" t="str">
        <f>IFERROR(INDEX('G-8 Condition Look up'!$A$3:$H$135,MATCH(S83,'G-8 Condition Look up'!$A$3:$A$135,0),MATCH(Y83,'G-8 Condition Look up'!$A$3:$H$3,0)),"")</f>
        <v/>
      </c>
      <c r="AA83" s="105"/>
      <c r="AB83" s="320" t="str">
        <f>IF(AA83="","",IF(VLOOKUP(AA83,'G-3 Multipliers'!$L$3:$N$6,2,FALSE)=0,"Spatial Data Missing ⚠",VLOOKUP(AA83,'G-3 Multipliers'!$L$3:$N$6,2,FALSE)))</f>
        <v/>
      </c>
      <c r="AC83" s="305" t="str">
        <f>IF(AA83="","",IF(VLOOKUP(AA83,'G-3 Multipliers'!$L$3:$N$6,3,FALSE)=0,"Spatial Data Missing ⚠",VLOOKUP(AA83,'G-3 Multipliers'!$L$3:$N$6,3,FALSE)))</f>
        <v/>
      </c>
      <c r="AD83" s="317" t="str">
        <f t="shared" si="11"/>
        <v/>
      </c>
      <c r="AE83" s="142"/>
      <c r="AF83" s="142"/>
      <c r="AG83" s="301" t="str">
        <f t="shared" si="14"/>
        <v/>
      </c>
      <c r="AH83" s="302" t="str">
        <f t="shared" si="15"/>
        <v/>
      </c>
      <c r="AI83" s="306" t="str">
        <f>IF(AH83="Check Data ⚠","Check Data ⚠",IFERROR(VLOOKUP(AH83,'G-4 Temporal multipliers'!$A$4:$C$36,3,FALSE),""))</f>
        <v/>
      </c>
      <c r="AJ83" s="317" t="str">
        <f>IF(S83="","",VLOOKUP(S83,'G-3 Multipliers'!$A$2:$E$134,4,FALSE))</f>
        <v/>
      </c>
      <c r="AK83" s="301" t="str">
        <f t="shared" si="16"/>
        <v/>
      </c>
      <c r="AL83" s="301" t="str">
        <f t="shared" si="17"/>
        <v/>
      </c>
      <c r="AM83" s="305" t="str">
        <f>IFERROR(IF(F83="","",IF(AH83="Check Data ⚠","Check Data ⚠",VLOOKUP(AL83, 'G-3 Multipliers'!$P$2:$Q$6,2,FALSE))),"")</f>
        <v/>
      </c>
      <c r="AN83" s="728"/>
      <c r="AO83" s="335" t="str">
        <f>IF(AN83="","",IF(VLOOKUP(AN83,'G-3 Multipliers'!$S$3:$T$10,2,FALSE)=0,"Spatial Data Missing ⚠",VLOOKUP(AN83,'G-3 Multipliers'!$S$3:$T$10,2,FALSE)))</f>
        <v/>
      </c>
      <c r="AP83" s="295" t="str">
        <f t="shared" si="18"/>
        <v/>
      </c>
      <c r="AQ83" s="295" t="str">
        <f t="shared" si="19"/>
        <v/>
      </c>
      <c r="AR83" s="109"/>
      <c r="AS83" s="142"/>
      <c r="AT83" s="108"/>
      <c r="AU83" s="108"/>
      <c r="AY83" s="30" t="str">
        <f>IF(E83="","",IF(ISNA(VLOOKUP($E83,'D-1 Off-Site Habitat Baseline'!$D$1:$AV$258,4,FALSE)),"",(VLOOKUP($E83,'D-1 Off-Site Habitat Baseline'!$D$1:$AV$258,4,FALSE))))</f>
        <v/>
      </c>
    </row>
    <row r="84" spans="1:51" x14ac:dyDescent="0.25">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325" t="str">
        <f>'D-1 Off-Site Habitat Baseline'!AP83</f>
        <v/>
      </c>
      <c r="F84" s="289" t="str">
        <f>IF(E84="","",IF(ISNA(VLOOKUP($E84,'D-1 Off-Site Habitat Baseline'!$D$1:$ZZ$258,45,FALSE)),"",(VLOOKUP($E84,'D-1 Off-Site Habitat Baseline'!$D$1:$ZZ$258,45,FALSE))))</f>
        <v/>
      </c>
      <c r="G84" s="301" t="str">
        <f>IF(E84="","",IF(ISNA(VLOOKUP($E84,'D-1 Off-Site Habitat Baseline'!$D$1:$O$258,5,FALSE)),"",(VLOOKUP($E84,'D-1 Off-Site Habitat Baseline'!$D$1:$O$258,5,FALSE))))</f>
        <v/>
      </c>
      <c r="H84" s="301" t="str">
        <f>IF(E84="","",IF(ISNA(VLOOKUP($E84,'D-1 Off-Site Habitat Baseline'!$D$1:$O$258,6,FALSE)),"",(VLOOKUP($E84,'D-1 Off-Site Habitat Baseline'!$D$1:$O$258,6,FALSE))))</f>
        <v/>
      </c>
      <c r="I84" s="301" t="str">
        <f>IF(E84="","",IF(ISNA(VLOOKUP($E84,'D-1 Off-Site Habitat Baseline'!$D$1:$O$258,7,FALSE)),"",(VLOOKUP($E84,'D-1 Off-Site Habitat Baseline'!$D$1:$O$258,7,FALSE))))</f>
        <v/>
      </c>
      <c r="J84" s="301" t="str">
        <f>IF(E84="","",IF(ISNA(VLOOKUP($E84,'D-1 Off-Site Habitat Baseline'!$D$1:$O$258,8,FALSE)),"",(VLOOKUP($E84,'D-1 Off-Site Habitat Baseline'!$D$1:$O$258,8,FALSE))))</f>
        <v/>
      </c>
      <c r="K84" s="301" t="str">
        <f>IF(E84="","",IF(ISNA(VLOOKUP($E84,'D-1 Off-Site Habitat Baseline'!$D$1:$O$258,9,FALSE)),"",(VLOOKUP($E84,'D-1 Off-Site Habitat Baseline'!$D$1:$O$258,9,FALSE))))</f>
        <v/>
      </c>
      <c r="L84" s="301" t="str">
        <f>IF(E84="","",IF(ISNA(VLOOKUP($E84,'D-1 Off-Site Habitat Baseline'!$D$1:$O$258,11,FALSE)),"",(VLOOKUP($E84,'D-1 Off-Site Habitat Baseline'!$D$1:$O$258,11,FALSE))))</f>
        <v/>
      </c>
      <c r="M84" s="301" t="str">
        <f>IF(E84="","",IF(ISNA(VLOOKUP($E84,'D-1 Off-Site Habitat Baseline'!$D$1:$O$258,12,FALSE)),"",(VLOOKUP($E84,'D-1 Off-Site Habitat Baseline'!$D$1:$O$258,12,FALSE))))</f>
        <v/>
      </c>
      <c r="N84" s="301" t="str">
        <f>IF(E84="","",IF(ISNA(VLOOKUP($E84,'D-1 Off-Site Habitat Baseline'!$D$1:$AA$258,17,FALSE)),"",(VLOOKUP($E84,'D-1 Off-Site Habitat Baseline'!$D$1:$AA$258,17,FALSE))))</f>
        <v/>
      </c>
      <c r="O84" s="305" t="str">
        <f>IF(E84="","",IF(ISNA(VLOOKUP($E84,'D-1 Off-Site Habitat Baseline'!$D$1:$AA$258,13,FALSE)),"",(VLOOKUP($E84,'D-1 Off-Site Habitat Baseline'!$D$1:$AA$258,13,FALSE))))</f>
        <v/>
      </c>
      <c r="P84" s="152" t="str">
        <f>IFERROR(INDEX('G-1 All Habitats'!$AG$49:$AG$63,MATCH(Q84,'G-1 All Habitats'!$AF$27:$AF$41,0)),"")</f>
        <v/>
      </c>
      <c r="Q84" s="153"/>
      <c r="R84" s="154"/>
      <c r="S84" s="155" t="str">
        <f>IFERROR(INDEX('G-1 All Habitats'!$B$3:$B$135,MATCH(R84,'G-1 All Habitats'!$A$3:$A$135,0)),"")</f>
        <v/>
      </c>
      <c r="T84" s="289" t="str">
        <f t="shared" si="12"/>
        <v/>
      </c>
      <c r="U84" s="305" t="str">
        <f t="shared" si="13"/>
        <v/>
      </c>
      <c r="V84" s="304" t="str">
        <f t="shared" si="10"/>
        <v/>
      </c>
      <c r="W84" s="301" t="str">
        <f>IF(S84="","",VLOOKUP(S84,'G-1 All Habitats'!$B$2:$M$135,10,FALSE))</f>
        <v/>
      </c>
      <c r="X84" s="301" t="str">
        <f>IFERROR(VLOOKUP(W84,'G-1 All Habitats'!$V$3:$W$7,2,FALSE),"")</f>
        <v/>
      </c>
      <c r="Y84" s="142"/>
      <c r="Z84" s="305" t="str">
        <f>IFERROR(INDEX('G-8 Condition Look up'!$A$3:$H$135,MATCH(S84,'G-8 Condition Look up'!$A$3:$A$135,0),MATCH(Y84,'G-8 Condition Look up'!$A$3:$H$3,0)),"")</f>
        <v/>
      </c>
      <c r="AA84" s="105"/>
      <c r="AB84" s="320" t="str">
        <f>IF(AA84="","",IF(VLOOKUP(AA84,'G-3 Multipliers'!$L$3:$N$6,2,FALSE)=0,"Spatial Data Missing ⚠",VLOOKUP(AA84,'G-3 Multipliers'!$L$3:$N$6,2,FALSE)))</f>
        <v/>
      </c>
      <c r="AC84" s="305" t="str">
        <f>IF(AA84="","",IF(VLOOKUP(AA84,'G-3 Multipliers'!$L$3:$N$6,3,FALSE)=0,"Spatial Data Missing ⚠",VLOOKUP(AA84,'G-3 Multipliers'!$L$3:$N$6,3,FALSE)))</f>
        <v/>
      </c>
      <c r="AD84" s="317" t="str">
        <f t="shared" si="11"/>
        <v/>
      </c>
      <c r="AE84" s="142"/>
      <c r="AF84" s="142"/>
      <c r="AG84" s="301" t="str">
        <f t="shared" si="14"/>
        <v/>
      </c>
      <c r="AH84" s="302" t="str">
        <f t="shared" si="15"/>
        <v/>
      </c>
      <c r="AI84" s="306" t="str">
        <f>IF(AH84="Check Data ⚠","Check Data ⚠",IFERROR(VLOOKUP(AH84,'G-4 Temporal multipliers'!$A$4:$C$36,3,FALSE),""))</f>
        <v/>
      </c>
      <c r="AJ84" s="317" t="str">
        <f>IF(S84="","",VLOOKUP(S84,'G-3 Multipliers'!$A$2:$E$134,4,FALSE))</f>
        <v/>
      </c>
      <c r="AK84" s="301" t="str">
        <f t="shared" si="16"/>
        <v/>
      </c>
      <c r="AL84" s="301" t="str">
        <f t="shared" si="17"/>
        <v/>
      </c>
      <c r="AM84" s="305" t="str">
        <f>IFERROR(IF(F84="","",IF(AH84="Check Data ⚠","Check Data ⚠",VLOOKUP(AL84, 'G-3 Multipliers'!$P$2:$Q$6,2,FALSE))),"")</f>
        <v/>
      </c>
      <c r="AN84" s="728"/>
      <c r="AO84" s="335" t="str">
        <f>IF(AN84="","",IF(VLOOKUP(AN84,'G-3 Multipliers'!$S$3:$T$10,2,FALSE)=0,"Spatial Data Missing ⚠",VLOOKUP(AN84,'G-3 Multipliers'!$S$3:$T$10,2,FALSE)))</f>
        <v/>
      </c>
      <c r="AP84" s="295" t="str">
        <f t="shared" si="18"/>
        <v/>
      </c>
      <c r="AQ84" s="295" t="str">
        <f t="shared" si="19"/>
        <v/>
      </c>
      <c r="AR84" s="109"/>
      <c r="AS84" s="142"/>
      <c r="AT84" s="108"/>
      <c r="AU84" s="108"/>
      <c r="AY84" s="30" t="str">
        <f>IF(E84="","",IF(ISNA(VLOOKUP($E84,'D-1 Off-Site Habitat Baseline'!$D$1:$AV$258,4,FALSE)),"",(VLOOKUP($E84,'D-1 Off-Site Habitat Baseline'!$D$1:$AV$258,4,FALSE))))</f>
        <v/>
      </c>
    </row>
    <row r="85" spans="1:51" x14ac:dyDescent="0.25">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325" t="str">
        <f>'D-1 Off-Site Habitat Baseline'!AP84</f>
        <v/>
      </c>
      <c r="F85" s="289" t="str">
        <f>IF(E85="","",IF(ISNA(VLOOKUP($E85,'D-1 Off-Site Habitat Baseline'!$D$1:$ZZ$258,45,FALSE)),"",(VLOOKUP($E85,'D-1 Off-Site Habitat Baseline'!$D$1:$ZZ$258,45,FALSE))))</f>
        <v/>
      </c>
      <c r="G85" s="301" t="str">
        <f>IF(E85="","",IF(ISNA(VLOOKUP($E85,'D-1 Off-Site Habitat Baseline'!$D$1:$O$258,5,FALSE)),"",(VLOOKUP($E85,'D-1 Off-Site Habitat Baseline'!$D$1:$O$258,5,FALSE))))</f>
        <v/>
      </c>
      <c r="H85" s="301" t="str">
        <f>IF(E85="","",IF(ISNA(VLOOKUP($E85,'D-1 Off-Site Habitat Baseline'!$D$1:$O$258,6,FALSE)),"",(VLOOKUP($E85,'D-1 Off-Site Habitat Baseline'!$D$1:$O$258,6,FALSE))))</f>
        <v/>
      </c>
      <c r="I85" s="301" t="str">
        <f>IF(E85="","",IF(ISNA(VLOOKUP($E85,'D-1 Off-Site Habitat Baseline'!$D$1:$O$258,7,FALSE)),"",(VLOOKUP($E85,'D-1 Off-Site Habitat Baseline'!$D$1:$O$258,7,FALSE))))</f>
        <v/>
      </c>
      <c r="J85" s="301" t="str">
        <f>IF(E85="","",IF(ISNA(VLOOKUP($E85,'D-1 Off-Site Habitat Baseline'!$D$1:$O$258,8,FALSE)),"",(VLOOKUP($E85,'D-1 Off-Site Habitat Baseline'!$D$1:$O$258,8,FALSE))))</f>
        <v/>
      </c>
      <c r="K85" s="301" t="str">
        <f>IF(E85="","",IF(ISNA(VLOOKUP($E85,'D-1 Off-Site Habitat Baseline'!$D$1:$O$258,9,FALSE)),"",(VLOOKUP($E85,'D-1 Off-Site Habitat Baseline'!$D$1:$O$258,9,FALSE))))</f>
        <v/>
      </c>
      <c r="L85" s="301" t="str">
        <f>IF(E85="","",IF(ISNA(VLOOKUP($E85,'D-1 Off-Site Habitat Baseline'!$D$1:$O$258,11,FALSE)),"",(VLOOKUP($E85,'D-1 Off-Site Habitat Baseline'!$D$1:$O$258,11,FALSE))))</f>
        <v/>
      </c>
      <c r="M85" s="301" t="str">
        <f>IF(E85="","",IF(ISNA(VLOOKUP($E85,'D-1 Off-Site Habitat Baseline'!$D$1:$O$258,12,FALSE)),"",(VLOOKUP($E85,'D-1 Off-Site Habitat Baseline'!$D$1:$O$258,12,FALSE))))</f>
        <v/>
      </c>
      <c r="N85" s="301" t="str">
        <f>IF(E85="","",IF(ISNA(VLOOKUP($E85,'D-1 Off-Site Habitat Baseline'!$D$1:$AA$258,17,FALSE)),"",(VLOOKUP($E85,'D-1 Off-Site Habitat Baseline'!$D$1:$AA$258,17,FALSE))))</f>
        <v/>
      </c>
      <c r="O85" s="305" t="str">
        <f>IF(E85="","",IF(ISNA(VLOOKUP($E85,'D-1 Off-Site Habitat Baseline'!$D$1:$AA$258,13,FALSE)),"",(VLOOKUP($E85,'D-1 Off-Site Habitat Baseline'!$D$1:$AA$258,13,FALSE))))</f>
        <v/>
      </c>
      <c r="P85" s="152" t="str">
        <f>IFERROR(INDEX('G-1 All Habitats'!$AG$49:$AG$63,MATCH(Q85,'G-1 All Habitats'!$AF$27:$AF$41,0)),"")</f>
        <v/>
      </c>
      <c r="Q85" s="153"/>
      <c r="R85" s="154"/>
      <c r="S85" s="155" t="str">
        <f>IFERROR(INDEX('G-1 All Habitats'!$B$3:$B$135,MATCH(R85,'G-1 All Habitats'!$A$3:$A$135,0)),"")</f>
        <v/>
      </c>
      <c r="T85" s="289" t="str">
        <f t="shared" si="12"/>
        <v/>
      </c>
      <c r="U85" s="305" t="str">
        <f t="shared" si="13"/>
        <v/>
      </c>
      <c r="V85" s="304" t="str">
        <f t="shared" si="10"/>
        <v/>
      </c>
      <c r="W85" s="301" t="str">
        <f>IF(S85="","",VLOOKUP(S85,'G-1 All Habitats'!$B$2:$M$135,10,FALSE))</f>
        <v/>
      </c>
      <c r="X85" s="301" t="str">
        <f>IFERROR(VLOOKUP(W85,'G-1 All Habitats'!$V$3:$W$7,2,FALSE),"")</f>
        <v/>
      </c>
      <c r="Y85" s="142"/>
      <c r="Z85" s="305" t="str">
        <f>IFERROR(INDEX('G-8 Condition Look up'!$A$3:$H$135,MATCH(S85,'G-8 Condition Look up'!$A$3:$A$135,0),MATCH(Y85,'G-8 Condition Look up'!$A$3:$H$3,0)),"")</f>
        <v/>
      </c>
      <c r="AA85" s="105"/>
      <c r="AB85" s="320" t="str">
        <f>IF(AA85="","",IF(VLOOKUP(AA85,'G-3 Multipliers'!$L$3:$N$6,2,FALSE)=0,"Spatial Data Missing ⚠",VLOOKUP(AA85,'G-3 Multipliers'!$L$3:$N$6,2,FALSE)))</f>
        <v/>
      </c>
      <c r="AC85" s="305" t="str">
        <f>IF(AA85="","",IF(VLOOKUP(AA85,'G-3 Multipliers'!$L$3:$N$6,3,FALSE)=0,"Spatial Data Missing ⚠",VLOOKUP(AA85,'G-3 Multipliers'!$L$3:$N$6,3,FALSE)))</f>
        <v/>
      </c>
      <c r="AD85" s="317" t="str">
        <f t="shared" si="11"/>
        <v/>
      </c>
      <c r="AE85" s="142"/>
      <c r="AF85" s="142"/>
      <c r="AG85" s="301" t="str">
        <f t="shared" si="14"/>
        <v/>
      </c>
      <c r="AH85" s="302" t="str">
        <f t="shared" si="15"/>
        <v/>
      </c>
      <c r="AI85" s="306" t="str">
        <f>IF(AH85="Check Data ⚠","Check Data ⚠",IFERROR(VLOOKUP(AH85,'G-4 Temporal multipliers'!$A$4:$C$36,3,FALSE),""))</f>
        <v/>
      </c>
      <c r="AJ85" s="317" t="str">
        <f>IF(S85="","",VLOOKUP(S85,'G-3 Multipliers'!$A$2:$E$134,4,FALSE))</f>
        <v/>
      </c>
      <c r="AK85" s="301" t="str">
        <f t="shared" si="16"/>
        <v/>
      </c>
      <c r="AL85" s="301" t="str">
        <f t="shared" si="17"/>
        <v/>
      </c>
      <c r="AM85" s="305" t="str">
        <f>IFERROR(IF(F85="","",IF(AH85="Check Data ⚠","Check Data ⚠",VLOOKUP(AL85, 'G-3 Multipliers'!$P$2:$Q$6,2,FALSE))),"")</f>
        <v/>
      </c>
      <c r="AN85" s="728"/>
      <c r="AO85" s="335" t="str">
        <f>IF(AN85="","",IF(VLOOKUP(AN85,'G-3 Multipliers'!$S$3:$T$10,2,FALSE)=0,"Spatial Data Missing ⚠",VLOOKUP(AN85,'G-3 Multipliers'!$S$3:$T$10,2,FALSE)))</f>
        <v/>
      </c>
      <c r="AP85" s="295" t="str">
        <f t="shared" si="18"/>
        <v/>
      </c>
      <c r="AQ85" s="295" t="str">
        <f t="shared" si="19"/>
        <v/>
      </c>
      <c r="AR85" s="109"/>
      <c r="AS85" s="142"/>
      <c r="AT85" s="108"/>
      <c r="AU85" s="108"/>
      <c r="AY85" s="30" t="str">
        <f>IF(E85="","",IF(ISNA(VLOOKUP($E85,'D-1 Off-Site Habitat Baseline'!$D$1:$AV$258,4,FALSE)),"",(VLOOKUP($E85,'D-1 Off-Site Habitat Baseline'!$D$1:$AV$258,4,FALSE))))</f>
        <v/>
      </c>
    </row>
    <row r="86" spans="1:51" x14ac:dyDescent="0.25">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325" t="str">
        <f>'D-1 Off-Site Habitat Baseline'!AP85</f>
        <v/>
      </c>
      <c r="F86" s="289" t="str">
        <f>IF(E86="","",IF(ISNA(VLOOKUP($E86,'D-1 Off-Site Habitat Baseline'!$D$1:$ZZ$258,45,FALSE)),"",(VLOOKUP($E86,'D-1 Off-Site Habitat Baseline'!$D$1:$ZZ$258,45,FALSE))))</f>
        <v/>
      </c>
      <c r="G86" s="301" t="str">
        <f>IF(E86="","",IF(ISNA(VLOOKUP($E86,'D-1 Off-Site Habitat Baseline'!$D$1:$O$258,5,FALSE)),"",(VLOOKUP($E86,'D-1 Off-Site Habitat Baseline'!$D$1:$O$258,5,FALSE))))</f>
        <v/>
      </c>
      <c r="H86" s="301" t="str">
        <f>IF(E86="","",IF(ISNA(VLOOKUP($E86,'D-1 Off-Site Habitat Baseline'!$D$1:$O$258,6,FALSE)),"",(VLOOKUP($E86,'D-1 Off-Site Habitat Baseline'!$D$1:$O$258,6,FALSE))))</f>
        <v/>
      </c>
      <c r="I86" s="301" t="str">
        <f>IF(E86="","",IF(ISNA(VLOOKUP($E86,'D-1 Off-Site Habitat Baseline'!$D$1:$O$258,7,FALSE)),"",(VLOOKUP($E86,'D-1 Off-Site Habitat Baseline'!$D$1:$O$258,7,FALSE))))</f>
        <v/>
      </c>
      <c r="J86" s="301" t="str">
        <f>IF(E86="","",IF(ISNA(VLOOKUP($E86,'D-1 Off-Site Habitat Baseline'!$D$1:$O$258,8,FALSE)),"",(VLOOKUP($E86,'D-1 Off-Site Habitat Baseline'!$D$1:$O$258,8,FALSE))))</f>
        <v/>
      </c>
      <c r="K86" s="301" t="str">
        <f>IF(E86="","",IF(ISNA(VLOOKUP($E86,'D-1 Off-Site Habitat Baseline'!$D$1:$O$258,9,FALSE)),"",(VLOOKUP($E86,'D-1 Off-Site Habitat Baseline'!$D$1:$O$258,9,FALSE))))</f>
        <v/>
      </c>
      <c r="L86" s="301" t="str">
        <f>IF(E86="","",IF(ISNA(VLOOKUP($E86,'D-1 Off-Site Habitat Baseline'!$D$1:$O$258,11,FALSE)),"",(VLOOKUP($E86,'D-1 Off-Site Habitat Baseline'!$D$1:$O$258,11,FALSE))))</f>
        <v/>
      </c>
      <c r="M86" s="301" t="str">
        <f>IF(E86="","",IF(ISNA(VLOOKUP($E86,'D-1 Off-Site Habitat Baseline'!$D$1:$O$258,12,FALSE)),"",(VLOOKUP($E86,'D-1 Off-Site Habitat Baseline'!$D$1:$O$258,12,FALSE))))</f>
        <v/>
      </c>
      <c r="N86" s="301" t="str">
        <f>IF(E86="","",IF(ISNA(VLOOKUP($E86,'D-1 Off-Site Habitat Baseline'!$D$1:$AA$258,17,FALSE)),"",(VLOOKUP($E86,'D-1 Off-Site Habitat Baseline'!$D$1:$AA$258,17,FALSE))))</f>
        <v/>
      </c>
      <c r="O86" s="305" t="str">
        <f>IF(E86="","",IF(ISNA(VLOOKUP($E86,'D-1 Off-Site Habitat Baseline'!$D$1:$AA$258,13,FALSE)),"",(VLOOKUP($E86,'D-1 Off-Site Habitat Baseline'!$D$1:$AA$258,13,FALSE))))</f>
        <v/>
      </c>
      <c r="P86" s="152" t="str">
        <f>IFERROR(INDEX('G-1 All Habitats'!$AG$49:$AG$63,MATCH(Q86,'G-1 All Habitats'!$AF$27:$AF$41,0)),"")</f>
        <v/>
      </c>
      <c r="Q86" s="153"/>
      <c r="R86" s="154"/>
      <c r="S86" s="155" t="str">
        <f>IFERROR(INDEX('G-1 All Habitats'!$B$3:$B$135,MATCH(R86,'G-1 All Habitats'!$A$3:$A$135,0)),"")</f>
        <v/>
      </c>
      <c r="T86" s="289" t="str">
        <f t="shared" si="12"/>
        <v/>
      </c>
      <c r="U86" s="305" t="str">
        <f t="shared" si="13"/>
        <v/>
      </c>
      <c r="V86" s="304" t="str">
        <f t="shared" si="10"/>
        <v/>
      </c>
      <c r="W86" s="301" t="str">
        <f>IF(S86="","",VLOOKUP(S86,'G-1 All Habitats'!$B$2:$M$135,10,FALSE))</f>
        <v/>
      </c>
      <c r="X86" s="301" t="str">
        <f>IFERROR(VLOOKUP(W86,'G-1 All Habitats'!$V$3:$W$7,2,FALSE),"")</f>
        <v/>
      </c>
      <c r="Y86" s="142"/>
      <c r="Z86" s="305" t="str">
        <f>IFERROR(INDEX('G-8 Condition Look up'!$A$3:$H$135,MATCH(S86,'G-8 Condition Look up'!$A$3:$A$135,0),MATCH(Y86,'G-8 Condition Look up'!$A$3:$H$3,0)),"")</f>
        <v/>
      </c>
      <c r="AA86" s="105"/>
      <c r="AB86" s="320" t="str">
        <f>IF(AA86="","",IF(VLOOKUP(AA86,'G-3 Multipliers'!$L$3:$N$6,2,FALSE)=0,"Spatial Data Missing ⚠",VLOOKUP(AA86,'G-3 Multipliers'!$L$3:$N$6,2,FALSE)))</f>
        <v/>
      </c>
      <c r="AC86" s="305" t="str">
        <f>IF(AA86="","",IF(VLOOKUP(AA86,'G-3 Multipliers'!$L$3:$N$6,3,FALSE)=0,"Spatial Data Missing ⚠",VLOOKUP(AA86,'G-3 Multipliers'!$L$3:$N$6,3,FALSE)))</f>
        <v/>
      </c>
      <c r="AD86" s="317" t="str">
        <f t="shared" si="11"/>
        <v/>
      </c>
      <c r="AE86" s="142"/>
      <c r="AF86" s="142"/>
      <c r="AG86" s="301" t="str">
        <f t="shared" si="14"/>
        <v/>
      </c>
      <c r="AH86" s="302" t="str">
        <f t="shared" si="15"/>
        <v/>
      </c>
      <c r="AI86" s="306" t="str">
        <f>IF(AH86="Check Data ⚠","Check Data ⚠",IFERROR(VLOOKUP(AH86,'G-4 Temporal multipliers'!$A$4:$C$36,3,FALSE),""))</f>
        <v/>
      </c>
      <c r="AJ86" s="317" t="str">
        <f>IF(S86="","",VLOOKUP(S86,'G-3 Multipliers'!$A$2:$E$134,4,FALSE))</f>
        <v/>
      </c>
      <c r="AK86" s="301" t="str">
        <f t="shared" si="16"/>
        <v/>
      </c>
      <c r="AL86" s="301" t="str">
        <f t="shared" si="17"/>
        <v/>
      </c>
      <c r="AM86" s="305" t="str">
        <f>IFERROR(IF(F86="","",IF(AH86="Check Data ⚠","Check Data ⚠",VLOOKUP(AL86, 'G-3 Multipliers'!$P$2:$Q$6,2,FALSE))),"")</f>
        <v/>
      </c>
      <c r="AN86" s="728"/>
      <c r="AO86" s="335" t="str">
        <f>IF(AN86="","",IF(VLOOKUP(AN86,'G-3 Multipliers'!$S$3:$T$10,2,FALSE)=0,"Spatial Data Missing ⚠",VLOOKUP(AN86,'G-3 Multipliers'!$S$3:$T$10,2,FALSE)))</f>
        <v/>
      </c>
      <c r="AP86" s="295" t="str">
        <f t="shared" si="18"/>
        <v/>
      </c>
      <c r="AQ86" s="295" t="str">
        <f t="shared" si="19"/>
        <v/>
      </c>
      <c r="AR86" s="109"/>
      <c r="AS86" s="142"/>
      <c r="AT86" s="108"/>
      <c r="AU86" s="108"/>
      <c r="AY86" s="30" t="str">
        <f>IF(E86="","",IF(ISNA(VLOOKUP($E86,'D-1 Off-Site Habitat Baseline'!$D$1:$AV$258,4,FALSE)),"",(VLOOKUP($E86,'D-1 Off-Site Habitat Baseline'!$D$1:$AV$258,4,FALSE))))</f>
        <v/>
      </c>
    </row>
    <row r="87" spans="1:51" x14ac:dyDescent="0.25">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325" t="str">
        <f>'D-1 Off-Site Habitat Baseline'!AP86</f>
        <v/>
      </c>
      <c r="F87" s="289" t="str">
        <f>IF(E87="","",IF(ISNA(VLOOKUP($E87,'D-1 Off-Site Habitat Baseline'!$D$1:$ZZ$258,45,FALSE)),"",(VLOOKUP($E87,'D-1 Off-Site Habitat Baseline'!$D$1:$ZZ$258,45,FALSE))))</f>
        <v/>
      </c>
      <c r="G87" s="301" t="str">
        <f>IF(E87="","",IF(ISNA(VLOOKUP($E87,'D-1 Off-Site Habitat Baseline'!$D$1:$O$258,5,FALSE)),"",(VLOOKUP($E87,'D-1 Off-Site Habitat Baseline'!$D$1:$O$258,5,FALSE))))</f>
        <v/>
      </c>
      <c r="H87" s="301" t="str">
        <f>IF(E87="","",IF(ISNA(VLOOKUP($E87,'D-1 Off-Site Habitat Baseline'!$D$1:$O$258,6,FALSE)),"",(VLOOKUP($E87,'D-1 Off-Site Habitat Baseline'!$D$1:$O$258,6,FALSE))))</f>
        <v/>
      </c>
      <c r="I87" s="301" t="str">
        <f>IF(E87="","",IF(ISNA(VLOOKUP($E87,'D-1 Off-Site Habitat Baseline'!$D$1:$O$258,7,FALSE)),"",(VLOOKUP($E87,'D-1 Off-Site Habitat Baseline'!$D$1:$O$258,7,FALSE))))</f>
        <v/>
      </c>
      <c r="J87" s="301" t="str">
        <f>IF(E87="","",IF(ISNA(VLOOKUP($E87,'D-1 Off-Site Habitat Baseline'!$D$1:$O$258,8,FALSE)),"",(VLOOKUP($E87,'D-1 Off-Site Habitat Baseline'!$D$1:$O$258,8,FALSE))))</f>
        <v/>
      </c>
      <c r="K87" s="301" t="str">
        <f>IF(E87="","",IF(ISNA(VLOOKUP($E87,'D-1 Off-Site Habitat Baseline'!$D$1:$O$258,9,FALSE)),"",(VLOOKUP($E87,'D-1 Off-Site Habitat Baseline'!$D$1:$O$258,9,FALSE))))</f>
        <v/>
      </c>
      <c r="L87" s="301" t="str">
        <f>IF(E87="","",IF(ISNA(VLOOKUP($E87,'D-1 Off-Site Habitat Baseline'!$D$1:$O$258,11,FALSE)),"",(VLOOKUP($E87,'D-1 Off-Site Habitat Baseline'!$D$1:$O$258,11,FALSE))))</f>
        <v/>
      </c>
      <c r="M87" s="301" t="str">
        <f>IF(E87="","",IF(ISNA(VLOOKUP($E87,'D-1 Off-Site Habitat Baseline'!$D$1:$O$258,12,FALSE)),"",(VLOOKUP($E87,'D-1 Off-Site Habitat Baseline'!$D$1:$O$258,12,FALSE))))</f>
        <v/>
      </c>
      <c r="N87" s="301" t="str">
        <f>IF(E87="","",IF(ISNA(VLOOKUP($E87,'D-1 Off-Site Habitat Baseline'!$D$1:$AA$258,17,FALSE)),"",(VLOOKUP($E87,'D-1 Off-Site Habitat Baseline'!$D$1:$AA$258,17,FALSE))))</f>
        <v/>
      </c>
      <c r="O87" s="305" t="str">
        <f>IF(E87="","",IF(ISNA(VLOOKUP($E87,'D-1 Off-Site Habitat Baseline'!$D$1:$AA$258,13,FALSE)),"",(VLOOKUP($E87,'D-1 Off-Site Habitat Baseline'!$D$1:$AA$258,13,FALSE))))</f>
        <v/>
      </c>
      <c r="P87" s="152" t="str">
        <f>IFERROR(INDEX('G-1 All Habitats'!$AG$49:$AG$63,MATCH(Q87,'G-1 All Habitats'!$AF$27:$AF$41,0)),"")</f>
        <v/>
      </c>
      <c r="Q87" s="153"/>
      <c r="R87" s="154"/>
      <c r="S87" s="155" t="str">
        <f>IFERROR(INDEX('G-1 All Habitats'!$B$3:$B$135,MATCH(R87,'G-1 All Habitats'!$A$3:$A$135,0)),"")</f>
        <v/>
      </c>
      <c r="T87" s="289" t="str">
        <f t="shared" si="12"/>
        <v/>
      </c>
      <c r="U87" s="305" t="str">
        <f t="shared" si="13"/>
        <v/>
      </c>
      <c r="V87" s="304" t="str">
        <f t="shared" si="10"/>
        <v/>
      </c>
      <c r="W87" s="301" t="str">
        <f>IF(S87="","",VLOOKUP(S87,'G-1 All Habitats'!$B$2:$M$135,10,FALSE))</f>
        <v/>
      </c>
      <c r="X87" s="301" t="str">
        <f>IFERROR(VLOOKUP(W87,'G-1 All Habitats'!$V$3:$W$7,2,FALSE),"")</f>
        <v/>
      </c>
      <c r="Y87" s="142"/>
      <c r="Z87" s="305" t="str">
        <f>IFERROR(INDEX('G-8 Condition Look up'!$A$3:$H$135,MATCH(S87,'G-8 Condition Look up'!$A$3:$A$135,0),MATCH(Y87,'G-8 Condition Look up'!$A$3:$H$3,0)),"")</f>
        <v/>
      </c>
      <c r="AA87" s="105"/>
      <c r="AB87" s="320" t="str">
        <f>IF(AA87="","",IF(VLOOKUP(AA87,'G-3 Multipliers'!$L$3:$N$6,2,FALSE)=0,"Spatial Data Missing ⚠",VLOOKUP(AA87,'G-3 Multipliers'!$L$3:$N$6,2,FALSE)))</f>
        <v/>
      </c>
      <c r="AC87" s="305" t="str">
        <f>IF(AA87="","",IF(VLOOKUP(AA87,'G-3 Multipliers'!$L$3:$N$6,3,FALSE)=0,"Spatial Data Missing ⚠",VLOOKUP(AA87,'G-3 Multipliers'!$L$3:$N$6,3,FALSE)))</f>
        <v/>
      </c>
      <c r="AD87" s="317" t="str">
        <f t="shared" si="11"/>
        <v/>
      </c>
      <c r="AE87" s="142"/>
      <c r="AF87" s="142"/>
      <c r="AG87" s="301" t="str">
        <f t="shared" si="14"/>
        <v/>
      </c>
      <c r="AH87" s="302" t="str">
        <f t="shared" si="15"/>
        <v/>
      </c>
      <c r="AI87" s="306" t="str">
        <f>IF(AH87="Check Data ⚠","Check Data ⚠",IFERROR(VLOOKUP(AH87,'G-4 Temporal multipliers'!$A$4:$C$36,3,FALSE),""))</f>
        <v/>
      </c>
      <c r="AJ87" s="317" t="str">
        <f>IF(S87="","",VLOOKUP(S87,'G-3 Multipliers'!$A$2:$E$134,4,FALSE))</f>
        <v/>
      </c>
      <c r="AK87" s="301" t="str">
        <f t="shared" si="16"/>
        <v/>
      </c>
      <c r="AL87" s="301" t="str">
        <f t="shared" si="17"/>
        <v/>
      </c>
      <c r="AM87" s="305" t="str">
        <f>IFERROR(IF(F87="","",IF(AH87="Check Data ⚠","Check Data ⚠",VLOOKUP(AL87, 'G-3 Multipliers'!$P$2:$Q$6,2,FALSE))),"")</f>
        <v/>
      </c>
      <c r="AN87" s="728"/>
      <c r="AO87" s="335" t="str">
        <f>IF(AN87="","",IF(VLOOKUP(AN87,'G-3 Multipliers'!$S$3:$T$10,2,FALSE)=0,"Spatial Data Missing ⚠",VLOOKUP(AN87,'G-3 Multipliers'!$S$3:$T$10,2,FALSE)))</f>
        <v/>
      </c>
      <c r="AP87" s="295" t="str">
        <f t="shared" si="18"/>
        <v/>
      </c>
      <c r="AQ87" s="295" t="str">
        <f t="shared" si="19"/>
        <v/>
      </c>
      <c r="AR87" s="109"/>
      <c r="AS87" s="142"/>
      <c r="AT87" s="108"/>
      <c r="AU87" s="108"/>
      <c r="AY87" s="30" t="str">
        <f>IF(E87="","",IF(ISNA(VLOOKUP($E87,'D-1 Off-Site Habitat Baseline'!$D$1:$AV$258,4,FALSE)),"",(VLOOKUP($E87,'D-1 Off-Site Habitat Baseline'!$D$1:$AV$258,4,FALSE))))</f>
        <v/>
      </c>
    </row>
    <row r="88" spans="1:51" x14ac:dyDescent="0.25">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325" t="str">
        <f>'D-1 Off-Site Habitat Baseline'!AP87</f>
        <v/>
      </c>
      <c r="F88" s="289" t="str">
        <f>IF(E88="","",IF(ISNA(VLOOKUP($E88,'D-1 Off-Site Habitat Baseline'!$D$1:$ZZ$258,45,FALSE)),"",(VLOOKUP($E88,'D-1 Off-Site Habitat Baseline'!$D$1:$ZZ$258,45,FALSE))))</f>
        <v/>
      </c>
      <c r="G88" s="301" t="str">
        <f>IF(E88="","",IF(ISNA(VLOOKUP($E88,'D-1 Off-Site Habitat Baseline'!$D$1:$O$258,5,FALSE)),"",(VLOOKUP($E88,'D-1 Off-Site Habitat Baseline'!$D$1:$O$258,5,FALSE))))</f>
        <v/>
      </c>
      <c r="H88" s="301" t="str">
        <f>IF(E88="","",IF(ISNA(VLOOKUP($E88,'D-1 Off-Site Habitat Baseline'!$D$1:$O$258,6,FALSE)),"",(VLOOKUP($E88,'D-1 Off-Site Habitat Baseline'!$D$1:$O$258,6,FALSE))))</f>
        <v/>
      </c>
      <c r="I88" s="301" t="str">
        <f>IF(E88="","",IF(ISNA(VLOOKUP($E88,'D-1 Off-Site Habitat Baseline'!$D$1:$O$258,7,FALSE)),"",(VLOOKUP($E88,'D-1 Off-Site Habitat Baseline'!$D$1:$O$258,7,FALSE))))</f>
        <v/>
      </c>
      <c r="J88" s="301" t="str">
        <f>IF(E88="","",IF(ISNA(VLOOKUP($E88,'D-1 Off-Site Habitat Baseline'!$D$1:$O$258,8,FALSE)),"",(VLOOKUP($E88,'D-1 Off-Site Habitat Baseline'!$D$1:$O$258,8,FALSE))))</f>
        <v/>
      </c>
      <c r="K88" s="301" t="str">
        <f>IF(E88="","",IF(ISNA(VLOOKUP($E88,'D-1 Off-Site Habitat Baseline'!$D$1:$O$258,9,FALSE)),"",(VLOOKUP($E88,'D-1 Off-Site Habitat Baseline'!$D$1:$O$258,9,FALSE))))</f>
        <v/>
      </c>
      <c r="L88" s="301" t="str">
        <f>IF(E88="","",IF(ISNA(VLOOKUP($E88,'D-1 Off-Site Habitat Baseline'!$D$1:$O$258,11,FALSE)),"",(VLOOKUP($E88,'D-1 Off-Site Habitat Baseline'!$D$1:$O$258,11,FALSE))))</f>
        <v/>
      </c>
      <c r="M88" s="301" t="str">
        <f>IF(E88="","",IF(ISNA(VLOOKUP($E88,'D-1 Off-Site Habitat Baseline'!$D$1:$O$258,12,FALSE)),"",(VLOOKUP($E88,'D-1 Off-Site Habitat Baseline'!$D$1:$O$258,12,FALSE))))</f>
        <v/>
      </c>
      <c r="N88" s="301" t="str">
        <f>IF(E88="","",IF(ISNA(VLOOKUP($E88,'D-1 Off-Site Habitat Baseline'!$D$1:$AA$258,17,FALSE)),"",(VLOOKUP($E88,'D-1 Off-Site Habitat Baseline'!$D$1:$AA$258,17,FALSE))))</f>
        <v/>
      </c>
      <c r="O88" s="305" t="str">
        <f>IF(E88="","",IF(ISNA(VLOOKUP($E88,'D-1 Off-Site Habitat Baseline'!$D$1:$AA$258,13,FALSE)),"",(VLOOKUP($E88,'D-1 Off-Site Habitat Baseline'!$D$1:$AA$258,13,FALSE))))</f>
        <v/>
      </c>
      <c r="P88" s="152" t="str">
        <f>IFERROR(INDEX('G-1 All Habitats'!$AG$49:$AG$63,MATCH(Q88,'G-1 All Habitats'!$AF$27:$AF$41,0)),"")</f>
        <v/>
      </c>
      <c r="Q88" s="153"/>
      <c r="R88" s="154"/>
      <c r="S88" s="155" t="str">
        <f>IFERROR(INDEX('G-1 All Habitats'!$B$3:$B$135,MATCH(R88,'G-1 All Habitats'!$A$3:$A$135,0)),"")</f>
        <v/>
      </c>
      <c r="T88" s="289" t="str">
        <f t="shared" si="12"/>
        <v/>
      </c>
      <c r="U88" s="305" t="str">
        <f t="shared" si="13"/>
        <v/>
      </c>
      <c r="V88" s="304" t="str">
        <f t="shared" si="10"/>
        <v/>
      </c>
      <c r="W88" s="301" t="str">
        <f>IF(S88="","",VLOOKUP(S88,'G-1 All Habitats'!$B$2:$M$135,10,FALSE))</f>
        <v/>
      </c>
      <c r="X88" s="301" t="str">
        <f>IFERROR(VLOOKUP(W88,'G-1 All Habitats'!$V$3:$W$7,2,FALSE),"")</f>
        <v/>
      </c>
      <c r="Y88" s="142"/>
      <c r="Z88" s="305" t="str">
        <f>IFERROR(INDEX('G-8 Condition Look up'!$A$3:$H$135,MATCH(S88,'G-8 Condition Look up'!$A$3:$A$135,0),MATCH(Y88,'G-8 Condition Look up'!$A$3:$H$3,0)),"")</f>
        <v/>
      </c>
      <c r="AA88" s="105"/>
      <c r="AB88" s="320" t="str">
        <f>IF(AA88="","",IF(VLOOKUP(AA88,'G-3 Multipliers'!$L$3:$N$6,2,FALSE)=0,"Spatial Data Missing ⚠",VLOOKUP(AA88,'G-3 Multipliers'!$L$3:$N$6,2,FALSE)))</f>
        <v/>
      </c>
      <c r="AC88" s="305" t="str">
        <f>IF(AA88="","",IF(VLOOKUP(AA88,'G-3 Multipliers'!$L$3:$N$6,3,FALSE)=0,"Spatial Data Missing ⚠",VLOOKUP(AA88,'G-3 Multipliers'!$L$3:$N$6,3,FALSE)))</f>
        <v/>
      </c>
      <c r="AD88" s="317" t="str">
        <f t="shared" si="11"/>
        <v/>
      </c>
      <c r="AE88" s="142"/>
      <c r="AF88" s="142"/>
      <c r="AG88" s="301" t="str">
        <f t="shared" si="14"/>
        <v/>
      </c>
      <c r="AH88" s="302" t="str">
        <f t="shared" si="15"/>
        <v/>
      </c>
      <c r="AI88" s="306" t="str">
        <f>IF(AH88="Check Data ⚠","Check Data ⚠",IFERROR(VLOOKUP(AH88,'G-4 Temporal multipliers'!$A$4:$C$36,3,FALSE),""))</f>
        <v/>
      </c>
      <c r="AJ88" s="317" t="str">
        <f>IF(S88="","",VLOOKUP(S88,'G-3 Multipliers'!$A$2:$E$134,4,FALSE))</f>
        <v/>
      </c>
      <c r="AK88" s="301" t="str">
        <f t="shared" si="16"/>
        <v/>
      </c>
      <c r="AL88" s="301" t="str">
        <f t="shared" si="17"/>
        <v/>
      </c>
      <c r="AM88" s="305" t="str">
        <f>IFERROR(IF(F88="","",IF(AH88="Check Data ⚠","Check Data ⚠",VLOOKUP(AL88, 'G-3 Multipliers'!$P$2:$Q$6,2,FALSE))),"")</f>
        <v/>
      </c>
      <c r="AN88" s="728"/>
      <c r="AO88" s="335" t="str">
        <f>IF(AN88="","",IF(VLOOKUP(AN88,'G-3 Multipliers'!$S$3:$T$10,2,FALSE)=0,"Spatial Data Missing ⚠",VLOOKUP(AN88,'G-3 Multipliers'!$S$3:$T$10,2,FALSE)))</f>
        <v/>
      </c>
      <c r="AP88" s="295" t="str">
        <f t="shared" si="18"/>
        <v/>
      </c>
      <c r="AQ88" s="295" t="str">
        <f t="shared" si="19"/>
        <v/>
      </c>
      <c r="AR88" s="109"/>
      <c r="AS88" s="142"/>
      <c r="AT88" s="108"/>
      <c r="AU88" s="108"/>
      <c r="AY88" s="30" t="str">
        <f>IF(E88="","",IF(ISNA(VLOOKUP($E88,'D-1 Off-Site Habitat Baseline'!$D$1:$AV$258,4,FALSE)),"",(VLOOKUP($E88,'D-1 Off-Site Habitat Baseline'!$D$1:$AV$258,4,FALSE))))</f>
        <v/>
      </c>
    </row>
    <row r="89" spans="1:51" x14ac:dyDescent="0.25">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325" t="str">
        <f>'D-1 Off-Site Habitat Baseline'!AP88</f>
        <v/>
      </c>
      <c r="F89" s="289" t="str">
        <f>IF(E89="","",IF(ISNA(VLOOKUP($E89,'D-1 Off-Site Habitat Baseline'!$D$1:$ZZ$258,45,FALSE)),"",(VLOOKUP($E89,'D-1 Off-Site Habitat Baseline'!$D$1:$ZZ$258,45,FALSE))))</f>
        <v/>
      </c>
      <c r="G89" s="301" t="str">
        <f>IF(E89="","",IF(ISNA(VLOOKUP($E89,'D-1 Off-Site Habitat Baseline'!$D$1:$O$258,5,FALSE)),"",(VLOOKUP($E89,'D-1 Off-Site Habitat Baseline'!$D$1:$O$258,5,FALSE))))</f>
        <v/>
      </c>
      <c r="H89" s="301" t="str">
        <f>IF(E89="","",IF(ISNA(VLOOKUP($E89,'D-1 Off-Site Habitat Baseline'!$D$1:$O$258,6,FALSE)),"",(VLOOKUP($E89,'D-1 Off-Site Habitat Baseline'!$D$1:$O$258,6,FALSE))))</f>
        <v/>
      </c>
      <c r="I89" s="301" t="str">
        <f>IF(E89="","",IF(ISNA(VLOOKUP($E89,'D-1 Off-Site Habitat Baseline'!$D$1:$O$258,7,FALSE)),"",(VLOOKUP($E89,'D-1 Off-Site Habitat Baseline'!$D$1:$O$258,7,FALSE))))</f>
        <v/>
      </c>
      <c r="J89" s="301" t="str">
        <f>IF(E89="","",IF(ISNA(VLOOKUP($E89,'D-1 Off-Site Habitat Baseline'!$D$1:$O$258,8,FALSE)),"",(VLOOKUP($E89,'D-1 Off-Site Habitat Baseline'!$D$1:$O$258,8,FALSE))))</f>
        <v/>
      </c>
      <c r="K89" s="301" t="str">
        <f>IF(E89="","",IF(ISNA(VLOOKUP($E89,'D-1 Off-Site Habitat Baseline'!$D$1:$O$258,9,FALSE)),"",(VLOOKUP($E89,'D-1 Off-Site Habitat Baseline'!$D$1:$O$258,9,FALSE))))</f>
        <v/>
      </c>
      <c r="L89" s="301" t="str">
        <f>IF(E89="","",IF(ISNA(VLOOKUP($E89,'D-1 Off-Site Habitat Baseline'!$D$1:$O$258,11,FALSE)),"",(VLOOKUP($E89,'D-1 Off-Site Habitat Baseline'!$D$1:$O$258,11,FALSE))))</f>
        <v/>
      </c>
      <c r="M89" s="301" t="str">
        <f>IF(E89="","",IF(ISNA(VLOOKUP($E89,'D-1 Off-Site Habitat Baseline'!$D$1:$O$258,12,FALSE)),"",(VLOOKUP($E89,'D-1 Off-Site Habitat Baseline'!$D$1:$O$258,12,FALSE))))</f>
        <v/>
      </c>
      <c r="N89" s="301" t="str">
        <f>IF(E89="","",IF(ISNA(VLOOKUP($E89,'D-1 Off-Site Habitat Baseline'!$D$1:$AA$258,17,FALSE)),"",(VLOOKUP($E89,'D-1 Off-Site Habitat Baseline'!$D$1:$AA$258,17,FALSE))))</f>
        <v/>
      </c>
      <c r="O89" s="305" t="str">
        <f>IF(E89="","",IF(ISNA(VLOOKUP($E89,'D-1 Off-Site Habitat Baseline'!$D$1:$AA$258,13,FALSE)),"",(VLOOKUP($E89,'D-1 Off-Site Habitat Baseline'!$D$1:$AA$258,13,FALSE))))</f>
        <v/>
      </c>
      <c r="P89" s="152" t="str">
        <f>IFERROR(INDEX('G-1 All Habitats'!$AG$49:$AG$63,MATCH(Q89,'G-1 All Habitats'!$AF$27:$AF$41,0)),"")</f>
        <v/>
      </c>
      <c r="Q89" s="153"/>
      <c r="R89" s="154"/>
      <c r="S89" s="155" t="str">
        <f>IFERROR(INDEX('G-1 All Habitats'!$B$3:$B$135,MATCH(R89,'G-1 All Habitats'!$A$3:$A$135,0)),"")</f>
        <v/>
      </c>
      <c r="T89" s="289" t="str">
        <f t="shared" si="12"/>
        <v/>
      </c>
      <c r="U89" s="305" t="str">
        <f t="shared" si="13"/>
        <v/>
      </c>
      <c r="V89" s="304" t="str">
        <f t="shared" si="10"/>
        <v/>
      </c>
      <c r="W89" s="301" t="str">
        <f>IF(S89="","",VLOOKUP(S89,'G-1 All Habitats'!$B$2:$M$135,10,FALSE))</f>
        <v/>
      </c>
      <c r="X89" s="301" t="str">
        <f>IFERROR(VLOOKUP(W89,'G-1 All Habitats'!$V$3:$W$7,2,FALSE),"")</f>
        <v/>
      </c>
      <c r="Y89" s="142"/>
      <c r="Z89" s="305" t="str">
        <f>IFERROR(INDEX('G-8 Condition Look up'!$A$3:$H$135,MATCH(S89,'G-8 Condition Look up'!$A$3:$A$135,0),MATCH(Y89,'G-8 Condition Look up'!$A$3:$H$3,0)),"")</f>
        <v/>
      </c>
      <c r="AA89" s="105"/>
      <c r="AB89" s="320" t="str">
        <f>IF(AA89="","",IF(VLOOKUP(AA89,'G-3 Multipliers'!$L$3:$N$6,2,FALSE)=0,"Spatial Data Missing ⚠",VLOOKUP(AA89,'G-3 Multipliers'!$L$3:$N$6,2,FALSE)))</f>
        <v/>
      </c>
      <c r="AC89" s="305" t="str">
        <f>IF(AA89="","",IF(VLOOKUP(AA89,'G-3 Multipliers'!$L$3:$N$6,3,FALSE)=0,"Spatial Data Missing ⚠",VLOOKUP(AA89,'G-3 Multipliers'!$L$3:$N$6,3,FALSE)))</f>
        <v/>
      </c>
      <c r="AD89" s="317" t="str">
        <f t="shared" si="11"/>
        <v/>
      </c>
      <c r="AE89" s="142"/>
      <c r="AF89" s="142"/>
      <c r="AG89" s="301" t="str">
        <f t="shared" si="14"/>
        <v/>
      </c>
      <c r="AH89" s="302" t="str">
        <f t="shared" si="15"/>
        <v/>
      </c>
      <c r="AI89" s="306" t="str">
        <f>IF(AH89="Check Data ⚠","Check Data ⚠",IFERROR(VLOOKUP(AH89,'G-4 Temporal multipliers'!$A$4:$C$36,3,FALSE),""))</f>
        <v/>
      </c>
      <c r="AJ89" s="317" t="str">
        <f>IF(S89="","",VLOOKUP(S89,'G-3 Multipliers'!$A$2:$E$134,4,FALSE))</f>
        <v/>
      </c>
      <c r="AK89" s="301" t="str">
        <f t="shared" si="16"/>
        <v/>
      </c>
      <c r="AL89" s="301" t="str">
        <f t="shared" si="17"/>
        <v/>
      </c>
      <c r="AM89" s="305" t="str">
        <f>IFERROR(IF(F89="","",IF(AH89="Check Data ⚠","Check Data ⚠",VLOOKUP(AL89, 'G-3 Multipliers'!$P$2:$Q$6,2,FALSE))),"")</f>
        <v/>
      </c>
      <c r="AN89" s="728"/>
      <c r="AO89" s="335" t="str">
        <f>IF(AN89="","",IF(VLOOKUP(AN89,'G-3 Multipliers'!$S$3:$T$10,2,FALSE)=0,"Spatial Data Missing ⚠",VLOOKUP(AN89,'G-3 Multipliers'!$S$3:$T$10,2,FALSE)))</f>
        <v/>
      </c>
      <c r="AP89" s="295" t="str">
        <f t="shared" si="18"/>
        <v/>
      </c>
      <c r="AQ89" s="295" t="str">
        <f t="shared" si="19"/>
        <v/>
      </c>
      <c r="AR89" s="109"/>
      <c r="AS89" s="142"/>
      <c r="AT89" s="108"/>
      <c r="AU89" s="108"/>
      <c r="AY89" s="30" t="str">
        <f>IF(E89="","",IF(ISNA(VLOOKUP($E89,'D-1 Off-Site Habitat Baseline'!$D$1:$AV$258,4,FALSE)),"",(VLOOKUP($E89,'D-1 Off-Site Habitat Baseline'!$D$1:$AV$258,4,FALSE))))</f>
        <v/>
      </c>
    </row>
    <row r="90" spans="1:51" x14ac:dyDescent="0.25">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325" t="str">
        <f>'D-1 Off-Site Habitat Baseline'!AP89</f>
        <v/>
      </c>
      <c r="F90" s="289" t="str">
        <f>IF(E90="","",IF(ISNA(VLOOKUP($E90,'D-1 Off-Site Habitat Baseline'!$D$1:$ZZ$258,45,FALSE)),"",(VLOOKUP($E90,'D-1 Off-Site Habitat Baseline'!$D$1:$ZZ$258,45,FALSE))))</f>
        <v/>
      </c>
      <c r="G90" s="301" t="str">
        <f>IF(E90="","",IF(ISNA(VLOOKUP($E90,'D-1 Off-Site Habitat Baseline'!$D$1:$O$258,5,FALSE)),"",(VLOOKUP($E90,'D-1 Off-Site Habitat Baseline'!$D$1:$O$258,5,FALSE))))</f>
        <v/>
      </c>
      <c r="H90" s="301" t="str">
        <f>IF(E90="","",IF(ISNA(VLOOKUP($E90,'D-1 Off-Site Habitat Baseline'!$D$1:$O$258,6,FALSE)),"",(VLOOKUP($E90,'D-1 Off-Site Habitat Baseline'!$D$1:$O$258,6,FALSE))))</f>
        <v/>
      </c>
      <c r="I90" s="301" t="str">
        <f>IF(E90="","",IF(ISNA(VLOOKUP($E90,'D-1 Off-Site Habitat Baseline'!$D$1:$O$258,7,FALSE)),"",(VLOOKUP($E90,'D-1 Off-Site Habitat Baseline'!$D$1:$O$258,7,FALSE))))</f>
        <v/>
      </c>
      <c r="J90" s="301" t="str">
        <f>IF(E90="","",IF(ISNA(VLOOKUP($E90,'D-1 Off-Site Habitat Baseline'!$D$1:$O$258,8,FALSE)),"",(VLOOKUP($E90,'D-1 Off-Site Habitat Baseline'!$D$1:$O$258,8,FALSE))))</f>
        <v/>
      </c>
      <c r="K90" s="301" t="str">
        <f>IF(E90="","",IF(ISNA(VLOOKUP($E90,'D-1 Off-Site Habitat Baseline'!$D$1:$O$258,9,FALSE)),"",(VLOOKUP($E90,'D-1 Off-Site Habitat Baseline'!$D$1:$O$258,9,FALSE))))</f>
        <v/>
      </c>
      <c r="L90" s="301" t="str">
        <f>IF(E90="","",IF(ISNA(VLOOKUP($E90,'D-1 Off-Site Habitat Baseline'!$D$1:$O$258,11,FALSE)),"",(VLOOKUP($E90,'D-1 Off-Site Habitat Baseline'!$D$1:$O$258,11,FALSE))))</f>
        <v/>
      </c>
      <c r="M90" s="301" t="str">
        <f>IF(E90="","",IF(ISNA(VLOOKUP($E90,'D-1 Off-Site Habitat Baseline'!$D$1:$O$258,12,FALSE)),"",(VLOOKUP($E90,'D-1 Off-Site Habitat Baseline'!$D$1:$O$258,12,FALSE))))</f>
        <v/>
      </c>
      <c r="N90" s="301" t="str">
        <f>IF(E90="","",IF(ISNA(VLOOKUP($E90,'D-1 Off-Site Habitat Baseline'!$D$1:$AA$258,17,FALSE)),"",(VLOOKUP($E90,'D-1 Off-Site Habitat Baseline'!$D$1:$AA$258,17,FALSE))))</f>
        <v/>
      </c>
      <c r="O90" s="305" t="str">
        <f>IF(E90="","",IF(ISNA(VLOOKUP($E90,'D-1 Off-Site Habitat Baseline'!$D$1:$AA$258,13,FALSE)),"",(VLOOKUP($E90,'D-1 Off-Site Habitat Baseline'!$D$1:$AA$258,13,FALSE))))</f>
        <v/>
      </c>
      <c r="P90" s="152" t="str">
        <f>IFERROR(INDEX('G-1 All Habitats'!$AG$49:$AG$63,MATCH(Q90,'G-1 All Habitats'!$AF$27:$AF$41,0)),"")</f>
        <v/>
      </c>
      <c r="Q90" s="153"/>
      <c r="R90" s="154"/>
      <c r="S90" s="155" t="str">
        <f>IFERROR(INDEX('G-1 All Habitats'!$B$3:$B$135,MATCH(R90,'G-1 All Habitats'!$A$3:$A$135,0)),"")</f>
        <v/>
      </c>
      <c r="T90" s="289" t="str">
        <f t="shared" si="12"/>
        <v/>
      </c>
      <c r="U90" s="305" t="str">
        <f t="shared" si="13"/>
        <v/>
      </c>
      <c r="V90" s="304" t="str">
        <f t="shared" si="10"/>
        <v/>
      </c>
      <c r="W90" s="301" t="str">
        <f>IF(S90="","",VLOOKUP(S90,'G-1 All Habitats'!$B$2:$M$135,10,FALSE))</f>
        <v/>
      </c>
      <c r="X90" s="301" t="str">
        <f>IFERROR(VLOOKUP(W90,'G-1 All Habitats'!$V$3:$W$7,2,FALSE),"")</f>
        <v/>
      </c>
      <c r="Y90" s="142"/>
      <c r="Z90" s="305" t="str">
        <f>IFERROR(INDEX('G-8 Condition Look up'!$A$3:$H$135,MATCH(S90,'G-8 Condition Look up'!$A$3:$A$135,0),MATCH(Y90,'G-8 Condition Look up'!$A$3:$H$3,0)),"")</f>
        <v/>
      </c>
      <c r="AA90" s="105"/>
      <c r="AB90" s="320" t="str">
        <f>IF(AA90="","",IF(VLOOKUP(AA90,'G-3 Multipliers'!$L$3:$N$6,2,FALSE)=0,"Spatial Data Missing ⚠",VLOOKUP(AA90,'G-3 Multipliers'!$L$3:$N$6,2,FALSE)))</f>
        <v/>
      </c>
      <c r="AC90" s="305" t="str">
        <f>IF(AA90="","",IF(VLOOKUP(AA90,'G-3 Multipliers'!$L$3:$N$6,3,FALSE)=0,"Spatial Data Missing ⚠",VLOOKUP(AA90,'G-3 Multipliers'!$L$3:$N$6,3,FALSE)))</f>
        <v/>
      </c>
      <c r="AD90" s="317" t="str">
        <f t="shared" si="11"/>
        <v/>
      </c>
      <c r="AE90" s="142"/>
      <c r="AF90" s="142"/>
      <c r="AG90" s="301" t="str">
        <f t="shared" si="14"/>
        <v/>
      </c>
      <c r="AH90" s="302" t="str">
        <f t="shared" si="15"/>
        <v/>
      </c>
      <c r="AI90" s="306" t="str">
        <f>IF(AH90="Check Data ⚠","Check Data ⚠",IFERROR(VLOOKUP(AH90,'G-4 Temporal multipliers'!$A$4:$C$36,3,FALSE),""))</f>
        <v/>
      </c>
      <c r="AJ90" s="317" t="str">
        <f>IF(S90="","",VLOOKUP(S90,'G-3 Multipliers'!$A$2:$E$134,4,FALSE))</f>
        <v/>
      </c>
      <c r="AK90" s="301" t="str">
        <f t="shared" si="16"/>
        <v/>
      </c>
      <c r="AL90" s="301" t="str">
        <f t="shared" si="17"/>
        <v/>
      </c>
      <c r="AM90" s="305" t="str">
        <f>IFERROR(IF(F90="","",IF(AH90="Check Data ⚠","Check Data ⚠",VLOOKUP(AL90, 'G-3 Multipliers'!$P$2:$Q$6,2,FALSE))),"")</f>
        <v/>
      </c>
      <c r="AN90" s="728"/>
      <c r="AO90" s="335" t="str">
        <f>IF(AN90="","",IF(VLOOKUP(AN90,'G-3 Multipliers'!$S$3:$T$10,2,FALSE)=0,"Spatial Data Missing ⚠",VLOOKUP(AN90,'G-3 Multipliers'!$S$3:$T$10,2,FALSE)))</f>
        <v/>
      </c>
      <c r="AP90" s="295" t="str">
        <f t="shared" si="18"/>
        <v/>
      </c>
      <c r="AQ90" s="295" t="str">
        <f t="shared" si="19"/>
        <v/>
      </c>
      <c r="AR90" s="109"/>
      <c r="AS90" s="142"/>
      <c r="AT90" s="108"/>
      <c r="AU90" s="108"/>
      <c r="AY90" s="30" t="str">
        <f>IF(E90="","",IF(ISNA(VLOOKUP($E90,'D-1 Off-Site Habitat Baseline'!$D$1:$AV$258,4,FALSE)),"",(VLOOKUP($E90,'D-1 Off-Site Habitat Baseline'!$D$1:$AV$258,4,FALSE))))</f>
        <v/>
      </c>
    </row>
    <row r="91" spans="1:51" x14ac:dyDescent="0.25">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325" t="str">
        <f>'D-1 Off-Site Habitat Baseline'!AP90</f>
        <v/>
      </c>
      <c r="F91" s="289" t="str">
        <f>IF(E91="","",IF(ISNA(VLOOKUP($E91,'D-1 Off-Site Habitat Baseline'!$D$1:$ZZ$258,45,FALSE)),"",(VLOOKUP($E91,'D-1 Off-Site Habitat Baseline'!$D$1:$ZZ$258,45,FALSE))))</f>
        <v/>
      </c>
      <c r="G91" s="301" t="str">
        <f>IF(E91="","",IF(ISNA(VLOOKUP($E91,'D-1 Off-Site Habitat Baseline'!$D$1:$O$258,5,FALSE)),"",(VLOOKUP($E91,'D-1 Off-Site Habitat Baseline'!$D$1:$O$258,5,FALSE))))</f>
        <v/>
      </c>
      <c r="H91" s="301" t="str">
        <f>IF(E91="","",IF(ISNA(VLOOKUP($E91,'D-1 Off-Site Habitat Baseline'!$D$1:$O$258,6,FALSE)),"",(VLOOKUP($E91,'D-1 Off-Site Habitat Baseline'!$D$1:$O$258,6,FALSE))))</f>
        <v/>
      </c>
      <c r="I91" s="301" t="str">
        <f>IF(E91="","",IF(ISNA(VLOOKUP($E91,'D-1 Off-Site Habitat Baseline'!$D$1:$O$258,7,FALSE)),"",(VLOOKUP($E91,'D-1 Off-Site Habitat Baseline'!$D$1:$O$258,7,FALSE))))</f>
        <v/>
      </c>
      <c r="J91" s="301" t="str">
        <f>IF(E91="","",IF(ISNA(VLOOKUP($E91,'D-1 Off-Site Habitat Baseline'!$D$1:$O$258,8,FALSE)),"",(VLOOKUP($E91,'D-1 Off-Site Habitat Baseline'!$D$1:$O$258,8,FALSE))))</f>
        <v/>
      </c>
      <c r="K91" s="301" t="str">
        <f>IF(E91="","",IF(ISNA(VLOOKUP($E91,'D-1 Off-Site Habitat Baseline'!$D$1:$O$258,9,FALSE)),"",(VLOOKUP($E91,'D-1 Off-Site Habitat Baseline'!$D$1:$O$258,9,FALSE))))</f>
        <v/>
      </c>
      <c r="L91" s="301" t="str">
        <f>IF(E91="","",IF(ISNA(VLOOKUP($E91,'D-1 Off-Site Habitat Baseline'!$D$1:$O$258,11,FALSE)),"",(VLOOKUP($E91,'D-1 Off-Site Habitat Baseline'!$D$1:$O$258,11,FALSE))))</f>
        <v/>
      </c>
      <c r="M91" s="301" t="str">
        <f>IF(E91="","",IF(ISNA(VLOOKUP($E91,'D-1 Off-Site Habitat Baseline'!$D$1:$O$258,12,FALSE)),"",(VLOOKUP($E91,'D-1 Off-Site Habitat Baseline'!$D$1:$O$258,12,FALSE))))</f>
        <v/>
      </c>
      <c r="N91" s="301" t="str">
        <f>IF(E91="","",IF(ISNA(VLOOKUP($E91,'D-1 Off-Site Habitat Baseline'!$D$1:$AA$258,17,FALSE)),"",(VLOOKUP($E91,'D-1 Off-Site Habitat Baseline'!$D$1:$AA$258,17,FALSE))))</f>
        <v/>
      </c>
      <c r="O91" s="305" t="str">
        <f>IF(E91="","",IF(ISNA(VLOOKUP($E91,'D-1 Off-Site Habitat Baseline'!$D$1:$AA$258,13,FALSE)),"",(VLOOKUP($E91,'D-1 Off-Site Habitat Baseline'!$D$1:$AA$258,13,FALSE))))</f>
        <v/>
      </c>
      <c r="P91" s="152" t="str">
        <f>IFERROR(INDEX('G-1 All Habitats'!$AG$49:$AG$63,MATCH(Q91,'G-1 All Habitats'!$AF$27:$AF$41,0)),"")</f>
        <v/>
      </c>
      <c r="Q91" s="153"/>
      <c r="R91" s="154"/>
      <c r="S91" s="155" t="str">
        <f>IFERROR(INDEX('G-1 All Habitats'!$B$3:$B$135,MATCH(R91,'G-1 All Habitats'!$A$3:$A$135,0)),"")</f>
        <v/>
      </c>
      <c r="T91" s="289" t="str">
        <f t="shared" si="12"/>
        <v/>
      </c>
      <c r="U91" s="305" t="str">
        <f t="shared" si="13"/>
        <v/>
      </c>
      <c r="V91" s="304" t="str">
        <f t="shared" si="10"/>
        <v/>
      </c>
      <c r="W91" s="301" t="str">
        <f>IF(S91="","",VLOOKUP(S91,'G-1 All Habitats'!$B$2:$M$135,10,FALSE))</f>
        <v/>
      </c>
      <c r="X91" s="301" t="str">
        <f>IFERROR(VLOOKUP(W91,'G-1 All Habitats'!$V$3:$W$7,2,FALSE),"")</f>
        <v/>
      </c>
      <c r="Y91" s="142"/>
      <c r="Z91" s="305" t="str">
        <f>IFERROR(INDEX('G-8 Condition Look up'!$A$3:$H$135,MATCH(S91,'G-8 Condition Look up'!$A$3:$A$135,0),MATCH(Y91,'G-8 Condition Look up'!$A$3:$H$3,0)),"")</f>
        <v/>
      </c>
      <c r="AA91" s="105"/>
      <c r="AB91" s="320" t="str">
        <f>IF(AA91="","",IF(VLOOKUP(AA91,'G-3 Multipliers'!$L$3:$N$6,2,FALSE)=0,"Spatial Data Missing ⚠",VLOOKUP(AA91,'G-3 Multipliers'!$L$3:$N$6,2,FALSE)))</f>
        <v/>
      </c>
      <c r="AC91" s="305" t="str">
        <f>IF(AA91="","",IF(VLOOKUP(AA91,'G-3 Multipliers'!$L$3:$N$6,3,FALSE)=0,"Spatial Data Missing ⚠",VLOOKUP(AA91,'G-3 Multipliers'!$L$3:$N$6,3,FALSE)))</f>
        <v/>
      </c>
      <c r="AD91" s="317" t="str">
        <f t="shared" si="11"/>
        <v/>
      </c>
      <c r="AE91" s="142"/>
      <c r="AF91" s="142"/>
      <c r="AG91" s="301" t="str">
        <f t="shared" si="14"/>
        <v/>
      </c>
      <c r="AH91" s="302" t="str">
        <f t="shared" si="15"/>
        <v/>
      </c>
      <c r="AI91" s="306" t="str">
        <f>IF(AH91="Check Data ⚠","Check Data ⚠",IFERROR(VLOOKUP(AH91,'G-4 Temporal multipliers'!$A$4:$C$36,3,FALSE),""))</f>
        <v/>
      </c>
      <c r="AJ91" s="317" t="str">
        <f>IF(S91="","",VLOOKUP(S91,'G-3 Multipliers'!$A$2:$E$134,4,FALSE))</f>
        <v/>
      </c>
      <c r="AK91" s="301" t="str">
        <f t="shared" si="16"/>
        <v/>
      </c>
      <c r="AL91" s="301" t="str">
        <f t="shared" si="17"/>
        <v/>
      </c>
      <c r="AM91" s="305" t="str">
        <f>IFERROR(IF(F91="","",IF(AH91="Check Data ⚠","Check Data ⚠",VLOOKUP(AL91, 'G-3 Multipliers'!$P$2:$Q$6,2,FALSE))),"")</f>
        <v/>
      </c>
      <c r="AN91" s="728"/>
      <c r="AO91" s="335" t="str">
        <f>IF(AN91="","",IF(VLOOKUP(AN91,'G-3 Multipliers'!$S$3:$T$10,2,FALSE)=0,"Spatial Data Missing ⚠",VLOOKUP(AN91,'G-3 Multipliers'!$S$3:$T$10,2,FALSE)))</f>
        <v/>
      </c>
      <c r="AP91" s="295" t="str">
        <f t="shared" si="18"/>
        <v/>
      </c>
      <c r="AQ91" s="295" t="str">
        <f t="shared" si="19"/>
        <v/>
      </c>
      <c r="AR91" s="109"/>
      <c r="AS91" s="142"/>
      <c r="AT91" s="108"/>
      <c r="AU91" s="108"/>
      <c r="AY91" s="30" t="str">
        <f>IF(E91="","",IF(ISNA(VLOOKUP($E91,'D-1 Off-Site Habitat Baseline'!$D$1:$AV$258,4,FALSE)),"",(VLOOKUP($E91,'D-1 Off-Site Habitat Baseline'!$D$1:$AV$258,4,FALSE))))</f>
        <v/>
      </c>
    </row>
    <row r="92" spans="1:51" x14ac:dyDescent="0.25">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325" t="str">
        <f>'D-1 Off-Site Habitat Baseline'!AP91</f>
        <v/>
      </c>
      <c r="F92" s="289" t="str">
        <f>IF(E92="","",IF(ISNA(VLOOKUP($E92,'D-1 Off-Site Habitat Baseline'!$D$1:$ZZ$258,45,FALSE)),"",(VLOOKUP($E92,'D-1 Off-Site Habitat Baseline'!$D$1:$ZZ$258,45,FALSE))))</f>
        <v/>
      </c>
      <c r="G92" s="301" t="str">
        <f>IF(E92="","",IF(ISNA(VLOOKUP($E92,'D-1 Off-Site Habitat Baseline'!$D$1:$O$258,5,FALSE)),"",(VLOOKUP($E92,'D-1 Off-Site Habitat Baseline'!$D$1:$O$258,5,FALSE))))</f>
        <v/>
      </c>
      <c r="H92" s="301" t="str">
        <f>IF(E92="","",IF(ISNA(VLOOKUP($E92,'D-1 Off-Site Habitat Baseline'!$D$1:$O$258,6,FALSE)),"",(VLOOKUP($E92,'D-1 Off-Site Habitat Baseline'!$D$1:$O$258,6,FALSE))))</f>
        <v/>
      </c>
      <c r="I92" s="301" t="str">
        <f>IF(E92="","",IF(ISNA(VLOOKUP($E92,'D-1 Off-Site Habitat Baseline'!$D$1:$O$258,7,FALSE)),"",(VLOOKUP($E92,'D-1 Off-Site Habitat Baseline'!$D$1:$O$258,7,FALSE))))</f>
        <v/>
      </c>
      <c r="J92" s="301" t="str">
        <f>IF(E92="","",IF(ISNA(VLOOKUP($E92,'D-1 Off-Site Habitat Baseline'!$D$1:$O$258,8,FALSE)),"",(VLOOKUP($E92,'D-1 Off-Site Habitat Baseline'!$D$1:$O$258,8,FALSE))))</f>
        <v/>
      </c>
      <c r="K92" s="301" t="str">
        <f>IF(E92="","",IF(ISNA(VLOOKUP($E92,'D-1 Off-Site Habitat Baseline'!$D$1:$O$258,9,FALSE)),"",(VLOOKUP($E92,'D-1 Off-Site Habitat Baseline'!$D$1:$O$258,9,FALSE))))</f>
        <v/>
      </c>
      <c r="L92" s="301" t="str">
        <f>IF(E92="","",IF(ISNA(VLOOKUP($E92,'D-1 Off-Site Habitat Baseline'!$D$1:$O$258,11,FALSE)),"",(VLOOKUP($E92,'D-1 Off-Site Habitat Baseline'!$D$1:$O$258,11,FALSE))))</f>
        <v/>
      </c>
      <c r="M92" s="301" t="str">
        <f>IF(E92="","",IF(ISNA(VLOOKUP($E92,'D-1 Off-Site Habitat Baseline'!$D$1:$O$258,12,FALSE)),"",(VLOOKUP($E92,'D-1 Off-Site Habitat Baseline'!$D$1:$O$258,12,FALSE))))</f>
        <v/>
      </c>
      <c r="N92" s="301" t="str">
        <f>IF(E92="","",IF(ISNA(VLOOKUP($E92,'D-1 Off-Site Habitat Baseline'!$D$1:$AA$258,17,FALSE)),"",(VLOOKUP($E92,'D-1 Off-Site Habitat Baseline'!$D$1:$AA$258,17,FALSE))))</f>
        <v/>
      </c>
      <c r="O92" s="305" t="str">
        <f>IF(E92="","",IF(ISNA(VLOOKUP($E92,'D-1 Off-Site Habitat Baseline'!$D$1:$AA$258,13,FALSE)),"",(VLOOKUP($E92,'D-1 Off-Site Habitat Baseline'!$D$1:$AA$258,13,FALSE))))</f>
        <v/>
      </c>
      <c r="P92" s="152" t="str">
        <f>IFERROR(INDEX('G-1 All Habitats'!$AG$49:$AG$63,MATCH(Q92,'G-1 All Habitats'!$AF$27:$AF$41,0)),"")</f>
        <v/>
      </c>
      <c r="Q92" s="153"/>
      <c r="R92" s="154"/>
      <c r="S92" s="155" t="str">
        <f>IFERROR(INDEX('G-1 All Habitats'!$B$3:$B$135,MATCH(R92,'G-1 All Habitats'!$A$3:$A$135,0)),"")</f>
        <v/>
      </c>
      <c r="T92" s="289" t="str">
        <f t="shared" si="12"/>
        <v/>
      </c>
      <c r="U92" s="305" t="str">
        <f t="shared" si="13"/>
        <v/>
      </c>
      <c r="V92" s="304" t="str">
        <f t="shared" si="10"/>
        <v/>
      </c>
      <c r="W92" s="301" t="str">
        <f>IF(S92="","",VLOOKUP(S92,'G-1 All Habitats'!$B$2:$M$135,10,FALSE))</f>
        <v/>
      </c>
      <c r="X92" s="301" t="str">
        <f>IFERROR(VLOOKUP(W92,'G-1 All Habitats'!$V$3:$W$7,2,FALSE),"")</f>
        <v/>
      </c>
      <c r="Y92" s="142"/>
      <c r="Z92" s="305" t="str">
        <f>IFERROR(INDEX('G-8 Condition Look up'!$A$3:$H$135,MATCH(S92,'G-8 Condition Look up'!$A$3:$A$135,0),MATCH(Y92,'G-8 Condition Look up'!$A$3:$H$3,0)),"")</f>
        <v/>
      </c>
      <c r="AA92" s="105"/>
      <c r="AB92" s="320" t="str">
        <f>IF(AA92="","",IF(VLOOKUP(AA92,'G-3 Multipliers'!$L$3:$N$6,2,FALSE)=0,"Spatial Data Missing ⚠",VLOOKUP(AA92,'G-3 Multipliers'!$L$3:$N$6,2,FALSE)))</f>
        <v/>
      </c>
      <c r="AC92" s="305" t="str">
        <f>IF(AA92="","",IF(VLOOKUP(AA92,'G-3 Multipliers'!$L$3:$N$6,3,FALSE)=0,"Spatial Data Missing ⚠",VLOOKUP(AA92,'G-3 Multipliers'!$L$3:$N$6,3,FALSE)))</f>
        <v/>
      </c>
      <c r="AD92" s="317" t="str">
        <f t="shared" si="11"/>
        <v/>
      </c>
      <c r="AE92" s="142"/>
      <c r="AF92" s="142"/>
      <c r="AG92" s="301" t="str">
        <f t="shared" si="14"/>
        <v/>
      </c>
      <c r="AH92" s="302" t="str">
        <f t="shared" si="15"/>
        <v/>
      </c>
      <c r="AI92" s="306" t="str">
        <f>IF(AH92="Check Data ⚠","Check Data ⚠",IFERROR(VLOOKUP(AH92,'G-4 Temporal multipliers'!$A$4:$C$36,3,FALSE),""))</f>
        <v/>
      </c>
      <c r="AJ92" s="317" t="str">
        <f>IF(S92="","",VLOOKUP(S92,'G-3 Multipliers'!$A$2:$E$134,4,FALSE))</f>
        <v/>
      </c>
      <c r="AK92" s="301" t="str">
        <f t="shared" si="16"/>
        <v/>
      </c>
      <c r="AL92" s="301" t="str">
        <f t="shared" si="17"/>
        <v/>
      </c>
      <c r="AM92" s="305" t="str">
        <f>IFERROR(IF(F92="","",IF(AH92="Check Data ⚠","Check Data ⚠",VLOOKUP(AL92, 'G-3 Multipliers'!$P$2:$Q$6,2,FALSE))),"")</f>
        <v/>
      </c>
      <c r="AN92" s="728"/>
      <c r="AO92" s="335" t="str">
        <f>IF(AN92="","",IF(VLOOKUP(AN92,'G-3 Multipliers'!$S$3:$T$10,2,FALSE)=0,"Spatial Data Missing ⚠",VLOOKUP(AN92,'G-3 Multipliers'!$S$3:$T$10,2,FALSE)))</f>
        <v/>
      </c>
      <c r="AP92" s="295" t="str">
        <f t="shared" si="18"/>
        <v/>
      </c>
      <c r="AQ92" s="295" t="str">
        <f t="shared" si="19"/>
        <v/>
      </c>
      <c r="AR92" s="109"/>
      <c r="AS92" s="142"/>
      <c r="AT92" s="108"/>
      <c r="AU92" s="108"/>
      <c r="AY92" s="30" t="str">
        <f>IF(E92="","",IF(ISNA(VLOOKUP($E92,'D-1 Off-Site Habitat Baseline'!$D$1:$AV$258,4,FALSE)),"",(VLOOKUP($E92,'D-1 Off-Site Habitat Baseline'!$D$1:$AV$258,4,FALSE))))</f>
        <v/>
      </c>
    </row>
    <row r="93" spans="1:51" x14ac:dyDescent="0.25">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325" t="str">
        <f>'D-1 Off-Site Habitat Baseline'!AP92</f>
        <v/>
      </c>
      <c r="F93" s="289" t="str">
        <f>IF(E93="","",IF(ISNA(VLOOKUP($E93,'D-1 Off-Site Habitat Baseline'!$D$1:$ZZ$258,45,FALSE)),"",(VLOOKUP($E93,'D-1 Off-Site Habitat Baseline'!$D$1:$ZZ$258,45,FALSE))))</f>
        <v/>
      </c>
      <c r="G93" s="301" t="str">
        <f>IF(E93="","",IF(ISNA(VLOOKUP($E93,'D-1 Off-Site Habitat Baseline'!$D$1:$O$258,5,FALSE)),"",(VLOOKUP($E93,'D-1 Off-Site Habitat Baseline'!$D$1:$O$258,5,FALSE))))</f>
        <v/>
      </c>
      <c r="H93" s="301" t="str">
        <f>IF(E93="","",IF(ISNA(VLOOKUP($E93,'D-1 Off-Site Habitat Baseline'!$D$1:$O$258,6,FALSE)),"",(VLOOKUP($E93,'D-1 Off-Site Habitat Baseline'!$D$1:$O$258,6,FALSE))))</f>
        <v/>
      </c>
      <c r="I93" s="301" t="str">
        <f>IF(E93="","",IF(ISNA(VLOOKUP($E93,'D-1 Off-Site Habitat Baseline'!$D$1:$O$258,7,FALSE)),"",(VLOOKUP($E93,'D-1 Off-Site Habitat Baseline'!$D$1:$O$258,7,FALSE))))</f>
        <v/>
      </c>
      <c r="J93" s="301" t="str">
        <f>IF(E93="","",IF(ISNA(VLOOKUP($E93,'D-1 Off-Site Habitat Baseline'!$D$1:$O$258,8,FALSE)),"",(VLOOKUP($E93,'D-1 Off-Site Habitat Baseline'!$D$1:$O$258,8,FALSE))))</f>
        <v/>
      </c>
      <c r="K93" s="301" t="str">
        <f>IF(E93="","",IF(ISNA(VLOOKUP($E93,'D-1 Off-Site Habitat Baseline'!$D$1:$O$258,9,FALSE)),"",(VLOOKUP($E93,'D-1 Off-Site Habitat Baseline'!$D$1:$O$258,9,FALSE))))</f>
        <v/>
      </c>
      <c r="L93" s="301" t="str">
        <f>IF(E93="","",IF(ISNA(VLOOKUP($E93,'D-1 Off-Site Habitat Baseline'!$D$1:$O$258,11,FALSE)),"",(VLOOKUP($E93,'D-1 Off-Site Habitat Baseline'!$D$1:$O$258,11,FALSE))))</f>
        <v/>
      </c>
      <c r="M93" s="301" t="str">
        <f>IF(E93="","",IF(ISNA(VLOOKUP($E93,'D-1 Off-Site Habitat Baseline'!$D$1:$O$258,12,FALSE)),"",(VLOOKUP($E93,'D-1 Off-Site Habitat Baseline'!$D$1:$O$258,12,FALSE))))</f>
        <v/>
      </c>
      <c r="N93" s="301" t="str">
        <f>IF(E93="","",IF(ISNA(VLOOKUP($E93,'D-1 Off-Site Habitat Baseline'!$D$1:$AA$258,17,FALSE)),"",(VLOOKUP($E93,'D-1 Off-Site Habitat Baseline'!$D$1:$AA$258,17,FALSE))))</f>
        <v/>
      </c>
      <c r="O93" s="305" t="str">
        <f>IF(E93="","",IF(ISNA(VLOOKUP($E93,'D-1 Off-Site Habitat Baseline'!$D$1:$AA$258,13,FALSE)),"",(VLOOKUP($E93,'D-1 Off-Site Habitat Baseline'!$D$1:$AA$258,13,FALSE))))</f>
        <v/>
      </c>
      <c r="P93" s="152" t="str">
        <f>IFERROR(INDEX('G-1 All Habitats'!$AG$49:$AG$63,MATCH(Q93,'G-1 All Habitats'!$AF$27:$AF$41,0)),"")</f>
        <v/>
      </c>
      <c r="Q93" s="153"/>
      <c r="R93" s="154"/>
      <c r="S93" s="155" t="str">
        <f>IFERROR(INDEX('G-1 All Habitats'!$B$3:$B$135,MATCH(R93,'G-1 All Habitats'!$A$3:$A$135,0)),"")</f>
        <v/>
      </c>
      <c r="T93" s="289" t="str">
        <f t="shared" si="12"/>
        <v/>
      </c>
      <c r="U93" s="305" t="str">
        <f t="shared" si="13"/>
        <v/>
      </c>
      <c r="V93" s="304" t="str">
        <f t="shared" si="10"/>
        <v/>
      </c>
      <c r="W93" s="301" t="str">
        <f>IF(S93="","",VLOOKUP(S93,'G-1 All Habitats'!$B$2:$M$135,10,FALSE))</f>
        <v/>
      </c>
      <c r="X93" s="301" t="str">
        <f>IFERROR(VLOOKUP(W93,'G-1 All Habitats'!$V$3:$W$7,2,FALSE),"")</f>
        <v/>
      </c>
      <c r="Y93" s="142"/>
      <c r="Z93" s="305" t="str">
        <f>IFERROR(INDEX('G-8 Condition Look up'!$A$3:$H$135,MATCH(S93,'G-8 Condition Look up'!$A$3:$A$135,0),MATCH(Y93,'G-8 Condition Look up'!$A$3:$H$3,0)),"")</f>
        <v/>
      </c>
      <c r="AA93" s="105"/>
      <c r="AB93" s="320" t="str">
        <f>IF(AA93="","",IF(VLOOKUP(AA93,'G-3 Multipliers'!$L$3:$N$6,2,FALSE)=0,"Spatial Data Missing ⚠",VLOOKUP(AA93,'G-3 Multipliers'!$L$3:$N$6,2,FALSE)))</f>
        <v/>
      </c>
      <c r="AC93" s="305" t="str">
        <f>IF(AA93="","",IF(VLOOKUP(AA93,'G-3 Multipliers'!$L$3:$N$6,3,FALSE)=0,"Spatial Data Missing ⚠",VLOOKUP(AA93,'G-3 Multipliers'!$L$3:$N$6,3,FALSE)))</f>
        <v/>
      </c>
      <c r="AD93" s="317" t="str">
        <f t="shared" si="11"/>
        <v/>
      </c>
      <c r="AE93" s="142"/>
      <c r="AF93" s="142"/>
      <c r="AG93" s="301" t="str">
        <f t="shared" si="14"/>
        <v/>
      </c>
      <c r="AH93" s="302" t="str">
        <f t="shared" si="15"/>
        <v/>
      </c>
      <c r="AI93" s="306" t="str">
        <f>IF(AH93="Check Data ⚠","Check Data ⚠",IFERROR(VLOOKUP(AH93,'G-4 Temporal multipliers'!$A$4:$C$36,3,FALSE),""))</f>
        <v/>
      </c>
      <c r="AJ93" s="317" t="str">
        <f>IF(S93="","",VLOOKUP(S93,'G-3 Multipliers'!$A$2:$E$134,4,FALSE))</f>
        <v/>
      </c>
      <c r="AK93" s="301" t="str">
        <f t="shared" si="16"/>
        <v/>
      </c>
      <c r="AL93" s="301" t="str">
        <f t="shared" si="17"/>
        <v/>
      </c>
      <c r="AM93" s="305" t="str">
        <f>IFERROR(IF(F93="","",IF(AH93="Check Data ⚠","Check Data ⚠",VLOOKUP(AL93, 'G-3 Multipliers'!$P$2:$Q$6,2,FALSE))),"")</f>
        <v/>
      </c>
      <c r="AN93" s="728"/>
      <c r="AO93" s="335" t="str">
        <f>IF(AN93="","",IF(VLOOKUP(AN93,'G-3 Multipliers'!$S$3:$T$10,2,FALSE)=0,"Spatial Data Missing ⚠",VLOOKUP(AN93,'G-3 Multipliers'!$S$3:$T$10,2,FALSE)))</f>
        <v/>
      </c>
      <c r="AP93" s="295" t="str">
        <f t="shared" si="18"/>
        <v/>
      </c>
      <c r="AQ93" s="295" t="str">
        <f t="shared" si="19"/>
        <v/>
      </c>
      <c r="AR93" s="109"/>
      <c r="AS93" s="142"/>
      <c r="AT93" s="108"/>
      <c r="AU93" s="108"/>
      <c r="AY93" s="30" t="str">
        <f>IF(E93="","",IF(ISNA(VLOOKUP($E93,'D-1 Off-Site Habitat Baseline'!$D$1:$AV$258,4,FALSE)),"",(VLOOKUP($E93,'D-1 Off-Site Habitat Baseline'!$D$1:$AV$258,4,FALSE))))</f>
        <v/>
      </c>
    </row>
    <row r="94" spans="1:51" x14ac:dyDescent="0.25">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325" t="str">
        <f>'D-1 Off-Site Habitat Baseline'!AP93</f>
        <v/>
      </c>
      <c r="F94" s="289" t="str">
        <f>IF(E94="","",IF(ISNA(VLOOKUP($E94,'D-1 Off-Site Habitat Baseline'!$D$1:$ZZ$258,45,FALSE)),"",(VLOOKUP($E94,'D-1 Off-Site Habitat Baseline'!$D$1:$ZZ$258,45,FALSE))))</f>
        <v/>
      </c>
      <c r="G94" s="301" t="str">
        <f>IF(E94="","",IF(ISNA(VLOOKUP($E94,'D-1 Off-Site Habitat Baseline'!$D$1:$O$258,5,FALSE)),"",(VLOOKUP($E94,'D-1 Off-Site Habitat Baseline'!$D$1:$O$258,5,FALSE))))</f>
        <v/>
      </c>
      <c r="H94" s="301" t="str">
        <f>IF(E94="","",IF(ISNA(VLOOKUP($E94,'D-1 Off-Site Habitat Baseline'!$D$1:$O$258,6,FALSE)),"",(VLOOKUP($E94,'D-1 Off-Site Habitat Baseline'!$D$1:$O$258,6,FALSE))))</f>
        <v/>
      </c>
      <c r="I94" s="301" t="str">
        <f>IF(E94="","",IF(ISNA(VLOOKUP($E94,'D-1 Off-Site Habitat Baseline'!$D$1:$O$258,7,FALSE)),"",(VLOOKUP($E94,'D-1 Off-Site Habitat Baseline'!$D$1:$O$258,7,FALSE))))</f>
        <v/>
      </c>
      <c r="J94" s="301" t="str">
        <f>IF(E94="","",IF(ISNA(VLOOKUP($E94,'D-1 Off-Site Habitat Baseline'!$D$1:$O$258,8,FALSE)),"",(VLOOKUP($E94,'D-1 Off-Site Habitat Baseline'!$D$1:$O$258,8,FALSE))))</f>
        <v/>
      </c>
      <c r="K94" s="301" t="str">
        <f>IF(E94="","",IF(ISNA(VLOOKUP($E94,'D-1 Off-Site Habitat Baseline'!$D$1:$O$258,9,FALSE)),"",(VLOOKUP($E94,'D-1 Off-Site Habitat Baseline'!$D$1:$O$258,9,FALSE))))</f>
        <v/>
      </c>
      <c r="L94" s="301" t="str">
        <f>IF(E94="","",IF(ISNA(VLOOKUP($E94,'D-1 Off-Site Habitat Baseline'!$D$1:$O$258,11,FALSE)),"",(VLOOKUP($E94,'D-1 Off-Site Habitat Baseline'!$D$1:$O$258,11,FALSE))))</f>
        <v/>
      </c>
      <c r="M94" s="301" t="str">
        <f>IF(E94="","",IF(ISNA(VLOOKUP($E94,'D-1 Off-Site Habitat Baseline'!$D$1:$O$258,12,FALSE)),"",(VLOOKUP($E94,'D-1 Off-Site Habitat Baseline'!$D$1:$O$258,12,FALSE))))</f>
        <v/>
      </c>
      <c r="N94" s="301" t="str">
        <f>IF(E94="","",IF(ISNA(VLOOKUP($E94,'D-1 Off-Site Habitat Baseline'!$D$1:$AA$258,17,FALSE)),"",(VLOOKUP($E94,'D-1 Off-Site Habitat Baseline'!$D$1:$AA$258,17,FALSE))))</f>
        <v/>
      </c>
      <c r="O94" s="305" t="str">
        <f>IF(E94="","",IF(ISNA(VLOOKUP($E94,'D-1 Off-Site Habitat Baseline'!$D$1:$AA$258,13,FALSE)),"",(VLOOKUP($E94,'D-1 Off-Site Habitat Baseline'!$D$1:$AA$258,13,FALSE))))</f>
        <v/>
      </c>
      <c r="P94" s="152" t="str">
        <f>IFERROR(INDEX('G-1 All Habitats'!$AG$49:$AG$63,MATCH(Q94,'G-1 All Habitats'!$AF$27:$AF$41,0)),"")</f>
        <v/>
      </c>
      <c r="Q94" s="153"/>
      <c r="R94" s="154"/>
      <c r="S94" s="155" t="str">
        <f>IFERROR(INDEX('G-1 All Habitats'!$B$3:$B$135,MATCH(R94,'G-1 All Habitats'!$A$3:$A$135,0)),"")</f>
        <v/>
      </c>
      <c r="T94" s="289" t="str">
        <f t="shared" si="12"/>
        <v/>
      </c>
      <c r="U94" s="305" t="str">
        <f t="shared" si="13"/>
        <v/>
      </c>
      <c r="V94" s="304" t="str">
        <f t="shared" si="10"/>
        <v/>
      </c>
      <c r="W94" s="301" t="str">
        <f>IF(S94="","",VLOOKUP(S94,'G-1 All Habitats'!$B$2:$M$135,10,FALSE))</f>
        <v/>
      </c>
      <c r="X94" s="301" t="str">
        <f>IFERROR(VLOOKUP(W94,'G-1 All Habitats'!$V$3:$W$7,2,FALSE),"")</f>
        <v/>
      </c>
      <c r="Y94" s="142"/>
      <c r="Z94" s="305" t="str">
        <f>IFERROR(INDEX('G-8 Condition Look up'!$A$3:$H$135,MATCH(S94,'G-8 Condition Look up'!$A$3:$A$135,0),MATCH(Y94,'G-8 Condition Look up'!$A$3:$H$3,0)),"")</f>
        <v/>
      </c>
      <c r="AA94" s="105"/>
      <c r="AB94" s="320" t="str">
        <f>IF(AA94="","",IF(VLOOKUP(AA94,'G-3 Multipliers'!$L$3:$N$6,2,FALSE)=0,"Spatial Data Missing ⚠",VLOOKUP(AA94,'G-3 Multipliers'!$L$3:$N$6,2,FALSE)))</f>
        <v/>
      </c>
      <c r="AC94" s="305" t="str">
        <f>IF(AA94="","",IF(VLOOKUP(AA94,'G-3 Multipliers'!$L$3:$N$6,3,FALSE)=0,"Spatial Data Missing ⚠",VLOOKUP(AA94,'G-3 Multipliers'!$L$3:$N$6,3,FALSE)))</f>
        <v/>
      </c>
      <c r="AD94" s="317" t="str">
        <f t="shared" si="11"/>
        <v/>
      </c>
      <c r="AE94" s="142"/>
      <c r="AF94" s="142"/>
      <c r="AG94" s="301" t="str">
        <f t="shared" si="14"/>
        <v/>
      </c>
      <c r="AH94" s="302" t="str">
        <f t="shared" si="15"/>
        <v/>
      </c>
      <c r="AI94" s="306" t="str">
        <f>IF(AH94="Check Data ⚠","Check Data ⚠",IFERROR(VLOOKUP(AH94,'G-4 Temporal multipliers'!$A$4:$C$36,3,FALSE),""))</f>
        <v/>
      </c>
      <c r="AJ94" s="317" t="str">
        <f>IF(S94="","",VLOOKUP(S94,'G-3 Multipliers'!$A$2:$E$134,4,FALSE))</f>
        <v/>
      </c>
      <c r="AK94" s="301" t="str">
        <f t="shared" si="16"/>
        <v/>
      </c>
      <c r="AL94" s="301" t="str">
        <f t="shared" si="17"/>
        <v/>
      </c>
      <c r="AM94" s="305" t="str">
        <f>IFERROR(IF(F94="","",IF(AH94="Check Data ⚠","Check Data ⚠",VLOOKUP(AL94, 'G-3 Multipliers'!$P$2:$Q$6,2,FALSE))),"")</f>
        <v/>
      </c>
      <c r="AN94" s="728"/>
      <c r="AO94" s="335" t="str">
        <f>IF(AN94="","",IF(VLOOKUP(AN94,'G-3 Multipliers'!$S$3:$T$10,2,FALSE)=0,"Spatial Data Missing ⚠",VLOOKUP(AN94,'G-3 Multipliers'!$S$3:$T$10,2,FALSE)))</f>
        <v/>
      </c>
      <c r="AP94" s="295" t="str">
        <f t="shared" si="18"/>
        <v/>
      </c>
      <c r="AQ94" s="295" t="str">
        <f t="shared" si="19"/>
        <v/>
      </c>
      <c r="AR94" s="109"/>
      <c r="AS94" s="142"/>
      <c r="AT94" s="108"/>
      <c r="AU94" s="108"/>
      <c r="AY94" s="30" t="str">
        <f>IF(E94="","",IF(ISNA(VLOOKUP($E94,'D-1 Off-Site Habitat Baseline'!$D$1:$AV$258,4,FALSE)),"",(VLOOKUP($E94,'D-1 Off-Site Habitat Baseline'!$D$1:$AV$258,4,FALSE))))</f>
        <v/>
      </c>
    </row>
    <row r="95" spans="1:51" x14ac:dyDescent="0.25">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325" t="str">
        <f>'D-1 Off-Site Habitat Baseline'!AP94</f>
        <v/>
      </c>
      <c r="F95" s="289" t="str">
        <f>IF(E95="","",IF(ISNA(VLOOKUP($E95,'D-1 Off-Site Habitat Baseline'!$D$1:$ZZ$258,45,FALSE)),"",(VLOOKUP($E95,'D-1 Off-Site Habitat Baseline'!$D$1:$ZZ$258,45,FALSE))))</f>
        <v/>
      </c>
      <c r="G95" s="301" t="str">
        <f>IF(E95="","",IF(ISNA(VLOOKUP($E95,'D-1 Off-Site Habitat Baseline'!$D$1:$O$258,5,FALSE)),"",(VLOOKUP($E95,'D-1 Off-Site Habitat Baseline'!$D$1:$O$258,5,FALSE))))</f>
        <v/>
      </c>
      <c r="H95" s="301" t="str">
        <f>IF(E95="","",IF(ISNA(VLOOKUP($E95,'D-1 Off-Site Habitat Baseline'!$D$1:$O$258,6,FALSE)),"",(VLOOKUP($E95,'D-1 Off-Site Habitat Baseline'!$D$1:$O$258,6,FALSE))))</f>
        <v/>
      </c>
      <c r="I95" s="301" t="str">
        <f>IF(E95="","",IF(ISNA(VLOOKUP($E95,'D-1 Off-Site Habitat Baseline'!$D$1:$O$258,7,FALSE)),"",(VLOOKUP($E95,'D-1 Off-Site Habitat Baseline'!$D$1:$O$258,7,FALSE))))</f>
        <v/>
      </c>
      <c r="J95" s="301" t="str">
        <f>IF(E95="","",IF(ISNA(VLOOKUP($E95,'D-1 Off-Site Habitat Baseline'!$D$1:$O$258,8,FALSE)),"",(VLOOKUP($E95,'D-1 Off-Site Habitat Baseline'!$D$1:$O$258,8,FALSE))))</f>
        <v/>
      </c>
      <c r="K95" s="301" t="str">
        <f>IF(E95="","",IF(ISNA(VLOOKUP($E95,'D-1 Off-Site Habitat Baseline'!$D$1:$O$258,9,FALSE)),"",(VLOOKUP($E95,'D-1 Off-Site Habitat Baseline'!$D$1:$O$258,9,FALSE))))</f>
        <v/>
      </c>
      <c r="L95" s="301" t="str">
        <f>IF(E95="","",IF(ISNA(VLOOKUP($E95,'D-1 Off-Site Habitat Baseline'!$D$1:$O$258,11,FALSE)),"",(VLOOKUP($E95,'D-1 Off-Site Habitat Baseline'!$D$1:$O$258,11,FALSE))))</f>
        <v/>
      </c>
      <c r="M95" s="301" t="str">
        <f>IF(E95="","",IF(ISNA(VLOOKUP($E95,'D-1 Off-Site Habitat Baseline'!$D$1:$O$258,12,FALSE)),"",(VLOOKUP($E95,'D-1 Off-Site Habitat Baseline'!$D$1:$O$258,12,FALSE))))</f>
        <v/>
      </c>
      <c r="N95" s="301" t="str">
        <f>IF(E95="","",IF(ISNA(VLOOKUP($E95,'D-1 Off-Site Habitat Baseline'!$D$1:$AA$258,17,FALSE)),"",(VLOOKUP($E95,'D-1 Off-Site Habitat Baseline'!$D$1:$AA$258,17,FALSE))))</f>
        <v/>
      </c>
      <c r="O95" s="305" t="str">
        <f>IF(E95="","",IF(ISNA(VLOOKUP($E95,'D-1 Off-Site Habitat Baseline'!$D$1:$AA$258,13,FALSE)),"",(VLOOKUP($E95,'D-1 Off-Site Habitat Baseline'!$D$1:$AA$258,13,FALSE))))</f>
        <v/>
      </c>
      <c r="P95" s="152" t="str">
        <f>IFERROR(INDEX('G-1 All Habitats'!$AG$49:$AG$63,MATCH(Q95,'G-1 All Habitats'!$AF$27:$AF$41,0)),"")</f>
        <v/>
      </c>
      <c r="Q95" s="153"/>
      <c r="R95" s="154"/>
      <c r="S95" s="155" t="str">
        <f>IFERROR(INDEX('G-1 All Habitats'!$B$3:$B$135,MATCH(R95,'G-1 All Habitats'!$A$3:$A$135,0)),"")</f>
        <v/>
      </c>
      <c r="T95" s="289" t="str">
        <f t="shared" si="12"/>
        <v/>
      </c>
      <c r="U95" s="305" t="str">
        <f t="shared" si="13"/>
        <v/>
      </c>
      <c r="V95" s="304" t="str">
        <f t="shared" si="10"/>
        <v/>
      </c>
      <c r="W95" s="301" t="str">
        <f>IF(S95="","",VLOOKUP(S95,'G-1 All Habitats'!$B$2:$M$135,10,FALSE))</f>
        <v/>
      </c>
      <c r="X95" s="301" t="str">
        <f>IFERROR(VLOOKUP(W95,'G-1 All Habitats'!$V$3:$W$7,2,FALSE),"")</f>
        <v/>
      </c>
      <c r="Y95" s="142"/>
      <c r="Z95" s="305" t="str">
        <f>IFERROR(INDEX('G-8 Condition Look up'!$A$3:$H$135,MATCH(S95,'G-8 Condition Look up'!$A$3:$A$135,0),MATCH(Y95,'G-8 Condition Look up'!$A$3:$H$3,0)),"")</f>
        <v/>
      </c>
      <c r="AA95" s="105"/>
      <c r="AB95" s="320" t="str">
        <f>IF(AA95="","",IF(VLOOKUP(AA95,'G-3 Multipliers'!$L$3:$N$6,2,FALSE)=0,"Spatial Data Missing ⚠",VLOOKUP(AA95,'G-3 Multipliers'!$L$3:$N$6,2,FALSE)))</f>
        <v/>
      </c>
      <c r="AC95" s="305" t="str">
        <f>IF(AA95="","",IF(VLOOKUP(AA95,'G-3 Multipliers'!$L$3:$N$6,3,FALSE)=0,"Spatial Data Missing ⚠",VLOOKUP(AA95,'G-3 Multipliers'!$L$3:$N$6,3,FALSE)))</f>
        <v/>
      </c>
      <c r="AD95" s="317" t="str">
        <f t="shared" si="11"/>
        <v/>
      </c>
      <c r="AE95" s="142"/>
      <c r="AF95" s="142"/>
      <c r="AG95" s="301" t="str">
        <f t="shared" si="14"/>
        <v/>
      </c>
      <c r="AH95" s="302" t="str">
        <f t="shared" si="15"/>
        <v/>
      </c>
      <c r="AI95" s="306" t="str">
        <f>IF(AH95="Check Data ⚠","Check Data ⚠",IFERROR(VLOOKUP(AH95,'G-4 Temporal multipliers'!$A$4:$C$36,3,FALSE),""))</f>
        <v/>
      </c>
      <c r="AJ95" s="317" t="str">
        <f>IF(S95="","",VLOOKUP(S95,'G-3 Multipliers'!$A$2:$E$134,4,FALSE))</f>
        <v/>
      </c>
      <c r="AK95" s="301" t="str">
        <f t="shared" si="16"/>
        <v/>
      </c>
      <c r="AL95" s="301" t="str">
        <f t="shared" si="17"/>
        <v/>
      </c>
      <c r="AM95" s="305" t="str">
        <f>IFERROR(IF(F95="","",IF(AH95="Check Data ⚠","Check Data ⚠",VLOOKUP(AL95, 'G-3 Multipliers'!$P$2:$Q$6,2,FALSE))),"")</f>
        <v/>
      </c>
      <c r="AN95" s="728"/>
      <c r="AO95" s="335" t="str">
        <f>IF(AN95="","",IF(VLOOKUP(AN95,'G-3 Multipliers'!$S$3:$T$10,2,FALSE)=0,"Spatial Data Missing ⚠",VLOOKUP(AN95,'G-3 Multipliers'!$S$3:$T$10,2,FALSE)))</f>
        <v/>
      </c>
      <c r="AP95" s="295" t="str">
        <f t="shared" si="18"/>
        <v/>
      </c>
      <c r="AQ95" s="295" t="str">
        <f t="shared" si="19"/>
        <v/>
      </c>
      <c r="AR95" s="109"/>
      <c r="AS95" s="142"/>
      <c r="AT95" s="108"/>
      <c r="AU95" s="108"/>
      <c r="AY95" s="30" t="str">
        <f>IF(E95="","",IF(ISNA(VLOOKUP($E95,'D-1 Off-Site Habitat Baseline'!$D$1:$AV$258,4,FALSE)),"",(VLOOKUP($E95,'D-1 Off-Site Habitat Baseline'!$D$1:$AV$258,4,FALSE))))</f>
        <v/>
      </c>
    </row>
    <row r="96" spans="1:51" x14ac:dyDescent="0.25">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325" t="str">
        <f>'D-1 Off-Site Habitat Baseline'!AP95</f>
        <v/>
      </c>
      <c r="F96" s="289" t="str">
        <f>IF(E96="","",IF(ISNA(VLOOKUP($E96,'D-1 Off-Site Habitat Baseline'!$D$1:$ZZ$258,45,FALSE)),"",(VLOOKUP($E96,'D-1 Off-Site Habitat Baseline'!$D$1:$ZZ$258,45,FALSE))))</f>
        <v/>
      </c>
      <c r="G96" s="301" t="str">
        <f>IF(E96="","",IF(ISNA(VLOOKUP($E96,'D-1 Off-Site Habitat Baseline'!$D$1:$O$258,5,FALSE)),"",(VLOOKUP($E96,'D-1 Off-Site Habitat Baseline'!$D$1:$O$258,5,FALSE))))</f>
        <v/>
      </c>
      <c r="H96" s="301" t="str">
        <f>IF(E96="","",IF(ISNA(VLOOKUP($E96,'D-1 Off-Site Habitat Baseline'!$D$1:$O$258,6,FALSE)),"",(VLOOKUP($E96,'D-1 Off-Site Habitat Baseline'!$D$1:$O$258,6,FALSE))))</f>
        <v/>
      </c>
      <c r="I96" s="301" t="str">
        <f>IF(E96="","",IF(ISNA(VLOOKUP($E96,'D-1 Off-Site Habitat Baseline'!$D$1:$O$258,7,FALSE)),"",(VLOOKUP($E96,'D-1 Off-Site Habitat Baseline'!$D$1:$O$258,7,FALSE))))</f>
        <v/>
      </c>
      <c r="J96" s="301" t="str">
        <f>IF(E96="","",IF(ISNA(VLOOKUP($E96,'D-1 Off-Site Habitat Baseline'!$D$1:$O$258,8,FALSE)),"",(VLOOKUP($E96,'D-1 Off-Site Habitat Baseline'!$D$1:$O$258,8,FALSE))))</f>
        <v/>
      </c>
      <c r="K96" s="301" t="str">
        <f>IF(E96="","",IF(ISNA(VLOOKUP($E96,'D-1 Off-Site Habitat Baseline'!$D$1:$O$258,9,FALSE)),"",(VLOOKUP($E96,'D-1 Off-Site Habitat Baseline'!$D$1:$O$258,9,FALSE))))</f>
        <v/>
      </c>
      <c r="L96" s="301" t="str">
        <f>IF(E96="","",IF(ISNA(VLOOKUP($E96,'D-1 Off-Site Habitat Baseline'!$D$1:$O$258,11,FALSE)),"",(VLOOKUP($E96,'D-1 Off-Site Habitat Baseline'!$D$1:$O$258,11,FALSE))))</f>
        <v/>
      </c>
      <c r="M96" s="301" t="str">
        <f>IF(E96="","",IF(ISNA(VLOOKUP($E96,'D-1 Off-Site Habitat Baseline'!$D$1:$O$258,12,FALSE)),"",(VLOOKUP($E96,'D-1 Off-Site Habitat Baseline'!$D$1:$O$258,12,FALSE))))</f>
        <v/>
      </c>
      <c r="N96" s="301" t="str">
        <f>IF(E96="","",IF(ISNA(VLOOKUP($E96,'D-1 Off-Site Habitat Baseline'!$D$1:$AA$258,17,FALSE)),"",(VLOOKUP($E96,'D-1 Off-Site Habitat Baseline'!$D$1:$AA$258,17,FALSE))))</f>
        <v/>
      </c>
      <c r="O96" s="305" t="str">
        <f>IF(E96="","",IF(ISNA(VLOOKUP($E96,'D-1 Off-Site Habitat Baseline'!$D$1:$AA$258,13,FALSE)),"",(VLOOKUP($E96,'D-1 Off-Site Habitat Baseline'!$D$1:$AA$258,13,FALSE))))</f>
        <v/>
      </c>
      <c r="P96" s="152" t="str">
        <f>IFERROR(INDEX('G-1 All Habitats'!$AG$49:$AG$63,MATCH(Q96,'G-1 All Habitats'!$AF$27:$AF$41,0)),"")</f>
        <v/>
      </c>
      <c r="Q96" s="153"/>
      <c r="R96" s="154"/>
      <c r="S96" s="155" t="str">
        <f>IFERROR(INDEX('G-1 All Habitats'!$B$3:$B$135,MATCH(R96,'G-1 All Habitats'!$A$3:$A$135,0)),"")</f>
        <v/>
      </c>
      <c r="T96" s="289" t="str">
        <f t="shared" si="12"/>
        <v/>
      </c>
      <c r="U96" s="305" t="str">
        <f t="shared" si="13"/>
        <v/>
      </c>
      <c r="V96" s="304" t="str">
        <f t="shared" si="10"/>
        <v/>
      </c>
      <c r="W96" s="301" t="str">
        <f>IF(S96="","",VLOOKUP(S96,'G-1 All Habitats'!$B$2:$M$135,10,FALSE))</f>
        <v/>
      </c>
      <c r="X96" s="301" t="str">
        <f>IFERROR(VLOOKUP(W96,'G-1 All Habitats'!$V$3:$W$7,2,FALSE),"")</f>
        <v/>
      </c>
      <c r="Y96" s="142"/>
      <c r="Z96" s="305" t="str">
        <f>IFERROR(INDEX('G-8 Condition Look up'!$A$3:$H$135,MATCH(S96,'G-8 Condition Look up'!$A$3:$A$135,0),MATCH(Y96,'G-8 Condition Look up'!$A$3:$H$3,0)),"")</f>
        <v/>
      </c>
      <c r="AA96" s="105"/>
      <c r="AB96" s="320" t="str">
        <f>IF(AA96="","",IF(VLOOKUP(AA96,'G-3 Multipliers'!$L$3:$N$6,2,FALSE)=0,"Spatial Data Missing ⚠",VLOOKUP(AA96,'G-3 Multipliers'!$L$3:$N$6,2,FALSE)))</f>
        <v/>
      </c>
      <c r="AC96" s="305" t="str">
        <f>IF(AA96="","",IF(VLOOKUP(AA96,'G-3 Multipliers'!$L$3:$N$6,3,FALSE)=0,"Spatial Data Missing ⚠",VLOOKUP(AA96,'G-3 Multipliers'!$L$3:$N$6,3,FALSE)))</f>
        <v/>
      </c>
      <c r="AD96" s="317" t="str">
        <f t="shared" si="11"/>
        <v/>
      </c>
      <c r="AE96" s="142"/>
      <c r="AF96" s="142"/>
      <c r="AG96" s="301" t="str">
        <f t="shared" si="14"/>
        <v/>
      </c>
      <c r="AH96" s="302" t="str">
        <f t="shared" si="15"/>
        <v/>
      </c>
      <c r="AI96" s="306" t="str">
        <f>IF(AH96="Check Data ⚠","Check Data ⚠",IFERROR(VLOOKUP(AH96,'G-4 Temporal multipliers'!$A$4:$C$36,3,FALSE),""))</f>
        <v/>
      </c>
      <c r="AJ96" s="317" t="str">
        <f>IF(S96="","",VLOOKUP(S96,'G-3 Multipliers'!$A$2:$E$134,4,FALSE))</f>
        <v/>
      </c>
      <c r="AK96" s="301" t="str">
        <f t="shared" si="16"/>
        <v/>
      </c>
      <c r="AL96" s="301" t="str">
        <f t="shared" si="17"/>
        <v/>
      </c>
      <c r="AM96" s="305" t="str">
        <f>IFERROR(IF(F96="","",IF(AH96="Check Data ⚠","Check Data ⚠",VLOOKUP(AL96, 'G-3 Multipliers'!$P$2:$Q$6,2,FALSE))),"")</f>
        <v/>
      </c>
      <c r="AN96" s="728"/>
      <c r="AO96" s="335" t="str">
        <f>IF(AN96="","",IF(VLOOKUP(AN96,'G-3 Multipliers'!$S$3:$T$10,2,FALSE)=0,"Spatial Data Missing ⚠",VLOOKUP(AN96,'G-3 Multipliers'!$S$3:$T$10,2,FALSE)))</f>
        <v/>
      </c>
      <c r="AP96" s="295" t="str">
        <f t="shared" si="18"/>
        <v/>
      </c>
      <c r="AQ96" s="295" t="str">
        <f t="shared" si="19"/>
        <v/>
      </c>
      <c r="AR96" s="109"/>
      <c r="AS96" s="142"/>
      <c r="AT96" s="108"/>
      <c r="AU96" s="108"/>
      <c r="AY96" s="30" t="str">
        <f>IF(E96="","",IF(ISNA(VLOOKUP($E96,'D-1 Off-Site Habitat Baseline'!$D$1:$AV$258,4,FALSE)),"",(VLOOKUP($E96,'D-1 Off-Site Habitat Baseline'!$D$1:$AV$258,4,FALSE))))</f>
        <v/>
      </c>
    </row>
    <row r="97" spans="1:51" x14ac:dyDescent="0.25">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325" t="str">
        <f>'D-1 Off-Site Habitat Baseline'!AP96</f>
        <v/>
      </c>
      <c r="F97" s="289" t="str">
        <f>IF(E97="","",IF(ISNA(VLOOKUP($E97,'D-1 Off-Site Habitat Baseline'!$D$1:$ZZ$258,45,FALSE)),"",(VLOOKUP($E97,'D-1 Off-Site Habitat Baseline'!$D$1:$ZZ$258,45,FALSE))))</f>
        <v/>
      </c>
      <c r="G97" s="301" t="str">
        <f>IF(E97="","",IF(ISNA(VLOOKUP($E97,'D-1 Off-Site Habitat Baseline'!$D$1:$O$258,5,FALSE)),"",(VLOOKUP($E97,'D-1 Off-Site Habitat Baseline'!$D$1:$O$258,5,FALSE))))</f>
        <v/>
      </c>
      <c r="H97" s="301" t="str">
        <f>IF(E97="","",IF(ISNA(VLOOKUP($E97,'D-1 Off-Site Habitat Baseline'!$D$1:$O$258,6,FALSE)),"",(VLOOKUP($E97,'D-1 Off-Site Habitat Baseline'!$D$1:$O$258,6,FALSE))))</f>
        <v/>
      </c>
      <c r="I97" s="301" t="str">
        <f>IF(E97="","",IF(ISNA(VLOOKUP($E97,'D-1 Off-Site Habitat Baseline'!$D$1:$O$258,7,FALSE)),"",(VLOOKUP($E97,'D-1 Off-Site Habitat Baseline'!$D$1:$O$258,7,FALSE))))</f>
        <v/>
      </c>
      <c r="J97" s="301" t="str">
        <f>IF(E97="","",IF(ISNA(VLOOKUP($E97,'D-1 Off-Site Habitat Baseline'!$D$1:$O$258,8,FALSE)),"",(VLOOKUP($E97,'D-1 Off-Site Habitat Baseline'!$D$1:$O$258,8,FALSE))))</f>
        <v/>
      </c>
      <c r="K97" s="301" t="str">
        <f>IF(E97="","",IF(ISNA(VLOOKUP($E97,'D-1 Off-Site Habitat Baseline'!$D$1:$O$258,9,FALSE)),"",(VLOOKUP($E97,'D-1 Off-Site Habitat Baseline'!$D$1:$O$258,9,FALSE))))</f>
        <v/>
      </c>
      <c r="L97" s="301" t="str">
        <f>IF(E97="","",IF(ISNA(VLOOKUP($E97,'D-1 Off-Site Habitat Baseline'!$D$1:$O$258,11,FALSE)),"",(VLOOKUP($E97,'D-1 Off-Site Habitat Baseline'!$D$1:$O$258,11,FALSE))))</f>
        <v/>
      </c>
      <c r="M97" s="301" t="str">
        <f>IF(E97="","",IF(ISNA(VLOOKUP($E97,'D-1 Off-Site Habitat Baseline'!$D$1:$O$258,12,FALSE)),"",(VLOOKUP($E97,'D-1 Off-Site Habitat Baseline'!$D$1:$O$258,12,FALSE))))</f>
        <v/>
      </c>
      <c r="N97" s="301" t="str">
        <f>IF(E97="","",IF(ISNA(VLOOKUP($E97,'D-1 Off-Site Habitat Baseline'!$D$1:$AA$258,17,FALSE)),"",(VLOOKUP($E97,'D-1 Off-Site Habitat Baseline'!$D$1:$AA$258,17,FALSE))))</f>
        <v/>
      </c>
      <c r="O97" s="305" t="str">
        <f>IF(E97="","",IF(ISNA(VLOOKUP($E97,'D-1 Off-Site Habitat Baseline'!$D$1:$AA$258,13,FALSE)),"",(VLOOKUP($E97,'D-1 Off-Site Habitat Baseline'!$D$1:$AA$258,13,FALSE))))</f>
        <v/>
      </c>
      <c r="P97" s="152" t="str">
        <f>IFERROR(INDEX('G-1 All Habitats'!$AG$49:$AG$63,MATCH(Q97,'G-1 All Habitats'!$AF$27:$AF$41,0)),"")</f>
        <v/>
      </c>
      <c r="Q97" s="153"/>
      <c r="R97" s="154"/>
      <c r="S97" s="155" t="str">
        <f>IFERROR(INDEX('G-1 All Habitats'!$B$3:$B$135,MATCH(R97,'G-1 All Habitats'!$A$3:$A$135,0)),"")</f>
        <v/>
      </c>
      <c r="T97" s="289" t="str">
        <f t="shared" si="12"/>
        <v/>
      </c>
      <c r="U97" s="305" t="str">
        <f t="shared" si="13"/>
        <v/>
      </c>
      <c r="V97" s="304" t="str">
        <f t="shared" si="10"/>
        <v/>
      </c>
      <c r="W97" s="301" t="str">
        <f>IF(S97="","",VLOOKUP(S97,'G-1 All Habitats'!$B$2:$M$135,10,FALSE))</f>
        <v/>
      </c>
      <c r="X97" s="301" t="str">
        <f>IFERROR(VLOOKUP(W97,'G-1 All Habitats'!$V$3:$W$7,2,FALSE),"")</f>
        <v/>
      </c>
      <c r="Y97" s="142"/>
      <c r="Z97" s="305" t="str">
        <f>IFERROR(INDEX('G-8 Condition Look up'!$A$3:$H$135,MATCH(S97,'G-8 Condition Look up'!$A$3:$A$135,0),MATCH(Y97,'G-8 Condition Look up'!$A$3:$H$3,0)),"")</f>
        <v/>
      </c>
      <c r="AA97" s="105"/>
      <c r="AB97" s="320" t="str">
        <f>IF(AA97="","",IF(VLOOKUP(AA97,'G-3 Multipliers'!$L$3:$N$6,2,FALSE)=0,"Spatial Data Missing ⚠",VLOOKUP(AA97,'G-3 Multipliers'!$L$3:$N$6,2,FALSE)))</f>
        <v/>
      </c>
      <c r="AC97" s="305" t="str">
        <f>IF(AA97="","",IF(VLOOKUP(AA97,'G-3 Multipliers'!$L$3:$N$6,3,FALSE)=0,"Spatial Data Missing ⚠",VLOOKUP(AA97,'G-3 Multipliers'!$L$3:$N$6,3,FALSE)))</f>
        <v/>
      </c>
      <c r="AD97" s="317" t="str">
        <f t="shared" si="11"/>
        <v/>
      </c>
      <c r="AE97" s="142"/>
      <c r="AF97" s="142"/>
      <c r="AG97" s="301" t="str">
        <f t="shared" si="14"/>
        <v/>
      </c>
      <c r="AH97" s="302" t="str">
        <f t="shared" si="15"/>
        <v/>
      </c>
      <c r="AI97" s="306" t="str">
        <f>IF(AH97="Check Data ⚠","Check Data ⚠",IFERROR(VLOOKUP(AH97,'G-4 Temporal multipliers'!$A$4:$C$36,3,FALSE),""))</f>
        <v/>
      </c>
      <c r="AJ97" s="317" t="str">
        <f>IF(S97="","",VLOOKUP(S97,'G-3 Multipliers'!$A$2:$E$134,4,FALSE))</f>
        <v/>
      </c>
      <c r="AK97" s="301" t="str">
        <f t="shared" si="16"/>
        <v/>
      </c>
      <c r="AL97" s="301" t="str">
        <f t="shared" si="17"/>
        <v/>
      </c>
      <c r="AM97" s="305" t="str">
        <f>IFERROR(IF(F97="","",IF(AH97="Check Data ⚠","Check Data ⚠",VLOOKUP(AL97, 'G-3 Multipliers'!$P$2:$Q$6,2,FALSE))),"")</f>
        <v/>
      </c>
      <c r="AN97" s="728"/>
      <c r="AO97" s="335" t="str">
        <f>IF(AN97="","",IF(VLOOKUP(AN97,'G-3 Multipliers'!$S$3:$T$10,2,FALSE)=0,"Spatial Data Missing ⚠",VLOOKUP(AN97,'G-3 Multipliers'!$S$3:$T$10,2,FALSE)))</f>
        <v/>
      </c>
      <c r="AP97" s="295" t="str">
        <f t="shared" si="18"/>
        <v/>
      </c>
      <c r="AQ97" s="295" t="str">
        <f t="shared" si="19"/>
        <v/>
      </c>
      <c r="AR97" s="109"/>
      <c r="AS97" s="142"/>
      <c r="AT97" s="108"/>
      <c r="AU97" s="108"/>
      <c r="AY97" s="30" t="str">
        <f>IF(E97="","",IF(ISNA(VLOOKUP($E97,'D-1 Off-Site Habitat Baseline'!$D$1:$AV$258,4,FALSE)),"",(VLOOKUP($E97,'D-1 Off-Site Habitat Baseline'!$D$1:$AV$258,4,FALSE))))</f>
        <v/>
      </c>
    </row>
    <row r="98" spans="1:51" x14ac:dyDescent="0.25">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325" t="str">
        <f>'D-1 Off-Site Habitat Baseline'!AP97</f>
        <v/>
      </c>
      <c r="F98" s="289" t="str">
        <f>IF(E98="","",IF(ISNA(VLOOKUP($E98,'D-1 Off-Site Habitat Baseline'!$D$1:$ZZ$258,45,FALSE)),"",(VLOOKUP($E98,'D-1 Off-Site Habitat Baseline'!$D$1:$ZZ$258,45,FALSE))))</f>
        <v/>
      </c>
      <c r="G98" s="301" t="str">
        <f>IF(E98="","",IF(ISNA(VLOOKUP($E98,'D-1 Off-Site Habitat Baseline'!$D$1:$O$258,5,FALSE)),"",(VLOOKUP($E98,'D-1 Off-Site Habitat Baseline'!$D$1:$O$258,5,FALSE))))</f>
        <v/>
      </c>
      <c r="H98" s="301" t="str">
        <f>IF(E98="","",IF(ISNA(VLOOKUP($E98,'D-1 Off-Site Habitat Baseline'!$D$1:$O$258,6,FALSE)),"",(VLOOKUP($E98,'D-1 Off-Site Habitat Baseline'!$D$1:$O$258,6,FALSE))))</f>
        <v/>
      </c>
      <c r="I98" s="301" t="str">
        <f>IF(E98="","",IF(ISNA(VLOOKUP($E98,'D-1 Off-Site Habitat Baseline'!$D$1:$O$258,7,FALSE)),"",(VLOOKUP($E98,'D-1 Off-Site Habitat Baseline'!$D$1:$O$258,7,FALSE))))</f>
        <v/>
      </c>
      <c r="J98" s="301" t="str">
        <f>IF(E98="","",IF(ISNA(VLOOKUP($E98,'D-1 Off-Site Habitat Baseline'!$D$1:$O$258,8,FALSE)),"",(VLOOKUP($E98,'D-1 Off-Site Habitat Baseline'!$D$1:$O$258,8,FALSE))))</f>
        <v/>
      </c>
      <c r="K98" s="301" t="str">
        <f>IF(E98="","",IF(ISNA(VLOOKUP($E98,'D-1 Off-Site Habitat Baseline'!$D$1:$O$258,9,FALSE)),"",(VLOOKUP($E98,'D-1 Off-Site Habitat Baseline'!$D$1:$O$258,9,FALSE))))</f>
        <v/>
      </c>
      <c r="L98" s="301" t="str">
        <f>IF(E98="","",IF(ISNA(VLOOKUP($E98,'D-1 Off-Site Habitat Baseline'!$D$1:$O$258,11,FALSE)),"",(VLOOKUP($E98,'D-1 Off-Site Habitat Baseline'!$D$1:$O$258,11,FALSE))))</f>
        <v/>
      </c>
      <c r="M98" s="301" t="str">
        <f>IF(E98="","",IF(ISNA(VLOOKUP($E98,'D-1 Off-Site Habitat Baseline'!$D$1:$O$258,12,FALSE)),"",(VLOOKUP($E98,'D-1 Off-Site Habitat Baseline'!$D$1:$O$258,12,FALSE))))</f>
        <v/>
      </c>
      <c r="N98" s="301" t="str">
        <f>IF(E98="","",IF(ISNA(VLOOKUP($E98,'D-1 Off-Site Habitat Baseline'!$D$1:$AA$258,17,FALSE)),"",(VLOOKUP($E98,'D-1 Off-Site Habitat Baseline'!$D$1:$AA$258,17,FALSE))))</f>
        <v/>
      </c>
      <c r="O98" s="305" t="str">
        <f>IF(E98="","",IF(ISNA(VLOOKUP($E98,'D-1 Off-Site Habitat Baseline'!$D$1:$AA$258,13,FALSE)),"",(VLOOKUP($E98,'D-1 Off-Site Habitat Baseline'!$D$1:$AA$258,13,FALSE))))</f>
        <v/>
      </c>
      <c r="P98" s="152" t="str">
        <f>IFERROR(INDEX('G-1 All Habitats'!$AG$49:$AG$63,MATCH(Q98,'G-1 All Habitats'!$AF$27:$AF$41,0)),"")</f>
        <v/>
      </c>
      <c r="Q98" s="153"/>
      <c r="R98" s="154"/>
      <c r="S98" s="155" t="str">
        <f>IFERROR(INDEX('G-1 All Habitats'!$B$3:$B$135,MATCH(R98,'G-1 All Habitats'!$A$3:$A$135,0)),"")</f>
        <v/>
      </c>
      <c r="T98" s="289" t="str">
        <f t="shared" si="12"/>
        <v/>
      </c>
      <c r="U98" s="305" t="str">
        <f t="shared" si="13"/>
        <v/>
      </c>
      <c r="V98" s="304" t="str">
        <f t="shared" si="10"/>
        <v/>
      </c>
      <c r="W98" s="301" t="str">
        <f>IF(S98="","",VLOOKUP(S98,'G-1 All Habitats'!$B$2:$M$135,10,FALSE))</f>
        <v/>
      </c>
      <c r="X98" s="301" t="str">
        <f>IFERROR(VLOOKUP(W98,'G-1 All Habitats'!$V$3:$W$7,2,FALSE),"")</f>
        <v/>
      </c>
      <c r="Y98" s="142"/>
      <c r="Z98" s="305" t="str">
        <f>IFERROR(INDEX('G-8 Condition Look up'!$A$3:$H$135,MATCH(S98,'G-8 Condition Look up'!$A$3:$A$135,0),MATCH(Y98,'G-8 Condition Look up'!$A$3:$H$3,0)),"")</f>
        <v/>
      </c>
      <c r="AA98" s="105"/>
      <c r="AB98" s="320" t="str">
        <f>IF(AA98="","",IF(VLOOKUP(AA98,'G-3 Multipliers'!$L$3:$N$6,2,FALSE)=0,"Spatial Data Missing ⚠",VLOOKUP(AA98,'G-3 Multipliers'!$L$3:$N$6,2,FALSE)))</f>
        <v/>
      </c>
      <c r="AC98" s="305" t="str">
        <f>IF(AA98="","",IF(VLOOKUP(AA98,'G-3 Multipliers'!$L$3:$N$6,3,FALSE)=0,"Spatial Data Missing ⚠",VLOOKUP(AA98,'G-3 Multipliers'!$L$3:$N$6,3,FALSE)))</f>
        <v/>
      </c>
      <c r="AD98" s="317" t="str">
        <f t="shared" si="11"/>
        <v/>
      </c>
      <c r="AE98" s="142"/>
      <c r="AF98" s="142"/>
      <c r="AG98" s="301" t="str">
        <f t="shared" si="14"/>
        <v/>
      </c>
      <c r="AH98" s="302" t="str">
        <f t="shared" si="15"/>
        <v/>
      </c>
      <c r="AI98" s="306" t="str">
        <f>IF(AH98="Check Data ⚠","Check Data ⚠",IFERROR(VLOOKUP(AH98,'G-4 Temporal multipliers'!$A$4:$C$36,3,FALSE),""))</f>
        <v/>
      </c>
      <c r="AJ98" s="317" t="str">
        <f>IF(S98="","",VLOOKUP(S98,'G-3 Multipliers'!$A$2:$E$134,4,FALSE))</f>
        <v/>
      </c>
      <c r="AK98" s="301" t="str">
        <f t="shared" si="16"/>
        <v/>
      </c>
      <c r="AL98" s="301" t="str">
        <f t="shared" si="17"/>
        <v/>
      </c>
      <c r="AM98" s="305" t="str">
        <f>IFERROR(IF(F98="","",IF(AH98="Check Data ⚠","Check Data ⚠",VLOOKUP(AL98, 'G-3 Multipliers'!$P$2:$Q$6,2,FALSE))),"")</f>
        <v/>
      </c>
      <c r="AN98" s="728"/>
      <c r="AO98" s="335" t="str">
        <f>IF(AN98="","",IF(VLOOKUP(AN98,'G-3 Multipliers'!$S$3:$T$10,2,FALSE)=0,"Spatial Data Missing ⚠",VLOOKUP(AN98,'G-3 Multipliers'!$S$3:$T$10,2,FALSE)))</f>
        <v/>
      </c>
      <c r="AP98" s="295" t="str">
        <f t="shared" si="18"/>
        <v/>
      </c>
      <c r="AQ98" s="295" t="str">
        <f t="shared" si="19"/>
        <v/>
      </c>
      <c r="AR98" s="109"/>
      <c r="AS98" s="142"/>
      <c r="AT98" s="108"/>
      <c r="AU98" s="108"/>
      <c r="AY98" s="30" t="str">
        <f>IF(E98="","",IF(ISNA(VLOOKUP($E98,'D-1 Off-Site Habitat Baseline'!$D$1:$AV$258,4,FALSE)),"",(VLOOKUP($E98,'D-1 Off-Site Habitat Baseline'!$D$1:$AV$258,4,FALSE))))</f>
        <v/>
      </c>
    </row>
    <row r="99" spans="1:51" x14ac:dyDescent="0.25">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325" t="str">
        <f>'D-1 Off-Site Habitat Baseline'!AP98</f>
        <v/>
      </c>
      <c r="F99" s="289" t="str">
        <f>IF(E99="","",IF(ISNA(VLOOKUP($E99,'D-1 Off-Site Habitat Baseline'!$D$1:$ZZ$258,45,FALSE)),"",(VLOOKUP($E99,'D-1 Off-Site Habitat Baseline'!$D$1:$ZZ$258,45,FALSE))))</f>
        <v/>
      </c>
      <c r="G99" s="301" t="str">
        <f>IF(E99="","",IF(ISNA(VLOOKUP($E99,'D-1 Off-Site Habitat Baseline'!$D$1:$O$258,5,FALSE)),"",(VLOOKUP($E99,'D-1 Off-Site Habitat Baseline'!$D$1:$O$258,5,FALSE))))</f>
        <v/>
      </c>
      <c r="H99" s="301" t="str">
        <f>IF(E99="","",IF(ISNA(VLOOKUP($E99,'D-1 Off-Site Habitat Baseline'!$D$1:$O$258,6,FALSE)),"",(VLOOKUP($E99,'D-1 Off-Site Habitat Baseline'!$D$1:$O$258,6,FALSE))))</f>
        <v/>
      </c>
      <c r="I99" s="301" t="str">
        <f>IF(E99="","",IF(ISNA(VLOOKUP($E99,'D-1 Off-Site Habitat Baseline'!$D$1:$O$258,7,FALSE)),"",(VLOOKUP($E99,'D-1 Off-Site Habitat Baseline'!$D$1:$O$258,7,FALSE))))</f>
        <v/>
      </c>
      <c r="J99" s="301" t="str">
        <f>IF(E99="","",IF(ISNA(VLOOKUP($E99,'D-1 Off-Site Habitat Baseline'!$D$1:$O$258,8,FALSE)),"",(VLOOKUP($E99,'D-1 Off-Site Habitat Baseline'!$D$1:$O$258,8,FALSE))))</f>
        <v/>
      </c>
      <c r="K99" s="301" t="str">
        <f>IF(E99="","",IF(ISNA(VLOOKUP($E99,'D-1 Off-Site Habitat Baseline'!$D$1:$O$258,9,FALSE)),"",(VLOOKUP($E99,'D-1 Off-Site Habitat Baseline'!$D$1:$O$258,9,FALSE))))</f>
        <v/>
      </c>
      <c r="L99" s="301" t="str">
        <f>IF(E99="","",IF(ISNA(VLOOKUP($E99,'D-1 Off-Site Habitat Baseline'!$D$1:$O$258,11,FALSE)),"",(VLOOKUP($E99,'D-1 Off-Site Habitat Baseline'!$D$1:$O$258,11,FALSE))))</f>
        <v/>
      </c>
      <c r="M99" s="301" t="str">
        <f>IF(E99="","",IF(ISNA(VLOOKUP($E99,'D-1 Off-Site Habitat Baseline'!$D$1:$O$258,12,FALSE)),"",(VLOOKUP($E99,'D-1 Off-Site Habitat Baseline'!$D$1:$O$258,12,FALSE))))</f>
        <v/>
      </c>
      <c r="N99" s="301" t="str">
        <f>IF(E99="","",IF(ISNA(VLOOKUP($E99,'D-1 Off-Site Habitat Baseline'!$D$1:$AA$258,17,FALSE)),"",(VLOOKUP($E99,'D-1 Off-Site Habitat Baseline'!$D$1:$AA$258,17,FALSE))))</f>
        <v/>
      </c>
      <c r="O99" s="305" t="str">
        <f>IF(E99="","",IF(ISNA(VLOOKUP($E99,'D-1 Off-Site Habitat Baseline'!$D$1:$AA$258,13,FALSE)),"",(VLOOKUP($E99,'D-1 Off-Site Habitat Baseline'!$D$1:$AA$258,13,FALSE))))</f>
        <v/>
      </c>
      <c r="P99" s="152" t="str">
        <f>IFERROR(INDEX('G-1 All Habitats'!$AG$49:$AG$63,MATCH(Q99,'G-1 All Habitats'!$AF$27:$AF$41,0)),"")</f>
        <v/>
      </c>
      <c r="Q99" s="153"/>
      <c r="R99" s="154"/>
      <c r="S99" s="155" t="str">
        <f>IFERROR(INDEX('G-1 All Habitats'!$B$3:$B$135,MATCH(R99,'G-1 All Habitats'!$A$3:$A$135,0)),"")</f>
        <v/>
      </c>
      <c r="T99" s="289" t="str">
        <f t="shared" si="12"/>
        <v/>
      </c>
      <c r="U99" s="305" t="str">
        <f t="shared" si="13"/>
        <v/>
      </c>
      <c r="V99" s="304" t="str">
        <f t="shared" si="10"/>
        <v/>
      </c>
      <c r="W99" s="301" t="str">
        <f>IF(S99="","",VLOOKUP(S99,'G-1 All Habitats'!$B$2:$M$135,10,FALSE))</f>
        <v/>
      </c>
      <c r="X99" s="301" t="str">
        <f>IFERROR(VLOOKUP(W99,'G-1 All Habitats'!$V$3:$W$7,2,FALSE),"")</f>
        <v/>
      </c>
      <c r="Y99" s="142"/>
      <c r="Z99" s="305" t="str">
        <f>IFERROR(INDEX('G-8 Condition Look up'!$A$3:$H$135,MATCH(S99,'G-8 Condition Look up'!$A$3:$A$135,0),MATCH(Y99,'G-8 Condition Look up'!$A$3:$H$3,0)),"")</f>
        <v/>
      </c>
      <c r="AA99" s="105"/>
      <c r="AB99" s="320" t="str">
        <f>IF(AA99="","",IF(VLOOKUP(AA99,'G-3 Multipliers'!$L$3:$N$6,2,FALSE)=0,"Spatial Data Missing ⚠",VLOOKUP(AA99,'G-3 Multipliers'!$L$3:$N$6,2,FALSE)))</f>
        <v/>
      </c>
      <c r="AC99" s="305" t="str">
        <f>IF(AA99="","",IF(VLOOKUP(AA99,'G-3 Multipliers'!$L$3:$N$6,3,FALSE)=0,"Spatial Data Missing ⚠",VLOOKUP(AA99,'G-3 Multipliers'!$L$3:$N$6,3,FALSE)))</f>
        <v/>
      </c>
      <c r="AD99" s="317" t="str">
        <f t="shared" si="11"/>
        <v/>
      </c>
      <c r="AE99" s="142"/>
      <c r="AF99" s="142"/>
      <c r="AG99" s="301" t="str">
        <f t="shared" si="14"/>
        <v/>
      </c>
      <c r="AH99" s="302" t="str">
        <f t="shared" si="15"/>
        <v/>
      </c>
      <c r="AI99" s="306" t="str">
        <f>IF(AH99="Check Data ⚠","Check Data ⚠",IFERROR(VLOOKUP(AH99,'G-4 Temporal multipliers'!$A$4:$C$36,3,FALSE),""))</f>
        <v/>
      </c>
      <c r="AJ99" s="317" t="str">
        <f>IF(S99="","",VLOOKUP(S99,'G-3 Multipliers'!$A$2:$E$134,4,FALSE))</f>
        <v/>
      </c>
      <c r="AK99" s="301" t="str">
        <f t="shared" si="16"/>
        <v/>
      </c>
      <c r="AL99" s="301" t="str">
        <f t="shared" si="17"/>
        <v/>
      </c>
      <c r="AM99" s="305" t="str">
        <f>IFERROR(IF(F99="","",IF(AH99="Check Data ⚠","Check Data ⚠",VLOOKUP(AL99, 'G-3 Multipliers'!$P$2:$Q$6,2,FALSE))),"")</f>
        <v/>
      </c>
      <c r="AN99" s="728"/>
      <c r="AO99" s="335" t="str">
        <f>IF(AN99="","",IF(VLOOKUP(AN99,'G-3 Multipliers'!$S$3:$T$10,2,FALSE)=0,"Spatial Data Missing ⚠",VLOOKUP(AN99,'G-3 Multipliers'!$S$3:$T$10,2,FALSE)))</f>
        <v/>
      </c>
      <c r="AP99" s="295" t="str">
        <f t="shared" si="18"/>
        <v/>
      </c>
      <c r="AQ99" s="295" t="str">
        <f t="shared" si="19"/>
        <v/>
      </c>
      <c r="AR99" s="109"/>
      <c r="AS99" s="142"/>
      <c r="AT99" s="108"/>
      <c r="AU99" s="108"/>
      <c r="AY99" s="30" t="str">
        <f>IF(E99="","",IF(ISNA(VLOOKUP($E99,'D-1 Off-Site Habitat Baseline'!$D$1:$AV$258,4,FALSE)),"",(VLOOKUP($E99,'D-1 Off-Site Habitat Baseline'!$D$1:$AV$258,4,FALSE))))</f>
        <v/>
      </c>
    </row>
    <row r="100" spans="1:51" x14ac:dyDescent="0.25">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325" t="str">
        <f>'D-1 Off-Site Habitat Baseline'!AP99</f>
        <v/>
      </c>
      <c r="F100" s="289" t="str">
        <f>IF(E100="","",IF(ISNA(VLOOKUP($E100,'D-1 Off-Site Habitat Baseline'!$D$1:$ZZ$258,45,FALSE)),"",(VLOOKUP($E100,'D-1 Off-Site Habitat Baseline'!$D$1:$ZZ$258,45,FALSE))))</f>
        <v/>
      </c>
      <c r="G100" s="301" t="str">
        <f>IF(E100="","",IF(ISNA(VLOOKUP($E100,'D-1 Off-Site Habitat Baseline'!$D$1:$O$258,5,FALSE)),"",(VLOOKUP($E100,'D-1 Off-Site Habitat Baseline'!$D$1:$O$258,5,FALSE))))</f>
        <v/>
      </c>
      <c r="H100" s="301" t="str">
        <f>IF(E100="","",IF(ISNA(VLOOKUP($E100,'D-1 Off-Site Habitat Baseline'!$D$1:$O$258,6,FALSE)),"",(VLOOKUP($E100,'D-1 Off-Site Habitat Baseline'!$D$1:$O$258,6,FALSE))))</f>
        <v/>
      </c>
      <c r="I100" s="301" t="str">
        <f>IF(E100="","",IF(ISNA(VLOOKUP($E100,'D-1 Off-Site Habitat Baseline'!$D$1:$O$258,7,FALSE)),"",(VLOOKUP($E100,'D-1 Off-Site Habitat Baseline'!$D$1:$O$258,7,FALSE))))</f>
        <v/>
      </c>
      <c r="J100" s="301" t="str">
        <f>IF(E100="","",IF(ISNA(VLOOKUP($E100,'D-1 Off-Site Habitat Baseline'!$D$1:$O$258,8,FALSE)),"",(VLOOKUP($E100,'D-1 Off-Site Habitat Baseline'!$D$1:$O$258,8,FALSE))))</f>
        <v/>
      </c>
      <c r="K100" s="301" t="str">
        <f>IF(E100="","",IF(ISNA(VLOOKUP($E100,'D-1 Off-Site Habitat Baseline'!$D$1:$O$258,9,FALSE)),"",(VLOOKUP($E100,'D-1 Off-Site Habitat Baseline'!$D$1:$O$258,9,FALSE))))</f>
        <v/>
      </c>
      <c r="L100" s="301" t="str">
        <f>IF(E100="","",IF(ISNA(VLOOKUP($E100,'D-1 Off-Site Habitat Baseline'!$D$1:$O$258,11,FALSE)),"",(VLOOKUP($E100,'D-1 Off-Site Habitat Baseline'!$D$1:$O$258,11,FALSE))))</f>
        <v/>
      </c>
      <c r="M100" s="301" t="str">
        <f>IF(E100="","",IF(ISNA(VLOOKUP($E100,'D-1 Off-Site Habitat Baseline'!$D$1:$O$258,12,FALSE)),"",(VLOOKUP($E100,'D-1 Off-Site Habitat Baseline'!$D$1:$O$258,12,FALSE))))</f>
        <v/>
      </c>
      <c r="N100" s="301" t="str">
        <f>IF(E100="","",IF(ISNA(VLOOKUP($E100,'D-1 Off-Site Habitat Baseline'!$D$1:$AA$258,17,FALSE)),"",(VLOOKUP($E100,'D-1 Off-Site Habitat Baseline'!$D$1:$AA$258,17,FALSE))))</f>
        <v/>
      </c>
      <c r="O100" s="305" t="str">
        <f>IF(E100="","",IF(ISNA(VLOOKUP($E100,'D-1 Off-Site Habitat Baseline'!$D$1:$AA$258,13,FALSE)),"",(VLOOKUP($E100,'D-1 Off-Site Habitat Baseline'!$D$1:$AA$258,13,FALSE))))</f>
        <v/>
      </c>
      <c r="P100" s="152" t="str">
        <f>IFERROR(INDEX('G-1 All Habitats'!$AG$49:$AG$63,MATCH(Q100,'G-1 All Habitats'!$AF$27:$AF$41,0)),"")</f>
        <v/>
      </c>
      <c r="Q100" s="153"/>
      <c r="R100" s="154"/>
      <c r="S100" s="155" t="str">
        <f>IFERROR(INDEX('G-1 All Habitats'!$B$3:$B$135,MATCH(R100,'G-1 All Habitats'!$A$3:$A$135,0)),"")</f>
        <v/>
      </c>
      <c r="T100" s="289" t="str">
        <f t="shared" si="12"/>
        <v/>
      </c>
      <c r="U100" s="305" t="str">
        <f t="shared" si="13"/>
        <v/>
      </c>
      <c r="V100" s="304" t="str">
        <f t="shared" si="10"/>
        <v/>
      </c>
      <c r="W100" s="301" t="str">
        <f>IF(S100="","",VLOOKUP(S100,'G-1 All Habitats'!$B$2:$M$135,10,FALSE))</f>
        <v/>
      </c>
      <c r="X100" s="301" t="str">
        <f>IFERROR(VLOOKUP(W100,'G-1 All Habitats'!$V$3:$W$7,2,FALSE),"")</f>
        <v/>
      </c>
      <c r="Y100" s="142"/>
      <c r="Z100" s="305" t="str">
        <f>IFERROR(INDEX('G-8 Condition Look up'!$A$3:$H$135,MATCH(S100,'G-8 Condition Look up'!$A$3:$A$135,0),MATCH(Y100,'G-8 Condition Look up'!$A$3:$H$3,0)),"")</f>
        <v/>
      </c>
      <c r="AA100" s="105"/>
      <c r="AB100" s="320" t="str">
        <f>IF(AA100="","",IF(VLOOKUP(AA100,'G-3 Multipliers'!$L$3:$N$6,2,FALSE)=0,"Spatial Data Missing ⚠",VLOOKUP(AA100,'G-3 Multipliers'!$L$3:$N$6,2,FALSE)))</f>
        <v/>
      </c>
      <c r="AC100" s="305" t="str">
        <f>IF(AA100="","",IF(VLOOKUP(AA100,'G-3 Multipliers'!$L$3:$N$6,3,FALSE)=0,"Spatial Data Missing ⚠",VLOOKUP(AA100,'G-3 Multipliers'!$L$3:$N$6,3,FALSE)))</f>
        <v/>
      </c>
      <c r="AD100" s="317" t="str">
        <f t="shared" si="11"/>
        <v/>
      </c>
      <c r="AE100" s="142"/>
      <c r="AF100" s="142"/>
      <c r="AG100" s="301" t="str">
        <f t="shared" si="14"/>
        <v/>
      </c>
      <c r="AH100" s="302" t="str">
        <f t="shared" si="15"/>
        <v/>
      </c>
      <c r="AI100" s="306" t="str">
        <f>IF(AH100="Check Data ⚠","Check Data ⚠",IFERROR(VLOOKUP(AH100,'G-4 Temporal multipliers'!$A$4:$C$36,3,FALSE),""))</f>
        <v/>
      </c>
      <c r="AJ100" s="317" t="str">
        <f>IF(S100="","",VLOOKUP(S100,'G-3 Multipliers'!$A$2:$E$134,4,FALSE))</f>
        <v/>
      </c>
      <c r="AK100" s="301" t="str">
        <f t="shared" si="16"/>
        <v/>
      </c>
      <c r="AL100" s="301" t="str">
        <f t="shared" si="17"/>
        <v/>
      </c>
      <c r="AM100" s="305" t="str">
        <f>IFERROR(IF(F100="","",IF(AH100="Check Data ⚠","Check Data ⚠",VLOOKUP(AL100, 'G-3 Multipliers'!$P$2:$Q$6,2,FALSE))),"")</f>
        <v/>
      </c>
      <c r="AN100" s="728"/>
      <c r="AO100" s="335" t="str">
        <f>IF(AN100="","",IF(VLOOKUP(AN100,'G-3 Multipliers'!$S$3:$T$10,2,FALSE)=0,"Spatial Data Missing ⚠",VLOOKUP(AN100,'G-3 Multipliers'!$S$3:$T$10,2,FALSE)))</f>
        <v/>
      </c>
      <c r="AP100" s="295" t="str">
        <f t="shared" si="18"/>
        <v/>
      </c>
      <c r="AQ100" s="295" t="str">
        <f t="shared" si="19"/>
        <v/>
      </c>
      <c r="AR100" s="109"/>
      <c r="AS100" s="142"/>
      <c r="AT100" s="108"/>
      <c r="AU100" s="108"/>
      <c r="AY100" s="30" t="str">
        <f>IF(E100="","",IF(ISNA(VLOOKUP($E100,'D-1 Off-Site Habitat Baseline'!$D$1:$AV$258,4,FALSE)),"",(VLOOKUP($E100,'D-1 Off-Site Habitat Baseline'!$D$1:$AV$258,4,FALSE))))</f>
        <v/>
      </c>
    </row>
    <row r="101" spans="1:51" x14ac:dyDescent="0.25">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325" t="str">
        <f>'D-1 Off-Site Habitat Baseline'!AP100</f>
        <v/>
      </c>
      <c r="F101" s="289" t="str">
        <f>IF(E101="","",IF(ISNA(VLOOKUP($E101,'D-1 Off-Site Habitat Baseline'!$D$1:$ZZ$258,45,FALSE)),"",(VLOOKUP($E101,'D-1 Off-Site Habitat Baseline'!$D$1:$ZZ$258,45,FALSE))))</f>
        <v/>
      </c>
      <c r="G101" s="301" t="str">
        <f>IF(E101="","",IF(ISNA(VLOOKUP($E101,'D-1 Off-Site Habitat Baseline'!$D$1:$O$258,5,FALSE)),"",(VLOOKUP($E101,'D-1 Off-Site Habitat Baseline'!$D$1:$O$258,5,FALSE))))</f>
        <v/>
      </c>
      <c r="H101" s="301" t="str">
        <f>IF(E101="","",IF(ISNA(VLOOKUP($E101,'D-1 Off-Site Habitat Baseline'!$D$1:$O$258,6,FALSE)),"",(VLOOKUP($E101,'D-1 Off-Site Habitat Baseline'!$D$1:$O$258,6,FALSE))))</f>
        <v/>
      </c>
      <c r="I101" s="301" t="str">
        <f>IF(E101="","",IF(ISNA(VLOOKUP($E101,'D-1 Off-Site Habitat Baseline'!$D$1:$O$258,7,FALSE)),"",(VLOOKUP($E101,'D-1 Off-Site Habitat Baseline'!$D$1:$O$258,7,FALSE))))</f>
        <v/>
      </c>
      <c r="J101" s="301" t="str">
        <f>IF(E101="","",IF(ISNA(VLOOKUP($E101,'D-1 Off-Site Habitat Baseline'!$D$1:$O$258,8,FALSE)),"",(VLOOKUP($E101,'D-1 Off-Site Habitat Baseline'!$D$1:$O$258,8,FALSE))))</f>
        <v/>
      </c>
      <c r="K101" s="301" t="str">
        <f>IF(E101="","",IF(ISNA(VLOOKUP($E101,'D-1 Off-Site Habitat Baseline'!$D$1:$O$258,9,FALSE)),"",(VLOOKUP($E101,'D-1 Off-Site Habitat Baseline'!$D$1:$O$258,9,FALSE))))</f>
        <v/>
      </c>
      <c r="L101" s="301" t="str">
        <f>IF(E101="","",IF(ISNA(VLOOKUP($E101,'D-1 Off-Site Habitat Baseline'!$D$1:$O$258,11,FALSE)),"",(VLOOKUP($E101,'D-1 Off-Site Habitat Baseline'!$D$1:$O$258,11,FALSE))))</f>
        <v/>
      </c>
      <c r="M101" s="301" t="str">
        <f>IF(E101="","",IF(ISNA(VLOOKUP($E101,'D-1 Off-Site Habitat Baseline'!$D$1:$O$258,12,FALSE)),"",(VLOOKUP($E101,'D-1 Off-Site Habitat Baseline'!$D$1:$O$258,12,FALSE))))</f>
        <v/>
      </c>
      <c r="N101" s="301" t="str">
        <f>IF(E101="","",IF(ISNA(VLOOKUP($E101,'D-1 Off-Site Habitat Baseline'!$D$1:$AA$258,17,FALSE)),"",(VLOOKUP($E101,'D-1 Off-Site Habitat Baseline'!$D$1:$AA$258,17,FALSE))))</f>
        <v/>
      </c>
      <c r="O101" s="305" t="str">
        <f>IF(E101="","",IF(ISNA(VLOOKUP($E101,'D-1 Off-Site Habitat Baseline'!$D$1:$AA$258,13,FALSE)),"",(VLOOKUP($E101,'D-1 Off-Site Habitat Baseline'!$D$1:$AA$258,13,FALSE))))</f>
        <v/>
      </c>
      <c r="P101" s="152" t="str">
        <f>IFERROR(INDEX('G-1 All Habitats'!$AG$49:$AG$63,MATCH(Q101,'G-1 All Habitats'!$AF$27:$AF$41,0)),"")</f>
        <v/>
      </c>
      <c r="Q101" s="153"/>
      <c r="R101" s="154"/>
      <c r="S101" s="155" t="str">
        <f>IFERROR(INDEX('G-1 All Habitats'!$B$3:$B$135,MATCH(R101,'G-1 All Habitats'!$A$3:$A$135,0)),"")</f>
        <v/>
      </c>
      <c r="T101" s="289" t="str">
        <f t="shared" si="12"/>
        <v/>
      </c>
      <c r="U101" s="305" t="str">
        <f t="shared" si="13"/>
        <v/>
      </c>
      <c r="V101" s="304" t="str">
        <f t="shared" si="10"/>
        <v/>
      </c>
      <c r="W101" s="301" t="str">
        <f>IF(S101="","",VLOOKUP(S101,'G-1 All Habitats'!$B$2:$M$135,10,FALSE))</f>
        <v/>
      </c>
      <c r="X101" s="301" t="str">
        <f>IFERROR(VLOOKUP(W101,'G-1 All Habitats'!$V$3:$W$7,2,FALSE),"")</f>
        <v/>
      </c>
      <c r="Y101" s="142"/>
      <c r="Z101" s="305" t="str">
        <f>IFERROR(INDEX('G-8 Condition Look up'!$A$3:$H$135,MATCH(S101,'G-8 Condition Look up'!$A$3:$A$135,0),MATCH(Y101,'G-8 Condition Look up'!$A$3:$H$3,0)),"")</f>
        <v/>
      </c>
      <c r="AA101" s="105"/>
      <c r="AB101" s="320" t="str">
        <f>IF(AA101="","",IF(VLOOKUP(AA101,'G-3 Multipliers'!$L$3:$N$6,2,FALSE)=0,"Spatial Data Missing ⚠",VLOOKUP(AA101,'G-3 Multipliers'!$L$3:$N$6,2,FALSE)))</f>
        <v/>
      </c>
      <c r="AC101" s="305" t="str">
        <f>IF(AA101="","",IF(VLOOKUP(AA101,'G-3 Multipliers'!$L$3:$N$6,3,FALSE)=0,"Spatial Data Missing ⚠",VLOOKUP(AA101,'G-3 Multipliers'!$L$3:$N$6,3,FALSE)))</f>
        <v/>
      </c>
      <c r="AD101" s="317" t="str">
        <f t="shared" si="11"/>
        <v/>
      </c>
      <c r="AE101" s="142"/>
      <c r="AF101" s="142"/>
      <c r="AG101" s="301" t="str">
        <f t="shared" si="14"/>
        <v/>
      </c>
      <c r="AH101" s="302" t="str">
        <f t="shared" si="15"/>
        <v/>
      </c>
      <c r="AI101" s="306" t="str">
        <f>IF(AH101="Check Data ⚠","Check Data ⚠",IFERROR(VLOOKUP(AH101,'G-4 Temporal multipliers'!$A$4:$C$36,3,FALSE),""))</f>
        <v/>
      </c>
      <c r="AJ101" s="317" t="str">
        <f>IF(S101="","",VLOOKUP(S101,'G-3 Multipliers'!$A$2:$E$134,4,FALSE))</f>
        <v/>
      </c>
      <c r="AK101" s="301" t="str">
        <f t="shared" si="16"/>
        <v/>
      </c>
      <c r="AL101" s="301" t="str">
        <f t="shared" si="17"/>
        <v/>
      </c>
      <c r="AM101" s="305" t="str">
        <f>IFERROR(IF(F101="","",IF(AH101="Check Data ⚠","Check Data ⚠",VLOOKUP(AL101, 'G-3 Multipliers'!$P$2:$Q$6,2,FALSE))),"")</f>
        <v/>
      </c>
      <c r="AN101" s="728"/>
      <c r="AO101" s="335" t="str">
        <f>IF(AN101="","",IF(VLOOKUP(AN101,'G-3 Multipliers'!$S$3:$T$10,2,FALSE)=0,"Spatial Data Missing ⚠",VLOOKUP(AN101,'G-3 Multipliers'!$S$3:$T$10,2,FALSE)))</f>
        <v/>
      </c>
      <c r="AP101" s="295" t="str">
        <f t="shared" si="18"/>
        <v/>
      </c>
      <c r="AQ101" s="295" t="str">
        <f t="shared" si="19"/>
        <v/>
      </c>
      <c r="AR101" s="109"/>
      <c r="AS101" s="142"/>
      <c r="AT101" s="108"/>
      <c r="AU101" s="108"/>
      <c r="AY101" s="30" t="str">
        <f>IF(E101="","",IF(ISNA(VLOOKUP($E101,'D-1 Off-Site Habitat Baseline'!$D$1:$AV$258,4,FALSE)),"",(VLOOKUP($E101,'D-1 Off-Site Habitat Baseline'!$D$1:$AV$258,4,FALSE))))</f>
        <v/>
      </c>
    </row>
    <row r="102" spans="1:51" x14ac:dyDescent="0.25">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325" t="str">
        <f>'D-1 Off-Site Habitat Baseline'!AP101</f>
        <v/>
      </c>
      <c r="F102" s="289" t="str">
        <f>IF(E102="","",IF(ISNA(VLOOKUP($E102,'D-1 Off-Site Habitat Baseline'!$D$1:$ZZ$258,45,FALSE)),"",(VLOOKUP($E102,'D-1 Off-Site Habitat Baseline'!$D$1:$ZZ$258,45,FALSE))))</f>
        <v/>
      </c>
      <c r="G102" s="301" t="str">
        <f>IF(E102="","",IF(ISNA(VLOOKUP($E102,'D-1 Off-Site Habitat Baseline'!$D$1:$O$258,5,FALSE)),"",(VLOOKUP($E102,'D-1 Off-Site Habitat Baseline'!$D$1:$O$258,5,FALSE))))</f>
        <v/>
      </c>
      <c r="H102" s="301" t="str">
        <f>IF(E102="","",IF(ISNA(VLOOKUP($E102,'D-1 Off-Site Habitat Baseline'!$D$1:$O$258,6,FALSE)),"",(VLOOKUP($E102,'D-1 Off-Site Habitat Baseline'!$D$1:$O$258,6,FALSE))))</f>
        <v/>
      </c>
      <c r="I102" s="301" t="str">
        <f>IF(E102="","",IF(ISNA(VLOOKUP($E102,'D-1 Off-Site Habitat Baseline'!$D$1:$O$258,7,FALSE)),"",(VLOOKUP($E102,'D-1 Off-Site Habitat Baseline'!$D$1:$O$258,7,FALSE))))</f>
        <v/>
      </c>
      <c r="J102" s="301" t="str">
        <f>IF(E102="","",IF(ISNA(VLOOKUP($E102,'D-1 Off-Site Habitat Baseline'!$D$1:$O$258,8,FALSE)),"",(VLOOKUP($E102,'D-1 Off-Site Habitat Baseline'!$D$1:$O$258,8,FALSE))))</f>
        <v/>
      </c>
      <c r="K102" s="301" t="str">
        <f>IF(E102="","",IF(ISNA(VLOOKUP($E102,'D-1 Off-Site Habitat Baseline'!$D$1:$O$258,9,FALSE)),"",(VLOOKUP($E102,'D-1 Off-Site Habitat Baseline'!$D$1:$O$258,9,FALSE))))</f>
        <v/>
      </c>
      <c r="L102" s="301" t="str">
        <f>IF(E102="","",IF(ISNA(VLOOKUP($E102,'D-1 Off-Site Habitat Baseline'!$D$1:$O$258,11,FALSE)),"",(VLOOKUP($E102,'D-1 Off-Site Habitat Baseline'!$D$1:$O$258,11,FALSE))))</f>
        <v/>
      </c>
      <c r="M102" s="301" t="str">
        <f>IF(E102="","",IF(ISNA(VLOOKUP($E102,'D-1 Off-Site Habitat Baseline'!$D$1:$O$258,12,FALSE)),"",(VLOOKUP($E102,'D-1 Off-Site Habitat Baseline'!$D$1:$O$258,12,FALSE))))</f>
        <v/>
      </c>
      <c r="N102" s="301" t="str">
        <f>IF(E102="","",IF(ISNA(VLOOKUP($E102,'D-1 Off-Site Habitat Baseline'!$D$1:$AA$258,17,FALSE)),"",(VLOOKUP($E102,'D-1 Off-Site Habitat Baseline'!$D$1:$AA$258,17,FALSE))))</f>
        <v/>
      </c>
      <c r="O102" s="305" t="str">
        <f>IF(E102="","",IF(ISNA(VLOOKUP($E102,'D-1 Off-Site Habitat Baseline'!$D$1:$AA$258,13,FALSE)),"",(VLOOKUP($E102,'D-1 Off-Site Habitat Baseline'!$D$1:$AA$258,13,FALSE))))</f>
        <v/>
      </c>
      <c r="P102" s="152" t="str">
        <f>IFERROR(INDEX('G-1 All Habitats'!$AG$49:$AG$63,MATCH(Q102,'G-1 All Habitats'!$AF$27:$AF$41,0)),"")</f>
        <v/>
      </c>
      <c r="Q102" s="153"/>
      <c r="R102" s="154"/>
      <c r="S102" s="155" t="str">
        <f>IFERROR(INDEX('G-1 All Habitats'!$B$3:$B$135,MATCH(R102,'G-1 All Habitats'!$A$3:$A$135,0)),"")</f>
        <v/>
      </c>
      <c r="T102" s="289" t="str">
        <f t="shared" si="12"/>
        <v/>
      </c>
      <c r="U102" s="305" t="str">
        <f t="shared" si="13"/>
        <v/>
      </c>
      <c r="V102" s="304" t="str">
        <f t="shared" si="10"/>
        <v/>
      </c>
      <c r="W102" s="301" t="str">
        <f>IF(S102="","",VLOOKUP(S102,'G-1 All Habitats'!$B$2:$M$135,10,FALSE))</f>
        <v/>
      </c>
      <c r="X102" s="301" t="str">
        <f>IFERROR(VLOOKUP(W102,'G-1 All Habitats'!$V$3:$W$7,2,FALSE),"")</f>
        <v/>
      </c>
      <c r="Y102" s="142"/>
      <c r="Z102" s="305" t="str">
        <f>IFERROR(INDEX('G-8 Condition Look up'!$A$3:$H$135,MATCH(S102,'G-8 Condition Look up'!$A$3:$A$135,0),MATCH(Y102,'G-8 Condition Look up'!$A$3:$H$3,0)),"")</f>
        <v/>
      </c>
      <c r="AA102" s="105"/>
      <c r="AB102" s="320" t="str">
        <f>IF(AA102="","",IF(VLOOKUP(AA102,'G-3 Multipliers'!$L$3:$N$6,2,FALSE)=0,"Spatial Data Missing ⚠",VLOOKUP(AA102,'G-3 Multipliers'!$L$3:$N$6,2,FALSE)))</f>
        <v/>
      </c>
      <c r="AC102" s="305" t="str">
        <f>IF(AA102="","",IF(VLOOKUP(AA102,'G-3 Multipliers'!$L$3:$N$6,3,FALSE)=0,"Spatial Data Missing ⚠",VLOOKUP(AA102,'G-3 Multipliers'!$L$3:$N$6,3,FALSE)))</f>
        <v/>
      </c>
      <c r="AD102" s="317" t="str">
        <f t="shared" si="11"/>
        <v/>
      </c>
      <c r="AE102" s="142"/>
      <c r="AF102" s="142"/>
      <c r="AG102" s="301" t="str">
        <f t="shared" si="14"/>
        <v/>
      </c>
      <c r="AH102" s="302" t="str">
        <f t="shared" si="15"/>
        <v/>
      </c>
      <c r="AI102" s="306" t="str">
        <f>IF(AH102="Check Data ⚠","Check Data ⚠",IFERROR(VLOOKUP(AH102,'G-4 Temporal multipliers'!$A$4:$C$36,3,FALSE),""))</f>
        <v/>
      </c>
      <c r="AJ102" s="317" t="str">
        <f>IF(S102="","",VLOOKUP(S102,'G-3 Multipliers'!$A$2:$E$134,4,FALSE))</f>
        <v/>
      </c>
      <c r="AK102" s="301" t="str">
        <f t="shared" si="16"/>
        <v/>
      </c>
      <c r="AL102" s="301" t="str">
        <f t="shared" si="17"/>
        <v/>
      </c>
      <c r="AM102" s="305" t="str">
        <f>IFERROR(IF(F102="","",IF(AH102="Check Data ⚠","Check Data ⚠",VLOOKUP(AL102, 'G-3 Multipliers'!$P$2:$Q$6,2,FALSE))),"")</f>
        <v/>
      </c>
      <c r="AN102" s="728"/>
      <c r="AO102" s="335" t="str">
        <f>IF(AN102="","",IF(VLOOKUP(AN102,'G-3 Multipliers'!$S$3:$T$10,2,FALSE)=0,"Spatial Data Missing ⚠",VLOOKUP(AN102,'G-3 Multipliers'!$S$3:$T$10,2,FALSE)))</f>
        <v/>
      </c>
      <c r="AP102" s="295" t="str">
        <f t="shared" si="18"/>
        <v/>
      </c>
      <c r="AQ102" s="295" t="str">
        <f t="shared" si="19"/>
        <v/>
      </c>
      <c r="AR102" s="109"/>
      <c r="AS102" s="142"/>
      <c r="AT102" s="108"/>
      <c r="AU102" s="108"/>
      <c r="AY102" s="30" t="str">
        <f>IF(E102="","",IF(ISNA(VLOOKUP($E102,'D-1 Off-Site Habitat Baseline'!$D$1:$AV$258,4,FALSE)),"",(VLOOKUP($E102,'D-1 Off-Site Habitat Baseline'!$D$1:$AV$258,4,FALSE))))</f>
        <v/>
      </c>
    </row>
    <row r="103" spans="1:51" x14ac:dyDescent="0.25">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325" t="str">
        <f>'D-1 Off-Site Habitat Baseline'!AP102</f>
        <v/>
      </c>
      <c r="F103" s="289" t="str">
        <f>IF(E103="","",IF(ISNA(VLOOKUP($E103,'D-1 Off-Site Habitat Baseline'!$D$1:$ZZ$258,45,FALSE)),"",(VLOOKUP($E103,'D-1 Off-Site Habitat Baseline'!$D$1:$ZZ$258,45,FALSE))))</f>
        <v/>
      </c>
      <c r="G103" s="301" t="str">
        <f>IF(E103="","",IF(ISNA(VLOOKUP($E103,'D-1 Off-Site Habitat Baseline'!$D$1:$O$258,5,FALSE)),"",(VLOOKUP($E103,'D-1 Off-Site Habitat Baseline'!$D$1:$O$258,5,FALSE))))</f>
        <v/>
      </c>
      <c r="H103" s="301" t="str">
        <f>IF(E103="","",IF(ISNA(VLOOKUP($E103,'D-1 Off-Site Habitat Baseline'!$D$1:$O$258,6,FALSE)),"",(VLOOKUP($E103,'D-1 Off-Site Habitat Baseline'!$D$1:$O$258,6,FALSE))))</f>
        <v/>
      </c>
      <c r="I103" s="301" t="str">
        <f>IF(E103="","",IF(ISNA(VLOOKUP($E103,'D-1 Off-Site Habitat Baseline'!$D$1:$O$258,7,FALSE)),"",(VLOOKUP($E103,'D-1 Off-Site Habitat Baseline'!$D$1:$O$258,7,FALSE))))</f>
        <v/>
      </c>
      <c r="J103" s="301" t="str">
        <f>IF(E103="","",IF(ISNA(VLOOKUP($E103,'D-1 Off-Site Habitat Baseline'!$D$1:$O$258,8,FALSE)),"",(VLOOKUP($E103,'D-1 Off-Site Habitat Baseline'!$D$1:$O$258,8,FALSE))))</f>
        <v/>
      </c>
      <c r="K103" s="301" t="str">
        <f>IF(E103="","",IF(ISNA(VLOOKUP($E103,'D-1 Off-Site Habitat Baseline'!$D$1:$O$258,9,FALSE)),"",(VLOOKUP($E103,'D-1 Off-Site Habitat Baseline'!$D$1:$O$258,9,FALSE))))</f>
        <v/>
      </c>
      <c r="L103" s="301" t="str">
        <f>IF(E103="","",IF(ISNA(VLOOKUP($E103,'D-1 Off-Site Habitat Baseline'!$D$1:$O$258,11,FALSE)),"",(VLOOKUP($E103,'D-1 Off-Site Habitat Baseline'!$D$1:$O$258,11,FALSE))))</f>
        <v/>
      </c>
      <c r="M103" s="301" t="str">
        <f>IF(E103="","",IF(ISNA(VLOOKUP($E103,'D-1 Off-Site Habitat Baseline'!$D$1:$O$258,12,FALSE)),"",(VLOOKUP($E103,'D-1 Off-Site Habitat Baseline'!$D$1:$O$258,12,FALSE))))</f>
        <v/>
      </c>
      <c r="N103" s="301" t="str">
        <f>IF(E103="","",IF(ISNA(VLOOKUP($E103,'D-1 Off-Site Habitat Baseline'!$D$1:$AA$258,17,FALSE)),"",(VLOOKUP($E103,'D-1 Off-Site Habitat Baseline'!$D$1:$AA$258,17,FALSE))))</f>
        <v/>
      </c>
      <c r="O103" s="305" t="str">
        <f>IF(E103="","",IF(ISNA(VLOOKUP($E103,'D-1 Off-Site Habitat Baseline'!$D$1:$AA$258,13,FALSE)),"",(VLOOKUP($E103,'D-1 Off-Site Habitat Baseline'!$D$1:$AA$258,13,FALSE))))</f>
        <v/>
      </c>
      <c r="P103" s="152" t="str">
        <f>IFERROR(INDEX('G-1 All Habitats'!$AG$49:$AG$63,MATCH(Q103,'G-1 All Habitats'!$AF$27:$AF$41,0)),"")</f>
        <v/>
      </c>
      <c r="Q103" s="153"/>
      <c r="R103" s="154"/>
      <c r="S103" s="155" t="str">
        <f>IFERROR(INDEX('G-1 All Habitats'!$B$3:$B$135,MATCH(R103,'G-1 All Habitats'!$A$3:$A$135,0)),"")</f>
        <v/>
      </c>
      <c r="T103" s="289" t="str">
        <f t="shared" si="12"/>
        <v/>
      </c>
      <c r="U103" s="305" t="str">
        <f t="shared" si="13"/>
        <v/>
      </c>
      <c r="V103" s="304" t="str">
        <f t="shared" si="10"/>
        <v/>
      </c>
      <c r="W103" s="301" t="str">
        <f>IF(S103="","",VLOOKUP(S103,'G-1 All Habitats'!$B$2:$M$135,10,FALSE))</f>
        <v/>
      </c>
      <c r="X103" s="301" t="str">
        <f>IFERROR(VLOOKUP(W103,'G-1 All Habitats'!$V$3:$W$7,2,FALSE),"")</f>
        <v/>
      </c>
      <c r="Y103" s="142"/>
      <c r="Z103" s="305" t="str">
        <f>IFERROR(INDEX('G-8 Condition Look up'!$A$3:$H$135,MATCH(S103,'G-8 Condition Look up'!$A$3:$A$135,0),MATCH(Y103,'G-8 Condition Look up'!$A$3:$H$3,0)),"")</f>
        <v/>
      </c>
      <c r="AA103" s="105"/>
      <c r="AB103" s="320" t="str">
        <f>IF(AA103="","",IF(VLOOKUP(AA103,'G-3 Multipliers'!$L$3:$N$6,2,FALSE)=0,"Spatial Data Missing ⚠",VLOOKUP(AA103,'G-3 Multipliers'!$L$3:$N$6,2,FALSE)))</f>
        <v/>
      </c>
      <c r="AC103" s="305" t="str">
        <f>IF(AA103="","",IF(VLOOKUP(AA103,'G-3 Multipliers'!$L$3:$N$6,3,FALSE)=0,"Spatial Data Missing ⚠",VLOOKUP(AA103,'G-3 Multipliers'!$L$3:$N$6,3,FALSE)))</f>
        <v/>
      </c>
      <c r="AD103" s="317" t="str">
        <f t="shared" si="11"/>
        <v/>
      </c>
      <c r="AE103" s="142"/>
      <c r="AF103" s="142"/>
      <c r="AG103" s="301" t="str">
        <f t="shared" si="14"/>
        <v/>
      </c>
      <c r="AH103" s="302" t="str">
        <f t="shared" si="15"/>
        <v/>
      </c>
      <c r="AI103" s="306" t="str">
        <f>IF(AH103="Check Data ⚠","Check Data ⚠",IFERROR(VLOOKUP(AH103,'G-4 Temporal multipliers'!$A$4:$C$36,3,FALSE),""))</f>
        <v/>
      </c>
      <c r="AJ103" s="317" t="str">
        <f>IF(S103="","",VLOOKUP(S103,'G-3 Multipliers'!$A$2:$E$134,4,FALSE))</f>
        <v/>
      </c>
      <c r="AK103" s="301" t="str">
        <f t="shared" si="16"/>
        <v/>
      </c>
      <c r="AL103" s="301" t="str">
        <f t="shared" si="17"/>
        <v/>
      </c>
      <c r="AM103" s="305" t="str">
        <f>IFERROR(IF(F103="","",IF(AH103="Check Data ⚠","Check Data ⚠",VLOOKUP(AL103, 'G-3 Multipliers'!$P$2:$Q$6,2,FALSE))),"")</f>
        <v/>
      </c>
      <c r="AN103" s="728"/>
      <c r="AO103" s="335" t="str">
        <f>IF(AN103="","",IF(VLOOKUP(AN103,'G-3 Multipliers'!$S$3:$T$10,2,FALSE)=0,"Spatial Data Missing ⚠",VLOOKUP(AN103,'G-3 Multipliers'!$S$3:$T$10,2,FALSE)))</f>
        <v/>
      </c>
      <c r="AP103" s="295" t="str">
        <f t="shared" si="18"/>
        <v/>
      </c>
      <c r="AQ103" s="295" t="str">
        <f t="shared" si="19"/>
        <v/>
      </c>
      <c r="AR103" s="109"/>
      <c r="AS103" s="142"/>
      <c r="AT103" s="108"/>
      <c r="AU103" s="108"/>
      <c r="AY103" s="30" t="str">
        <f>IF(E103="","",IF(ISNA(VLOOKUP($E103,'D-1 Off-Site Habitat Baseline'!$D$1:$AV$258,4,FALSE)),"",(VLOOKUP($E103,'D-1 Off-Site Habitat Baseline'!$D$1:$AV$258,4,FALSE))))</f>
        <v/>
      </c>
    </row>
    <row r="104" spans="1:51" x14ac:dyDescent="0.25">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325" t="str">
        <f>'D-1 Off-Site Habitat Baseline'!AP103</f>
        <v/>
      </c>
      <c r="F104" s="289" t="str">
        <f>IF(E104="","",IF(ISNA(VLOOKUP($E104,'D-1 Off-Site Habitat Baseline'!$D$1:$ZZ$258,45,FALSE)),"",(VLOOKUP($E104,'D-1 Off-Site Habitat Baseline'!$D$1:$ZZ$258,45,FALSE))))</f>
        <v/>
      </c>
      <c r="G104" s="301" t="str">
        <f>IF(E104="","",IF(ISNA(VLOOKUP($E104,'D-1 Off-Site Habitat Baseline'!$D$1:$O$258,5,FALSE)),"",(VLOOKUP($E104,'D-1 Off-Site Habitat Baseline'!$D$1:$O$258,5,FALSE))))</f>
        <v/>
      </c>
      <c r="H104" s="301" t="str">
        <f>IF(E104="","",IF(ISNA(VLOOKUP($E104,'D-1 Off-Site Habitat Baseline'!$D$1:$O$258,6,FALSE)),"",(VLOOKUP($E104,'D-1 Off-Site Habitat Baseline'!$D$1:$O$258,6,FALSE))))</f>
        <v/>
      </c>
      <c r="I104" s="301" t="str">
        <f>IF(E104="","",IF(ISNA(VLOOKUP($E104,'D-1 Off-Site Habitat Baseline'!$D$1:$O$258,7,FALSE)),"",(VLOOKUP($E104,'D-1 Off-Site Habitat Baseline'!$D$1:$O$258,7,FALSE))))</f>
        <v/>
      </c>
      <c r="J104" s="301" t="str">
        <f>IF(E104="","",IF(ISNA(VLOOKUP($E104,'D-1 Off-Site Habitat Baseline'!$D$1:$O$258,8,FALSE)),"",(VLOOKUP($E104,'D-1 Off-Site Habitat Baseline'!$D$1:$O$258,8,FALSE))))</f>
        <v/>
      </c>
      <c r="K104" s="301" t="str">
        <f>IF(E104="","",IF(ISNA(VLOOKUP($E104,'D-1 Off-Site Habitat Baseline'!$D$1:$O$258,9,FALSE)),"",(VLOOKUP($E104,'D-1 Off-Site Habitat Baseline'!$D$1:$O$258,9,FALSE))))</f>
        <v/>
      </c>
      <c r="L104" s="301" t="str">
        <f>IF(E104="","",IF(ISNA(VLOOKUP($E104,'D-1 Off-Site Habitat Baseline'!$D$1:$O$258,11,FALSE)),"",(VLOOKUP($E104,'D-1 Off-Site Habitat Baseline'!$D$1:$O$258,11,FALSE))))</f>
        <v/>
      </c>
      <c r="M104" s="301" t="str">
        <f>IF(E104="","",IF(ISNA(VLOOKUP($E104,'D-1 Off-Site Habitat Baseline'!$D$1:$O$258,12,FALSE)),"",(VLOOKUP($E104,'D-1 Off-Site Habitat Baseline'!$D$1:$O$258,12,FALSE))))</f>
        <v/>
      </c>
      <c r="N104" s="301" t="str">
        <f>IF(E104="","",IF(ISNA(VLOOKUP($E104,'D-1 Off-Site Habitat Baseline'!$D$1:$AA$258,17,FALSE)),"",(VLOOKUP($E104,'D-1 Off-Site Habitat Baseline'!$D$1:$AA$258,17,FALSE))))</f>
        <v/>
      </c>
      <c r="O104" s="305" t="str">
        <f>IF(E104="","",IF(ISNA(VLOOKUP($E104,'D-1 Off-Site Habitat Baseline'!$D$1:$AA$258,13,FALSE)),"",(VLOOKUP($E104,'D-1 Off-Site Habitat Baseline'!$D$1:$AA$258,13,FALSE))))</f>
        <v/>
      </c>
      <c r="P104" s="152" t="str">
        <f>IFERROR(INDEX('G-1 All Habitats'!$AG$49:$AG$63,MATCH(Q104,'G-1 All Habitats'!$AF$27:$AF$41,0)),"")</f>
        <v/>
      </c>
      <c r="Q104" s="153"/>
      <c r="R104" s="154"/>
      <c r="S104" s="155" t="str">
        <f>IFERROR(INDEX('G-1 All Habitats'!$B$3:$B$135,MATCH(R104,'G-1 All Habitats'!$A$3:$A$135,0)),"")</f>
        <v/>
      </c>
      <c r="T104" s="289" t="str">
        <f t="shared" si="12"/>
        <v/>
      </c>
      <c r="U104" s="305" t="str">
        <f t="shared" si="13"/>
        <v/>
      </c>
      <c r="V104" s="304" t="str">
        <f t="shared" si="10"/>
        <v/>
      </c>
      <c r="W104" s="301" t="str">
        <f>IF(S104="","",VLOOKUP(S104,'G-1 All Habitats'!$B$2:$M$135,10,FALSE))</f>
        <v/>
      </c>
      <c r="X104" s="301" t="str">
        <f>IFERROR(VLOOKUP(W104,'G-1 All Habitats'!$V$3:$W$7,2,FALSE),"")</f>
        <v/>
      </c>
      <c r="Y104" s="142"/>
      <c r="Z104" s="305" t="str">
        <f>IFERROR(INDEX('G-8 Condition Look up'!$A$3:$H$135,MATCH(S104,'G-8 Condition Look up'!$A$3:$A$135,0),MATCH(Y104,'G-8 Condition Look up'!$A$3:$H$3,0)),"")</f>
        <v/>
      </c>
      <c r="AA104" s="105"/>
      <c r="AB104" s="320" t="str">
        <f>IF(AA104="","",IF(VLOOKUP(AA104,'G-3 Multipliers'!$L$3:$N$6,2,FALSE)=0,"Spatial Data Missing ⚠",VLOOKUP(AA104,'G-3 Multipliers'!$L$3:$N$6,2,FALSE)))</f>
        <v/>
      </c>
      <c r="AC104" s="305" t="str">
        <f>IF(AA104="","",IF(VLOOKUP(AA104,'G-3 Multipliers'!$L$3:$N$6,3,FALSE)=0,"Spatial Data Missing ⚠",VLOOKUP(AA104,'G-3 Multipliers'!$L$3:$N$6,3,FALSE)))</f>
        <v/>
      </c>
      <c r="AD104" s="317" t="str">
        <f t="shared" si="11"/>
        <v/>
      </c>
      <c r="AE104" s="142"/>
      <c r="AF104" s="142"/>
      <c r="AG104" s="301" t="str">
        <f t="shared" si="14"/>
        <v/>
      </c>
      <c r="AH104" s="302" t="str">
        <f t="shared" si="15"/>
        <v/>
      </c>
      <c r="AI104" s="306" t="str">
        <f>IF(AH104="Check Data ⚠","Check Data ⚠",IFERROR(VLOOKUP(AH104,'G-4 Temporal multipliers'!$A$4:$C$36,3,FALSE),""))</f>
        <v/>
      </c>
      <c r="AJ104" s="317" t="str">
        <f>IF(S104="","",VLOOKUP(S104,'G-3 Multipliers'!$A$2:$E$134,4,FALSE))</f>
        <v/>
      </c>
      <c r="AK104" s="301" t="str">
        <f t="shared" si="16"/>
        <v/>
      </c>
      <c r="AL104" s="301" t="str">
        <f t="shared" si="17"/>
        <v/>
      </c>
      <c r="AM104" s="305" t="str">
        <f>IFERROR(IF(F104="","",IF(AH104="Check Data ⚠","Check Data ⚠",VLOOKUP(AL104, 'G-3 Multipliers'!$P$2:$Q$6,2,FALSE))),"")</f>
        <v/>
      </c>
      <c r="AN104" s="728"/>
      <c r="AO104" s="335" t="str">
        <f>IF(AN104="","",IF(VLOOKUP(AN104,'G-3 Multipliers'!$S$3:$T$10,2,FALSE)=0,"Spatial Data Missing ⚠",VLOOKUP(AN104,'G-3 Multipliers'!$S$3:$T$10,2,FALSE)))</f>
        <v/>
      </c>
      <c r="AP104" s="295" t="str">
        <f t="shared" si="18"/>
        <v/>
      </c>
      <c r="AQ104" s="295" t="str">
        <f t="shared" si="19"/>
        <v/>
      </c>
      <c r="AR104" s="109"/>
      <c r="AS104" s="142"/>
      <c r="AT104" s="108"/>
      <c r="AU104" s="108"/>
      <c r="AY104" s="30" t="str">
        <f>IF(E104="","",IF(ISNA(VLOOKUP($E104,'D-1 Off-Site Habitat Baseline'!$D$1:$AV$258,4,FALSE)),"",(VLOOKUP($E104,'D-1 Off-Site Habitat Baseline'!$D$1:$AV$258,4,FALSE))))</f>
        <v/>
      </c>
    </row>
    <row r="105" spans="1:51" x14ac:dyDescent="0.25">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325" t="str">
        <f>'D-1 Off-Site Habitat Baseline'!AP104</f>
        <v/>
      </c>
      <c r="F105" s="289" t="str">
        <f>IF(E105="","",IF(ISNA(VLOOKUP($E105,'D-1 Off-Site Habitat Baseline'!$D$1:$ZZ$258,45,FALSE)),"",(VLOOKUP($E105,'D-1 Off-Site Habitat Baseline'!$D$1:$ZZ$258,45,FALSE))))</f>
        <v/>
      </c>
      <c r="G105" s="301" t="str">
        <f>IF(E105="","",IF(ISNA(VLOOKUP($E105,'D-1 Off-Site Habitat Baseline'!$D$1:$O$258,5,FALSE)),"",(VLOOKUP($E105,'D-1 Off-Site Habitat Baseline'!$D$1:$O$258,5,FALSE))))</f>
        <v/>
      </c>
      <c r="H105" s="301" t="str">
        <f>IF(E105="","",IF(ISNA(VLOOKUP($E105,'D-1 Off-Site Habitat Baseline'!$D$1:$O$258,6,FALSE)),"",(VLOOKUP($E105,'D-1 Off-Site Habitat Baseline'!$D$1:$O$258,6,FALSE))))</f>
        <v/>
      </c>
      <c r="I105" s="301" t="str">
        <f>IF(E105="","",IF(ISNA(VLOOKUP($E105,'D-1 Off-Site Habitat Baseline'!$D$1:$O$258,7,FALSE)),"",(VLOOKUP($E105,'D-1 Off-Site Habitat Baseline'!$D$1:$O$258,7,FALSE))))</f>
        <v/>
      </c>
      <c r="J105" s="301" t="str">
        <f>IF(E105="","",IF(ISNA(VLOOKUP($E105,'D-1 Off-Site Habitat Baseline'!$D$1:$O$258,8,FALSE)),"",(VLOOKUP($E105,'D-1 Off-Site Habitat Baseline'!$D$1:$O$258,8,FALSE))))</f>
        <v/>
      </c>
      <c r="K105" s="301" t="str">
        <f>IF(E105="","",IF(ISNA(VLOOKUP($E105,'D-1 Off-Site Habitat Baseline'!$D$1:$O$258,9,FALSE)),"",(VLOOKUP($E105,'D-1 Off-Site Habitat Baseline'!$D$1:$O$258,9,FALSE))))</f>
        <v/>
      </c>
      <c r="L105" s="301" t="str">
        <f>IF(E105="","",IF(ISNA(VLOOKUP($E105,'D-1 Off-Site Habitat Baseline'!$D$1:$O$258,11,FALSE)),"",(VLOOKUP($E105,'D-1 Off-Site Habitat Baseline'!$D$1:$O$258,11,FALSE))))</f>
        <v/>
      </c>
      <c r="M105" s="301" t="str">
        <f>IF(E105="","",IF(ISNA(VLOOKUP($E105,'D-1 Off-Site Habitat Baseline'!$D$1:$O$258,12,FALSE)),"",(VLOOKUP($E105,'D-1 Off-Site Habitat Baseline'!$D$1:$O$258,12,FALSE))))</f>
        <v/>
      </c>
      <c r="N105" s="301" t="str">
        <f>IF(E105="","",IF(ISNA(VLOOKUP($E105,'D-1 Off-Site Habitat Baseline'!$D$1:$AA$258,17,FALSE)),"",(VLOOKUP($E105,'D-1 Off-Site Habitat Baseline'!$D$1:$AA$258,17,FALSE))))</f>
        <v/>
      </c>
      <c r="O105" s="305" t="str">
        <f>IF(E105="","",IF(ISNA(VLOOKUP($E105,'D-1 Off-Site Habitat Baseline'!$D$1:$AA$258,13,FALSE)),"",(VLOOKUP($E105,'D-1 Off-Site Habitat Baseline'!$D$1:$AA$258,13,FALSE))))</f>
        <v/>
      </c>
      <c r="P105" s="152" t="str">
        <f>IFERROR(INDEX('G-1 All Habitats'!$AG$49:$AG$63,MATCH(Q105,'G-1 All Habitats'!$AF$27:$AF$41,0)),"")</f>
        <v/>
      </c>
      <c r="Q105" s="153"/>
      <c r="R105" s="154"/>
      <c r="S105" s="155" t="str">
        <f>IFERROR(INDEX('G-1 All Habitats'!$B$3:$B$135,MATCH(R105,'G-1 All Habitats'!$A$3:$A$135,0)),"")</f>
        <v/>
      </c>
      <c r="T105" s="289" t="str">
        <f t="shared" si="12"/>
        <v/>
      </c>
      <c r="U105" s="305" t="str">
        <f t="shared" si="13"/>
        <v/>
      </c>
      <c r="V105" s="304" t="str">
        <f t="shared" si="10"/>
        <v/>
      </c>
      <c r="W105" s="301" t="str">
        <f>IF(S105="","",VLOOKUP(S105,'G-1 All Habitats'!$B$2:$M$135,10,FALSE))</f>
        <v/>
      </c>
      <c r="X105" s="301" t="str">
        <f>IFERROR(VLOOKUP(W105,'G-1 All Habitats'!$V$3:$W$7,2,FALSE),"")</f>
        <v/>
      </c>
      <c r="Y105" s="142"/>
      <c r="Z105" s="305" t="str">
        <f>IFERROR(INDEX('G-8 Condition Look up'!$A$3:$H$135,MATCH(S105,'G-8 Condition Look up'!$A$3:$A$135,0),MATCH(Y105,'G-8 Condition Look up'!$A$3:$H$3,0)),"")</f>
        <v/>
      </c>
      <c r="AA105" s="105"/>
      <c r="AB105" s="320" t="str">
        <f>IF(AA105="","",IF(VLOOKUP(AA105,'G-3 Multipliers'!$L$3:$N$6,2,FALSE)=0,"Spatial Data Missing ⚠",VLOOKUP(AA105,'G-3 Multipliers'!$L$3:$N$6,2,FALSE)))</f>
        <v/>
      </c>
      <c r="AC105" s="305" t="str">
        <f>IF(AA105="","",IF(VLOOKUP(AA105,'G-3 Multipliers'!$L$3:$N$6,3,FALSE)=0,"Spatial Data Missing ⚠",VLOOKUP(AA105,'G-3 Multipliers'!$L$3:$N$6,3,FALSE)))</f>
        <v/>
      </c>
      <c r="AD105" s="317" t="str">
        <f t="shared" si="11"/>
        <v/>
      </c>
      <c r="AE105" s="142"/>
      <c r="AF105" s="142"/>
      <c r="AG105" s="301" t="str">
        <f t="shared" si="14"/>
        <v/>
      </c>
      <c r="AH105" s="302" t="str">
        <f t="shared" si="15"/>
        <v/>
      </c>
      <c r="AI105" s="306" t="str">
        <f>IF(AH105="Check Data ⚠","Check Data ⚠",IFERROR(VLOOKUP(AH105,'G-4 Temporal multipliers'!$A$4:$C$36,3,FALSE),""))</f>
        <v/>
      </c>
      <c r="AJ105" s="317" t="str">
        <f>IF(S105="","",VLOOKUP(S105,'G-3 Multipliers'!$A$2:$E$134,4,FALSE))</f>
        <v/>
      </c>
      <c r="AK105" s="301" t="str">
        <f t="shared" si="16"/>
        <v/>
      </c>
      <c r="AL105" s="301" t="str">
        <f t="shared" si="17"/>
        <v/>
      </c>
      <c r="AM105" s="305" t="str">
        <f>IFERROR(IF(F105="","",IF(AH105="Check Data ⚠","Check Data ⚠",VLOOKUP(AL105, 'G-3 Multipliers'!$P$2:$Q$6,2,FALSE))),"")</f>
        <v/>
      </c>
      <c r="AN105" s="728"/>
      <c r="AO105" s="335" t="str">
        <f>IF(AN105="","",IF(VLOOKUP(AN105,'G-3 Multipliers'!$S$3:$T$10,2,FALSE)=0,"Spatial Data Missing ⚠",VLOOKUP(AN105,'G-3 Multipliers'!$S$3:$T$10,2,FALSE)))</f>
        <v/>
      </c>
      <c r="AP105" s="295" t="str">
        <f t="shared" si="18"/>
        <v/>
      </c>
      <c r="AQ105" s="295" t="str">
        <f t="shared" si="19"/>
        <v/>
      </c>
      <c r="AR105" s="109"/>
      <c r="AS105" s="142"/>
      <c r="AT105" s="108"/>
      <c r="AU105" s="108"/>
      <c r="AY105" s="30" t="str">
        <f>IF(E105="","",IF(ISNA(VLOOKUP($E105,'D-1 Off-Site Habitat Baseline'!$D$1:$AV$258,4,FALSE)),"",(VLOOKUP($E105,'D-1 Off-Site Habitat Baseline'!$D$1:$AV$258,4,FALSE))))</f>
        <v/>
      </c>
    </row>
    <row r="106" spans="1:51" x14ac:dyDescent="0.25">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325" t="str">
        <f>'D-1 Off-Site Habitat Baseline'!AP105</f>
        <v/>
      </c>
      <c r="F106" s="289" t="str">
        <f>IF(E106="","",IF(ISNA(VLOOKUP($E106,'D-1 Off-Site Habitat Baseline'!$D$1:$ZZ$258,45,FALSE)),"",(VLOOKUP($E106,'D-1 Off-Site Habitat Baseline'!$D$1:$ZZ$258,45,FALSE))))</f>
        <v/>
      </c>
      <c r="G106" s="301" t="str">
        <f>IF(E106="","",IF(ISNA(VLOOKUP($E106,'D-1 Off-Site Habitat Baseline'!$D$1:$O$258,5,FALSE)),"",(VLOOKUP($E106,'D-1 Off-Site Habitat Baseline'!$D$1:$O$258,5,FALSE))))</f>
        <v/>
      </c>
      <c r="H106" s="301" t="str">
        <f>IF(E106="","",IF(ISNA(VLOOKUP($E106,'D-1 Off-Site Habitat Baseline'!$D$1:$O$258,6,FALSE)),"",(VLOOKUP($E106,'D-1 Off-Site Habitat Baseline'!$D$1:$O$258,6,FALSE))))</f>
        <v/>
      </c>
      <c r="I106" s="301" t="str">
        <f>IF(E106="","",IF(ISNA(VLOOKUP($E106,'D-1 Off-Site Habitat Baseline'!$D$1:$O$258,7,FALSE)),"",(VLOOKUP($E106,'D-1 Off-Site Habitat Baseline'!$D$1:$O$258,7,FALSE))))</f>
        <v/>
      </c>
      <c r="J106" s="301" t="str">
        <f>IF(E106="","",IF(ISNA(VLOOKUP($E106,'D-1 Off-Site Habitat Baseline'!$D$1:$O$258,8,FALSE)),"",(VLOOKUP($E106,'D-1 Off-Site Habitat Baseline'!$D$1:$O$258,8,FALSE))))</f>
        <v/>
      </c>
      <c r="K106" s="301" t="str">
        <f>IF(E106="","",IF(ISNA(VLOOKUP($E106,'D-1 Off-Site Habitat Baseline'!$D$1:$O$258,9,FALSE)),"",(VLOOKUP($E106,'D-1 Off-Site Habitat Baseline'!$D$1:$O$258,9,FALSE))))</f>
        <v/>
      </c>
      <c r="L106" s="301" t="str">
        <f>IF(E106="","",IF(ISNA(VLOOKUP($E106,'D-1 Off-Site Habitat Baseline'!$D$1:$O$258,11,FALSE)),"",(VLOOKUP($E106,'D-1 Off-Site Habitat Baseline'!$D$1:$O$258,11,FALSE))))</f>
        <v/>
      </c>
      <c r="M106" s="301" t="str">
        <f>IF(E106="","",IF(ISNA(VLOOKUP($E106,'D-1 Off-Site Habitat Baseline'!$D$1:$O$258,12,FALSE)),"",(VLOOKUP($E106,'D-1 Off-Site Habitat Baseline'!$D$1:$O$258,12,FALSE))))</f>
        <v/>
      </c>
      <c r="N106" s="301" t="str">
        <f>IF(E106="","",IF(ISNA(VLOOKUP($E106,'D-1 Off-Site Habitat Baseline'!$D$1:$AA$258,17,FALSE)),"",(VLOOKUP($E106,'D-1 Off-Site Habitat Baseline'!$D$1:$AA$258,17,FALSE))))</f>
        <v/>
      </c>
      <c r="O106" s="305" t="str">
        <f>IF(E106="","",IF(ISNA(VLOOKUP($E106,'D-1 Off-Site Habitat Baseline'!$D$1:$AA$258,13,FALSE)),"",(VLOOKUP($E106,'D-1 Off-Site Habitat Baseline'!$D$1:$AA$258,13,FALSE))))</f>
        <v/>
      </c>
      <c r="P106" s="152" t="str">
        <f>IFERROR(INDEX('G-1 All Habitats'!$AG$49:$AG$63,MATCH(Q106,'G-1 All Habitats'!$AF$27:$AF$41,0)),"")</f>
        <v/>
      </c>
      <c r="Q106" s="153"/>
      <c r="R106" s="154"/>
      <c r="S106" s="155" t="str">
        <f>IFERROR(INDEX('G-1 All Habitats'!$B$3:$B$135,MATCH(R106,'G-1 All Habitats'!$A$3:$A$135,0)),"")</f>
        <v/>
      </c>
      <c r="T106" s="289" t="str">
        <f t="shared" si="12"/>
        <v/>
      </c>
      <c r="U106" s="305" t="str">
        <f t="shared" si="13"/>
        <v/>
      </c>
      <c r="V106" s="304" t="str">
        <f t="shared" si="10"/>
        <v/>
      </c>
      <c r="W106" s="301" t="str">
        <f>IF(S106="","",VLOOKUP(S106,'G-1 All Habitats'!$B$2:$M$135,10,FALSE))</f>
        <v/>
      </c>
      <c r="X106" s="301" t="str">
        <f>IFERROR(VLOOKUP(W106,'G-1 All Habitats'!$V$3:$W$7,2,FALSE),"")</f>
        <v/>
      </c>
      <c r="Y106" s="142"/>
      <c r="Z106" s="305" t="str">
        <f>IFERROR(INDEX('G-8 Condition Look up'!$A$3:$H$135,MATCH(S106,'G-8 Condition Look up'!$A$3:$A$135,0),MATCH(Y106,'G-8 Condition Look up'!$A$3:$H$3,0)),"")</f>
        <v/>
      </c>
      <c r="AA106" s="105"/>
      <c r="AB106" s="320" t="str">
        <f>IF(AA106="","",IF(VLOOKUP(AA106,'G-3 Multipliers'!$L$3:$N$6,2,FALSE)=0,"Spatial Data Missing ⚠",VLOOKUP(AA106,'G-3 Multipliers'!$L$3:$N$6,2,FALSE)))</f>
        <v/>
      </c>
      <c r="AC106" s="305" t="str">
        <f>IF(AA106="","",IF(VLOOKUP(AA106,'G-3 Multipliers'!$L$3:$N$6,3,FALSE)=0,"Spatial Data Missing ⚠",VLOOKUP(AA106,'G-3 Multipliers'!$L$3:$N$6,3,FALSE)))</f>
        <v/>
      </c>
      <c r="AD106" s="317" t="str">
        <f t="shared" si="11"/>
        <v/>
      </c>
      <c r="AE106" s="142"/>
      <c r="AF106" s="142"/>
      <c r="AG106" s="301" t="str">
        <f t="shared" si="14"/>
        <v/>
      </c>
      <c r="AH106" s="302" t="str">
        <f t="shared" si="15"/>
        <v/>
      </c>
      <c r="AI106" s="306" t="str">
        <f>IF(AH106="Check Data ⚠","Check Data ⚠",IFERROR(VLOOKUP(AH106,'G-4 Temporal multipliers'!$A$4:$C$36,3,FALSE),""))</f>
        <v/>
      </c>
      <c r="AJ106" s="317" t="str">
        <f>IF(S106="","",VLOOKUP(S106,'G-3 Multipliers'!$A$2:$E$134,4,FALSE))</f>
        <v/>
      </c>
      <c r="AK106" s="301" t="str">
        <f t="shared" si="16"/>
        <v/>
      </c>
      <c r="AL106" s="301" t="str">
        <f t="shared" si="17"/>
        <v/>
      </c>
      <c r="AM106" s="305" t="str">
        <f>IFERROR(IF(F106="","",IF(AH106="Check Data ⚠","Check Data ⚠",VLOOKUP(AL106, 'G-3 Multipliers'!$P$2:$Q$6,2,FALSE))),"")</f>
        <v/>
      </c>
      <c r="AN106" s="728"/>
      <c r="AO106" s="335" t="str">
        <f>IF(AN106="","",IF(VLOOKUP(AN106,'G-3 Multipliers'!$S$3:$T$10,2,FALSE)=0,"Spatial Data Missing ⚠",VLOOKUP(AN106,'G-3 Multipliers'!$S$3:$T$10,2,FALSE)))</f>
        <v/>
      </c>
      <c r="AP106" s="295" t="str">
        <f t="shared" si="18"/>
        <v/>
      </c>
      <c r="AQ106" s="295" t="str">
        <f t="shared" si="19"/>
        <v/>
      </c>
      <c r="AR106" s="109"/>
      <c r="AS106" s="142"/>
      <c r="AT106" s="108"/>
      <c r="AU106" s="108"/>
      <c r="AY106" s="30" t="str">
        <f>IF(E106="","",IF(ISNA(VLOOKUP($E106,'D-1 Off-Site Habitat Baseline'!$D$1:$AV$258,4,FALSE)),"",(VLOOKUP($E106,'D-1 Off-Site Habitat Baseline'!$D$1:$AV$258,4,FALSE))))</f>
        <v/>
      </c>
    </row>
    <row r="107" spans="1:51" x14ac:dyDescent="0.25">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325" t="str">
        <f>'D-1 Off-Site Habitat Baseline'!AP106</f>
        <v/>
      </c>
      <c r="F107" s="289" t="str">
        <f>IF(E107="","",IF(ISNA(VLOOKUP($E107,'D-1 Off-Site Habitat Baseline'!$D$1:$ZZ$258,45,FALSE)),"",(VLOOKUP($E107,'D-1 Off-Site Habitat Baseline'!$D$1:$ZZ$258,45,FALSE))))</f>
        <v/>
      </c>
      <c r="G107" s="301" t="str">
        <f>IF(E107="","",IF(ISNA(VLOOKUP($E107,'D-1 Off-Site Habitat Baseline'!$D$1:$O$258,5,FALSE)),"",(VLOOKUP($E107,'D-1 Off-Site Habitat Baseline'!$D$1:$O$258,5,FALSE))))</f>
        <v/>
      </c>
      <c r="H107" s="301" t="str">
        <f>IF(E107="","",IF(ISNA(VLOOKUP($E107,'D-1 Off-Site Habitat Baseline'!$D$1:$O$258,6,FALSE)),"",(VLOOKUP($E107,'D-1 Off-Site Habitat Baseline'!$D$1:$O$258,6,FALSE))))</f>
        <v/>
      </c>
      <c r="I107" s="301" t="str">
        <f>IF(E107="","",IF(ISNA(VLOOKUP($E107,'D-1 Off-Site Habitat Baseline'!$D$1:$O$258,7,FALSE)),"",(VLOOKUP($E107,'D-1 Off-Site Habitat Baseline'!$D$1:$O$258,7,FALSE))))</f>
        <v/>
      </c>
      <c r="J107" s="301" t="str">
        <f>IF(E107="","",IF(ISNA(VLOOKUP($E107,'D-1 Off-Site Habitat Baseline'!$D$1:$O$258,8,FALSE)),"",(VLOOKUP($E107,'D-1 Off-Site Habitat Baseline'!$D$1:$O$258,8,FALSE))))</f>
        <v/>
      </c>
      <c r="K107" s="301" t="str">
        <f>IF(E107="","",IF(ISNA(VLOOKUP($E107,'D-1 Off-Site Habitat Baseline'!$D$1:$O$258,9,FALSE)),"",(VLOOKUP($E107,'D-1 Off-Site Habitat Baseline'!$D$1:$O$258,9,FALSE))))</f>
        <v/>
      </c>
      <c r="L107" s="301" t="str">
        <f>IF(E107="","",IF(ISNA(VLOOKUP($E107,'D-1 Off-Site Habitat Baseline'!$D$1:$O$258,11,FALSE)),"",(VLOOKUP($E107,'D-1 Off-Site Habitat Baseline'!$D$1:$O$258,11,FALSE))))</f>
        <v/>
      </c>
      <c r="M107" s="301" t="str">
        <f>IF(E107="","",IF(ISNA(VLOOKUP($E107,'D-1 Off-Site Habitat Baseline'!$D$1:$O$258,12,FALSE)),"",(VLOOKUP($E107,'D-1 Off-Site Habitat Baseline'!$D$1:$O$258,12,FALSE))))</f>
        <v/>
      </c>
      <c r="N107" s="301" t="str">
        <f>IF(E107="","",IF(ISNA(VLOOKUP($E107,'D-1 Off-Site Habitat Baseline'!$D$1:$AA$258,17,FALSE)),"",(VLOOKUP($E107,'D-1 Off-Site Habitat Baseline'!$D$1:$AA$258,17,FALSE))))</f>
        <v/>
      </c>
      <c r="O107" s="305" t="str">
        <f>IF(E107="","",IF(ISNA(VLOOKUP($E107,'D-1 Off-Site Habitat Baseline'!$D$1:$AA$258,13,FALSE)),"",(VLOOKUP($E107,'D-1 Off-Site Habitat Baseline'!$D$1:$AA$258,13,FALSE))))</f>
        <v/>
      </c>
      <c r="P107" s="152" t="str">
        <f>IFERROR(INDEX('G-1 All Habitats'!$AG$49:$AG$63,MATCH(Q107,'G-1 All Habitats'!$AF$27:$AF$41,0)),"")</f>
        <v/>
      </c>
      <c r="Q107" s="153"/>
      <c r="R107" s="154"/>
      <c r="S107" s="155" t="str">
        <f>IFERROR(INDEX('G-1 All Habitats'!$B$3:$B$135,MATCH(R107,'G-1 All Habitats'!$A$3:$A$135,0)),"")</f>
        <v/>
      </c>
      <c r="T107" s="289" t="str">
        <f t="shared" si="12"/>
        <v/>
      </c>
      <c r="U107" s="305" t="str">
        <f t="shared" si="13"/>
        <v/>
      </c>
      <c r="V107" s="304" t="str">
        <f t="shared" si="10"/>
        <v/>
      </c>
      <c r="W107" s="301" t="str">
        <f>IF(S107="","",VLOOKUP(S107,'G-1 All Habitats'!$B$2:$M$135,10,FALSE))</f>
        <v/>
      </c>
      <c r="X107" s="301" t="str">
        <f>IFERROR(VLOOKUP(W107,'G-1 All Habitats'!$V$3:$W$7,2,FALSE),"")</f>
        <v/>
      </c>
      <c r="Y107" s="142"/>
      <c r="Z107" s="305" t="str">
        <f>IFERROR(INDEX('G-8 Condition Look up'!$A$3:$H$135,MATCH(S107,'G-8 Condition Look up'!$A$3:$A$135,0),MATCH(Y107,'G-8 Condition Look up'!$A$3:$H$3,0)),"")</f>
        <v/>
      </c>
      <c r="AA107" s="105"/>
      <c r="AB107" s="320" t="str">
        <f>IF(AA107="","",IF(VLOOKUP(AA107,'G-3 Multipliers'!$L$3:$N$6,2,FALSE)=0,"Spatial Data Missing ⚠",VLOOKUP(AA107,'G-3 Multipliers'!$L$3:$N$6,2,FALSE)))</f>
        <v/>
      </c>
      <c r="AC107" s="305" t="str">
        <f>IF(AA107="","",IF(VLOOKUP(AA107,'G-3 Multipliers'!$L$3:$N$6,3,FALSE)=0,"Spatial Data Missing ⚠",VLOOKUP(AA107,'G-3 Multipliers'!$L$3:$N$6,3,FALSE)))</f>
        <v/>
      </c>
      <c r="AD107" s="317" t="str">
        <f t="shared" si="11"/>
        <v/>
      </c>
      <c r="AE107" s="142"/>
      <c r="AF107" s="142"/>
      <c r="AG107" s="301" t="str">
        <f t="shared" si="14"/>
        <v/>
      </c>
      <c r="AH107" s="302" t="str">
        <f t="shared" si="15"/>
        <v/>
      </c>
      <c r="AI107" s="306" t="str">
        <f>IF(AH107="Check Data ⚠","Check Data ⚠",IFERROR(VLOOKUP(AH107,'G-4 Temporal multipliers'!$A$4:$C$36,3,FALSE),""))</f>
        <v/>
      </c>
      <c r="AJ107" s="317" t="str">
        <f>IF(S107="","",VLOOKUP(S107,'G-3 Multipliers'!$A$2:$E$134,4,FALSE))</f>
        <v/>
      </c>
      <c r="AK107" s="301" t="str">
        <f t="shared" si="16"/>
        <v/>
      </c>
      <c r="AL107" s="301" t="str">
        <f t="shared" si="17"/>
        <v/>
      </c>
      <c r="AM107" s="305" t="str">
        <f>IFERROR(IF(F107="","",IF(AH107="Check Data ⚠","Check Data ⚠",VLOOKUP(AL107, 'G-3 Multipliers'!$P$2:$Q$6,2,FALSE))),"")</f>
        <v/>
      </c>
      <c r="AN107" s="728"/>
      <c r="AO107" s="335" t="str">
        <f>IF(AN107="","",IF(VLOOKUP(AN107,'G-3 Multipliers'!$S$3:$T$10,2,FALSE)=0,"Spatial Data Missing ⚠",VLOOKUP(AN107,'G-3 Multipliers'!$S$3:$T$10,2,FALSE)))</f>
        <v/>
      </c>
      <c r="AP107" s="295" t="str">
        <f t="shared" si="18"/>
        <v/>
      </c>
      <c r="AQ107" s="295" t="str">
        <f t="shared" si="19"/>
        <v/>
      </c>
      <c r="AR107" s="109"/>
      <c r="AS107" s="142"/>
      <c r="AT107" s="108"/>
      <c r="AU107" s="108"/>
      <c r="AY107" s="30" t="str">
        <f>IF(E107="","",IF(ISNA(VLOOKUP($E107,'D-1 Off-Site Habitat Baseline'!$D$1:$AV$258,4,FALSE)),"",(VLOOKUP($E107,'D-1 Off-Site Habitat Baseline'!$D$1:$AV$258,4,FALSE))))</f>
        <v/>
      </c>
    </row>
    <row r="108" spans="1:51" x14ac:dyDescent="0.25">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325" t="str">
        <f>'D-1 Off-Site Habitat Baseline'!AP107</f>
        <v/>
      </c>
      <c r="F108" s="289" t="str">
        <f>IF(E108="","",IF(ISNA(VLOOKUP($E108,'D-1 Off-Site Habitat Baseline'!$D$1:$ZZ$258,45,FALSE)),"",(VLOOKUP($E108,'D-1 Off-Site Habitat Baseline'!$D$1:$ZZ$258,45,FALSE))))</f>
        <v/>
      </c>
      <c r="G108" s="301" t="str">
        <f>IF(E108="","",IF(ISNA(VLOOKUP($E108,'D-1 Off-Site Habitat Baseline'!$D$1:$O$258,5,FALSE)),"",(VLOOKUP($E108,'D-1 Off-Site Habitat Baseline'!$D$1:$O$258,5,FALSE))))</f>
        <v/>
      </c>
      <c r="H108" s="301" t="str">
        <f>IF(E108="","",IF(ISNA(VLOOKUP($E108,'D-1 Off-Site Habitat Baseline'!$D$1:$O$258,6,FALSE)),"",(VLOOKUP($E108,'D-1 Off-Site Habitat Baseline'!$D$1:$O$258,6,FALSE))))</f>
        <v/>
      </c>
      <c r="I108" s="301" t="str">
        <f>IF(E108="","",IF(ISNA(VLOOKUP($E108,'D-1 Off-Site Habitat Baseline'!$D$1:$O$258,7,FALSE)),"",(VLOOKUP($E108,'D-1 Off-Site Habitat Baseline'!$D$1:$O$258,7,FALSE))))</f>
        <v/>
      </c>
      <c r="J108" s="301" t="str">
        <f>IF(E108="","",IF(ISNA(VLOOKUP($E108,'D-1 Off-Site Habitat Baseline'!$D$1:$O$258,8,FALSE)),"",(VLOOKUP($E108,'D-1 Off-Site Habitat Baseline'!$D$1:$O$258,8,FALSE))))</f>
        <v/>
      </c>
      <c r="K108" s="301" t="str">
        <f>IF(E108="","",IF(ISNA(VLOOKUP($E108,'D-1 Off-Site Habitat Baseline'!$D$1:$O$258,9,FALSE)),"",(VLOOKUP($E108,'D-1 Off-Site Habitat Baseline'!$D$1:$O$258,9,FALSE))))</f>
        <v/>
      </c>
      <c r="L108" s="301" t="str">
        <f>IF(E108="","",IF(ISNA(VLOOKUP($E108,'D-1 Off-Site Habitat Baseline'!$D$1:$O$258,11,FALSE)),"",(VLOOKUP($E108,'D-1 Off-Site Habitat Baseline'!$D$1:$O$258,11,FALSE))))</f>
        <v/>
      </c>
      <c r="M108" s="301" t="str">
        <f>IF(E108="","",IF(ISNA(VLOOKUP($E108,'D-1 Off-Site Habitat Baseline'!$D$1:$O$258,12,FALSE)),"",(VLOOKUP($E108,'D-1 Off-Site Habitat Baseline'!$D$1:$O$258,12,FALSE))))</f>
        <v/>
      </c>
      <c r="N108" s="301" t="str">
        <f>IF(E108="","",IF(ISNA(VLOOKUP($E108,'D-1 Off-Site Habitat Baseline'!$D$1:$AA$258,17,FALSE)),"",(VLOOKUP($E108,'D-1 Off-Site Habitat Baseline'!$D$1:$AA$258,17,FALSE))))</f>
        <v/>
      </c>
      <c r="O108" s="305" t="str">
        <f>IF(E108="","",IF(ISNA(VLOOKUP($E108,'D-1 Off-Site Habitat Baseline'!$D$1:$AA$258,13,FALSE)),"",(VLOOKUP($E108,'D-1 Off-Site Habitat Baseline'!$D$1:$AA$258,13,FALSE))))</f>
        <v/>
      </c>
      <c r="P108" s="152" t="str">
        <f>IFERROR(INDEX('G-1 All Habitats'!$AG$49:$AG$63,MATCH(Q108,'G-1 All Habitats'!$AF$27:$AF$41,0)),"")</f>
        <v/>
      </c>
      <c r="Q108" s="153"/>
      <c r="R108" s="154"/>
      <c r="S108" s="155" t="str">
        <f>IFERROR(INDEX('G-1 All Habitats'!$B$3:$B$135,MATCH(R108,'G-1 All Habitats'!$A$3:$A$135,0)),"")</f>
        <v/>
      </c>
      <c r="T108" s="289" t="str">
        <f t="shared" si="12"/>
        <v/>
      </c>
      <c r="U108" s="305" t="str">
        <f t="shared" si="13"/>
        <v/>
      </c>
      <c r="V108" s="304" t="str">
        <f t="shared" si="10"/>
        <v/>
      </c>
      <c r="W108" s="301" t="str">
        <f>IF(S108="","",VLOOKUP(S108,'G-1 All Habitats'!$B$2:$M$135,10,FALSE))</f>
        <v/>
      </c>
      <c r="X108" s="301" t="str">
        <f>IFERROR(VLOOKUP(W108,'G-1 All Habitats'!$V$3:$W$7,2,FALSE),"")</f>
        <v/>
      </c>
      <c r="Y108" s="142"/>
      <c r="Z108" s="305" t="str">
        <f>IFERROR(INDEX('G-8 Condition Look up'!$A$3:$H$135,MATCH(S108,'G-8 Condition Look up'!$A$3:$A$135,0),MATCH(Y108,'G-8 Condition Look up'!$A$3:$H$3,0)),"")</f>
        <v/>
      </c>
      <c r="AA108" s="105"/>
      <c r="AB108" s="320" t="str">
        <f>IF(AA108="","",IF(VLOOKUP(AA108,'G-3 Multipliers'!$L$3:$N$6,2,FALSE)=0,"Spatial Data Missing ⚠",VLOOKUP(AA108,'G-3 Multipliers'!$L$3:$N$6,2,FALSE)))</f>
        <v/>
      </c>
      <c r="AC108" s="305" t="str">
        <f>IF(AA108="","",IF(VLOOKUP(AA108,'G-3 Multipliers'!$L$3:$N$6,3,FALSE)=0,"Spatial Data Missing ⚠",VLOOKUP(AA108,'G-3 Multipliers'!$L$3:$N$6,3,FALSE)))</f>
        <v/>
      </c>
      <c r="AD108" s="317" t="str">
        <f t="shared" si="11"/>
        <v/>
      </c>
      <c r="AE108" s="142"/>
      <c r="AF108" s="142"/>
      <c r="AG108" s="301" t="str">
        <f t="shared" si="14"/>
        <v/>
      </c>
      <c r="AH108" s="302" t="str">
        <f t="shared" si="15"/>
        <v/>
      </c>
      <c r="AI108" s="306" t="str">
        <f>IF(AH108="Check Data ⚠","Check Data ⚠",IFERROR(VLOOKUP(AH108,'G-4 Temporal multipliers'!$A$4:$C$36,3,FALSE),""))</f>
        <v/>
      </c>
      <c r="AJ108" s="317" t="str">
        <f>IF(S108="","",VLOOKUP(S108,'G-3 Multipliers'!$A$2:$E$134,4,FALSE))</f>
        <v/>
      </c>
      <c r="AK108" s="301" t="str">
        <f t="shared" si="16"/>
        <v/>
      </c>
      <c r="AL108" s="301" t="str">
        <f t="shared" si="17"/>
        <v/>
      </c>
      <c r="AM108" s="305" t="str">
        <f>IFERROR(IF(F108="","",IF(AH108="Check Data ⚠","Check Data ⚠",VLOOKUP(AL108, 'G-3 Multipliers'!$P$2:$Q$6,2,FALSE))),"")</f>
        <v/>
      </c>
      <c r="AN108" s="728"/>
      <c r="AO108" s="335" t="str">
        <f>IF(AN108="","",IF(VLOOKUP(AN108,'G-3 Multipliers'!$S$3:$T$10,2,FALSE)=0,"Spatial Data Missing ⚠",VLOOKUP(AN108,'G-3 Multipliers'!$S$3:$T$10,2,FALSE)))</f>
        <v/>
      </c>
      <c r="AP108" s="295" t="str">
        <f t="shared" si="18"/>
        <v/>
      </c>
      <c r="AQ108" s="295" t="str">
        <f t="shared" si="19"/>
        <v/>
      </c>
      <c r="AR108" s="109"/>
      <c r="AS108" s="142"/>
      <c r="AT108" s="108"/>
      <c r="AU108" s="108"/>
      <c r="AY108" s="30" t="str">
        <f>IF(E108="","",IF(ISNA(VLOOKUP($E108,'D-1 Off-Site Habitat Baseline'!$D$1:$AV$258,4,FALSE)),"",(VLOOKUP($E108,'D-1 Off-Site Habitat Baseline'!$D$1:$AV$258,4,FALSE))))</f>
        <v/>
      </c>
    </row>
    <row r="109" spans="1:51" x14ac:dyDescent="0.25">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325" t="str">
        <f>'D-1 Off-Site Habitat Baseline'!AP108</f>
        <v/>
      </c>
      <c r="F109" s="289" t="str">
        <f>IF(E109="","",IF(ISNA(VLOOKUP($E109,'D-1 Off-Site Habitat Baseline'!$D$1:$ZZ$258,45,FALSE)),"",(VLOOKUP($E109,'D-1 Off-Site Habitat Baseline'!$D$1:$ZZ$258,45,FALSE))))</f>
        <v/>
      </c>
      <c r="G109" s="301" t="str">
        <f>IF(E109="","",IF(ISNA(VLOOKUP($E109,'D-1 Off-Site Habitat Baseline'!$D$1:$O$258,5,FALSE)),"",(VLOOKUP($E109,'D-1 Off-Site Habitat Baseline'!$D$1:$O$258,5,FALSE))))</f>
        <v/>
      </c>
      <c r="H109" s="301" t="str">
        <f>IF(E109="","",IF(ISNA(VLOOKUP($E109,'D-1 Off-Site Habitat Baseline'!$D$1:$O$258,6,FALSE)),"",(VLOOKUP($E109,'D-1 Off-Site Habitat Baseline'!$D$1:$O$258,6,FALSE))))</f>
        <v/>
      </c>
      <c r="I109" s="301" t="str">
        <f>IF(E109="","",IF(ISNA(VLOOKUP($E109,'D-1 Off-Site Habitat Baseline'!$D$1:$O$258,7,FALSE)),"",(VLOOKUP($E109,'D-1 Off-Site Habitat Baseline'!$D$1:$O$258,7,FALSE))))</f>
        <v/>
      </c>
      <c r="J109" s="301" t="str">
        <f>IF(E109="","",IF(ISNA(VLOOKUP($E109,'D-1 Off-Site Habitat Baseline'!$D$1:$O$258,8,FALSE)),"",(VLOOKUP($E109,'D-1 Off-Site Habitat Baseline'!$D$1:$O$258,8,FALSE))))</f>
        <v/>
      </c>
      <c r="K109" s="301" t="str">
        <f>IF(E109="","",IF(ISNA(VLOOKUP($E109,'D-1 Off-Site Habitat Baseline'!$D$1:$O$258,9,FALSE)),"",(VLOOKUP($E109,'D-1 Off-Site Habitat Baseline'!$D$1:$O$258,9,FALSE))))</f>
        <v/>
      </c>
      <c r="L109" s="301" t="str">
        <f>IF(E109="","",IF(ISNA(VLOOKUP($E109,'D-1 Off-Site Habitat Baseline'!$D$1:$O$258,11,FALSE)),"",(VLOOKUP($E109,'D-1 Off-Site Habitat Baseline'!$D$1:$O$258,11,FALSE))))</f>
        <v/>
      </c>
      <c r="M109" s="301" t="str">
        <f>IF(E109="","",IF(ISNA(VLOOKUP($E109,'D-1 Off-Site Habitat Baseline'!$D$1:$O$258,12,FALSE)),"",(VLOOKUP($E109,'D-1 Off-Site Habitat Baseline'!$D$1:$O$258,12,FALSE))))</f>
        <v/>
      </c>
      <c r="N109" s="301" t="str">
        <f>IF(E109="","",IF(ISNA(VLOOKUP($E109,'D-1 Off-Site Habitat Baseline'!$D$1:$AA$258,17,FALSE)),"",(VLOOKUP($E109,'D-1 Off-Site Habitat Baseline'!$D$1:$AA$258,17,FALSE))))</f>
        <v/>
      </c>
      <c r="O109" s="305" t="str">
        <f>IF(E109="","",IF(ISNA(VLOOKUP($E109,'D-1 Off-Site Habitat Baseline'!$D$1:$AA$258,13,FALSE)),"",(VLOOKUP($E109,'D-1 Off-Site Habitat Baseline'!$D$1:$AA$258,13,FALSE))))</f>
        <v/>
      </c>
      <c r="P109" s="152" t="str">
        <f>IFERROR(INDEX('G-1 All Habitats'!$AG$49:$AG$63,MATCH(Q109,'G-1 All Habitats'!$AF$27:$AF$41,0)),"")</f>
        <v/>
      </c>
      <c r="Q109" s="153"/>
      <c r="R109" s="154"/>
      <c r="S109" s="155" t="str">
        <f>IFERROR(INDEX('G-1 All Habitats'!$B$3:$B$135,MATCH(R109,'G-1 All Habitats'!$A$3:$A$135,0)),"")</f>
        <v/>
      </c>
      <c r="T109" s="289" t="str">
        <f t="shared" si="12"/>
        <v/>
      </c>
      <c r="U109" s="305" t="str">
        <f t="shared" si="13"/>
        <v/>
      </c>
      <c r="V109" s="304" t="str">
        <f t="shared" si="10"/>
        <v/>
      </c>
      <c r="W109" s="301" t="str">
        <f>IF(S109="","",VLOOKUP(S109,'G-1 All Habitats'!$B$2:$M$135,10,FALSE))</f>
        <v/>
      </c>
      <c r="X109" s="301" t="str">
        <f>IFERROR(VLOOKUP(W109,'G-1 All Habitats'!$V$3:$W$7,2,FALSE),"")</f>
        <v/>
      </c>
      <c r="Y109" s="142"/>
      <c r="Z109" s="305" t="str">
        <f>IFERROR(INDEX('G-8 Condition Look up'!$A$3:$H$135,MATCH(S109,'G-8 Condition Look up'!$A$3:$A$135,0),MATCH(Y109,'G-8 Condition Look up'!$A$3:$H$3,0)),"")</f>
        <v/>
      </c>
      <c r="AA109" s="105"/>
      <c r="AB109" s="320" t="str">
        <f>IF(AA109="","",IF(VLOOKUP(AA109,'G-3 Multipliers'!$L$3:$N$6,2,FALSE)=0,"Spatial Data Missing ⚠",VLOOKUP(AA109,'G-3 Multipliers'!$L$3:$N$6,2,FALSE)))</f>
        <v/>
      </c>
      <c r="AC109" s="305" t="str">
        <f>IF(AA109="","",IF(VLOOKUP(AA109,'G-3 Multipliers'!$L$3:$N$6,3,FALSE)=0,"Spatial Data Missing ⚠",VLOOKUP(AA109,'G-3 Multipliers'!$L$3:$N$6,3,FALSE)))</f>
        <v/>
      </c>
      <c r="AD109" s="317" t="str">
        <f t="shared" si="11"/>
        <v/>
      </c>
      <c r="AE109" s="142"/>
      <c r="AF109" s="142"/>
      <c r="AG109" s="301" t="str">
        <f t="shared" si="14"/>
        <v/>
      </c>
      <c r="AH109" s="302" t="str">
        <f t="shared" si="15"/>
        <v/>
      </c>
      <c r="AI109" s="306" t="str">
        <f>IF(AH109="Check Data ⚠","Check Data ⚠",IFERROR(VLOOKUP(AH109,'G-4 Temporal multipliers'!$A$4:$C$36,3,FALSE),""))</f>
        <v/>
      </c>
      <c r="AJ109" s="317" t="str">
        <f>IF(S109="","",VLOOKUP(S109,'G-3 Multipliers'!$A$2:$E$134,4,FALSE))</f>
        <v/>
      </c>
      <c r="AK109" s="301" t="str">
        <f t="shared" si="16"/>
        <v/>
      </c>
      <c r="AL109" s="301" t="str">
        <f t="shared" si="17"/>
        <v/>
      </c>
      <c r="AM109" s="305" t="str">
        <f>IFERROR(IF(F109="","",IF(AH109="Check Data ⚠","Check Data ⚠",VLOOKUP(AL109, 'G-3 Multipliers'!$P$2:$Q$6,2,FALSE))),"")</f>
        <v/>
      </c>
      <c r="AN109" s="728"/>
      <c r="AO109" s="335" t="str">
        <f>IF(AN109="","",IF(VLOOKUP(AN109,'G-3 Multipliers'!$S$3:$T$10,2,FALSE)=0,"Spatial Data Missing ⚠",VLOOKUP(AN109,'G-3 Multipliers'!$S$3:$T$10,2,FALSE)))</f>
        <v/>
      </c>
      <c r="AP109" s="295" t="str">
        <f t="shared" si="18"/>
        <v/>
      </c>
      <c r="AQ109" s="295" t="str">
        <f t="shared" si="19"/>
        <v/>
      </c>
      <c r="AR109" s="109"/>
      <c r="AS109" s="142"/>
      <c r="AT109" s="108"/>
      <c r="AU109" s="108"/>
      <c r="AY109" s="30" t="str">
        <f>IF(E109="","",IF(ISNA(VLOOKUP($E109,'D-1 Off-Site Habitat Baseline'!$D$1:$AV$258,4,FALSE)),"",(VLOOKUP($E109,'D-1 Off-Site Habitat Baseline'!$D$1:$AV$258,4,FALSE))))</f>
        <v/>
      </c>
    </row>
    <row r="110" spans="1:51" x14ac:dyDescent="0.25">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325" t="str">
        <f>'D-1 Off-Site Habitat Baseline'!AP109</f>
        <v/>
      </c>
      <c r="F110" s="289" t="str">
        <f>IF(E110="","",IF(ISNA(VLOOKUP($E110,'D-1 Off-Site Habitat Baseline'!$D$1:$ZZ$258,45,FALSE)),"",(VLOOKUP($E110,'D-1 Off-Site Habitat Baseline'!$D$1:$ZZ$258,45,FALSE))))</f>
        <v/>
      </c>
      <c r="G110" s="301" t="str">
        <f>IF(E110="","",IF(ISNA(VLOOKUP($E110,'D-1 Off-Site Habitat Baseline'!$D$1:$O$258,5,FALSE)),"",(VLOOKUP($E110,'D-1 Off-Site Habitat Baseline'!$D$1:$O$258,5,FALSE))))</f>
        <v/>
      </c>
      <c r="H110" s="301" t="str">
        <f>IF(E110="","",IF(ISNA(VLOOKUP($E110,'D-1 Off-Site Habitat Baseline'!$D$1:$O$258,6,FALSE)),"",(VLOOKUP($E110,'D-1 Off-Site Habitat Baseline'!$D$1:$O$258,6,FALSE))))</f>
        <v/>
      </c>
      <c r="I110" s="301" t="str">
        <f>IF(E110="","",IF(ISNA(VLOOKUP($E110,'D-1 Off-Site Habitat Baseline'!$D$1:$O$258,7,FALSE)),"",(VLOOKUP($E110,'D-1 Off-Site Habitat Baseline'!$D$1:$O$258,7,FALSE))))</f>
        <v/>
      </c>
      <c r="J110" s="301" t="str">
        <f>IF(E110="","",IF(ISNA(VLOOKUP($E110,'D-1 Off-Site Habitat Baseline'!$D$1:$O$258,8,FALSE)),"",(VLOOKUP($E110,'D-1 Off-Site Habitat Baseline'!$D$1:$O$258,8,FALSE))))</f>
        <v/>
      </c>
      <c r="K110" s="301" t="str">
        <f>IF(E110="","",IF(ISNA(VLOOKUP($E110,'D-1 Off-Site Habitat Baseline'!$D$1:$O$258,9,FALSE)),"",(VLOOKUP($E110,'D-1 Off-Site Habitat Baseline'!$D$1:$O$258,9,FALSE))))</f>
        <v/>
      </c>
      <c r="L110" s="301" t="str">
        <f>IF(E110="","",IF(ISNA(VLOOKUP($E110,'D-1 Off-Site Habitat Baseline'!$D$1:$O$258,11,FALSE)),"",(VLOOKUP($E110,'D-1 Off-Site Habitat Baseline'!$D$1:$O$258,11,FALSE))))</f>
        <v/>
      </c>
      <c r="M110" s="301" t="str">
        <f>IF(E110="","",IF(ISNA(VLOOKUP($E110,'D-1 Off-Site Habitat Baseline'!$D$1:$O$258,12,FALSE)),"",(VLOOKUP($E110,'D-1 Off-Site Habitat Baseline'!$D$1:$O$258,12,FALSE))))</f>
        <v/>
      </c>
      <c r="N110" s="301" t="str">
        <f>IF(E110="","",IF(ISNA(VLOOKUP($E110,'D-1 Off-Site Habitat Baseline'!$D$1:$AA$258,17,FALSE)),"",(VLOOKUP($E110,'D-1 Off-Site Habitat Baseline'!$D$1:$AA$258,17,FALSE))))</f>
        <v/>
      </c>
      <c r="O110" s="305" t="str">
        <f>IF(E110="","",IF(ISNA(VLOOKUP($E110,'D-1 Off-Site Habitat Baseline'!$D$1:$AA$258,13,FALSE)),"",(VLOOKUP($E110,'D-1 Off-Site Habitat Baseline'!$D$1:$AA$258,13,FALSE))))</f>
        <v/>
      </c>
      <c r="P110" s="152" t="str">
        <f>IFERROR(INDEX('G-1 All Habitats'!$AG$49:$AG$63,MATCH(Q110,'G-1 All Habitats'!$AF$27:$AF$41,0)),"")</f>
        <v/>
      </c>
      <c r="Q110" s="153"/>
      <c r="R110" s="154"/>
      <c r="S110" s="155" t="str">
        <f>IFERROR(INDEX('G-1 All Habitats'!$B$3:$B$135,MATCH(R110,'G-1 All Habitats'!$A$3:$A$135,0)),"")</f>
        <v/>
      </c>
      <c r="T110" s="289" t="str">
        <f t="shared" si="12"/>
        <v/>
      </c>
      <c r="U110" s="305" t="str">
        <f t="shared" si="13"/>
        <v/>
      </c>
      <c r="V110" s="304" t="str">
        <f t="shared" si="10"/>
        <v/>
      </c>
      <c r="W110" s="301" t="str">
        <f>IF(S110="","",VLOOKUP(S110,'G-1 All Habitats'!$B$2:$M$135,10,FALSE))</f>
        <v/>
      </c>
      <c r="X110" s="301" t="str">
        <f>IFERROR(VLOOKUP(W110,'G-1 All Habitats'!$V$3:$W$7,2,FALSE),"")</f>
        <v/>
      </c>
      <c r="Y110" s="142"/>
      <c r="Z110" s="305" t="str">
        <f>IFERROR(INDEX('G-8 Condition Look up'!$A$3:$H$135,MATCH(S110,'G-8 Condition Look up'!$A$3:$A$135,0),MATCH(Y110,'G-8 Condition Look up'!$A$3:$H$3,0)),"")</f>
        <v/>
      </c>
      <c r="AA110" s="105"/>
      <c r="AB110" s="320" t="str">
        <f>IF(AA110="","",IF(VLOOKUP(AA110,'G-3 Multipliers'!$L$3:$N$6,2,FALSE)=0,"Spatial Data Missing ⚠",VLOOKUP(AA110,'G-3 Multipliers'!$L$3:$N$6,2,FALSE)))</f>
        <v/>
      </c>
      <c r="AC110" s="305" t="str">
        <f>IF(AA110="","",IF(VLOOKUP(AA110,'G-3 Multipliers'!$L$3:$N$6,3,FALSE)=0,"Spatial Data Missing ⚠",VLOOKUP(AA110,'G-3 Multipliers'!$L$3:$N$6,3,FALSE)))</f>
        <v/>
      </c>
      <c r="AD110" s="317" t="str">
        <f t="shared" si="11"/>
        <v/>
      </c>
      <c r="AE110" s="142"/>
      <c r="AF110" s="142"/>
      <c r="AG110" s="301" t="str">
        <f t="shared" si="14"/>
        <v/>
      </c>
      <c r="AH110" s="302" t="str">
        <f t="shared" si="15"/>
        <v/>
      </c>
      <c r="AI110" s="306" t="str">
        <f>IF(AH110="Check Data ⚠","Check Data ⚠",IFERROR(VLOOKUP(AH110,'G-4 Temporal multipliers'!$A$4:$C$36,3,FALSE),""))</f>
        <v/>
      </c>
      <c r="AJ110" s="317" t="str">
        <f>IF(S110="","",VLOOKUP(S110,'G-3 Multipliers'!$A$2:$E$134,4,FALSE))</f>
        <v/>
      </c>
      <c r="AK110" s="301" t="str">
        <f t="shared" si="16"/>
        <v/>
      </c>
      <c r="AL110" s="301" t="str">
        <f t="shared" si="17"/>
        <v/>
      </c>
      <c r="AM110" s="305" t="str">
        <f>IFERROR(IF(F110="","",IF(AH110="Check Data ⚠","Check Data ⚠",VLOOKUP(AL110, 'G-3 Multipliers'!$P$2:$Q$6,2,FALSE))),"")</f>
        <v/>
      </c>
      <c r="AN110" s="728"/>
      <c r="AO110" s="335" t="str">
        <f>IF(AN110="","",IF(VLOOKUP(AN110,'G-3 Multipliers'!$S$3:$T$10,2,FALSE)=0,"Spatial Data Missing ⚠",VLOOKUP(AN110,'G-3 Multipliers'!$S$3:$T$10,2,FALSE)))</f>
        <v/>
      </c>
      <c r="AP110" s="295" t="str">
        <f t="shared" si="18"/>
        <v/>
      </c>
      <c r="AQ110" s="295" t="str">
        <f t="shared" si="19"/>
        <v/>
      </c>
      <c r="AR110" s="109"/>
      <c r="AS110" s="142"/>
      <c r="AT110" s="108"/>
      <c r="AU110" s="108"/>
      <c r="AY110" s="30" t="str">
        <f>IF(E110="","",IF(ISNA(VLOOKUP($E110,'D-1 Off-Site Habitat Baseline'!$D$1:$AV$258,4,FALSE)),"",(VLOOKUP($E110,'D-1 Off-Site Habitat Baseline'!$D$1:$AV$258,4,FALSE))))</f>
        <v/>
      </c>
    </row>
    <row r="111" spans="1:51" x14ac:dyDescent="0.25">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325" t="str">
        <f>'D-1 Off-Site Habitat Baseline'!AP110</f>
        <v/>
      </c>
      <c r="F111" s="289" t="str">
        <f>IF(E111="","",IF(ISNA(VLOOKUP($E111,'D-1 Off-Site Habitat Baseline'!$D$1:$ZZ$258,45,FALSE)),"",(VLOOKUP($E111,'D-1 Off-Site Habitat Baseline'!$D$1:$ZZ$258,45,FALSE))))</f>
        <v/>
      </c>
      <c r="G111" s="301" t="str">
        <f>IF(E111="","",IF(ISNA(VLOOKUP($E111,'D-1 Off-Site Habitat Baseline'!$D$1:$O$258,5,FALSE)),"",(VLOOKUP($E111,'D-1 Off-Site Habitat Baseline'!$D$1:$O$258,5,FALSE))))</f>
        <v/>
      </c>
      <c r="H111" s="301" t="str">
        <f>IF(E111="","",IF(ISNA(VLOOKUP($E111,'D-1 Off-Site Habitat Baseline'!$D$1:$O$258,6,FALSE)),"",(VLOOKUP($E111,'D-1 Off-Site Habitat Baseline'!$D$1:$O$258,6,FALSE))))</f>
        <v/>
      </c>
      <c r="I111" s="301" t="str">
        <f>IF(E111="","",IF(ISNA(VLOOKUP($E111,'D-1 Off-Site Habitat Baseline'!$D$1:$O$258,7,FALSE)),"",(VLOOKUP($E111,'D-1 Off-Site Habitat Baseline'!$D$1:$O$258,7,FALSE))))</f>
        <v/>
      </c>
      <c r="J111" s="301" t="str">
        <f>IF(E111="","",IF(ISNA(VLOOKUP($E111,'D-1 Off-Site Habitat Baseline'!$D$1:$O$258,8,FALSE)),"",(VLOOKUP($E111,'D-1 Off-Site Habitat Baseline'!$D$1:$O$258,8,FALSE))))</f>
        <v/>
      </c>
      <c r="K111" s="301" t="str">
        <f>IF(E111="","",IF(ISNA(VLOOKUP($E111,'D-1 Off-Site Habitat Baseline'!$D$1:$O$258,9,FALSE)),"",(VLOOKUP($E111,'D-1 Off-Site Habitat Baseline'!$D$1:$O$258,9,FALSE))))</f>
        <v/>
      </c>
      <c r="L111" s="301" t="str">
        <f>IF(E111="","",IF(ISNA(VLOOKUP($E111,'D-1 Off-Site Habitat Baseline'!$D$1:$O$258,11,FALSE)),"",(VLOOKUP($E111,'D-1 Off-Site Habitat Baseline'!$D$1:$O$258,11,FALSE))))</f>
        <v/>
      </c>
      <c r="M111" s="301" t="str">
        <f>IF(E111="","",IF(ISNA(VLOOKUP($E111,'D-1 Off-Site Habitat Baseline'!$D$1:$O$258,12,FALSE)),"",(VLOOKUP($E111,'D-1 Off-Site Habitat Baseline'!$D$1:$O$258,12,FALSE))))</f>
        <v/>
      </c>
      <c r="N111" s="301" t="str">
        <f>IF(E111="","",IF(ISNA(VLOOKUP($E111,'D-1 Off-Site Habitat Baseline'!$D$1:$AA$258,17,FALSE)),"",(VLOOKUP($E111,'D-1 Off-Site Habitat Baseline'!$D$1:$AA$258,17,FALSE))))</f>
        <v/>
      </c>
      <c r="O111" s="305" t="str">
        <f>IF(E111="","",IF(ISNA(VLOOKUP($E111,'D-1 Off-Site Habitat Baseline'!$D$1:$AA$258,13,FALSE)),"",(VLOOKUP($E111,'D-1 Off-Site Habitat Baseline'!$D$1:$AA$258,13,FALSE))))</f>
        <v/>
      </c>
      <c r="P111" s="152" t="str">
        <f>IFERROR(INDEX('G-1 All Habitats'!$AG$49:$AG$63,MATCH(Q111,'G-1 All Habitats'!$AF$27:$AF$41,0)),"")</f>
        <v/>
      </c>
      <c r="Q111" s="153"/>
      <c r="R111" s="154"/>
      <c r="S111" s="155" t="str">
        <f>IFERROR(INDEX('G-1 All Habitats'!$B$3:$B$135,MATCH(R111,'G-1 All Habitats'!$A$3:$A$135,0)),"")</f>
        <v/>
      </c>
      <c r="T111" s="289" t="str">
        <f t="shared" si="12"/>
        <v/>
      </c>
      <c r="U111" s="305" t="str">
        <f t="shared" si="13"/>
        <v/>
      </c>
      <c r="V111" s="304" t="str">
        <f t="shared" si="10"/>
        <v/>
      </c>
      <c r="W111" s="301" t="str">
        <f>IF(S111="","",VLOOKUP(S111,'G-1 All Habitats'!$B$2:$M$135,10,FALSE))</f>
        <v/>
      </c>
      <c r="X111" s="301" t="str">
        <f>IFERROR(VLOOKUP(W111,'G-1 All Habitats'!$V$3:$W$7,2,FALSE),"")</f>
        <v/>
      </c>
      <c r="Y111" s="142"/>
      <c r="Z111" s="305" t="str">
        <f>IFERROR(INDEX('G-8 Condition Look up'!$A$3:$H$135,MATCH(S111,'G-8 Condition Look up'!$A$3:$A$135,0),MATCH(Y111,'G-8 Condition Look up'!$A$3:$H$3,0)),"")</f>
        <v/>
      </c>
      <c r="AA111" s="105"/>
      <c r="AB111" s="320" t="str">
        <f>IF(AA111="","",IF(VLOOKUP(AA111,'G-3 Multipliers'!$L$3:$N$6,2,FALSE)=0,"Spatial Data Missing ⚠",VLOOKUP(AA111,'G-3 Multipliers'!$L$3:$N$6,2,FALSE)))</f>
        <v/>
      </c>
      <c r="AC111" s="305" t="str">
        <f>IF(AA111="","",IF(VLOOKUP(AA111,'G-3 Multipliers'!$L$3:$N$6,3,FALSE)=0,"Spatial Data Missing ⚠",VLOOKUP(AA111,'G-3 Multipliers'!$L$3:$N$6,3,FALSE)))</f>
        <v/>
      </c>
      <c r="AD111" s="317" t="str">
        <f t="shared" si="11"/>
        <v/>
      </c>
      <c r="AE111" s="142"/>
      <c r="AF111" s="142"/>
      <c r="AG111" s="301" t="str">
        <f t="shared" si="14"/>
        <v/>
      </c>
      <c r="AH111" s="302" t="str">
        <f t="shared" si="15"/>
        <v/>
      </c>
      <c r="AI111" s="306" t="str">
        <f>IF(AH111="Check Data ⚠","Check Data ⚠",IFERROR(VLOOKUP(AH111,'G-4 Temporal multipliers'!$A$4:$C$36,3,FALSE),""))</f>
        <v/>
      </c>
      <c r="AJ111" s="317" t="str">
        <f>IF(S111="","",VLOOKUP(S111,'G-3 Multipliers'!$A$2:$E$134,4,FALSE))</f>
        <v/>
      </c>
      <c r="AK111" s="301" t="str">
        <f t="shared" si="16"/>
        <v/>
      </c>
      <c r="AL111" s="301" t="str">
        <f t="shared" si="17"/>
        <v/>
      </c>
      <c r="AM111" s="305" t="str">
        <f>IFERROR(IF(F111="","",IF(AH111="Check Data ⚠","Check Data ⚠",VLOOKUP(AL111, 'G-3 Multipliers'!$P$2:$Q$6,2,FALSE))),"")</f>
        <v/>
      </c>
      <c r="AN111" s="728"/>
      <c r="AO111" s="335" t="str">
        <f>IF(AN111="","",IF(VLOOKUP(AN111,'G-3 Multipliers'!$S$3:$T$10,2,FALSE)=0,"Spatial Data Missing ⚠",VLOOKUP(AN111,'G-3 Multipliers'!$S$3:$T$10,2,FALSE)))</f>
        <v/>
      </c>
      <c r="AP111" s="295" t="str">
        <f t="shared" si="18"/>
        <v/>
      </c>
      <c r="AQ111" s="295" t="str">
        <f t="shared" si="19"/>
        <v/>
      </c>
      <c r="AR111" s="109"/>
      <c r="AS111" s="142"/>
      <c r="AT111" s="108"/>
      <c r="AU111" s="108"/>
      <c r="AY111" s="30" t="str">
        <f>IF(E111="","",IF(ISNA(VLOOKUP($E111,'D-1 Off-Site Habitat Baseline'!$D$1:$AV$258,4,FALSE)),"",(VLOOKUP($E111,'D-1 Off-Site Habitat Baseline'!$D$1:$AV$258,4,FALSE))))</f>
        <v/>
      </c>
    </row>
    <row r="112" spans="1:51" x14ac:dyDescent="0.25">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325" t="str">
        <f>'D-1 Off-Site Habitat Baseline'!AP111</f>
        <v/>
      </c>
      <c r="F112" s="289" t="str">
        <f>IF(E112="","",IF(ISNA(VLOOKUP($E112,'D-1 Off-Site Habitat Baseline'!$D$1:$ZZ$258,45,FALSE)),"",(VLOOKUP($E112,'D-1 Off-Site Habitat Baseline'!$D$1:$ZZ$258,45,FALSE))))</f>
        <v/>
      </c>
      <c r="G112" s="301" t="str">
        <f>IF(E112="","",IF(ISNA(VLOOKUP($E112,'D-1 Off-Site Habitat Baseline'!$D$1:$O$258,5,FALSE)),"",(VLOOKUP($E112,'D-1 Off-Site Habitat Baseline'!$D$1:$O$258,5,FALSE))))</f>
        <v/>
      </c>
      <c r="H112" s="301" t="str">
        <f>IF(E112="","",IF(ISNA(VLOOKUP($E112,'D-1 Off-Site Habitat Baseline'!$D$1:$O$258,6,FALSE)),"",(VLOOKUP($E112,'D-1 Off-Site Habitat Baseline'!$D$1:$O$258,6,FALSE))))</f>
        <v/>
      </c>
      <c r="I112" s="301" t="str">
        <f>IF(E112="","",IF(ISNA(VLOOKUP($E112,'D-1 Off-Site Habitat Baseline'!$D$1:$O$258,7,FALSE)),"",(VLOOKUP($E112,'D-1 Off-Site Habitat Baseline'!$D$1:$O$258,7,FALSE))))</f>
        <v/>
      </c>
      <c r="J112" s="301" t="str">
        <f>IF(E112="","",IF(ISNA(VLOOKUP($E112,'D-1 Off-Site Habitat Baseline'!$D$1:$O$258,8,FALSE)),"",(VLOOKUP($E112,'D-1 Off-Site Habitat Baseline'!$D$1:$O$258,8,FALSE))))</f>
        <v/>
      </c>
      <c r="K112" s="301" t="str">
        <f>IF(E112="","",IF(ISNA(VLOOKUP($E112,'D-1 Off-Site Habitat Baseline'!$D$1:$O$258,9,FALSE)),"",(VLOOKUP($E112,'D-1 Off-Site Habitat Baseline'!$D$1:$O$258,9,FALSE))))</f>
        <v/>
      </c>
      <c r="L112" s="301" t="str">
        <f>IF(E112="","",IF(ISNA(VLOOKUP($E112,'D-1 Off-Site Habitat Baseline'!$D$1:$O$258,11,FALSE)),"",(VLOOKUP($E112,'D-1 Off-Site Habitat Baseline'!$D$1:$O$258,11,FALSE))))</f>
        <v/>
      </c>
      <c r="M112" s="301" t="str">
        <f>IF(E112="","",IF(ISNA(VLOOKUP($E112,'D-1 Off-Site Habitat Baseline'!$D$1:$O$258,12,FALSE)),"",(VLOOKUP($E112,'D-1 Off-Site Habitat Baseline'!$D$1:$O$258,12,FALSE))))</f>
        <v/>
      </c>
      <c r="N112" s="301" t="str">
        <f>IF(E112="","",IF(ISNA(VLOOKUP($E112,'D-1 Off-Site Habitat Baseline'!$D$1:$AA$258,17,FALSE)),"",(VLOOKUP($E112,'D-1 Off-Site Habitat Baseline'!$D$1:$AA$258,17,FALSE))))</f>
        <v/>
      </c>
      <c r="O112" s="305" t="str">
        <f>IF(E112="","",IF(ISNA(VLOOKUP($E112,'D-1 Off-Site Habitat Baseline'!$D$1:$AA$258,13,FALSE)),"",(VLOOKUP($E112,'D-1 Off-Site Habitat Baseline'!$D$1:$AA$258,13,FALSE))))</f>
        <v/>
      </c>
      <c r="P112" s="152" t="str">
        <f>IFERROR(INDEX('G-1 All Habitats'!$AG$49:$AG$63,MATCH(Q112,'G-1 All Habitats'!$AF$27:$AF$41,0)),"")</f>
        <v/>
      </c>
      <c r="Q112" s="153"/>
      <c r="R112" s="154"/>
      <c r="S112" s="155" t="str">
        <f>IFERROR(INDEX('G-1 All Habitats'!$B$3:$B$135,MATCH(R112,'G-1 All Habitats'!$A$3:$A$135,0)),"")</f>
        <v/>
      </c>
      <c r="T112" s="289" t="str">
        <f t="shared" si="12"/>
        <v/>
      </c>
      <c r="U112" s="305" t="str">
        <f t="shared" si="13"/>
        <v/>
      </c>
      <c r="V112" s="304" t="str">
        <f t="shared" si="10"/>
        <v/>
      </c>
      <c r="W112" s="301" t="str">
        <f>IF(S112="","",VLOOKUP(S112,'G-1 All Habitats'!$B$2:$M$135,10,FALSE))</f>
        <v/>
      </c>
      <c r="X112" s="301" t="str">
        <f>IFERROR(VLOOKUP(W112,'G-1 All Habitats'!$V$3:$W$7,2,FALSE),"")</f>
        <v/>
      </c>
      <c r="Y112" s="142"/>
      <c r="Z112" s="305" t="str">
        <f>IFERROR(INDEX('G-8 Condition Look up'!$A$3:$H$135,MATCH(S112,'G-8 Condition Look up'!$A$3:$A$135,0),MATCH(Y112,'G-8 Condition Look up'!$A$3:$H$3,0)),"")</f>
        <v/>
      </c>
      <c r="AA112" s="105"/>
      <c r="AB112" s="320" t="str">
        <f>IF(AA112="","",IF(VLOOKUP(AA112,'G-3 Multipliers'!$L$3:$N$6,2,FALSE)=0,"Spatial Data Missing ⚠",VLOOKUP(AA112,'G-3 Multipliers'!$L$3:$N$6,2,FALSE)))</f>
        <v/>
      </c>
      <c r="AC112" s="305" t="str">
        <f>IF(AA112="","",IF(VLOOKUP(AA112,'G-3 Multipliers'!$L$3:$N$6,3,FALSE)=0,"Spatial Data Missing ⚠",VLOOKUP(AA112,'G-3 Multipliers'!$L$3:$N$6,3,FALSE)))</f>
        <v/>
      </c>
      <c r="AD112" s="317" t="str">
        <f t="shared" si="11"/>
        <v/>
      </c>
      <c r="AE112" s="142"/>
      <c r="AF112" s="142"/>
      <c r="AG112" s="301" t="str">
        <f t="shared" si="14"/>
        <v/>
      </c>
      <c r="AH112" s="302" t="str">
        <f t="shared" si="15"/>
        <v/>
      </c>
      <c r="AI112" s="306" t="str">
        <f>IF(AH112="Check Data ⚠","Check Data ⚠",IFERROR(VLOOKUP(AH112,'G-4 Temporal multipliers'!$A$4:$C$36,3,FALSE),""))</f>
        <v/>
      </c>
      <c r="AJ112" s="317" t="str">
        <f>IF(S112="","",VLOOKUP(S112,'G-3 Multipliers'!$A$2:$E$134,4,FALSE))</f>
        <v/>
      </c>
      <c r="AK112" s="301" t="str">
        <f t="shared" si="16"/>
        <v/>
      </c>
      <c r="AL112" s="301" t="str">
        <f t="shared" si="17"/>
        <v/>
      </c>
      <c r="AM112" s="305" t="str">
        <f>IFERROR(IF(F112="","",IF(AH112="Check Data ⚠","Check Data ⚠",VLOOKUP(AL112, 'G-3 Multipliers'!$P$2:$Q$6,2,FALSE))),"")</f>
        <v/>
      </c>
      <c r="AN112" s="728"/>
      <c r="AO112" s="335" t="str">
        <f>IF(AN112="","",IF(VLOOKUP(AN112,'G-3 Multipliers'!$S$3:$T$10,2,FALSE)=0,"Spatial Data Missing ⚠",VLOOKUP(AN112,'G-3 Multipliers'!$S$3:$T$10,2,FALSE)))</f>
        <v/>
      </c>
      <c r="AP112" s="295" t="str">
        <f t="shared" si="18"/>
        <v/>
      </c>
      <c r="AQ112" s="295" t="str">
        <f t="shared" si="19"/>
        <v/>
      </c>
      <c r="AR112" s="109"/>
      <c r="AS112" s="142"/>
      <c r="AT112" s="108"/>
      <c r="AU112" s="108"/>
      <c r="AY112" s="30" t="str">
        <f>IF(E112="","",IF(ISNA(VLOOKUP($E112,'D-1 Off-Site Habitat Baseline'!$D$1:$AV$258,4,FALSE)),"",(VLOOKUP($E112,'D-1 Off-Site Habitat Baseline'!$D$1:$AV$258,4,FALSE))))</f>
        <v/>
      </c>
    </row>
    <row r="113" spans="1:51" x14ac:dyDescent="0.25">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325" t="str">
        <f>'D-1 Off-Site Habitat Baseline'!AP112</f>
        <v/>
      </c>
      <c r="F113" s="289" t="str">
        <f>IF(E113="","",IF(ISNA(VLOOKUP($E113,'D-1 Off-Site Habitat Baseline'!$D$1:$ZZ$258,45,FALSE)),"",(VLOOKUP($E113,'D-1 Off-Site Habitat Baseline'!$D$1:$ZZ$258,45,FALSE))))</f>
        <v/>
      </c>
      <c r="G113" s="301" t="str">
        <f>IF(E113="","",IF(ISNA(VLOOKUP($E113,'D-1 Off-Site Habitat Baseline'!$D$1:$O$258,5,FALSE)),"",(VLOOKUP($E113,'D-1 Off-Site Habitat Baseline'!$D$1:$O$258,5,FALSE))))</f>
        <v/>
      </c>
      <c r="H113" s="301" t="str">
        <f>IF(E113="","",IF(ISNA(VLOOKUP($E113,'D-1 Off-Site Habitat Baseline'!$D$1:$O$258,6,FALSE)),"",(VLOOKUP($E113,'D-1 Off-Site Habitat Baseline'!$D$1:$O$258,6,FALSE))))</f>
        <v/>
      </c>
      <c r="I113" s="301" t="str">
        <f>IF(E113="","",IF(ISNA(VLOOKUP($E113,'D-1 Off-Site Habitat Baseline'!$D$1:$O$258,7,FALSE)),"",(VLOOKUP($E113,'D-1 Off-Site Habitat Baseline'!$D$1:$O$258,7,FALSE))))</f>
        <v/>
      </c>
      <c r="J113" s="301" t="str">
        <f>IF(E113="","",IF(ISNA(VLOOKUP($E113,'D-1 Off-Site Habitat Baseline'!$D$1:$O$258,8,FALSE)),"",(VLOOKUP($E113,'D-1 Off-Site Habitat Baseline'!$D$1:$O$258,8,FALSE))))</f>
        <v/>
      </c>
      <c r="K113" s="301" t="str">
        <f>IF(E113="","",IF(ISNA(VLOOKUP($E113,'D-1 Off-Site Habitat Baseline'!$D$1:$O$258,9,FALSE)),"",(VLOOKUP($E113,'D-1 Off-Site Habitat Baseline'!$D$1:$O$258,9,FALSE))))</f>
        <v/>
      </c>
      <c r="L113" s="301" t="str">
        <f>IF(E113="","",IF(ISNA(VLOOKUP($E113,'D-1 Off-Site Habitat Baseline'!$D$1:$O$258,11,FALSE)),"",(VLOOKUP($E113,'D-1 Off-Site Habitat Baseline'!$D$1:$O$258,11,FALSE))))</f>
        <v/>
      </c>
      <c r="M113" s="301" t="str">
        <f>IF(E113="","",IF(ISNA(VLOOKUP($E113,'D-1 Off-Site Habitat Baseline'!$D$1:$O$258,12,FALSE)),"",(VLOOKUP($E113,'D-1 Off-Site Habitat Baseline'!$D$1:$O$258,12,FALSE))))</f>
        <v/>
      </c>
      <c r="N113" s="301" t="str">
        <f>IF(E113="","",IF(ISNA(VLOOKUP($E113,'D-1 Off-Site Habitat Baseline'!$D$1:$AA$258,17,FALSE)),"",(VLOOKUP($E113,'D-1 Off-Site Habitat Baseline'!$D$1:$AA$258,17,FALSE))))</f>
        <v/>
      </c>
      <c r="O113" s="305" t="str">
        <f>IF(E113="","",IF(ISNA(VLOOKUP($E113,'D-1 Off-Site Habitat Baseline'!$D$1:$AA$258,13,FALSE)),"",(VLOOKUP($E113,'D-1 Off-Site Habitat Baseline'!$D$1:$AA$258,13,FALSE))))</f>
        <v/>
      </c>
      <c r="P113" s="152" t="str">
        <f>IFERROR(INDEX('G-1 All Habitats'!$AG$49:$AG$63,MATCH(Q113,'G-1 All Habitats'!$AF$27:$AF$41,0)),"")</f>
        <v/>
      </c>
      <c r="Q113" s="153"/>
      <c r="R113" s="154"/>
      <c r="S113" s="155" t="str">
        <f>IFERROR(INDEX('G-1 All Habitats'!$B$3:$B$135,MATCH(R113,'G-1 All Habitats'!$A$3:$A$135,0)),"")</f>
        <v/>
      </c>
      <c r="T113" s="289" t="str">
        <f t="shared" si="12"/>
        <v/>
      </c>
      <c r="U113" s="305" t="str">
        <f t="shared" si="13"/>
        <v/>
      </c>
      <c r="V113" s="304" t="str">
        <f t="shared" si="10"/>
        <v/>
      </c>
      <c r="W113" s="301" t="str">
        <f>IF(S113="","",VLOOKUP(S113,'G-1 All Habitats'!$B$2:$M$135,10,FALSE))</f>
        <v/>
      </c>
      <c r="X113" s="301" t="str">
        <f>IFERROR(VLOOKUP(W113,'G-1 All Habitats'!$V$3:$W$7,2,FALSE),"")</f>
        <v/>
      </c>
      <c r="Y113" s="142"/>
      <c r="Z113" s="305" t="str">
        <f>IFERROR(INDEX('G-8 Condition Look up'!$A$3:$H$135,MATCH(S113,'G-8 Condition Look up'!$A$3:$A$135,0),MATCH(Y113,'G-8 Condition Look up'!$A$3:$H$3,0)),"")</f>
        <v/>
      </c>
      <c r="AA113" s="105"/>
      <c r="AB113" s="320" t="str">
        <f>IF(AA113="","",IF(VLOOKUP(AA113,'G-3 Multipliers'!$L$3:$N$6,2,FALSE)=0,"Spatial Data Missing ⚠",VLOOKUP(AA113,'G-3 Multipliers'!$L$3:$N$6,2,FALSE)))</f>
        <v/>
      </c>
      <c r="AC113" s="305" t="str">
        <f>IF(AA113="","",IF(VLOOKUP(AA113,'G-3 Multipliers'!$L$3:$N$6,3,FALSE)=0,"Spatial Data Missing ⚠",VLOOKUP(AA113,'G-3 Multipliers'!$L$3:$N$6,3,FALSE)))</f>
        <v/>
      </c>
      <c r="AD113" s="317" t="str">
        <f t="shared" si="11"/>
        <v/>
      </c>
      <c r="AE113" s="142"/>
      <c r="AF113" s="142"/>
      <c r="AG113" s="301" t="str">
        <f t="shared" si="14"/>
        <v/>
      </c>
      <c r="AH113" s="302" t="str">
        <f t="shared" si="15"/>
        <v/>
      </c>
      <c r="AI113" s="306" t="str">
        <f>IF(AH113="Check Data ⚠","Check Data ⚠",IFERROR(VLOOKUP(AH113,'G-4 Temporal multipliers'!$A$4:$C$36,3,FALSE),""))</f>
        <v/>
      </c>
      <c r="AJ113" s="317" t="str">
        <f>IF(S113="","",VLOOKUP(S113,'G-3 Multipliers'!$A$2:$E$134,4,FALSE))</f>
        <v/>
      </c>
      <c r="AK113" s="301" t="str">
        <f t="shared" si="16"/>
        <v/>
      </c>
      <c r="AL113" s="301" t="str">
        <f t="shared" si="17"/>
        <v/>
      </c>
      <c r="AM113" s="305" t="str">
        <f>IFERROR(IF(F113="","",IF(AH113="Check Data ⚠","Check Data ⚠",VLOOKUP(AL113, 'G-3 Multipliers'!$P$2:$Q$6,2,FALSE))),"")</f>
        <v/>
      </c>
      <c r="AN113" s="728"/>
      <c r="AO113" s="335" t="str">
        <f>IF(AN113="","",IF(VLOOKUP(AN113,'G-3 Multipliers'!$S$3:$T$10,2,FALSE)=0,"Spatial Data Missing ⚠",VLOOKUP(AN113,'G-3 Multipliers'!$S$3:$T$10,2,FALSE)))</f>
        <v/>
      </c>
      <c r="AP113" s="295" t="str">
        <f t="shared" si="18"/>
        <v/>
      </c>
      <c r="AQ113" s="295" t="str">
        <f t="shared" si="19"/>
        <v/>
      </c>
      <c r="AR113" s="109"/>
      <c r="AS113" s="142"/>
      <c r="AT113" s="108"/>
      <c r="AU113" s="108"/>
      <c r="AY113" s="30" t="str">
        <f>IF(E113="","",IF(ISNA(VLOOKUP($E113,'D-1 Off-Site Habitat Baseline'!$D$1:$AV$258,4,FALSE)),"",(VLOOKUP($E113,'D-1 Off-Site Habitat Baseline'!$D$1:$AV$258,4,FALSE))))</f>
        <v/>
      </c>
    </row>
    <row r="114" spans="1:51" x14ac:dyDescent="0.25">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325" t="str">
        <f>'D-1 Off-Site Habitat Baseline'!AP113</f>
        <v/>
      </c>
      <c r="F114" s="289" t="str">
        <f>IF(E114="","",IF(ISNA(VLOOKUP($E114,'D-1 Off-Site Habitat Baseline'!$D$1:$ZZ$258,45,FALSE)),"",(VLOOKUP($E114,'D-1 Off-Site Habitat Baseline'!$D$1:$ZZ$258,45,FALSE))))</f>
        <v/>
      </c>
      <c r="G114" s="301" t="str">
        <f>IF(E114="","",IF(ISNA(VLOOKUP($E114,'D-1 Off-Site Habitat Baseline'!$D$1:$O$258,5,FALSE)),"",(VLOOKUP($E114,'D-1 Off-Site Habitat Baseline'!$D$1:$O$258,5,FALSE))))</f>
        <v/>
      </c>
      <c r="H114" s="301" t="str">
        <f>IF(E114="","",IF(ISNA(VLOOKUP($E114,'D-1 Off-Site Habitat Baseline'!$D$1:$O$258,6,FALSE)),"",(VLOOKUP($E114,'D-1 Off-Site Habitat Baseline'!$D$1:$O$258,6,FALSE))))</f>
        <v/>
      </c>
      <c r="I114" s="301" t="str">
        <f>IF(E114="","",IF(ISNA(VLOOKUP($E114,'D-1 Off-Site Habitat Baseline'!$D$1:$O$258,7,FALSE)),"",(VLOOKUP($E114,'D-1 Off-Site Habitat Baseline'!$D$1:$O$258,7,FALSE))))</f>
        <v/>
      </c>
      <c r="J114" s="301" t="str">
        <f>IF(E114="","",IF(ISNA(VLOOKUP($E114,'D-1 Off-Site Habitat Baseline'!$D$1:$O$258,8,FALSE)),"",(VLOOKUP($E114,'D-1 Off-Site Habitat Baseline'!$D$1:$O$258,8,FALSE))))</f>
        <v/>
      </c>
      <c r="K114" s="301" t="str">
        <f>IF(E114="","",IF(ISNA(VLOOKUP($E114,'D-1 Off-Site Habitat Baseline'!$D$1:$O$258,9,FALSE)),"",(VLOOKUP($E114,'D-1 Off-Site Habitat Baseline'!$D$1:$O$258,9,FALSE))))</f>
        <v/>
      </c>
      <c r="L114" s="301" t="str">
        <f>IF(E114="","",IF(ISNA(VLOOKUP($E114,'D-1 Off-Site Habitat Baseline'!$D$1:$O$258,11,FALSE)),"",(VLOOKUP($E114,'D-1 Off-Site Habitat Baseline'!$D$1:$O$258,11,FALSE))))</f>
        <v/>
      </c>
      <c r="M114" s="301" t="str">
        <f>IF(E114="","",IF(ISNA(VLOOKUP($E114,'D-1 Off-Site Habitat Baseline'!$D$1:$O$258,12,FALSE)),"",(VLOOKUP($E114,'D-1 Off-Site Habitat Baseline'!$D$1:$O$258,12,FALSE))))</f>
        <v/>
      </c>
      <c r="N114" s="301" t="str">
        <f>IF(E114="","",IF(ISNA(VLOOKUP($E114,'D-1 Off-Site Habitat Baseline'!$D$1:$AA$258,17,FALSE)),"",(VLOOKUP($E114,'D-1 Off-Site Habitat Baseline'!$D$1:$AA$258,17,FALSE))))</f>
        <v/>
      </c>
      <c r="O114" s="305" t="str">
        <f>IF(E114="","",IF(ISNA(VLOOKUP($E114,'D-1 Off-Site Habitat Baseline'!$D$1:$AA$258,13,FALSE)),"",(VLOOKUP($E114,'D-1 Off-Site Habitat Baseline'!$D$1:$AA$258,13,FALSE))))</f>
        <v/>
      </c>
      <c r="P114" s="152" t="str">
        <f>IFERROR(INDEX('G-1 All Habitats'!$AG$49:$AG$63,MATCH(Q114,'G-1 All Habitats'!$AF$27:$AF$41,0)),"")</f>
        <v/>
      </c>
      <c r="Q114" s="153"/>
      <c r="R114" s="154"/>
      <c r="S114" s="155" t="str">
        <f>IFERROR(INDEX('G-1 All Habitats'!$B$3:$B$135,MATCH(R114,'G-1 All Habitats'!$A$3:$A$135,0)),"")</f>
        <v/>
      </c>
      <c r="T114" s="289" t="str">
        <f t="shared" si="12"/>
        <v/>
      </c>
      <c r="U114" s="305" t="str">
        <f t="shared" si="13"/>
        <v/>
      </c>
      <c r="V114" s="304" t="str">
        <f t="shared" si="10"/>
        <v/>
      </c>
      <c r="W114" s="301" t="str">
        <f>IF(S114="","",VLOOKUP(S114,'G-1 All Habitats'!$B$2:$M$135,10,FALSE))</f>
        <v/>
      </c>
      <c r="X114" s="301" t="str">
        <f>IFERROR(VLOOKUP(W114,'G-1 All Habitats'!$V$3:$W$7,2,FALSE),"")</f>
        <v/>
      </c>
      <c r="Y114" s="142"/>
      <c r="Z114" s="305" t="str">
        <f>IFERROR(INDEX('G-8 Condition Look up'!$A$3:$H$135,MATCH(S114,'G-8 Condition Look up'!$A$3:$A$135,0),MATCH(Y114,'G-8 Condition Look up'!$A$3:$H$3,0)),"")</f>
        <v/>
      </c>
      <c r="AA114" s="105"/>
      <c r="AB114" s="320" t="str">
        <f>IF(AA114="","",IF(VLOOKUP(AA114,'G-3 Multipliers'!$L$3:$N$6,2,FALSE)=0,"Spatial Data Missing ⚠",VLOOKUP(AA114,'G-3 Multipliers'!$L$3:$N$6,2,FALSE)))</f>
        <v/>
      </c>
      <c r="AC114" s="305" t="str">
        <f>IF(AA114="","",IF(VLOOKUP(AA114,'G-3 Multipliers'!$L$3:$N$6,3,FALSE)=0,"Spatial Data Missing ⚠",VLOOKUP(AA114,'G-3 Multipliers'!$L$3:$N$6,3,FALSE)))</f>
        <v/>
      </c>
      <c r="AD114" s="317" t="str">
        <f t="shared" si="11"/>
        <v/>
      </c>
      <c r="AE114" s="142"/>
      <c r="AF114" s="142"/>
      <c r="AG114" s="301" t="str">
        <f t="shared" si="14"/>
        <v/>
      </c>
      <c r="AH114" s="302" t="str">
        <f t="shared" si="15"/>
        <v/>
      </c>
      <c r="AI114" s="306" t="str">
        <f>IF(AH114="Check Data ⚠","Check Data ⚠",IFERROR(VLOOKUP(AH114,'G-4 Temporal multipliers'!$A$4:$C$36,3,FALSE),""))</f>
        <v/>
      </c>
      <c r="AJ114" s="317" t="str">
        <f>IF(S114="","",VLOOKUP(S114,'G-3 Multipliers'!$A$2:$E$134,4,FALSE))</f>
        <v/>
      </c>
      <c r="AK114" s="301" t="str">
        <f t="shared" si="16"/>
        <v/>
      </c>
      <c r="AL114" s="301" t="str">
        <f t="shared" si="17"/>
        <v/>
      </c>
      <c r="AM114" s="305" t="str">
        <f>IFERROR(IF(F114="","",IF(AH114="Check Data ⚠","Check Data ⚠",VLOOKUP(AL114, 'G-3 Multipliers'!$P$2:$Q$6,2,FALSE))),"")</f>
        <v/>
      </c>
      <c r="AN114" s="728"/>
      <c r="AO114" s="335" t="str">
        <f>IF(AN114="","",IF(VLOOKUP(AN114,'G-3 Multipliers'!$S$3:$T$10,2,FALSE)=0,"Spatial Data Missing ⚠",VLOOKUP(AN114,'G-3 Multipliers'!$S$3:$T$10,2,FALSE)))</f>
        <v/>
      </c>
      <c r="AP114" s="295" t="str">
        <f t="shared" si="18"/>
        <v/>
      </c>
      <c r="AQ114" s="295" t="str">
        <f t="shared" si="19"/>
        <v/>
      </c>
      <c r="AR114" s="109"/>
      <c r="AS114" s="142"/>
      <c r="AT114" s="108"/>
      <c r="AU114" s="108"/>
      <c r="AY114" s="30" t="str">
        <f>IF(E114="","",IF(ISNA(VLOOKUP($E114,'D-1 Off-Site Habitat Baseline'!$D$1:$AV$258,4,FALSE)),"",(VLOOKUP($E114,'D-1 Off-Site Habitat Baseline'!$D$1:$AV$258,4,FALSE))))</f>
        <v/>
      </c>
    </row>
    <row r="115" spans="1:51" x14ac:dyDescent="0.25">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325" t="str">
        <f>'D-1 Off-Site Habitat Baseline'!AP114</f>
        <v/>
      </c>
      <c r="F115" s="289" t="str">
        <f>IF(E115="","",IF(ISNA(VLOOKUP($E115,'D-1 Off-Site Habitat Baseline'!$D$1:$ZZ$258,45,FALSE)),"",(VLOOKUP($E115,'D-1 Off-Site Habitat Baseline'!$D$1:$ZZ$258,45,FALSE))))</f>
        <v/>
      </c>
      <c r="G115" s="301" t="str">
        <f>IF(E115="","",IF(ISNA(VLOOKUP($E115,'D-1 Off-Site Habitat Baseline'!$D$1:$O$258,5,FALSE)),"",(VLOOKUP($E115,'D-1 Off-Site Habitat Baseline'!$D$1:$O$258,5,FALSE))))</f>
        <v/>
      </c>
      <c r="H115" s="301" t="str">
        <f>IF(E115="","",IF(ISNA(VLOOKUP($E115,'D-1 Off-Site Habitat Baseline'!$D$1:$O$258,6,FALSE)),"",(VLOOKUP($E115,'D-1 Off-Site Habitat Baseline'!$D$1:$O$258,6,FALSE))))</f>
        <v/>
      </c>
      <c r="I115" s="301" t="str">
        <f>IF(E115="","",IF(ISNA(VLOOKUP($E115,'D-1 Off-Site Habitat Baseline'!$D$1:$O$258,7,FALSE)),"",(VLOOKUP($E115,'D-1 Off-Site Habitat Baseline'!$D$1:$O$258,7,FALSE))))</f>
        <v/>
      </c>
      <c r="J115" s="301" t="str">
        <f>IF(E115="","",IF(ISNA(VLOOKUP($E115,'D-1 Off-Site Habitat Baseline'!$D$1:$O$258,8,FALSE)),"",(VLOOKUP($E115,'D-1 Off-Site Habitat Baseline'!$D$1:$O$258,8,FALSE))))</f>
        <v/>
      </c>
      <c r="K115" s="301" t="str">
        <f>IF(E115="","",IF(ISNA(VLOOKUP($E115,'D-1 Off-Site Habitat Baseline'!$D$1:$O$258,9,FALSE)),"",(VLOOKUP($E115,'D-1 Off-Site Habitat Baseline'!$D$1:$O$258,9,FALSE))))</f>
        <v/>
      </c>
      <c r="L115" s="301" t="str">
        <f>IF(E115="","",IF(ISNA(VLOOKUP($E115,'D-1 Off-Site Habitat Baseline'!$D$1:$O$258,11,FALSE)),"",(VLOOKUP($E115,'D-1 Off-Site Habitat Baseline'!$D$1:$O$258,11,FALSE))))</f>
        <v/>
      </c>
      <c r="M115" s="301" t="str">
        <f>IF(E115="","",IF(ISNA(VLOOKUP($E115,'D-1 Off-Site Habitat Baseline'!$D$1:$O$258,12,FALSE)),"",(VLOOKUP($E115,'D-1 Off-Site Habitat Baseline'!$D$1:$O$258,12,FALSE))))</f>
        <v/>
      </c>
      <c r="N115" s="301" t="str">
        <f>IF(E115="","",IF(ISNA(VLOOKUP($E115,'D-1 Off-Site Habitat Baseline'!$D$1:$AA$258,17,FALSE)),"",(VLOOKUP($E115,'D-1 Off-Site Habitat Baseline'!$D$1:$AA$258,17,FALSE))))</f>
        <v/>
      </c>
      <c r="O115" s="305" t="str">
        <f>IF(E115="","",IF(ISNA(VLOOKUP($E115,'D-1 Off-Site Habitat Baseline'!$D$1:$AA$258,13,FALSE)),"",(VLOOKUP($E115,'D-1 Off-Site Habitat Baseline'!$D$1:$AA$258,13,FALSE))))</f>
        <v/>
      </c>
      <c r="P115" s="152" t="str">
        <f>IFERROR(INDEX('G-1 All Habitats'!$AG$49:$AG$63,MATCH(Q115,'G-1 All Habitats'!$AF$27:$AF$41,0)),"")</f>
        <v/>
      </c>
      <c r="Q115" s="153"/>
      <c r="R115" s="154"/>
      <c r="S115" s="155" t="str">
        <f>IFERROR(INDEX('G-1 All Habitats'!$B$3:$B$135,MATCH(R115,'G-1 All Habitats'!$A$3:$A$135,0)),"")</f>
        <v/>
      </c>
      <c r="T115" s="289" t="str">
        <f t="shared" si="12"/>
        <v/>
      </c>
      <c r="U115" s="305" t="str">
        <f t="shared" si="13"/>
        <v/>
      </c>
      <c r="V115" s="304" t="str">
        <f t="shared" si="10"/>
        <v/>
      </c>
      <c r="W115" s="301" t="str">
        <f>IF(S115="","",VLOOKUP(S115,'G-1 All Habitats'!$B$2:$M$135,10,FALSE))</f>
        <v/>
      </c>
      <c r="X115" s="301" t="str">
        <f>IFERROR(VLOOKUP(W115,'G-1 All Habitats'!$V$3:$W$7,2,FALSE),"")</f>
        <v/>
      </c>
      <c r="Y115" s="142"/>
      <c r="Z115" s="305" t="str">
        <f>IFERROR(INDEX('G-8 Condition Look up'!$A$3:$H$135,MATCH(S115,'G-8 Condition Look up'!$A$3:$A$135,0),MATCH(Y115,'G-8 Condition Look up'!$A$3:$H$3,0)),"")</f>
        <v/>
      </c>
      <c r="AA115" s="105"/>
      <c r="AB115" s="320" t="str">
        <f>IF(AA115="","",IF(VLOOKUP(AA115,'G-3 Multipliers'!$L$3:$N$6,2,FALSE)=0,"Spatial Data Missing ⚠",VLOOKUP(AA115,'G-3 Multipliers'!$L$3:$N$6,2,FALSE)))</f>
        <v/>
      </c>
      <c r="AC115" s="305" t="str">
        <f>IF(AA115="","",IF(VLOOKUP(AA115,'G-3 Multipliers'!$L$3:$N$6,3,FALSE)=0,"Spatial Data Missing ⚠",VLOOKUP(AA115,'G-3 Multipliers'!$L$3:$N$6,3,FALSE)))</f>
        <v/>
      </c>
      <c r="AD115" s="317" t="str">
        <f t="shared" si="11"/>
        <v/>
      </c>
      <c r="AE115" s="142"/>
      <c r="AF115" s="142"/>
      <c r="AG115" s="301" t="str">
        <f t="shared" si="14"/>
        <v/>
      </c>
      <c r="AH115" s="302" t="str">
        <f t="shared" si="15"/>
        <v/>
      </c>
      <c r="AI115" s="306" t="str">
        <f>IF(AH115="Check Data ⚠","Check Data ⚠",IFERROR(VLOOKUP(AH115,'G-4 Temporal multipliers'!$A$4:$C$36,3,FALSE),""))</f>
        <v/>
      </c>
      <c r="AJ115" s="317" t="str">
        <f>IF(S115="","",VLOOKUP(S115,'G-3 Multipliers'!$A$2:$E$134,4,FALSE))</f>
        <v/>
      </c>
      <c r="AK115" s="301" t="str">
        <f t="shared" si="16"/>
        <v/>
      </c>
      <c r="AL115" s="301" t="str">
        <f t="shared" si="17"/>
        <v/>
      </c>
      <c r="AM115" s="305" t="str">
        <f>IFERROR(IF(F115="","",IF(AH115="Check Data ⚠","Check Data ⚠",VLOOKUP(AL115, 'G-3 Multipliers'!$P$2:$Q$6,2,FALSE))),"")</f>
        <v/>
      </c>
      <c r="AN115" s="728"/>
      <c r="AO115" s="335" t="str">
        <f>IF(AN115="","",IF(VLOOKUP(AN115,'G-3 Multipliers'!$S$3:$T$10,2,FALSE)=0,"Spatial Data Missing ⚠",VLOOKUP(AN115,'G-3 Multipliers'!$S$3:$T$10,2,FALSE)))</f>
        <v/>
      </c>
      <c r="AP115" s="295" t="str">
        <f t="shared" si="18"/>
        <v/>
      </c>
      <c r="AQ115" s="295" t="str">
        <f t="shared" si="19"/>
        <v/>
      </c>
      <c r="AR115" s="109"/>
      <c r="AS115" s="142"/>
      <c r="AT115" s="108"/>
      <c r="AU115" s="108"/>
      <c r="AY115" s="30" t="str">
        <f>IF(E115="","",IF(ISNA(VLOOKUP($E115,'D-1 Off-Site Habitat Baseline'!$D$1:$AV$258,4,FALSE)),"",(VLOOKUP($E115,'D-1 Off-Site Habitat Baseline'!$D$1:$AV$258,4,FALSE))))</f>
        <v/>
      </c>
    </row>
    <row r="116" spans="1:51" x14ac:dyDescent="0.25">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325" t="str">
        <f>'D-1 Off-Site Habitat Baseline'!AP115</f>
        <v/>
      </c>
      <c r="F116" s="289" t="str">
        <f>IF(E116="","",IF(ISNA(VLOOKUP($E116,'D-1 Off-Site Habitat Baseline'!$D$1:$ZZ$258,45,FALSE)),"",(VLOOKUP($E116,'D-1 Off-Site Habitat Baseline'!$D$1:$ZZ$258,45,FALSE))))</f>
        <v/>
      </c>
      <c r="G116" s="301" t="str">
        <f>IF(E116="","",IF(ISNA(VLOOKUP($E116,'D-1 Off-Site Habitat Baseline'!$D$1:$O$258,5,FALSE)),"",(VLOOKUP($E116,'D-1 Off-Site Habitat Baseline'!$D$1:$O$258,5,FALSE))))</f>
        <v/>
      </c>
      <c r="H116" s="301" t="str">
        <f>IF(E116="","",IF(ISNA(VLOOKUP($E116,'D-1 Off-Site Habitat Baseline'!$D$1:$O$258,6,FALSE)),"",(VLOOKUP($E116,'D-1 Off-Site Habitat Baseline'!$D$1:$O$258,6,FALSE))))</f>
        <v/>
      </c>
      <c r="I116" s="301" t="str">
        <f>IF(E116="","",IF(ISNA(VLOOKUP($E116,'D-1 Off-Site Habitat Baseline'!$D$1:$O$258,7,FALSE)),"",(VLOOKUP($E116,'D-1 Off-Site Habitat Baseline'!$D$1:$O$258,7,FALSE))))</f>
        <v/>
      </c>
      <c r="J116" s="301" t="str">
        <f>IF(E116="","",IF(ISNA(VLOOKUP($E116,'D-1 Off-Site Habitat Baseline'!$D$1:$O$258,8,FALSE)),"",(VLOOKUP($E116,'D-1 Off-Site Habitat Baseline'!$D$1:$O$258,8,FALSE))))</f>
        <v/>
      </c>
      <c r="K116" s="301" t="str">
        <f>IF(E116="","",IF(ISNA(VLOOKUP($E116,'D-1 Off-Site Habitat Baseline'!$D$1:$O$258,9,FALSE)),"",(VLOOKUP($E116,'D-1 Off-Site Habitat Baseline'!$D$1:$O$258,9,FALSE))))</f>
        <v/>
      </c>
      <c r="L116" s="301" t="str">
        <f>IF(E116="","",IF(ISNA(VLOOKUP($E116,'D-1 Off-Site Habitat Baseline'!$D$1:$O$258,11,FALSE)),"",(VLOOKUP($E116,'D-1 Off-Site Habitat Baseline'!$D$1:$O$258,11,FALSE))))</f>
        <v/>
      </c>
      <c r="M116" s="301" t="str">
        <f>IF(E116="","",IF(ISNA(VLOOKUP($E116,'D-1 Off-Site Habitat Baseline'!$D$1:$O$258,12,FALSE)),"",(VLOOKUP($E116,'D-1 Off-Site Habitat Baseline'!$D$1:$O$258,12,FALSE))))</f>
        <v/>
      </c>
      <c r="N116" s="301" t="str">
        <f>IF(E116="","",IF(ISNA(VLOOKUP($E116,'D-1 Off-Site Habitat Baseline'!$D$1:$AA$258,17,FALSE)),"",(VLOOKUP($E116,'D-1 Off-Site Habitat Baseline'!$D$1:$AA$258,17,FALSE))))</f>
        <v/>
      </c>
      <c r="O116" s="305" t="str">
        <f>IF(E116="","",IF(ISNA(VLOOKUP($E116,'D-1 Off-Site Habitat Baseline'!$D$1:$AA$258,13,FALSE)),"",(VLOOKUP($E116,'D-1 Off-Site Habitat Baseline'!$D$1:$AA$258,13,FALSE))))</f>
        <v/>
      </c>
      <c r="P116" s="152" t="str">
        <f>IFERROR(INDEX('G-1 All Habitats'!$AG$49:$AG$63,MATCH(Q116,'G-1 All Habitats'!$AF$27:$AF$41,0)),"")</f>
        <v/>
      </c>
      <c r="Q116" s="153"/>
      <c r="R116" s="154"/>
      <c r="S116" s="155" t="str">
        <f>IFERROR(INDEX('G-1 All Habitats'!$B$3:$B$135,MATCH(R116,'G-1 All Habitats'!$A$3:$A$135,0)),"")</f>
        <v/>
      </c>
      <c r="T116" s="289" t="str">
        <f t="shared" si="12"/>
        <v/>
      </c>
      <c r="U116" s="305" t="str">
        <f t="shared" si="13"/>
        <v/>
      </c>
      <c r="V116" s="304" t="str">
        <f t="shared" si="10"/>
        <v/>
      </c>
      <c r="W116" s="301" t="str">
        <f>IF(S116="","",VLOOKUP(S116,'G-1 All Habitats'!$B$2:$M$135,10,FALSE))</f>
        <v/>
      </c>
      <c r="X116" s="301" t="str">
        <f>IFERROR(VLOOKUP(W116,'G-1 All Habitats'!$V$3:$W$7,2,FALSE),"")</f>
        <v/>
      </c>
      <c r="Y116" s="142"/>
      <c r="Z116" s="305" t="str">
        <f>IFERROR(INDEX('G-8 Condition Look up'!$A$3:$H$135,MATCH(S116,'G-8 Condition Look up'!$A$3:$A$135,0),MATCH(Y116,'G-8 Condition Look up'!$A$3:$H$3,0)),"")</f>
        <v/>
      </c>
      <c r="AA116" s="105"/>
      <c r="AB116" s="320" t="str">
        <f>IF(AA116="","",IF(VLOOKUP(AA116,'G-3 Multipliers'!$L$3:$N$6,2,FALSE)=0,"Spatial Data Missing ⚠",VLOOKUP(AA116,'G-3 Multipliers'!$L$3:$N$6,2,FALSE)))</f>
        <v/>
      </c>
      <c r="AC116" s="305" t="str">
        <f>IF(AA116="","",IF(VLOOKUP(AA116,'G-3 Multipliers'!$L$3:$N$6,3,FALSE)=0,"Spatial Data Missing ⚠",VLOOKUP(AA116,'G-3 Multipliers'!$L$3:$N$6,3,FALSE)))</f>
        <v/>
      </c>
      <c r="AD116" s="317" t="str">
        <f t="shared" si="11"/>
        <v/>
      </c>
      <c r="AE116" s="142"/>
      <c r="AF116" s="142"/>
      <c r="AG116" s="301" t="str">
        <f t="shared" si="14"/>
        <v/>
      </c>
      <c r="AH116" s="302" t="str">
        <f t="shared" si="15"/>
        <v/>
      </c>
      <c r="AI116" s="306" t="str">
        <f>IF(AH116="Check Data ⚠","Check Data ⚠",IFERROR(VLOOKUP(AH116,'G-4 Temporal multipliers'!$A$4:$C$36,3,FALSE),""))</f>
        <v/>
      </c>
      <c r="AJ116" s="317" t="str">
        <f>IF(S116="","",VLOOKUP(S116,'G-3 Multipliers'!$A$2:$E$134,4,FALSE))</f>
        <v/>
      </c>
      <c r="AK116" s="301" t="str">
        <f t="shared" si="16"/>
        <v/>
      </c>
      <c r="AL116" s="301" t="str">
        <f t="shared" si="17"/>
        <v/>
      </c>
      <c r="AM116" s="305" t="str">
        <f>IFERROR(IF(F116="","",IF(AH116="Check Data ⚠","Check Data ⚠",VLOOKUP(AL116, 'G-3 Multipliers'!$P$2:$Q$6,2,FALSE))),"")</f>
        <v/>
      </c>
      <c r="AN116" s="728"/>
      <c r="AO116" s="335" t="str">
        <f>IF(AN116="","",IF(VLOOKUP(AN116,'G-3 Multipliers'!$S$3:$T$10,2,FALSE)=0,"Spatial Data Missing ⚠",VLOOKUP(AN116,'G-3 Multipliers'!$S$3:$T$10,2,FALSE)))</f>
        <v/>
      </c>
      <c r="AP116" s="295" t="str">
        <f t="shared" si="18"/>
        <v/>
      </c>
      <c r="AQ116" s="295" t="str">
        <f t="shared" si="19"/>
        <v/>
      </c>
      <c r="AR116" s="109"/>
      <c r="AS116" s="142"/>
      <c r="AT116" s="108"/>
      <c r="AU116" s="108"/>
      <c r="AY116" s="30" t="str">
        <f>IF(E116="","",IF(ISNA(VLOOKUP($E116,'D-1 Off-Site Habitat Baseline'!$D$1:$AV$258,4,FALSE)),"",(VLOOKUP($E116,'D-1 Off-Site Habitat Baseline'!$D$1:$AV$258,4,FALSE))))</f>
        <v/>
      </c>
    </row>
    <row r="117" spans="1:51" x14ac:dyDescent="0.25">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325" t="str">
        <f>'D-1 Off-Site Habitat Baseline'!AP116</f>
        <v/>
      </c>
      <c r="F117" s="289" t="str">
        <f>IF(E117="","",IF(ISNA(VLOOKUP($E117,'D-1 Off-Site Habitat Baseline'!$D$1:$ZZ$258,45,FALSE)),"",(VLOOKUP($E117,'D-1 Off-Site Habitat Baseline'!$D$1:$ZZ$258,45,FALSE))))</f>
        <v/>
      </c>
      <c r="G117" s="301" t="str">
        <f>IF(E117="","",IF(ISNA(VLOOKUP($E117,'D-1 Off-Site Habitat Baseline'!$D$1:$O$258,5,FALSE)),"",(VLOOKUP($E117,'D-1 Off-Site Habitat Baseline'!$D$1:$O$258,5,FALSE))))</f>
        <v/>
      </c>
      <c r="H117" s="301" t="str">
        <f>IF(E117="","",IF(ISNA(VLOOKUP($E117,'D-1 Off-Site Habitat Baseline'!$D$1:$O$258,6,FALSE)),"",(VLOOKUP($E117,'D-1 Off-Site Habitat Baseline'!$D$1:$O$258,6,FALSE))))</f>
        <v/>
      </c>
      <c r="I117" s="301" t="str">
        <f>IF(E117="","",IF(ISNA(VLOOKUP($E117,'D-1 Off-Site Habitat Baseline'!$D$1:$O$258,7,FALSE)),"",(VLOOKUP($E117,'D-1 Off-Site Habitat Baseline'!$D$1:$O$258,7,FALSE))))</f>
        <v/>
      </c>
      <c r="J117" s="301" t="str">
        <f>IF(E117="","",IF(ISNA(VLOOKUP($E117,'D-1 Off-Site Habitat Baseline'!$D$1:$O$258,8,FALSE)),"",(VLOOKUP($E117,'D-1 Off-Site Habitat Baseline'!$D$1:$O$258,8,FALSE))))</f>
        <v/>
      </c>
      <c r="K117" s="301" t="str">
        <f>IF(E117="","",IF(ISNA(VLOOKUP($E117,'D-1 Off-Site Habitat Baseline'!$D$1:$O$258,9,FALSE)),"",(VLOOKUP($E117,'D-1 Off-Site Habitat Baseline'!$D$1:$O$258,9,FALSE))))</f>
        <v/>
      </c>
      <c r="L117" s="301" t="str">
        <f>IF(E117="","",IF(ISNA(VLOOKUP($E117,'D-1 Off-Site Habitat Baseline'!$D$1:$O$258,11,FALSE)),"",(VLOOKUP($E117,'D-1 Off-Site Habitat Baseline'!$D$1:$O$258,11,FALSE))))</f>
        <v/>
      </c>
      <c r="M117" s="301" t="str">
        <f>IF(E117="","",IF(ISNA(VLOOKUP($E117,'D-1 Off-Site Habitat Baseline'!$D$1:$O$258,12,FALSE)),"",(VLOOKUP($E117,'D-1 Off-Site Habitat Baseline'!$D$1:$O$258,12,FALSE))))</f>
        <v/>
      </c>
      <c r="N117" s="301" t="str">
        <f>IF(E117="","",IF(ISNA(VLOOKUP($E117,'D-1 Off-Site Habitat Baseline'!$D$1:$AA$258,17,FALSE)),"",(VLOOKUP($E117,'D-1 Off-Site Habitat Baseline'!$D$1:$AA$258,17,FALSE))))</f>
        <v/>
      </c>
      <c r="O117" s="305" t="str">
        <f>IF(E117="","",IF(ISNA(VLOOKUP($E117,'D-1 Off-Site Habitat Baseline'!$D$1:$AA$258,13,FALSE)),"",(VLOOKUP($E117,'D-1 Off-Site Habitat Baseline'!$D$1:$AA$258,13,FALSE))))</f>
        <v/>
      </c>
      <c r="P117" s="152" t="str">
        <f>IFERROR(INDEX('G-1 All Habitats'!$AG$49:$AG$63,MATCH(Q117,'G-1 All Habitats'!$AF$27:$AF$41,0)),"")</f>
        <v/>
      </c>
      <c r="Q117" s="153"/>
      <c r="R117" s="154"/>
      <c r="S117" s="155" t="str">
        <f>IFERROR(INDEX('G-1 All Habitats'!$B$3:$B$135,MATCH(R117,'G-1 All Habitats'!$A$3:$A$135,0)),"")</f>
        <v/>
      </c>
      <c r="T117" s="289" t="str">
        <f t="shared" si="12"/>
        <v/>
      </c>
      <c r="U117" s="305" t="str">
        <f t="shared" si="13"/>
        <v/>
      </c>
      <c r="V117" s="304" t="str">
        <f t="shared" si="10"/>
        <v/>
      </c>
      <c r="W117" s="301" t="str">
        <f>IF(S117="","",VLOOKUP(S117,'G-1 All Habitats'!$B$2:$M$135,10,FALSE))</f>
        <v/>
      </c>
      <c r="X117" s="301" t="str">
        <f>IFERROR(VLOOKUP(W117,'G-1 All Habitats'!$V$3:$W$7,2,FALSE),"")</f>
        <v/>
      </c>
      <c r="Y117" s="142"/>
      <c r="Z117" s="305" t="str">
        <f>IFERROR(INDEX('G-8 Condition Look up'!$A$3:$H$135,MATCH(S117,'G-8 Condition Look up'!$A$3:$A$135,0),MATCH(Y117,'G-8 Condition Look up'!$A$3:$H$3,0)),"")</f>
        <v/>
      </c>
      <c r="AA117" s="105"/>
      <c r="AB117" s="320" t="str">
        <f>IF(AA117="","",IF(VLOOKUP(AA117,'G-3 Multipliers'!$L$3:$N$6,2,FALSE)=0,"Spatial Data Missing ⚠",VLOOKUP(AA117,'G-3 Multipliers'!$L$3:$N$6,2,FALSE)))</f>
        <v/>
      </c>
      <c r="AC117" s="305" t="str">
        <f>IF(AA117="","",IF(VLOOKUP(AA117,'G-3 Multipliers'!$L$3:$N$6,3,FALSE)=0,"Spatial Data Missing ⚠",VLOOKUP(AA117,'G-3 Multipliers'!$L$3:$N$6,3,FALSE)))</f>
        <v/>
      </c>
      <c r="AD117" s="317" t="str">
        <f t="shared" si="11"/>
        <v/>
      </c>
      <c r="AE117" s="142"/>
      <c r="AF117" s="142"/>
      <c r="AG117" s="301" t="str">
        <f t="shared" si="14"/>
        <v/>
      </c>
      <c r="AH117" s="302" t="str">
        <f t="shared" si="15"/>
        <v/>
      </c>
      <c r="AI117" s="306" t="str">
        <f>IF(AH117="Check Data ⚠","Check Data ⚠",IFERROR(VLOOKUP(AH117,'G-4 Temporal multipliers'!$A$4:$C$36,3,FALSE),""))</f>
        <v/>
      </c>
      <c r="AJ117" s="317" t="str">
        <f>IF(S117="","",VLOOKUP(S117,'G-3 Multipliers'!$A$2:$E$134,4,FALSE))</f>
        <v/>
      </c>
      <c r="AK117" s="301" t="str">
        <f t="shared" si="16"/>
        <v/>
      </c>
      <c r="AL117" s="301" t="str">
        <f t="shared" si="17"/>
        <v/>
      </c>
      <c r="AM117" s="305" t="str">
        <f>IFERROR(IF(F117="","",IF(AH117="Check Data ⚠","Check Data ⚠",VLOOKUP(AL117, 'G-3 Multipliers'!$P$2:$Q$6,2,FALSE))),"")</f>
        <v/>
      </c>
      <c r="AN117" s="728"/>
      <c r="AO117" s="335" t="str">
        <f>IF(AN117="","",IF(VLOOKUP(AN117,'G-3 Multipliers'!$S$3:$T$10,2,FALSE)=0,"Spatial Data Missing ⚠",VLOOKUP(AN117,'G-3 Multipliers'!$S$3:$T$10,2,FALSE)))</f>
        <v/>
      </c>
      <c r="AP117" s="295" t="str">
        <f t="shared" si="18"/>
        <v/>
      </c>
      <c r="AQ117" s="295" t="str">
        <f t="shared" si="19"/>
        <v/>
      </c>
      <c r="AR117" s="109"/>
      <c r="AS117" s="142"/>
      <c r="AT117" s="108"/>
      <c r="AU117" s="108"/>
      <c r="AY117" s="30" t="str">
        <f>IF(E117="","",IF(ISNA(VLOOKUP($E117,'D-1 Off-Site Habitat Baseline'!$D$1:$AV$258,4,FALSE)),"",(VLOOKUP($E117,'D-1 Off-Site Habitat Baseline'!$D$1:$AV$258,4,FALSE))))</f>
        <v/>
      </c>
    </row>
    <row r="118" spans="1:51" x14ac:dyDescent="0.25">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325" t="str">
        <f>'D-1 Off-Site Habitat Baseline'!AP117</f>
        <v/>
      </c>
      <c r="F118" s="289" t="str">
        <f>IF(E118="","",IF(ISNA(VLOOKUP($E118,'D-1 Off-Site Habitat Baseline'!$D$1:$ZZ$258,45,FALSE)),"",(VLOOKUP($E118,'D-1 Off-Site Habitat Baseline'!$D$1:$ZZ$258,45,FALSE))))</f>
        <v/>
      </c>
      <c r="G118" s="301" t="str">
        <f>IF(E118="","",IF(ISNA(VLOOKUP($E118,'D-1 Off-Site Habitat Baseline'!$D$1:$O$258,5,FALSE)),"",(VLOOKUP($E118,'D-1 Off-Site Habitat Baseline'!$D$1:$O$258,5,FALSE))))</f>
        <v/>
      </c>
      <c r="H118" s="301" t="str">
        <f>IF(E118="","",IF(ISNA(VLOOKUP($E118,'D-1 Off-Site Habitat Baseline'!$D$1:$O$258,6,FALSE)),"",(VLOOKUP($E118,'D-1 Off-Site Habitat Baseline'!$D$1:$O$258,6,FALSE))))</f>
        <v/>
      </c>
      <c r="I118" s="301" t="str">
        <f>IF(E118="","",IF(ISNA(VLOOKUP($E118,'D-1 Off-Site Habitat Baseline'!$D$1:$O$258,7,FALSE)),"",(VLOOKUP($E118,'D-1 Off-Site Habitat Baseline'!$D$1:$O$258,7,FALSE))))</f>
        <v/>
      </c>
      <c r="J118" s="301" t="str">
        <f>IF(E118="","",IF(ISNA(VLOOKUP($E118,'D-1 Off-Site Habitat Baseline'!$D$1:$O$258,8,FALSE)),"",(VLOOKUP($E118,'D-1 Off-Site Habitat Baseline'!$D$1:$O$258,8,FALSE))))</f>
        <v/>
      </c>
      <c r="K118" s="301" t="str">
        <f>IF(E118="","",IF(ISNA(VLOOKUP($E118,'D-1 Off-Site Habitat Baseline'!$D$1:$O$258,9,FALSE)),"",(VLOOKUP($E118,'D-1 Off-Site Habitat Baseline'!$D$1:$O$258,9,FALSE))))</f>
        <v/>
      </c>
      <c r="L118" s="301" t="str">
        <f>IF(E118="","",IF(ISNA(VLOOKUP($E118,'D-1 Off-Site Habitat Baseline'!$D$1:$O$258,11,FALSE)),"",(VLOOKUP($E118,'D-1 Off-Site Habitat Baseline'!$D$1:$O$258,11,FALSE))))</f>
        <v/>
      </c>
      <c r="M118" s="301" t="str">
        <f>IF(E118="","",IF(ISNA(VLOOKUP($E118,'D-1 Off-Site Habitat Baseline'!$D$1:$O$258,12,FALSE)),"",(VLOOKUP($E118,'D-1 Off-Site Habitat Baseline'!$D$1:$O$258,12,FALSE))))</f>
        <v/>
      </c>
      <c r="N118" s="301" t="str">
        <f>IF(E118="","",IF(ISNA(VLOOKUP($E118,'D-1 Off-Site Habitat Baseline'!$D$1:$AA$258,17,FALSE)),"",(VLOOKUP($E118,'D-1 Off-Site Habitat Baseline'!$D$1:$AA$258,17,FALSE))))</f>
        <v/>
      </c>
      <c r="O118" s="305" t="str">
        <f>IF(E118="","",IF(ISNA(VLOOKUP($E118,'D-1 Off-Site Habitat Baseline'!$D$1:$AA$258,13,FALSE)),"",(VLOOKUP($E118,'D-1 Off-Site Habitat Baseline'!$D$1:$AA$258,13,FALSE))))</f>
        <v/>
      </c>
      <c r="P118" s="152" t="str">
        <f>IFERROR(INDEX('G-1 All Habitats'!$AG$49:$AG$63,MATCH(Q118,'G-1 All Habitats'!$AF$27:$AF$41,0)),"")</f>
        <v/>
      </c>
      <c r="Q118" s="153"/>
      <c r="R118" s="154"/>
      <c r="S118" s="155" t="str">
        <f>IFERROR(INDEX('G-1 All Habitats'!$B$3:$B$135,MATCH(R118,'G-1 All Habitats'!$A$3:$A$135,0)),"")</f>
        <v/>
      </c>
      <c r="T118" s="289" t="str">
        <f t="shared" si="12"/>
        <v/>
      </c>
      <c r="U118" s="305" t="str">
        <f t="shared" si="13"/>
        <v/>
      </c>
      <c r="V118" s="304" t="str">
        <f t="shared" si="10"/>
        <v/>
      </c>
      <c r="W118" s="301" t="str">
        <f>IF(S118="","",VLOOKUP(S118,'G-1 All Habitats'!$B$2:$M$135,10,FALSE))</f>
        <v/>
      </c>
      <c r="X118" s="301" t="str">
        <f>IFERROR(VLOOKUP(W118,'G-1 All Habitats'!$V$3:$W$7,2,FALSE),"")</f>
        <v/>
      </c>
      <c r="Y118" s="142"/>
      <c r="Z118" s="305" t="str">
        <f>IFERROR(INDEX('G-8 Condition Look up'!$A$3:$H$135,MATCH(S118,'G-8 Condition Look up'!$A$3:$A$135,0),MATCH(Y118,'G-8 Condition Look up'!$A$3:$H$3,0)),"")</f>
        <v/>
      </c>
      <c r="AA118" s="105"/>
      <c r="AB118" s="320" t="str">
        <f>IF(AA118="","",IF(VLOOKUP(AA118,'G-3 Multipliers'!$L$3:$N$6,2,FALSE)=0,"Spatial Data Missing ⚠",VLOOKUP(AA118,'G-3 Multipliers'!$L$3:$N$6,2,FALSE)))</f>
        <v/>
      </c>
      <c r="AC118" s="305" t="str">
        <f>IF(AA118="","",IF(VLOOKUP(AA118,'G-3 Multipliers'!$L$3:$N$6,3,FALSE)=0,"Spatial Data Missing ⚠",VLOOKUP(AA118,'G-3 Multipliers'!$L$3:$N$6,3,FALSE)))</f>
        <v/>
      </c>
      <c r="AD118" s="317" t="str">
        <f t="shared" si="11"/>
        <v/>
      </c>
      <c r="AE118" s="142"/>
      <c r="AF118" s="142"/>
      <c r="AG118" s="301" t="str">
        <f t="shared" si="14"/>
        <v/>
      </c>
      <c r="AH118" s="302" t="str">
        <f t="shared" si="15"/>
        <v/>
      </c>
      <c r="AI118" s="306" t="str">
        <f>IF(AH118="Check Data ⚠","Check Data ⚠",IFERROR(VLOOKUP(AH118,'G-4 Temporal multipliers'!$A$4:$C$36,3,FALSE),""))</f>
        <v/>
      </c>
      <c r="AJ118" s="317" t="str">
        <f>IF(S118="","",VLOOKUP(S118,'G-3 Multipliers'!$A$2:$E$134,4,FALSE))</f>
        <v/>
      </c>
      <c r="AK118" s="301" t="str">
        <f t="shared" si="16"/>
        <v/>
      </c>
      <c r="AL118" s="301" t="str">
        <f t="shared" si="17"/>
        <v/>
      </c>
      <c r="AM118" s="305" t="str">
        <f>IFERROR(IF(F118="","",IF(AH118="Check Data ⚠","Check Data ⚠",VLOOKUP(AL118, 'G-3 Multipliers'!$P$2:$Q$6,2,FALSE))),"")</f>
        <v/>
      </c>
      <c r="AN118" s="728"/>
      <c r="AO118" s="335" t="str">
        <f>IF(AN118="","",IF(VLOOKUP(AN118,'G-3 Multipliers'!$S$3:$T$10,2,FALSE)=0,"Spatial Data Missing ⚠",VLOOKUP(AN118,'G-3 Multipliers'!$S$3:$T$10,2,FALSE)))</f>
        <v/>
      </c>
      <c r="AP118" s="295" t="str">
        <f t="shared" si="18"/>
        <v/>
      </c>
      <c r="AQ118" s="295" t="str">
        <f t="shared" si="19"/>
        <v/>
      </c>
      <c r="AR118" s="109"/>
      <c r="AS118" s="142"/>
      <c r="AT118" s="108"/>
      <c r="AU118" s="108"/>
      <c r="AY118" s="30" t="str">
        <f>IF(E118="","",IF(ISNA(VLOOKUP($E118,'D-1 Off-Site Habitat Baseline'!$D$1:$AV$258,4,FALSE)),"",(VLOOKUP($E118,'D-1 Off-Site Habitat Baseline'!$D$1:$AV$258,4,FALSE))))</f>
        <v/>
      </c>
    </row>
    <row r="119" spans="1:51" x14ac:dyDescent="0.25">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325" t="str">
        <f>'D-1 Off-Site Habitat Baseline'!AP118</f>
        <v/>
      </c>
      <c r="F119" s="289" t="str">
        <f>IF(E119="","",IF(ISNA(VLOOKUP($E119,'D-1 Off-Site Habitat Baseline'!$D$1:$ZZ$258,45,FALSE)),"",(VLOOKUP($E119,'D-1 Off-Site Habitat Baseline'!$D$1:$ZZ$258,45,FALSE))))</f>
        <v/>
      </c>
      <c r="G119" s="301" t="str">
        <f>IF(E119="","",IF(ISNA(VLOOKUP($E119,'D-1 Off-Site Habitat Baseline'!$D$1:$O$258,5,FALSE)),"",(VLOOKUP($E119,'D-1 Off-Site Habitat Baseline'!$D$1:$O$258,5,FALSE))))</f>
        <v/>
      </c>
      <c r="H119" s="301" t="str">
        <f>IF(E119="","",IF(ISNA(VLOOKUP($E119,'D-1 Off-Site Habitat Baseline'!$D$1:$O$258,6,FALSE)),"",(VLOOKUP($E119,'D-1 Off-Site Habitat Baseline'!$D$1:$O$258,6,FALSE))))</f>
        <v/>
      </c>
      <c r="I119" s="301" t="str">
        <f>IF(E119="","",IF(ISNA(VLOOKUP($E119,'D-1 Off-Site Habitat Baseline'!$D$1:$O$258,7,FALSE)),"",(VLOOKUP($E119,'D-1 Off-Site Habitat Baseline'!$D$1:$O$258,7,FALSE))))</f>
        <v/>
      </c>
      <c r="J119" s="301" t="str">
        <f>IF(E119="","",IF(ISNA(VLOOKUP($E119,'D-1 Off-Site Habitat Baseline'!$D$1:$O$258,8,FALSE)),"",(VLOOKUP($E119,'D-1 Off-Site Habitat Baseline'!$D$1:$O$258,8,FALSE))))</f>
        <v/>
      </c>
      <c r="K119" s="301" t="str">
        <f>IF(E119="","",IF(ISNA(VLOOKUP($E119,'D-1 Off-Site Habitat Baseline'!$D$1:$O$258,9,FALSE)),"",(VLOOKUP($E119,'D-1 Off-Site Habitat Baseline'!$D$1:$O$258,9,FALSE))))</f>
        <v/>
      </c>
      <c r="L119" s="301" t="str">
        <f>IF(E119="","",IF(ISNA(VLOOKUP($E119,'D-1 Off-Site Habitat Baseline'!$D$1:$O$258,11,FALSE)),"",(VLOOKUP($E119,'D-1 Off-Site Habitat Baseline'!$D$1:$O$258,11,FALSE))))</f>
        <v/>
      </c>
      <c r="M119" s="301" t="str">
        <f>IF(E119="","",IF(ISNA(VLOOKUP($E119,'D-1 Off-Site Habitat Baseline'!$D$1:$O$258,12,FALSE)),"",(VLOOKUP($E119,'D-1 Off-Site Habitat Baseline'!$D$1:$O$258,12,FALSE))))</f>
        <v/>
      </c>
      <c r="N119" s="301" t="str">
        <f>IF(E119="","",IF(ISNA(VLOOKUP($E119,'D-1 Off-Site Habitat Baseline'!$D$1:$AA$258,17,FALSE)),"",(VLOOKUP($E119,'D-1 Off-Site Habitat Baseline'!$D$1:$AA$258,17,FALSE))))</f>
        <v/>
      </c>
      <c r="O119" s="305" t="str">
        <f>IF(E119="","",IF(ISNA(VLOOKUP($E119,'D-1 Off-Site Habitat Baseline'!$D$1:$AA$258,13,FALSE)),"",(VLOOKUP($E119,'D-1 Off-Site Habitat Baseline'!$D$1:$AA$258,13,FALSE))))</f>
        <v/>
      </c>
      <c r="P119" s="152" t="str">
        <f>IFERROR(INDEX('G-1 All Habitats'!$AG$49:$AG$63,MATCH(Q119,'G-1 All Habitats'!$AF$27:$AF$41,0)),"")</f>
        <v/>
      </c>
      <c r="Q119" s="153"/>
      <c r="R119" s="154"/>
      <c r="S119" s="155" t="str">
        <f>IFERROR(INDEX('G-1 All Habitats'!$B$3:$B$135,MATCH(R119,'G-1 All Habitats'!$A$3:$A$135,0)),"")</f>
        <v/>
      </c>
      <c r="T119" s="289" t="str">
        <f t="shared" si="12"/>
        <v/>
      </c>
      <c r="U119" s="305" t="str">
        <f t="shared" si="13"/>
        <v/>
      </c>
      <c r="V119" s="304" t="str">
        <f t="shared" si="10"/>
        <v/>
      </c>
      <c r="W119" s="301" t="str">
        <f>IF(S119="","",VLOOKUP(S119,'G-1 All Habitats'!$B$2:$M$135,10,FALSE))</f>
        <v/>
      </c>
      <c r="X119" s="301" t="str">
        <f>IFERROR(VLOOKUP(W119,'G-1 All Habitats'!$V$3:$W$7,2,FALSE),"")</f>
        <v/>
      </c>
      <c r="Y119" s="142"/>
      <c r="Z119" s="305" t="str">
        <f>IFERROR(INDEX('G-8 Condition Look up'!$A$3:$H$135,MATCH(S119,'G-8 Condition Look up'!$A$3:$A$135,0),MATCH(Y119,'G-8 Condition Look up'!$A$3:$H$3,0)),"")</f>
        <v/>
      </c>
      <c r="AA119" s="105"/>
      <c r="AB119" s="320" t="str">
        <f>IF(AA119="","",IF(VLOOKUP(AA119,'G-3 Multipliers'!$L$3:$N$6,2,FALSE)=0,"Spatial Data Missing ⚠",VLOOKUP(AA119,'G-3 Multipliers'!$L$3:$N$6,2,FALSE)))</f>
        <v/>
      </c>
      <c r="AC119" s="305" t="str">
        <f>IF(AA119="","",IF(VLOOKUP(AA119,'G-3 Multipliers'!$L$3:$N$6,3,FALSE)=0,"Spatial Data Missing ⚠",VLOOKUP(AA119,'G-3 Multipliers'!$L$3:$N$6,3,FALSE)))</f>
        <v/>
      </c>
      <c r="AD119" s="317" t="str">
        <f t="shared" si="11"/>
        <v/>
      </c>
      <c r="AE119" s="142"/>
      <c r="AF119" s="142"/>
      <c r="AG119" s="301" t="str">
        <f t="shared" si="14"/>
        <v/>
      </c>
      <c r="AH119" s="302" t="str">
        <f t="shared" si="15"/>
        <v/>
      </c>
      <c r="AI119" s="306" t="str">
        <f>IF(AH119="Check Data ⚠","Check Data ⚠",IFERROR(VLOOKUP(AH119,'G-4 Temporal multipliers'!$A$4:$C$36,3,FALSE),""))</f>
        <v/>
      </c>
      <c r="AJ119" s="317" t="str">
        <f>IF(S119="","",VLOOKUP(S119,'G-3 Multipliers'!$A$2:$E$134,4,FALSE))</f>
        <v/>
      </c>
      <c r="AK119" s="301" t="str">
        <f t="shared" si="16"/>
        <v/>
      </c>
      <c r="AL119" s="301" t="str">
        <f t="shared" si="17"/>
        <v/>
      </c>
      <c r="AM119" s="305" t="str">
        <f>IFERROR(IF(F119="","",IF(AH119="Check Data ⚠","Check Data ⚠",VLOOKUP(AL119, 'G-3 Multipliers'!$P$2:$Q$6,2,FALSE))),"")</f>
        <v/>
      </c>
      <c r="AN119" s="728"/>
      <c r="AO119" s="335" t="str">
        <f>IF(AN119="","",IF(VLOOKUP(AN119,'G-3 Multipliers'!$S$3:$T$10,2,FALSE)=0,"Spatial Data Missing ⚠",VLOOKUP(AN119,'G-3 Multipliers'!$S$3:$T$10,2,FALSE)))</f>
        <v/>
      </c>
      <c r="AP119" s="295" t="str">
        <f t="shared" si="18"/>
        <v/>
      </c>
      <c r="AQ119" s="295" t="str">
        <f t="shared" si="19"/>
        <v/>
      </c>
      <c r="AR119" s="109"/>
      <c r="AS119" s="142"/>
      <c r="AT119" s="108"/>
      <c r="AU119" s="108"/>
      <c r="AY119" s="30" t="str">
        <f>IF(E119="","",IF(ISNA(VLOOKUP($E119,'D-1 Off-Site Habitat Baseline'!$D$1:$AV$258,4,FALSE)),"",(VLOOKUP($E119,'D-1 Off-Site Habitat Baseline'!$D$1:$AV$258,4,FALSE))))</f>
        <v/>
      </c>
    </row>
    <row r="120" spans="1:51" x14ac:dyDescent="0.25">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325" t="str">
        <f>'D-1 Off-Site Habitat Baseline'!AP119</f>
        <v/>
      </c>
      <c r="F120" s="289" t="str">
        <f>IF(E120="","",IF(ISNA(VLOOKUP($E120,'D-1 Off-Site Habitat Baseline'!$D$1:$ZZ$258,45,FALSE)),"",(VLOOKUP($E120,'D-1 Off-Site Habitat Baseline'!$D$1:$ZZ$258,45,FALSE))))</f>
        <v/>
      </c>
      <c r="G120" s="301" t="str">
        <f>IF(E120="","",IF(ISNA(VLOOKUP($E120,'D-1 Off-Site Habitat Baseline'!$D$1:$O$258,5,FALSE)),"",(VLOOKUP($E120,'D-1 Off-Site Habitat Baseline'!$D$1:$O$258,5,FALSE))))</f>
        <v/>
      </c>
      <c r="H120" s="301" t="str">
        <f>IF(E120="","",IF(ISNA(VLOOKUP($E120,'D-1 Off-Site Habitat Baseline'!$D$1:$O$258,6,FALSE)),"",(VLOOKUP($E120,'D-1 Off-Site Habitat Baseline'!$D$1:$O$258,6,FALSE))))</f>
        <v/>
      </c>
      <c r="I120" s="301" t="str">
        <f>IF(E120="","",IF(ISNA(VLOOKUP($E120,'D-1 Off-Site Habitat Baseline'!$D$1:$O$258,7,FALSE)),"",(VLOOKUP($E120,'D-1 Off-Site Habitat Baseline'!$D$1:$O$258,7,FALSE))))</f>
        <v/>
      </c>
      <c r="J120" s="301" t="str">
        <f>IF(E120="","",IF(ISNA(VLOOKUP($E120,'D-1 Off-Site Habitat Baseline'!$D$1:$O$258,8,FALSE)),"",(VLOOKUP($E120,'D-1 Off-Site Habitat Baseline'!$D$1:$O$258,8,FALSE))))</f>
        <v/>
      </c>
      <c r="K120" s="301" t="str">
        <f>IF(E120="","",IF(ISNA(VLOOKUP($E120,'D-1 Off-Site Habitat Baseline'!$D$1:$O$258,9,FALSE)),"",(VLOOKUP($E120,'D-1 Off-Site Habitat Baseline'!$D$1:$O$258,9,FALSE))))</f>
        <v/>
      </c>
      <c r="L120" s="301" t="str">
        <f>IF(E120="","",IF(ISNA(VLOOKUP($E120,'D-1 Off-Site Habitat Baseline'!$D$1:$O$258,11,FALSE)),"",(VLOOKUP($E120,'D-1 Off-Site Habitat Baseline'!$D$1:$O$258,11,FALSE))))</f>
        <v/>
      </c>
      <c r="M120" s="301" t="str">
        <f>IF(E120="","",IF(ISNA(VLOOKUP($E120,'D-1 Off-Site Habitat Baseline'!$D$1:$O$258,12,FALSE)),"",(VLOOKUP($E120,'D-1 Off-Site Habitat Baseline'!$D$1:$O$258,12,FALSE))))</f>
        <v/>
      </c>
      <c r="N120" s="301" t="str">
        <f>IF(E120="","",IF(ISNA(VLOOKUP($E120,'D-1 Off-Site Habitat Baseline'!$D$1:$AA$258,17,FALSE)),"",(VLOOKUP($E120,'D-1 Off-Site Habitat Baseline'!$D$1:$AA$258,17,FALSE))))</f>
        <v/>
      </c>
      <c r="O120" s="305" t="str">
        <f>IF(E120="","",IF(ISNA(VLOOKUP($E120,'D-1 Off-Site Habitat Baseline'!$D$1:$AA$258,13,FALSE)),"",(VLOOKUP($E120,'D-1 Off-Site Habitat Baseline'!$D$1:$AA$258,13,FALSE))))</f>
        <v/>
      </c>
      <c r="P120" s="152" t="str">
        <f>IFERROR(INDEX('G-1 All Habitats'!$AG$49:$AG$63,MATCH(Q120,'G-1 All Habitats'!$AF$27:$AF$41,0)),"")</f>
        <v/>
      </c>
      <c r="Q120" s="153"/>
      <c r="R120" s="154"/>
      <c r="S120" s="155" t="str">
        <f>IFERROR(INDEX('G-1 All Habitats'!$B$3:$B$135,MATCH(R120,'G-1 All Habitats'!$A$3:$A$135,0)),"")</f>
        <v/>
      </c>
      <c r="T120" s="289" t="str">
        <f t="shared" si="12"/>
        <v/>
      </c>
      <c r="U120" s="305" t="str">
        <f t="shared" si="13"/>
        <v/>
      </c>
      <c r="V120" s="304" t="str">
        <f t="shared" si="10"/>
        <v/>
      </c>
      <c r="W120" s="301" t="str">
        <f>IF(S120="","",VLOOKUP(S120,'G-1 All Habitats'!$B$2:$M$135,10,FALSE))</f>
        <v/>
      </c>
      <c r="X120" s="301" t="str">
        <f>IFERROR(VLOOKUP(W120,'G-1 All Habitats'!$V$3:$W$7,2,FALSE),"")</f>
        <v/>
      </c>
      <c r="Y120" s="142"/>
      <c r="Z120" s="305" t="str">
        <f>IFERROR(INDEX('G-8 Condition Look up'!$A$3:$H$135,MATCH(S120,'G-8 Condition Look up'!$A$3:$A$135,0),MATCH(Y120,'G-8 Condition Look up'!$A$3:$H$3,0)),"")</f>
        <v/>
      </c>
      <c r="AA120" s="105"/>
      <c r="AB120" s="320" t="str">
        <f>IF(AA120="","",IF(VLOOKUP(AA120,'G-3 Multipliers'!$L$3:$N$6,2,FALSE)=0,"Spatial Data Missing ⚠",VLOOKUP(AA120,'G-3 Multipliers'!$L$3:$N$6,2,FALSE)))</f>
        <v/>
      </c>
      <c r="AC120" s="305" t="str">
        <f>IF(AA120="","",IF(VLOOKUP(AA120,'G-3 Multipliers'!$L$3:$N$6,3,FALSE)=0,"Spatial Data Missing ⚠",VLOOKUP(AA120,'G-3 Multipliers'!$L$3:$N$6,3,FALSE)))</f>
        <v/>
      </c>
      <c r="AD120" s="317" t="str">
        <f t="shared" si="11"/>
        <v/>
      </c>
      <c r="AE120" s="142"/>
      <c r="AF120" s="142"/>
      <c r="AG120" s="301" t="str">
        <f t="shared" si="14"/>
        <v/>
      </c>
      <c r="AH120" s="302" t="str">
        <f t="shared" si="15"/>
        <v/>
      </c>
      <c r="AI120" s="306" t="str">
        <f>IF(AH120="Check Data ⚠","Check Data ⚠",IFERROR(VLOOKUP(AH120,'G-4 Temporal multipliers'!$A$4:$C$36,3,FALSE),""))</f>
        <v/>
      </c>
      <c r="AJ120" s="317" t="str">
        <f>IF(S120="","",VLOOKUP(S120,'G-3 Multipliers'!$A$2:$E$134,4,FALSE))</f>
        <v/>
      </c>
      <c r="AK120" s="301" t="str">
        <f t="shared" si="16"/>
        <v/>
      </c>
      <c r="AL120" s="301" t="str">
        <f t="shared" si="17"/>
        <v/>
      </c>
      <c r="AM120" s="305" t="str">
        <f>IFERROR(IF(F120="","",IF(AH120="Check Data ⚠","Check Data ⚠",VLOOKUP(AL120, 'G-3 Multipliers'!$P$2:$Q$6,2,FALSE))),"")</f>
        <v/>
      </c>
      <c r="AN120" s="728"/>
      <c r="AO120" s="335" t="str">
        <f>IF(AN120="","",IF(VLOOKUP(AN120,'G-3 Multipliers'!$S$3:$T$10,2,FALSE)=0,"Spatial Data Missing ⚠",VLOOKUP(AN120,'G-3 Multipliers'!$S$3:$T$10,2,FALSE)))</f>
        <v/>
      </c>
      <c r="AP120" s="295" t="str">
        <f t="shared" si="18"/>
        <v/>
      </c>
      <c r="AQ120" s="295" t="str">
        <f t="shared" si="19"/>
        <v/>
      </c>
      <c r="AR120" s="109"/>
      <c r="AS120" s="142"/>
      <c r="AT120" s="108"/>
      <c r="AU120" s="108"/>
      <c r="AY120" s="30" t="str">
        <f>IF(E120="","",IF(ISNA(VLOOKUP($E120,'D-1 Off-Site Habitat Baseline'!$D$1:$AV$258,4,FALSE)),"",(VLOOKUP($E120,'D-1 Off-Site Habitat Baseline'!$D$1:$AV$258,4,FALSE))))</f>
        <v/>
      </c>
    </row>
    <row r="121" spans="1:51" x14ac:dyDescent="0.25">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325" t="str">
        <f>'D-1 Off-Site Habitat Baseline'!AP120</f>
        <v/>
      </c>
      <c r="F121" s="289" t="str">
        <f>IF(E121="","",IF(ISNA(VLOOKUP($E121,'D-1 Off-Site Habitat Baseline'!$D$1:$ZZ$258,45,FALSE)),"",(VLOOKUP($E121,'D-1 Off-Site Habitat Baseline'!$D$1:$ZZ$258,45,FALSE))))</f>
        <v/>
      </c>
      <c r="G121" s="301" t="str">
        <f>IF(E121="","",IF(ISNA(VLOOKUP($E121,'D-1 Off-Site Habitat Baseline'!$D$1:$O$258,5,FALSE)),"",(VLOOKUP($E121,'D-1 Off-Site Habitat Baseline'!$D$1:$O$258,5,FALSE))))</f>
        <v/>
      </c>
      <c r="H121" s="301" t="str">
        <f>IF(E121="","",IF(ISNA(VLOOKUP($E121,'D-1 Off-Site Habitat Baseline'!$D$1:$O$258,6,FALSE)),"",(VLOOKUP($E121,'D-1 Off-Site Habitat Baseline'!$D$1:$O$258,6,FALSE))))</f>
        <v/>
      </c>
      <c r="I121" s="301" t="str">
        <f>IF(E121="","",IF(ISNA(VLOOKUP($E121,'D-1 Off-Site Habitat Baseline'!$D$1:$O$258,7,FALSE)),"",(VLOOKUP($E121,'D-1 Off-Site Habitat Baseline'!$D$1:$O$258,7,FALSE))))</f>
        <v/>
      </c>
      <c r="J121" s="301" t="str">
        <f>IF(E121="","",IF(ISNA(VLOOKUP($E121,'D-1 Off-Site Habitat Baseline'!$D$1:$O$258,8,FALSE)),"",(VLOOKUP($E121,'D-1 Off-Site Habitat Baseline'!$D$1:$O$258,8,FALSE))))</f>
        <v/>
      </c>
      <c r="K121" s="301" t="str">
        <f>IF(E121="","",IF(ISNA(VLOOKUP($E121,'D-1 Off-Site Habitat Baseline'!$D$1:$O$258,9,FALSE)),"",(VLOOKUP($E121,'D-1 Off-Site Habitat Baseline'!$D$1:$O$258,9,FALSE))))</f>
        <v/>
      </c>
      <c r="L121" s="301" t="str">
        <f>IF(E121="","",IF(ISNA(VLOOKUP($E121,'D-1 Off-Site Habitat Baseline'!$D$1:$O$258,11,FALSE)),"",(VLOOKUP($E121,'D-1 Off-Site Habitat Baseline'!$D$1:$O$258,11,FALSE))))</f>
        <v/>
      </c>
      <c r="M121" s="301" t="str">
        <f>IF(E121="","",IF(ISNA(VLOOKUP($E121,'D-1 Off-Site Habitat Baseline'!$D$1:$O$258,12,FALSE)),"",(VLOOKUP($E121,'D-1 Off-Site Habitat Baseline'!$D$1:$O$258,12,FALSE))))</f>
        <v/>
      </c>
      <c r="N121" s="301" t="str">
        <f>IF(E121="","",IF(ISNA(VLOOKUP($E121,'D-1 Off-Site Habitat Baseline'!$D$1:$AA$258,17,FALSE)),"",(VLOOKUP($E121,'D-1 Off-Site Habitat Baseline'!$D$1:$AA$258,17,FALSE))))</f>
        <v/>
      </c>
      <c r="O121" s="305" t="str">
        <f>IF(E121="","",IF(ISNA(VLOOKUP($E121,'D-1 Off-Site Habitat Baseline'!$D$1:$AA$258,13,FALSE)),"",(VLOOKUP($E121,'D-1 Off-Site Habitat Baseline'!$D$1:$AA$258,13,FALSE))))</f>
        <v/>
      </c>
      <c r="P121" s="152" t="str">
        <f>IFERROR(INDEX('G-1 All Habitats'!$AG$49:$AG$63,MATCH(Q121,'G-1 All Habitats'!$AF$27:$AF$41,0)),"")</f>
        <v/>
      </c>
      <c r="Q121" s="153"/>
      <c r="R121" s="154"/>
      <c r="S121" s="155" t="str">
        <f>IFERROR(INDEX('G-1 All Habitats'!$B$3:$B$135,MATCH(R121,'G-1 All Habitats'!$A$3:$A$135,0)),"")</f>
        <v/>
      </c>
      <c r="T121" s="289" t="str">
        <f t="shared" si="12"/>
        <v/>
      </c>
      <c r="U121" s="305" t="str">
        <f t="shared" si="13"/>
        <v/>
      </c>
      <c r="V121" s="304" t="str">
        <f t="shared" si="10"/>
        <v/>
      </c>
      <c r="W121" s="301" t="str">
        <f>IF(S121="","",VLOOKUP(S121,'G-1 All Habitats'!$B$2:$M$135,10,FALSE))</f>
        <v/>
      </c>
      <c r="X121" s="301" t="str">
        <f>IFERROR(VLOOKUP(W121,'G-1 All Habitats'!$V$3:$W$7,2,FALSE),"")</f>
        <v/>
      </c>
      <c r="Y121" s="142"/>
      <c r="Z121" s="305" t="str">
        <f>IFERROR(INDEX('G-8 Condition Look up'!$A$3:$H$135,MATCH(S121,'G-8 Condition Look up'!$A$3:$A$135,0),MATCH(Y121,'G-8 Condition Look up'!$A$3:$H$3,0)),"")</f>
        <v/>
      </c>
      <c r="AA121" s="105"/>
      <c r="AB121" s="320" t="str">
        <f>IF(AA121="","",IF(VLOOKUP(AA121,'G-3 Multipliers'!$L$3:$N$6,2,FALSE)=0,"Spatial Data Missing ⚠",VLOOKUP(AA121,'G-3 Multipliers'!$L$3:$N$6,2,FALSE)))</f>
        <v/>
      </c>
      <c r="AC121" s="305" t="str">
        <f>IF(AA121="","",IF(VLOOKUP(AA121,'G-3 Multipliers'!$L$3:$N$6,3,FALSE)=0,"Spatial Data Missing ⚠",VLOOKUP(AA121,'G-3 Multipliers'!$L$3:$N$6,3,FALSE)))</f>
        <v/>
      </c>
      <c r="AD121" s="317" t="str">
        <f t="shared" si="11"/>
        <v/>
      </c>
      <c r="AE121" s="142"/>
      <c r="AF121" s="142"/>
      <c r="AG121" s="301" t="str">
        <f t="shared" si="14"/>
        <v/>
      </c>
      <c r="AH121" s="302" t="str">
        <f t="shared" si="15"/>
        <v/>
      </c>
      <c r="AI121" s="306" t="str">
        <f>IF(AH121="Check Data ⚠","Check Data ⚠",IFERROR(VLOOKUP(AH121,'G-4 Temporal multipliers'!$A$4:$C$36,3,FALSE),""))</f>
        <v/>
      </c>
      <c r="AJ121" s="317" t="str">
        <f>IF(S121="","",VLOOKUP(S121,'G-3 Multipliers'!$A$2:$E$134,4,FALSE))</f>
        <v/>
      </c>
      <c r="AK121" s="301" t="str">
        <f t="shared" si="16"/>
        <v/>
      </c>
      <c r="AL121" s="301" t="str">
        <f t="shared" si="17"/>
        <v/>
      </c>
      <c r="AM121" s="305" t="str">
        <f>IFERROR(IF(F121="","",IF(AH121="Check Data ⚠","Check Data ⚠",VLOOKUP(AL121, 'G-3 Multipliers'!$P$2:$Q$6,2,FALSE))),"")</f>
        <v/>
      </c>
      <c r="AN121" s="728"/>
      <c r="AO121" s="335" t="str">
        <f>IF(AN121="","",IF(VLOOKUP(AN121,'G-3 Multipliers'!$S$3:$T$10,2,FALSE)=0,"Spatial Data Missing ⚠",VLOOKUP(AN121,'G-3 Multipliers'!$S$3:$T$10,2,FALSE)))</f>
        <v/>
      </c>
      <c r="AP121" s="295" t="str">
        <f t="shared" si="18"/>
        <v/>
      </c>
      <c r="AQ121" s="295" t="str">
        <f t="shared" si="19"/>
        <v/>
      </c>
      <c r="AR121" s="109"/>
      <c r="AS121" s="142"/>
      <c r="AT121" s="108"/>
      <c r="AU121" s="108"/>
      <c r="AY121" s="30" t="str">
        <f>IF(E121="","",IF(ISNA(VLOOKUP($E121,'D-1 Off-Site Habitat Baseline'!$D$1:$AV$258,4,FALSE)),"",(VLOOKUP($E121,'D-1 Off-Site Habitat Baseline'!$D$1:$AV$258,4,FALSE))))</f>
        <v/>
      </c>
    </row>
    <row r="122" spans="1:51" x14ac:dyDescent="0.25">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325" t="str">
        <f>'D-1 Off-Site Habitat Baseline'!AP121</f>
        <v/>
      </c>
      <c r="F122" s="289" t="str">
        <f>IF(E122="","",IF(ISNA(VLOOKUP($E122,'D-1 Off-Site Habitat Baseline'!$D$1:$ZZ$258,45,FALSE)),"",(VLOOKUP($E122,'D-1 Off-Site Habitat Baseline'!$D$1:$ZZ$258,45,FALSE))))</f>
        <v/>
      </c>
      <c r="G122" s="301" t="str">
        <f>IF(E122="","",IF(ISNA(VLOOKUP($E122,'D-1 Off-Site Habitat Baseline'!$D$1:$O$258,5,FALSE)),"",(VLOOKUP($E122,'D-1 Off-Site Habitat Baseline'!$D$1:$O$258,5,FALSE))))</f>
        <v/>
      </c>
      <c r="H122" s="301" t="str">
        <f>IF(E122="","",IF(ISNA(VLOOKUP($E122,'D-1 Off-Site Habitat Baseline'!$D$1:$O$258,6,FALSE)),"",(VLOOKUP($E122,'D-1 Off-Site Habitat Baseline'!$D$1:$O$258,6,FALSE))))</f>
        <v/>
      </c>
      <c r="I122" s="301" t="str">
        <f>IF(E122="","",IF(ISNA(VLOOKUP($E122,'D-1 Off-Site Habitat Baseline'!$D$1:$O$258,7,FALSE)),"",(VLOOKUP($E122,'D-1 Off-Site Habitat Baseline'!$D$1:$O$258,7,FALSE))))</f>
        <v/>
      </c>
      <c r="J122" s="301" t="str">
        <f>IF(E122="","",IF(ISNA(VLOOKUP($E122,'D-1 Off-Site Habitat Baseline'!$D$1:$O$258,8,FALSE)),"",(VLOOKUP($E122,'D-1 Off-Site Habitat Baseline'!$D$1:$O$258,8,FALSE))))</f>
        <v/>
      </c>
      <c r="K122" s="301" t="str">
        <f>IF(E122="","",IF(ISNA(VLOOKUP($E122,'D-1 Off-Site Habitat Baseline'!$D$1:$O$258,9,FALSE)),"",(VLOOKUP($E122,'D-1 Off-Site Habitat Baseline'!$D$1:$O$258,9,FALSE))))</f>
        <v/>
      </c>
      <c r="L122" s="301" t="str">
        <f>IF(E122="","",IF(ISNA(VLOOKUP($E122,'D-1 Off-Site Habitat Baseline'!$D$1:$O$258,11,FALSE)),"",(VLOOKUP($E122,'D-1 Off-Site Habitat Baseline'!$D$1:$O$258,11,FALSE))))</f>
        <v/>
      </c>
      <c r="M122" s="301" t="str">
        <f>IF(E122="","",IF(ISNA(VLOOKUP($E122,'D-1 Off-Site Habitat Baseline'!$D$1:$O$258,12,FALSE)),"",(VLOOKUP($E122,'D-1 Off-Site Habitat Baseline'!$D$1:$O$258,12,FALSE))))</f>
        <v/>
      </c>
      <c r="N122" s="301" t="str">
        <f>IF(E122="","",IF(ISNA(VLOOKUP($E122,'D-1 Off-Site Habitat Baseline'!$D$1:$AA$258,17,FALSE)),"",(VLOOKUP($E122,'D-1 Off-Site Habitat Baseline'!$D$1:$AA$258,17,FALSE))))</f>
        <v/>
      </c>
      <c r="O122" s="305" t="str">
        <f>IF(E122="","",IF(ISNA(VLOOKUP($E122,'D-1 Off-Site Habitat Baseline'!$D$1:$AA$258,13,FALSE)),"",(VLOOKUP($E122,'D-1 Off-Site Habitat Baseline'!$D$1:$AA$258,13,FALSE))))</f>
        <v/>
      </c>
      <c r="P122" s="152" t="str">
        <f>IFERROR(INDEX('G-1 All Habitats'!$AG$49:$AG$63,MATCH(Q122,'G-1 All Habitats'!$AF$27:$AF$41,0)),"")</f>
        <v/>
      </c>
      <c r="Q122" s="153"/>
      <c r="R122" s="154"/>
      <c r="S122" s="155" t="str">
        <f>IFERROR(INDEX('G-1 All Habitats'!$B$3:$B$135,MATCH(R122,'G-1 All Habitats'!$A$3:$A$135,0)),"")</f>
        <v/>
      </c>
      <c r="T122" s="289" t="str">
        <f t="shared" si="12"/>
        <v/>
      </c>
      <c r="U122" s="305" t="str">
        <f t="shared" si="13"/>
        <v/>
      </c>
      <c r="V122" s="304" t="str">
        <f t="shared" si="10"/>
        <v/>
      </c>
      <c r="W122" s="301" t="str">
        <f>IF(S122="","",VLOOKUP(S122,'G-1 All Habitats'!$B$2:$M$135,10,FALSE))</f>
        <v/>
      </c>
      <c r="X122" s="301" t="str">
        <f>IFERROR(VLOOKUP(W122,'G-1 All Habitats'!$V$3:$W$7,2,FALSE),"")</f>
        <v/>
      </c>
      <c r="Y122" s="142"/>
      <c r="Z122" s="305" t="str">
        <f>IFERROR(INDEX('G-8 Condition Look up'!$A$3:$H$135,MATCH(S122,'G-8 Condition Look up'!$A$3:$A$135,0),MATCH(Y122,'G-8 Condition Look up'!$A$3:$H$3,0)),"")</f>
        <v/>
      </c>
      <c r="AA122" s="105"/>
      <c r="AB122" s="320" t="str">
        <f>IF(AA122="","",IF(VLOOKUP(AA122,'G-3 Multipliers'!$L$3:$N$6,2,FALSE)=0,"Spatial Data Missing ⚠",VLOOKUP(AA122,'G-3 Multipliers'!$L$3:$N$6,2,FALSE)))</f>
        <v/>
      </c>
      <c r="AC122" s="305" t="str">
        <f>IF(AA122="","",IF(VLOOKUP(AA122,'G-3 Multipliers'!$L$3:$N$6,3,FALSE)=0,"Spatial Data Missing ⚠",VLOOKUP(AA122,'G-3 Multipliers'!$L$3:$N$6,3,FALSE)))</f>
        <v/>
      </c>
      <c r="AD122" s="317" t="str">
        <f t="shared" si="11"/>
        <v/>
      </c>
      <c r="AE122" s="142"/>
      <c r="AF122" s="142"/>
      <c r="AG122" s="301" t="str">
        <f t="shared" si="14"/>
        <v/>
      </c>
      <c r="AH122" s="302" t="str">
        <f t="shared" si="15"/>
        <v/>
      </c>
      <c r="AI122" s="306" t="str">
        <f>IF(AH122="Check Data ⚠","Check Data ⚠",IFERROR(VLOOKUP(AH122,'G-4 Temporal multipliers'!$A$4:$C$36,3,FALSE),""))</f>
        <v/>
      </c>
      <c r="AJ122" s="317" t="str">
        <f>IF(S122="","",VLOOKUP(S122,'G-3 Multipliers'!$A$2:$E$134,4,FALSE))</f>
        <v/>
      </c>
      <c r="AK122" s="301" t="str">
        <f t="shared" si="16"/>
        <v/>
      </c>
      <c r="AL122" s="301" t="str">
        <f t="shared" si="17"/>
        <v/>
      </c>
      <c r="AM122" s="305" t="str">
        <f>IFERROR(IF(F122="","",IF(AH122="Check Data ⚠","Check Data ⚠",VLOOKUP(AL122, 'G-3 Multipliers'!$P$2:$Q$6,2,FALSE))),"")</f>
        <v/>
      </c>
      <c r="AN122" s="728"/>
      <c r="AO122" s="335" t="str">
        <f>IF(AN122="","",IF(VLOOKUP(AN122,'G-3 Multipliers'!$S$3:$T$10,2,FALSE)=0,"Spatial Data Missing ⚠",VLOOKUP(AN122,'G-3 Multipliers'!$S$3:$T$10,2,FALSE)))</f>
        <v/>
      </c>
      <c r="AP122" s="295" t="str">
        <f t="shared" si="18"/>
        <v/>
      </c>
      <c r="AQ122" s="295" t="str">
        <f t="shared" si="19"/>
        <v/>
      </c>
      <c r="AR122" s="109"/>
      <c r="AS122" s="142"/>
      <c r="AT122" s="108"/>
      <c r="AU122" s="108"/>
      <c r="AY122" s="30" t="str">
        <f>IF(E122="","",IF(ISNA(VLOOKUP($E122,'D-1 Off-Site Habitat Baseline'!$D$1:$AV$258,4,FALSE)),"",(VLOOKUP($E122,'D-1 Off-Site Habitat Baseline'!$D$1:$AV$258,4,FALSE))))</f>
        <v/>
      </c>
    </row>
    <row r="123" spans="1:51" x14ac:dyDescent="0.25">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325" t="str">
        <f>'D-1 Off-Site Habitat Baseline'!AP122</f>
        <v/>
      </c>
      <c r="F123" s="289" t="str">
        <f>IF(E123="","",IF(ISNA(VLOOKUP($E123,'D-1 Off-Site Habitat Baseline'!$D$1:$ZZ$258,45,FALSE)),"",(VLOOKUP($E123,'D-1 Off-Site Habitat Baseline'!$D$1:$ZZ$258,45,FALSE))))</f>
        <v/>
      </c>
      <c r="G123" s="301" t="str">
        <f>IF(E123="","",IF(ISNA(VLOOKUP($E123,'D-1 Off-Site Habitat Baseline'!$D$1:$O$258,5,FALSE)),"",(VLOOKUP($E123,'D-1 Off-Site Habitat Baseline'!$D$1:$O$258,5,FALSE))))</f>
        <v/>
      </c>
      <c r="H123" s="301" t="str">
        <f>IF(E123="","",IF(ISNA(VLOOKUP($E123,'D-1 Off-Site Habitat Baseline'!$D$1:$O$258,6,FALSE)),"",(VLOOKUP($E123,'D-1 Off-Site Habitat Baseline'!$D$1:$O$258,6,FALSE))))</f>
        <v/>
      </c>
      <c r="I123" s="301" t="str">
        <f>IF(E123="","",IF(ISNA(VLOOKUP($E123,'D-1 Off-Site Habitat Baseline'!$D$1:$O$258,7,FALSE)),"",(VLOOKUP($E123,'D-1 Off-Site Habitat Baseline'!$D$1:$O$258,7,FALSE))))</f>
        <v/>
      </c>
      <c r="J123" s="301" t="str">
        <f>IF(E123="","",IF(ISNA(VLOOKUP($E123,'D-1 Off-Site Habitat Baseline'!$D$1:$O$258,8,FALSE)),"",(VLOOKUP($E123,'D-1 Off-Site Habitat Baseline'!$D$1:$O$258,8,FALSE))))</f>
        <v/>
      </c>
      <c r="K123" s="301" t="str">
        <f>IF(E123="","",IF(ISNA(VLOOKUP($E123,'D-1 Off-Site Habitat Baseline'!$D$1:$O$258,9,FALSE)),"",(VLOOKUP($E123,'D-1 Off-Site Habitat Baseline'!$D$1:$O$258,9,FALSE))))</f>
        <v/>
      </c>
      <c r="L123" s="301" t="str">
        <f>IF(E123="","",IF(ISNA(VLOOKUP($E123,'D-1 Off-Site Habitat Baseline'!$D$1:$O$258,11,FALSE)),"",(VLOOKUP($E123,'D-1 Off-Site Habitat Baseline'!$D$1:$O$258,11,FALSE))))</f>
        <v/>
      </c>
      <c r="M123" s="301" t="str">
        <f>IF(E123="","",IF(ISNA(VLOOKUP($E123,'D-1 Off-Site Habitat Baseline'!$D$1:$O$258,12,FALSE)),"",(VLOOKUP($E123,'D-1 Off-Site Habitat Baseline'!$D$1:$O$258,12,FALSE))))</f>
        <v/>
      </c>
      <c r="N123" s="301" t="str">
        <f>IF(E123="","",IF(ISNA(VLOOKUP($E123,'D-1 Off-Site Habitat Baseline'!$D$1:$AA$258,17,FALSE)),"",(VLOOKUP($E123,'D-1 Off-Site Habitat Baseline'!$D$1:$AA$258,17,FALSE))))</f>
        <v/>
      </c>
      <c r="O123" s="305" t="str">
        <f>IF(E123="","",IF(ISNA(VLOOKUP($E123,'D-1 Off-Site Habitat Baseline'!$D$1:$AA$258,13,FALSE)),"",(VLOOKUP($E123,'D-1 Off-Site Habitat Baseline'!$D$1:$AA$258,13,FALSE))))</f>
        <v/>
      </c>
      <c r="P123" s="152" t="str">
        <f>IFERROR(INDEX('G-1 All Habitats'!$AG$49:$AG$63,MATCH(Q123,'G-1 All Habitats'!$AF$27:$AF$41,0)),"")</f>
        <v/>
      </c>
      <c r="Q123" s="153"/>
      <c r="R123" s="154"/>
      <c r="S123" s="155" t="str">
        <f>IFERROR(INDEX('G-1 All Habitats'!$B$3:$B$135,MATCH(R123,'G-1 All Habitats'!$A$3:$A$135,0)),"")</f>
        <v/>
      </c>
      <c r="T123" s="289" t="str">
        <f t="shared" si="12"/>
        <v/>
      </c>
      <c r="U123" s="305" t="str">
        <f t="shared" si="13"/>
        <v/>
      </c>
      <c r="V123" s="304" t="str">
        <f t="shared" si="10"/>
        <v/>
      </c>
      <c r="W123" s="301" t="str">
        <f>IF(S123="","",VLOOKUP(S123,'G-1 All Habitats'!$B$2:$M$135,10,FALSE))</f>
        <v/>
      </c>
      <c r="X123" s="301" t="str">
        <f>IFERROR(VLOOKUP(W123,'G-1 All Habitats'!$V$3:$W$7,2,FALSE),"")</f>
        <v/>
      </c>
      <c r="Y123" s="142"/>
      <c r="Z123" s="305" t="str">
        <f>IFERROR(INDEX('G-8 Condition Look up'!$A$3:$H$135,MATCH(S123,'G-8 Condition Look up'!$A$3:$A$135,0),MATCH(Y123,'G-8 Condition Look up'!$A$3:$H$3,0)),"")</f>
        <v/>
      </c>
      <c r="AA123" s="105"/>
      <c r="AB123" s="320" t="str">
        <f>IF(AA123="","",IF(VLOOKUP(AA123,'G-3 Multipliers'!$L$3:$N$6,2,FALSE)=0,"Spatial Data Missing ⚠",VLOOKUP(AA123,'G-3 Multipliers'!$L$3:$N$6,2,FALSE)))</f>
        <v/>
      </c>
      <c r="AC123" s="305" t="str">
        <f>IF(AA123="","",IF(VLOOKUP(AA123,'G-3 Multipliers'!$L$3:$N$6,3,FALSE)=0,"Spatial Data Missing ⚠",VLOOKUP(AA123,'G-3 Multipliers'!$L$3:$N$6,3,FALSE)))</f>
        <v/>
      </c>
      <c r="AD123" s="317" t="str">
        <f t="shared" si="11"/>
        <v/>
      </c>
      <c r="AE123" s="142"/>
      <c r="AF123" s="142"/>
      <c r="AG123" s="301" t="str">
        <f t="shared" si="14"/>
        <v/>
      </c>
      <c r="AH123" s="302" t="str">
        <f t="shared" si="15"/>
        <v/>
      </c>
      <c r="AI123" s="306" t="str">
        <f>IF(AH123="Check Data ⚠","Check Data ⚠",IFERROR(VLOOKUP(AH123,'G-4 Temporal multipliers'!$A$4:$C$36,3,FALSE),""))</f>
        <v/>
      </c>
      <c r="AJ123" s="317" t="str">
        <f>IF(S123="","",VLOOKUP(S123,'G-3 Multipliers'!$A$2:$E$134,4,FALSE))</f>
        <v/>
      </c>
      <c r="AK123" s="301" t="str">
        <f t="shared" si="16"/>
        <v/>
      </c>
      <c r="AL123" s="301" t="str">
        <f t="shared" si="17"/>
        <v/>
      </c>
      <c r="AM123" s="305" t="str">
        <f>IFERROR(IF(F123="","",IF(AH123="Check Data ⚠","Check Data ⚠",VLOOKUP(AL123, 'G-3 Multipliers'!$P$2:$Q$6,2,FALSE))),"")</f>
        <v/>
      </c>
      <c r="AN123" s="728"/>
      <c r="AO123" s="335" t="str">
        <f>IF(AN123="","",IF(VLOOKUP(AN123,'G-3 Multipliers'!$S$3:$T$10,2,FALSE)=0,"Spatial Data Missing ⚠",VLOOKUP(AN123,'G-3 Multipliers'!$S$3:$T$10,2,FALSE)))</f>
        <v/>
      </c>
      <c r="AP123" s="295" t="str">
        <f t="shared" si="18"/>
        <v/>
      </c>
      <c r="AQ123" s="295" t="str">
        <f t="shared" si="19"/>
        <v/>
      </c>
      <c r="AR123" s="109"/>
      <c r="AS123" s="142"/>
      <c r="AT123" s="108"/>
      <c r="AU123" s="108"/>
      <c r="AY123" s="30" t="str">
        <f>IF(E123="","",IF(ISNA(VLOOKUP($E123,'D-1 Off-Site Habitat Baseline'!$D$1:$AV$258,4,FALSE)),"",(VLOOKUP($E123,'D-1 Off-Site Habitat Baseline'!$D$1:$AV$258,4,FALSE))))</f>
        <v/>
      </c>
    </row>
    <row r="124" spans="1:51" x14ac:dyDescent="0.25">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325" t="str">
        <f>'D-1 Off-Site Habitat Baseline'!AP123</f>
        <v/>
      </c>
      <c r="F124" s="289" t="str">
        <f>IF(E124="","",IF(ISNA(VLOOKUP($E124,'D-1 Off-Site Habitat Baseline'!$D$1:$ZZ$258,45,FALSE)),"",(VLOOKUP($E124,'D-1 Off-Site Habitat Baseline'!$D$1:$ZZ$258,45,FALSE))))</f>
        <v/>
      </c>
      <c r="G124" s="301" t="str">
        <f>IF(E124="","",IF(ISNA(VLOOKUP($E124,'D-1 Off-Site Habitat Baseline'!$D$1:$O$258,5,FALSE)),"",(VLOOKUP($E124,'D-1 Off-Site Habitat Baseline'!$D$1:$O$258,5,FALSE))))</f>
        <v/>
      </c>
      <c r="H124" s="301" t="str">
        <f>IF(E124="","",IF(ISNA(VLOOKUP($E124,'D-1 Off-Site Habitat Baseline'!$D$1:$O$258,6,FALSE)),"",(VLOOKUP($E124,'D-1 Off-Site Habitat Baseline'!$D$1:$O$258,6,FALSE))))</f>
        <v/>
      </c>
      <c r="I124" s="301" t="str">
        <f>IF(E124="","",IF(ISNA(VLOOKUP($E124,'D-1 Off-Site Habitat Baseline'!$D$1:$O$258,7,FALSE)),"",(VLOOKUP($E124,'D-1 Off-Site Habitat Baseline'!$D$1:$O$258,7,FALSE))))</f>
        <v/>
      </c>
      <c r="J124" s="301" t="str">
        <f>IF(E124="","",IF(ISNA(VLOOKUP($E124,'D-1 Off-Site Habitat Baseline'!$D$1:$O$258,8,FALSE)),"",(VLOOKUP($E124,'D-1 Off-Site Habitat Baseline'!$D$1:$O$258,8,FALSE))))</f>
        <v/>
      </c>
      <c r="K124" s="301" t="str">
        <f>IF(E124="","",IF(ISNA(VLOOKUP($E124,'D-1 Off-Site Habitat Baseline'!$D$1:$O$258,9,FALSE)),"",(VLOOKUP($E124,'D-1 Off-Site Habitat Baseline'!$D$1:$O$258,9,FALSE))))</f>
        <v/>
      </c>
      <c r="L124" s="301" t="str">
        <f>IF(E124="","",IF(ISNA(VLOOKUP($E124,'D-1 Off-Site Habitat Baseline'!$D$1:$O$258,11,FALSE)),"",(VLOOKUP($E124,'D-1 Off-Site Habitat Baseline'!$D$1:$O$258,11,FALSE))))</f>
        <v/>
      </c>
      <c r="M124" s="301" t="str">
        <f>IF(E124="","",IF(ISNA(VLOOKUP($E124,'D-1 Off-Site Habitat Baseline'!$D$1:$O$258,12,FALSE)),"",(VLOOKUP($E124,'D-1 Off-Site Habitat Baseline'!$D$1:$O$258,12,FALSE))))</f>
        <v/>
      </c>
      <c r="N124" s="301" t="str">
        <f>IF(E124="","",IF(ISNA(VLOOKUP($E124,'D-1 Off-Site Habitat Baseline'!$D$1:$AA$258,17,FALSE)),"",(VLOOKUP($E124,'D-1 Off-Site Habitat Baseline'!$D$1:$AA$258,17,FALSE))))</f>
        <v/>
      </c>
      <c r="O124" s="305" t="str">
        <f>IF(E124="","",IF(ISNA(VLOOKUP($E124,'D-1 Off-Site Habitat Baseline'!$D$1:$AA$258,13,FALSE)),"",(VLOOKUP($E124,'D-1 Off-Site Habitat Baseline'!$D$1:$AA$258,13,FALSE))))</f>
        <v/>
      </c>
      <c r="P124" s="152" t="str">
        <f>IFERROR(INDEX('G-1 All Habitats'!$AG$49:$AG$63,MATCH(Q124,'G-1 All Habitats'!$AF$27:$AF$41,0)),"")</f>
        <v/>
      </c>
      <c r="Q124" s="153"/>
      <c r="R124" s="154"/>
      <c r="S124" s="155" t="str">
        <f>IFERROR(INDEX('G-1 All Habitats'!$B$3:$B$135,MATCH(R124,'G-1 All Habitats'!$A$3:$A$135,0)),"")</f>
        <v/>
      </c>
      <c r="T124" s="289" t="str">
        <f t="shared" si="12"/>
        <v/>
      </c>
      <c r="U124" s="305" t="str">
        <f t="shared" si="13"/>
        <v/>
      </c>
      <c r="V124" s="304" t="str">
        <f t="shared" si="10"/>
        <v/>
      </c>
      <c r="W124" s="301" t="str">
        <f>IF(S124="","",VLOOKUP(S124,'G-1 All Habitats'!$B$2:$M$135,10,FALSE))</f>
        <v/>
      </c>
      <c r="X124" s="301" t="str">
        <f>IFERROR(VLOOKUP(W124,'G-1 All Habitats'!$V$3:$W$7,2,FALSE),"")</f>
        <v/>
      </c>
      <c r="Y124" s="142"/>
      <c r="Z124" s="305" t="str">
        <f>IFERROR(INDEX('G-8 Condition Look up'!$A$3:$H$135,MATCH(S124,'G-8 Condition Look up'!$A$3:$A$135,0),MATCH(Y124,'G-8 Condition Look up'!$A$3:$H$3,0)),"")</f>
        <v/>
      </c>
      <c r="AA124" s="105"/>
      <c r="AB124" s="320" t="str">
        <f>IF(AA124="","",IF(VLOOKUP(AA124,'G-3 Multipliers'!$L$3:$N$6,2,FALSE)=0,"Spatial Data Missing ⚠",VLOOKUP(AA124,'G-3 Multipliers'!$L$3:$N$6,2,FALSE)))</f>
        <v/>
      </c>
      <c r="AC124" s="305" t="str">
        <f>IF(AA124="","",IF(VLOOKUP(AA124,'G-3 Multipliers'!$L$3:$N$6,3,FALSE)=0,"Spatial Data Missing ⚠",VLOOKUP(AA124,'G-3 Multipliers'!$L$3:$N$6,3,FALSE)))</f>
        <v/>
      </c>
      <c r="AD124" s="317" t="str">
        <f t="shared" si="11"/>
        <v/>
      </c>
      <c r="AE124" s="142"/>
      <c r="AF124" s="142"/>
      <c r="AG124" s="301" t="str">
        <f t="shared" si="14"/>
        <v/>
      </c>
      <c r="AH124" s="302" t="str">
        <f t="shared" si="15"/>
        <v/>
      </c>
      <c r="AI124" s="306" t="str">
        <f>IF(AH124="Check Data ⚠","Check Data ⚠",IFERROR(VLOOKUP(AH124,'G-4 Temporal multipliers'!$A$4:$C$36,3,FALSE),""))</f>
        <v/>
      </c>
      <c r="AJ124" s="317" t="str">
        <f>IF(S124="","",VLOOKUP(S124,'G-3 Multipliers'!$A$2:$E$134,4,FALSE))</f>
        <v/>
      </c>
      <c r="AK124" s="301" t="str">
        <f t="shared" si="16"/>
        <v/>
      </c>
      <c r="AL124" s="301" t="str">
        <f t="shared" si="17"/>
        <v/>
      </c>
      <c r="AM124" s="305" t="str">
        <f>IFERROR(IF(F124="","",IF(AH124="Check Data ⚠","Check Data ⚠",VLOOKUP(AL124, 'G-3 Multipliers'!$P$2:$Q$6,2,FALSE))),"")</f>
        <v/>
      </c>
      <c r="AN124" s="728"/>
      <c r="AO124" s="335" t="str">
        <f>IF(AN124="","",IF(VLOOKUP(AN124,'G-3 Multipliers'!$S$3:$T$10,2,FALSE)=0,"Spatial Data Missing ⚠",VLOOKUP(AN124,'G-3 Multipliers'!$S$3:$T$10,2,FALSE)))</f>
        <v/>
      </c>
      <c r="AP124" s="295" t="str">
        <f t="shared" si="18"/>
        <v/>
      </c>
      <c r="AQ124" s="295" t="str">
        <f t="shared" si="19"/>
        <v/>
      </c>
      <c r="AR124" s="109"/>
      <c r="AS124" s="142"/>
      <c r="AT124" s="108"/>
      <c r="AU124" s="108"/>
      <c r="AY124" s="30" t="str">
        <f>IF(E124="","",IF(ISNA(VLOOKUP($E124,'D-1 Off-Site Habitat Baseline'!$D$1:$AV$258,4,FALSE)),"",(VLOOKUP($E124,'D-1 Off-Site Habitat Baseline'!$D$1:$AV$258,4,FALSE))))</f>
        <v/>
      </c>
    </row>
    <row r="125" spans="1:51" x14ac:dyDescent="0.25">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325" t="str">
        <f>'D-1 Off-Site Habitat Baseline'!AP124</f>
        <v/>
      </c>
      <c r="F125" s="289" t="str">
        <f>IF(E125="","",IF(ISNA(VLOOKUP($E125,'D-1 Off-Site Habitat Baseline'!$D$1:$ZZ$258,45,FALSE)),"",(VLOOKUP($E125,'D-1 Off-Site Habitat Baseline'!$D$1:$ZZ$258,45,FALSE))))</f>
        <v/>
      </c>
      <c r="G125" s="301" t="str">
        <f>IF(E125="","",IF(ISNA(VLOOKUP($E125,'D-1 Off-Site Habitat Baseline'!$D$1:$O$258,5,FALSE)),"",(VLOOKUP($E125,'D-1 Off-Site Habitat Baseline'!$D$1:$O$258,5,FALSE))))</f>
        <v/>
      </c>
      <c r="H125" s="301" t="str">
        <f>IF(E125="","",IF(ISNA(VLOOKUP($E125,'D-1 Off-Site Habitat Baseline'!$D$1:$O$258,6,FALSE)),"",(VLOOKUP($E125,'D-1 Off-Site Habitat Baseline'!$D$1:$O$258,6,FALSE))))</f>
        <v/>
      </c>
      <c r="I125" s="301" t="str">
        <f>IF(E125="","",IF(ISNA(VLOOKUP($E125,'D-1 Off-Site Habitat Baseline'!$D$1:$O$258,7,FALSE)),"",(VLOOKUP($E125,'D-1 Off-Site Habitat Baseline'!$D$1:$O$258,7,FALSE))))</f>
        <v/>
      </c>
      <c r="J125" s="301" t="str">
        <f>IF(E125="","",IF(ISNA(VLOOKUP($E125,'D-1 Off-Site Habitat Baseline'!$D$1:$O$258,8,FALSE)),"",(VLOOKUP($E125,'D-1 Off-Site Habitat Baseline'!$D$1:$O$258,8,FALSE))))</f>
        <v/>
      </c>
      <c r="K125" s="301" t="str">
        <f>IF(E125="","",IF(ISNA(VLOOKUP($E125,'D-1 Off-Site Habitat Baseline'!$D$1:$O$258,9,FALSE)),"",(VLOOKUP($E125,'D-1 Off-Site Habitat Baseline'!$D$1:$O$258,9,FALSE))))</f>
        <v/>
      </c>
      <c r="L125" s="301" t="str">
        <f>IF(E125="","",IF(ISNA(VLOOKUP($E125,'D-1 Off-Site Habitat Baseline'!$D$1:$O$258,11,FALSE)),"",(VLOOKUP($E125,'D-1 Off-Site Habitat Baseline'!$D$1:$O$258,11,FALSE))))</f>
        <v/>
      </c>
      <c r="M125" s="301" t="str">
        <f>IF(E125="","",IF(ISNA(VLOOKUP($E125,'D-1 Off-Site Habitat Baseline'!$D$1:$O$258,12,FALSE)),"",(VLOOKUP($E125,'D-1 Off-Site Habitat Baseline'!$D$1:$O$258,12,FALSE))))</f>
        <v/>
      </c>
      <c r="N125" s="301" t="str">
        <f>IF(E125="","",IF(ISNA(VLOOKUP($E125,'D-1 Off-Site Habitat Baseline'!$D$1:$AA$258,17,FALSE)),"",(VLOOKUP($E125,'D-1 Off-Site Habitat Baseline'!$D$1:$AA$258,17,FALSE))))</f>
        <v/>
      </c>
      <c r="O125" s="305" t="str">
        <f>IF(E125="","",IF(ISNA(VLOOKUP($E125,'D-1 Off-Site Habitat Baseline'!$D$1:$AA$258,13,FALSE)),"",(VLOOKUP($E125,'D-1 Off-Site Habitat Baseline'!$D$1:$AA$258,13,FALSE))))</f>
        <v/>
      </c>
      <c r="P125" s="152" t="str">
        <f>IFERROR(INDEX('G-1 All Habitats'!$AG$49:$AG$63,MATCH(Q125,'G-1 All Habitats'!$AF$27:$AF$41,0)),"")</f>
        <v/>
      </c>
      <c r="Q125" s="153"/>
      <c r="R125" s="154"/>
      <c r="S125" s="155" t="str">
        <f>IFERROR(INDEX('G-1 All Habitats'!$B$3:$B$135,MATCH(R125,'G-1 All Habitats'!$A$3:$A$135,0)),"")</f>
        <v/>
      </c>
      <c r="T125" s="289" t="str">
        <f t="shared" si="12"/>
        <v/>
      </c>
      <c r="U125" s="305" t="str">
        <f t="shared" si="13"/>
        <v/>
      </c>
      <c r="V125" s="304" t="str">
        <f t="shared" si="10"/>
        <v/>
      </c>
      <c r="W125" s="301" t="str">
        <f>IF(S125="","",VLOOKUP(S125,'G-1 All Habitats'!$B$2:$M$135,10,FALSE))</f>
        <v/>
      </c>
      <c r="X125" s="301" t="str">
        <f>IFERROR(VLOOKUP(W125,'G-1 All Habitats'!$V$3:$W$7,2,FALSE),"")</f>
        <v/>
      </c>
      <c r="Y125" s="142"/>
      <c r="Z125" s="305" t="str">
        <f>IFERROR(INDEX('G-8 Condition Look up'!$A$3:$H$135,MATCH(S125,'G-8 Condition Look up'!$A$3:$A$135,0),MATCH(Y125,'G-8 Condition Look up'!$A$3:$H$3,0)),"")</f>
        <v/>
      </c>
      <c r="AA125" s="105"/>
      <c r="AB125" s="320" t="str">
        <f>IF(AA125="","",IF(VLOOKUP(AA125,'G-3 Multipliers'!$L$3:$N$6,2,FALSE)=0,"Spatial Data Missing ⚠",VLOOKUP(AA125,'G-3 Multipliers'!$L$3:$N$6,2,FALSE)))</f>
        <v/>
      </c>
      <c r="AC125" s="305" t="str">
        <f>IF(AA125="","",IF(VLOOKUP(AA125,'G-3 Multipliers'!$L$3:$N$6,3,FALSE)=0,"Spatial Data Missing ⚠",VLOOKUP(AA125,'G-3 Multipliers'!$L$3:$N$6,3,FALSE)))</f>
        <v/>
      </c>
      <c r="AD125" s="317" t="str">
        <f t="shared" si="11"/>
        <v/>
      </c>
      <c r="AE125" s="142"/>
      <c r="AF125" s="142"/>
      <c r="AG125" s="301" t="str">
        <f t="shared" si="14"/>
        <v/>
      </c>
      <c r="AH125" s="302" t="str">
        <f t="shared" si="15"/>
        <v/>
      </c>
      <c r="AI125" s="306" t="str">
        <f>IF(AH125="Check Data ⚠","Check Data ⚠",IFERROR(VLOOKUP(AH125,'G-4 Temporal multipliers'!$A$4:$C$36,3,FALSE),""))</f>
        <v/>
      </c>
      <c r="AJ125" s="317" t="str">
        <f>IF(S125="","",VLOOKUP(S125,'G-3 Multipliers'!$A$2:$E$134,4,FALSE))</f>
        <v/>
      </c>
      <c r="AK125" s="301" t="str">
        <f t="shared" si="16"/>
        <v/>
      </c>
      <c r="AL125" s="301" t="str">
        <f t="shared" si="17"/>
        <v/>
      </c>
      <c r="AM125" s="305" t="str">
        <f>IFERROR(IF(F125="","",IF(AH125="Check Data ⚠","Check Data ⚠",VLOOKUP(AL125, 'G-3 Multipliers'!$P$2:$Q$6,2,FALSE))),"")</f>
        <v/>
      </c>
      <c r="AN125" s="728"/>
      <c r="AO125" s="335" t="str">
        <f>IF(AN125="","",IF(VLOOKUP(AN125,'G-3 Multipliers'!$S$3:$T$10,2,FALSE)=0,"Spatial Data Missing ⚠",VLOOKUP(AN125,'G-3 Multipliers'!$S$3:$T$10,2,FALSE)))</f>
        <v/>
      </c>
      <c r="AP125" s="295" t="str">
        <f t="shared" si="18"/>
        <v/>
      </c>
      <c r="AQ125" s="295" t="str">
        <f t="shared" si="19"/>
        <v/>
      </c>
      <c r="AR125" s="109"/>
      <c r="AS125" s="142"/>
      <c r="AT125" s="108"/>
      <c r="AU125" s="108"/>
      <c r="AY125" s="30" t="str">
        <f>IF(E125="","",IF(ISNA(VLOOKUP($E125,'D-1 Off-Site Habitat Baseline'!$D$1:$AV$258,4,FALSE)),"",(VLOOKUP($E125,'D-1 Off-Site Habitat Baseline'!$D$1:$AV$258,4,FALSE))))</f>
        <v/>
      </c>
    </row>
    <row r="126" spans="1:51" x14ac:dyDescent="0.25">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325" t="str">
        <f>'D-1 Off-Site Habitat Baseline'!AP125</f>
        <v/>
      </c>
      <c r="F126" s="289" t="str">
        <f>IF(E126="","",IF(ISNA(VLOOKUP($E126,'D-1 Off-Site Habitat Baseline'!$D$1:$ZZ$258,45,FALSE)),"",(VLOOKUP($E126,'D-1 Off-Site Habitat Baseline'!$D$1:$ZZ$258,45,FALSE))))</f>
        <v/>
      </c>
      <c r="G126" s="301" t="str">
        <f>IF(E126="","",IF(ISNA(VLOOKUP($E126,'D-1 Off-Site Habitat Baseline'!$D$1:$O$258,5,FALSE)),"",(VLOOKUP($E126,'D-1 Off-Site Habitat Baseline'!$D$1:$O$258,5,FALSE))))</f>
        <v/>
      </c>
      <c r="H126" s="301" t="str">
        <f>IF(E126="","",IF(ISNA(VLOOKUP($E126,'D-1 Off-Site Habitat Baseline'!$D$1:$O$258,6,FALSE)),"",(VLOOKUP($E126,'D-1 Off-Site Habitat Baseline'!$D$1:$O$258,6,FALSE))))</f>
        <v/>
      </c>
      <c r="I126" s="301" t="str">
        <f>IF(E126="","",IF(ISNA(VLOOKUP($E126,'D-1 Off-Site Habitat Baseline'!$D$1:$O$258,7,FALSE)),"",(VLOOKUP($E126,'D-1 Off-Site Habitat Baseline'!$D$1:$O$258,7,FALSE))))</f>
        <v/>
      </c>
      <c r="J126" s="301" t="str">
        <f>IF(E126="","",IF(ISNA(VLOOKUP($E126,'D-1 Off-Site Habitat Baseline'!$D$1:$O$258,8,FALSE)),"",(VLOOKUP($E126,'D-1 Off-Site Habitat Baseline'!$D$1:$O$258,8,FALSE))))</f>
        <v/>
      </c>
      <c r="K126" s="301" t="str">
        <f>IF(E126="","",IF(ISNA(VLOOKUP($E126,'D-1 Off-Site Habitat Baseline'!$D$1:$O$258,9,FALSE)),"",(VLOOKUP($E126,'D-1 Off-Site Habitat Baseline'!$D$1:$O$258,9,FALSE))))</f>
        <v/>
      </c>
      <c r="L126" s="301" t="str">
        <f>IF(E126="","",IF(ISNA(VLOOKUP($E126,'D-1 Off-Site Habitat Baseline'!$D$1:$O$258,11,FALSE)),"",(VLOOKUP($E126,'D-1 Off-Site Habitat Baseline'!$D$1:$O$258,11,FALSE))))</f>
        <v/>
      </c>
      <c r="M126" s="301" t="str">
        <f>IF(E126="","",IF(ISNA(VLOOKUP($E126,'D-1 Off-Site Habitat Baseline'!$D$1:$O$258,12,FALSE)),"",(VLOOKUP($E126,'D-1 Off-Site Habitat Baseline'!$D$1:$O$258,12,FALSE))))</f>
        <v/>
      </c>
      <c r="N126" s="301" t="str">
        <f>IF(E126="","",IF(ISNA(VLOOKUP($E126,'D-1 Off-Site Habitat Baseline'!$D$1:$AA$258,17,FALSE)),"",(VLOOKUP($E126,'D-1 Off-Site Habitat Baseline'!$D$1:$AA$258,17,FALSE))))</f>
        <v/>
      </c>
      <c r="O126" s="305" t="str">
        <f>IF(E126="","",IF(ISNA(VLOOKUP($E126,'D-1 Off-Site Habitat Baseline'!$D$1:$AA$258,13,FALSE)),"",(VLOOKUP($E126,'D-1 Off-Site Habitat Baseline'!$D$1:$AA$258,13,FALSE))))</f>
        <v/>
      </c>
      <c r="P126" s="152" t="str">
        <f>IFERROR(INDEX('G-1 All Habitats'!$AG$49:$AG$63,MATCH(Q126,'G-1 All Habitats'!$AF$27:$AF$41,0)),"")</f>
        <v/>
      </c>
      <c r="Q126" s="153"/>
      <c r="R126" s="154"/>
      <c r="S126" s="155" t="str">
        <f>IFERROR(INDEX('G-1 All Habitats'!$B$3:$B$135,MATCH(R126,'G-1 All Habitats'!$A$3:$A$135,0)),"")</f>
        <v/>
      </c>
      <c r="T126" s="289" t="str">
        <f t="shared" si="12"/>
        <v/>
      </c>
      <c r="U126" s="305" t="str">
        <f t="shared" si="13"/>
        <v/>
      </c>
      <c r="V126" s="304" t="str">
        <f t="shared" si="10"/>
        <v/>
      </c>
      <c r="W126" s="301" t="str">
        <f>IF(S126="","",VLOOKUP(S126,'G-1 All Habitats'!$B$2:$M$135,10,FALSE))</f>
        <v/>
      </c>
      <c r="X126" s="301" t="str">
        <f>IFERROR(VLOOKUP(W126,'G-1 All Habitats'!$V$3:$W$7,2,FALSE),"")</f>
        <v/>
      </c>
      <c r="Y126" s="142"/>
      <c r="Z126" s="305" t="str">
        <f>IFERROR(INDEX('G-8 Condition Look up'!$A$3:$H$135,MATCH(S126,'G-8 Condition Look up'!$A$3:$A$135,0),MATCH(Y126,'G-8 Condition Look up'!$A$3:$H$3,0)),"")</f>
        <v/>
      </c>
      <c r="AA126" s="105"/>
      <c r="AB126" s="320" t="str">
        <f>IF(AA126="","",IF(VLOOKUP(AA126,'G-3 Multipliers'!$L$3:$N$6,2,FALSE)=0,"Spatial Data Missing ⚠",VLOOKUP(AA126,'G-3 Multipliers'!$L$3:$N$6,2,FALSE)))</f>
        <v/>
      </c>
      <c r="AC126" s="305" t="str">
        <f>IF(AA126="","",IF(VLOOKUP(AA126,'G-3 Multipliers'!$L$3:$N$6,3,FALSE)=0,"Spatial Data Missing ⚠",VLOOKUP(AA126,'G-3 Multipliers'!$L$3:$N$6,3,FALSE)))</f>
        <v/>
      </c>
      <c r="AD126" s="317" t="str">
        <f t="shared" si="11"/>
        <v/>
      </c>
      <c r="AE126" s="142"/>
      <c r="AF126" s="142"/>
      <c r="AG126" s="301" t="str">
        <f t="shared" si="14"/>
        <v/>
      </c>
      <c r="AH126" s="302" t="str">
        <f t="shared" si="15"/>
        <v/>
      </c>
      <c r="AI126" s="306" t="str">
        <f>IF(AH126="Check Data ⚠","Check Data ⚠",IFERROR(VLOOKUP(AH126,'G-4 Temporal multipliers'!$A$4:$C$36,3,FALSE),""))</f>
        <v/>
      </c>
      <c r="AJ126" s="317" t="str">
        <f>IF(S126="","",VLOOKUP(S126,'G-3 Multipliers'!$A$2:$E$134,4,FALSE))</f>
        <v/>
      </c>
      <c r="AK126" s="301" t="str">
        <f t="shared" si="16"/>
        <v/>
      </c>
      <c r="AL126" s="301" t="str">
        <f t="shared" si="17"/>
        <v/>
      </c>
      <c r="AM126" s="305" t="str">
        <f>IFERROR(IF(F126="","",IF(AH126="Check Data ⚠","Check Data ⚠",VLOOKUP(AL126, 'G-3 Multipliers'!$P$2:$Q$6,2,FALSE))),"")</f>
        <v/>
      </c>
      <c r="AN126" s="728"/>
      <c r="AO126" s="335" t="str">
        <f>IF(AN126="","",IF(VLOOKUP(AN126,'G-3 Multipliers'!$S$3:$T$10,2,FALSE)=0,"Spatial Data Missing ⚠",VLOOKUP(AN126,'G-3 Multipliers'!$S$3:$T$10,2,FALSE)))</f>
        <v/>
      </c>
      <c r="AP126" s="295" t="str">
        <f t="shared" si="18"/>
        <v/>
      </c>
      <c r="AQ126" s="295" t="str">
        <f t="shared" si="19"/>
        <v/>
      </c>
      <c r="AR126" s="109"/>
      <c r="AS126" s="142"/>
      <c r="AT126" s="108"/>
      <c r="AU126" s="108"/>
      <c r="AY126" s="30" t="str">
        <f>IF(E126="","",IF(ISNA(VLOOKUP($E126,'D-1 Off-Site Habitat Baseline'!$D$1:$AV$258,4,FALSE)),"",(VLOOKUP($E126,'D-1 Off-Site Habitat Baseline'!$D$1:$AV$258,4,FALSE))))</f>
        <v/>
      </c>
    </row>
    <row r="127" spans="1:51" x14ac:dyDescent="0.25">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325" t="str">
        <f>'D-1 Off-Site Habitat Baseline'!AP126</f>
        <v/>
      </c>
      <c r="F127" s="289" t="str">
        <f>IF(E127="","",IF(ISNA(VLOOKUP($E127,'D-1 Off-Site Habitat Baseline'!$D$1:$ZZ$258,45,FALSE)),"",(VLOOKUP($E127,'D-1 Off-Site Habitat Baseline'!$D$1:$ZZ$258,45,FALSE))))</f>
        <v/>
      </c>
      <c r="G127" s="301" t="str">
        <f>IF(E127="","",IF(ISNA(VLOOKUP($E127,'D-1 Off-Site Habitat Baseline'!$D$1:$O$258,5,FALSE)),"",(VLOOKUP($E127,'D-1 Off-Site Habitat Baseline'!$D$1:$O$258,5,FALSE))))</f>
        <v/>
      </c>
      <c r="H127" s="301" t="str">
        <f>IF(E127="","",IF(ISNA(VLOOKUP($E127,'D-1 Off-Site Habitat Baseline'!$D$1:$O$258,6,FALSE)),"",(VLOOKUP($E127,'D-1 Off-Site Habitat Baseline'!$D$1:$O$258,6,FALSE))))</f>
        <v/>
      </c>
      <c r="I127" s="301" t="str">
        <f>IF(E127="","",IF(ISNA(VLOOKUP($E127,'D-1 Off-Site Habitat Baseline'!$D$1:$O$258,7,FALSE)),"",(VLOOKUP($E127,'D-1 Off-Site Habitat Baseline'!$D$1:$O$258,7,FALSE))))</f>
        <v/>
      </c>
      <c r="J127" s="301" t="str">
        <f>IF(E127="","",IF(ISNA(VLOOKUP($E127,'D-1 Off-Site Habitat Baseline'!$D$1:$O$258,8,FALSE)),"",(VLOOKUP($E127,'D-1 Off-Site Habitat Baseline'!$D$1:$O$258,8,FALSE))))</f>
        <v/>
      </c>
      <c r="K127" s="301" t="str">
        <f>IF(E127="","",IF(ISNA(VLOOKUP($E127,'D-1 Off-Site Habitat Baseline'!$D$1:$O$258,9,FALSE)),"",(VLOOKUP($E127,'D-1 Off-Site Habitat Baseline'!$D$1:$O$258,9,FALSE))))</f>
        <v/>
      </c>
      <c r="L127" s="301" t="str">
        <f>IF(E127="","",IF(ISNA(VLOOKUP($E127,'D-1 Off-Site Habitat Baseline'!$D$1:$O$258,11,FALSE)),"",(VLOOKUP($E127,'D-1 Off-Site Habitat Baseline'!$D$1:$O$258,11,FALSE))))</f>
        <v/>
      </c>
      <c r="M127" s="301" t="str">
        <f>IF(E127="","",IF(ISNA(VLOOKUP($E127,'D-1 Off-Site Habitat Baseline'!$D$1:$O$258,12,FALSE)),"",(VLOOKUP($E127,'D-1 Off-Site Habitat Baseline'!$D$1:$O$258,12,FALSE))))</f>
        <v/>
      </c>
      <c r="N127" s="301" t="str">
        <f>IF(E127="","",IF(ISNA(VLOOKUP($E127,'D-1 Off-Site Habitat Baseline'!$D$1:$AA$258,17,FALSE)),"",(VLOOKUP($E127,'D-1 Off-Site Habitat Baseline'!$D$1:$AA$258,17,FALSE))))</f>
        <v/>
      </c>
      <c r="O127" s="305" t="str">
        <f>IF(E127="","",IF(ISNA(VLOOKUP($E127,'D-1 Off-Site Habitat Baseline'!$D$1:$AA$258,13,FALSE)),"",(VLOOKUP($E127,'D-1 Off-Site Habitat Baseline'!$D$1:$AA$258,13,FALSE))))</f>
        <v/>
      </c>
      <c r="P127" s="152" t="str">
        <f>IFERROR(INDEX('G-1 All Habitats'!$AG$49:$AG$63,MATCH(Q127,'G-1 All Habitats'!$AF$27:$AF$41,0)),"")</f>
        <v/>
      </c>
      <c r="Q127" s="153"/>
      <c r="R127" s="154"/>
      <c r="S127" s="155" t="str">
        <f>IFERROR(INDEX('G-1 All Habitats'!$B$3:$B$135,MATCH(R127,'G-1 All Habitats'!$A$3:$A$135,0)),"")</f>
        <v/>
      </c>
      <c r="T127" s="289" t="str">
        <f t="shared" si="12"/>
        <v/>
      </c>
      <c r="U127" s="305" t="str">
        <f t="shared" si="13"/>
        <v/>
      </c>
      <c r="V127" s="304" t="str">
        <f t="shared" si="10"/>
        <v/>
      </c>
      <c r="W127" s="301" t="str">
        <f>IF(S127="","",VLOOKUP(S127,'G-1 All Habitats'!$B$2:$M$135,10,FALSE))</f>
        <v/>
      </c>
      <c r="X127" s="301" t="str">
        <f>IFERROR(VLOOKUP(W127,'G-1 All Habitats'!$V$3:$W$7,2,FALSE),"")</f>
        <v/>
      </c>
      <c r="Y127" s="142"/>
      <c r="Z127" s="305" t="str">
        <f>IFERROR(INDEX('G-8 Condition Look up'!$A$3:$H$135,MATCH(S127,'G-8 Condition Look up'!$A$3:$A$135,0),MATCH(Y127,'G-8 Condition Look up'!$A$3:$H$3,0)),"")</f>
        <v/>
      </c>
      <c r="AA127" s="105"/>
      <c r="AB127" s="320" t="str">
        <f>IF(AA127="","",IF(VLOOKUP(AA127,'G-3 Multipliers'!$L$3:$N$6,2,FALSE)=0,"Spatial Data Missing ⚠",VLOOKUP(AA127,'G-3 Multipliers'!$L$3:$N$6,2,FALSE)))</f>
        <v/>
      </c>
      <c r="AC127" s="305" t="str">
        <f>IF(AA127="","",IF(VLOOKUP(AA127,'G-3 Multipliers'!$L$3:$N$6,3,FALSE)=0,"Spatial Data Missing ⚠",VLOOKUP(AA127,'G-3 Multipliers'!$L$3:$N$6,3,FALSE)))</f>
        <v/>
      </c>
      <c r="AD127" s="317" t="str">
        <f t="shared" si="11"/>
        <v/>
      </c>
      <c r="AE127" s="142"/>
      <c r="AF127" s="142"/>
      <c r="AG127" s="301" t="str">
        <f t="shared" si="14"/>
        <v/>
      </c>
      <c r="AH127" s="302" t="str">
        <f t="shared" si="15"/>
        <v/>
      </c>
      <c r="AI127" s="306" t="str">
        <f>IF(AH127="Check Data ⚠","Check Data ⚠",IFERROR(VLOOKUP(AH127,'G-4 Temporal multipliers'!$A$4:$C$36,3,FALSE),""))</f>
        <v/>
      </c>
      <c r="AJ127" s="317" t="str">
        <f>IF(S127="","",VLOOKUP(S127,'G-3 Multipliers'!$A$2:$E$134,4,FALSE))</f>
        <v/>
      </c>
      <c r="AK127" s="301" t="str">
        <f t="shared" si="16"/>
        <v/>
      </c>
      <c r="AL127" s="301" t="str">
        <f t="shared" si="17"/>
        <v/>
      </c>
      <c r="AM127" s="305" t="str">
        <f>IFERROR(IF(F127="","",IF(AH127="Check Data ⚠","Check Data ⚠",VLOOKUP(AL127, 'G-3 Multipliers'!$P$2:$Q$6,2,FALSE))),"")</f>
        <v/>
      </c>
      <c r="AN127" s="728"/>
      <c r="AO127" s="335" t="str">
        <f>IF(AN127="","",IF(VLOOKUP(AN127,'G-3 Multipliers'!$S$3:$T$10,2,FALSE)=0,"Spatial Data Missing ⚠",VLOOKUP(AN127,'G-3 Multipliers'!$S$3:$T$10,2,FALSE)))</f>
        <v/>
      </c>
      <c r="AP127" s="295" t="str">
        <f t="shared" si="18"/>
        <v/>
      </c>
      <c r="AQ127" s="295" t="str">
        <f t="shared" si="19"/>
        <v/>
      </c>
      <c r="AR127" s="109"/>
      <c r="AS127" s="142"/>
      <c r="AT127" s="108"/>
      <c r="AU127" s="108"/>
      <c r="AY127" s="30" t="str">
        <f>IF(E127="","",IF(ISNA(VLOOKUP($E127,'D-1 Off-Site Habitat Baseline'!$D$1:$AV$258,4,FALSE)),"",(VLOOKUP($E127,'D-1 Off-Site Habitat Baseline'!$D$1:$AV$258,4,FALSE))))</f>
        <v/>
      </c>
    </row>
    <row r="128" spans="1:51" x14ac:dyDescent="0.25">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325" t="str">
        <f>'D-1 Off-Site Habitat Baseline'!AP127</f>
        <v/>
      </c>
      <c r="F128" s="289" t="str">
        <f>IF(E128="","",IF(ISNA(VLOOKUP($E128,'D-1 Off-Site Habitat Baseline'!$D$1:$ZZ$258,45,FALSE)),"",(VLOOKUP($E128,'D-1 Off-Site Habitat Baseline'!$D$1:$ZZ$258,45,FALSE))))</f>
        <v/>
      </c>
      <c r="G128" s="301" t="str">
        <f>IF(E128="","",IF(ISNA(VLOOKUP($E128,'D-1 Off-Site Habitat Baseline'!$D$1:$O$258,5,FALSE)),"",(VLOOKUP($E128,'D-1 Off-Site Habitat Baseline'!$D$1:$O$258,5,FALSE))))</f>
        <v/>
      </c>
      <c r="H128" s="301" t="str">
        <f>IF(E128="","",IF(ISNA(VLOOKUP($E128,'D-1 Off-Site Habitat Baseline'!$D$1:$O$258,6,FALSE)),"",(VLOOKUP($E128,'D-1 Off-Site Habitat Baseline'!$D$1:$O$258,6,FALSE))))</f>
        <v/>
      </c>
      <c r="I128" s="301" t="str">
        <f>IF(E128="","",IF(ISNA(VLOOKUP($E128,'D-1 Off-Site Habitat Baseline'!$D$1:$O$258,7,FALSE)),"",(VLOOKUP($E128,'D-1 Off-Site Habitat Baseline'!$D$1:$O$258,7,FALSE))))</f>
        <v/>
      </c>
      <c r="J128" s="301" t="str">
        <f>IF(E128="","",IF(ISNA(VLOOKUP($E128,'D-1 Off-Site Habitat Baseline'!$D$1:$O$258,8,FALSE)),"",(VLOOKUP($E128,'D-1 Off-Site Habitat Baseline'!$D$1:$O$258,8,FALSE))))</f>
        <v/>
      </c>
      <c r="K128" s="301" t="str">
        <f>IF(E128="","",IF(ISNA(VLOOKUP($E128,'D-1 Off-Site Habitat Baseline'!$D$1:$O$258,9,FALSE)),"",(VLOOKUP($E128,'D-1 Off-Site Habitat Baseline'!$D$1:$O$258,9,FALSE))))</f>
        <v/>
      </c>
      <c r="L128" s="301" t="str">
        <f>IF(E128="","",IF(ISNA(VLOOKUP($E128,'D-1 Off-Site Habitat Baseline'!$D$1:$O$258,11,FALSE)),"",(VLOOKUP($E128,'D-1 Off-Site Habitat Baseline'!$D$1:$O$258,11,FALSE))))</f>
        <v/>
      </c>
      <c r="M128" s="301" t="str">
        <f>IF(E128="","",IF(ISNA(VLOOKUP($E128,'D-1 Off-Site Habitat Baseline'!$D$1:$O$258,12,FALSE)),"",(VLOOKUP($E128,'D-1 Off-Site Habitat Baseline'!$D$1:$O$258,12,FALSE))))</f>
        <v/>
      </c>
      <c r="N128" s="301" t="str">
        <f>IF(E128="","",IF(ISNA(VLOOKUP($E128,'D-1 Off-Site Habitat Baseline'!$D$1:$AA$258,17,FALSE)),"",(VLOOKUP($E128,'D-1 Off-Site Habitat Baseline'!$D$1:$AA$258,17,FALSE))))</f>
        <v/>
      </c>
      <c r="O128" s="305" t="str">
        <f>IF(E128="","",IF(ISNA(VLOOKUP($E128,'D-1 Off-Site Habitat Baseline'!$D$1:$AA$258,13,FALSE)),"",(VLOOKUP($E128,'D-1 Off-Site Habitat Baseline'!$D$1:$AA$258,13,FALSE))))</f>
        <v/>
      </c>
      <c r="P128" s="152" t="str">
        <f>IFERROR(INDEX('G-1 All Habitats'!$AG$49:$AG$63,MATCH(Q128,'G-1 All Habitats'!$AF$27:$AF$41,0)),"")</f>
        <v/>
      </c>
      <c r="Q128" s="153"/>
      <c r="R128" s="154"/>
      <c r="S128" s="155" t="str">
        <f>IFERROR(INDEX('G-1 All Habitats'!$B$3:$B$135,MATCH(R128,'G-1 All Habitats'!$A$3:$A$135,0)),"")</f>
        <v/>
      </c>
      <c r="T128" s="289" t="str">
        <f t="shared" si="12"/>
        <v/>
      </c>
      <c r="U128" s="305" t="str">
        <f t="shared" si="13"/>
        <v/>
      </c>
      <c r="V128" s="304" t="str">
        <f t="shared" si="10"/>
        <v/>
      </c>
      <c r="W128" s="301" t="str">
        <f>IF(S128="","",VLOOKUP(S128,'G-1 All Habitats'!$B$2:$M$135,10,FALSE))</f>
        <v/>
      </c>
      <c r="X128" s="301" t="str">
        <f>IFERROR(VLOOKUP(W128,'G-1 All Habitats'!$V$3:$W$7,2,FALSE),"")</f>
        <v/>
      </c>
      <c r="Y128" s="142"/>
      <c r="Z128" s="305" t="str">
        <f>IFERROR(INDEX('G-8 Condition Look up'!$A$3:$H$135,MATCH(S128,'G-8 Condition Look up'!$A$3:$A$135,0),MATCH(Y128,'G-8 Condition Look up'!$A$3:$H$3,0)),"")</f>
        <v/>
      </c>
      <c r="AA128" s="105"/>
      <c r="AB128" s="320" t="str">
        <f>IF(AA128="","",IF(VLOOKUP(AA128,'G-3 Multipliers'!$L$3:$N$6,2,FALSE)=0,"Spatial Data Missing ⚠",VLOOKUP(AA128,'G-3 Multipliers'!$L$3:$N$6,2,FALSE)))</f>
        <v/>
      </c>
      <c r="AC128" s="305" t="str">
        <f>IF(AA128="","",IF(VLOOKUP(AA128,'G-3 Multipliers'!$L$3:$N$6,3,FALSE)=0,"Spatial Data Missing ⚠",VLOOKUP(AA128,'G-3 Multipliers'!$L$3:$N$6,3,FALSE)))</f>
        <v/>
      </c>
      <c r="AD128" s="317" t="str">
        <f t="shared" si="11"/>
        <v/>
      </c>
      <c r="AE128" s="142"/>
      <c r="AF128" s="142"/>
      <c r="AG128" s="301" t="str">
        <f t="shared" si="14"/>
        <v/>
      </c>
      <c r="AH128" s="302" t="str">
        <f t="shared" si="15"/>
        <v/>
      </c>
      <c r="AI128" s="306" t="str">
        <f>IF(AH128="Check Data ⚠","Check Data ⚠",IFERROR(VLOOKUP(AH128,'G-4 Temporal multipliers'!$A$4:$C$36,3,FALSE),""))</f>
        <v/>
      </c>
      <c r="AJ128" s="317" t="str">
        <f>IF(S128="","",VLOOKUP(S128,'G-3 Multipliers'!$A$2:$E$134,4,FALSE))</f>
        <v/>
      </c>
      <c r="AK128" s="301" t="str">
        <f t="shared" si="16"/>
        <v/>
      </c>
      <c r="AL128" s="301" t="str">
        <f t="shared" si="17"/>
        <v/>
      </c>
      <c r="AM128" s="305" t="str">
        <f>IFERROR(IF(F128="","",IF(AH128="Check Data ⚠","Check Data ⚠",VLOOKUP(AL128, 'G-3 Multipliers'!$P$2:$Q$6,2,FALSE))),"")</f>
        <v/>
      </c>
      <c r="AN128" s="728"/>
      <c r="AO128" s="335" t="str">
        <f>IF(AN128="","",IF(VLOOKUP(AN128,'G-3 Multipliers'!$S$3:$T$10,2,FALSE)=0,"Spatial Data Missing ⚠",VLOOKUP(AN128,'G-3 Multipliers'!$S$3:$T$10,2,FALSE)))</f>
        <v/>
      </c>
      <c r="AP128" s="295" t="str">
        <f t="shared" si="18"/>
        <v/>
      </c>
      <c r="AQ128" s="295" t="str">
        <f t="shared" si="19"/>
        <v/>
      </c>
      <c r="AR128" s="109"/>
      <c r="AS128" s="142"/>
      <c r="AT128" s="108"/>
      <c r="AU128" s="108"/>
      <c r="AY128" s="30" t="str">
        <f>IF(E128="","",IF(ISNA(VLOOKUP($E128,'D-1 Off-Site Habitat Baseline'!$D$1:$AV$258,4,FALSE)),"",(VLOOKUP($E128,'D-1 Off-Site Habitat Baseline'!$D$1:$AV$258,4,FALSE))))</f>
        <v/>
      </c>
    </row>
    <row r="129" spans="1:51" x14ac:dyDescent="0.25">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325" t="str">
        <f>'D-1 Off-Site Habitat Baseline'!AP128</f>
        <v/>
      </c>
      <c r="F129" s="289" t="str">
        <f>IF(E129="","",IF(ISNA(VLOOKUP($E129,'D-1 Off-Site Habitat Baseline'!$D$1:$ZZ$258,45,FALSE)),"",(VLOOKUP($E129,'D-1 Off-Site Habitat Baseline'!$D$1:$ZZ$258,45,FALSE))))</f>
        <v/>
      </c>
      <c r="G129" s="301" t="str">
        <f>IF(E129="","",IF(ISNA(VLOOKUP($E129,'D-1 Off-Site Habitat Baseline'!$D$1:$O$258,5,FALSE)),"",(VLOOKUP($E129,'D-1 Off-Site Habitat Baseline'!$D$1:$O$258,5,FALSE))))</f>
        <v/>
      </c>
      <c r="H129" s="301" t="str">
        <f>IF(E129="","",IF(ISNA(VLOOKUP($E129,'D-1 Off-Site Habitat Baseline'!$D$1:$O$258,6,FALSE)),"",(VLOOKUP($E129,'D-1 Off-Site Habitat Baseline'!$D$1:$O$258,6,FALSE))))</f>
        <v/>
      </c>
      <c r="I129" s="301" t="str">
        <f>IF(E129="","",IF(ISNA(VLOOKUP($E129,'D-1 Off-Site Habitat Baseline'!$D$1:$O$258,7,FALSE)),"",(VLOOKUP($E129,'D-1 Off-Site Habitat Baseline'!$D$1:$O$258,7,FALSE))))</f>
        <v/>
      </c>
      <c r="J129" s="301" t="str">
        <f>IF(E129="","",IF(ISNA(VLOOKUP($E129,'D-1 Off-Site Habitat Baseline'!$D$1:$O$258,8,FALSE)),"",(VLOOKUP($E129,'D-1 Off-Site Habitat Baseline'!$D$1:$O$258,8,FALSE))))</f>
        <v/>
      </c>
      <c r="K129" s="301" t="str">
        <f>IF(E129="","",IF(ISNA(VLOOKUP($E129,'D-1 Off-Site Habitat Baseline'!$D$1:$O$258,9,FALSE)),"",(VLOOKUP($E129,'D-1 Off-Site Habitat Baseline'!$D$1:$O$258,9,FALSE))))</f>
        <v/>
      </c>
      <c r="L129" s="301" t="str">
        <f>IF(E129="","",IF(ISNA(VLOOKUP($E129,'D-1 Off-Site Habitat Baseline'!$D$1:$O$258,11,FALSE)),"",(VLOOKUP($E129,'D-1 Off-Site Habitat Baseline'!$D$1:$O$258,11,FALSE))))</f>
        <v/>
      </c>
      <c r="M129" s="301" t="str">
        <f>IF(E129="","",IF(ISNA(VLOOKUP($E129,'D-1 Off-Site Habitat Baseline'!$D$1:$O$258,12,FALSE)),"",(VLOOKUP($E129,'D-1 Off-Site Habitat Baseline'!$D$1:$O$258,12,FALSE))))</f>
        <v/>
      </c>
      <c r="N129" s="301" t="str">
        <f>IF(E129="","",IF(ISNA(VLOOKUP($E129,'D-1 Off-Site Habitat Baseline'!$D$1:$AA$258,17,FALSE)),"",(VLOOKUP($E129,'D-1 Off-Site Habitat Baseline'!$D$1:$AA$258,17,FALSE))))</f>
        <v/>
      </c>
      <c r="O129" s="305" t="str">
        <f>IF(E129="","",IF(ISNA(VLOOKUP($E129,'D-1 Off-Site Habitat Baseline'!$D$1:$AA$258,13,FALSE)),"",(VLOOKUP($E129,'D-1 Off-Site Habitat Baseline'!$D$1:$AA$258,13,FALSE))))</f>
        <v/>
      </c>
      <c r="P129" s="152" t="str">
        <f>IFERROR(INDEX('G-1 All Habitats'!$AG$49:$AG$63,MATCH(Q129,'G-1 All Habitats'!$AF$27:$AF$41,0)),"")</f>
        <v/>
      </c>
      <c r="Q129" s="153"/>
      <c r="R129" s="154"/>
      <c r="S129" s="155" t="str">
        <f>IFERROR(INDEX('G-1 All Habitats'!$B$3:$B$135,MATCH(R129,'G-1 All Habitats'!$A$3:$A$135,0)),"")</f>
        <v/>
      </c>
      <c r="T129" s="289" t="str">
        <f t="shared" si="12"/>
        <v/>
      </c>
      <c r="U129" s="305" t="str">
        <f t="shared" si="13"/>
        <v/>
      </c>
      <c r="V129" s="304" t="str">
        <f t="shared" si="10"/>
        <v/>
      </c>
      <c r="W129" s="301" t="str">
        <f>IF(S129="","",VLOOKUP(S129,'G-1 All Habitats'!$B$2:$M$135,10,FALSE))</f>
        <v/>
      </c>
      <c r="X129" s="301" t="str">
        <f>IFERROR(VLOOKUP(W129,'G-1 All Habitats'!$V$3:$W$7,2,FALSE),"")</f>
        <v/>
      </c>
      <c r="Y129" s="142"/>
      <c r="Z129" s="305" t="str">
        <f>IFERROR(INDEX('G-8 Condition Look up'!$A$3:$H$135,MATCH(S129,'G-8 Condition Look up'!$A$3:$A$135,0),MATCH(Y129,'G-8 Condition Look up'!$A$3:$H$3,0)),"")</f>
        <v/>
      </c>
      <c r="AA129" s="105"/>
      <c r="AB129" s="320" t="str">
        <f>IF(AA129="","",IF(VLOOKUP(AA129,'G-3 Multipliers'!$L$3:$N$6,2,FALSE)=0,"Spatial Data Missing ⚠",VLOOKUP(AA129,'G-3 Multipliers'!$L$3:$N$6,2,FALSE)))</f>
        <v/>
      </c>
      <c r="AC129" s="305" t="str">
        <f>IF(AA129="","",IF(VLOOKUP(AA129,'G-3 Multipliers'!$L$3:$N$6,3,FALSE)=0,"Spatial Data Missing ⚠",VLOOKUP(AA129,'G-3 Multipliers'!$L$3:$N$6,3,FALSE)))</f>
        <v/>
      </c>
      <c r="AD129" s="317" t="str">
        <f t="shared" si="11"/>
        <v/>
      </c>
      <c r="AE129" s="142"/>
      <c r="AF129" s="142"/>
      <c r="AG129" s="301" t="str">
        <f t="shared" si="14"/>
        <v/>
      </c>
      <c r="AH129" s="302" t="str">
        <f t="shared" si="15"/>
        <v/>
      </c>
      <c r="AI129" s="306" t="str">
        <f>IF(AH129="Check Data ⚠","Check Data ⚠",IFERROR(VLOOKUP(AH129,'G-4 Temporal multipliers'!$A$4:$C$36,3,FALSE),""))</f>
        <v/>
      </c>
      <c r="AJ129" s="317" t="str">
        <f>IF(S129="","",VLOOKUP(S129,'G-3 Multipliers'!$A$2:$E$134,4,FALSE))</f>
        <v/>
      </c>
      <c r="AK129" s="301" t="str">
        <f t="shared" si="16"/>
        <v/>
      </c>
      <c r="AL129" s="301" t="str">
        <f t="shared" si="17"/>
        <v/>
      </c>
      <c r="AM129" s="305" t="str">
        <f>IFERROR(IF(F129="","",IF(AH129="Check Data ⚠","Check Data ⚠",VLOOKUP(AL129, 'G-3 Multipliers'!$P$2:$Q$6,2,FALSE))),"")</f>
        <v/>
      </c>
      <c r="AN129" s="728"/>
      <c r="AO129" s="335" t="str">
        <f>IF(AN129="","",IF(VLOOKUP(AN129,'G-3 Multipliers'!$S$3:$T$10,2,FALSE)=0,"Spatial Data Missing ⚠",VLOOKUP(AN129,'G-3 Multipliers'!$S$3:$T$10,2,FALSE)))</f>
        <v/>
      </c>
      <c r="AP129" s="295" t="str">
        <f t="shared" si="18"/>
        <v/>
      </c>
      <c r="AQ129" s="295" t="str">
        <f t="shared" si="19"/>
        <v/>
      </c>
      <c r="AR129" s="109"/>
      <c r="AS129" s="142"/>
      <c r="AT129" s="108"/>
      <c r="AU129" s="108"/>
      <c r="AY129" s="30" t="str">
        <f>IF(E129="","",IF(ISNA(VLOOKUP($E129,'D-1 Off-Site Habitat Baseline'!$D$1:$AV$258,4,FALSE)),"",(VLOOKUP($E129,'D-1 Off-Site Habitat Baseline'!$D$1:$AV$258,4,FALSE))))</f>
        <v/>
      </c>
    </row>
    <row r="130" spans="1:51" x14ac:dyDescent="0.25">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325" t="str">
        <f>'D-1 Off-Site Habitat Baseline'!AP129</f>
        <v/>
      </c>
      <c r="F130" s="289" t="str">
        <f>IF(E130="","",IF(ISNA(VLOOKUP($E130,'D-1 Off-Site Habitat Baseline'!$D$1:$ZZ$258,45,FALSE)),"",(VLOOKUP($E130,'D-1 Off-Site Habitat Baseline'!$D$1:$ZZ$258,45,FALSE))))</f>
        <v/>
      </c>
      <c r="G130" s="301" t="str">
        <f>IF(E130="","",IF(ISNA(VLOOKUP($E130,'D-1 Off-Site Habitat Baseline'!$D$1:$O$258,5,FALSE)),"",(VLOOKUP($E130,'D-1 Off-Site Habitat Baseline'!$D$1:$O$258,5,FALSE))))</f>
        <v/>
      </c>
      <c r="H130" s="301" t="str">
        <f>IF(E130="","",IF(ISNA(VLOOKUP($E130,'D-1 Off-Site Habitat Baseline'!$D$1:$O$258,6,FALSE)),"",(VLOOKUP($E130,'D-1 Off-Site Habitat Baseline'!$D$1:$O$258,6,FALSE))))</f>
        <v/>
      </c>
      <c r="I130" s="301" t="str">
        <f>IF(E130="","",IF(ISNA(VLOOKUP($E130,'D-1 Off-Site Habitat Baseline'!$D$1:$O$258,7,FALSE)),"",(VLOOKUP($E130,'D-1 Off-Site Habitat Baseline'!$D$1:$O$258,7,FALSE))))</f>
        <v/>
      </c>
      <c r="J130" s="301" t="str">
        <f>IF(E130="","",IF(ISNA(VLOOKUP($E130,'D-1 Off-Site Habitat Baseline'!$D$1:$O$258,8,FALSE)),"",(VLOOKUP($E130,'D-1 Off-Site Habitat Baseline'!$D$1:$O$258,8,FALSE))))</f>
        <v/>
      </c>
      <c r="K130" s="301" t="str">
        <f>IF(E130="","",IF(ISNA(VLOOKUP($E130,'D-1 Off-Site Habitat Baseline'!$D$1:$O$258,9,FALSE)),"",(VLOOKUP($E130,'D-1 Off-Site Habitat Baseline'!$D$1:$O$258,9,FALSE))))</f>
        <v/>
      </c>
      <c r="L130" s="301" t="str">
        <f>IF(E130="","",IF(ISNA(VLOOKUP($E130,'D-1 Off-Site Habitat Baseline'!$D$1:$O$258,11,FALSE)),"",(VLOOKUP($E130,'D-1 Off-Site Habitat Baseline'!$D$1:$O$258,11,FALSE))))</f>
        <v/>
      </c>
      <c r="M130" s="301" t="str">
        <f>IF(E130="","",IF(ISNA(VLOOKUP($E130,'D-1 Off-Site Habitat Baseline'!$D$1:$O$258,12,FALSE)),"",(VLOOKUP($E130,'D-1 Off-Site Habitat Baseline'!$D$1:$O$258,12,FALSE))))</f>
        <v/>
      </c>
      <c r="N130" s="301" t="str">
        <f>IF(E130="","",IF(ISNA(VLOOKUP($E130,'D-1 Off-Site Habitat Baseline'!$D$1:$AA$258,17,FALSE)),"",(VLOOKUP($E130,'D-1 Off-Site Habitat Baseline'!$D$1:$AA$258,17,FALSE))))</f>
        <v/>
      </c>
      <c r="O130" s="305" t="str">
        <f>IF(E130="","",IF(ISNA(VLOOKUP($E130,'D-1 Off-Site Habitat Baseline'!$D$1:$AA$258,13,FALSE)),"",(VLOOKUP($E130,'D-1 Off-Site Habitat Baseline'!$D$1:$AA$258,13,FALSE))))</f>
        <v/>
      </c>
      <c r="P130" s="152" t="str">
        <f>IFERROR(INDEX('G-1 All Habitats'!$AG$49:$AG$63,MATCH(Q130,'G-1 All Habitats'!$AF$27:$AF$41,0)),"")</f>
        <v/>
      </c>
      <c r="Q130" s="153"/>
      <c r="R130" s="154"/>
      <c r="S130" s="155" t="str">
        <f>IFERROR(INDEX('G-1 All Habitats'!$B$3:$B$135,MATCH(R130,'G-1 All Habitats'!$A$3:$A$135,0)),"")</f>
        <v/>
      </c>
      <c r="T130" s="289" t="str">
        <f t="shared" si="12"/>
        <v/>
      </c>
      <c r="U130" s="305" t="str">
        <f t="shared" si="13"/>
        <v/>
      </c>
      <c r="V130" s="304" t="str">
        <f t="shared" si="10"/>
        <v/>
      </c>
      <c r="W130" s="301" t="str">
        <f>IF(S130="","",VLOOKUP(S130,'G-1 All Habitats'!$B$2:$M$135,10,FALSE))</f>
        <v/>
      </c>
      <c r="X130" s="301" t="str">
        <f>IFERROR(VLOOKUP(W130,'G-1 All Habitats'!$V$3:$W$7,2,FALSE),"")</f>
        <v/>
      </c>
      <c r="Y130" s="142"/>
      <c r="Z130" s="305" t="str">
        <f>IFERROR(INDEX('G-8 Condition Look up'!$A$3:$H$135,MATCH(S130,'G-8 Condition Look up'!$A$3:$A$135,0),MATCH(Y130,'G-8 Condition Look up'!$A$3:$H$3,0)),"")</f>
        <v/>
      </c>
      <c r="AA130" s="105"/>
      <c r="AB130" s="320" t="str">
        <f>IF(AA130="","",IF(VLOOKUP(AA130,'G-3 Multipliers'!$L$3:$N$6,2,FALSE)=0,"Spatial Data Missing ⚠",VLOOKUP(AA130,'G-3 Multipliers'!$L$3:$N$6,2,FALSE)))</f>
        <v/>
      </c>
      <c r="AC130" s="305" t="str">
        <f>IF(AA130="","",IF(VLOOKUP(AA130,'G-3 Multipliers'!$L$3:$N$6,3,FALSE)=0,"Spatial Data Missing ⚠",VLOOKUP(AA130,'G-3 Multipliers'!$L$3:$N$6,3,FALSE)))</f>
        <v/>
      </c>
      <c r="AD130" s="317" t="str">
        <f t="shared" si="11"/>
        <v/>
      </c>
      <c r="AE130" s="142"/>
      <c r="AF130" s="142"/>
      <c r="AG130" s="301" t="str">
        <f t="shared" si="14"/>
        <v/>
      </c>
      <c r="AH130" s="302" t="str">
        <f t="shared" si="15"/>
        <v/>
      </c>
      <c r="AI130" s="306" t="str">
        <f>IF(AH130="Check Data ⚠","Check Data ⚠",IFERROR(VLOOKUP(AH130,'G-4 Temporal multipliers'!$A$4:$C$36,3,FALSE),""))</f>
        <v/>
      </c>
      <c r="AJ130" s="317" t="str">
        <f>IF(S130="","",VLOOKUP(S130,'G-3 Multipliers'!$A$2:$E$134,4,FALSE))</f>
        <v/>
      </c>
      <c r="AK130" s="301" t="str">
        <f t="shared" si="16"/>
        <v/>
      </c>
      <c r="AL130" s="301" t="str">
        <f t="shared" si="17"/>
        <v/>
      </c>
      <c r="AM130" s="305" t="str">
        <f>IFERROR(IF(F130="","",IF(AH130="Check Data ⚠","Check Data ⚠",VLOOKUP(AL130, 'G-3 Multipliers'!$P$2:$Q$6,2,FALSE))),"")</f>
        <v/>
      </c>
      <c r="AN130" s="728"/>
      <c r="AO130" s="335" t="str">
        <f>IF(AN130="","",IF(VLOOKUP(AN130,'G-3 Multipliers'!$S$3:$T$10,2,FALSE)=0,"Spatial Data Missing ⚠",VLOOKUP(AN130,'G-3 Multipliers'!$S$3:$T$10,2,FALSE)))</f>
        <v/>
      </c>
      <c r="AP130" s="295" t="str">
        <f t="shared" si="18"/>
        <v/>
      </c>
      <c r="AQ130" s="295" t="str">
        <f t="shared" si="19"/>
        <v/>
      </c>
      <c r="AR130" s="109"/>
      <c r="AS130" s="142"/>
      <c r="AT130" s="108"/>
      <c r="AU130" s="108"/>
      <c r="AY130" s="30" t="str">
        <f>IF(E130="","",IF(ISNA(VLOOKUP($E130,'D-1 Off-Site Habitat Baseline'!$D$1:$AV$258,4,FALSE)),"",(VLOOKUP($E130,'D-1 Off-Site Habitat Baseline'!$D$1:$AV$258,4,FALSE))))</f>
        <v/>
      </c>
    </row>
    <row r="131" spans="1:51" x14ac:dyDescent="0.25">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325" t="str">
        <f>'D-1 Off-Site Habitat Baseline'!AP130</f>
        <v/>
      </c>
      <c r="F131" s="289" t="str">
        <f>IF(E131="","",IF(ISNA(VLOOKUP($E131,'D-1 Off-Site Habitat Baseline'!$D$1:$ZZ$258,45,FALSE)),"",(VLOOKUP($E131,'D-1 Off-Site Habitat Baseline'!$D$1:$ZZ$258,45,FALSE))))</f>
        <v/>
      </c>
      <c r="G131" s="301" t="str">
        <f>IF(E131="","",IF(ISNA(VLOOKUP($E131,'D-1 Off-Site Habitat Baseline'!$D$1:$O$258,5,FALSE)),"",(VLOOKUP($E131,'D-1 Off-Site Habitat Baseline'!$D$1:$O$258,5,FALSE))))</f>
        <v/>
      </c>
      <c r="H131" s="301" t="str">
        <f>IF(E131="","",IF(ISNA(VLOOKUP($E131,'D-1 Off-Site Habitat Baseline'!$D$1:$O$258,6,FALSE)),"",(VLOOKUP($E131,'D-1 Off-Site Habitat Baseline'!$D$1:$O$258,6,FALSE))))</f>
        <v/>
      </c>
      <c r="I131" s="301" t="str">
        <f>IF(E131="","",IF(ISNA(VLOOKUP($E131,'D-1 Off-Site Habitat Baseline'!$D$1:$O$258,7,FALSE)),"",(VLOOKUP($E131,'D-1 Off-Site Habitat Baseline'!$D$1:$O$258,7,FALSE))))</f>
        <v/>
      </c>
      <c r="J131" s="301" t="str">
        <f>IF(E131="","",IF(ISNA(VLOOKUP($E131,'D-1 Off-Site Habitat Baseline'!$D$1:$O$258,8,FALSE)),"",(VLOOKUP($E131,'D-1 Off-Site Habitat Baseline'!$D$1:$O$258,8,FALSE))))</f>
        <v/>
      </c>
      <c r="K131" s="301" t="str">
        <f>IF(E131="","",IF(ISNA(VLOOKUP($E131,'D-1 Off-Site Habitat Baseline'!$D$1:$O$258,9,FALSE)),"",(VLOOKUP($E131,'D-1 Off-Site Habitat Baseline'!$D$1:$O$258,9,FALSE))))</f>
        <v/>
      </c>
      <c r="L131" s="301" t="str">
        <f>IF(E131="","",IF(ISNA(VLOOKUP($E131,'D-1 Off-Site Habitat Baseline'!$D$1:$O$258,11,FALSE)),"",(VLOOKUP($E131,'D-1 Off-Site Habitat Baseline'!$D$1:$O$258,11,FALSE))))</f>
        <v/>
      </c>
      <c r="M131" s="301" t="str">
        <f>IF(E131="","",IF(ISNA(VLOOKUP($E131,'D-1 Off-Site Habitat Baseline'!$D$1:$O$258,12,FALSE)),"",(VLOOKUP($E131,'D-1 Off-Site Habitat Baseline'!$D$1:$O$258,12,FALSE))))</f>
        <v/>
      </c>
      <c r="N131" s="301" t="str">
        <f>IF(E131="","",IF(ISNA(VLOOKUP($E131,'D-1 Off-Site Habitat Baseline'!$D$1:$AA$258,17,FALSE)),"",(VLOOKUP($E131,'D-1 Off-Site Habitat Baseline'!$D$1:$AA$258,17,FALSE))))</f>
        <v/>
      </c>
      <c r="O131" s="305" t="str">
        <f>IF(E131="","",IF(ISNA(VLOOKUP($E131,'D-1 Off-Site Habitat Baseline'!$D$1:$AA$258,13,FALSE)),"",(VLOOKUP($E131,'D-1 Off-Site Habitat Baseline'!$D$1:$AA$258,13,FALSE))))</f>
        <v/>
      </c>
      <c r="P131" s="152" t="str">
        <f>IFERROR(INDEX('G-1 All Habitats'!$AG$49:$AG$63,MATCH(Q131,'G-1 All Habitats'!$AF$27:$AF$41,0)),"")</f>
        <v/>
      </c>
      <c r="Q131" s="153"/>
      <c r="R131" s="154"/>
      <c r="S131" s="155" t="str">
        <f>IFERROR(INDEX('G-1 All Habitats'!$B$3:$B$135,MATCH(R131,'G-1 All Habitats'!$A$3:$A$135,0)),"")</f>
        <v/>
      </c>
      <c r="T131" s="289" t="str">
        <f t="shared" si="12"/>
        <v/>
      </c>
      <c r="U131" s="305" t="str">
        <f t="shared" si="13"/>
        <v/>
      </c>
      <c r="V131" s="304" t="str">
        <f t="shared" si="10"/>
        <v/>
      </c>
      <c r="W131" s="301" t="str">
        <f>IF(S131="","",VLOOKUP(S131,'G-1 All Habitats'!$B$2:$M$135,10,FALSE))</f>
        <v/>
      </c>
      <c r="X131" s="301" t="str">
        <f>IFERROR(VLOOKUP(W131,'G-1 All Habitats'!$V$3:$W$7,2,FALSE),"")</f>
        <v/>
      </c>
      <c r="Y131" s="142"/>
      <c r="Z131" s="305" t="str">
        <f>IFERROR(INDEX('G-8 Condition Look up'!$A$3:$H$135,MATCH(S131,'G-8 Condition Look up'!$A$3:$A$135,0),MATCH(Y131,'G-8 Condition Look up'!$A$3:$H$3,0)),"")</f>
        <v/>
      </c>
      <c r="AA131" s="105"/>
      <c r="AB131" s="320" t="str">
        <f>IF(AA131="","",IF(VLOOKUP(AA131,'G-3 Multipliers'!$L$3:$N$6,2,FALSE)=0,"Spatial Data Missing ⚠",VLOOKUP(AA131,'G-3 Multipliers'!$L$3:$N$6,2,FALSE)))</f>
        <v/>
      </c>
      <c r="AC131" s="305" t="str">
        <f>IF(AA131="","",IF(VLOOKUP(AA131,'G-3 Multipliers'!$L$3:$N$6,3,FALSE)=0,"Spatial Data Missing ⚠",VLOOKUP(AA131,'G-3 Multipliers'!$L$3:$N$6,3,FALSE)))</f>
        <v/>
      </c>
      <c r="AD131" s="317" t="str">
        <f t="shared" si="11"/>
        <v/>
      </c>
      <c r="AE131" s="142"/>
      <c r="AF131" s="142"/>
      <c r="AG131" s="301" t="str">
        <f t="shared" si="14"/>
        <v/>
      </c>
      <c r="AH131" s="302" t="str">
        <f t="shared" si="15"/>
        <v/>
      </c>
      <c r="AI131" s="306" t="str">
        <f>IF(AH131="Check Data ⚠","Check Data ⚠",IFERROR(VLOOKUP(AH131,'G-4 Temporal multipliers'!$A$4:$C$36,3,FALSE),""))</f>
        <v/>
      </c>
      <c r="AJ131" s="317" t="str">
        <f>IF(S131="","",VLOOKUP(S131,'G-3 Multipliers'!$A$2:$E$134,4,FALSE))</f>
        <v/>
      </c>
      <c r="AK131" s="301" t="str">
        <f t="shared" si="16"/>
        <v/>
      </c>
      <c r="AL131" s="301" t="str">
        <f t="shared" si="17"/>
        <v/>
      </c>
      <c r="AM131" s="305" t="str">
        <f>IFERROR(IF(F131="","",IF(AH131="Check Data ⚠","Check Data ⚠",VLOOKUP(AL131, 'G-3 Multipliers'!$P$2:$Q$6,2,FALSE))),"")</f>
        <v/>
      </c>
      <c r="AN131" s="728"/>
      <c r="AO131" s="335" t="str">
        <f>IF(AN131="","",IF(VLOOKUP(AN131,'G-3 Multipliers'!$S$3:$T$10,2,FALSE)=0,"Spatial Data Missing ⚠",VLOOKUP(AN131,'G-3 Multipliers'!$S$3:$T$10,2,FALSE)))</f>
        <v/>
      </c>
      <c r="AP131" s="295" t="str">
        <f t="shared" si="18"/>
        <v/>
      </c>
      <c r="AQ131" s="295" t="str">
        <f t="shared" si="19"/>
        <v/>
      </c>
      <c r="AR131" s="109"/>
      <c r="AS131" s="142"/>
      <c r="AT131" s="108"/>
      <c r="AU131" s="108"/>
      <c r="AY131" s="30" t="str">
        <f>IF(E131="","",IF(ISNA(VLOOKUP($E131,'D-1 Off-Site Habitat Baseline'!$D$1:$AV$258,4,FALSE)),"",(VLOOKUP($E131,'D-1 Off-Site Habitat Baseline'!$D$1:$AV$258,4,FALSE))))</f>
        <v/>
      </c>
    </row>
    <row r="132" spans="1:51" x14ac:dyDescent="0.25">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325" t="str">
        <f>'D-1 Off-Site Habitat Baseline'!AP131</f>
        <v/>
      </c>
      <c r="F132" s="289" t="str">
        <f>IF(E132="","",IF(ISNA(VLOOKUP($E132,'D-1 Off-Site Habitat Baseline'!$D$1:$ZZ$258,45,FALSE)),"",(VLOOKUP($E132,'D-1 Off-Site Habitat Baseline'!$D$1:$ZZ$258,45,FALSE))))</f>
        <v/>
      </c>
      <c r="G132" s="301" t="str">
        <f>IF(E132="","",IF(ISNA(VLOOKUP($E132,'D-1 Off-Site Habitat Baseline'!$D$1:$O$258,5,FALSE)),"",(VLOOKUP($E132,'D-1 Off-Site Habitat Baseline'!$D$1:$O$258,5,FALSE))))</f>
        <v/>
      </c>
      <c r="H132" s="301" t="str">
        <f>IF(E132="","",IF(ISNA(VLOOKUP($E132,'D-1 Off-Site Habitat Baseline'!$D$1:$O$258,6,FALSE)),"",(VLOOKUP($E132,'D-1 Off-Site Habitat Baseline'!$D$1:$O$258,6,FALSE))))</f>
        <v/>
      </c>
      <c r="I132" s="301" t="str">
        <f>IF(E132="","",IF(ISNA(VLOOKUP($E132,'D-1 Off-Site Habitat Baseline'!$D$1:$O$258,7,FALSE)),"",(VLOOKUP($E132,'D-1 Off-Site Habitat Baseline'!$D$1:$O$258,7,FALSE))))</f>
        <v/>
      </c>
      <c r="J132" s="301" t="str">
        <f>IF(E132="","",IF(ISNA(VLOOKUP($E132,'D-1 Off-Site Habitat Baseline'!$D$1:$O$258,8,FALSE)),"",(VLOOKUP($E132,'D-1 Off-Site Habitat Baseline'!$D$1:$O$258,8,FALSE))))</f>
        <v/>
      </c>
      <c r="K132" s="301" t="str">
        <f>IF(E132="","",IF(ISNA(VLOOKUP($E132,'D-1 Off-Site Habitat Baseline'!$D$1:$O$258,9,FALSE)),"",(VLOOKUP($E132,'D-1 Off-Site Habitat Baseline'!$D$1:$O$258,9,FALSE))))</f>
        <v/>
      </c>
      <c r="L132" s="301" t="str">
        <f>IF(E132="","",IF(ISNA(VLOOKUP($E132,'D-1 Off-Site Habitat Baseline'!$D$1:$O$258,11,FALSE)),"",(VLOOKUP($E132,'D-1 Off-Site Habitat Baseline'!$D$1:$O$258,11,FALSE))))</f>
        <v/>
      </c>
      <c r="M132" s="301" t="str">
        <f>IF(E132="","",IF(ISNA(VLOOKUP($E132,'D-1 Off-Site Habitat Baseline'!$D$1:$O$258,12,FALSE)),"",(VLOOKUP($E132,'D-1 Off-Site Habitat Baseline'!$D$1:$O$258,12,FALSE))))</f>
        <v/>
      </c>
      <c r="N132" s="301" t="str">
        <f>IF(E132="","",IF(ISNA(VLOOKUP($E132,'D-1 Off-Site Habitat Baseline'!$D$1:$AA$258,17,FALSE)),"",(VLOOKUP($E132,'D-1 Off-Site Habitat Baseline'!$D$1:$AA$258,17,FALSE))))</f>
        <v/>
      </c>
      <c r="O132" s="305" t="str">
        <f>IF(E132="","",IF(ISNA(VLOOKUP($E132,'D-1 Off-Site Habitat Baseline'!$D$1:$AA$258,13,FALSE)),"",(VLOOKUP($E132,'D-1 Off-Site Habitat Baseline'!$D$1:$AA$258,13,FALSE))))</f>
        <v/>
      </c>
      <c r="P132" s="152" t="str">
        <f>IFERROR(INDEX('G-1 All Habitats'!$AG$49:$AG$63,MATCH(Q132,'G-1 All Habitats'!$AF$27:$AF$41,0)),"")</f>
        <v/>
      </c>
      <c r="Q132" s="153"/>
      <c r="R132" s="154"/>
      <c r="S132" s="155" t="str">
        <f>IFERROR(INDEX('G-1 All Habitats'!$B$3:$B$135,MATCH(R132,'G-1 All Habitats'!$A$3:$A$135,0)),"")</f>
        <v/>
      </c>
      <c r="T132" s="289" t="str">
        <f t="shared" si="12"/>
        <v/>
      </c>
      <c r="U132" s="305" t="str">
        <f t="shared" si="13"/>
        <v/>
      </c>
      <c r="V132" s="304" t="str">
        <f t="shared" si="10"/>
        <v/>
      </c>
      <c r="W132" s="301" t="str">
        <f>IF(S132="","",VLOOKUP(S132,'G-1 All Habitats'!$B$2:$M$135,10,FALSE))</f>
        <v/>
      </c>
      <c r="X132" s="301" t="str">
        <f>IFERROR(VLOOKUP(W132,'G-1 All Habitats'!$V$3:$W$7,2,FALSE),"")</f>
        <v/>
      </c>
      <c r="Y132" s="142"/>
      <c r="Z132" s="305" t="str">
        <f>IFERROR(INDEX('G-8 Condition Look up'!$A$3:$H$135,MATCH(S132,'G-8 Condition Look up'!$A$3:$A$135,0),MATCH(Y132,'G-8 Condition Look up'!$A$3:$H$3,0)),"")</f>
        <v/>
      </c>
      <c r="AA132" s="105"/>
      <c r="AB132" s="320" t="str">
        <f>IF(AA132="","",IF(VLOOKUP(AA132,'G-3 Multipliers'!$L$3:$N$6,2,FALSE)=0,"Spatial Data Missing ⚠",VLOOKUP(AA132,'G-3 Multipliers'!$L$3:$N$6,2,FALSE)))</f>
        <v/>
      </c>
      <c r="AC132" s="305" t="str">
        <f>IF(AA132="","",IF(VLOOKUP(AA132,'G-3 Multipliers'!$L$3:$N$6,3,FALSE)=0,"Spatial Data Missing ⚠",VLOOKUP(AA132,'G-3 Multipliers'!$L$3:$N$6,3,FALSE)))</f>
        <v/>
      </c>
      <c r="AD132" s="317" t="str">
        <f t="shared" si="11"/>
        <v/>
      </c>
      <c r="AE132" s="142"/>
      <c r="AF132" s="142"/>
      <c r="AG132" s="301" t="str">
        <f t="shared" si="14"/>
        <v/>
      </c>
      <c r="AH132" s="302" t="str">
        <f t="shared" si="15"/>
        <v/>
      </c>
      <c r="AI132" s="306" t="str">
        <f>IF(AH132="Check Data ⚠","Check Data ⚠",IFERROR(VLOOKUP(AH132,'G-4 Temporal multipliers'!$A$4:$C$36,3,FALSE),""))</f>
        <v/>
      </c>
      <c r="AJ132" s="317" t="str">
        <f>IF(S132="","",VLOOKUP(S132,'G-3 Multipliers'!$A$2:$E$134,4,FALSE))</f>
        <v/>
      </c>
      <c r="AK132" s="301" t="str">
        <f t="shared" si="16"/>
        <v/>
      </c>
      <c r="AL132" s="301" t="str">
        <f t="shared" si="17"/>
        <v/>
      </c>
      <c r="AM132" s="305" t="str">
        <f>IFERROR(IF(F132="","",IF(AH132="Check Data ⚠","Check Data ⚠",VLOOKUP(AL132, 'G-3 Multipliers'!$P$2:$Q$6,2,FALSE))),"")</f>
        <v/>
      </c>
      <c r="AN132" s="728"/>
      <c r="AO132" s="335" t="str">
        <f>IF(AN132="","",IF(VLOOKUP(AN132,'G-3 Multipliers'!$S$3:$T$10,2,FALSE)=0,"Spatial Data Missing ⚠",VLOOKUP(AN132,'G-3 Multipliers'!$S$3:$T$10,2,FALSE)))</f>
        <v/>
      </c>
      <c r="AP132" s="295" t="str">
        <f t="shared" si="18"/>
        <v/>
      </c>
      <c r="AQ132" s="295" t="str">
        <f t="shared" si="19"/>
        <v/>
      </c>
      <c r="AR132" s="109"/>
      <c r="AS132" s="142"/>
      <c r="AT132" s="108"/>
      <c r="AU132" s="108"/>
      <c r="AY132" s="30" t="str">
        <f>IF(E132="","",IF(ISNA(VLOOKUP($E132,'D-1 Off-Site Habitat Baseline'!$D$1:$AV$258,4,FALSE)),"",(VLOOKUP($E132,'D-1 Off-Site Habitat Baseline'!$D$1:$AV$258,4,FALSE))))</f>
        <v/>
      </c>
    </row>
    <row r="133" spans="1:51" x14ac:dyDescent="0.25">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325" t="str">
        <f>'D-1 Off-Site Habitat Baseline'!AP132</f>
        <v/>
      </c>
      <c r="F133" s="289" t="str">
        <f>IF(E133="","",IF(ISNA(VLOOKUP($E133,'D-1 Off-Site Habitat Baseline'!$D$1:$ZZ$258,45,FALSE)),"",(VLOOKUP($E133,'D-1 Off-Site Habitat Baseline'!$D$1:$ZZ$258,45,FALSE))))</f>
        <v/>
      </c>
      <c r="G133" s="301" t="str">
        <f>IF(E133="","",IF(ISNA(VLOOKUP($E133,'D-1 Off-Site Habitat Baseline'!$D$1:$O$258,5,FALSE)),"",(VLOOKUP($E133,'D-1 Off-Site Habitat Baseline'!$D$1:$O$258,5,FALSE))))</f>
        <v/>
      </c>
      <c r="H133" s="301" t="str">
        <f>IF(E133="","",IF(ISNA(VLOOKUP($E133,'D-1 Off-Site Habitat Baseline'!$D$1:$O$258,6,FALSE)),"",(VLOOKUP($E133,'D-1 Off-Site Habitat Baseline'!$D$1:$O$258,6,FALSE))))</f>
        <v/>
      </c>
      <c r="I133" s="301" t="str">
        <f>IF(E133="","",IF(ISNA(VLOOKUP($E133,'D-1 Off-Site Habitat Baseline'!$D$1:$O$258,7,FALSE)),"",(VLOOKUP($E133,'D-1 Off-Site Habitat Baseline'!$D$1:$O$258,7,FALSE))))</f>
        <v/>
      </c>
      <c r="J133" s="301" t="str">
        <f>IF(E133="","",IF(ISNA(VLOOKUP($E133,'D-1 Off-Site Habitat Baseline'!$D$1:$O$258,8,FALSE)),"",(VLOOKUP($E133,'D-1 Off-Site Habitat Baseline'!$D$1:$O$258,8,FALSE))))</f>
        <v/>
      </c>
      <c r="K133" s="301" t="str">
        <f>IF(E133="","",IF(ISNA(VLOOKUP($E133,'D-1 Off-Site Habitat Baseline'!$D$1:$O$258,9,FALSE)),"",(VLOOKUP($E133,'D-1 Off-Site Habitat Baseline'!$D$1:$O$258,9,FALSE))))</f>
        <v/>
      </c>
      <c r="L133" s="301" t="str">
        <f>IF(E133="","",IF(ISNA(VLOOKUP($E133,'D-1 Off-Site Habitat Baseline'!$D$1:$O$258,11,FALSE)),"",(VLOOKUP($E133,'D-1 Off-Site Habitat Baseline'!$D$1:$O$258,11,FALSE))))</f>
        <v/>
      </c>
      <c r="M133" s="301" t="str">
        <f>IF(E133="","",IF(ISNA(VLOOKUP($E133,'D-1 Off-Site Habitat Baseline'!$D$1:$O$258,12,FALSE)),"",(VLOOKUP($E133,'D-1 Off-Site Habitat Baseline'!$D$1:$O$258,12,FALSE))))</f>
        <v/>
      </c>
      <c r="N133" s="301" t="str">
        <f>IF(E133="","",IF(ISNA(VLOOKUP($E133,'D-1 Off-Site Habitat Baseline'!$D$1:$AA$258,17,FALSE)),"",(VLOOKUP($E133,'D-1 Off-Site Habitat Baseline'!$D$1:$AA$258,17,FALSE))))</f>
        <v/>
      </c>
      <c r="O133" s="305" t="str">
        <f>IF(E133="","",IF(ISNA(VLOOKUP($E133,'D-1 Off-Site Habitat Baseline'!$D$1:$AA$258,13,FALSE)),"",(VLOOKUP($E133,'D-1 Off-Site Habitat Baseline'!$D$1:$AA$258,13,FALSE))))</f>
        <v/>
      </c>
      <c r="P133" s="152" t="str">
        <f>IFERROR(INDEX('G-1 All Habitats'!$AG$49:$AG$63,MATCH(Q133,'G-1 All Habitats'!$AF$27:$AF$41,0)),"")</f>
        <v/>
      </c>
      <c r="Q133" s="153"/>
      <c r="R133" s="154"/>
      <c r="S133" s="155" t="str">
        <f>IFERROR(INDEX('G-1 All Habitats'!$B$3:$B$135,MATCH(R133,'G-1 All Habitats'!$A$3:$A$135,0)),"")</f>
        <v/>
      </c>
      <c r="T133" s="289" t="str">
        <f t="shared" si="12"/>
        <v/>
      </c>
      <c r="U133" s="305" t="str">
        <f t="shared" si="13"/>
        <v/>
      </c>
      <c r="V133" s="304" t="str">
        <f t="shared" si="10"/>
        <v/>
      </c>
      <c r="W133" s="301" t="str">
        <f>IF(S133="","",VLOOKUP(S133,'G-1 All Habitats'!$B$2:$M$135,10,FALSE))</f>
        <v/>
      </c>
      <c r="X133" s="301" t="str">
        <f>IFERROR(VLOOKUP(W133,'G-1 All Habitats'!$V$3:$W$7,2,FALSE),"")</f>
        <v/>
      </c>
      <c r="Y133" s="142"/>
      <c r="Z133" s="305" t="str">
        <f>IFERROR(INDEX('G-8 Condition Look up'!$A$3:$H$135,MATCH(S133,'G-8 Condition Look up'!$A$3:$A$135,0),MATCH(Y133,'G-8 Condition Look up'!$A$3:$H$3,0)),"")</f>
        <v/>
      </c>
      <c r="AA133" s="105"/>
      <c r="AB133" s="320" t="str">
        <f>IF(AA133="","",IF(VLOOKUP(AA133,'G-3 Multipliers'!$L$3:$N$6,2,FALSE)=0,"Spatial Data Missing ⚠",VLOOKUP(AA133,'G-3 Multipliers'!$L$3:$N$6,2,FALSE)))</f>
        <v/>
      </c>
      <c r="AC133" s="305" t="str">
        <f>IF(AA133="","",IF(VLOOKUP(AA133,'G-3 Multipliers'!$L$3:$N$6,3,FALSE)=0,"Spatial Data Missing ⚠",VLOOKUP(AA133,'G-3 Multipliers'!$L$3:$N$6,3,FALSE)))</f>
        <v/>
      </c>
      <c r="AD133" s="317" t="str">
        <f t="shared" si="11"/>
        <v/>
      </c>
      <c r="AE133" s="142"/>
      <c r="AF133" s="142"/>
      <c r="AG133" s="301" t="str">
        <f t="shared" si="14"/>
        <v/>
      </c>
      <c r="AH133" s="302" t="str">
        <f t="shared" si="15"/>
        <v/>
      </c>
      <c r="AI133" s="306" t="str">
        <f>IF(AH133="Check Data ⚠","Check Data ⚠",IFERROR(VLOOKUP(AH133,'G-4 Temporal multipliers'!$A$4:$C$36,3,FALSE),""))</f>
        <v/>
      </c>
      <c r="AJ133" s="317" t="str">
        <f>IF(S133="","",VLOOKUP(S133,'G-3 Multipliers'!$A$2:$E$134,4,FALSE))</f>
        <v/>
      </c>
      <c r="AK133" s="301" t="str">
        <f t="shared" si="16"/>
        <v/>
      </c>
      <c r="AL133" s="301" t="str">
        <f t="shared" si="17"/>
        <v/>
      </c>
      <c r="AM133" s="305" t="str">
        <f>IFERROR(IF(F133="","",IF(AH133="Check Data ⚠","Check Data ⚠",VLOOKUP(AL133, 'G-3 Multipliers'!$P$2:$Q$6,2,FALSE))),"")</f>
        <v/>
      </c>
      <c r="AN133" s="728"/>
      <c r="AO133" s="335" t="str">
        <f>IF(AN133="","",IF(VLOOKUP(AN133,'G-3 Multipliers'!$S$3:$T$10,2,FALSE)=0,"Spatial Data Missing ⚠",VLOOKUP(AN133,'G-3 Multipliers'!$S$3:$T$10,2,FALSE)))</f>
        <v/>
      </c>
      <c r="AP133" s="295" t="str">
        <f t="shared" si="18"/>
        <v/>
      </c>
      <c r="AQ133" s="295" t="str">
        <f t="shared" si="19"/>
        <v/>
      </c>
      <c r="AR133" s="109"/>
      <c r="AS133" s="142"/>
      <c r="AT133" s="108"/>
      <c r="AU133" s="108"/>
      <c r="AY133" s="30" t="str">
        <f>IF(E133="","",IF(ISNA(VLOOKUP($E133,'D-1 Off-Site Habitat Baseline'!$D$1:$AV$258,4,FALSE)),"",(VLOOKUP($E133,'D-1 Off-Site Habitat Baseline'!$D$1:$AV$258,4,FALSE))))</f>
        <v/>
      </c>
    </row>
    <row r="134" spans="1:51" x14ac:dyDescent="0.25">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325" t="str">
        <f>'D-1 Off-Site Habitat Baseline'!AP133</f>
        <v/>
      </c>
      <c r="F134" s="289" t="str">
        <f>IF(E134="","",IF(ISNA(VLOOKUP($E134,'D-1 Off-Site Habitat Baseline'!$D$1:$ZZ$258,45,FALSE)),"",(VLOOKUP($E134,'D-1 Off-Site Habitat Baseline'!$D$1:$ZZ$258,45,FALSE))))</f>
        <v/>
      </c>
      <c r="G134" s="301" t="str">
        <f>IF(E134="","",IF(ISNA(VLOOKUP($E134,'D-1 Off-Site Habitat Baseline'!$D$1:$O$258,5,FALSE)),"",(VLOOKUP($E134,'D-1 Off-Site Habitat Baseline'!$D$1:$O$258,5,FALSE))))</f>
        <v/>
      </c>
      <c r="H134" s="301" t="str">
        <f>IF(E134="","",IF(ISNA(VLOOKUP($E134,'D-1 Off-Site Habitat Baseline'!$D$1:$O$258,6,FALSE)),"",(VLOOKUP($E134,'D-1 Off-Site Habitat Baseline'!$D$1:$O$258,6,FALSE))))</f>
        <v/>
      </c>
      <c r="I134" s="301" t="str">
        <f>IF(E134="","",IF(ISNA(VLOOKUP($E134,'D-1 Off-Site Habitat Baseline'!$D$1:$O$258,7,FALSE)),"",(VLOOKUP($E134,'D-1 Off-Site Habitat Baseline'!$D$1:$O$258,7,FALSE))))</f>
        <v/>
      </c>
      <c r="J134" s="301" t="str">
        <f>IF(E134="","",IF(ISNA(VLOOKUP($E134,'D-1 Off-Site Habitat Baseline'!$D$1:$O$258,8,FALSE)),"",(VLOOKUP($E134,'D-1 Off-Site Habitat Baseline'!$D$1:$O$258,8,FALSE))))</f>
        <v/>
      </c>
      <c r="K134" s="301" t="str">
        <f>IF(E134="","",IF(ISNA(VLOOKUP($E134,'D-1 Off-Site Habitat Baseline'!$D$1:$O$258,9,FALSE)),"",(VLOOKUP($E134,'D-1 Off-Site Habitat Baseline'!$D$1:$O$258,9,FALSE))))</f>
        <v/>
      </c>
      <c r="L134" s="301" t="str">
        <f>IF(E134="","",IF(ISNA(VLOOKUP($E134,'D-1 Off-Site Habitat Baseline'!$D$1:$O$258,11,FALSE)),"",(VLOOKUP($E134,'D-1 Off-Site Habitat Baseline'!$D$1:$O$258,11,FALSE))))</f>
        <v/>
      </c>
      <c r="M134" s="301" t="str">
        <f>IF(E134="","",IF(ISNA(VLOOKUP($E134,'D-1 Off-Site Habitat Baseline'!$D$1:$O$258,12,FALSE)),"",(VLOOKUP($E134,'D-1 Off-Site Habitat Baseline'!$D$1:$O$258,12,FALSE))))</f>
        <v/>
      </c>
      <c r="N134" s="301" t="str">
        <f>IF(E134="","",IF(ISNA(VLOOKUP($E134,'D-1 Off-Site Habitat Baseline'!$D$1:$AA$258,17,FALSE)),"",(VLOOKUP($E134,'D-1 Off-Site Habitat Baseline'!$D$1:$AA$258,17,FALSE))))</f>
        <v/>
      </c>
      <c r="O134" s="305" t="str">
        <f>IF(E134="","",IF(ISNA(VLOOKUP($E134,'D-1 Off-Site Habitat Baseline'!$D$1:$AA$258,13,FALSE)),"",(VLOOKUP($E134,'D-1 Off-Site Habitat Baseline'!$D$1:$AA$258,13,FALSE))))</f>
        <v/>
      </c>
      <c r="P134" s="152" t="str">
        <f>IFERROR(INDEX('G-1 All Habitats'!$AG$49:$AG$63,MATCH(Q134,'G-1 All Habitats'!$AF$27:$AF$41,0)),"")</f>
        <v/>
      </c>
      <c r="Q134" s="153"/>
      <c r="R134" s="154"/>
      <c r="S134" s="155" t="str">
        <f>IFERROR(INDEX('G-1 All Habitats'!$B$3:$B$135,MATCH(R134,'G-1 All Habitats'!$A$3:$A$135,0)),"")</f>
        <v/>
      </c>
      <c r="T134" s="289" t="str">
        <f t="shared" si="12"/>
        <v/>
      </c>
      <c r="U134" s="305" t="str">
        <f t="shared" si="13"/>
        <v/>
      </c>
      <c r="V134" s="304" t="str">
        <f t="shared" si="10"/>
        <v/>
      </c>
      <c r="W134" s="301" t="str">
        <f>IF(S134="","",VLOOKUP(S134,'G-1 All Habitats'!$B$2:$M$135,10,FALSE))</f>
        <v/>
      </c>
      <c r="X134" s="301" t="str">
        <f>IFERROR(VLOOKUP(W134,'G-1 All Habitats'!$V$3:$W$7,2,FALSE),"")</f>
        <v/>
      </c>
      <c r="Y134" s="142"/>
      <c r="Z134" s="305" t="str">
        <f>IFERROR(INDEX('G-8 Condition Look up'!$A$3:$H$135,MATCH(S134,'G-8 Condition Look up'!$A$3:$A$135,0),MATCH(Y134,'G-8 Condition Look up'!$A$3:$H$3,0)),"")</f>
        <v/>
      </c>
      <c r="AA134" s="105"/>
      <c r="AB134" s="320" t="str">
        <f>IF(AA134="","",IF(VLOOKUP(AA134,'G-3 Multipliers'!$L$3:$N$6,2,FALSE)=0,"Spatial Data Missing ⚠",VLOOKUP(AA134,'G-3 Multipliers'!$L$3:$N$6,2,FALSE)))</f>
        <v/>
      </c>
      <c r="AC134" s="305" t="str">
        <f>IF(AA134="","",IF(VLOOKUP(AA134,'G-3 Multipliers'!$L$3:$N$6,3,FALSE)=0,"Spatial Data Missing ⚠",VLOOKUP(AA134,'G-3 Multipliers'!$L$3:$N$6,3,FALSE)))</f>
        <v/>
      </c>
      <c r="AD134" s="317" t="str">
        <f t="shared" si="11"/>
        <v/>
      </c>
      <c r="AE134" s="142"/>
      <c r="AF134" s="142"/>
      <c r="AG134" s="301" t="str">
        <f t="shared" si="14"/>
        <v/>
      </c>
      <c r="AH134" s="302" t="str">
        <f t="shared" si="15"/>
        <v/>
      </c>
      <c r="AI134" s="306" t="str">
        <f>IF(AH134="Check Data ⚠","Check Data ⚠",IFERROR(VLOOKUP(AH134,'G-4 Temporal multipliers'!$A$4:$C$36,3,FALSE),""))</f>
        <v/>
      </c>
      <c r="AJ134" s="317" t="str">
        <f>IF(S134="","",VLOOKUP(S134,'G-3 Multipliers'!$A$2:$E$134,4,FALSE))</f>
        <v/>
      </c>
      <c r="AK134" s="301" t="str">
        <f t="shared" si="16"/>
        <v/>
      </c>
      <c r="AL134" s="301" t="str">
        <f t="shared" si="17"/>
        <v/>
      </c>
      <c r="AM134" s="305" t="str">
        <f>IFERROR(IF(F134="","",IF(AH134="Check Data ⚠","Check Data ⚠",VLOOKUP(AL134, 'G-3 Multipliers'!$P$2:$Q$6,2,FALSE))),"")</f>
        <v/>
      </c>
      <c r="AN134" s="728"/>
      <c r="AO134" s="335" t="str">
        <f>IF(AN134="","",IF(VLOOKUP(AN134,'G-3 Multipliers'!$S$3:$T$10,2,FALSE)=0,"Spatial Data Missing ⚠",VLOOKUP(AN134,'G-3 Multipliers'!$S$3:$T$10,2,FALSE)))</f>
        <v/>
      </c>
      <c r="AP134" s="295" t="str">
        <f t="shared" si="18"/>
        <v/>
      </c>
      <c r="AQ134" s="295" t="str">
        <f t="shared" si="19"/>
        <v/>
      </c>
      <c r="AR134" s="109"/>
      <c r="AS134" s="142"/>
      <c r="AT134" s="108"/>
      <c r="AU134" s="108"/>
      <c r="AY134" s="30" t="str">
        <f>IF(E134="","",IF(ISNA(VLOOKUP($E134,'D-1 Off-Site Habitat Baseline'!$D$1:$AV$258,4,FALSE)),"",(VLOOKUP($E134,'D-1 Off-Site Habitat Baseline'!$D$1:$AV$258,4,FALSE))))</f>
        <v/>
      </c>
    </row>
    <row r="135" spans="1:51" x14ac:dyDescent="0.25">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325" t="str">
        <f>'D-1 Off-Site Habitat Baseline'!AP134</f>
        <v/>
      </c>
      <c r="F135" s="289" t="str">
        <f>IF(E135="","",IF(ISNA(VLOOKUP($E135,'D-1 Off-Site Habitat Baseline'!$D$1:$ZZ$258,45,FALSE)),"",(VLOOKUP($E135,'D-1 Off-Site Habitat Baseline'!$D$1:$ZZ$258,45,FALSE))))</f>
        <v/>
      </c>
      <c r="G135" s="301" t="str">
        <f>IF(E135="","",IF(ISNA(VLOOKUP($E135,'D-1 Off-Site Habitat Baseline'!$D$1:$O$258,5,FALSE)),"",(VLOOKUP($E135,'D-1 Off-Site Habitat Baseline'!$D$1:$O$258,5,FALSE))))</f>
        <v/>
      </c>
      <c r="H135" s="301" t="str">
        <f>IF(E135="","",IF(ISNA(VLOOKUP($E135,'D-1 Off-Site Habitat Baseline'!$D$1:$O$258,6,FALSE)),"",(VLOOKUP($E135,'D-1 Off-Site Habitat Baseline'!$D$1:$O$258,6,FALSE))))</f>
        <v/>
      </c>
      <c r="I135" s="301" t="str">
        <f>IF(E135="","",IF(ISNA(VLOOKUP($E135,'D-1 Off-Site Habitat Baseline'!$D$1:$O$258,7,FALSE)),"",(VLOOKUP($E135,'D-1 Off-Site Habitat Baseline'!$D$1:$O$258,7,FALSE))))</f>
        <v/>
      </c>
      <c r="J135" s="301" t="str">
        <f>IF(E135="","",IF(ISNA(VLOOKUP($E135,'D-1 Off-Site Habitat Baseline'!$D$1:$O$258,8,FALSE)),"",(VLOOKUP($E135,'D-1 Off-Site Habitat Baseline'!$D$1:$O$258,8,FALSE))))</f>
        <v/>
      </c>
      <c r="K135" s="301" t="str">
        <f>IF(E135="","",IF(ISNA(VLOOKUP($E135,'D-1 Off-Site Habitat Baseline'!$D$1:$O$258,9,FALSE)),"",(VLOOKUP($E135,'D-1 Off-Site Habitat Baseline'!$D$1:$O$258,9,FALSE))))</f>
        <v/>
      </c>
      <c r="L135" s="301" t="str">
        <f>IF(E135="","",IF(ISNA(VLOOKUP($E135,'D-1 Off-Site Habitat Baseline'!$D$1:$O$258,11,FALSE)),"",(VLOOKUP($E135,'D-1 Off-Site Habitat Baseline'!$D$1:$O$258,11,FALSE))))</f>
        <v/>
      </c>
      <c r="M135" s="301" t="str">
        <f>IF(E135="","",IF(ISNA(VLOOKUP($E135,'D-1 Off-Site Habitat Baseline'!$D$1:$O$258,12,FALSE)),"",(VLOOKUP($E135,'D-1 Off-Site Habitat Baseline'!$D$1:$O$258,12,FALSE))))</f>
        <v/>
      </c>
      <c r="N135" s="301" t="str">
        <f>IF(E135="","",IF(ISNA(VLOOKUP($E135,'D-1 Off-Site Habitat Baseline'!$D$1:$AA$258,17,FALSE)),"",(VLOOKUP($E135,'D-1 Off-Site Habitat Baseline'!$D$1:$AA$258,17,FALSE))))</f>
        <v/>
      </c>
      <c r="O135" s="305" t="str">
        <f>IF(E135="","",IF(ISNA(VLOOKUP($E135,'D-1 Off-Site Habitat Baseline'!$D$1:$AA$258,13,FALSE)),"",(VLOOKUP($E135,'D-1 Off-Site Habitat Baseline'!$D$1:$AA$258,13,FALSE))))</f>
        <v/>
      </c>
      <c r="P135" s="152" t="str">
        <f>IFERROR(INDEX('G-1 All Habitats'!$AG$49:$AG$63,MATCH(Q135,'G-1 All Habitats'!$AF$27:$AF$41,0)),"")</f>
        <v/>
      </c>
      <c r="Q135" s="153"/>
      <c r="R135" s="154"/>
      <c r="S135" s="155" t="str">
        <f>IFERROR(INDEX('G-1 All Habitats'!$B$3:$B$135,MATCH(R135,'G-1 All Habitats'!$A$3:$A$135,0)),"")</f>
        <v/>
      </c>
      <c r="T135" s="289" t="str">
        <f t="shared" si="12"/>
        <v/>
      </c>
      <c r="U135" s="305" t="str">
        <f t="shared" si="13"/>
        <v/>
      </c>
      <c r="V135" s="304" t="str">
        <f t="shared" si="10"/>
        <v/>
      </c>
      <c r="W135" s="301" t="str">
        <f>IF(S135="","",VLOOKUP(S135,'G-1 All Habitats'!$B$2:$M$135,10,FALSE))</f>
        <v/>
      </c>
      <c r="X135" s="301" t="str">
        <f>IFERROR(VLOOKUP(W135,'G-1 All Habitats'!$V$3:$W$7,2,FALSE),"")</f>
        <v/>
      </c>
      <c r="Y135" s="142"/>
      <c r="Z135" s="305" t="str">
        <f>IFERROR(INDEX('G-8 Condition Look up'!$A$3:$H$135,MATCH(S135,'G-8 Condition Look up'!$A$3:$A$135,0),MATCH(Y135,'G-8 Condition Look up'!$A$3:$H$3,0)),"")</f>
        <v/>
      </c>
      <c r="AA135" s="105"/>
      <c r="AB135" s="320" t="str">
        <f>IF(AA135="","",IF(VLOOKUP(AA135,'G-3 Multipliers'!$L$3:$N$6,2,FALSE)=0,"Spatial Data Missing ⚠",VLOOKUP(AA135,'G-3 Multipliers'!$L$3:$N$6,2,FALSE)))</f>
        <v/>
      </c>
      <c r="AC135" s="305" t="str">
        <f>IF(AA135="","",IF(VLOOKUP(AA135,'G-3 Multipliers'!$L$3:$N$6,3,FALSE)=0,"Spatial Data Missing ⚠",VLOOKUP(AA135,'G-3 Multipliers'!$L$3:$N$6,3,FALSE)))</f>
        <v/>
      </c>
      <c r="AD135" s="317" t="str">
        <f t="shared" si="11"/>
        <v/>
      </c>
      <c r="AE135" s="142"/>
      <c r="AF135" s="142"/>
      <c r="AG135" s="301" t="str">
        <f t="shared" si="14"/>
        <v/>
      </c>
      <c r="AH135" s="302" t="str">
        <f t="shared" si="15"/>
        <v/>
      </c>
      <c r="AI135" s="306" t="str">
        <f>IF(AH135="Check Data ⚠","Check Data ⚠",IFERROR(VLOOKUP(AH135,'G-4 Temporal multipliers'!$A$4:$C$36,3,FALSE),""))</f>
        <v/>
      </c>
      <c r="AJ135" s="317" t="str">
        <f>IF(S135="","",VLOOKUP(S135,'G-3 Multipliers'!$A$2:$E$134,4,FALSE))</f>
        <v/>
      </c>
      <c r="AK135" s="301" t="str">
        <f t="shared" si="16"/>
        <v/>
      </c>
      <c r="AL135" s="301" t="str">
        <f t="shared" si="17"/>
        <v/>
      </c>
      <c r="AM135" s="305" t="str">
        <f>IFERROR(IF(F135="","",IF(AH135="Check Data ⚠","Check Data ⚠",VLOOKUP(AL135, 'G-3 Multipliers'!$P$2:$Q$6,2,FALSE))),"")</f>
        <v/>
      </c>
      <c r="AN135" s="728"/>
      <c r="AO135" s="335" t="str">
        <f>IF(AN135="","",IF(VLOOKUP(AN135,'G-3 Multipliers'!$S$3:$T$10,2,FALSE)=0,"Spatial Data Missing ⚠",VLOOKUP(AN135,'G-3 Multipliers'!$S$3:$T$10,2,FALSE)))</f>
        <v/>
      </c>
      <c r="AP135" s="295" t="str">
        <f t="shared" si="18"/>
        <v/>
      </c>
      <c r="AQ135" s="295" t="str">
        <f t="shared" si="19"/>
        <v/>
      </c>
      <c r="AR135" s="109"/>
      <c r="AS135" s="142"/>
      <c r="AT135" s="108"/>
      <c r="AU135" s="108"/>
      <c r="AY135" s="30" t="str">
        <f>IF(E135="","",IF(ISNA(VLOOKUP($E135,'D-1 Off-Site Habitat Baseline'!$D$1:$AV$258,4,FALSE)),"",(VLOOKUP($E135,'D-1 Off-Site Habitat Baseline'!$D$1:$AV$258,4,FALSE))))</f>
        <v/>
      </c>
    </row>
    <row r="136" spans="1:51" x14ac:dyDescent="0.25">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325" t="str">
        <f>'D-1 Off-Site Habitat Baseline'!AP135</f>
        <v/>
      </c>
      <c r="F136" s="289" t="str">
        <f>IF(E136="","",IF(ISNA(VLOOKUP($E136,'D-1 Off-Site Habitat Baseline'!$D$1:$ZZ$258,45,FALSE)),"",(VLOOKUP($E136,'D-1 Off-Site Habitat Baseline'!$D$1:$ZZ$258,45,FALSE))))</f>
        <v/>
      </c>
      <c r="G136" s="301" t="str">
        <f>IF(E136="","",IF(ISNA(VLOOKUP($E136,'D-1 Off-Site Habitat Baseline'!$D$1:$O$258,5,FALSE)),"",(VLOOKUP($E136,'D-1 Off-Site Habitat Baseline'!$D$1:$O$258,5,FALSE))))</f>
        <v/>
      </c>
      <c r="H136" s="301" t="str">
        <f>IF(E136="","",IF(ISNA(VLOOKUP($E136,'D-1 Off-Site Habitat Baseline'!$D$1:$O$258,6,FALSE)),"",(VLOOKUP($E136,'D-1 Off-Site Habitat Baseline'!$D$1:$O$258,6,FALSE))))</f>
        <v/>
      </c>
      <c r="I136" s="301" t="str">
        <f>IF(E136="","",IF(ISNA(VLOOKUP($E136,'D-1 Off-Site Habitat Baseline'!$D$1:$O$258,7,FALSE)),"",(VLOOKUP($E136,'D-1 Off-Site Habitat Baseline'!$D$1:$O$258,7,FALSE))))</f>
        <v/>
      </c>
      <c r="J136" s="301" t="str">
        <f>IF(E136="","",IF(ISNA(VLOOKUP($E136,'D-1 Off-Site Habitat Baseline'!$D$1:$O$258,8,FALSE)),"",(VLOOKUP($E136,'D-1 Off-Site Habitat Baseline'!$D$1:$O$258,8,FALSE))))</f>
        <v/>
      </c>
      <c r="K136" s="301" t="str">
        <f>IF(E136="","",IF(ISNA(VLOOKUP($E136,'D-1 Off-Site Habitat Baseline'!$D$1:$O$258,9,FALSE)),"",(VLOOKUP($E136,'D-1 Off-Site Habitat Baseline'!$D$1:$O$258,9,FALSE))))</f>
        <v/>
      </c>
      <c r="L136" s="301" t="str">
        <f>IF(E136="","",IF(ISNA(VLOOKUP($E136,'D-1 Off-Site Habitat Baseline'!$D$1:$O$258,11,FALSE)),"",(VLOOKUP($E136,'D-1 Off-Site Habitat Baseline'!$D$1:$O$258,11,FALSE))))</f>
        <v/>
      </c>
      <c r="M136" s="301" t="str">
        <f>IF(E136="","",IF(ISNA(VLOOKUP($E136,'D-1 Off-Site Habitat Baseline'!$D$1:$O$258,12,FALSE)),"",(VLOOKUP($E136,'D-1 Off-Site Habitat Baseline'!$D$1:$O$258,12,FALSE))))</f>
        <v/>
      </c>
      <c r="N136" s="301" t="str">
        <f>IF(E136="","",IF(ISNA(VLOOKUP($E136,'D-1 Off-Site Habitat Baseline'!$D$1:$AA$258,17,FALSE)),"",(VLOOKUP($E136,'D-1 Off-Site Habitat Baseline'!$D$1:$AA$258,17,FALSE))))</f>
        <v/>
      </c>
      <c r="O136" s="305" t="str">
        <f>IF(E136="","",IF(ISNA(VLOOKUP($E136,'D-1 Off-Site Habitat Baseline'!$D$1:$AA$258,13,FALSE)),"",(VLOOKUP($E136,'D-1 Off-Site Habitat Baseline'!$D$1:$AA$258,13,FALSE))))</f>
        <v/>
      </c>
      <c r="P136" s="152" t="str">
        <f>IFERROR(INDEX('G-1 All Habitats'!$AG$49:$AG$63,MATCH(Q136,'G-1 All Habitats'!$AF$27:$AF$41,0)),"")</f>
        <v/>
      </c>
      <c r="Q136" s="153"/>
      <c r="R136" s="154"/>
      <c r="S136" s="155" t="str">
        <f>IFERROR(INDEX('G-1 All Habitats'!$B$3:$B$135,MATCH(R136,'G-1 All Habitats'!$A$3:$A$135,0)),"")</f>
        <v/>
      </c>
      <c r="T136" s="289" t="str">
        <f t="shared" si="12"/>
        <v/>
      </c>
      <c r="U136" s="305" t="str">
        <f t="shared" si="13"/>
        <v/>
      </c>
      <c r="V136" s="304" t="str">
        <f t="shared" si="10"/>
        <v/>
      </c>
      <c r="W136" s="301" t="str">
        <f>IF(S136="","",VLOOKUP(S136,'G-1 All Habitats'!$B$2:$M$135,10,FALSE))</f>
        <v/>
      </c>
      <c r="X136" s="301" t="str">
        <f>IFERROR(VLOOKUP(W136,'G-1 All Habitats'!$V$3:$W$7,2,FALSE),"")</f>
        <v/>
      </c>
      <c r="Y136" s="142"/>
      <c r="Z136" s="305" t="str">
        <f>IFERROR(INDEX('G-8 Condition Look up'!$A$3:$H$135,MATCH(S136,'G-8 Condition Look up'!$A$3:$A$135,0),MATCH(Y136,'G-8 Condition Look up'!$A$3:$H$3,0)),"")</f>
        <v/>
      </c>
      <c r="AA136" s="105"/>
      <c r="AB136" s="320" t="str">
        <f>IF(AA136="","",IF(VLOOKUP(AA136,'G-3 Multipliers'!$L$3:$N$6,2,FALSE)=0,"Spatial Data Missing ⚠",VLOOKUP(AA136,'G-3 Multipliers'!$L$3:$N$6,2,FALSE)))</f>
        <v/>
      </c>
      <c r="AC136" s="305" t="str">
        <f>IF(AA136="","",IF(VLOOKUP(AA136,'G-3 Multipliers'!$L$3:$N$6,3,FALSE)=0,"Spatial Data Missing ⚠",VLOOKUP(AA136,'G-3 Multipliers'!$L$3:$N$6,3,FALSE)))</f>
        <v/>
      </c>
      <c r="AD136" s="317" t="str">
        <f t="shared" si="11"/>
        <v/>
      </c>
      <c r="AE136" s="142"/>
      <c r="AF136" s="142"/>
      <c r="AG136" s="301" t="str">
        <f t="shared" si="14"/>
        <v/>
      </c>
      <c r="AH136" s="302" t="str">
        <f t="shared" si="15"/>
        <v/>
      </c>
      <c r="AI136" s="306" t="str">
        <f>IF(AH136="Check Data ⚠","Check Data ⚠",IFERROR(VLOOKUP(AH136,'G-4 Temporal multipliers'!$A$4:$C$36,3,FALSE),""))</f>
        <v/>
      </c>
      <c r="AJ136" s="317" t="str">
        <f>IF(S136="","",VLOOKUP(S136,'G-3 Multipliers'!$A$2:$E$134,4,FALSE))</f>
        <v/>
      </c>
      <c r="AK136" s="301" t="str">
        <f t="shared" si="16"/>
        <v/>
      </c>
      <c r="AL136" s="301" t="str">
        <f t="shared" si="17"/>
        <v/>
      </c>
      <c r="AM136" s="305" t="str">
        <f>IFERROR(IF(F136="","",IF(AH136="Check Data ⚠","Check Data ⚠",VLOOKUP(AL136, 'G-3 Multipliers'!$P$2:$Q$6,2,FALSE))),"")</f>
        <v/>
      </c>
      <c r="AN136" s="728"/>
      <c r="AO136" s="335" t="str">
        <f>IF(AN136="","",IF(VLOOKUP(AN136,'G-3 Multipliers'!$S$3:$T$10,2,FALSE)=0,"Spatial Data Missing ⚠",VLOOKUP(AN136,'G-3 Multipliers'!$S$3:$T$10,2,FALSE)))</f>
        <v/>
      </c>
      <c r="AP136" s="295" t="str">
        <f t="shared" si="18"/>
        <v/>
      </c>
      <c r="AQ136" s="295" t="str">
        <f t="shared" si="19"/>
        <v/>
      </c>
      <c r="AR136" s="109"/>
      <c r="AS136" s="142"/>
      <c r="AT136" s="108"/>
      <c r="AU136" s="108"/>
      <c r="AY136" s="30" t="str">
        <f>IF(E136="","",IF(ISNA(VLOOKUP($E136,'D-1 Off-Site Habitat Baseline'!$D$1:$AV$258,4,FALSE)),"",(VLOOKUP($E136,'D-1 Off-Site Habitat Baseline'!$D$1:$AV$258,4,FALSE))))</f>
        <v/>
      </c>
    </row>
    <row r="137" spans="1:51" x14ac:dyDescent="0.25">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325" t="str">
        <f>'D-1 Off-Site Habitat Baseline'!AP136</f>
        <v/>
      </c>
      <c r="F137" s="289" t="str">
        <f>IF(E137="","",IF(ISNA(VLOOKUP($E137,'D-1 Off-Site Habitat Baseline'!$D$1:$ZZ$258,45,FALSE)),"",(VLOOKUP($E137,'D-1 Off-Site Habitat Baseline'!$D$1:$ZZ$258,45,FALSE))))</f>
        <v/>
      </c>
      <c r="G137" s="301" t="str">
        <f>IF(E137="","",IF(ISNA(VLOOKUP($E137,'D-1 Off-Site Habitat Baseline'!$D$1:$O$258,5,FALSE)),"",(VLOOKUP($E137,'D-1 Off-Site Habitat Baseline'!$D$1:$O$258,5,FALSE))))</f>
        <v/>
      </c>
      <c r="H137" s="301" t="str">
        <f>IF(E137="","",IF(ISNA(VLOOKUP($E137,'D-1 Off-Site Habitat Baseline'!$D$1:$O$258,6,FALSE)),"",(VLOOKUP($E137,'D-1 Off-Site Habitat Baseline'!$D$1:$O$258,6,FALSE))))</f>
        <v/>
      </c>
      <c r="I137" s="301" t="str">
        <f>IF(E137="","",IF(ISNA(VLOOKUP($E137,'D-1 Off-Site Habitat Baseline'!$D$1:$O$258,7,FALSE)),"",(VLOOKUP($E137,'D-1 Off-Site Habitat Baseline'!$D$1:$O$258,7,FALSE))))</f>
        <v/>
      </c>
      <c r="J137" s="301" t="str">
        <f>IF(E137="","",IF(ISNA(VLOOKUP($E137,'D-1 Off-Site Habitat Baseline'!$D$1:$O$258,8,FALSE)),"",(VLOOKUP($E137,'D-1 Off-Site Habitat Baseline'!$D$1:$O$258,8,FALSE))))</f>
        <v/>
      </c>
      <c r="K137" s="301" t="str">
        <f>IF(E137="","",IF(ISNA(VLOOKUP($E137,'D-1 Off-Site Habitat Baseline'!$D$1:$O$258,9,FALSE)),"",(VLOOKUP($E137,'D-1 Off-Site Habitat Baseline'!$D$1:$O$258,9,FALSE))))</f>
        <v/>
      </c>
      <c r="L137" s="301" t="str">
        <f>IF(E137="","",IF(ISNA(VLOOKUP($E137,'D-1 Off-Site Habitat Baseline'!$D$1:$O$258,11,FALSE)),"",(VLOOKUP($E137,'D-1 Off-Site Habitat Baseline'!$D$1:$O$258,11,FALSE))))</f>
        <v/>
      </c>
      <c r="M137" s="301" t="str">
        <f>IF(E137="","",IF(ISNA(VLOOKUP($E137,'D-1 Off-Site Habitat Baseline'!$D$1:$O$258,12,FALSE)),"",(VLOOKUP($E137,'D-1 Off-Site Habitat Baseline'!$D$1:$O$258,12,FALSE))))</f>
        <v/>
      </c>
      <c r="N137" s="301" t="str">
        <f>IF(E137="","",IF(ISNA(VLOOKUP($E137,'D-1 Off-Site Habitat Baseline'!$D$1:$AA$258,17,FALSE)),"",(VLOOKUP($E137,'D-1 Off-Site Habitat Baseline'!$D$1:$AA$258,17,FALSE))))</f>
        <v/>
      </c>
      <c r="O137" s="305" t="str">
        <f>IF(E137="","",IF(ISNA(VLOOKUP($E137,'D-1 Off-Site Habitat Baseline'!$D$1:$AA$258,13,FALSE)),"",(VLOOKUP($E137,'D-1 Off-Site Habitat Baseline'!$D$1:$AA$258,13,FALSE))))</f>
        <v/>
      </c>
      <c r="P137" s="152" t="str">
        <f>IFERROR(INDEX('G-1 All Habitats'!$AG$49:$AG$63,MATCH(Q137,'G-1 All Habitats'!$AF$27:$AF$41,0)),"")</f>
        <v/>
      </c>
      <c r="Q137" s="153"/>
      <c r="R137" s="154"/>
      <c r="S137" s="155" t="str">
        <f>IFERROR(INDEX('G-1 All Habitats'!$B$3:$B$135,MATCH(R137,'G-1 All Habitats'!$A$3:$A$135,0)),"")</f>
        <v/>
      </c>
      <c r="T137" s="289" t="str">
        <f t="shared" si="12"/>
        <v/>
      </c>
      <c r="U137" s="305" t="str">
        <f t="shared" si="13"/>
        <v/>
      </c>
      <c r="V137" s="304" t="str">
        <f t="shared" si="10"/>
        <v/>
      </c>
      <c r="W137" s="301" t="str">
        <f>IF(S137="","",VLOOKUP(S137,'G-1 All Habitats'!$B$2:$M$135,10,FALSE))</f>
        <v/>
      </c>
      <c r="X137" s="301" t="str">
        <f>IFERROR(VLOOKUP(W137,'G-1 All Habitats'!$V$3:$W$7,2,FALSE),"")</f>
        <v/>
      </c>
      <c r="Y137" s="142"/>
      <c r="Z137" s="305" t="str">
        <f>IFERROR(INDEX('G-8 Condition Look up'!$A$3:$H$135,MATCH(S137,'G-8 Condition Look up'!$A$3:$A$135,0),MATCH(Y137,'G-8 Condition Look up'!$A$3:$H$3,0)),"")</f>
        <v/>
      </c>
      <c r="AA137" s="105"/>
      <c r="AB137" s="320" t="str">
        <f>IF(AA137="","",IF(VLOOKUP(AA137,'G-3 Multipliers'!$L$3:$N$6,2,FALSE)=0,"Spatial Data Missing ⚠",VLOOKUP(AA137,'G-3 Multipliers'!$L$3:$N$6,2,FALSE)))</f>
        <v/>
      </c>
      <c r="AC137" s="305" t="str">
        <f>IF(AA137="","",IF(VLOOKUP(AA137,'G-3 Multipliers'!$L$3:$N$6,3,FALSE)=0,"Spatial Data Missing ⚠",VLOOKUP(AA137,'G-3 Multipliers'!$L$3:$N$6,3,FALSE)))</f>
        <v/>
      </c>
      <c r="AD137" s="317" t="str">
        <f t="shared" si="11"/>
        <v/>
      </c>
      <c r="AE137" s="142"/>
      <c r="AF137" s="142"/>
      <c r="AG137" s="301" t="str">
        <f t="shared" si="14"/>
        <v/>
      </c>
      <c r="AH137" s="302" t="str">
        <f t="shared" si="15"/>
        <v/>
      </c>
      <c r="AI137" s="306" t="str">
        <f>IF(AH137="Check Data ⚠","Check Data ⚠",IFERROR(VLOOKUP(AH137,'G-4 Temporal multipliers'!$A$4:$C$36,3,FALSE),""))</f>
        <v/>
      </c>
      <c r="AJ137" s="317" t="str">
        <f>IF(S137="","",VLOOKUP(S137,'G-3 Multipliers'!$A$2:$E$134,4,FALSE))</f>
        <v/>
      </c>
      <c r="AK137" s="301" t="str">
        <f t="shared" si="16"/>
        <v/>
      </c>
      <c r="AL137" s="301" t="str">
        <f t="shared" si="17"/>
        <v/>
      </c>
      <c r="AM137" s="305" t="str">
        <f>IFERROR(IF(F137="","",IF(AH137="Check Data ⚠","Check Data ⚠",VLOOKUP(AL137, 'G-3 Multipliers'!$P$2:$Q$6,2,FALSE))),"")</f>
        <v/>
      </c>
      <c r="AN137" s="728"/>
      <c r="AO137" s="335" t="str">
        <f>IF(AN137="","",IF(VLOOKUP(AN137,'G-3 Multipliers'!$S$3:$T$10,2,FALSE)=0,"Spatial Data Missing ⚠",VLOOKUP(AN137,'G-3 Multipliers'!$S$3:$T$10,2,FALSE)))</f>
        <v/>
      </c>
      <c r="AP137" s="295" t="str">
        <f t="shared" si="18"/>
        <v/>
      </c>
      <c r="AQ137" s="295" t="str">
        <f t="shared" si="19"/>
        <v/>
      </c>
      <c r="AR137" s="109"/>
      <c r="AS137" s="142"/>
      <c r="AT137" s="108"/>
      <c r="AU137" s="108"/>
      <c r="AY137" s="30" t="str">
        <f>IF(E137="","",IF(ISNA(VLOOKUP($E137,'D-1 Off-Site Habitat Baseline'!$D$1:$AV$258,4,FALSE)),"",(VLOOKUP($E137,'D-1 Off-Site Habitat Baseline'!$D$1:$AV$258,4,FALSE))))</f>
        <v/>
      </c>
    </row>
    <row r="138" spans="1:51" x14ac:dyDescent="0.25">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325" t="str">
        <f>'D-1 Off-Site Habitat Baseline'!AP137</f>
        <v/>
      </c>
      <c r="F138" s="289" t="str">
        <f>IF(E138="","",IF(ISNA(VLOOKUP($E138,'D-1 Off-Site Habitat Baseline'!$D$1:$ZZ$258,45,FALSE)),"",(VLOOKUP($E138,'D-1 Off-Site Habitat Baseline'!$D$1:$ZZ$258,45,FALSE))))</f>
        <v/>
      </c>
      <c r="G138" s="301" t="str">
        <f>IF(E138="","",IF(ISNA(VLOOKUP($E138,'D-1 Off-Site Habitat Baseline'!$D$1:$O$258,5,FALSE)),"",(VLOOKUP($E138,'D-1 Off-Site Habitat Baseline'!$D$1:$O$258,5,FALSE))))</f>
        <v/>
      </c>
      <c r="H138" s="301" t="str">
        <f>IF(E138="","",IF(ISNA(VLOOKUP($E138,'D-1 Off-Site Habitat Baseline'!$D$1:$O$258,6,FALSE)),"",(VLOOKUP($E138,'D-1 Off-Site Habitat Baseline'!$D$1:$O$258,6,FALSE))))</f>
        <v/>
      </c>
      <c r="I138" s="301" t="str">
        <f>IF(E138="","",IF(ISNA(VLOOKUP($E138,'D-1 Off-Site Habitat Baseline'!$D$1:$O$258,7,FALSE)),"",(VLOOKUP($E138,'D-1 Off-Site Habitat Baseline'!$D$1:$O$258,7,FALSE))))</f>
        <v/>
      </c>
      <c r="J138" s="301" t="str">
        <f>IF(E138="","",IF(ISNA(VLOOKUP($E138,'D-1 Off-Site Habitat Baseline'!$D$1:$O$258,8,FALSE)),"",(VLOOKUP($E138,'D-1 Off-Site Habitat Baseline'!$D$1:$O$258,8,FALSE))))</f>
        <v/>
      </c>
      <c r="K138" s="301" t="str">
        <f>IF(E138="","",IF(ISNA(VLOOKUP($E138,'D-1 Off-Site Habitat Baseline'!$D$1:$O$258,9,FALSE)),"",(VLOOKUP($E138,'D-1 Off-Site Habitat Baseline'!$D$1:$O$258,9,FALSE))))</f>
        <v/>
      </c>
      <c r="L138" s="301" t="str">
        <f>IF(E138="","",IF(ISNA(VLOOKUP($E138,'D-1 Off-Site Habitat Baseline'!$D$1:$O$258,11,FALSE)),"",(VLOOKUP($E138,'D-1 Off-Site Habitat Baseline'!$D$1:$O$258,11,FALSE))))</f>
        <v/>
      </c>
      <c r="M138" s="301" t="str">
        <f>IF(E138="","",IF(ISNA(VLOOKUP($E138,'D-1 Off-Site Habitat Baseline'!$D$1:$O$258,12,FALSE)),"",(VLOOKUP($E138,'D-1 Off-Site Habitat Baseline'!$D$1:$O$258,12,FALSE))))</f>
        <v/>
      </c>
      <c r="N138" s="301" t="str">
        <f>IF(E138="","",IF(ISNA(VLOOKUP($E138,'D-1 Off-Site Habitat Baseline'!$D$1:$AA$258,17,FALSE)),"",(VLOOKUP($E138,'D-1 Off-Site Habitat Baseline'!$D$1:$AA$258,17,FALSE))))</f>
        <v/>
      </c>
      <c r="O138" s="305" t="str">
        <f>IF(E138="","",IF(ISNA(VLOOKUP($E138,'D-1 Off-Site Habitat Baseline'!$D$1:$AA$258,13,FALSE)),"",(VLOOKUP($E138,'D-1 Off-Site Habitat Baseline'!$D$1:$AA$258,13,FALSE))))</f>
        <v/>
      </c>
      <c r="P138" s="152" t="str">
        <f>IFERROR(INDEX('G-1 All Habitats'!$AG$49:$AG$63,MATCH(Q138,'G-1 All Habitats'!$AF$27:$AF$41,0)),"")</f>
        <v/>
      </c>
      <c r="Q138" s="153"/>
      <c r="R138" s="154"/>
      <c r="S138" s="155" t="str">
        <f>IFERROR(INDEX('G-1 All Habitats'!$B$3:$B$135,MATCH(R138,'G-1 All Habitats'!$A$3:$A$135,0)),"")</f>
        <v/>
      </c>
      <c r="T138" s="289" t="str">
        <f t="shared" si="12"/>
        <v/>
      </c>
      <c r="U138" s="305" t="str">
        <f t="shared" si="13"/>
        <v/>
      </c>
      <c r="V138" s="304" t="str">
        <f t="shared" si="10"/>
        <v/>
      </c>
      <c r="W138" s="301" t="str">
        <f>IF(S138="","",VLOOKUP(S138,'G-1 All Habitats'!$B$2:$M$135,10,FALSE))</f>
        <v/>
      </c>
      <c r="X138" s="301" t="str">
        <f>IFERROR(VLOOKUP(W138,'G-1 All Habitats'!$V$3:$W$7,2,FALSE),"")</f>
        <v/>
      </c>
      <c r="Y138" s="142"/>
      <c r="Z138" s="305" t="str">
        <f>IFERROR(INDEX('G-8 Condition Look up'!$A$3:$H$135,MATCH(S138,'G-8 Condition Look up'!$A$3:$A$135,0),MATCH(Y138,'G-8 Condition Look up'!$A$3:$H$3,0)),"")</f>
        <v/>
      </c>
      <c r="AA138" s="105"/>
      <c r="AB138" s="320" t="str">
        <f>IF(AA138="","",IF(VLOOKUP(AA138,'G-3 Multipliers'!$L$3:$N$6,2,FALSE)=0,"Spatial Data Missing ⚠",VLOOKUP(AA138,'G-3 Multipliers'!$L$3:$N$6,2,FALSE)))</f>
        <v/>
      </c>
      <c r="AC138" s="305" t="str">
        <f>IF(AA138="","",IF(VLOOKUP(AA138,'G-3 Multipliers'!$L$3:$N$6,3,FALSE)=0,"Spatial Data Missing ⚠",VLOOKUP(AA138,'G-3 Multipliers'!$L$3:$N$6,3,FALSE)))</f>
        <v/>
      </c>
      <c r="AD138" s="317" t="str">
        <f t="shared" si="11"/>
        <v/>
      </c>
      <c r="AE138" s="142"/>
      <c r="AF138" s="142"/>
      <c r="AG138" s="301" t="str">
        <f t="shared" si="14"/>
        <v/>
      </c>
      <c r="AH138" s="302" t="str">
        <f t="shared" si="15"/>
        <v/>
      </c>
      <c r="AI138" s="306" t="str">
        <f>IF(AH138="Check Data ⚠","Check Data ⚠",IFERROR(VLOOKUP(AH138,'G-4 Temporal multipliers'!$A$4:$C$36,3,FALSE),""))</f>
        <v/>
      </c>
      <c r="AJ138" s="317" t="str">
        <f>IF(S138="","",VLOOKUP(S138,'G-3 Multipliers'!$A$2:$E$134,4,FALSE))</f>
        <v/>
      </c>
      <c r="AK138" s="301" t="str">
        <f t="shared" si="16"/>
        <v/>
      </c>
      <c r="AL138" s="301" t="str">
        <f t="shared" si="17"/>
        <v/>
      </c>
      <c r="AM138" s="305" t="str">
        <f>IFERROR(IF(F138="","",IF(AH138="Check Data ⚠","Check Data ⚠",VLOOKUP(AL138, 'G-3 Multipliers'!$P$2:$Q$6,2,FALSE))),"")</f>
        <v/>
      </c>
      <c r="AN138" s="728"/>
      <c r="AO138" s="335" t="str">
        <f>IF(AN138="","",IF(VLOOKUP(AN138,'G-3 Multipliers'!$S$3:$T$10,2,FALSE)=0,"Spatial Data Missing ⚠",VLOOKUP(AN138,'G-3 Multipliers'!$S$3:$T$10,2,FALSE)))</f>
        <v/>
      </c>
      <c r="AP138" s="295" t="str">
        <f t="shared" si="18"/>
        <v/>
      </c>
      <c r="AQ138" s="295" t="str">
        <f t="shared" si="19"/>
        <v/>
      </c>
      <c r="AR138" s="109"/>
      <c r="AS138" s="142"/>
      <c r="AT138" s="108"/>
      <c r="AU138" s="108"/>
      <c r="AY138" s="30" t="str">
        <f>IF(E138="","",IF(ISNA(VLOOKUP($E138,'D-1 Off-Site Habitat Baseline'!$D$1:$AV$258,4,FALSE)),"",(VLOOKUP($E138,'D-1 Off-Site Habitat Baseline'!$D$1:$AV$258,4,FALSE))))</f>
        <v/>
      </c>
    </row>
    <row r="139" spans="1:51" x14ac:dyDescent="0.25">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325" t="str">
        <f>'D-1 Off-Site Habitat Baseline'!AP138</f>
        <v/>
      </c>
      <c r="F139" s="289" t="str">
        <f>IF(E139="","",IF(ISNA(VLOOKUP($E139,'D-1 Off-Site Habitat Baseline'!$D$1:$ZZ$258,45,FALSE)),"",(VLOOKUP($E139,'D-1 Off-Site Habitat Baseline'!$D$1:$ZZ$258,45,FALSE))))</f>
        <v/>
      </c>
      <c r="G139" s="301" t="str">
        <f>IF(E139="","",IF(ISNA(VLOOKUP($E139,'D-1 Off-Site Habitat Baseline'!$D$1:$O$258,5,FALSE)),"",(VLOOKUP($E139,'D-1 Off-Site Habitat Baseline'!$D$1:$O$258,5,FALSE))))</f>
        <v/>
      </c>
      <c r="H139" s="301" t="str">
        <f>IF(E139="","",IF(ISNA(VLOOKUP($E139,'D-1 Off-Site Habitat Baseline'!$D$1:$O$258,6,FALSE)),"",(VLOOKUP($E139,'D-1 Off-Site Habitat Baseline'!$D$1:$O$258,6,FALSE))))</f>
        <v/>
      </c>
      <c r="I139" s="301" t="str">
        <f>IF(E139="","",IF(ISNA(VLOOKUP($E139,'D-1 Off-Site Habitat Baseline'!$D$1:$O$258,7,FALSE)),"",(VLOOKUP($E139,'D-1 Off-Site Habitat Baseline'!$D$1:$O$258,7,FALSE))))</f>
        <v/>
      </c>
      <c r="J139" s="301" t="str">
        <f>IF(E139="","",IF(ISNA(VLOOKUP($E139,'D-1 Off-Site Habitat Baseline'!$D$1:$O$258,8,FALSE)),"",(VLOOKUP($E139,'D-1 Off-Site Habitat Baseline'!$D$1:$O$258,8,FALSE))))</f>
        <v/>
      </c>
      <c r="K139" s="301" t="str">
        <f>IF(E139="","",IF(ISNA(VLOOKUP($E139,'D-1 Off-Site Habitat Baseline'!$D$1:$O$258,9,FALSE)),"",(VLOOKUP($E139,'D-1 Off-Site Habitat Baseline'!$D$1:$O$258,9,FALSE))))</f>
        <v/>
      </c>
      <c r="L139" s="301" t="str">
        <f>IF(E139="","",IF(ISNA(VLOOKUP($E139,'D-1 Off-Site Habitat Baseline'!$D$1:$O$258,11,FALSE)),"",(VLOOKUP($E139,'D-1 Off-Site Habitat Baseline'!$D$1:$O$258,11,FALSE))))</f>
        <v/>
      </c>
      <c r="M139" s="301" t="str">
        <f>IF(E139="","",IF(ISNA(VLOOKUP($E139,'D-1 Off-Site Habitat Baseline'!$D$1:$O$258,12,FALSE)),"",(VLOOKUP($E139,'D-1 Off-Site Habitat Baseline'!$D$1:$O$258,12,FALSE))))</f>
        <v/>
      </c>
      <c r="N139" s="301" t="str">
        <f>IF(E139="","",IF(ISNA(VLOOKUP($E139,'D-1 Off-Site Habitat Baseline'!$D$1:$AA$258,17,FALSE)),"",(VLOOKUP($E139,'D-1 Off-Site Habitat Baseline'!$D$1:$AA$258,17,FALSE))))</f>
        <v/>
      </c>
      <c r="O139" s="305" t="str">
        <f>IF(E139="","",IF(ISNA(VLOOKUP($E139,'D-1 Off-Site Habitat Baseline'!$D$1:$AA$258,13,FALSE)),"",(VLOOKUP($E139,'D-1 Off-Site Habitat Baseline'!$D$1:$AA$258,13,FALSE))))</f>
        <v/>
      </c>
      <c r="P139" s="152" t="str">
        <f>IFERROR(INDEX('G-1 All Habitats'!$AG$49:$AG$63,MATCH(Q139,'G-1 All Habitats'!$AF$27:$AF$41,0)),"")</f>
        <v/>
      </c>
      <c r="Q139" s="153"/>
      <c r="R139" s="154"/>
      <c r="S139" s="155" t="str">
        <f>IFERROR(INDEX('G-1 All Habitats'!$B$3:$B$135,MATCH(R139,'G-1 All Habitats'!$A$3:$A$135,0)),"")</f>
        <v/>
      </c>
      <c r="T139" s="289" t="str">
        <f t="shared" si="12"/>
        <v/>
      </c>
      <c r="U139" s="305" t="str">
        <f t="shared" si="13"/>
        <v/>
      </c>
      <c r="V139" s="304" t="str">
        <f t="shared" si="10"/>
        <v/>
      </c>
      <c r="W139" s="301" t="str">
        <f>IF(S139="","",VLOOKUP(S139,'G-1 All Habitats'!$B$2:$M$135,10,FALSE))</f>
        <v/>
      </c>
      <c r="X139" s="301" t="str">
        <f>IFERROR(VLOOKUP(W139,'G-1 All Habitats'!$V$3:$W$7,2,FALSE),"")</f>
        <v/>
      </c>
      <c r="Y139" s="142"/>
      <c r="Z139" s="305" t="str">
        <f>IFERROR(INDEX('G-8 Condition Look up'!$A$3:$H$135,MATCH(S139,'G-8 Condition Look up'!$A$3:$A$135,0),MATCH(Y139,'G-8 Condition Look up'!$A$3:$H$3,0)),"")</f>
        <v/>
      </c>
      <c r="AA139" s="105"/>
      <c r="AB139" s="320" t="str">
        <f>IF(AA139="","",IF(VLOOKUP(AA139,'G-3 Multipliers'!$L$3:$N$6,2,FALSE)=0,"Spatial Data Missing ⚠",VLOOKUP(AA139,'G-3 Multipliers'!$L$3:$N$6,2,FALSE)))</f>
        <v/>
      </c>
      <c r="AC139" s="305" t="str">
        <f>IF(AA139="","",IF(VLOOKUP(AA139,'G-3 Multipliers'!$L$3:$N$6,3,FALSE)=0,"Spatial Data Missing ⚠",VLOOKUP(AA139,'G-3 Multipliers'!$L$3:$N$6,3,FALSE)))</f>
        <v/>
      </c>
      <c r="AD139" s="317" t="str">
        <f t="shared" si="11"/>
        <v/>
      </c>
      <c r="AE139" s="142"/>
      <c r="AF139" s="142"/>
      <c r="AG139" s="301" t="str">
        <f t="shared" si="14"/>
        <v/>
      </c>
      <c r="AH139" s="302" t="str">
        <f t="shared" si="15"/>
        <v/>
      </c>
      <c r="AI139" s="306" t="str">
        <f>IF(AH139="Check Data ⚠","Check Data ⚠",IFERROR(VLOOKUP(AH139,'G-4 Temporal multipliers'!$A$4:$C$36,3,FALSE),""))</f>
        <v/>
      </c>
      <c r="AJ139" s="317" t="str">
        <f>IF(S139="","",VLOOKUP(S139,'G-3 Multipliers'!$A$2:$E$134,4,FALSE))</f>
        <v/>
      </c>
      <c r="AK139" s="301" t="str">
        <f t="shared" si="16"/>
        <v/>
      </c>
      <c r="AL139" s="301" t="str">
        <f t="shared" si="17"/>
        <v/>
      </c>
      <c r="AM139" s="305" t="str">
        <f>IFERROR(IF(F139="","",IF(AH139="Check Data ⚠","Check Data ⚠",VLOOKUP(AL139, 'G-3 Multipliers'!$P$2:$Q$6,2,FALSE))),"")</f>
        <v/>
      </c>
      <c r="AN139" s="728"/>
      <c r="AO139" s="335" t="str">
        <f>IF(AN139="","",IF(VLOOKUP(AN139,'G-3 Multipliers'!$S$3:$T$10,2,FALSE)=0,"Spatial Data Missing ⚠",VLOOKUP(AN139,'G-3 Multipliers'!$S$3:$T$10,2,FALSE)))</f>
        <v/>
      </c>
      <c r="AP139" s="295" t="str">
        <f t="shared" si="18"/>
        <v/>
      </c>
      <c r="AQ139" s="295" t="str">
        <f t="shared" si="19"/>
        <v/>
      </c>
      <c r="AR139" s="109"/>
      <c r="AS139" s="142"/>
      <c r="AT139" s="108"/>
      <c r="AU139" s="108"/>
      <c r="AY139" s="30" t="str">
        <f>IF(E139="","",IF(ISNA(VLOOKUP($E139,'D-1 Off-Site Habitat Baseline'!$D$1:$AV$258,4,FALSE)),"",(VLOOKUP($E139,'D-1 Off-Site Habitat Baseline'!$D$1:$AV$258,4,FALSE))))</f>
        <v/>
      </c>
    </row>
    <row r="140" spans="1:51" x14ac:dyDescent="0.25">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325" t="str">
        <f>'D-1 Off-Site Habitat Baseline'!AP139</f>
        <v/>
      </c>
      <c r="F140" s="289" t="str">
        <f>IF(E140="","",IF(ISNA(VLOOKUP($E140,'D-1 Off-Site Habitat Baseline'!$D$1:$ZZ$258,45,FALSE)),"",(VLOOKUP($E140,'D-1 Off-Site Habitat Baseline'!$D$1:$ZZ$258,45,FALSE))))</f>
        <v/>
      </c>
      <c r="G140" s="301" t="str">
        <f>IF(E140="","",IF(ISNA(VLOOKUP($E140,'D-1 Off-Site Habitat Baseline'!$D$1:$O$258,5,FALSE)),"",(VLOOKUP($E140,'D-1 Off-Site Habitat Baseline'!$D$1:$O$258,5,FALSE))))</f>
        <v/>
      </c>
      <c r="H140" s="301" t="str">
        <f>IF(E140="","",IF(ISNA(VLOOKUP($E140,'D-1 Off-Site Habitat Baseline'!$D$1:$O$258,6,FALSE)),"",(VLOOKUP($E140,'D-1 Off-Site Habitat Baseline'!$D$1:$O$258,6,FALSE))))</f>
        <v/>
      </c>
      <c r="I140" s="301" t="str">
        <f>IF(E140="","",IF(ISNA(VLOOKUP($E140,'D-1 Off-Site Habitat Baseline'!$D$1:$O$258,7,FALSE)),"",(VLOOKUP($E140,'D-1 Off-Site Habitat Baseline'!$D$1:$O$258,7,FALSE))))</f>
        <v/>
      </c>
      <c r="J140" s="301" t="str">
        <f>IF(E140="","",IF(ISNA(VLOOKUP($E140,'D-1 Off-Site Habitat Baseline'!$D$1:$O$258,8,FALSE)),"",(VLOOKUP($E140,'D-1 Off-Site Habitat Baseline'!$D$1:$O$258,8,FALSE))))</f>
        <v/>
      </c>
      <c r="K140" s="301" t="str">
        <f>IF(E140="","",IF(ISNA(VLOOKUP($E140,'D-1 Off-Site Habitat Baseline'!$D$1:$O$258,9,FALSE)),"",(VLOOKUP($E140,'D-1 Off-Site Habitat Baseline'!$D$1:$O$258,9,FALSE))))</f>
        <v/>
      </c>
      <c r="L140" s="301" t="str">
        <f>IF(E140="","",IF(ISNA(VLOOKUP($E140,'D-1 Off-Site Habitat Baseline'!$D$1:$O$258,11,FALSE)),"",(VLOOKUP($E140,'D-1 Off-Site Habitat Baseline'!$D$1:$O$258,11,FALSE))))</f>
        <v/>
      </c>
      <c r="M140" s="301" t="str">
        <f>IF(E140="","",IF(ISNA(VLOOKUP($E140,'D-1 Off-Site Habitat Baseline'!$D$1:$O$258,12,FALSE)),"",(VLOOKUP($E140,'D-1 Off-Site Habitat Baseline'!$D$1:$O$258,12,FALSE))))</f>
        <v/>
      </c>
      <c r="N140" s="301" t="str">
        <f>IF(E140="","",IF(ISNA(VLOOKUP($E140,'D-1 Off-Site Habitat Baseline'!$D$1:$AA$258,17,FALSE)),"",(VLOOKUP($E140,'D-1 Off-Site Habitat Baseline'!$D$1:$AA$258,17,FALSE))))</f>
        <v/>
      </c>
      <c r="O140" s="305" t="str">
        <f>IF(E140="","",IF(ISNA(VLOOKUP($E140,'D-1 Off-Site Habitat Baseline'!$D$1:$AA$258,13,FALSE)),"",(VLOOKUP($E140,'D-1 Off-Site Habitat Baseline'!$D$1:$AA$258,13,FALSE))))</f>
        <v/>
      </c>
      <c r="P140" s="152" t="str">
        <f>IFERROR(INDEX('G-1 All Habitats'!$AG$49:$AG$63,MATCH(Q140,'G-1 All Habitats'!$AF$27:$AF$41,0)),"")</f>
        <v/>
      </c>
      <c r="Q140" s="153"/>
      <c r="R140" s="154"/>
      <c r="S140" s="155" t="str">
        <f>IFERROR(INDEX('G-1 All Habitats'!$B$3:$B$135,MATCH(R140,'G-1 All Habitats'!$A$3:$A$135,0)),"")</f>
        <v/>
      </c>
      <c r="T140" s="289" t="str">
        <f t="shared" si="12"/>
        <v/>
      </c>
      <c r="U140" s="305" t="str">
        <f t="shared" si="13"/>
        <v/>
      </c>
      <c r="V140" s="304" t="str">
        <f t="shared" ref="V140:V203" si="20">IF(S140="","",VLOOKUP(E140,BaselineHabOffsite,20,FALSE))</f>
        <v/>
      </c>
      <c r="W140" s="301" t="str">
        <f>IF(S140="","",VLOOKUP(S140,'G-1 All Habitats'!$B$2:$M$135,10,FALSE))</f>
        <v/>
      </c>
      <c r="X140" s="301" t="str">
        <f>IFERROR(VLOOKUP(W140,'G-1 All Habitats'!$V$3:$W$7,2,FALSE),"")</f>
        <v/>
      </c>
      <c r="Y140" s="142"/>
      <c r="Z140" s="305" t="str">
        <f>IFERROR(INDEX('G-8 Condition Look up'!$A$3:$H$135,MATCH(S140,'G-8 Condition Look up'!$A$3:$A$135,0),MATCH(Y140,'G-8 Condition Look up'!$A$3:$H$3,0)),"")</f>
        <v/>
      </c>
      <c r="AA140" s="105"/>
      <c r="AB140" s="320" t="str">
        <f>IF(AA140="","",IF(VLOOKUP(AA140,'G-3 Multipliers'!$L$3:$N$6,2,FALSE)=0,"Spatial Data Missing ⚠",VLOOKUP(AA140,'G-3 Multipliers'!$L$3:$N$6,2,FALSE)))</f>
        <v/>
      </c>
      <c r="AC140" s="305" t="str">
        <f>IF(AA140="","",IF(VLOOKUP(AA140,'G-3 Multipliers'!$L$3:$N$6,3,FALSE)=0,"Spatial Data Missing ⚠",VLOOKUP(AA140,'G-3 Multipliers'!$L$3:$N$6,3,FALSE)))</f>
        <v/>
      </c>
      <c r="AD140" s="317" t="str">
        <f t="shared" ref="AD140:AD203" si="21">IFERROR(IF(OR(LEFT(U140,5)="Error",LEFT(T140,5)="Error"),"Check Data ⚠",INDEX(EnhanceTemporal,MATCH(S140,EnhanceHabitat,0),MATCH(U140,EnhanceCondition,0))),"")</f>
        <v/>
      </c>
      <c r="AE140" s="142"/>
      <c r="AF140" s="142"/>
      <c r="AG140" s="301" t="str">
        <f t="shared" si="14"/>
        <v/>
      </c>
      <c r="AH140" s="302" t="str">
        <f t="shared" si="15"/>
        <v/>
      </c>
      <c r="AI140" s="306" t="str">
        <f>IF(AH140="Check Data ⚠","Check Data ⚠",IFERROR(VLOOKUP(AH140,'G-4 Temporal multipliers'!$A$4:$C$36,3,FALSE),""))</f>
        <v/>
      </c>
      <c r="AJ140" s="317" t="str">
        <f>IF(S140="","",VLOOKUP(S140,'G-3 Multipliers'!$A$2:$E$134,4,FALSE))</f>
        <v/>
      </c>
      <c r="AK140" s="301" t="str">
        <f t="shared" si="16"/>
        <v/>
      </c>
      <c r="AL140" s="301" t="str">
        <f t="shared" si="17"/>
        <v/>
      </c>
      <c r="AM140" s="305" t="str">
        <f>IFERROR(IF(F140="","",IF(AH140="Check Data ⚠","Check Data ⚠",VLOOKUP(AL140, 'G-3 Multipliers'!$P$2:$Q$6,2,FALSE))),"")</f>
        <v/>
      </c>
      <c r="AN140" s="728"/>
      <c r="AO140" s="335" t="str">
        <f>IF(AN140="","",IF(VLOOKUP(AN140,'G-3 Multipliers'!$S$3:$T$10,2,FALSE)=0,"Spatial Data Missing ⚠",VLOOKUP(AN140,'G-3 Multipliers'!$S$3:$T$10,2,FALSE)))</f>
        <v/>
      </c>
      <c r="AP140" s="295" t="str">
        <f t="shared" si="18"/>
        <v/>
      </c>
      <c r="AQ140" s="295" t="str">
        <f t="shared" si="19"/>
        <v/>
      </c>
      <c r="AR140" s="109"/>
      <c r="AS140" s="142"/>
      <c r="AT140" s="108"/>
      <c r="AU140" s="108"/>
      <c r="AY140" s="30" t="str">
        <f>IF(E140="","",IF(ISNA(VLOOKUP($E140,'D-1 Off-Site Habitat Baseline'!$D$1:$AV$258,4,FALSE)),"",(VLOOKUP($E140,'D-1 Off-Site Habitat Baseline'!$D$1:$AV$258,4,FALSE))))</f>
        <v/>
      </c>
    </row>
    <row r="141" spans="1:51" x14ac:dyDescent="0.25">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325" t="str">
        <f>'D-1 Off-Site Habitat Baseline'!AP140</f>
        <v/>
      </c>
      <c r="F141" s="289" t="str">
        <f>IF(E141="","",IF(ISNA(VLOOKUP($E141,'D-1 Off-Site Habitat Baseline'!$D$1:$ZZ$258,45,FALSE)),"",(VLOOKUP($E141,'D-1 Off-Site Habitat Baseline'!$D$1:$ZZ$258,45,FALSE))))</f>
        <v/>
      </c>
      <c r="G141" s="301" t="str">
        <f>IF(E141="","",IF(ISNA(VLOOKUP($E141,'D-1 Off-Site Habitat Baseline'!$D$1:$O$258,5,FALSE)),"",(VLOOKUP($E141,'D-1 Off-Site Habitat Baseline'!$D$1:$O$258,5,FALSE))))</f>
        <v/>
      </c>
      <c r="H141" s="301" t="str">
        <f>IF(E141="","",IF(ISNA(VLOOKUP($E141,'D-1 Off-Site Habitat Baseline'!$D$1:$O$258,6,FALSE)),"",(VLOOKUP($E141,'D-1 Off-Site Habitat Baseline'!$D$1:$O$258,6,FALSE))))</f>
        <v/>
      </c>
      <c r="I141" s="301" t="str">
        <f>IF(E141="","",IF(ISNA(VLOOKUP($E141,'D-1 Off-Site Habitat Baseline'!$D$1:$O$258,7,FALSE)),"",(VLOOKUP($E141,'D-1 Off-Site Habitat Baseline'!$D$1:$O$258,7,FALSE))))</f>
        <v/>
      </c>
      <c r="J141" s="301" t="str">
        <f>IF(E141="","",IF(ISNA(VLOOKUP($E141,'D-1 Off-Site Habitat Baseline'!$D$1:$O$258,8,FALSE)),"",(VLOOKUP($E141,'D-1 Off-Site Habitat Baseline'!$D$1:$O$258,8,FALSE))))</f>
        <v/>
      </c>
      <c r="K141" s="301" t="str">
        <f>IF(E141="","",IF(ISNA(VLOOKUP($E141,'D-1 Off-Site Habitat Baseline'!$D$1:$O$258,9,FALSE)),"",(VLOOKUP($E141,'D-1 Off-Site Habitat Baseline'!$D$1:$O$258,9,FALSE))))</f>
        <v/>
      </c>
      <c r="L141" s="301" t="str">
        <f>IF(E141="","",IF(ISNA(VLOOKUP($E141,'D-1 Off-Site Habitat Baseline'!$D$1:$O$258,11,FALSE)),"",(VLOOKUP($E141,'D-1 Off-Site Habitat Baseline'!$D$1:$O$258,11,FALSE))))</f>
        <v/>
      </c>
      <c r="M141" s="301" t="str">
        <f>IF(E141="","",IF(ISNA(VLOOKUP($E141,'D-1 Off-Site Habitat Baseline'!$D$1:$O$258,12,FALSE)),"",(VLOOKUP($E141,'D-1 Off-Site Habitat Baseline'!$D$1:$O$258,12,FALSE))))</f>
        <v/>
      </c>
      <c r="N141" s="301" t="str">
        <f>IF(E141="","",IF(ISNA(VLOOKUP($E141,'D-1 Off-Site Habitat Baseline'!$D$1:$AA$258,17,FALSE)),"",(VLOOKUP($E141,'D-1 Off-Site Habitat Baseline'!$D$1:$AA$258,17,FALSE))))</f>
        <v/>
      </c>
      <c r="O141" s="305" t="str">
        <f>IF(E141="","",IF(ISNA(VLOOKUP($E141,'D-1 Off-Site Habitat Baseline'!$D$1:$AA$258,13,FALSE)),"",(VLOOKUP($E141,'D-1 Off-Site Habitat Baseline'!$D$1:$AA$258,13,FALSE))))</f>
        <v/>
      </c>
      <c r="P141" s="152" t="str">
        <f>IFERROR(INDEX('G-1 All Habitats'!$AG$49:$AG$63,MATCH(Q141,'G-1 All Habitats'!$AF$27:$AF$41,0)),"")</f>
        <v/>
      </c>
      <c r="Q141" s="153"/>
      <c r="R141" s="154"/>
      <c r="S141" s="155" t="str">
        <f>IFERROR(INDEX('G-1 All Habitats'!$B$3:$B$135,MATCH(R141,'G-1 All Habitats'!$A$3:$A$135,0)),"")</f>
        <v/>
      </c>
      <c r="T141" s="289" t="str">
        <f t="shared" ref="T141:T204" si="22">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 IF(AND(R141="Littoral seagrass",F141&lt;&gt;"Intertidal sediment - Littoral seagrass", F141&lt;&gt;"Intertidal sediment - Littoral sand"),"Error - Enhancement not possible ▲",IF(AND(R141="Artificial hard structures with integrated greening of grey infrastructure (IGGI)",F141&lt;&gt;"Intertidal hard structures - Artificial hard structures with integrated greening of grey infrastructure (IGGI)", F141&lt;&gt;"Intertidal hard structures - Artificial hard structures", F141&lt;&gt;"Intertidal hard structures - Artificial features of hard structures"),"Error - Enhancement not possible ▲",H141&amp;" - "&amp;W141))))))))</f>
        <v/>
      </c>
      <c r="U141" s="305" t="str">
        <f t="shared" ref="U141:U204" si="23">IF(F141="","",IF(AND(S141&lt;&gt;F141,AY141="Yes"),"Error you cannot replace an irreplaceable habitat ▲",IF(AND(LEFT(F141,55)&lt;&gt;LEFT(S141,55),T141=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04" t="str">
        <f t="shared" si="20"/>
        <v/>
      </c>
      <c r="W141" s="301" t="str">
        <f>IF(S141="","",VLOOKUP(S141,'G-1 All Habitats'!$B$2:$M$135,10,FALSE))</f>
        <v/>
      </c>
      <c r="X141" s="301" t="str">
        <f>IFERROR(VLOOKUP(W141,'G-1 All Habitats'!$V$3:$W$7,2,FALSE),"")</f>
        <v/>
      </c>
      <c r="Y141" s="142"/>
      <c r="Z141" s="305" t="str">
        <f>IFERROR(INDEX('G-8 Condition Look up'!$A$3:$H$135,MATCH(S141,'G-8 Condition Look up'!$A$3:$A$135,0),MATCH(Y141,'G-8 Condition Look up'!$A$3:$H$3,0)),"")</f>
        <v/>
      </c>
      <c r="AA141" s="105"/>
      <c r="AB141" s="320" t="str">
        <f>IF(AA141="","",IF(VLOOKUP(AA141,'G-3 Multipliers'!$L$3:$N$6,2,FALSE)=0,"Spatial Data Missing ⚠",VLOOKUP(AA141,'G-3 Multipliers'!$L$3:$N$6,2,FALSE)))</f>
        <v/>
      </c>
      <c r="AC141" s="305" t="str">
        <f>IF(AA141="","",IF(VLOOKUP(AA141,'G-3 Multipliers'!$L$3:$N$6,3,FALSE)=0,"Spatial Data Missing ⚠",VLOOKUP(AA141,'G-3 Multipliers'!$L$3:$N$6,3,FALSE)))</f>
        <v/>
      </c>
      <c r="AD141" s="317" t="str">
        <f t="shared" si="21"/>
        <v/>
      </c>
      <c r="AE141" s="142"/>
      <c r="AF141" s="142"/>
      <c r="AG141" s="301" t="str">
        <f t="shared" ref="AG141:AG204" si="24">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02" t="str">
        <f t="shared" ref="AH141:AH204" si="25">IF(AG141="Error -both advance and delayed habitat creation ▲","Check Data ⚠",IF(AG141="Check Data ⚠","Check Data ⚠",IF(AD141="","",IF(AD141="Not Possible ▲","CheckData ⚠",IF(AND(AD141="30+",AE141=0),"30+",IF(AND(AD141="30+",AE141="30+"),0,IF(AND(AD141="30+",AE141&lt;30),30-AE141,IF(AD141="30+",30-AE141,IF(AF141="30+","30+",IF(AE141&gt;AD141,0,IF(AD141+AF141&gt;30,"30+",IF(AD141+AF141&gt;30,"30+",IF(AD141-AE141&gt;30,"30+",IF(AD141+AF141-AE141&gt;0,AD141+AF141-AE141,IF(AD141-AE141&gt;0,AD141-AE141,AD141+AF141-AE141)))))))))))))))</f>
        <v/>
      </c>
      <c r="AI141" s="306" t="str">
        <f>IF(AH141="Check Data ⚠","Check Data ⚠",IFERROR(VLOOKUP(AH141,'G-4 Temporal multipliers'!$A$4:$C$36,3,FALSE),""))</f>
        <v/>
      </c>
      <c r="AJ141" s="317" t="str">
        <f>IF(S141="","",VLOOKUP(S141,'G-3 Multipliers'!$A$2:$E$134,4,FALSE))</f>
        <v/>
      </c>
      <c r="AK141" s="301" t="str">
        <f t="shared" ref="AK141:AK204" si="26">IF(E141="","",IF(AG141="Check details - Is there evidence that habitat has reached target condition? ⚠","Low Difficulty - only applicable if all habitat created before losses ⚠","Standard difficulty applied"))</f>
        <v/>
      </c>
      <c r="AL141" s="301" t="str">
        <f t="shared" ref="AL141:AL204" si="27">(IF(AND(AK141="Standard difficulty applied",AD141&gt;AE141),AJ141,IF(AND(AK141="Low Difficulty - only applicable if all habitat created before losses ⚠",AE141&gt;=AD141),"Low", AJ141)))</f>
        <v/>
      </c>
      <c r="AM141" s="305" t="str">
        <f>IFERROR(IF(F141="","",IF(AH141="Check Data ⚠","Check Data ⚠",VLOOKUP(AL141, 'G-3 Multipliers'!$P$2:$Q$6,2,FALSE))),"")</f>
        <v/>
      </c>
      <c r="AN141" s="728"/>
      <c r="AO141" s="335" t="str">
        <f>IF(AN141="","",IF(VLOOKUP(AN141,'G-3 Multipliers'!$S$3:$T$10,2,FALSE)=0,"Spatial Data Missing ⚠",VLOOKUP(AN141,'G-3 Multipliers'!$S$3:$T$10,2,FALSE)))</f>
        <v/>
      </c>
      <c r="AP141" s="295" t="str">
        <f t="shared" ref="AP141:AP204" si="28">IFERROR(IF(N141="Check Data ⚠", "Check Data ⚠",(((((V141*X141*Z141)-(V141*I141*K141))*(AM141*AI141))+(V141*I141*K141))*(AC141)*AO141)),"")</f>
        <v/>
      </c>
      <c r="AQ141" s="295" t="str">
        <f t="shared" ref="AQ141:AQ204" si="29">IFERROR(IF(AN141="","", (IF(AND(AN141&lt;&gt;"",AU141=""), "Off-site reference required ▲",IF(N141="Error - you cannot enhance irreplaceable individual trees ▲", "Error - you cannot enhance irreplaceable individual trees ▲", IF(N141="Check Data ⚠", "Check Data ⚠",((((V141*X141*Z141)-(V141*I141*K141))*(AM141*AI141))+(V141*I141*K141))*(AC141)))))),"")</f>
        <v/>
      </c>
      <c r="AR141" s="109"/>
      <c r="AS141" s="142"/>
      <c r="AT141" s="108"/>
      <c r="AU141" s="108"/>
      <c r="AY141" s="30" t="str">
        <f>IF(E141="","",IF(ISNA(VLOOKUP($E141,'D-1 Off-Site Habitat Baseline'!$D$1:$AV$258,4,FALSE)),"",(VLOOKUP($E141,'D-1 Off-Site Habitat Baseline'!$D$1:$AV$258,4,FALSE))))</f>
        <v/>
      </c>
    </row>
    <row r="142" spans="1:51" x14ac:dyDescent="0.25">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325" t="str">
        <f>'D-1 Off-Site Habitat Baseline'!AP141</f>
        <v/>
      </c>
      <c r="F142" s="289" t="str">
        <f>IF(E142="","",IF(ISNA(VLOOKUP($E142,'D-1 Off-Site Habitat Baseline'!$D$1:$ZZ$258,45,FALSE)),"",(VLOOKUP($E142,'D-1 Off-Site Habitat Baseline'!$D$1:$ZZ$258,45,FALSE))))</f>
        <v/>
      </c>
      <c r="G142" s="301" t="str">
        <f>IF(E142="","",IF(ISNA(VLOOKUP($E142,'D-1 Off-Site Habitat Baseline'!$D$1:$O$258,5,FALSE)),"",(VLOOKUP($E142,'D-1 Off-Site Habitat Baseline'!$D$1:$O$258,5,FALSE))))</f>
        <v/>
      </c>
      <c r="H142" s="301" t="str">
        <f>IF(E142="","",IF(ISNA(VLOOKUP($E142,'D-1 Off-Site Habitat Baseline'!$D$1:$O$258,6,FALSE)),"",(VLOOKUP($E142,'D-1 Off-Site Habitat Baseline'!$D$1:$O$258,6,FALSE))))</f>
        <v/>
      </c>
      <c r="I142" s="301" t="str">
        <f>IF(E142="","",IF(ISNA(VLOOKUP($E142,'D-1 Off-Site Habitat Baseline'!$D$1:$O$258,7,FALSE)),"",(VLOOKUP($E142,'D-1 Off-Site Habitat Baseline'!$D$1:$O$258,7,FALSE))))</f>
        <v/>
      </c>
      <c r="J142" s="301" t="str">
        <f>IF(E142="","",IF(ISNA(VLOOKUP($E142,'D-1 Off-Site Habitat Baseline'!$D$1:$O$258,8,FALSE)),"",(VLOOKUP($E142,'D-1 Off-Site Habitat Baseline'!$D$1:$O$258,8,FALSE))))</f>
        <v/>
      </c>
      <c r="K142" s="301" t="str">
        <f>IF(E142="","",IF(ISNA(VLOOKUP($E142,'D-1 Off-Site Habitat Baseline'!$D$1:$O$258,9,FALSE)),"",(VLOOKUP($E142,'D-1 Off-Site Habitat Baseline'!$D$1:$O$258,9,FALSE))))</f>
        <v/>
      </c>
      <c r="L142" s="301" t="str">
        <f>IF(E142="","",IF(ISNA(VLOOKUP($E142,'D-1 Off-Site Habitat Baseline'!$D$1:$O$258,11,FALSE)),"",(VLOOKUP($E142,'D-1 Off-Site Habitat Baseline'!$D$1:$O$258,11,FALSE))))</f>
        <v/>
      </c>
      <c r="M142" s="301" t="str">
        <f>IF(E142="","",IF(ISNA(VLOOKUP($E142,'D-1 Off-Site Habitat Baseline'!$D$1:$O$258,12,FALSE)),"",(VLOOKUP($E142,'D-1 Off-Site Habitat Baseline'!$D$1:$O$258,12,FALSE))))</f>
        <v/>
      </c>
      <c r="N142" s="301" t="str">
        <f>IF(E142="","",IF(ISNA(VLOOKUP($E142,'D-1 Off-Site Habitat Baseline'!$D$1:$AA$258,17,FALSE)),"",(VLOOKUP($E142,'D-1 Off-Site Habitat Baseline'!$D$1:$AA$258,17,FALSE))))</f>
        <v/>
      </c>
      <c r="O142" s="305" t="str">
        <f>IF(E142="","",IF(ISNA(VLOOKUP($E142,'D-1 Off-Site Habitat Baseline'!$D$1:$AA$258,13,FALSE)),"",(VLOOKUP($E142,'D-1 Off-Site Habitat Baseline'!$D$1:$AA$258,13,FALSE))))</f>
        <v/>
      </c>
      <c r="P142" s="152" t="str">
        <f>IFERROR(INDEX('G-1 All Habitats'!$AG$49:$AG$63,MATCH(Q142,'G-1 All Habitats'!$AF$27:$AF$41,0)),"")</f>
        <v/>
      </c>
      <c r="Q142" s="153"/>
      <c r="R142" s="154"/>
      <c r="S142" s="155" t="str">
        <f>IFERROR(INDEX('G-1 All Habitats'!$B$3:$B$135,MATCH(R142,'G-1 All Habitats'!$A$3:$A$135,0)),"")</f>
        <v/>
      </c>
      <c r="T142" s="289" t="str">
        <f t="shared" si="22"/>
        <v/>
      </c>
      <c r="U142" s="305" t="str">
        <f t="shared" si="23"/>
        <v/>
      </c>
      <c r="V142" s="304" t="str">
        <f t="shared" si="20"/>
        <v/>
      </c>
      <c r="W142" s="301" t="str">
        <f>IF(S142="","",VLOOKUP(S142,'G-1 All Habitats'!$B$2:$M$135,10,FALSE))</f>
        <v/>
      </c>
      <c r="X142" s="301" t="str">
        <f>IFERROR(VLOOKUP(W142,'G-1 All Habitats'!$V$3:$W$7,2,FALSE),"")</f>
        <v/>
      </c>
      <c r="Y142" s="142"/>
      <c r="Z142" s="305" t="str">
        <f>IFERROR(INDEX('G-8 Condition Look up'!$A$3:$H$135,MATCH(S142,'G-8 Condition Look up'!$A$3:$A$135,0),MATCH(Y142,'G-8 Condition Look up'!$A$3:$H$3,0)),"")</f>
        <v/>
      </c>
      <c r="AA142" s="105"/>
      <c r="AB142" s="320" t="str">
        <f>IF(AA142="","",IF(VLOOKUP(AA142,'G-3 Multipliers'!$L$3:$N$6,2,FALSE)=0,"Spatial Data Missing ⚠",VLOOKUP(AA142,'G-3 Multipliers'!$L$3:$N$6,2,FALSE)))</f>
        <v/>
      </c>
      <c r="AC142" s="305" t="str">
        <f>IF(AA142="","",IF(VLOOKUP(AA142,'G-3 Multipliers'!$L$3:$N$6,3,FALSE)=0,"Spatial Data Missing ⚠",VLOOKUP(AA142,'G-3 Multipliers'!$L$3:$N$6,3,FALSE)))</f>
        <v/>
      </c>
      <c r="AD142" s="317" t="str">
        <f t="shared" si="21"/>
        <v/>
      </c>
      <c r="AE142" s="142"/>
      <c r="AF142" s="142"/>
      <c r="AG142" s="301" t="str">
        <f t="shared" si="24"/>
        <v/>
      </c>
      <c r="AH142" s="302" t="str">
        <f t="shared" si="25"/>
        <v/>
      </c>
      <c r="AI142" s="306" t="str">
        <f>IF(AH142="Check Data ⚠","Check Data ⚠",IFERROR(VLOOKUP(AH142,'G-4 Temporal multipliers'!$A$4:$C$36,3,FALSE),""))</f>
        <v/>
      </c>
      <c r="AJ142" s="317" t="str">
        <f>IF(S142="","",VLOOKUP(S142,'G-3 Multipliers'!$A$2:$E$134,4,FALSE))</f>
        <v/>
      </c>
      <c r="AK142" s="301" t="str">
        <f t="shared" si="26"/>
        <v/>
      </c>
      <c r="AL142" s="301" t="str">
        <f t="shared" si="27"/>
        <v/>
      </c>
      <c r="AM142" s="305" t="str">
        <f>IFERROR(IF(F142="","",IF(AH142="Check Data ⚠","Check Data ⚠",VLOOKUP(AL142, 'G-3 Multipliers'!$P$2:$Q$6,2,FALSE))),"")</f>
        <v/>
      </c>
      <c r="AN142" s="728"/>
      <c r="AO142" s="335" t="str">
        <f>IF(AN142="","",IF(VLOOKUP(AN142,'G-3 Multipliers'!$S$3:$T$10,2,FALSE)=0,"Spatial Data Missing ⚠",VLOOKUP(AN142,'G-3 Multipliers'!$S$3:$T$10,2,FALSE)))</f>
        <v/>
      </c>
      <c r="AP142" s="295" t="str">
        <f t="shared" si="28"/>
        <v/>
      </c>
      <c r="AQ142" s="295" t="str">
        <f t="shared" si="29"/>
        <v/>
      </c>
      <c r="AR142" s="109"/>
      <c r="AS142" s="142"/>
      <c r="AT142" s="108"/>
      <c r="AU142" s="108"/>
      <c r="AY142" s="30" t="str">
        <f>IF(E142="","",IF(ISNA(VLOOKUP($E142,'D-1 Off-Site Habitat Baseline'!$D$1:$AV$258,4,FALSE)),"",(VLOOKUP($E142,'D-1 Off-Site Habitat Baseline'!$D$1:$AV$258,4,FALSE))))</f>
        <v/>
      </c>
    </row>
    <row r="143" spans="1:51" x14ac:dyDescent="0.25">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325" t="str">
        <f>'D-1 Off-Site Habitat Baseline'!AP142</f>
        <v/>
      </c>
      <c r="F143" s="289" t="str">
        <f>IF(E143="","",IF(ISNA(VLOOKUP($E143,'D-1 Off-Site Habitat Baseline'!$D$1:$ZZ$258,45,FALSE)),"",(VLOOKUP($E143,'D-1 Off-Site Habitat Baseline'!$D$1:$ZZ$258,45,FALSE))))</f>
        <v/>
      </c>
      <c r="G143" s="301" t="str">
        <f>IF(E143="","",IF(ISNA(VLOOKUP($E143,'D-1 Off-Site Habitat Baseline'!$D$1:$O$258,5,FALSE)),"",(VLOOKUP($E143,'D-1 Off-Site Habitat Baseline'!$D$1:$O$258,5,FALSE))))</f>
        <v/>
      </c>
      <c r="H143" s="301" t="str">
        <f>IF(E143="","",IF(ISNA(VLOOKUP($E143,'D-1 Off-Site Habitat Baseline'!$D$1:$O$258,6,FALSE)),"",(VLOOKUP($E143,'D-1 Off-Site Habitat Baseline'!$D$1:$O$258,6,FALSE))))</f>
        <v/>
      </c>
      <c r="I143" s="301" t="str">
        <f>IF(E143="","",IF(ISNA(VLOOKUP($E143,'D-1 Off-Site Habitat Baseline'!$D$1:$O$258,7,FALSE)),"",(VLOOKUP($E143,'D-1 Off-Site Habitat Baseline'!$D$1:$O$258,7,FALSE))))</f>
        <v/>
      </c>
      <c r="J143" s="301" t="str">
        <f>IF(E143="","",IF(ISNA(VLOOKUP($E143,'D-1 Off-Site Habitat Baseline'!$D$1:$O$258,8,FALSE)),"",(VLOOKUP($E143,'D-1 Off-Site Habitat Baseline'!$D$1:$O$258,8,FALSE))))</f>
        <v/>
      </c>
      <c r="K143" s="301" t="str">
        <f>IF(E143="","",IF(ISNA(VLOOKUP($E143,'D-1 Off-Site Habitat Baseline'!$D$1:$O$258,9,FALSE)),"",(VLOOKUP($E143,'D-1 Off-Site Habitat Baseline'!$D$1:$O$258,9,FALSE))))</f>
        <v/>
      </c>
      <c r="L143" s="301" t="str">
        <f>IF(E143="","",IF(ISNA(VLOOKUP($E143,'D-1 Off-Site Habitat Baseline'!$D$1:$O$258,11,FALSE)),"",(VLOOKUP($E143,'D-1 Off-Site Habitat Baseline'!$D$1:$O$258,11,FALSE))))</f>
        <v/>
      </c>
      <c r="M143" s="301" t="str">
        <f>IF(E143="","",IF(ISNA(VLOOKUP($E143,'D-1 Off-Site Habitat Baseline'!$D$1:$O$258,12,FALSE)),"",(VLOOKUP($E143,'D-1 Off-Site Habitat Baseline'!$D$1:$O$258,12,FALSE))))</f>
        <v/>
      </c>
      <c r="N143" s="301" t="str">
        <f>IF(E143="","",IF(ISNA(VLOOKUP($E143,'D-1 Off-Site Habitat Baseline'!$D$1:$AA$258,17,FALSE)),"",(VLOOKUP($E143,'D-1 Off-Site Habitat Baseline'!$D$1:$AA$258,17,FALSE))))</f>
        <v/>
      </c>
      <c r="O143" s="305" t="str">
        <f>IF(E143="","",IF(ISNA(VLOOKUP($E143,'D-1 Off-Site Habitat Baseline'!$D$1:$AA$258,13,FALSE)),"",(VLOOKUP($E143,'D-1 Off-Site Habitat Baseline'!$D$1:$AA$258,13,FALSE))))</f>
        <v/>
      </c>
      <c r="P143" s="152" t="str">
        <f>IFERROR(INDEX('G-1 All Habitats'!$AG$49:$AG$63,MATCH(Q143,'G-1 All Habitats'!$AF$27:$AF$41,0)),"")</f>
        <v/>
      </c>
      <c r="Q143" s="153"/>
      <c r="R143" s="154"/>
      <c r="S143" s="155" t="str">
        <f>IFERROR(INDEX('G-1 All Habitats'!$B$3:$B$135,MATCH(R143,'G-1 All Habitats'!$A$3:$A$135,0)),"")</f>
        <v/>
      </c>
      <c r="T143" s="289" t="str">
        <f t="shared" si="22"/>
        <v/>
      </c>
      <c r="U143" s="305" t="str">
        <f t="shared" si="23"/>
        <v/>
      </c>
      <c r="V143" s="304" t="str">
        <f t="shared" si="20"/>
        <v/>
      </c>
      <c r="W143" s="301" t="str">
        <f>IF(S143="","",VLOOKUP(S143,'G-1 All Habitats'!$B$2:$M$135,10,FALSE))</f>
        <v/>
      </c>
      <c r="X143" s="301" t="str">
        <f>IFERROR(VLOOKUP(W143,'G-1 All Habitats'!$V$3:$W$7,2,FALSE),"")</f>
        <v/>
      </c>
      <c r="Y143" s="142"/>
      <c r="Z143" s="305" t="str">
        <f>IFERROR(INDEX('G-8 Condition Look up'!$A$3:$H$135,MATCH(S143,'G-8 Condition Look up'!$A$3:$A$135,0),MATCH(Y143,'G-8 Condition Look up'!$A$3:$H$3,0)),"")</f>
        <v/>
      </c>
      <c r="AA143" s="105"/>
      <c r="AB143" s="320" t="str">
        <f>IF(AA143="","",IF(VLOOKUP(AA143,'G-3 Multipliers'!$L$3:$N$6,2,FALSE)=0,"Spatial Data Missing ⚠",VLOOKUP(AA143,'G-3 Multipliers'!$L$3:$N$6,2,FALSE)))</f>
        <v/>
      </c>
      <c r="AC143" s="305" t="str">
        <f>IF(AA143="","",IF(VLOOKUP(AA143,'G-3 Multipliers'!$L$3:$N$6,3,FALSE)=0,"Spatial Data Missing ⚠",VLOOKUP(AA143,'G-3 Multipliers'!$L$3:$N$6,3,FALSE)))</f>
        <v/>
      </c>
      <c r="AD143" s="317" t="str">
        <f t="shared" si="21"/>
        <v/>
      </c>
      <c r="AE143" s="142"/>
      <c r="AF143" s="142"/>
      <c r="AG143" s="301" t="str">
        <f t="shared" si="24"/>
        <v/>
      </c>
      <c r="AH143" s="302" t="str">
        <f t="shared" si="25"/>
        <v/>
      </c>
      <c r="AI143" s="306" t="str">
        <f>IF(AH143="Check Data ⚠","Check Data ⚠",IFERROR(VLOOKUP(AH143,'G-4 Temporal multipliers'!$A$4:$C$36,3,FALSE),""))</f>
        <v/>
      </c>
      <c r="AJ143" s="317" t="str">
        <f>IF(S143="","",VLOOKUP(S143,'G-3 Multipliers'!$A$2:$E$134,4,FALSE))</f>
        <v/>
      </c>
      <c r="AK143" s="301" t="str">
        <f t="shared" si="26"/>
        <v/>
      </c>
      <c r="AL143" s="301" t="str">
        <f t="shared" si="27"/>
        <v/>
      </c>
      <c r="AM143" s="305" t="str">
        <f>IFERROR(IF(F143="","",IF(AH143="Check Data ⚠","Check Data ⚠",VLOOKUP(AL143, 'G-3 Multipliers'!$P$2:$Q$6,2,FALSE))),"")</f>
        <v/>
      </c>
      <c r="AN143" s="728"/>
      <c r="AO143" s="335" t="str">
        <f>IF(AN143="","",IF(VLOOKUP(AN143,'G-3 Multipliers'!$S$3:$T$10,2,FALSE)=0,"Spatial Data Missing ⚠",VLOOKUP(AN143,'G-3 Multipliers'!$S$3:$T$10,2,FALSE)))</f>
        <v/>
      </c>
      <c r="AP143" s="295" t="str">
        <f t="shared" si="28"/>
        <v/>
      </c>
      <c r="AQ143" s="295" t="str">
        <f t="shared" si="29"/>
        <v/>
      </c>
      <c r="AR143" s="109"/>
      <c r="AS143" s="142"/>
      <c r="AT143" s="108"/>
      <c r="AU143" s="108"/>
      <c r="AY143" s="30" t="str">
        <f>IF(E143="","",IF(ISNA(VLOOKUP($E143,'D-1 Off-Site Habitat Baseline'!$D$1:$AV$258,4,FALSE)),"",(VLOOKUP($E143,'D-1 Off-Site Habitat Baseline'!$D$1:$AV$258,4,FALSE))))</f>
        <v/>
      </c>
    </row>
    <row r="144" spans="1:51" x14ac:dyDescent="0.25">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325" t="str">
        <f>'D-1 Off-Site Habitat Baseline'!AP143</f>
        <v/>
      </c>
      <c r="F144" s="289" t="str">
        <f>IF(E144="","",IF(ISNA(VLOOKUP($E144,'D-1 Off-Site Habitat Baseline'!$D$1:$ZZ$258,45,FALSE)),"",(VLOOKUP($E144,'D-1 Off-Site Habitat Baseline'!$D$1:$ZZ$258,45,FALSE))))</f>
        <v/>
      </c>
      <c r="G144" s="301" t="str">
        <f>IF(E144="","",IF(ISNA(VLOOKUP($E144,'D-1 Off-Site Habitat Baseline'!$D$1:$O$258,5,FALSE)),"",(VLOOKUP($E144,'D-1 Off-Site Habitat Baseline'!$D$1:$O$258,5,FALSE))))</f>
        <v/>
      </c>
      <c r="H144" s="301" t="str">
        <f>IF(E144="","",IF(ISNA(VLOOKUP($E144,'D-1 Off-Site Habitat Baseline'!$D$1:$O$258,6,FALSE)),"",(VLOOKUP($E144,'D-1 Off-Site Habitat Baseline'!$D$1:$O$258,6,FALSE))))</f>
        <v/>
      </c>
      <c r="I144" s="301" t="str">
        <f>IF(E144="","",IF(ISNA(VLOOKUP($E144,'D-1 Off-Site Habitat Baseline'!$D$1:$O$258,7,FALSE)),"",(VLOOKUP($E144,'D-1 Off-Site Habitat Baseline'!$D$1:$O$258,7,FALSE))))</f>
        <v/>
      </c>
      <c r="J144" s="301" t="str">
        <f>IF(E144="","",IF(ISNA(VLOOKUP($E144,'D-1 Off-Site Habitat Baseline'!$D$1:$O$258,8,FALSE)),"",(VLOOKUP($E144,'D-1 Off-Site Habitat Baseline'!$D$1:$O$258,8,FALSE))))</f>
        <v/>
      </c>
      <c r="K144" s="301" t="str">
        <f>IF(E144="","",IF(ISNA(VLOOKUP($E144,'D-1 Off-Site Habitat Baseline'!$D$1:$O$258,9,FALSE)),"",(VLOOKUP($E144,'D-1 Off-Site Habitat Baseline'!$D$1:$O$258,9,FALSE))))</f>
        <v/>
      </c>
      <c r="L144" s="301" t="str">
        <f>IF(E144="","",IF(ISNA(VLOOKUP($E144,'D-1 Off-Site Habitat Baseline'!$D$1:$O$258,11,FALSE)),"",(VLOOKUP($E144,'D-1 Off-Site Habitat Baseline'!$D$1:$O$258,11,FALSE))))</f>
        <v/>
      </c>
      <c r="M144" s="301" t="str">
        <f>IF(E144="","",IF(ISNA(VLOOKUP($E144,'D-1 Off-Site Habitat Baseline'!$D$1:$O$258,12,FALSE)),"",(VLOOKUP($E144,'D-1 Off-Site Habitat Baseline'!$D$1:$O$258,12,FALSE))))</f>
        <v/>
      </c>
      <c r="N144" s="301" t="str">
        <f>IF(E144="","",IF(ISNA(VLOOKUP($E144,'D-1 Off-Site Habitat Baseline'!$D$1:$AA$258,17,FALSE)),"",(VLOOKUP($E144,'D-1 Off-Site Habitat Baseline'!$D$1:$AA$258,17,FALSE))))</f>
        <v/>
      </c>
      <c r="O144" s="305" t="str">
        <f>IF(E144="","",IF(ISNA(VLOOKUP($E144,'D-1 Off-Site Habitat Baseline'!$D$1:$AA$258,13,FALSE)),"",(VLOOKUP($E144,'D-1 Off-Site Habitat Baseline'!$D$1:$AA$258,13,FALSE))))</f>
        <v/>
      </c>
      <c r="P144" s="152" t="str">
        <f>IFERROR(INDEX('G-1 All Habitats'!$AG$49:$AG$63,MATCH(Q144,'G-1 All Habitats'!$AF$27:$AF$41,0)),"")</f>
        <v/>
      </c>
      <c r="Q144" s="153"/>
      <c r="R144" s="154"/>
      <c r="S144" s="155" t="str">
        <f>IFERROR(INDEX('G-1 All Habitats'!$B$3:$B$135,MATCH(R144,'G-1 All Habitats'!$A$3:$A$135,0)),"")</f>
        <v/>
      </c>
      <c r="T144" s="289" t="str">
        <f t="shared" si="22"/>
        <v/>
      </c>
      <c r="U144" s="305" t="str">
        <f t="shared" si="23"/>
        <v/>
      </c>
      <c r="V144" s="304" t="str">
        <f t="shared" si="20"/>
        <v/>
      </c>
      <c r="W144" s="301" t="str">
        <f>IF(S144="","",VLOOKUP(S144,'G-1 All Habitats'!$B$2:$M$135,10,FALSE))</f>
        <v/>
      </c>
      <c r="X144" s="301" t="str">
        <f>IFERROR(VLOOKUP(W144,'G-1 All Habitats'!$V$3:$W$7,2,FALSE),"")</f>
        <v/>
      </c>
      <c r="Y144" s="142"/>
      <c r="Z144" s="305" t="str">
        <f>IFERROR(INDEX('G-8 Condition Look up'!$A$3:$H$135,MATCH(S144,'G-8 Condition Look up'!$A$3:$A$135,0),MATCH(Y144,'G-8 Condition Look up'!$A$3:$H$3,0)),"")</f>
        <v/>
      </c>
      <c r="AA144" s="105"/>
      <c r="AB144" s="320" t="str">
        <f>IF(AA144="","",IF(VLOOKUP(AA144,'G-3 Multipliers'!$L$3:$N$6,2,FALSE)=0,"Spatial Data Missing ⚠",VLOOKUP(AA144,'G-3 Multipliers'!$L$3:$N$6,2,FALSE)))</f>
        <v/>
      </c>
      <c r="AC144" s="305" t="str">
        <f>IF(AA144="","",IF(VLOOKUP(AA144,'G-3 Multipliers'!$L$3:$N$6,3,FALSE)=0,"Spatial Data Missing ⚠",VLOOKUP(AA144,'G-3 Multipliers'!$L$3:$N$6,3,FALSE)))</f>
        <v/>
      </c>
      <c r="AD144" s="317" t="str">
        <f t="shared" si="21"/>
        <v/>
      </c>
      <c r="AE144" s="142"/>
      <c r="AF144" s="142"/>
      <c r="AG144" s="301" t="str">
        <f t="shared" si="24"/>
        <v/>
      </c>
      <c r="AH144" s="302" t="str">
        <f t="shared" si="25"/>
        <v/>
      </c>
      <c r="AI144" s="306" t="str">
        <f>IF(AH144="Check Data ⚠","Check Data ⚠",IFERROR(VLOOKUP(AH144,'G-4 Temporal multipliers'!$A$4:$C$36,3,FALSE),""))</f>
        <v/>
      </c>
      <c r="AJ144" s="317" t="str">
        <f>IF(S144="","",VLOOKUP(S144,'G-3 Multipliers'!$A$2:$E$134,4,FALSE))</f>
        <v/>
      </c>
      <c r="AK144" s="301" t="str">
        <f t="shared" si="26"/>
        <v/>
      </c>
      <c r="AL144" s="301" t="str">
        <f t="shared" si="27"/>
        <v/>
      </c>
      <c r="AM144" s="305" t="str">
        <f>IFERROR(IF(F144="","",IF(AH144="Check Data ⚠","Check Data ⚠",VLOOKUP(AL144, 'G-3 Multipliers'!$P$2:$Q$6,2,FALSE))),"")</f>
        <v/>
      </c>
      <c r="AN144" s="728"/>
      <c r="AO144" s="335" t="str">
        <f>IF(AN144="","",IF(VLOOKUP(AN144,'G-3 Multipliers'!$S$3:$T$10,2,FALSE)=0,"Spatial Data Missing ⚠",VLOOKUP(AN144,'G-3 Multipliers'!$S$3:$T$10,2,FALSE)))</f>
        <v/>
      </c>
      <c r="AP144" s="295" t="str">
        <f t="shared" si="28"/>
        <v/>
      </c>
      <c r="AQ144" s="295" t="str">
        <f t="shared" si="29"/>
        <v/>
      </c>
      <c r="AR144" s="109"/>
      <c r="AS144" s="142"/>
      <c r="AT144" s="108"/>
      <c r="AU144" s="108"/>
      <c r="AY144" s="30" t="str">
        <f>IF(E144="","",IF(ISNA(VLOOKUP($E144,'D-1 Off-Site Habitat Baseline'!$D$1:$AV$258,4,FALSE)),"",(VLOOKUP($E144,'D-1 Off-Site Habitat Baseline'!$D$1:$AV$258,4,FALSE))))</f>
        <v/>
      </c>
    </row>
    <row r="145" spans="1:51" x14ac:dyDescent="0.25">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325" t="str">
        <f>'D-1 Off-Site Habitat Baseline'!AP144</f>
        <v/>
      </c>
      <c r="F145" s="289" t="str">
        <f>IF(E145="","",IF(ISNA(VLOOKUP($E145,'D-1 Off-Site Habitat Baseline'!$D$1:$ZZ$258,45,FALSE)),"",(VLOOKUP($E145,'D-1 Off-Site Habitat Baseline'!$D$1:$ZZ$258,45,FALSE))))</f>
        <v/>
      </c>
      <c r="G145" s="301" t="str">
        <f>IF(E145="","",IF(ISNA(VLOOKUP($E145,'D-1 Off-Site Habitat Baseline'!$D$1:$O$258,5,FALSE)),"",(VLOOKUP($E145,'D-1 Off-Site Habitat Baseline'!$D$1:$O$258,5,FALSE))))</f>
        <v/>
      </c>
      <c r="H145" s="301" t="str">
        <f>IF(E145="","",IF(ISNA(VLOOKUP($E145,'D-1 Off-Site Habitat Baseline'!$D$1:$O$258,6,FALSE)),"",(VLOOKUP($E145,'D-1 Off-Site Habitat Baseline'!$D$1:$O$258,6,FALSE))))</f>
        <v/>
      </c>
      <c r="I145" s="301" t="str">
        <f>IF(E145="","",IF(ISNA(VLOOKUP($E145,'D-1 Off-Site Habitat Baseline'!$D$1:$O$258,7,FALSE)),"",(VLOOKUP($E145,'D-1 Off-Site Habitat Baseline'!$D$1:$O$258,7,FALSE))))</f>
        <v/>
      </c>
      <c r="J145" s="301" t="str">
        <f>IF(E145="","",IF(ISNA(VLOOKUP($E145,'D-1 Off-Site Habitat Baseline'!$D$1:$O$258,8,FALSE)),"",(VLOOKUP($E145,'D-1 Off-Site Habitat Baseline'!$D$1:$O$258,8,FALSE))))</f>
        <v/>
      </c>
      <c r="K145" s="301" t="str">
        <f>IF(E145="","",IF(ISNA(VLOOKUP($E145,'D-1 Off-Site Habitat Baseline'!$D$1:$O$258,9,FALSE)),"",(VLOOKUP($E145,'D-1 Off-Site Habitat Baseline'!$D$1:$O$258,9,FALSE))))</f>
        <v/>
      </c>
      <c r="L145" s="301" t="str">
        <f>IF(E145="","",IF(ISNA(VLOOKUP($E145,'D-1 Off-Site Habitat Baseline'!$D$1:$O$258,11,FALSE)),"",(VLOOKUP($E145,'D-1 Off-Site Habitat Baseline'!$D$1:$O$258,11,FALSE))))</f>
        <v/>
      </c>
      <c r="M145" s="301" t="str">
        <f>IF(E145="","",IF(ISNA(VLOOKUP($E145,'D-1 Off-Site Habitat Baseline'!$D$1:$O$258,12,FALSE)),"",(VLOOKUP($E145,'D-1 Off-Site Habitat Baseline'!$D$1:$O$258,12,FALSE))))</f>
        <v/>
      </c>
      <c r="N145" s="301" t="str">
        <f>IF(E145="","",IF(ISNA(VLOOKUP($E145,'D-1 Off-Site Habitat Baseline'!$D$1:$AA$258,17,FALSE)),"",(VLOOKUP($E145,'D-1 Off-Site Habitat Baseline'!$D$1:$AA$258,17,FALSE))))</f>
        <v/>
      </c>
      <c r="O145" s="305" t="str">
        <f>IF(E145="","",IF(ISNA(VLOOKUP($E145,'D-1 Off-Site Habitat Baseline'!$D$1:$AA$258,13,FALSE)),"",(VLOOKUP($E145,'D-1 Off-Site Habitat Baseline'!$D$1:$AA$258,13,FALSE))))</f>
        <v/>
      </c>
      <c r="P145" s="152" t="str">
        <f>IFERROR(INDEX('G-1 All Habitats'!$AG$49:$AG$63,MATCH(Q145,'G-1 All Habitats'!$AF$27:$AF$41,0)),"")</f>
        <v/>
      </c>
      <c r="Q145" s="153"/>
      <c r="R145" s="154"/>
      <c r="S145" s="155" t="str">
        <f>IFERROR(INDEX('G-1 All Habitats'!$B$3:$B$135,MATCH(R145,'G-1 All Habitats'!$A$3:$A$135,0)),"")</f>
        <v/>
      </c>
      <c r="T145" s="289" t="str">
        <f t="shared" si="22"/>
        <v/>
      </c>
      <c r="U145" s="305" t="str">
        <f t="shared" si="23"/>
        <v/>
      </c>
      <c r="V145" s="304" t="str">
        <f t="shared" si="20"/>
        <v/>
      </c>
      <c r="W145" s="301" t="str">
        <f>IF(S145="","",VLOOKUP(S145,'G-1 All Habitats'!$B$2:$M$135,10,FALSE))</f>
        <v/>
      </c>
      <c r="X145" s="301" t="str">
        <f>IFERROR(VLOOKUP(W145,'G-1 All Habitats'!$V$3:$W$7,2,FALSE),"")</f>
        <v/>
      </c>
      <c r="Y145" s="142"/>
      <c r="Z145" s="305" t="str">
        <f>IFERROR(INDEX('G-8 Condition Look up'!$A$3:$H$135,MATCH(S145,'G-8 Condition Look up'!$A$3:$A$135,0),MATCH(Y145,'G-8 Condition Look up'!$A$3:$H$3,0)),"")</f>
        <v/>
      </c>
      <c r="AA145" s="105"/>
      <c r="AB145" s="320" t="str">
        <f>IF(AA145="","",IF(VLOOKUP(AA145,'G-3 Multipliers'!$L$3:$N$6,2,FALSE)=0,"Spatial Data Missing ⚠",VLOOKUP(AA145,'G-3 Multipliers'!$L$3:$N$6,2,FALSE)))</f>
        <v/>
      </c>
      <c r="AC145" s="305" t="str">
        <f>IF(AA145="","",IF(VLOOKUP(AA145,'G-3 Multipliers'!$L$3:$N$6,3,FALSE)=0,"Spatial Data Missing ⚠",VLOOKUP(AA145,'G-3 Multipliers'!$L$3:$N$6,3,FALSE)))</f>
        <v/>
      </c>
      <c r="AD145" s="317" t="str">
        <f t="shared" si="21"/>
        <v/>
      </c>
      <c r="AE145" s="142"/>
      <c r="AF145" s="142"/>
      <c r="AG145" s="301" t="str">
        <f t="shared" si="24"/>
        <v/>
      </c>
      <c r="AH145" s="302" t="str">
        <f t="shared" si="25"/>
        <v/>
      </c>
      <c r="AI145" s="306" t="str">
        <f>IF(AH145="Check Data ⚠","Check Data ⚠",IFERROR(VLOOKUP(AH145,'G-4 Temporal multipliers'!$A$4:$C$36,3,FALSE),""))</f>
        <v/>
      </c>
      <c r="AJ145" s="317" t="str">
        <f>IF(S145="","",VLOOKUP(S145,'G-3 Multipliers'!$A$2:$E$134,4,FALSE))</f>
        <v/>
      </c>
      <c r="AK145" s="301" t="str">
        <f t="shared" si="26"/>
        <v/>
      </c>
      <c r="AL145" s="301" t="str">
        <f t="shared" si="27"/>
        <v/>
      </c>
      <c r="AM145" s="305" t="str">
        <f>IFERROR(IF(F145="","",IF(AH145="Check Data ⚠","Check Data ⚠",VLOOKUP(AL145, 'G-3 Multipliers'!$P$2:$Q$6,2,FALSE))),"")</f>
        <v/>
      </c>
      <c r="AN145" s="728"/>
      <c r="AO145" s="335" t="str">
        <f>IF(AN145="","",IF(VLOOKUP(AN145,'G-3 Multipliers'!$S$3:$T$10,2,FALSE)=0,"Spatial Data Missing ⚠",VLOOKUP(AN145,'G-3 Multipliers'!$S$3:$T$10,2,FALSE)))</f>
        <v/>
      </c>
      <c r="AP145" s="295" t="str">
        <f t="shared" si="28"/>
        <v/>
      </c>
      <c r="AQ145" s="295" t="str">
        <f t="shared" si="29"/>
        <v/>
      </c>
      <c r="AR145" s="109"/>
      <c r="AS145" s="142"/>
      <c r="AT145" s="108"/>
      <c r="AU145" s="108"/>
      <c r="AY145" s="30" t="str">
        <f>IF(E145="","",IF(ISNA(VLOOKUP($E145,'D-1 Off-Site Habitat Baseline'!$D$1:$AV$258,4,FALSE)),"",(VLOOKUP($E145,'D-1 Off-Site Habitat Baseline'!$D$1:$AV$258,4,FALSE))))</f>
        <v/>
      </c>
    </row>
    <row r="146" spans="1:51" x14ac:dyDescent="0.25">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325" t="str">
        <f>'D-1 Off-Site Habitat Baseline'!AP145</f>
        <v/>
      </c>
      <c r="F146" s="289" t="str">
        <f>IF(E146="","",IF(ISNA(VLOOKUP($E146,'D-1 Off-Site Habitat Baseline'!$D$1:$ZZ$258,45,FALSE)),"",(VLOOKUP($E146,'D-1 Off-Site Habitat Baseline'!$D$1:$ZZ$258,45,FALSE))))</f>
        <v/>
      </c>
      <c r="G146" s="301" t="str">
        <f>IF(E146="","",IF(ISNA(VLOOKUP($E146,'D-1 Off-Site Habitat Baseline'!$D$1:$O$258,5,FALSE)),"",(VLOOKUP($E146,'D-1 Off-Site Habitat Baseline'!$D$1:$O$258,5,FALSE))))</f>
        <v/>
      </c>
      <c r="H146" s="301" t="str">
        <f>IF(E146="","",IF(ISNA(VLOOKUP($E146,'D-1 Off-Site Habitat Baseline'!$D$1:$O$258,6,FALSE)),"",(VLOOKUP($E146,'D-1 Off-Site Habitat Baseline'!$D$1:$O$258,6,FALSE))))</f>
        <v/>
      </c>
      <c r="I146" s="301" t="str">
        <f>IF(E146="","",IF(ISNA(VLOOKUP($E146,'D-1 Off-Site Habitat Baseline'!$D$1:$O$258,7,FALSE)),"",(VLOOKUP($E146,'D-1 Off-Site Habitat Baseline'!$D$1:$O$258,7,FALSE))))</f>
        <v/>
      </c>
      <c r="J146" s="301" t="str">
        <f>IF(E146="","",IF(ISNA(VLOOKUP($E146,'D-1 Off-Site Habitat Baseline'!$D$1:$O$258,8,FALSE)),"",(VLOOKUP($E146,'D-1 Off-Site Habitat Baseline'!$D$1:$O$258,8,FALSE))))</f>
        <v/>
      </c>
      <c r="K146" s="301" t="str">
        <f>IF(E146="","",IF(ISNA(VLOOKUP($E146,'D-1 Off-Site Habitat Baseline'!$D$1:$O$258,9,FALSE)),"",(VLOOKUP($E146,'D-1 Off-Site Habitat Baseline'!$D$1:$O$258,9,FALSE))))</f>
        <v/>
      </c>
      <c r="L146" s="301" t="str">
        <f>IF(E146="","",IF(ISNA(VLOOKUP($E146,'D-1 Off-Site Habitat Baseline'!$D$1:$O$258,11,FALSE)),"",(VLOOKUP($E146,'D-1 Off-Site Habitat Baseline'!$D$1:$O$258,11,FALSE))))</f>
        <v/>
      </c>
      <c r="M146" s="301" t="str">
        <f>IF(E146="","",IF(ISNA(VLOOKUP($E146,'D-1 Off-Site Habitat Baseline'!$D$1:$O$258,12,FALSE)),"",(VLOOKUP($E146,'D-1 Off-Site Habitat Baseline'!$D$1:$O$258,12,FALSE))))</f>
        <v/>
      </c>
      <c r="N146" s="301" t="str">
        <f>IF(E146="","",IF(ISNA(VLOOKUP($E146,'D-1 Off-Site Habitat Baseline'!$D$1:$AA$258,17,FALSE)),"",(VLOOKUP($E146,'D-1 Off-Site Habitat Baseline'!$D$1:$AA$258,17,FALSE))))</f>
        <v/>
      </c>
      <c r="O146" s="305" t="str">
        <f>IF(E146="","",IF(ISNA(VLOOKUP($E146,'D-1 Off-Site Habitat Baseline'!$D$1:$AA$258,13,FALSE)),"",(VLOOKUP($E146,'D-1 Off-Site Habitat Baseline'!$D$1:$AA$258,13,FALSE))))</f>
        <v/>
      </c>
      <c r="P146" s="152" t="str">
        <f>IFERROR(INDEX('G-1 All Habitats'!$AG$49:$AG$63,MATCH(Q146,'G-1 All Habitats'!$AF$27:$AF$41,0)),"")</f>
        <v/>
      </c>
      <c r="Q146" s="153"/>
      <c r="R146" s="154"/>
      <c r="S146" s="155" t="str">
        <f>IFERROR(INDEX('G-1 All Habitats'!$B$3:$B$135,MATCH(R146,'G-1 All Habitats'!$A$3:$A$135,0)),"")</f>
        <v/>
      </c>
      <c r="T146" s="289" t="str">
        <f t="shared" si="22"/>
        <v/>
      </c>
      <c r="U146" s="305" t="str">
        <f t="shared" si="23"/>
        <v/>
      </c>
      <c r="V146" s="304" t="str">
        <f t="shared" si="20"/>
        <v/>
      </c>
      <c r="W146" s="301" t="str">
        <f>IF(S146="","",VLOOKUP(S146,'G-1 All Habitats'!$B$2:$M$135,10,FALSE))</f>
        <v/>
      </c>
      <c r="X146" s="301" t="str">
        <f>IFERROR(VLOOKUP(W146,'G-1 All Habitats'!$V$3:$W$7,2,FALSE),"")</f>
        <v/>
      </c>
      <c r="Y146" s="142"/>
      <c r="Z146" s="305" t="str">
        <f>IFERROR(INDEX('G-8 Condition Look up'!$A$3:$H$135,MATCH(S146,'G-8 Condition Look up'!$A$3:$A$135,0),MATCH(Y146,'G-8 Condition Look up'!$A$3:$H$3,0)),"")</f>
        <v/>
      </c>
      <c r="AA146" s="105"/>
      <c r="AB146" s="320" t="str">
        <f>IF(AA146="","",IF(VLOOKUP(AA146,'G-3 Multipliers'!$L$3:$N$6,2,FALSE)=0,"Spatial Data Missing ⚠",VLOOKUP(AA146,'G-3 Multipliers'!$L$3:$N$6,2,FALSE)))</f>
        <v/>
      </c>
      <c r="AC146" s="305" t="str">
        <f>IF(AA146="","",IF(VLOOKUP(AA146,'G-3 Multipliers'!$L$3:$N$6,3,FALSE)=0,"Spatial Data Missing ⚠",VLOOKUP(AA146,'G-3 Multipliers'!$L$3:$N$6,3,FALSE)))</f>
        <v/>
      </c>
      <c r="AD146" s="317" t="str">
        <f t="shared" si="21"/>
        <v/>
      </c>
      <c r="AE146" s="142"/>
      <c r="AF146" s="142"/>
      <c r="AG146" s="301" t="str">
        <f t="shared" si="24"/>
        <v/>
      </c>
      <c r="AH146" s="302" t="str">
        <f t="shared" si="25"/>
        <v/>
      </c>
      <c r="AI146" s="306" t="str">
        <f>IF(AH146="Check Data ⚠","Check Data ⚠",IFERROR(VLOOKUP(AH146,'G-4 Temporal multipliers'!$A$4:$C$36,3,FALSE),""))</f>
        <v/>
      </c>
      <c r="AJ146" s="317" t="str">
        <f>IF(S146="","",VLOOKUP(S146,'G-3 Multipliers'!$A$2:$E$134,4,FALSE))</f>
        <v/>
      </c>
      <c r="AK146" s="301" t="str">
        <f t="shared" si="26"/>
        <v/>
      </c>
      <c r="AL146" s="301" t="str">
        <f t="shared" si="27"/>
        <v/>
      </c>
      <c r="AM146" s="305" t="str">
        <f>IFERROR(IF(F146="","",IF(AH146="Check Data ⚠","Check Data ⚠",VLOOKUP(AL146, 'G-3 Multipliers'!$P$2:$Q$6,2,FALSE))),"")</f>
        <v/>
      </c>
      <c r="AN146" s="728"/>
      <c r="AO146" s="335" t="str">
        <f>IF(AN146="","",IF(VLOOKUP(AN146,'G-3 Multipliers'!$S$3:$T$10,2,FALSE)=0,"Spatial Data Missing ⚠",VLOOKUP(AN146,'G-3 Multipliers'!$S$3:$T$10,2,FALSE)))</f>
        <v/>
      </c>
      <c r="AP146" s="295" t="str">
        <f t="shared" si="28"/>
        <v/>
      </c>
      <c r="AQ146" s="295" t="str">
        <f t="shared" si="29"/>
        <v/>
      </c>
      <c r="AR146" s="109"/>
      <c r="AS146" s="142"/>
      <c r="AT146" s="108"/>
      <c r="AU146" s="108"/>
      <c r="AY146" s="30" t="str">
        <f>IF(E146="","",IF(ISNA(VLOOKUP($E146,'D-1 Off-Site Habitat Baseline'!$D$1:$AV$258,4,FALSE)),"",(VLOOKUP($E146,'D-1 Off-Site Habitat Baseline'!$D$1:$AV$258,4,FALSE))))</f>
        <v/>
      </c>
    </row>
    <row r="147" spans="1:51" x14ac:dyDescent="0.25">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325" t="str">
        <f>'D-1 Off-Site Habitat Baseline'!AP146</f>
        <v/>
      </c>
      <c r="F147" s="289" t="str">
        <f>IF(E147="","",IF(ISNA(VLOOKUP($E147,'D-1 Off-Site Habitat Baseline'!$D$1:$ZZ$258,45,FALSE)),"",(VLOOKUP($E147,'D-1 Off-Site Habitat Baseline'!$D$1:$ZZ$258,45,FALSE))))</f>
        <v/>
      </c>
      <c r="G147" s="301" t="str">
        <f>IF(E147="","",IF(ISNA(VLOOKUP($E147,'D-1 Off-Site Habitat Baseline'!$D$1:$O$258,5,FALSE)),"",(VLOOKUP($E147,'D-1 Off-Site Habitat Baseline'!$D$1:$O$258,5,FALSE))))</f>
        <v/>
      </c>
      <c r="H147" s="301" t="str">
        <f>IF(E147="","",IF(ISNA(VLOOKUP($E147,'D-1 Off-Site Habitat Baseline'!$D$1:$O$258,6,FALSE)),"",(VLOOKUP($E147,'D-1 Off-Site Habitat Baseline'!$D$1:$O$258,6,FALSE))))</f>
        <v/>
      </c>
      <c r="I147" s="301" t="str">
        <f>IF(E147="","",IF(ISNA(VLOOKUP($E147,'D-1 Off-Site Habitat Baseline'!$D$1:$O$258,7,FALSE)),"",(VLOOKUP($E147,'D-1 Off-Site Habitat Baseline'!$D$1:$O$258,7,FALSE))))</f>
        <v/>
      </c>
      <c r="J147" s="301" t="str">
        <f>IF(E147="","",IF(ISNA(VLOOKUP($E147,'D-1 Off-Site Habitat Baseline'!$D$1:$O$258,8,FALSE)),"",(VLOOKUP($E147,'D-1 Off-Site Habitat Baseline'!$D$1:$O$258,8,FALSE))))</f>
        <v/>
      </c>
      <c r="K147" s="301" t="str">
        <f>IF(E147="","",IF(ISNA(VLOOKUP($E147,'D-1 Off-Site Habitat Baseline'!$D$1:$O$258,9,FALSE)),"",(VLOOKUP($E147,'D-1 Off-Site Habitat Baseline'!$D$1:$O$258,9,FALSE))))</f>
        <v/>
      </c>
      <c r="L147" s="301" t="str">
        <f>IF(E147="","",IF(ISNA(VLOOKUP($E147,'D-1 Off-Site Habitat Baseline'!$D$1:$O$258,11,FALSE)),"",(VLOOKUP($E147,'D-1 Off-Site Habitat Baseline'!$D$1:$O$258,11,FALSE))))</f>
        <v/>
      </c>
      <c r="M147" s="301" t="str">
        <f>IF(E147="","",IF(ISNA(VLOOKUP($E147,'D-1 Off-Site Habitat Baseline'!$D$1:$O$258,12,FALSE)),"",(VLOOKUP($E147,'D-1 Off-Site Habitat Baseline'!$D$1:$O$258,12,FALSE))))</f>
        <v/>
      </c>
      <c r="N147" s="301" t="str">
        <f>IF(E147="","",IF(ISNA(VLOOKUP($E147,'D-1 Off-Site Habitat Baseline'!$D$1:$AA$258,17,FALSE)),"",(VLOOKUP($E147,'D-1 Off-Site Habitat Baseline'!$D$1:$AA$258,17,FALSE))))</f>
        <v/>
      </c>
      <c r="O147" s="305" t="str">
        <f>IF(E147="","",IF(ISNA(VLOOKUP($E147,'D-1 Off-Site Habitat Baseline'!$D$1:$AA$258,13,FALSE)),"",(VLOOKUP($E147,'D-1 Off-Site Habitat Baseline'!$D$1:$AA$258,13,FALSE))))</f>
        <v/>
      </c>
      <c r="P147" s="152" t="str">
        <f>IFERROR(INDEX('G-1 All Habitats'!$AG$49:$AG$63,MATCH(Q147,'G-1 All Habitats'!$AF$27:$AF$41,0)),"")</f>
        <v/>
      </c>
      <c r="Q147" s="153"/>
      <c r="R147" s="154"/>
      <c r="S147" s="155" t="str">
        <f>IFERROR(INDEX('G-1 All Habitats'!$B$3:$B$135,MATCH(R147,'G-1 All Habitats'!$A$3:$A$135,0)),"")</f>
        <v/>
      </c>
      <c r="T147" s="289" t="str">
        <f t="shared" si="22"/>
        <v/>
      </c>
      <c r="U147" s="305" t="str">
        <f t="shared" si="23"/>
        <v/>
      </c>
      <c r="V147" s="304" t="str">
        <f t="shared" si="20"/>
        <v/>
      </c>
      <c r="W147" s="301" t="str">
        <f>IF(S147="","",VLOOKUP(S147,'G-1 All Habitats'!$B$2:$M$135,10,FALSE))</f>
        <v/>
      </c>
      <c r="X147" s="301" t="str">
        <f>IFERROR(VLOOKUP(W147,'G-1 All Habitats'!$V$3:$W$7,2,FALSE),"")</f>
        <v/>
      </c>
      <c r="Y147" s="142"/>
      <c r="Z147" s="305" t="str">
        <f>IFERROR(INDEX('G-8 Condition Look up'!$A$3:$H$135,MATCH(S147,'G-8 Condition Look up'!$A$3:$A$135,0),MATCH(Y147,'G-8 Condition Look up'!$A$3:$H$3,0)),"")</f>
        <v/>
      </c>
      <c r="AA147" s="105"/>
      <c r="AB147" s="320" t="str">
        <f>IF(AA147="","",IF(VLOOKUP(AA147,'G-3 Multipliers'!$L$3:$N$6,2,FALSE)=0,"Spatial Data Missing ⚠",VLOOKUP(AA147,'G-3 Multipliers'!$L$3:$N$6,2,FALSE)))</f>
        <v/>
      </c>
      <c r="AC147" s="305" t="str">
        <f>IF(AA147="","",IF(VLOOKUP(AA147,'G-3 Multipliers'!$L$3:$N$6,3,FALSE)=0,"Spatial Data Missing ⚠",VLOOKUP(AA147,'G-3 Multipliers'!$L$3:$N$6,3,FALSE)))</f>
        <v/>
      </c>
      <c r="AD147" s="317" t="str">
        <f t="shared" si="21"/>
        <v/>
      </c>
      <c r="AE147" s="142"/>
      <c r="AF147" s="142"/>
      <c r="AG147" s="301" t="str">
        <f t="shared" si="24"/>
        <v/>
      </c>
      <c r="AH147" s="302" t="str">
        <f t="shared" si="25"/>
        <v/>
      </c>
      <c r="AI147" s="306" t="str">
        <f>IF(AH147="Check Data ⚠","Check Data ⚠",IFERROR(VLOOKUP(AH147,'G-4 Temporal multipliers'!$A$4:$C$36,3,FALSE),""))</f>
        <v/>
      </c>
      <c r="AJ147" s="317" t="str">
        <f>IF(S147="","",VLOOKUP(S147,'G-3 Multipliers'!$A$2:$E$134,4,FALSE))</f>
        <v/>
      </c>
      <c r="AK147" s="301" t="str">
        <f t="shared" si="26"/>
        <v/>
      </c>
      <c r="AL147" s="301" t="str">
        <f t="shared" si="27"/>
        <v/>
      </c>
      <c r="AM147" s="305" t="str">
        <f>IFERROR(IF(F147="","",IF(AH147="Check Data ⚠","Check Data ⚠",VLOOKUP(AL147, 'G-3 Multipliers'!$P$2:$Q$6,2,FALSE))),"")</f>
        <v/>
      </c>
      <c r="AN147" s="728"/>
      <c r="AO147" s="335" t="str">
        <f>IF(AN147="","",IF(VLOOKUP(AN147,'G-3 Multipliers'!$S$3:$T$10,2,FALSE)=0,"Spatial Data Missing ⚠",VLOOKUP(AN147,'G-3 Multipliers'!$S$3:$T$10,2,FALSE)))</f>
        <v/>
      </c>
      <c r="AP147" s="295" t="str">
        <f t="shared" si="28"/>
        <v/>
      </c>
      <c r="AQ147" s="295" t="str">
        <f t="shared" si="29"/>
        <v/>
      </c>
      <c r="AR147" s="109"/>
      <c r="AS147" s="142"/>
      <c r="AT147" s="108"/>
      <c r="AU147" s="108"/>
      <c r="AY147" s="30" t="str">
        <f>IF(E147="","",IF(ISNA(VLOOKUP($E147,'D-1 Off-Site Habitat Baseline'!$D$1:$AV$258,4,FALSE)),"",(VLOOKUP($E147,'D-1 Off-Site Habitat Baseline'!$D$1:$AV$258,4,FALSE))))</f>
        <v/>
      </c>
    </row>
    <row r="148" spans="1:51" x14ac:dyDescent="0.25">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325" t="str">
        <f>'D-1 Off-Site Habitat Baseline'!AP147</f>
        <v/>
      </c>
      <c r="F148" s="289" t="str">
        <f>IF(E148="","",IF(ISNA(VLOOKUP($E148,'D-1 Off-Site Habitat Baseline'!$D$1:$ZZ$258,45,FALSE)),"",(VLOOKUP($E148,'D-1 Off-Site Habitat Baseline'!$D$1:$ZZ$258,45,FALSE))))</f>
        <v/>
      </c>
      <c r="G148" s="301" t="str">
        <f>IF(E148="","",IF(ISNA(VLOOKUP($E148,'D-1 Off-Site Habitat Baseline'!$D$1:$O$258,5,FALSE)),"",(VLOOKUP($E148,'D-1 Off-Site Habitat Baseline'!$D$1:$O$258,5,FALSE))))</f>
        <v/>
      </c>
      <c r="H148" s="301" t="str">
        <f>IF(E148="","",IF(ISNA(VLOOKUP($E148,'D-1 Off-Site Habitat Baseline'!$D$1:$O$258,6,FALSE)),"",(VLOOKUP($E148,'D-1 Off-Site Habitat Baseline'!$D$1:$O$258,6,FALSE))))</f>
        <v/>
      </c>
      <c r="I148" s="301" t="str">
        <f>IF(E148="","",IF(ISNA(VLOOKUP($E148,'D-1 Off-Site Habitat Baseline'!$D$1:$O$258,7,FALSE)),"",(VLOOKUP($E148,'D-1 Off-Site Habitat Baseline'!$D$1:$O$258,7,FALSE))))</f>
        <v/>
      </c>
      <c r="J148" s="301" t="str">
        <f>IF(E148="","",IF(ISNA(VLOOKUP($E148,'D-1 Off-Site Habitat Baseline'!$D$1:$O$258,8,FALSE)),"",(VLOOKUP($E148,'D-1 Off-Site Habitat Baseline'!$D$1:$O$258,8,FALSE))))</f>
        <v/>
      </c>
      <c r="K148" s="301" t="str">
        <f>IF(E148="","",IF(ISNA(VLOOKUP($E148,'D-1 Off-Site Habitat Baseline'!$D$1:$O$258,9,FALSE)),"",(VLOOKUP($E148,'D-1 Off-Site Habitat Baseline'!$D$1:$O$258,9,FALSE))))</f>
        <v/>
      </c>
      <c r="L148" s="301" t="str">
        <f>IF(E148="","",IF(ISNA(VLOOKUP($E148,'D-1 Off-Site Habitat Baseline'!$D$1:$O$258,11,FALSE)),"",(VLOOKUP($E148,'D-1 Off-Site Habitat Baseline'!$D$1:$O$258,11,FALSE))))</f>
        <v/>
      </c>
      <c r="M148" s="301" t="str">
        <f>IF(E148="","",IF(ISNA(VLOOKUP($E148,'D-1 Off-Site Habitat Baseline'!$D$1:$O$258,12,FALSE)),"",(VLOOKUP($E148,'D-1 Off-Site Habitat Baseline'!$D$1:$O$258,12,FALSE))))</f>
        <v/>
      </c>
      <c r="N148" s="301" t="str">
        <f>IF(E148="","",IF(ISNA(VLOOKUP($E148,'D-1 Off-Site Habitat Baseline'!$D$1:$AA$258,17,FALSE)),"",(VLOOKUP($E148,'D-1 Off-Site Habitat Baseline'!$D$1:$AA$258,17,FALSE))))</f>
        <v/>
      </c>
      <c r="O148" s="305" t="str">
        <f>IF(E148="","",IF(ISNA(VLOOKUP($E148,'D-1 Off-Site Habitat Baseline'!$D$1:$AA$258,13,FALSE)),"",(VLOOKUP($E148,'D-1 Off-Site Habitat Baseline'!$D$1:$AA$258,13,FALSE))))</f>
        <v/>
      </c>
      <c r="P148" s="152" t="str">
        <f>IFERROR(INDEX('G-1 All Habitats'!$AG$49:$AG$63,MATCH(Q148,'G-1 All Habitats'!$AF$27:$AF$41,0)),"")</f>
        <v/>
      </c>
      <c r="Q148" s="153"/>
      <c r="R148" s="154"/>
      <c r="S148" s="155" t="str">
        <f>IFERROR(INDEX('G-1 All Habitats'!$B$3:$B$135,MATCH(R148,'G-1 All Habitats'!$A$3:$A$135,0)),"")</f>
        <v/>
      </c>
      <c r="T148" s="289" t="str">
        <f t="shared" si="22"/>
        <v/>
      </c>
      <c r="U148" s="305" t="str">
        <f t="shared" si="23"/>
        <v/>
      </c>
      <c r="V148" s="304" t="str">
        <f t="shared" si="20"/>
        <v/>
      </c>
      <c r="W148" s="301" t="str">
        <f>IF(S148="","",VLOOKUP(S148,'G-1 All Habitats'!$B$2:$M$135,10,FALSE))</f>
        <v/>
      </c>
      <c r="X148" s="301" t="str">
        <f>IFERROR(VLOOKUP(W148,'G-1 All Habitats'!$V$3:$W$7,2,FALSE),"")</f>
        <v/>
      </c>
      <c r="Y148" s="142"/>
      <c r="Z148" s="305" t="str">
        <f>IFERROR(INDEX('G-8 Condition Look up'!$A$3:$H$135,MATCH(S148,'G-8 Condition Look up'!$A$3:$A$135,0),MATCH(Y148,'G-8 Condition Look up'!$A$3:$H$3,0)),"")</f>
        <v/>
      </c>
      <c r="AA148" s="105"/>
      <c r="AB148" s="320" t="str">
        <f>IF(AA148="","",IF(VLOOKUP(AA148,'G-3 Multipliers'!$L$3:$N$6,2,FALSE)=0,"Spatial Data Missing ⚠",VLOOKUP(AA148,'G-3 Multipliers'!$L$3:$N$6,2,FALSE)))</f>
        <v/>
      </c>
      <c r="AC148" s="305" t="str">
        <f>IF(AA148="","",IF(VLOOKUP(AA148,'G-3 Multipliers'!$L$3:$N$6,3,FALSE)=0,"Spatial Data Missing ⚠",VLOOKUP(AA148,'G-3 Multipliers'!$L$3:$N$6,3,FALSE)))</f>
        <v/>
      </c>
      <c r="AD148" s="317" t="str">
        <f t="shared" si="21"/>
        <v/>
      </c>
      <c r="AE148" s="142"/>
      <c r="AF148" s="142"/>
      <c r="AG148" s="301" t="str">
        <f t="shared" si="24"/>
        <v/>
      </c>
      <c r="AH148" s="302" t="str">
        <f t="shared" si="25"/>
        <v/>
      </c>
      <c r="AI148" s="306" t="str">
        <f>IF(AH148="Check Data ⚠","Check Data ⚠",IFERROR(VLOOKUP(AH148,'G-4 Temporal multipliers'!$A$4:$C$36,3,FALSE),""))</f>
        <v/>
      </c>
      <c r="AJ148" s="317" t="str">
        <f>IF(S148="","",VLOOKUP(S148,'G-3 Multipliers'!$A$2:$E$134,4,FALSE))</f>
        <v/>
      </c>
      <c r="AK148" s="301" t="str">
        <f t="shared" si="26"/>
        <v/>
      </c>
      <c r="AL148" s="301" t="str">
        <f t="shared" si="27"/>
        <v/>
      </c>
      <c r="AM148" s="305" t="str">
        <f>IFERROR(IF(F148="","",IF(AH148="Check Data ⚠","Check Data ⚠",VLOOKUP(AL148, 'G-3 Multipliers'!$P$2:$Q$6,2,FALSE))),"")</f>
        <v/>
      </c>
      <c r="AN148" s="728"/>
      <c r="AO148" s="335" t="str">
        <f>IF(AN148="","",IF(VLOOKUP(AN148,'G-3 Multipliers'!$S$3:$T$10,2,FALSE)=0,"Spatial Data Missing ⚠",VLOOKUP(AN148,'G-3 Multipliers'!$S$3:$T$10,2,FALSE)))</f>
        <v/>
      </c>
      <c r="AP148" s="295" t="str">
        <f t="shared" si="28"/>
        <v/>
      </c>
      <c r="AQ148" s="295" t="str">
        <f t="shared" si="29"/>
        <v/>
      </c>
      <c r="AR148" s="109"/>
      <c r="AS148" s="142"/>
      <c r="AT148" s="108"/>
      <c r="AU148" s="108"/>
      <c r="AY148" s="30" t="str">
        <f>IF(E148="","",IF(ISNA(VLOOKUP($E148,'D-1 Off-Site Habitat Baseline'!$D$1:$AV$258,4,FALSE)),"",(VLOOKUP($E148,'D-1 Off-Site Habitat Baseline'!$D$1:$AV$258,4,FALSE))))</f>
        <v/>
      </c>
    </row>
    <row r="149" spans="1:51" x14ac:dyDescent="0.25">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325" t="str">
        <f>'D-1 Off-Site Habitat Baseline'!AP148</f>
        <v/>
      </c>
      <c r="F149" s="289" t="str">
        <f>IF(E149="","",IF(ISNA(VLOOKUP($E149,'D-1 Off-Site Habitat Baseline'!$D$1:$ZZ$258,45,FALSE)),"",(VLOOKUP($E149,'D-1 Off-Site Habitat Baseline'!$D$1:$ZZ$258,45,FALSE))))</f>
        <v/>
      </c>
      <c r="G149" s="301" t="str">
        <f>IF(E149="","",IF(ISNA(VLOOKUP($E149,'D-1 Off-Site Habitat Baseline'!$D$1:$O$258,5,FALSE)),"",(VLOOKUP($E149,'D-1 Off-Site Habitat Baseline'!$D$1:$O$258,5,FALSE))))</f>
        <v/>
      </c>
      <c r="H149" s="301" t="str">
        <f>IF(E149="","",IF(ISNA(VLOOKUP($E149,'D-1 Off-Site Habitat Baseline'!$D$1:$O$258,6,FALSE)),"",(VLOOKUP($E149,'D-1 Off-Site Habitat Baseline'!$D$1:$O$258,6,FALSE))))</f>
        <v/>
      </c>
      <c r="I149" s="301" t="str">
        <f>IF(E149="","",IF(ISNA(VLOOKUP($E149,'D-1 Off-Site Habitat Baseline'!$D$1:$O$258,7,FALSE)),"",(VLOOKUP($E149,'D-1 Off-Site Habitat Baseline'!$D$1:$O$258,7,FALSE))))</f>
        <v/>
      </c>
      <c r="J149" s="301" t="str">
        <f>IF(E149="","",IF(ISNA(VLOOKUP($E149,'D-1 Off-Site Habitat Baseline'!$D$1:$O$258,8,FALSE)),"",(VLOOKUP($E149,'D-1 Off-Site Habitat Baseline'!$D$1:$O$258,8,FALSE))))</f>
        <v/>
      </c>
      <c r="K149" s="301" t="str">
        <f>IF(E149="","",IF(ISNA(VLOOKUP($E149,'D-1 Off-Site Habitat Baseline'!$D$1:$O$258,9,FALSE)),"",(VLOOKUP($E149,'D-1 Off-Site Habitat Baseline'!$D$1:$O$258,9,FALSE))))</f>
        <v/>
      </c>
      <c r="L149" s="301" t="str">
        <f>IF(E149="","",IF(ISNA(VLOOKUP($E149,'D-1 Off-Site Habitat Baseline'!$D$1:$O$258,11,FALSE)),"",(VLOOKUP($E149,'D-1 Off-Site Habitat Baseline'!$D$1:$O$258,11,FALSE))))</f>
        <v/>
      </c>
      <c r="M149" s="301" t="str">
        <f>IF(E149="","",IF(ISNA(VLOOKUP($E149,'D-1 Off-Site Habitat Baseline'!$D$1:$O$258,12,FALSE)),"",(VLOOKUP($E149,'D-1 Off-Site Habitat Baseline'!$D$1:$O$258,12,FALSE))))</f>
        <v/>
      </c>
      <c r="N149" s="301" t="str">
        <f>IF(E149="","",IF(ISNA(VLOOKUP($E149,'D-1 Off-Site Habitat Baseline'!$D$1:$AA$258,17,FALSE)),"",(VLOOKUP($E149,'D-1 Off-Site Habitat Baseline'!$D$1:$AA$258,17,FALSE))))</f>
        <v/>
      </c>
      <c r="O149" s="305" t="str">
        <f>IF(E149="","",IF(ISNA(VLOOKUP($E149,'D-1 Off-Site Habitat Baseline'!$D$1:$AA$258,13,FALSE)),"",(VLOOKUP($E149,'D-1 Off-Site Habitat Baseline'!$D$1:$AA$258,13,FALSE))))</f>
        <v/>
      </c>
      <c r="P149" s="152" t="str">
        <f>IFERROR(INDEX('G-1 All Habitats'!$AG$49:$AG$63,MATCH(Q149,'G-1 All Habitats'!$AF$27:$AF$41,0)),"")</f>
        <v/>
      </c>
      <c r="Q149" s="153"/>
      <c r="R149" s="154"/>
      <c r="S149" s="155" t="str">
        <f>IFERROR(INDEX('G-1 All Habitats'!$B$3:$B$135,MATCH(R149,'G-1 All Habitats'!$A$3:$A$135,0)),"")</f>
        <v/>
      </c>
      <c r="T149" s="289" t="str">
        <f t="shared" si="22"/>
        <v/>
      </c>
      <c r="U149" s="305" t="str">
        <f t="shared" si="23"/>
        <v/>
      </c>
      <c r="V149" s="304" t="str">
        <f t="shared" si="20"/>
        <v/>
      </c>
      <c r="W149" s="301" t="str">
        <f>IF(S149="","",VLOOKUP(S149,'G-1 All Habitats'!$B$2:$M$135,10,FALSE))</f>
        <v/>
      </c>
      <c r="X149" s="301" t="str">
        <f>IFERROR(VLOOKUP(W149,'G-1 All Habitats'!$V$3:$W$7,2,FALSE),"")</f>
        <v/>
      </c>
      <c r="Y149" s="142"/>
      <c r="Z149" s="305" t="str">
        <f>IFERROR(INDEX('G-8 Condition Look up'!$A$3:$H$135,MATCH(S149,'G-8 Condition Look up'!$A$3:$A$135,0),MATCH(Y149,'G-8 Condition Look up'!$A$3:$H$3,0)),"")</f>
        <v/>
      </c>
      <c r="AA149" s="105"/>
      <c r="AB149" s="320" t="str">
        <f>IF(AA149="","",IF(VLOOKUP(AA149,'G-3 Multipliers'!$L$3:$N$6,2,FALSE)=0,"Spatial Data Missing ⚠",VLOOKUP(AA149,'G-3 Multipliers'!$L$3:$N$6,2,FALSE)))</f>
        <v/>
      </c>
      <c r="AC149" s="305" t="str">
        <f>IF(AA149="","",IF(VLOOKUP(AA149,'G-3 Multipliers'!$L$3:$N$6,3,FALSE)=0,"Spatial Data Missing ⚠",VLOOKUP(AA149,'G-3 Multipliers'!$L$3:$N$6,3,FALSE)))</f>
        <v/>
      </c>
      <c r="AD149" s="317" t="str">
        <f t="shared" si="21"/>
        <v/>
      </c>
      <c r="AE149" s="142"/>
      <c r="AF149" s="142"/>
      <c r="AG149" s="301" t="str">
        <f t="shared" si="24"/>
        <v/>
      </c>
      <c r="AH149" s="302" t="str">
        <f t="shared" si="25"/>
        <v/>
      </c>
      <c r="AI149" s="306" t="str">
        <f>IF(AH149="Check Data ⚠","Check Data ⚠",IFERROR(VLOOKUP(AH149,'G-4 Temporal multipliers'!$A$4:$C$36,3,FALSE),""))</f>
        <v/>
      </c>
      <c r="AJ149" s="317" t="str">
        <f>IF(S149="","",VLOOKUP(S149,'G-3 Multipliers'!$A$2:$E$134,4,FALSE))</f>
        <v/>
      </c>
      <c r="AK149" s="301" t="str">
        <f t="shared" si="26"/>
        <v/>
      </c>
      <c r="AL149" s="301" t="str">
        <f t="shared" si="27"/>
        <v/>
      </c>
      <c r="AM149" s="305" t="str">
        <f>IFERROR(IF(F149="","",IF(AH149="Check Data ⚠","Check Data ⚠",VLOOKUP(AL149, 'G-3 Multipliers'!$P$2:$Q$6,2,FALSE))),"")</f>
        <v/>
      </c>
      <c r="AN149" s="728"/>
      <c r="AO149" s="335" t="str">
        <f>IF(AN149="","",IF(VLOOKUP(AN149,'G-3 Multipliers'!$S$3:$T$10,2,FALSE)=0,"Spatial Data Missing ⚠",VLOOKUP(AN149,'G-3 Multipliers'!$S$3:$T$10,2,FALSE)))</f>
        <v/>
      </c>
      <c r="AP149" s="295" t="str">
        <f t="shared" si="28"/>
        <v/>
      </c>
      <c r="AQ149" s="295" t="str">
        <f t="shared" si="29"/>
        <v/>
      </c>
      <c r="AR149" s="109"/>
      <c r="AS149" s="142"/>
      <c r="AT149" s="108"/>
      <c r="AU149" s="108"/>
      <c r="AY149" s="30" t="str">
        <f>IF(E149="","",IF(ISNA(VLOOKUP($E149,'D-1 Off-Site Habitat Baseline'!$D$1:$AV$258,4,FALSE)),"",(VLOOKUP($E149,'D-1 Off-Site Habitat Baseline'!$D$1:$AV$258,4,FALSE))))</f>
        <v/>
      </c>
    </row>
    <row r="150" spans="1:51" x14ac:dyDescent="0.25">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325" t="str">
        <f>'D-1 Off-Site Habitat Baseline'!AP149</f>
        <v/>
      </c>
      <c r="F150" s="289" t="str">
        <f>IF(E150="","",IF(ISNA(VLOOKUP($E150,'D-1 Off-Site Habitat Baseline'!$D$1:$ZZ$258,45,FALSE)),"",(VLOOKUP($E150,'D-1 Off-Site Habitat Baseline'!$D$1:$ZZ$258,45,FALSE))))</f>
        <v/>
      </c>
      <c r="G150" s="301" t="str">
        <f>IF(E150="","",IF(ISNA(VLOOKUP($E150,'D-1 Off-Site Habitat Baseline'!$D$1:$O$258,5,FALSE)),"",(VLOOKUP($E150,'D-1 Off-Site Habitat Baseline'!$D$1:$O$258,5,FALSE))))</f>
        <v/>
      </c>
      <c r="H150" s="301" t="str">
        <f>IF(E150="","",IF(ISNA(VLOOKUP($E150,'D-1 Off-Site Habitat Baseline'!$D$1:$O$258,6,FALSE)),"",(VLOOKUP($E150,'D-1 Off-Site Habitat Baseline'!$D$1:$O$258,6,FALSE))))</f>
        <v/>
      </c>
      <c r="I150" s="301" t="str">
        <f>IF(E150="","",IF(ISNA(VLOOKUP($E150,'D-1 Off-Site Habitat Baseline'!$D$1:$O$258,7,FALSE)),"",(VLOOKUP($E150,'D-1 Off-Site Habitat Baseline'!$D$1:$O$258,7,FALSE))))</f>
        <v/>
      </c>
      <c r="J150" s="301" t="str">
        <f>IF(E150="","",IF(ISNA(VLOOKUP($E150,'D-1 Off-Site Habitat Baseline'!$D$1:$O$258,8,FALSE)),"",(VLOOKUP($E150,'D-1 Off-Site Habitat Baseline'!$D$1:$O$258,8,FALSE))))</f>
        <v/>
      </c>
      <c r="K150" s="301" t="str">
        <f>IF(E150="","",IF(ISNA(VLOOKUP($E150,'D-1 Off-Site Habitat Baseline'!$D$1:$O$258,9,FALSE)),"",(VLOOKUP($E150,'D-1 Off-Site Habitat Baseline'!$D$1:$O$258,9,FALSE))))</f>
        <v/>
      </c>
      <c r="L150" s="301" t="str">
        <f>IF(E150="","",IF(ISNA(VLOOKUP($E150,'D-1 Off-Site Habitat Baseline'!$D$1:$O$258,11,FALSE)),"",(VLOOKUP($E150,'D-1 Off-Site Habitat Baseline'!$D$1:$O$258,11,FALSE))))</f>
        <v/>
      </c>
      <c r="M150" s="301" t="str">
        <f>IF(E150="","",IF(ISNA(VLOOKUP($E150,'D-1 Off-Site Habitat Baseline'!$D$1:$O$258,12,FALSE)),"",(VLOOKUP($E150,'D-1 Off-Site Habitat Baseline'!$D$1:$O$258,12,FALSE))))</f>
        <v/>
      </c>
      <c r="N150" s="301" t="str">
        <f>IF(E150="","",IF(ISNA(VLOOKUP($E150,'D-1 Off-Site Habitat Baseline'!$D$1:$AA$258,17,FALSE)),"",(VLOOKUP($E150,'D-1 Off-Site Habitat Baseline'!$D$1:$AA$258,17,FALSE))))</f>
        <v/>
      </c>
      <c r="O150" s="305" t="str">
        <f>IF(E150="","",IF(ISNA(VLOOKUP($E150,'D-1 Off-Site Habitat Baseline'!$D$1:$AA$258,13,FALSE)),"",(VLOOKUP($E150,'D-1 Off-Site Habitat Baseline'!$D$1:$AA$258,13,FALSE))))</f>
        <v/>
      </c>
      <c r="P150" s="152" t="str">
        <f>IFERROR(INDEX('G-1 All Habitats'!$AG$49:$AG$63,MATCH(Q150,'G-1 All Habitats'!$AF$27:$AF$41,0)),"")</f>
        <v/>
      </c>
      <c r="Q150" s="153"/>
      <c r="R150" s="154"/>
      <c r="S150" s="155" t="str">
        <f>IFERROR(INDEX('G-1 All Habitats'!$B$3:$B$135,MATCH(R150,'G-1 All Habitats'!$A$3:$A$135,0)),"")</f>
        <v/>
      </c>
      <c r="T150" s="289" t="str">
        <f t="shared" si="22"/>
        <v/>
      </c>
      <c r="U150" s="305" t="str">
        <f t="shared" si="23"/>
        <v/>
      </c>
      <c r="V150" s="304" t="str">
        <f t="shared" si="20"/>
        <v/>
      </c>
      <c r="W150" s="301" t="str">
        <f>IF(S150="","",VLOOKUP(S150,'G-1 All Habitats'!$B$2:$M$135,10,FALSE))</f>
        <v/>
      </c>
      <c r="X150" s="301" t="str">
        <f>IFERROR(VLOOKUP(W150,'G-1 All Habitats'!$V$3:$W$7,2,FALSE),"")</f>
        <v/>
      </c>
      <c r="Y150" s="142"/>
      <c r="Z150" s="305" t="str">
        <f>IFERROR(INDEX('G-8 Condition Look up'!$A$3:$H$135,MATCH(S150,'G-8 Condition Look up'!$A$3:$A$135,0),MATCH(Y150,'G-8 Condition Look up'!$A$3:$H$3,0)),"")</f>
        <v/>
      </c>
      <c r="AA150" s="105"/>
      <c r="AB150" s="320" t="str">
        <f>IF(AA150="","",IF(VLOOKUP(AA150,'G-3 Multipliers'!$L$3:$N$6,2,FALSE)=0,"Spatial Data Missing ⚠",VLOOKUP(AA150,'G-3 Multipliers'!$L$3:$N$6,2,FALSE)))</f>
        <v/>
      </c>
      <c r="AC150" s="305" t="str">
        <f>IF(AA150="","",IF(VLOOKUP(AA150,'G-3 Multipliers'!$L$3:$N$6,3,FALSE)=0,"Spatial Data Missing ⚠",VLOOKUP(AA150,'G-3 Multipliers'!$L$3:$N$6,3,FALSE)))</f>
        <v/>
      </c>
      <c r="AD150" s="317" t="str">
        <f t="shared" si="21"/>
        <v/>
      </c>
      <c r="AE150" s="142"/>
      <c r="AF150" s="142"/>
      <c r="AG150" s="301" t="str">
        <f t="shared" si="24"/>
        <v/>
      </c>
      <c r="AH150" s="302" t="str">
        <f t="shared" si="25"/>
        <v/>
      </c>
      <c r="AI150" s="306" t="str">
        <f>IF(AH150="Check Data ⚠","Check Data ⚠",IFERROR(VLOOKUP(AH150,'G-4 Temporal multipliers'!$A$4:$C$36,3,FALSE),""))</f>
        <v/>
      </c>
      <c r="AJ150" s="317" t="str">
        <f>IF(S150="","",VLOOKUP(S150,'G-3 Multipliers'!$A$2:$E$134,4,FALSE))</f>
        <v/>
      </c>
      <c r="AK150" s="301" t="str">
        <f t="shared" si="26"/>
        <v/>
      </c>
      <c r="AL150" s="301" t="str">
        <f t="shared" si="27"/>
        <v/>
      </c>
      <c r="AM150" s="305" t="str">
        <f>IFERROR(IF(F150="","",IF(AH150="Check Data ⚠","Check Data ⚠",VLOOKUP(AL150, 'G-3 Multipliers'!$P$2:$Q$6,2,FALSE))),"")</f>
        <v/>
      </c>
      <c r="AN150" s="728"/>
      <c r="AO150" s="335" t="str">
        <f>IF(AN150="","",IF(VLOOKUP(AN150,'G-3 Multipliers'!$S$3:$T$10,2,FALSE)=0,"Spatial Data Missing ⚠",VLOOKUP(AN150,'G-3 Multipliers'!$S$3:$T$10,2,FALSE)))</f>
        <v/>
      </c>
      <c r="AP150" s="295" t="str">
        <f t="shared" si="28"/>
        <v/>
      </c>
      <c r="AQ150" s="295" t="str">
        <f t="shared" si="29"/>
        <v/>
      </c>
      <c r="AR150" s="109"/>
      <c r="AS150" s="142"/>
      <c r="AT150" s="108"/>
      <c r="AU150" s="108"/>
      <c r="AY150" s="30" t="str">
        <f>IF(E150="","",IF(ISNA(VLOOKUP($E150,'D-1 Off-Site Habitat Baseline'!$D$1:$AV$258,4,FALSE)),"",(VLOOKUP($E150,'D-1 Off-Site Habitat Baseline'!$D$1:$AV$258,4,FALSE))))</f>
        <v/>
      </c>
    </row>
    <row r="151" spans="1:51" x14ac:dyDescent="0.25">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325" t="str">
        <f>'D-1 Off-Site Habitat Baseline'!AP150</f>
        <v/>
      </c>
      <c r="F151" s="289" t="str">
        <f>IF(E151="","",IF(ISNA(VLOOKUP($E151,'D-1 Off-Site Habitat Baseline'!$D$1:$ZZ$258,45,FALSE)),"",(VLOOKUP($E151,'D-1 Off-Site Habitat Baseline'!$D$1:$ZZ$258,45,FALSE))))</f>
        <v/>
      </c>
      <c r="G151" s="301" t="str">
        <f>IF(E151="","",IF(ISNA(VLOOKUP($E151,'D-1 Off-Site Habitat Baseline'!$D$1:$O$258,5,FALSE)),"",(VLOOKUP($E151,'D-1 Off-Site Habitat Baseline'!$D$1:$O$258,5,FALSE))))</f>
        <v/>
      </c>
      <c r="H151" s="301" t="str">
        <f>IF(E151="","",IF(ISNA(VLOOKUP($E151,'D-1 Off-Site Habitat Baseline'!$D$1:$O$258,6,FALSE)),"",(VLOOKUP($E151,'D-1 Off-Site Habitat Baseline'!$D$1:$O$258,6,FALSE))))</f>
        <v/>
      </c>
      <c r="I151" s="301" t="str">
        <f>IF(E151="","",IF(ISNA(VLOOKUP($E151,'D-1 Off-Site Habitat Baseline'!$D$1:$O$258,7,FALSE)),"",(VLOOKUP($E151,'D-1 Off-Site Habitat Baseline'!$D$1:$O$258,7,FALSE))))</f>
        <v/>
      </c>
      <c r="J151" s="301" t="str">
        <f>IF(E151="","",IF(ISNA(VLOOKUP($E151,'D-1 Off-Site Habitat Baseline'!$D$1:$O$258,8,FALSE)),"",(VLOOKUP($E151,'D-1 Off-Site Habitat Baseline'!$D$1:$O$258,8,FALSE))))</f>
        <v/>
      </c>
      <c r="K151" s="301" t="str">
        <f>IF(E151="","",IF(ISNA(VLOOKUP($E151,'D-1 Off-Site Habitat Baseline'!$D$1:$O$258,9,FALSE)),"",(VLOOKUP($E151,'D-1 Off-Site Habitat Baseline'!$D$1:$O$258,9,FALSE))))</f>
        <v/>
      </c>
      <c r="L151" s="301" t="str">
        <f>IF(E151="","",IF(ISNA(VLOOKUP($E151,'D-1 Off-Site Habitat Baseline'!$D$1:$O$258,11,FALSE)),"",(VLOOKUP($E151,'D-1 Off-Site Habitat Baseline'!$D$1:$O$258,11,FALSE))))</f>
        <v/>
      </c>
      <c r="M151" s="301" t="str">
        <f>IF(E151="","",IF(ISNA(VLOOKUP($E151,'D-1 Off-Site Habitat Baseline'!$D$1:$O$258,12,FALSE)),"",(VLOOKUP($E151,'D-1 Off-Site Habitat Baseline'!$D$1:$O$258,12,FALSE))))</f>
        <v/>
      </c>
      <c r="N151" s="301" t="str">
        <f>IF(E151="","",IF(ISNA(VLOOKUP($E151,'D-1 Off-Site Habitat Baseline'!$D$1:$AA$258,17,FALSE)),"",(VLOOKUP($E151,'D-1 Off-Site Habitat Baseline'!$D$1:$AA$258,17,FALSE))))</f>
        <v/>
      </c>
      <c r="O151" s="305" t="str">
        <f>IF(E151="","",IF(ISNA(VLOOKUP($E151,'D-1 Off-Site Habitat Baseline'!$D$1:$AA$258,13,FALSE)),"",(VLOOKUP($E151,'D-1 Off-Site Habitat Baseline'!$D$1:$AA$258,13,FALSE))))</f>
        <v/>
      </c>
      <c r="P151" s="152" t="str">
        <f>IFERROR(INDEX('G-1 All Habitats'!$AG$49:$AG$63,MATCH(Q151,'G-1 All Habitats'!$AF$27:$AF$41,0)),"")</f>
        <v/>
      </c>
      <c r="Q151" s="153"/>
      <c r="R151" s="154"/>
      <c r="S151" s="155" t="str">
        <f>IFERROR(INDEX('G-1 All Habitats'!$B$3:$B$135,MATCH(R151,'G-1 All Habitats'!$A$3:$A$135,0)),"")</f>
        <v/>
      </c>
      <c r="T151" s="289" t="str">
        <f t="shared" si="22"/>
        <v/>
      </c>
      <c r="U151" s="305" t="str">
        <f t="shared" si="23"/>
        <v/>
      </c>
      <c r="V151" s="304" t="str">
        <f t="shared" si="20"/>
        <v/>
      </c>
      <c r="W151" s="301" t="str">
        <f>IF(S151="","",VLOOKUP(S151,'G-1 All Habitats'!$B$2:$M$135,10,FALSE))</f>
        <v/>
      </c>
      <c r="X151" s="301" t="str">
        <f>IFERROR(VLOOKUP(W151,'G-1 All Habitats'!$V$3:$W$7,2,FALSE),"")</f>
        <v/>
      </c>
      <c r="Y151" s="142"/>
      <c r="Z151" s="305" t="str">
        <f>IFERROR(INDEX('G-8 Condition Look up'!$A$3:$H$135,MATCH(S151,'G-8 Condition Look up'!$A$3:$A$135,0),MATCH(Y151,'G-8 Condition Look up'!$A$3:$H$3,0)),"")</f>
        <v/>
      </c>
      <c r="AA151" s="105"/>
      <c r="AB151" s="320" t="str">
        <f>IF(AA151="","",IF(VLOOKUP(AA151,'G-3 Multipliers'!$L$3:$N$6,2,FALSE)=0,"Spatial Data Missing ⚠",VLOOKUP(AA151,'G-3 Multipliers'!$L$3:$N$6,2,FALSE)))</f>
        <v/>
      </c>
      <c r="AC151" s="305" t="str">
        <f>IF(AA151="","",IF(VLOOKUP(AA151,'G-3 Multipliers'!$L$3:$N$6,3,FALSE)=0,"Spatial Data Missing ⚠",VLOOKUP(AA151,'G-3 Multipliers'!$L$3:$N$6,3,FALSE)))</f>
        <v/>
      </c>
      <c r="AD151" s="317" t="str">
        <f t="shared" si="21"/>
        <v/>
      </c>
      <c r="AE151" s="142"/>
      <c r="AF151" s="142"/>
      <c r="AG151" s="301" t="str">
        <f t="shared" si="24"/>
        <v/>
      </c>
      <c r="AH151" s="302" t="str">
        <f t="shared" si="25"/>
        <v/>
      </c>
      <c r="AI151" s="306" t="str">
        <f>IF(AH151="Check Data ⚠","Check Data ⚠",IFERROR(VLOOKUP(AH151,'G-4 Temporal multipliers'!$A$4:$C$36,3,FALSE),""))</f>
        <v/>
      </c>
      <c r="AJ151" s="317" t="str">
        <f>IF(S151="","",VLOOKUP(S151,'G-3 Multipliers'!$A$2:$E$134,4,FALSE))</f>
        <v/>
      </c>
      <c r="AK151" s="301" t="str">
        <f t="shared" si="26"/>
        <v/>
      </c>
      <c r="AL151" s="301" t="str">
        <f t="shared" si="27"/>
        <v/>
      </c>
      <c r="AM151" s="305" t="str">
        <f>IFERROR(IF(F151="","",IF(AH151="Check Data ⚠","Check Data ⚠",VLOOKUP(AL151, 'G-3 Multipliers'!$P$2:$Q$6,2,FALSE))),"")</f>
        <v/>
      </c>
      <c r="AN151" s="728"/>
      <c r="AO151" s="335" t="str">
        <f>IF(AN151="","",IF(VLOOKUP(AN151,'G-3 Multipliers'!$S$3:$T$10,2,FALSE)=0,"Spatial Data Missing ⚠",VLOOKUP(AN151,'G-3 Multipliers'!$S$3:$T$10,2,FALSE)))</f>
        <v/>
      </c>
      <c r="AP151" s="295" t="str">
        <f t="shared" si="28"/>
        <v/>
      </c>
      <c r="AQ151" s="295" t="str">
        <f t="shared" si="29"/>
        <v/>
      </c>
      <c r="AR151" s="109"/>
      <c r="AS151" s="142"/>
      <c r="AT151" s="108"/>
      <c r="AU151" s="108"/>
      <c r="AY151" s="30" t="str">
        <f>IF(E151="","",IF(ISNA(VLOOKUP($E151,'D-1 Off-Site Habitat Baseline'!$D$1:$AV$258,4,FALSE)),"",(VLOOKUP($E151,'D-1 Off-Site Habitat Baseline'!$D$1:$AV$258,4,FALSE))))</f>
        <v/>
      </c>
    </row>
    <row r="152" spans="1:51" x14ac:dyDescent="0.25">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325" t="str">
        <f>'D-1 Off-Site Habitat Baseline'!AP151</f>
        <v/>
      </c>
      <c r="F152" s="289" t="str">
        <f>IF(E152="","",IF(ISNA(VLOOKUP($E152,'D-1 Off-Site Habitat Baseline'!$D$1:$ZZ$258,45,FALSE)),"",(VLOOKUP($E152,'D-1 Off-Site Habitat Baseline'!$D$1:$ZZ$258,45,FALSE))))</f>
        <v/>
      </c>
      <c r="G152" s="301" t="str">
        <f>IF(E152="","",IF(ISNA(VLOOKUP($E152,'D-1 Off-Site Habitat Baseline'!$D$1:$O$258,5,FALSE)),"",(VLOOKUP($E152,'D-1 Off-Site Habitat Baseline'!$D$1:$O$258,5,FALSE))))</f>
        <v/>
      </c>
      <c r="H152" s="301" t="str">
        <f>IF(E152="","",IF(ISNA(VLOOKUP($E152,'D-1 Off-Site Habitat Baseline'!$D$1:$O$258,6,FALSE)),"",(VLOOKUP($E152,'D-1 Off-Site Habitat Baseline'!$D$1:$O$258,6,FALSE))))</f>
        <v/>
      </c>
      <c r="I152" s="301" t="str">
        <f>IF(E152="","",IF(ISNA(VLOOKUP($E152,'D-1 Off-Site Habitat Baseline'!$D$1:$O$258,7,FALSE)),"",(VLOOKUP($E152,'D-1 Off-Site Habitat Baseline'!$D$1:$O$258,7,FALSE))))</f>
        <v/>
      </c>
      <c r="J152" s="301" t="str">
        <f>IF(E152="","",IF(ISNA(VLOOKUP($E152,'D-1 Off-Site Habitat Baseline'!$D$1:$O$258,8,FALSE)),"",(VLOOKUP($E152,'D-1 Off-Site Habitat Baseline'!$D$1:$O$258,8,FALSE))))</f>
        <v/>
      </c>
      <c r="K152" s="301" t="str">
        <f>IF(E152="","",IF(ISNA(VLOOKUP($E152,'D-1 Off-Site Habitat Baseline'!$D$1:$O$258,9,FALSE)),"",(VLOOKUP($E152,'D-1 Off-Site Habitat Baseline'!$D$1:$O$258,9,FALSE))))</f>
        <v/>
      </c>
      <c r="L152" s="301" t="str">
        <f>IF(E152="","",IF(ISNA(VLOOKUP($E152,'D-1 Off-Site Habitat Baseline'!$D$1:$O$258,11,FALSE)),"",(VLOOKUP($E152,'D-1 Off-Site Habitat Baseline'!$D$1:$O$258,11,FALSE))))</f>
        <v/>
      </c>
      <c r="M152" s="301" t="str">
        <f>IF(E152="","",IF(ISNA(VLOOKUP($E152,'D-1 Off-Site Habitat Baseline'!$D$1:$O$258,12,FALSE)),"",(VLOOKUP($E152,'D-1 Off-Site Habitat Baseline'!$D$1:$O$258,12,FALSE))))</f>
        <v/>
      </c>
      <c r="N152" s="301" t="str">
        <f>IF(E152="","",IF(ISNA(VLOOKUP($E152,'D-1 Off-Site Habitat Baseline'!$D$1:$AA$258,17,FALSE)),"",(VLOOKUP($E152,'D-1 Off-Site Habitat Baseline'!$D$1:$AA$258,17,FALSE))))</f>
        <v/>
      </c>
      <c r="O152" s="305" t="str">
        <f>IF(E152="","",IF(ISNA(VLOOKUP($E152,'D-1 Off-Site Habitat Baseline'!$D$1:$AA$258,13,FALSE)),"",(VLOOKUP($E152,'D-1 Off-Site Habitat Baseline'!$D$1:$AA$258,13,FALSE))))</f>
        <v/>
      </c>
      <c r="P152" s="152" t="str">
        <f>IFERROR(INDEX('G-1 All Habitats'!$AG$49:$AG$63,MATCH(Q152,'G-1 All Habitats'!$AF$27:$AF$41,0)),"")</f>
        <v/>
      </c>
      <c r="Q152" s="153"/>
      <c r="R152" s="154"/>
      <c r="S152" s="155" t="str">
        <f>IFERROR(INDEX('G-1 All Habitats'!$B$3:$B$135,MATCH(R152,'G-1 All Habitats'!$A$3:$A$135,0)),"")</f>
        <v/>
      </c>
      <c r="T152" s="289" t="str">
        <f t="shared" si="22"/>
        <v/>
      </c>
      <c r="U152" s="305" t="str">
        <f t="shared" si="23"/>
        <v/>
      </c>
      <c r="V152" s="304" t="str">
        <f t="shared" si="20"/>
        <v/>
      </c>
      <c r="W152" s="301" t="str">
        <f>IF(S152="","",VLOOKUP(S152,'G-1 All Habitats'!$B$2:$M$135,10,FALSE))</f>
        <v/>
      </c>
      <c r="X152" s="301" t="str">
        <f>IFERROR(VLOOKUP(W152,'G-1 All Habitats'!$V$3:$W$7,2,FALSE),"")</f>
        <v/>
      </c>
      <c r="Y152" s="142"/>
      <c r="Z152" s="305" t="str">
        <f>IFERROR(INDEX('G-8 Condition Look up'!$A$3:$H$135,MATCH(S152,'G-8 Condition Look up'!$A$3:$A$135,0),MATCH(Y152,'G-8 Condition Look up'!$A$3:$H$3,0)),"")</f>
        <v/>
      </c>
      <c r="AA152" s="105"/>
      <c r="AB152" s="320" t="str">
        <f>IF(AA152="","",IF(VLOOKUP(AA152,'G-3 Multipliers'!$L$3:$N$6,2,FALSE)=0,"Spatial Data Missing ⚠",VLOOKUP(AA152,'G-3 Multipliers'!$L$3:$N$6,2,FALSE)))</f>
        <v/>
      </c>
      <c r="AC152" s="305" t="str">
        <f>IF(AA152="","",IF(VLOOKUP(AA152,'G-3 Multipliers'!$L$3:$N$6,3,FALSE)=0,"Spatial Data Missing ⚠",VLOOKUP(AA152,'G-3 Multipliers'!$L$3:$N$6,3,FALSE)))</f>
        <v/>
      </c>
      <c r="AD152" s="317" t="str">
        <f t="shared" si="21"/>
        <v/>
      </c>
      <c r="AE152" s="142"/>
      <c r="AF152" s="142"/>
      <c r="AG152" s="301" t="str">
        <f t="shared" si="24"/>
        <v/>
      </c>
      <c r="AH152" s="302" t="str">
        <f t="shared" si="25"/>
        <v/>
      </c>
      <c r="AI152" s="306" t="str">
        <f>IF(AH152="Check Data ⚠","Check Data ⚠",IFERROR(VLOOKUP(AH152,'G-4 Temporal multipliers'!$A$4:$C$36,3,FALSE),""))</f>
        <v/>
      </c>
      <c r="AJ152" s="317" t="str">
        <f>IF(S152="","",VLOOKUP(S152,'G-3 Multipliers'!$A$2:$E$134,4,FALSE))</f>
        <v/>
      </c>
      <c r="AK152" s="301" t="str">
        <f t="shared" si="26"/>
        <v/>
      </c>
      <c r="AL152" s="301" t="str">
        <f t="shared" si="27"/>
        <v/>
      </c>
      <c r="AM152" s="305" t="str">
        <f>IFERROR(IF(F152="","",IF(AH152="Check Data ⚠","Check Data ⚠",VLOOKUP(AL152, 'G-3 Multipliers'!$P$2:$Q$6,2,FALSE))),"")</f>
        <v/>
      </c>
      <c r="AN152" s="728"/>
      <c r="AO152" s="335" t="str">
        <f>IF(AN152="","",IF(VLOOKUP(AN152,'G-3 Multipliers'!$S$3:$T$10,2,FALSE)=0,"Spatial Data Missing ⚠",VLOOKUP(AN152,'G-3 Multipliers'!$S$3:$T$10,2,FALSE)))</f>
        <v/>
      </c>
      <c r="AP152" s="295" t="str">
        <f t="shared" si="28"/>
        <v/>
      </c>
      <c r="AQ152" s="295" t="str">
        <f t="shared" si="29"/>
        <v/>
      </c>
      <c r="AR152" s="109"/>
      <c r="AS152" s="142"/>
      <c r="AT152" s="108"/>
      <c r="AU152" s="108"/>
      <c r="AY152" s="30" t="str">
        <f>IF(E152="","",IF(ISNA(VLOOKUP($E152,'D-1 Off-Site Habitat Baseline'!$D$1:$AV$258,4,FALSE)),"",(VLOOKUP($E152,'D-1 Off-Site Habitat Baseline'!$D$1:$AV$258,4,FALSE))))</f>
        <v/>
      </c>
    </row>
    <row r="153" spans="1:51" x14ac:dyDescent="0.25">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325" t="str">
        <f>'D-1 Off-Site Habitat Baseline'!AP152</f>
        <v/>
      </c>
      <c r="F153" s="289" t="str">
        <f>IF(E153="","",IF(ISNA(VLOOKUP($E153,'D-1 Off-Site Habitat Baseline'!$D$1:$ZZ$258,45,FALSE)),"",(VLOOKUP($E153,'D-1 Off-Site Habitat Baseline'!$D$1:$ZZ$258,45,FALSE))))</f>
        <v/>
      </c>
      <c r="G153" s="301" t="str">
        <f>IF(E153="","",IF(ISNA(VLOOKUP($E153,'D-1 Off-Site Habitat Baseline'!$D$1:$O$258,5,FALSE)),"",(VLOOKUP($E153,'D-1 Off-Site Habitat Baseline'!$D$1:$O$258,5,FALSE))))</f>
        <v/>
      </c>
      <c r="H153" s="301" t="str">
        <f>IF(E153="","",IF(ISNA(VLOOKUP($E153,'D-1 Off-Site Habitat Baseline'!$D$1:$O$258,6,FALSE)),"",(VLOOKUP($E153,'D-1 Off-Site Habitat Baseline'!$D$1:$O$258,6,FALSE))))</f>
        <v/>
      </c>
      <c r="I153" s="301" t="str">
        <f>IF(E153="","",IF(ISNA(VLOOKUP($E153,'D-1 Off-Site Habitat Baseline'!$D$1:$O$258,7,FALSE)),"",(VLOOKUP($E153,'D-1 Off-Site Habitat Baseline'!$D$1:$O$258,7,FALSE))))</f>
        <v/>
      </c>
      <c r="J153" s="301" t="str">
        <f>IF(E153="","",IF(ISNA(VLOOKUP($E153,'D-1 Off-Site Habitat Baseline'!$D$1:$O$258,8,FALSE)),"",(VLOOKUP($E153,'D-1 Off-Site Habitat Baseline'!$D$1:$O$258,8,FALSE))))</f>
        <v/>
      </c>
      <c r="K153" s="301" t="str">
        <f>IF(E153="","",IF(ISNA(VLOOKUP($E153,'D-1 Off-Site Habitat Baseline'!$D$1:$O$258,9,FALSE)),"",(VLOOKUP($E153,'D-1 Off-Site Habitat Baseline'!$D$1:$O$258,9,FALSE))))</f>
        <v/>
      </c>
      <c r="L153" s="301" t="str">
        <f>IF(E153="","",IF(ISNA(VLOOKUP($E153,'D-1 Off-Site Habitat Baseline'!$D$1:$O$258,11,FALSE)),"",(VLOOKUP($E153,'D-1 Off-Site Habitat Baseline'!$D$1:$O$258,11,FALSE))))</f>
        <v/>
      </c>
      <c r="M153" s="301" t="str">
        <f>IF(E153="","",IF(ISNA(VLOOKUP($E153,'D-1 Off-Site Habitat Baseline'!$D$1:$O$258,12,FALSE)),"",(VLOOKUP($E153,'D-1 Off-Site Habitat Baseline'!$D$1:$O$258,12,FALSE))))</f>
        <v/>
      </c>
      <c r="N153" s="301" t="str">
        <f>IF(E153="","",IF(ISNA(VLOOKUP($E153,'D-1 Off-Site Habitat Baseline'!$D$1:$AA$258,17,FALSE)),"",(VLOOKUP($E153,'D-1 Off-Site Habitat Baseline'!$D$1:$AA$258,17,FALSE))))</f>
        <v/>
      </c>
      <c r="O153" s="305" t="str">
        <f>IF(E153="","",IF(ISNA(VLOOKUP($E153,'D-1 Off-Site Habitat Baseline'!$D$1:$AA$258,13,FALSE)),"",(VLOOKUP($E153,'D-1 Off-Site Habitat Baseline'!$D$1:$AA$258,13,FALSE))))</f>
        <v/>
      </c>
      <c r="P153" s="152" t="str">
        <f>IFERROR(INDEX('G-1 All Habitats'!$AG$49:$AG$63,MATCH(Q153,'G-1 All Habitats'!$AF$27:$AF$41,0)),"")</f>
        <v/>
      </c>
      <c r="Q153" s="153"/>
      <c r="R153" s="154"/>
      <c r="S153" s="155" t="str">
        <f>IFERROR(INDEX('G-1 All Habitats'!$B$3:$B$135,MATCH(R153,'G-1 All Habitats'!$A$3:$A$135,0)),"")</f>
        <v/>
      </c>
      <c r="T153" s="289" t="str">
        <f t="shared" si="22"/>
        <v/>
      </c>
      <c r="U153" s="305" t="str">
        <f t="shared" si="23"/>
        <v/>
      </c>
      <c r="V153" s="304" t="str">
        <f t="shared" si="20"/>
        <v/>
      </c>
      <c r="W153" s="301" t="str">
        <f>IF(S153="","",VLOOKUP(S153,'G-1 All Habitats'!$B$2:$M$135,10,FALSE))</f>
        <v/>
      </c>
      <c r="X153" s="301" t="str">
        <f>IFERROR(VLOOKUP(W153,'G-1 All Habitats'!$V$3:$W$7,2,FALSE),"")</f>
        <v/>
      </c>
      <c r="Y153" s="142"/>
      <c r="Z153" s="305" t="str">
        <f>IFERROR(INDEX('G-8 Condition Look up'!$A$3:$H$135,MATCH(S153,'G-8 Condition Look up'!$A$3:$A$135,0),MATCH(Y153,'G-8 Condition Look up'!$A$3:$H$3,0)),"")</f>
        <v/>
      </c>
      <c r="AA153" s="105"/>
      <c r="AB153" s="320" t="str">
        <f>IF(AA153="","",IF(VLOOKUP(AA153,'G-3 Multipliers'!$L$3:$N$6,2,FALSE)=0,"Spatial Data Missing ⚠",VLOOKUP(AA153,'G-3 Multipliers'!$L$3:$N$6,2,FALSE)))</f>
        <v/>
      </c>
      <c r="AC153" s="305" t="str">
        <f>IF(AA153="","",IF(VLOOKUP(AA153,'G-3 Multipliers'!$L$3:$N$6,3,FALSE)=0,"Spatial Data Missing ⚠",VLOOKUP(AA153,'G-3 Multipliers'!$L$3:$N$6,3,FALSE)))</f>
        <v/>
      </c>
      <c r="AD153" s="317" t="str">
        <f t="shared" si="21"/>
        <v/>
      </c>
      <c r="AE153" s="142"/>
      <c r="AF153" s="142"/>
      <c r="AG153" s="301" t="str">
        <f t="shared" si="24"/>
        <v/>
      </c>
      <c r="AH153" s="302" t="str">
        <f t="shared" si="25"/>
        <v/>
      </c>
      <c r="AI153" s="306" t="str">
        <f>IF(AH153="Check Data ⚠","Check Data ⚠",IFERROR(VLOOKUP(AH153,'G-4 Temporal multipliers'!$A$4:$C$36,3,FALSE),""))</f>
        <v/>
      </c>
      <c r="AJ153" s="317" t="str">
        <f>IF(S153="","",VLOOKUP(S153,'G-3 Multipliers'!$A$2:$E$134,4,FALSE))</f>
        <v/>
      </c>
      <c r="AK153" s="301" t="str">
        <f t="shared" si="26"/>
        <v/>
      </c>
      <c r="AL153" s="301" t="str">
        <f t="shared" si="27"/>
        <v/>
      </c>
      <c r="AM153" s="305" t="str">
        <f>IFERROR(IF(F153="","",IF(AH153="Check Data ⚠","Check Data ⚠",VLOOKUP(AL153, 'G-3 Multipliers'!$P$2:$Q$6,2,FALSE))),"")</f>
        <v/>
      </c>
      <c r="AN153" s="728"/>
      <c r="AO153" s="335" t="str">
        <f>IF(AN153="","",IF(VLOOKUP(AN153,'G-3 Multipliers'!$S$3:$T$10,2,FALSE)=0,"Spatial Data Missing ⚠",VLOOKUP(AN153,'G-3 Multipliers'!$S$3:$T$10,2,FALSE)))</f>
        <v/>
      </c>
      <c r="AP153" s="295" t="str">
        <f t="shared" si="28"/>
        <v/>
      </c>
      <c r="AQ153" s="295" t="str">
        <f t="shared" si="29"/>
        <v/>
      </c>
      <c r="AR153" s="109"/>
      <c r="AS153" s="142"/>
      <c r="AT153" s="108"/>
      <c r="AU153" s="108"/>
      <c r="AY153" s="30" t="str">
        <f>IF(E153="","",IF(ISNA(VLOOKUP($E153,'D-1 Off-Site Habitat Baseline'!$D$1:$AV$258,4,FALSE)),"",(VLOOKUP($E153,'D-1 Off-Site Habitat Baseline'!$D$1:$AV$258,4,FALSE))))</f>
        <v/>
      </c>
    </row>
    <row r="154" spans="1:51" x14ac:dyDescent="0.25">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325" t="str">
        <f>'D-1 Off-Site Habitat Baseline'!AP153</f>
        <v/>
      </c>
      <c r="F154" s="289" t="str">
        <f>IF(E154="","",IF(ISNA(VLOOKUP($E154,'D-1 Off-Site Habitat Baseline'!$D$1:$ZZ$258,45,FALSE)),"",(VLOOKUP($E154,'D-1 Off-Site Habitat Baseline'!$D$1:$ZZ$258,45,FALSE))))</f>
        <v/>
      </c>
      <c r="G154" s="301" t="str">
        <f>IF(E154="","",IF(ISNA(VLOOKUP($E154,'D-1 Off-Site Habitat Baseline'!$D$1:$O$258,5,FALSE)),"",(VLOOKUP($E154,'D-1 Off-Site Habitat Baseline'!$D$1:$O$258,5,FALSE))))</f>
        <v/>
      </c>
      <c r="H154" s="301" t="str">
        <f>IF(E154="","",IF(ISNA(VLOOKUP($E154,'D-1 Off-Site Habitat Baseline'!$D$1:$O$258,6,FALSE)),"",(VLOOKUP($E154,'D-1 Off-Site Habitat Baseline'!$D$1:$O$258,6,FALSE))))</f>
        <v/>
      </c>
      <c r="I154" s="301" t="str">
        <f>IF(E154="","",IF(ISNA(VLOOKUP($E154,'D-1 Off-Site Habitat Baseline'!$D$1:$O$258,7,FALSE)),"",(VLOOKUP($E154,'D-1 Off-Site Habitat Baseline'!$D$1:$O$258,7,FALSE))))</f>
        <v/>
      </c>
      <c r="J154" s="301" t="str">
        <f>IF(E154="","",IF(ISNA(VLOOKUP($E154,'D-1 Off-Site Habitat Baseline'!$D$1:$O$258,8,FALSE)),"",(VLOOKUP($E154,'D-1 Off-Site Habitat Baseline'!$D$1:$O$258,8,FALSE))))</f>
        <v/>
      </c>
      <c r="K154" s="301" t="str">
        <f>IF(E154="","",IF(ISNA(VLOOKUP($E154,'D-1 Off-Site Habitat Baseline'!$D$1:$O$258,9,FALSE)),"",(VLOOKUP($E154,'D-1 Off-Site Habitat Baseline'!$D$1:$O$258,9,FALSE))))</f>
        <v/>
      </c>
      <c r="L154" s="301" t="str">
        <f>IF(E154="","",IF(ISNA(VLOOKUP($E154,'D-1 Off-Site Habitat Baseline'!$D$1:$O$258,11,FALSE)),"",(VLOOKUP($E154,'D-1 Off-Site Habitat Baseline'!$D$1:$O$258,11,FALSE))))</f>
        <v/>
      </c>
      <c r="M154" s="301" t="str">
        <f>IF(E154="","",IF(ISNA(VLOOKUP($E154,'D-1 Off-Site Habitat Baseline'!$D$1:$O$258,12,FALSE)),"",(VLOOKUP($E154,'D-1 Off-Site Habitat Baseline'!$D$1:$O$258,12,FALSE))))</f>
        <v/>
      </c>
      <c r="N154" s="301" t="str">
        <f>IF(E154="","",IF(ISNA(VLOOKUP($E154,'D-1 Off-Site Habitat Baseline'!$D$1:$AA$258,17,FALSE)),"",(VLOOKUP($E154,'D-1 Off-Site Habitat Baseline'!$D$1:$AA$258,17,FALSE))))</f>
        <v/>
      </c>
      <c r="O154" s="305" t="str">
        <f>IF(E154="","",IF(ISNA(VLOOKUP($E154,'D-1 Off-Site Habitat Baseline'!$D$1:$AA$258,13,FALSE)),"",(VLOOKUP($E154,'D-1 Off-Site Habitat Baseline'!$D$1:$AA$258,13,FALSE))))</f>
        <v/>
      </c>
      <c r="P154" s="152" t="str">
        <f>IFERROR(INDEX('G-1 All Habitats'!$AG$49:$AG$63,MATCH(Q154,'G-1 All Habitats'!$AF$27:$AF$41,0)),"")</f>
        <v/>
      </c>
      <c r="Q154" s="153"/>
      <c r="R154" s="154"/>
      <c r="S154" s="155" t="str">
        <f>IFERROR(INDEX('G-1 All Habitats'!$B$3:$B$135,MATCH(R154,'G-1 All Habitats'!$A$3:$A$135,0)),"")</f>
        <v/>
      </c>
      <c r="T154" s="289" t="str">
        <f t="shared" si="22"/>
        <v/>
      </c>
      <c r="U154" s="305" t="str">
        <f t="shared" si="23"/>
        <v/>
      </c>
      <c r="V154" s="304" t="str">
        <f t="shared" si="20"/>
        <v/>
      </c>
      <c r="W154" s="301" t="str">
        <f>IF(S154="","",VLOOKUP(S154,'G-1 All Habitats'!$B$2:$M$135,10,FALSE))</f>
        <v/>
      </c>
      <c r="X154" s="301" t="str">
        <f>IFERROR(VLOOKUP(W154,'G-1 All Habitats'!$V$3:$W$7,2,FALSE),"")</f>
        <v/>
      </c>
      <c r="Y154" s="142"/>
      <c r="Z154" s="305" t="str">
        <f>IFERROR(INDEX('G-8 Condition Look up'!$A$3:$H$135,MATCH(S154,'G-8 Condition Look up'!$A$3:$A$135,0),MATCH(Y154,'G-8 Condition Look up'!$A$3:$H$3,0)),"")</f>
        <v/>
      </c>
      <c r="AA154" s="105"/>
      <c r="AB154" s="320" t="str">
        <f>IF(AA154="","",IF(VLOOKUP(AA154,'G-3 Multipliers'!$L$3:$N$6,2,FALSE)=0,"Spatial Data Missing ⚠",VLOOKUP(AA154,'G-3 Multipliers'!$L$3:$N$6,2,FALSE)))</f>
        <v/>
      </c>
      <c r="AC154" s="305" t="str">
        <f>IF(AA154="","",IF(VLOOKUP(AA154,'G-3 Multipliers'!$L$3:$N$6,3,FALSE)=0,"Spatial Data Missing ⚠",VLOOKUP(AA154,'G-3 Multipliers'!$L$3:$N$6,3,FALSE)))</f>
        <v/>
      </c>
      <c r="AD154" s="317" t="str">
        <f t="shared" si="21"/>
        <v/>
      </c>
      <c r="AE154" s="142"/>
      <c r="AF154" s="142"/>
      <c r="AG154" s="301" t="str">
        <f t="shared" si="24"/>
        <v/>
      </c>
      <c r="AH154" s="302" t="str">
        <f t="shared" si="25"/>
        <v/>
      </c>
      <c r="AI154" s="306" t="str">
        <f>IF(AH154="Check Data ⚠","Check Data ⚠",IFERROR(VLOOKUP(AH154,'G-4 Temporal multipliers'!$A$4:$C$36,3,FALSE),""))</f>
        <v/>
      </c>
      <c r="AJ154" s="317" t="str">
        <f>IF(S154="","",VLOOKUP(S154,'G-3 Multipliers'!$A$2:$E$134,4,FALSE))</f>
        <v/>
      </c>
      <c r="AK154" s="301" t="str">
        <f t="shared" si="26"/>
        <v/>
      </c>
      <c r="AL154" s="301" t="str">
        <f t="shared" si="27"/>
        <v/>
      </c>
      <c r="AM154" s="305" t="str">
        <f>IFERROR(IF(F154="","",IF(AH154="Check Data ⚠","Check Data ⚠",VLOOKUP(AL154, 'G-3 Multipliers'!$P$2:$Q$6,2,FALSE))),"")</f>
        <v/>
      </c>
      <c r="AN154" s="728"/>
      <c r="AO154" s="335" t="str">
        <f>IF(AN154="","",IF(VLOOKUP(AN154,'G-3 Multipliers'!$S$3:$T$10,2,FALSE)=0,"Spatial Data Missing ⚠",VLOOKUP(AN154,'G-3 Multipliers'!$S$3:$T$10,2,FALSE)))</f>
        <v/>
      </c>
      <c r="AP154" s="295" t="str">
        <f t="shared" si="28"/>
        <v/>
      </c>
      <c r="AQ154" s="295" t="str">
        <f t="shared" si="29"/>
        <v/>
      </c>
      <c r="AR154" s="109"/>
      <c r="AS154" s="142"/>
      <c r="AT154" s="108"/>
      <c r="AU154" s="108"/>
      <c r="AY154" s="30" t="str">
        <f>IF(E154="","",IF(ISNA(VLOOKUP($E154,'D-1 Off-Site Habitat Baseline'!$D$1:$AV$258,4,FALSE)),"",(VLOOKUP($E154,'D-1 Off-Site Habitat Baseline'!$D$1:$AV$258,4,FALSE))))</f>
        <v/>
      </c>
    </row>
    <row r="155" spans="1:51" x14ac:dyDescent="0.25">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325" t="str">
        <f>'D-1 Off-Site Habitat Baseline'!AP154</f>
        <v/>
      </c>
      <c r="F155" s="289" t="str">
        <f>IF(E155="","",IF(ISNA(VLOOKUP($E155,'D-1 Off-Site Habitat Baseline'!$D$1:$ZZ$258,45,FALSE)),"",(VLOOKUP($E155,'D-1 Off-Site Habitat Baseline'!$D$1:$ZZ$258,45,FALSE))))</f>
        <v/>
      </c>
      <c r="G155" s="301" t="str">
        <f>IF(E155="","",IF(ISNA(VLOOKUP($E155,'D-1 Off-Site Habitat Baseline'!$D$1:$O$258,5,FALSE)),"",(VLOOKUP($E155,'D-1 Off-Site Habitat Baseline'!$D$1:$O$258,5,FALSE))))</f>
        <v/>
      </c>
      <c r="H155" s="301" t="str">
        <f>IF(E155="","",IF(ISNA(VLOOKUP($E155,'D-1 Off-Site Habitat Baseline'!$D$1:$O$258,6,FALSE)),"",(VLOOKUP($E155,'D-1 Off-Site Habitat Baseline'!$D$1:$O$258,6,FALSE))))</f>
        <v/>
      </c>
      <c r="I155" s="301" t="str">
        <f>IF(E155="","",IF(ISNA(VLOOKUP($E155,'D-1 Off-Site Habitat Baseline'!$D$1:$O$258,7,FALSE)),"",(VLOOKUP($E155,'D-1 Off-Site Habitat Baseline'!$D$1:$O$258,7,FALSE))))</f>
        <v/>
      </c>
      <c r="J155" s="301" t="str">
        <f>IF(E155="","",IF(ISNA(VLOOKUP($E155,'D-1 Off-Site Habitat Baseline'!$D$1:$O$258,8,FALSE)),"",(VLOOKUP($E155,'D-1 Off-Site Habitat Baseline'!$D$1:$O$258,8,FALSE))))</f>
        <v/>
      </c>
      <c r="K155" s="301" t="str">
        <f>IF(E155="","",IF(ISNA(VLOOKUP($E155,'D-1 Off-Site Habitat Baseline'!$D$1:$O$258,9,FALSE)),"",(VLOOKUP($E155,'D-1 Off-Site Habitat Baseline'!$D$1:$O$258,9,FALSE))))</f>
        <v/>
      </c>
      <c r="L155" s="301" t="str">
        <f>IF(E155="","",IF(ISNA(VLOOKUP($E155,'D-1 Off-Site Habitat Baseline'!$D$1:$O$258,11,FALSE)),"",(VLOOKUP($E155,'D-1 Off-Site Habitat Baseline'!$D$1:$O$258,11,FALSE))))</f>
        <v/>
      </c>
      <c r="M155" s="301" t="str">
        <f>IF(E155="","",IF(ISNA(VLOOKUP($E155,'D-1 Off-Site Habitat Baseline'!$D$1:$O$258,12,FALSE)),"",(VLOOKUP($E155,'D-1 Off-Site Habitat Baseline'!$D$1:$O$258,12,FALSE))))</f>
        <v/>
      </c>
      <c r="N155" s="301" t="str">
        <f>IF(E155="","",IF(ISNA(VLOOKUP($E155,'D-1 Off-Site Habitat Baseline'!$D$1:$AA$258,17,FALSE)),"",(VLOOKUP($E155,'D-1 Off-Site Habitat Baseline'!$D$1:$AA$258,17,FALSE))))</f>
        <v/>
      </c>
      <c r="O155" s="305" t="str">
        <f>IF(E155="","",IF(ISNA(VLOOKUP($E155,'D-1 Off-Site Habitat Baseline'!$D$1:$AA$258,13,FALSE)),"",(VLOOKUP($E155,'D-1 Off-Site Habitat Baseline'!$D$1:$AA$258,13,FALSE))))</f>
        <v/>
      </c>
      <c r="P155" s="152" t="str">
        <f>IFERROR(INDEX('G-1 All Habitats'!$AG$49:$AG$63,MATCH(Q155,'G-1 All Habitats'!$AF$27:$AF$41,0)),"")</f>
        <v/>
      </c>
      <c r="Q155" s="153"/>
      <c r="R155" s="154"/>
      <c r="S155" s="155" t="str">
        <f>IFERROR(INDEX('G-1 All Habitats'!$B$3:$B$135,MATCH(R155,'G-1 All Habitats'!$A$3:$A$135,0)),"")</f>
        <v/>
      </c>
      <c r="T155" s="289" t="str">
        <f t="shared" si="22"/>
        <v/>
      </c>
      <c r="U155" s="305" t="str">
        <f t="shared" si="23"/>
        <v/>
      </c>
      <c r="V155" s="304" t="str">
        <f t="shared" si="20"/>
        <v/>
      </c>
      <c r="W155" s="301" t="str">
        <f>IF(S155="","",VLOOKUP(S155,'G-1 All Habitats'!$B$2:$M$135,10,FALSE))</f>
        <v/>
      </c>
      <c r="X155" s="301" t="str">
        <f>IFERROR(VLOOKUP(W155,'G-1 All Habitats'!$V$3:$W$7,2,FALSE),"")</f>
        <v/>
      </c>
      <c r="Y155" s="142"/>
      <c r="Z155" s="305" t="str">
        <f>IFERROR(INDEX('G-8 Condition Look up'!$A$3:$H$135,MATCH(S155,'G-8 Condition Look up'!$A$3:$A$135,0),MATCH(Y155,'G-8 Condition Look up'!$A$3:$H$3,0)),"")</f>
        <v/>
      </c>
      <c r="AA155" s="105"/>
      <c r="AB155" s="320" t="str">
        <f>IF(AA155="","",IF(VLOOKUP(AA155,'G-3 Multipliers'!$L$3:$N$6,2,FALSE)=0,"Spatial Data Missing ⚠",VLOOKUP(AA155,'G-3 Multipliers'!$L$3:$N$6,2,FALSE)))</f>
        <v/>
      </c>
      <c r="AC155" s="305" t="str">
        <f>IF(AA155="","",IF(VLOOKUP(AA155,'G-3 Multipliers'!$L$3:$N$6,3,FALSE)=0,"Spatial Data Missing ⚠",VLOOKUP(AA155,'G-3 Multipliers'!$L$3:$N$6,3,FALSE)))</f>
        <v/>
      </c>
      <c r="AD155" s="317" t="str">
        <f t="shared" si="21"/>
        <v/>
      </c>
      <c r="AE155" s="142"/>
      <c r="AF155" s="142"/>
      <c r="AG155" s="301" t="str">
        <f t="shared" si="24"/>
        <v/>
      </c>
      <c r="AH155" s="302" t="str">
        <f t="shared" si="25"/>
        <v/>
      </c>
      <c r="AI155" s="306" t="str">
        <f>IF(AH155="Check Data ⚠","Check Data ⚠",IFERROR(VLOOKUP(AH155,'G-4 Temporal multipliers'!$A$4:$C$36,3,FALSE),""))</f>
        <v/>
      </c>
      <c r="AJ155" s="317" t="str">
        <f>IF(S155="","",VLOOKUP(S155,'G-3 Multipliers'!$A$2:$E$134,4,FALSE))</f>
        <v/>
      </c>
      <c r="AK155" s="301" t="str">
        <f t="shared" si="26"/>
        <v/>
      </c>
      <c r="AL155" s="301" t="str">
        <f t="shared" si="27"/>
        <v/>
      </c>
      <c r="AM155" s="305" t="str">
        <f>IFERROR(IF(F155="","",IF(AH155="Check Data ⚠","Check Data ⚠",VLOOKUP(AL155, 'G-3 Multipliers'!$P$2:$Q$6,2,FALSE))),"")</f>
        <v/>
      </c>
      <c r="AN155" s="728"/>
      <c r="AO155" s="335" t="str">
        <f>IF(AN155="","",IF(VLOOKUP(AN155,'G-3 Multipliers'!$S$3:$T$10,2,FALSE)=0,"Spatial Data Missing ⚠",VLOOKUP(AN155,'G-3 Multipliers'!$S$3:$T$10,2,FALSE)))</f>
        <v/>
      </c>
      <c r="AP155" s="295" t="str">
        <f t="shared" si="28"/>
        <v/>
      </c>
      <c r="AQ155" s="295" t="str">
        <f t="shared" si="29"/>
        <v/>
      </c>
      <c r="AR155" s="109"/>
      <c r="AS155" s="142"/>
      <c r="AT155" s="108"/>
      <c r="AU155" s="108"/>
      <c r="AY155" s="30" t="str">
        <f>IF(E155="","",IF(ISNA(VLOOKUP($E155,'D-1 Off-Site Habitat Baseline'!$D$1:$AV$258,4,FALSE)),"",(VLOOKUP($E155,'D-1 Off-Site Habitat Baseline'!$D$1:$AV$258,4,FALSE))))</f>
        <v/>
      </c>
    </row>
    <row r="156" spans="1:51" x14ac:dyDescent="0.25">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325" t="str">
        <f>'D-1 Off-Site Habitat Baseline'!AP155</f>
        <v/>
      </c>
      <c r="F156" s="289" t="str">
        <f>IF(E156="","",IF(ISNA(VLOOKUP($E156,'D-1 Off-Site Habitat Baseline'!$D$1:$ZZ$258,45,FALSE)),"",(VLOOKUP($E156,'D-1 Off-Site Habitat Baseline'!$D$1:$ZZ$258,45,FALSE))))</f>
        <v/>
      </c>
      <c r="G156" s="301" t="str">
        <f>IF(E156="","",IF(ISNA(VLOOKUP($E156,'D-1 Off-Site Habitat Baseline'!$D$1:$O$258,5,FALSE)),"",(VLOOKUP($E156,'D-1 Off-Site Habitat Baseline'!$D$1:$O$258,5,FALSE))))</f>
        <v/>
      </c>
      <c r="H156" s="301" t="str">
        <f>IF(E156="","",IF(ISNA(VLOOKUP($E156,'D-1 Off-Site Habitat Baseline'!$D$1:$O$258,6,FALSE)),"",(VLOOKUP($E156,'D-1 Off-Site Habitat Baseline'!$D$1:$O$258,6,FALSE))))</f>
        <v/>
      </c>
      <c r="I156" s="301" t="str">
        <f>IF(E156="","",IF(ISNA(VLOOKUP($E156,'D-1 Off-Site Habitat Baseline'!$D$1:$O$258,7,FALSE)),"",(VLOOKUP($E156,'D-1 Off-Site Habitat Baseline'!$D$1:$O$258,7,FALSE))))</f>
        <v/>
      </c>
      <c r="J156" s="301" t="str">
        <f>IF(E156="","",IF(ISNA(VLOOKUP($E156,'D-1 Off-Site Habitat Baseline'!$D$1:$O$258,8,FALSE)),"",(VLOOKUP($E156,'D-1 Off-Site Habitat Baseline'!$D$1:$O$258,8,FALSE))))</f>
        <v/>
      </c>
      <c r="K156" s="301" t="str">
        <f>IF(E156="","",IF(ISNA(VLOOKUP($E156,'D-1 Off-Site Habitat Baseline'!$D$1:$O$258,9,FALSE)),"",(VLOOKUP($E156,'D-1 Off-Site Habitat Baseline'!$D$1:$O$258,9,FALSE))))</f>
        <v/>
      </c>
      <c r="L156" s="301" t="str">
        <f>IF(E156="","",IF(ISNA(VLOOKUP($E156,'D-1 Off-Site Habitat Baseline'!$D$1:$O$258,11,FALSE)),"",(VLOOKUP($E156,'D-1 Off-Site Habitat Baseline'!$D$1:$O$258,11,FALSE))))</f>
        <v/>
      </c>
      <c r="M156" s="301" t="str">
        <f>IF(E156="","",IF(ISNA(VLOOKUP($E156,'D-1 Off-Site Habitat Baseline'!$D$1:$O$258,12,FALSE)),"",(VLOOKUP($E156,'D-1 Off-Site Habitat Baseline'!$D$1:$O$258,12,FALSE))))</f>
        <v/>
      </c>
      <c r="N156" s="301" t="str">
        <f>IF(E156="","",IF(ISNA(VLOOKUP($E156,'D-1 Off-Site Habitat Baseline'!$D$1:$AA$258,17,FALSE)),"",(VLOOKUP($E156,'D-1 Off-Site Habitat Baseline'!$D$1:$AA$258,17,FALSE))))</f>
        <v/>
      </c>
      <c r="O156" s="305" t="str">
        <f>IF(E156="","",IF(ISNA(VLOOKUP($E156,'D-1 Off-Site Habitat Baseline'!$D$1:$AA$258,13,FALSE)),"",(VLOOKUP($E156,'D-1 Off-Site Habitat Baseline'!$D$1:$AA$258,13,FALSE))))</f>
        <v/>
      </c>
      <c r="P156" s="152" t="str">
        <f>IFERROR(INDEX('G-1 All Habitats'!$AG$49:$AG$63,MATCH(Q156,'G-1 All Habitats'!$AF$27:$AF$41,0)),"")</f>
        <v/>
      </c>
      <c r="Q156" s="153"/>
      <c r="R156" s="154"/>
      <c r="S156" s="155" t="str">
        <f>IFERROR(INDEX('G-1 All Habitats'!$B$3:$B$135,MATCH(R156,'G-1 All Habitats'!$A$3:$A$135,0)),"")</f>
        <v/>
      </c>
      <c r="T156" s="289" t="str">
        <f t="shared" si="22"/>
        <v/>
      </c>
      <c r="U156" s="305" t="str">
        <f t="shared" si="23"/>
        <v/>
      </c>
      <c r="V156" s="304" t="str">
        <f t="shared" si="20"/>
        <v/>
      </c>
      <c r="W156" s="301" t="str">
        <f>IF(S156="","",VLOOKUP(S156,'G-1 All Habitats'!$B$2:$M$135,10,FALSE))</f>
        <v/>
      </c>
      <c r="X156" s="301" t="str">
        <f>IFERROR(VLOOKUP(W156,'G-1 All Habitats'!$V$3:$W$7,2,FALSE),"")</f>
        <v/>
      </c>
      <c r="Y156" s="142"/>
      <c r="Z156" s="305" t="str">
        <f>IFERROR(INDEX('G-8 Condition Look up'!$A$3:$H$135,MATCH(S156,'G-8 Condition Look up'!$A$3:$A$135,0),MATCH(Y156,'G-8 Condition Look up'!$A$3:$H$3,0)),"")</f>
        <v/>
      </c>
      <c r="AA156" s="105"/>
      <c r="AB156" s="320" t="str">
        <f>IF(AA156="","",IF(VLOOKUP(AA156,'G-3 Multipliers'!$L$3:$N$6,2,FALSE)=0,"Spatial Data Missing ⚠",VLOOKUP(AA156,'G-3 Multipliers'!$L$3:$N$6,2,FALSE)))</f>
        <v/>
      </c>
      <c r="AC156" s="305" t="str">
        <f>IF(AA156="","",IF(VLOOKUP(AA156,'G-3 Multipliers'!$L$3:$N$6,3,FALSE)=0,"Spatial Data Missing ⚠",VLOOKUP(AA156,'G-3 Multipliers'!$L$3:$N$6,3,FALSE)))</f>
        <v/>
      </c>
      <c r="AD156" s="317" t="str">
        <f t="shared" si="21"/>
        <v/>
      </c>
      <c r="AE156" s="142"/>
      <c r="AF156" s="142"/>
      <c r="AG156" s="301" t="str">
        <f t="shared" si="24"/>
        <v/>
      </c>
      <c r="AH156" s="302" t="str">
        <f t="shared" si="25"/>
        <v/>
      </c>
      <c r="AI156" s="306" t="str">
        <f>IF(AH156="Check Data ⚠","Check Data ⚠",IFERROR(VLOOKUP(AH156,'G-4 Temporal multipliers'!$A$4:$C$36,3,FALSE),""))</f>
        <v/>
      </c>
      <c r="AJ156" s="317" t="str">
        <f>IF(S156="","",VLOOKUP(S156,'G-3 Multipliers'!$A$2:$E$134,4,FALSE))</f>
        <v/>
      </c>
      <c r="AK156" s="301" t="str">
        <f t="shared" si="26"/>
        <v/>
      </c>
      <c r="AL156" s="301" t="str">
        <f t="shared" si="27"/>
        <v/>
      </c>
      <c r="AM156" s="305" t="str">
        <f>IFERROR(IF(F156="","",IF(AH156="Check Data ⚠","Check Data ⚠",VLOOKUP(AL156, 'G-3 Multipliers'!$P$2:$Q$6,2,FALSE))),"")</f>
        <v/>
      </c>
      <c r="AN156" s="728"/>
      <c r="AO156" s="335" t="str">
        <f>IF(AN156="","",IF(VLOOKUP(AN156,'G-3 Multipliers'!$S$3:$T$10,2,FALSE)=0,"Spatial Data Missing ⚠",VLOOKUP(AN156,'G-3 Multipliers'!$S$3:$T$10,2,FALSE)))</f>
        <v/>
      </c>
      <c r="AP156" s="295" t="str">
        <f t="shared" si="28"/>
        <v/>
      </c>
      <c r="AQ156" s="295" t="str">
        <f t="shared" si="29"/>
        <v/>
      </c>
      <c r="AR156" s="109"/>
      <c r="AS156" s="142"/>
      <c r="AT156" s="108"/>
      <c r="AU156" s="108"/>
      <c r="AY156" s="30" t="str">
        <f>IF(E156="","",IF(ISNA(VLOOKUP($E156,'D-1 Off-Site Habitat Baseline'!$D$1:$AV$258,4,FALSE)),"",(VLOOKUP($E156,'D-1 Off-Site Habitat Baseline'!$D$1:$AV$258,4,FALSE))))</f>
        <v/>
      </c>
    </row>
    <row r="157" spans="1:51" x14ac:dyDescent="0.25">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325" t="str">
        <f>'D-1 Off-Site Habitat Baseline'!AP156</f>
        <v/>
      </c>
      <c r="F157" s="289" t="str">
        <f>IF(E157="","",IF(ISNA(VLOOKUP($E157,'D-1 Off-Site Habitat Baseline'!$D$1:$ZZ$258,45,FALSE)),"",(VLOOKUP($E157,'D-1 Off-Site Habitat Baseline'!$D$1:$ZZ$258,45,FALSE))))</f>
        <v/>
      </c>
      <c r="G157" s="301" t="str">
        <f>IF(E157="","",IF(ISNA(VLOOKUP($E157,'D-1 Off-Site Habitat Baseline'!$D$1:$O$258,5,FALSE)),"",(VLOOKUP($E157,'D-1 Off-Site Habitat Baseline'!$D$1:$O$258,5,FALSE))))</f>
        <v/>
      </c>
      <c r="H157" s="301" t="str">
        <f>IF(E157="","",IF(ISNA(VLOOKUP($E157,'D-1 Off-Site Habitat Baseline'!$D$1:$O$258,6,FALSE)),"",(VLOOKUP($E157,'D-1 Off-Site Habitat Baseline'!$D$1:$O$258,6,FALSE))))</f>
        <v/>
      </c>
      <c r="I157" s="301" t="str">
        <f>IF(E157="","",IF(ISNA(VLOOKUP($E157,'D-1 Off-Site Habitat Baseline'!$D$1:$O$258,7,FALSE)),"",(VLOOKUP($E157,'D-1 Off-Site Habitat Baseline'!$D$1:$O$258,7,FALSE))))</f>
        <v/>
      </c>
      <c r="J157" s="301" t="str">
        <f>IF(E157="","",IF(ISNA(VLOOKUP($E157,'D-1 Off-Site Habitat Baseline'!$D$1:$O$258,8,FALSE)),"",(VLOOKUP($E157,'D-1 Off-Site Habitat Baseline'!$D$1:$O$258,8,FALSE))))</f>
        <v/>
      </c>
      <c r="K157" s="301" t="str">
        <f>IF(E157="","",IF(ISNA(VLOOKUP($E157,'D-1 Off-Site Habitat Baseline'!$D$1:$O$258,9,FALSE)),"",(VLOOKUP($E157,'D-1 Off-Site Habitat Baseline'!$D$1:$O$258,9,FALSE))))</f>
        <v/>
      </c>
      <c r="L157" s="301" t="str">
        <f>IF(E157="","",IF(ISNA(VLOOKUP($E157,'D-1 Off-Site Habitat Baseline'!$D$1:$O$258,11,FALSE)),"",(VLOOKUP($E157,'D-1 Off-Site Habitat Baseline'!$D$1:$O$258,11,FALSE))))</f>
        <v/>
      </c>
      <c r="M157" s="301" t="str">
        <f>IF(E157="","",IF(ISNA(VLOOKUP($E157,'D-1 Off-Site Habitat Baseline'!$D$1:$O$258,12,FALSE)),"",(VLOOKUP($E157,'D-1 Off-Site Habitat Baseline'!$D$1:$O$258,12,FALSE))))</f>
        <v/>
      </c>
      <c r="N157" s="301" t="str">
        <f>IF(E157="","",IF(ISNA(VLOOKUP($E157,'D-1 Off-Site Habitat Baseline'!$D$1:$AA$258,17,FALSE)),"",(VLOOKUP($E157,'D-1 Off-Site Habitat Baseline'!$D$1:$AA$258,17,FALSE))))</f>
        <v/>
      </c>
      <c r="O157" s="305" t="str">
        <f>IF(E157="","",IF(ISNA(VLOOKUP($E157,'D-1 Off-Site Habitat Baseline'!$D$1:$AA$258,13,FALSE)),"",(VLOOKUP($E157,'D-1 Off-Site Habitat Baseline'!$D$1:$AA$258,13,FALSE))))</f>
        <v/>
      </c>
      <c r="P157" s="152" t="str">
        <f>IFERROR(INDEX('G-1 All Habitats'!$AG$49:$AG$63,MATCH(Q157,'G-1 All Habitats'!$AF$27:$AF$41,0)),"")</f>
        <v/>
      </c>
      <c r="Q157" s="153"/>
      <c r="R157" s="154"/>
      <c r="S157" s="155" t="str">
        <f>IFERROR(INDEX('G-1 All Habitats'!$B$3:$B$135,MATCH(R157,'G-1 All Habitats'!$A$3:$A$135,0)),"")</f>
        <v/>
      </c>
      <c r="T157" s="289" t="str">
        <f t="shared" si="22"/>
        <v/>
      </c>
      <c r="U157" s="305" t="str">
        <f t="shared" si="23"/>
        <v/>
      </c>
      <c r="V157" s="304" t="str">
        <f t="shared" si="20"/>
        <v/>
      </c>
      <c r="W157" s="301" t="str">
        <f>IF(S157="","",VLOOKUP(S157,'G-1 All Habitats'!$B$2:$M$135,10,FALSE))</f>
        <v/>
      </c>
      <c r="X157" s="301" t="str">
        <f>IFERROR(VLOOKUP(W157,'G-1 All Habitats'!$V$3:$W$7,2,FALSE),"")</f>
        <v/>
      </c>
      <c r="Y157" s="142"/>
      <c r="Z157" s="305" t="str">
        <f>IFERROR(INDEX('G-8 Condition Look up'!$A$3:$H$135,MATCH(S157,'G-8 Condition Look up'!$A$3:$A$135,0),MATCH(Y157,'G-8 Condition Look up'!$A$3:$H$3,0)),"")</f>
        <v/>
      </c>
      <c r="AA157" s="105"/>
      <c r="AB157" s="320" t="str">
        <f>IF(AA157="","",IF(VLOOKUP(AA157,'G-3 Multipliers'!$L$3:$N$6,2,FALSE)=0,"Spatial Data Missing ⚠",VLOOKUP(AA157,'G-3 Multipliers'!$L$3:$N$6,2,FALSE)))</f>
        <v/>
      </c>
      <c r="AC157" s="305" t="str">
        <f>IF(AA157="","",IF(VLOOKUP(AA157,'G-3 Multipliers'!$L$3:$N$6,3,FALSE)=0,"Spatial Data Missing ⚠",VLOOKUP(AA157,'G-3 Multipliers'!$L$3:$N$6,3,FALSE)))</f>
        <v/>
      </c>
      <c r="AD157" s="317" t="str">
        <f t="shared" si="21"/>
        <v/>
      </c>
      <c r="AE157" s="142"/>
      <c r="AF157" s="142"/>
      <c r="AG157" s="301" t="str">
        <f t="shared" si="24"/>
        <v/>
      </c>
      <c r="AH157" s="302" t="str">
        <f t="shared" si="25"/>
        <v/>
      </c>
      <c r="AI157" s="306" t="str">
        <f>IF(AH157="Check Data ⚠","Check Data ⚠",IFERROR(VLOOKUP(AH157,'G-4 Temporal multipliers'!$A$4:$C$36,3,FALSE),""))</f>
        <v/>
      </c>
      <c r="AJ157" s="317" t="str">
        <f>IF(S157="","",VLOOKUP(S157,'G-3 Multipliers'!$A$2:$E$134,4,FALSE))</f>
        <v/>
      </c>
      <c r="AK157" s="301" t="str">
        <f t="shared" si="26"/>
        <v/>
      </c>
      <c r="AL157" s="301" t="str">
        <f t="shared" si="27"/>
        <v/>
      </c>
      <c r="AM157" s="305" t="str">
        <f>IFERROR(IF(F157="","",IF(AH157="Check Data ⚠","Check Data ⚠",VLOOKUP(AL157, 'G-3 Multipliers'!$P$2:$Q$6,2,FALSE))),"")</f>
        <v/>
      </c>
      <c r="AN157" s="728"/>
      <c r="AO157" s="335" t="str">
        <f>IF(AN157="","",IF(VLOOKUP(AN157,'G-3 Multipliers'!$S$3:$T$10,2,FALSE)=0,"Spatial Data Missing ⚠",VLOOKUP(AN157,'G-3 Multipliers'!$S$3:$T$10,2,FALSE)))</f>
        <v/>
      </c>
      <c r="AP157" s="295" t="str">
        <f t="shared" si="28"/>
        <v/>
      </c>
      <c r="AQ157" s="295" t="str">
        <f t="shared" si="29"/>
        <v/>
      </c>
      <c r="AR157" s="109"/>
      <c r="AS157" s="142"/>
      <c r="AT157" s="108"/>
      <c r="AU157" s="108"/>
      <c r="AY157" s="30" t="str">
        <f>IF(E157="","",IF(ISNA(VLOOKUP($E157,'D-1 Off-Site Habitat Baseline'!$D$1:$AV$258,4,FALSE)),"",(VLOOKUP($E157,'D-1 Off-Site Habitat Baseline'!$D$1:$AV$258,4,FALSE))))</f>
        <v/>
      </c>
    </row>
    <row r="158" spans="1:51" x14ac:dyDescent="0.25">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325" t="str">
        <f>'D-1 Off-Site Habitat Baseline'!AP157</f>
        <v/>
      </c>
      <c r="F158" s="289" t="str">
        <f>IF(E158="","",IF(ISNA(VLOOKUP($E158,'D-1 Off-Site Habitat Baseline'!$D$1:$ZZ$258,45,FALSE)),"",(VLOOKUP($E158,'D-1 Off-Site Habitat Baseline'!$D$1:$ZZ$258,45,FALSE))))</f>
        <v/>
      </c>
      <c r="G158" s="301" t="str">
        <f>IF(E158="","",IF(ISNA(VLOOKUP($E158,'D-1 Off-Site Habitat Baseline'!$D$1:$O$258,5,FALSE)),"",(VLOOKUP($E158,'D-1 Off-Site Habitat Baseline'!$D$1:$O$258,5,FALSE))))</f>
        <v/>
      </c>
      <c r="H158" s="301" t="str">
        <f>IF(E158="","",IF(ISNA(VLOOKUP($E158,'D-1 Off-Site Habitat Baseline'!$D$1:$O$258,6,FALSE)),"",(VLOOKUP($E158,'D-1 Off-Site Habitat Baseline'!$D$1:$O$258,6,FALSE))))</f>
        <v/>
      </c>
      <c r="I158" s="301" t="str">
        <f>IF(E158="","",IF(ISNA(VLOOKUP($E158,'D-1 Off-Site Habitat Baseline'!$D$1:$O$258,7,FALSE)),"",(VLOOKUP($E158,'D-1 Off-Site Habitat Baseline'!$D$1:$O$258,7,FALSE))))</f>
        <v/>
      </c>
      <c r="J158" s="301" t="str">
        <f>IF(E158="","",IF(ISNA(VLOOKUP($E158,'D-1 Off-Site Habitat Baseline'!$D$1:$O$258,8,FALSE)),"",(VLOOKUP($E158,'D-1 Off-Site Habitat Baseline'!$D$1:$O$258,8,FALSE))))</f>
        <v/>
      </c>
      <c r="K158" s="301" t="str">
        <f>IF(E158="","",IF(ISNA(VLOOKUP($E158,'D-1 Off-Site Habitat Baseline'!$D$1:$O$258,9,FALSE)),"",(VLOOKUP($E158,'D-1 Off-Site Habitat Baseline'!$D$1:$O$258,9,FALSE))))</f>
        <v/>
      </c>
      <c r="L158" s="301" t="str">
        <f>IF(E158="","",IF(ISNA(VLOOKUP($E158,'D-1 Off-Site Habitat Baseline'!$D$1:$O$258,11,FALSE)),"",(VLOOKUP($E158,'D-1 Off-Site Habitat Baseline'!$D$1:$O$258,11,FALSE))))</f>
        <v/>
      </c>
      <c r="M158" s="301" t="str">
        <f>IF(E158="","",IF(ISNA(VLOOKUP($E158,'D-1 Off-Site Habitat Baseline'!$D$1:$O$258,12,FALSE)),"",(VLOOKUP($E158,'D-1 Off-Site Habitat Baseline'!$D$1:$O$258,12,FALSE))))</f>
        <v/>
      </c>
      <c r="N158" s="301" t="str">
        <f>IF(E158="","",IF(ISNA(VLOOKUP($E158,'D-1 Off-Site Habitat Baseline'!$D$1:$AA$258,17,FALSE)),"",(VLOOKUP($E158,'D-1 Off-Site Habitat Baseline'!$D$1:$AA$258,17,FALSE))))</f>
        <v/>
      </c>
      <c r="O158" s="305" t="str">
        <f>IF(E158="","",IF(ISNA(VLOOKUP($E158,'D-1 Off-Site Habitat Baseline'!$D$1:$AA$258,13,FALSE)),"",(VLOOKUP($E158,'D-1 Off-Site Habitat Baseline'!$D$1:$AA$258,13,FALSE))))</f>
        <v/>
      </c>
      <c r="P158" s="152" t="str">
        <f>IFERROR(INDEX('G-1 All Habitats'!$AG$49:$AG$63,MATCH(Q158,'G-1 All Habitats'!$AF$27:$AF$41,0)),"")</f>
        <v/>
      </c>
      <c r="Q158" s="153"/>
      <c r="R158" s="154"/>
      <c r="S158" s="155" t="str">
        <f>IFERROR(INDEX('G-1 All Habitats'!$B$3:$B$135,MATCH(R158,'G-1 All Habitats'!$A$3:$A$135,0)),"")</f>
        <v/>
      </c>
      <c r="T158" s="289" t="str">
        <f t="shared" si="22"/>
        <v/>
      </c>
      <c r="U158" s="305" t="str">
        <f t="shared" si="23"/>
        <v/>
      </c>
      <c r="V158" s="304" t="str">
        <f t="shared" si="20"/>
        <v/>
      </c>
      <c r="W158" s="301" t="str">
        <f>IF(S158="","",VLOOKUP(S158,'G-1 All Habitats'!$B$2:$M$135,10,FALSE))</f>
        <v/>
      </c>
      <c r="X158" s="301" t="str">
        <f>IFERROR(VLOOKUP(W158,'G-1 All Habitats'!$V$3:$W$7,2,FALSE),"")</f>
        <v/>
      </c>
      <c r="Y158" s="142"/>
      <c r="Z158" s="305" t="str">
        <f>IFERROR(INDEX('G-8 Condition Look up'!$A$3:$H$135,MATCH(S158,'G-8 Condition Look up'!$A$3:$A$135,0),MATCH(Y158,'G-8 Condition Look up'!$A$3:$H$3,0)),"")</f>
        <v/>
      </c>
      <c r="AA158" s="105"/>
      <c r="AB158" s="320" t="str">
        <f>IF(AA158="","",IF(VLOOKUP(AA158,'G-3 Multipliers'!$L$3:$N$6,2,FALSE)=0,"Spatial Data Missing ⚠",VLOOKUP(AA158,'G-3 Multipliers'!$L$3:$N$6,2,FALSE)))</f>
        <v/>
      </c>
      <c r="AC158" s="305" t="str">
        <f>IF(AA158="","",IF(VLOOKUP(AA158,'G-3 Multipliers'!$L$3:$N$6,3,FALSE)=0,"Spatial Data Missing ⚠",VLOOKUP(AA158,'G-3 Multipliers'!$L$3:$N$6,3,FALSE)))</f>
        <v/>
      </c>
      <c r="AD158" s="317" t="str">
        <f t="shared" si="21"/>
        <v/>
      </c>
      <c r="AE158" s="142"/>
      <c r="AF158" s="142"/>
      <c r="AG158" s="301" t="str">
        <f t="shared" si="24"/>
        <v/>
      </c>
      <c r="AH158" s="302" t="str">
        <f t="shared" si="25"/>
        <v/>
      </c>
      <c r="AI158" s="306" t="str">
        <f>IF(AH158="Check Data ⚠","Check Data ⚠",IFERROR(VLOOKUP(AH158,'G-4 Temporal multipliers'!$A$4:$C$36,3,FALSE),""))</f>
        <v/>
      </c>
      <c r="AJ158" s="317" t="str">
        <f>IF(S158="","",VLOOKUP(S158,'G-3 Multipliers'!$A$2:$E$134,4,FALSE))</f>
        <v/>
      </c>
      <c r="AK158" s="301" t="str">
        <f t="shared" si="26"/>
        <v/>
      </c>
      <c r="AL158" s="301" t="str">
        <f t="shared" si="27"/>
        <v/>
      </c>
      <c r="AM158" s="305" t="str">
        <f>IFERROR(IF(F158="","",IF(AH158="Check Data ⚠","Check Data ⚠",VLOOKUP(AL158, 'G-3 Multipliers'!$P$2:$Q$6,2,FALSE))),"")</f>
        <v/>
      </c>
      <c r="AN158" s="728"/>
      <c r="AO158" s="335" t="str">
        <f>IF(AN158="","",IF(VLOOKUP(AN158,'G-3 Multipliers'!$S$3:$T$10,2,FALSE)=0,"Spatial Data Missing ⚠",VLOOKUP(AN158,'G-3 Multipliers'!$S$3:$T$10,2,FALSE)))</f>
        <v/>
      </c>
      <c r="AP158" s="295" t="str">
        <f t="shared" si="28"/>
        <v/>
      </c>
      <c r="AQ158" s="295" t="str">
        <f t="shared" si="29"/>
        <v/>
      </c>
      <c r="AR158" s="109"/>
      <c r="AS158" s="142"/>
      <c r="AT158" s="108"/>
      <c r="AU158" s="108"/>
      <c r="AY158" s="30" t="str">
        <f>IF(E158="","",IF(ISNA(VLOOKUP($E158,'D-1 Off-Site Habitat Baseline'!$D$1:$AV$258,4,FALSE)),"",(VLOOKUP($E158,'D-1 Off-Site Habitat Baseline'!$D$1:$AV$258,4,FALSE))))</f>
        <v/>
      </c>
    </row>
    <row r="159" spans="1:51" x14ac:dyDescent="0.25">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325" t="str">
        <f>'D-1 Off-Site Habitat Baseline'!AP158</f>
        <v/>
      </c>
      <c r="F159" s="289" t="str">
        <f>IF(E159="","",IF(ISNA(VLOOKUP($E159,'D-1 Off-Site Habitat Baseline'!$D$1:$ZZ$258,45,FALSE)),"",(VLOOKUP($E159,'D-1 Off-Site Habitat Baseline'!$D$1:$ZZ$258,45,FALSE))))</f>
        <v/>
      </c>
      <c r="G159" s="301" t="str">
        <f>IF(E159="","",IF(ISNA(VLOOKUP($E159,'D-1 Off-Site Habitat Baseline'!$D$1:$O$258,5,FALSE)),"",(VLOOKUP($E159,'D-1 Off-Site Habitat Baseline'!$D$1:$O$258,5,FALSE))))</f>
        <v/>
      </c>
      <c r="H159" s="301" t="str">
        <f>IF(E159="","",IF(ISNA(VLOOKUP($E159,'D-1 Off-Site Habitat Baseline'!$D$1:$O$258,6,FALSE)),"",(VLOOKUP($E159,'D-1 Off-Site Habitat Baseline'!$D$1:$O$258,6,FALSE))))</f>
        <v/>
      </c>
      <c r="I159" s="301" t="str">
        <f>IF(E159="","",IF(ISNA(VLOOKUP($E159,'D-1 Off-Site Habitat Baseline'!$D$1:$O$258,7,FALSE)),"",(VLOOKUP($E159,'D-1 Off-Site Habitat Baseline'!$D$1:$O$258,7,FALSE))))</f>
        <v/>
      </c>
      <c r="J159" s="301" t="str">
        <f>IF(E159="","",IF(ISNA(VLOOKUP($E159,'D-1 Off-Site Habitat Baseline'!$D$1:$O$258,8,FALSE)),"",(VLOOKUP($E159,'D-1 Off-Site Habitat Baseline'!$D$1:$O$258,8,FALSE))))</f>
        <v/>
      </c>
      <c r="K159" s="301" t="str">
        <f>IF(E159="","",IF(ISNA(VLOOKUP($E159,'D-1 Off-Site Habitat Baseline'!$D$1:$O$258,9,FALSE)),"",(VLOOKUP($E159,'D-1 Off-Site Habitat Baseline'!$D$1:$O$258,9,FALSE))))</f>
        <v/>
      </c>
      <c r="L159" s="301" t="str">
        <f>IF(E159="","",IF(ISNA(VLOOKUP($E159,'D-1 Off-Site Habitat Baseline'!$D$1:$O$258,11,FALSE)),"",(VLOOKUP($E159,'D-1 Off-Site Habitat Baseline'!$D$1:$O$258,11,FALSE))))</f>
        <v/>
      </c>
      <c r="M159" s="301" t="str">
        <f>IF(E159="","",IF(ISNA(VLOOKUP($E159,'D-1 Off-Site Habitat Baseline'!$D$1:$O$258,12,FALSE)),"",(VLOOKUP($E159,'D-1 Off-Site Habitat Baseline'!$D$1:$O$258,12,FALSE))))</f>
        <v/>
      </c>
      <c r="N159" s="301" t="str">
        <f>IF(E159="","",IF(ISNA(VLOOKUP($E159,'D-1 Off-Site Habitat Baseline'!$D$1:$AA$258,17,FALSE)),"",(VLOOKUP($E159,'D-1 Off-Site Habitat Baseline'!$D$1:$AA$258,17,FALSE))))</f>
        <v/>
      </c>
      <c r="O159" s="305" t="str">
        <f>IF(E159="","",IF(ISNA(VLOOKUP($E159,'D-1 Off-Site Habitat Baseline'!$D$1:$AA$258,13,FALSE)),"",(VLOOKUP($E159,'D-1 Off-Site Habitat Baseline'!$D$1:$AA$258,13,FALSE))))</f>
        <v/>
      </c>
      <c r="P159" s="152" t="str">
        <f>IFERROR(INDEX('G-1 All Habitats'!$AG$49:$AG$63,MATCH(Q159,'G-1 All Habitats'!$AF$27:$AF$41,0)),"")</f>
        <v/>
      </c>
      <c r="Q159" s="153"/>
      <c r="R159" s="154"/>
      <c r="S159" s="155" t="str">
        <f>IFERROR(INDEX('G-1 All Habitats'!$B$3:$B$135,MATCH(R159,'G-1 All Habitats'!$A$3:$A$135,0)),"")</f>
        <v/>
      </c>
      <c r="T159" s="289" t="str">
        <f t="shared" si="22"/>
        <v/>
      </c>
      <c r="U159" s="305" t="str">
        <f t="shared" si="23"/>
        <v/>
      </c>
      <c r="V159" s="304" t="str">
        <f t="shared" si="20"/>
        <v/>
      </c>
      <c r="W159" s="301" t="str">
        <f>IF(S159="","",VLOOKUP(S159,'G-1 All Habitats'!$B$2:$M$135,10,FALSE))</f>
        <v/>
      </c>
      <c r="X159" s="301" t="str">
        <f>IFERROR(VLOOKUP(W159,'G-1 All Habitats'!$V$3:$W$7,2,FALSE),"")</f>
        <v/>
      </c>
      <c r="Y159" s="142"/>
      <c r="Z159" s="305" t="str">
        <f>IFERROR(INDEX('G-8 Condition Look up'!$A$3:$H$135,MATCH(S159,'G-8 Condition Look up'!$A$3:$A$135,0),MATCH(Y159,'G-8 Condition Look up'!$A$3:$H$3,0)),"")</f>
        <v/>
      </c>
      <c r="AA159" s="105"/>
      <c r="AB159" s="320" t="str">
        <f>IF(AA159="","",IF(VLOOKUP(AA159,'G-3 Multipliers'!$L$3:$N$6,2,FALSE)=0,"Spatial Data Missing ⚠",VLOOKUP(AA159,'G-3 Multipliers'!$L$3:$N$6,2,FALSE)))</f>
        <v/>
      </c>
      <c r="AC159" s="305" t="str">
        <f>IF(AA159="","",IF(VLOOKUP(AA159,'G-3 Multipliers'!$L$3:$N$6,3,FALSE)=0,"Spatial Data Missing ⚠",VLOOKUP(AA159,'G-3 Multipliers'!$L$3:$N$6,3,FALSE)))</f>
        <v/>
      </c>
      <c r="AD159" s="317" t="str">
        <f t="shared" si="21"/>
        <v/>
      </c>
      <c r="AE159" s="142"/>
      <c r="AF159" s="142"/>
      <c r="AG159" s="301" t="str">
        <f t="shared" si="24"/>
        <v/>
      </c>
      <c r="AH159" s="302" t="str">
        <f t="shared" si="25"/>
        <v/>
      </c>
      <c r="AI159" s="306" t="str">
        <f>IF(AH159="Check Data ⚠","Check Data ⚠",IFERROR(VLOOKUP(AH159,'G-4 Temporal multipliers'!$A$4:$C$36,3,FALSE),""))</f>
        <v/>
      </c>
      <c r="AJ159" s="317" t="str">
        <f>IF(S159="","",VLOOKUP(S159,'G-3 Multipliers'!$A$2:$E$134,4,FALSE))</f>
        <v/>
      </c>
      <c r="AK159" s="301" t="str">
        <f t="shared" si="26"/>
        <v/>
      </c>
      <c r="AL159" s="301" t="str">
        <f t="shared" si="27"/>
        <v/>
      </c>
      <c r="AM159" s="305" t="str">
        <f>IFERROR(IF(F159="","",IF(AH159="Check Data ⚠","Check Data ⚠",VLOOKUP(AL159, 'G-3 Multipliers'!$P$2:$Q$6,2,FALSE))),"")</f>
        <v/>
      </c>
      <c r="AN159" s="728"/>
      <c r="AO159" s="335" t="str">
        <f>IF(AN159="","",IF(VLOOKUP(AN159,'G-3 Multipliers'!$S$3:$T$10,2,FALSE)=0,"Spatial Data Missing ⚠",VLOOKUP(AN159,'G-3 Multipliers'!$S$3:$T$10,2,FALSE)))</f>
        <v/>
      </c>
      <c r="AP159" s="295" t="str">
        <f t="shared" si="28"/>
        <v/>
      </c>
      <c r="AQ159" s="295" t="str">
        <f t="shared" si="29"/>
        <v/>
      </c>
      <c r="AR159" s="109"/>
      <c r="AS159" s="142"/>
      <c r="AT159" s="108"/>
      <c r="AU159" s="108"/>
      <c r="AY159" s="30" t="str">
        <f>IF(E159="","",IF(ISNA(VLOOKUP($E159,'D-1 Off-Site Habitat Baseline'!$D$1:$AV$258,4,FALSE)),"",(VLOOKUP($E159,'D-1 Off-Site Habitat Baseline'!$D$1:$AV$258,4,FALSE))))</f>
        <v/>
      </c>
    </row>
    <row r="160" spans="1:51" x14ac:dyDescent="0.25">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325" t="str">
        <f>'D-1 Off-Site Habitat Baseline'!AP159</f>
        <v/>
      </c>
      <c r="F160" s="289" t="str">
        <f>IF(E160="","",IF(ISNA(VLOOKUP($E160,'D-1 Off-Site Habitat Baseline'!$D$1:$ZZ$258,45,FALSE)),"",(VLOOKUP($E160,'D-1 Off-Site Habitat Baseline'!$D$1:$ZZ$258,45,FALSE))))</f>
        <v/>
      </c>
      <c r="G160" s="301" t="str">
        <f>IF(E160="","",IF(ISNA(VLOOKUP($E160,'D-1 Off-Site Habitat Baseline'!$D$1:$O$258,5,FALSE)),"",(VLOOKUP($E160,'D-1 Off-Site Habitat Baseline'!$D$1:$O$258,5,FALSE))))</f>
        <v/>
      </c>
      <c r="H160" s="301" t="str">
        <f>IF(E160="","",IF(ISNA(VLOOKUP($E160,'D-1 Off-Site Habitat Baseline'!$D$1:$O$258,6,FALSE)),"",(VLOOKUP($E160,'D-1 Off-Site Habitat Baseline'!$D$1:$O$258,6,FALSE))))</f>
        <v/>
      </c>
      <c r="I160" s="301" t="str">
        <f>IF(E160="","",IF(ISNA(VLOOKUP($E160,'D-1 Off-Site Habitat Baseline'!$D$1:$O$258,7,FALSE)),"",(VLOOKUP($E160,'D-1 Off-Site Habitat Baseline'!$D$1:$O$258,7,FALSE))))</f>
        <v/>
      </c>
      <c r="J160" s="301" t="str">
        <f>IF(E160="","",IF(ISNA(VLOOKUP($E160,'D-1 Off-Site Habitat Baseline'!$D$1:$O$258,8,FALSE)),"",(VLOOKUP($E160,'D-1 Off-Site Habitat Baseline'!$D$1:$O$258,8,FALSE))))</f>
        <v/>
      </c>
      <c r="K160" s="301" t="str">
        <f>IF(E160="","",IF(ISNA(VLOOKUP($E160,'D-1 Off-Site Habitat Baseline'!$D$1:$O$258,9,FALSE)),"",(VLOOKUP($E160,'D-1 Off-Site Habitat Baseline'!$D$1:$O$258,9,FALSE))))</f>
        <v/>
      </c>
      <c r="L160" s="301" t="str">
        <f>IF(E160="","",IF(ISNA(VLOOKUP($E160,'D-1 Off-Site Habitat Baseline'!$D$1:$O$258,11,FALSE)),"",(VLOOKUP($E160,'D-1 Off-Site Habitat Baseline'!$D$1:$O$258,11,FALSE))))</f>
        <v/>
      </c>
      <c r="M160" s="301" t="str">
        <f>IF(E160="","",IF(ISNA(VLOOKUP($E160,'D-1 Off-Site Habitat Baseline'!$D$1:$O$258,12,FALSE)),"",(VLOOKUP($E160,'D-1 Off-Site Habitat Baseline'!$D$1:$O$258,12,FALSE))))</f>
        <v/>
      </c>
      <c r="N160" s="301" t="str">
        <f>IF(E160="","",IF(ISNA(VLOOKUP($E160,'D-1 Off-Site Habitat Baseline'!$D$1:$AA$258,17,FALSE)),"",(VLOOKUP($E160,'D-1 Off-Site Habitat Baseline'!$D$1:$AA$258,17,FALSE))))</f>
        <v/>
      </c>
      <c r="O160" s="305" t="str">
        <f>IF(E160="","",IF(ISNA(VLOOKUP($E160,'D-1 Off-Site Habitat Baseline'!$D$1:$AA$258,13,FALSE)),"",(VLOOKUP($E160,'D-1 Off-Site Habitat Baseline'!$D$1:$AA$258,13,FALSE))))</f>
        <v/>
      </c>
      <c r="P160" s="152" t="str">
        <f>IFERROR(INDEX('G-1 All Habitats'!$AG$49:$AG$63,MATCH(Q160,'G-1 All Habitats'!$AF$27:$AF$41,0)),"")</f>
        <v/>
      </c>
      <c r="Q160" s="153"/>
      <c r="R160" s="154"/>
      <c r="S160" s="155" t="str">
        <f>IFERROR(INDEX('G-1 All Habitats'!$B$3:$B$135,MATCH(R160,'G-1 All Habitats'!$A$3:$A$135,0)),"")</f>
        <v/>
      </c>
      <c r="T160" s="289" t="str">
        <f t="shared" si="22"/>
        <v/>
      </c>
      <c r="U160" s="305" t="str">
        <f t="shared" si="23"/>
        <v/>
      </c>
      <c r="V160" s="304" t="str">
        <f t="shared" si="20"/>
        <v/>
      </c>
      <c r="W160" s="301" t="str">
        <f>IF(S160="","",VLOOKUP(S160,'G-1 All Habitats'!$B$2:$M$135,10,FALSE))</f>
        <v/>
      </c>
      <c r="X160" s="301" t="str">
        <f>IFERROR(VLOOKUP(W160,'G-1 All Habitats'!$V$3:$W$7,2,FALSE),"")</f>
        <v/>
      </c>
      <c r="Y160" s="142"/>
      <c r="Z160" s="305" t="str">
        <f>IFERROR(INDEX('G-8 Condition Look up'!$A$3:$H$135,MATCH(S160,'G-8 Condition Look up'!$A$3:$A$135,0),MATCH(Y160,'G-8 Condition Look up'!$A$3:$H$3,0)),"")</f>
        <v/>
      </c>
      <c r="AA160" s="105"/>
      <c r="AB160" s="320" t="str">
        <f>IF(AA160="","",IF(VLOOKUP(AA160,'G-3 Multipliers'!$L$3:$N$6,2,FALSE)=0,"Spatial Data Missing ⚠",VLOOKUP(AA160,'G-3 Multipliers'!$L$3:$N$6,2,FALSE)))</f>
        <v/>
      </c>
      <c r="AC160" s="305" t="str">
        <f>IF(AA160="","",IF(VLOOKUP(AA160,'G-3 Multipliers'!$L$3:$N$6,3,FALSE)=0,"Spatial Data Missing ⚠",VLOOKUP(AA160,'G-3 Multipliers'!$L$3:$N$6,3,FALSE)))</f>
        <v/>
      </c>
      <c r="AD160" s="317" t="str">
        <f t="shared" si="21"/>
        <v/>
      </c>
      <c r="AE160" s="142"/>
      <c r="AF160" s="142"/>
      <c r="AG160" s="301" t="str">
        <f t="shared" si="24"/>
        <v/>
      </c>
      <c r="AH160" s="302" t="str">
        <f t="shared" si="25"/>
        <v/>
      </c>
      <c r="AI160" s="306" t="str">
        <f>IF(AH160="Check Data ⚠","Check Data ⚠",IFERROR(VLOOKUP(AH160,'G-4 Temporal multipliers'!$A$4:$C$36,3,FALSE),""))</f>
        <v/>
      </c>
      <c r="AJ160" s="317" t="str">
        <f>IF(S160="","",VLOOKUP(S160,'G-3 Multipliers'!$A$2:$E$134,4,FALSE))</f>
        <v/>
      </c>
      <c r="AK160" s="301" t="str">
        <f t="shared" si="26"/>
        <v/>
      </c>
      <c r="AL160" s="301" t="str">
        <f t="shared" si="27"/>
        <v/>
      </c>
      <c r="AM160" s="305" t="str">
        <f>IFERROR(IF(F160="","",IF(AH160="Check Data ⚠","Check Data ⚠",VLOOKUP(AL160, 'G-3 Multipliers'!$P$2:$Q$6,2,FALSE))),"")</f>
        <v/>
      </c>
      <c r="AN160" s="728"/>
      <c r="AO160" s="335" t="str">
        <f>IF(AN160="","",IF(VLOOKUP(AN160,'G-3 Multipliers'!$S$3:$T$10,2,FALSE)=0,"Spatial Data Missing ⚠",VLOOKUP(AN160,'G-3 Multipliers'!$S$3:$T$10,2,FALSE)))</f>
        <v/>
      </c>
      <c r="AP160" s="295" t="str">
        <f t="shared" si="28"/>
        <v/>
      </c>
      <c r="AQ160" s="295" t="str">
        <f t="shared" si="29"/>
        <v/>
      </c>
      <c r="AR160" s="109"/>
      <c r="AS160" s="142"/>
      <c r="AT160" s="108"/>
      <c r="AU160" s="108"/>
      <c r="AY160" s="30" t="str">
        <f>IF(E160="","",IF(ISNA(VLOOKUP($E160,'D-1 Off-Site Habitat Baseline'!$D$1:$AV$258,4,FALSE)),"",(VLOOKUP($E160,'D-1 Off-Site Habitat Baseline'!$D$1:$AV$258,4,FALSE))))</f>
        <v/>
      </c>
    </row>
    <row r="161" spans="1:51" x14ac:dyDescent="0.25">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325" t="str">
        <f>'D-1 Off-Site Habitat Baseline'!AP160</f>
        <v/>
      </c>
      <c r="F161" s="289" t="str">
        <f>IF(E161="","",IF(ISNA(VLOOKUP($E161,'D-1 Off-Site Habitat Baseline'!$D$1:$ZZ$258,45,FALSE)),"",(VLOOKUP($E161,'D-1 Off-Site Habitat Baseline'!$D$1:$ZZ$258,45,FALSE))))</f>
        <v/>
      </c>
      <c r="G161" s="301" t="str">
        <f>IF(E161="","",IF(ISNA(VLOOKUP($E161,'D-1 Off-Site Habitat Baseline'!$D$1:$O$258,5,FALSE)),"",(VLOOKUP($E161,'D-1 Off-Site Habitat Baseline'!$D$1:$O$258,5,FALSE))))</f>
        <v/>
      </c>
      <c r="H161" s="301" t="str">
        <f>IF(E161="","",IF(ISNA(VLOOKUP($E161,'D-1 Off-Site Habitat Baseline'!$D$1:$O$258,6,FALSE)),"",(VLOOKUP($E161,'D-1 Off-Site Habitat Baseline'!$D$1:$O$258,6,FALSE))))</f>
        <v/>
      </c>
      <c r="I161" s="301" t="str">
        <f>IF(E161="","",IF(ISNA(VLOOKUP($E161,'D-1 Off-Site Habitat Baseline'!$D$1:$O$258,7,FALSE)),"",(VLOOKUP($E161,'D-1 Off-Site Habitat Baseline'!$D$1:$O$258,7,FALSE))))</f>
        <v/>
      </c>
      <c r="J161" s="301" t="str">
        <f>IF(E161="","",IF(ISNA(VLOOKUP($E161,'D-1 Off-Site Habitat Baseline'!$D$1:$O$258,8,FALSE)),"",(VLOOKUP($E161,'D-1 Off-Site Habitat Baseline'!$D$1:$O$258,8,FALSE))))</f>
        <v/>
      </c>
      <c r="K161" s="301" t="str">
        <f>IF(E161="","",IF(ISNA(VLOOKUP($E161,'D-1 Off-Site Habitat Baseline'!$D$1:$O$258,9,FALSE)),"",(VLOOKUP($E161,'D-1 Off-Site Habitat Baseline'!$D$1:$O$258,9,FALSE))))</f>
        <v/>
      </c>
      <c r="L161" s="301" t="str">
        <f>IF(E161="","",IF(ISNA(VLOOKUP($E161,'D-1 Off-Site Habitat Baseline'!$D$1:$O$258,11,FALSE)),"",(VLOOKUP($E161,'D-1 Off-Site Habitat Baseline'!$D$1:$O$258,11,FALSE))))</f>
        <v/>
      </c>
      <c r="M161" s="301" t="str">
        <f>IF(E161="","",IF(ISNA(VLOOKUP($E161,'D-1 Off-Site Habitat Baseline'!$D$1:$O$258,12,FALSE)),"",(VLOOKUP($E161,'D-1 Off-Site Habitat Baseline'!$D$1:$O$258,12,FALSE))))</f>
        <v/>
      </c>
      <c r="N161" s="301" t="str">
        <f>IF(E161="","",IF(ISNA(VLOOKUP($E161,'D-1 Off-Site Habitat Baseline'!$D$1:$AA$258,17,FALSE)),"",(VLOOKUP($E161,'D-1 Off-Site Habitat Baseline'!$D$1:$AA$258,17,FALSE))))</f>
        <v/>
      </c>
      <c r="O161" s="305" t="str">
        <f>IF(E161="","",IF(ISNA(VLOOKUP($E161,'D-1 Off-Site Habitat Baseline'!$D$1:$AA$258,13,FALSE)),"",(VLOOKUP($E161,'D-1 Off-Site Habitat Baseline'!$D$1:$AA$258,13,FALSE))))</f>
        <v/>
      </c>
      <c r="P161" s="152" t="str">
        <f>IFERROR(INDEX('G-1 All Habitats'!$AG$49:$AG$63,MATCH(Q161,'G-1 All Habitats'!$AF$27:$AF$41,0)),"")</f>
        <v/>
      </c>
      <c r="Q161" s="153"/>
      <c r="R161" s="154"/>
      <c r="S161" s="155" t="str">
        <f>IFERROR(INDEX('G-1 All Habitats'!$B$3:$B$135,MATCH(R161,'G-1 All Habitats'!$A$3:$A$135,0)),"")</f>
        <v/>
      </c>
      <c r="T161" s="289" t="str">
        <f t="shared" si="22"/>
        <v/>
      </c>
      <c r="U161" s="305" t="str">
        <f t="shared" si="23"/>
        <v/>
      </c>
      <c r="V161" s="304" t="str">
        <f t="shared" si="20"/>
        <v/>
      </c>
      <c r="W161" s="301" t="str">
        <f>IF(S161="","",VLOOKUP(S161,'G-1 All Habitats'!$B$2:$M$135,10,FALSE))</f>
        <v/>
      </c>
      <c r="X161" s="301" t="str">
        <f>IFERROR(VLOOKUP(W161,'G-1 All Habitats'!$V$3:$W$7,2,FALSE),"")</f>
        <v/>
      </c>
      <c r="Y161" s="142"/>
      <c r="Z161" s="305" t="str">
        <f>IFERROR(INDEX('G-8 Condition Look up'!$A$3:$H$135,MATCH(S161,'G-8 Condition Look up'!$A$3:$A$135,0),MATCH(Y161,'G-8 Condition Look up'!$A$3:$H$3,0)),"")</f>
        <v/>
      </c>
      <c r="AA161" s="105"/>
      <c r="AB161" s="320" t="str">
        <f>IF(AA161="","",IF(VLOOKUP(AA161,'G-3 Multipliers'!$L$3:$N$6,2,FALSE)=0,"Spatial Data Missing ⚠",VLOOKUP(AA161,'G-3 Multipliers'!$L$3:$N$6,2,FALSE)))</f>
        <v/>
      </c>
      <c r="AC161" s="305" t="str">
        <f>IF(AA161="","",IF(VLOOKUP(AA161,'G-3 Multipliers'!$L$3:$N$6,3,FALSE)=0,"Spatial Data Missing ⚠",VLOOKUP(AA161,'G-3 Multipliers'!$L$3:$N$6,3,FALSE)))</f>
        <v/>
      </c>
      <c r="AD161" s="317" t="str">
        <f t="shared" si="21"/>
        <v/>
      </c>
      <c r="AE161" s="142"/>
      <c r="AF161" s="142"/>
      <c r="AG161" s="301" t="str">
        <f t="shared" si="24"/>
        <v/>
      </c>
      <c r="AH161" s="302" t="str">
        <f t="shared" si="25"/>
        <v/>
      </c>
      <c r="AI161" s="306" t="str">
        <f>IF(AH161="Check Data ⚠","Check Data ⚠",IFERROR(VLOOKUP(AH161,'G-4 Temporal multipliers'!$A$4:$C$36,3,FALSE),""))</f>
        <v/>
      </c>
      <c r="AJ161" s="317" t="str">
        <f>IF(S161="","",VLOOKUP(S161,'G-3 Multipliers'!$A$2:$E$134,4,FALSE))</f>
        <v/>
      </c>
      <c r="AK161" s="301" t="str">
        <f t="shared" si="26"/>
        <v/>
      </c>
      <c r="AL161" s="301" t="str">
        <f t="shared" si="27"/>
        <v/>
      </c>
      <c r="AM161" s="305" t="str">
        <f>IFERROR(IF(F161="","",IF(AH161="Check Data ⚠","Check Data ⚠",VLOOKUP(AL161, 'G-3 Multipliers'!$P$2:$Q$6,2,FALSE))),"")</f>
        <v/>
      </c>
      <c r="AN161" s="728"/>
      <c r="AO161" s="335" t="str">
        <f>IF(AN161="","",IF(VLOOKUP(AN161,'G-3 Multipliers'!$S$3:$T$10,2,FALSE)=0,"Spatial Data Missing ⚠",VLOOKUP(AN161,'G-3 Multipliers'!$S$3:$T$10,2,FALSE)))</f>
        <v/>
      </c>
      <c r="AP161" s="295" t="str">
        <f t="shared" si="28"/>
        <v/>
      </c>
      <c r="AQ161" s="295" t="str">
        <f t="shared" si="29"/>
        <v/>
      </c>
      <c r="AR161" s="109"/>
      <c r="AS161" s="142"/>
      <c r="AT161" s="108"/>
      <c r="AU161" s="108"/>
      <c r="AY161" s="30" t="str">
        <f>IF(E161="","",IF(ISNA(VLOOKUP($E161,'D-1 Off-Site Habitat Baseline'!$D$1:$AV$258,4,FALSE)),"",(VLOOKUP($E161,'D-1 Off-Site Habitat Baseline'!$D$1:$AV$258,4,FALSE))))</f>
        <v/>
      </c>
    </row>
    <row r="162" spans="1:51" x14ac:dyDescent="0.25">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325" t="str">
        <f>'D-1 Off-Site Habitat Baseline'!AP161</f>
        <v/>
      </c>
      <c r="F162" s="289" t="str">
        <f>IF(E162="","",IF(ISNA(VLOOKUP($E162,'D-1 Off-Site Habitat Baseline'!$D$1:$ZZ$258,45,FALSE)),"",(VLOOKUP($E162,'D-1 Off-Site Habitat Baseline'!$D$1:$ZZ$258,45,FALSE))))</f>
        <v/>
      </c>
      <c r="G162" s="301" t="str">
        <f>IF(E162="","",IF(ISNA(VLOOKUP($E162,'D-1 Off-Site Habitat Baseline'!$D$1:$O$258,5,FALSE)),"",(VLOOKUP($E162,'D-1 Off-Site Habitat Baseline'!$D$1:$O$258,5,FALSE))))</f>
        <v/>
      </c>
      <c r="H162" s="301" t="str">
        <f>IF(E162="","",IF(ISNA(VLOOKUP($E162,'D-1 Off-Site Habitat Baseline'!$D$1:$O$258,6,FALSE)),"",(VLOOKUP($E162,'D-1 Off-Site Habitat Baseline'!$D$1:$O$258,6,FALSE))))</f>
        <v/>
      </c>
      <c r="I162" s="301" t="str">
        <f>IF(E162="","",IF(ISNA(VLOOKUP($E162,'D-1 Off-Site Habitat Baseline'!$D$1:$O$258,7,FALSE)),"",(VLOOKUP($E162,'D-1 Off-Site Habitat Baseline'!$D$1:$O$258,7,FALSE))))</f>
        <v/>
      </c>
      <c r="J162" s="301" t="str">
        <f>IF(E162="","",IF(ISNA(VLOOKUP($E162,'D-1 Off-Site Habitat Baseline'!$D$1:$O$258,8,FALSE)),"",(VLOOKUP($E162,'D-1 Off-Site Habitat Baseline'!$D$1:$O$258,8,FALSE))))</f>
        <v/>
      </c>
      <c r="K162" s="301" t="str">
        <f>IF(E162="","",IF(ISNA(VLOOKUP($E162,'D-1 Off-Site Habitat Baseline'!$D$1:$O$258,9,FALSE)),"",(VLOOKUP($E162,'D-1 Off-Site Habitat Baseline'!$D$1:$O$258,9,FALSE))))</f>
        <v/>
      </c>
      <c r="L162" s="301" t="str">
        <f>IF(E162="","",IF(ISNA(VLOOKUP($E162,'D-1 Off-Site Habitat Baseline'!$D$1:$O$258,11,FALSE)),"",(VLOOKUP($E162,'D-1 Off-Site Habitat Baseline'!$D$1:$O$258,11,FALSE))))</f>
        <v/>
      </c>
      <c r="M162" s="301" t="str">
        <f>IF(E162="","",IF(ISNA(VLOOKUP($E162,'D-1 Off-Site Habitat Baseline'!$D$1:$O$258,12,FALSE)),"",(VLOOKUP($E162,'D-1 Off-Site Habitat Baseline'!$D$1:$O$258,12,FALSE))))</f>
        <v/>
      </c>
      <c r="N162" s="301" t="str">
        <f>IF(E162="","",IF(ISNA(VLOOKUP($E162,'D-1 Off-Site Habitat Baseline'!$D$1:$AA$258,17,FALSE)),"",(VLOOKUP($E162,'D-1 Off-Site Habitat Baseline'!$D$1:$AA$258,17,FALSE))))</f>
        <v/>
      </c>
      <c r="O162" s="305" t="str">
        <f>IF(E162="","",IF(ISNA(VLOOKUP($E162,'D-1 Off-Site Habitat Baseline'!$D$1:$AA$258,13,FALSE)),"",(VLOOKUP($E162,'D-1 Off-Site Habitat Baseline'!$D$1:$AA$258,13,FALSE))))</f>
        <v/>
      </c>
      <c r="P162" s="152" t="str">
        <f>IFERROR(INDEX('G-1 All Habitats'!$AG$49:$AG$63,MATCH(Q162,'G-1 All Habitats'!$AF$27:$AF$41,0)),"")</f>
        <v/>
      </c>
      <c r="Q162" s="153"/>
      <c r="R162" s="154"/>
      <c r="S162" s="155" t="str">
        <f>IFERROR(INDEX('G-1 All Habitats'!$B$3:$B$135,MATCH(R162,'G-1 All Habitats'!$A$3:$A$135,0)),"")</f>
        <v/>
      </c>
      <c r="T162" s="289" t="str">
        <f t="shared" si="22"/>
        <v/>
      </c>
      <c r="U162" s="305" t="str">
        <f t="shared" si="23"/>
        <v/>
      </c>
      <c r="V162" s="304" t="str">
        <f t="shared" si="20"/>
        <v/>
      </c>
      <c r="W162" s="301" t="str">
        <f>IF(S162="","",VLOOKUP(S162,'G-1 All Habitats'!$B$2:$M$135,10,FALSE))</f>
        <v/>
      </c>
      <c r="X162" s="301" t="str">
        <f>IFERROR(VLOOKUP(W162,'G-1 All Habitats'!$V$3:$W$7,2,FALSE),"")</f>
        <v/>
      </c>
      <c r="Y162" s="142"/>
      <c r="Z162" s="305" t="str">
        <f>IFERROR(INDEX('G-8 Condition Look up'!$A$3:$H$135,MATCH(S162,'G-8 Condition Look up'!$A$3:$A$135,0),MATCH(Y162,'G-8 Condition Look up'!$A$3:$H$3,0)),"")</f>
        <v/>
      </c>
      <c r="AA162" s="105"/>
      <c r="AB162" s="320" t="str">
        <f>IF(AA162="","",IF(VLOOKUP(AA162,'G-3 Multipliers'!$L$3:$N$6,2,FALSE)=0,"Spatial Data Missing ⚠",VLOOKUP(AA162,'G-3 Multipliers'!$L$3:$N$6,2,FALSE)))</f>
        <v/>
      </c>
      <c r="AC162" s="305" t="str">
        <f>IF(AA162="","",IF(VLOOKUP(AA162,'G-3 Multipliers'!$L$3:$N$6,3,FALSE)=0,"Spatial Data Missing ⚠",VLOOKUP(AA162,'G-3 Multipliers'!$L$3:$N$6,3,FALSE)))</f>
        <v/>
      </c>
      <c r="AD162" s="317" t="str">
        <f t="shared" si="21"/>
        <v/>
      </c>
      <c r="AE162" s="142"/>
      <c r="AF162" s="142"/>
      <c r="AG162" s="301" t="str">
        <f t="shared" si="24"/>
        <v/>
      </c>
      <c r="AH162" s="302" t="str">
        <f t="shared" si="25"/>
        <v/>
      </c>
      <c r="AI162" s="306" t="str">
        <f>IF(AH162="Check Data ⚠","Check Data ⚠",IFERROR(VLOOKUP(AH162,'G-4 Temporal multipliers'!$A$4:$C$36,3,FALSE),""))</f>
        <v/>
      </c>
      <c r="AJ162" s="317" t="str">
        <f>IF(S162="","",VLOOKUP(S162,'G-3 Multipliers'!$A$2:$E$134,4,FALSE))</f>
        <v/>
      </c>
      <c r="AK162" s="301" t="str">
        <f t="shared" si="26"/>
        <v/>
      </c>
      <c r="AL162" s="301" t="str">
        <f t="shared" si="27"/>
        <v/>
      </c>
      <c r="AM162" s="305" t="str">
        <f>IFERROR(IF(F162="","",IF(AH162="Check Data ⚠","Check Data ⚠",VLOOKUP(AL162, 'G-3 Multipliers'!$P$2:$Q$6,2,FALSE))),"")</f>
        <v/>
      </c>
      <c r="AN162" s="728"/>
      <c r="AO162" s="335" t="str">
        <f>IF(AN162="","",IF(VLOOKUP(AN162,'G-3 Multipliers'!$S$3:$T$10,2,FALSE)=0,"Spatial Data Missing ⚠",VLOOKUP(AN162,'G-3 Multipliers'!$S$3:$T$10,2,FALSE)))</f>
        <v/>
      </c>
      <c r="AP162" s="295" t="str">
        <f t="shared" si="28"/>
        <v/>
      </c>
      <c r="AQ162" s="295" t="str">
        <f t="shared" si="29"/>
        <v/>
      </c>
      <c r="AR162" s="109"/>
      <c r="AS162" s="142"/>
      <c r="AT162" s="108"/>
      <c r="AU162" s="108"/>
      <c r="AY162" s="30" t="str">
        <f>IF(E162="","",IF(ISNA(VLOOKUP($E162,'D-1 Off-Site Habitat Baseline'!$D$1:$AV$258,4,FALSE)),"",(VLOOKUP($E162,'D-1 Off-Site Habitat Baseline'!$D$1:$AV$258,4,FALSE))))</f>
        <v/>
      </c>
    </row>
    <row r="163" spans="1:51" x14ac:dyDescent="0.25">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325" t="str">
        <f>'D-1 Off-Site Habitat Baseline'!AP162</f>
        <v/>
      </c>
      <c r="F163" s="289" t="str">
        <f>IF(E163="","",IF(ISNA(VLOOKUP($E163,'D-1 Off-Site Habitat Baseline'!$D$1:$ZZ$258,45,FALSE)),"",(VLOOKUP($E163,'D-1 Off-Site Habitat Baseline'!$D$1:$ZZ$258,45,FALSE))))</f>
        <v/>
      </c>
      <c r="G163" s="301" t="str">
        <f>IF(E163="","",IF(ISNA(VLOOKUP($E163,'D-1 Off-Site Habitat Baseline'!$D$1:$O$258,5,FALSE)),"",(VLOOKUP($E163,'D-1 Off-Site Habitat Baseline'!$D$1:$O$258,5,FALSE))))</f>
        <v/>
      </c>
      <c r="H163" s="301" t="str">
        <f>IF(E163="","",IF(ISNA(VLOOKUP($E163,'D-1 Off-Site Habitat Baseline'!$D$1:$O$258,6,FALSE)),"",(VLOOKUP($E163,'D-1 Off-Site Habitat Baseline'!$D$1:$O$258,6,FALSE))))</f>
        <v/>
      </c>
      <c r="I163" s="301" t="str">
        <f>IF(E163="","",IF(ISNA(VLOOKUP($E163,'D-1 Off-Site Habitat Baseline'!$D$1:$O$258,7,FALSE)),"",(VLOOKUP($E163,'D-1 Off-Site Habitat Baseline'!$D$1:$O$258,7,FALSE))))</f>
        <v/>
      </c>
      <c r="J163" s="301" t="str">
        <f>IF(E163="","",IF(ISNA(VLOOKUP($E163,'D-1 Off-Site Habitat Baseline'!$D$1:$O$258,8,FALSE)),"",(VLOOKUP($E163,'D-1 Off-Site Habitat Baseline'!$D$1:$O$258,8,FALSE))))</f>
        <v/>
      </c>
      <c r="K163" s="301" t="str">
        <f>IF(E163="","",IF(ISNA(VLOOKUP($E163,'D-1 Off-Site Habitat Baseline'!$D$1:$O$258,9,FALSE)),"",(VLOOKUP($E163,'D-1 Off-Site Habitat Baseline'!$D$1:$O$258,9,FALSE))))</f>
        <v/>
      </c>
      <c r="L163" s="301" t="str">
        <f>IF(E163="","",IF(ISNA(VLOOKUP($E163,'D-1 Off-Site Habitat Baseline'!$D$1:$O$258,11,FALSE)),"",(VLOOKUP($E163,'D-1 Off-Site Habitat Baseline'!$D$1:$O$258,11,FALSE))))</f>
        <v/>
      </c>
      <c r="M163" s="301" t="str">
        <f>IF(E163="","",IF(ISNA(VLOOKUP($E163,'D-1 Off-Site Habitat Baseline'!$D$1:$O$258,12,FALSE)),"",(VLOOKUP($E163,'D-1 Off-Site Habitat Baseline'!$D$1:$O$258,12,FALSE))))</f>
        <v/>
      </c>
      <c r="N163" s="301" t="str">
        <f>IF(E163="","",IF(ISNA(VLOOKUP($E163,'D-1 Off-Site Habitat Baseline'!$D$1:$AA$258,17,FALSE)),"",(VLOOKUP($E163,'D-1 Off-Site Habitat Baseline'!$D$1:$AA$258,17,FALSE))))</f>
        <v/>
      </c>
      <c r="O163" s="305" t="str">
        <f>IF(E163="","",IF(ISNA(VLOOKUP($E163,'D-1 Off-Site Habitat Baseline'!$D$1:$AA$258,13,FALSE)),"",(VLOOKUP($E163,'D-1 Off-Site Habitat Baseline'!$D$1:$AA$258,13,FALSE))))</f>
        <v/>
      </c>
      <c r="P163" s="152" t="str">
        <f>IFERROR(INDEX('G-1 All Habitats'!$AG$49:$AG$63,MATCH(Q163,'G-1 All Habitats'!$AF$27:$AF$41,0)),"")</f>
        <v/>
      </c>
      <c r="Q163" s="153"/>
      <c r="R163" s="154"/>
      <c r="S163" s="155" t="str">
        <f>IFERROR(INDEX('G-1 All Habitats'!$B$3:$B$135,MATCH(R163,'G-1 All Habitats'!$A$3:$A$135,0)),"")</f>
        <v/>
      </c>
      <c r="T163" s="289" t="str">
        <f t="shared" si="22"/>
        <v/>
      </c>
      <c r="U163" s="305" t="str">
        <f t="shared" si="23"/>
        <v/>
      </c>
      <c r="V163" s="304" t="str">
        <f t="shared" si="20"/>
        <v/>
      </c>
      <c r="W163" s="301" t="str">
        <f>IF(S163="","",VLOOKUP(S163,'G-1 All Habitats'!$B$2:$M$135,10,FALSE))</f>
        <v/>
      </c>
      <c r="X163" s="301" t="str">
        <f>IFERROR(VLOOKUP(W163,'G-1 All Habitats'!$V$3:$W$7,2,FALSE),"")</f>
        <v/>
      </c>
      <c r="Y163" s="142"/>
      <c r="Z163" s="305" t="str">
        <f>IFERROR(INDEX('G-8 Condition Look up'!$A$3:$H$135,MATCH(S163,'G-8 Condition Look up'!$A$3:$A$135,0),MATCH(Y163,'G-8 Condition Look up'!$A$3:$H$3,0)),"")</f>
        <v/>
      </c>
      <c r="AA163" s="105"/>
      <c r="AB163" s="320" t="str">
        <f>IF(AA163="","",IF(VLOOKUP(AA163,'G-3 Multipliers'!$L$3:$N$6,2,FALSE)=0,"Spatial Data Missing ⚠",VLOOKUP(AA163,'G-3 Multipliers'!$L$3:$N$6,2,FALSE)))</f>
        <v/>
      </c>
      <c r="AC163" s="305" t="str">
        <f>IF(AA163="","",IF(VLOOKUP(AA163,'G-3 Multipliers'!$L$3:$N$6,3,FALSE)=0,"Spatial Data Missing ⚠",VLOOKUP(AA163,'G-3 Multipliers'!$L$3:$N$6,3,FALSE)))</f>
        <v/>
      </c>
      <c r="AD163" s="317" t="str">
        <f t="shared" si="21"/>
        <v/>
      </c>
      <c r="AE163" s="142"/>
      <c r="AF163" s="142"/>
      <c r="AG163" s="301" t="str">
        <f t="shared" si="24"/>
        <v/>
      </c>
      <c r="AH163" s="302" t="str">
        <f t="shared" si="25"/>
        <v/>
      </c>
      <c r="AI163" s="306" t="str">
        <f>IF(AH163="Check Data ⚠","Check Data ⚠",IFERROR(VLOOKUP(AH163,'G-4 Temporal multipliers'!$A$4:$C$36,3,FALSE),""))</f>
        <v/>
      </c>
      <c r="AJ163" s="317" t="str">
        <f>IF(S163="","",VLOOKUP(S163,'G-3 Multipliers'!$A$2:$E$134,4,FALSE))</f>
        <v/>
      </c>
      <c r="AK163" s="301" t="str">
        <f t="shared" si="26"/>
        <v/>
      </c>
      <c r="AL163" s="301" t="str">
        <f t="shared" si="27"/>
        <v/>
      </c>
      <c r="AM163" s="305" t="str">
        <f>IFERROR(IF(F163="","",IF(AH163="Check Data ⚠","Check Data ⚠",VLOOKUP(AL163, 'G-3 Multipliers'!$P$2:$Q$6,2,FALSE))),"")</f>
        <v/>
      </c>
      <c r="AN163" s="728"/>
      <c r="AO163" s="335" t="str">
        <f>IF(AN163="","",IF(VLOOKUP(AN163,'G-3 Multipliers'!$S$3:$T$10,2,FALSE)=0,"Spatial Data Missing ⚠",VLOOKUP(AN163,'G-3 Multipliers'!$S$3:$T$10,2,FALSE)))</f>
        <v/>
      </c>
      <c r="AP163" s="295" t="str">
        <f t="shared" si="28"/>
        <v/>
      </c>
      <c r="AQ163" s="295" t="str">
        <f t="shared" si="29"/>
        <v/>
      </c>
      <c r="AR163" s="109"/>
      <c r="AS163" s="142"/>
      <c r="AT163" s="108"/>
      <c r="AU163" s="108"/>
      <c r="AY163" s="30" t="str">
        <f>IF(E163="","",IF(ISNA(VLOOKUP($E163,'D-1 Off-Site Habitat Baseline'!$D$1:$AV$258,4,FALSE)),"",(VLOOKUP($E163,'D-1 Off-Site Habitat Baseline'!$D$1:$AV$258,4,FALSE))))</f>
        <v/>
      </c>
    </row>
    <row r="164" spans="1:51" x14ac:dyDescent="0.25">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325" t="str">
        <f>'D-1 Off-Site Habitat Baseline'!AP163</f>
        <v/>
      </c>
      <c r="F164" s="289" t="str">
        <f>IF(E164="","",IF(ISNA(VLOOKUP($E164,'D-1 Off-Site Habitat Baseline'!$D$1:$ZZ$258,45,FALSE)),"",(VLOOKUP($E164,'D-1 Off-Site Habitat Baseline'!$D$1:$ZZ$258,45,FALSE))))</f>
        <v/>
      </c>
      <c r="G164" s="301" t="str">
        <f>IF(E164="","",IF(ISNA(VLOOKUP($E164,'D-1 Off-Site Habitat Baseline'!$D$1:$O$258,5,FALSE)),"",(VLOOKUP($E164,'D-1 Off-Site Habitat Baseline'!$D$1:$O$258,5,FALSE))))</f>
        <v/>
      </c>
      <c r="H164" s="301" t="str">
        <f>IF(E164="","",IF(ISNA(VLOOKUP($E164,'D-1 Off-Site Habitat Baseline'!$D$1:$O$258,6,FALSE)),"",(VLOOKUP($E164,'D-1 Off-Site Habitat Baseline'!$D$1:$O$258,6,FALSE))))</f>
        <v/>
      </c>
      <c r="I164" s="301" t="str">
        <f>IF(E164="","",IF(ISNA(VLOOKUP($E164,'D-1 Off-Site Habitat Baseline'!$D$1:$O$258,7,FALSE)),"",(VLOOKUP($E164,'D-1 Off-Site Habitat Baseline'!$D$1:$O$258,7,FALSE))))</f>
        <v/>
      </c>
      <c r="J164" s="301" t="str">
        <f>IF(E164="","",IF(ISNA(VLOOKUP($E164,'D-1 Off-Site Habitat Baseline'!$D$1:$O$258,8,FALSE)),"",(VLOOKUP($E164,'D-1 Off-Site Habitat Baseline'!$D$1:$O$258,8,FALSE))))</f>
        <v/>
      </c>
      <c r="K164" s="301" t="str">
        <f>IF(E164="","",IF(ISNA(VLOOKUP($E164,'D-1 Off-Site Habitat Baseline'!$D$1:$O$258,9,FALSE)),"",(VLOOKUP($E164,'D-1 Off-Site Habitat Baseline'!$D$1:$O$258,9,FALSE))))</f>
        <v/>
      </c>
      <c r="L164" s="301" t="str">
        <f>IF(E164="","",IF(ISNA(VLOOKUP($E164,'D-1 Off-Site Habitat Baseline'!$D$1:$O$258,11,FALSE)),"",(VLOOKUP($E164,'D-1 Off-Site Habitat Baseline'!$D$1:$O$258,11,FALSE))))</f>
        <v/>
      </c>
      <c r="M164" s="301" t="str">
        <f>IF(E164="","",IF(ISNA(VLOOKUP($E164,'D-1 Off-Site Habitat Baseline'!$D$1:$O$258,12,FALSE)),"",(VLOOKUP($E164,'D-1 Off-Site Habitat Baseline'!$D$1:$O$258,12,FALSE))))</f>
        <v/>
      </c>
      <c r="N164" s="301" t="str">
        <f>IF(E164="","",IF(ISNA(VLOOKUP($E164,'D-1 Off-Site Habitat Baseline'!$D$1:$AA$258,17,FALSE)),"",(VLOOKUP($E164,'D-1 Off-Site Habitat Baseline'!$D$1:$AA$258,17,FALSE))))</f>
        <v/>
      </c>
      <c r="O164" s="305" t="str">
        <f>IF(E164="","",IF(ISNA(VLOOKUP($E164,'D-1 Off-Site Habitat Baseline'!$D$1:$AA$258,13,FALSE)),"",(VLOOKUP($E164,'D-1 Off-Site Habitat Baseline'!$D$1:$AA$258,13,FALSE))))</f>
        <v/>
      </c>
      <c r="P164" s="152" t="str">
        <f>IFERROR(INDEX('G-1 All Habitats'!$AG$49:$AG$63,MATCH(Q164,'G-1 All Habitats'!$AF$27:$AF$41,0)),"")</f>
        <v/>
      </c>
      <c r="Q164" s="153"/>
      <c r="R164" s="154"/>
      <c r="S164" s="155" t="str">
        <f>IFERROR(INDEX('G-1 All Habitats'!$B$3:$B$135,MATCH(R164,'G-1 All Habitats'!$A$3:$A$135,0)),"")</f>
        <v/>
      </c>
      <c r="T164" s="289" t="str">
        <f t="shared" si="22"/>
        <v/>
      </c>
      <c r="U164" s="305" t="str">
        <f t="shared" si="23"/>
        <v/>
      </c>
      <c r="V164" s="304" t="str">
        <f t="shared" si="20"/>
        <v/>
      </c>
      <c r="W164" s="301" t="str">
        <f>IF(S164="","",VLOOKUP(S164,'G-1 All Habitats'!$B$2:$M$135,10,FALSE))</f>
        <v/>
      </c>
      <c r="X164" s="301" t="str">
        <f>IFERROR(VLOOKUP(W164,'G-1 All Habitats'!$V$3:$W$7,2,FALSE),"")</f>
        <v/>
      </c>
      <c r="Y164" s="142"/>
      <c r="Z164" s="305" t="str">
        <f>IFERROR(INDEX('G-8 Condition Look up'!$A$3:$H$135,MATCH(S164,'G-8 Condition Look up'!$A$3:$A$135,0),MATCH(Y164,'G-8 Condition Look up'!$A$3:$H$3,0)),"")</f>
        <v/>
      </c>
      <c r="AA164" s="105"/>
      <c r="AB164" s="320" t="str">
        <f>IF(AA164="","",IF(VLOOKUP(AA164,'G-3 Multipliers'!$L$3:$N$6,2,FALSE)=0,"Spatial Data Missing ⚠",VLOOKUP(AA164,'G-3 Multipliers'!$L$3:$N$6,2,FALSE)))</f>
        <v/>
      </c>
      <c r="AC164" s="305" t="str">
        <f>IF(AA164="","",IF(VLOOKUP(AA164,'G-3 Multipliers'!$L$3:$N$6,3,FALSE)=0,"Spatial Data Missing ⚠",VLOOKUP(AA164,'G-3 Multipliers'!$L$3:$N$6,3,FALSE)))</f>
        <v/>
      </c>
      <c r="AD164" s="317" t="str">
        <f t="shared" si="21"/>
        <v/>
      </c>
      <c r="AE164" s="142"/>
      <c r="AF164" s="142"/>
      <c r="AG164" s="301" t="str">
        <f t="shared" si="24"/>
        <v/>
      </c>
      <c r="AH164" s="302" t="str">
        <f t="shared" si="25"/>
        <v/>
      </c>
      <c r="AI164" s="306" t="str">
        <f>IF(AH164="Check Data ⚠","Check Data ⚠",IFERROR(VLOOKUP(AH164,'G-4 Temporal multipliers'!$A$4:$C$36,3,FALSE),""))</f>
        <v/>
      </c>
      <c r="AJ164" s="317" t="str">
        <f>IF(S164="","",VLOOKUP(S164,'G-3 Multipliers'!$A$2:$E$134,4,FALSE))</f>
        <v/>
      </c>
      <c r="AK164" s="301" t="str">
        <f t="shared" si="26"/>
        <v/>
      </c>
      <c r="AL164" s="301" t="str">
        <f t="shared" si="27"/>
        <v/>
      </c>
      <c r="AM164" s="305" t="str">
        <f>IFERROR(IF(F164="","",IF(AH164="Check Data ⚠","Check Data ⚠",VLOOKUP(AL164, 'G-3 Multipliers'!$P$2:$Q$6,2,FALSE))),"")</f>
        <v/>
      </c>
      <c r="AN164" s="728"/>
      <c r="AO164" s="335" t="str">
        <f>IF(AN164="","",IF(VLOOKUP(AN164,'G-3 Multipliers'!$S$3:$T$10,2,FALSE)=0,"Spatial Data Missing ⚠",VLOOKUP(AN164,'G-3 Multipliers'!$S$3:$T$10,2,FALSE)))</f>
        <v/>
      </c>
      <c r="AP164" s="295" t="str">
        <f t="shared" si="28"/>
        <v/>
      </c>
      <c r="AQ164" s="295" t="str">
        <f t="shared" si="29"/>
        <v/>
      </c>
      <c r="AR164" s="109"/>
      <c r="AS164" s="142"/>
      <c r="AT164" s="108"/>
      <c r="AU164" s="108"/>
      <c r="AY164" s="30" t="str">
        <f>IF(E164="","",IF(ISNA(VLOOKUP($E164,'D-1 Off-Site Habitat Baseline'!$D$1:$AV$258,4,FALSE)),"",(VLOOKUP($E164,'D-1 Off-Site Habitat Baseline'!$D$1:$AV$258,4,FALSE))))</f>
        <v/>
      </c>
    </row>
    <row r="165" spans="1:51" x14ac:dyDescent="0.25">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325" t="str">
        <f>'D-1 Off-Site Habitat Baseline'!AP164</f>
        <v/>
      </c>
      <c r="F165" s="289" t="str">
        <f>IF(E165="","",IF(ISNA(VLOOKUP($E165,'D-1 Off-Site Habitat Baseline'!$D$1:$ZZ$258,45,FALSE)),"",(VLOOKUP($E165,'D-1 Off-Site Habitat Baseline'!$D$1:$ZZ$258,45,FALSE))))</f>
        <v/>
      </c>
      <c r="G165" s="301" t="str">
        <f>IF(E165="","",IF(ISNA(VLOOKUP($E165,'D-1 Off-Site Habitat Baseline'!$D$1:$O$258,5,FALSE)),"",(VLOOKUP($E165,'D-1 Off-Site Habitat Baseline'!$D$1:$O$258,5,FALSE))))</f>
        <v/>
      </c>
      <c r="H165" s="301" t="str">
        <f>IF(E165="","",IF(ISNA(VLOOKUP($E165,'D-1 Off-Site Habitat Baseline'!$D$1:$O$258,6,FALSE)),"",(VLOOKUP($E165,'D-1 Off-Site Habitat Baseline'!$D$1:$O$258,6,FALSE))))</f>
        <v/>
      </c>
      <c r="I165" s="301" t="str">
        <f>IF(E165="","",IF(ISNA(VLOOKUP($E165,'D-1 Off-Site Habitat Baseline'!$D$1:$O$258,7,FALSE)),"",(VLOOKUP($E165,'D-1 Off-Site Habitat Baseline'!$D$1:$O$258,7,FALSE))))</f>
        <v/>
      </c>
      <c r="J165" s="301" t="str">
        <f>IF(E165="","",IF(ISNA(VLOOKUP($E165,'D-1 Off-Site Habitat Baseline'!$D$1:$O$258,8,FALSE)),"",(VLOOKUP($E165,'D-1 Off-Site Habitat Baseline'!$D$1:$O$258,8,FALSE))))</f>
        <v/>
      </c>
      <c r="K165" s="301" t="str">
        <f>IF(E165="","",IF(ISNA(VLOOKUP($E165,'D-1 Off-Site Habitat Baseline'!$D$1:$O$258,9,FALSE)),"",(VLOOKUP($E165,'D-1 Off-Site Habitat Baseline'!$D$1:$O$258,9,FALSE))))</f>
        <v/>
      </c>
      <c r="L165" s="301" t="str">
        <f>IF(E165="","",IF(ISNA(VLOOKUP($E165,'D-1 Off-Site Habitat Baseline'!$D$1:$O$258,11,FALSE)),"",(VLOOKUP($E165,'D-1 Off-Site Habitat Baseline'!$D$1:$O$258,11,FALSE))))</f>
        <v/>
      </c>
      <c r="M165" s="301" t="str">
        <f>IF(E165="","",IF(ISNA(VLOOKUP($E165,'D-1 Off-Site Habitat Baseline'!$D$1:$O$258,12,FALSE)),"",(VLOOKUP($E165,'D-1 Off-Site Habitat Baseline'!$D$1:$O$258,12,FALSE))))</f>
        <v/>
      </c>
      <c r="N165" s="301" t="str">
        <f>IF(E165="","",IF(ISNA(VLOOKUP($E165,'D-1 Off-Site Habitat Baseline'!$D$1:$AA$258,17,FALSE)),"",(VLOOKUP($E165,'D-1 Off-Site Habitat Baseline'!$D$1:$AA$258,17,FALSE))))</f>
        <v/>
      </c>
      <c r="O165" s="305" t="str">
        <f>IF(E165="","",IF(ISNA(VLOOKUP($E165,'D-1 Off-Site Habitat Baseline'!$D$1:$AA$258,13,FALSE)),"",(VLOOKUP($E165,'D-1 Off-Site Habitat Baseline'!$D$1:$AA$258,13,FALSE))))</f>
        <v/>
      </c>
      <c r="P165" s="152" t="str">
        <f>IFERROR(INDEX('G-1 All Habitats'!$AG$49:$AG$63,MATCH(Q165,'G-1 All Habitats'!$AF$27:$AF$41,0)),"")</f>
        <v/>
      </c>
      <c r="Q165" s="153"/>
      <c r="R165" s="154"/>
      <c r="S165" s="155" t="str">
        <f>IFERROR(INDEX('G-1 All Habitats'!$B$3:$B$135,MATCH(R165,'G-1 All Habitats'!$A$3:$A$135,0)),"")</f>
        <v/>
      </c>
      <c r="T165" s="289" t="str">
        <f t="shared" si="22"/>
        <v/>
      </c>
      <c r="U165" s="305" t="str">
        <f t="shared" si="23"/>
        <v/>
      </c>
      <c r="V165" s="304" t="str">
        <f t="shared" si="20"/>
        <v/>
      </c>
      <c r="W165" s="301" t="str">
        <f>IF(S165="","",VLOOKUP(S165,'G-1 All Habitats'!$B$2:$M$135,10,FALSE))</f>
        <v/>
      </c>
      <c r="X165" s="301" t="str">
        <f>IFERROR(VLOOKUP(W165,'G-1 All Habitats'!$V$3:$W$7,2,FALSE),"")</f>
        <v/>
      </c>
      <c r="Y165" s="142"/>
      <c r="Z165" s="305" t="str">
        <f>IFERROR(INDEX('G-8 Condition Look up'!$A$3:$H$135,MATCH(S165,'G-8 Condition Look up'!$A$3:$A$135,0),MATCH(Y165,'G-8 Condition Look up'!$A$3:$H$3,0)),"")</f>
        <v/>
      </c>
      <c r="AA165" s="105"/>
      <c r="AB165" s="320" t="str">
        <f>IF(AA165="","",IF(VLOOKUP(AA165,'G-3 Multipliers'!$L$3:$N$6,2,FALSE)=0,"Spatial Data Missing ⚠",VLOOKUP(AA165,'G-3 Multipliers'!$L$3:$N$6,2,FALSE)))</f>
        <v/>
      </c>
      <c r="AC165" s="305" t="str">
        <f>IF(AA165="","",IF(VLOOKUP(AA165,'G-3 Multipliers'!$L$3:$N$6,3,FALSE)=0,"Spatial Data Missing ⚠",VLOOKUP(AA165,'G-3 Multipliers'!$L$3:$N$6,3,FALSE)))</f>
        <v/>
      </c>
      <c r="AD165" s="317" t="str">
        <f t="shared" si="21"/>
        <v/>
      </c>
      <c r="AE165" s="142"/>
      <c r="AF165" s="142"/>
      <c r="AG165" s="301" t="str">
        <f t="shared" si="24"/>
        <v/>
      </c>
      <c r="AH165" s="302" t="str">
        <f t="shared" si="25"/>
        <v/>
      </c>
      <c r="AI165" s="306" t="str">
        <f>IF(AH165="Check Data ⚠","Check Data ⚠",IFERROR(VLOOKUP(AH165,'G-4 Temporal multipliers'!$A$4:$C$36,3,FALSE),""))</f>
        <v/>
      </c>
      <c r="AJ165" s="317" t="str">
        <f>IF(S165="","",VLOOKUP(S165,'G-3 Multipliers'!$A$2:$E$134,4,FALSE))</f>
        <v/>
      </c>
      <c r="AK165" s="301" t="str">
        <f t="shared" si="26"/>
        <v/>
      </c>
      <c r="AL165" s="301" t="str">
        <f t="shared" si="27"/>
        <v/>
      </c>
      <c r="AM165" s="305" t="str">
        <f>IFERROR(IF(F165="","",IF(AH165="Check Data ⚠","Check Data ⚠",VLOOKUP(AL165, 'G-3 Multipliers'!$P$2:$Q$6,2,FALSE))),"")</f>
        <v/>
      </c>
      <c r="AN165" s="728"/>
      <c r="AO165" s="335" t="str">
        <f>IF(AN165="","",IF(VLOOKUP(AN165,'G-3 Multipliers'!$S$3:$T$10,2,FALSE)=0,"Spatial Data Missing ⚠",VLOOKUP(AN165,'G-3 Multipliers'!$S$3:$T$10,2,FALSE)))</f>
        <v/>
      </c>
      <c r="AP165" s="295" t="str">
        <f t="shared" si="28"/>
        <v/>
      </c>
      <c r="AQ165" s="295" t="str">
        <f t="shared" si="29"/>
        <v/>
      </c>
      <c r="AR165" s="109"/>
      <c r="AS165" s="142"/>
      <c r="AT165" s="108"/>
      <c r="AU165" s="108"/>
      <c r="AY165" s="30" t="str">
        <f>IF(E165="","",IF(ISNA(VLOOKUP($E165,'D-1 Off-Site Habitat Baseline'!$D$1:$AV$258,4,FALSE)),"",(VLOOKUP($E165,'D-1 Off-Site Habitat Baseline'!$D$1:$AV$258,4,FALSE))))</f>
        <v/>
      </c>
    </row>
    <row r="166" spans="1:51" x14ac:dyDescent="0.25">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325" t="str">
        <f>'D-1 Off-Site Habitat Baseline'!AP165</f>
        <v/>
      </c>
      <c r="F166" s="289" t="str">
        <f>IF(E166="","",IF(ISNA(VLOOKUP($E166,'D-1 Off-Site Habitat Baseline'!$D$1:$ZZ$258,45,FALSE)),"",(VLOOKUP($E166,'D-1 Off-Site Habitat Baseline'!$D$1:$ZZ$258,45,FALSE))))</f>
        <v/>
      </c>
      <c r="G166" s="301" t="str">
        <f>IF(E166="","",IF(ISNA(VLOOKUP($E166,'D-1 Off-Site Habitat Baseline'!$D$1:$O$258,5,FALSE)),"",(VLOOKUP($E166,'D-1 Off-Site Habitat Baseline'!$D$1:$O$258,5,FALSE))))</f>
        <v/>
      </c>
      <c r="H166" s="301" t="str">
        <f>IF(E166="","",IF(ISNA(VLOOKUP($E166,'D-1 Off-Site Habitat Baseline'!$D$1:$O$258,6,FALSE)),"",(VLOOKUP($E166,'D-1 Off-Site Habitat Baseline'!$D$1:$O$258,6,FALSE))))</f>
        <v/>
      </c>
      <c r="I166" s="301" t="str">
        <f>IF(E166="","",IF(ISNA(VLOOKUP($E166,'D-1 Off-Site Habitat Baseline'!$D$1:$O$258,7,FALSE)),"",(VLOOKUP($E166,'D-1 Off-Site Habitat Baseline'!$D$1:$O$258,7,FALSE))))</f>
        <v/>
      </c>
      <c r="J166" s="301" t="str">
        <f>IF(E166="","",IF(ISNA(VLOOKUP($E166,'D-1 Off-Site Habitat Baseline'!$D$1:$O$258,8,FALSE)),"",(VLOOKUP($E166,'D-1 Off-Site Habitat Baseline'!$D$1:$O$258,8,FALSE))))</f>
        <v/>
      </c>
      <c r="K166" s="301" t="str">
        <f>IF(E166="","",IF(ISNA(VLOOKUP($E166,'D-1 Off-Site Habitat Baseline'!$D$1:$O$258,9,FALSE)),"",(VLOOKUP($E166,'D-1 Off-Site Habitat Baseline'!$D$1:$O$258,9,FALSE))))</f>
        <v/>
      </c>
      <c r="L166" s="301" t="str">
        <f>IF(E166="","",IF(ISNA(VLOOKUP($E166,'D-1 Off-Site Habitat Baseline'!$D$1:$O$258,11,FALSE)),"",(VLOOKUP($E166,'D-1 Off-Site Habitat Baseline'!$D$1:$O$258,11,FALSE))))</f>
        <v/>
      </c>
      <c r="M166" s="301" t="str">
        <f>IF(E166="","",IF(ISNA(VLOOKUP($E166,'D-1 Off-Site Habitat Baseline'!$D$1:$O$258,12,FALSE)),"",(VLOOKUP($E166,'D-1 Off-Site Habitat Baseline'!$D$1:$O$258,12,FALSE))))</f>
        <v/>
      </c>
      <c r="N166" s="301" t="str">
        <f>IF(E166="","",IF(ISNA(VLOOKUP($E166,'D-1 Off-Site Habitat Baseline'!$D$1:$AA$258,17,FALSE)),"",(VLOOKUP($E166,'D-1 Off-Site Habitat Baseline'!$D$1:$AA$258,17,FALSE))))</f>
        <v/>
      </c>
      <c r="O166" s="305" t="str">
        <f>IF(E166="","",IF(ISNA(VLOOKUP($E166,'D-1 Off-Site Habitat Baseline'!$D$1:$AA$258,13,FALSE)),"",(VLOOKUP($E166,'D-1 Off-Site Habitat Baseline'!$D$1:$AA$258,13,FALSE))))</f>
        <v/>
      </c>
      <c r="P166" s="152" t="str">
        <f>IFERROR(INDEX('G-1 All Habitats'!$AG$49:$AG$63,MATCH(Q166,'G-1 All Habitats'!$AF$27:$AF$41,0)),"")</f>
        <v/>
      </c>
      <c r="Q166" s="153"/>
      <c r="R166" s="154"/>
      <c r="S166" s="155" t="str">
        <f>IFERROR(INDEX('G-1 All Habitats'!$B$3:$B$135,MATCH(R166,'G-1 All Habitats'!$A$3:$A$135,0)),"")</f>
        <v/>
      </c>
      <c r="T166" s="289" t="str">
        <f t="shared" si="22"/>
        <v/>
      </c>
      <c r="U166" s="305" t="str">
        <f t="shared" si="23"/>
        <v/>
      </c>
      <c r="V166" s="304" t="str">
        <f t="shared" si="20"/>
        <v/>
      </c>
      <c r="W166" s="301" t="str">
        <f>IF(S166="","",VLOOKUP(S166,'G-1 All Habitats'!$B$2:$M$135,10,FALSE))</f>
        <v/>
      </c>
      <c r="X166" s="301" t="str">
        <f>IFERROR(VLOOKUP(W166,'G-1 All Habitats'!$V$3:$W$7,2,FALSE),"")</f>
        <v/>
      </c>
      <c r="Y166" s="142"/>
      <c r="Z166" s="305" t="str">
        <f>IFERROR(INDEX('G-8 Condition Look up'!$A$3:$H$135,MATCH(S166,'G-8 Condition Look up'!$A$3:$A$135,0),MATCH(Y166,'G-8 Condition Look up'!$A$3:$H$3,0)),"")</f>
        <v/>
      </c>
      <c r="AA166" s="105"/>
      <c r="AB166" s="320" t="str">
        <f>IF(AA166="","",IF(VLOOKUP(AA166,'G-3 Multipliers'!$L$3:$N$6,2,FALSE)=0,"Spatial Data Missing ⚠",VLOOKUP(AA166,'G-3 Multipliers'!$L$3:$N$6,2,FALSE)))</f>
        <v/>
      </c>
      <c r="AC166" s="305" t="str">
        <f>IF(AA166="","",IF(VLOOKUP(AA166,'G-3 Multipliers'!$L$3:$N$6,3,FALSE)=0,"Spatial Data Missing ⚠",VLOOKUP(AA166,'G-3 Multipliers'!$L$3:$N$6,3,FALSE)))</f>
        <v/>
      </c>
      <c r="AD166" s="317" t="str">
        <f t="shared" si="21"/>
        <v/>
      </c>
      <c r="AE166" s="142"/>
      <c r="AF166" s="142"/>
      <c r="AG166" s="301" t="str">
        <f t="shared" si="24"/>
        <v/>
      </c>
      <c r="AH166" s="302" t="str">
        <f t="shared" si="25"/>
        <v/>
      </c>
      <c r="AI166" s="306" t="str">
        <f>IF(AH166="Check Data ⚠","Check Data ⚠",IFERROR(VLOOKUP(AH166,'G-4 Temporal multipliers'!$A$4:$C$36,3,FALSE),""))</f>
        <v/>
      </c>
      <c r="AJ166" s="317" t="str">
        <f>IF(S166="","",VLOOKUP(S166,'G-3 Multipliers'!$A$2:$E$134,4,FALSE))</f>
        <v/>
      </c>
      <c r="AK166" s="301" t="str">
        <f t="shared" si="26"/>
        <v/>
      </c>
      <c r="AL166" s="301" t="str">
        <f t="shared" si="27"/>
        <v/>
      </c>
      <c r="AM166" s="305" t="str">
        <f>IFERROR(IF(F166="","",IF(AH166="Check Data ⚠","Check Data ⚠",VLOOKUP(AL166, 'G-3 Multipliers'!$P$2:$Q$6,2,FALSE))),"")</f>
        <v/>
      </c>
      <c r="AN166" s="728"/>
      <c r="AO166" s="335" t="str">
        <f>IF(AN166="","",IF(VLOOKUP(AN166,'G-3 Multipliers'!$S$3:$T$10,2,FALSE)=0,"Spatial Data Missing ⚠",VLOOKUP(AN166,'G-3 Multipliers'!$S$3:$T$10,2,FALSE)))</f>
        <v/>
      </c>
      <c r="AP166" s="295" t="str">
        <f t="shared" si="28"/>
        <v/>
      </c>
      <c r="AQ166" s="295" t="str">
        <f t="shared" si="29"/>
        <v/>
      </c>
      <c r="AR166" s="109"/>
      <c r="AS166" s="142"/>
      <c r="AT166" s="108"/>
      <c r="AU166" s="108"/>
      <c r="AY166" s="30" t="str">
        <f>IF(E166="","",IF(ISNA(VLOOKUP($E166,'D-1 Off-Site Habitat Baseline'!$D$1:$AV$258,4,FALSE)),"",(VLOOKUP($E166,'D-1 Off-Site Habitat Baseline'!$D$1:$AV$258,4,FALSE))))</f>
        <v/>
      </c>
    </row>
    <row r="167" spans="1:51" x14ac:dyDescent="0.25">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325" t="str">
        <f>'D-1 Off-Site Habitat Baseline'!AP166</f>
        <v/>
      </c>
      <c r="F167" s="289" t="str">
        <f>IF(E167="","",IF(ISNA(VLOOKUP($E167,'D-1 Off-Site Habitat Baseline'!$D$1:$ZZ$258,45,FALSE)),"",(VLOOKUP($E167,'D-1 Off-Site Habitat Baseline'!$D$1:$ZZ$258,45,FALSE))))</f>
        <v/>
      </c>
      <c r="G167" s="301" t="str">
        <f>IF(E167="","",IF(ISNA(VLOOKUP($E167,'D-1 Off-Site Habitat Baseline'!$D$1:$O$258,5,FALSE)),"",(VLOOKUP($E167,'D-1 Off-Site Habitat Baseline'!$D$1:$O$258,5,FALSE))))</f>
        <v/>
      </c>
      <c r="H167" s="301" t="str">
        <f>IF(E167="","",IF(ISNA(VLOOKUP($E167,'D-1 Off-Site Habitat Baseline'!$D$1:$O$258,6,FALSE)),"",(VLOOKUP($E167,'D-1 Off-Site Habitat Baseline'!$D$1:$O$258,6,FALSE))))</f>
        <v/>
      </c>
      <c r="I167" s="301" t="str">
        <f>IF(E167="","",IF(ISNA(VLOOKUP($E167,'D-1 Off-Site Habitat Baseline'!$D$1:$O$258,7,FALSE)),"",(VLOOKUP($E167,'D-1 Off-Site Habitat Baseline'!$D$1:$O$258,7,FALSE))))</f>
        <v/>
      </c>
      <c r="J167" s="301" t="str">
        <f>IF(E167="","",IF(ISNA(VLOOKUP($E167,'D-1 Off-Site Habitat Baseline'!$D$1:$O$258,8,FALSE)),"",(VLOOKUP($E167,'D-1 Off-Site Habitat Baseline'!$D$1:$O$258,8,FALSE))))</f>
        <v/>
      </c>
      <c r="K167" s="301" t="str">
        <f>IF(E167="","",IF(ISNA(VLOOKUP($E167,'D-1 Off-Site Habitat Baseline'!$D$1:$O$258,9,FALSE)),"",(VLOOKUP($E167,'D-1 Off-Site Habitat Baseline'!$D$1:$O$258,9,FALSE))))</f>
        <v/>
      </c>
      <c r="L167" s="301" t="str">
        <f>IF(E167="","",IF(ISNA(VLOOKUP($E167,'D-1 Off-Site Habitat Baseline'!$D$1:$O$258,11,FALSE)),"",(VLOOKUP($E167,'D-1 Off-Site Habitat Baseline'!$D$1:$O$258,11,FALSE))))</f>
        <v/>
      </c>
      <c r="M167" s="301" t="str">
        <f>IF(E167="","",IF(ISNA(VLOOKUP($E167,'D-1 Off-Site Habitat Baseline'!$D$1:$O$258,12,FALSE)),"",(VLOOKUP($E167,'D-1 Off-Site Habitat Baseline'!$D$1:$O$258,12,FALSE))))</f>
        <v/>
      </c>
      <c r="N167" s="301" t="str">
        <f>IF(E167="","",IF(ISNA(VLOOKUP($E167,'D-1 Off-Site Habitat Baseline'!$D$1:$AA$258,17,FALSE)),"",(VLOOKUP($E167,'D-1 Off-Site Habitat Baseline'!$D$1:$AA$258,17,FALSE))))</f>
        <v/>
      </c>
      <c r="O167" s="305" t="str">
        <f>IF(E167="","",IF(ISNA(VLOOKUP($E167,'D-1 Off-Site Habitat Baseline'!$D$1:$AA$258,13,FALSE)),"",(VLOOKUP($E167,'D-1 Off-Site Habitat Baseline'!$D$1:$AA$258,13,FALSE))))</f>
        <v/>
      </c>
      <c r="P167" s="152" t="str">
        <f>IFERROR(INDEX('G-1 All Habitats'!$AG$49:$AG$63,MATCH(Q167,'G-1 All Habitats'!$AF$27:$AF$41,0)),"")</f>
        <v/>
      </c>
      <c r="Q167" s="153"/>
      <c r="R167" s="154"/>
      <c r="S167" s="155" t="str">
        <f>IFERROR(INDEX('G-1 All Habitats'!$B$3:$B$135,MATCH(R167,'G-1 All Habitats'!$A$3:$A$135,0)),"")</f>
        <v/>
      </c>
      <c r="T167" s="289" t="str">
        <f t="shared" si="22"/>
        <v/>
      </c>
      <c r="U167" s="305" t="str">
        <f t="shared" si="23"/>
        <v/>
      </c>
      <c r="V167" s="304" t="str">
        <f t="shared" si="20"/>
        <v/>
      </c>
      <c r="W167" s="301" t="str">
        <f>IF(S167="","",VLOOKUP(S167,'G-1 All Habitats'!$B$2:$M$135,10,FALSE))</f>
        <v/>
      </c>
      <c r="X167" s="301" t="str">
        <f>IFERROR(VLOOKUP(W167,'G-1 All Habitats'!$V$3:$W$7,2,FALSE),"")</f>
        <v/>
      </c>
      <c r="Y167" s="142"/>
      <c r="Z167" s="305" t="str">
        <f>IFERROR(INDEX('G-8 Condition Look up'!$A$3:$H$135,MATCH(S167,'G-8 Condition Look up'!$A$3:$A$135,0),MATCH(Y167,'G-8 Condition Look up'!$A$3:$H$3,0)),"")</f>
        <v/>
      </c>
      <c r="AA167" s="105"/>
      <c r="AB167" s="320" t="str">
        <f>IF(AA167="","",IF(VLOOKUP(AA167,'G-3 Multipliers'!$L$3:$N$6,2,FALSE)=0,"Spatial Data Missing ⚠",VLOOKUP(AA167,'G-3 Multipliers'!$L$3:$N$6,2,FALSE)))</f>
        <v/>
      </c>
      <c r="AC167" s="305" t="str">
        <f>IF(AA167="","",IF(VLOOKUP(AA167,'G-3 Multipliers'!$L$3:$N$6,3,FALSE)=0,"Spatial Data Missing ⚠",VLOOKUP(AA167,'G-3 Multipliers'!$L$3:$N$6,3,FALSE)))</f>
        <v/>
      </c>
      <c r="AD167" s="317" t="str">
        <f t="shared" si="21"/>
        <v/>
      </c>
      <c r="AE167" s="142"/>
      <c r="AF167" s="142"/>
      <c r="AG167" s="301" t="str">
        <f t="shared" si="24"/>
        <v/>
      </c>
      <c r="AH167" s="302" t="str">
        <f t="shared" si="25"/>
        <v/>
      </c>
      <c r="AI167" s="306" t="str">
        <f>IF(AH167="Check Data ⚠","Check Data ⚠",IFERROR(VLOOKUP(AH167,'G-4 Temporal multipliers'!$A$4:$C$36,3,FALSE),""))</f>
        <v/>
      </c>
      <c r="AJ167" s="317" t="str">
        <f>IF(S167="","",VLOOKUP(S167,'G-3 Multipliers'!$A$2:$E$134,4,FALSE))</f>
        <v/>
      </c>
      <c r="AK167" s="301" t="str">
        <f t="shared" si="26"/>
        <v/>
      </c>
      <c r="AL167" s="301" t="str">
        <f t="shared" si="27"/>
        <v/>
      </c>
      <c r="AM167" s="305" t="str">
        <f>IFERROR(IF(F167="","",IF(AH167="Check Data ⚠","Check Data ⚠",VLOOKUP(AL167, 'G-3 Multipliers'!$P$2:$Q$6,2,FALSE))),"")</f>
        <v/>
      </c>
      <c r="AN167" s="728"/>
      <c r="AO167" s="335" t="str">
        <f>IF(AN167="","",IF(VLOOKUP(AN167,'G-3 Multipliers'!$S$3:$T$10,2,FALSE)=0,"Spatial Data Missing ⚠",VLOOKUP(AN167,'G-3 Multipliers'!$S$3:$T$10,2,FALSE)))</f>
        <v/>
      </c>
      <c r="AP167" s="295" t="str">
        <f t="shared" si="28"/>
        <v/>
      </c>
      <c r="AQ167" s="295" t="str">
        <f t="shared" si="29"/>
        <v/>
      </c>
      <c r="AR167" s="109"/>
      <c r="AS167" s="142"/>
      <c r="AT167" s="108"/>
      <c r="AU167" s="108"/>
      <c r="AY167" s="30" t="str">
        <f>IF(E167="","",IF(ISNA(VLOOKUP($E167,'D-1 Off-Site Habitat Baseline'!$D$1:$AV$258,4,FALSE)),"",(VLOOKUP($E167,'D-1 Off-Site Habitat Baseline'!$D$1:$AV$258,4,FALSE))))</f>
        <v/>
      </c>
    </row>
    <row r="168" spans="1:51" x14ac:dyDescent="0.25">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325" t="str">
        <f>'D-1 Off-Site Habitat Baseline'!AP167</f>
        <v/>
      </c>
      <c r="F168" s="289" t="str">
        <f>IF(E168="","",IF(ISNA(VLOOKUP($E168,'D-1 Off-Site Habitat Baseline'!$D$1:$ZZ$258,45,FALSE)),"",(VLOOKUP($E168,'D-1 Off-Site Habitat Baseline'!$D$1:$ZZ$258,45,FALSE))))</f>
        <v/>
      </c>
      <c r="G168" s="301" t="str">
        <f>IF(E168="","",IF(ISNA(VLOOKUP($E168,'D-1 Off-Site Habitat Baseline'!$D$1:$O$258,5,FALSE)),"",(VLOOKUP($E168,'D-1 Off-Site Habitat Baseline'!$D$1:$O$258,5,FALSE))))</f>
        <v/>
      </c>
      <c r="H168" s="301" t="str">
        <f>IF(E168="","",IF(ISNA(VLOOKUP($E168,'D-1 Off-Site Habitat Baseline'!$D$1:$O$258,6,FALSE)),"",(VLOOKUP($E168,'D-1 Off-Site Habitat Baseline'!$D$1:$O$258,6,FALSE))))</f>
        <v/>
      </c>
      <c r="I168" s="301" t="str">
        <f>IF(E168="","",IF(ISNA(VLOOKUP($E168,'D-1 Off-Site Habitat Baseline'!$D$1:$O$258,7,FALSE)),"",(VLOOKUP($E168,'D-1 Off-Site Habitat Baseline'!$D$1:$O$258,7,FALSE))))</f>
        <v/>
      </c>
      <c r="J168" s="301" t="str">
        <f>IF(E168="","",IF(ISNA(VLOOKUP($E168,'D-1 Off-Site Habitat Baseline'!$D$1:$O$258,8,FALSE)),"",(VLOOKUP($E168,'D-1 Off-Site Habitat Baseline'!$D$1:$O$258,8,FALSE))))</f>
        <v/>
      </c>
      <c r="K168" s="301" t="str">
        <f>IF(E168="","",IF(ISNA(VLOOKUP($E168,'D-1 Off-Site Habitat Baseline'!$D$1:$O$258,9,FALSE)),"",(VLOOKUP($E168,'D-1 Off-Site Habitat Baseline'!$D$1:$O$258,9,FALSE))))</f>
        <v/>
      </c>
      <c r="L168" s="301" t="str">
        <f>IF(E168="","",IF(ISNA(VLOOKUP($E168,'D-1 Off-Site Habitat Baseline'!$D$1:$O$258,11,FALSE)),"",(VLOOKUP($E168,'D-1 Off-Site Habitat Baseline'!$D$1:$O$258,11,FALSE))))</f>
        <v/>
      </c>
      <c r="M168" s="301" t="str">
        <f>IF(E168="","",IF(ISNA(VLOOKUP($E168,'D-1 Off-Site Habitat Baseline'!$D$1:$O$258,12,FALSE)),"",(VLOOKUP($E168,'D-1 Off-Site Habitat Baseline'!$D$1:$O$258,12,FALSE))))</f>
        <v/>
      </c>
      <c r="N168" s="301" t="str">
        <f>IF(E168="","",IF(ISNA(VLOOKUP($E168,'D-1 Off-Site Habitat Baseline'!$D$1:$AA$258,17,FALSE)),"",(VLOOKUP($E168,'D-1 Off-Site Habitat Baseline'!$D$1:$AA$258,17,FALSE))))</f>
        <v/>
      </c>
      <c r="O168" s="305" t="str">
        <f>IF(E168="","",IF(ISNA(VLOOKUP($E168,'D-1 Off-Site Habitat Baseline'!$D$1:$AA$258,13,FALSE)),"",(VLOOKUP($E168,'D-1 Off-Site Habitat Baseline'!$D$1:$AA$258,13,FALSE))))</f>
        <v/>
      </c>
      <c r="P168" s="152" t="str">
        <f>IFERROR(INDEX('G-1 All Habitats'!$AG$49:$AG$63,MATCH(Q168,'G-1 All Habitats'!$AF$27:$AF$41,0)),"")</f>
        <v/>
      </c>
      <c r="Q168" s="153"/>
      <c r="R168" s="154"/>
      <c r="S168" s="155" t="str">
        <f>IFERROR(INDEX('G-1 All Habitats'!$B$3:$B$135,MATCH(R168,'G-1 All Habitats'!$A$3:$A$135,0)),"")</f>
        <v/>
      </c>
      <c r="T168" s="289" t="str">
        <f t="shared" si="22"/>
        <v/>
      </c>
      <c r="U168" s="305" t="str">
        <f t="shared" si="23"/>
        <v/>
      </c>
      <c r="V168" s="304" t="str">
        <f t="shared" si="20"/>
        <v/>
      </c>
      <c r="W168" s="301" t="str">
        <f>IF(S168="","",VLOOKUP(S168,'G-1 All Habitats'!$B$2:$M$135,10,FALSE))</f>
        <v/>
      </c>
      <c r="X168" s="301" t="str">
        <f>IFERROR(VLOOKUP(W168,'G-1 All Habitats'!$V$3:$W$7,2,FALSE),"")</f>
        <v/>
      </c>
      <c r="Y168" s="142"/>
      <c r="Z168" s="305" t="str">
        <f>IFERROR(INDEX('G-8 Condition Look up'!$A$3:$H$135,MATCH(S168,'G-8 Condition Look up'!$A$3:$A$135,0),MATCH(Y168,'G-8 Condition Look up'!$A$3:$H$3,0)),"")</f>
        <v/>
      </c>
      <c r="AA168" s="105"/>
      <c r="AB168" s="320" t="str">
        <f>IF(AA168="","",IF(VLOOKUP(AA168,'G-3 Multipliers'!$L$3:$N$6,2,FALSE)=0,"Spatial Data Missing ⚠",VLOOKUP(AA168,'G-3 Multipliers'!$L$3:$N$6,2,FALSE)))</f>
        <v/>
      </c>
      <c r="AC168" s="305" t="str">
        <f>IF(AA168="","",IF(VLOOKUP(AA168,'G-3 Multipliers'!$L$3:$N$6,3,FALSE)=0,"Spatial Data Missing ⚠",VLOOKUP(AA168,'G-3 Multipliers'!$L$3:$N$6,3,FALSE)))</f>
        <v/>
      </c>
      <c r="AD168" s="317" t="str">
        <f t="shared" si="21"/>
        <v/>
      </c>
      <c r="AE168" s="142"/>
      <c r="AF168" s="142"/>
      <c r="AG168" s="301" t="str">
        <f t="shared" si="24"/>
        <v/>
      </c>
      <c r="AH168" s="302" t="str">
        <f t="shared" si="25"/>
        <v/>
      </c>
      <c r="AI168" s="306" t="str">
        <f>IF(AH168="Check Data ⚠","Check Data ⚠",IFERROR(VLOOKUP(AH168,'G-4 Temporal multipliers'!$A$4:$C$36,3,FALSE),""))</f>
        <v/>
      </c>
      <c r="AJ168" s="317" t="str">
        <f>IF(S168="","",VLOOKUP(S168,'G-3 Multipliers'!$A$2:$E$134,4,FALSE))</f>
        <v/>
      </c>
      <c r="AK168" s="301" t="str">
        <f t="shared" si="26"/>
        <v/>
      </c>
      <c r="AL168" s="301" t="str">
        <f t="shared" si="27"/>
        <v/>
      </c>
      <c r="AM168" s="305" t="str">
        <f>IFERROR(IF(F168="","",IF(AH168="Check Data ⚠","Check Data ⚠",VLOOKUP(AL168, 'G-3 Multipliers'!$P$2:$Q$6,2,FALSE))),"")</f>
        <v/>
      </c>
      <c r="AN168" s="728"/>
      <c r="AO168" s="335" t="str">
        <f>IF(AN168="","",IF(VLOOKUP(AN168,'G-3 Multipliers'!$S$3:$T$10,2,FALSE)=0,"Spatial Data Missing ⚠",VLOOKUP(AN168,'G-3 Multipliers'!$S$3:$T$10,2,FALSE)))</f>
        <v/>
      </c>
      <c r="AP168" s="295" t="str">
        <f t="shared" si="28"/>
        <v/>
      </c>
      <c r="AQ168" s="295" t="str">
        <f t="shared" si="29"/>
        <v/>
      </c>
      <c r="AR168" s="109"/>
      <c r="AS168" s="142"/>
      <c r="AT168" s="108"/>
      <c r="AU168" s="108"/>
      <c r="AY168" s="30" t="str">
        <f>IF(E168="","",IF(ISNA(VLOOKUP($E168,'D-1 Off-Site Habitat Baseline'!$D$1:$AV$258,4,FALSE)),"",(VLOOKUP($E168,'D-1 Off-Site Habitat Baseline'!$D$1:$AV$258,4,FALSE))))</f>
        <v/>
      </c>
    </row>
    <row r="169" spans="1:51" x14ac:dyDescent="0.25">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325" t="str">
        <f>'D-1 Off-Site Habitat Baseline'!AP168</f>
        <v/>
      </c>
      <c r="F169" s="289" t="str">
        <f>IF(E169="","",IF(ISNA(VLOOKUP($E169,'D-1 Off-Site Habitat Baseline'!$D$1:$ZZ$258,45,FALSE)),"",(VLOOKUP($E169,'D-1 Off-Site Habitat Baseline'!$D$1:$ZZ$258,45,FALSE))))</f>
        <v/>
      </c>
      <c r="G169" s="301" t="str">
        <f>IF(E169="","",IF(ISNA(VLOOKUP($E169,'D-1 Off-Site Habitat Baseline'!$D$1:$O$258,5,FALSE)),"",(VLOOKUP($E169,'D-1 Off-Site Habitat Baseline'!$D$1:$O$258,5,FALSE))))</f>
        <v/>
      </c>
      <c r="H169" s="301" t="str">
        <f>IF(E169="","",IF(ISNA(VLOOKUP($E169,'D-1 Off-Site Habitat Baseline'!$D$1:$O$258,6,FALSE)),"",(VLOOKUP($E169,'D-1 Off-Site Habitat Baseline'!$D$1:$O$258,6,FALSE))))</f>
        <v/>
      </c>
      <c r="I169" s="301" t="str">
        <f>IF(E169="","",IF(ISNA(VLOOKUP($E169,'D-1 Off-Site Habitat Baseline'!$D$1:$O$258,7,FALSE)),"",(VLOOKUP($E169,'D-1 Off-Site Habitat Baseline'!$D$1:$O$258,7,FALSE))))</f>
        <v/>
      </c>
      <c r="J169" s="301" t="str">
        <f>IF(E169="","",IF(ISNA(VLOOKUP($E169,'D-1 Off-Site Habitat Baseline'!$D$1:$O$258,8,FALSE)),"",(VLOOKUP($E169,'D-1 Off-Site Habitat Baseline'!$D$1:$O$258,8,FALSE))))</f>
        <v/>
      </c>
      <c r="K169" s="301" t="str">
        <f>IF(E169="","",IF(ISNA(VLOOKUP($E169,'D-1 Off-Site Habitat Baseline'!$D$1:$O$258,9,FALSE)),"",(VLOOKUP($E169,'D-1 Off-Site Habitat Baseline'!$D$1:$O$258,9,FALSE))))</f>
        <v/>
      </c>
      <c r="L169" s="301" t="str">
        <f>IF(E169="","",IF(ISNA(VLOOKUP($E169,'D-1 Off-Site Habitat Baseline'!$D$1:$O$258,11,FALSE)),"",(VLOOKUP($E169,'D-1 Off-Site Habitat Baseline'!$D$1:$O$258,11,FALSE))))</f>
        <v/>
      </c>
      <c r="M169" s="301" t="str">
        <f>IF(E169="","",IF(ISNA(VLOOKUP($E169,'D-1 Off-Site Habitat Baseline'!$D$1:$O$258,12,FALSE)),"",(VLOOKUP($E169,'D-1 Off-Site Habitat Baseline'!$D$1:$O$258,12,FALSE))))</f>
        <v/>
      </c>
      <c r="N169" s="301" t="str">
        <f>IF(E169="","",IF(ISNA(VLOOKUP($E169,'D-1 Off-Site Habitat Baseline'!$D$1:$AA$258,17,FALSE)),"",(VLOOKUP($E169,'D-1 Off-Site Habitat Baseline'!$D$1:$AA$258,17,FALSE))))</f>
        <v/>
      </c>
      <c r="O169" s="305" t="str">
        <f>IF(E169="","",IF(ISNA(VLOOKUP($E169,'D-1 Off-Site Habitat Baseline'!$D$1:$AA$258,13,FALSE)),"",(VLOOKUP($E169,'D-1 Off-Site Habitat Baseline'!$D$1:$AA$258,13,FALSE))))</f>
        <v/>
      </c>
      <c r="P169" s="152" t="str">
        <f>IFERROR(INDEX('G-1 All Habitats'!$AG$49:$AG$63,MATCH(Q169,'G-1 All Habitats'!$AF$27:$AF$41,0)),"")</f>
        <v/>
      </c>
      <c r="Q169" s="153"/>
      <c r="R169" s="154"/>
      <c r="S169" s="155" t="str">
        <f>IFERROR(INDEX('G-1 All Habitats'!$B$3:$B$135,MATCH(R169,'G-1 All Habitats'!$A$3:$A$135,0)),"")</f>
        <v/>
      </c>
      <c r="T169" s="289" t="str">
        <f t="shared" si="22"/>
        <v/>
      </c>
      <c r="U169" s="305" t="str">
        <f t="shared" si="23"/>
        <v/>
      </c>
      <c r="V169" s="304" t="str">
        <f t="shared" si="20"/>
        <v/>
      </c>
      <c r="W169" s="301" t="str">
        <f>IF(S169="","",VLOOKUP(S169,'G-1 All Habitats'!$B$2:$M$135,10,FALSE))</f>
        <v/>
      </c>
      <c r="X169" s="301" t="str">
        <f>IFERROR(VLOOKUP(W169,'G-1 All Habitats'!$V$3:$W$7,2,FALSE),"")</f>
        <v/>
      </c>
      <c r="Y169" s="142"/>
      <c r="Z169" s="305" t="str">
        <f>IFERROR(INDEX('G-8 Condition Look up'!$A$3:$H$135,MATCH(S169,'G-8 Condition Look up'!$A$3:$A$135,0),MATCH(Y169,'G-8 Condition Look up'!$A$3:$H$3,0)),"")</f>
        <v/>
      </c>
      <c r="AA169" s="105"/>
      <c r="AB169" s="320" t="str">
        <f>IF(AA169="","",IF(VLOOKUP(AA169,'G-3 Multipliers'!$L$3:$N$6,2,FALSE)=0,"Spatial Data Missing ⚠",VLOOKUP(AA169,'G-3 Multipliers'!$L$3:$N$6,2,FALSE)))</f>
        <v/>
      </c>
      <c r="AC169" s="305" t="str">
        <f>IF(AA169="","",IF(VLOOKUP(AA169,'G-3 Multipliers'!$L$3:$N$6,3,FALSE)=0,"Spatial Data Missing ⚠",VLOOKUP(AA169,'G-3 Multipliers'!$L$3:$N$6,3,FALSE)))</f>
        <v/>
      </c>
      <c r="AD169" s="317" t="str">
        <f t="shared" si="21"/>
        <v/>
      </c>
      <c r="AE169" s="142"/>
      <c r="AF169" s="142"/>
      <c r="AG169" s="301" t="str">
        <f t="shared" si="24"/>
        <v/>
      </c>
      <c r="AH169" s="302" t="str">
        <f t="shared" si="25"/>
        <v/>
      </c>
      <c r="AI169" s="306" t="str">
        <f>IF(AH169="Check Data ⚠","Check Data ⚠",IFERROR(VLOOKUP(AH169,'G-4 Temporal multipliers'!$A$4:$C$36,3,FALSE),""))</f>
        <v/>
      </c>
      <c r="AJ169" s="317" t="str">
        <f>IF(S169="","",VLOOKUP(S169,'G-3 Multipliers'!$A$2:$E$134,4,FALSE))</f>
        <v/>
      </c>
      <c r="AK169" s="301" t="str">
        <f t="shared" si="26"/>
        <v/>
      </c>
      <c r="AL169" s="301" t="str">
        <f t="shared" si="27"/>
        <v/>
      </c>
      <c r="AM169" s="305" t="str">
        <f>IFERROR(IF(F169="","",IF(AH169="Check Data ⚠","Check Data ⚠",VLOOKUP(AL169, 'G-3 Multipliers'!$P$2:$Q$6,2,FALSE))),"")</f>
        <v/>
      </c>
      <c r="AN169" s="728"/>
      <c r="AO169" s="335" t="str">
        <f>IF(AN169="","",IF(VLOOKUP(AN169,'G-3 Multipliers'!$S$3:$T$10,2,FALSE)=0,"Spatial Data Missing ⚠",VLOOKUP(AN169,'G-3 Multipliers'!$S$3:$T$10,2,FALSE)))</f>
        <v/>
      </c>
      <c r="AP169" s="295" t="str">
        <f t="shared" si="28"/>
        <v/>
      </c>
      <c r="AQ169" s="295" t="str">
        <f t="shared" si="29"/>
        <v/>
      </c>
      <c r="AR169" s="109"/>
      <c r="AS169" s="142"/>
      <c r="AT169" s="108"/>
      <c r="AU169" s="108"/>
      <c r="AY169" s="30" t="str">
        <f>IF(E169="","",IF(ISNA(VLOOKUP($E169,'D-1 Off-Site Habitat Baseline'!$D$1:$AV$258,4,FALSE)),"",(VLOOKUP($E169,'D-1 Off-Site Habitat Baseline'!$D$1:$AV$258,4,FALSE))))</f>
        <v/>
      </c>
    </row>
    <row r="170" spans="1:51" x14ac:dyDescent="0.25">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325" t="str">
        <f>'D-1 Off-Site Habitat Baseline'!AP169</f>
        <v/>
      </c>
      <c r="F170" s="289" t="str">
        <f>IF(E170="","",IF(ISNA(VLOOKUP($E170,'D-1 Off-Site Habitat Baseline'!$D$1:$ZZ$258,45,FALSE)),"",(VLOOKUP($E170,'D-1 Off-Site Habitat Baseline'!$D$1:$ZZ$258,45,FALSE))))</f>
        <v/>
      </c>
      <c r="G170" s="301" t="str">
        <f>IF(E170="","",IF(ISNA(VLOOKUP($E170,'D-1 Off-Site Habitat Baseline'!$D$1:$O$258,5,FALSE)),"",(VLOOKUP($E170,'D-1 Off-Site Habitat Baseline'!$D$1:$O$258,5,FALSE))))</f>
        <v/>
      </c>
      <c r="H170" s="301" t="str">
        <f>IF(E170="","",IF(ISNA(VLOOKUP($E170,'D-1 Off-Site Habitat Baseline'!$D$1:$O$258,6,FALSE)),"",(VLOOKUP($E170,'D-1 Off-Site Habitat Baseline'!$D$1:$O$258,6,FALSE))))</f>
        <v/>
      </c>
      <c r="I170" s="301" t="str">
        <f>IF(E170="","",IF(ISNA(VLOOKUP($E170,'D-1 Off-Site Habitat Baseline'!$D$1:$O$258,7,FALSE)),"",(VLOOKUP($E170,'D-1 Off-Site Habitat Baseline'!$D$1:$O$258,7,FALSE))))</f>
        <v/>
      </c>
      <c r="J170" s="301" t="str">
        <f>IF(E170="","",IF(ISNA(VLOOKUP($E170,'D-1 Off-Site Habitat Baseline'!$D$1:$O$258,8,FALSE)),"",(VLOOKUP($E170,'D-1 Off-Site Habitat Baseline'!$D$1:$O$258,8,FALSE))))</f>
        <v/>
      </c>
      <c r="K170" s="301" t="str">
        <f>IF(E170="","",IF(ISNA(VLOOKUP($E170,'D-1 Off-Site Habitat Baseline'!$D$1:$O$258,9,FALSE)),"",(VLOOKUP($E170,'D-1 Off-Site Habitat Baseline'!$D$1:$O$258,9,FALSE))))</f>
        <v/>
      </c>
      <c r="L170" s="301" t="str">
        <f>IF(E170="","",IF(ISNA(VLOOKUP($E170,'D-1 Off-Site Habitat Baseline'!$D$1:$O$258,11,FALSE)),"",(VLOOKUP($E170,'D-1 Off-Site Habitat Baseline'!$D$1:$O$258,11,FALSE))))</f>
        <v/>
      </c>
      <c r="M170" s="301" t="str">
        <f>IF(E170="","",IF(ISNA(VLOOKUP($E170,'D-1 Off-Site Habitat Baseline'!$D$1:$O$258,12,FALSE)),"",(VLOOKUP($E170,'D-1 Off-Site Habitat Baseline'!$D$1:$O$258,12,FALSE))))</f>
        <v/>
      </c>
      <c r="N170" s="301" t="str">
        <f>IF(E170="","",IF(ISNA(VLOOKUP($E170,'D-1 Off-Site Habitat Baseline'!$D$1:$AA$258,17,FALSE)),"",(VLOOKUP($E170,'D-1 Off-Site Habitat Baseline'!$D$1:$AA$258,17,FALSE))))</f>
        <v/>
      </c>
      <c r="O170" s="305" t="str">
        <f>IF(E170="","",IF(ISNA(VLOOKUP($E170,'D-1 Off-Site Habitat Baseline'!$D$1:$AA$258,13,FALSE)),"",(VLOOKUP($E170,'D-1 Off-Site Habitat Baseline'!$D$1:$AA$258,13,FALSE))))</f>
        <v/>
      </c>
      <c r="P170" s="152" t="str">
        <f>IFERROR(INDEX('G-1 All Habitats'!$AG$49:$AG$63,MATCH(Q170,'G-1 All Habitats'!$AF$27:$AF$41,0)),"")</f>
        <v/>
      </c>
      <c r="Q170" s="153"/>
      <c r="R170" s="154"/>
      <c r="S170" s="155" t="str">
        <f>IFERROR(INDEX('G-1 All Habitats'!$B$3:$B$135,MATCH(R170,'G-1 All Habitats'!$A$3:$A$135,0)),"")</f>
        <v/>
      </c>
      <c r="T170" s="289" t="str">
        <f t="shared" si="22"/>
        <v/>
      </c>
      <c r="U170" s="305" t="str">
        <f t="shared" si="23"/>
        <v/>
      </c>
      <c r="V170" s="304" t="str">
        <f t="shared" si="20"/>
        <v/>
      </c>
      <c r="W170" s="301" t="str">
        <f>IF(S170="","",VLOOKUP(S170,'G-1 All Habitats'!$B$2:$M$135,10,FALSE))</f>
        <v/>
      </c>
      <c r="X170" s="301" t="str">
        <f>IFERROR(VLOOKUP(W170,'G-1 All Habitats'!$V$3:$W$7,2,FALSE),"")</f>
        <v/>
      </c>
      <c r="Y170" s="142"/>
      <c r="Z170" s="305" t="str">
        <f>IFERROR(INDEX('G-8 Condition Look up'!$A$3:$H$135,MATCH(S170,'G-8 Condition Look up'!$A$3:$A$135,0),MATCH(Y170,'G-8 Condition Look up'!$A$3:$H$3,0)),"")</f>
        <v/>
      </c>
      <c r="AA170" s="105"/>
      <c r="AB170" s="320" t="str">
        <f>IF(AA170="","",IF(VLOOKUP(AA170,'G-3 Multipliers'!$L$3:$N$6,2,FALSE)=0,"Spatial Data Missing ⚠",VLOOKUP(AA170,'G-3 Multipliers'!$L$3:$N$6,2,FALSE)))</f>
        <v/>
      </c>
      <c r="AC170" s="305" t="str">
        <f>IF(AA170="","",IF(VLOOKUP(AA170,'G-3 Multipliers'!$L$3:$N$6,3,FALSE)=0,"Spatial Data Missing ⚠",VLOOKUP(AA170,'G-3 Multipliers'!$L$3:$N$6,3,FALSE)))</f>
        <v/>
      </c>
      <c r="AD170" s="317" t="str">
        <f t="shared" si="21"/>
        <v/>
      </c>
      <c r="AE170" s="142"/>
      <c r="AF170" s="142"/>
      <c r="AG170" s="301" t="str">
        <f t="shared" si="24"/>
        <v/>
      </c>
      <c r="AH170" s="302" t="str">
        <f t="shared" si="25"/>
        <v/>
      </c>
      <c r="AI170" s="306" t="str">
        <f>IF(AH170="Check Data ⚠","Check Data ⚠",IFERROR(VLOOKUP(AH170,'G-4 Temporal multipliers'!$A$4:$C$36,3,FALSE),""))</f>
        <v/>
      </c>
      <c r="AJ170" s="317" t="str">
        <f>IF(S170="","",VLOOKUP(S170,'G-3 Multipliers'!$A$2:$E$134,4,FALSE))</f>
        <v/>
      </c>
      <c r="AK170" s="301" t="str">
        <f t="shared" si="26"/>
        <v/>
      </c>
      <c r="AL170" s="301" t="str">
        <f t="shared" si="27"/>
        <v/>
      </c>
      <c r="AM170" s="305" t="str">
        <f>IFERROR(IF(F170="","",IF(AH170="Check Data ⚠","Check Data ⚠",VLOOKUP(AL170, 'G-3 Multipliers'!$P$2:$Q$6,2,FALSE))),"")</f>
        <v/>
      </c>
      <c r="AN170" s="728"/>
      <c r="AO170" s="335" t="str">
        <f>IF(AN170="","",IF(VLOOKUP(AN170,'G-3 Multipliers'!$S$3:$T$10,2,FALSE)=0,"Spatial Data Missing ⚠",VLOOKUP(AN170,'G-3 Multipliers'!$S$3:$T$10,2,FALSE)))</f>
        <v/>
      </c>
      <c r="AP170" s="295" t="str">
        <f t="shared" si="28"/>
        <v/>
      </c>
      <c r="AQ170" s="295" t="str">
        <f t="shared" si="29"/>
        <v/>
      </c>
      <c r="AR170" s="109"/>
      <c r="AS170" s="142"/>
      <c r="AT170" s="108"/>
      <c r="AU170" s="108"/>
      <c r="AY170" s="30" t="str">
        <f>IF(E170="","",IF(ISNA(VLOOKUP($E170,'D-1 Off-Site Habitat Baseline'!$D$1:$AV$258,4,FALSE)),"",(VLOOKUP($E170,'D-1 Off-Site Habitat Baseline'!$D$1:$AV$258,4,FALSE))))</f>
        <v/>
      </c>
    </row>
    <row r="171" spans="1:51" x14ac:dyDescent="0.25">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325" t="str">
        <f>'D-1 Off-Site Habitat Baseline'!AP170</f>
        <v/>
      </c>
      <c r="F171" s="289" t="str">
        <f>IF(E171="","",IF(ISNA(VLOOKUP($E171,'D-1 Off-Site Habitat Baseline'!$D$1:$ZZ$258,45,FALSE)),"",(VLOOKUP($E171,'D-1 Off-Site Habitat Baseline'!$D$1:$ZZ$258,45,FALSE))))</f>
        <v/>
      </c>
      <c r="G171" s="301" t="str">
        <f>IF(E171="","",IF(ISNA(VLOOKUP($E171,'D-1 Off-Site Habitat Baseline'!$D$1:$O$258,5,FALSE)),"",(VLOOKUP($E171,'D-1 Off-Site Habitat Baseline'!$D$1:$O$258,5,FALSE))))</f>
        <v/>
      </c>
      <c r="H171" s="301" t="str">
        <f>IF(E171="","",IF(ISNA(VLOOKUP($E171,'D-1 Off-Site Habitat Baseline'!$D$1:$O$258,6,FALSE)),"",(VLOOKUP($E171,'D-1 Off-Site Habitat Baseline'!$D$1:$O$258,6,FALSE))))</f>
        <v/>
      </c>
      <c r="I171" s="301" t="str">
        <f>IF(E171="","",IF(ISNA(VLOOKUP($E171,'D-1 Off-Site Habitat Baseline'!$D$1:$O$258,7,FALSE)),"",(VLOOKUP($E171,'D-1 Off-Site Habitat Baseline'!$D$1:$O$258,7,FALSE))))</f>
        <v/>
      </c>
      <c r="J171" s="301" t="str">
        <f>IF(E171="","",IF(ISNA(VLOOKUP($E171,'D-1 Off-Site Habitat Baseline'!$D$1:$O$258,8,FALSE)),"",(VLOOKUP($E171,'D-1 Off-Site Habitat Baseline'!$D$1:$O$258,8,FALSE))))</f>
        <v/>
      </c>
      <c r="K171" s="301" t="str">
        <f>IF(E171="","",IF(ISNA(VLOOKUP($E171,'D-1 Off-Site Habitat Baseline'!$D$1:$O$258,9,FALSE)),"",(VLOOKUP($E171,'D-1 Off-Site Habitat Baseline'!$D$1:$O$258,9,FALSE))))</f>
        <v/>
      </c>
      <c r="L171" s="301" t="str">
        <f>IF(E171="","",IF(ISNA(VLOOKUP($E171,'D-1 Off-Site Habitat Baseline'!$D$1:$O$258,11,FALSE)),"",(VLOOKUP($E171,'D-1 Off-Site Habitat Baseline'!$D$1:$O$258,11,FALSE))))</f>
        <v/>
      </c>
      <c r="M171" s="301" t="str">
        <f>IF(E171="","",IF(ISNA(VLOOKUP($E171,'D-1 Off-Site Habitat Baseline'!$D$1:$O$258,12,FALSE)),"",(VLOOKUP($E171,'D-1 Off-Site Habitat Baseline'!$D$1:$O$258,12,FALSE))))</f>
        <v/>
      </c>
      <c r="N171" s="301" t="str">
        <f>IF(E171="","",IF(ISNA(VLOOKUP($E171,'D-1 Off-Site Habitat Baseline'!$D$1:$AA$258,17,FALSE)),"",(VLOOKUP($E171,'D-1 Off-Site Habitat Baseline'!$D$1:$AA$258,17,FALSE))))</f>
        <v/>
      </c>
      <c r="O171" s="305" t="str">
        <f>IF(E171="","",IF(ISNA(VLOOKUP($E171,'D-1 Off-Site Habitat Baseline'!$D$1:$AA$258,13,FALSE)),"",(VLOOKUP($E171,'D-1 Off-Site Habitat Baseline'!$D$1:$AA$258,13,FALSE))))</f>
        <v/>
      </c>
      <c r="P171" s="152" t="str">
        <f>IFERROR(INDEX('G-1 All Habitats'!$AG$49:$AG$63,MATCH(Q171,'G-1 All Habitats'!$AF$27:$AF$41,0)),"")</f>
        <v/>
      </c>
      <c r="Q171" s="153"/>
      <c r="R171" s="154"/>
      <c r="S171" s="155" t="str">
        <f>IFERROR(INDEX('G-1 All Habitats'!$B$3:$B$135,MATCH(R171,'G-1 All Habitats'!$A$3:$A$135,0)),"")</f>
        <v/>
      </c>
      <c r="T171" s="289" t="str">
        <f t="shared" si="22"/>
        <v/>
      </c>
      <c r="U171" s="305" t="str">
        <f t="shared" si="23"/>
        <v/>
      </c>
      <c r="V171" s="304" t="str">
        <f t="shared" si="20"/>
        <v/>
      </c>
      <c r="W171" s="301" t="str">
        <f>IF(S171="","",VLOOKUP(S171,'G-1 All Habitats'!$B$2:$M$135,10,FALSE))</f>
        <v/>
      </c>
      <c r="X171" s="301" t="str">
        <f>IFERROR(VLOOKUP(W171,'G-1 All Habitats'!$V$3:$W$7,2,FALSE),"")</f>
        <v/>
      </c>
      <c r="Y171" s="142"/>
      <c r="Z171" s="305" t="str">
        <f>IFERROR(INDEX('G-8 Condition Look up'!$A$3:$H$135,MATCH(S171,'G-8 Condition Look up'!$A$3:$A$135,0),MATCH(Y171,'G-8 Condition Look up'!$A$3:$H$3,0)),"")</f>
        <v/>
      </c>
      <c r="AA171" s="105"/>
      <c r="AB171" s="320" t="str">
        <f>IF(AA171="","",IF(VLOOKUP(AA171,'G-3 Multipliers'!$L$3:$N$6,2,FALSE)=0,"Spatial Data Missing ⚠",VLOOKUP(AA171,'G-3 Multipliers'!$L$3:$N$6,2,FALSE)))</f>
        <v/>
      </c>
      <c r="AC171" s="305" t="str">
        <f>IF(AA171="","",IF(VLOOKUP(AA171,'G-3 Multipliers'!$L$3:$N$6,3,FALSE)=0,"Spatial Data Missing ⚠",VLOOKUP(AA171,'G-3 Multipliers'!$L$3:$N$6,3,FALSE)))</f>
        <v/>
      </c>
      <c r="AD171" s="317" t="str">
        <f t="shared" si="21"/>
        <v/>
      </c>
      <c r="AE171" s="142"/>
      <c r="AF171" s="142"/>
      <c r="AG171" s="301" t="str">
        <f t="shared" si="24"/>
        <v/>
      </c>
      <c r="AH171" s="302" t="str">
        <f t="shared" si="25"/>
        <v/>
      </c>
      <c r="AI171" s="306" t="str">
        <f>IF(AH171="Check Data ⚠","Check Data ⚠",IFERROR(VLOOKUP(AH171,'G-4 Temporal multipliers'!$A$4:$C$36,3,FALSE),""))</f>
        <v/>
      </c>
      <c r="AJ171" s="317" t="str">
        <f>IF(S171="","",VLOOKUP(S171,'G-3 Multipliers'!$A$2:$E$134,4,FALSE))</f>
        <v/>
      </c>
      <c r="AK171" s="301" t="str">
        <f t="shared" si="26"/>
        <v/>
      </c>
      <c r="AL171" s="301" t="str">
        <f t="shared" si="27"/>
        <v/>
      </c>
      <c r="AM171" s="305" t="str">
        <f>IFERROR(IF(F171="","",IF(AH171="Check Data ⚠","Check Data ⚠",VLOOKUP(AL171, 'G-3 Multipliers'!$P$2:$Q$6,2,FALSE))),"")</f>
        <v/>
      </c>
      <c r="AN171" s="728"/>
      <c r="AO171" s="335" t="str">
        <f>IF(AN171="","",IF(VLOOKUP(AN171,'G-3 Multipliers'!$S$3:$T$10,2,FALSE)=0,"Spatial Data Missing ⚠",VLOOKUP(AN171,'G-3 Multipliers'!$S$3:$T$10,2,FALSE)))</f>
        <v/>
      </c>
      <c r="AP171" s="295" t="str">
        <f t="shared" si="28"/>
        <v/>
      </c>
      <c r="AQ171" s="295" t="str">
        <f t="shared" si="29"/>
        <v/>
      </c>
      <c r="AR171" s="109"/>
      <c r="AS171" s="142"/>
      <c r="AT171" s="108"/>
      <c r="AU171" s="108"/>
      <c r="AY171" s="30" t="str">
        <f>IF(E171="","",IF(ISNA(VLOOKUP($E171,'D-1 Off-Site Habitat Baseline'!$D$1:$AV$258,4,FALSE)),"",(VLOOKUP($E171,'D-1 Off-Site Habitat Baseline'!$D$1:$AV$258,4,FALSE))))</f>
        <v/>
      </c>
    </row>
    <row r="172" spans="1:51" x14ac:dyDescent="0.25">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325" t="str">
        <f>'D-1 Off-Site Habitat Baseline'!AP171</f>
        <v/>
      </c>
      <c r="F172" s="289" t="str">
        <f>IF(E172="","",IF(ISNA(VLOOKUP($E172,'D-1 Off-Site Habitat Baseline'!$D$1:$ZZ$258,45,FALSE)),"",(VLOOKUP($E172,'D-1 Off-Site Habitat Baseline'!$D$1:$ZZ$258,45,FALSE))))</f>
        <v/>
      </c>
      <c r="G172" s="301" t="str">
        <f>IF(E172="","",IF(ISNA(VLOOKUP($E172,'D-1 Off-Site Habitat Baseline'!$D$1:$O$258,5,FALSE)),"",(VLOOKUP($E172,'D-1 Off-Site Habitat Baseline'!$D$1:$O$258,5,FALSE))))</f>
        <v/>
      </c>
      <c r="H172" s="301" t="str">
        <f>IF(E172="","",IF(ISNA(VLOOKUP($E172,'D-1 Off-Site Habitat Baseline'!$D$1:$O$258,6,FALSE)),"",(VLOOKUP($E172,'D-1 Off-Site Habitat Baseline'!$D$1:$O$258,6,FALSE))))</f>
        <v/>
      </c>
      <c r="I172" s="301" t="str">
        <f>IF(E172="","",IF(ISNA(VLOOKUP($E172,'D-1 Off-Site Habitat Baseline'!$D$1:$O$258,7,FALSE)),"",(VLOOKUP($E172,'D-1 Off-Site Habitat Baseline'!$D$1:$O$258,7,FALSE))))</f>
        <v/>
      </c>
      <c r="J172" s="301" t="str">
        <f>IF(E172="","",IF(ISNA(VLOOKUP($E172,'D-1 Off-Site Habitat Baseline'!$D$1:$O$258,8,FALSE)),"",(VLOOKUP($E172,'D-1 Off-Site Habitat Baseline'!$D$1:$O$258,8,FALSE))))</f>
        <v/>
      </c>
      <c r="K172" s="301" t="str">
        <f>IF(E172="","",IF(ISNA(VLOOKUP($E172,'D-1 Off-Site Habitat Baseline'!$D$1:$O$258,9,FALSE)),"",(VLOOKUP($E172,'D-1 Off-Site Habitat Baseline'!$D$1:$O$258,9,FALSE))))</f>
        <v/>
      </c>
      <c r="L172" s="301" t="str">
        <f>IF(E172="","",IF(ISNA(VLOOKUP($E172,'D-1 Off-Site Habitat Baseline'!$D$1:$O$258,11,FALSE)),"",(VLOOKUP($E172,'D-1 Off-Site Habitat Baseline'!$D$1:$O$258,11,FALSE))))</f>
        <v/>
      </c>
      <c r="M172" s="301" t="str">
        <f>IF(E172="","",IF(ISNA(VLOOKUP($E172,'D-1 Off-Site Habitat Baseline'!$D$1:$O$258,12,FALSE)),"",(VLOOKUP($E172,'D-1 Off-Site Habitat Baseline'!$D$1:$O$258,12,FALSE))))</f>
        <v/>
      </c>
      <c r="N172" s="301" t="str">
        <f>IF(E172="","",IF(ISNA(VLOOKUP($E172,'D-1 Off-Site Habitat Baseline'!$D$1:$AA$258,17,FALSE)),"",(VLOOKUP($E172,'D-1 Off-Site Habitat Baseline'!$D$1:$AA$258,17,FALSE))))</f>
        <v/>
      </c>
      <c r="O172" s="305" t="str">
        <f>IF(E172="","",IF(ISNA(VLOOKUP($E172,'D-1 Off-Site Habitat Baseline'!$D$1:$AA$258,13,FALSE)),"",(VLOOKUP($E172,'D-1 Off-Site Habitat Baseline'!$D$1:$AA$258,13,FALSE))))</f>
        <v/>
      </c>
      <c r="P172" s="152" t="str">
        <f>IFERROR(INDEX('G-1 All Habitats'!$AG$49:$AG$63,MATCH(Q172,'G-1 All Habitats'!$AF$27:$AF$41,0)),"")</f>
        <v/>
      </c>
      <c r="Q172" s="153"/>
      <c r="R172" s="154"/>
      <c r="S172" s="155" t="str">
        <f>IFERROR(INDEX('G-1 All Habitats'!$B$3:$B$135,MATCH(R172,'G-1 All Habitats'!$A$3:$A$135,0)),"")</f>
        <v/>
      </c>
      <c r="T172" s="289" t="str">
        <f t="shared" si="22"/>
        <v/>
      </c>
      <c r="U172" s="305" t="str">
        <f t="shared" si="23"/>
        <v/>
      </c>
      <c r="V172" s="304" t="str">
        <f t="shared" si="20"/>
        <v/>
      </c>
      <c r="W172" s="301" t="str">
        <f>IF(S172="","",VLOOKUP(S172,'G-1 All Habitats'!$B$2:$M$135,10,FALSE))</f>
        <v/>
      </c>
      <c r="X172" s="301" t="str">
        <f>IFERROR(VLOOKUP(W172,'G-1 All Habitats'!$V$3:$W$7,2,FALSE),"")</f>
        <v/>
      </c>
      <c r="Y172" s="142"/>
      <c r="Z172" s="305" t="str">
        <f>IFERROR(INDEX('G-8 Condition Look up'!$A$3:$H$135,MATCH(S172,'G-8 Condition Look up'!$A$3:$A$135,0),MATCH(Y172,'G-8 Condition Look up'!$A$3:$H$3,0)),"")</f>
        <v/>
      </c>
      <c r="AA172" s="105"/>
      <c r="AB172" s="320" t="str">
        <f>IF(AA172="","",IF(VLOOKUP(AA172,'G-3 Multipliers'!$L$3:$N$6,2,FALSE)=0,"Spatial Data Missing ⚠",VLOOKUP(AA172,'G-3 Multipliers'!$L$3:$N$6,2,FALSE)))</f>
        <v/>
      </c>
      <c r="AC172" s="305" t="str">
        <f>IF(AA172="","",IF(VLOOKUP(AA172,'G-3 Multipliers'!$L$3:$N$6,3,FALSE)=0,"Spatial Data Missing ⚠",VLOOKUP(AA172,'G-3 Multipliers'!$L$3:$N$6,3,FALSE)))</f>
        <v/>
      </c>
      <c r="AD172" s="317" t="str">
        <f t="shared" si="21"/>
        <v/>
      </c>
      <c r="AE172" s="142"/>
      <c r="AF172" s="142"/>
      <c r="AG172" s="301" t="str">
        <f t="shared" si="24"/>
        <v/>
      </c>
      <c r="AH172" s="302" t="str">
        <f t="shared" si="25"/>
        <v/>
      </c>
      <c r="AI172" s="306" t="str">
        <f>IF(AH172="Check Data ⚠","Check Data ⚠",IFERROR(VLOOKUP(AH172,'G-4 Temporal multipliers'!$A$4:$C$36,3,FALSE),""))</f>
        <v/>
      </c>
      <c r="AJ172" s="317" t="str">
        <f>IF(S172="","",VLOOKUP(S172,'G-3 Multipliers'!$A$2:$E$134,4,FALSE))</f>
        <v/>
      </c>
      <c r="AK172" s="301" t="str">
        <f t="shared" si="26"/>
        <v/>
      </c>
      <c r="AL172" s="301" t="str">
        <f t="shared" si="27"/>
        <v/>
      </c>
      <c r="AM172" s="305" t="str">
        <f>IFERROR(IF(F172="","",IF(AH172="Check Data ⚠","Check Data ⚠",VLOOKUP(AL172, 'G-3 Multipliers'!$P$2:$Q$6,2,FALSE))),"")</f>
        <v/>
      </c>
      <c r="AN172" s="728"/>
      <c r="AO172" s="335" t="str">
        <f>IF(AN172="","",IF(VLOOKUP(AN172,'G-3 Multipliers'!$S$3:$T$10,2,FALSE)=0,"Spatial Data Missing ⚠",VLOOKUP(AN172,'G-3 Multipliers'!$S$3:$T$10,2,FALSE)))</f>
        <v/>
      </c>
      <c r="AP172" s="295" t="str">
        <f t="shared" si="28"/>
        <v/>
      </c>
      <c r="AQ172" s="295" t="str">
        <f t="shared" si="29"/>
        <v/>
      </c>
      <c r="AR172" s="109"/>
      <c r="AS172" s="142"/>
      <c r="AT172" s="108"/>
      <c r="AU172" s="108"/>
      <c r="AY172" s="30" t="str">
        <f>IF(E172="","",IF(ISNA(VLOOKUP($E172,'D-1 Off-Site Habitat Baseline'!$D$1:$AV$258,4,FALSE)),"",(VLOOKUP($E172,'D-1 Off-Site Habitat Baseline'!$D$1:$AV$258,4,FALSE))))</f>
        <v/>
      </c>
    </row>
    <row r="173" spans="1:51" x14ac:dyDescent="0.25">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325" t="str">
        <f>'D-1 Off-Site Habitat Baseline'!AP172</f>
        <v/>
      </c>
      <c r="F173" s="289" t="str">
        <f>IF(E173="","",IF(ISNA(VLOOKUP($E173,'D-1 Off-Site Habitat Baseline'!$D$1:$ZZ$258,45,FALSE)),"",(VLOOKUP($E173,'D-1 Off-Site Habitat Baseline'!$D$1:$ZZ$258,45,FALSE))))</f>
        <v/>
      </c>
      <c r="G173" s="301" t="str">
        <f>IF(E173="","",IF(ISNA(VLOOKUP($E173,'D-1 Off-Site Habitat Baseline'!$D$1:$O$258,5,FALSE)),"",(VLOOKUP($E173,'D-1 Off-Site Habitat Baseline'!$D$1:$O$258,5,FALSE))))</f>
        <v/>
      </c>
      <c r="H173" s="301" t="str">
        <f>IF(E173="","",IF(ISNA(VLOOKUP($E173,'D-1 Off-Site Habitat Baseline'!$D$1:$O$258,6,FALSE)),"",(VLOOKUP($E173,'D-1 Off-Site Habitat Baseline'!$D$1:$O$258,6,FALSE))))</f>
        <v/>
      </c>
      <c r="I173" s="301" t="str">
        <f>IF(E173="","",IF(ISNA(VLOOKUP($E173,'D-1 Off-Site Habitat Baseline'!$D$1:$O$258,7,FALSE)),"",(VLOOKUP($E173,'D-1 Off-Site Habitat Baseline'!$D$1:$O$258,7,FALSE))))</f>
        <v/>
      </c>
      <c r="J173" s="301" t="str">
        <f>IF(E173="","",IF(ISNA(VLOOKUP($E173,'D-1 Off-Site Habitat Baseline'!$D$1:$O$258,8,FALSE)),"",(VLOOKUP($E173,'D-1 Off-Site Habitat Baseline'!$D$1:$O$258,8,FALSE))))</f>
        <v/>
      </c>
      <c r="K173" s="301" t="str">
        <f>IF(E173="","",IF(ISNA(VLOOKUP($E173,'D-1 Off-Site Habitat Baseline'!$D$1:$O$258,9,FALSE)),"",(VLOOKUP($E173,'D-1 Off-Site Habitat Baseline'!$D$1:$O$258,9,FALSE))))</f>
        <v/>
      </c>
      <c r="L173" s="301" t="str">
        <f>IF(E173="","",IF(ISNA(VLOOKUP($E173,'D-1 Off-Site Habitat Baseline'!$D$1:$O$258,11,FALSE)),"",(VLOOKUP($E173,'D-1 Off-Site Habitat Baseline'!$D$1:$O$258,11,FALSE))))</f>
        <v/>
      </c>
      <c r="M173" s="301" t="str">
        <f>IF(E173="","",IF(ISNA(VLOOKUP($E173,'D-1 Off-Site Habitat Baseline'!$D$1:$O$258,12,FALSE)),"",(VLOOKUP($E173,'D-1 Off-Site Habitat Baseline'!$D$1:$O$258,12,FALSE))))</f>
        <v/>
      </c>
      <c r="N173" s="301" t="str">
        <f>IF(E173="","",IF(ISNA(VLOOKUP($E173,'D-1 Off-Site Habitat Baseline'!$D$1:$AA$258,17,FALSE)),"",(VLOOKUP($E173,'D-1 Off-Site Habitat Baseline'!$D$1:$AA$258,17,FALSE))))</f>
        <v/>
      </c>
      <c r="O173" s="305" t="str">
        <f>IF(E173="","",IF(ISNA(VLOOKUP($E173,'D-1 Off-Site Habitat Baseline'!$D$1:$AA$258,13,FALSE)),"",(VLOOKUP($E173,'D-1 Off-Site Habitat Baseline'!$D$1:$AA$258,13,FALSE))))</f>
        <v/>
      </c>
      <c r="P173" s="152" t="str">
        <f>IFERROR(INDEX('G-1 All Habitats'!$AG$49:$AG$63,MATCH(Q173,'G-1 All Habitats'!$AF$27:$AF$41,0)),"")</f>
        <v/>
      </c>
      <c r="Q173" s="153"/>
      <c r="R173" s="154"/>
      <c r="S173" s="155" t="str">
        <f>IFERROR(INDEX('G-1 All Habitats'!$B$3:$B$135,MATCH(R173,'G-1 All Habitats'!$A$3:$A$135,0)),"")</f>
        <v/>
      </c>
      <c r="T173" s="289" t="str">
        <f t="shared" si="22"/>
        <v/>
      </c>
      <c r="U173" s="305" t="str">
        <f t="shared" si="23"/>
        <v/>
      </c>
      <c r="V173" s="304" t="str">
        <f t="shared" si="20"/>
        <v/>
      </c>
      <c r="W173" s="301" t="str">
        <f>IF(S173="","",VLOOKUP(S173,'G-1 All Habitats'!$B$2:$M$135,10,FALSE))</f>
        <v/>
      </c>
      <c r="X173" s="301" t="str">
        <f>IFERROR(VLOOKUP(W173,'G-1 All Habitats'!$V$3:$W$7,2,FALSE),"")</f>
        <v/>
      </c>
      <c r="Y173" s="142"/>
      <c r="Z173" s="305" t="str">
        <f>IFERROR(INDEX('G-8 Condition Look up'!$A$3:$H$135,MATCH(S173,'G-8 Condition Look up'!$A$3:$A$135,0),MATCH(Y173,'G-8 Condition Look up'!$A$3:$H$3,0)),"")</f>
        <v/>
      </c>
      <c r="AA173" s="105"/>
      <c r="AB173" s="320" t="str">
        <f>IF(AA173="","",IF(VLOOKUP(AA173,'G-3 Multipliers'!$L$3:$N$6,2,FALSE)=0,"Spatial Data Missing ⚠",VLOOKUP(AA173,'G-3 Multipliers'!$L$3:$N$6,2,FALSE)))</f>
        <v/>
      </c>
      <c r="AC173" s="305" t="str">
        <f>IF(AA173="","",IF(VLOOKUP(AA173,'G-3 Multipliers'!$L$3:$N$6,3,FALSE)=0,"Spatial Data Missing ⚠",VLOOKUP(AA173,'G-3 Multipliers'!$L$3:$N$6,3,FALSE)))</f>
        <v/>
      </c>
      <c r="AD173" s="317" t="str">
        <f t="shared" si="21"/>
        <v/>
      </c>
      <c r="AE173" s="142"/>
      <c r="AF173" s="142"/>
      <c r="AG173" s="301" t="str">
        <f t="shared" si="24"/>
        <v/>
      </c>
      <c r="AH173" s="302" t="str">
        <f t="shared" si="25"/>
        <v/>
      </c>
      <c r="AI173" s="306" t="str">
        <f>IF(AH173="Check Data ⚠","Check Data ⚠",IFERROR(VLOOKUP(AH173,'G-4 Temporal multipliers'!$A$4:$C$36,3,FALSE),""))</f>
        <v/>
      </c>
      <c r="AJ173" s="317" t="str">
        <f>IF(S173="","",VLOOKUP(S173,'G-3 Multipliers'!$A$2:$E$134,4,FALSE))</f>
        <v/>
      </c>
      <c r="AK173" s="301" t="str">
        <f t="shared" si="26"/>
        <v/>
      </c>
      <c r="AL173" s="301" t="str">
        <f t="shared" si="27"/>
        <v/>
      </c>
      <c r="AM173" s="305" t="str">
        <f>IFERROR(IF(F173="","",IF(AH173="Check Data ⚠","Check Data ⚠",VLOOKUP(AL173, 'G-3 Multipliers'!$P$2:$Q$6,2,FALSE))),"")</f>
        <v/>
      </c>
      <c r="AN173" s="728"/>
      <c r="AO173" s="335" t="str">
        <f>IF(AN173="","",IF(VLOOKUP(AN173,'G-3 Multipliers'!$S$3:$T$10,2,FALSE)=0,"Spatial Data Missing ⚠",VLOOKUP(AN173,'G-3 Multipliers'!$S$3:$T$10,2,FALSE)))</f>
        <v/>
      </c>
      <c r="AP173" s="295" t="str">
        <f t="shared" si="28"/>
        <v/>
      </c>
      <c r="AQ173" s="295" t="str">
        <f t="shared" si="29"/>
        <v/>
      </c>
      <c r="AR173" s="109"/>
      <c r="AS173" s="142"/>
      <c r="AT173" s="108"/>
      <c r="AU173" s="108"/>
      <c r="AY173" s="30" t="str">
        <f>IF(E173="","",IF(ISNA(VLOOKUP($E173,'D-1 Off-Site Habitat Baseline'!$D$1:$AV$258,4,FALSE)),"",(VLOOKUP($E173,'D-1 Off-Site Habitat Baseline'!$D$1:$AV$258,4,FALSE))))</f>
        <v/>
      </c>
    </row>
    <row r="174" spans="1:51" x14ac:dyDescent="0.25">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325" t="str">
        <f>'D-1 Off-Site Habitat Baseline'!AP173</f>
        <v/>
      </c>
      <c r="F174" s="289" t="str">
        <f>IF(E174="","",IF(ISNA(VLOOKUP($E174,'D-1 Off-Site Habitat Baseline'!$D$1:$ZZ$258,45,FALSE)),"",(VLOOKUP($E174,'D-1 Off-Site Habitat Baseline'!$D$1:$ZZ$258,45,FALSE))))</f>
        <v/>
      </c>
      <c r="G174" s="301" t="str">
        <f>IF(E174="","",IF(ISNA(VLOOKUP($E174,'D-1 Off-Site Habitat Baseline'!$D$1:$O$258,5,FALSE)),"",(VLOOKUP($E174,'D-1 Off-Site Habitat Baseline'!$D$1:$O$258,5,FALSE))))</f>
        <v/>
      </c>
      <c r="H174" s="301" t="str">
        <f>IF(E174="","",IF(ISNA(VLOOKUP($E174,'D-1 Off-Site Habitat Baseline'!$D$1:$O$258,6,FALSE)),"",(VLOOKUP($E174,'D-1 Off-Site Habitat Baseline'!$D$1:$O$258,6,FALSE))))</f>
        <v/>
      </c>
      <c r="I174" s="301" t="str">
        <f>IF(E174="","",IF(ISNA(VLOOKUP($E174,'D-1 Off-Site Habitat Baseline'!$D$1:$O$258,7,FALSE)),"",(VLOOKUP($E174,'D-1 Off-Site Habitat Baseline'!$D$1:$O$258,7,FALSE))))</f>
        <v/>
      </c>
      <c r="J174" s="301" t="str">
        <f>IF(E174="","",IF(ISNA(VLOOKUP($E174,'D-1 Off-Site Habitat Baseline'!$D$1:$O$258,8,FALSE)),"",(VLOOKUP($E174,'D-1 Off-Site Habitat Baseline'!$D$1:$O$258,8,FALSE))))</f>
        <v/>
      </c>
      <c r="K174" s="301" t="str">
        <f>IF(E174="","",IF(ISNA(VLOOKUP($E174,'D-1 Off-Site Habitat Baseline'!$D$1:$O$258,9,FALSE)),"",(VLOOKUP($E174,'D-1 Off-Site Habitat Baseline'!$D$1:$O$258,9,FALSE))))</f>
        <v/>
      </c>
      <c r="L174" s="301" t="str">
        <f>IF(E174="","",IF(ISNA(VLOOKUP($E174,'D-1 Off-Site Habitat Baseline'!$D$1:$O$258,11,FALSE)),"",(VLOOKUP($E174,'D-1 Off-Site Habitat Baseline'!$D$1:$O$258,11,FALSE))))</f>
        <v/>
      </c>
      <c r="M174" s="301" t="str">
        <f>IF(E174="","",IF(ISNA(VLOOKUP($E174,'D-1 Off-Site Habitat Baseline'!$D$1:$O$258,12,FALSE)),"",(VLOOKUP($E174,'D-1 Off-Site Habitat Baseline'!$D$1:$O$258,12,FALSE))))</f>
        <v/>
      </c>
      <c r="N174" s="301" t="str">
        <f>IF(E174="","",IF(ISNA(VLOOKUP($E174,'D-1 Off-Site Habitat Baseline'!$D$1:$AA$258,17,FALSE)),"",(VLOOKUP($E174,'D-1 Off-Site Habitat Baseline'!$D$1:$AA$258,17,FALSE))))</f>
        <v/>
      </c>
      <c r="O174" s="305" t="str">
        <f>IF(E174="","",IF(ISNA(VLOOKUP($E174,'D-1 Off-Site Habitat Baseline'!$D$1:$AA$258,13,FALSE)),"",(VLOOKUP($E174,'D-1 Off-Site Habitat Baseline'!$D$1:$AA$258,13,FALSE))))</f>
        <v/>
      </c>
      <c r="P174" s="152" t="str">
        <f>IFERROR(INDEX('G-1 All Habitats'!$AG$49:$AG$63,MATCH(Q174,'G-1 All Habitats'!$AF$27:$AF$41,0)),"")</f>
        <v/>
      </c>
      <c r="Q174" s="153"/>
      <c r="R174" s="154"/>
      <c r="S174" s="155" t="str">
        <f>IFERROR(INDEX('G-1 All Habitats'!$B$3:$B$135,MATCH(R174,'G-1 All Habitats'!$A$3:$A$135,0)),"")</f>
        <v/>
      </c>
      <c r="T174" s="289" t="str">
        <f t="shared" si="22"/>
        <v/>
      </c>
      <c r="U174" s="305" t="str">
        <f t="shared" si="23"/>
        <v/>
      </c>
      <c r="V174" s="304" t="str">
        <f t="shared" si="20"/>
        <v/>
      </c>
      <c r="W174" s="301" t="str">
        <f>IF(S174="","",VLOOKUP(S174,'G-1 All Habitats'!$B$2:$M$135,10,FALSE))</f>
        <v/>
      </c>
      <c r="X174" s="301" t="str">
        <f>IFERROR(VLOOKUP(W174,'G-1 All Habitats'!$V$3:$W$7,2,FALSE),"")</f>
        <v/>
      </c>
      <c r="Y174" s="142"/>
      <c r="Z174" s="305" t="str">
        <f>IFERROR(INDEX('G-8 Condition Look up'!$A$3:$H$135,MATCH(S174,'G-8 Condition Look up'!$A$3:$A$135,0),MATCH(Y174,'G-8 Condition Look up'!$A$3:$H$3,0)),"")</f>
        <v/>
      </c>
      <c r="AA174" s="105"/>
      <c r="AB174" s="320" t="str">
        <f>IF(AA174="","",IF(VLOOKUP(AA174,'G-3 Multipliers'!$L$3:$N$6,2,FALSE)=0,"Spatial Data Missing ⚠",VLOOKUP(AA174,'G-3 Multipliers'!$L$3:$N$6,2,FALSE)))</f>
        <v/>
      </c>
      <c r="AC174" s="305" t="str">
        <f>IF(AA174="","",IF(VLOOKUP(AA174,'G-3 Multipliers'!$L$3:$N$6,3,FALSE)=0,"Spatial Data Missing ⚠",VLOOKUP(AA174,'G-3 Multipliers'!$L$3:$N$6,3,FALSE)))</f>
        <v/>
      </c>
      <c r="AD174" s="317" t="str">
        <f t="shared" si="21"/>
        <v/>
      </c>
      <c r="AE174" s="142"/>
      <c r="AF174" s="142"/>
      <c r="AG174" s="301" t="str">
        <f t="shared" si="24"/>
        <v/>
      </c>
      <c r="AH174" s="302" t="str">
        <f t="shared" si="25"/>
        <v/>
      </c>
      <c r="AI174" s="306" t="str">
        <f>IF(AH174="Check Data ⚠","Check Data ⚠",IFERROR(VLOOKUP(AH174,'G-4 Temporal multipliers'!$A$4:$C$36,3,FALSE),""))</f>
        <v/>
      </c>
      <c r="AJ174" s="317" t="str">
        <f>IF(S174="","",VLOOKUP(S174,'G-3 Multipliers'!$A$2:$E$134,4,FALSE))</f>
        <v/>
      </c>
      <c r="AK174" s="301" t="str">
        <f t="shared" si="26"/>
        <v/>
      </c>
      <c r="AL174" s="301" t="str">
        <f t="shared" si="27"/>
        <v/>
      </c>
      <c r="AM174" s="305" t="str">
        <f>IFERROR(IF(F174="","",IF(AH174="Check Data ⚠","Check Data ⚠",VLOOKUP(AL174, 'G-3 Multipliers'!$P$2:$Q$6,2,FALSE))),"")</f>
        <v/>
      </c>
      <c r="AN174" s="728"/>
      <c r="AO174" s="335" t="str">
        <f>IF(AN174="","",IF(VLOOKUP(AN174,'G-3 Multipliers'!$S$3:$T$10,2,FALSE)=0,"Spatial Data Missing ⚠",VLOOKUP(AN174,'G-3 Multipliers'!$S$3:$T$10,2,FALSE)))</f>
        <v/>
      </c>
      <c r="AP174" s="295" t="str">
        <f t="shared" si="28"/>
        <v/>
      </c>
      <c r="AQ174" s="295" t="str">
        <f t="shared" si="29"/>
        <v/>
      </c>
      <c r="AR174" s="109"/>
      <c r="AS174" s="142"/>
      <c r="AT174" s="108"/>
      <c r="AU174" s="108"/>
      <c r="AY174" s="30" t="str">
        <f>IF(E174="","",IF(ISNA(VLOOKUP($E174,'D-1 Off-Site Habitat Baseline'!$D$1:$AV$258,4,FALSE)),"",(VLOOKUP($E174,'D-1 Off-Site Habitat Baseline'!$D$1:$AV$258,4,FALSE))))</f>
        <v/>
      </c>
    </row>
    <row r="175" spans="1:51" x14ac:dyDescent="0.25">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325" t="str">
        <f>'D-1 Off-Site Habitat Baseline'!AP174</f>
        <v/>
      </c>
      <c r="F175" s="289" t="str">
        <f>IF(E175="","",IF(ISNA(VLOOKUP($E175,'D-1 Off-Site Habitat Baseline'!$D$1:$ZZ$258,45,FALSE)),"",(VLOOKUP($E175,'D-1 Off-Site Habitat Baseline'!$D$1:$ZZ$258,45,FALSE))))</f>
        <v/>
      </c>
      <c r="G175" s="301" t="str">
        <f>IF(E175="","",IF(ISNA(VLOOKUP($E175,'D-1 Off-Site Habitat Baseline'!$D$1:$O$258,5,FALSE)),"",(VLOOKUP($E175,'D-1 Off-Site Habitat Baseline'!$D$1:$O$258,5,FALSE))))</f>
        <v/>
      </c>
      <c r="H175" s="301" t="str">
        <f>IF(E175="","",IF(ISNA(VLOOKUP($E175,'D-1 Off-Site Habitat Baseline'!$D$1:$O$258,6,FALSE)),"",(VLOOKUP($E175,'D-1 Off-Site Habitat Baseline'!$D$1:$O$258,6,FALSE))))</f>
        <v/>
      </c>
      <c r="I175" s="301" t="str">
        <f>IF(E175="","",IF(ISNA(VLOOKUP($E175,'D-1 Off-Site Habitat Baseline'!$D$1:$O$258,7,FALSE)),"",(VLOOKUP($E175,'D-1 Off-Site Habitat Baseline'!$D$1:$O$258,7,FALSE))))</f>
        <v/>
      </c>
      <c r="J175" s="301" t="str">
        <f>IF(E175="","",IF(ISNA(VLOOKUP($E175,'D-1 Off-Site Habitat Baseline'!$D$1:$O$258,8,FALSE)),"",(VLOOKUP($E175,'D-1 Off-Site Habitat Baseline'!$D$1:$O$258,8,FALSE))))</f>
        <v/>
      </c>
      <c r="K175" s="301" t="str">
        <f>IF(E175="","",IF(ISNA(VLOOKUP($E175,'D-1 Off-Site Habitat Baseline'!$D$1:$O$258,9,FALSE)),"",(VLOOKUP($E175,'D-1 Off-Site Habitat Baseline'!$D$1:$O$258,9,FALSE))))</f>
        <v/>
      </c>
      <c r="L175" s="301" t="str">
        <f>IF(E175="","",IF(ISNA(VLOOKUP($E175,'D-1 Off-Site Habitat Baseline'!$D$1:$O$258,11,FALSE)),"",(VLOOKUP($E175,'D-1 Off-Site Habitat Baseline'!$D$1:$O$258,11,FALSE))))</f>
        <v/>
      </c>
      <c r="M175" s="301" t="str">
        <f>IF(E175="","",IF(ISNA(VLOOKUP($E175,'D-1 Off-Site Habitat Baseline'!$D$1:$O$258,12,FALSE)),"",(VLOOKUP($E175,'D-1 Off-Site Habitat Baseline'!$D$1:$O$258,12,FALSE))))</f>
        <v/>
      </c>
      <c r="N175" s="301" t="str">
        <f>IF(E175="","",IF(ISNA(VLOOKUP($E175,'D-1 Off-Site Habitat Baseline'!$D$1:$AA$258,17,FALSE)),"",(VLOOKUP($E175,'D-1 Off-Site Habitat Baseline'!$D$1:$AA$258,17,FALSE))))</f>
        <v/>
      </c>
      <c r="O175" s="305" t="str">
        <f>IF(E175="","",IF(ISNA(VLOOKUP($E175,'D-1 Off-Site Habitat Baseline'!$D$1:$AA$258,13,FALSE)),"",(VLOOKUP($E175,'D-1 Off-Site Habitat Baseline'!$D$1:$AA$258,13,FALSE))))</f>
        <v/>
      </c>
      <c r="P175" s="152" t="str">
        <f>IFERROR(INDEX('G-1 All Habitats'!$AG$49:$AG$63,MATCH(Q175,'G-1 All Habitats'!$AF$27:$AF$41,0)),"")</f>
        <v/>
      </c>
      <c r="Q175" s="153"/>
      <c r="R175" s="154"/>
      <c r="S175" s="155" t="str">
        <f>IFERROR(INDEX('G-1 All Habitats'!$B$3:$B$135,MATCH(R175,'G-1 All Habitats'!$A$3:$A$135,0)),"")</f>
        <v/>
      </c>
      <c r="T175" s="289" t="str">
        <f t="shared" si="22"/>
        <v/>
      </c>
      <c r="U175" s="305" t="str">
        <f t="shared" si="23"/>
        <v/>
      </c>
      <c r="V175" s="304" t="str">
        <f t="shared" si="20"/>
        <v/>
      </c>
      <c r="W175" s="301" t="str">
        <f>IF(S175="","",VLOOKUP(S175,'G-1 All Habitats'!$B$2:$M$135,10,FALSE))</f>
        <v/>
      </c>
      <c r="X175" s="301" t="str">
        <f>IFERROR(VLOOKUP(W175,'G-1 All Habitats'!$V$3:$W$7,2,FALSE),"")</f>
        <v/>
      </c>
      <c r="Y175" s="142"/>
      <c r="Z175" s="305" t="str">
        <f>IFERROR(INDEX('G-8 Condition Look up'!$A$3:$H$135,MATCH(S175,'G-8 Condition Look up'!$A$3:$A$135,0),MATCH(Y175,'G-8 Condition Look up'!$A$3:$H$3,0)),"")</f>
        <v/>
      </c>
      <c r="AA175" s="105"/>
      <c r="AB175" s="320" t="str">
        <f>IF(AA175="","",IF(VLOOKUP(AA175,'G-3 Multipliers'!$L$3:$N$6,2,FALSE)=0,"Spatial Data Missing ⚠",VLOOKUP(AA175,'G-3 Multipliers'!$L$3:$N$6,2,FALSE)))</f>
        <v/>
      </c>
      <c r="AC175" s="305" t="str">
        <f>IF(AA175="","",IF(VLOOKUP(AA175,'G-3 Multipliers'!$L$3:$N$6,3,FALSE)=0,"Spatial Data Missing ⚠",VLOOKUP(AA175,'G-3 Multipliers'!$L$3:$N$6,3,FALSE)))</f>
        <v/>
      </c>
      <c r="AD175" s="317" t="str">
        <f t="shared" si="21"/>
        <v/>
      </c>
      <c r="AE175" s="142"/>
      <c r="AF175" s="142"/>
      <c r="AG175" s="301" t="str">
        <f t="shared" si="24"/>
        <v/>
      </c>
      <c r="AH175" s="302" t="str">
        <f t="shared" si="25"/>
        <v/>
      </c>
      <c r="AI175" s="306" t="str">
        <f>IF(AH175="Check Data ⚠","Check Data ⚠",IFERROR(VLOOKUP(AH175,'G-4 Temporal multipliers'!$A$4:$C$36,3,FALSE),""))</f>
        <v/>
      </c>
      <c r="AJ175" s="317" t="str">
        <f>IF(S175="","",VLOOKUP(S175,'G-3 Multipliers'!$A$2:$E$134,4,FALSE))</f>
        <v/>
      </c>
      <c r="AK175" s="301" t="str">
        <f t="shared" si="26"/>
        <v/>
      </c>
      <c r="AL175" s="301" t="str">
        <f t="shared" si="27"/>
        <v/>
      </c>
      <c r="AM175" s="305" t="str">
        <f>IFERROR(IF(F175="","",IF(AH175="Check Data ⚠","Check Data ⚠",VLOOKUP(AL175, 'G-3 Multipliers'!$P$2:$Q$6,2,FALSE))),"")</f>
        <v/>
      </c>
      <c r="AN175" s="728"/>
      <c r="AO175" s="335" t="str">
        <f>IF(AN175="","",IF(VLOOKUP(AN175,'G-3 Multipliers'!$S$3:$T$10,2,FALSE)=0,"Spatial Data Missing ⚠",VLOOKUP(AN175,'G-3 Multipliers'!$S$3:$T$10,2,FALSE)))</f>
        <v/>
      </c>
      <c r="AP175" s="295" t="str">
        <f t="shared" si="28"/>
        <v/>
      </c>
      <c r="AQ175" s="295" t="str">
        <f t="shared" si="29"/>
        <v/>
      </c>
      <c r="AR175" s="109"/>
      <c r="AS175" s="142"/>
      <c r="AT175" s="108"/>
      <c r="AU175" s="108"/>
      <c r="AY175" s="30" t="str">
        <f>IF(E175="","",IF(ISNA(VLOOKUP($E175,'D-1 Off-Site Habitat Baseline'!$D$1:$AV$258,4,FALSE)),"",(VLOOKUP($E175,'D-1 Off-Site Habitat Baseline'!$D$1:$AV$258,4,FALSE))))</f>
        <v/>
      </c>
    </row>
    <row r="176" spans="1:51" x14ac:dyDescent="0.25">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325" t="str">
        <f>'D-1 Off-Site Habitat Baseline'!AP175</f>
        <v/>
      </c>
      <c r="F176" s="289" t="str">
        <f>IF(E176="","",IF(ISNA(VLOOKUP($E176,'D-1 Off-Site Habitat Baseline'!$D$1:$ZZ$258,45,FALSE)),"",(VLOOKUP($E176,'D-1 Off-Site Habitat Baseline'!$D$1:$ZZ$258,45,FALSE))))</f>
        <v/>
      </c>
      <c r="G176" s="301" t="str">
        <f>IF(E176="","",IF(ISNA(VLOOKUP($E176,'D-1 Off-Site Habitat Baseline'!$D$1:$O$258,5,FALSE)),"",(VLOOKUP($E176,'D-1 Off-Site Habitat Baseline'!$D$1:$O$258,5,FALSE))))</f>
        <v/>
      </c>
      <c r="H176" s="301" t="str">
        <f>IF(E176="","",IF(ISNA(VLOOKUP($E176,'D-1 Off-Site Habitat Baseline'!$D$1:$O$258,6,FALSE)),"",(VLOOKUP($E176,'D-1 Off-Site Habitat Baseline'!$D$1:$O$258,6,FALSE))))</f>
        <v/>
      </c>
      <c r="I176" s="301" t="str">
        <f>IF(E176="","",IF(ISNA(VLOOKUP($E176,'D-1 Off-Site Habitat Baseline'!$D$1:$O$258,7,FALSE)),"",(VLOOKUP($E176,'D-1 Off-Site Habitat Baseline'!$D$1:$O$258,7,FALSE))))</f>
        <v/>
      </c>
      <c r="J176" s="301" t="str">
        <f>IF(E176="","",IF(ISNA(VLOOKUP($E176,'D-1 Off-Site Habitat Baseline'!$D$1:$O$258,8,FALSE)),"",(VLOOKUP($E176,'D-1 Off-Site Habitat Baseline'!$D$1:$O$258,8,FALSE))))</f>
        <v/>
      </c>
      <c r="K176" s="301" t="str">
        <f>IF(E176="","",IF(ISNA(VLOOKUP($E176,'D-1 Off-Site Habitat Baseline'!$D$1:$O$258,9,FALSE)),"",(VLOOKUP($E176,'D-1 Off-Site Habitat Baseline'!$D$1:$O$258,9,FALSE))))</f>
        <v/>
      </c>
      <c r="L176" s="301" t="str">
        <f>IF(E176="","",IF(ISNA(VLOOKUP($E176,'D-1 Off-Site Habitat Baseline'!$D$1:$O$258,11,FALSE)),"",(VLOOKUP($E176,'D-1 Off-Site Habitat Baseline'!$D$1:$O$258,11,FALSE))))</f>
        <v/>
      </c>
      <c r="M176" s="301" t="str">
        <f>IF(E176="","",IF(ISNA(VLOOKUP($E176,'D-1 Off-Site Habitat Baseline'!$D$1:$O$258,12,FALSE)),"",(VLOOKUP($E176,'D-1 Off-Site Habitat Baseline'!$D$1:$O$258,12,FALSE))))</f>
        <v/>
      </c>
      <c r="N176" s="301" t="str">
        <f>IF(E176="","",IF(ISNA(VLOOKUP($E176,'D-1 Off-Site Habitat Baseline'!$D$1:$AA$258,17,FALSE)),"",(VLOOKUP($E176,'D-1 Off-Site Habitat Baseline'!$D$1:$AA$258,17,FALSE))))</f>
        <v/>
      </c>
      <c r="O176" s="305" t="str">
        <f>IF(E176="","",IF(ISNA(VLOOKUP($E176,'D-1 Off-Site Habitat Baseline'!$D$1:$AA$258,13,FALSE)),"",(VLOOKUP($E176,'D-1 Off-Site Habitat Baseline'!$D$1:$AA$258,13,FALSE))))</f>
        <v/>
      </c>
      <c r="P176" s="152" t="str">
        <f>IFERROR(INDEX('G-1 All Habitats'!$AG$49:$AG$63,MATCH(Q176,'G-1 All Habitats'!$AF$27:$AF$41,0)),"")</f>
        <v/>
      </c>
      <c r="Q176" s="153"/>
      <c r="R176" s="154"/>
      <c r="S176" s="155" t="str">
        <f>IFERROR(INDEX('G-1 All Habitats'!$B$3:$B$135,MATCH(R176,'G-1 All Habitats'!$A$3:$A$135,0)),"")</f>
        <v/>
      </c>
      <c r="T176" s="289" t="str">
        <f t="shared" si="22"/>
        <v/>
      </c>
      <c r="U176" s="305" t="str">
        <f t="shared" si="23"/>
        <v/>
      </c>
      <c r="V176" s="304" t="str">
        <f t="shared" si="20"/>
        <v/>
      </c>
      <c r="W176" s="301" t="str">
        <f>IF(S176="","",VLOOKUP(S176,'G-1 All Habitats'!$B$2:$M$135,10,FALSE))</f>
        <v/>
      </c>
      <c r="X176" s="301" t="str">
        <f>IFERROR(VLOOKUP(W176,'G-1 All Habitats'!$V$3:$W$7,2,FALSE),"")</f>
        <v/>
      </c>
      <c r="Y176" s="142"/>
      <c r="Z176" s="305" t="str">
        <f>IFERROR(INDEX('G-8 Condition Look up'!$A$3:$H$135,MATCH(S176,'G-8 Condition Look up'!$A$3:$A$135,0),MATCH(Y176,'G-8 Condition Look up'!$A$3:$H$3,0)),"")</f>
        <v/>
      </c>
      <c r="AA176" s="105"/>
      <c r="AB176" s="320" t="str">
        <f>IF(AA176="","",IF(VLOOKUP(AA176,'G-3 Multipliers'!$L$3:$N$6,2,FALSE)=0,"Spatial Data Missing ⚠",VLOOKUP(AA176,'G-3 Multipliers'!$L$3:$N$6,2,FALSE)))</f>
        <v/>
      </c>
      <c r="AC176" s="305" t="str">
        <f>IF(AA176="","",IF(VLOOKUP(AA176,'G-3 Multipliers'!$L$3:$N$6,3,FALSE)=0,"Spatial Data Missing ⚠",VLOOKUP(AA176,'G-3 Multipliers'!$L$3:$N$6,3,FALSE)))</f>
        <v/>
      </c>
      <c r="AD176" s="317" t="str">
        <f t="shared" si="21"/>
        <v/>
      </c>
      <c r="AE176" s="142"/>
      <c r="AF176" s="142"/>
      <c r="AG176" s="301" t="str">
        <f t="shared" si="24"/>
        <v/>
      </c>
      <c r="AH176" s="302" t="str">
        <f t="shared" si="25"/>
        <v/>
      </c>
      <c r="AI176" s="306" t="str">
        <f>IF(AH176="Check Data ⚠","Check Data ⚠",IFERROR(VLOOKUP(AH176,'G-4 Temporal multipliers'!$A$4:$C$36,3,FALSE),""))</f>
        <v/>
      </c>
      <c r="AJ176" s="317" t="str">
        <f>IF(S176="","",VLOOKUP(S176,'G-3 Multipliers'!$A$2:$E$134,4,FALSE))</f>
        <v/>
      </c>
      <c r="AK176" s="301" t="str">
        <f t="shared" si="26"/>
        <v/>
      </c>
      <c r="AL176" s="301" t="str">
        <f t="shared" si="27"/>
        <v/>
      </c>
      <c r="AM176" s="305" t="str">
        <f>IFERROR(IF(F176="","",IF(AH176="Check Data ⚠","Check Data ⚠",VLOOKUP(AL176, 'G-3 Multipliers'!$P$2:$Q$6,2,FALSE))),"")</f>
        <v/>
      </c>
      <c r="AN176" s="728"/>
      <c r="AO176" s="335" t="str">
        <f>IF(AN176="","",IF(VLOOKUP(AN176,'G-3 Multipliers'!$S$3:$T$10,2,FALSE)=0,"Spatial Data Missing ⚠",VLOOKUP(AN176,'G-3 Multipliers'!$S$3:$T$10,2,FALSE)))</f>
        <v/>
      </c>
      <c r="AP176" s="295" t="str">
        <f t="shared" si="28"/>
        <v/>
      </c>
      <c r="AQ176" s="295" t="str">
        <f t="shared" si="29"/>
        <v/>
      </c>
      <c r="AR176" s="109"/>
      <c r="AS176" s="142"/>
      <c r="AT176" s="108"/>
      <c r="AU176" s="108"/>
      <c r="AY176" s="30" t="str">
        <f>IF(E176="","",IF(ISNA(VLOOKUP($E176,'D-1 Off-Site Habitat Baseline'!$D$1:$AV$258,4,FALSE)),"",(VLOOKUP($E176,'D-1 Off-Site Habitat Baseline'!$D$1:$AV$258,4,FALSE))))</f>
        <v/>
      </c>
    </row>
    <row r="177" spans="1:51" x14ac:dyDescent="0.25">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325" t="str">
        <f>'D-1 Off-Site Habitat Baseline'!AP176</f>
        <v/>
      </c>
      <c r="F177" s="289" t="str">
        <f>IF(E177="","",IF(ISNA(VLOOKUP($E177,'D-1 Off-Site Habitat Baseline'!$D$1:$ZZ$258,45,FALSE)),"",(VLOOKUP($E177,'D-1 Off-Site Habitat Baseline'!$D$1:$ZZ$258,45,FALSE))))</f>
        <v/>
      </c>
      <c r="G177" s="301" t="str">
        <f>IF(E177="","",IF(ISNA(VLOOKUP($E177,'D-1 Off-Site Habitat Baseline'!$D$1:$O$258,5,FALSE)),"",(VLOOKUP($E177,'D-1 Off-Site Habitat Baseline'!$D$1:$O$258,5,FALSE))))</f>
        <v/>
      </c>
      <c r="H177" s="301" t="str">
        <f>IF(E177="","",IF(ISNA(VLOOKUP($E177,'D-1 Off-Site Habitat Baseline'!$D$1:$O$258,6,FALSE)),"",(VLOOKUP($E177,'D-1 Off-Site Habitat Baseline'!$D$1:$O$258,6,FALSE))))</f>
        <v/>
      </c>
      <c r="I177" s="301" t="str">
        <f>IF(E177="","",IF(ISNA(VLOOKUP($E177,'D-1 Off-Site Habitat Baseline'!$D$1:$O$258,7,FALSE)),"",(VLOOKUP($E177,'D-1 Off-Site Habitat Baseline'!$D$1:$O$258,7,FALSE))))</f>
        <v/>
      </c>
      <c r="J177" s="301" t="str">
        <f>IF(E177="","",IF(ISNA(VLOOKUP($E177,'D-1 Off-Site Habitat Baseline'!$D$1:$O$258,8,FALSE)),"",(VLOOKUP($E177,'D-1 Off-Site Habitat Baseline'!$D$1:$O$258,8,FALSE))))</f>
        <v/>
      </c>
      <c r="K177" s="301" t="str">
        <f>IF(E177="","",IF(ISNA(VLOOKUP($E177,'D-1 Off-Site Habitat Baseline'!$D$1:$O$258,9,FALSE)),"",(VLOOKUP($E177,'D-1 Off-Site Habitat Baseline'!$D$1:$O$258,9,FALSE))))</f>
        <v/>
      </c>
      <c r="L177" s="301" t="str">
        <f>IF(E177="","",IF(ISNA(VLOOKUP($E177,'D-1 Off-Site Habitat Baseline'!$D$1:$O$258,11,FALSE)),"",(VLOOKUP($E177,'D-1 Off-Site Habitat Baseline'!$D$1:$O$258,11,FALSE))))</f>
        <v/>
      </c>
      <c r="M177" s="301" t="str">
        <f>IF(E177="","",IF(ISNA(VLOOKUP($E177,'D-1 Off-Site Habitat Baseline'!$D$1:$O$258,12,FALSE)),"",(VLOOKUP($E177,'D-1 Off-Site Habitat Baseline'!$D$1:$O$258,12,FALSE))))</f>
        <v/>
      </c>
      <c r="N177" s="301" t="str">
        <f>IF(E177="","",IF(ISNA(VLOOKUP($E177,'D-1 Off-Site Habitat Baseline'!$D$1:$AA$258,17,FALSE)),"",(VLOOKUP($E177,'D-1 Off-Site Habitat Baseline'!$D$1:$AA$258,17,FALSE))))</f>
        <v/>
      </c>
      <c r="O177" s="305" t="str">
        <f>IF(E177="","",IF(ISNA(VLOOKUP($E177,'D-1 Off-Site Habitat Baseline'!$D$1:$AA$258,13,FALSE)),"",(VLOOKUP($E177,'D-1 Off-Site Habitat Baseline'!$D$1:$AA$258,13,FALSE))))</f>
        <v/>
      </c>
      <c r="P177" s="152" t="str">
        <f>IFERROR(INDEX('G-1 All Habitats'!$AG$49:$AG$63,MATCH(Q177,'G-1 All Habitats'!$AF$27:$AF$41,0)),"")</f>
        <v/>
      </c>
      <c r="Q177" s="153"/>
      <c r="R177" s="154"/>
      <c r="S177" s="155" t="str">
        <f>IFERROR(INDEX('G-1 All Habitats'!$B$3:$B$135,MATCH(R177,'G-1 All Habitats'!$A$3:$A$135,0)),"")</f>
        <v/>
      </c>
      <c r="T177" s="289" t="str">
        <f t="shared" si="22"/>
        <v/>
      </c>
      <c r="U177" s="305" t="str">
        <f t="shared" si="23"/>
        <v/>
      </c>
      <c r="V177" s="304" t="str">
        <f t="shared" si="20"/>
        <v/>
      </c>
      <c r="W177" s="301" t="str">
        <f>IF(S177="","",VLOOKUP(S177,'G-1 All Habitats'!$B$2:$M$135,10,FALSE))</f>
        <v/>
      </c>
      <c r="X177" s="301" t="str">
        <f>IFERROR(VLOOKUP(W177,'G-1 All Habitats'!$V$3:$W$7,2,FALSE),"")</f>
        <v/>
      </c>
      <c r="Y177" s="142"/>
      <c r="Z177" s="305" t="str">
        <f>IFERROR(INDEX('G-8 Condition Look up'!$A$3:$H$135,MATCH(S177,'G-8 Condition Look up'!$A$3:$A$135,0),MATCH(Y177,'G-8 Condition Look up'!$A$3:$H$3,0)),"")</f>
        <v/>
      </c>
      <c r="AA177" s="105"/>
      <c r="AB177" s="320" t="str">
        <f>IF(AA177="","",IF(VLOOKUP(AA177,'G-3 Multipliers'!$L$3:$N$6,2,FALSE)=0,"Spatial Data Missing ⚠",VLOOKUP(AA177,'G-3 Multipliers'!$L$3:$N$6,2,FALSE)))</f>
        <v/>
      </c>
      <c r="AC177" s="305" t="str">
        <f>IF(AA177="","",IF(VLOOKUP(AA177,'G-3 Multipliers'!$L$3:$N$6,3,FALSE)=0,"Spatial Data Missing ⚠",VLOOKUP(AA177,'G-3 Multipliers'!$L$3:$N$6,3,FALSE)))</f>
        <v/>
      </c>
      <c r="AD177" s="317" t="str">
        <f t="shared" si="21"/>
        <v/>
      </c>
      <c r="AE177" s="142"/>
      <c r="AF177" s="142"/>
      <c r="AG177" s="301" t="str">
        <f t="shared" si="24"/>
        <v/>
      </c>
      <c r="AH177" s="302" t="str">
        <f t="shared" si="25"/>
        <v/>
      </c>
      <c r="AI177" s="306" t="str">
        <f>IF(AH177="Check Data ⚠","Check Data ⚠",IFERROR(VLOOKUP(AH177,'G-4 Temporal multipliers'!$A$4:$C$36,3,FALSE),""))</f>
        <v/>
      </c>
      <c r="AJ177" s="317" t="str">
        <f>IF(S177="","",VLOOKUP(S177,'G-3 Multipliers'!$A$2:$E$134,4,FALSE))</f>
        <v/>
      </c>
      <c r="AK177" s="301" t="str">
        <f t="shared" si="26"/>
        <v/>
      </c>
      <c r="AL177" s="301" t="str">
        <f t="shared" si="27"/>
        <v/>
      </c>
      <c r="AM177" s="305" t="str">
        <f>IFERROR(IF(F177="","",IF(AH177="Check Data ⚠","Check Data ⚠",VLOOKUP(AL177, 'G-3 Multipliers'!$P$2:$Q$6,2,FALSE))),"")</f>
        <v/>
      </c>
      <c r="AN177" s="728"/>
      <c r="AO177" s="335" t="str">
        <f>IF(AN177="","",IF(VLOOKUP(AN177,'G-3 Multipliers'!$S$3:$T$10,2,FALSE)=0,"Spatial Data Missing ⚠",VLOOKUP(AN177,'G-3 Multipliers'!$S$3:$T$10,2,FALSE)))</f>
        <v/>
      </c>
      <c r="AP177" s="295" t="str">
        <f t="shared" si="28"/>
        <v/>
      </c>
      <c r="AQ177" s="295" t="str">
        <f t="shared" si="29"/>
        <v/>
      </c>
      <c r="AR177" s="109"/>
      <c r="AS177" s="142"/>
      <c r="AT177" s="108"/>
      <c r="AU177" s="108"/>
      <c r="AY177" s="30" t="str">
        <f>IF(E177="","",IF(ISNA(VLOOKUP($E177,'D-1 Off-Site Habitat Baseline'!$D$1:$AV$258,4,FALSE)),"",(VLOOKUP($E177,'D-1 Off-Site Habitat Baseline'!$D$1:$AV$258,4,FALSE))))</f>
        <v/>
      </c>
    </row>
    <row r="178" spans="1:51" x14ac:dyDescent="0.25">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325" t="str">
        <f>'D-1 Off-Site Habitat Baseline'!AP177</f>
        <v/>
      </c>
      <c r="F178" s="289" t="str">
        <f>IF(E178="","",IF(ISNA(VLOOKUP($E178,'D-1 Off-Site Habitat Baseline'!$D$1:$ZZ$258,45,FALSE)),"",(VLOOKUP($E178,'D-1 Off-Site Habitat Baseline'!$D$1:$ZZ$258,45,FALSE))))</f>
        <v/>
      </c>
      <c r="G178" s="301" t="str">
        <f>IF(E178="","",IF(ISNA(VLOOKUP($E178,'D-1 Off-Site Habitat Baseline'!$D$1:$O$258,5,FALSE)),"",(VLOOKUP($E178,'D-1 Off-Site Habitat Baseline'!$D$1:$O$258,5,FALSE))))</f>
        <v/>
      </c>
      <c r="H178" s="301" t="str">
        <f>IF(E178="","",IF(ISNA(VLOOKUP($E178,'D-1 Off-Site Habitat Baseline'!$D$1:$O$258,6,FALSE)),"",(VLOOKUP($E178,'D-1 Off-Site Habitat Baseline'!$D$1:$O$258,6,FALSE))))</f>
        <v/>
      </c>
      <c r="I178" s="301" t="str">
        <f>IF(E178="","",IF(ISNA(VLOOKUP($E178,'D-1 Off-Site Habitat Baseline'!$D$1:$O$258,7,FALSE)),"",(VLOOKUP($E178,'D-1 Off-Site Habitat Baseline'!$D$1:$O$258,7,FALSE))))</f>
        <v/>
      </c>
      <c r="J178" s="301" t="str">
        <f>IF(E178="","",IF(ISNA(VLOOKUP($E178,'D-1 Off-Site Habitat Baseline'!$D$1:$O$258,8,FALSE)),"",(VLOOKUP($E178,'D-1 Off-Site Habitat Baseline'!$D$1:$O$258,8,FALSE))))</f>
        <v/>
      </c>
      <c r="K178" s="301" t="str">
        <f>IF(E178="","",IF(ISNA(VLOOKUP($E178,'D-1 Off-Site Habitat Baseline'!$D$1:$O$258,9,FALSE)),"",(VLOOKUP($E178,'D-1 Off-Site Habitat Baseline'!$D$1:$O$258,9,FALSE))))</f>
        <v/>
      </c>
      <c r="L178" s="301" t="str">
        <f>IF(E178="","",IF(ISNA(VLOOKUP($E178,'D-1 Off-Site Habitat Baseline'!$D$1:$O$258,11,FALSE)),"",(VLOOKUP($E178,'D-1 Off-Site Habitat Baseline'!$D$1:$O$258,11,FALSE))))</f>
        <v/>
      </c>
      <c r="M178" s="301" t="str">
        <f>IF(E178="","",IF(ISNA(VLOOKUP($E178,'D-1 Off-Site Habitat Baseline'!$D$1:$O$258,12,FALSE)),"",(VLOOKUP($E178,'D-1 Off-Site Habitat Baseline'!$D$1:$O$258,12,FALSE))))</f>
        <v/>
      </c>
      <c r="N178" s="301" t="str">
        <f>IF(E178="","",IF(ISNA(VLOOKUP($E178,'D-1 Off-Site Habitat Baseline'!$D$1:$AA$258,17,FALSE)),"",(VLOOKUP($E178,'D-1 Off-Site Habitat Baseline'!$D$1:$AA$258,17,FALSE))))</f>
        <v/>
      </c>
      <c r="O178" s="305" t="str">
        <f>IF(E178="","",IF(ISNA(VLOOKUP($E178,'D-1 Off-Site Habitat Baseline'!$D$1:$AA$258,13,FALSE)),"",(VLOOKUP($E178,'D-1 Off-Site Habitat Baseline'!$D$1:$AA$258,13,FALSE))))</f>
        <v/>
      </c>
      <c r="P178" s="152" t="str">
        <f>IFERROR(INDEX('G-1 All Habitats'!$AG$49:$AG$63,MATCH(Q178,'G-1 All Habitats'!$AF$27:$AF$41,0)),"")</f>
        <v/>
      </c>
      <c r="Q178" s="153"/>
      <c r="R178" s="154"/>
      <c r="S178" s="155" t="str">
        <f>IFERROR(INDEX('G-1 All Habitats'!$B$3:$B$135,MATCH(R178,'G-1 All Habitats'!$A$3:$A$135,0)),"")</f>
        <v/>
      </c>
      <c r="T178" s="289" t="str">
        <f t="shared" si="22"/>
        <v/>
      </c>
      <c r="U178" s="305" t="str">
        <f t="shared" si="23"/>
        <v/>
      </c>
      <c r="V178" s="304" t="str">
        <f t="shared" si="20"/>
        <v/>
      </c>
      <c r="W178" s="301" t="str">
        <f>IF(S178="","",VLOOKUP(S178,'G-1 All Habitats'!$B$2:$M$135,10,FALSE))</f>
        <v/>
      </c>
      <c r="X178" s="301" t="str">
        <f>IFERROR(VLOOKUP(W178,'G-1 All Habitats'!$V$3:$W$7,2,FALSE),"")</f>
        <v/>
      </c>
      <c r="Y178" s="142"/>
      <c r="Z178" s="305" t="str">
        <f>IFERROR(INDEX('G-8 Condition Look up'!$A$3:$H$135,MATCH(S178,'G-8 Condition Look up'!$A$3:$A$135,0),MATCH(Y178,'G-8 Condition Look up'!$A$3:$H$3,0)),"")</f>
        <v/>
      </c>
      <c r="AA178" s="105"/>
      <c r="AB178" s="320" t="str">
        <f>IF(AA178="","",IF(VLOOKUP(AA178,'G-3 Multipliers'!$L$3:$N$6,2,FALSE)=0,"Spatial Data Missing ⚠",VLOOKUP(AA178,'G-3 Multipliers'!$L$3:$N$6,2,FALSE)))</f>
        <v/>
      </c>
      <c r="AC178" s="305" t="str">
        <f>IF(AA178="","",IF(VLOOKUP(AA178,'G-3 Multipliers'!$L$3:$N$6,3,FALSE)=0,"Spatial Data Missing ⚠",VLOOKUP(AA178,'G-3 Multipliers'!$L$3:$N$6,3,FALSE)))</f>
        <v/>
      </c>
      <c r="AD178" s="317" t="str">
        <f t="shared" si="21"/>
        <v/>
      </c>
      <c r="AE178" s="142"/>
      <c r="AF178" s="142"/>
      <c r="AG178" s="301" t="str">
        <f t="shared" si="24"/>
        <v/>
      </c>
      <c r="AH178" s="302" t="str">
        <f t="shared" si="25"/>
        <v/>
      </c>
      <c r="AI178" s="306" t="str">
        <f>IF(AH178="Check Data ⚠","Check Data ⚠",IFERROR(VLOOKUP(AH178,'G-4 Temporal multipliers'!$A$4:$C$36,3,FALSE),""))</f>
        <v/>
      </c>
      <c r="AJ178" s="317" t="str">
        <f>IF(S178="","",VLOOKUP(S178,'G-3 Multipliers'!$A$2:$E$134,4,FALSE))</f>
        <v/>
      </c>
      <c r="AK178" s="301" t="str">
        <f t="shared" si="26"/>
        <v/>
      </c>
      <c r="AL178" s="301" t="str">
        <f t="shared" si="27"/>
        <v/>
      </c>
      <c r="AM178" s="305" t="str">
        <f>IFERROR(IF(F178="","",IF(AH178="Check Data ⚠","Check Data ⚠",VLOOKUP(AL178, 'G-3 Multipliers'!$P$2:$Q$6,2,FALSE))),"")</f>
        <v/>
      </c>
      <c r="AN178" s="728"/>
      <c r="AO178" s="335" t="str">
        <f>IF(AN178="","",IF(VLOOKUP(AN178,'G-3 Multipliers'!$S$3:$T$10,2,FALSE)=0,"Spatial Data Missing ⚠",VLOOKUP(AN178,'G-3 Multipliers'!$S$3:$T$10,2,FALSE)))</f>
        <v/>
      </c>
      <c r="AP178" s="295" t="str">
        <f t="shared" si="28"/>
        <v/>
      </c>
      <c r="AQ178" s="295" t="str">
        <f t="shared" si="29"/>
        <v/>
      </c>
      <c r="AR178" s="109"/>
      <c r="AS178" s="142"/>
      <c r="AT178" s="108"/>
      <c r="AU178" s="108"/>
      <c r="AY178" s="30" t="str">
        <f>IF(E178="","",IF(ISNA(VLOOKUP($E178,'D-1 Off-Site Habitat Baseline'!$D$1:$AV$258,4,FALSE)),"",(VLOOKUP($E178,'D-1 Off-Site Habitat Baseline'!$D$1:$AV$258,4,FALSE))))</f>
        <v/>
      </c>
    </row>
    <row r="179" spans="1:51" x14ac:dyDescent="0.25">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325" t="str">
        <f>'D-1 Off-Site Habitat Baseline'!AP178</f>
        <v/>
      </c>
      <c r="F179" s="289" t="str">
        <f>IF(E179="","",IF(ISNA(VLOOKUP($E179,'D-1 Off-Site Habitat Baseline'!$D$1:$ZZ$258,45,FALSE)),"",(VLOOKUP($E179,'D-1 Off-Site Habitat Baseline'!$D$1:$ZZ$258,45,FALSE))))</f>
        <v/>
      </c>
      <c r="G179" s="301" t="str">
        <f>IF(E179="","",IF(ISNA(VLOOKUP($E179,'D-1 Off-Site Habitat Baseline'!$D$1:$O$258,5,FALSE)),"",(VLOOKUP($E179,'D-1 Off-Site Habitat Baseline'!$D$1:$O$258,5,FALSE))))</f>
        <v/>
      </c>
      <c r="H179" s="301" t="str">
        <f>IF(E179="","",IF(ISNA(VLOOKUP($E179,'D-1 Off-Site Habitat Baseline'!$D$1:$O$258,6,FALSE)),"",(VLOOKUP($E179,'D-1 Off-Site Habitat Baseline'!$D$1:$O$258,6,FALSE))))</f>
        <v/>
      </c>
      <c r="I179" s="301" t="str">
        <f>IF(E179="","",IF(ISNA(VLOOKUP($E179,'D-1 Off-Site Habitat Baseline'!$D$1:$O$258,7,FALSE)),"",(VLOOKUP($E179,'D-1 Off-Site Habitat Baseline'!$D$1:$O$258,7,FALSE))))</f>
        <v/>
      </c>
      <c r="J179" s="301" t="str">
        <f>IF(E179="","",IF(ISNA(VLOOKUP($E179,'D-1 Off-Site Habitat Baseline'!$D$1:$O$258,8,FALSE)),"",(VLOOKUP($E179,'D-1 Off-Site Habitat Baseline'!$D$1:$O$258,8,FALSE))))</f>
        <v/>
      </c>
      <c r="K179" s="301" t="str">
        <f>IF(E179="","",IF(ISNA(VLOOKUP($E179,'D-1 Off-Site Habitat Baseline'!$D$1:$O$258,9,FALSE)),"",(VLOOKUP($E179,'D-1 Off-Site Habitat Baseline'!$D$1:$O$258,9,FALSE))))</f>
        <v/>
      </c>
      <c r="L179" s="301" t="str">
        <f>IF(E179="","",IF(ISNA(VLOOKUP($E179,'D-1 Off-Site Habitat Baseline'!$D$1:$O$258,11,FALSE)),"",(VLOOKUP($E179,'D-1 Off-Site Habitat Baseline'!$D$1:$O$258,11,FALSE))))</f>
        <v/>
      </c>
      <c r="M179" s="301" t="str">
        <f>IF(E179="","",IF(ISNA(VLOOKUP($E179,'D-1 Off-Site Habitat Baseline'!$D$1:$O$258,12,FALSE)),"",(VLOOKUP($E179,'D-1 Off-Site Habitat Baseline'!$D$1:$O$258,12,FALSE))))</f>
        <v/>
      </c>
      <c r="N179" s="301" t="str">
        <f>IF(E179="","",IF(ISNA(VLOOKUP($E179,'D-1 Off-Site Habitat Baseline'!$D$1:$AA$258,17,FALSE)),"",(VLOOKUP($E179,'D-1 Off-Site Habitat Baseline'!$D$1:$AA$258,17,FALSE))))</f>
        <v/>
      </c>
      <c r="O179" s="305" t="str">
        <f>IF(E179="","",IF(ISNA(VLOOKUP($E179,'D-1 Off-Site Habitat Baseline'!$D$1:$AA$258,13,FALSE)),"",(VLOOKUP($E179,'D-1 Off-Site Habitat Baseline'!$D$1:$AA$258,13,FALSE))))</f>
        <v/>
      </c>
      <c r="P179" s="152" t="str">
        <f>IFERROR(INDEX('G-1 All Habitats'!$AG$49:$AG$63,MATCH(Q179,'G-1 All Habitats'!$AF$27:$AF$41,0)),"")</f>
        <v/>
      </c>
      <c r="Q179" s="153"/>
      <c r="R179" s="154"/>
      <c r="S179" s="155" t="str">
        <f>IFERROR(INDEX('G-1 All Habitats'!$B$3:$B$135,MATCH(R179,'G-1 All Habitats'!$A$3:$A$135,0)),"")</f>
        <v/>
      </c>
      <c r="T179" s="289" t="str">
        <f t="shared" si="22"/>
        <v/>
      </c>
      <c r="U179" s="305" t="str">
        <f t="shared" si="23"/>
        <v/>
      </c>
      <c r="V179" s="304" t="str">
        <f t="shared" si="20"/>
        <v/>
      </c>
      <c r="W179" s="301" t="str">
        <f>IF(S179="","",VLOOKUP(S179,'G-1 All Habitats'!$B$2:$M$135,10,FALSE))</f>
        <v/>
      </c>
      <c r="X179" s="301" t="str">
        <f>IFERROR(VLOOKUP(W179,'G-1 All Habitats'!$V$3:$W$7,2,FALSE),"")</f>
        <v/>
      </c>
      <c r="Y179" s="142"/>
      <c r="Z179" s="305" t="str">
        <f>IFERROR(INDEX('G-8 Condition Look up'!$A$3:$H$135,MATCH(S179,'G-8 Condition Look up'!$A$3:$A$135,0),MATCH(Y179,'G-8 Condition Look up'!$A$3:$H$3,0)),"")</f>
        <v/>
      </c>
      <c r="AA179" s="105"/>
      <c r="AB179" s="320" t="str">
        <f>IF(AA179="","",IF(VLOOKUP(AA179,'G-3 Multipliers'!$L$3:$N$6,2,FALSE)=0,"Spatial Data Missing ⚠",VLOOKUP(AA179,'G-3 Multipliers'!$L$3:$N$6,2,FALSE)))</f>
        <v/>
      </c>
      <c r="AC179" s="305" t="str">
        <f>IF(AA179="","",IF(VLOOKUP(AA179,'G-3 Multipliers'!$L$3:$N$6,3,FALSE)=0,"Spatial Data Missing ⚠",VLOOKUP(AA179,'G-3 Multipliers'!$L$3:$N$6,3,FALSE)))</f>
        <v/>
      </c>
      <c r="AD179" s="317" t="str">
        <f t="shared" si="21"/>
        <v/>
      </c>
      <c r="AE179" s="142"/>
      <c r="AF179" s="142"/>
      <c r="AG179" s="301" t="str">
        <f t="shared" si="24"/>
        <v/>
      </c>
      <c r="AH179" s="302" t="str">
        <f t="shared" si="25"/>
        <v/>
      </c>
      <c r="AI179" s="306" t="str">
        <f>IF(AH179="Check Data ⚠","Check Data ⚠",IFERROR(VLOOKUP(AH179,'G-4 Temporal multipliers'!$A$4:$C$36,3,FALSE),""))</f>
        <v/>
      </c>
      <c r="AJ179" s="317" t="str">
        <f>IF(S179="","",VLOOKUP(S179,'G-3 Multipliers'!$A$2:$E$134,4,FALSE))</f>
        <v/>
      </c>
      <c r="AK179" s="301" t="str">
        <f t="shared" si="26"/>
        <v/>
      </c>
      <c r="AL179" s="301" t="str">
        <f t="shared" si="27"/>
        <v/>
      </c>
      <c r="AM179" s="305" t="str">
        <f>IFERROR(IF(F179="","",IF(AH179="Check Data ⚠","Check Data ⚠",VLOOKUP(AL179, 'G-3 Multipliers'!$P$2:$Q$6,2,FALSE))),"")</f>
        <v/>
      </c>
      <c r="AN179" s="728"/>
      <c r="AO179" s="335" t="str">
        <f>IF(AN179="","",IF(VLOOKUP(AN179,'G-3 Multipliers'!$S$3:$T$10,2,FALSE)=0,"Spatial Data Missing ⚠",VLOOKUP(AN179,'G-3 Multipliers'!$S$3:$T$10,2,FALSE)))</f>
        <v/>
      </c>
      <c r="AP179" s="295" t="str">
        <f t="shared" si="28"/>
        <v/>
      </c>
      <c r="AQ179" s="295" t="str">
        <f t="shared" si="29"/>
        <v/>
      </c>
      <c r="AR179" s="109"/>
      <c r="AS179" s="142"/>
      <c r="AT179" s="108"/>
      <c r="AU179" s="108"/>
      <c r="AY179" s="30" t="str">
        <f>IF(E179="","",IF(ISNA(VLOOKUP($E179,'D-1 Off-Site Habitat Baseline'!$D$1:$AV$258,4,FALSE)),"",(VLOOKUP($E179,'D-1 Off-Site Habitat Baseline'!$D$1:$AV$258,4,FALSE))))</f>
        <v/>
      </c>
    </row>
    <row r="180" spans="1:51" x14ac:dyDescent="0.25">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325" t="str">
        <f>'D-1 Off-Site Habitat Baseline'!AP179</f>
        <v/>
      </c>
      <c r="F180" s="289" t="str">
        <f>IF(E180="","",IF(ISNA(VLOOKUP($E180,'D-1 Off-Site Habitat Baseline'!$D$1:$ZZ$258,45,FALSE)),"",(VLOOKUP($E180,'D-1 Off-Site Habitat Baseline'!$D$1:$ZZ$258,45,FALSE))))</f>
        <v/>
      </c>
      <c r="G180" s="301" t="str">
        <f>IF(E180="","",IF(ISNA(VLOOKUP($E180,'D-1 Off-Site Habitat Baseline'!$D$1:$O$258,5,FALSE)),"",(VLOOKUP($E180,'D-1 Off-Site Habitat Baseline'!$D$1:$O$258,5,FALSE))))</f>
        <v/>
      </c>
      <c r="H180" s="301" t="str">
        <f>IF(E180="","",IF(ISNA(VLOOKUP($E180,'D-1 Off-Site Habitat Baseline'!$D$1:$O$258,6,FALSE)),"",(VLOOKUP($E180,'D-1 Off-Site Habitat Baseline'!$D$1:$O$258,6,FALSE))))</f>
        <v/>
      </c>
      <c r="I180" s="301" t="str">
        <f>IF(E180="","",IF(ISNA(VLOOKUP($E180,'D-1 Off-Site Habitat Baseline'!$D$1:$O$258,7,FALSE)),"",(VLOOKUP($E180,'D-1 Off-Site Habitat Baseline'!$D$1:$O$258,7,FALSE))))</f>
        <v/>
      </c>
      <c r="J180" s="301" t="str">
        <f>IF(E180="","",IF(ISNA(VLOOKUP($E180,'D-1 Off-Site Habitat Baseline'!$D$1:$O$258,8,FALSE)),"",(VLOOKUP($E180,'D-1 Off-Site Habitat Baseline'!$D$1:$O$258,8,FALSE))))</f>
        <v/>
      </c>
      <c r="K180" s="301" t="str">
        <f>IF(E180="","",IF(ISNA(VLOOKUP($E180,'D-1 Off-Site Habitat Baseline'!$D$1:$O$258,9,FALSE)),"",(VLOOKUP($E180,'D-1 Off-Site Habitat Baseline'!$D$1:$O$258,9,FALSE))))</f>
        <v/>
      </c>
      <c r="L180" s="301" t="str">
        <f>IF(E180="","",IF(ISNA(VLOOKUP($E180,'D-1 Off-Site Habitat Baseline'!$D$1:$O$258,11,FALSE)),"",(VLOOKUP($E180,'D-1 Off-Site Habitat Baseline'!$D$1:$O$258,11,FALSE))))</f>
        <v/>
      </c>
      <c r="M180" s="301" t="str">
        <f>IF(E180="","",IF(ISNA(VLOOKUP($E180,'D-1 Off-Site Habitat Baseline'!$D$1:$O$258,12,FALSE)),"",(VLOOKUP($E180,'D-1 Off-Site Habitat Baseline'!$D$1:$O$258,12,FALSE))))</f>
        <v/>
      </c>
      <c r="N180" s="301" t="str">
        <f>IF(E180="","",IF(ISNA(VLOOKUP($E180,'D-1 Off-Site Habitat Baseline'!$D$1:$AA$258,17,FALSE)),"",(VLOOKUP($E180,'D-1 Off-Site Habitat Baseline'!$D$1:$AA$258,17,FALSE))))</f>
        <v/>
      </c>
      <c r="O180" s="305" t="str">
        <f>IF(E180="","",IF(ISNA(VLOOKUP($E180,'D-1 Off-Site Habitat Baseline'!$D$1:$AA$258,13,FALSE)),"",(VLOOKUP($E180,'D-1 Off-Site Habitat Baseline'!$D$1:$AA$258,13,FALSE))))</f>
        <v/>
      </c>
      <c r="P180" s="152" t="str">
        <f>IFERROR(INDEX('G-1 All Habitats'!$AG$49:$AG$63,MATCH(Q180,'G-1 All Habitats'!$AF$27:$AF$41,0)),"")</f>
        <v/>
      </c>
      <c r="Q180" s="153"/>
      <c r="R180" s="154"/>
      <c r="S180" s="155" t="str">
        <f>IFERROR(INDEX('G-1 All Habitats'!$B$3:$B$135,MATCH(R180,'G-1 All Habitats'!$A$3:$A$135,0)),"")</f>
        <v/>
      </c>
      <c r="T180" s="289" t="str">
        <f t="shared" si="22"/>
        <v/>
      </c>
      <c r="U180" s="305" t="str">
        <f t="shared" si="23"/>
        <v/>
      </c>
      <c r="V180" s="304" t="str">
        <f t="shared" si="20"/>
        <v/>
      </c>
      <c r="W180" s="301" t="str">
        <f>IF(S180="","",VLOOKUP(S180,'G-1 All Habitats'!$B$2:$M$135,10,FALSE))</f>
        <v/>
      </c>
      <c r="X180" s="301" t="str">
        <f>IFERROR(VLOOKUP(W180,'G-1 All Habitats'!$V$3:$W$7,2,FALSE),"")</f>
        <v/>
      </c>
      <c r="Y180" s="142"/>
      <c r="Z180" s="305" t="str">
        <f>IFERROR(INDEX('G-8 Condition Look up'!$A$3:$H$135,MATCH(S180,'G-8 Condition Look up'!$A$3:$A$135,0),MATCH(Y180,'G-8 Condition Look up'!$A$3:$H$3,0)),"")</f>
        <v/>
      </c>
      <c r="AA180" s="105"/>
      <c r="AB180" s="320" t="str">
        <f>IF(AA180="","",IF(VLOOKUP(AA180,'G-3 Multipliers'!$L$3:$N$6,2,FALSE)=0,"Spatial Data Missing ⚠",VLOOKUP(AA180,'G-3 Multipliers'!$L$3:$N$6,2,FALSE)))</f>
        <v/>
      </c>
      <c r="AC180" s="305" t="str">
        <f>IF(AA180="","",IF(VLOOKUP(AA180,'G-3 Multipliers'!$L$3:$N$6,3,FALSE)=0,"Spatial Data Missing ⚠",VLOOKUP(AA180,'G-3 Multipliers'!$L$3:$N$6,3,FALSE)))</f>
        <v/>
      </c>
      <c r="AD180" s="317" t="str">
        <f t="shared" si="21"/>
        <v/>
      </c>
      <c r="AE180" s="142"/>
      <c r="AF180" s="142"/>
      <c r="AG180" s="301" t="str">
        <f t="shared" si="24"/>
        <v/>
      </c>
      <c r="AH180" s="302" t="str">
        <f t="shared" si="25"/>
        <v/>
      </c>
      <c r="AI180" s="306" t="str">
        <f>IF(AH180="Check Data ⚠","Check Data ⚠",IFERROR(VLOOKUP(AH180,'G-4 Temporal multipliers'!$A$4:$C$36,3,FALSE),""))</f>
        <v/>
      </c>
      <c r="AJ180" s="317" t="str">
        <f>IF(S180="","",VLOOKUP(S180,'G-3 Multipliers'!$A$2:$E$134,4,FALSE))</f>
        <v/>
      </c>
      <c r="AK180" s="301" t="str">
        <f t="shared" si="26"/>
        <v/>
      </c>
      <c r="AL180" s="301" t="str">
        <f t="shared" si="27"/>
        <v/>
      </c>
      <c r="AM180" s="305" t="str">
        <f>IFERROR(IF(F180="","",IF(AH180="Check Data ⚠","Check Data ⚠",VLOOKUP(AL180, 'G-3 Multipliers'!$P$2:$Q$6,2,FALSE))),"")</f>
        <v/>
      </c>
      <c r="AN180" s="728"/>
      <c r="AO180" s="335" t="str">
        <f>IF(AN180="","",IF(VLOOKUP(AN180,'G-3 Multipliers'!$S$3:$T$10,2,FALSE)=0,"Spatial Data Missing ⚠",VLOOKUP(AN180,'G-3 Multipliers'!$S$3:$T$10,2,FALSE)))</f>
        <v/>
      </c>
      <c r="AP180" s="295" t="str">
        <f t="shared" si="28"/>
        <v/>
      </c>
      <c r="AQ180" s="295" t="str">
        <f t="shared" si="29"/>
        <v/>
      </c>
      <c r="AR180" s="109"/>
      <c r="AS180" s="142"/>
      <c r="AT180" s="108"/>
      <c r="AU180" s="108"/>
      <c r="AY180" s="30" t="str">
        <f>IF(E180="","",IF(ISNA(VLOOKUP($E180,'D-1 Off-Site Habitat Baseline'!$D$1:$AV$258,4,FALSE)),"",(VLOOKUP($E180,'D-1 Off-Site Habitat Baseline'!$D$1:$AV$258,4,FALSE))))</f>
        <v/>
      </c>
    </row>
    <row r="181" spans="1:51" x14ac:dyDescent="0.25">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325" t="str">
        <f>'D-1 Off-Site Habitat Baseline'!AP180</f>
        <v/>
      </c>
      <c r="F181" s="289" t="str">
        <f>IF(E181="","",IF(ISNA(VLOOKUP($E181,'D-1 Off-Site Habitat Baseline'!$D$1:$ZZ$258,45,FALSE)),"",(VLOOKUP($E181,'D-1 Off-Site Habitat Baseline'!$D$1:$ZZ$258,45,FALSE))))</f>
        <v/>
      </c>
      <c r="G181" s="301" t="str">
        <f>IF(E181="","",IF(ISNA(VLOOKUP($E181,'D-1 Off-Site Habitat Baseline'!$D$1:$O$258,5,FALSE)),"",(VLOOKUP($E181,'D-1 Off-Site Habitat Baseline'!$D$1:$O$258,5,FALSE))))</f>
        <v/>
      </c>
      <c r="H181" s="301" t="str">
        <f>IF(E181="","",IF(ISNA(VLOOKUP($E181,'D-1 Off-Site Habitat Baseline'!$D$1:$O$258,6,FALSE)),"",(VLOOKUP($E181,'D-1 Off-Site Habitat Baseline'!$D$1:$O$258,6,FALSE))))</f>
        <v/>
      </c>
      <c r="I181" s="301" t="str">
        <f>IF(E181="","",IF(ISNA(VLOOKUP($E181,'D-1 Off-Site Habitat Baseline'!$D$1:$O$258,7,FALSE)),"",(VLOOKUP($E181,'D-1 Off-Site Habitat Baseline'!$D$1:$O$258,7,FALSE))))</f>
        <v/>
      </c>
      <c r="J181" s="301" t="str">
        <f>IF(E181="","",IF(ISNA(VLOOKUP($E181,'D-1 Off-Site Habitat Baseline'!$D$1:$O$258,8,FALSE)),"",(VLOOKUP($E181,'D-1 Off-Site Habitat Baseline'!$D$1:$O$258,8,FALSE))))</f>
        <v/>
      </c>
      <c r="K181" s="301" t="str">
        <f>IF(E181="","",IF(ISNA(VLOOKUP($E181,'D-1 Off-Site Habitat Baseline'!$D$1:$O$258,9,FALSE)),"",(VLOOKUP($E181,'D-1 Off-Site Habitat Baseline'!$D$1:$O$258,9,FALSE))))</f>
        <v/>
      </c>
      <c r="L181" s="301" t="str">
        <f>IF(E181="","",IF(ISNA(VLOOKUP($E181,'D-1 Off-Site Habitat Baseline'!$D$1:$O$258,11,FALSE)),"",(VLOOKUP($E181,'D-1 Off-Site Habitat Baseline'!$D$1:$O$258,11,FALSE))))</f>
        <v/>
      </c>
      <c r="M181" s="301" t="str">
        <f>IF(E181="","",IF(ISNA(VLOOKUP($E181,'D-1 Off-Site Habitat Baseline'!$D$1:$O$258,12,FALSE)),"",(VLOOKUP($E181,'D-1 Off-Site Habitat Baseline'!$D$1:$O$258,12,FALSE))))</f>
        <v/>
      </c>
      <c r="N181" s="301" t="str">
        <f>IF(E181="","",IF(ISNA(VLOOKUP($E181,'D-1 Off-Site Habitat Baseline'!$D$1:$AA$258,17,FALSE)),"",(VLOOKUP($E181,'D-1 Off-Site Habitat Baseline'!$D$1:$AA$258,17,FALSE))))</f>
        <v/>
      </c>
      <c r="O181" s="305" t="str">
        <f>IF(E181="","",IF(ISNA(VLOOKUP($E181,'D-1 Off-Site Habitat Baseline'!$D$1:$AA$258,13,FALSE)),"",(VLOOKUP($E181,'D-1 Off-Site Habitat Baseline'!$D$1:$AA$258,13,FALSE))))</f>
        <v/>
      </c>
      <c r="P181" s="152" t="str">
        <f>IFERROR(INDEX('G-1 All Habitats'!$AG$49:$AG$63,MATCH(Q181,'G-1 All Habitats'!$AF$27:$AF$41,0)),"")</f>
        <v/>
      </c>
      <c r="Q181" s="153"/>
      <c r="R181" s="154"/>
      <c r="S181" s="155" t="str">
        <f>IFERROR(INDEX('G-1 All Habitats'!$B$3:$B$135,MATCH(R181,'G-1 All Habitats'!$A$3:$A$135,0)),"")</f>
        <v/>
      </c>
      <c r="T181" s="289" t="str">
        <f t="shared" si="22"/>
        <v/>
      </c>
      <c r="U181" s="305" t="str">
        <f t="shared" si="23"/>
        <v/>
      </c>
      <c r="V181" s="304" t="str">
        <f t="shared" si="20"/>
        <v/>
      </c>
      <c r="W181" s="301" t="str">
        <f>IF(S181="","",VLOOKUP(S181,'G-1 All Habitats'!$B$2:$M$135,10,FALSE))</f>
        <v/>
      </c>
      <c r="X181" s="301" t="str">
        <f>IFERROR(VLOOKUP(W181,'G-1 All Habitats'!$V$3:$W$7,2,FALSE),"")</f>
        <v/>
      </c>
      <c r="Y181" s="142"/>
      <c r="Z181" s="305" t="str">
        <f>IFERROR(INDEX('G-8 Condition Look up'!$A$3:$H$135,MATCH(S181,'G-8 Condition Look up'!$A$3:$A$135,0),MATCH(Y181,'G-8 Condition Look up'!$A$3:$H$3,0)),"")</f>
        <v/>
      </c>
      <c r="AA181" s="105"/>
      <c r="AB181" s="320" t="str">
        <f>IF(AA181="","",IF(VLOOKUP(AA181,'G-3 Multipliers'!$L$3:$N$6,2,FALSE)=0,"Spatial Data Missing ⚠",VLOOKUP(AA181,'G-3 Multipliers'!$L$3:$N$6,2,FALSE)))</f>
        <v/>
      </c>
      <c r="AC181" s="305" t="str">
        <f>IF(AA181="","",IF(VLOOKUP(AA181,'G-3 Multipliers'!$L$3:$N$6,3,FALSE)=0,"Spatial Data Missing ⚠",VLOOKUP(AA181,'G-3 Multipliers'!$L$3:$N$6,3,FALSE)))</f>
        <v/>
      </c>
      <c r="AD181" s="317" t="str">
        <f t="shared" si="21"/>
        <v/>
      </c>
      <c r="AE181" s="142"/>
      <c r="AF181" s="142"/>
      <c r="AG181" s="301" t="str">
        <f t="shared" si="24"/>
        <v/>
      </c>
      <c r="AH181" s="302" t="str">
        <f t="shared" si="25"/>
        <v/>
      </c>
      <c r="AI181" s="306" t="str">
        <f>IF(AH181="Check Data ⚠","Check Data ⚠",IFERROR(VLOOKUP(AH181,'G-4 Temporal multipliers'!$A$4:$C$36,3,FALSE),""))</f>
        <v/>
      </c>
      <c r="AJ181" s="317" t="str">
        <f>IF(S181="","",VLOOKUP(S181,'G-3 Multipliers'!$A$2:$E$134,4,FALSE))</f>
        <v/>
      </c>
      <c r="AK181" s="301" t="str">
        <f t="shared" si="26"/>
        <v/>
      </c>
      <c r="AL181" s="301" t="str">
        <f t="shared" si="27"/>
        <v/>
      </c>
      <c r="AM181" s="305" t="str">
        <f>IFERROR(IF(F181="","",IF(AH181="Check Data ⚠","Check Data ⚠",VLOOKUP(AL181, 'G-3 Multipliers'!$P$2:$Q$6,2,FALSE))),"")</f>
        <v/>
      </c>
      <c r="AN181" s="728"/>
      <c r="AO181" s="335" t="str">
        <f>IF(AN181="","",IF(VLOOKUP(AN181,'G-3 Multipliers'!$S$3:$T$10,2,FALSE)=0,"Spatial Data Missing ⚠",VLOOKUP(AN181,'G-3 Multipliers'!$S$3:$T$10,2,FALSE)))</f>
        <v/>
      </c>
      <c r="AP181" s="295" t="str">
        <f t="shared" si="28"/>
        <v/>
      </c>
      <c r="AQ181" s="295" t="str">
        <f t="shared" si="29"/>
        <v/>
      </c>
      <c r="AR181" s="109"/>
      <c r="AS181" s="142"/>
      <c r="AT181" s="108"/>
      <c r="AU181" s="108"/>
      <c r="AY181" s="30" t="str">
        <f>IF(E181="","",IF(ISNA(VLOOKUP($E181,'D-1 Off-Site Habitat Baseline'!$D$1:$AV$258,4,FALSE)),"",(VLOOKUP($E181,'D-1 Off-Site Habitat Baseline'!$D$1:$AV$258,4,FALSE))))</f>
        <v/>
      </c>
    </row>
    <row r="182" spans="1:51" x14ac:dyDescent="0.25">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325" t="str">
        <f>'D-1 Off-Site Habitat Baseline'!AP181</f>
        <v/>
      </c>
      <c r="F182" s="289" t="str">
        <f>IF(E182="","",IF(ISNA(VLOOKUP($E182,'D-1 Off-Site Habitat Baseline'!$D$1:$ZZ$258,45,FALSE)),"",(VLOOKUP($E182,'D-1 Off-Site Habitat Baseline'!$D$1:$ZZ$258,45,FALSE))))</f>
        <v/>
      </c>
      <c r="G182" s="301" t="str">
        <f>IF(E182="","",IF(ISNA(VLOOKUP($E182,'D-1 Off-Site Habitat Baseline'!$D$1:$O$258,5,FALSE)),"",(VLOOKUP($E182,'D-1 Off-Site Habitat Baseline'!$D$1:$O$258,5,FALSE))))</f>
        <v/>
      </c>
      <c r="H182" s="301" t="str">
        <f>IF(E182="","",IF(ISNA(VLOOKUP($E182,'D-1 Off-Site Habitat Baseline'!$D$1:$O$258,6,FALSE)),"",(VLOOKUP($E182,'D-1 Off-Site Habitat Baseline'!$D$1:$O$258,6,FALSE))))</f>
        <v/>
      </c>
      <c r="I182" s="301" t="str">
        <f>IF(E182="","",IF(ISNA(VLOOKUP($E182,'D-1 Off-Site Habitat Baseline'!$D$1:$O$258,7,FALSE)),"",(VLOOKUP($E182,'D-1 Off-Site Habitat Baseline'!$D$1:$O$258,7,FALSE))))</f>
        <v/>
      </c>
      <c r="J182" s="301" t="str">
        <f>IF(E182="","",IF(ISNA(VLOOKUP($E182,'D-1 Off-Site Habitat Baseline'!$D$1:$O$258,8,FALSE)),"",(VLOOKUP($E182,'D-1 Off-Site Habitat Baseline'!$D$1:$O$258,8,FALSE))))</f>
        <v/>
      </c>
      <c r="K182" s="301" t="str">
        <f>IF(E182="","",IF(ISNA(VLOOKUP($E182,'D-1 Off-Site Habitat Baseline'!$D$1:$O$258,9,FALSE)),"",(VLOOKUP($E182,'D-1 Off-Site Habitat Baseline'!$D$1:$O$258,9,FALSE))))</f>
        <v/>
      </c>
      <c r="L182" s="301" t="str">
        <f>IF(E182="","",IF(ISNA(VLOOKUP($E182,'D-1 Off-Site Habitat Baseline'!$D$1:$O$258,11,FALSE)),"",(VLOOKUP($E182,'D-1 Off-Site Habitat Baseline'!$D$1:$O$258,11,FALSE))))</f>
        <v/>
      </c>
      <c r="M182" s="301" t="str">
        <f>IF(E182="","",IF(ISNA(VLOOKUP($E182,'D-1 Off-Site Habitat Baseline'!$D$1:$O$258,12,FALSE)),"",(VLOOKUP($E182,'D-1 Off-Site Habitat Baseline'!$D$1:$O$258,12,FALSE))))</f>
        <v/>
      </c>
      <c r="N182" s="301" t="str">
        <f>IF(E182="","",IF(ISNA(VLOOKUP($E182,'D-1 Off-Site Habitat Baseline'!$D$1:$AA$258,17,FALSE)),"",(VLOOKUP($E182,'D-1 Off-Site Habitat Baseline'!$D$1:$AA$258,17,FALSE))))</f>
        <v/>
      </c>
      <c r="O182" s="305" t="str">
        <f>IF(E182="","",IF(ISNA(VLOOKUP($E182,'D-1 Off-Site Habitat Baseline'!$D$1:$AA$258,13,FALSE)),"",(VLOOKUP($E182,'D-1 Off-Site Habitat Baseline'!$D$1:$AA$258,13,FALSE))))</f>
        <v/>
      </c>
      <c r="P182" s="152" t="str">
        <f>IFERROR(INDEX('G-1 All Habitats'!$AG$49:$AG$63,MATCH(Q182,'G-1 All Habitats'!$AF$27:$AF$41,0)),"")</f>
        <v/>
      </c>
      <c r="Q182" s="153"/>
      <c r="R182" s="154"/>
      <c r="S182" s="155" t="str">
        <f>IFERROR(INDEX('G-1 All Habitats'!$B$3:$B$135,MATCH(R182,'G-1 All Habitats'!$A$3:$A$135,0)),"")</f>
        <v/>
      </c>
      <c r="T182" s="289" t="str">
        <f t="shared" si="22"/>
        <v/>
      </c>
      <c r="U182" s="305" t="str">
        <f t="shared" si="23"/>
        <v/>
      </c>
      <c r="V182" s="304" t="str">
        <f t="shared" si="20"/>
        <v/>
      </c>
      <c r="W182" s="301" t="str">
        <f>IF(S182="","",VLOOKUP(S182,'G-1 All Habitats'!$B$2:$M$135,10,FALSE))</f>
        <v/>
      </c>
      <c r="X182" s="301" t="str">
        <f>IFERROR(VLOOKUP(W182,'G-1 All Habitats'!$V$3:$W$7,2,FALSE),"")</f>
        <v/>
      </c>
      <c r="Y182" s="142"/>
      <c r="Z182" s="305" t="str">
        <f>IFERROR(INDEX('G-8 Condition Look up'!$A$3:$H$135,MATCH(S182,'G-8 Condition Look up'!$A$3:$A$135,0),MATCH(Y182,'G-8 Condition Look up'!$A$3:$H$3,0)),"")</f>
        <v/>
      </c>
      <c r="AA182" s="105"/>
      <c r="AB182" s="320" t="str">
        <f>IF(AA182="","",IF(VLOOKUP(AA182,'G-3 Multipliers'!$L$3:$N$6,2,FALSE)=0,"Spatial Data Missing ⚠",VLOOKUP(AA182,'G-3 Multipliers'!$L$3:$N$6,2,FALSE)))</f>
        <v/>
      </c>
      <c r="AC182" s="305" t="str">
        <f>IF(AA182="","",IF(VLOOKUP(AA182,'G-3 Multipliers'!$L$3:$N$6,3,FALSE)=0,"Spatial Data Missing ⚠",VLOOKUP(AA182,'G-3 Multipliers'!$L$3:$N$6,3,FALSE)))</f>
        <v/>
      </c>
      <c r="AD182" s="317" t="str">
        <f t="shared" si="21"/>
        <v/>
      </c>
      <c r="AE182" s="142"/>
      <c r="AF182" s="142"/>
      <c r="AG182" s="301" t="str">
        <f t="shared" si="24"/>
        <v/>
      </c>
      <c r="AH182" s="302" t="str">
        <f t="shared" si="25"/>
        <v/>
      </c>
      <c r="AI182" s="306" t="str">
        <f>IF(AH182="Check Data ⚠","Check Data ⚠",IFERROR(VLOOKUP(AH182,'G-4 Temporal multipliers'!$A$4:$C$36,3,FALSE),""))</f>
        <v/>
      </c>
      <c r="AJ182" s="317" t="str">
        <f>IF(S182="","",VLOOKUP(S182,'G-3 Multipliers'!$A$2:$E$134,4,FALSE))</f>
        <v/>
      </c>
      <c r="AK182" s="301" t="str">
        <f t="shared" si="26"/>
        <v/>
      </c>
      <c r="AL182" s="301" t="str">
        <f t="shared" si="27"/>
        <v/>
      </c>
      <c r="AM182" s="305" t="str">
        <f>IFERROR(IF(F182="","",IF(AH182="Check Data ⚠","Check Data ⚠",VLOOKUP(AL182, 'G-3 Multipliers'!$P$2:$Q$6,2,FALSE))),"")</f>
        <v/>
      </c>
      <c r="AN182" s="728"/>
      <c r="AO182" s="335" t="str">
        <f>IF(AN182="","",IF(VLOOKUP(AN182,'G-3 Multipliers'!$S$3:$T$10,2,FALSE)=0,"Spatial Data Missing ⚠",VLOOKUP(AN182,'G-3 Multipliers'!$S$3:$T$10,2,FALSE)))</f>
        <v/>
      </c>
      <c r="AP182" s="295" t="str">
        <f t="shared" si="28"/>
        <v/>
      </c>
      <c r="AQ182" s="295" t="str">
        <f t="shared" si="29"/>
        <v/>
      </c>
      <c r="AR182" s="109"/>
      <c r="AS182" s="142"/>
      <c r="AT182" s="108"/>
      <c r="AU182" s="108"/>
      <c r="AY182" s="30" t="str">
        <f>IF(E182="","",IF(ISNA(VLOOKUP($E182,'D-1 Off-Site Habitat Baseline'!$D$1:$AV$258,4,FALSE)),"",(VLOOKUP($E182,'D-1 Off-Site Habitat Baseline'!$D$1:$AV$258,4,FALSE))))</f>
        <v/>
      </c>
    </row>
    <row r="183" spans="1:51" x14ac:dyDescent="0.25">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325" t="str">
        <f>'D-1 Off-Site Habitat Baseline'!AP182</f>
        <v/>
      </c>
      <c r="F183" s="289" t="str">
        <f>IF(E183="","",IF(ISNA(VLOOKUP($E183,'D-1 Off-Site Habitat Baseline'!$D$1:$ZZ$258,45,FALSE)),"",(VLOOKUP($E183,'D-1 Off-Site Habitat Baseline'!$D$1:$ZZ$258,45,FALSE))))</f>
        <v/>
      </c>
      <c r="G183" s="301" t="str">
        <f>IF(E183="","",IF(ISNA(VLOOKUP($E183,'D-1 Off-Site Habitat Baseline'!$D$1:$O$258,5,FALSE)),"",(VLOOKUP($E183,'D-1 Off-Site Habitat Baseline'!$D$1:$O$258,5,FALSE))))</f>
        <v/>
      </c>
      <c r="H183" s="301" t="str">
        <f>IF(E183="","",IF(ISNA(VLOOKUP($E183,'D-1 Off-Site Habitat Baseline'!$D$1:$O$258,6,FALSE)),"",(VLOOKUP($E183,'D-1 Off-Site Habitat Baseline'!$D$1:$O$258,6,FALSE))))</f>
        <v/>
      </c>
      <c r="I183" s="301" t="str">
        <f>IF(E183="","",IF(ISNA(VLOOKUP($E183,'D-1 Off-Site Habitat Baseline'!$D$1:$O$258,7,FALSE)),"",(VLOOKUP($E183,'D-1 Off-Site Habitat Baseline'!$D$1:$O$258,7,FALSE))))</f>
        <v/>
      </c>
      <c r="J183" s="301" t="str">
        <f>IF(E183="","",IF(ISNA(VLOOKUP($E183,'D-1 Off-Site Habitat Baseline'!$D$1:$O$258,8,FALSE)),"",(VLOOKUP($E183,'D-1 Off-Site Habitat Baseline'!$D$1:$O$258,8,FALSE))))</f>
        <v/>
      </c>
      <c r="K183" s="301" t="str">
        <f>IF(E183="","",IF(ISNA(VLOOKUP($E183,'D-1 Off-Site Habitat Baseline'!$D$1:$O$258,9,FALSE)),"",(VLOOKUP($E183,'D-1 Off-Site Habitat Baseline'!$D$1:$O$258,9,FALSE))))</f>
        <v/>
      </c>
      <c r="L183" s="301" t="str">
        <f>IF(E183="","",IF(ISNA(VLOOKUP($E183,'D-1 Off-Site Habitat Baseline'!$D$1:$O$258,11,FALSE)),"",(VLOOKUP($E183,'D-1 Off-Site Habitat Baseline'!$D$1:$O$258,11,FALSE))))</f>
        <v/>
      </c>
      <c r="M183" s="301" t="str">
        <f>IF(E183="","",IF(ISNA(VLOOKUP($E183,'D-1 Off-Site Habitat Baseline'!$D$1:$O$258,12,FALSE)),"",(VLOOKUP($E183,'D-1 Off-Site Habitat Baseline'!$D$1:$O$258,12,FALSE))))</f>
        <v/>
      </c>
      <c r="N183" s="301" t="str">
        <f>IF(E183="","",IF(ISNA(VLOOKUP($E183,'D-1 Off-Site Habitat Baseline'!$D$1:$AA$258,17,FALSE)),"",(VLOOKUP($E183,'D-1 Off-Site Habitat Baseline'!$D$1:$AA$258,17,FALSE))))</f>
        <v/>
      </c>
      <c r="O183" s="305" t="str">
        <f>IF(E183="","",IF(ISNA(VLOOKUP($E183,'D-1 Off-Site Habitat Baseline'!$D$1:$AA$258,13,FALSE)),"",(VLOOKUP($E183,'D-1 Off-Site Habitat Baseline'!$D$1:$AA$258,13,FALSE))))</f>
        <v/>
      </c>
      <c r="P183" s="152" t="str">
        <f>IFERROR(INDEX('G-1 All Habitats'!$AG$49:$AG$63,MATCH(Q183,'G-1 All Habitats'!$AF$27:$AF$41,0)),"")</f>
        <v/>
      </c>
      <c r="Q183" s="153"/>
      <c r="R183" s="154"/>
      <c r="S183" s="155" t="str">
        <f>IFERROR(INDEX('G-1 All Habitats'!$B$3:$B$135,MATCH(R183,'G-1 All Habitats'!$A$3:$A$135,0)),"")</f>
        <v/>
      </c>
      <c r="T183" s="289" t="str">
        <f t="shared" si="22"/>
        <v/>
      </c>
      <c r="U183" s="305" t="str">
        <f t="shared" si="23"/>
        <v/>
      </c>
      <c r="V183" s="304" t="str">
        <f t="shared" si="20"/>
        <v/>
      </c>
      <c r="W183" s="301" t="str">
        <f>IF(S183="","",VLOOKUP(S183,'G-1 All Habitats'!$B$2:$M$135,10,FALSE))</f>
        <v/>
      </c>
      <c r="X183" s="301" t="str">
        <f>IFERROR(VLOOKUP(W183,'G-1 All Habitats'!$V$3:$W$7,2,FALSE),"")</f>
        <v/>
      </c>
      <c r="Y183" s="142"/>
      <c r="Z183" s="305" t="str">
        <f>IFERROR(INDEX('G-8 Condition Look up'!$A$3:$H$135,MATCH(S183,'G-8 Condition Look up'!$A$3:$A$135,0),MATCH(Y183,'G-8 Condition Look up'!$A$3:$H$3,0)),"")</f>
        <v/>
      </c>
      <c r="AA183" s="105"/>
      <c r="AB183" s="320" t="str">
        <f>IF(AA183="","",IF(VLOOKUP(AA183,'G-3 Multipliers'!$L$3:$N$6,2,FALSE)=0,"Spatial Data Missing ⚠",VLOOKUP(AA183,'G-3 Multipliers'!$L$3:$N$6,2,FALSE)))</f>
        <v/>
      </c>
      <c r="AC183" s="305" t="str">
        <f>IF(AA183="","",IF(VLOOKUP(AA183,'G-3 Multipliers'!$L$3:$N$6,3,FALSE)=0,"Spatial Data Missing ⚠",VLOOKUP(AA183,'G-3 Multipliers'!$L$3:$N$6,3,FALSE)))</f>
        <v/>
      </c>
      <c r="AD183" s="317" t="str">
        <f t="shared" si="21"/>
        <v/>
      </c>
      <c r="AE183" s="142"/>
      <c r="AF183" s="142"/>
      <c r="AG183" s="301" t="str">
        <f t="shared" si="24"/>
        <v/>
      </c>
      <c r="AH183" s="302" t="str">
        <f t="shared" si="25"/>
        <v/>
      </c>
      <c r="AI183" s="306" t="str">
        <f>IF(AH183="Check Data ⚠","Check Data ⚠",IFERROR(VLOOKUP(AH183,'G-4 Temporal multipliers'!$A$4:$C$36,3,FALSE),""))</f>
        <v/>
      </c>
      <c r="AJ183" s="317" t="str">
        <f>IF(S183="","",VLOOKUP(S183,'G-3 Multipliers'!$A$2:$E$134,4,FALSE))</f>
        <v/>
      </c>
      <c r="AK183" s="301" t="str">
        <f t="shared" si="26"/>
        <v/>
      </c>
      <c r="AL183" s="301" t="str">
        <f t="shared" si="27"/>
        <v/>
      </c>
      <c r="AM183" s="305" t="str">
        <f>IFERROR(IF(F183="","",IF(AH183="Check Data ⚠","Check Data ⚠",VLOOKUP(AL183, 'G-3 Multipliers'!$P$2:$Q$6,2,FALSE))),"")</f>
        <v/>
      </c>
      <c r="AN183" s="728"/>
      <c r="AO183" s="335" t="str">
        <f>IF(AN183="","",IF(VLOOKUP(AN183,'G-3 Multipliers'!$S$3:$T$10,2,FALSE)=0,"Spatial Data Missing ⚠",VLOOKUP(AN183,'G-3 Multipliers'!$S$3:$T$10,2,FALSE)))</f>
        <v/>
      </c>
      <c r="AP183" s="295" t="str">
        <f t="shared" si="28"/>
        <v/>
      </c>
      <c r="AQ183" s="295" t="str">
        <f t="shared" si="29"/>
        <v/>
      </c>
      <c r="AR183" s="109"/>
      <c r="AS183" s="142"/>
      <c r="AT183" s="108"/>
      <c r="AU183" s="108"/>
      <c r="AY183" s="30" t="str">
        <f>IF(E183="","",IF(ISNA(VLOOKUP($E183,'D-1 Off-Site Habitat Baseline'!$D$1:$AV$258,4,FALSE)),"",(VLOOKUP($E183,'D-1 Off-Site Habitat Baseline'!$D$1:$AV$258,4,FALSE))))</f>
        <v/>
      </c>
    </row>
    <row r="184" spans="1:51" x14ac:dyDescent="0.25">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325" t="str">
        <f>'D-1 Off-Site Habitat Baseline'!AP183</f>
        <v/>
      </c>
      <c r="F184" s="289" t="str">
        <f>IF(E184="","",IF(ISNA(VLOOKUP($E184,'D-1 Off-Site Habitat Baseline'!$D$1:$ZZ$258,45,FALSE)),"",(VLOOKUP($E184,'D-1 Off-Site Habitat Baseline'!$D$1:$ZZ$258,45,FALSE))))</f>
        <v/>
      </c>
      <c r="G184" s="301" t="str">
        <f>IF(E184="","",IF(ISNA(VLOOKUP($E184,'D-1 Off-Site Habitat Baseline'!$D$1:$O$258,5,FALSE)),"",(VLOOKUP($E184,'D-1 Off-Site Habitat Baseline'!$D$1:$O$258,5,FALSE))))</f>
        <v/>
      </c>
      <c r="H184" s="301" t="str">
        <f>IF(E184="","",IF(ISNA(VLOOKUP($E184,'D-1 Off-Site Habitat Baseline'!$D$1:$O$258,6,FALSE)),"",(VLOOKUP($E184,'D-1 Off-Site Habitat Baseline'!$D$1:$O$258,6,FALSE))))</f>
        <v/>
      </c>
      <c r="I184" s="301" t="str">
        <f>IF(E184="","",IF(ISNA(VLOOKUP($E184,'D-1 Off-Site Habitat Baseline'!$D$1:$O$258,7,FALSE)),"",(VLOOKUP($E184,'D-1 Off-Site Habitat Baseline'!$D$1:$O$258,7,FALSE))))</f>
        <v/>
      </c>
      <c r="J184" s="301" t="str">
        <f>IF(E184="","",IF(ISNA(VLOOKUP($E184,'D-1 Off-Site Habitat Baseline'!$D$1:$O$258,8,FALSE)),"",(VLOOKUP($E184,'D-1 Off-Site Habitat Baseline'!$D$1:$O$258,8,FALSE))))</f>
        <v/>
      </c>
      <c r="K184" s="301" t="str">
        <f>IF(E184="","",IF(ISNA(VLOOKUP($E184,'D-1 Off-Site Habitat Baseline'!$D$1:$O$258,9,FALSE)),"",(VLOOKUP($E184,'D-1 Off-Site Habitat Baseline'!$D$1:$O$258,9,FALSE))))</f>
        <v/>
      </c>
      <c r="L184" s="301" t="str">
        <f>IF(E184="","",IF(ISNA(VLOOKUP($E184,'D-1 Off-Site Habitat Baseline'!$D$1:$O$258,11,FALSE)),"",(VLOOKUP($E184,'D-1 Off-Site Habitat Baseline'!$D$1:$O$258,11,FALSE))))</f>
        <v/>
      </c>
      <c r="M184" s="301" t="str">
        <f>IF(E184="","",IF(ISNA(VLOOKUP($E184,'D-1 Off-Site Habitat Baseline'!$D$1:$O$258,12,FALSE)),"",(VLOOKUP($E184,'D-1 Off-Site Habitat Baseline'!$D$1:$O$258,12,FALSE))))</f>
        <v/>
      </c>
      <c r="N184" s="301" t="str">
        <f>IF(E184="","",IF(ISNA(VLOOKUP($E184,'D-1 Off-Site Habitat Baseline'!$D$1:$AA$258,17,FALSE)),"",(VLOOKUP($E184,'D-1 Off-Site Habitat Baseline'!$D$1:$AA$258,17,FALSE))))</f>
        <v/>
      </c>
      <c r="O184" s="305" t="str">
        <f>IF(E184="","",IF(ISNA(VLOOKUP($E184,'D-1 Off-Site Habitat Baseline'!$D$1:$AA$258,13,FALSE)),"",(VLOOKUP($E184,'D-1 Off-Site Habitat Baseline'!$D$1:$AA$258,13,FALSE))))</f>
        <v/>
      </c>
      <c r="P184" s="152" t="str">
        <f>IFERROR(INDEX('G-1 All Habitats'!$AG$49:$AG$63,MATCH(Q184,'G-1 All Habitats'!$AF$27:$AF$41,0)),"")</f>
        <v/>
      </c>
      <c r="Q184" s="153"/>
      <c r="R184" s="154"/>
      <c r="S184" s="155" t="str">
        <f>IFERROR(INDEX('G-1 All Habitats'!$B$3:$B$135,MATCH(R184,'G-1 All Habitats'!$A$3:$A$135,0)),"")</f>
        <v/>
      </c>
      <c r="T184" s="289" t="str">
        <f t="shared" si="22"/>
        <v/>
      </c>
      <c r="U184" s="305" t="str">
        <f t="shared" si="23"/>
        <v/>
      </c>
      <c r="V184" s="304" t="str">
        <f t="shared" si="20"/>
        <v/>
      </c>
      <c r="W184" s="301" t="str">
        <f>IF(S184="","",VLOOKUP(S184,'G-1 All Habitats'!$B$2:$M$135,10,FALSE))</f>
        <v/>
      </c>
      <c r="X184" s="301" t="str">
        <f>IFERROR(VLOOKUP(W184,'G-1 All Habitats'!$V$3:$W$7,2,FALSE),"")</f>
        <v/>
      </c>
      <c r="Y184" s="142"/>
      <c r="Z184" s="305" t="str">
        <f>IFERROR(INDEX('G-8 Condition Look up'!$A$3:$H$135,MATCH(S184,'G-8 Condition Look up'!$A$3:$A$135,0),MATCH(Y184,'G-8 Condition Look up'!$A$3:$H$3,0)),"")</f>
        <v/>
      </c>
      <c r="AA184" s="105"/>
      <c r="AB184" s="320" t="str">
        <f>IF(AA184="","",IF(VLOOKUP(AA184,'G-3 Multipliers'!$L$3:$N$6,2,FALSE)=0,"Spatial Data Missing ⚠",VLOOKUP(AA184,'G-3 Multipliers'!$L$3:$N$6,2,FALSE)))</f>
        <v/>
      </c>
      <c r="AC184" s="305" t="str">
        <f>IF(AA184="","",IF(VLOOKUP(AA184,'G-3 Multipliers'!$L$3:$N$6,3,FALSE)=0,"Spatial Data Missing ⚠",VLOOKUP(AA184,'G-3 Multipliers'!$L$3:$N$6,3,FALSE)))</f>
        <v/>
      </c>
      <c r="AD184" s="317" t="str">
        <f t="shared" si="21"/>
        <v/>
      </c>
      <c r="AE184" s="142"/>
      <c r="AF184" s="142"/>
      <c r="AG184" s="301" t="str">
        <f t="shared" si="24"/>
        <v/>
      </c>
      <c r="AH184" s="302" t="str">
        <f t="shared" si="25"/>
        <v/>
      </c>
      <c r="AI184" s="306" t="str">
        <f>IF(AH184="Check Data ⚠","Check Data ⚠",IFERROR(VLOOKUP(AH184,'G-4 Temporal multipliers'!$A$4:$C$36,3,FALSE),""))</f>
        <v/>
      </c>
      <c r="AJ184" s="317" t="str">
        <f>IF(S184="","",VLOOKUP(S184,'G-3 Multipliers'!$A$2:$E$134,4,FALSE))</f>
        <v/>
      </c>
      <c r="AK184" s="301" t="str">
        <f t="shared" si="26"/>
        <v/>
      </c>
      <c r="AL184" s="301" t="str">
        <f t="shared" si="27"/>
        <v/>
      </c>
      <c r="AM184" s="305" t="str">
        <f>IFERROR(IF(F184="","",IF(AH184="Check Data ⚠","Check Data ⚠",VLOOKUP(AL184, 'G-3 Multipliers'!$P$2:$Q$6,2,FALSE))),"")</f>
        <v/>
      </c>
      <c r="AN184" s="728"/>
      <c r="AO184" s="335" t="str">
        <f>IF(AN184="","",IF(VLOOKUP(AN184,'G-3 Multipliers'!$S$3:$T$10,2,FALSE)=0,"Spatial Data Missing ⚠",VLOOKUP(AN184,'G-3 Multipliers'!$S$3:$T$10,2,FALSE)))</f>
        <v/>
      </c>
      <c r="AP184" s="295" t="str">
        <f t="shared" si="28"/>
        <v/>
      </c>
      <c r="AQ184" s="295" t="str">
        <f t="shared" si="29"/>
        <v/>
      </c>
      <c r="AR184" s="109"/>
      <c r="AS184" s="142"/>
      <c r="AT184" s="108"/>
      <c r="AU184" s="108"/>
      <c r="AY184" s="30" t="str">
        <f>IF(E184="","",IF(ISNA(VLOOKUP($E184,'D-1 Off-Site Habitat Baseline'!$D$1:$AV$258,4,FALSE)),"",(VLOOKUP($E184,'D-1 Off-Site Habitat Baseline'!$D$1:$AV$258,4,FALSE))))</f>
        <v/>
      </c>
    </row>
    <row r="185" spans="1:51" x14ac:dyDescent="0.25">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325" t="str">
        <f>'D-1 Off-Site Habitat Baseline'!AP184</f>
        <v/>
      </c>
      <c r="F185" s="289" t="str">
        <f>IF(E185="","",IF(ISNA(VLOOKUP($E185,'D-1 Off-Site Habitat Baseline'!$D$1:$ZZ$258,45,FALSE)),"",(VLOOKUP($E185,'D-1 Off-Site Habitat Baseline'!$D$1:$ZZ$258,45,FALSE))))</f>
        <v/>
      </c>
      <c r="G185" s="301" t="str">
        <f>IF(E185="","",IF(ISNA(VLOOKUP($E185,'D-1 Off-Site Habitat Baseline'!$D$1:$O$258,5,FALSE)),"",(VLOOKUP($E185,'D-1 Off-Site Habitat Baseline'!$D$1:$O$258,5,FALSE))))</f>
        <v/>
      </c>
      <c r="H185" s="301" t="str">
        <f>IF(E185="","",IF(ISNA(VLOOKUP($E185,'D-1 Off-Site Habitat Baseline'!$D$1:$O$258,6,FALSE)),"",(VLOOKUP($E185,'D-1 Off-Site Habitat Baseline'!$D$1:$O$258,6,FALSE))))</f>
        <v/>
      </c>
      <c r="I185" s="301" t="str">
        <f>IF(E185="","",IF(ISNA(VLOOKUP($E185,'D-1 Off-Site Habitat Baseline'!$D$1:$O$258,7,FALSE)),"",(VLOOKUP($E185,'D-1 Off-Site Habitat Baseline'!$D$1:$O$258,7,FALSE))))</f>
        <v/>
      </c>
      <c r="J185" s="301" t="str">
        <f>IF(E185="","",IF(ISNA(VLOOKUP($E185,'D-1 Off-Site Habitat Baseline'!$D$1:$O$258,8,FALSE)),"",(VLOOKUP($E185,'D-1 Off-Site Habitat Baseline'!$D$1:$O$258,8,FALSE))))</f>
        <v/>
      </c>
      <c r="K185" s="301" t="str">
        <f>IF(E185="","",IF(ISNA(VLOOKUP($E185,'D-1 Off-Site Habitat Baseline'!$D$1:$O$258,9,FALSE)),"",(VLOOKUP($E185,'D-1 Off-Site Habitat Baseline'!$D$1:$O$258,9,FALSE))))</f>
        <v/>
      </c>
      <c r="L185" s="301" t="str">
        <f>IF(E185="","",IF(ISNA(VLOOKUP($E185,'D-1 Off-Site Habitat Baseline'!$D$1:$O$258,11,FALSE)),"",(VLOOKUP($E185,'D-1 Off-Site Habitat Baseline'!$D$1:$O$258,11,FALSE))))</f>
        <v/>
      </c>
      <c r="M185" s="301" t="str">
        <f>IF(E185="","",IF(ISNA(VLOOKUP($E185,'D-1 Off-Site Habitat Baseline'!$D$1:$O$258,12,FALSE)),"",(VLOOKUP($E185,'D-1 Off-Site Habitat Baseline'!$D$1:$O$258,12,FALSE))))</f>
        <v/>
      </c>
      <c r="N185" s="301" t="str">
        <f>IF(E185="","",IF(ISNA(VLOOKUP($E185,'D-1 Off-Site Habitat Baseline'!$D$1:$AA$258,17,FALSE)),"",(VLOOKUP($E185,'D-1 Off-Site Habitat Baseline'!$D$1:$AA$258,17,FALSE))))</f>
        <v/>
      </c>
      <c r="O185" s="305" t="str">
        <f>IF(E185="","",IF(ISNA(VLOOKUP($E185,'D-1 Off-Site Habitat Baseline'!$D$1:$AA$258,13,FALSE)),"",(VLOOKUP($E185,'D-1 Off-Site Habitat Baseline'!$D$1:$AA$258,13,FALSE))))</f>
        <v/>
      </c>
      <c r="P185" s="152" t="str">
        <f>IFERROR(INDEX('G-1 All Habitats'!$AG$49:$AG$63,MATCH(Q185,'G-1 All Habitats'!$AF$27:$AF$41,0)),"")</f>
        <v/>
      </c>
      <c r="Q185" s="153"/>
      <c r="R185" s="154"/>
      <c r="S185" s="155" t="str">
        <f>IFERROR(INDEX('G-1 All Habitats'!$B$3:$B$135,MATCH(R185,'G-1 All Habitats'!$A$3:$A$135,0)),"")</f>
        <v/>
      </c>
      <c r="T185" s="289" t="str">
        <f t="shared" si="22"/>
        <v/>
      </c>
      <c r="U185" s="305" t="str">
        <f t="shared" si="23"/>
        <v/>
      </c>
      <c r="V185" s="304" t="str">
        <f t="shared" si="20"/>
        <v/>
      </c>
      <c r="W185" s="301" t="str">
        <f>IF(S185="","",VLOOKUP(S185,'G-1 All Habitats'!$B$2:$M$135,10,FALSE))</f>
        <v/>
      </c>
      <c r="X185" s="301" t="str">
        <f>IFERROR(VLOOKUP(W185,'G-1 All Habitats'!$V$3:$W$7,2,FALSE),"")</f>
        <v/>
      </c>
      <c r="Y185" s="142"/>
      <c r="Z185" s="305" t="str">
        <f>IFERROR(INDEX('G-8 Condition Look up'!$A$3:$H$135,MATCH(S185,'G-8 Condition Look up'!$A$3:$A$135,0),MATCH(Y185,'G-8 Condition Look up'!$A$3:$H$3,0)),"")</f>
        <v/>
      </c>
      <c r="AA185" s="105"/>
      <c r="AB185" s="320" t="str">
        <f>IF(AA185="","",IF(VLOOKUP(AA185,'G-3 Multipliers'!$L$3:$N$6,2,FALSE)=0,"Spatial Data Missing ⚠",VLOOKUP(AA185,'G-3 Multipliers'!$L$3:$N$6,2,FALSE)))</f>
        <v/>
      </c>
      <c r="AC185" s="305" t="str">
        <f>IF(AA185="","",IF(VLOOKUP(AA185,'G-3 Multipliers'!$L$3:$N$6,3,FALSE)=0,"Spatial Data Missing ⚠",VLOOKUP(AA185,'G-3 Multipliers'!$L$3:$N$6,3,FALSE)))</f>
        <v/>
      </c>
      <c r="AD185" s="317" t="str">
        <f t="shared" si="21"/>
        <v/>
      </c>
      <c r="AE185" s="142"/>
      <c r="AF185" s="142"/>
      <c r="AG185" s="301" t="str">
        <f t="shared" si="24"/>
        <v/>
      </c>
      <c r="AH185" s="302" t="str">
        <f t="shared" si="25"/>
        <v/>
      </c>
      <c r="AI185" s="306" t="str">
        <f>IF(AH185="Check Data ⚠","Check Data ⚠",IFERROR(VLOOKUP(AH185,'G-4 Temporal multipliers'!$A$4:$C$36,3,FALSE),""))</f>
        <v/>
      </c>
      <c r="AJ185" s="317" t="str">
        <f>IF(S185="","",VLOOKUP(S185,'G-3 Multipliers'!$A$2:$E$134,4,FALSE))</f>
        <v/>
      </c>
      <c r="AK185" s="301" t="str">
        <f t="shared" si="26"/>
        <v/>
      </c>
      <c r="AL185" s="301" t="str">
        <f t="shared" si="27"/>
        <v/>
      </c>
      <c r="AM185" s="305" t="str">
        <f>IFERROR(IF(F185="","",IF(AH185="Check Data ⚠","Check Data ⚠",VLOOKUP(AL185, 'G-3 Multipliers'!$P$2:$Q$6,2,FALSE))),"")</f>
        <v/>
      </c>
      <c r="AN185" s="728"/>
      <c r="AO185" s="335" t="str">
        <f>IF(AN185="","",IF(VLOOKUP(AN185,'G-3 Multipliers'!$S$3:$T$10,2,FALSE)=0,"Spatial Data Missing ⚠",VLOOKUP(AN185,'G-3 Multipliers'!$S$3:$T$10,2,FALSE)))</f>
        <v/>
      </c>
      <c r="AP185" s="295" t="str">
        <f t="shared" si="28"/>
        <v/>
      </c>
      <c r="AQ185" s="295" t="str">
        <f t="shared" si="29"/>
        <v/>
      </c>
      <c r="AR185" s="109"/>
      <c r="AS185" s="142"/>
      <c r="AT185" s="108"/>
      <c r="AU185" s="108"/>
      <c r="AY185" s="30" t="str">
        <f>IF(E185="","",IF(ISNA(VLOOKUP($E185,'D-1 Off-Site Habitat Baseline'!$D$1:$AV$258,4,FALSE)),"",(VLOOKUP($E185,'D-1 Off-Site Habitat Baseline'!$D$1:$AV$258,4,FALSE))))</f>
        <v/>
      </c>
    </row>
    <row r="186" spans="1:51" x14ac:dyDescent="0.25">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325" t="str">
        <f>'D-1 Off-Site Habitat Baseline'!AP185</f>
        <v/>
      </c>
      <c r="F186" s="289" t="str">
        <f>IF(E186="","",IF(ISNA(VLOOKUP($E186,'D-1 Off-Site Habitat Baseline'!$D$1:$ZZ$258,45,FALSE)),"",(VLOOKUP($E186,'D-1 Off-Site Habitat Baseline'!$D$1:$ZZ$258,45,FALSE))))</f>
        <v/>
      </c>
      <c r="G186" s="301" t="str">
        <f>IF(E186="","",IF(ISNA(VLOOKUP($E186,'D-1 Off-Site Habitat Baseline'!$D$1:$O$258,5,FALSE)),"",(VLOOKUP($E186,'D-1 Off-Site Habitat Baseline'!$D$1:$O$258,5,FALSE))))</f>
        <v/>
      </c>
      <c r="H186" s="301" t="str">
        <f>IF(E186="","",IF(ISNA(VLOOKUP($E186,'D-1 Off-Site Habitat Baseline'!$D$1:$O$258,6,FALSE)),"",(VLOOKUP($E186,'D-1 Off-Site Habitat Baseline'!$D$1:$O$258,6,FALSE))))</f>
        <v/>
      </c>
      <c r="I186" s="301" t="str">
        <f>IF(E186="","",IF(ISNA(VLOOKUP($E186,'D-1 Off-Site Habitat Baseline'!$D$1:$O$258,7,FALSE)),"",(VLOOKUP($E186,'D-1 Off-Site Habitat Baseline'!$D$1:$O$258,7,FALSE))))</f>
        <v/>
      </c>
      <c r="J186" s="301" t="str">
        <f>IF(E186="","",IF(ISNA(VLOOKUP($E186,'D-1 Off-Site Habitat Baseline'!$D$1:$O$258,8,FALSE)),"",(VLOOKUP($E186,'D-1 Off-Site Habitat Baseline'!$D$1:$O$258,8,FALSE))))</f>
        <v/>
      </c>
      <c r="K186" s="301" t="str">
        <f>IF(E186="","",IF(ISNA(VLOOKUP($E186,'D-1 Off-Site Habitat Baseline'!$D$1:$O$258,9,FALSE)),"",(VLOOKUP($E186,'D-1 Off-Site Habitat Baseline'!$D$1:$O$258,9,FALSE))))</f>
        <v/>
      </c>
      <c r="L186" s="301" t="str">
        <f>IF(E186="","",IF(ISNA(VLOOKUP($E186,'D-1 Off-Site Habitat Baseline'!$D$1:$O$258,11,FALSE)),"",(VLOOKUP($E186,'D-1 Off-Site Habitat Baseline'!$D$1:$O$258,11,FALSE))))</f>
        <v/>
      </c>
      <c r="M186" s="301" t="str">
        <f>IF(E186="","",IF(ISNA(VLOOKUP($E186,'D-1 Off-Site Habitat Baseline'!$D$1:$O$258,12,FALSE)),"",(VLOOKUP($E186,'D-1 Off-Site Habitat Baseline'!$D$1:$O$258,12,FALSE))))</f>
        <v/>
      </c>
      <c r="N186" s="301" t="str">
        <f>IF(E186="","",IF(ISNA(VLOOKUP($E186,'D-1 Off-Site Habitat Baseline'!$D$1:$AA$258,17,FALSE)),"",(VLOOKUP($E186,'D-1 Off-Site Habitat Baseline'!$D$1:$AA$258,17,FALSE))))</f>
        <v/>
      </c>
      <c r="O186" s="305" t="str">
        <f>IF(E186="","",IF(ISNA(VLOOKUP($E186,'D-1 Off-Site Habitat Baseline'!$D$1:$AA$258,13,FALSE)),"",(VLOOKUP($E186,'D-1 Off-Site Habitat Baseline'!$D$1:$AA$258,13,FALSE))))</f>
        <v/>
      </c>
      <c r="P186" s="152" t="str">
        <f>IFERROR(INDEX('G-1 All Habitats'!$AG$49:$AG$63,MATCH(Q186,'G-1 All Habitats'!$AF$27:$AF$41,0)),"")</f>
        <v/>
      </c>
      <c r="Q186" s="153"/>
      <c r="R186" s="154"/>
      <c r="S186" s="155" t="str">
        <f>IFERROR(INDEX('G-1 All Habitats'!$B$3:$B$135,MATCH(R186,'G-1 All Habitats'!$A$3:$A$135,0)),"")</f>
        <v/>
      </c>
      <c r="T186" s="289" t="str">
        <f t="shared" si="22"/>
        <v/>
      </c>
      <c r="U186" s="305" t="str">
        <f t="shared" si="23"/>
        <v/>
      </c>
      <c r="V186" s="304" t="str">
        <f t="shared" si="20"/>
        <v/>
      </c>
      <c r="W186" s="301" t="str">
        <f>IF(S186="","",VLOOKUP(S186,'G-1 All Habitats'!$B$2:$M$135,10,FALSE))</f>
        <v/>
      </c>
      <c r="X186" s="301" t="str">
        <f>IFERROR(VLOOKUP(W186,'G-1 All Habitats'!$V$3:$W$7,2,FALSE),"")</f>
        <v/>
      </c>
      <c r="Y186" s="142"/>
      <c r="Z186" s="305" t="str">
        <f>IFERROR(INDEX('G-8 Condition Look up'!$A$3:$H$135,MATCH(S186,'G-8 Condition Look up'!$A$3:$A$135,0),MATCH(Y186,'G-8 Condition Look up'!$A$3:$H$3,0)),"")</f>
        <v/>
      </c>
      <c r="AA186" s="105"/>
      <c r="AB186" s="320" t="str">
        <f>IF(AA186="","",IF(VLOOKUP(AA186,'G-3 Multipliers'!$L$3:$N$6,2,FALSE)=0,"Spatial Data Missing ⚠",VLOOKUP(AA186,'G-3 Multipliers'!$L$3:$N$6,2,FALSE)))</f>
        <v/>
      </c>
      <c r="AC186" s="305" t="str">
        <f>IF(AA186="","",IF(VLOOKUP(AA186,'G-3 Multipliers'!$L$3:$N$6,3,FALSE)=0,"Spatial Data Missing ⚠",VLOOKUP(AA186,'G-3 Multipliers'!$L$3:$N$6,3,FALSE)))</f>
        <v/>
      </c>
      <c r="AD186" s="317" t="str">
        <f t="shared" si="21"/>
        <v/>
      </c>
      <c r="AE186" s="142"/>
      <c r="AF186" s="142"/>
      <c r="AG186" s="301" t="str">
        <f t="shared" si="24"/>
        <v/>
      </c>
      <c r="AH186" s="302" t="str">
        <f t="shared" si="25"/>
        <v/>
      </c>
      <c r="AI186" s="306" t="str">
        <f>IF(AH186="Check Data ⚠","Check Data ⚠",IFERROR(VLOOKUP(AH186,'G-4 Temporal multipliers'!$A$4:$C$36,3,FALSE),""))</f>
        <v/>
      </c>
      <c r="AJ186" s="317" t="str">
        <f>IF(S186="","",VLOOKUP(S186,'G-3 Multipliers'!$A$2:$E$134,4,FALSE))</f>
        <v/>
      </c>
      <c r="AK186" s="301" t="str">
        <f t="shared" si="26"/>
        <v/>
      </c>
      <c r="AL186" s="301" t="str">
        <f t="shared" si="27"/>
        <v/>
      </c>
      <c r="AM186" s="305" t="str">
        <f>IFERROR(IF(F186="","",IF(AH186="Check Data ⚠","Check Data ⚠",VLOOKUP(AL186, 'G-3 Multipliers'!$P$2:$Q$6,2,FALSE))),"")</f>
        <v/>
      </c>
      <c r="AN186" s="728"/>
      <c r="AO186" s="335" t="str">
        <f>IF(AN186="","",IF(VLOOKUP(AN186,'G-3 Multipliers'!$S$3:$T$10,2,FALSE)=0,"Spatial Data Missing ⚠",VLOOKUP(AN186,'G-3 Multipliers'!$S$3:$T$10,2,FALSE)))</f>
        <v/>
      </c>
      <c r="AP186" s="295" t="str">
        <f t="shared" si="28"/>
        <v/>
      </c>
      <c r="AQ186" s="295" t="str">
        <f t="shared" si="29"/>
        <v/>
      </c>
      <c r="AR186" s="109"/>
      <c r="AS186" s="142"/>
      <c r="AT186" s="108"/>
      <c r="AU186" s="108"/>
      <c r="AY186" s="30" t="str">
        <f>IF(E186="","",IF(ISNA(VLOOKUP($E186,'D-1 Off-Site Habitat Baseline'!$D$1:$AV$258,4,FALSE)),"",(VLOOKUP($E186,'D-1 Off-Site Habitat Baseline'!$D$1:$AV$258,4,FALSE))))</f>
        <v/>
      </c>
    </row>
    <row r="187" spans="1:51" x14ac:dyDescent="0.25">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325" t="str">
        <f>'D-1 Off-Site Habitat Baseline'!AP186</f>
        <v/>
      </c>
      <c r="F187" s="289" t="str">
        <f>IF(E187="","",IF(ISNA(VLOOKUP($E187,'D-1 Off-Site Habitat Baseline'!$D$1:$ZZ$258,45,FALSE)),"",(VLOOKUP($E187,'D-1 Off-Site Habitat Baseline'!$D$1:$ZZ$258,45,FALSE))))</f>
        <v/>
      </c>
      <c r="G187" s="301" t="str">
        <f>IF(E187="","",IF(ISNA(VLOOKUP($E187,'D-1 Off-Site Habitat Baseline'!$D$1:$O$258,5,FALSE)),"",(VLOOKUP($E187,'D-1 Off-Site Habitat Baseline'!$D$1:$O$258,5,FALSE))))</f>
        <v/>
      </c>
      <c r="H187" s="301" t="str">
        <f>IF(E187="","",IF(ISNA(VLOOKUP($E187,'D-1 Off-Site Habitat Baseline'!$D$1:$O$258,6,FALSE)),"",(VLOOKUP($E187,'D-1 Off-Site Habitat Baseline'!$D$1:$O$258,6,FALSE))))</f>
        <v/>
      </c>
      <c r="I187" s="301" t="str">
        <f>IF(E187="","",IF(ISNA(VLOOKUP($E187,'D-1 Off-Site Habitat Baseline'!$D$1:$O$258,7,FALSE)),"",(VLOOKUP($E187,'D-1 Off-Site Habitat Baseline'!$D$1:$O$258,7,FALSE))))</f>
        <v/>
      </c>
      <c r="J187" s="301" t="str">
        <f>IF(E187="","",IF(ISNA(VLOOKUP($E187,'D-1 Off-Site Habitat Baseline'!$D$1:$O$258,8,FALSE)),"",(VLOOKUP($E187,'D-1 Off-Site Habitat Baseline'!$D$1:$O$258,8,FALSE))))</f>
        <v/>
      </c>
      <c r="K187" s="301" t="str">
        <f>IF(E187="","",IF(ISNA(VLOOKUP($E187,'D-1 Off-Site Habitat Baseline'!$D$1:$O$258,9,FALSE)),"",(VLOOKUP($E187,'D-1 Off-Site Habitat Baseline'!$D$1:$O$258,9,FALSE))))</f>
        <v/>
      </c>
      <c r="L187" s="301" t="str">
        <f>IF(E187="","",IF(ISNA(VLOOKUP($E187,'D-1 Off-Site Habitat Baseline'!$D$1:$O$258,11,FALSE)),"",(VLOOKUP($E187,'D-1 Off-Site Habitat Baseline'!$D$1:$O$258,11,FALSE))))</f>
        <v/>
      </c>
      <c r="M187" s="301" t="str">
        <f>IF(E187="","",IF(ISNA(VLOOKUP($E187,'D-1 Off-Site Habitat Baseline'!$D$1:$O$258,12,FALSE)),"",(VLOOKUP($E187,'D-1 Off-Site Habitat Baseline'!$D$1:$O$258,12,FALSE))))</f>
        <v/>
      </c>
      <c r="N187" s="301" t="str">
        <f>IF(E187="","",IF(ISNA(VLOOKUP($E187,'D-1 Off-Site Habitat Baseline'!$D$1:$AA$258,17,FALSE)),"",(VLOOKUP($E187,'D-1 Off-Site Habitat Baseline'!$D$1:$AA$258,17,FALSE))))</f>
        <v/>
      </c>
      <c r="O187" s="305" t="str">
        <f>IF(E187="","",IF(ISNA(VLOOKUP($E187,'D-1 Off-Site Habitat Baseline'!$D$1:$AA$258,13,FALSE)),"",(VLOOKUP($E187,'D-1 Off-Site Habitat Baseline'!$D$1:$AA$258,13,FALSE))))</f>
        <v/>
      </c>
      <c r="P187" s="152" t="str">
        <f>IFERROR(INDEX('G-1 All Habitats'!$AG$49:$AG$63,MATCH(Q187,'G-1 All Habitats'!$AF$27:$AF$41,0)),"")</f>
        <v/>
      </c>
      <c r="Q187" s="153"/>
      <c r="R187" s="154"/>
      <c r="S187" s="155" t="str">
        <f>IFERROR(INDEX('G-1 All Habitats'!$B$3:$B$135,MATCH(R187,'G-1 All Habitats'!$A$3:$A$135,0)),"")</f>
        <v/>
      </c>
      <c r="T187" s="289" t="str">
        <f t="shared" si="22"/>
        <v/>
      </c>
      <c r="U187" s="305" t="str">
        <f t="shared" si="23"/>
        <v/>
      </c>
      <c r="V187" s="304" t="str">
        <f t="shared" si="20"/>
        <v/>
      </c>
      <c r="W187" s="301" t="str">
        <f>IF(S187="","",VLOOKUP(S187,'G-1 All Habitats'!$B$2:$M$135,10,FALSE))</f>
        <v/>
      </c>
      <c r="X187" s="301" t="str">
        <f>IFERROR(VLOOKUP(W187,'G-1 All Habitats'!$V$3:$W$7,2,FALSE),"")</f>
        <v/>
      </c>
      <c r="Y187" s="142"/>
      <c r="Z187" s="305" t="str">
        <f>IFERROR(INDEX('G-8 Condition Look up'!$A$3:$H$135,MATCH(S187,'G-8 Condition Look up'!$A$3:$A$135,0),MATCH(Y187,'G-8 Condition Look up'!$A$3:$H$3,0)),"")</f>
        <v/>
      </c>
      <c r="AA187" s="105"/>
      <c r="AB187" s="320" t="str">
        <f>IF(AA187="","",IF(VLOOKUP(AA187,'G-3 Multipliers'!$L$3:$N$6,2,FALSE)=0,"Spatial Data Missing ⚠",VLOOKUP(AA187,'G-3 Multipliers'!$L$3:$N$6,2,FALSE)))</f>
        <v/>
      </c>
      <c r="AC187" s="305" t="str">
        <f>IF(AA187="","",IF(VLOOKUP(AA187,'G-3 Multipliers'!$L$3:$N$6,3,FALSE)=0,"Spatial Data Missing ⚠",VLOOKUP(AA187,'G-3 Multipliers'!$L$3:$N$6,3,FALSE)))</f>
        <v/>
      </c>
      <c r="AD187" s="317" t="str">
        <f t="shared" si="21"/>
        <v/>
      </c>
      <c r="AE187" s="142"/>
      <c r="AF187" s="142"/>
      <c r="AG187" s="301" t="str">
        <f t="shared" si="24"/>
        <v/>
      </c>
      <c r="AH187" s="302" t="str">
        <f t="shared" si="25"/>
        <v/>
      </c>
      <c r="AI187" s="306" t="str">
        <f>IF(AH187="Check Data ⚠","Check Data ⚠",IFERROR(VLOOKUP(AH187,'G-4 Temporal multipliers'!$A$4:$C$36,3,FALSE),""))</f>
        <v/>
      </c>
      <c r="AJ187" s="317" t="str">
        <f>IF(S187="","",VLOOKUP(S187,'G-3 Multipliers'!$A$2:$E$134,4,FALSE))</f>
        <v/>
      </c>
      <c r="AK187" s="301" t="str">
        <f t="shared" si="26"/>
        <v/>
      </c>
      <c r="AL187" s="301" t="str">
        <f t="shared" si="27"/>
        <v/>
      </c>
      <c r="AM187" s="305" t="str">
        <f>IFERROR(IF(F187="","",IF(AH187="Check Data ⚠","Check Data ⚠",VLOOKUP(AL187, 'G-3 Multipliers'!$P$2:$Q$6,2,FALSE))),"")</f>
        <v/>
      </c>
      <c r="AN187" s="728"/>
      <c r="AO187" s="335" t="str">
        <f>IF(AN187="","",IF(VLOOKUP(AN187,'G-3 Multipliers'!$S$3:$T$10,2,FALSE)=0,"Spatial Data Missing ⚠",VLOOKUP(AN187,'G-3 Multipliers'!$S$3:$T$10,2,FALSE)))</f>
        <v/>
      </c>
      <c r="AP187" s="295" t="str">
        <f t="shared" si="28"/>
        <v/>
      </c>
      <c r="AQ187" s="295" t="str">
        <f t="shared" si="29"/>
        <v/>
      </c>
      <c r="AR187" s="109"/>
      <c r="AS187" s="142"/>
      <c r="AT187" s="108"/>
      <c r="AU187" s="108"/>
      <c r="AY187" s="30" t="str">
        <f>IF(E187="","",IF(ISNA(VLOOKUP($E187,'D-1 Off-Site Habitat Baseline'!$D$1:$AV$258,4,FALSE)),"",(VLOOKUP($E187,'D-1 Off-Site Habitat Baseline'!$D$1:$AV$258,4,FALSE))))</f>
        <v/>
      </c>
    </row>
    <row r="188" spans="1:51" x14ac:dyDescent="0.25">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325" t="str">
        <f>'D-1 Off-Site Habitat Baseline'!AP187</f>
        <v/>
      </c>
      <c r="F188" s="289" t="str">
        <f>IF(E188="","",IF(ISNA(VLOOKUP($E188,'D-1 Off-Site Habitat Baseline'!$D$1:$ZZ$258,45,FALSE)),"",(VLOOKUP($E188,'D-1 Off-Site Habitat Baseline'!$D$1:$ZZ$258,45,FALSE))))</f>
        <v/>
      </c>
      <c r="G188" s="301" t="str">
        <f>IF(E188="","",IF(ISNA(VLOOKUP($E188,'D-1 Off-Site Habitat Baseline'!$D$1:$O$258,5,FALSE)),"",(VLOOKUP($E188,'D-1 Off-Site Habitat Baseline'!$D$1:$O$258,5,FALSE))))</f>
        <v/>
      </c>
      <c r="H188" s="301" t="str">
        <f>IF(E188="","",IF(ISNA(VLOOKUP($E188,'D-1 Off-Site Habitat Baseline'!$D$1:$O$258,6,FALSE)),"",(VLOOKUP($E188,'D-1 Off-Site Habitat Baseline'!$D$1:$O$258,6,FALSE))))</f>
        <v/>
      </c>
      <c r="I188" s="301" t="str">
        <f>IF(E188="","",IF(ISNA(VLOOKUP($E188,'D-1 Off-Site Habitat Baseline'!$D$1:$O$258,7,FALSE)),"",(VLOOKUP($E188,'D-1 Off-Site Habitat Baseline'!$D$1:$O$258,7,FALSE))))</f>
        <v/>
      </c>
      <c r="J188" s="301" t="str">
        <f>IF(E188="","",IF(ISNA(VLOOKUP($E188,'D-1 Off-Site Habitat Baseline'!$D$1:$O$258,8,FALSE)),"",(VLOOKUP($E188,'D-1 Off-Site Habitat Baseline'!$D$1:$O$258,8,FALSE))))</f>
        <v/>
      </c>
      <c r="K188" s="301" t="str">
        <f>IF(E188="","",IF(ISNA(VLOOKUP($E188,'D-1 Off-Site Habitat Baseline'!$D$1:$O$258,9,FALSE)),"",(VLOOKUP($E188,'D-1 Off-Site Habitat Baseline'!$D$1:$O$258,9,FALSE))))</f>
        <v/>
      </c>
      <c r="L188" s="301" t="str">
        <f>IF(E188="","",IF(ISNA(VLOOKUP($E188,'D-1 Off-Site Habitat Baseline'!$D$1:$O$258,11,FALSE)),"",(VLOOKUP($E188,'D-1 Off-Site Habitat Baseline'!$D$1:$O$258,11,FALSE))))</f>
        <v/>
      </c>
      <c r="M188" s="301" t="str">
        <f>IF(E188="","",IF(ISNA(VLOOKUP($E188,'D-1 Off-Site Habitat Baseline'!$D$1:$O$258,12,FALSE)),"",(VLOOKUP($E188,'D-1 Off-Site Habitat Baseline'!$D$1:$O$258,12,FALSE))))</f>
        <v/>
      </c>
      <c r="N188" s="301" t="str">
        <f>IF(E188="","",IF(ISNA(VLOOKUP($E188,'D-1 Off-Site Habitat Baseline'!$D$1:$AA$258,17,FALSE)),"",(VLOOKUP($E188,'D-1 Off-Site Habitat Baseline'!$D$1:$AA$258,17,FALSE))))</f>
        <v/>
      </c>
      <c r="O188" s="305" t="str">
        <f>IF(E188="","",IF(ISNA(VLOOKUP($E188,'D-1 Off-Site Habitat Baseline'!$D$1:$AA$258,13,FALSE)),"",(VLOOKUP($E188,'D-1 Off-Site Habitat Baseline'!$D$1:$AA$258,13,FALSE))))</f>
        <v/>
      </c>
      <c r="P188" s="152" t="str">
        <f>IFERROR(INDEX('G-1 All Habitats'!$AG$49:$AG$63,MATCH(Q188,'G-1 All Habitats'!$AF$27:$AF$41,0)),"")</f>
        <v/>
      </c>
      <c r="Q188" s="153"/>
      <c r="R188" s="154"/>
      <c r="S188" s="155" t="str">
        <f>IFERROR(INDEX('G-1 All Habitats'!$B$3:$B$135,MATCH(R188,'G-1 All Habitats'!$A$3:$A$135,0)),"")</f>
        <v/>
      </c>
      <c r="T188" s="289" t="str">
        <f t="shared" si="22"/>
        <v/>
      </c>
      <c r="U188" s="305" t="str">
        <f t="shared" si="23"/>
        <v/>
      </c>
      <c r="V188" s="304" t="str">
        <f t="shared" si="20"/>
        <v/>
      </c>
      <c r="W188" s="301" t="str">
        <f>IF(S188="","",VLOOKUP(S188,'G-1 All Habitats'!$B$2:$M$135,10,FALSE))</f>
        <v/>
      </c>
      <c r="X188" s="301" t="str">
        <f>IFERROR(VLOOKUP(W188,'G-1 All Habitats'!$V$3:$W$7,2,FALSE),"")</f>
        <v/>
      </c>
      <c r="Y188" s="142"/>
      <c r="Z188" s="305" t="str">
        <f>IFERROR(INDEX('G-8 Condition Look up'!$A$3:$H$135,MATCH(S188,'G-8 Condition Look up'!$A$3:$A$135,0),MATCH(Y188,'G-8 Condition Look up'!$A$3:$H$3,0)),"")</f>
        <v/>
      </c>
      <c r="AA188" s="105"/>
      <c r="AB188" s="320" t="str">
        <f>IF(AA188="","",IF(VLOOKUP(AA188,'G-3 Multipliers'!$L$3:$N$6,2,FALSE)=0,"Spatial Data Missing ⚠",VLOOKUP(AA188,'G-3 Multipliers'!$L$3:$N$6,2,FALSE)))</f>
        <v/>
      </c>
      <c r="AC188" s="305" t="str">
        <f>IF(AA188="","",IF(VLOOKUP(AA188,'G-3 Multipliers'!$L$3:$N$6,3,FALSE)=0,"Spatial Data Missing ⚠",VLOOKUP(AA188,'G-3 Multipliers'!$L$3:$N$6,3,FALSE)))</f>
        <v/>
      </c>
      <c r="AD188" s="317" t="str">
        <f t="shared" si="21"/>
        <v/>
      </c>
      <c r="AE188" s="142"/>
      <c r="AF188" s="142"/>
      <c r="AG188" s="301" t="str">
        <f t="shared" si="24"/>
        <v/>
      </c>
      <c r="AH188" s="302" t="str">
        <f t="shared" si="25"/>
        <v/>
      </c>
      <c r="AI188" s="306" t="str">
        <f>IF(AH188="Check Data ⚠","Check Data ⚠",IFERROR(VLOOKUP(AH188,'G-4 Temporal multipliers'!$A$4:$C$36,3,FALSE),""))</f>
        <v/>
      </c>
      <c r="AJ188" s="317" t="str">
        <f>IF(S188="","",VLOOKUP(S188,'G-3 Multipliers'!$A$2:$E$134,4,FALSE))</f>
        <v/>
      </c>
      <c r="AK188" s="301" t="str">
        <f t="shared" si="26"/>
        <v/>
      </c>
      <c r="AL188" s="301" t="str">
        <f t="shared" si="27"/>
        <v/>
      </c>
      <c r="AM188" s="305" t="str">
        <f>IFERROR(IF(F188="","",IF(AH188="Check Data ⚠","Check Data ⚠",VLOOKUP(AL188, 'G-3 Multipliers'!$P$2:$Q$6,2,FALSE))),"")</f>
        <v/>
      </c>
      <c r="AN188" s="728"/>
      <c r="AO188" s="335" t="str">
        <f>IF(AN188="","",IF(VLOOKUP(AN188,'G-3 Multipliers'!$S$3:$T$10,2,FALSE)=0,"Spatial Data Missing ⚠",VLOOKUP(AN188,'G-3 Multipliers'!$S$3:$T$10,2,FALSE)))</f>
        <v/>
      </c>
      <c r="AP188" s="295" t="str">
        <f t="shared" si="28"/>
        <v/>
      </c>
      <c r="AQ188" s="295" t="str">
        <f t="shared" si="29"/>
        <v/>
      </c>
      <c r="AR188" s="109"/>
      <c r="AS188" s="142"/>
      <c r="AT188" s="108"/>
      <c r="AU188" s="108"/>
      <c r="AY188" s="30" t="str">
        <f>IF(E188="","",IF(ISNA(VLOOKUP($E188,'D-1 Off-Site Habitat Baseline'!$D$1:$AV$258,4,FALSE)),"",(VLOOKUP($E188,'D-1 Off-Site Habitat Baseline'!$D$1:$AV$258,4,FALSE))))</f>
        <v/>
      </c>
    </row>
    <row r="189" spans="1:51" x14ac:dyDescent="0.25">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325" t="str">
        <f>'D-1 Off-Site Habitat Baseline'!AP188</f>
        <v/>
      </c>
      <c r="F189" s="289" t="str">
        <f>IF(E189="","",IF(ISNA(VLOOKUP($E189,'D-1 Off-Site Habitat Baseline'!$D$1:$ZZ$258,45,FALSE)),"",(VLOOKUP($E189,'D-1 Off-Site Habitat Baseline'!$D$1:$ZZ$258,45,FALSE))))</f>
        <v/>
      </c>
      <c r="G189" s="301" t="str">
        <f>IF(E189="","",IF(ISNA(VLOOKUP($E189,'D-1 Off-Site Habitat Baseline'!$D$1:$O$258,5,FALSE)),"",(VLOOKUP($E189,'D-1 Off-Site Habitat Baseline'!$D$1:$O$258,5,FALSE))))</f>
        <v/>
      </c>
      <c r="H189" s="301" t="str">
        <f>IF(E189="","",IF(ISNA(VLOOKUP($E189,'D-1 Off-Site Habitat Baseline'!$D$1:$O$258,6,FALSE)),"",(VLOOKUP($E189,'D-1 Off-Site Habitat Baseline'!$D$1:$O$258,6,FALSE))))</f>
        <v/>
      </c>
      <c r="I189" s="301" t="str">
        <f>IF(E189="","",IF(ISNA(VLOOKUP($E189,'D-1 Off-Site Habitat Baseline'!$D$1:$O$258,7,FALSE)),"",(VLOOKUP($E189,'D-1 Off-Site Habitat Baseline'!$D$1:$O$258,7,FALSE))))</f>
        <v/>
      </c>
      <c r="J189" s="301" t="str">
        <f>IF(E189="","",IF(ISNA(VLOOKUP($E189,'D-1 Off-Site Habitat Baseline'!$D$1:$O$258,8,FALSE)),"",(VLOOKUP($E189,'D-1 Off-Site Habitat Baseline'!$D$1:$O$258,8,FALSE))))</f>
        <v/>
      </c>
      <c r="K189" s="301" t="str">
        <f>IF(E189="","",IF(ISNA(VLOOKUP($E189,'D-1 Off-Site Habitat Baseline'!$D$1:$O$258,9,FALSE)),"",(VLOOKUP($E189,'D-1 Off-Site Habitat Baseline'!$D$1:$O$258,9,FALSE))))</f>
        <v/>
      </c>
      <c r="L189" s="301" t="str">
        <f>IF(E189="","",IF(ISNA(VLOOKUP($E189,'D-1 Off-Site Habitat Baseline'!$D$1:$O$258,11,FALSE)),"",(VLOOKUP($E189,'D-1 Off-Site Habitat Baseline'!$D$1:$O$258,11,FALSE))))</f>
        <v/>
      </c>
      <c r="M189" s="301" t="str">
        <f>IF(E189="","",IF(ISNA(VLOOKUP($E189,'D-1 Off-Site Habitat Baseline'!$D$1:$O$258,12,FALSE)),"",(VLOOKUP($E189,'D-1 Off-Site Habitat Baseline'!$D$1:$O$258,12,FALSE))))</f>
        <v/>
      </c>
      <c r="N189" s="301" t="str">
        <f>IF(E189="","",IF(ISNA(VLOOKUP($E189,'D-1 Off-Site Habitat Baseline'!$D$1:$AA$258,17,FALSE)),"",(VLOOKUP($E189,'D-1 Off-Site Habitat Baseline'!$D$1:$AA$258,17,FALSE))))</f>
        <v/>
      </c>
      <c r="O189" s="305" t="str">
        <f>IF(E189="","",IF(ISNA(VLOOKUP($E189,'D-1 Off-Site Habitat Baseline'!$D$1:$AA$258,13,FALSE)),"",(VLOOKUP($E189,'D-1 Off-Site Habitat Baseline'!$D$1:$AA$258,13,FALSE))))</f>
        <v/>
      </c>
      <c r="P189" s="152" t="str">
        <f>IFERROR(INDEX('G-1 All Habitats'!$AG$49:$AG$63,MATCH(Q189,'G-1 All Habitats'!$AF$27:$AF$41,0)),"")</f>
        <v/>
      </c>
      <c r="Q189" s="153"/>
      <c r="R189" s="154"/>
      <c r="S189" s="155" t="str">
        <f>IFERROR(INDEX('G-1 All Habitats'!$B$3:$B$135,MATCH(R189,'G-1 All Habitats'!$A$3:$A$135,0)),"")</f>
        <v/>
      </c>
      <c r="T189" s="289" t="str">
        <f t="shared" si="22"/>
        <v/>
      </c>
      <c r="U189" s="305" t="str">
        <f t="shared" si="23"/>
        <v/>
      </c>
      <c r="V189" s="304" t="str">
        <f t="shared" si="20"/>
        <v/>
      </c>
      <c r="W189" s="301" t="str">
        <f>IF(S189="","",VLOOKUP(S189,'G-1 All Habitats'!$B$2:$M$135,10,FALSE))</f>
        <v/>
      </c>
      <c r="X189" s="301" t="str">
        <f>IFERROR(VLOOKUP(W189,'G-1 All Habitats'!$V$3:$W$7,2,FALSE),"")</f>
        <v/>
      </c>
      <c r="Y189" s="142"/>
      <c r="Z189" s="305" t="str">
        <f>IFERROR(INDEX('G-8 Condition Look up'!$A$3:$H$135,MATCH(S189,'G-8 Condition Look up'!$A$3:$A$135,0),MATCH(Y189,'G-8 Condition Look up'!$A$3:$H$3,0)),"")</f>
        <v/>
      </c>
      <c r="AA189" s="105"/>
      <c r="AB189" s="320" t="str">
        <f>IF(AA189="","",IF(VLOOKUP(AA189,'G-3 Multipliers'!$L$3:$N$6,2,FALSE)=0,"Spatial Data Missing ⚠",VLOOKUP(AA189,'G-3 Multipliers'!$L$3:$N$6,2,FALSE)))</f>
        <v/>
      </c>
      <c r="AC189" s="305" t="str">
        <f>IF(AA189="","",IF(VLOOKUP(AA189,'G-3 Multipliers'!$L$3:$N$6,3,FALSE)=0,"Spatial Data Missing ⚠",VLOOKUP(AA189,'G-3 Multipliers'!$L$3:$N$6,3,FALSE)))</f>
        <v/>
      </c>
      <c r="AD189" s="317" t="str">
        <f t="shared" si="21"/>
        <v/>
      </c>
      <c r="AE189" s="142"/>
      <c r="AF189" s="142"/>
      <c r="AG189" s="301" t="str">
        <f t="shared" si="24"/>
        <v/>
      </c>
      <c r="AH189" s="302" t="str">
        <f t="shared" si="25"/>
        <v/>
      </c>
      <c r="AI189" s="306" t="str">
        <f>IF(AH189="Check Data ⚠","Check Data ⚠",IFERROR(VLOOKUP(AH189,'G-4 Temporal multipliers'!$A$4:$C$36,3,FALSE),""))</f>
        <v/>
      </c>
      <c r="AJ189" s="317" t="str">
        <f>IF(S189="","",VLOOKUP(S189,'G-3 Multipliers'!$A$2:$E$134,4,FALSE))</f>
        <v/>
      </c>
      <c r="AK189" s="301" t="str">
        <f t="shared" si="26"/>
        <v/>
      </c>
      <c r="AL189" s="301" t="str">
        <f t="shared" si="27"/>
        <v/>
      </c>
      <c r="AM189" s="305" t="str">
        <f>IFERROR(IF(F189="","",IF(AH189="Check Data ⚠","Check Data ⚠",VLOOKUP(AL189, 'G-3 Multipliers'!$P$2:$Q$6,2,FALSE))),"")</f>
        <v/>
      </c>
      <c r="AN189" s="728"/>
      <c r="AO189" s="335" t="str">
        <f>IF(AN189="","",IF(VLOOKUP(AN189,'G-3 Multipliers'!$S$3:$T$10,2,FALSE)=0,"Spatial Data Missing ⚠",VLOOKUP(AN189,'G-3 Multipliers'!$S$3:$T$10,2,FALSE)))</f>
        <v/>
      </c>
      <c r="AP189" s="295" t="str">
        <f t="shared" si="28"/>
        <v/>
      </c>
      <c r="AQ189" s="295" t="str">
        <f t="shared" si="29"/>
        <v/>
      </c>
      <c r="AR189" s="109"/>
      <c r="AS189" s="142"/>
      <c r="AT189" s="108"/>
      <c r="AU189" s="108"/>
      <c r="AY189" s="30" t="str">
        <f>IF(E189="","",IF(ISNA(VLOOKUP($E189,'D-1 Off-Site Habitat Baseline'!$D$1:$AV$258,4,FALSE)),"",(VLOOKUP($E189,'D-1 Off-Site Habitat Baseline'!$D$1:$AV$258,4,FALSE))))</f>
        <v/>
      </c>
    </row>
    <row r="190" spans="1:51" x14ac:dyDescent="0.25">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325" t="str">
        <f>'D-1 Off-Site Habitat Baseline'!AP189</f>
        <v/>
      </c>
      <c r="F190" s="289" t="str">
        <f>IF(E190="","",IF(ISNA(VLOOKUP($E190,'D-1 Off-Site Habitat Baseline'!$D$1:$ZZ$258,45,FALSE)),"",(VLOOKUP($E190,'D-1 Off-Site Habitat Baseline'!$D$1:$ZZ$258,45,FALSE))))</f>
        <v/>
      </c>
      <c r="G190" s="301" t="str">
        <f>IF(E190="","",IF(ISNA(VLOOKUP($E190,'D-1 Off-Site Habitat Baseline'!$D$1:$O$258,5,FALSE)),"",(VLOOKUP($E190,'D-1 Off-Site Habitat Baseline'!$D$1:$O$258,5,FALSE))))</f>
        <v/>
      </c>
      <c r="H190" s="301" t="str">
        <f>IF(E190="","",IF(ISNA(VLOOKUP($E190,'D-1 Off-Site Habitat Baseline'!$D$1:$O$258,6,FALSE)),"",(VLOOKUP($E190,'D-1 Off-Site Habitat Baseline'!$D$1:$O$258,6,FALSE))))</f>
        <v/>
      </c>
      <c r="I190" s="301" t="str">
        <f>IF(E190="","",IF(ISNA(VLOOKUP($E190,'D-1 Off-Site Habitat Baseline'!$D$1:$O$258,7,FALSE)),"",(VLOOKUP($E190,'D-1 Off-Site Habitat Baseline'!$D$1:$O$258,7,FALSE))))</f>
        <v/>
      </c>
      <c r="J190" s="301" t="str">
        <f>IF(E190="","",IF(ISNA(VLOOKUP($E190,'D-1 Off-Site Habitat Baseline'!$D$1:$O$258,8,FALSE)),"",(VLOOKUP($E190,'D-1 Off-Site Habitat Baseline'!$D$1:$O$258,8,FALSE))))</f>
        <v/>
      </c>
      <c r="K190" s="301" t="str">
        <f>IF(E190="","",IF(ISNA(VLOOKUP($E190,'D-1 Off-Site Habitat Baseline'!$D$1:$O$258,9,FALSE)),"",(VLOOKUP($E190,'D-1 Off-Site Habitat Baseline'!$D$1:$O$258,9,FALSE))))</f>
        <v/>
      </c>
      <c r="L190" s="301" t="str">
        <f>IF(E190="","",IF(ISNA(VLOOKUP($E190,'D-1 Off-Site Habitat Baseline'!$D$1:$O$258,11,FALSE)),"",(VLOOKUP($E190,'D-1 Off-Site Habitat Baseline'!$D$1:$O$258,11,FALSE))))</f>
        <v/>
      </c>
      <c r="M190" s="301" t="str">
        <f>IF(E190="","",IF(ISNA(VLOOKUP($E190,'D-1 Off-Site Habitat Baseline'!$D$1:$O$258,12,FALSE)),"",(VLOOKUP($E190,'D-1 Off-Site Habitat Baseline'!$D$1:$O$258,12,FALSE))))</f>
        <v/>
      </c>
      <c r="N190" s="301" t="str">
        <f>IF(E190="","",IF(ISNA(VLOOKUP($E190,'D-1 Off-Site Habitat Baseline'!$D$1:$AA$258,17,FALSE)),"",(VLOOKUP($E190,'D-1 Off-Site Habitat Baseline'!$D$1:$AA$258,17,FALSE))))</f>
        <v/>
      </c>
      <c r="O190" s="305" t="str">
        <f>IF(E190="","",IF(ISNA(VLOOKUP($E190,'D-1 Off-Site Habitat Baseline'!$D$1:$AA$258,13,FALSE)),"",(VLOOKUP($E190,'D-1 Off-Site Habitat Baseline'!$D$1:$AA$258,13,FALSE))))</f>
        <v/>
      </c>
      <c r="P190" s="152" t="str">
        <f>IFERROR(INDEX('G-1 All Habitats'!$AG$49:$AG$63,MATCH(Q190,'G-1 All Habitats'!$AF$27:$AF$41,0)),"")</f>
        <v/>
      </c>
      <c r="Q190" s="153"/>
      <c r="R190" s="154"/>
      <c r="S190" s="155" t="str">
        <f>IFERROR(INDEX('G-1 All Habitats'!$B$3:$B$135,MATCH(R190,'G-1 All Habitats'!$A$3:$A$135,0)),"")</f>
        <v/>
      </c>
      <c r="T190" s="289" t="str">
        <f t="shared" si="22"/>
        <v/>
      </c>
      <c r="U190" s="305" t="str">
        <f t="shared" si="23"/>
        <v/>
      </c>
      <c r="V190" s="304" t="str">
        <f t="shared" si="20"/>
        <v/>
      </c>
      <c r="W190" s="301" t="str">
        <f>IF(S190="","",VLOOKUP(S190,'G-1 All Habitats'!$B$2:$M$135,10,FALSE))</f>
        <v/>
      </c>
      <c r="X190" s="301" t="str">
        <f>IFERROR(VLOOKUP(W190,'G-1 All Habitats'!$V$3:$W$7,2,FALSE),"")</f>
        <v/>
      </c>
      <c r="Y190" s="142"/>
      <c r="Z190" s="305" t="str">
        <f>IFERROR(INDEX('G-8 Condition Look up'!$A$3:$H$135,MATCH(S190,'G-8 Condition Look up'!$A$3:$A$135,0),MATCH(Y190,'G-8 Condition Look up'!$A$3:$H$3,0)),"")</f>
        <v/>
      </c>
      <c r="AA190" s="105"/>
      <c r="AB190" s="320" t="str">
        <f>IF(AA190="","",IF(VLOOKUP(AA190,'G-3 Multipliers'!$L$3:$N$6,2,FALSE)=0,"Spatial Data Missing ⚠",VLOOKUP(AA190,'G-3 Multipliers'!$L$3:$N$6,2,FALSE)))</f>
        <v/>
      </c>
      <c r="AC190" s="305" t="str">
        <f>IF(AA190="","",IF(VLOOKUP(AA190,'G-3 Multipliers'!$L$3:$N$6,3,FALSE)=0,"Spatial Data Missing ⚠",VLOOKUP(AA190,'G-3 Multipliers'!$L$3:$N$6,3,FALSE)))</f>
        <v/>
      </c>
      <c r="AD190" s="317" t="str">
        <f t="shared" si="21"/>
        <v/>
      </c>
      <c r="AE190" s="142"/>
      <c r="AF190" s="142"/>
      <c r="AG190" s="301" t="str">
        <f t="shared" si="24"/>
        <v/>
      </c>
      <c r="AH190" s="302" t="str">
        <f t="shared" si="25"/>
        <v/>
      </c>
      <c r="AI190" s="306" t="str">
        <f>IF(AH190="Check Data ⚠","Check Data ⚠",IFERROR(VLOOKUP(AH190,'G-4 Temporal multipliers'!$A$4:$C$36,3,FALSE),""))</f>
        <v/>
      </c>
      <c r="AJ190" s="317" t="str">
        <f>IF(S190="","",VLOOKUP(S190,'G-3 Multipliers'!$A$2:$E$134,4,FALSE))</f>
        <v/>
      </c>
      <c r="AK190" s="301" t="str">
        <f t="shared" si="26"/>
        <v/>
      </c>
      <c r="AL190" s="301" t="str">
        <f t="shared" si="27"/>
        <v/>
      </c>
      <c r="AM190" s="305" t="str">
        <f>IFERROR(IF(F190="","",IF(AH190="Check Data ⚠","Check Data ⚠",VLOOKUP(AL190, 'G-3 Multipliers'!$P$2:$Q$6,2,FALSE))),"")</f>
        <v/>
      </c>
      <c r="AN190" s="728"/>
      <c r="AO190" s="335" t="str">
        <f>IF(AN190="","",IF(VLOOKUP(AN190,'G-3 Multipliers'!$S$3:$T$10,2,FALSE)=0,"Spatial Data Missing ⚠",VLOOKUP(AN190,'G-3 Multipliers'!$S$3:$T$10,2,FALSE)))</f>
        <v/>
      </c>
      <c r="AP190" s="295" t="str">
        <f t="shared" si="28"/>
        <v/>
      </c>
      <c r="AQ190" s="295" t="str">
        <f t="shared" si="29"/>
        <v/>
      </c>
      <c r="AR190" s="109"/>
      <c r="AS190" s="142"/>
      <c r="AT190" s="108"/>
      <c r="AU190" s="108"/>
      <c r="AY190" s="30" t="str">
        <f>IF(E190="","",IF(ISNA(VLOOKUP($E190,'D-1 Off-Site Habitat Baseline'!$D$1:$AV$258,4,FALSE)),"",(VLOOKUP($E190,'D-1 Off-Site Habitat Baseline'!$D$1:$AV$258,4,FALSE))))</f>
        <v/>
      </c>
    </row>
    <row r="191" spans="1:51" x14ac:dyDescent="0.25">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325" t="str">
        <f>'D-1 Off-Site Habitat Baseline'!AP190</f>
        <v/>
      </c>
      <c r="F191" s="289" t="str">
        <f>IF(E191="","",IF(ISNA(VLOOKUP($E191,'D-1 Off-Site Habitat Baseline'!$D$1:$ZZ$258,45,FALSE)),"",(VLOOKUP($E191,'D-1 Off-Site Habitat Baseline'!$D$1:$ZZ$258,45,FALSE))))</f>
        <v/>
      </c>
      <c r="G191" s="301" t="str">
        <f>IF(E191="","",IF(ISNA(VLOOKUP($E191,'D-1 Off-Site Habitat Baseline'!$D$1:$O$258,5,FALSE)),"",(VLOOKUP($E191,'D-1 Off-Site Habitat Baseline'!$D$1:$O$258,5,FALSE))))</f>
        <v/>
      </c>
      <c r="H191" s="301" t="str">
        <f>IF(E191="","",IF(ISNA(VLOOKUP($E191,'D-1 Off-Site Habitat Baseline'!$D$1:$O$258,6,FALSE)),"",(VLOOKUP($E191,'D-1 Off-Site Habitat Baseline'!$D$1:$O$258,6,FALSE))))</f>
        <v/>
      </c>
      <c r="I191" s="301" t="str">
        <f>IF(E191="","",IF(ISNA(VLOOKUP($E191,'D-1 Off-Site Habitat Baseline'!$D$1:$O$258,7,FALSE)),"",(VLOOKUP($E191,'D-1 Off-Site Habitat Baseline'!$D$1:$O$258,7,FALSE))))</f>
        <v/>
      </c>
      <c r="J191" s="301" t="str">
        <f>IF(E191="","",IF(ISNA(VLOOKUP($E191,'D-1 Off-Site Habitat Baseline'!$D$1:$O$258,8,FALSE)),"",(VLOOKUP($E191,'D-1 Off-Site Habitat Baseline'!$D$1:$O$258,8,FALSE))))</f>
        <v/>
      </c>
      <c r="K191" s="301" t="str">
        <f>IF(E191="","",IF(ISNA(VLOOKUP($E191,'D-1 Off-Site Habitat Baseline'!$D$1:$O$258,9,FALSE)),"",(VLOOKUP($E191,'D-1 Off-Site Habitat Baseline'!$D$1:$O$258,9,FALSE))))</f>
        <v/>
      </c>
      <c r="L191" s="301" t="str">
        <f>IF(E191="","",IF(ISNA(VLOOKUP($E191,'D-1 Off-Site Habitat Baseline'!$D$1:$O$258,11,FALSE)),"",(VLOOKUP($E191,'D-1 Off-Site Habitat Baseline'!$D$1:$O$258,11,FALSE))))</f>
        <v/>
      </c>
      <c r="M191" s="301" t="str">
        <f>IF(E191="","",IF(ISNA(VLOOKUP($E191,'D-1 Off-Site Habitat Baseline'!$D$1:$O$258,12,FALSE)),"",(VLOOKUP($E191,'D-1 Off-Site Habitat Baseline'!$D$1:$O$258,12,FALSE))))</f>
        <v/>
      </c>
      <c r="N191" s="301" t="str">
        <f>IF(E191="","",IF(ISNA(VLOOKUP($E191,'D-1 Off-Site Habitat Baseline'!$D$1:$AA$258,17,FALSE)),"",(VLOOKUP($E191,'D-1 Off-Site Habitat Baseline'!$D$1:$AA$258,17,FALSE))))</f>
        <v/>
      </c>
      <c r="O191" s="305" t="str">
        <f>IF(E191="","",IF(ISNA(VLOOKUP($E191,'D-1 Off-Site Habitat Baseline'!$D$1:$AA$258,13,FALSE)),"",(VLOOKUP($E191,'D-1 Off-Site Habitat Baseline'!$D$1:$AA$258,13,FALSE))))</f>
        <v/>
      </c>
      <c r="P191" s="152" t="str">
        <f>IFERROR(INDEX('G-1 All Habitats'!$AG$49:$AG$63,MATCH(Q191,'G-1 All Habitats'!$AF$27:$AF$41,0)),"")</f>
        <v/>
      </c>
      <c r="Q191" s="153"/>
      <c r="R191" s="154"/>
      <c r="S191" s="155" t="str">
        <f>IFERROR(INDEX('G-1 All Habitats'!$B$3:$B$135,MATCH(R191,'G-1 All Habitats'!$A$3:$A$135,0)),"")</f>
        <v/>
      </c>
      <c r="T191" s="289" t="str">
        <f t="shared" si="22"/>
        <v/>
      </c>
      <c r="U191" s="305" t="str">
        <f t="shared" si="23"/>
        <v/>
      </c>
      <c r="V191" s="304" t="str">
        <f t="shared" si="20"/>
        <v/>
      </c>
      <c r="W191" s="301" t="str">
        <f>IF(S191="","",VLOOKUP(S191,'G-1 All Habitats'!$B$2:$M$135,10,FALSE))</f>
        <v/>
      </c>
      <c r="X191" s="301" t="str">
        <f>IFERROR(VLOOKUP(W191,'G-1 All Habitats'!$V$3:$W$7,2,FALSE),"")</f>
        <v/>
      </c>
      <c r="Y191" s="142"/>
      <c r="Z191" s="305" t="str">
        <f>IFERROR(INDEX('G-8 Condition Look up'!$A$3:$H$135,MATCH(S191,'G-8 Condition Look up'!$A$3:$A$135,0),MATCH(Y191,'G-8 Condition Look up'!$A$3:$H$3,0)),"")</f>
        <v/>
      </c>
      <c r="AA191" s="105"/>
      <c r="AB191" s="320" t="str">
        <f>IF(AA191="","",IF(VLOOKUP(AA191,'G-3 Multipliers'!$L$3:$N$6,2,FALSE)=0,"Spatial Data Missing ⚠",VLOOKUP(AA191,'G-3 Multipliers'!$L$3:$N$6,2,FALSE)))</f>
        <v/>
      </c>
      <c r="AC191" s="305" t="str">
        <f>IF(AA191="","",IF(VLOOKUP(AA191,'G-3 Multipliers'!$L$3:$N$6,3,FALSE)=0,"Spatial Data Missing ⚠",VLOOKUP(AA191,'G-3 Multipliers'!$L$3:$N$6,3,FALSE)))</f>
        <v/>
      </c>
      <c r="AD191" s="317" t="str">
        <f t="shared" si="21"/>
        <v/>
      </c>
      <c r="AE191" s="142"/>
      <c r="AF191" s="142"/>
      <c r="AG191" s="301" t="str">
        <f t="shared" si="24"/>
        <v/>
      </c>
      <c r="AH191" s="302" t="str">
        <f t="shared" si="25"/>
        <v/>
      </c>
      <c r="AI191" s="306" t="str">
        <f>IF(AH191="Check Data ⚠","Check Data ⚠",IFERROR(VLOOKUP(AH191,'G-4 Temporal multipliers'!$A$4:$C$36,3,FALSE),""))</f>
        <v/>
      </c>
      <c r="AJ191" s="317" t="str">
        <f>IF(S191="","",VLOOKUP(S191,'G-3 Multipliers'!$A$2:$E$134,4,FALSE))</f>
        <v/>
      </c>
      <c r="AK191" s="301" t="str">
        <f t="shared" si="26"/>
        <v/>
      </c>
      <c r="AL191" s="301" t="str">
        <f t="shared" si="27"/>
        <v/>
      </c>
      <c r="AM191" s="305" t="str">
        <f>IFERROR(IF(F191="","",IF(AH191="Check Data ⚠","Check Data ⚠",VLOOKUP(AL191, 'G-3 Multipliers'!$P$2:$Q$6,2,FALSE))),"")</f>
        <v/>
      </c>
      <c r="AN191" s="728"/>
      <c r="AO191" s="335" t="str">
        <f>IF(AN191="","",IF(VLOOKUP(AN191,'G-3 Multipliers'!$S$3:$T$10,2,FALSE)=0,"Spatial Data Missing ⚠",VLOOKUP(AN191,'G-3 Multipliers'!$S$3:$T$10,2,FALSE)))</f>
        <v/>
      </c>
      <c r="AP191" s="295" t="str">
        <f t="shared" si="28"/>
        <v/>
      </c>
      <c r="AQ191" s="295" t="str">
        <f t="shared" si="29"/>
        <v/>
      </c>
      <c r="AR191" s="109"/>
      <c r="AS191" s="142"/>
      <c r="AT191" s="108"/>
      <c r="AU191" s="108"/>
      <c r="AY191" s="30" t="str">
        <f>IF(E191="","",IF(ISNA(VLOOKUP($E191,'D-1 Off-Site Habitat Baseline'!$D$1:$AV$258,4,FALSE)),"",(VLOOKUP($E191,'D-1 Off-Site Habitat Baseline'!$D$1:$AV$258,4,FALSE))))</f>
        <v/>
      </c>
    </row>
    <row r="192" spans="1:51" x14ac:dyDescent="0.25">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325" t="str">
        <f>'D-1 Off-Site Habitat Baseline'!AP191</f>
        <v/>
      </c>
      <c r="F192" s="289" t="str">
        <f>IF(E192="","",IF(ISNA(VLOOKUP($E192,'D-1 Off-Site Habitat Baseline'!$D$1:$ZZ$258,45,FALSE)),"",(VLOOKUP($E192,'D-1 Off-Site Habitat Baseline'!$D$1:$ZZ$258,45,FALSE))))</f>
        <v/>
      </c>
      <c r="G192" s="301" t="str">
        <f>IF(E192="","",IF(ISNA(VLOOKUP($E192,'D-1 Off-Site Habitat Baseline'!$D$1:$O$258,5,FALSE)),"",(VLOOKUP($E192,'D-1 Off-Site Habitat Baseline'!$D$1:$O$258,5,FALSE))))</f>
        <v/>
      </c>
      <c r="H192" s="301" t="str">
        <f>IF(E192="","",IF(ISNA(VLOOKUP($E192,'D-1 Off-Site Habitat Baseline'!$D$1:$O$258,6,FALSE)),"",(VLOOKUP($E192,'D-1 Off-Site Habitat Baseline'!$D$1:$O$258,6,FALSE))))</f>
        <v/>
      </c>
      <c r="I192" s="301" t="str">
        <f>IF(E192="","",IF(ISNA(VLOOKUP($E192,'D-1 Off-Site Habitat Baseline'!$D$1:$O$258,7,FALSE)),"",(VLOOKUP($E192,'D-1 Off-Site Habitat Baseline'!$D$1:$O$258,7,FALSE))))</f>
        <v/>
      </c>
      <c r="J192" s="301" t="str">
        <f>IF(E192="","",IF(ISNA(VLOOKUP($E192,'D-1 Off-Site Habitat Baseline'!$D$1:$O$258,8,FALSE)),"",(VLOOKUP($E192,'D-1 Off-Site Habitat Baseline'!$D$1:$O$258,8,FALSE))))</f>
        <v/>
      </c>
      <c r="K192" s="301" t="str">
        <f>IF(E192="","",IF(ISNA(VLOOKUP($E192,'D-1 Off-Site Habitat Baseline'!$D$1:$O$258,9,FALSE)),"",(VLOOKUP($E192,'D-1 Off-Site Habitat Baseline'!$D$1:$O$258,9,FALSE))))</f>
        <v/>
      </c>
      <c r="L192" s="301" t="str">
        <f>IF(E192="","",IF(ISNA(VLOOKUP($E192,'D-1 Off-Site Habitat Baseline'!$D$1:$O$258,11,FALSE)),"",(VLOOKUP($E192,'D-1 Off-Site Habitat Baseline'!$D$1:$O$258,11,FALSE))))</f>
        <v/>
      </c>
      <c r="M192" s="301" t="str">
        <f>IF(E192="","",IF(ISNA(VLOOKUP($E192,'D-1 Off-Site Habitat Baseline'!$D$1:$O$258,12,FALSE)),"",(VLOOKUP($E192,'D-1 Off-Site Habitat Baseline'!$D$1:$O$258,12,FALSE))))</f>
        <v/>
      </c>
      <c r="N192" s="301" t="str">
        <f>IF(E192="","",IF(ISNA(VLOOKUP($E192,'D-1 Off-Site Habitat Baseline'!$D$1:$AA$258,17,FALSE)),"",(VLOOKUP($E192,'D-1 Off-Site Habitat Baseline'!$D$1:$AA$258,17,FALSE))))</f>
        <v/>
      </c>
      <c r="O192" s="305" t="str">
        <f>IF(E192="","",IF(ISNA(VLOOKUP($E192,'D-1 Off-Site Habitat Baseline'!$D$1:$AA$258,13,FALSE)),"",(VLOOKUP($E192,'D-1 Off-Site Habitat Baseline'!$D$1:$AA$258,13,FALSE))))</f>
        <v/>
      </c>
      <c r="P192" s="152" t="str">
        <f>IFERROR(INDEX('G-1 All Habitats'!$AG$49:$AG$63,MATCH(Q192,'G-1 All Habitats'!$AF$27:$AF$41,0)),"")</f>
        <v/>
      </c>
      <c r="Q192" s="153"/>
      <c r="R192" s="154"/>
      <c r="S192" s="155" t="str">
        <f>IFERROR(INDEX('G-1 All Habitats'!$B$3:$B$135,MATCH(R192,'G-1 All Habitats'!$A$3:$A$135,0)),"")</f>
        <v/>
      </c>
      <c r="T192" s="289" t="str">
        <f t="shared" si="22"/>
        <v/>
      </c>
      <c r="U192" s="305" t="str">
        <f t="shared" si="23"/>
        <v/>
      </c>
      <c r="V192" s="304" t="str">
        <f t="shared" si="20"/>
        <v/>
      </c>
      <c r="W192" s="301" t="str">
        <f>IF(S192="","",VLOOKUP(S192,'G-1 All Habitats'!$B$2:$M$135,10,FALSE))</f>
        <v/>
      </c>
      <c r="X192" s="301" t="str">
        <f>IFERROR(VLOOKUP(W192,'G-1 All Habitats'!$V$3:$W$7,2,FALSE),"")</f>
        <v/>
      </c>
      <c r="Y192" s="142"/>
      <c r="Z192" s="305" t="str">
        <f>IFERROR(INDEX('G-8 Condition Look up'!$A$3:$H$135,MATCH(S192,'G-8 Condition Look up'!$A$3:$A$135,0),MATCH(Y192,'G-8 Condition Look up'!$A$3:$H$3,0)),"")</f>
        <v/>
      </c>
      <c r="AA192" s="105"/>
      <c r="AB192" s="320" t="str">
        <f>IF(AA192="","",IF(VLOOKUP(AA192,'G-3 Multipliers'!$L$3:$N$6,2,FALSE)=0,"Spatial Data Missing ⚠",VLOOKUP(AA192,'G-3 Multipliers'!$L$3:$N$6,2,FALSE)))</f>
        <v/>
      </c>
      <c r="AC192" s="305" t="str">
        <f>IF(AA192="","",IF(VLOOKUP(AA192,'G-3 Multipliers'!$L$3:$N$6,3,FALSE)=0,"Spatial Data Missing ⚠",VLOOKUP(AA192,'G-3 Multipliers'!$L$3:$N$6,3,FALSE)))</f>
        <v/>
      </c>
      <c r="AD192" s="317" t="str">
        <f t="shared" si="21"/>
        <v/>
      </c>
      <c r="AE192" s="142"/>
      <c r="AF192" s="142"/>
      <c r="AG192" s="301" t="str">
        <f t="shared" si="24"/>
        <v/>
      </c>
      <c r="AH192" s="302" t="str">
        <f t="shared" si="25"/>
        <v/>
      </c>
      <c r="AI192" s="306" t="str">
        <f>IF(AH192="Check Data ⚠","Check Data ⚠",IFERROR(VLOOKUP(AH192,'G-4 Temporal multipliers'!$A$4:$C$36,3,FALSE),""))</f>
        <v/>
      </c>
      <c r="AJ192" s="317" t="str">
        <f>IF(S192="","",VLOOKUP(S192,'G-3 Multipliers'!$A$2:$E$134,4,FALSE))</f>
        <v/>
      </c>
      <c r="AK192" s="301" t="str">
        <f t="shared" si="26"/>
        <v/>
      </c>
      <c r="AL192" s="301" t="str">
        <f t="shared" si="27"/>
        <v/>
      </c>
      <c r="AM192" s="305" t="str">
        <f>IFERROR(IF(F192="","",IF(AH192="Check Data ⚠","Check Data ⚠",VLOOKUP(AL192, 'G-3 Multipliers'!$P$2:$Q$6,2,FALSE))),"")</f>
        <v/>
      </c>
      <c r="AN192" s="728"/>
      <c r="AO192" s="335" t="str">
        <f>IF(AN192="","",IF(VLOOKUP(AN192,'G-3 Multipliers'!$S$3:$T$10,2,FALSE)=0,"Spatial Data Missing ⚠",VLOOKUP(AN192,'G-3 Multipliers'!$S$3:$T$10,2,FALSE)))</f>
        <v/>
      </c>
      <c r="AP192" s="295" t="str">
        <f t="shared" si="28"/>
        <v/>
      </c>
      <c r="AQ192" s="295" t="str">
        <f t="shared" si="29"/>
        <v/>
      </c>
      <c r="AR192" s="109"/>
      <c r="AS192" s="142"/>
      <c r="AT192" s="108"/>
      <c r="AU192" s="108"/>
      <c r="AY192" s="30" t="str">
        <f>IF(E192="","",IF(ISNA(VLOOKUP($E192,'D-1 Off-Site Habitat Baseline'!$D$1:$AV$258,4,FALSE)),"",(VLOOKUP($E192,'D-1 Off-Site Habitat Baseline'!$D$1:$AV$258,4,FALSE))))</f>
        <v/>
      </c>
    </row>
    <row r="193" spans="1:51" x14ac:dyDescent="0.25">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325" t="str">
        <f>'D-1 Off-Site Habitat Baseline'!AP192</f>
        <v/>
      </c>
      <c r="F193" s="289" t="str">
        <f>IF(E193="","",IF(ISNA(VLOOKUP($E193,'D-1 Off-Site Habitat Baseline'!$D$1:$ZZ$258,45,FALSE)),"",(VLOOKUP($E193,'D-1 Off-Site Habitat Baseline'!$D$1:$ZZ$258,45,FALSE))))</f>
        <v/>
      </c>
      <c r="G193" s="301" t="str">
        <f>IF(E193="","",IF(ISNA(VLOOKUP($E193,'D-1 Off-Site Habitat Baseline'!$D$1:$O$258,5,FALSE)),"",(VLOOKUP($E193,'D-1 Off-Site Habitat Baseline'!$D$1:$O$258,5,FALSE))))</f>
        <v/>
      </c>
      <c r="H193" s="301" t="str">
        <f>IF(E193="","",IF(ISNA(VLOOKUP($E193,'D-1 Off-Site Habitat Baseline'!$D$1:$O$258,6,FALSE)),"",(VLOOKUP($E193,'D-1 Off-Site Habitat Baseline'!$D$1:$O$258,6,FALSE))))</f>
        <v/>
      </c>
      <c r="I193" s="301" t="str">
        <f>IF(E193="","",IF(ISNA(VLOOKUP($E193,'D-1 Off-Site Habitat Baseline'!$D$1:$O$258,7,FALSE)),"",(VLOOKUP($E193,'D-1 Off-Site Habitat Baseline'!$D$1:$O$258,7,FALSE))))</f>
        <v/>
      </c>
      <c r="J193" s="301" t="str">
        <f>IF(E193="","",IF(ISNA(VLOOKUP($E193,'D-1 Off-Site Habitat Baseline'!$D$1:$O$258,8,FALSE)),"",(VLOOKUP($E193,'D-1 Off-Site Habitat Baseline'!$D$1:$O$258,8,FALSE))))</f>
        <v/>
      </c>
      <c r="K193" s="301" t="str">
        <f>IF(E193="","",IF(ISNA(VLOOKUP($E193,'D-1 Off-Site Habitat Baseline'!$D$1:$O$258,9,FALSE)),"",(VLOOKUP($E193,'D-1 Off-Site Habitat Baseline'!$D$1:$O$258,9,FALSE))))</f>
        <v/>
      </c>
      <c r="L193" s="301" t="str">
        <f>IF(E193="","",IF(ISNA(VLOOKUP($E193,'D-1 Off-Site Habitat Baseline'!$D$1:$O$258,11,FALSE)),"",(VLOOKUP($E193,'D-1 Off-Site Habitat Baseline'!$D$1:$O$258,11,FALSE))))</f>
        <v/>
      </c>
      <c r="M193" s="301" t="str">
        <f>IF(E193="","",IF(ISNA(VLOOKUP($E193,'D-1 Off-Site Habitat Baseline'!$D$1:$O$258,12,FALSE)),"",(VLOOKUP($E193,'D-1 Off-Site Habitat Baseline'!$D$1:$O$258,12,FALSE))))</f>
        <v/>
      </c>
      <c r="N193" s="301" t="str">
        <f>IF(E193="","",IF(ISNA(VLOOKUP($E193,'D-1 Off-Site Habitat Baseline'!$D$1:$AA$258,17,FALSE)),"",(VLOOKUP($E193,'D-1 Off-Site Habitat Baseline'!$D$1:$AA$258,17,FALSE))))</f>
        <v/>
      </c>
      <c r="O193" s="305" t="str">
        <f>IF(E193="","",IF(ISNA(VLOOKUP($E193,'D-1 Off-Site Habitat Baseline'!$D$1:$AA$258,13,FALSE)),"",(VLOOKUP($E193,'D-1 Off-Site Habitat Baseline'!$D$1:$AA$258,13,FALSE))))</f>
        <v/>
      </c>
      <c r="P193" s="152" t="str">
        <f>IFERROR(INDEX('G-1 All Habitats'!$AG$49:$AG$63,MATCH(Q193,'G-1 All Habitats'!$AF$27:$AF$41,0)),"")</f>
        <v/>
      </c>
      <c r="Q193" s="153"/>
      <c r="R193" s="154"/>
      <c r="S193" s="155" t="str">
        <f>IFERROR(INDEX('G-1 All Habitats'!$B$3:$B$135,MATCH(R193,'G-1 All Habitats'!$A$3:$A$135,0)),"")</f>
        <v/>
      </c>
      <c r="T193" s="289" t="str">
        <f t="shared" si="22"/>
        <v/>
      </c>
      <c r="U193" s="305" t="str">
        <f t="shared" si="23"/>
        <v/>
      </c>
      <c r="V193" s="304" t="str">
        <f t="shared" si="20"/>
        <v/>
      </c>
      <c r="W193" s="301" t="str">
        <f>IF(S193="","",VLOOKUP(S193,'G-1 All Habitats'!$B$2:$M$135,10,FALSE))</f>
        <v/>
      </c>
      <c r="X193" s="301" t="str">
        <f>IFERROR(VLOOKUP(W193,'G-1 All Habitats'!$V$3:$W$7,2,FALSE),"")</f>
        <v/>
      </c>
      <c r="Y193" s="142"/>
      <c r="Z193" s="305" t="str">
        <f>IFERROR(INDEX('G-8 Condition Look up'!$A$3:$H$135,MATCH(S193,'G-8 Condition Look up'!$A$3:$A$135,0),MATCH(Y193,'G-8 Condition Look up'!$A$3:$H$3,0)),"")</f>
        <v/>
      </c>
      <c r="AA193" s="105"/>
      <c r="AB193" s="320" t="str">
        <f>IF(AA193="","",IF(VLOOKUP(AA193,'G-3 Multipliers'!$L$3:$N$6,2,FALSE)=0,"Spatial Data Missing ⚠",VLOOKUP(AA193,'G-3 Multipliers'!$L$3:$N$6,2,FALSE)))</f>
        <v/>
      </c>
      <c r="AC193" s="305" t="str">
        <f>IF(AA193="","",IF(VLOOKUP(AA193,'G-3 Multipliers'!$L$3:$N$6,3,FALSE)=0,"Spatial Data Missing ⚠",VLOOKUP(AA193,'G-3 Multipliers'!$L$3:$N$6,3,FALSE)))</f>
        <v/>
      </c>
      <c r="AD193" s="317" t="str">
        <f t="shared" si="21"/>
        <v/>
      </c>
      <c r="AE193" s="142"/>
      <c r="AF193" s="142"/>
      <c r="AG193" s="301" t="str">
        <f t="shared" si="24"/>
        <v/>
      </c>
      <c r="AH193" s="302" t="str">
        <f t="shared" si="25"/>
        <v/>
      </c>
      <c r="AI193" s="306" t="str">
        <f>IF(AH193="Check Data ⚠","Check Data ⚠",IFERROR(VLOOKUP(AH193,'G-4 Temporal multipliers'!$A$4:$C$36,3,FALSE),""))</f>
        <v/>
      </c>
      <c r="AJ193" s="317" t="str">
        <f>IF(S193="","",VLOOKUP(S193,'G-3 Multipliers'!$A$2:$E$134,4,FALSE))</f>
        <v/>
      </c>
      <c r="AK193" s="301" t="str">
        <f t="shared" si="26"/>
        <v/>
      </c>
      <c r="AL193" s="301" t="str">
        <f t="shared" si="27"/>
        <v/>
      </c>
      <c r="AM193" s="305" t="str">
        <f>IFERROR(IF(F193="","",IF(AH193="Check Data ⚠","Check Data ⚠",VLOOKUP(AL193, 'G-3 Multipliers'!$P$2:$Q$6,2,FALSE))),"")</f>
        <v/>
      </c>
      <c r="AN193" s="728"/>
      <c r="AO193" s="335" t="str">
        <f>IF(AN193="","",IF(VLOOKUP(AN193,'G-3 Multipliers'!$S$3:$T$10,2,FALSE)=0,"Spatial Data Missing ⚠",VLOOKUP(AN193,'G-3 Multipliers'!$S$3:$T$10,2,FALSE)))</f>
        <v/>
      </c>
      <c r="AP193" s="295" t="str">
        <f t="shared" si="28"/>
        <v/>
      </c>
      <c r="AQ193" s="295" t="str">
        <f t="shared" si="29"/>
        <v/>
      </c>
      <c r="AR193" s="109"/>
      <c r="AS193" s="142"/>
      <c r="AT193" s="108"/>
      <c r="AU193" s="108"/>
      <c r="AY193" s="30" t="str">
        <f>IF(E193="","",IF(ISNA(VLOOKUP($E193,'D-1 Off-Site Habitat Baseline'!$D$1:$AV$258,4,FALSE)),"",(VLOOKUP($E193,'D-1 Off-Site Habitat Baseline'!$D$1:$AV$258,4,FALSE))))</f>
        <v/>
      </c>
    </row>
    <row r="194" spans="1:51" x14ac:dyDescent="0.25">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325" t="str">
        <f>'D-1 Off-Site Habitat Baseline'!AP193</f>
        <v/>
      </c>
      <c r="F194" s="289" t="str">
        <f>IF(E194="","",IF(ISNA(VLOOKUP($E194,'D-1 Off-Site Habitat Baseline'!$D$1:$ZZ$258,45,FALSE)),"",(VLOOKUP($E194,'D-1 Off-Site Habitat Baseline'!$D$1:$ZZ$258,45,FALSE))))</f>
        <v/>
      </c>
      <c r="G194" s="301" t="str">
        <f>IF(E194="","",IF(ISNA(VLOOKUP($E194,'D-1 Off-Site Habitat Baseline'!$D$1:$O$258,5,FALSE)),"",(VLOOKUP($E194,'D-1 Off-Site Habitat Baseline'!$D$1:$O$258,5,FALSE))))</f>
        <v/>
      </c>
      <c r="H194" s="301" t="str">
        <f>IF(E194="","",IF(ISNA(VLOOKUP($E194,'D-1 Off-Site Habitat Baseline'!$D$1:$O$258,6,FALSE)),"",(VLOOKUP($E194,'D-1 Off-Site Habitat Baseline'!$D$1:$O$258,6,FALSE))))</f>
        <v/>
      </c>
      <c r="I194" s="301" t="str">
        <f>IF(E194="","",IF(ISNA(VLOOKUP($E194,'D-1 Off-Site Habitat Baseline'!$D$1:$O$258,7,FALSE)),"",(VLOOKUP($E194,'D-1 Off-Site Habitat Baseline'!$D$1:$O$258,7,FALSE))))</f>
        <v/>
      </c>
      <c r="J194" s="301" t="str">
        <f>IF(E194="","",IF(ISNA(VLOOKUP($E194,'D-1 Off-Site Habitat Baseline'!$D$1:$O$258,8,FALSE)),"",(VLOOKUP($E194,'D-1 Off-Site Habitat Baseline'!$D$1:$O$258,8,FALSE))))</f>
        <v/>
      </c>
      <c r="K194" s="301" t="str">
        <f>IF(E194="","",IF(ISNA(VLOOKUP($E194,'D-1 Off-Site Habitat Baseline'!$D$1:$O$258,9,FALSE)),"",(VLOOKUP($E194,'D-1 Off-Site Habitat Baseline'!$D$1:$O$258,9,FALSE))))</f>
        <v/>
      </c>
      <c r="L194" s="301" t="str">
        <f>IF(E194="","",IF(ISNA(VLOOKUP($E194,'D-1 Off-Site Habitat Baseline'!$D$1:$O$258,11,FALSE)),"",(VLOOKUP($E194,'D-1 Off-Site Habitat Baseline'!$D$1:$O$258,11,FALSE))))</f>
        <v/>
      </c>
      <c r="M194" s="301" t="str">
        <f>IF(E194="","",IF(ISNA(VLOOKUP($E194,'D-1 Off-Site Habitat Baseline'!$D$1:$O$258,12,FALSE)),"",(VLOOKUP($E194,'D-1 Off-Site Habitat Baseline'!$D$1:$O$258,12,FALSE))))</f>
        <v/>
      </c>
      <c r="N194" s="301" t="str">
        <f>IF(E194="","",IF(ISNA(VLOOKUP($E194,'D-1 Off-Site Habitat Baseline'!$D$1:$AA$258,17,FALSE)),"",(VLOOKUP($E194,'D-1 Off-Site Habitat Baseline'!$D$1:$AA$258,17,FALSE))))</f>
        <v/>
      </c>
      <c r="O194" s="305" t="str">
        <f>IF(E194="","",IF(ISNA(VLOOKUP($E194,'D-1 Off-Site Habitat Baseline'!$D$1:$AA$258,13,FALSE)),"",(VLOOKUP($E194,'D-1 Off-Site Habitat Baseline'!$D$1:$AA$258,13,FALSE))))</f>
        <v/>
      </c>
      <c r="P194" s="152" t="str">
        <f>IFERROR(INDEX('G-1 All Habitats'!$AG$49:$AG$63,MATCH(Q194,'G-1 All Habitats'!$AF$27:$AF$41,0)),"")</f>
        <v/>
      </c>
      <c r="Q194" s="153"/>
      <c r="R194" s="154"/>
      <c r="S194" s="155" t="str">
        <f>IFERROR(INDEX('G-1 All Habitats'!$B$3:$B$135,MATCH(R194,'G-1 All Habitats'!$A$3:$A$135,0)),"")</f>
        <v/>
      </c>
      <c r="T194" s="289" t="str">
        <f t="shared" si="22"/>
        <v/>
      </c>
      <c r="U194" s="305" t="str">
        <f t="shared" si="23"/>
        <v/>
      </c>
      <c r="V194" s="304" t="str">
        <f t="shared" si="20"/>
        <v/>
      </c>
      <c r="W194" s="301" t="str">
        <f>IF(S194="","",VLOOKUP(S194,'G-1 All Habitats'!$B$2:$M$135,10,FALSE))</f>
        <v/>
      </c>
      <c r="X194" s="301" t="str">
        <f>IFERROR(VLOOKUP(W194,'G-1 All Habitats'!$V$3:$W$7,2,FALSE),"")</f>
        <v/>
      </c>
      <c r="Y194" s="142"/>
      <c r="Z194" s="305" t="str">
        <f>IFERROR(INDEX('G-8 Condition Look up'!$A$3:$H$135,MATCH(S194,'G-8 Condition Look up'!$A$3:$A$135,0),MATCH(Y194,'G-8 Condition Look up'!$A$3:$H$3,0)),"")</f>
        <v/>
      </c>
      <c r="AA194" s="105"/>
      <c r="AB194" s="320" t="str">
        <f>IF(AA194="","",IF(VLOOKUP(AA194,'G-3 Multipliers'!$L$3:$N$6,2,FALSE)=0,"Spatial Data Missing ⚠",VLOOKUP(AA194,'G-3 Multipliers'!$L$3:$N$6,2,FALSE)))</f>
        <v/>
      </c>
      <c r="AC194" s="305" t="str">
        <f>IF(AA194="","",IF(VLOOKUP(AA194,'G-3 Multipliers'!$L$3:$N$6,3,FALSE)=0,"Spatial Data Missing ⚠",VLOOKUP(AA194,'G-3 Multipliers'!$L$3:$N$6,3,FALSE)))</f>
        <v/>
      </c>
      <c r="AD194" s="317" t="str">
        <f t="shared" si="21"/>
        <v/>
      </c>
      <c r="AE194" s="142"/>
      <c r="AF194" s="142"/>
      <c r="AG194" s="301" t="str">
        <f t="shared" si="24"/>
        <v/>
      </c>
      <c r="AH194" s="302" t="str">
        <f t="shared" si="25"/>
        <v/>
      </c>
      <c r="AI194" s="306" t="str">
        <f>IF(AH194="Check Data ⚠","Check Data ⚠",IFERROR(VLOOKUP(AH194,'G-4 Temporal multipliers'!$A$4:$C$36,3,FALSE),""))</f>
        <v/>
      </c>
      <c r="AJ194" s="317" t="str">
        <f>IF(S194="","",VLOOKUP(S194,'G-3 Multipliers'!$A$2:$E$134,4,FALSE))</f>
        <v/>
      </c>
      <c r="AK194" s="301" t="str">
        <f t="shared" si="26"/>
        <v/>
      </c>
      <c r="AL194" s="301" t="str">
        <f t="shared" si="27"/>
        <v/>
      </c>
      <c r="AM194" s="305" t="str">
        <f>IFERROR(IF(F194="","",IF(AH194="Check Data ⚠","Check Data ⚠",VLOOKUP(AL194, 'G-3 Multipliers'!$P$2:$Q$6,2,FALSE))),"")</f>
        <v/>
      </c>
      <c r="AN194" s="728"/>
      <c r="AO194" s="335" t="str">
        <f>IF(AN194="","",IF(VLOOKUP(AN194,'G-3 Multipliers'!$S$3:$T$10,2,FALSE)=0,"Spatial Data Missing ⚠",VLOOKUP(AN194,'G-3 Multipliers'!$S$3:$T$10,2,FALSE)))</f>
        <v/>
      </c>
      <c r="AP194" s="295" t="str">
        <f t="shared" si="28"/>
        <v/>
      </c>
      <c r="AQ194" s="295" t="str">
        <f t="shared" si="29"/>
        <v/>
      </c>
      <c r="AR194" s="109"/>
      <c r="AS194" s="142"/>
      <c r="AT194" s="108"/>
      <c r="AU194" s="108"/>
      <c r="AY194" s="30" t="str">
        <f>IF(E194="","",IF(ISNA(VLOOKUP($E194,'D-1 Off-Site Habitat Baseline'!$D$1:$AV$258,4,FALSE)),"",(VLOOKUP($E194,'D-1 Off-Site Habitat Baseline'!$D$1:$AV$258,4,FALSE))))</f>
        <v/>
      </c>
    </row>
    <row r="195" spans="1:51" x14ac:dyDescent="0.25">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325" t="str">
        <f>'D-1 Off-Site Habitat Baseline'!AP194</f>
        <v/>
      </c>
      <c r="F195" s="289" t="str">
        <f>IF(E195="","",IF(ISNA(VLOOKUP($E195,'D-1 Off-Site Habitat Baseline'!$D$1:$ZZ$258,45,FALSE)),"",(VLOOKUP($E195,'D-1 Off-Site Habitat Baseline'!$D$1:$ZZ$258,45,FALSE))))</f>
        <v/>
      </c>
      <c r="G195" s="301" t="str">
        <f>IF(E195="","",IF(ISNA(VLOOKUP($E195,'D-1 Off-Site Habitat Baseline'!$D$1:$O$258,5,FALSE)),"",(VLOOKUP($E195,'D-1 Off-Site Habitat Baseline'!$D$1:$O$258,5,FALSE))))</f>
        <v/>
      </c>
      <c r="H195" s="301" t="str">
        <f>IF(E195="","",IF(ISNA(VLOOKUP($E195,'D-1 Off-Site Habitat Baseline'!$D$1:$O$258,6,FALSE)),"",(VLOOKUP($E195,'D-1 Off-Site Habitat Baseline'!$D$1:$O$258,6,FALSE))))</f>
        <v/>
      </c>
      <c r="I195" s="301" t="str">
        <f>IF(E195="","",IF(ISNA(VLOOKUP($E195,'D-1 Off-Site Habitat Baseline'!$D$1:$O$258,7,FALSE)),"",(VLOOKUP($E195,'D-1 Off-Site Habitat Baseline'!$D$1:$O$258,7,FALSE))))</f>
        <v/>
      </c>
      <c r="J195" s="301" t="str">
        <f>IF(E195="","",IF(ISNA(VLOOKUP($E195,'D-1 Off-Site Habitat Baseline'!$D$1:$O$258,8,FALSE)),"",(VLOOKUP($E195,'D-1 Off-Site Habitat Baseline'!$D$1:$O$258,8,FALSE))))</f>
        <v/>
      </c>
      <c r="K195" s="301" t="str">
        <f>IF(E195="","",IF(ISNA(VLOOKUP($E195,'D-1 Off-Site Habitat Baseline'!$D$1:$O$258,9,FALSE)),"",(VLOOKUP($E195,'D-1 Off-Site Habitat Baseline'!$D$1:$O$258,9,FALSE))))</f>
        <v/>
      </c>
      <c r="L195" s="301" t="str">
        <f>IF(E195="","",IF(ISNA(VLOOKUP($E195,'D-1 Off-Site Habitat Baseline'!$D$1:$O$258,11,FALSE)),"",(VLOOKUP($E195,'D-1 Off-Site Habitat Baseline'!$D$1:$O$258,11,FALSE))))</f>
        <v/>
      </c>
      <c r="M195" s="301" t="str">
        <f>IF(E195="","",IF(ISNA(VLOOKUP($E195,'D-1 Off-Site Habitat Baseline'!$D$1:$O$258,12,FALSE)),"",(VLOOKUP($E195,'D-1 Off-Site Habitat Baseline'!$D$1:$O$258,12,FALSE))))</f>
        <v/>
      </c>
      <c r="N195" s="301" t="str">
        <f>IF(E195="","",IF(ISNA(VLOOKUP($E195,'D-1 Off-Site Habitat Baseline'!$D$1:$AA$258,17,FALSE)),"",(VLOOKUP($E195,'D-1 Off-Site Habitat Baseline'!$D$1:$AA$258,17,FALSE))))</f>
        <v/>
      </c>
      <c r="O195" s="305" t="str">
        <f>IF(E195="","",IF(ISNA(VLOOKUP($E195,'D-1 Off-Site Habitat Baseline'!$D$1:$AA$258,13,FALSE)),"",(VLOOKUP($E195,'D-1 Off-Site Habitat Baseline'!$D$1:$AA$258,13,FALSE))))</f>
        <v/>
      </c>
      <c r="P195" s="152" t="str">
        <f>IFERROR(INDEX('G-1 All Habitats'!$AG$49:$AG$63,MATCH(Q195,'G-1 All Habitats'!$AF$27:$AF$41,0)),"")</f>
        <v/>
      </c>
      <c r="Q195" s="153"/>
      <c r="R195" s="154"/>
      <c r="S195" s="155" t="str">
        <f>IFERROR(INDEX('G-1 All Habitats'!$B$3:$B$135,MATCH(R195,'G-1 All Habitats'!$A$3:$A$135,0)),"")</f>
        <v/>
      </c>
      <c r="T195" s="289" t="str">
        <f t="shared" si="22"/>
        <v/>
      </c>
      <c r="U195" s="305" t="str">
        <f t="shared" si="23"/>
        <v/>
      </c>
      <c r="V195" s="304" t="str">
        <f t="shared" si="20"/>
        <v/>
      </c>
      <c r="W195" s="301" t="str">
        <f>IF(S195="","",VLOOKUP(S195,'G-1 All Habitats'!$B$2:$M$135,10,FALSE))</f>
        <v/>
      </c>
      <c r="X195" s="301" t="str">
        <f>IFERROR(VLOOKUP(W195,'G-1 All Habitats'!$V$3:$W$7,2,FALSE),"")</f>
        <v/>
      </c>
      <c r="Y195" s="142"/>
      <c r="Z195" s="305" t="str">
        <f>IFERROR(INDEX('G-8 Condition Look up'!$A$3:$H$135,MATCH(S195,'G-8 Condition Look up'!$A$3:$A$135,0),MATCH(Y195,'G-8 Condition Look up'!$A$3:$H$3,0)),"")</f>
        <v/>
      </c>
      <c r="AA195" s="105"/>
      <c r="AB195" s="320" t="str">
        <f>IF(AA195="","",IF(VLOOKUP(AA195,'G-3 Multipliers'!$L$3:$N$6,2,FALSE)=0,"Spatial Data Missing ⚠",VLOOKUP(AA195,'G-3 Multipliers'!$L$3:$N$6,2,FALSE)))</f>
        <v/>
      </c>
      <c r="AC195" s="305" t="str">
        <f>IF(AA195="","",IF(VLOOKUP(AA195,'G-3 Multipliers'!$L$3:$N$6,3,FALSE)=0,"Spatial Data Missing ⚠",VLOOKUP(AA195,'G-3 Multipliers'!$L$3:$N$6,3,FALSE)))</f>
        <v/>
      </c>
      <c r="AD195" s="317" t="str">
        <f t="shared" si="21"/>
        <v/>
      </c>
      <c r="AE195" s="142"/>
      <c r="AF195" s="142"/>
      <c r="AG195" s="301" t="str">
        <f t="shared" si="24"/>
        <v/>
      </c>
      <c r="AH195" s="302" t="str">
        <f t="shared" si="25"/>
        <v/>
      </c>
      <c r="AI195" s="306" t="str">
        <f>IF(AH195="Check Data ⚠","Check Data ⚠",IFERROR(VLOOKUP(AH195,'G-4 Temporal multipliers'!$A$4:$C$36,3,FALSE),""))</f>
        <v/>
      </c>
      <c r="AJ195" s="317" t="str">
        <f>IF(S195="","",VLOOKUP(S195,'G-3 Multipliers'!$A$2:$E$134,4,FALSE))</f>
        <v/>
      </c>
      <c r="AK195" s="301" t="str">
        <f t="shared" si="26"/>
        <v/>
      </c>
      <c r="AL195" s="301" t="str">
        <f t="shared" si="27"/>
        <v/>
      </c>
      <c r="AM195" s="305" t="str">
        <f>IFERROR(IF(F195="","",IF(AH195="Check Data ⚠","Check Data ⚠",VLOOKUP(AL195, 'G-3 Multipliers'!$P$2:$Q$6,2,FALSE))),"")</f>
        <v/>
      </c>
      <c r="AN195" s="728"/>
      <c r="AO195" s="335" t="str">
        <f>IF(AN195="","",IF(VLOOKUP(AN195,'G-3 Multipliers'!$S$3:$T$10,2,FALSE)=0,"Spatial Data Missing ⚠",VLOOKUP(AN195,'G-3 Multipliers'!$S$3:$T$10,2,FALSE)))</f>
        <v/>
      </c>
      <c r="AP195" s="295" t="str">
        <f t="shared" si="28"/>
        <v/>
      </c>
      <c r="AQ195" s="295" t="str">
        <f t="shared" si="29"/>
        <v/>
      </c>
      <c r="AR195" s="109"/>
      <c r="AS195" s="142"/>
      <c r="AT195" s="108"/>
      <c r="AU195" s="108"/>
      <c r="AY195" s="30" t="str">
        <f>IF(E195="","",IF(ISNA(VLOOKUP($E195,'D-1 Off-Site Habitat Baseline'!$D$1:$AV$258,4,FALSE)),"",(VLOOKUP($E195,'D-1 Off-Site Habitat Baseline'!$D$1:$AV$258,4,FALSE))))</f>
        <v/>
      </c>
    </row>
    <row r="196" spans="1:51" x14ac:dyDescent="0.25">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325" t="str">
        <f>'D-1 Off-Site Habitat Baseline'!AP195</f>
        <v/>
      </c>
      <c r="F196" s="289" t="str">
        <f>IF(E196="","",IF(ISNA(VLOOKUP($E196,'D-1 Off-Site Habitat Baseline'!$D$1:$ZZ$258,45,FALSE)),"",(VLOOKUP($E196,'D-1 Off-Site Habitat Baseline'!$D$1:$ZZ$258,45,FALSE))))</f>
        <v/>
      </c>
      <c r="G196" s="301" t="str">
        <f>IF(E196="","",IF(ISNA(VLOOKUP($E196,'D-1 Off-Site Habitat Baseline'!$D$1:$O$258,5,FALSE)),"",(VLOOKUP($E196,'D-1 Off-Site Habitat Baseline'!$D$1:$O$258,5,FALSE))))</f>
        <v/>
      </c>
      <c r="H196" s="301" t="str">
        <f>IF(E196="","",IF(ISNA(VLOOKUP($E196,'D-1 Off-Site Habitat Baseline'!$D$1:$O$258,6,FALSE)),"",(VLOOKUP($E196,'D-1 Off-Site Habitat Baseline'!$D$1:$O$258,6,FALSE))))</f>
        <v/>
      </c>
      <c r="I196" s="301" t="str">
        <f>IF(E196="","",IF(ISNA(VLOOKUP($E196,'D-1 Off-Site Habitat Baseline'!$D$1:$O$258,7,FALSE)),"",(VLOOKUP($E196,'D-1 Off-Site Habitat Baseline'!$D$1:$O$258,7,FALSE))))</f>
        <v/>
      </c>
      <c r="J196" s="301" t="str">
        <f>IF(E196="","",IF(ISNA(VLOOKUP($E196,'D-1 Off-Site Habitat Baseline'!$D$1:$O$258,8,FALSE)),"",(VLOOKUP($E196,'D-1 Off-Site Habitat Baseline'!$D$1:$O$258,8,FALSE))))</f>
        <v/>
      </c>
      <c r="K196" s="301" t="str">
        <f>IF(E196="","",IF(ISNA(VLOOKUP($E196,'D-1 Off-Site Habitat Baseline'!$D$1:$O$258,9,FALSE)),"",(VLOOKUP($E196,'D-1 Off-Site Habitat Baseline'!$D$1:$O$258,9,FALSE))))</f>
        <v/>
      </c>
      <c r="L196" s="301" t="str">
        <f>IF(E196="","",IF(ISNA(VLOOKUP($E196,'D-1 Off-Site Habitat Baseline'!$D$1:$O$258,11,FALSE)),"",(VLOOKUP($E196,'D-1 Off-Site Habitat Baseline'!$D$1:$O$258,11,FALSE))))</f>
        <v/>
      </c>
      <c r="M196" s="301" t="str">
        <f>IF(E196="","",IF(ISNA(VLOOKUP($E196,'D-1 Off-Site Habitat Baseline'!$D$1:$O$258,12,FALSE)),"",(VLOOKUP($E196,'D-1 Off-Site Habitat Baseline'!$D$1:$O$258,12,FALSE))))</f>
        <v/>
      </c>
      <c r="N196" s="301" t="str">
        <f>IF(E196="","",IF(ISNA(VLOOKUP($E196,'D-1 Off-Site Habitat Baseline'!$D$1:$AA$258,17,FALSE)),"",(VLOOKUP($E196,'D-1 Off-Site Habitat Baseline'!$D$1:$AA$258,17,FALSE))))</f>
        <v/>
      </c>
      <c r="O196" s="305" t="str">
        <f>IF(E196="","",IF(ISNA(VLOOKUP($E196,'D-1 Off-Site Habitat Baseline'!$D$1:$AA$258,13,FALSE)),"",(VLOOKUP($E196,'D-1 Off-Site Habitat Baseline'!$D$1:$AA$258,13,FALSE))))</f>
        <v/>
      </c>
      <c r="P196" s="152" t="str">
        <f>IFERROR(INDEX('G-1 All Habitats'!$AG$49:$AG$63,MATCH(Q196,'G-1 All Habitats'!$AF$27:$AF$41,0)),"")</f>
        <v/>
      </c>
      <c r="Q196" s="153"/>
      <c r="R196" s="154"/>
      <c r="S196" s="155" t="str">
        <f>IFERROR(INDEX('G-1 All Habitats'!$B$3:$B$135,MATCH(R196,'G-1 All Habitats'!$A$3:$A$135,0)),"")</f>
        <v/>
      </c>
      <c r="T196" s="289" t="str">
        <f t="shared" si="22"/>
        <v/>
      </c>
      <c r="U196" s="305" t="str">
        <f t="shared" si="23"/>
        <v/>
      </c>
      <c r="V196" s="304" t="str">
        <f t="shared" si="20"/>
        <v/>
      </c>
      <c r="W196" s="301" t="str">
        <f>IF(S196="","",VLOOKUP(S196,'G-1 All Habitats'!$B$2:$M$135,10,FALSE))</f>
        <v/>
      </c>
      <c r="X196" s="301" t="str">
        <f>IFERROR(VLOOKUP(W196,'G-1 All Habitats'!$V$3:$W$7,2,FALSE),"")</f>
        <v/>
      </c>
      <c r="Y196" s="142"/>
      <c r="Z196" s="305" t="str">
        <f>IFERROR(INDEX('G-8 Condition Look up'!$A$3:$H$135,MATCH(S196,'G-8 Condition Look up'!$A$3:$A$135,0),MATCH(Y196,'G-8 Condition Look up'!$A$3:$H$3,0)),"")</f>
        <v/>
      </c>
      <c r="AA196" s="105"/>
      <c r="AB196" s="320" t="str">
        <f>IF(AA196="","",IF(VLOOKUP(AA196,'G-3 Multipliers'!$L$3:$N$6,2,FALSE)=0,"Spatial Data Missing ⚠",VLOOKUP(AA196,'G-3 Multipliers'!$L$3:$N$6,2,FALSE)))</f>
        <v/>
      </c>
      <c r="AC196" s="305" t="str">
        <f>IF(AA196="","",IF(VLOOKUP(AA196,'G-3 Multipliers'!$L$3:$N$6,3,FALSE)=0,"Spatial Data Missing ⚠",VLOOKUP(AA196,'G-3 Multipliers'!$L$3:$N$6,3,FALSE)))</f>
        <v/>
      </c>
      <c r="AD196" s="317" t="str">
        <f t="shared" si="21"/>
        <v/>
      </c>
      <c r="AE196" s="142"/>
      <c r="AF196" s="142"/>
      <c r="AG196" s="301" t="str">
        <f t="shared" si="24"/>
        <v/>
      </c>
      <c r="AH196" s="302" t="str">
        <f t="shared" si="25"/>
        <v/>
      </c>
      <c r="AI196" s="306" t="str">
        <f>IF(AH196="Check Data ⚠","Check Data ⚠",IFERROR(VLOOKUP(AH196,'G-4 Temporal multipliers'!$A$4:$C$36,3,FALSE),""))</f>
        <v/>
      </c>
      <c r="AJ196" s="317" t="str">
        <f>IF(S196="","",VLOOKUP(S196,'G-3 Multipliers'!$A$2:$E$134,4,FALSE))</f>
        <v/>
      </c>
      <c r="AK196" s="301" t="str">
        <f t="shared" si="26"/>
        <v/>
      </c>
      <c r="AL196" s="301" t="str">
        <f t="shared" si="27"/>
        <v/>
      </c>
      <c r="AM196" s="305" t="str">
        <f>IFERROR(IF(F196="","",IF(AH196="Check Data ⚠","Check Data ⚠",VLOOKUP(AL196, 'G-3 Multipliers'!$P$2:$Q$6,2,FALSE))),"")</f>
        <v/>
      </c>
      <c r="AN196" s="728"/>
      <c r="AO196" s="335" t="str">
        <f>IF(AN196="","",IF(VLOOKUP(AN196,'G-3 Multipliers'!$S$3:$T$10,2,FALSE)=0,"Spatial Data Missing ⚠",VLOOKUP(AN196,'G-3 Multipliers'!$S$3:$T$10,2,FALSE)))</f>
        <v/>
      </c>
      <c r="AP196" s="295" t="str">
        <f t="shared" si="28"/>
        <v/>
      </c>
      <c r="AQ196" s="295" t="str">
        <f t="shared" si="29"/>
        <v/>
      </c>
      <c r="AR196" s="109"/>
      <c r="AS196" s="142"/>
      <c r="AT196" s="108"/>
      <c r="AU196" s="108"/>
      <c r="AY196" s="30" t="str">
        <f>IF(E196="","",IF(ISNA(VLOOKUP($E196,'D-1 Off-Site Habitat Baseline'!$D$1:$AV$258,4,FALSE)),"",(VLOOKUP($E196,'D-1 Off-Site Habitat Baseline'!$D$1:$AV$258,4,FALSE))))</f>
        <v/>
      </c>
    </row>
    <row r="197" spans="1:51" x14ac:dyDescent="0.25">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325" t="str">
        <f>'D-1 Off-Site Habitat Baseline'!AP196</f>
        <v/>
      </c>
      <c r="F197" s="289" t="str">
        <f>IF(E197="","",IF(ISNA(VLOOKUP($E197,'D-1 Off-Site Habitat Baseline'!$D$1:$ZZ$258,45,FALSE)),"",(VLOOKUP($E197,'D-1 Off-Site Habitat Baseline'!$D$1:$ZZ$258,45,FALSE))))</f>
        <v/>
      </c>
      <c r="G197" s="301" t="str">
        <f>IF(E197="","",IF(ISNA(VLOOKUP($E197,'D-1 Off-Site Habitat Baseline'!$D$1:$O$258,5,FALSE)),"",(VLOOKUP($E197,'D-1 Off-Site Habitat Baseline'!$D$1:$O$258,5,FALSE))))</f>
        <v/>
      </c>
      <c r="H197" s="301" t="str">
        <f>IF(E197="","",IF(ISNA(VLOOKUP($E197,'D-1 Off-Site Habitat Baseline'!$D$1:$O$258,6,FALSE)),"",(VLOOKUP($E197,'D-1 Off-Site Habitat Baseline'!$D$1:$O$258,6,FALSE))))</f>
        <v/>
      </c>
      <c r="I197" s="301" t="str">
        <f>IF(E197="","",IF(ISNA(VLOOKUP($E197,'D-1 Off-Site Habitat Baseline'!$D$1:$O$258,7,FALSE)),"",(VLOOKUP($E197,'D-1 Off-Site Habitat Baseline'!$D$1:$O$258,7,FALSE))))</f>
        <v/>
      </c>
      <c r="J197" s="301" t="str">
        <f>IF(E197="","",IF(ISNA(VLOOKUP($E197,'D-1 Off-Site Habitat Baseline'!$D$1:$O$258,8,FALSE)),"",(VLOOKUP($E197,'D-1 Off-Site Habitat Baseline'!$D$1:$O$258,8,FALSE))))</f>
        <v/>
      </c>
      <c r="K197" s="301" t="str">
        <f>IF(E197="","",IF(ISNA(VLOOKUP($E197,'D-1 Off-Site Habitat Baseline'!$D$1:$O$258,9,FALSE)),"",(VLOOKUP($E197,'D-1 Off-Site Habitat Baseline'!$D$1:$O$258,9,FALSE))))</f>
        <v/>
      </c>
      <c r="L197" s="301" t="str">
        <f>IF(E197="","",IF(ISNA(VLOOKUP($E197,'D-1 Off-Site Habitat Baseline'!$D$1:$O$258,11,FALSE)),"",(VLOOKUP($E197,'D-1 Off-Site Habitat Baseline'!$D$1:$O$258,11,FALSE))))</f>
        <v/>
      </c>
      <c r="M197" s="301" t="str">
        <f>IF(E197="","",IF(ISNA(VLOOKUP($E197,'D-1 Off-Site Habitat Baseline'!$D$1:$O$258,12,FALSE)),"",(VLOOKUP($E197,'D-1 Off-Site Habitat Baseline'!$D$1:$O$258,12,FALSE))))</f>
        <v/>
      </c>
      <c r="N197" s="301" t="str">
        <f>IF(E197="","",IF(ISNA(VLOOKUP($E197,'D-1 Off-Site Habitat Baseline'!$D$1:$AA$258,17,FALSE)),"",(VLOOKUP($E197,'D-1 Off-Site Habitat Baseline'!$D$1:$AA$258,17,FALSE))))</f>
        <v/>
      </c>
      <c r="O197" s="305" t="str">
        <f>IF(E197="","",IF(ISNA(VLOOKUP($E197,'D-1 Off-Site Habitat Baseline'!$D$1:$AA$258,13,FALSE)),"",(VLOOKUP($E197,'D-1 Off-Site Habitat Baseline'!$D$1:$AA$258,13,FALSE))))</f>
        <v/>
      </c>
      <c r="P197" s="152" t="str">
        <f>IFERROR(INDEX('G-1 All Habitats'!$AG$49:$AG$63,MATCH(Q197,'G-1 All Habitats'!$AF$27:$AF$41,0)),"")</f>
        <v/>
      </c>
      <c r="Q197" s="153"/>
      <c r="R197" s="154"/>
      <c r="S197" s="155" t="str">
        <f>IFERROR(INDEX('G-1 All Habitats'!$B$3:$B$135,MATCH(R197,'G-1 All Habitats'!$A$3:$A$135,0)),"")</f>
        <v/>
      </c>
      <c r="T197" s="289" t="str">
        <f t="shared" si="22"/>
        <v/>
      </c>
      <c r="U197" s="305" t="str">
        <f t="shared" si="23"/>
        <v/>
      </c>
      <c r="V197" s="304" t="str">
        <f t="shared" si="20"/>
        <v/>
      </c>
      <c r="W197" s="301" t="str">
        <f>IF(S197="","",VLOOKUP(S197,'G-1 All Habitats'!$B$2:$M$135,10,FALSE))</f>
        <v/>
      </c>
      <c r="X197" s="301" t="str">
        <f>IFERROR(VLOOKUP(W197,'G-1 All Habitats'!$V$3:$W$7,2,FALSE),"")</f>
        <v/>
      </c>
      <c r="Y197" s="142"/>
      <c r="Z197" s="305" t="str">
        <f>IFERROR(INDEX('G-8 Condition Look up'!$A$3:$H$135,MATCH(S197,'G-8 Condition Look up'!$A$3:$A$135,0),MATCH(Y197,'G-8 Condition Look up'!$A$3:$H$3,0)),"")</f>
        <v/>
      </c>
      <c r="AA197" s="105"/>
      <c r="AB197" s="320" t="str">
        <f>IF(AA197="","",IF(VLOOKUP(AA197,'G-3 Multipliers'!$L$3:$N$6,2,FALSE)=0,"Spatial Data Missing ⚠",VLOOKUP(AA197,'G-3 Multipliers'!$L$3:$N$6,2,FALSE)))</f>
        <v/>
      </c>
      <c r="AC197" s="305" t="str">
        <f>IF(AA197="","",IF(VLOOKUP(AA197,'G-3 Multipliers'!$L$3:$N$6,3,FALSE)=0,"Spatial Data Missing ⚠",VLOOKUP(AA197,'G-3 Multipliers'!$L$3:$N$6,3,FALSE)))</f>
        <v/>
      </c>
      <c r="AD197" s="317" t="str">
        <f t="shared" si="21"/>
        <v/>
      </c>
      <c r="AE197" s="142"/>
      <c r="AF197" s="142"/>
      <c r="AG197" s="301" t="str">
        <f t="shared" si="24"/>
        <v/>
      </c>
      <c r="AH197" s="302" t="str">
        <f t="shared" si="25"/>
        <v/>
      </c>
      <c r="AI197" s="306" t="str">
        <f>IF(AH197="Check Data ⚠","Check Data ⚠",IFERROR(VLOOKUP(AH197,'G-4 Temporal multipliers'!$A$4:$C$36,3,FALSE),""))</f>
        <v/>
      </c>
      <c r="AJ197" s="317" t="str">
        <f>IF(S197="","",VLOOKUP(S197,'G-3 Multipliers'!$A$2:$E$134,4,FALSE))</f>
        <v/>
      </c>
      <c r="AK197" s="301" t="str">
        <f t="shared" si="26"/>
        <v/>
      </c>
      <c r="AL197" s="301" t="str">
        <f t="shared" si="27"/>
        <v/>
      </c>
      <c r="AM197" s="305" t="str">
        <f>IFERROR(IF(F197="","",IF(AH197="Check Data ⚠","Check Data ⚠",VLOOKUP(AL197, 'G-3 Multipliers'!$P$2:$Q$6,2,FALSE))),"")</f>
        <v/>
      </c>
      <c r="AN197" s="728"/>
      <c r="AO197" s="335" t="str">
        <f>IF(AN197="","",IF(VLOOKUP(AN197,'G-3 Multipliers'!$S$3:$T$10,2,FALSE)=0,"Spatial Data Missing ⚠",VLOOKUP(AN197,'G-3 Multipliers'!$S$3:$T$10,2,FALSE)))</f>
        <v/>
      </c>
      <c r="AP197" s="295" t="str">
        <f t="shared" si="28"/>
        <v/>
      </c>
      <c r="AQ197" s="295" t="str">
        <f t="shared" si="29"/>
        <v/>
      </c>
      <c r="AR197" s="109"/>
      <c r="AS197" s="142"/>
      <c r="AT197" s="108"/>
      <c r="AU197" s="108"/>
      <c r="AY197" s="30" t="str">
        <f>IF(E197="","",IF(ISNA(VLOOKUP($E197,'D-1 Off-Site Habitat Baseline'!$D$1:$AV$258,4,FALSE)),"",(VLOOKUP($E197,'D-1 Off-Site Habitat Baseline'!$D$1:$AV$258,4,FALSE))))</f>
        <v/>
      </c>
    </row>
    <row r="198" spans="1:51" x14ac:dyDescent="0.25">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325" t="str">
        <f>'D-1 Off-Site Habitat Baseline'!AP197</f>
        <v/>
      </c>
      <c r="F198" s="289" t="str">
        <f>IF(E198="","",IF(ISNA(VLOOKUP($E198,'D-1 Off-Site Habitat Baseline'!$D$1:$ZZ$258,45,FALSE)),"",(VLOOKUP($E198,'D-1 Off-Site Habitat Baseline'!$D$1:$ZZ$258,45,FALSE))))</f>
        <v/>
      </c>
      <c r="G198" s="301" t="str">
        <f>IF(E198="","",IF(ISNA(VLOOKUP($E198,'D-1 Off-Site Habitat Baseline'!$D$1:$O$258,5,FALSE)),"",(VLOOKUP($E198,'D-1 Off-Site Habitat Baseline'!$D$1:$O$258,5,FALSE))))</f>
        <v/>
      </c>
      <c r="H198" s="301" t="str">
        <f>IF(E198="","",IF(ISNA(VLOOKUP($E198,'D-1 Off-Site Habitat Baseline'!$D$1:$O$258,6,FALSE)),"",(VLOOKUP($E198,'D-1 Off-Site Habitat Baseline'!$D$1:$O$258,6,FALSE))))</f>
        <v/>
      </c>
      <c r="I198" s="301" t="str">
        <f>IF(E198="","",IF(ISNA(VLOOKUP($E198,'D-1 Off-Site Habitat Baseline'!$D$1:$O$258,7,FALSE)),"",(VLOOKUP($E198,'D-1 Off-Site Habitat Baseline'!$D$1:$O$258,7,FALSE))))</f>
        <v/>
      </c>
      <c r="J198" s="301" t="str">
        <f>IF(E198="","",IF(ISNA(VLOOKUP($E198,'D-1 Off-Site Habitat Baseline'!$D$1:$O$258,8,FALSE)),"",(VLOOKUP($E198,'D-1 Off-Site Habitat Baseline'!$D$1:$O$258,8,FALSE))))</f>
        <v/>
      </c>
      <c r="K198" s="301" t="str">
        <f>IF(E198="","",IF(ISNA(VLOOKUP($E198,'D-1 Off-Site Habitat Baseline'!$D$1:$O$258,9,FALSE)),"",(VLOOKUP($E198,'D-1 Off-Site Habitat Baseline'!$D$1:$O$258,9,FALSE))))</f>
        <v/>
      </c>
      <c r="L198" s="301" t="str">
        <f>IF(E198="","",IF(ISNA(VLOOKUP($E198,'D-1 Off-Site Habitat Baseline'!$D$1:$O$258,11,FALSE)),"",(VLOOKUP($E198,'D-1 Off-Site Habitat Baseline'!$D$1:$O$258,11,FALSE))))</f>
        <v/>
      </c>
      <c r="M198" s="301" t="str">
        <f>IF(E198="","",IF(ISNA(VLOOKUP($E198,'D-1 Off-Site Habitat Baseline'!$D$1:$O$258,12,FALSE)),"",(VLOOKUP($E198,'D-1 Off-Site Habitat Baseline'!$D$1:$O$258,12,FALSE))))</f>
        <v/>
      </c>
      <c r="N198" s="301" t="str">
        <f>IF(E198="","",IF(ISNA(VLOOKUP($E198,'D-1 Off-Site Habitat Baseline'!$D$1:$AA$258,17,FALSE)),"",(VLOOKUP($E198,'D-1 Off-Site Habitat Baseline'!$D$1:$AA$258,17,FALSE))))</f>
        <v/>
      </c>
      <c r="O198" s="305" t="str">
        <f>IF(E198="","",IF(ISNA(VLOOKUP($E198,'D-1 Off-Site Habitat Baseline'!$D$1:$AA$258,13,FALSE)),"",(VLOOKUP($E198,'D-1 Off-Site Habitat Baseline'!$D$1:$AA$258,13,FALSE))))</f>
        <v/>
      </c>
      <c r="P198" s="152" t="str">
        <f>IFERROR(INDEX('G-1 All Habitats'!$AG$49:$AG$63,MATCH(Q198,'G-1 All Habitats'!$AF$27:$AF$41,0)),"")</f>
        <v/>
      </c>
      <c r="Q198" s="153"/>
      <c r="R198" s="154"/>
      <c r="S198" s="155" t="str">
        <f>IFERROR(INDEX('G-1 All Habitats'!$B$3:$B$135,MATCH(R198,'G-1 All Habitats'!$A$3:$A$135,0)),"")</f>
        <v/>
      </c>
      <c r="T198" s="289" t="str">
        <f t="shared" si="22"/>
        <v/>
      </c>
      <c r="U198" s="305" t="str">
        <f t="shared" si="23"/>
        <v/>
      </c>
      <c r="V198" s="304" t="str">
        <f t="shared" si="20"/>
        <v/>
      </c>
      <c r="W198" s="301" t="str">
        <f>IF(S198="","",VLOOKUP(S198,'G-1 All Habitats'!$B$2:$M$135,10,FALSE))</f>
        <v/>
      </c>
      <c r="X198" s="301" t="str">
        <f>IFERROR(VLOOKUP(W198,'G-1 All Habitats'!$V$3:$W$7,2,FALSE),"")</f>
        <v/>
      </c>
      <c r="Y198" s="142"/>
      <c r="Z198" s="305" t="str">
        <f>IFERROR(INDEX('G-8 Condition Look up'!$A$3:$H$135,MATCH(S198,'G-8 Condition Look up'!$A$3:$A$135,0),MATCH(Y198,'G-8 Condition Look up'!$A$3:$H$3,0)),"")</f>
        <v/>
      </c>
      <c r="AA198" s="105"/>
      <c r="AB198" s="320" t="str">
        <f>IF(AA198="","",IF(VLOOKUP(AA198,'G-3 Multipliers'!$L$3:$N$6,2,FALSE)=0,"Spatial Data Missing ⚠",VLOOKUP(AA198,'G-3 Multipliers'!$L$3:$N$6,2,FALSE)))</f>
        <v/>
      </c>
      <c r="AC198" s="305" t="str">
        <f>IF(AA198="","",IF(VLOOKUP(AA198,'G-3 Multipliers'!$L$3:$N$6,3,FALSE)=0,"Spatial Data Missing ⚠",VLOOKUP(AA198,'G-3 Multipliers'!$L$3:$N$6,3,FALSE)))</f>
        <v/>
      </c>
      <c r="AD198" s="317" t="str">
        <f t="shared" si="21"/>
        <v/>
      </c>
      <c r="AE198" s="142"/>
      <c r="AF198" s="142"/>
      <c r="AG198" s="301" t="str">
        <f t="shared" si="24"/>
        <v/>
      </c>
      <c r="AH198" s="302" t="str">
        <f t="shared" si="25"/>
        <v/>
      </c>
      <c r="AI198" s="306" t="str">
        <f>IF(AH198="Check Data ⚠","Check Data ⚠",IFERROR(VLOOKUP(AH198,'G-4 Temporal multipliers'!$A$4:$C$36,3,FALSE),""))</f>
        <v/>
      </c>
      <c r="AJ198" s="317" t="str">
        <f>IF(S198="","",VLOOKUP(S198,'G-3 Multipliers'!$A$2:$E$134,4,FALSE))</f>
        <v/>
      </c>
      <c r="AK198" s="301" t="str">
        <f t="shared" si="26"/>
        <v/>
      </c>
      <c r="AL198" s="301" t="str">
        <f t="shared" si="27"/>
        <v/>
      </c>
      <c r="AM198" s="305" t="str">
        <f>IFERROR(IF(F198="","",IF(AH198="Check Data ⚠","Check Data ⚠",VLOOKUP(AL198, 'G-3 Multipliers'!$P$2:$Q$6,2,FALSE))),"")</f>
        <v/>
      </c>
      <c r="AN198" s="728"/>
      <c r="AO198" s="335" t="str">
        <f>IF(AN198="","",IF(VLOOKUP(AN198,'G-3 Multipliers'!$S$3:$T$10,2,FALSE)=0,"Spatial Data Missing ⚠",VLOOKUP(AN198,'G-3 Multipliers'!$S$3:$T$10,2,FALSE)))</f>
        <v/>
      </c>
      <c r="AP198" s="295" t="str">
        <f t="shared" si="28"/>
        <v/>
      </c>
      <c r="AQ198" s="295" t="str">
        <f t="shared" si="29"/>
        <v/>
      </c>
      <c r="AR198" s="109"/>
      <c r="AS198" s="142"/>
      <c r="AT198" s="108"/>
      <c r="AU198" s="108"/>
      <c r="AY198" s="30" t="str">
        <f>IF(E198="","",IF(ISNA(VLOOKUP($E198,'D-1 Off-Site Habitat Baseline'!$D$1:$AV$258,4,FALSE)),"",(VLOOKUP($E198,'D-1 Off-Site Habitat Baseline'!$D$1:$AV$258,4,FALSE))))</f>
        <v/>
      </c>
    </row>
    <row r="199" spans="1:51" x14ac:dyDescent="0.25">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325" t="str">
        <f>'D-1 Off-Site Habitat Baseline'!AP198</f>
        <v/>
      </c>
      <c r="F199" s="289" t="str">
        <f>IF(E199="","",IF(ISNA(VLOOKUP($E199,'D-1 Off-Site Habitat Baseline'!$D$1:$ZZ$258,45,FALSE)),"",(VLOOKUP($E199,'D-1 Off-Site Habitat Baseline'!$D$1:$ZZ$258,45,FALSE))))</f>
        <v/>
      </c>
      <c r="G199" s="301" t="str">
        <f>IF(E199="","",IF(ISNA(VLOOKUP($E199,'D-1 Off-Site Habitat Baseline'!$D$1:$O$258,5,FALSE)),"",(VLOOKUP($E199,'D-1 Off-Site Habitat Baseline'!$D$1:$O$258,5,FALSE))))</f>
        <v/>
      </c>
      <c r="H199" s="301" t="str">
        <f>IF(E199="","",IF(ISNA(VLOOKUP($E199,'D-1 Off-Site Habitat Baseline'!$D$1:$O$258,6,FALSE)),"",(VLOOKUP($E199,'D-1 Off-Site Habitat Baseline'!$D$1:$O$258,6,FALSE))))</f>
        <v/>
      </c>
      <c r="I199" s="301" t="str">
        <f>IF(E199="","",IF(ISNA(VLOOKUP($E199,'D-1 Off-Site Habitat Baseline'!$D$1:$O$258,7,FALSE)),"",(VLOOKUP($E199,'D-1 Off-Site Habitat Baseline'!$D$1:$O$258,7,FALSE))))</f>
        <v/>
      </c>
      <c r="J199" s="301" t="str">
        <f>IF(E199="","",IF(ISNA(VLOOKUP($E199,'D-1 Off-Site Habitat Baseline'!$D$1:$O$258,8,FALSE)),"",(VLOOKUP($E199,'D-1 Off-Site Habitat Baseline'!$D$1:$O$258,8,FALSE))))</f>
        <v/>
      </c>
      <c r="K199" s="301" t="str">
        <f>IF(E199="","",IF(ISNA(VLOOKUP($E199,'D-1 Off-Site Habitat Baseline'!$D$1:$O$258,9,FALSE)),"",(VLOOKUP($E199,'D-1 Off-Site Habitat Baseline'!$D$1:$O$258,9,FALSE))))</f>
        <v/>
      </c>
      <c r="L199" s="301" t="str">
        <f>IF(E199="","",IF(ISNA(VLOOKUP($E199,'D-1 Off-Site Habitat Baseline'!$D$1:$O$258,11,FALSE)),"",(VLOOKUP($E199,'D-1 Off-Site Habitat Baseline'!$D$1:$O$258,11,FALSE))))</f>
        <v/>
      </c>
      <c r="M199" s="301" t="str">
        <f>IF(E199="","",IF(ISNA(VLOOKUP($E199,'D-1 Off-Site Habitat Baseline'!$D$1:$O$258,12,FALSE)),"",(VLOOKUP($E199,'D-1 Off-Site Habitat Baseline'!$D$1:$O$258,12,FALSE))))</f>
        <v/>
      </c>
      <c r="N199" s="301" t="str">
        <f>IF(E199="","",IF(ISNA(VLOOKUP($E199,'D-1 Off-Site Habitat Baseline'!$D$1:$AA$258,17,FALSE)),"",(VLOOKUP($E199,'D-1 Off-Site Habitat Baseline'!$D$1:$AA$258,17,FALSE))))</f>
        <v/>
      </c>
      <c r="O199" s="305" t="str">
        <f>IF(E199="","",IF(ISNA(VLOOKUP($E199,'D-1 Off-Site Habitat Baseline'!$D$1:$AA$258,13,FALSE)),"",(VLOOKUP($E199,'D-1 Off-Site Habitat Baseline'!$D$1:$AA$258,13,FALSE))))</f>
        <v/>
      </c>
      <c r="P199" s="152" t="str">
        <f>IFERROR(INDEX('G-1 All Habitats'!$AG$49:$AG$63,MATCH(Q199,'G-1 All Habitats'!$AF$27:$AF$41,0)),"")</f>
        <v/>
      </c>
      <c r="Q199" s="153"/>
      <c r="R199" s="154"/>
      <c r="S199" s="155" t="str">
        <f>IFERROR(INDEX('G-1 All Habitats'!$B$3:$B$135,MATCH(R199,'G-1 All Habitats'!$A$3:$A$135,0)),"")</f>
        <v/>
      </c>
      <c r="T199" s="289" t="str">
        <f t="shared" si="22"/>
        <v/>
      </c>
      <c r="U199" s="305" t="str">
        <f t="shared" si="23"/>
        <v/>
      </c>
      <c r="V199" s="304" t="str">
        <f t="shared" si="20"/>
        <v/>
      </c>
      <c r="W199" s="301" t="str">
        <f>IF(S199="","",VLOOKUP(S199,'G-1 All Habitats'!$B$2:$M$135,10,FALSE))</f>
        <v/>
      </c>
      <c r="X199" s="301" t="str">
        <f>IFERROR(VLOOKUP(W199,'G-1 All Habitats'!$V$3:$W$7,2,FALSE),"")</f>
        <v/>
      </c>
      <c r="Y199" s="142"/>
      <c r="Z199" s="305" t="str">
        <f>IFERROR(INDEX('G-8 Condition Look up'!$A$3:$H$135,MATCH(S199,'G-8 Condition Look up'!$A$3:$A$135,0),MATCH(Y199,'G-8 Condition Look up'!$A$3:$H$3,0)),"")</f>
        <v/>
      </c>
      <c r="AA199" s="105"/>
      <c r="AB199" s="320" t="str">
        <f>IF(AA199="","",IF(VLOOKUP(AA199,'G-3 Multipliers'!$L$3:$N$6,2,FALSE)=0,"Spatial Data Missing ⚠",VLOOKUP(AA199,'G-3 Multipliers'!$L$3:$N$6,2,FALSE)))</f>
        <v/>
      </c>
      <c r="AC199" s="305" t="str">
        <f>IF(AA199="","",IF(VLOOKUP(AA199,'G-3 Multipliers'!$L$3:$N$6,3,FALSE)=0,"Spatial Data Missing ⚠",VLOOKUP(AA199,'G-3 Multipliers'!$L$3:$N$6,3,FALSE)))</f>
        <v/>
      </c>
      <c r="AD199" s="317" t="str">
        <f t="shared" si="21"/>
        <v/>
      </c>
      <c r="AE199" s="142"/>
      <c r="AF199" s="142"/>
      <c r="AG199" s="301" t="str">
        <f t="shared" si="24"/>
        <v/>
      </c>
      <c r="AH199" s="302" t="str">
        <f t="shared" si="25"/>
        <v/>
      </c>
      <c r="AI199" s="306" t="str">
        <f>IF(AH199="Check Data ⚠","Check Data ⚠",IFERROR(VLOOKUP(AH199,'G-4 Temporal multipliers'!$A$4:$C$36,3,FALSE),""))</f>
        <v/>
      </c>
      <c r="AJ199" s="317" t="str">
        <f>IF(S199="","",VLOOKUP(S199,'G-3 Multipliers'!$A$2:$E$134,4,FALSE))</f>
        <v/>
      </c>
      <c r="AK199" s="301" t="str">
        <f t="shared" si="26"/>
        <v/>
      </c>
      <c r="AL199" s="301" t="str">
        <f t="shared" si="27"/>
        <v/>
      </c>
      <c r="AM199" s="305" t="str">
        <f>IFERROR(IF(F199="","",IF(AH199="Check Data ⚠","Check Data ⚠",VLOOKUP(AL199, 'G-3 Multipliers'!$P$2:$Q$6,2,FALSE))),"")</f>
        <v/>
      </c>
      <c r="AN199" s="728"/>
      <c r="AO199" s="335" t="str">
        <f>IF(AN199="","",IF(VLOOKUP(AN199,'G-3 Multipliers'!$S$3:$T$10,2,FALSE)=0,"Spatial Data Missing ⚠",VLOOKUP(AN199,'G-3 Multipliers'!$S$3:$T$10,2,FALSE)))</f>
        <v/>
      </c>
      <c r="AP199" s="295" t="str">
        <f t="shared" si="28"/>
        <v/>
      </c>
      <c r="AQ199" s="295" t="str">
        <f t="shared" si="29"/>
        <v/>
      </c>
      <c r="AR199" s="109"/>
      <c r="AS199" s="142"/>
      <c r="AT199" s="108"/>
      <c r="AU199" s="108"/>
      <c r="AY199" s="30" t="str">
        <f>IF(E199="","",IF(ISNA(VLOOKUP($E199,'D-1 Off-Site Habitat Baseline'!$D$1:$AV$258,4,FALSE)),"",(VLOOKUP($E199,'D-1 Off-Site Habitat Baseline'!$D$1:$AV$258,4,FALSE))))</f>
        <v/>
      </c>
    </row>
    <row r="200" spans="1:51" x14ac:dyDescent="0.25">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325" t="str">
        <f>'D-1 Off-Site Habitat Baseline'!AP199</f>
        <v/>
      </c>
      <c r="F200" s="289" t="str">
        <f>IF(E200="","",IF(ISNA(VLOOKUP($E200,'D-1 Off-Site Habitat Baseline'!$D$1:$ZZ$258,45,FALSE)),"",(VLOOKUP($E200,'D-1 Off-Site Habitat Baseline'!$D$1:$ZZ$258,45,FALSE))))</f>
        <v/>
      </c>
      <c r="G200" s="301" t="str">
        <f>IF(E200="","",IF(ISNA(VLOOKUP($E200,'D-1 Off-Site Habitat Baseline'!$D$1:$O$258,5,FALSE)),"",(VLOOKUP($E200,'D-1 Off-Site Habitat Baseline'!$D$1:$O$258,5,FALSE))))</f>
        <v/>
      </c>
      <c r="H200" s="301" t="str">
        <f>IF(E200="","",IF(ISNA(VLOOKUP($E200,'D-1 Off-Site Habitat Baseline'!$D$1:$O$258,6,FALSE)),"",(VLOOKUP($E200,'D-1 Off-Site Habitat Baseline'!$D$1:$O$258,6,FALSE))))</f>
        <v/>
      </c>
      <c r="I200" s="301" t="str">
        <f>IF(E200="","",IF(ISNA(VLOOKUP($E200,'D-1 Off-Site Habitat Baseline'!$D$1:$O$258,7,FALSE)),"",(VLOOKUP($E200,'D-1 Off-Site Habitat Baseline'!$D$1:$O$258,7,FALSE))))</f>
        <v/>
      </c>
      <c r="J200" s="301" t="str">
        <f>IF(E200="","",IF(ISNA(VLOOKUP($E200,'D-1 Off-Site Habitat Baseline'!$D$1:$O$258,8,FALSE)),"",(VLOOKUP($E200,'D-1 Off-Site Habitat Baseline'!$D$1:$O$258,8,FALSE))))</f>
        <v/>
      </c>
      <c r="K200" s="301" t="str">
        <f>IF(E200="","",IF(ISNA(VLOOKUP($E200,'D-1 Off-Site Habitat Baseline'!$D$1:$O$258,9,FALSE)),"",(VLOOKUP($E200,'D-1 Off-Site Habitat Baseline'!$D$1:$O$258,9,FALSE))))</f>
        <v/>
      </c>
      <c r="L200" s="301" t="str">
        <f>IF(E200="","",IF(ISNA(VLOOKUP($E200,'D-1 Off-Site Habitat Baseline'!$D$1:$O$258,11,FALSE)),"",(VLOOKUP($E200,'D-1 Off-Site Habitat Baseline'!$D$1:$O$258,11,FALSE))))</f>
        <v/>
      </c>
      <c r="M200" s="301" t="str">
        <f>IF(E200="","",IF(ISNA(VLOOKUP($E200,'D-1 Off-Site Habitat Baseline'!$D$1:$O$258,12,FALSE)),"",(VLOOKUP($E200,'D-1 Off-Site Habitat Baseline'!$D$1:$O$258,12,FALSE))))</f>
        <v/>
      </c>
      <c r="N200" s="301" t="str">
        <f>IF(E200="","",IF(ISNA(VLOOKUP($E200,'D-1 Off-Site Habitat Baseline'!$D$1:$AA$258,17,FALSE)),"",(VLOOKUP($E200,'D-1 Off-Site Habitat Baseline'!$D$1:$AA$258,17,FALSE))))</f>
        <v/>
      </c>
      <c r="O200" s="305" t="str">
        <f>IF(E200="","",IF(ISNA(VLOOKUP($E200,'D-1 Off-Site Habitat Baseline'!$D$1:$AA$258,13,FALSE)),"",(VLOOKUP($E200,'D-1 Off-Site Habitat Baseline'!$D$1:$AA$258,13,FALSE))))</f>
        <v/>
      </c>
      <c r="P200" s="152" t="str">
        <f>IFERROR(INDEX('G-1 All Habitats'!$AG$49:$AG$63,MATCH(Q200,'G-1 All Habitats'!$AF$27:$AF$41,0)),"")</f>
        <v/>
      </c>
      <c r="Q200" s="153"/>
      <c r="R200" s="154"/>
      <c r="S200" s="155" t="str">
        <f>IFERROR(INDEX('G-1 All Habitats'!$B$3:$B$135,MATCH(R200,'G-1 All Habitats'!$A$3:$A$135,0)),"")</f>
        <v/>
      </c>
      <c r="T200" s="289" t="str">
        <f t="shared" si="22"/>
        <v/>
      </c>
      <c r="U200" s="305" t="str">
        <f t="shared" si="23"/>
        <v/>
      </c>
      <c r="V200" s="304" t="str">
        <f t="shared" si="20"/>
        <v/>
      </c>
      <c r="W200" s="301" t="str">
        <f>IF(S200="","",VLOOKUP(S200,'G-1 All Habitats'!$B$2:$M$135,10,FALSE))</f>
        <v/>
      </c>
      <c r="X200" s="301" t="str">
        <f>IFERROR(VLOOKUP(W200,'G-1 All Habitats'!$V$3:$W$7,2,FALSE),"")</f>
        <v/>
      </c>
      <c r="Y200" s="142"/>
      <c r="Z200" s="305" t="str">
        <f>IFERROR(INDEX('G-8 Condition Look up'!$A$3:$H$135,MATCH(S200,'G-8 Condition Look up'!$A$3:$A$135,0),MATCH(Y200,'G-8 Condition Look up'!$A$3:$H$3,0)),"")</f>
        <v/>
      </c>
      <c r="AA200" s="105"/>
      <c r="AB200" s="320" t="str">
        <f>IF(AA200="","",IF(VLOOKUP(AA200,'G-3 Multipliers'!$L$3:$N$6,2,FALSE)=0,"Spatial Data Missing ⚠",VLOOKUP(AA200,'G-3 Multipliers'!$L$3:$N$6,2,FALSE)))</f>
        <v/>
      </c>
      <c r="AC200" s="305" t="str">
        <f>IF(AA200="","",IF(VLOOKUP(AA200,'G-3 Multipliers'!$L$3:$N$6,3,FALSE)=0,"Spatial Data Missing ⚠",VLOOKUP(AA200,'G-3 Multipliers'!$L$3:$N$6,3,FALSE)))</f>
        <v/>
      </c>
      <c r="AD200" s="317" t="str">
        <f t="shared" si="21"/>
        <v/>
      </c>
      <c r="AE200" s="142"/>
      <c r="AF200" s="142"/>
      <c r="AG200" s="301" t="str">
        <f t="shared" si="24"/>
        <v/>
      </c>
      <c r="AH200" s="302" t="str">
        <f t="shared" si="25"/>
        <v/>
      </c>
      <c r="AI200" s="306" t="str">
        <f>IF(AH200="Check Data ⚠","Check Data ⚠",IFERROR(VLOOKUP(AH200,'G-4 Temporal multipliers'!$A$4:$C$36,3,FALSE),""))</f>
        <v/>
      </c>
      <c r="AJ200" s="317" t="str">
        <f>IF(S200="","",VLOOKUP(S200,'G-3 Multipliers'!$A$2:$E$134,4,FALSE))</f>
        <v/>
      </c>
      <c r="AK200" s="301" t="str">
        <f t="shared" si="26"/>
        <v/>
      </c>
      <c r="AL200" s="301" t="str">
        <f t="shared" si="27"/>
        <v/>
      </c>
      <c r="AM200" s="305" t="str">
        <f>IFERROR(IF(F200="","",IF(AH200="Check Data ⚠","Check Data ⚠",VLOOKUP(AL200, 'G-3 Multipliers'!$P$2:$Q$6,2,FALSE))),"")</f>
        <v/>
      </c>
      <c r="AN200" s="728"/>
      <c r="AO200" s="335" t="str">
        <f>IF(AN200="","",IF(VLOOKUP(AN200,'G-3 Multipliers'!$S$3:$T$10,2,FALSE)=0,"Spatial Data Missing ⚠",VLOOKUP(AN200,'G-3 Multipliers'!$S$3:$T$10,2,FALSE)))</f>
        <v/>
      </c>
      <c r="AP200" s="295" t="str">
        <f t="shared" si="28"/>
        <v/>
      </c>
      <c r="AQ200" s="295" t="str">
        <f t="shared" si="29"/>
        <v/>
      </c>
      <c r="AR200" s="109"/>
      <c r="AS200" s="142"/>
      <c r="AT200" s="108"/>
      <c r="AU200" s="108"/>
      <c r="AY200" s="30" t="str">
        <f>IF(E200="","",IF(ISNA(VLOOKUP($E200,'D-1 Off-Site Habitat Baseline'!$D$1:$AV$258,4,FALSE)),"",(VLOOKUP($E200,'D-1 Off-Site Habitat Baseline'!$D$1:$AV$258,4,FALSE))))</f>
        <v/>
      </c>
    </row>
    <row r="201" spans="1:51" x14ac:dyDescent="0.25">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325" t="str">
        <f>'D-1 Off-Site Habitat Baseline'!AP200</f>
        <v/>
      </c>
      <c r="F201" s="289" t="str">
        <f>IF(E201="","",IF(ISNA(VLOOKUP($E201,'D-1 Off-Site Habitat Baseline'!$D$1:$ZZ$258,45,FALSE)),"",(VLOOKUP($E201,'D-1 Off-Site Habitat Baseline'!$D$1:$ZZ$258,45,FALSE))))</f>
        <v/>
      </c>
      <c r="G201" s="301" t="str">
        <f>IF(E201="","",IF(ISNA(VLOOKUP($E201,'D-1 Off-Site Habitat Baseline'!$D$1:$O$258,5,FALSE)),"",(VLOOKUP($E201,'D-1 Off-Site Habitat Baseline'!$D$1:$O$258,5,FALSE))))</f>
        <v/>
      </c>
      <c r="H201" s="301" t="str">
        <f>IF(E201="","",IF(ISNA(VLOOKUP($E201,'D-1 Off-Site Habitat Baseline'!$D$1:$O$258,6,FALSE)),"",(VLOOKUP($E201,'D-1 Off-Site Habitat Baseline'!$D$1:$O$258,6,FALSE))))</f>
        <v/>
      </c>
      <c r="I201" s="301" t="str">
        <f>IF(E201="","",IF(ISNA(VLOOKUP($E201,'D-1 Off-Site Habitat Baseline'!$D$1:$O$258,7,FALSE)),"",(VLOOKUP($E201,'D-1 Off-Site Habitat Baseline'!$D$1:$O$258,7,FALSE))))</f>
        <v/>
      </c>
      <c r="J201" s="301" t="str">
        <f>IF(E201="","",IF(ISNA(VLOOKUP($E201,'D-1 Off-Site Habitat Baseline'!$D$1:$O$258,8,FALSE)),"",(VLOOKUP($E201,'D-1 Off-Site Habitat Baseline'!$D$1:$O$258,8,FALSE))))</f>
        <v/>
      </c>
      <c r="K201" s="301" t="str">
        <f>IF(E201="","",IF(ISNA(VLOOKUP($E201,'D-1 Off-Site Habitat Baseline'!$D$1:$O$258,9,FALSE)),"",(VLOOKUP($E201,'D-1 Off-Site Habitat Baseline'!$D$1:$O$258,9,FALSE))))</f>
        <v/>
      </c>
      <c r="L201" s="301" t="str">
        <f>IF(E201="","",IF(ISNA(VLOOKUP($E201,'D-1 Off-Site Habitat Baseline'!$D$1:$O$258,11,FALSE)),"",(VLOOKUP($E201,'D-1 Off-Site Habitat Baseline'!$D$1:$O$258,11,FALSE))))</f>
        <v/>
      </c>
      <c r="M201" s="301" t="str">
        <f>IF(E201="","",IF(ISNA(VLOOKUP($E201,'D-1 Off-Site Habitat Baseline'!$D$1:$O$258,12,FALSE)),"",(VLOOKUP($E201,'D-1 Off-Site Habitat Baseline'!$D$1:$O$258,12,FALSE))))</f>
        <v/>
      </c>
      <c r="N201" s="301" t="str">
        <f>IF(E201="","",IF(ISNA(VLOOKUP($E201,'D-1 Off-Site Habitat Baseline'!$D$1:$AA$258,17,FALSE)),"",(VLOOKUP($E201,'D-1 Off-Site Habitat Baseline'!$D$1:$AA$258,17,FALSE))))</f>
        <v/>
      </c>
      <c r="O201" s="305" t="str">
        <f>IF(E201="","",IF(ISNA(VLOOKUP($E201,'D-1 Off-Site Habitat Baseline'!$D$1:$AA$258,13,FALSE)),"",(VLOOKUP($E201,'D-1 Off-Site Habitat Baseline'!$D$1:$AA$258,13,FALSE))))</f>
        <v/>
      </c>
      <c r="P201" s="152" t="str">
        <f>IFERROR(INDEX('G-1 All Habitats'!$AG$49:$AG$63,MATCH(Q201,'G-1 All Habitats'!$AF$27:$AF$41,0)),"")</f>
        <v/>
      </c>
      <c r="Q201" s="153"/>
      <c r="R201" s="154"/>
      <c r="S201" s="155" t="str">
        <f>IFERROR(INDEX('G-1 All Habitats'!$B$3:$B$135,MATCH(R201,'G-1 All Habitats'!$A$3:$A$135,0)),"")</f>
        <v/>
      </c>
      <c r="T201" s="289" t="str">
        <f t="shared" si="22"/>
        <v/>
      </c>
      <c r="U201" s="305" t="str">
        <f t="shared" si="23"/>
        <v/>
      </c>
      <c r="V201" s="304" t="str">
        <f t="shared" si="20"/>
        <v/>
      </c>
      <c r="W201" s="301" t="str">
        <f>IF(S201="","",VLOOKUP(S201,'G-1 All Habitats'!$B$2:$M$135,10,FALSE))</f>
        <v/>
      </c>
      <c r="X201" s="301" t="str">
        <f>IFERROR(VLOOKUP(W201,'G-1 All Habitats'!$V$3:$W$7,2,FALSE),"")</f>
        <v/>
      </c>
      <c r="Y201" s="142"/>
      <c r="Z201" s="305" t="str">
        <f>IFERROR(INDEX('G-8 Condition Look up'!$A$3:$H$135,MATCH(S201,'G-8 Condition Look up'!$A$3:$A$135,0),MATCH(Y201,'G-8 Condition Look up'!$A$3:$H$3,0)),"")</f>
        <v/>
      </c>
      <c r="AA201" s="105"/>
      <c r="AB201" s="320" t="str">
        <f>IF(AA201="","",IF(VLOOKUP(AA201,'G-3 Multipliers'!$L$3:$N$6,2,FALSE)=0,"Spatial Data Missing ⚠",VLOOKUP(AA201,'G-3 Multipliers'!$L$3:$N$6,2,FALSE)))</f>
        <v/>
      </c>
      <c r="AC201" s="305" t="str">
        <f>IF(AA201="","",IF(VLOOKUP(AA201,'G-3 Multipliers'!$L$3:$N$6,3,FALSE)=0,"Spatial Data Missing ⚠",VLOOKUP(AA201,'G-3 Multipliers'!$L$3:$N$6,3,FALSE)))</f>
        <v/>
      </c>
      <c r="AD201" s="317" t="str">
        <f t="shared" si="21"/>
        <v/>
      </c>
      <c r="AE201" s="142"/>
      <c r="AF201" s="142"/>
      <c r="AG201" s="301" t="str">
        <f t="shared" si="24"/>
        <v/>
      </c>
      <c r="AH201" s="302" t="str">
        <f t="shared" si="25"/>
        <v/>
      </c>
      <c r="AI201" s="306" t="str">
        <f>IF(AH201="Check Data ⚠","Check Data ⚠",IFERROR(VLOOKUP(AH201,'G-4 Temporal multipliers'!$A$4:$C$36,3,FALSE),""))</f>
        <v/>
      </c>
      <c r="AJ201" s="317" t="str">
        <f>IF(S201="","",VLOOKUP(S201,'G-3 Multipliers'!$A$2:$E$134,4,FALSE))</f>
        <v/>
      </c>
      <c r="AK201" s="301" t="str">
        <f t="shared" si="26"/>
        <v/>
      </c>
      <c r="AL201" s="301" t="str">
        <f t="shared" si="27"/>
        <v/>
      </c>
      <c r="AM201" s="305" t="str">
        <f>IFERROR(IF(F201="","",IF(AH201="Check Data ⚠","Check Data ⚠",VLOOKUP(AL201, 'G-3 Multipliers'!$P$2:$Q$6,2,FALSE))),"")</f>
        <v/>
      </c>
      <c r="AN201" s="728"/>
      <c r="AO201" s="335" t="str">
        <f>IF(AN201="","",IF(VLOOKUP(AN201,'G-3 Multipliers'!$S$3:$T$10,2,FALSE)=0,"Spatial Data Missing ⚠",VLOOKUP(AN201,'G-3 Multipliers'!$S$3:$T$10,2,FALSE)))</f>
        <v/>
      </c>
      <c r="AP201" s="295" t="str">
        <f t="shared" si="28"/>
        <v/>
      </c>
      <c r="AQ201" s="295" t="str">
        <f t="shared" si="29"/>
        <v/>
      </c>
      <c r="AR201" s="109"/>
      <c r="AS201" s="142"/>
      <c r="AT201" s="108"/>
      <c r="AU201" s="108"/>
      <c r="AY201" s="30" t="str">
        <f>IF(E201="","",IF(ISNA(VLOOKUP($E201,'D-1 Off-Site Habitat Baseline'!$D$1:$AV$258,4,FALSE)),"",(VLOOKUP($E201,'D-1 Off-Site Habitat Baseline'!$D$1:$AV$258,4,FALSE))))</f>
        <v/>
      </c>
    </row>
    <row r="202" spans="1:51" x14ac:dyDescent="0.25">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325" t="str">
        <f>'D-1 Off-Site Habitat Baseline'!AP201</f>
        <v/>
      </c>
      <c r="F202" s="289" t="str">
        <f>IF(E202="","",IF(ISNA(VLOOKUP($E202,'D-1 Off-Site Habitat Baseline'!$D$1:$ZZ$258,45,FALSE)),"",(VLOOKUP($E202,'D-1 Off-Site Habitat Baseline'!$D$1:$ZZ$258,45,FALSE))))</f>
        <v/>
      </c>
      <c r="G202" s="301" t="str">
        <f>IF(E202="","",IF(ISNA(VLOOKUP($E202,'D-1 Off-Site Habitat Baseline'!$D$1:$O$258,5,FALSE)),"",(VLOOKUP($E202,'D-1 Off-Site Habitat Baseline'!$D$1:$O$258,5,FALSE))))</f>
        <v/>
      </c>
      <c r="H202" s="301" t="str">
        <f>IF(E202="","",IF(ISNA(VLOOKUP($E202,'D-1 Off-Site Habitat Baseline'!$D$1:$O$258,6,FALSE)),"",(VLOOKUP($E202,'D-1 Off-Site Habitat Baseline'!$D$1:$O$258,6,FALSE))))</f>
        <v/>
      </c>
      <c r="I202" s="301" t="str">
        <f>IF(E202="","",IF(ISNA(VLOOKUP($E202,'D-1 Off-Site Habitat Baseline'!$D$1:$O$258,7,FALSE)),"",(VLOOKUP($E202,'D-1 Off-Site Habitat Baseline'!$D$1:$O$258,7,FALSE))))</f>
        <v/>
      </c>
      <c r="J202" s="301" t="str">
        <f>IF(E202="","",IF(ISNA(VLOOKUP($E202,'D-1 Off-Site Habitat Baseline'!$D$1:$O$258,8,FALSE)),"",(VLOOKUP($E202,'D-1 Off-Site Habitat Baseline'!$D$1:$O$258,8,FALSE))))</f>
        <v/>
      </c>
      <c r="K202" s="301" t="str">
        <f>IF(E202="","",IF(ISNA(VLOOKUP($E202,'D-1 Off-Site Habitat Baseline'!$D$1:$O$258,9,FALSE)),"",(VLOOKUP($E202,'D-1 Off-Site Habitat Baseline'!$D$1:$O$258,9,FALSE))))</f>
        <v/>
      </c>
      <c r="L202" s="301" t="str">
        <f>IF(E202="","",IF(ISNA(VLOOKUP($E202,'D-1 Off-Site Habitat Baseline'!$D$1:$O$258,11,FALSE)),"",(VLOOKUP($E202,'D-1 Off-Site Habitat Baseline'!$D$1:$O$258,11,FALSE))))</f>
        <v/>
      </c>
      <c r="M202" s="301" t="str">
        <f>IF(E202="","",IF(ISNA(VLOOKUP($E202,'D-1 Off-Site Habitat Baseline'!$D$1:$O$258,12,FALSE)),"",(VLOOKUP($E202,'D-1 Off-Site Habitat Baseline'!$D$1:$O$258,12,FALSE))))</f>
        <v/>
      </c>
      <c r="N202" s="301" t="str">
        <f>IF(E202="","",IF(ISNA(VLOOKUP($E202,'D-1 Off-Site Habitat Baseline'!$D$1:$AA$258,17,FALSE)),"",(VLOOKUP($E202,'D-1 Off-Site Habitat Baseline'!$D$1:$AA$258,17,FALSE))))</f>
        <v/>
      </c>
      <c r="O202" s="305" t="str">
        <f>IF(E202="","",IF(ISNA(VLOOKUP($E202,'D-1 Off-Site Habitat Baseline'!$D$1:$AA$258,13,FALSE)),"",(VLOOKUP($E202,'D-1 Off-Site Habitat Baseline'!$D$1:$AA$258,13,FALSE))))</f>
        <v/>
      </c>
      <c r="P202" s="152" t="str">
        <f>IFERROR(INDEX('G-1 All Habitats'!$AG$49:$AG$63,MATCH(Q202,'G-1 All Habitats'!$AF$27:$AF$41,0)),"")</f>
        <v/>
      </c>
      <c r="Q202" s="153"/>
      <c r="R202" s="154"/>
      <c r="S202" s="155" t="str">
        <f>IFERROR(INDEX('G-1 All Habitats'!$B$3:$B$135,MATCH(R202,'G-1 All Habitats'!$A$3:$A$135,0)),"")</f>
        <v/>
      </c>
      <c r="T202" s="289" t="str">
        <f t="shared" si="22"/>
        <v/>
      </c>
      <c r="U202" s="305" t="str">
        <f t="shared" si="23"/>
        <v/>
      </c>
      <c r="V202" s="304" t="str">
        <f t="shared" si="20"/>
        <v/>
      </c>
      <c r="W202" s="301" t="str">
        <f>IF(S202="","",VLOOKUP(S202,'G-1 All Habitats'!$B$2:$M$135,10,FALSE))</f>
        <v/>
      </c>
      <c r="X202" s="301" t="str">
        <f>IFERROR(VLOOKUP(W202,'G-1 All Habitats'!$V$3:$W$7,2,FALSE),"")</f>
        <v/>
      </c>
      <c r="Y202" s="142"/>
      <c r="Z202" s="305" t="str">
        <f>IFERROR(INDEX('G-8 Condition Look up'!$A$3:$H$135,MATCH(S202,'G-8 Condition Look up'!$A$3:$A$135,0),MATCH(Y202,'G-8 Condition Look up'!$A$3:$H$3,0)),"")</f>
        <v/>
      </c>
      <c r="AA202" s="105"/>
      <c r="AB202" s="320" t="str">
        <f>IF(AA202="","",IF(VLOOKUP(AA202,'G-3 Multipliers'!$L$3:$N$6,2,FALSE)=0,"Spatial Data Missing ⚠",VLOOKUP(AA202,'G-3 Multipliers'!$L$3:$N$6,2,FALSE)))</f>
        <v/>
      </c>
      <c r="AC202" s="305" t="str">
        <f>IF(AA202="","",IF(VLOOKUP(AA202,'G-3 Multipliers'!$L$3:$N$6,3,FALSE)=0,"Spatial Data Missing ⚠",VLOOKUP(AA202,'G-3 Multipliers'!$L$3:$N$6,3,FALSE)))</f>
        <v/>
      </c>
      <c r="AD202" s="317" t="str">
        <f t="shared" si="21"/>
        <v/>
      </c>
      <c r="AE202" s="142"/>
      <c r="AF202" s="142"/>
      <c r="AG202" s="301" t="str">
        <f t="shared" si="24"/>
        <v/>
      </c>
      <c r="AH202" s="302" t="str">
        <f t="shared" si="25"/>
        <v/>
      </c>
      <c r="AI202" s="306" t="str">
        <f>IF(AH202="Check Data ⚠","Check Data ⚠",IFERROR(VLOOKUP(AH202,'G-4 Temporal multipliers'!$A$4:$C$36,3,FALSE),""))</f>
        <v/>
      </c>
      <c r="AJ202" s="317" t="str">
        <f>IF(S202="","",VLOOKUP(S202,'G-3 Multipliers'!$A$2:$E$134,4,FALSE))</f>
        <v/>
      </c>
      <c r="AK202" s="301" t="str">
        <f t="shared" si="26"/>
        <v/>
      </c>
      <c r="AL202" s="301" t="str">
        <f t="shared" si="27"/>
        <v/>
      </c>
      <c r="AM202" s="305" t="str">
        <f>IFERROR(IF(F202="","",IF(AH202="Check Data ⚠","Check Data ⚠",VLOOKUP(AL202, 'G-3 Multipliers'!$P$2:$Q$6,2,FALSE))),"")</f>
        <v/>
      </c>
      <c r="AN202" s="728"/>
      <c r="AO202" s="335" t="str">
        <f>IF(AN202="","",IF(VLOOKUP(AN202,'G-3 Multipliers'!$S$3:$T$10,2,FALSE)=0,"Spatial Data Missing ⚠",VLOOKUP(AN202,'G-3 Multipliers'!$S$3:$T$10,2,FALSE)))</f>
        <v/>
      </c>
      <c r="AP202" s="295" t="str">
        <f t="shared" si="28"/>
        <v/>
      </c>
      <c r="AQ202" s="295" t="str">
        <f t="shared" si="29"/>
        <v/>
      </c>
      <c r="AR202" s="109"/>
      <c r="AS202" s="142"/>
      <c r="AT202" s="108"/>
      <c r="AU202" s="108"/>
      <c r="AY202" s="30" t="str">
        <f>IF(E202="","",IF(ISNA(VLOOKUP($E202,'D-1 Off-Site Habitat Baseline'!$D$1:$AV$258,4,FALSE)),"",(VLOOKUP($E202,'D-1 Off-Site Habitat Baseline'!$D$1:$AV$258,4,FALSE))))</f>
        <v/>
      </c>
    </row>
    <row r="203" spans="1:51" x14ac:dyDescent="0.25">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325" t="str">
        <f>'D-1 Off-Site Habitat Baseline'!AP202</f>
        <v/>
      </c>
      <c r="F203" s="289" t="str">
        <f>IF(E203="","",IF(ISNA(VLOOKUP($E203,'D-1 Off-Site Habitat Baseline'!$D$1:$ZZ$258,45,FALSE)),"",(VLOOKUP($E203,'D-1 Off-Site Habitat Baseline'!$D$1:$ZZ$258,45,FALSE))))</f>
        <v/>
      </c>
      <c r="G203" s="301" t="str">
        <f>IF(E203="","",IF(ISNA(VLOOKUP($E203,'D-1 Off-Site Habitat Baseline'!$D$1:$O$258,5,FALSE)),"",(VLOOKUP($E203,'D-1 Off-Site Habitat Baseline'!$D$1:$O$258,5,FALSE))))</f>
        <v/>
      </c>
      <c r="H203" s="301" t="str">
        <f>IF(E203="","",IF(ISNA(VLOOKUP($E203,'D-1 Off-Site Habitat Baseline'!$D$1:$O$258,6,FALSE)),"",(VLOOKUP($E203,'D-1 Off-Site Habitat Baseline'!$D$1:$O$258,6,FALSE))))</f>
        <v/>
      </c>
      <c r="I203" s="301" t="str">
        <f>IF(E203="","",IF(ISNA(VLOOKUP($E203,'D-1 Off-Site Habitat Baseline'!$D$1:$O$258,7,FALSE)),"",(VLOOKUP($E203,'D-1 Off-Site Habitat Baseline'!$D$1:$O$258,7,FALSE))))</f>
        <v/>
      </c>
      <c r="J203" s="301" t="str">
        <f>IF(E203="","",IF(ISNA(VLOOKUP($E203,'D-1 Off-Site Habitat Baseline'!$D$1:$O$258,8,FALSE)),"",(VLOOKUP($E203,'D-1 Off-Site Habitat Baseline'!$D$1:$O$258,8,FALSE))))</f>
        <v/>
      </c>
      <c r="K203" s="301" t="str">
        <f>IF(E203="","",IF(ISNA(VLOOKUP($E203,'D-1 Off-Site Habitat Baseline'!$D$1:$O$258,9,FALSE)),"",(VLOOKUP($E203,'D-1 Off-Site Habitat Baseline'!$D$1:$O$258,9,FALSE))))</f>
        <v/>
      </c>
      <c r="L203" s="301" t="str">
        <f>IF(E203="","",IF(ISNA(VLOOKUP($E203,'D-1 Off-Site Habitat Baseline'!$D$1:$O$258,11,FALSE)),"",(VLOOKUP($E203,'D-1 Off-Site Habitat Baseline'!$D$1:$O$258,11,FALSE))))</f>
        <v/>
      </c>
      <c r="M203" s="301" t="str">
        <f>IF(E203="","",IF(ISNA(VLOOKUP($E203,'D-1 Off-Site Habitat Baseline'!$D$1:$O$258,12,FALSE)),"",(VLOOKUP($E203,'D-1 Off-Site Habitat Baseline'!$D$1:$O$258,12,FALSE))))</f>
        <v/>
      </c>
      <c r="N203" s="301" t="str">
        <f>IF(E203="","",IF(ISNA(VLOOKUP($E203,'D-1 Off-Site Habitat Baseline'!$D$1:$AA$258,17,FALSE)),"",(VLOOKUP($E203,'D-1 Off-Site Habitat Baseline'!$D$1:$AA$258,17,FALSE))))</f>
        <v/>
      </c>
      <c r="O203" s="305" t="str">
        <f>IF(E203="","",IF(ISNA(VLOOKUP($E203,'D-1 Off-Site Habitat Baseline'!$D$1:$AA$258,13,FALSE)),"",(VLOOKUP($E203,'D-1 Off-Site Habitat Baseline'!$D$1:$AA$258,13,FALSE))))</f>
        <v/>
      </c>
      <c r="P203" s="152" t="str">
        <f>IFERROR(INDEX('G-1 All Habitats'!$AG$49:$AG$63,MATCH(Q203,'G-1 All Habitats'!$AF$27:$AF$41,0)),"")</f>
        <v/>
      </c>
      <c r="Q203" s="153"/>
      <c r="R203" s="154"/>
      <c r="S203" s="155" t="str">
        <f>IFERROR(INDEX('G-1 All Habitats'!$B$3:$B$135,MATCH(R203,'G-1 All Habitats'!$A$3:$A$135,0)),"")</f>
        <v/>
      </c>
      <c r="T203" s="289" t="str">
        <f t="shared" si="22"/>
        <v/>
      </c>
      <c r="U203" s="305" t="str">
        <f t="shared" si="23"/>
        <v/>
      </c>
      <c r="V203" s="304" t="str">
        <f t="shared" si="20"/>
        <v/>
      </c>
      <c r="W203" s="301" t="str">
        <f>IF(S203="","",VLOOKUP(S203,'G-1 All Habitats'!$B$2:$M$135,10,FALSE))</f>
        <v/>
      </c>
      <c r="X203" s="301" t="str">
        <f>IFERROR(VLOOKUP(W203,'G-1 All Habitats'!$V$3:$W$7,2,FALSE),"")</f>
        <v/>
      </c>
      <c r="Y203" s="142"/>
      <c r="Z203" s="305" t="str">
        <f>IFERROR(INDEX('G-8 Condition Look up'!$A$3:$H$135,MATCH(S203,'G-8 Condition Look up'!$A$3:$A$135,0),MATCH(Y203,'G-8 Condition Look up'!$A$3:$H$3,0)),"")</f>
        <v/>
      </c>
      <c r="AA203" s="105"/>
      <c r="AB203" s="320" t="str">
        <f>IF(AA203="","",IF(VLOOKUP(AA203,'G-3 Multipliers'!$L$3:$N$6,2,FALSE)=0,"Spatial Data Missing ⚠",VLOOKUP(AA203,'G-3 Multipliers'!$L$3:$N$6,2,FALSE)))</f>
        <v/>
      </c>
      <c r="AC203" s="305" t="str">
        <f>IF(AA203="","",IF(VLOOKUP(AA203,'G-3 Multipliers'!$L$3:$N$6,3,FALSE)=0,"Spatial Data Missing ⚠",VLOOKUP(AA203,'G-3 Multipliers'!$L$3:$N$6,3,FALSE)))</f>
        <v/>
      </c>
      <c r="AD203" s="317" t="str">
        <f t="shared" si="21"/>
        <v/>
      </c>
      <c r="AE203" s="142"/>
      <c r="AF203" s="142"/>
      <c r="AG203" s="301" t="str">
        <f t="shared" si="24"/>
        <v/>
      </c>
      <c r="AH203" s="302" t="str">
        <f t="shared" si="25"/>
        <v/>
      </c>
      <c r="AI203" s="306" t="str">
        <f>IF(AH203="Check Data ⚠","Check Data ⚠",IFERROR(VLOOKUP(AH203,'G-4 Temporal multipliers'!$A$4:$C$36,3,FALSE),""))</f>
        <v/>
      </c>
      <c r="AJ203" s="317" t="str">
        <f>IF(S203="","",VLOOKUP(S203,'G-3 Multipliers'!$A$2:$E$134,4,FALSE))</f>
        <v/>
      </c>
      <c r="AK203" s="301" t="str">
        <f t="shared" si="26"/>
        <v/>
      </c>
      <c r="AL203" s="301" t="str">
        <f t="shared" si="27"/>
        <v/>
      </c>
      <c r="AM203" s="305" t="str">
        <f>IFERROR(IF(F203="","",IF(AH203="Check Data ⚠","Check Data ⚠",VLOOKUP(AL203, 'G-3 Multipliers'!$P$2:$Q$6,2,FALSE))),"")</f>
        <v/>
      </c>
      <c r="AN203" s="728"/>
      <c r="AO203" s="335" t="str">
        <f>IF(AN203="","",IF(VLOOKUP(AN203,'G-3 Multipliers'!$S$3:$T$10,2,FALSE)=0,"Spatial Data Missing ⚠",VLOOKUP(AN203,'G-3 Multipliers'!$S$3:$T$10,2,FALSE)))</f>
        <v/>
      </c>
      <c r="AP203" s="295" t="str">
        <f t="shared" si="28"/>
        <v/>
      </c>
      <c r="AQ203" s="295" t="str">
        <f t="shared" si="29"/>
        <v/>
      </c>
      <c r="AR203" s="109"/>
      <c r="AS203" s="142"/>
      <c r="AT203" s="108"/>
      <c r="AU203" s="108"/>
      <c r="AY203" s="30" t="str">
        <f>IF(E203="","",IF(ISNA(VLOOKUP($E203,'D-1 Off-Site Habitat Baseline'!$D$1:$AV$258,4,FALSE)),"",(VLOOKUP($E203,'D-1 Off-Site Habitat Baseline'!$D$1:$AV$258,4,FALSE))))</f>
        <v/>
      </c>
    </row>
    <row r="204" spans="1:51" x14ac:dyDescent="0.25">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325" t="str">
        <f>'D-1 Off-Site Habitat Baseline'!AP203</f>
        <v/>
      </c>
      <c r="F204" s="289" t="str">
        <f>IF(E204="","",IF(ISNA(VLOOKUP($E204,'D-1 Off-Site Habitat Baseline'!$D$1:$ZZ$258,45,FALSE)),"",(VLOOKUP($E204,'D-1 Off-Site Habitat Baseline'!$D$1:$ZZ$258,45,FALSE))))</f>
        <v/>
      </c>
      <c r="G204" s="301" t="str">
        <f>IF(E204="","",IF(ISNA(VLOOKUP($E204,'D-1 Off-Site Habitat Baseline'!$D$1:$O$258,5,FALSE)),"",(VLOOKUP($E204,'D-1 Off-Site Habitat Baseline'!$D$1:$O$258,5,FALSE))))</f>
        <v/>
      </c>
      <c r="H204" s="301" t="str">
        <f>IF(E204="","",IF(ISNA(VLOOKUP($E204,'D-1 Off-Site Habitat Baseline'!$D$1:$O$258,6,FALSE)),"",(VLOOKUP($E204,'D-1 Off-Site Habitat Baseline'!$D$1:$O$258,6,FALSE))))</f>
        <v/>
      </c>
      <c r="I204" s="301" t="str">
        <f>IF(E204="","",IF(ISNA(VLOOKUP($E204,'D-1 Off-Site Habitat Baseline'!$D$1:$O$258,7,FALSE)),"",(VLOOKUP($E204,'D-1 Off-Site Habitat Baseline'!$D$1:$O$258,7,FALSE))))</f>
        <v/>
      </c>
      <c r="J204" s="301" t="str">
        <f>IF(E204="","",IF(ISNA(VLOOKUP($E204,'D-1 Off-Site Habitat Baseline'!$D$1:$O$258,8,FALSE)),"",(VLOOKUP($E204,'D-1 Off-Site Habitat Baseline'!$D$1:$O$258,8,FALSE))))</f>
        <v/>
      </c>
      <c r="K204" s="301" t="str">
        <f>IF(E204="","",IF(ISNA(VLOOKUP($E204,'D-1 Off-Site Habitat Baseline'!$D$1:$O$258,9,FALSE)),"",(VLOOKUP($E204,'D-1 Off-Site Habitat Baseline'!$D$1:$O$258,9,FALSE))))</f>
        <v/>
      </c>
      <c r="L204" s="301" t="str">
        <f>IF(E204="","",IF(ISNA(VLOOKUP($E204,'D-1 Off-Site Habitat Baseline'!$D$1:$O$258,11,FALSE)),"",(VLOOKUP($E204,'D-1 Off-Site Habitat Baseline'!$D$1:$O$258,11,FALSE))))</f>
        <v/>
      </c>
      <c r="M204" s="301" t="str">
        <f>IF(E204="","",IF(ISNA(VLOOKUP($E204,'D-1 Off-Site Habitat Baseline'!$D$1:$O$258,12,FALSE)),"",(VLOOKUP($E204,'D-1 Off-Site Habitat Baseline'!$D$1:$O$258,12,FALSE))))</f>
        <v/>
      </c>
      <c r="N204" s="301" t="str">
        <f>IF(E204="","",IF(ISNA(VLOOKUP($E204,'D-1 Off-Site Habitat Baseline'!$D$1:$AA$258,17,FALSE)),"",(VLOOKUP($E204,'D-1 Off-Site Habitat Baseline'!$D$1:$AA$258,17,FALSE))))</f>
        <v/>
      </c>
      <c r="O204" s="305" t="str">
        <f>IF(E204="","",IF(ISNA(VLOOKUP($E204,'D-1 Off-Site Habitat Baseline'!$D$1:$AA$258,13,FALSE)),"",(VLOOKUP($E204,'D-1 Off-Site Habitat Baseline'!$D$1:$AA$258,13,FALSE))))</f>
        <v/>
      </c>
      <c r="P204" s="152" t="str">
        <f>IFERROR(INDEX('G-1 All Habitats'!$AG$49:$AG$63,MATCH(Q204,'G-1 All Habitats'!$AF$27:$AF$41,0)),"")</f>
        <v/>
      </c>
      <c r="Q204" s="153"/>
      <c r="R204" s="154"/>
      <c r="S204" s="155" t="str">
        <f>IFERROR(INDEX('G-1 All Habitats'!$B$3:$B$135,MATCH(R204,'G-1 All Habitats'!$A$3:$A$135,0)),"")</f>
        <v/>
      </c>
      <c r="T204" s="289" t="str">
        <f t="shared" si="22"/>
        <v/>
      </c>
      <c r="U204" s="305" t="str">
        <f t="shared" si="23"/>
        <v/>
      </c>
      <c r="V204" s="304" t="str">
        <f t="shared" ref="V204:V258" si="30">IF(S204="","",VLOOKUP(E204,BaselineHabOffsite,20,FALSE))</f>
        <v/>
      </c>
      <c r="W204" s="301" t="str">
        <f>IF(S204="","",VLOOKUP(S204,'G-1 All Habitats'!$B$2:$M$135,10,FALSE))</f>
        <v/>
      </c>
      <c r="X204" s="301" t="str">
        <f>IFERROR(VLOOKUP(W204,'G-1 All Habitats'!$V$3:$W$7,2,FALSE),"")</f>
        <v/>
      </c>
      <c r="Y204" s="142"/>
      <c r="Z204" s="305" t="str">
        <f>IFERROR(INDEX('G-8 Condition Look up'!$A$3:$H$135,MATCH(S204,'G-8 Condition Look up'!$A$3:$A$135,0),MATCH(Y204,'G-8 Condition Look up'!$A$3:$H$3,0)),"")</f>
        <v/>
      </c>
      <c r="AA204" s="105"/>
      <c r="AB204" s="320" t="str">
        <f>IF(AA204="","",IF(VLOOKUP(AA204,'G-3 Multipliers'!$L$3:$N$6,2,FALSE)=0,"Spatial Data Missing ⚠",VLOOKUP(AA204,'G-3 Multipliers'!$L$3:$N$6,2,FALSE)))</f>
        <v/>
      </c>
      <c r="AC204" s="305" t="str">
        <f>IF(AA204="","",IF(VLOOKUP(AA204,'G-3 Multipliers'!$L$3:$N$6,3,FALSE)=0,"Spatial Data Missing ⚠",VLOOKUP(AA204,'G-3 Multipliers'!$L$3:$N$6,3,FALSE)))</f>
        <v/>
      </c>
      <c r="AD204" s="317" t="str">
        <f t="shared" ref="AD204:AD258" si="31">IFERROR(IF(OR(LEFT(U204,5)="Error",LEFT(T204,5)="Error"),"Check Data ⚠",INDEX(EnhanceTemporal,MATCH(S204,EnhanceHabitat,0),MATCH(U204,EnhanceCondition,0))),"")</f>
        <v/>
      </c>
      <c r="AE204" s="142"/>
      <c r="AF204" s="142"/>
      <c r="AG204" s="301" t="str">
        <f t="shared" si="24"/>
        <v/>
      </c>
      <c r="AH204" s="302" t="str">
        <f t="shared" si="25"/>
        <v/>
      </c>
      <c r="AI204" s="306" t="str">
        <f>IF(AH204="Check Data ⚠","Check Data ⚠",IFERROR(VLOOKUP(AH204,'G-4 Temporal multipliers'!$A$4:$C$36,3,FALSE),""))</f>
        <v/>
      </c>
      <c r="AJ204" s="317" t="str">
        <f>IF(S204="","",VLOOKUP(S204,'G-3 Multipliers'!$A$2:$E$134,4,FALSE))</f>
        <v/>
      </c>
      <c r="AK204" s="301" t="str">
        <f t="shared" si="26"/>
        <v/>
      </c>
      <c r="AL204" s="301" t="str">
        <f t="shared" si="27"/>
        <v/>
      </c>
      <c r="AM204" s="305" t="str">
        <f>IFERROR(IF(F204="","",IF(AH204="Check Data ⚠","Check Data ⚠",VLOOKUP(AL204, 'G-3 Multipliers'!$P$2:$Q$6,2,FALSE))),"")</f>
        <v/>
      </c>
      <c r="AN204" s="728"/>
      <c r="AO204" s="335" t="str">
        <f>IF(AN204="","",IF(VLOOKUP(AN204,'G-3 Multipliers'!$S$3:$T$10,2,FALSE)=0,"Spatial Data Missing ⚠",VLOOKUP(AN204,'G-3 Multipliers'!$S$3:$T$10,2,FALSE)))</f>
        <v/>
      </c>
      <c r="AP204" s="295" t="str">
        <f t="shared" si="28"/>
        <v/>
      </c>
      <c r="AQ204" s="295" t="str">
        <f t="shared" si="29"/>
        <v/>
      </c>
      <c r="AR204" s="109"/>
      <c r="AS204" s="142"/>
      <c r="AT204" s="108"/>
      <c r="AU204" s="108"/>
      <c r="AY204" s="30" t="str">
        <f>IF(E204="","",IF(ISNA(VLOOKUP($E204,'D-1 Off-Site Habitat Baseline'!$D$1:$AV$258,4,FALSE)),"",(VLOOKUP($E204,'D-1 Off-Site Habitat Baseline'!$D$1:$AV$258,4,FALSE))))</f>
        <v/>
      </c>
    </row>
    <row r="205" spans="1:51" x14ac:dyDescent="0.25">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325" t="str">
        <f>'D-1 Off-Site Habitat Baseline'!AP204</f>
        <v/>
      </c>
      <c r="F205" s="289" t="str">
        <f>IF(E205="","",IF(ISNA(VLOOKUP($E205,'D-1 Off-Site Habitat Baseline'!$D$1:$ZZ$258,45,FALSE)),"",(VLOOKUP($E205,'D-1 Off-Site Habitat Baseline'!$D$1:$ZZ$258,45,FALSE))))</f>
        <v/>
      </c>
      <c r="G205" s="301" t="str">
        <f>IF(E205="","",IF(ISNA(VLOOKUP($E205,'D-1 Off-Site Habitat Baseline'!$D$1:$O$258,5,FALSE)),"",(VLOOKUP($E205,'D-1 Off-Site Habitat Baseline'!$D$1:$O$258,5,FALSE))))</f>
        <v/>
      </c>
      <c r="H205" s="301" t="str">
        <f>IF(E205="","",IF(ISNA(VLOOKUP($E205,'D-1 Off-Site Habitat Baseline'!$D$1:$O$258,6,FALSE)),"",(VLOOKUP($E205,'D-1 Off-Site Habitat Baseline'!$D$1:$O$258,6,FALSE))))</f>
        <v/>
      </c>
      <c r="I205" s="301" t="str">
        <f>IF(E205="","",IF(ISNA(VLOOKUP($E205,'D-1 Off-Site Habitat Baseline'!$D$1:$O$258,7,FALSE)),"",(VLOOKUP($E205,'D-1 Off-Site Habitat Baseline'!$D$1:$O$258,7,FALSE))))</f>
        <v/>
      </c>
      <c r="J205" s="301" t="str">
        <f>IF(E205="","",IF(ISNA(VLOOKUP($E205,'D-1 Off-Site Habitat Baseline'!$D$1:$O$258,8,FALSE)),"",(VLOOKUP($E205,'D-1 Off-Site Habitat Baseline'!$D$1:$O$258,8,FALSE))))</f>
        <v/>
      </c>
      <c r="K205" s="301" t="str">
        <f>IF(E205="","",IF(ISNA(VLOOKUP($E205,'D-1 Off-Site Habitat Baseline'!$D$1:$O$258,9,FALSE)),"",(VLOOKUP($E205,'D-1 Off-Site Habitat Baseline'!$D$1:$O$258,9,FALSE))))</f>
        <v/>
      </c>
      <c r="L205" s="301" t="str">
        <f>IF(E205="","",IF(ISNA(VLOOKUP($E205,'D-1 Off-Site Habitat Baseline'!$D$1:$O$258,11,FALSE)),"",(VLOOKUP($E205,'D-1 Off-Site Habitat Baseline'!$D$1:$O$258,11,FALSE))))</f>
        <v/>
      </c>
      <c r="M205" s="301" t="str">
        <f>IF(E205="","",IF(ISNA(VLOOKUP($E205,'D-1 Off-Site Habitat Baseline'!$D$1:$O$258,12,FALSE)),"",(VLOOKUP($E205,'D-1 Off-Site Habitat Baseline'!$D$1:$O$258,12,FALSE))))</f>
        <v/>
      </c>
      <c r="N205" s="301" t="str">
        <f>IF(E205="","",IF(ISNA(VLOOKUP($E205,'D-1 Off-Site Habitat Baseline'!$D$1:$AA$258,17,FALSE)),"",(VLOOKUP($E205,'D-1 Off-Site Habitat Baseline'!$D$1:$AA$258,17,FALSE))))</f>
        <v/>
      </c>
      <c r="O205" s="305" t="str">
        <f>IF(E205="","",IF(ISNA(VLOOKUP($E205,'D-1 Off-Site Habitat Baseline'!$D$1:$AA$258,13,FALSE)),"",(VLOOKUP($E205,'D-1 Off-Site Habitat Baseline'!$D$1:$AA$258,13,FALSE))))</f>
        <v/>
      </c>
      <c r="P205" s="152" t="str">
        <f>IFERROR(INDEX('G-1 All Habitats'!$AG$49:$AG$63,MATCH(Q205,'G-1 All Habitats'!$AF$27:$AF$41,0)),"")</f>
        <v/>
      </c>
      <c r="Q205" s="153"/>
      <c r="R205" s="154"/>
      <c r="S205" s="155" t="str">
        <f>IFERROR(INDEX('G-1 All Habitats'!$B$3:$B$135,MATCH(R205,'G-1 All Habitats'!$A$3:$A$135,0)),"")</f>
        <v/>
      </c>
      <c r="T205" s="289" t="str">
        <f t="shared" ref="T205:T258" si="32">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 IF(AND(R205="Littoral seagrass",F205&lt;&gt;"Intertidal sediment - Littoral seagrass", F205&lt;&gt;"Intertidal sediment - Littoral sand"),"Error - Enhancement not possible ▲",IF(AND(R205="Artificial hard structures with integrated greening of grey infrastructure (IGGI)",F205&lt;&gt;"Intertidal hard structures - Artificial hard structures with integrated greening of grey infrastructure (IGGI)", F205&lt;&gt;"Intertidal hard structures - Artificial hard structures", F205&lt;&gt;"Intertidal hard structures - Artificial features of hard structures"),"Error - Enhancement not possible ▲",H205&amp;" - "&amp;W205))))))))</f>
        <v/>
      </c>
      <c r="U205" s="305" t="str">
        <f t="shared" ref="U205:U258" si="33">IF(F205="","",IF(AND(S205&lt;&gt;F205,AY205="Yes"),"Error you cannot replace an irreplaceable habitat ▲",IF(AND(LEFT(F205,55)&lt;&gt;LEFT(S205,55),T205=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04" t="str">
        <f t="shared" si="30"/>
        <v/>
      </c>
      <c r="W205" s="301" t="str">
        <f>IF(S205="","",VLOOKUP(S205,'G-1 All Habitats'!$B$2:$M$135,10,FALSE))</f>
        <v/>
      </c>
      <c r="X205" s="301" t="str">
        <f>IFERROR(VLOOKUP(W205,'G-1 All Habitats'!$V$3:$W$7,2,FALSE),"")</f>
        <v/>
      </c>
      <c r="Y205" s="142"/>
      <c r="Z205" s="305" t="str">
        <f>IFERROR(INDEX('G-8 Condition Look up'!$A$3:$H$135,MATCH(S205,'G-8 Condition Look up'!$A$3:$A$135,0),MATCH(Y205,'G-8 Condition Look up'!$A$3:$H$3,0)),"")</f>
        <v/>
      </c>
      <c r="AA205" s="105"/>
      <c r="AB205" s="320" t="str">
        <f>IF(AA205="","",IF(VLOOKUP(AA205,'G-3 Multipliers'!$L$3:$N$6,2,FALSE)=0,"Spatial Data Missing ⚠",VLOOKUP(AA205,'G-3 Multipliers'!$L$3:$N$6,2,FALSE)))</f>
        <v/>
      </c>
      <c r="AC205" s="305" t="str">
        <f>IF(AA205="","",IF(VLOOKUP(AA205,'G-3 Multipliers'!$L$3:$N$6,3,FALSE)=0,"Spatial Data Missing ⚠",VLOOKUP(AA205,'G-3 Multipliers'!$L$3:$N$6,3,FALSE)))</f>
        <v/>
      </c>
      <c r="AD205" s="317" t="str">
        <f t="shared" si="31"/>
        <v/>
      </c>
      <c r="AE205" s="142"/>
      <c r="AF205" s="142"/>
      <c r="AG205" s="301" t="str">
        <f t="shared" ref="AG205:AG258" si="34">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02" t="str">
        <f t="shared" ref="AH205:AH258" si="35">IF(AG205="Error -both advance and delayed habitat creation ▲","Check Data ⚠",IF(AG205="Check Data ⚠","Check Data ⚠",IF(AD205="","",IF(AD205="Not Possible ▲","CheckData ⚠",IF(AND(AD205="30+",AE205=0),"30+",IF(AND(AD205="30+",AE205="30+"),0,IF(AND(AD205="30+",AE205&lt;30),30-AE205,IF(AD205="30+",30-AE205,IF(AF205="30+","30+",IF(AE205&gt;AD205,0,IF(AD205+AF205&gt;30,"30+",IF(AD205+AF205&gt;30,"30+",IF(AD205-AE205&gt;30,"30+",IF(AD205+AF205-AE205&gt;0,AD205+AF205-AE205,IF(AD205-AE205&gt;0,AD205-AE205,AD205+AF205-AE205)))))))))))))))</f>
        <v/>
      </c>
      <c r="AI205" s="306" t="str">
        <f>IF(AH205="Check Data ⚠","Check Data ⚠",IFERROR(VLOOKUP(AH205,'G-4 Temporal multipliers'!$A$4:$C$36,3,FALSE),""))</f>
        <v/>
      </c>
      <c r="AJ205" s="317" t="str">
        <f>IF(S205="","",VLOOKUP(S205,'G-3 Multipliers'!$A$2:$E$134,4,FALSE))</f>
        <v/>
      </c>
      <c r="AK205" s="301" t="str">
        <f t="shared" ref="AK205:AK258" si="36">IF(E205="","",IF(AG205="Check details - Is there evidence that habitat has reached target condition? ⚠","Low Difficulty - only applicable if all habitat created before losses ⚠","Standard difficulty applied"))</f>
        <v/>
      </c>
      <c r="AL205" s="301" t="str">
        <f t="shared" ref="AL205:AL258" si="37">(IF(AND(AK205="Standard difficulty applied",AD205&gt;AE205),AJ205,IF(AND(AK205="Low Difficulty - only applicable if all habitat created before losses ⚠",AE205&gt;=AD205),"Low", AJ205)))</f>
        <v/>
      </c>
      <c r="AM205" s="305" t="str">
        <f>IFERROR(IF(F205="","",IF(AH205="Check Data ⚠","Check Data ⚠",VLOOKUP(AL205, 'G-3 Multipliers'!$P$2:$Q$6,2,FALSE))),"")</f>
        <v/>
      </c>
      <c r="AN205" s="728"/>
      <c r="AO205" s="335" t="str">
        <f>IF(AN205="","",IF(VLOOKUP(AN205,'G-3 Multipliers'!$S$3:$T$10,2,FALSE)=0,"Spatial Data Missing ⚠",VLOOKUP(AN205,'G-3 Multipliers'!$S$3:$T$10,2,FALSE)))</f>
        <v/>
      </c>
      <c r="AP205" s="295" t="str">
        <f t="shared" ref="AP205:AP258" si="38">IFERROR(IF(N205="Check Data ⚠", "Check Data ⚠",(((((V205*X205*Z205)-(V205*I205*K205))*(AM205*AI205))+(V205*I205*K205))*(AC205)*AO205)),"")</f>
        <v/>
      </c>
      <c r="AQ205" s="295" t="str">
        <f t="shared" ref="AQ205:AQ258" si="39">IFERROR(IF(AN205="","", (IF(AND(AN205&lt;&gt;"",AU205=""), "Off-site reference required ▲",IF(N205="Error - you cannot enhance irreplaceable individual trees ▲", "Error - you cannot enhance irreplaceable individual trees ▲", IF(N205="Check Data ⚠", "Check Data ⚠",((((V205*X205*Z205)-(V205*I205*K205))*(AM205*AI205))+(V205*I205*K205))*(AC205)))))),"")</f>
        <v/>
      </c>
      <c r="AR205" s="109"/>
      <c r="AS205" s="142"/>
      <c r="AT205" s="108"/>
      <c r="AU205" s="108"/>
      <c r="AY205" s="30" t="str">
        <f>IF(E205="","",IF(ISNA(VLOOKUP($E205,'D-1 Off-Site Habitat Baseline'!$D$1:$AV$258,4,FALSE)),"",(VLOOKUP($E205,'D-1 Off-Site Habitat Baseline'!$D$1:$AV$258,4,FALSE))))</f>
        <v/>
      </c>
    </row>
    <row r="206" spans="1:51" x14ac:dyDescent="0.25">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325" t="str">
        <f>'D-1 Off-Site Habitat Baseline'!AP205</f>
        <v/>
      </c>
      <c r="F206" s="289" t="str">
        <f>IF(E206="","",IF(ISNA(VLOOKUP($E206,'D-1 Off-Site Habitat Baseline'!$D$1:$ZZ$258,45,FALSE)),"",(VLOOKUP($E206,'D-1 Off-Site Habitat Baseline'!$D$1:$ZZ$258,45,FALSE))))</f>
        <v/>
      </c>
      <c r="G206" s="301" t="str">
        <f>IF(E206="","",IF(ISNA(VLOOKUP($E206,'D-1 Off-Site Habitat Baseline'!$D$1:$O$258,5,FALSE)),"",(VLOOKUP($E206,'D-1 Off-Site Habitat Baseline'!$D$1:$O$258,5,FALSE))))</f>
        <v/>
      </c>
      <c r="H206" s="301" t="str">
        <f>IF(E206="","",IF(ISNA(VLOOKUP($E206,'D-1 Off-Site Habitat Baseline'!$D$1:$O$258,6,FALSE)),"",(VLOOKUP($E206,'D-1 Off-Site Habitat Baseline'!$D$1:$O$258,6,FALSE))))</f>
        <v/>
      </c>
      <c r="I206" s="301" t="str">
        <f>IF(E206="","",IF(ISNA(VLOOKUP($E206,'D-1 Off-Site Habitat Baseline'!$D$1:$O$258,7,FALSE)),"",(VLOOKUP($E206,'D-1 Off-Site Habitat Baseline'!$D$1:$O$258,7,FALSE))))</f>
        <v/>
      </c>
      <c r="J206" s="301" t="str">
        <f>IF(E206="","",IF(ISNA(VLOOKUP($E206,'D-1 Off-Site Habitat Baseline'!$D$1:$O$258,8,FALSE)),"",(VLOOKUP($E206,'D-1 Off-Site Habitat Baseline'!$D$1:$O$258,8,FALSE))))</f>
        <v/>
      </c>
      <c r="K206" s="301" t="str">
        <f>IF(E206="","",IF(ISNA(VLOOKUP($E206,'D-1 Off-Site Habitat Baseline'!$D$1:$O$258,9,FALSE)),"",(VLOOKUP($E206,'D-1 Off-Site Habitat Baseline'!$D$1:$O$258,9,FALSE))))</f>
        <v/>
      </c>
      <c r="L206" s="301" t="str">
        <f>IF(E206="","",IF(ISNA(VLOOKUP($E206,'D-1 Off-Site Habitat Baseline'!$D$1:$O$258,11,FALSE)),"",(VLOOKUP($E206,'D-1 Off-Site Habitat Baseline'!$D$1:$O$258,11,FALSE))))</f>
        <v/>
      </c>
      <c r="M206" s="301" t="str">
        <f>IF(E206="","",IF(ISNA(VLOOKUP($E206,'D-1 Off-Site Habitat Baseline'!$D$1:$O$258,12,FALSE)),"",(VLOOKUP($E206,'D-1 Off-Site Habitat Baseline'!$D$1:$O$258,12,FALSE))))</f>
        <v/>
      </c>
      <c r="N206" s="301" t="str">
        <f>IF(E206="","",IF(ISNA(VLOOKUP($E206,'D-1 Off-Site Habitat Baseline'!$D$1:$AA$258,17,FALSE)),"",(VLOOKUP($E206,'D-1 Off-Site Habitat Baseline'!$D$1:$AA$258,17,FALSE))))</f>
        <v/>
      </c>
      <c r="O206" s="305" t="str">
        <f>IF(E206="","",IF(ISNA(VLOOKUP($E206,'D-1 Off-Site Habitat Baseline'!$D$1:$AA$258,13,FALSE)),"",(VLOOKUP($E206,'D-1 Off-Site Habitat Baseline'!$D$1:$AA$258,13,FALSE))))</f>
        <v/>
      </c>
      <c r="P206" s="152" t="str">
        <f>IFERROR(INDEX('G-1 All Habitats'!$AG$49:$AG$63,MATCH(Q206,'G-1 All Habitats'!$AF$27:$AF$41,0)),"")</f>
        <v/>
      </c>
      <c r="Q206" s="153"/>
      <c r="R206" s="154"/>
      <c r="S206" s="155" t="str">
        <f>IFERROR(INDEX('G-1 All Habitats'!$B$3:$B$135,MATCH(R206,'G-1 All Habitats'!$A$3:$A$135,0)),"")</f>
        <v/>
      </c>
      <c r="T206" s="289" t="str">
        <f t="shared" si="32"/>
        <v/>
      </c>
      <c r="U206" s="305" t="str">
        <f t="shared" si="33"/>
        <v/>
      </c>
      <c r="V206" s="304" t="str">
        <f t="shared" si="30"/>
        <v/>
      </c>
      <c r="W206" s="301" t="str">
        <f>IF(S206="","",VLOOKUP(S206,'G-1 All Habitats'!$B$2:$M$135,10,FALSE))</f>
        <v/>
      </c>
      <c r="X206" s="301" t="str">
        <f>IFERROR(VLOOKUP(W206,'G-1 All Habitats'!$V$3:$W$7,2,FALSE),"")</f>
        <v/>
      </c>
      <c r="Y206" s="142"/>
      <c r="Z206" s="305" t="str">
        <f>IFERROR(INDEX('G-8 Condition Look up'!$A$3:$H$135,MATCH(S206,'G-8 Condition Look up'!$A$3:$A$135,0),MATCH(Y206,'G-8 Condition Look up'!$A$3:$H$3,0)),"")</f>
        <v/>
      </c>
      <c r="AA206" s="105"/>
      <c r="AB206" s="320" t="str">
        <f>IF(AA206="","",IF(VLOOKUP(AA206,'G-3 Multipliers'!$L$3:$N$6,2,FALSE)=0,"Spatial Data Missing ⚠",VLOOKUP(AA206,'G-3 Multipliers'!$L$3:$N$6,2,FALSE)))</f>
        <v/>
      </c>
      <c r="AC206" s="305" t="str">
        <f>IF(AA206="","",IF(VLOOKUP(AA206,'G-3 Multipliers'!$L$3:$N$6,3,FALSE)=0,"Spatial Data Missing ⚠",VLOOKUP(AA206,'G-3 Multipliers'!$L$3:$N$6,3,FALSE)))</f>
        <v/>
      </c>
      <c r="AD206" s="317" t="str">
        <f t="shared" si="31"/>
        <v/>
      </c>
      <c r="AE206" s="142"/>
      <c r="AF206" s="142"/>
      <c r="AG206" s="301" t="str">
        <f t="shared" si="34"/>
        <v/>
      </c>
      <c r="AH206" s="302" t="str">
        <f t="shared" si="35"/>
        <v/>
      </c>
      <c r="AI206" s="306" t="str">
        <f>IF(AH206="Check Data ⚠","Check Data ⚠",IFERROR(VLOOKUP(AH206,'G-4 Temporal multipliers'!$A$4:$C$36,3,FALSE),""))</f>
        <v/>
      </c>
      <c r="AJ206" s="317" t="str">
        <f>IF(S206="","",VLOOKUP(S206,'G-3 Multipliers'!$A$2:$E$134,4,FALSE))</f>
        <v/>
      </c>
      <c r="AK206" s="301" t="str">
        <f t="shared" si="36"/>
        <v/>
      </c>
      <c r="AL206" s="301" t="str">
        <f t="shared" si="37"/>
        <v/>
      </c>
      <c r="AM206" s="305" t="str">
        <f>IFERROR(IF(F206="","",IF(AH206="Check Data ⚠","Check Data ⚠",VLOOKUP(AL206, 'G-3 Multipliers'!$P$2:$Q$6,2,FALSE))),"")</f>
        <v/>
      </c>
      <c r="AN206" s="728"/>
      <c r="AO206" s="335" t="str">
        <f>IF(AN206="","",IF(VLOOKUP(AN206,'G-3 Multipliers'!$S$3:$T$10,2,FALSE)=0,"Spatial Data Missing ⚠",VLOOKUP(AN206,'G-3 Multipliers'!$S$3:$T$10,2,FALSE)))</f>
        <v/>
      </c>
      <c r="AP206" s="295" t="str">
        <f t="shared" si="38"/>
        <v/>
      </c>
      <c r="AQ206" s="295" t="str">
        <f t="shared" si="39"/>
        <v/>
      </c>
      <c r="AR206" s="109"/>
      <c r="AS206" s="142"/>
      <c r="AT206" s="108"/>
      <c r="AU206" s="108"/>
      <c r="AY206" s="30" t="str">
        <f>IF(E206="","",IF(ISNA(VLOOKUP($E206,'D-1 Off-Site Habitat Baseline'!$D$1:$AV$258,4,FALSE)),"",(VLOOKUP($E206,'D-1 Off-Site Habitat Baseline'!$D$1:$AV$258,4,FALSE))))</f>
        <v/>
      </c>
    </row>
    <row r="207" spans="1:51" x14ac:dyDescent="0.25">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325" t="str">
        <f>'D-1 Off-Site Habitat Baseline'!AP206</f>
        <v/>
      </c>
      <c r="F207" s="289" t="str">
        <f>IF(E207="","",IF(ISNA(VLOOKUP($E207,'D-1 Off-Site Habitat Baseline'!$D$1:$ZZ$258,45,FALSE)),"",(VLOOKUP($E207,'D-1 Off-Site Habitat Baseline'!$D$1:$ZZ$258,45,FALSE))))</f>
        <v/>
      </c>
      <c r="G207" s="301" t="str">
        <f>IF(E207="","",IF(ISNA(VLOOKUP($E207,'D-1 Off-Site Habitat Baseline'!$D$1:$O$258,5,FALSE)),"",(VLOOKUP($E207,'D-1 Off-Site Habitat Baseline'!$D$1:$O$258,5,FALSE))))</f>
        <v/>
      </c>
      <c r="H207" s="301" t="str">
        <f>IF(E207="","",IF(ISNA(VLOOKUP($E207,'D-1 Off-Site Habitat Baseline'!$D$1:$O$258,6,FALSE)),"",(VLOOKUP($E207,'D-1 Off-Site Habitat Baseline'!$D$1:$O$258,6,FALSE))))</f>
        <v/>
      </c>
      <c r="I207" s="301" t="str">
        <f>IF(E207="","",IF(ISNA(VLOOKUP($E207,'D-1 Off-Site Habitat Baseline'!$D$1:$O$258,7,FALSE)),"",(VLOOKUP($E207,'D-1 Off-Site Habitat Baseline'!$D$1:$O$258,7,FALSE))))</f>
        <v/>
      </c>
      <c r="J207" s="301" t="str">
        <f>IF(E207="","",IF(ISNA(VLOOKUP($E207,'D-1 Off-Site Habitat Baseline'!$D$1:$O$258,8,FALSE)),"",(VLOOKUP($E207,'D-1 Off-Site Habitat Baseline'!$D$1:$O$258,8,FALSE))))</f>
        <v/>
      </c>
      <c r="K207" s="301" t="str">
        <f>IF(E207="","",IF(ISNA(VLOOKUP($E207,'D-1 Off-Site Habitat Baseline'!$D$1:$O$258,9,FALSE)),"",(VLOOKUP($E207,'D-1 Off-Site Habitat Baseline'!$D$1:$O$258,9,FALSE))))</f>
        <v/>
      </c>
      <c r="L207" s="301" t="str">
        <f>IF(E207="","",IF(ISNA(VLOOKUP($E207,'D-1 Off-Site Habitat Baseline'!$D$1:$O$258,11,FALSE)),"",(VLOOKUP($E207,'D-1 Off-Site Habitat Baseline'!$D$1:$O$258,11,FALSE))))</f>
        <v/>
      </c>
      <c r="M207" s="301" t="str">
        <f>IF(E207="","",IF(ISNA(VLOOKUP($E207,'D-1 Off-Site Habitat Baseline'!$D$1:$O$258,12,FALSE)),"",(VLOOKUP($E207,'D-1 Off-Site Habitat Baseline'!$D$1:$O$258,12,FALSE))))</f>
        <v/>
      </c>
      <c r="N207" s="301" t="str">
        <f>IF(E207="","",IF(ISNA(VLOOKUP($E207,'D-1 Off-Site Habitat Baseline'!$D$1:$AA$258,17,FALSE)),"",(VLOOKUP($E207,'D-1 Off-Site Habitat Baseline'!$D$1:$AA$258,17,FALSE))))</f>
        <v/>
      </c>
      <c r="O207" s="305" t="str">
        <f>IF(E207="","",IF(ISNA(VLOOKUP($E207,'D-1 Off-Site Habitat Baseline'!$D$1:$AA$258,13,FALSE)),"",(VLOOKUP($E207,'D-1 Off-Site Habitat Baseline'!$D$1:$AA$258,13,FALSE))))</f>
        <v/>
      </c>
      <c r="P207" s="152" t="str">
        <f>IFERROR(INDEX('G-1 All Habitats'!$AG$49:$AG$63,MATCH(Q207,'G-1 All Habitats'!$AF$27:$AF$41,0)),"")</f>
        <v/>
      </c>
      <c r="Q207" s="153"/>
      <c r="R207" s="154"/>
      <c r="S207" s="155" t="str">
        <f>IFERROR(INDEX('G-1 All Habitats'!$B$3:$B$135,MATCH(R207,'G-1 All Habitats'!$A$3:$A$135,0)),"")</f>
        <v/>
      </c>
      <c r="T207" s="289" t="str">
        <f t="shared" si="32"/>
        <v/>
      </c>
      <c r="U207" s="305" t="str">
        <f t="shared" si="33"/>
        <v/>
      </c>
      <c r="V207" s="304" t="str">
        <f t="shared" si="30"/>
        <v/>
      </c>
      <c r="W207" s="301" t="str">
        <f>IF(S207="","",VLOOKUP(S207,'G-1 All Habitats'!$B$2:$M$135,10,FALSE))</f>
        <v/>
      </c>
      <c r="X207" s="301" t="str">
        <f>IFERROR(VLOOKUP(W207,'G-1 All Habitats'!$V$3:$W$7,2,FALSE),"")</f>
        <v/>
      </c>
      <c r="Y207" s="142"/>
      <c r="Z207" s="305" t="str">
        <f>IFERROR(INDEX('G-8 Condition Look up'!$A$3:$H$135,MATCH(S207,'G-8 Condition Look up'!$A$3:$A$135,0),MATCH(Y207,'G-8 Condition Look up'!$A$3:$H$3,0)),"")</f>
        <v/>
      </c>
      <c r="AA207" s="105"/>
      <c r="AB207" s="320" t="str">
        <f>IF(AA207="","",IF(VLOOKUP(AA207,'G-3 Multipliers'!$L$3:$N$6,2,FALSE)=0,"Spatial Data Missing ⚠",VLOOKUP(AA207,'G-3 Multipliers'!$L$3:$N$6,2,FALSE)))</f>
        <v/>
      </c>
      <c r="AC207" s="305" t="str">
        <f>IF(AA207="","",IF(VLOOKUP(AA207,'G-3 Multipliers'!$L$3:$N$6,3,FALSE)=0,"Spatial Data Missing ⚠",VLOOKUP(AA207,'G-3 Multipliers'!$L$3:$N$6,3,FALSE)))</f>
        <v/>
      </c>
      <c r="AD207" s="317" t="str">
        <f t="shared" si="31"/>
        <v/>
      </c>
      <c r="AE207" s="142"/>
      <c r="AF207" s="142"/>
      <c r="AG207" s="301" t="str">
        <f t="shared" si="34"/>
        <v/>
      </c>
      <c r="AH207" s="302" t="str">
        <f t="shared" si="35"/>
        <v/>
      </c>
      <c r="AI207" s="306" t="str">
        <f>IF(AH207="Check Data ⚠","Check Data ⚠",IFERROR(VLOOKUP(AH207,'G-4 Temporal multipliers'!$A$4:$C$36,3,FALSE),""))</f>
        <v/>
      </c>
      <c r="AJ207" s="317" t="str">
        <f>IF(S207="","",VLOOKUP(S207,'G-3 Multipliers'!$A$2:$E$134,4,FALSE))</f>
        <v/>
      </c>
      <c r="AK207" s="301" t="str">
        <f t="shared" si="36"/>
        <v/>
      </c>
      <c r="AL207" s="301" t="str">
        <f t="shared" si="37"/>
        <v/>
      </c>
      <c r="AM207" s="305" t="str">
        <f>IFERROR(IF(F207="","",IF(AH207="Check Data ⚠","Check Data ⚠",VLOOKUP(AL207, 'G-3 Multipliers'!$P$2:$Q$6,2,FALSE))),"")</f>
        <v/>
      </c>
      <c r="AN207" s="728"/>
      <c r="AO207" s="335" t="str">
        <f>IF(AN207="","",IF(VLOOKUP(AN207,'G-3 Multipliers'!$S$3:$T$10,2,FALSE)=0,"Spatial Data Missing ⚠",VLOOKUP(AN207,'G-3 Multipliers'!$S$3:$T$10,2,FALSE)))</f>
        <v/>
      </c>
      <c r="AP207" s="295" t="str">
        <f t="shared" si="38"/>
        <v/>
      </c>
      <c r="AQ207" s="295" t="str">
        <f t="shared" si="39"/>
        <v/>
      </c>
      <c r="AR207" s="109"/>
      <c r="AS207" s="142"/>
      <c r="AT207" s="108"/>
      <c r="AU207" s="108"/>
      <c r="AY207" s="30" t="str">
        <f>IF(E207="","",IF(ISNA(VLOOKUP($E207,'D-1 Off-Site Habitat Baseline'!$D$1:$AV$258,4,FALSE)),"",(VLOOKUP($E207,'D-1 Off-Site Habitat Baseline'!$D$1:$AV$258,4,FALSE))))</f>
        <v/>
      </c>
    </row>
    <row r="208" spans="1:51" x14ac:dyDescent="0.25">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325" t="str">
        <f>'D-1 Off-Site Habitat Baseline'!AP207</f>
        <v/>
      </c>
      <c r="F208" s="289" t="str">
        <f>IF(E208="","",IF(ISNA(VLOOKUP($E208,'D-1 Off-Site Habitat Baseline'!$D$1:$ZZ$258,45,FALSE)),"",(VLOOKUP($E208,'D-1 Off-Site Habitat Baseline'!$D$1:$ZZ$258,45,FALSE))))</f>
        <v/>
      </c>
      <c r="G208" s="301" t="str">
        <f>IF(E208="","",IF(ISNA(VLOOKUP($E208,'D-1 Off-Site Habitat Baseline'!$D$1:$O$258,5,FALSE)),"",(VLOOKUP($E208,'D-1 Off-Site Habitat Baseline'!$D$1:$O$258,5,FALSE))))</f>
        <v/>
      </c>
      <c r="H208" s="301" t="str">
        <f>IF(E208="","",IF(ISNA(VLOOKUP($E208,'D-1 Off-Site Habitat Baseline'!$D$1:$O$258,6,FALSE)),"",(VLOOKUP($E208,'D-1 Off-Site Habitat Baseline'!$D$1:$O$258,6,FALSE))))</f>
        <v/>
      </c>
      <c r="I208" s="301" t="str">
        <f>IF(E208="","",IF(ISNA(VLOOKUP($E208,'D-1 Off-Site Habitat Baseline'!$D$1:$O$258,7,FALSE)),"",(VLOOKUP($E208,'D-1 Off-Site Habitat Baseline'!$D$1:$O$258,7,FALSE))))</f>
        <v/>
      </c>
      <c r="J208" s="301" t="str">
        <f>IF(E208="","",IF(ISNA(VLOOKUP($E208,'D-1 Off-Site Habitat Baseline'!$D$1:$O$258,8,FALSE)),"",(VLOOKUP($E208,'D-1 Off-Site Habitat Baseline'!$D$1:$O$258,8,FALSE))))</f>
        <v/>
      </c>
      <c r="K208" s="301" t="str">
        <f>IF(E208="","",IF(ISNA(VLOOKUP($E208,'D-1 Off-Site Habitat Baseline'!$D$1:$O$258,9,FALSE)),"",(VLOOKUP($E208,'D-1 Off-Site Habitat Baseline'!$D$1:$O$258,9,FALSE))))</f>
        <v/>
      </c>
      <c r="L208" s="301" t="str">
        <f>IF(E208="","",IF(ISNA(VLOOKUP($E208,'D-1 Off-Site Habitat Baseline'!$D$1:$O$258,11,FALSE)),"",(VLOOKUP($E208,'D-1 Off-Site Habitat Baseline'!$D$1:$O$258,11,FALSE))))</f>
        <v/>
      </c>
      <c r="M208" s="301" t="str">
        <f>IF(E208="","",IF(ISNA(VLOOKUP($E208,'D-1 Off-Site Habitat Baseline'!$D$1:$O$258,12,FALSE)),"",(VLOOKUP($E208,'D-1 Off-Site Habitat Baseline'!$D$1:$O$258,12,FALSE))))</f>
        <v/>
      </c>
      <c r="N208" s="301" t="str">
        <f>IF(E208="","",IF(ISNA(VLOOKUP($E208,'D-1 Off-Site Habitat Baseline'!$D$1:$AA$258,17,FALSE)),"",(VLOOKUP($E208,'D-1 Off-Site Habitat Baseline'!$D$1:$AA$258,17,FALSE))))</f>
        <v/>
      </c>
      <c r="O208" s="305" t="str">
        <f>IF(E208="","",IF(ISNA(VLOOKUP($E208,'D-1 Off-Site Habitat Baseline'!$D$1:$AA$258,13,FALSE)),"",(VLOOKUP($E208,'D-1 Off-Site Habitat Baseline'!$D$1:$AA$258,13,FALSE))))</f>
        <v/>
      </c>
      <c r="P208" s="152" t="str">
        <f>IFERROR(INDEX('G-1 All Habitats'!$AG$49:$AG$63,MATCH(Q208,'G-1 All Habitats'!$AF$27:$AF$41,0)),"")</f>
        <v/>
      </c>
      <c r="Q208" s="153"/>
      <c r="R208" s="154"/>
      <c r="S208" s="155" t="str">
        <f>IFERROR(INDEX('G-1 All Habitats'!$B$3:$B$135,MATCH(R208,'G-1 All Habitats'!$A$3:$A$135,0)),"")</f>
        <v/>
      </c>
      <c r="T208" s="289" t="str">
        <f t="shared" si="32"/>
        <v/>
      </c>
      <c r="U208" s="305" t="str">
        <f t="shared" si="33"/>
        <v/>
      </c>
      <c r="V208" s="304" t="str">
        <f t="shared" si="30"/>
        <v/>
      </c>
      <c r="W208" s="301" t="str">
        <f>IF(S208="","",VLOOKUP(S208,'G-1 All Habitats'!$B$2:$M$135,10,FALSE))</f>
        <v/>
      </c>
      <c r="X208" s="301" t="str">
        <f>IFERROR(VLOOKUP(W208,'G-1 All Habitats'!$V$3:$W$7,2,FALSE),"")</f>
        <v/>
      </c>
      <c r="Y208" s="142"/>
      <c r="Z208" s="305" t="str">
        <f>IFERROR(INDEX('G-8 Condition Look up'!$A$3:$H$135,MATCH(S208,'G-8 Condition Look up'!$A$3:$A$135,0),MATCH(Y208,'G-8 Condition Look up'!$A$3:$H$3,0)),"")</f>
        <v/>
      </c>
      <c r="AA208" s="105"/>
      <c r="AB208" s="320" t="str">
        <f>IF(AA208="","",IF(VLOOKUP(AA208,'G-3 Multipliers'!$L$3:$N$6,2,FALSE)=0,"Spatial Data Missing ⚠",VLOOKUP(AA208,'G-3 Multipliers'!$L$3:$N$6,2,FALSE)))</f>
        <v/>
      </c>
      <c r="AC208" s="305" t="str">
        <f>IF(AA208="","",IF(VLOOKUP(AA208,'G-3 Multipliers'!$L$3:$N$6,3,FALSE)=0,"Spatial Data Missing ⚠",VLOOKUP(AA208,'G-3 Multipliers'!$L$3:$N$6,3,FALSE)))</f>
        <v/>
      </c>
      <c r="AD208" s="317" t="str">
        <f t="shared" si="31"/>
        <v/>
      </c>
      <c r="AE208" s="142"/>
      <c r="AF208" s="142"/>
      <c r="AG208" s="301" t="str">
        <f t="shared" si="34"/>
        <v/>
      </c>
      <c r="AH208" s="302" t="str">
        <f t="shared" si="35"/>
        <v/>
      </c>
      <c r="AI208" s="306" t="str">
        <f>IF(AH208="Check Data ⚠","Check Data ⚠",IFERROR(VLOOKUP(AH208,'G-4 Temporal multipliers'!$A$4:$C$36,3,FALSE),""))</f>
        <v/>
      </c>
      <c r="AJ208" s="317" t="str">
        <f>IF(S208="","",VLOOKUP(S208,'G-3 Multipliers'!$A$2:$E$134,4,FALSE))</f>
        <v/>
      </c>
      <c r="AK208" s="301" t="str">
        <f t="shared" si="36"/>
        <v/>
      </c>
      <c r="AL208" s="301" t="str">
        <f t="shared" si="37"/>
        <v/>
      </c>
      <c r="AM208" s="305" t="str">
        <f>IFERROR(IF(F208="","",IF(AH208="Check Data ⚠","Check Data ⚠",VLOOKUP(AL208, 'G-3 Multipliers'!$P$2:$Q$6,2,FALSE))),"")</f>
        <v/>
      </c>
      <c r="AN208" s="728"/>
      <c r="AO208" s="335" t="str">
        <f>IF(AN208="","",IF(VLOOKUP(AN208,'G-3 Multipliers'!$S$3:$T$10,2,FALSE)=0,"Spatial Data Missing ⚠",VLOOKUP(AN208,'G-3 Multipliers'!$S$3:$T$10,2,FALSE)))</f>
        <v/>
      </c>
      <c r="AP208" s="295" t="str">
        <f t="shared" si="38"/>
        <v/>
      </c>
      <c r="AQ208" s="295" t="str">
        <f t="shared" si="39"/>
        <v/>
      </c>
      <c r="AR208" s="109"/>
      <c r="AS208" s="142"/>
      <c r="AT208" s="108"/>
      <c r="AU208" s="108"/>
      <c r="AY208" s="30" t="str">
        <f>IF(E208="","",IF(ISNA(VLOOKUP($E208,'D-1 Off-Site Habitat Baseline'!$D$1:$AV$258,4,FALSE)),"",(VLOOKUP($E208,'D-1 Off-Site Habitat Baseline'!$D$1:$AV$258,4,FALSE))))</f>
        <v/>
      </c>
    </row>
    <row r="209" spans="1:51" x14ac:dyDescent="0.25">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325" t="str">
        <f>'D-1 Off-Site Habitat Baseline'!AP208</f>
        <v/>
      </c>
      <c r="F209" s="289" t="str">
        <f>IF(E209="","",IF(ISNA(VLOOKUP($E209,'D-1 Off-Site Habitat Baseline'!$D$1:$ZZ$258,45,FALSE)),"",(VLOOKUP($E209,'D-1 Off-Site Habitat Baseline'!$D$1:$ZZ$258,45,FALSE))))</f>
        <v/>
      </c>
      <c r="G209" s="301" t="str">
        <f>IF(E209="","",IF(ISNA(VLOOKUP($E209,'D-1 Off-Site Habitat Baseline'!$D$1:$O$258,5,FALSE)),"",(VLOOKUP($E209,'D-1 Off-Site Habitat Baseline'!$D$1:$O$258,5,FALSE))))</f>
        <v/>
      </c>
      <c r="H209" s="301" t="str">
        <f>IF(E209="","",IF(ISNA(VLOOKUP($E209,'D-1 Off-Site Habitat Baseline'!$D$1:$O$258,6,FALSE)),"",(VLOOKUP($E209,'D-1 Off-Site Habitat Baseline'!$D$1:$O$258,6,FALSE))))</f>
        <v/>
      </c>
      <c r="I209" s="301" t="str">
        <f>IF(E209="","",IF(ISNA(VLOOKUP($E209,'D-1 Off-Site Habitat Baseline'!$D$1:$O$258,7,FALSE)),"",(VLOOKUP($E209,'D-1 Off-Site Habitat Baseline'!$D$1:$O$258,7,FALSE))))</f>
        <v/>
      </c>
      <c r="J209" s="301" t="str">
        <f>IF(E209="","",IF(ISNA(VLOOKUP($E209,'D-1 Off-Site Habitat Baseline'!$D$1:$O$258,8,FALSE)),"",(VLOOKUP($E209,'D-1 Off-Site Habitat Baseline'!$D$1:$O$258,8,FALSE))))</f>
        <v/>
      </c>
      <c r="K209" s="301" t="str">
        <f>IF(E209="","",IF(ISNA(VLOOKUP($E209,'D-1 Off-Site Habitat Baseline'!$D$1:$O$258,9,FALSE)),"",(VLOOKUP($E209,'D-1 Off-Site Habitat Baseline'!$D$1:$O$258,9,FALSE))))</f>
        <v/>
      </c>
      <c r="L209" s="301" t="str">
        <f>IF(E209="","",IF(ISNA(VLOOKUP($E209,'D-1 Off-Site Habitat Baseline'!$D$1:$O$258,11,FALSE)),"",(VLOOKUP($E209,'D-1 Off-Site Habitat Baseline'!$D$1:$O$258,11,FALSE))))</f>
        <v/>
      </c>
      <c r="M209" s="301" t="str">
        <f>IF(E209="","",IF(ISNA(VLOOKUP($E209,'D-1 Off-Site Habitat Baseline'!$D$1:$O$258,12,FALSE)),"",(VLOOKUP($E209,'D-1 Off-Site Habitat Baseline'!$D$1:$O$258,12,FALSE))))</f>
        <v/>
      </c>
      <c r="N209" s="301" t="str">
        <f>IF(E209="","",IF(ISNA(VLOOKUP($E209,'D-1 Off-Site Habitat Baseline'!$D$1:$AA$258,17,FALSE)),"",(VLOOKUP($E209,'D-1 Off-Site Habitat Baseline'!$D$1:$AA$258,17,FALSE))))</f>
        <v/>
      </c>
      <c r="O209" s="305" t="str">
        <f>IF(E209="","",IF(ISNA(VLOOKUP($E209,'D-1 Off-Site Habitat Baseline'!$D$1:$AA$258,13,FALSE)),"",(VLOOKUP($E209,'D-1 Off-Site Habitat Baseline'!$D$1:$AA$258,13,FALSE))))</f>
        <v/>
      </c>
      <c r="P209" s="152" t="str">
        <f>IFERROR(INDEX('G-1 All Habitats'!$AG$49:$AG$63,MATCH(Q209,'G-1 All Habitats'!$AF$27:$AF$41,0)),"")</f>
        <v/>
      </c>
      <c r="Q209" s="153"/>
      <c r="R209" s="154"/>
      <c r="S209" s="155" t="str">
        <f>IFERROR(INDEX('G-1 All Habitats'!$B$3:$B$135,MATCH(R209,'G-1 All Habitats'!$A$3:$A$135,0)),"")</f>
        <v/>
      </c>
      <c r="T209" s="289" t="str">
        <f t="shared" si="32"/>
        <v/>
      </c>
      <c r="U209" s="305" t="str">
        <f t="shared" si="33"/>
        <v/>
      </c>
      <c r="V209" s="304" t="str">
        <f t="shared" si="30"/>
        <v/>
      </c>
      <c r="W209" s="301" t="str">
        <f>IF(S209="","",VLOOKUP(S209,'G-1 All Habitats'!$B$2:$M$135,10,FALSE))</f>
        <v/>
      </c>
      <c r="X209" s="301" t="str">
        <f>IFERROR(VLOOKUP(W209,'G-1 All Habitats'!$V$3:$W$7,2,FALSE),"")</f>
        <v/>
      </c>
      <c r="Y209" s="142"/>
      <c r="Z209" s="305" t="str">
        <f>IFERROR(INDEX('G-8 Condition Look up'!$A$3:$H$135,MATCH(S209,'G-8 Condition Look up'!$A$3:$A$135,0),MATCH(Y209,'G-8 Condition Look up'!$A$3:$H$3,0)),"")</f>
        <v/>
      </c>
      <c r="AA209" s="105"/>
      <c r="AB209" s="320" t="str">
        <f>IF(AA209="","",IF(VLOOKUP(AA209,'G-3 Multipliers'!$L$3:$N$6,2,FALSE)=0,"Spatial Data Missing ⚠",VLOOKUP(AA209,'G-3 Multipliers'!$L$3:$N$6,2,FALSE)))</f>
        <v/>
      </c>
      <c r="AC209" s="305" t="str">
        <f>IF(AA209="","",IF(VLOOKUP(AA209,'G-3 Multipliers'!$L$3:$N$6,3,FALSE)=0,"Spatial Data Missing ⚠",VLOOKUP(AA209,'G-3 Multipliers'!$L$3:$N$6,3,FALSE)))</f>
        <v/>
      </c>
      <c r="AD209" s="317" t="str">
        <f t="shared" si="31"/>
        <v/>
      </c>
      <c r="AE209" s="142"/>
      <c r="AF209" s="142"/>
      <c r="AG209" s="301" t="str">
        <f t="shared" si="34"/>
        <v/>
      </c>
      <c r="AH209" s="302" t="str">
        <f t="shared" si="35"/>
        <v/>
      </c>
      <c r="AI209" s="306" t="str">
        <f>IF(AH209="Check Data ⚠","Check Data ⚠",IFERROR(VLOOKUP(AH209,'G-4 Temporal multipliers'!$A$4:$C$36,3,FALSE),""))</f>
        <v/>
      </c>
      <c r="AJ209" s="317" t="str">
        <f>IF(S209="","",VLOOKUP(S209,'G-3 Multipliers'!$A$2:$E$134,4,FALSE))</f>
        <v/>
      </c>
      <c r="AK209" s="301" t="str">
        <f t="shared" si="36"/>
        <v/>
      </c>
      <c r="AL209" s="301" t="str">
        <f t="shared" si="37"/>
        <v/>
      </c>
      <c r="AM209" s="305" t="str">
        <f>IFERROR(IF(F209="","",IF(AH209="Check Data ⚠","Check Data ⚠",VLOOKUP(AL209, 'G-3 Multipliers'!$P$2:$Q$6,2,FALSE))),"")</f>
        <v/>
      </c>
      <c r="AN209" s="728"/>
      <c r="AO209" s="335" t="str">
        <f>IF(AN209="","",IF(VLOOKUP(AN209,'G-3 Multipliers'!$S$3:$T$10,2,FALSE)=0,"Spatial Data Missing ⚠",VLOOKUP(AN209,'G-3 Multipliers'!$S$3:$T$10,2,FALSE)))</f>
        <v/>
      </c>
      <c r="AP209" s="295" t="str">
        <f t="shared" si="38"/>
        <v/>
      </c>
      <c r="AQ209" s="295" t="str">
        <f t="shared" si="39"/>
        <v/>
      </c>
      <c r="AR209" s="109"/>
      <c r="AS209" s="142"/>
      <c r="AT209" s="108"/>
      <c r="AU209" s="108"/>
      <c r="AY209" s="30" t="str">
        <f>IF(E209="","",IF(ISNA(VLOOKUP($E209,'D-1 Off-Site Habitat Baseline'!$D$1:$AV$258,4,FALSE)),"",(VLOOKUP($E209,'D-1 Off-Site Habitat Baseline'!$D$1:$AV$258,4,FALSE))))</f>
        <v/>
      </c>
    </row>
    <row r="210" spans="1:51" x14ac:dyDescent="0.25">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325" t="str">
        <f>'D-1 Off-Site Habitat Baseline'!AP209</f>
        <v/>
      </c>
      <c r="F210" s="289" t="str">
        <f>IF(E210="","",IF(ISNA(VLOOKUP($E210,'D-1 Off-Site Habitat Baseline'!$D$1:$ZZ$258,45,FALSE)),"",(VLOOKUP($E210,'D-1 Off-Site Habitat Baseline'!$D$1:$ZZ$258,45,FALSE))))</f>
        <v/>
      </c>
      <c r="G210" s="301" t="str">
        <f>IF(E210="","",IF(ISNA(VLOOKUP($E210,'D-1 Off-Site Habitat Baseline'!$D$1:$O$258,5,FALSE)),"",(VLOOKUP($E210,'D-1 Off-Site Habitat Baseline'!$D$1:$O$258,5,FALSE))))</f>
        <v/>
      </c>
      <c r="H210" s="301" t="str">
        <f>IF(E210="","",IF(ISNA(VLOOKUP($E210,'D-1 Off-Site Habitat Baseline'!$D$1:$O$258,6,FALSE)),"",(VLOOKUP($E210,'D-1 Off-Site Habitat Baseline'!$D$1:$O$258,6,FALSE))))</f>
        <v/>
      </c>
      <c r="I210" s="301" t="str">
        <f>IF(E210="","",IF(ISNA(VLOOKUP($E210,'D-1 Off-Site Habitat Baseline'!$D$1:$O$258,7,FALSE)),"",(VLOOKUP($E210,'D-1 Off-Site Habitat Baseline'!$D$1:$O$258,7,FALSE))))</f>
        <v/>
      </c>
      <c r="J210" s="301" t="str">
        <f>IF(E210="","",IF(ISNA(VLOOKUP($E210,'D-1 Off-Site Habitat Baseline'!$D$1:$O$258,8,FALSE)),"",(VLOOKUP($E210,'D-1 Off-Site Habitat Baseline'!$D$1:$O$258,8,FALSE))))</f>
        <v/>
      </c>
      <c r="K210" s="301" t="str">
        <f>IF(E210="","",IF(ISNA(VLOOKUP($E210,'D-1 Off-Site Habitat Baseline'!$D$1:$O$258,9,FALSE)),"",(VLOOKUP($E210,'D-1 Off-Site Habitat Baseline'!$D$1:$O$258,9,FALSE))))</f>
        <v/>
      </c>
      <c r="L210" s="301" t="str">
        <f>IF(E210="","",IF(ISNA(VLOOKUP($E210,'D-1 Off-Site Habitat Baseline'!$D$1:$O$258,11,FALSE)),"",(VLOOKUP($E210,'D-1 Off-Site Habitat Baseline'!$D$1:$O$258,11,FALSE))))</f>
        <v/>
      </c>
      <c r="M210" s="301" t="str">
        <f>IF(E210="","",IF(ISNA(VLOOKUP($E210,'D-1 Off-Site Habitat Baseline'!$D$1:$O$258,12,FALSE)),"",(VLOOKUP($E210,'D-1 Off-Site Habitat Baseline'!$D$1:$O$258,12,FALSE))))</f>
        <v/>
      </c>
      <c r="N210" s="301" t="str">
        <f>IF(E210="","",IF(ISNA(VLOOKUP($E210,'D-1 Off-Site Habitat Baseline'!$D$1:$AA$258,17,FALSE)),"",(VLOOKUP($E210,'D-1 Off-Site Habitat Baseline'!$D$1:$AA$258,17,FALSE))))</f>
        <v/>
      </c>
      <c r="O210" s="305" t="str">
        <f>IF(E210="","",IF(ISNA(VLOOKUP($E210,'D-1 Off-Site Habitat Baseline'!$D$1:$AA$258,13,FALSE)),"",(VLOOKUP($E210,'D-1 Off-Site Habitat Baseline'!$D$1:$AA$258,13,FALSE))))</f>
        <v/>
      </c>
      <c r="P210" s="152" t="str">
        <f>IFERROR(INDEX('G-1 All Habitats'!$AG$49:$AG$63,MATCH(Q210,'G-1 All Habitats'!$AF$27:$AF$41,0)),"")</f>
        <v/>
      </c>
      <c r="Q210" s="153"/>
      <c r="R210" s="154"/>
      <c r="S210" s="155" t="str">
        <f>IFERROR(INDEX('G-1 All Habitats'!$B$3:$B$135,MATCH(R210,'G-1 All Habitats'!$A$3:$A$135,0)),"")</f>
        <v/>
      </c>
      <c r="T210" s="289" t="str">
        <f t="shared" si="32"/>
        <v/>
      </c>
      <c r="U210" s="305" t="str">
        <f t="shared" si="33"/>
        <v/>
      </c>
      <c r="V210" s="304" t="str">
        <f t="shared" si="30"/>
        <v/>
      </c>
      <c r="W210" s="301" t="str">
        <f>IF(S210="","",VLOOKUP(S210,'G-1 All Habitats'!$B$2:$M$135,10,FALSE))</f>
        <v/>
      </c>
      <c r="X210" s="301" t="str">
        <f>IFERROR(VLOOKUP(W210,'G-1 All Habitats'!$V$3:$W$7,2,FALSE),"")</f>
        <v/>
      </c>
      <c r="Y210" s="142"/>
      <c r="Z210" s="305" t="str">
        <f>IFERROR(INDEX('G-8 Condition Look up'!$A$3:$H$135,MATCH(S210,'G-8 Condition Look up'!$A$3:$A$135,0),MATCH(Y210,'G-8 Condition Look up'!$A$3:$H$3,0)),"")</f>
        <v/>
      </c>
      <c r="AA210" s="105"/>
      <c r="AB210" s="320" t="str">
        <f>IF(AA210="","",IF(VLOOKUP(AA210,'G-3 Multipliers'!$L$3:$N$6,2,FALSE)=0,"Spatial Data Missing ⚠",VLOOKUP(AA210,'G-3 Multipliers'!$L$3:$N$6,2,FALSE)))</f>
        <v/>
      </c>
      <c r="AC210" s="305" t="str">
        <f>IF(AA210="","",IF(VLOOKUP(AA210,'G-3 Multipliers'!$L$3:$N$6,3,FALSE)=0,"Spatial Data Missing ⚠",VLOOKUP(AA210,'G-3 Multipliers'!$L$3:$N$6,3,FALSE)))</f>
        <v/>
      </c>
      <c r="AD210" s="317" t="str">
        <f t="shared" si="31"/>
        <v/>
      </c>
      <c r="AE210" s="142"/>
      <c r="AF210" s="142"/>
      <c r="AG210" s="301" t="str">
        <f t="shared" si="34"/>
        <v/>
      </c>
      <c r="AH210" s="302" t="str">
        <f t="shared" si="35"/>
        <v/>
      </c>
      <c r="AI210" s="306" t="str">
        <f>IF(AH210="Check Data ⚠","Check Data ⚠",IFERROR(VLOOKUP(AH210,'G-4 Temporal multipliers'!$A$4:$C$36,3,FALSE),""))</f>
        <v/>
      </c>
      <c r="AJ210" s="317" t="str">
        <f>IF(S210="","",VLOOKUP(S210,'G-3 Multipliers'!$A$2:$E$134,4,FALSE))</f>
        <v/>
      </c>
      <c r="AK210" s="301" t="str">
        <f t="shared" si="36"/>
        <v/>
      </c>
      <c r="AL210" s="301" t="str">
        <f t="shared" si="37"/>
        <v/>
      </c>
      <c r="AM210" s="305" t="str">
        <f>IFERROR(IF(F210="","",IF(AH210="Check Data ⚠","Check Data ⚠",VLOOKUP(AL210, 'G-3 Multipliers'!$P$2:$Q$6,2,FALSE))),"")</f>
        <v/>
      </c>
      <c r="AN210" s="728"/>
      <c r="AO210" s="335" t="str">
        <f>IF(AN210="","",IF(VLOOKUP(AN210,'G-3 Multipliers'!$S$3:$T$10,2,FALSE)=0,"Spatial Data Missing ⚠",VLOOKUP(AN210,'G-3 Multipliers'!$S$3:$T$10,2,FALSE)))</f>
        <v/>
      </c>
      <c r="AP210" s="295" t="str">
        <f t="shared" si="38"/>
        <v/>
      </c>
      <c r="AQ210" s="295" t="str">
        <f t="shared" si="39"/>
        <v/>
      </c>
      <c r="AR210" s="109"/>
      <c r="AS210" s="142"/>
      <c r="AT210" s="108"/>
      <c r="AU210" s="108"/>
      <c r="AY210" s="30" t="str">
        <f>IF(E210="","",IF(ISNA(VLOOKUP($E210,'D-1 Off-Site Habitat Baseline'!$D$1:$AV$258,4,FALSE)),"",(VLOOKUP($E210,'D-1 Off-Site Habitat Baseline'!$D$1:$AV$258,4,FALSE))))</f>
        <v/>
      </c>
    </row>
    <row r="211" spans="1:51" x14ac:dyDescent="0.25">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325" t="str">
        <f>'D-1 Off-Site Habitat Baseline'!AP210</f>
        <v/>
      </c>
      <c r="F211" s="289" t="str">
        <f>IF(E211="","",IF(ISNA(VLOOKUP($E211,'D-1 Off-Site Habitat Baseline'!$D$1:$ZZ$258,45,FALSE)),"",(VLOOKUP($E211,'D-1 Off-Site Habitat Baseline'!$D$1:$ZZ$258,45,FALSE))))</f>
        <v/>
      </c>
      <c r="G211" s="301" t="str">
        <f>IF(E211="","",IF(ISNA(VLOOKUP($E211,'D-1 Off-Site Habitat Baseline'!$D$1:$O$258,5,FALSE)),"",(VLOOKUP($E211,'D-1 Off-Site Habitat Baseline'!$D$1:$O$258,5,FALSE))))</f>
        <v/>
      </c>
      <c r="H211" s="301" t="str">
        <f>IF(E211="","",IF(ISNA(VLOOKUP($E211,'D-1 Off-Site Habitat Baseline'!$D$1:$O$258,6,FALSE)),"",(VLOOKUP($E211,'D-1 Off-Site Habitat Baseline'!$D$1:$O$258,6,FALSE))))</f>
        <v/>
      </c>
      <c r="I211" s="301" t="str">
        <f>IF(E211="","",IF(ISNA(VLOOKUP($E211,'D-1 Off-Site Habitat Baseline'!$D$1:$O$258,7,FALSE)),"",(VLOOKUP($E211,'D-1 Off-Site Habitat Baseline'!$D$1:$O$258,7,FALSE))))</f>
        <v/>
      </c>
      <c r="J211" s="301" t="str">
        <f>IF(E211="","",IF(ISNA(VLOOKUP($E211,'D-1 Off-Site Habitat Baseline'!$D$1:$O$258,8,FALSE)),"",(VLOOKUP($E211,'D-1 Off-Site Habitat Baseline'!$D$1:$O$258,8,FALSE))))</f>
        <v/>
      </c>
      <c r="K211" s="301" t="str">
        <f>IF(E211="","",IF(ISNA(VLOOKUP($E211,'D-1 Off-Site Habitat Baseline'!$D$1:$O$258,9,FALSE)),"",(VLOOKUP($E211,'D-1 Off-Site Habitat Baseline'!$D$1:$O$258,9,FALSE))))</f>
        <v/>
      </c>
      <c r="L211" s="301" t="str">
        <f>IF(E211="","",IF(ISNA(VLOOKUP($E211,'D-1 Off-Site Habitat Baseline'!$D$1:$O$258,11,FALSE)),"",(VLOOKUP($E211,'D-1 Off-Site Habitat Baseline'!$D$1:$O$258,11,FALSE))))</f>
        <v/>
      </c>
      <c r="M211" s="301" t="str">
        <f>IF(E211="","",IF(ISNA(VLOOKUP($E211,'D-1 Off-Site Habitat Baseline'!$D$1:$O$258,12,FALSE)),"",(VLOOKUP($E211,'D-1 Off-Site Habitat Baseline'!$D$1:$O$258,12,FALSE))))</f>
        <v/>
      </c>
      <c r="N211" s="301" t="str">
        <f>IF(E211="","",IF(ISNA(VLOOKUP($E211,'D-1 Off-Site Habitat Baseline'!$D$1:$AA$258,17,FALSE)),"",(VLOOKUP($E211,'D-1 Off-Site Habitat Baseline'!$D$1:$AA$258,17,FALSE))))</f>
        <v/>
      </c>
      <c r="O211" s="305" t="str">
        <f>IF(E211="","",IF(ISNA(VLOOKUP($E211,'D-1 Off-Site Habitat Baseline'!$D$1:$AA$258,13,FALSE)),"",(VLOOKUP($E211,'D-1 Off-Site Habitat Baseline'!$D$1:$AA$258,13,FALSE))))</f>
        <v/>
      </c>
      <c r="P211" s="152" t="str">
        <f>IFERROR(INDEX('G-1 All Habitats'!$AG$49:$AG$63,MATCH(Q211,'G-1 All Habitats'!$AF$27:$AF$41,0)),"")</f>
        <v/>
      </c>
      <c r="Q211" s="153"/>
      <c r="R211" s="154"/>
      <c r="S211" s="155" t="str">
        <f>IFERROR(INDEX('G-1 All Habitats'!$B$3:$B$135,MATCH(R211,'G-1 All Habitats'!$A$3:$A$135,0)),"")</f>
        <v/>
      </c>
      <c r="T211" s="289" t="str">
        <f t="shared" si="32"/>
        <v/>
      </c>
      <c r="U211" s="305" t="str">
        <f t="shared" si="33"/>
        <v/>
      </c>
      <c r="V211" s="304" t="str">
        <f t="shared" si="30"/>
        <v/>
      </c>
      <c r="W211" s="301" t="str">
        <f>IF(S211="","",VLOOKUP(S211,'G-1 All Habitats'!$B$2:$M$135,10,FALSE))</f>
        <v/>
      </c>
      <c r="X211" s="301" t="str">
        <f>IFERROR(VLOOKUP(W211,'G-1 All Habitats'!$V$3:$W$7,2,FALSE),"")</f>
        <v/>
      </c>
      <c r="Y211" s="142"/>
      <c r="Z211" s="305" t="str">
        <f>IFERROR(INDEX('G-8 Condition Look up'!$A$3:$H$135,MATCH(S211,'G-8 Condition Look up'!$A$3:$A$135,0),MATCH(Y211,'G-8 Condition Look up'!$A$3:$H$3,0)),"")</f>
        <v/>
      </c>
      <c r="AA211" s="105"/>
      <c r="AB211" s="320" t="str">
        <f>IF(AA211="","",IF(VLOOKUP(AA211,'G-3 Multipliers'!$L$3:$N$6,2,FALSE)=0,"Spatial Data Missing ⚠",VLOOKUP(AA211,'G-3 Multipliers'!$L$3:$N$6,2,FALSE)))</f>
        <v/>
      </c>
      <c r="AC211" s="305" t="str">
        <f>IF(AA211="","",IF(VLOOKUP(AA211,'G-3 Multipliers'!$L$3:$N$6,3,FALSE)=0,"Spatial Data Missing ⚠",VLOOKUP(AA211,'G-3 Multipliers'!$L$3:$N$6,3,FALSE)))</f>
        <v/>
      </c>
      <c r="AD211" s="317" t="str">
        <f t="shared" si="31"/>
        <v/>
      </c>
      <c r="AE211" s="142"/>
      <c r="AF211" s="142"/>
      <c r="AG211" s="301" t="str">
        <f t="shared" si="34"/>
        <v/>
      </c>
      <c r="AH211" s="302" t="str">
        <f t="shared" si="35"/>
        <v/>
      </c>
      <c r="AI211" s="306" t="str">
        <f>IF(AH211="Check Data ⚠","Check Data ⚠",IFERROR(VLOOKUP(AH211,'G-4 Temporal multipliers'!$A$4:$C$36,3,FALSE),""))</f>
        <v/>
      </c>
      <c r="AJ211" s="317" t="str">
        <f>IF(S211="","",VLOOKUP(S211,'G-3 Multipliers'!$A$2:$E$134,4,FALSE))</f>
        <v/>
      </c>
      <c r="AK211" s="301" t="str">
        <f t="shared" si="36"/>
        <v/>
      </c>
      <c r="AL211" s="301" t="str">
        <f t="shared" si="37"/>
        <v/>
      </c>
      <c r="AM211" s="305" t="str">
        <f>IFERROR(IF(F211="","",IF(AH211="Check Data ⚠","Check Data ⚠",VLOOKUP(AL211, 'G-3 Multipliers'!$P$2:$Q$6,2,FALSE))),"")</f>
        <v/>
      </c>
      <c r="AN211" s="728"/>
      <c r="AO211" s="335" t="str">
        <f>IF(AN211="","",IF(VLOOKUP(AN211,'G-3 Multipliers'!$S$3:$T$10,2,FALSE)=0,"Spatial Data Missing ⚠",VLOOKUP(AN211,'G-3 Multipliers'!$S$3:$T$10,2,FALSE)))</f>
        <v/>
      </c>
      <c r="AP211" s="295" t="str">
        <f t="shared" si="38"/>
        <v/>
      </c>
      <c r="AQ211" s="295" t="str">
        <f t="shared" si="39"/>
        <v/>
      </c>
      <c r="AR211" s="109"/>
      <c r="AS211" s="142"/>
      <c r="AT211" s="108"/>
      <c r="AU211" s="108"/>
      <c r="AY211" s="30" t="str">
        <f>IF(E211="","",IF(ISNA(VLOOKUP($E211,'D-1 Off-Site Habitat Baseline'!$D$1:$AV$258,4,FALSE)),"",(VLOOKUP($E211,'D-1 Off-Site Habitat Baseline'!$D$1:$AV$258,4,FALSE))))</f>
        <v/>
      </c>
    </row>
    <row r="212" spans="1:51" x14ac:dyDescent="0.25">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325" t="str">
        <f>'D-1 Off-Site Habitat Baseline'!AP211</f>
        <v/>
      </c>
      <c r="F212" s="289" t="str">
        <f>IF(E212="","",IF(ISNA(VLOOKUP($E212,'D-1 Off-Site Habitat Baseline'!$D$1:$ZZ$258,45,FALSE)),"",(VLOOKUP($E212,'D-1 Off-Site Habitat Baseline'!$D$1:$ZZ$258,45,FALSE))))</f>
        <v/>
      </c>
      <c r="G212" s="301" t="str">
        <f>IF(E212="","",IF(ISNA(VLOOKUP($E212,'D-1 Off-Site Habitat Baseline'!$D$1:$O$258,5,FALSE)),"",(VLOOKUP($E212,'D-1 Off-Site Habitat Baseline'!$D$1:$O$258,5,FALSE))))</f>
        <v/>
      </c>
      <c r="H212" s="301" t="str">
        <f>IF(E212="","",IF(ISNA(VLOOKUP($E212,'D-1 Off-Site Habitat Baseline'!$D$1:$O$258,6,FALSE)),"",(VLOOKUP($E212,'D-1 Off-Site Habitat Baseline'!$D$1:$O$258,6,FALSE))))</f>
        <v/>
      </c>
      <c r="I212" s="301" t="str">
        <f>IF(E212="","",IF(ISNA(VLOOKUP($E212,'D-1 Off-Site Habitat Baseline'!$D$1:$O$258,7,FALSE)),"",(VLOOKUP($E212,'D-1 Off-Site Habitat Baseline'!$D$1:$O$258,7,FALSE))))</f>
        <v/>
      </c>
      <c r="J212" s="301" t="str">
        <f>IF(E212="","",IF(ISNA(VLOOKUP($E212,'D-1 Off-Site Habitat Baseline'!$D$1:$O$258,8,FALSE)),"",(VLOOKUP($E212,'D-1 Off-Site Habitat Baseline'!$D$1:$O$258,8,FALSE))))</f>
        <v/>
      </c>
      <c r="K212" s="301" t="str">
        <f>IF(E212="","",IF(ISNA(VLOOKUP($E212,'D-1 Off-Site Habitat Baseline'!$D$1:$O$258,9,FALSE)),"",(VLOOKUP($E212,'D-1 Off-Site Habitat Baseline'!$D$1:$O$258,9,FALSE))))</f>
        <v/>
      </c>
      <c r="L212" s="301" t="str">
        <f>IF(E212="","",IF(ISNA(VLOOKUP($E212,'D-1 Off-Site Habitat Baseline'!$D$1:$O$258,11,FALSE)),"",(VLOOKUP($E212,'D-1 Off-Site Habitat Baseline'!$D$1:$O$258,11,FALSE))))</f>
        <v/>
      </c>
      <c r="M212" s="301" t="str">
        <f>IF(E212="","",IF(ISNA(VLOOKUP($E212,'D-1 Off-Site Habitat Baseline'!$D$1:$O$258,12,FALSE)),"",(VLOOKUP($E212,'D-1 Off-Site Habitat Baseline'!$D$1:$O$258,12,FALSE))))</f>
        <v/>
      </c>
      <c r="N212" s="301" t="str">
        <f>IF(E212="","",IF(ISNA(VLOOKUP($E212,'D-1 Off-Site Habitat Baseline'!$D$1:$AA$258,17,FALSE)),"",(VLOOKUP($E212,'D-1 Off-Site Habitat Baseline'!$D$1:$AA$258,17,FALSE))))</f>
        <v/>
      </c>
      <c r="O212" s="305" t="str">
        <f>IF(E212="","",IF(ISNA(VLOOKUP($E212,'D-1 Off-Site Habitat Baseline'!$D$1:$AA$258,13,FALSE)),"",(VLOOKUP($E212,'D-1 Off-Site Habitat Baseline'!$D$1:$AA$258,13,FALSE))))</f>
        <v/>
      </c>
      <c r="P212" s="152" t="str">
        <f>IFERROR(INDEX('G-1 All Habitats'!$AG$49:$AG$63,MATCH(Q212,'G-1 All Habitats'!$AF$27:$AF$41,0)),"")</f>
        <v/>
      </c>
      <c r="Q212" s="153"/>
      <c r="R212" s="154"/>
      <c r="S212" s="155" t="str">
        <f>IFERROR(INDEX('G-1 All Habitats'!$B$3:$B$135,MATCH(R212,'G-1 All Habitats'!$A$3:$A$135,0)),"")</f>
        <v/>
      </c>
      <c r="T212" s="289" t="str">
        <f t="shared" si="32"/>
        <v/>
      </c>
      <c r="U212" s="305" t="str">
        <f t="shared" si="33"/>
        <v/>
      </c>
      <c r="V212" s="304" t="str">
        <f t="shared" si="30"/>
        <v/>
      </c>
      <c r="W212" s="301" t="str">
        <f>IF(S212="","",VLOOKUP(S212,'G-1 All Habitats'!$B$2:$M$135,10,FALSE))</f>
        <v/>
      </c>
      <c r="X212" s="301" t="str">
        <f>IFERROR(VLOOKUP(W212,'G-1 All Habitats'!$V$3:$W$7,2,FALSE),"")</f>
        <v/>
      </c>
      <c r="Y212" s="142"/>
      <c r="Z212" s="305" t="str">
        <f>IFERROR(INDEX('G-8 Condition Look up'!$A$3:$H$135,MATCH(S212,'G-8 Condition Look up'!$A$3:$A$135,0),MATCH(Y212,'G-8 Condition Look up'!$A$3:$H$3,0)),"")</f>
        <v/>
      </c>
      <c r="AA212" s="105"/>
      <c r="AB212" s="320" t="str">
        <f>IF(AA212="","",IF(VLOOKUP(AA212,'G-3 Multipliers'!$L$3:$N$6,2,FALSE)=0,"Spatial Data Missing ⚠",VLOOKUP(AA212,'G-3 Multipliers'!$L$3:$N$6,2,FALSE)))</f>
        <v/>
      </c>
      <c r="AC212" s="305" t="str">
        <f>IF(AA212="","",IF(VLOOKUP(AA212,'G-3 Multipliers'!$L$3:$N$6,3,FALSE)=0,"Spatial Data Missing ⚠",VLOOKUP(AA212,'G-3 Multipliers'!$L$3:$N$6,3,FALSE)))</f>
        <v/>
      </c>
      <c r="AD212" s="317" t="str">
        <f t="shared" si="31"/>
        <v/>
      </c>
      <c r="AE212" s="142"/>
      <c r="AF212" s="142"/>
      <c r="AG212" s="301" t="str">
        <f t="shared" si="34"/>
        <v/>
      </c>
      <c r="AH212" s="302" t="str">
        <f t="shared" si="35"/>
        <v/>
      </c>
      <c r="AI212" s="306" t="str">
        <f>IF(AH212="Check Data ⚠","Check Data ⚠",IFERROR(VLOOKUP(AH212,'G-4 Temporal multipliers'!$A$4:$C$36,3,FALSE),""))</f>
        <v/>
      </c>
      <c r="AJ212" s="317" t="str">
        <f>IF(S212="","",VLOOKUP(S212,'G-3 Multipliers'!$A$2:$E$134,4,FALSE))</f>
        <v/>
      </c>
      <c r="AK212" s="301" t="str">
        <f t="shared" si="36"/>
        <v/>
      </c>
      <c r="AL212" s="301" t="str">
        <f t="shared" si="37"/>
        <v/>
      </c>
      <c r="AM212" s="305" t="str">
        <f>IFERROR(IF(F212="","",IF(AH212="Check Data ⚠","Check Data ⚠",VLOOKUP(AL212, 'G-3 Multipliers'!$P$2:$Q$6,2,FALSE))),"")</f>
        <v/>
      </c>
      <c r="AN212" s="728"/>
      <c r="AO212" s="335" t="str">
        <f>IF(AN212="","",IF(VLOOKUP(AN212,'G-3 Multipliers'!$S$3:$T$10,2,FALSE)=0,"Spatial Data Missing ⚠",VLOOKUP(AN212,'G-3 Multipliers'!$S$3:$T$10,2,FALSE)))</f>
        <v/>
      </c>
      <c r="AP212" s="295" t="str">
        <f t="shared" si="38"/>
        <v/>
      </c>
      <c r="AQ212" s="295" t="str">
        <f t="shared" si="39"/>
        <v/>
      </c>
      <c r="AR212" s="109"/>
      <c r="AS212" s="142"/>
      <c r="AT212" s="108"/>
      <c r="AU212" s="108"/>
      <c r="AY212" s="30" t="str">
        <f>IF(E212="","",IF(ISNA(VLOOKUP($E212,'D-1 Off-Site Habitat Baseline'!$D$1:$AV$258,4,FALSE)),"",(VLOOKUP($E212,'D-1 Off-Site Habitat Baseline'!$D$1:$AV$258,4,FALSE))))</f>
        <v/>
      </c>
    </row>
    <row r="213" spans="1:51" x14ac:dyDescent="0.25">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325" t="str">
        <f>'D-1 Off-Site Habitat Baseline'!AP212</f>
        <v/>
      </c>
      <c r="F213" s="289" t="str">
        <f>IF(E213="","",IF(ISNA(VLOOKUP($E213,'D-1 Off-Site Habitat Baseline'!$D$1:$ZZ$258,45,FALSE)),"",(VLOOKUP($E213,'D-1 Off-Site Habitat Baseline'!$D$1:$ZZ$258,45,FALSE))))</f>
        <v/>
      </c>
      <c r="G213" s="301" t="str">
        <f>IF(E213="","",IF(ISNA(VLOOKUP($E213,'D-1 Off-Site Habitat Baseline'!$D$1:$O$258,5,FALSE)),"",(VLOOKUP($E213,'D-1 Off-Site Habitat Baseline'!$D$1:$O$258,5,FALSE))))</f>
        <v/>
      </c>
      <c r="H213" s="301" t="str">
        <f>IF(E213="","",IF(ISNA(VLOOKUP($E213,'D-1 Off-Site Habitat Baseline'!$D$1:$O$258,6,FALSE)),"",(VLOOKUP($E213,'D-1 Off-Site Habitat Baseline'!$D$1:$O$258,6,FALSE))))</f>
        <v/>
      </c>
      <c r="I213" s="301" t="str">
        <f>IF(E213="","",IF(ISNA(VLOOKUP($E213,'D-1 Off-Site Habitat Baseline'!$D$1:$O$258,7,FALSE)),"",(VLOOKUP($E213,'D-1 Off-Site Habitat Baseline'!$D$1:$O$258,7,FALSE))))</f>
        <v/>
      </c>
      <c r="J213" s="301" t="str">
        <f>IF(E213="","",IF(ISNA(VLOOKUP($E213,'D-1 Off-Site Habitat Baseline'!$D$1:$O$258,8,FALSE)),"",(VLOOKUP($E213,'D-1 Off-Site Habitat Baseline'!$D$1:$O$258,8,FALSE))))</f>
        <v/>
      </c>
      <c r="K213" s="301" t="str">
        <f>IF(E213="","",IF(ISNA(VLOOKUP($E213,'D-1 Off-Site Habitat Baseline'!$D$1:$O$258,9,FALSE)),"",(VLOOKUP($E213,'D-1 Off-Site Habitat Baseline'!$D$1:$O$258,9,FALSE))))</f>
        <v/>
      </c>
      <c r="L213" s="301" t="str">
        <f>IF(E213="","",IF(ISNA(VLOOKUP($E213,'D-1 Off-Site Habitat Baseline'!$D$1:$O$258,11,FALSE)),"",(VLOOKUP($E213,'D-1 Off-Site Habitat Baseline'!$D$1:$O$258,11,FALSE))))</f>
        <v/>
      </c>
      <c r="M213" s="301" t="str">
        <f>IF(E213="","",IF(ISNA(VLOOKUP($E213,'D-1 Off-Site Habitat Baseline'!$D$1:$O$258,12,FALSE)),"",(VLOOKUP($E213,'D-1 Off-Site Habitat Baseline'!$D$1:$O$258,12,FALSE))))</f>
        <v/>
      </c>
      <c r="N213" s="301" t="str">
        <f>IF(E213="","",IF(ISNA(VLOOKUP($E213,'D-1 Off-Site Habitat Baseline'!$D$1:$AA$258,17,FALSE)),"",(VLOOKUP($E213,'D-1 Off-Site Habitat Baseline'!$D$1:$AA$258,17,FALSE))))</f>
        <v/>
      </c>
      <c r="O213" s="305" t="str">
        <f>IF(E213="","",IF(ISNA(VLOOKUP($E213,'D-1 Off-Site Habitat Baseline'!$D$1:$AA$258,13,FALSE)),"",(VLOOKUP($E213,'D-1 Off-Site Habitat Baseline'!$D$1:$AA$258,13,FALSE))))</f>
        <v/>
      </c>
      <c r="P213" s="152" t="str">
        <f>IFERROR(INDEX('G-1 All Habitats'!$AG$49:$AG$63,MATCH(Q213,'G-1 All Habitats'!$AF$27:$AF$41,0)),"")</f>
        <v/>
      </c>
      <c r="Q213" s="153"/>
      <c r="R213" s="154"/>
      <c r="S213" s="155" t="str">
        <f>IFERROR(INDEX('G-1 All Habitats'!$B$3:$B$135,MATCH(R213,'G-1 All Habitats'!$A$3:$A$135,0)),"")</f>
        <v/>
      </c>
      <c r="T213" s="289" t="str">
        <f t="shared" si="32"/>
        <v/>
      </c>
      <c r="U213" s="305" t="str">
        <f t="shared" si="33"/>
        <v/>
      </c>
      <c r="V213" s="304" t="str">
        <f t="shared" si="30"/>
        <v/>
      </c>
      <c r="W213" s="301" t="str">
        <f>IF(S213="","",VLOOKUP(S213,'G-1 All Habitats'!$B$2:$M$135,10,FALSE))</f>
        <v/>
      </c>
      <c r="X213" s="301" t="str">
        <f>IFERROR(VLOOKUP(W213,'G-1 All Habitats'!$V$3:$W$7,2,FALSE),"")</f>
        <v/>
      </c>
      <c r="Y213" s="142"/>
      <c r="Z213" s="305" t="str">
        <f>IFERROR(INDEX('G-8 Condition Look up'!$A$3:$H$135,MATCH(S213,'G-8 Condition Look up'!$A$3:$A$135,0),MATCH(Y213,'G-8 Condition Look up'!$A$3:$H$3,0)),"")</f>
        <v/>
      </c>
      <c r="AA213" s="105"/>
      <c r="AB213" s="320" t="str">
        <f>IF(AA213="","",IF(VLOOKUP(AA213,'G-3 Multipliers'!$L$3:$N$6,2,FALSE)=0,"Spatial Data Missing ⚠",VLOOKUP(AA213,'G-3 Multipliers'!$L$3:$N$6,2,FALSE)))</f>
        <v/>
      </c>
      <c r="AC213" s="305" t="str">
        <f>IF(AA213="","",IF(VLOOKUP(AA213,'G-3 Multipliers'!$L$3:$N$6,3,FALSE)=0,"Spatial Data Missing ⚠",VLOOKUP(AA213,'G-3 Multipliers'!$L$3:$N$6,3,FALSE)))</f>
        <v/>
      </c>
      <c r="AD213" s="317" t="str">
        <f t="shared" si="31"/>
        <v/>
      </c>
      <c r="AE213" s="142"/>
      <c r="AF213" s="142"/>
      <c r="AG213" s="301" t="str">
        <f t="shared" si="34"/>
        <v/>
      </c>
      <c r="AH213" s="302" t="str">
        <f t="shared" si="35"/>
        <v/>
      </c>
      <c r="AI213" s="306" t="str">
        <f>IF(AH213="Check Data ⚠","Check Data ⚠",IFERROR(VLOOKUP(AH213,'G-4 Temporal multipliers'!$A$4:$C$36,3,FALSE),""))</f>
        <v/>
      </c>
      <c r="AJ213" s="317" t="str">
        <f>IF(S213="","",VLOOKUP(S213,'G-3 Multipliers'!$A$2:$E$134,4,FALSE))</f>
        <v/>
      </c>
      <c r="AK213" s="301" t="str">
        <f t="shared" si="36"/>
        <v/>
      </c>
      <c r="AL213" s="301" t="str">
        <f t="shared" si="37"/>
        <v/>
      </c>
      <c r="AM213" s="305" t="str">
        <f>IFERROR(IF(F213="","",IF(AH213="Check Data ⚠","Check Data ⚠",VLOOKUP(AL213, 'G-3 Multipliers'!$P$2:$Q$6,2,FALSE))),"")</f>
        <v/>
      </c>
      <c r="AN213" s="728"/>
      <c r="AO213" s="335" t="str">
        <f>IF(AN213="","",IF(VLOOKUP(AN213,'G-3 Multipliers'!$S$3:$T$10,2,FALSE)=0,"Spatial Data Missing ⚠",VLOOKUP(AN213,'G-3 Multipliers'!$S$3:$T$10,2,FALSE)))</f>
        <v/>
      </c>
      <c r="AP213" s="295" t="str">
        <f t="shared" si="38"/>
        <v/>
      </c>
      <c r="AQ213" s="295" t="str">
        <f t="shared" si="39"/>
        <v/>
      </c>
      <c r="AR213" s="109"/>
      <c r="AS213" s="142"/>
      <c r="AT213" s="108"/>
      <c r="AU213" s="108"/>
      <c r="AY213" s="30" t="str">
        <f>IF(E213="","",IF(ISNA(VLOOKUP($E213,'D-1 Off-Site Habitat Baseline'!$D$1:$AV$258,4,FALSE)),"",(VLOOKUP($E213,'D-1 Off-Site Habitat Baseline'!$D$1:$AV$258,4,FALSE))))</f>
        <v/>
      </c>
    </row>
    <row r="214" spans="1:51" x14ac:dyDescent="0.25">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325" t="str">
        <f>'D-1 Off-Site Habitat Baseline'!AP213</f>
        <v/>
      </c>
      <c r="F214" s="289" t="str">
        <f>IF(E214="","",IF(ISNA(VLOOKUP($E214,'D-1 Off-Site Habitat Baseline'!$D$1:$ZZ$258,45,FALSE)),"",(VLOOKUP($E214,'D-1 Off-Site Habitat Baseline'!$D$1:$ZZ$258,45,FALSE))))</f>
        <v/>
      </c>
      <c r="G214" s="301" t="str">
        <f>IF(E214="","",IF(ISNA(VLOOKUP($E214,'D-1 Off-Site Habitat Baseline'!$D$1:$O$258,5,FALSE)),"",(VLOOKUP($E214,'D-1 Off-Site Habitat Baseline'!$D$1:$O$258,5,FALSE))))</f>
        <v/>
      </c>
      <c r="H214" s="301" t="str">
        <f>IF(E214="","",IF(ISNA(VLOOKUP($E214,'D-1 Off-Site Habitat Baseline'!$D$1:$O$258,6,FALSE)),"",(VLOOKUP($E214,'D-1 Off-Site Habitat Baseline'!$D$1:$O$258,6,FALSE))))</f>
        <v/>
      </c>
      <c r="I214" s="301" t="str">
        <f>IF(E214="","",IF(ISNA(VLOOKUP($E214,'D-1 Off-Site Habitat Baseline'!$D$1:$O$258,7,FALSE)),"",(VLOOKUP($E214,'D-1 Off-Site Habitat Baseline'!$D$1:$O$258,7,FALSE))))</f>
        <v/>
      </c>
      <c r="J214" s="301" t="str">
        <f>IF(E214="","",IF(ISNA(VLOOKUP($E214,'D-1 Off-Site Habitat Baseline'!$D$1:$O$258,8,FALSE)),"",(VLOOKUP($E214,'D-1 Off-Site Habitat Baseline'!$D$1:$O$258,8,FALSE))))</f>
        <v/>
      </c>
      <c r="K214" s="301" t="str">
        <f>IF(E214="","",IF(ISNA(VLOOKUP($E214,'D-1 Off-Site Habitat Baseline'!$D$1:$O$258,9,FALSE)),"",(VLOOKUP($E214,'D-1 Off-Site Habitat Baseline'!$D$1:$O$258,9,FALSE))))</f>
        <v/>
      </c>
      <c r="L214" s="301" t="str">
        <f>IF(E214="","",IF(ISNA(VLOOKUP($E214,'D-1 Off-Site Habitat Baseline'!$D$1:$O$258,11,FALSE)),"",(VLOOKUP($E214,'D-1 Off-Site Habitat Baseline'!$D$1:$O$258,11,FALSE))))</f>
        <v/>
      </c>
      <c r="M214" s="301" t="str">
        <f>IF(E214="","",IF(ISNA(VLOOKUP($E214,'D-1 Off-Site Habitat Baseline'!$D$1:$O$258,12,FALSE)),"",(VLOOKUP($E214,'D-1 Off-Site Habitat Baseline'!$D$1:$O$258,12,FALSE))))</f>
        <v/>
      </c>
      <c r="N214" s="301" t="str">
        <f>IF(E214="","",IF(ISNA(VLOOKUP($E214,'D-1 Off-Site Habitat Baseline'!$D$1:$AA$258,17,FALSE)),"",(VLOOKUP($E214,'D-1 Off-Site Habitat Baseline'!$D$1:$AA$258,17,FALSE))))</f>
        <v/>
      </c>
      <c r="O214" s="305" t="str">
        <f>IF(E214="","",IF(ISNA(VLOOKUP($E214,'D-1 Off-Site Habitat Baseline'!$D$1:$AA$258,13,FALSE)),"",(VLOOKUP($E214,'D-1 Off-Site Habitat Baseline'!$D$1:$AA$258,13,FALSE))))</f>
        <v/>
      </c>
      <c r="P214" s="152" t="str">
        <f>IFERROR(INDEX('G-1 All Habitats'!$AG$49:$AG$63,MATCH(Q214,'G-1 All Habitats'!$AF$27:$AF$41,0)),"")</f>
        <v/>
      </c>
      <c r="Q214" s="153"/>
      <c r="R214" s="154"/>
      <c r="S214" s="155" t="str">
        <f>IFERROR(INDEX('G-1 All Habitats'!$B$3:$B$135,MATCH(R214,'G-1 All Habitats'!$A$3:$A$135,0)),"")</f>
        <v/>
      </c>
      <c r="T214" s="289" t="str">
        <f t="shared" si="32"/>
        <v/>
      </c>
      <c r="U214" s="305" t="str">
        <f t="shared" si="33"/>
        <v/>
      </c>
      <c r="V214" s="304" t="str">
        <f t="shared" si="30"/>
        <v/>
      </c>
      <c r="W214" s="301" t="str">
        <f>IF(S214="","",VLOOKUP(S214,'G-1 All Habitats'!$B$2:$M$135,10,FALSE))</f>
        <v/>
      </c>
      <c r="X214" s="301" t="str">
        <f>IFERROR(VLOOKUP(W214,'G-1 All Habitats'!$V$3:$W$7,2,FALSE),"")</f>
        <v/>
      </c>
      <c r="Y214" s="142"/>
      <c r="Z214" s="305" t="str">
        <f>IFERROR(INDEX('G-8 Condition Look up'!$A$3:$H$135,MATCH(S214,'G-8 Condition Look up'!$A$3:$A$135,0),MATCH(Y214,'G-8 Condition Look up'!$A$3:$H$3,0)),"")</f>
        <v/>
      </c>
      <c r="AA214" s="105"/>
      <c r="AB214" s="320" t="str">
        <f>IF(AA214="","",IF(VLOOKUP(AA214,'G-3 Multipliers'!$L$3:$N$6,2,FALSE)=0,"Spatial Data Missing ⚠",VLOOKUP(AA214,'G-3 Multipliers'!$L$3:$N$6,2,FALSE)))</f>
        <v/>
      </c>
      <c r="AC214" s="305" t="str">
        <f>IF(AA214="","",IF(VLOOKUP(AA214,'G-3 Multipliers'!$L$3:$N$6,3,FALSE)=0,"Spatial Data Missing ⚠",VLOOKUP(AA214,'G-3 Multipliers'!$L$3:$N$6,3,FALSE)))</f>
        <v/>
      </c>
      <c r="AD214" s="317" t="str">
        <f t="shared" si="31"/>
        <v/>
      </c>
      <c r="AE214" s="142"/>
      <c r="AF214" s="142"/>
      <c r="AG214" s="301" t="str">
        <f t="shared" si="34"/>
        <v/>
      </c>
      <c r="AH214" s="302" t="str">
        <f t="shared" si="35"/>
        <v/>
      </c>
      <c r="AI214" s="306" t="str">
        <f>IF(AH214="Check Data ⚠","Check Data ⚠",IFERROR(VLOOKUP(AH214,'G-4 Temporal multipliers'!$A$4:$C$36,3,FALSE),""))</f>
        <v/>
      </c>
      <c r="AJ214" s="317" t="str">
        <f>IF(S214="","",VLOOKUP(S214,'G-3 Multipliers'!$A$2:$E$134,4,FALSE))</f>
        <v/>
      </c>
      <c r="AK214" s="301" t="str">
        <f t="shared" si="36"/>
        <v/>
      </c>
      <c r="AL214" s="301" t="str">
        <f t="shared" si="37"/>
        <v/>
      </c>
      <c r="AM214" s="305" t="str">
        <f>IFERROR(IF(F214="","",IF(AH214="Check Data ⚠","Check Data ⚠",VLOOKUP(AL214, 'G-3 Multipliers'!$P$2:$Q$6,2,FALSE))),"")</f>
        <v/>
      </c>
      <c r="AN214" s="728"/>
      <c r="AO214" s="335" t="str">
        <f>IF(AN214="","",IF(VLOOKUP(AN214,'G-3 Multipliers'!$S$3:$T$10,2,FALSE)=0,"Spatial Data Missing ⚠",VLOOKUP(AN214,'G-3 Multipliers'!$S$3:$T$10,2,FALSE)))</f>
        <v/>
      </c>
      <c r="AP214" s="295" t="str">
        <f t="shared" si="38"/>
        <v/>
      </c>
      <c r="AQ214" s="295" t="str">
        <f t="shared" si="39"/>
        <v/>
      </c>
      <c r="AR214" s="109"/>
      <c r="AS214" s="142"/>
      <c r="AT214" s="108"/>
      <c r="AU214" s="108"/>
      <c r="AY214" s="30" t="str">
        <f>IF(E214="","",IF(ISNA(VLOOKUP($E214,'D-1 Off-Site Habitat Baseline'!$D$1:$AV$258,4,FALSE)),"",(VLOOKUP($E214,'D-1 Off-Site Habitat Baseline'!$D$1:$AV$258,4,FALSE))))</f>
        <v/>
      </c>
    </row>
    <row r="215" spans="1:51" x14ac:dyDescent="0.25">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325" t="str">
        <f>'D-1 Off-Site Habitat Baseline'!AP214</f>
        <v/>
      </c>
      <c r="F215" s="289" t="str">
        <f>IF(E215="","",IF(ISNA(VLOOKUP($E215,'D-1 Off-Site Habitat Baseline'!$D$1:$ZZ$258,45,FALSE)),"",(VLOOKUP($E215,'D-1 Off-Site Habitat Baseline'!$D$1:$ZZ$258,45,FALSE))))</f>
        <v/>
      </c>
      <c r="G215" s="301" t="str">
        <f>IF(E215="","",IF(ISNA(VLOOKUP($E215,'D-1 Off-Site Habitat Baseline'!$D$1:$O$258,5,FALSE)),"",(VLOOKUP($E215,'D-1 Off-Site Habitat Baseline'!$D$1:$O$258,5,FALSE))))</f>
        <v/>
      </c>
      <c r="H215" s="301" t="str">
        <f>IF(E215="","",IF(ISNA(VLOOKUP($E215,'D-1 Off-Site Habitat Baseline'!$D$1:$O$258,6,FALSE)),"",(VLOOKUP($E215,'D-1 Off-Site Habitat Baseline'!$D$1:$O$258,6,FALSE))))</f>
        <v/>
      </c>
      <c r="I215" s="301" t="str">
        <f>IF(E215="","",IF(ISNA(VLOOKUP($E215,'D-1 Off-Site Habitat Baseline'!$D$1:$O$258,7,FALSE)),"",(VLOOKUP($E215,'D-1 Off-Site Habitat Baseline'!$D$1:$O$258,7,FALSE))))</f>
        <v/>
      </c>
      <c r="J215" s="301" t="str">
        <f>IF(E215="","",IF(ISNA(VLOOKUP($E215,'D-1 Off-Site Habitat Baseline'!$D$1:$O$258,8,FALSE)),"",(VLOOKUP($E215,'D-1 Off-Site Habitat Baseline'!$D$1:$O$258,8,FALSE))))</f>
        <v/>
      </c>
      <c r="K215" s="301" t="str">
        <f>IF(E215="","",IF(ISNA(VLOOKUP($E215,'D-1 Off-Site Habitat Baseline'!$D$1:$O$258,9,FALSE)),"",(VLOOKUP($E215,'D-1 Off-Site Habitat Baseline'!$D$1:$O$258,9,FALSE))))</f>
        <v/>
      </c>
      <c r="L215" s="301" t="str">
        <f>IF(E215="","",IF(ISNA(VLOOKUP($E215,'D-1 Off-Site Habitat Baseline'!$D$1:$O$258,11,FALSE)),"",(VLOOKUP($E215,'D-1 Off-Site Habitat Baseline'!$D$1:$O$258,11,FALSE))))</f>
        <v/>
      </c>
      <c r="M215" s="301" t="str">
        <f>IF(E215="","",IF(ISNA(VLOOKUP($E215,'D-1 Off-Site Habitat Baseline'!$D$1:$O$258,12,FALSE)),"",(VLOOKUP($E215,'D-1 Off-Site Habitat Baseline'!$D$1:$O$258,12,FALSE))))</f>
        <v/>
      </c>
      <c r="N215" s="301" t="str">
        <f>IF(E215="","",IF(ISNA(VLOOKUP($E215,'D-1 Off-Site Habitat Baseline'!$D$1:$AA$258,17,FALSE)),"",(VLOOKUP($E215,'D-1 Off-Site Habitat Baseline'!$D$1:$AA$258,17,FALSE))))</f>
        <v/>
      </c>
      <c r="O215" s="305" t="str">
        <f>IF(E215="","",IF(ISNA(VLOOKUP($E215,'D-1 Off-Site Habitat Baseline'!$D$1:$AA$258,13,FALSE)),"",(VLOOKUP($E215,'D-1 Off-Site Habitat Baseline'!$D$1:$AA$258,13,FALSE))))</f>
        <v/>
      </c>
      <c r="P215" s="152" t="str">
        <f>IFERROR(INDEX('G-1 All Habitats'!$AG$49:$AG$63,MATCH(Q215,'G-1 All Habitats'!$AF$27:$AF$41,0)),"")</f>
        <v/>
      </c>
      <c r="Q215" s="153"/>
      <c r="R215" s="154"/>
      <c r="S215" s="155" t="str">
        <f>IFERROR(INDEX('G-1 All Habitats'!$B$3:$B$135,MATCH(R215,'G-1 All Habitats'!$A$3:$A$135,0)),"")</f>
        <v/>
      </c>
      <c r="T215" s="289" t="str">
        <f t="shared" si="32"/>
        <v/>
      </c>
      <c r="U215" s="305" t="str">
        <f t="shared" si="33"/>
        <v/>
      </c>
      <c r="V215" s="304" t="str">
        <f t="shared" si="30"/>
        <v/>
      </c>
      <c r="W215" s="301" t="str">
        <f>IF(S215="","",VLOOKUP(S215,'G-1 All Habitats'!$B$2:$M$135,10,FALSE))</f>
        <v/>
      </c>
      <c r="X215" s="301" t="str">
        <f>IFERROR(VLOOKUP(W215,'G-1 All Habitats'!$V$3:$W$7,2,FALSE),"")</f>
        <v/>
      </c>
      <c r="Y215" s="142"/>
      <c r="Z215" s="305" t="str">
        <f>IFERROR(INDEX('G-8 Condition Look up'!$A$3:$H$135,MATCH(S215,'G-8 Condition Look up'!$A$3:$A$135,0),MATCH(Y215,'G-8 Condition Look up'!$A$3:$H$3,0)),"")</f>
        <v/>
      </c>
      <c r="AA215" s="105"/>
      <c r="AB215" s="320" t="str">
        <f>IF(AA215="","",IF(VLOOKUP(AA215,'G-3 Multipliers'!$L$3:$N$6,2,FALSE)=0,"Spatial Data Missing ⚠",VLOOKUP(AA215,'G-3 Multipliers'!$L$3:$N$6,2,FALSE)))</f>
        <v/>
      </c>
      <c r="AC215" s="305" t="str">
        <f>IF(AA215="","",IF(VLOOKUP(AA215,'G-3 Multipliers'!$L$3:$N$6,3,FALSE)=0,"Spatial Data Missing ⚠",VLOOKUP(AA215,'G-3 Multipliers'!$L$3:$N$6,3,FALSE)))</f>
        <v/>
      </c>
      <c r="AD215" s="317" t="str">
        <f t="shared" si="31"/>
        <v/>
      </c>
      <c r="AE215" s="142"/>
      <c r="AF215" s="142"/>
      <c r="AG215" s="301" t="str">
        <f t="shared" si="34"/>
        <v/>
      </c>
      <c r="AH215" s="302" t="str">
        <f t="shared" si="35"/>
        <v/>
      </c>
      <c r="AI215" s="306" t="str">
        <f>IF(AH215="Check Data ⚠","Check Data ⚠",IFERROR(VLOOKUP(AH215,'G-4 Temporal multipliers'!$A$4:$C$36,3,FALSE),""))</f>
        <v/>
      </c>
      <c r="AJ215" s="317" t="str">
        <f>IF(S215="","",VLOOKUP(S215,'G-3 Multipliers'!$A$2:$E$134,4,FALSE))</f>
        <v/>
      </c>
      <c r="AK215" s="301" t="str">
        <f t="shared" si="36"/>
        <v/>
      </c>
      <c r="AL215" s="301" t="str">
        <f t="shared" si="37"/>
        <v/>
      </c>
      <c r="AM215" s="305" t="str">
        <f>IFERROR(IF(F215="","",IF(AH215="Check Data ⚠","Check Data ⚠",VLOOKUP(AL215, 'G-3 Multipliers'!$P$2:$Q$6,2,FALSE))),"")</f>
        <v/>
      </c>
      <c r="AN215" s="728"/>
      <c r="AO215" s="335" t="str">
        <f>IF(AN215="","",IF(VLOOKUP(AN215,'G-3 Multipliers'!$S$3:$T$10,2,FALSE)=0,"Spatial Data Missing ⚠",VLOOKUP(AN215,'G-3 Multipliers'!$S$3:$T$10,2,FALSE)))</f>
        <v/>
      </c>
      <c r="AP215" s="295" t="str">
        <f t="shared" si="38"/>
        <v/>
      </c>
      <c r="AQ215" s="295" t="str">
        <f t="shared" si="39"/>
        <v/>
      </c>
      <c r="AR215" s="109"/>
      <c r="AS215" s="142"/>
      <c r="AT215" s="108"/>
      <c r="AU215" s="108"/>
      <c r="AY215" s="30" t="str">
        <f>IF(E215="","",IF(ISNA(VLOOKUP($E215,'D-1 Off-Site Habitat Baseline'!$D$1:$AV$258,4,FALSE)),"",(VLOOKUP($E215,'D-1 Off-Site Habitat Baseline'!$D$1:$AV$258,4,FALSE))))</f>
        <v/>
      </c>
    </row>
    <row r="216" spans="1:51" x14ac:dyDescent="0.25">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325" t="str">
        <f>'D-1 Off-Site Habitat Baseline'!AP215</f>
        <v/>
      </c>
      <c r="F216" s="289" t="str">
        <f>IF(E216="","",IF(ISNA(VLOOKUP($E216,'D-1 Off-Site Habitat Baseline'!$D$1:$ZZ$258,45,FALSE)),"",(VLOOKUP($E216,'D-1 Off-Site Habitat Baseline'!$D$1:$ZZ$258,45,FALSE))))</f>
        <v/>
      </c>
      <c r="G216" s="301" t="str">
        <f>IF(E216="","",IF(ISNA(VLOOKUP($E216,'D-1 Off-Site Habitat Baseline'!$D$1:$O$258,5,FALSE)),"",(VLOOKUP($E216,'D-1 Off-Site Habitat Baseline'!$D$1:$O$258,5,FALSE))))</f>
        <v/>
      </c>
      <c r="H216" s="301" t="str">
        <f>IF(E216="","",IF(ISNA(VLOOKUP($E216,'D-1 Off-Site Habitat Baseline'!$D$1:$O$258,6,FALSE)),"",(VLOOKUP($E216,'D-1 Off-Site Habitat Baseline'!$D$1:$O$258,6,FALSE))))</f>
        <v/>
      </c>
      <c r="I216" s="301" t="str">
        <f>IF(E216="","",IF(ISNA(VLOOKUP($E216,'D-1 Off-Site Habitat Baseline'!$D$1:$O$258,7,FALSE)),"",(VLOOKUP($E216,'D-1 Off-Site Habitat Baseline'!$D$1:$O$258,7,FALSE))))</f>
        <v/>
      </c>
      <c r="J216" s="301" t="str">
        <f>IF(E216="","",IF(ISNA(VLOOKUP($E216,'D-1 Off-Site Habitat Baseline'!$D$1:$O$258,8,FALSE)),"",(VLOOKUP($E216,'D-1 Off-Site Habitat Baseline'!$D$1:$O$258,8,FALSE))))</f>
        <v/>
      </c>
      <c r="K216" s="301" t="str">
        <f>IF(E216="","",IF(ISNA(VLOOKUP($E216,'D-1 Off-Site Habitat Baseline'!$D$1:$O$258,9,FALSE)),"",(VLOOKUP($E216,'D-1 Off-Site Habitat Baseline'!$D$1:$O$258,9,FALSE))))</f>
        <v/>
      </c>
      <c r="L216" s="301" t="str">
        <f>IF(E216="","",IF(ISNA(VLOOKUP($E216,'D-1 Off-Site Habitat Baseline'!$D$1:$O$258,11,FALSE)),"",(VLOOKUP($E216,'D-1 Off-Site Habitat Baseline'!$D$1:$O$258,11,FALSE))))</f>
        <v/>
      </c>
      <c r="M216" s="301" t="str">
        <f>IF(E216="","",IF(ISNA(VLOOKUP($E216,'D-1 Off-Site Habitat Baseline'!$D$1:$O$258,12,FALSE)),"",(VLOOKUP($E216,'D-1 Off-Site Habitat Baseline'!$D$1:$O$258,12,FALSE))))</f>
        <v/>
      </c>
      <c r="N216" s="301" t="str">
        <f>IF(E216="","",IF(ISNA(VLOOKUP($E216,'D-1 Off-Site Habitat Baseline'!$D$1:$AA$258,17,FALSE)),"",(VLOOKUP($E216,'D-1 Off-Site Habitat Baseline'!$D$1:$AA$258,17,FALSE))))</f>
        <v/>
      </c>
      <c r="O216" s="305" t="str">
        <f>IF(E216="","",IF(ISNA(VLOOKUP($E216,'D-1 Off-Site Habitat Baseline'!$D$1:$AA$258,13,FALSE)),"",(VLOOKUP($E216,'D-1 Off-Site Habitat Baseline'!$D$1:$AA$258,13,FALSE))))</f>
        <v/>
      </c>
      <c r="P216" s="152" t="str">
        <f>IFERROR(INDEX('G-1 All Habitats'!$AG$49:$AG$63,MATCH(Q216,'G-1 All Habitats'!$AF$27:$AF$41,0)),"")</f>
        <v/>
      </c>
      <c r="Q216" s="153"/>
      <c r="R216" s="154"/>
      <c r="S216" s="155" t="str">
        <f>IFERROR(INDEX('G-1 All Habitats'!$B$3:$B$135,MATCH(R216,'G-1 All Habitats'!$A$3:$A$135,0)),"")</f>
        <v/>
      </c>
      <c r="T216" s="289" t="str">
        <f t="shared" si="32"/>
        <v/>
      </c>
      <c r="U216" s="305" t="str">
        <f t="shared" si="33"/>
        <v/>
      </c>
      <c r="V216" s="304" t="str">
        <f t="shared" si="30"/>
        <v/>
      </c>
      <c r="W216" s="301" t="str">
        <f>IF(S216="","",VLOOKUP(S216,'G-1 All Habitats'!$B$2:$M$135,10,FALSE))</f>
        <v/>
      </c>
      <c r="X216" s="301" t="str">
        <f>IFERROR(VLOOKUP(W216,'G-1 All Habitats'!$V$3:$W$7,2,FALSE),"")</f>
        <v/>
      </c>
      <c r="Y216" s="142"/>
      <c r="Z216" s="305" t="str">
        <f>IFERROR(INDEX('G-8 Condition Look up'!$A$3:$H$135,MATCH(S216,'G-8 Condition Look up'!$A$3:$A$135,0),MATCH(Y216,'G-8 Condition Look up'!$A$3:$H$3,0)),"")</f>
        <v/>
      </c>
      <c r="AA216" s="105"/>
      <c r="AB216" s="320" t="str">
        <f>IF(AA216="","",IF(VLOOKUP(AA216,'G-3 Multipliers'!$L$3:$N$6,2,FALSE)=0,"Spatial Data Missing ⚠",VLOOKUP(AA216,'G-3 Multipliers'!$L$3:$N$6,2,FALSE)))</f>
        <v/>
      </c>
      <c r="AC216" s="305" t="str">
        <f>IF(AA216="","",IF(VLOOKUP(AA216,'G-3 Multipliers'!$L$3:$N$6,3,FALSE)=0,"Spatial Data Missing ⚠",VLOOKUP(AA216,'G-3 Multipliers'!$L$3:$N$6,3,FALSE)))</f>
        <v/>
      </c>
      <c r="AD216" s="317" t="str">
        <f t="shared" si="31"/>
        <v/>
      </c>
      <c r="AE216" s="142"/>
      <c r="AF216" s="142"/>
      <c r="AG216" s="301" t="str">
        <f t="shared" si="34"/>
        <v/>
      </c>
      <c r="AH216" s="302" t="str">
        <f t="shared" si="35"/>
        <v/>
      </c>
      <c r="AI216" s="306" t="str">
        <f>IF(AH216="Check Data ⚠","Check Data ⚠",IFERROR(VLOOKUP(AH216,'G-4 Temporal multipliers'!$A$4:$C$36,3,FALSE),""))</f>
        <v/>
      </c>
      <c r="AJ216" s="317" t="str">
        <f>IF(S216="","",VLOOKUP(S216,'G-3 Multipliers'!$A$2:$E$134,4,FALSE))</f>
        <v/>
      </c>
      <c r="AK216" s="301" t="str">
        <f t="shared" si="36"/>
        <v/>
      </c>
      <c r="AL216" s="301" t="str">
        <f t="shared" si="37"/>
        <v/>
      </c>
      <c r="AM216" s="305" t="str">
        <f>IFERROR(IF(F216="","",IF(AH216="Check Data ⚠","Check Data ⚠",VLOOKUP(AL216, 'G-3 Multipliers'!$P$2:$Q$6,2,FALSE))),"")</f>
        <v/>
      </c>
      <c r="AN216" s="728"/>
      <c r="AO216" s="335" t="str">
        <f>IF(AN216="","",IF(VLOOKUP(AN216,'G-3 Multipliers'!$S$3:$T$10,2,FALSE)=0,"Spatial Data Missing ⚠",VLOOKUP(AN216,'G-3 Multipliers'!$S$3:$T$10,2,FALSE)))</f>
        <v/>
      </c>
      <c r="AP216" s="295" t="str">
        <f t="shared" si="38"/>
        <v/>
      </c>
      <c r="AQ216" s="295" t="str">
        <f t="shared" si="39"/>
        <v/>
      </c>
      <c r="AR216" s="109"/>
      <c r="AS216" s="142"/>
      <c r="AT216" s="108"/>
      <c r="AU216" s="108"/>
      <c r="AY216" s="30" t="str">
        <f>IF(E216="","",IF(ISNA(VLOOKUP($E216,'D-1 Off-Site Habitat Baseline'!$D$1:$AV$258,4,FALSE)),"",(VLOOKUP($E216,'D-1 Off-Site Habitat Baseline'!$D$1:$AV$258,4,FALSE))))</f>
        <v/>
      </c>
    </row>
    <row r="217" spans="1:51" x14ac:dyDescent="0.25">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325" t="str">
        <f>'D-1 Off-Site Habitat Baseline'!AP216</f>
        <v/>
      </c>
      <c r="F217" s="289" t="str">
        <f>IF(E217="","",IF(ISNA(VLOOKUP($E217,'D-1 Off-Site Habitat Baseline'!$D$1:$ZZ$258,45,FALSE)),"",(VLOOKUP($E217,'D-1 Off-Site Habitat Baseline'!$D$1:$ZZ$258,45,FALSE))))</f>
        <v/>
      </c>
      <c r="G217" s="301" t="str">
        <f>IF(E217="","",IF(ISNA(VLOOKUP($E217,'D-1 Off-Site Habitat Baseline'!$D$1:$O$258,5,FALSE)),"",(VLOOKUP($E217,'D-1 Off-Site Habitat Baseline'!$D$1:$O$258,5,FALSE))))</f>
        <v/>
      </c>
      <c r="H217" s="301" t="str">
        <f>IF(E217="","",IF(ISNA(VLOOKUP($E217,'D-1 Off-Site Habitat Baseline'!$D$1:$O$258,6,FALSE)),"",(VLOOKUP($E217,'D-1 Off-Site Habitat Baseline'!$D$1:$O$258,6,FALSE))))</f>
        <v/>
      </c>
      <c r="I217" s="301" t="str">
        <f>IF(E217="","",IF(ISNA(VLOOKUP($E217,'D-1 Off-Site Habitat Baseline'!$D$1:$O$258,7,FALSE)),"",(VLOOKUP($E217,'D-1 Off-Site Habitat Baseline'!$D$1:$O$258,7,FALSE))))</f>
        <v/>
      </c>
      <c r="J217" s="301" t="str">
        <f>IF(E217="","",IF(ISNA(VLOOKUP($E217,'D-1 Off-Site Habitat Baseline'!$D$1:$O$258,8,FALSE)),"",(VLOOKUP($E217,'D-1 Off-Site Habitat Baseline'!$D$1:$O$258,8,FALSE))))</f>
        <v/>
      </c>
      <c r="K217" s="301" t="str">
        <f>IF(E217="","",IF(ISNA(VLOOKUP($E217,'D-1 Off-Site Habitat Baseline'!$D$1:$O$258,9,FALSE)),"",(VLOOKUP($E217,'D-1 Off-Site Habitat Baseline'!$D$1:$O$258,9,FALSE))))</f>
        <v/>
      </c>
      <c r="L217" s="301" t="str">
        <f>IF(E217="","",IF(ISNA(VLOOKUP($E217,'D-1 Off-Site Habitat Baseline'!$D$1:$O$258,11,FALSE)),"",(VLOOKUP($E217,'D-1 Off-Site Habitat Baseline'!$D$1:$O$258,11,FALSE))))</f>
        <v/>
      </c>
      <c r="M217" s="301" t="str">
        <f>IF(E217="","",IF(ISNA(VLOOKUP($E217,'D-1 Off-Site Habitat Baseline'!$D$1:$O$258,12,FALSE)),"",(VLOOKUP($E217,'D-1 Off-Site Habitat Baseline'!$D$1:$O$258,12,FALSE))))</f>
        <v/>
      </c>
      <c r="N217" s="301" t="str">
        <f>IF(E217="","",IF(ISNA(VLOOKUP($E217,'D-1 Off-Site Habitat Baseline'!$D$1:$AA$258,17,FALSE)),"",(VLOOKUP($E217,'D-1 Off-Site Habitat Baseline'!$D$1:$AA$258,17,FALSE))))</f>
        <v/>
      </c>
      <c r="O217" s="305" t="str">
        <f>IF(E217="","",IF(ISNA(VLOOKUP($E217,'D-1 Off-Site Habitat Baseline'!$D$1:$AA$258,13,FALSE)),"",(VLOOKUP($E217,'D-1 Off-Site Habitat Baseline'!$D$1:$AA$258,13,FALSE))))</f>
        <v/>
      </c>
      <c r="P217" s="152" t="str">
        <f>IFERROR(INDEX('G-1 All Habitats'!$AG$49:$AG$63,MATCH(Q217,'G-1 All Habitats'!$AF$27:$AF$41,0)),"")</f>
        <v/>
      </c>
      <c r="Q217" s="153"/>
      <c r="R217" s="154"/>
      <c r="S217" s="155" t="str">
        <f>IFERROR(INDEX('G-1 All Habitats'!$B$3:$B$135,MATCH(R217,'G-1 All Habitats'!$A$3:$A$135,0)),"")</f>
        <v/>
      </c>
      <c r="T217" s="289" t="str">
        <f t="shared" si="32"/>
        <v/>
      </c>
      <c r="U217" s="305" t="str">
        <f t="shared" si="33"/>
        <v/>
      </c>
      <c r="V217" s="304" t="str">
        <f t="shared" si="30"/>
        <v/>
      </c>
      <c r="W217" s="301" t="str">
        <f>IF(S217="","",VLOOKUP(S217,'G-1 All Habitats'!$B$2:$M$135,10,FALSE))</f>
        <v/>
      </c>
      <c r="X217" s="301" t="str">
        <f>IFERROR(VLOOKUP(W217,'G-1 All Habitats'!$V$3:$W$7,2,FALSE),"")</f>
        <v/>
      </c>
      <c r="Y217" s="142"/>
      <c r="Z217" s="305" t="str">
        <f>IFERROR(INDEX('G-8 Condition Look up'!$A$3:$H$135,MATCH(S217,'G-8 Condition Look up'!$A$3:$A$135,0),MATCH(Y217,'G-8 Condition Look up'!$A$3:$H$3,0)),"")</f>
        <v/>
      </c>
      <c r="AA217" s="105"/>
      <c r="AB217" s="320" t="str">
        <f>IF(AA217="","",IF(VLOOKUP(AA217,'G-3 Multipliers'!$L$3:$N$6,2,FALSE)=0,"Spatial Data Missing ⚠",VLOOKUP(AA217,'G-3 Multipliers'!$L$3:$N$6,2,FALSE)))</f>
        <v/>
      </c>
      <c r="AC217" s="305" t="str">
        <f>IF(AA217="","",IF(VLOOKUP(AA217,'G-3 Multipliers'!$L$3:$N$6,3,FALSE)=0,"Spatial Data Missing ⚠",VLOOKUP(AA217,'G-3 Multipliers'!$L$3:$N$6,3,FALSE)))</f>
        <v/>
      </c>
      <c r="AD217" s="317" t="str">
        <f t="shared" si="31"/>
        <v/>
      </c>
      <c r="AE217" s="142"/>
      <c r="AF217" s="142"/>
      <c r="AG217" s="301" t="str">
        <f t="shared" si="34"/>
        <v/>
      </c>
      <c r="AH217" s="302" t="str">
        <f t="shared" si="35"/>
        <v/>
      </c>
      <c r="AI217" s="306" t="str">
        <f>IF(AH217="Check Data ⚠","Check Data ⚠",IFERROR(VLOOKUP(AH217,'G-4 Temporal multipliers'!$A$4:$C$36,3,FALSE),""))</f>
        <v/>
      </c>
      <c r="AJ217" s="317" t="str">
        <f>IF(S217="","",VLOOKUP(S217,'G-3 Multipliers'!$A$2:$E$134,4,FALSE))</f>
        <v/>
      </c>
      <c r="AK217" s="301" t="str">
        <f t="shared" si="36"/>
        <v/>
      </c>
      <c r="AL217" s="301" t="str">
        <f t="shared" si="37"/>
        <v/>
      </c>
      <c r="AM217" s="305" t="str">
        <f>IFERROR(IF(F217="","",IF(AH217="Check Data ⚠","Check Data ⚠",VLOOKUP(AL217, 'G-3 Multipliers'!$P$2:$Q$6,2,FALSE))),"")</f>
        <v/>
      </c>
      <c r="AN217" s="728"/>
      <c r="AO217" s="335" t="str">
        <f>IF(AN217="","",IF(VLOOKUP(AN217,'G-3 Multipliers'!$S$3:$T$10,2,FALSE)=0,"Spatial Data Missing ⚠",VLOOKUP(AN217,'G-3 Multipliers'!$S$3:$T$10,2,FALSE)))</f>
        <v/>
      </c>
      <c r="AP217" s="295" t="str">
        <f t="shared" si="38"/>
        <v/>
      </c>
      <c r="AQ217" s="295" t="str">
        <f t="shared" si="39"/>
        <v/>
      </c>
      <c r="AR217" s="109"/>
      <c r="AS217" s="142"/>
      <c r="AT217" s="108"/>
      <c r="AU217" s="108"/>
      <c r="AY217" s="30" t="str">
        <f>IF(E217="","",IF(ISNA(VLOOKUP($E217,'D-1 Off-Site Habitat Baseline'!$D$1:$AV$258,4,FALSE)),"",(VLOOKUP($E217,'D-1 Off-Site Habitat Baseline'!$D$1:$AV$258,4,FALSE))))</f>
        <v/>
      </c>
    </row>
    <row r="218" spans="1:51" x14ac:dyDescent="0.25">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325" t="str">
        <f>'D-1 Off-Site Habitat Baseline'!AP217</f>
        <v/>
      </c>
      <c r="F218" s="289" t="str">
        <f>IF(E218="","",IF(ISNA(VLOOKUP($E218,'D-1 Off-Site Habitat Baseline'!$D$1:$ZZ$258,45,FALSE)),"",(VLOOKUP($E218,'D-1 Off-Site Habitat Baseline'!$D$1:$ZZ$258,45,FALSE))))</f>
        <v/>
      </c>
      <c r="G218" s="301" t="str">
        <f>IF(E218="","",IF(ISNA(VLOOKUP($E218,'D-1 Off-Site Habitat Baseline'!$D$1:$O$258,5,FALSE)),"",(VLOOKUP($E218,'D-1 Off-Site Habitat Baseline'!$D$1:$O$258,5,FALSE))))</f>
        <v/>
      </c>
      <c r="H218" s="301" t="str">
        <f>IF(E218="","",IF(ISNA(VLOOKUP($E218,'D-1 Off-Site Habitat Baseline'!$D$1:$O$258,6,FALSE)),"",(VLOOKUP($E218,'D-1 Off-Site Habitat Baseline'!$D$1:$O$258,6,FALSE))))</f>
        <v/>
      </c>
      <c r="I218" s="301" t="str">
        <f>IF(E218="","",IF(ISNA(VLOOKUP($E218,'D-1 Off-Site Habitat Baseline'!$D$1:$O$258,7,FALSE)),"",(VLOOKUP($E218,'D-1 Off-Site Habitat Baseline'!$D$1:$O$258,7,FALSE))))</f>
        <v/>
      </c>
      <c r="J218" s="301" t="str">
        <f>IF(E218="","",IF(ISNA(VLOOKUP($E218,'D-1 Off-Site Habitat Baseline'!$D$1:$O$258,8,FALSE)),"",(VLOOKUP($E218,'D-1 Off-Site Habitat Baseline'!$D$1:$O$258,8,FALSE))))</f>
        <v/>
      </c>
      <c r="K218" s="301" t="str">
        <f>IF(E218="","",IF(ISNA(VLOOKUP($E218,'D-1 Off-Site Habitat Baseline'!$D$1:$O$258,9,FALSE)),"",(VLOOKUP($E218,'D-1 Off-Site Habitat Baseline'!$D$1:$O$258,9,FALSE))))</f>
        <v/>
      </c>
      <c r="L218" s="301" t="str">
        <f>IF(E218="","",IF(ISNA(VLOOKUP($E218,'D-1 Off-Site Habitat Baseline'!$D$1:$O$258,11,FALSE)),"",(VLOOKUP($E218,'D-1 Off-Site Habitat Baseline'!$D$1:$O$258,11,FALSE))))</f>
        <v/>
      </c>
      <c r="M218" s="301" t="str">
        <f>IF(E218="","",IF(ISNA(VLOOKUP($E218,'D-1 Off-Site Habitat Baseline'!$D$1:$O$258,12,FALSE)),"",(VLOOKUP($E218,'D-1 Off-Site Habitat Baseline'!$D$1:$O$258,12,FALSE))))</f>
        <v/>
      </c>
      <c r="N218" s="301" t="str">
        <f>IF(E218="","",IF(ISNA(VLOOKUP($E218,'D-1 Off-Site Habitat Baseline'!$D$1:$AA$258,17,FALSE)),"",(VLOOKUP($E218,'D-1 Off-Site Habitat Baseline'!$D$1:$AA$258,17,FALSE))))</f>
        <v/>
      </c>
      <c r="O218" s="305" t="str">
        <f>IF(E218="","",IF(ISNA(VLOOKUP($E218,'D-1 Off-Site Habitat Baseline'!$D$1:$AA$258,13,FALSE)),"",(VLOOKUP($E218,'D-1 Off-Site Habitat Baseline'!$D$1:$AA$258,13,FALSE))))</f>
        <v/>
      </c>
      <c r="P218" s="152" t="str">
        <f>IFERROR(INDEX('G-1 All Habitats'!$AG$49:$AG$63,MATCH(Q218,'G-1 All Habitats'!$AF$27:$AF$41,0)),"")</f>
        <v/>
      </c>
      <c r="Q218" s="153"/>
      <c r="R218" s="154"/>
      <c r="S218" s="155" t="str">
        <f>IFERROR(INDEX('G-1 All Habitats'!$B$3:$B$135,MATCH(R218,'G-1 All Habitats'!$A$3:$A$135,0)),"")</f>
        <v/>
      </c>
      <c r="T218" s="289" t="str">
        <f t="shared" si="32"/>
        <v/>
      </c>
      <c r="U218" s="305" t="str">
        <f t="shared" si="33"/>
        <v/>
      </c>
      <c r="V218" s="304" t="str">
        <f t="shared" si="30"/>
        <v/>
      </c>
      <c r="W218" s="301" t="str">
        <f>IF(S218="","",VLOOKUP(S218,'G-1 All Habitats'!$B$2:$M$135,10,FALSE))</f>
        <v/>
      </c>
      <c r="X218" s="301" t="str">
        <f>IFERROR(VLOOKUP(W218,'G-1 All Habitats'!$V$3:$W$7,2,FALSE),"")</f>
        <v/>
      </c>
      <c r="Y218" s="142"/>
      <c r="Z218" s="305" t="str">
        <f>IFERROR(INDEX('G-8 Condition Look up'!$A$3:$H$135,MATCH(S218,'G-8 Condition Look up'!$A$3:$A$135,0),MATCH(Y218,'G-8 Condition Look up'!$A$3:$H$3,0)),"")</f>
        <v/>
      </c>
      <c r="AA218" s="105"/>
      <c r="AB218" s="320" t="str">
        <f>IF(AA218="","",IF(VLOOKUP(AA218,'G-3 Multipliers'!$L$3:$N$6,2,FALSE)=0,"Spatial Data Missing ⚠",VLOOKUP(AA218,'G-3 Multipliers'!$L$3:$N$6,2,FALSE)))</f>
        <v/>
      </c>
      <c r="AC218" s="305" t="str">
        <f>IF(AA218="","",IF(VLOOKUP(AA218,'G-3 Multipliers'!$L$3:$N$6,3,FALSE)=0,"Spatial Data Missing ⚠",VLOOKUP(AA218,'G-3 Multipliers'!$L$3:$N$6,3,FALSE)))</f>
        <v/>
      </c>
      <c r="AD218" s="317" t="str">
        <f t="shared" si="31"/>
        <v/>
      </c>
      <c r="AE218" s="142"/>
      <c r="AF218" s="142"/>
      <c r="AG218" s="301" t="str">
        <f t="shared" si="34"/>
        <v/>
      </c>
      <c r="AH218" s="302" t="str">
        <f t="shared" si="35"/>
        <v/>
      </c>
      <c r="AI218" s="306" t="str">
        <f>IF(AH218="Check Data ⚠","Check Data ⚠",IFERROR(VLOOKUP(AH218,'G-4 Temporal multipliers'!$A$4:$C$36,3,FALSE),""))</f>
        <v/>
      </c>
      <c r="AJ218" s="317" t="str">
        <f>IF(S218="","",VLOOKUP(S218,'G-3 Multipliers'!$A$2:$E$134,4,FALSE))</f>
        <v/>
      </c>
      <c r="AK218" s="301" t="str">
        <f t="shared" si="36"/>
        <v/>
      </c>
      <c r="AL218" s="301" t="str">
        <f t="shared" si="37"/>
        <v/>
      </c>
      <c r="AM218" s="305" t="str">
        <f>IFERROR(IF(F218="","",IF(AH218="Check Data ⚠","Check Data ⚠",VLOOKUP(AL218, 'G-3 Multipliers'!$P$2:$Q$6,2,FALSE))),"")</f>
        <v/>
      </c>
      <c r="AN218" s="728"/>
      <c r="AO218" s="335" t="str">
        <f>IF(AN218="","",IF(VLOOKUP(AN218,'G-3 Multipliers'!$S$3:$T$10,2,FALSE)=0,"Spatial Data Missing ⚠",VLOOKUP(AN218,'G-3 Multipliers'!$S$3:$T$10,2,FALSE)))</f>
        <v/>
      </c>
      <c r="AP218" s="295" t="str">
        <f t="shared" si="38"/>
        <v/>
      </c>
      <c r="AQ218" s="295" t="str">
        <f t="shared" si="39"/>
        <v/>
      </c>
      <c r="AR218" s="109"/>
      <c r="AS218" s="142"/>
      <c r="AT218" s="108"/>
      <c r="AU218" s="108"/>
      <c r="AY218" s="30" t="str">
        <f>IF(E218="","",IF(ISNA(VLOOKUP($E218,'D-1 Off-Site Habitat Baseline'!$D$1:$AV$258,4,FALSE)),"",(VLOOKUP($E218,'D-1 Off-Site Habitat Baseline'!$D$1:$AV$258,4,FALSE))))</f>
        <v/>
      </c>
    </row>
    <row r="219" spans="1:51" x14ac:dyDescent="0.25">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325" t="str">
        <f>'D-1 Off-Site Habitat Baseline'!AP218</f>
        <v/>
      </c>
      <c r="F219" s="289" t="str">
        <f>IF(E219="","",IF(ISNA(VLOOKUP($E219,'D-1 Off-Site Habitat Baseline'!$D$1:$ZZ$258,45,FALSE)),"",(VLOOKUP($E219,'D-1 Off-Site Habitat Baseline'!$D$1:$ZZ$258,45,FALSE))))</f>
        <v/>
      </c>
      <c r="G219" s="301" t="str">
        <f>IF(E219="","",IF(ISNA(VLOOKUP($E219,'D-1 Off-Site Habitat Baseline'!$D$1:$O$258,5,FALSE)),"",(VLOOKUP($E219,'D-1 Off-Site Habitat Baseline'!$D$1:$O$258,5,FALSE))))</f>
        <v/>
      </c>
      <c r="H219" s="301" t="str">
        <f>IF(E219="","",IF(ISNA(VLOOKUP($E219,'D-1 Off-Site Habitat Baseline'!$D$1:$O$258,6,FALSE)),"",(VLOOKUP($E219,'D-1 Off-Site Habitat Baseline'!$D$1:$O$258,6,FALSE))))</f>
        <v/>
      </c>
      <c r="I219" s="301" t="str">
        <f>IF(E219="","",IF(ISNA(VLOOKUP($E219,'D-1 Off-Site Habitat Baseline'!$D$1:$O$258,7,FALSE)),"",(VLOOKUP($E219,'D-1 Off-Site Habitat Baseline'!$D$1:$O$258,7,FALSE))))</f>
        <v/>
      </c>
      <c r="J219" s="301" t="str">
        <f>IF(E219="","",IF(ISNA(VLOOKUP($E219,'D-1 Off-Site Habitat Baseline'!$D$1:$O$258,8,FALSE)),"",(VLOOKUP($E219,'D-1 Off-Site Habitat Baseline'!$D$1:$O$258,8,FALSE))))</f>
        <v/>
      </c>
      <c r="K219" s="301" t="str">
        <f>IF(E219="","",IF(ISNA(VLOOKUP($E219,'D-1 Off-Site Habitat Baseline'!$D$1:$O$258,9,FALSE)),"",(VLOOKUP($E219,'D-1 Off-Site Habitat Baseline'!$D$1:$O$258,9,FALSE))))</f>
        <v/>
      </c>
      <c r="L219" s="301" t="str">
        <f>IF(E219="","",IF(ISNA(VLOOKUP($E219,'D-1 Off-Site Habitat Baseline'!$D$1:$O$258,11,FALSE)),"",(VLOOKUP($E219,'D-1 Off-Site Habitat Baseline'!$D$1:$O$258,11,FALSE))))</f>
        <v/>
      </c>
      <c r="M219" s="301" t="str">
        <f>IF(E219="","",IF(ISNA(VLOOKUP($E219,'D-1 Off-Site Habitat Baseline'!$D$1:$O$258,12,FALSE)),"",(VLOOKUP($E219,'D-1 Off-Site Habitat Baseline'!$D$1:$O$258,12,FALSE))))</f>
        <v/>
      </c>
      <c r="N219" s="301" t="str">
        <f>IF(E219="","",IF(ISNA(VLOOKUP($E219,'D-1 Off-Site Habitat Baseline'!$D$1:$AA$258,17,FALSE)),"",(VLOOKUP($E219,'D-1 Off-Site Habitat Baseline'!$D$1:$AA$258,17,FALSE))))</f>
        <v/>
      </c>
      <c r="O219" s="305" t="str">
        <f>IF(E219="","",IF(ISNA(VLOOKUP($E219,'D-1 Off-Site Habitat Baseline'!$D$1:$AA$258,13,FALSE)),"",(VLOOKUP($E219,'D-1 Off-Site Habitat Baseline'!$D$1:$AA$258,13,FALSE))))</f>
        <v/>
      </c>
      <c r="P219" s="152" t="str">
        <f>IFERROR(INDEX('G-1 All Habitats'!$AG$49:$AG$63,MATCH(Q219,'G-1 All Habitats'!$AF$27:$AF$41,0)),"")</f>
        <v/>
      </c>
      <c r="Q219" s="153"/>
      <c r="R219" s="154"/>
      <c r="S219" s="155" t="str">
        <f>IFERROR(INDEX('G-1 All Habitats'!$B$3:$B$135,MATCH(R219,'G-1 All Habitats'!$A$3:$A$135,0)),"")</f>
        <v/>
      </c>
      <c r="T219" s="289" t="str">
        <f t="shared" si="32"/>
        <v/>
      </c>
      <c r="U219" s="305" t="str">
        <f t="shared" si="33"/>
        <v/>
      </c>
      <c r="V219" s="304" t="str">
        <f t="shared" si="30"/>
        <v/>
      </c>
      <c r="W219" s="301" t="str">
        <f>IF(S219="","",VLOOKUP(S219,'G-1 All Habitats'!$B$2:$M$135,10,FALSE))</f>
        <v/>
      </c>
      <c r="X219" s="301" t="str">
        <f>IFERROR(VLOOKUP(W219,'G-1 All Habitats'!$V$3:$W$7,2,FALSE),"")</f>
        <v/>
      </c>
      <c r="Y219" s="142"/>
      <c r="Z219" s="305" t="str">
        <f>IFERROR(INDEX('G-8 Condition Look up'!$A$3:$H$135,MATCH(S219,'G-8 Condition Look up'!$A$3:$A$135,0),MATCH(Y219,'G-8 Condition Look up'!$A$3:$H$3,0)),"")</f>
        <v/>
      </c>
      <c r="AA219" s="105"/>
      <c r="AB219" s="320" t="str">
        <f>IF(AA219="","",IF(VLOOKUP(AA219,'G-3 Multipliers'!$L$3:$N$6,2,FALSE)=0,"Spatial Data Missing ⚠",VLOOKUP(AA219,'G-3 Multipliers'!$L$3:$N$6,2,FALSE)))</f>
        <v/>
      </c>
      <c r="AC219" s="305" t="str">
        <f>IF(AA219="","",IF(VLOOKUP(AA219,'G-3 Multipliers'!$L$3:$N$6,3,FALSE)=0,"Spatial Data Missing ⚠",VLOOKUP(AA219,'G-3 Multipliers'!$L$3:$N$6,3,FALSE)))</f>
        <v/>
      </c>
      <c r="AD219" s="317" t="str">
        <f t="shared" si="31"/>
        <v/>
      </c>
      <c r="AE219" s="142"/>
      <c r="AF219" s="142"/>
      <c r="AG219" s="301" t="str">
        <f t="shared" si="34"/>
        <v/>
      </c>
      <c r="AH219" s="302" t="str">
        <f t="shared" si="35"/>
        <v/>
      </c>
      <c r="AI219" s="306" t="str">
        <f>IF(AH219="Check Data ⚠","Check Data ⚠",IFERROR(VLOOKUP(AH219,'G-4 Temporal multipliers'!$A$4:$C$36,3,FALSE),""))</f>
        <v/>
      </c>
      <c r="AJ219" s="317" t="str">
        <f>IF(S219="","",VLOOKUP(S219,'G-3 Multipliers'!$A$2:$E$134,4,FALSE))</f>
        <v/>
      </c>
      <c r="AK219" s="301" t="str">
        <f t="shared" si="36"/>
        <v/>
      </c>
      <c r="AL219" s="301" t="str">
        <f t="shared" si="37"/>
        <v/>
      </c>
      <c r="AM219" s="305" t="str">
        <f>IFERROR(IF(F219="","",IF(AH219="Check Data ⚠","Check Data ⚠",VLOOKUP(AL219, 'G-3 Multipliers'!$P$2:$Q$6,2,FALSE))),"")</f>
        <v/>
      </c>
      <c r="AN219" s="728"/>
      <c r="AO219" s="335" t="str">
        <f>IF(AN219="","",IF(VLOOKUP(AN219,'G-3 Multipliers'!$S$3:$T$10,2,FALSE)=0,"Spatial Data Missing ⚠",VLOOKUP(AN219,'G-3 Multipliers'!$S$3:$T$10,2,FALSE)))</f>
        <v/>
      </c>
      <c r="AP219" s="295" t="str">
        <f t="shared" si="38"/>
        <v/>
      </c>
      <c r="AQ219" s="295" t="str">
        <f t="shared" si="39"/>
        <v/>
      </c>
      <c r="AR219" s="109"/>
      <c r="AS219" s="142"/>
      <c r="AT219" s="108"/>
      <c r="AU219" s="108"/>
      <c r="AY219" s="30" t="str">
        <f>IF(E219="","",IF(ISNA(VLOOKUP($E219,'D-1 Off-Site Habitat Baseline'!$D$1:$AV$258,4,FALSE)),"",(VLOOKUP($E219,'D-1 Off-Site Habitat Baseline'!$D$1:$AV$258,4,FALSE))))</f>
        <v/>
      </c>
    </row>
    <row r="220" spans="1:51" x14ac:dyDescent="0.25">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325" t="str">
        <f>'D-1 Off-Site Habitat Baseline'!AP219</f>
        <v/>
      </c>
      <c r="F220" s="289" t="str">
        <f>IF(E220="","",IF(ISNA(VLOOKUP($E220,'D-1 Off-Site Habitat Baseline'!$D$1:$ZZ$258,45,FALSE)),"",(VLOOKUP($E220,'D-1 Off-Site Habitat Baseline'!$D$1:$ZZ$258,45,FALSE))))</f>
        <v/>
      </c>
      <c r="G220" s="301" t="str">
        <f>IF(E220="","",IF(ISNA(VLOOKUP($E220,'D-1 Off-Site Habitat Baseline'!$D$1:$O$258,5,FALSE)),"",(VLOOKUP($E220,'D-1 Off-Site Habitat Baseline'!$D$1:$O$258,5,FALSE))))</f>
        <v/>
      </c>
      <c r="H220" s="301" t="str">
        <f>IF(E220="","",IF(ISNA(VLOOKUP($E220,'D-1 Off-Site Habitat Baseline'!$D$1:$O$258,6,FALSE)),"",(VLOOKUP($E220,'D-1 Off-Site Habitat Baseline'!$D$1:$O$258,6,FALSE))))</f>
        <v/>
      </c>
      <c r="I220" s="301" t="str">
        <f>IF(E220="","",IF(ISNA(VLOOKUP($E220,'D-1 Off-Site Habitat Baseline'!$D$1:$O$258,7,FALSE)),"",(VLOOKUP($E220,'D-1 Off-Site Habitat Baseline'!$D$1:$O$258,7,FALSE))))</f>
        <v/>
      </c>
      <c r="J220" s="301" t="str">
        <f>IF(E220="","",IF(ISNA(VLOOKUP($E220,'D-1 Off-Site Habitat Baseline'!$D$1:$O$258,8,FALSE)),"",(VLOOKUP($E220,'D-1 Off-Site Habitat Baseline'!$D$1:$O$258,8,FALSE))))</f>
        <v/>
      </c>
      <c r="K220" s="301" t="str">
        <f>IF(E220="","",IF(ISNA(VLOOKUP($E220,'D-1 Off-Site Habitat Baseline'!$D$1:$O$258,9,FALSE)),"",(VLOOKUP($E220,'D-1 Off-Site Habitat Baseline'!$D$1:$O$258,9,FALSE))))</f>
        <v/>
      </c>
      <c r="L220" s="301" t="str">
        <f>IF(E220="","",IF(ISNA(VLOOKUP($E220,'D-1 Off-Site Habitat Baseline'!$D$1:$O$258,11,FALSE)),"",(VLOOKUP($E220,'D-1 Off-Site Habitat Baseline'!$D$1:$O$258,11,FALSE))))</f>
        <v/>
      </c>
      <c r="M220" s="301" t="str">
        <f>IF(E220="","",IF(ISNA(VLOOKUP($E220,'D-1 Off-Site Habitat Baseline'!$D$1:$O$258,12,FALSE)),"",(VLOOKUP($E220,'D-1 Off-Site Habitat Baseline'!$D$1:$O$258,12,FALSE))))</f>
        <v/>
      </c>
      <c r="N220" s="301" t="str">
        <f>IF(E220="","",IF(ISNA(VLOOKUP($E220,'D-1 Off-Site Habitat Baseline'!$D$1:$AA$258,17,FALSE)),"",(VLOOKUP($E220,'D-1 Off-Site Habitat Baseline'!$D$1:$AA$258,17,FALSE))))</f>
        <v/>
      </c>
      <c r="O220" s="305" t="str">
        <f>IF(E220="","",IF(ISNA(VLOOKUP($E220,'D-1 Off-Site Habitat Baseline'!$D$1:$AA$258,13,FALSE)),"",(VLOOKUP($E220,'D-1 Off-Site Habitat Baseline'!$D$1:$AA$258,13,FALSE))))</f>
        <v/>
      </c>
      <c r="P220" s="152" t="str">
        <f>IFERROR(INDEX('G-1 All Habitats'!$AG$49:$AG$63,MATCH(Q220,'G-1 All Habitats'!$AF$27:$AF$41,0)),"")</f>
        <v/>
      </c>
      <c r="Q220" s="153"/>
      <c r="R220" s="154"/>
      <c r="S220" s="155" t="str">
        <f>IFERROR(INDEX('G-1 All Habitats'!$B$3:$B$135,MATCH(R220,'G-1 All Habitats'!$A$3:$A$135,0)),"")</f>
        <v/>
      </c>
      <c r="T220" s="289" t="str">
        <f t="shared" si="32"/>
        <v/>
      </c>
      <c r="U220" s="305" t="str">
        <f t="shared" si="33"/>
        <v/>
      </c>
      <c r="V220" s="304" t="str">
        <f t="shared" si="30"/>
        <v/>
      </c>
      <c r="W220" s="301" t="str">
        <f>IF(S220="","",VLOOKUP(S220,'G-1 All Habitats'!$B$2:$M$135,10,FALSE))</f>
        <v/>
      </c>
      <c r="X220" s="301" t="str">
        <f>IFERROR(VLOOKUP(W220,'G-1 All Habitats'!$V$3:$W$7,2,FALSE),"")</f>
        <v/>
      </c>
      <c r="Y220" s="142"/>
      <c r="Z220" s="305" t="str">
        <f>IFERROR(INDEX('G-8 Condition Look up'!$A$3:$H$135,MATCH(S220,'G-8 Condition Look up'!$A$3:$A$135,0),MATCH(Y220,'G-8 Condition Look up'!$A$3:$H$3,0)),"")</f>
        <v/>
      </c>
      <c r="AA220" s="105"/>
      <c r="AB220" s="320" t="str">
        <f>IF(AA220="","",IF(VLOOKUP(AA220,'G-3 Multipliers'!$L$3:$N$6,2,FALSE)=0,"Spatial Data Missing ⚠",VLOOKUP(AA220,'G-3 Multipliers'!$L$3:$N$6,2,FALSE)))</f>
        <v/>
      </c>
      <c r="AC220" s="305" t="str">
        <f>IF(AA220="","",IF(VLOOKUP(AA220,'G-3 Multipliers'!$L$3:$N$6,3,FALSE)=0,"Spatial Data Missing ⚠",VLOOKUP(AA220,'G-3 Multipliers'!$L$3:$N$6,3,FALSE)))</f>
        <v/>
      </c>
      <c r="AD220" s="317" t="str">
        <f t="shared" si="31"/>
        <v/>
      </c>
      <c r="AE220" s="142"/>
      <c r="AF220" s="142"/>
      <c r="AG220" s="301" t="str">
        <f t="shared" si="34"/>
        <v/>
      </c>
      <c r="AH220" s="302" t="str">
        <f t="shared" si="35"/>
        <v/>
      </c>
      <c r="AI220" s="306" t="str">
        <f>IF(AH220="Check Data ⚠","Check Data ⚠",IFERROR(VLOOKUP(AH220,'G-4 Temporal multipliers'!$A$4:$C$36,3,FALSE),""))</f>
        <v/>
      </c>
      <c r="AJ220" s="317" t="str">
        <f>IF(S220="","",VLOOKUP(S220,'G-3 Multipliers'!$A$2:$E$134,4,FALSE))</f>
        <v/>
      </c>
      <c r="AK220" s="301" t="str">
        <f t="shared" si="36"/>
        <v/>
      </c>
      <c r="AL220" s="301" t="str">
        <f t="shared" si="37"/>
        <v/>
      </c>
      <c r="AM220" s="305" t="str">
        <f>IFERROR(IF(F220="","",IF(AH220="Check Data ⚠","Check Data ⚠",VLOOKUP(AL220, 'G-3 Multipliers'!$P$2:$Q$6,2,FALSE))),"")</f>
        <v/>
      </c>
      <c r="AN220" s="728"/>
      <c r="AO220" s="335" t="str">
        <f>IF(AN220="","",IF(VLOOKUP(AN220,'G-3 Multipliers'!$S$3:$T$10,2,FALSE)=0,"Spatial Data Missing ⚠",VLOOKUP(AN220,'G-3 Multipliers'!$S$3:$T$10,2,FALSE)))</f>
        <v/>
      </c>
      <c r="AP220" s="295" t="str">
        <f t="shared" si="38"/>
        <v/>
      </c>
      <c r="AQ220" s="295" t="str">
        <f t="shared" si="39"/>
        <v/>
      </c>
      <c r="AR220" s="109"/>
      <c r="AS220" s="142"/>
      <c r="AT220" s="108"/>
      <c r="AU220" s="108"/>
      <c r="AY220" s="30" t="str">
        <f>IF(E220="","",IF(ISNA(VLOOKUP($E220,'D-1 Off-Site Habitat Baseline'!$D$1:$AV$258,4,FALSE)),"",(VLOOKUP($E220,'D-1 Off-Site Habitat Baseline'!$D$1:$AV$258,4,FALSE))))</f>
        <v/>
      </c>
    </row>
    <row r="221" spans="1:51" x14ac:dyDescent="0.25">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325" t="str">
        <f>'D-1 Off-Site Habitat Baseline'!AP220</f>
        <v/>
      </c>
      <c r="F221" s="289" t="str">
        <f>IF(E221="","",IF(ISNA(VLOOKUP($E221,'D-1 Off-Site Habitat Baseline'!$D$1:$ZZ$258,45,FALSE)),"",(VLOOKUP($E221,'D-1 Off-Site Habitat Baseline'!$D$1:$ZZ$258,45,FALSE))))</f>
        <v/>
      </c>
      <c r="G221" s="301" t="str">
        <f>IF(E221="","",IF(ISNA(VLOOKUP($E221,'D-1 Off-Site Habitat Baseline'!$D$1:$O$258,5,FALSE)),"",(VLOOKUP($E221,'D-1 Off-Site Habitat Baseline'!$D$1:$O$258,5,FALSE))))</f>
        <v/>
      </c>
      <c r="H221" s="301" t="str">
        <f>IF(E221="","",IF(ISNA(VLOOKUP($E221,'D-1 Off-Site Habitat Baseline'!$D$1:$O$258,6,FALSE)),"",(VLOOKUP($E221,'D-1 Off-Site Habitat Baseline'!$D$1:$O$258,6,FALSE))))</f>
        <v/>
      </c>
      <c r="I221" s="301" t="str">
        <f>IF(E221="","",IF(ISNA(VLOOKUP($E221,'D-1 Off-Site Habitat Baseline'!$D$1:$O$258,7,FALSE)),"",(VLOOKUP($E221,'D-1 Off-Site Habitat Baseline'!$D$1:$O$258,7,FALSE))))</f>
        <v/>
      </c>
      <c r="J221" s="301" t="str">
        <f>IF(E221="","",IF(ISNA(VLOOKUP($E221,'D-1 Off-Site Habitat Baseline'!$D$1:$O$258,8,FALSE)),"",(VLOOKUP($E221,'D-1 Off-Site Habitat Baseline'!$D$1:$O$258,8,FALSE))))</f>
        <v/>
      </c>
      <c r="K221" s="301" t="str">
        <f>IF(E221="","",IF(ISNA(VLOOKUP($E221,'D-1 Off-Site Habitat Baseline'!$D$1:$O$258,9,FALSE)),"",(VLOOKUP($E221,'D-1 Off-Site Habitat Baseline'!$D$1:$O$258,9,FALSE))))</f>
        <v/>
      </c>
      <c r="L221" s="301" t="str">
        <f>IF(E221="","",IF(ISNA(VLOOKUP($E221,'D-1 Off-Site Habitat Baseline'!$D$1:$O$258,11,FALSE)),"",(VLOOKUP($E221,'D-1 Off-Site Habitat Baseline'!$D$1:$O$258,11,FALSE))))</f>
        <v/>
      </c>
      <c r="M221" s="301" t="str">
        <f>IF(E221="","",IF(ISNA(VLOOKUP($E221,'D-1 Off-Site Habitat Baseline'!$D$1:$O$258,12,FALSE)),"",(VLOOKUP($E221,'D-1 Off-Site Habitat Baseline'!$D$1:$O$258,12,FALSE))))</f>
        <v/>
      </c>
      <c r="N221" s="301" t="str">
        <f>IF(E221="","",IF(ISNA(VLOOKUP($E221,'D-1 Off-Site Habitat Baseline'!$D$1:$AA$258,17,FALSE)),"",(VLOOKUP($E221,'D-1 Off-Site Habitat Baseline'!$D$1:$AA$258,17,FALSE))))</f>
        <v/>
      </c>
      <c r="O221" s="305" t="str">
        <f>IF(E221="","",IF(ISNA(VLOOKUP($E221,'D-1 Off-Site Habitat Baseline'!$D$1:$AA$258,13,FALSE)),"",(VLOOKUP($E221,'D-1 Off-Site Habitat Baseline'!$D$1:$AA$258,13,FALSE))))</f>
        <v/>
      </c>
      <c r="P221" s="152" t="str">
        <f>IFERROR(INDEX('G-1 All Habitats'!$AG$49:$AG$63,MATCH(Q221,'G-1 All Habitats'!$AF$27:$AF$41,0)),"")</f>
        <v/>
      </c>
      <c r="Q221" s="153"/>
      <c r="R221" s="154"/>
      <c r="S221" s="155" t="str">
        <f>IFERROR(INDEX('G-1 All Habitats'!$B$3:$B$135,MATCH(R221,'G-1 All Habitats'!$A$3:$A$135,0)),"")</f>
        <v/>
      </c>
      <c r="T221" s="289" t="str">
        <f t="shared" si="32"/>
        <v/>
      </c>
      <c r="U221" s="305" t="str">
        <f t="shared" si="33"/>
        <v/>
      </c>
      <c r="V221" s="304" t="str">
        <f t="shared" si="30"/>
        <v/>
      </c>
      <c r="W221" s="301" t="str">
        <f>IF(S221="","",VLOOKUP(S221,'G-1 All Habitats'!$B$2:$M$135,10,FALSE))</f>
        <v/>
      </c>
      <c r="X221" s="301" t="str">
        <f>IFERROR(VLOOKUP(W221,'G-1 All Habitats'!$V$3:$W$7,2,FALSE),"")</f>
        <v/>
      </c>
      <c r="Y221" s="142"/>
      <c r="Z221" s="305" t="str">
        <f>IFERROR(INDEX('G-8 Condition Look up'!$A$3:$H$135,MATCH(S221,'G-8 Condition Look up'!$A$3:$A$135,0),MATCH(Y221,'G-8 Condition Look up'!$A$3:$H$3,0)),"")</f>
        <v/>
      </c>
      <c r="AA221" s="105"/>
      <c r="AB221" s="320" t="str">
        <f>IF(AA221="","",IF(VLOOKUP(AA221,'G-3 Multipliers'!$L$3:$N$6,2,FALSE)=0,"Spatial Data Missing ⚠",VLOOKUP(AA221,'G-3 Multipliers'!$L$3:$N$6,2,FALSE)))</f>
        <v/>
      </c>
      <c r="AC221" s="305" t="str">
        <f>IF(AA221="","",IF(VLOOKUP(AA221,'G-3 Multipliers'!$L$3:$N$6,3,FALSE)=0,"Spatial Data Missing ⚠",VLOOKUP(AA221,'G-3 Multipliers'!$L$3:$N$6,3,FALSE)))</f>
        <v/>
      </c>
      <c r="AD221" s="317" t="str">
        <f t="shared" si="31"/>
        <v/>
      </c>
      <c r="AE221" s="142"/>
      <c r="AF221" s="142"/>
      <c r="AG221" s="301" t="str">
        <f t="shared" si="34"/>
        <v/>
      </c>
      <c r="AH221" s="302" t="str">
        <f t="shared" si="35"/>
        <v/>
      </c>
      <c r="AI221" s="306" t="str">
        <f>IF(AH221="Check Data ⚠","Check Data ⚠",IFERROR(VLOOKUP(AH221,'G-4 Temporal multipliers'!$A$4:$C$36,3,FALSE),""))</f>
        <v/>
      </c>
      <c r="AJ221" s="317" t="str">
        <f>IF(S221="","",VLOOKUP(S221,'G-3 Multipliers'!$A$2:$E$134,4,FALSE))</f>
        <v/>
      </c>
      <c r="AK221" s="301" t="str">
        <f t="shared" si="36"/>
        <v/>
      </c>
      <c r="AL221" s="301" t="str">
        <f t="shared" si="37"/>
        <v/>
      </c>
      <c r="AM221" s="305" t="str">
        <f>IFERROR(IF(F221="","",IF(AH221="Check Data ⚠","Check Data ⚠",VLOOKUP(AL221, 'G-3 Multipliers'!$P$2:$Q$6,2,FALSE))),"")</f>
        <v/>
      </c>
      <c r="AN221" s="728"/>
      <c r="AO221" s="335" t="str">
        <f>IF(AN221="","",IF(VLOOKUP(AN221,'G-3 Multipliers'!$S$3:$T$10,2,FALSE)=0,"Spatial Data Missing ⚠",VLOOKUP(AN221,'G-3 Multipliers'!$S$3:$T$10,2,FALSE)))</f>
        <v/>
      </c>
      <c r="AP221" s="295" t="str">
        <f t="shared" si="38"/>
        <v/>
      </c>
      <c r="AQ221" s="295" t="str">
        <f t="shared" si="39"/>
        <v/>
      </c>
      <c r="AR221" s="109"/>
      <c r="AS221" s="142"/>
      <c r="AT221" s="108"/>
      <c r="AU221" s="108"/>
      <c r="AY221" s="30" t="str">
        <f>IF(E221="","",IF(ISNA(VLOOKUP($E221,'D-1 Off-Site Habitat Baseline'!$D$1:$AV$258,4,FALSE)),"",(VLOOKUP($E221,'D-1 Off-Site Habitat Baseline'!$D$1:$AV$258,4,FALSE))))</f>
        <v/>
      </c>
    </row>
    <row r="222" spans="1:51" x14ac:dyDescent="0.25">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325" t="str">
        <f>'D-1 Off-Site Habitat Baseline'!AP221</f>
        <v/>
      </c>
      <c r="F222" s="289" t="str">
        <f>IF(E222="","",IF(ISNA(VLOOKUP($E222,'D-1 Off-Site Habitat Baseline'!$D$1:$ZZ$258,45,FALSE)),"",(VLOOKUP($E222,'D-1 Off-Site Habitat Baseline'!$D$1:$ZZ$258,45,FALSE))))</f>
        <v/>
      </c>
      <c r="G222" s="301" t="str">
        <f>IF(E222="","",IF(ISNA(VLOOKUP($E222,'D-1 Off-Site Habitat Baseline'!$D$1:$O$258,5,FALSE)),"",(VLOOKUP($E222,'D-1 Off-Site Habitat Baseline'!$D$1:$O$258,5,FALSE))))</f>
        <v/>
      </c>
      <c r="H222" s="301" t="str">
        <f>IF(E222="","",IF(ISNA(VLOOKUP($E222,'D-1 Off-Site Habitat Baseline'!$D$1:$O$258,6,FALSE)),"",(VLOOKUP($E222,'D-1 Off-Site Habitat Baseline'!$D$1:$O$258,6,FALSE))))</f>
        <v/>
      </c>
      <c r="I222" s="301" t="str">
        <f>IF(E222="","",IF(ISNA(VLOOKUP($E222,'D-1 Off-Site Habitat Baseline'!$D$1:$O$258,7,FALSE)),"",(VLOOKUP($E222,'D-1 Off-Site Habitat Baseline'!$D$1:$O$258,7,FALSE))))</f>
        <v/>
      </c>
      <c r="J222" s="301" t="str">
        <f>IF(E222="","",IF(ISNA(VLOOKUP($E222,'D-1 Off-Site Habitat Baseline'!$D$1:$O$258,8,FALSE)),"",(VLOOKUP($E222,'D-1 Off-Site Habitat Baseline'!$D$1:$O$258,8,FALSE))))</f>
        <v/>
      </c>
      <c r="K222" s="301" t="str">
        <f>IF(E222="","",IF(ISNA(VLOOKUP($E222,'D-1 Off-Site Habitat Baseline'!$D$1:$O$258,9,FALSE)),"",(VLOOKUP($E222,'D-1 Off-Site Habitat Baseline'!$D$1:$O$258,9,FALSE))))</f>
        <v/>
      </c>
      <c r="L222" s="301" t="str">
        <f>IF(E222="","",IF(ISNA(VLOOKUP($E222,'D-1 Off-Site Habitat Baseline'!$D$1:$O$258,11,FALSE)),"",(VLOOKUP($E222,'D-1 Off-Site Habitat Baseline'!$D$1:$O$258,11,FALSE))))</f>
        <v/>
      </c>
      <c r="M222" s="301" t="str">
        <f>IF(E222="","",IF(ISNA(VLOOKUP($E222,'D-1 Off-Site Habitat Baseline'!$D$1:$O$258,12,FALSE)),"",(VLOOKUP($E222,'D-1 Off-Site Habitat Baseline'!$D$1:$O$258,12,FALSE))))</f>
        <v/>
      </c>
      <c r="N222" s="301" t="str">
        <f>IF(E222="","",IF(ISNA(VLOOKUP($E222,'D-1 Off-Site Habitat Baseline'!$D$1:$AA$258,17,FALSE)),"",(VLOOKUP($E222,'D-1 Off-Site Habitat Baseline'!$D$1:$AA$258,17,FALSE))))</f>
        <v/>
      </c>
      <c r="O222" s="305" t="str">
        <f>IF(E222="","",IF(ISNA(VLOOKUP($E222,'D-1 Off-Site Habitat Baseline'!$D$1:$AA$258,13,FALSE)),"",(VLOOKUP($E222,'D-1 Off-Site Habitat Baseline'!$D$1:$AA$258,13,FALSE))))</f>
        <v/>
      </c>
      <c r="P222" s="152" t="str">
        <f>IFERROR(INDEX('G-1 All Habitats'!$AG$49:$AG$63,MATCH(Q222,'G-1 All Habitats'!$AF$27:$AF$41,0)),"")</f>
        <v/>
      </c>
      <c r="Q222" s="153"/>
      <c r="R222" s="154"/>
      <c r="S222" s="155" t="str">
        <f>IFERROR(INDEX('G-1 All Habitats'!$B$3:$B$135,MATCH(R222,'G-1 All Habitats'!$A$3:$A$135,0)),"")</f>
        <v/>
      </c>
      <c r="T222" s="289" t="str">
        <f t="shared" si="32"/>
        <v/>
      </c>
      <c r="U222" s="305" t="str">
        <f t="shared" si="33"/>
        <v/>
      </c>
      <c r="V222" s="304" t="str">
        <f t="shared" si="30"/>
        <v/>
      </c>
      <c r="W222" s="301" t="str">
        <f>IF(S222="","",VLOOKUP(S222,'G-1 All Habitats'!$B$2:$M$135,10,FALSE))</f>
        <v/>
      </c>
      <c r="X222" s="301" t="str">
        <f>IFERROR(VLOOKUP(W222,'G-1 All Habitats'!$V$3:$W$7,2,FALSE),"")</f>
        <v/>
      </c>
      <c r="Y222" s="142"/>
      <c r="Z222" s="305" t="str">
        <f>IFERROR(INDEX('G-8 Condition Look up'!$A$3:$H$135,MATCH(S222,'G-8 Condition Look up'!$A$3:$A$135,0),MATCH(Y222,'G-8 Condition Look up'!$A$3:$H$3,0)),"")</f>
        <v/>
      </c>
      <c r="AA222" s="105"/>
      <c r="AB222" s="320" t="str">
        <f>IF(AA222="","",IF(VLOOKUP(AA222,'G-3 Multipliers'!$L$3:$N$6,2,FALSE)=0,"Spatial Data Missing ⚠",VLOOKUP(AA222,'G-3 Multipliers'!$L$3:$N$6,2,FALSE)))</f>
        <v/>
      </c>
      <c r="AC222" s="305" t="str">
        <f>IF(AA222="","",IF(VLOOKUP(AA222,'G-3 Multipliers'!$L$3:$N$6,3,FALSE)=0,"Spatial Data Missing ⚠",VLOOKUP(AA222,'G-3 Multipliers'!$L$3:$N$6,3,FALSE)))</f>
        <v/>
      </c>
      <c r="AD222" s="317" t="str">
        <f t="shared" si="31"/>
        <v/>
      </c>
      <c r="AE222" s="142"/>
      <c r="AF222" s="142"/>
      <c r="AG222" s="301" t="str">
        <f t="shared" si="34"/>
        <v/>
      </c>
      <c r="AH222" s="302" t="str">
        <f t="shared" si="35"/>
        <v/>
      </c>
      <c r="AI222" s="306" t="str">
        <f>IF(AH222="Check Data ⚠","Check Data ⚠",IFERROR(VLOOKUP(AH222,'G-4 Temporal multipliers'!$A$4:$C$36,3,FALSE),""))</f>
        <v/>
      </c>
      <c r="AJ222" s="317" t="str">
        <f>IF(S222="","",VLOOKUP(S222,'G-3 Multipliers'!$A$2:$E$134,4,FALSE))</f>
        <v/>
      </c>
      <c r="AK222" s="301" t="str">
        <f t="shared" si="36"/>
        <v/>
      </c>
      <c r="AL222" s="301" t="str">
        <f t="shared" si="37"/>
        <v/>
      </c>
      <c r="AM222" s="305" t="str">
        <f>IFERROR(IF(F222="","",IF(AH222="Check Data ⚠","Check Data ⚠",VLOOKUP(AL222, 'G-3 Multipliers'!$P$2:$Q$6,2,FALSE))),"")</f>
        <v/>
      </c>
      <c r="AN222" s="728"/>
      <c r="AO222" s="335" t="str">
        <f>IF(AN222="","",IF(VLOOKUP(AN222,'G-3 Multipliers'!$S$3:$T$10,2,FALSE)=0,"Spatial Data Missing ⚠",VLOOKUP(AN222,'G-3 Multipliers'!$S$3:$T$10,2,FALSE)))</f>
        <v/>
      </c>
      <c r="AP222" s="295" t="str">
        <f t="shared" si="38"/>
        <v/>
      </c>
      <c r="AQ222" s="295" t="str">
        <f t="shared" si="39"/>
        <v/>
      </c>
      <c r="AR222" s="109"/>
      <c r="AS222" s="142"/>
      <c r="AT222" s="108"/>
      <c r="AU222" s="108"/>
      <c r="AY222" s="30" t="str">
        <f>IF(E222="","",IF(ISNA(VLOOKUP($E222,'D-1 Off-Site Habitat Baseline'!$D$1:$AV$258,4,FALSE)),"",(VLOOKUP($E222,'D-1 Off-Site Habitat Baseline'!$D$1:$AV$258,4,FALSE))))</f>
        <v/>
      </c>
    </row>
    <row r="223" spans="1:51" x14ac:dyDescent="0.25">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325" t="str">
        <f>'D-1 Off-Site Habitat Baseline'!AP222</f>
        <v/>
      </c>
      <c r="F223" s="289" t="str">
        <f>IF(E223="","",IF(ISNA(VLOOKUP($E223,'D-1 Off-Site Habitat Baseline'!$D$1:$ZZ$258,45,FALSE)),"",(VLOOKUP($E223,'D-1 Off-Site Habitat Baseline'!$D$1:$ZZ$258,45,FALSE))))</f>
        <v/>
      </c>
      <c r="G223" s="301" t="str">
        <f>IF(E223="","",IF(ISNA(VLOOKUP($E223,'D-1 Off-Site Habitat Baseline'!$D$1:$O$258,5,FALSE)),"",(VLOOKUP($E223,'D-1 Off-Site Habitat Baseline'!$D$1:$O$258,5,FALSE))))</f>
        <v/>
      </c>
      <c r="H223" s="301" t="str">
        <f>IF(E223="","",IF(ISNA(VLOOKUP($E223,'D-1 Off-Site Habitat Baseline'!$D$1:$O$258,6,FALSE)),"",(VLOOKUP($E223,'D-1 Off-Site Habitat Baseline'!$D$1:$O$258,6,FALSE))))</f>
        <v/>
      </c>
      <c r="I223" s="301" t="str">
        <f>IF(E223="","",IF(ISNA(VLOOKUP($E223,'D-1 Off-Site Habitat Baseline'!$D$1:$O$258,7,FALSE)),"",(VLOOKUP($E223,'D-1 Off-Site Habitat Baseline'!$D$1:$O$258,7,FALSE))))</f>
        <v/>
      </c>
      <c r="J223" s="301" t="str">
        <f>IF(E223="","",IF(ISNA(VLOOKUP($E223,'D-1 Off-Site Habitat Baseline'!$D$1:$O$258,8,FALSE)),"",(VLOOKUP($E223,'D-1 Off-Site Habitat Baseline'!$D$1:$O$258,8,FALSE))))</f>
        <v/>
      </c>
      <c r="K223" s="301" t="str">
        <f>IF(E223="","",IF(ISNA(VLOOKUP($E223,'D-1 Off-Site Habitat Baseline'!$D$1:$O$258,9,FALSE)),"",(VLOOKUP($E223,'D-1 Off-Site Habitat Baseline'!$D$1:$O$258,9,FALSE))))</f>
        <v/>
      </c>
      <c r="L223" s="301" t="str">
        <f>IF(E223="","",IF(ISNA(VLOOKUP($E223,'D-1 Off-Site Habitat Baseline'!$D$1:$O$258,11,FALSE)),"",(VLOOKUP($E223,'D-1 Off-Site Habitat Baseline'!$D$1:$O$258,11,FALSE))))</f>
        <v/>
      </c>
      <c r="M223" s="301" t="str">
        <f>IF(E223="","",IF(ISNA(VLOOKUP($E223,'D-1 Off-Site Habitat Baseline'!$D$1:$O$258,12,FALSE)),"",(VLOOKUP($E223,'D-1 Off-Site Habitat Baseline'!$D$1:$O$258,12,FALSE))))</f>
        <v/>
      </c>
      <c r="N223" s="301" t="str">
        <f>IF(E223="","",IF(ISNA(VLOOKUP($E223,'D-1 Off-Site Habitat Baseline'!$D$1:$AA$258,17,FALSE)),"",(VLOOKUP($E223,'D-1 Off-Site Habitat Baseline'!$D$1:$AA$258,17,FALSE))))</f>
        <v/>
      </c>
      <c r="O223" s="305" t="str">
        <f>IF(E223="","",IF(ISNA(VLOOKUP($E223,'D-1 Off-Site Habitat Baseline'!$D$1:$AA$258,13,FALSE)),"",(VLOOKUP($E223,'D-1 Off-Site Habitat Baseline'!$D$1:$AA$258,13,FALSE))))</f>
        <v/>
      </c>
      <c r="P223" s="152" t="str">
        <f>IFERROR(INDEX('G-1 All Habitats'!$AG$49:$AG$63,MATCH(Q223,'G-1 All Habitats'!$AF$27:$AF$41,0)),"")</f>
        <v/>
      </c>
      <c r="Q223" s="153"/>
      <c r="R223" s="154"/>
      <c r="S223" s="155" t="str">
        <f>IFERROR(INDEX('G-1 All Habitats'!$B$3:$B$135,MATCH(R223,'G-1 All Habitats'!$A$3:$A$135,0)),"")</f>
        <v/>
      </c>
      <c r="T223" s="289" t="str">
        <f t="shared" si="32"/>
        <v/>
      </c>
      <c r="U223" s="305" t="str">
        <f t="shared" si="33"/>
        <v/>
      </c>
      <c r="V223" s="304" t="str">
        <f t="shared" si="30"/>
        <v/>
      </c>
      <c r="W223" s="301" t="str">
        <f>IF(S223="","",VLOOKUP(S223,'G-1 All Habitats'!$B$2:$M$135,10,FALSE))</f>
        <v/>
      </c>
      <c r="X223" s="301" t="str">
        <f>IFERROR(VLOOKUP(W223,'G-1 All Habitats'!$V$3:$W$7,2,FALSE),"")</f>
        <v/>
      </c>
      <c r="Y223" s="142"/>
      <c r="Z223" s="305" t="str">
        <f>IFERROR(INDEX('G-8 Condition Look up'!$A$3:$H$135,MATCH(S223,'G-8 Condition Look up'!$A$3:$A$135,0),MATCH(Y223,'G-8 Condition Look up'!$A$3:$H$3,0)),"")</f>
        <v/>
      </c>
      <c r="AA223" s="105"/>
      <c r="AB223" s="320" t="str">
        <f>IF(AA223="","",IF(VLOOKUP(AA223,'G-3 Multipliers'!$L$3:$N$6,2,FALSE)=0,"Spatial Data Missing ⚠",VLOOKUP(AA223,'G-3 Multipliers'!$L$3:$N$6,2,FALSE)))</f>
        <v/>
      </c>
      <c r="AC223" s="305" t="str">
        <f>IF(AA223="","",IF(VLOOKUP(AA223,'G-3 Multipliers'!$L$3:$N$6,3,FALSE)=0,"Spatial Data Missing ⚠",VLOOKUP(AA223,'G-3 Multipliers'!$L$3:$N$6,3,FALSE)))</f>
        <v/>
      </c>
      <c r="AD223" s="317" t="str">
        <f t="shared" si="31"/>
        <v/>
      </c>
      <c r="AE223" s="142"/>
      <c r="AF223" s="142"/>
      <c r="AG223" s="301" t="str">
        <f t="shared" si="34"/>
        <v/>
      </c>
      <c r="AH223" s="302" t="str">
        <f t="shared" si="35"/>
        <v/>
      </c>
      <c r="AI223" s="306" t="str">
        <f>IF(AH223="Check Data ⚠","Check Data ⚠",IFERROR(VLOOKUP(AH223,'G-4 Temporal multipliers'!$A$4:$C$36,3,FALSE),""))</f>
        <v/>
      </c>
      <c r="AJ223" s="317" t="str">
        <f>IF(S223="","",VLOOKUP(S223,'G-3 Multipliers'!$A$2:$E$134,4,FALSE))</f>
        <v/>
      </c>
      <c r="AK223" s="301" t="str">
        <f t="shared" si="36"/>
        <v/>
      </c>
      <c r="AL223" s="301" t="str">
        <f t="shared" si="37"/>
        <v/>
      </c>
      <c r="AM223" s="305" t="str">
        <f>IFERROR(IF(F223="","",IF(AH223="Check Data ⚠","Check Data ⚠",VLOOKUP(AL223, 'G-3 Multipliers'!$P$2:$Q$6,2,FALSE))),"")</f>
        <v/>
      </c>
      <c r="AN223" s="728"/>
      <c r="AO223" s="335" t="str">
        <f>IF(AN223="","",IF(VLOOKUP(AN223,'G-3 Multipliers'!$S$3:$T$10,2,FALSE)=0,"Spatial Data Missing ⚠",VLOOKUP(AN223,'G-3 Multipliers'!$S$3:$T$10,2,FALSE)))</f>
        <v/>
      </c>
      <c r="AP223" s="295" t="str">
        <f t="shared" si="38"/>
        <v/>
      </c>
      <c r="AQ223" s="295" t="str">
        <f t="shared" si="39"/>
        <v/>
      </c>
      <c r="AR223" s="109"/>
      <c r="AS223" s="142"/>
      <c r="AT223" s="108"/>
      <c r="AU223" s="108"/>
      <c r="AY223" s="30" t="str">
        <f>IF(E223="","",IF(ISNA(VLOOKUP($E223,'D-1 Off-Site Habitat Baseline'!$D$1:$AV$258,4,FALSE)),"",(VLOOKUP($E223,'D-1 Off-Site Habitat Baseline'!$D$1:$AV$258,4,FALSE))))</f>
        <v/>
      </c>
    </row>
    <row r="224" spans="1:51" x14ac:dyDescent="0.25">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325" t="str">
        <f>'D-1 Off-Site Habitat Baseline'!AP223</f>
        <v/>
      </c>
      <c r="F224" s="289" t="str">
        <f>IF(E224="","",IF(ISNA(VLOOKUP($E224,'D-1 Off-Site Habitat Baseline'!$D$1:$ZZ$258,45,FALSE)),"",(VLOOKUP($E224,'D-1 Off-Site Habitat Baseline'!$D$1:$ZZ$258,45,FALSE))))</f>
        <v/>
      </c>
      <c r="G224" s="301" t="str">
        <f>IF(E224="","",IF(ISNA(VLOOKUP($E224,'D-1 Off-Site Habitat Baseline'!$D$1:$O$258,5,FALSE)),"",(VLOOKUP($E224,'D-1 Off-Site Habitat Baseline'!$D$1:$O$258,5,FALSE))))</f>
        <v/>
      </c>
      <c r="H224" s="301" t="str">
        <f>IF(E224="","",IF(ISNA(VLOOKUP($E224,'D-1 Off-Site Habitat Baseline'!$D$1:$O$258,6,FALSE)),"",(VLOOKUP($E224,'D-1 Off-Site Habitat Baseline'!$D$1:$O$258,6,FALSE))))</f>
        <v/>
      </c>
      <c r="I224" s="301" t="str">
        <f>IF(E224="","",IF(ISNA(VLOOKUP($E224,'D-1 Off-Site Habitat Baseline'!$D$1:$O$258,7,FALSE)),"",(VLOOKUP($E224,'D-1 Off-Site Habitat Baseline'!$D$1:$O$258,7,FALSE))))</f>
        <v/>
      </c>
      <c r="J224" s="301" t="str">
        <f>IF(E224="","",IF(ISNA(VLOOKUP($E224,'D-1 Off-Site Habitat Baseline'!$D$1:$O$258,8,FALSE)),"",(VLOOKUP($E224,'D-1 Off-Site Habitat Baseline'!$D$1:$O$258,8,FALSE))))</f>
        <v/>
      </c>
      <c r="K224" s="301" t="str">
        <f>IF(E224="","",IF(ISNA(VLOOKUP($E224,'D-1 Off-Site Habitat Baseline'!$D$1:$O$258,9,FALSE)),"",(VLOOKUP($E224,'D-1 Off-Site Habitat Baseline'!$D$1:$O$258,9,FALSE))))</f>
        <v/>
      </c>
      <c r="L224" s="301" t="str">
        <f>IF(E224="","",IF(ISNA(VLOOKUP($E224,'D-1 Off-Site Habitat Baseline'!$D$1:$O$258,11,FALSE)),"",(VLOOKUP($E224,'D-1 Off-Site Habitat Baseline'!$D$1:$O$258,11,FALSE))))</f>
        <v/>
      </c>
      <c r="M224" s="301" t="str">
        <f>IF(E224="","",IF(ISNA(VLOOKUP($E224,'D-1 Off-Site Habitat Baseline'!$D$1:$O$258,12,FALSE)),"",(VLOOKUP($E224,'D-1 Off-Site Habitat Baseline'!$D$1:$O$258,12,FALSE))))</f>
        <v/>
      </c>
      <c r="N224" s="301" t="str">
        <f>IF(E224="","",IF(ISNA(VLOOKUP($E224,'D-1 Off-Site Habitat Baseline'!$D$1:$AA$258,17,FALSE)),"",(VLOOKUP($E224,'D-1 Off-Site Habitat Baseline'!$D$1:$AA$258,17,FALSE))))</f>
        <v/>
      </c>
      <c r="O224" s="305" t="str">
        <f>IF(E224="","",IF(ISNA(VLOOKUP($E224,'D-1 Off-Site Habitat Baseline'!$D$1:$AA$258,13,FALSE)),"",(VLOOKUP($E224,'D-1 Off-Site Habitat Baseline'!$D$1:$AA$258,13,FALSE))))</f>
        <v/>
      </c>
      <c r="P224" s="152" t="str">
        <f>IFERROR(INDEX('G-1 All Habitats'!$AG$49:$AG$63,MATCH(Q224,'G-1 All Habitats'!$AF$27:$AF$41,0)),"")</f>
        <v/>
      </c>
      <c r="Q224" s="153"/>
      <c r="R224" s="154"/>
      <c r="S224" s="155" t="str">
        <f>IFERROR(INDEX('G-1 All Habitats'!$B$3:$B$135,MATCH(R224,'G-1 All Habitats'!$A$3:$A$135,0)),"")</f>
        <v/>
      </c>
      <c r="T224" s="289" t="str">
        <f t="shared" si="32"/>
        <v/>
      </c>
      <c r="U224" s="305" t="str">
        <f t="shared" si="33"/>
        <v/>
      </c>
      <c r="V224" s="304" t="str">
        <f t="shared" si="30"/>
        <v/>
      </c>
      <c r="W224" s="301" t="str">
        <f>IF(S224="","",VLOOKUP(S224,'G-1 All Habitats'!$B$2:$M$135,10,FALSE))</f>
        <v/>
      </c>
      <c r="X224" s="301" t="str">
        <f>IFERROR(VLOOKUP(W224,'G-1 All Habitats'!$V$3:$W$7,2,FALSE),"")</f>
        <v/>
      </c>
      <c r="Y224" s="142"/>
      <c r="Z224" s="305" t="str">
        <f>IFERROR(INDEX('G-8 Condition Look up'!$A$3:$H$135,MATCH(S224,'G-8 Condition Look up'!$A$3:$A$135,0),MATCH(Y224,'G-8 Condition Look up'!$A$3:$H$3,0)),"")</f>
        <v/>
      </c>
      <c r="AA224" s="105"/>
      <c r="AB224" s="320" t="str">
        <f>IF(AA224="","",IF(VLOOKUP(AA224,'G-3 Multipliers'!$L$3:$N$6,2,FALSE)=0,"Spatial Data Missing ⚠",VLOOKUP(AA224,'G-3 Multipliers'!$L$3:$N$6,2,FALSE)))</f>
        <v/>
      </c>
      <c r="AC224" s="305" t="str">
        <f>IF(AA224="","",IF(VLOOKUP(AA224,'G-3 Multipliers'!$L$3:$N$6,3,FALSE)=0,"Spatial Data Missing ⚠",VLOOKUP(AA224,'G-3 Multipliers'!$L$3:$N$6,3,FALSE)))</f>
        <v/>
      </c>
      <c r="AD224" s="317" t="str">
        <f t="shared" si="31"/>
        <v/>
      </c>
      <c r="AE224" s="142"/>
      <c r="AF224" s="142"/>
      <c r="AG224" s="301" t="str">
        <f t="shared" si="34"/>
        <v/>
      </c>
      <c r="AH224" s="302" t="str">
        <f t="shared" si="35"/>
        <v/>
      </c>
      <c r="AI224" s="306" t="str">
        <f>IF(AH224="Check Data ⚠","Check Data ⚠",IFERROR(VLOOKUP(AH224,'G-4 Temporal multipliers'!$A$4:$C$36,3,FALSE),""))</f>
        <v/>
      </c>
      <c r="AJ224" s="317" t="str">
        <f>IF(S224="","",VLOOKUP(S224,'G-3 Multipliers'!$A$2:$E$134,4,FALSE))</f>
        <v/>
      </c>
      <c r="AK224" s="301" t="str">
        <f t="shared" si="36"/>
        <v/>
      </c>
      <c r="AL224" s="301" t="str">
        <f t="shared" si="37"/>
        <v/>
      </c>
      <c r="AM224" s="305" t="str">
        <f>IFERROR(IF(F224="","",IF(AH224="Check Data ⚠","Check Data ⚠",VLOOKUP(AL224, 'G-3 Multipliers'!$P$2:$Q$6,2,FALSE))),"")</f>
        <v/>
      </c>
      <c r="AN224" s="728"/>
      <c r="AO224" s="335" t="str">
        <f>IF(AN224="","",IF(VLOOKUP(AN224,'G-3 Multipliers'!$S$3:$T$10,2,FALSE)=0,"Spatial Data Missing ⚠",VLOOKUP(AN224,'G-3 Multipliers'!$S$3:$T$10,2,FALSE)))</f>
        <v/>
      </c>
      <c r="AP224" s="295" t="str">
        <f t="shared" si="38"/>
        <v/>
      </c>
      <c r="AQ224" s="295" t="str">
        <f t="shared" si="39"/>
        <v/>
      </c>
      <c r="AR224" s="109"/>
      <c r="AS224" s="142"/>
      <c r="AT224" s="108"/>
      <c r="AU224" s="108"/>
      <c r="AY224" s="30" t="str">
        <f>IF(E224="","",IF(ISNA(VLOOKUP($E224,'D-1 Off-Site Habitat Baseline'!$D$1:$AV$258,4,FALSE)),"",(VLOOKUP($E224,'D-1 Off-Site Habitat Baseline'!$D$1:$AV$258,4,FALSE))))</f>
        <v/>
      </c>
    </row>
    <row r="225" spans="1:51" x14ac:dyDescent="0.25">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325" t="str">
        <f>'D-1 Off-Site Habitat Baseline'!AP224</f>
        <v/>
      </c>
      <c r="F225" s="289" t="str">
        <f>IF(E225="","",IF(ISNA(VLOOKUP($E225,'D-1 Off-Site Habitat Baseline'!$D$1:$ZZ$258,45,FALSE)),"",(VLOOKUP($E225,'D-1 Off-Site Habitat Baseline'!$D$1:$ZZ$258,45,FALSE))))</f>
        <v/>
      </c>
      <c r="G225" s="301" t="str">
        <f>IF(E225="","",IF(ISNA(VLOOKUP($E225,'D-1 Off-Site Habitat Baseline'!$D$1:$O$258,5,FALSE)),"",(VLOOKUP($E225,'D-1 Off-Site Habitat Baseline'!$D$1:$O$258,5,FALSE))))</f>
        <v/>
      </c>
      <c r="H225" s="301" t="str">
        <f>IF(E225="","",IF(ISNA(VLOOKUP($E225,'D-1 Off-Site Habitat Baseline'!$D$1:$O$258,6,FALSE)),"",(VLOOKUP($E225,'D-1 Off-Site Habitat Baseline'!$D$1:$O$258,6,FALSE))))</f>
        <v/>
      </c>
      <c r="I225" s="301" t="str">
        <f>IF(E225="","",IF(ISNA(VLOOKUP($E225,'D-1 Off-Site Habitat Baseline'!$D$1:$O$258,7,FALSE)),"",(VLOOKUP($E225,'D-1 Off-Site Habitat Baseline'!$D$1:$O$258,7,FALSE))))</f>
        <v/>
      </c>
      <c r="J225" s="301" t="str">
        <f>IF(E225="","",IF(ISNA(VLOOKUP($E225,'D-1 Off-Site Habitat Baseline'!$D$1:$O$258,8,FALSE)),"",(VLOOKUP($E225,'D-1 Off-Site Habitat Baseline'!$D$1:$O$258,8,FALSE))))</f>
        <v/>
      </c>
      <c r="K225" s="301" t="str">
        <f>IF(E225="","",IF(ISNA(VLOOKUP($E225,'D-1 Off-Site Habitat Baseline'!$D$1:$O$258,9,FALSE)),"",(VLOOKUP($E225,'D-1 Off-Site Habitat Baseline'!$D$1:$O$258,9,FALSE))))</f>
        <v/>
      </c>
      <c r="L225" s="301" t="str">
        <f>IF(E225="","",IF(ISNA(VLOOKUP($E225,'D-1 Off-Site Habitat Baseline'!$D$1:$O$258,11,FALSE)),"",(VLOOKUP($E225,'D-1 Off-Site Habitat Baseline'!$D$1:$O$258,11,FALSE))))</f>
        <v/>
      </c>
      <c r="M225" s="301" t="str">
        <f>IF(E225="","",IF(ISNA(VLOOKUP($E225,'D-1 Off-Site Habitat Baseline'!$D$1:$O$258,12,FALSE)),"",(VLOOKUP($E225,'D-1 Off-Site Habitat Baseline'!$D$1:$O$258,12,FALSE))))</f>
        <v/>
      </c>
      <c r="N225" s="301" t="str">
        <f>IF(E225="","",IF(ISNA(VLOOKUP($E225,'D-1 Off-Site Habitat Baseline'!$D$1:$AA$258,17,FALSE)),"",(VLOOKUP($E225,'D-1 Off-Site Habitat Baseline'!$D$1:$AA$258,17,FALSE))))</f>
        <v/>
      </c>
      <c r="O225" s="305" t="str">
        <f>IF(E225="","",IF(ISNA(VLOOKUP($E225,'D-1 Off-Site Habitat Baseline'!$D$1:$AA$258,13,FALSE)),"",(VLOOKUP($E225,'D-1 Off-Site Habitat Baseline'!$D$1:$AA$258,13,FALSE))))</f>
        <v/>
      </c>
      <c r="P225" s="152" t="str">
        <f>IFERROR(INDEX('G-1 All Habitats'!$AG$49:$AG$63,MATCH(Q225,'G-1 All Habitats'!$AF$27:$AF$41,0)),"")</f>
        <v/>
      </c>
      <c r="Q225" s="153"/>
      <c r="R225" s="154"/>
      <c r="S225" s="155" t="str">
        <f>IFERROR(INDEX('G-1 All Habitats'!$B$3:$B$135,MATCH(R225,'G-1 All Habitats'!$A$3:$A$135,0)),"")</f>
        <v/>
      </c>
      <c r="T225" s="289" t="str">
        <f t="shared" si="32"/>
        <v/>
      </c>
      <c r="U225" s="305" t="str">
        <f t="shared" si="33"/>
        <v/>
      </c>
      <c r="V225" s="304" t="str">
        <f t="shared" si="30"/>
        <v/>
      </c>
      <c r="W225" s="301" t="str">
        <f>IF(S225="","",VLOOKUP(S225,'G-1 All Habitats'!$B$2:$M$135,10,FALSE))</f>
        <v/>
      </c>
      <c r="X225" s="301" t="str">
        <f>IFERROR(VLOOKUP(W225,'G-1 All Habitats'!$V$3:$W$7,2,FALSE),"")</f>
        <v/>
      </c>
      <c r="Y225" s="142"/>
      <c r="Z225" s="305" t="str">
        <f>IFERROR(INDEX('G-8 Condition Look up'!$A$3:$H$135,MATCH(S225,'G-8 Condition Look up'!$A$3:$A$135,0),MATCH(Y225,'G-8 Condition Look up'!$A$3:$H$3,0)),"")</f>
        <v/>
      </c>
      <c r="AA225" s="105"/>
      <c r="AB225" s="320" t="str">
        <f>IF(AA225="","",IF(VLOOKUP(AA225,'G-3 Multipliers'!$L$3:$N$6,2,FALSE)=0,"Spatial Data Missing ⚠",VLOOKUP(AA225,'G-3 Multipliers'!$L$3:$N$6,2,FALSE)))</f>
        <v/>
      </c>
      <c r="AC225" s="305" t="str">
        <f>IF(AA225="","",IF(VLOOKUP(AA225,'G-3 Multipliers'!$L$3:$N$6,3,FALSE)=0,"Spatial Data Missing ⚠",VLOOKUP(AA225,'G-3 Multipliers'!$L$3:$N$6,3,FALSE)))</f>
        <v/>
      </c>
      <c r="AD225" s="317" t="str">
        <f t="shared" si="31"/>
        <v/>
      </c>
      <c r="AE225" s="142"/>
      <c r="AF225" s="142"/>
      <c r="AG225" s="301" t="str">
        <f t="shared" si="34"/>
        <v/>
      </c>
      <c r="AH225" s="302" t="str">
        <f t="shared" si="35"/>
        <v/>
      </c>
      <c r="AI225" s="306" t="str">
        <f>IF(AH225="Check Data ⚠","Check Data ⚠",IFERROR(VLOOKUP(AH225,'G-4 Temporal multipliers'!$A$4:$C$36,3,FALSE),""))</f>
        <v/>
      </c>
      <c r="AJ225" s="317" t="str">
        <f>IF(S225="","",VLOOKUP(S225,'G-3 Multipliers'!$A$2:$E$134,4,FALSE))</f>
        <v/>
      </c>
      <c r="AK225" s="301" t="str">
        <f t="shared" si="36"/>
        <v/>
      </c>
      <c r="AL225" s="301" t="str">
        <f t="shared" si="37"/>
        <v/>
      </c>
      <c r="AM225" s="305" t="str">
        <f>IFERROR(IF(F225="","",IF(AH225="Check Data ⚠","Check Data ⚠",VLOOKUP(AL225, 'G-3 Multipliers'!$P$2:$Q$6,2,FALSE))),"")</f>
        <v/>
      </c>
      <c r="AN225" s="728"/>
      <c r="AO225" s="335" t="str">
        <f>IF(AN225="","",IF(VLOOKUP(AN225,'G-3 Multipliers'!$S$3:$T$10,2,FALSE)=0,"Spatial Data Missing ⚠",VLOOKUP(AN225,'G-3 Multipliers'!$S$3:$T$10,2,FALSE)))</f>
        <v/>
      </c>
      <c r="AP225" s="295" t="str">
        <f t="shared" si="38"/>
        <v/>
      </c>
      <c r="AQ225" s="295" t="str">
        <f t="shared" si="39"/>
        <v/>
      </c>
      <c r="AR225" s="109"/>
      <c r="AS225" s="142"/>
      <c r="AT225" s="108"/>
      <c r="AU225" s="108"/>
      <c r="AY225" s="30" t="str">
        <f>IF(E225="","",IF(ISNA(VLOOKUP($E225,'D-1 Off-Site Habitat Baseline'!$D$1:$AV$258,4,FALSE)),"",(VLOOKUP($E225,'D-1 Off-Site Habitat Baseline'!$D$1:$AV$258,4,FALSE))))</f>
        <v/>
      </c>
    </row>
    <row r="226" spans="1:51" x14ac:dyDescent="0.25">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325" t="str">
        <f>'D-1 Off-Site Habitat Baseline'!AP225</f>
        <v/>
      </c>
      <c r="F226" s="289" t="str">
        <f>IF(E226="","",IF(ISNA(VLOOKUP($E226,'D-1 Off-Site Habitat Baseline'!$D$1:$ZZ$258,45,FALSE)),"",(VLOOKUP($E226,'D-1 Off-Site Habitat Baseline'!$D$1:$ZZ$258,45,FALSE))))</f>
        <v/>
      </c>
      <c r="G226" s="301" t="str">
        <f>IF(E226="","",IF(ISNA(VLOOKUP($E226,'D-1 Off-Site Habitat Baseline'!$D$1:$O$258,5,FALSE)),"",(VLOOKUP($E226,'D-1 Off-Site Habitat Baseline'!$D$1:$O$258,5,FALSE))))</f>
        <v/>
      </c>
      <c r="H226" s="301" t="str">
        <f>IF(E226="","",IF(ISNA(VLOOKUP($E226,'D-1 Off-Site Habitat Baseline'!$D$1:$O$258,6,FALSE)),"",(VLOOKUP($E226,'D-1 Off-Site Habitat Baseline'!$D$1:$O$258,6,FALSE))))</f>
        <v/>
      </c>
      <c r="I226" s="301" t="str">
        <f>IF(E226="","",IF(ISNA(VLOOKUP($E226,'D-1 Off-Site Habitat Baseline'!$D$1:$O$258,7,FALSE)),"",(VLOOKUP($E226,'D-1 Off-Site Habitat Baseline'!$D$1:$O$258,7,FALSE))))</f>
        <v/>
      </c>
      <c r="J226" s="301" t="str">
        <f>IF(E226="","",IF(ISNA(VLOOKUP($E226,'D-1 Off-Site Habitat Baseline'!$D$1:$O$258,8,FALSE)),"",(VLOOKUP($E226,'D-1 Off-Site Habitat Baseline'!$D$1:$O$258,8,FALSE))))</f>
        <v/>
      </c>
      <c r="K226" s="301" t="str">
        <f>IF(E226="","",IF(ISNA(VLOOKUP($E226,'D-1 Off-Site Habitat Baseline'!$D$1:$O$258,9,FALSE)),"",(VLOOKUP($E226,'D-1 Off-Site Habitat Baseline'!$D$1:$O$258,9,FALSE))))</f>
        <v/>
      </c>
      <c r="L226" s="301" t="str">
        <f>IF(E226="","",IF(ISNA(VLOOKUP($E226,'D-1 Off-Site Habitat Baseline'!$D$1:$O$258,11,FALSE)),"",(VLOOKUP($E226,'D-1 Off-Site Habitat Baseline'!$D$1:$O$258,11,FALSE))))</f>
        <v/>
      </c>
      <c r="M226" s="301" t="str">
        <f>IF(E226="","",IF(ISNA(VLOOKUP($E226,'D-1 Off-Site Habitat Baseline'!$D$1:$O$258,12,FALSE)),"",(VLOOKUP($E226,'D-1 Off-Site Habitat Baseline'!$D$1:$O$258,12,FALSE))))</f>
        <v/>
      </c>
      <c r="N226" s="301" t="str">
        <f>IF(E226="","",IF(ISNA(VLOOKUP($E226,'D-1 Off-Site Habitat Baseline'!$D$1:$AA$258,17,FALSE)),"",(VLOOKUP($E226,'D-1 Off-Site Habitat Baseline'!$D$1:$AA$258,17,FALSE))))</f>
        <v/>
      </c>
      <c r="O226" s="305" t="str">
        <f>IF(E226="","",IF(ISNA(VLOOKUP($E226,'D-1 Off-Site Habitat Baseline'!$D$1:$AA$258,13,FALSE)),"",(VLOOKUP($E226,'D-1 Off-Site Habitat Baseline'!$D$1:$AA$258,13,FALSE))))</f>
        <v/>
      </c>
      <c r="P226" s="152" t="str">
        <f>IFERROR(INDEX('G-1 All Habitats'!$AG$49:$AG$63,MATCH(Q226,'G-1 All Habitats'!$AF$27:$AF$41,0)),"")</f>
        <v/>
      </c>
      <c r="Q226" s="153"/>
      <c r="R226" s="154"/>
      <c r="S226" s="155" t="str">
        <f>IFERROR(INDEX('G-1 All Habitats'!$B$3:$B$135,MATCH(R226,'G-1 All Habitats'!$A$3:$A$135,0)),"")</f>
        <v/>
      </c>
      <c r="T226" s="289" t="str">
        <f t="shared" si="32"/>
        <v/>
      </c>
      <c r="U226" s="305" t="str">
        <f t="shared" si="33"/>
        <v/>
      </c>
      <c r="V226" s="304" t="str">
        <f t="shared" si="30"/>
        <v/>
      </c>
      <c r="W226" s="301" t="str">
        <f>IF(S226="","",VLOOKUP(S226,'G-1 All Habitats'!$B$2:$M$135,10,FALSE))</f>
        <v/>
      </c>
      <c r="X226" s="301" t="str">
        <f>IFERROR(VLOOKUP(W226,'G-1 All Habitats'!$V$3:$W$7,2,FALSE),"")</f>
        <v/>
      </c>
      <c r="Y226" s="142"/>
      <c r="Z226" s="305" t="str">
        <f>IFERROR(INDEX('G-8 Condition Look up'!$A$3:$H$135,MATCH(S226,'G-8 Condition Look up'!$A$3:$A$135,0),MATCH(Y226,'G-8 Condition Look up'!$A$3:$H$3,0)),"")</f>
        <v/>
      </c>
      <c r="AA226" s="105"/>
      <c r="AB226" s="320" t="str">
        <f>IF(AA226="","",IF(VLOOKUP(AA226,'G-3 Multipliers'!$L$3:$N$6,2,FALSE)=0,"Spatial Data Missing ⚠",VLOOKUP(AA226,'G-3 Multipliers'!$L$3:$N$6,2,FALSE)))</f>
        <v/>
      </c>
      <c r="AC226" s="305" t="str">
        <f>IF(AA226="","",IF(VLOOKUP(AA226,'G-3 Multipliers'!$L$3:$N$6,3,FALSE)=0,"Spatial Data Missing ⚠",VLOOKUP(AA226,'G-3 Multipliers'!$L$3:$N$6,3,FALSE)))</f>
        <v/>
      </c>
      <c r="AD226" s="317" t="str">
        <f t="shared" si="31"/>
        <v/>
      </c>
      <c r="AE226" s="142"/>
      <c r="AF226" s="142"/>
      <c r="AG226" s="301" t="str">
        <f t="shared" si="34"/>
        <v/>
      </c>
      <c r="AH226" s="302" t="str">
        <f t="shared" si="35"/>
        <v/>
      </c>
      <c r="AI226" s="306" t="str">
        <f>IF(AH226="Check Data ⚠","Check Data ⚠",IFERROR(VLOOKUP(AH226,'G-4 Temporal multipliers'!$A$4:$C$36,3,FALSE),""))</f>
        <v/>
      </c>
      <c r="AJ226" s="317" t="str">
        <f>IF(S226="","",VLOOKUP(S226,'G-3 Multipliers'!$A$2:$E$134,4,FALSE))</f>
        <v/>
      </c>
      <c r="AK226" s="301" t="str">
        <f t="shared" si="36"/>
        <v/>
      </c>
      <c r="AL226" s="301" t="str">
        <f t="shared" si="37"/>
        <v/>
      </c>
      <c r="AM226" s="305" t="str">
        <f>IFERROR(IF(F226="","",IF(AH226="Check Data ⚠","Check Data ⚠",VLOOKUP(AL226, 'G-3 Multipliers'!$P$2:$Q$6,2,FALSE))),"")</f>
        <v/>
      </c>
      <c r="AN226" s="728"/>
      <c r="AO226" s="335" t="str">
        <f>IF(AN226="","",IF(VLOOKUP(AN226,'G-3 Multipliers'!$S$3:$T$10,2,FALSE)=0,"Spatial Data Missing ⚠",VLOOKUP(AN226,'G-3 Multipliers'!$S$3:$T$10,2,FALSE)))</f>
        <v/>
      </c>
      <c r="AP226" s="295" t="str">
        <f t="shared" si="38"/>
        <v/>
      </c>
      <c r="AQ226" s="295" t="str">
        <f t="shared" si="39"/>
        <v/>
      </c>
      <c r="AR226" s="109"/>
      <c r="AS226" s="142"/>
      <c r="AT226" s="108"/>
      <c r="AU226" s="108"/>
      <c r="AY226" s="30" t="str">
        <f>IF(E226="","",IF(ISNA(VLOOKUP($E226,'D-1 Off-Site Habitat Baseline'!$D$1:$AV$258,4,FALSE)),"",(VLOOKUP($E226,'D-1 Off-Site Habitat Baseline'!$D$1:$AV$258,4,FALSE))))</f>
        <v/>
      </c>
    </row>
    <row r="227" spans="1:51" x14ac:dyDescent="0.25">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325" t="str">
        <f>'D-1 Off-Site Habitat Baseline'!AP226</f>
        <v/>
      </c>
      <c r="F227" s="289" t="str">
        <f>IF(E227="","",IF(ISNA(VLOOKUP($E227,'D-1 Off-Site Habitat Baseline'!$D$1:$ZZ$258,45,FALSE)),"",(VLOOKUP($E227,'D-1 Off-Site Habitat Baseline'!$D$1:$ZZ$258,45,FALSE))))</f>
        <v/>
      </c>
      <c r="G227" s="301" t="str">
        <f>IF(E227="","",IF(ISNA(VLOOKUP($E227,'D-1 Off-Site Habitat Baseline'!$D$1:$O$258,5,FALSE)),"",(VLOOKUP($E227,'D-1 Off-Site Habitat Baseline'!$D$1:$O$258,5,FALSE))))</f>
        <v/>
      </c>
      <c r="H227" s="301" t="str">
        <f>IF(E227="","",IF(ISNA(VLOOKUP($E227,'D-1 Off-Site Habitat Baseline'!$D$1:$O$258,6,FALSE)),"",(VLOOKUP($E227,'D-1 Off-Site Habitat Baseline'!$D$1:$O$258,6,FALSE))))</f>
        <v/>
      </c>
      <c r="I227" s="301" t="str">
        <f>IF(E227="","",IF(ISNA(VLOOKUP($E227,'D-1 Off-Site Habitat Baseline'!$D$1:$O$258,7,FALSE)),"",(VLOOKUP($E227,'D-1 Off-Site Habitat Baseline'!$D$1:$O$258,7,FALSE))))</f>
        <v/>
      </c>
      <c r="J227" s="301" t="str">
        <f>IF(E227="","",IF(ISNA(VLOOKUP($E227,'D-1 Off-Site Habitat Baseline'!$D$1:$O$258,8,FALSE)),"",(VLOOKUP($E227,'D-1 Off-Site Habitat Baseline'!$D$1:$O$258,8,FALSE))))</f>
        <v/>
      </c>
      <c r="K227" s="301" t="str">
        <f>IF(E227="","",IF(ISNA(VLOOKUP($E227,'D-1 Off-Site Habitat Baseline'!$D$1:$O$258,9,FALSE)),"",(VLOOKUP($E227,'D-1 Off-Site Habitat Baseline'!$D$1:$O$258,9,FALSE))))</f>
        <v/>
      </c>
      <c r="L227" s="301" t="str">
        <f>IF(E227="","",IF(ISNA(VLOOKUP($E227,'D-1 Off-Site Habitat Baseline'!$D$1:$O$258,11,FALSE)),"",(VLOOKUP($E227,'D-1 Off-Site Habitat Baseline'!$D$1:$O$258,11,FALSE))))</f>
        <v/>
      </c>
      <c r="M227" s="301" t="str">
        <f>IF(E227="","",IF(ISNA(VLOOKUP($E227,'D-1 Off-Site Habitat Baseline'!$D$1:$O$258,12,FALSE)),"",(VLOOKUP($E227,'D-1 Off-Site Habitat Baseline'!$D$1:$O$258,12,FALSE))))</f>
        <v/>
      </c>
      <c r="N227" s="301" t="str">
        <f>IF(E227="","",IF(ISNA(VLOOKUP($E227,'D-1 Off-Site Habitat Baseline'!$D$1:$AA$258,17,FALSE)),"",(VLOOKUP($E227,'D-1 Off-Site Habitat Baseline'!$D$1:$AA$258,17,FALSE))))</f>
        <v/>
      </c>
      <c r="O227" s="305" t="str">
        <f>IF(E227="","",IF(ISNA(VLOOKUP($E227,'D-1 Off-Site Habitat Baseline'!$D$1:$AA$258,13,FALSE)),"",(VLOOKUP($E227,'D-1 Off-Site Habitat Baseline'!$D$1:$AA$258,13,FALSE))))</f>
        <v/>
      </c>
      <c r="P227" s="152" t="str">
        <f>IFERROR(INDEX('G-1 All Habitats'!$AG$49:$AG$63,MATCH(Q227,'G-1 All Habitats'!$AF$27:$AF$41,0)),"")</f>
        <v/>
      </c>
      <c r="Q227" s="153"/>
      <c r="R227" s="154"/>
      <c r="S227" s="155" t="str">
        <f>IFERROR(INDEX('G-1 All Habitats'!$B$3:$B$135,MATCH(R227,'G-1 All Habitats'!$A$3:$A$135,0)),"")</f>
        <v/>
      </c>
      <c r="T227" s="289" t="str">
        <f t="shared" si="32"/>
        <v/>
      </c>
      <c r="U227" s="305" t="str">
        <f t="shared" si="33"/>
        <v/>
      </c>
      <c r="V227" s="304" t="str">
        <f t="shared" si="30"/>
        <v/>
      </c>
      <c r="W227" s="301" t="str">
        <f>IF(S227="","",VLOOKUP(S227,'G-1 All Habitats'!$B$2:$M$135,10,FALSE))</f>
        <v/>
      </c>
      <c r="X227" s="301" t="str">
        <f>IFERROR(VLOOKUP(W227,'G-1 All Habitats'!$V$3:$W$7,2,FALSE),"")</f>
        <v/>
      </c>
      <c r="Y227" s="142"/>
      <c r="Z227" s="305" t="str">
        <f>IFERROR(INDEX('G-8 Condition Look up'!$A$3:$H$135,MATCH(S227,'G-8 Condition Look up'!$A$3:$A$135,0),MATCH(Y227,'G-8 Condition Look up'!$A$3:$H$3,0)),"")</f>
        <v/>
      </c>
      <c r="AA227" s="105"/>
      <c r="AB227" s="320" t="str">
        <f>IF(AA227="","",IF(VLOOKUP(AA227,'G-3 Multipliers'!$L$3:$N$6,2,FALSE)=0,"Spatial Data Missing ⚠",VLOOKUP(AA227,'G-3 Multipliers'!$L$3:$N$6,2,FALSE)))</f>
        <v/>
      </c>
      <c r="AC227" s="305" t="str">
        <f>IF(AA227="","",IF(VLOOKUP(AA227,'G-3 Multipliers'!$L$3:$N$6,3,FALSE)=0,"Spatial Data Missing ⚠",VLOOKUP(AA227,'G-3 Multipliers'!$L$3:$N$6,3,FALSE)))</f>
        <v/>
      </c>
      <c r="AD227" s="317" t="str">
        <f t="shared" si="31"/>
        <v/>
      </c>
      <c r="AE227" s="142"/>
      <c r="AF227" s="142"/>
      <c r="AG227" s="301" t="str">
        <f t="shared" si="34"/>
        <v/>
      </c>
      <c r="AH227" s="302" t="str">
        <f t="shared" si="35"/>
        <v/>
      </c>
      <c r="AI227" s="306" t="str">
        <f>IF(AH227="Check Data ⚠","Check Data ⚠",IFERROR(VLOOKUP(AH227,'G-4 Temporal multipliers'!$A$4:$C$36,3,FALSE),""))</f>
        <v/>
      </c>
      <c r="AJ227" s="317" t="str">
        <f>IF(S227="","",VLOOKUP(S227,'G-3 Multipliers'!$A$2:$E$134,4,FALSE))</f>
        <v/>
      </c>
      <c r="AK227" s="301" t="str">
        <f t="shared" si="36"/>
        <v/>
      </c>
      <c r="AL227" s="301" t="str">
        <f t="shared" si="37"/>
        <v/>
      </c>
      <c r="AM227" s="305" t="str">
        <f>IFERROR(IF(F227="","",IF(AH227="Check Data ⚠","Check Data ⚠",VLOOKUP(AL227, 'G-3 Multipliers'!$P$2:$Q$6,2,FALSE))),"")</f>
        <v/>
      </c>
      <c r="AN227" s="728"/>
      <c r="AO227" s="335" t="str">
        <f>IF(AN227="","",IF(VLOOKUP(AN227,'G-3 Multipliers'!$S$3:$T$10,2,FALSE)=0,"Spatial Data Missing ⚠",VLOOKUP(AN227,'G-3 Multipliers'!$S$3:$T$10,2,FALSE)))</f>
        <v/>
      </c>
      <c r="AP227" s="295" t="str">
        <f t="shared" si="38"/>
        <v/>
      </c>
      <c r="AQ227" s="295" t="str">
        <f t="shared" si="39"/>
        <v/>
      </c>
      <c r="AR227" s="109"/>
      <c r="AS227" s="142"/>
      <c r="AT227" s="108"/>
      <c r="AU227" s="108"/>
      <c r="AY227" s="30" t="str">
        <f>IF(E227="","",IF(ISNA(VLOOKUP($E227,'D-1 Off-Site Habitat Baseline'!$D$1:$AV$258,4,FALSE)),"",(VLOOKUP($E227,'D-1 Off-Site Habitat Baseline'!$D$1:$AV$258,4,FALSE))))</f>
        <v/>
      </c>
    </row>
    <row r="228" spans="1:51" x14ac:dyDescent="0.25">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325" t="str">
        <f>'D-1 Off-Site Habitat Baseline'!AP227</f>
        <v/>
      </c>
      <c r="F228" s="289" t="str">
        <f>IF(E228="","",IF(ISNA(VLOOKUP($E228,'D-1 Off-Site Habitat Baseline'!$D$1:$ZZ$258,45,FALSE)),"",(VLOOKUP($E228,'D-1 Off-Site Habitat Baseline'!$D$1:$ZZ$258,45,FALSE))))</f>
        <v/>
      </c>
      <c r="G228" s="301" t="str">
        <f>IF(E228="","",IF(ISNA(VLOOKUP($E228,'D-1 Off-Site Habitat Baseline'!$D$1:$O$258,5,FALSE)),"",(VLOOKUP($E228,'D-1 Off-Site Habitat Baseline'!$D$1:$O$258,5,FALSE))))</f>
        <v/>
      </c>
      <c r="H228" s="301" t="str">
        <f>IF(E228="","",IF(ISNA(VLOOKUP($E228,'D-1 Off-Site Habitat Baseline'!$D$1:$O$258,6,FALSE)),"",(VLOOKUP($E228,'D-1 Off-Site Habitat Baseline'!$D$1:$O$258,6,FALSE))))</f>
        <v/>
      </c>
      <c r="I228" s="301" t="str">
        <f>IF(E228="","",IF(ISNA(VLOOKUP($E228,'D-1 Off-Site Habitat Baseline'!$D$1:$O$258,7,FALSE)),"",(VLOOKUP($E228,'D-1 Off-Site Habitat Baseline'!$D$1:$O$258,7,FALSE))))</f>
        <v/>
      </c>
      <c r="J228" s="301" t="str">
        <f>IF(E228="","",IF(ISNA(VLOOKUP($E228,'D-1 Off-Site Habitat Baseline'!$D$1:$O$258,8,FALSE)),"",(VLOOKUP($E228,'D-1 Off-Site Habitat Baseline'!$D$1:$O$258,8,FALSE))))</f>
        <v/>
      </c>
      <c r="K228" s="301" t="str">
        <f>IF(E228="","",IF(ISNA(VLOOKUP($E228,'D-1 Off-Site Habitat Baseline'!$D$1:$O$258,9,FALSE)),"",(VLOOKUP($E228,'D-1 Off-Site Habitat Baseline'!$D$1:$O$258,9,FALSE))))</f>
        <v/>
      </c>
      <c r="L228" s="301" t="str">
        <f>IF(E228="","",IF(ISNA(VLOOKUP($E228,'D-1 Off-Site Habitat Baseline'!$D$1:$O$258,11,FALSE)),"",(VLOOKUP($E228,'D-1 Off-Site Habitat Baseline'!$D$1:$O$258,11,FALSE))))</f>
        <v/>
      </c>
      <c r="M228" s="301" t="str">
        <f>IF(E228="","",IF(ISNA(VLOOKUP($E228,'D-1 Off-Site Habitat Baseline'!$D$1:$O$258,12,FALSE)),"",(VLOOKUP($E228,'D-1 Off-Site Habitat Baseline'!$D$1:$O$258,12,FALSE))))</f>
        <v/>
      </c>
      <c r="N228" s="301" t="str">
        <f>IF(E228="","",IF(ISNA(VLOOKUP($E228,'D-1 Off-Site Habitat Baseline'!$D$1:$AA$258,17,FALSE)),"",(VLOOKUP($E228,'D-1 Off-Site Habitat Baseline'!$D$1:$AA$258,17,FALSE))))</f>
        <v/>
      </c>
      <c r="O228" s="305" t="str">
        <f>IF(E228="","",IF(ISNA(VLOOKUP($E228,'D-1 Off-Site Habitat Baseline'!$D$1:$AA$258,13,FALSE)),"",(VLOOKUP($E228,'D-1 Off-Site Habitat Baseline'!$D$1:$AA$258,13,FALSE))))</f>
        <v/>
      </c>
      <c r="P228" s="152" t="str">
        <f>IFERROR(INDEX('G-1 All Habitats'!$AG$49:$AG$63,MATCH(Q228,'G-1 All Habitats'!$AF$27:$AF$41,0)),"")</f>
        <v/>
      </c>
      <c r="Q228" s="153"/>
      <c r="R228" s="154"/>
      <c r="S228" s="155" t="str">
        <f>IFERROR(INDEX('G-1 All Habitats'!$B$3:$B$135,MATCH(R228,'G-1 All Habitats'!$A$3:$A$135,0)),"")</f>
        <v/>
      </c>
      <c r="T228" s="289" t="str">
        <f t="shared" si="32"/>
        <v/>
      </c>
      <c r="U228" s="305" t="str">
        <f t="shared" si="33"/>
        <v/>
      </c>
      <c r="V228" s="304" t="str">
        <f t="shared" si="30"/>
        <v/>
      </c>
      <c r="W228" s="301" t="str">
        <f>IF(S228="","",VLOOKUP(S228,'G-1 All Habitats'!$B$2:$M$135,10,FALSE))</f>
        <v/>
      </c>
      <c r="X228" s="301" t="str">
        <f>IFERROR(VLOOKUP(W228,'G-1 All Habitats'!$V$3:$W$7,2,FALSE),"")</f>
        <v/>
      </c>
      <c r="Y228" s="142"/>
      <c r="Z228" s="305" t="str">
        <f>IFERROR(INDEX('G-8 Condition Look up'!$A$3:$H$135,MATCH(S228,'G-8 Condition Look up'!$A$3:$A$135,0),MATCH(Y228,'G-8 Condition Look up'!$A$3:$H$3,0)),"")</f>
        <v/>
      </c>
      <c r="AA228" s="105"/>
      <c r="AB228" s="320" t="str">
        <f>IF(AA228="","",IF(VLOOKUP(AA228,'G-3 Multipliers'!$L$3:$N$6,2,FALSE)=0,"Spatial Data Missing ⚠",VLOOKUP(AA228,'G-3 Multipliers'!$L$3:$N$6,2,FALSE)))</f>
        <v/>
      </c>
      <c r="AC228" s="305" t="str">
        <f>IF(AA228="","",IF(VLOOKUP(AA228,'G-3 Multipliers'!$L$3:$N$6,3,FALSE)=0,"Spatial Data Missing ⚠",VLOOKUP(AA228,'G-3 Multipliers'!$L$3:$N$6,3,FALSE)))</f>
        <v/>
      </c>
      <c r="AD228" s="317" t="str">
        <f t="shared" si="31"/>
        <v/>
      </c>
      <c r="AE228" s="142"/>
      <c r="AF228" s="142"/>
      <c r="AG228" s="301" t="str">
        <f t="shared" si="34"/>
        <v/>
      </c>
      <c r="AH228" s="302" t="str">
        <f t="shared" si="35"/>
        <v/>
      </c>
      <c r="AI228" s="306" t="str">
        <f>IF(AH228="Check Data ⚠","Check Data ⚠",IFERROR(VLOOKUP(AH228,'G-4 Temporal multipliers'!$A$4:$C$36,3,FALSE),""))</f>
        <v/>
      </c>
      <c r="AJ228" s="317" t="str">
        <f>IF(S228="","",VLOOKUP(S228,'G-3 Multipliers'!$A$2:$E$134,4,FALSE))</f>
        <v/>
      </c>
      <c r="AK228" s="301" t="str">
        <f t="shared" si="36"/>
        <v/>
      </c>
      <c r="AL228" s="301" t="str">
        <f t="shared" si="37"/>
        <v/>
      </c>
      <c r="AM228" s="305" t="str">
        <f>IFERROR(IF(F228="","",IF(AH228="Check Data ⚠","Check Data ⚠",VLOOKUP(AL228, 'G-3 Multipliers'!$P$2:$Q$6,2,FALSE))),"")</f>
        <v/>
      </c>
      <c r="AN228" s="728"/>
      <c r="AO228" s="335" t="str">
        <f>IF(AN228="","",IF(VLOOKUP(AN228,'G-3 Multipliers'!$S$3:$T$10,2,FALSE)=0,"Spatial Data Missing ⚠",VLOOKUP(AN228,'G-3 Multipliers'!$S$3:$T$10,2,FALSE)))</f>
        <v/>
      </c>
      <c r="AP228" s="295" t="str">
        <f t="shared" si="38"/>
        <v/>
      </c>
      <c r="AQ228" s="295" t="str">
        <f t="shared" si="39"/>
        <v/>
      </c>
      <c r="AR228" s="109"/>
      <c r="AS228" s="142"/>
      <c r="AT228" s="108"/>
      <c r="AU228" s="108"/>
      <c r="AY228" s="30" t="str">
        <f>IF(E228="","",IF(ISNA(VLOOKUP($E228,'D-1 Off-Site Habitat Baseline'!$D$1:$AV$258,4,FALSE)),"",(VLOOKUP($E228,'D-1 Off-Site Habitat Baseline'!$D$1:$AV$258,4,FALSE))))</f>
        <v/>
      </c>
    </row>
    <row r="229" spans="1:51" x14ac:dyDescent="0.25">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325" t="str">
        <f>'D-1 Off-Site Habitat Baseline'!AP228</f>
        <v/>
      </c>
      <c r="F229" s="289" t="str">
        <f>IF(E229="","",IF(ISNA(VLOOKUP($E229,'D-1 Off-Site Habitat Baseline'!$D$1:$ZZ$258,45,FALSE)),"",(VLOOKUP($E229,'D-1 Off-Site Habitat Baseline'!$D$1:$ZZ$258,45,FALSE))))</f>
        <v/>
      </c>
      <c r="G229" s="301" t="str">
        <f>IF(E229="","",IF(ISNA(VLOOKUP($E229,'D-1 Off-Site Habitat Baseline'!$D$1:$O$258,5,FALSE)),"",(VLOOKUP($E229,'D-1 Off-Site Habitat Baseline'!$D$1:$O$258,5,FALSE))))</f>
        <v/>
      </c>
      <c r="H229" s="301" t="str">
        <f>IF(E229="","",IF(ISNA(VLOOKUP($E229,'D-1 Off-Site Habitat Baseline'!$D$1:$O$258,6,FALSE)),"",(VLOOKUP($E229,'D-1 Off-Site Habitat Baseline'!$D$1:$O$258,6,FALSE))))</f>
        <v/>
      </c>
      <c r="I229" s="301" t="str">
        <f>IF(E229="","",IF(ISNA(VLOOKUP($E229,'D-1 Off-Site Habitat Baseline'!$D$1:$O$258,7,FALSE)),"",(VLOOKUP($E229,'D-1 Off-Site Habitat Baseline'!$D$1:$O$258,7,FALSE))))</f>
        <v/>
      </c>
      <c r="J229" s="301" t="str">
        <f>IF(E229="","",IF(ISNA(VLOOKUP($E229,'D-1 Off-Site Habitat Baseline'!$D$1:$O$258,8,FALSE)),"",(VLOOKUP($E229,'D-1 Off-Site Habitat Baseline'!$D$1:$O$258,8,FALSE))))</f>
        <v/>
      </c>
      <c r="K229" s="301" t="str">
        <f>IF(E229="","",IF(ISNA(VLOOKUP($E229,'D-1 Off-Site Habitat Baseline'!$D$1:$O$258,9,FALSE)),"",(VLOOKUP($E229,'D-1 Off-Site Habitat Baseline'!$D$1:$O$258,9,FALSE))))</f>
        <v/>
      </c>
      <c r="L229" s="301" t="str">
        <f>IF(E229="","",IF(ISNA(VLOOKUP($E229,'D-1 Off-Site Habitat Baseline'!$D$1:$O$258,11,FALSE)),"",(VLOOKUP($E229,'D-1 Off-Site Habitat Baseline'!$D$1:$O$258,11,FALSE))))</f>
        <v/>
      </c>
      <c r="M229" s="301" t="str">
        <f>IF(E229="","",IF(ISNA(VLOOKUP($E229,'D-1 Off-Site Habitat Baseline'!$D$1:$O$258,12,FALSE)),"",(VLOOKUP($E229,'D-1 Off-Site Habitat Baseline'!$D$1:$O$258,12,FALSE))))</f>
        <v/>
      </c>
      <c r="N229" s="301" t="str">
        <f>IF(E229="","",IF(ISNA(VLOOKUP($E229,'D-1 Off-Site Habitat Baseline'!$D$1:$AA$258,17,FALSE)),"",(VLOOKUP($E229,'D-1 Off-Site Habitat Baseline'!$D$1:$AA$258,17,FALSE))))</f>
        <v/>
      </c>
      <c r="O229" s="305" t="str">
        <f>IF(E229="","",IF(ISNA(VLOOKUP($E229,'D-1 Off-Site Habitat Baseline'!$D$1:$AA$258,13,FALSE)),"",(VLOOKUP($E229,'D-1 Off-Site Habitat Baseline'!$D$1:$AA$258,13,FALSE))))</f>
        <v/>
      </c>
      <c r="P229" s="152" t="str">
        <f>IFERROR(INDEX('G-1 All Habitats'!$AG$49:$AG$63,MATCH(Q229,'G-1 All Habitats'!$AF$27:$AF$41,0)),"")</f>
        <v/>
      </c>
      <c r="Q229" s="153"/>
      <c r="R229" s="154"/>
      <c r="S229" s="155" t="str">
        <f>IFERROR(INDEX('G-1 All Habitats'!$B$3:$B$135,MATCH(R229,'G-1 All Habitats'!$A$3:$A$135,0)),"")</f>
        <v/>
      </c>
      <c r="T229" s="289" t="str">
        <f t="shared" si="32"/>
        <v/>
      </c>
      <c r="U229" s="305" t="str">
        <f t="shared" si="33"/>
        <v/>
      </c>
      <c r="V229" s="304" t="str">
        <f t="shared" si="30"/>
        <v/>
      </c>
      <c r="W229" s="301" t="str">
        <f>IF(S229="","",VLOOKUP(S229,'G-1 All Habitats'!$B$2:$M$135,10,FALSE))</f>
        <v/>
      </c>
      <c r="X229" s="301" t="str">
        <f>IFERROR(VLOOKUP(W229,'G-1 All Habitats'!$V$3:$W$7,2,FALSE),"")</f>
        <v/>
      </c>
      <c r="Y229" s="142"/>
      <c r="Z229" s="305" t="str">
        <f>IFERROR(INDEX('G-8 Condition Look up'!$A$3:$H$135,MATCH(S229,'G-8 Condition Look up'!$A$3:$A$135,0),MATCH(Y229,'G-8 Condition Look up'!$A$3:$H$3,0)),"")</f>
        <v/>
      </c>
      <c r="AA229" s="105"/>
      <c r="AB229" s="320" t="str">
        <f>IF(AA229="","",IF(VLOOKUP(AA229,'G-3 Multipliers'!$L$3:$N$6,2,FALSE)=0,"Spatial Data Missing ⚠",VLOOKUP(AA229,'G-3 Multipliers'!$L$3:$N$6,2,FALSE)))</f>
        <v/>
      </c>
      <c r="AC229" s="305" t="str">
        <f>IF(AA229="","",IF(VLOOKUP(AA229,'G-3 Multipliers'!$L$3:$N$6,3,FALSE)=0,"Spatial Data Missing ⚠",VLOOKUP(AA229,'G-3 Multipliers'!$L$3:$N$6,3,FALSE)))</f>
        <v/>
      </c>
      <c r="AD229" s="317" t="str">
        <f t="shared" si="31"/>
        <v/>
      </c>
      <c r="AE229" s="142"/>
      <c r="AF229" s="142"/>
      <c r="AG229" s="301" t="str">
        <f t="shared" si="34"/>
        <v/>
      </c>
      <c r="AH229" s="302" t="str">
        <f t="shared" si="35"/>
        <v/>
      </c>
      <c r="AI229" s="306" t="str">
        <f>IF(AH229="Check Data ⚠","Check Data ⚠",IFERROR(VLOOKUP(AH229,'G-4 Temporal multipliers'!$A$4:$C$36,3,FALSE),""))</f>
        <v/>
      </c>
      <c r="AJ229" s="317" t="str">
        <f>IF(S229="","",VLOOKUP(S229,'G-3 Multipliers'!$A$2:$E$134,4,FALSE))</f>
        <v/>
      </c>
      <c r="AK229" s="301" t="str">
        <f t="shared" si="36"/>
        <v/>
      </c>
      <c r="AL229" s="301" t="str">
        <f t="shared" si="37"/>
        <v/>
      </c>
      <c r="AM229" s="305" t="str">
        <f>IFERROR(IF(F229="","",IF(AH229="Check Data ⚠","Check Data ⚠",VLOOKUP(AL229, 'G-3 Multipliers'!$P$2:$Q$6,2,FALSE))),"")</f>
        <v/>
      </c>
      <c r="AN229" s="728"/>
      <c r="AO229" s="335" t="str">
        <f>IF(AN229="","",IF(VLOOKUP(AN229,'G-3 Multipliers'!$S$3:$T$10,2,FALSE)=0,"Spatial Data Missing ⚠",VLOOKUP(AN229,'G-3 Multipliers'!$S$3:$T$10,2,FALSE)))</f>
        <v/>
      </c>
      <c r="AP229" s="295" t="str">
        <f t="shared" si="38"/>
        <v/>
      </c>
      <c r="AQ229" s="295" t="str">
        <f t="shared" si="39"/>
        <v/>
      </c>
      <c r="AR229" s="109"/>
      <c r="AS229" s="142"/>
      <c r="AT229" s="108"/>
      <c r="AU229" s="108"/>
      <c r="AY229" s="30" t="str">
        <f>IF(E229="","",IF(ISNA(VLOOKUP($E229,'D-1 Off-Site Habitat Baseline'!$D$1:$AV$258,4,FALSE)),"",(VLOOKUP($E229,'D-1 Off-Site Habitat Baseline'!$D$1:$AV$258,4,FALSE))))</f>
        <v/>
      </c>
    </row>
    <row r="230" spans="1:51" x14ac:dyDescent="0.25">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325" t="str">
        <f>'D-1 Off-Site Habitat Baseline'!AP229</f>
        <v/>
      </c>
      <c r="F230" s="289" t="str">
        <f>IF(E230="","",IF(ISNA(VLOOKUP($E230,'D-1 Off-Site Habitat Baseline'!$D$1:$ZZ$258,45,FALSE)),"",(VLOOKUP($E230,'D-1 Off-Site Habitat Baseline'!$D$1:$ZZ$258,45,FALSE))))</f>
        <v/>
      </c>
      <c r="G230" s="301" t="str">
        <f>IF(E230="","",IF(ISNA(VLOOKUP($E230,'D-1 Off-Site Habitat Baseline'!$D$1:$O$258,5,FALSE)),"",(VLOOKUP($E230,'D-1 Off-Site Habitat Baseline'!$D$1:$O$258,5,FALSE))))</f>
        <v/>
      </c>
      <c r="H230" s="301" t="str">
        <f>IF(E230="","",IF(ISNA(VLOOKUP($E230,'D-1 Off-Site Habitat Baseline'!$D$1:$O$258,6,FALSE)),"",(VLOOKUP($E230,'D-1 Off-Site Habitat Baseline'!$D$1:$O$258,6,FALSE))))</f>
        <v/>
      </c>
      <c r="I230" s="301" t="str">
        <f>IF(E230="","",IF(ISNA(VLOOKUP($E230,'D-1 Off-Site Habitat Baseline'!$D$1:$O$258,7,FALSE)),"",(VLOOKUP($E230,'D-1 Off-Site Habitat Baseline'!$D$1:$O$258,7,FALSE))))</f>
        <v/>
      </c>
      <c r="J230" s="301" t="str">
        <f>IF(E230="","",IF(ISNA(VLOOKUP($E230,'D-1 Off-Site Habitat Baseline'!$D$1:$O$258,8,FALSE)),"",(VLOOKUP($E230,'D-1 Off-Site Habitat Baseline'!$D$1:$O$258,8,FALSE))))</f>
        <v/>
      </c>
      <c r="K230" s="301" t="str">
        <f>IF(E230="","",IF(ISNA(VLOOKUP($E230,'D-1 Off-Site Habitat Baseline'!$D$1:$O$258,9,FALSE)),"",(VLOOKUP($E230,'D-1 Off-Site Habitat Baseline'!$D$1:$O$258,9,FALSE))))</f>
        <v/>
      </c>
      <c r="L230" s="301" t="str">
        <f>IF(E230="","",IF(ISNA(VLOOKUP($E230,'D-1 Off-Site Habitat Baseline'!$D$1:$O$258,11,FALSE)),"",(VLOOKUP($E230,'D-1 Off-Site Habitat Baseline'!$D$1:$O$258,11,FALSE))))</f>
        <v/>
      </c>
      <c r="M230" s="301" t="str">
        <f>IF(E230="","",IF(ISNA(VLOOKUP($E230,'D-1 Off-Site Habitat Baseline'!$D$1:$O$258,12,FALSE)),"",(VLOOKUP($E230,'D-1 Off-Site Habitat Baseline'!$D$1:$O$258,12,FALSE))))</f>
        <v/>
      </c>
      <c r="N230" s="301" t="str">
        <f>IF(E230="","",IF(ISNA(VLOOKUP($E230,'D-1 Off-Site Habitat Baseline'!$D$1:$AA$258,17,FALSE)),"",(VLOOKUP($E230,'D-1 Off-Site Habitat Baseline'!$D$1:$AA$258,17,FALSE))))</f>
        <v/>
      </c>
      <c r="O230" s="305" t="str">
        <f>IF(E230="","",IF(ISNA(VLOOKUP($E230,'D-1 Off-Site Habitat Baseline'!$D$1:$AA$258,13,FALSE)),"",(VLOOKUP($E230,'D-1 Off-Site Habitat Baseline'!$D$1:$AA$258,13,FALSE))))</f>
        <v/>
      </c>
      <c r="P230" s="152" t="str">
        <f>IFERROR(INDEX('G-1 All Habitats'!$AG$49:$AG$63,MATCH(Q230,'G-1 All Habitats'!$AF$27:$AF$41,0)),"")</f>
        <v/>
      </c>
      <c r="Q230" s="153"/>
      <c r="R230" s="154"/>
      <c r="S230" s="155" t="str">
        <f>IFERROR(INDEX('G-1 All Habitats'!$B$3:$B$135,MATCH(R230,'G-1 All Habitats'!$A$3:$A$135,0)),"")</f>
        <v/>
      </c>
      <c r="T230" s="289" t="str">
        <f t="shared" si="32"/>
        <v/>
      </c>
      <c r="U230" s="305" t="str">
        <f t="shared" si="33"/>
        <v/>
      </c>
      <c r="V230" s="304" t="str">
        <f t="shared" si="30"/>
        <v/>
      </c>
      <c r="W230" s="301" t="str">
        <f>IF(S230="","",VLOOKUP(S230,'G-1 All Habitats'!$B$2:$M$135,10,FALSE))</f>
        <v/>
      </c>
      <c r="X230" s="301" t="str">
        <f>IFERROR(VLOOKUP(W230,'G-1 All Habitats'!$V$3:$W$7,2,FALSE),"")</f>
        <v/>
      </c>
      <c r="Y230" s="142"/>
      <c r="Z230" s="305" t="str">
        <f>IFERROR(INDEX('G-8 Condition Look up'!$A$3:$H$135,MATCH(S230,'G-8 Condition Look up'!$A$3:$A$135,0),MATCH(Y230,'G-8 Condition Look up'!$A$3:$H$3,0)),"")</f>
        <v/>
      </c>
      <c r="AA230" s="105"/>
      <c r="AB230" s="320" t="str">
        <f>IF(AA230="","",IF(VLOOKUP(AA230,'G-3 Multipliers'!$L$3:$N$6,2,FALSE)=0,"Spatial Data Missing ⚠",VLOOKUP(AA230,'G-3 Multipliers'!$L$3:$N$6,2,FALSE)))</f>
        <v/>
      </c>
      <c r="AC230" s="305" t="str">
        <f>IF(AA230="","",IF(VLOOKUP(AA230,'G-3 Multipliers'!$L$3:$N$6,3,FALSE)=0,"Spatial Data Missing ⚠",VLOOKUP(AA230,'G-3 Multipliers'!$L$3:$N$6,3,FALSE)))</f>
        <v/>
      </c>
      <c r="AD230" s="317" t="str">
        <f t="shared" si="31"/>
        <v/>
      </c>
      <c r="AE230" s="142"/>
      <c r="AF230" s="142"/>
      <c r="AG230" s="301" t="str">
        <f t="shared" si="34"/>
        <v/>
      </c>
      <c r="AH230" s="302" t="str">
        <f t="shared" si="35"/>
        <v/>
      </c>
      <c r="AI230" s="306" t="str">
        <f>IF(AH230="Check Data ⚠","Check Data ⚠",IFERROR(VLOOKUP(AH230,'G-4 Temporal multipliers'!$A$4:$C$36,3,FALSE),""))</f>
        <v/>
      </c>
      <c r="AJ230" s="317" t="str">
        <f>IF(S230="","",VLOOKUP(S230,'G-3 Multipliers'!$A$2:$E$134,4,FALSE))</f>
        <v/>
      </c>
      <c r="AK230" s="301" t="str">
        <f t="shared" si="36"/>
        <v/>
      </c>
      <c r="AL230" s="301" t="str">
        <f t="shared" si="37"/>
        <v/>
      </c>
      <c r="AM230" s="305" t="str">
        <f>IFERROR(IF(F230="","",IF(AH230="Check Data ⚠","Check Data ⚠",VLOOKUP(AL230, 'G-3 Multipliers'!$P$2:$Q$6,2,FALSE))),"")</f>
        <v/>
      </c>
      <c r="AN230" s="728"/>
      <c r="AO230" s="335" t="str">
        <f>IF(AN230="","",IF(VLOOKUP(AN230,'G-3 Multipliers'!$S$3:$T$10,2,FALSE)=0,"Spatial Data Missing ⚠",VLOOKUP(AN230,'G-3 Multipliers'!$S$3:$T$10,2,FALSE)))</f>
        <v/>
      </c>
      <c r="AP230" s="295" t="str">
        <f t="shared" si="38"/>
        <v/>
      </c>
      <c r="AQ230" s="295" t="str">
        <f t="shared" si="39"/>
        <v/>
      </c>
      <c r="AR230" s="109"/>
      <c r="AS230" s="142"/>
      <c r="AT230" s="108"/>
      <c r="AU230" s="108"/>
      <c r="AY230" s="30" t="str">
        <f>IF(E230="","",IF(ISNA(VLOOKUP($E230,'D-1 Off-Site Habitat Baseline'!$D$1:$AV$258,4,FALSE)),"",(VLOOKUP($E230,'D-1 Off-Site Habitat Baseline'!$D$1:$AV$258,4,FALSE))))</f>
        <v/>
      </c>
    </row>
    <row r="231" spans="1:51" x14ac:dyDescent="0.25">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325" t="str">
        <f>'D-1 Off-Site Habitat Baseline'!AP230</f>
        <v/>
      </c>
      <c r="F231" s="289" t="str">
        <f>IF(E231="","",IF(ISNA(VLOOKUP($E231,'D-1 Off-Site Habitat Baseline'!$D$1:$ZZ$258,45,FALSE)),"",(VLOOKUP($E231,'D-1 Off-Site Habitat Baseline'!$D$1:$ZZ$258,45,FALSE))))</f>
        <v/>
      </c>
      <c r="G231" s="301" t="str">
        <f>IF(E231="","",IF(ISNA(VLOOKUP($E231,'D-1 Off-Site Habitat Baseline'!$D$1:$O$258,5,FALSE)),"",(VLOOKUP($E231,'D-1 Off-Site Habitat Baseline'!$D$1:$O$258,5,FALSE))))</f>
        <v/>
      </c>
      <c r="H231" s="301" t="str">
        <f>IF(E231="","",IF(ISNA(VLOOKUP($E231,'D-1 Off-Site Habitat Baseline'!$D$1:$O$258,6,FALSE)),"",(VLOOKUP($E231,'D-1 Off-Site Habitat Baseline'!$D$1:$O$258,6,FALSE))))</f>
        <v/>
      </c>
      <c r="I231" s="301" t="str">
        <f>IF(E231="","",IF(ISNA(VLOOKUP($E231,'D-1 Off-Site Habitat Baseline'!$D$1:$O$258,7,FALSE)),"",(VLOOKUP($E231,'D-1 Off-Site Habitat Baseline'!$D$1:$O$258,7,FALSE))))</f>
        <v/>
      </c>
      <c r="J231" s="301" t="str">
        <f>IF(E231="","",IF(ISNA(VLOOKUP($E231,'D-1 Off-Site Habitat Baseline'!$D$1:$O$258,8,FALSE)),"",(VLOOKUP($E231,'D-1 Off-Site Habitat Baseline'!$D$1:$O$258,8,FALSE))))</f>
        <v/>
      </c>
      <c r="K231" s="301" t="str">
        <f>IF(E231="","",IF(ISNA(VLOOKUP($E231,'D-1 Off-Site Habitat Baseline'!$D$1:$O$258,9,FALSE)),"",(VLOOKUP($E231,'D-1 Off-Site Habitat Baseline'!$D$1:$O$258,9,FALSE))))</f>
        <v/>
      </c>
      <c r="L231" s="301" t="str">
        <f>IF(E231="","",IF(ISNA(VLOOKUP($E231,'D-1 Off-Site Habitat Baseline'!$D$1:$O$258,11,FALSE)),"",(VLOOKUP($E231,'D-1 Off-Site Habitat Baseline'!$D$1:$O$258,11,FALSE))))</f>
        <v/>
      </c>
      <c r="M231" s="301" t="str">
        <f>IF(E231="","",IF(ISNA(VLOOKUP($E231,'D-1 Off-Site Habitat Baseline'!$D$1:$O$258,12,FALSE)),"",(VLOOKUP($E231,'D-1 Off-Site Habitat Baseline'!$D$1:$O$258,12,FALSE))))</f>
        <v/>
      </c>
      <c r="N231" s="301" t="str">
        <f>IF(E231="","",IF(ISNA(VLOOKUP($E231,'D-1 Off-Site Habitat Baseline'!$D$1:$AA$258,17,FALSE)),"",(VLOOKUP($E231,'D-1 Off-Site Habitat Baseline'!$D$1:$AA$258,17,FALSE))))</f>
        <v/>
      </c>
      <c r="O231" s="305" t="str">
        <f>IF(E231="","",IF(ISNA(VLOOKUP($E231,'D-1 Off-Site Habitat Baseline'!$D$1:$AA$258,13,FALSE)),"",(VLOOKUP($E231,'D-1 Off-Site Habitat Baseline'!$D$1:$AA$258,13,FALSE))))</f>
        <v/>
      </c>
      <c r="P231" s="152" t="str">
        <f>IFERROR(INDEX('G-1 All Habitats'!$AG$49:$AG$63,MATCH(Q231,'G-1 All Habitats'!$AF$27:$AF$41,0)),"")</f>
        <v/>
      </c>
      <c r="Q231" s="153"/>
      <c r="R231" s="154"/>
      <c r="S231" s="155" t="str">
        <f>IFERROR(INDEX('G-1 All Habitats'!$B$3:$B$135,MATCH(R231,'G-1 All Habitats'!$A$3:$A$135,0)),"")</f>
        <v/>
      </c>
      <c r="T231" s="289" t="str">
        <f t="shared" si="32"/>
        <v/>
      </c>
      <c r="U231" s="305" t="str">
        <f t="shared" si="33"/>
        <v/>
      </c>
      <c r="V231" s="304" t="str">
        <f t="shared" si="30"/>
        <v/>
      </c>
      <c r="W231" s="301" t="str">
        <f>IF(S231="","",VLOOKUP(S231,'G-1 All Habitats'!$B$2:$M$135,10,FALSE))</f>
        <v/>
      </c>
      <c r="X231" s="301" t="str">
        <f>IFERROR(VLOOKUP(W231,'G-1 All Habitats'!$V$3:$W$7,2,FALSE),"")</f>
        <v/>
      </c>
      <c r="Y231" s="142"/>
      <c r="Z231" s="305" t="str">
        <f>IFERROR(INDEX('G-8 Condition Look up'!$A$3:$H$135,MATCH(S231,'G-8 Condition Look up'!$A$3:$A$135,0),MATCH(Y231,'G-8 Condition Look up'!$A$3:$H$3,0)),"")</f>
        <v/>
      </c>
      <c r="AA231" s="105"/>
      <c r="AB231" s="320" t="str">
        <f>IF(AA231="","",IF(VLOOKUP(AA231,'G-3 Multipliers'!$L$3:$N$6,2,FALSE)=0,"Spatial Data Missing ⚠",VLOOKUP(AA231,'G-3 Multipliers'!$L$3:$N$6,2,FALSE)))</f>
        <v/>
      </c>
      <c r="AC231" s="305" t="str">
        <f>IF(AA231="","",IF(VLOOKUP(AA231,'G-3 Multipliers'!$L$3:$N$6,3,FALSE)=0,"Spatial Data Missing ⚠",VLOOKUP(AA231,'G-3 Multipliers'!$L$3:$N$6,3,FALSE)))</f>
        <v/>
      </c>
      <c r="AD231" s="317" t="str">
        <f t="shared" si="31"/>
        <v/>
      </c>
      <c r="AE231" s="142"/>
      <c r="AF231" s="142"/>
      <c r="AG231" s="301" t="str">
        <f t="shared" si="34"/>
        <v/>
      </c>
      <c r="AH231" s="302" t="str">
        <f t="shared" si="35"/>
        <v/>
      </c>
      <c r="AI231" s="306" t="str">
        <f>IF(AH231="Check Data ⚠","Check Data ⚠",IFERROR(VLOOKUP(AH231,'G-4 Temporal multipliers'!$A$4:$C$36,3,FALSE),""))</f>
        <v/>
      </c>
      <c r="AJ231" s="317" t="str">
        <f>IF(S231="","",VLOOKUP(S231,'G-3 Multipliers'!$A$2:$E$134,4,FALSE))</f>
        <v/>
      </c>
      <c r="AK231" s="301" t="str">
        <f t="shared" si="36"/>
        <v/>
      </c>
      <c r="AL231" s="301" t="str">
        <f t="shared" si="37"/>
        <v/>
      </c>
      <c r="AM231" s="305" t="str">
        <f>IFERROR(IF(F231="","",IF(AH231="Check Data ⚠","Check Data ⚠",VLOOKUP(AL231, 'G-3 Multipliers'!$P$2:$Q$6,2,FALSE))),"")</f>
        <v/>
      </c>
      <c r="AN231" s="728"/>
      <c r="AO231" s="335" t="str">
        <f>IF(AN231="","",IF(VLOOKUP(AN231,'G-3 Multipliers'!$S$3:$T$10,2,FALSE)=0,"Spatial Data Missing ⚠",VLOOKUP(AN231,'G-3 Multipliers'!$S$3:$T$10,2,FALSE)))</f>
        <v/>
      </c>
      <c r="AP231" s="295" t="str">
        <f t="shared" si="38"/>
        <v/>
      </c>
      <c r="AQ231" s="295" t="str">
        <f t="shared" si="39"/>
        <v/>
      </c>
      <c r="AR231" s="109"/>
      <c r="AS231" s="142"/>
      <c r="AT231" s="108"/>
      <c r="AU231" s="108"/>
      <c r="AY231" s="30" t="str">
        <f>IF(E231="","",IF(ISNA(VLOOKUP($E231,'D-1 Off-Site Habitat Baseline'!$D$1:$AV$258,4,FALSE)),"",(VLOOKUP($E231,'D-1 Off-Site Habitat Baseline'!$D$1:$AV$258,4,FALSE))))</f>
        <v/>
      </c>
    </row>
    <row r="232" spans="1:51" x14ac:dyDescent="0.25">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325" t="str">
        <f>'D-1 Off-Site Habitat Baseline'!AP231</f>
        <v/>
      </c>
      <c r="F232" s="289" t="str">
        <f>IF(E232="","",IF(ISNA(VLOOKUP($E232,'D-1 Off-Site Habitat Baseline'!$D$1:$ZZ$258,45,FALSE)),"",(VLOOKUP($E232,'D-1 Off-Site Habitat Baseline'!$D$1:$ZZ$258,45,FALSE))))</f>
        <v/>
      </c>
      <c r="G232" s="301" t="str">
        <f>IF(E232="","",IF(ISNA(VLOOKUP($E232,'D-1 Off-Site Habitat Baseline'!$D$1:$O$258,5,FALSE)),"",(VLOOKUP($E232,'D-1 Off-Site Habitat Baseline'!$D$1:$O$258,5,FALSE))))</f>
        <v/>
      </c>
      <c r="H232" s="301" t="str">
        <f>IF(E232="","",IF(ISNA(VLOOKUP($E232,'D-1 Off-Site Habitat Baseline'!$D$1:$O$258,6,FALSE)),"",(VLOOKUP($E232,'D-1 Off-Site Habitat Baseline'!$D$1:$O$258,6,FALSE))))</f>
        <v/>
      </c>
      <c r="I232" s="301" t="str">
        <f>IF(E232="","",IF(ISNA(VLOOKUP($E232,'D-1 Off-Site Habitat Baseline'!$D$1:$O$258,7,FALSE)),"",(VLOOKUP($E232,'D-1 Off-Site Habitat Baseline'!$D$1:$O$258,7,FALSE))))</f>
        <v/>
      </c>
      <c r="J232" s="301" t="str">
        <f>IF(E232="","",IF(ISNA(VLOOKUP($E232,'D-1 Off-Site Habitat Baseline'!$D$1:$O$258,8,FALSE)),"",(VLOOKUP($E232,'D-1 Off-Site Habitat Baseline'!$D$1:$O$258,8,FALSE))))</f>
        <v/>
      </c>
      <c r="K232" s="301" t="str">
        <f>IF(E232="","",IF(ISNA(VLOOKUP($E232,'D-1 Off-Site Habitat Baseline'!$D$1:$O$258,9,FALSE)),"",(VLOOKUP($E232,'D-1 Off-Site Habitat Baseline'!$D$1:$O$258,9,FALSE))))</f>
        <v/>
      </c>
      <c r="L232" s="301" t="str">
        <f>IF(E232="","",IF(ISNA(VLOOKUP($E232,'D-1 Off-Site Habitat Baseline'!$D$1:$O$258,11,FALSE)),"",(VLOOKUP($E232,'D-1 Off-Site Habitat Baseline'!$D$1:$O$258,11,FALSE))))</f>
        <v/>
      </c>
      <c r="M232" s="301" t="str">
        <f>IF(E232="","",IF(ISNA(VLOOKUP($E232,'D-1 Off-Site Habitat Baseline'!$D$1:$O$258,12,FALSE)),"",(VLOOKUP($E232,'D-1 Off-Site Habitat Baseline'!$D$1:$O$258,12,FALSE))))</f>
        <v/>
      </c>
      <c r="N232" s="301" t="str">
        <f>IF(E232="","",IF(ISNA(VLOOKUP($E232,'D-1 Off-Site Habitat Baseline'!$D$1:$AA$258,17,FALSE)),"",(VLOOKUP($E232,'D-1 Off-Site Habitat Baseline'!$D$1:$AA$258,17,FALSE))))</f>
        <v/>
      </c>
      <c r="O232" s="305" t="str">
        <f>IF(E232="","",IF(ISNA(VLOOKUP($E232,'D-1 Off-Site Habitat Baseline'!$D$1:$AA$258,13,FALSE)),"",(VLOOKUP($E232,'D-1 Off-Site Habitat Baseline'!$D$1:$AA$258,13,FALSE))))</f>
        <v/>
      </c>
      <c r="P232" s="152" t="str">
        <f>IFERROR(INDEX('G-1 All Habitats'!$AG$49:$AG$63,MATCH(Q232,'G-1 All Habitats'!$AF$27:$AF$41,0)),"")</f>
        <v/>
      </c>
      <c r="Q232" s="153"/>
      <c r="R232" s="154"/>
      <c r="S232" s="155" t="str">
        <f>IFERROR(INDEX('G-1 All Habitats'!$B$3:$B$135,MATCH(R232,'G-1 All Habitats'!$A$3:$A$135,0)),"")</f>
        <v/>
      </c>
      <c r="T232" s="289" t="str">
        <f t="shared" si="32"/>
        <v/>
      </c>
      <c r="U232" s="305" t="str">
        <f t="shared" si="33"/>
        <v/>
      </c>
      <c r="V232" s="304" t="str">
        <f t="shared" si="30"/>
        <v/>
      </c>
      <c r="W232" s="301" t="str">
        <f>IF(S232="","",VLOOKUP(S232,'G-1 All Habitats'!$B$2:$M$135,10,FALSE))</f>
        <v/>
      </c>
      <c r="X232" s="301" t="str">
        <f>IFERROR(VLOOKUP(W232,'G-1 All Habitats'!$V$3:$W$7,2,FALSE),"")</f>
        <v/>
      </c>
      <c r="Y232" s="142"/>
      <c r="Z232" s="305" t="str">
        <f>IFERROR(INDEX('G-8 Condition Look up'!$A$3:$H$135,MATCH(S232,'G-8 Condition Look up'!$A$3:$A$135,0),MATCH(Y232,'G-8 Condition Look up'!$A$3:$H$3,0)),"")</f>
        <v/>
      </c>
      <c r="AA232" s="105"/>
      <c r="AB232" s="320" t="str">
        <f>IF(AA232="","",IF(VLOOKUP(AA232,'G-3 Multipliers'!$L$3:$N$6,2,FALSE)=0,"Spatial Data Missing ⚠",VLOOKUP(AA232,'G-3 Multipliers'!$L$3:$N$6,2,FALSE)))</f>
        <v/>
      </c>
      <c r="AC232" s="305" t="str">
        <f>IF(AA232="","",IF(VLOOKUP(AA232,'G-3 Multipliers'!$L$3:$N$6,3,FALSE)=0,"Spatial Data Missing ⚠",VLOOKUP(AA232,'G-3 Multipliers'!$L$3:$N$6,3,FALSE)))</f>
        <v/>
      </c>
      <c r="AD232" s="317" t="str">
        <f t="shared" si="31"/>
        <v/>
      </c>
      <c r="AE232" s="142"/>
      <c r="AF232" s="142"/>
      <c r="AG232" s="301" t="str">
        <f t="shared" si="34"/>
        <v/>
      </c>
      <c r="AH232" s="302" t="str">
        <f t="shared" si="35"/>
        <v/>
      </c>
      <c r="AI232" s="306" t="str">
        <f>IF(AH232="Check Data ⚠","Check Data ⚠",IFERROR(VLOOKUP(AH232,'G-4 Temporal multipliers'!$A$4:$C$36,3,FALSE),""))</f>
        <v/>
      </c>
      <c r="AJ232" s="317" t="str">
        <f>IF(S232="","",VLOOKUP(S232,'G-3 Multipliers'!$A$2:$E$134,4,FALSE))</f>
        <v/>
      </c>
      <c r="AK232" s="301" t="str">
        <f t="shared" si="36"/>
        <v/>
      </c>
      <c r="AL232" s="301" t="str">
        <f t="shared" si="37"/>
        <v/>
      </c>
      <c r="AM232" s="305" t="str">
        <f>IFERROR(IF(F232="","",IF(AH232="Check Data ⚠","Check Data ⚠",VLOOKUP(AL232, 'G-3 Multipliers'!$P$2:$Q$6,2,FALSE))),"")</f>
        <v/>
      </c>
      <c r="AN232" s="728"/>
      <c r="AO232" s="335" t="str">
        <f>IF(AN232="","",IF(VLOOKUP(AN232,'G-3 Multipliers'!$S$3:$T$10,2,FALSE)=0,"Spatial Data Missing ⚠",VLOOKUP(AN232,'G-3 Multipliers'!$S$3:$T$10,2,FALSE)))</f>
        <v/>
      </c>
      <c r="AP232" s="295" t="str">
        <f t="shared" si="38"/>
        <v/>
      </c>
      <c r="AQ232" s="295" t="str">
        <f t="shared" si="39"/>
        <v/>
      </c>
      <c r="AR232" s="109"/>
      <c r="AS232" s="142"/>
      <c r="AT232" s="108"/>
      <c r="AU232" s="108"/>
      <c r="AY232" s="30" t="str">
        <f>IF(E232="","",IF(ISNA(VLOOKUP($E232,'D-1 Off-Site Habitat Baseline'!$D$1:$AV$258,4,FALSE)),"",(VLOOKUP($E232,'D-1 Off-Site Habitat Baseline'!$D$1:$AV$258,4,FALSE))))</f>
        <v/>
      </c>
    </row>
    <row r="233" spans="1:51" x14ac:dyDescent="0.25">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325" t="str">
        <f>'D-1 Off-Site Habitat Baseline'!AP232</f>
        <v/>
      </c>
      <c r="F233" s="289" t="str">
        <f>IF(E233="","",IF(ISNA(VLOOKUP($E233,'D-1 Off-Site Habitat Baseline'!$D$1:$ZZ$258,45,FALSE)),"",(VLOOKUP($E233,'D-1 Off-Site Habitat Baseline'!$D$1:$ZZ$258,45,FALSE))))</f>
        <v/>
      </c>
      <c r="G233" s="301" t="str">
        <f>IF(E233="","",IF(ISNA(VLOOKUP($E233,'D-1 Off-Site Habitat Baseline'!$D$1:$O$258,5,FALSE)),"",(VLOOKUP($E233,'D-1 Off-Site Habitat Baseline'!$D$1:$O$258,5,FALSE))))</f>
        <v/>
      </c>
      <c r="H233" s="301" t="str">
        <f>IF(E233="","",IF(ISNA(VLOOKUP($E233,'D-1 Off-Site Habitat Baseline'!$D$1:$O$258,6,FALSE)),"",(VLOOKUP($E233,'D-1 Off-Site Habitat Baseline'!$D$1:$O$258,6,FALSE))))</f>
        <v/>
      </c>
      <c r="I233" s="301" t="str">
        <f>IF(E233="","",IF(ISNA(VLOOKUP($E233,'D-1 Off-Site Habitat Baseline'!$D$1:$O$258,7,FALSE)),"",(VLOOKUP($E233,'D-1 Off-Site Habitat Baseline'!$D$1:$O$258,7,FALSE))))</f>
        <v/>
      </c>
      <c r="J233" s="301" t="str">
        <f>IF(E233="","",IF(ISNA(VLOOKUP($E233,'D-1 Off-Site Habitat Baseline'!$D$1:$O$258,8,FALSE)),"",(VLOOKUP($E233,'D-1 Off-Site Habitat Baseline'!$D$1:$O$258,8,FALSE))))</f>
        <v/>
      </c>
      <c r="K233" s="301" t="str">
        <f>IF(E233="","",IF(ISNA(VLOOKUP($E233,'D-1 Off-Site Habitat Baseline'!$D$1:$O$258,9,FALSE)),"",(VLOOKUP($E233,'D-1 Off-Site Habitat Baseline'!$D$1:$O$258,9,FALSE))))</f>
        <v/>
      </c>
      <c r="L233" s="301" t="str">
        <f>IF(E233="","",IF(ISNA(VLOOKUP($E233,'D-1 Off-Site Habitat Baseline'!$D$1:$O$258,11,FALSE)),"",(VLOOKUP($E233,'D-1 Off-Site Habitat Baseline'!$D$1:$O$258,11,FALSE))))</f>
        <v/>
      </c>
      <c r="M233" s="301" t="str">
        <f>IF(E233="","",IF(ISNA(VLOOKUP($E233,'D-1 Off-Site Habitat Baseline'!$D$1:$O$258,12,FALSE)),"",(VLOOKUP($E233,'D-1 Off-Site Habitat Baseline'!$D$1:$O$258,12,FALSE))))</f>
        <v/>
      </c>
      <c r="N233" s="301" t="str">
        <f>IF(E233="","",IF(ISNA(VLOOKUP($E233,'D-1 Off-Site Habitat Baseline'!$D$1:$AA$258,17,FALSE)),"",(VLOOKUP($E233,'D-1 Off-Site Habitat Baseline'!$D$1:$AA$258,17,FALSE))))</f>
        <v/>
      </c>
      <c r="O233" s="305" t="str">
        <f>IF(E233="","",IF(ISNA(VLOOKUP($E233,'D-1 Off-Site Habitat Baseline'!$D$1:$AA$258,13,FALSE)),"",(VLOOKUP($E233,'D-1 Off-Site Habitat Baseline'!$D$1:$AA$258,13,FALSE))))</f>
        <v/>
      </c>
      <c r="P233" s="152" t="str">
        <f>IFERROR(INDEX('G-1 All Habitats'!$AG$49:$AG$63,MATCH(Q233,'G-1 All Habitats'!$AF$27:$AF$41,0)),"")</f>
        <v/>
      </c>
      <c r="Q233" s="153"/>
      <c r="R233" s="154"/>
      <c r="S233" s="155" t="str">
        <f>IFERROR(INDEX('G-1 All Habitats'!$B$3:$B$135,MATCH(R233,'G-1 All Habitats'!$A$3:$A$135,0)),"")</f>
        <v/>
      </c>
      <c r="T233" s="289" t="str">
        <f t="shared" si="32"/>
        <v/>
      </c>
      <c r="U233" s="305" t="str">
        <f t="shared" si="33"/>
        <v/>
      </c>
      <c r="V233" s="304" t="str">
        <f t="shared" si="30"/>
        <v/>
      </c>
      <c r="W233" s="301" t="str">
        <f>IF(S233="","",VLOOKUP(S233,'G-1 All Habitats'!$B$2:$M$135,10,FALSE))</f>
        <v/>
      </c>
      <c r="X233" s="301" t="str">
        <f>IFERROR(VLOOKUP(W233,'G-1 All Habitats'!$V$3:$W$7,2,FALSE),"")</f>
        <v/>
      </c>
      <c r="Y233" s="142"/>
      <c r="Z233" s="305" t="str">
        <f>IFERROR(INDEX('G-8 Condition Look up'!$A$3:$H$135,MATCH(S233,'G-8 Condition Look up'!$A$3:$A$135,0),MATCH(Y233,'G-8 Condition Look up'!$A$3:$H$3,0)),"")</f>
        <v/>
      </c>
      <c r="AA233" s="105"/>
      <c r="AB233" s="320" t="str">
        <f>IF(AA233="","",IF(VLOOKUP(AA233,'G-3 Multipliers'!$L$3:$N$6,2,FALSE)=0,"Spatial Data Missing ⚠",VLOOKUP(AA233,'G-3 Multipliers'!$L$3:$N$6,2,FALSE)))</f>
        <v/>
      </c>
      <c r="AC233" s="305" t="str">
        <f>IF(AA233="","",IF(VLOOKUP(AA233,'G-3 Multipliers'!$L$3:$N$6,3,FALSE)=0,"Spatial Data Missing ⚠",VLOOKUP(AA233,'G-3 Multipliers'!$L$3:$N$6,3,FALSE)))</f>
        <v/>
      </c>
      <c r="AD233" s="317" t="str">
        <f t="shared" si="31"/>
        <v/>
      </c>
      <c r="AE233" s="142"/>
      <c r="AF233" s="142"/>
      <c r="AG233" s="301" t="str">
        <f t="shared" si="34"/>
        <v/>
      </c>
      <c r="AH233" s="302" t="str">
        <f t="shared" si="35"/>
        <v/>
      </c>
      <c r="AI233" s="306" t="str">
        <f>IF(AH233="Check Data ⚠","Check Data ⚠",IFERROR(VLOOKUP(AH233,'G-4 Temporal multipliers'!$A$4:$C$36,3,FALSE),""))</f>
        <v/>
      </c>
      <c r="AJ233" s="317" t="str">
        <f>IF(S233="","",VLOOKUP(S233,'G-3 Multipliers'!$A$2:$E$134,4,FALSE))</f>
        <v/>
      </c>
      <c r="AK233" s="301" t="str">
        <f t="shared" si="36"/>
        <v/>
      </c>
      <c r="AL233" s="301" t="str">
        <f t="shared" si="37"/>
        <v/>
      </c>
      <c r="AM233" s="305" t="str">
        <f>IFERROR(IF(F233="","",IF(AH233="Check Data ⚠","Check Data ⚠",VLOOKUP(AL233, 'G-3 Multipliers'!$P$2:$Q$6,2,FALSE))),"")</f>
        <v/>
      </c>
      <c r="AN233" s="728"/>
      <c r="AO233" s="335" t="str">
        <f>IF(AN233="","",IF(VLOOKUP(AN233,'G-3 Multipliers'!$S$3:$T$10,2,FALSE)=0,"Spatial Data Missing ⚠",VLOOKUP(AN233,'G-3 Multipliers'!$S$3:$T$10,2,FALSE)))</f>
        <v/>
      </c>
      <c r="AP233" s="295" t="str">
        <f t="shared" si="38"/>
        <v/>
      </c>
      <c r="AQ233" s="295" t="str">
        <f t="shared" si="39"/>
        <v/>
      </c>
      <c r="AR233" s="109"/>
      <c r="AS233" s="142"/>
      <c r="AT233" s="108"/>
      <c r="AU233" s="108"/>
      <c r="AY233" s="30" t="str">
        <f>IF(E233="","",IF(ISNA(VLOOKUP($E233,'D-1 Off-Site Habitat Baseline'!$D$1:$AV$258,4,FALSE)),"",(VLOOKUP($E233,'D-1 Off-Site Habitat Baseline'!$D$1:$AV$258,4,FALSE))))</f>
        <v/>
      </c>
    </row>
    <row r="234" spans="1:51" x14ac:dyDescent="0.25">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325" t="str">
        <f>'D-1 Off-Site Habitat Baseline'!AP233</f>
        <v/>
      </c>
      <c r="F234" s="289" t="str">
        <f>IF(E234="","",IF(ISNA(VLOOKUP($E234,'D-1 Off-Site Habitat Baseline'!$D$1:$ZZ$258,45,FALSE)),"",(VLOOKUP($E234,'D-1 Off-Site Habitat Baseline'!$D$1:$ZZ$258,45,FALSE))))</f>
        <v/>
      </c>
      <c r="G234" s="301" t="str">
        <f>IF(E234="","",IF(ISNA(VLOOKUP($E234,'D-1 Off-Site Habitat Baseline'!$D$1:$O$258,5,FALSE)),"",(VLOOKUP($E234,'D-1 Off-Site Habitat Baseline'!$D$1:$O$258,5,FALSE))))</f>
        <v/>
      </c>
      <c r="H234" s="301" t="str">
        <f>IF(E234="","",IF(ISNA(VLOOKUP($E234,'D-1 Off-Site Habitat Baseline'!$D$1:$O$258,6,FALSE)),"",(VLOOKUP($E234,'D-1 Off-Site Habitat Baseline'!$D$1:$O$258,6,FALSE))))</f>
        <v/>
      </c>
      <c r="I234" s="301" t="str">
        <f>IF(E234="","",IF(ISNA(VLOOKUP($E234,'D-1 Off-Site Habitat Baseline'!$D$1:$O$258,7,FALSE)),"",(VLOOKUP($E234,'D-1 Off-Site Habitat Baseline'!$D$1:$O$258,7,FALSE))))</f>
        <v/>
      </c>
      <c r="J234" s="301" t="str">
        <f>IF(E234="","",IF(ISNA(VLOOKUP($E234,'D-1 Off-Site Habitat Baseline'!$D$1:$O$258,8,FALSE)),"",(VLOOKUP($E234,'D-1 Off-Site Habitat Baseline'!$D$1:$O$258,8,FALSE))))</f>
        <v/>
      </c>
      <c r="K234" s="301" t="str">
        <f>IF(E234="","",IF(ISNA(VLOOKUP($E234,'D-1 Off-Site Habitat Baseline'!$D$1:$O$258,9,FALSE)),"",(VLOOKUP($E234,'D-1 Off-Site Habitat Baseline'!$D$1:$O$258,9,FALSE))))</f>
        <v/>
      </c>
      <c r="L234" s="301" t="str">
        <f>IF(E234="","",IF(ISNA(VLOOKUP($E234,'D-1 Off-Site Habitat Baseline'!$D$1:$O$258,11,FALSE)),"",(VLOOKUP($E234,'D-1 Off-Site Habitat Baseline'!$D$1:$O$258,11,FALSE))))</f>
        <v/>
      </c>
      <c r="M234" s="301" t="str">
        <f>IF(E234="","",IF(ISNA(VLOOKUP($E234,'D-1 Off-Site Habitat Baseline'!$D$1:$O$258,12,FALSE)),"",(VLOOKUP($E234,'D-1 Off-Site Habitat Baseline'!$D$1:$O$258,12,FALSE))))</f>
        <v/>
      </c>
      <c r="N234" s="301" t="str">
        <f>IF(E234="","",IF(ISNA(VLOOKUP($E234,'D-1 Off-Site Habitat Baseline'!$D$1:$AA$258,17,FALSE)),"",(VLOOKUP($E234,'D-1 Off-Site Habitat Baseline'!$D$1:$AA$258,17,FALSE))))</f>
        <v/>
      </c>
      <c r="O234" s="305" t="str">
        <f>IF(E234="","",IF(ISNA(VLOOKUP($E234,'D-1 Off-Site Habitat Baseline'!$D$1:$AA$258,13,FALSE)),"",(VLOOKUP($E234,'D-1 Off-Site Habitat Baseline'!$D$1:$AA$258,13,FALSE))))</f>
        <v/>
      </c>
      <c r="P234" s="152" t="str">
        <f>IFERROR(INDEX('G-1 All Habitats'!$AG$49:$AG$63,MATCH(Q234,'G-1 All Habitats'!$AF$27:$AF$41,0)),"")</f>
        <v/>
      </c>
      <c r="Q234" s="153"/>
      <c r="R234" s="154"/>
      <c r="S234" s="155" t="str">
        <f>IFERROR(INDEX('G-1 All Habitats'!$B$3:$B$135,MATCH(R234,'G-1 All Habitats'!$A$3:$A$135,0)),"")</f>
        <v/>
      </c>
      <c r="T234" s="289" t="str">
        <f t="shared" si="32"/>
        <v/>
      </c>
      <c r="U234" s="305" t="str">
        <f t="shared" si="33"/>
        <v/>
      </c>
      <c r="V234" s="304" t="str">
        <f t="shared" si="30"/>
        <v/>
      </c>
      <c r="W234" s="301" t="str">
        <f>IF(S234="","",VLOOKUP(S234,'G-1 All Habitats'!$B$2:$M$135,10,FALSE))</f>
        <v/>
      </c>
      <c r="X234" s="301" t="str">
        <f>IFERROR(VLOOKUP(W234,'G-1 All Habitats'!$V$3:$W$7,2,FALSE),"")</f>
        <v/>
      </c>
      <c r="Y234" s="142"/>
      <c r="Z234" s="305" t="str">
        <f>IFERROR(INDEX('G-8 Condition Look up'!$A$3:$H$135,MATCH(S234,'G-8 Condition Look up'!$A$3:$A$135,0),MATCH(Y234,'G-8 Condition Look up'!$A$3:$H$3,0)),"")</f>
        <v/>
      </c>
      <c r="AA234" s="105"/>
      <c r="AB234" s="320" t="str">
        <f>IF(AA234="","",IF(VLOOKUP(AA234,'G-3 Multipliers'!$L$3:$N$6,2,FALSE)=0,"Spatial Data Missing ⚠",VLOOKUP(AA234,'G-3 Multipliers'!$L$3:$N$6,2,FALSE)))</f>
        <v/>
      </c>
      <c r="AC234" s="305" t="str">
        <f>IF(AA234="","",IF(VLOOKUP(AA234,'G-3 Multipliers'!$L$3:$N$6,3,FALSE)=0,"Spatial Data Missing ⚠",VLOOKUP(AA234,'G-3 Multipliers'!$L$3:$N$6,3,FALSE)))</f>
        <v/>
      </c>
      <c r="AD234" s="317" t="str">
        <f t="shared" si="31"/>
        <v/>
      </c>
      <c r="AE234" s="142"/>
      <c r="AF234" s="142"/>
      <c r="AG234" s="301" t="str">
        <f t="shared" si="34"/>
        <v/>
      </c>
      <c r="AH234" s="302" t="str">
        <f t="shared" si="35"/>
        <v/>
      </c>
      <c r="AI234" s="306" t="str">
        <f>IF(AH234="Check Data ⚠","Check Data ⚠",IFERROR(VLOOKUP(AH234,'G-4 Temporal multipliers'!$A$4:$C$36,3,FALSE),""))</f>
        <v/>
      </c>
      <c r="AJ234" s="317" t="str">
        <f>IF(S234="","",VLOOKUP(S234,'G-3 Multipliers'!$A$2:$E$134,4,FALSE))</f>
        <v/>
      </c>
      <c r="AK234" s="301" t="str">
        <f t="shared" si="36"/>
        <v/>
      </c>
      <c r="AL234" s="301" t="str">
        <f t="shared" si="37"/>
        <v/>
      </c>
      <c r="AM234" s="305" t="str">
        <f>IFERROR(IF(F234="","",IF(AH234="Check Data ⚠","Check Data ⚠",VLOOKUP(AL234, 'G-3 Multipliers'!$P$2:$Q$6,2,FALSE))),"")</f>
        <v/>
      </c>
      <c r="AN234" s="728"/>
      <c r="AO234" s="335" t="str">
        <f>IF(AN234="","",IF(VLOOKUP(AN234,'G-3 Multipliers'!$S$3:$T$10,2,FALSE)=0,"Spatial Data Missing ⚠",VLOOKUP(AN234,'G-3 Multipliers'!$S$3:$T$10,2,FALSE)))</f>
        <v/>
      </c>
      <c r="AP234" s="295" t="str">
        <f t="shared" si="38"/>
        <v/>
      </c>
      <c r="AQ234" s="295" t="str">
        <f t="shared" si="39"/>
        <v/>
      </c>
      <c r="AR234" s="109"/>
      <c r="AS234" s="142"/>
      <c r="AT234" s="108"/>
      <c r="AU234" s="108"/>
      <c r="AY234" s="30" t="str">
        <f>IF(E234="","",IF(ISNA(VLOOKUP($E234,'D-1 Off-Site Habitat Baseline'!$D$1:$AV$258,4,FALSE)),"",(VLOOKUP($E234,'D-1 Off-Site Habitat Baseline'!$D$1:$AV$258,4,FALSE))))</f>
        <v/>
      </c>
    </row>
    <row r="235" spans="1:51" x14ac:dyDescent="0.25">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325" t="str">
        <f>'D-1 Off-Site Habitat Baseline'!AP234</f>
        <v/>
      </c>
      <c r="F235" s="289" t="str">
        <f>IF(E235="","",IF(ISNA(VLOOKUP($E235,'D-1 Off-Site Habitat Baseline'!$D$1:$ZZ$258,45,FALSE)),"",(VLOOKUP($E235,'D-1 Off-Site Habitat Baseline'!$D$1:$ZZ$258,45,FALSE))))</f>
        <v/>
      </c>
      <c r="G235" s="301" t="str">
        <f>IF(E235="","",IF(ISNA(VLOOKUP($E235,'D-1 Off-Site Habitat Baseline'!$D$1:$O$258,5,FALSE)),"",(VLOOKUP($E235,'D-1 Off-Site Habitat Baseline'!$D$1:$O$258,5,FALSE))))</f>
        <v/>
      </c>
      <c r="H235" s="301" t="str">
        <f>IF(E235="","",IF(ISNA(VLOOKUP($E235,'D-1 Off-Site Habitat Baseline'!$D$1:$O$258,6,FALSE)),"",(VLOOKUP($E235,'D-1 Off-Site Habitat Baseline'!$D$1:$O$258,6,FALSE))))</f>
        <v/>
      </c>
      <c r="I235" s="301" t="str">
        <f>IF(E235="","",IF(ISNA(VLOOKUP($E235,'D-1 Off-Site Habitat Baseline'!$D$1:$O$258,7,FALSE)),"",(VLOOKUP($E235,'D-1 Off-Site Habitat Baseline'!$D$1:$O$258,7,FALSE))))</f>
        <v/>
      </c>
      <c r="J235" s="301" t="str">
        <f>IF(E235="","",IF(ISNA(VLOOKUP($E235,'D-1 Off-Site Habitat Baseline'!$D$1:$O$258,8,FALSE)),"",(VLOOKUP($E235,'D-1 Off-Site Habitat Baseline'!$D$1:$O$258,8,FALSE))))</f>
        <v/>
      </c>
      <c r="K235" s="301" t="str">
        <f>IF(E235="","",IF(ISNA(VLOOKUP($E235,'D-1 Off-Site Habitat Baseline'!$D$1:$O$258,9,FALSE)),"",(VLOOKUP($E235,'D-1 Off-Site Habitat Baseline'!$D$1:$O$258,9,FALSE))))</f>
        <v/>
      </c>
      <c r="L235" s="301" t="str">
        <f>IF(E235="","",IF(ISNA(VLOOKUP($E235,'D-1 Off-Site Habitat Baseline'!$D$1:$O$258,11,FALSE)),"",(VLOOKUP($E235,'D-1 Off-Site Habitat Baseline'!$D$1:$O$258,11,FALSE))))</f>
        <v/>
      </c>
      <c r="M235" s="301" t="str">
        <f>IF(E235="","",IF(ISNA(VLOOKUP($E235,'D-1 Off-Site Habitat Baseline'!$D$1:$O$258,12,FALSE)),"",(VLOOKUP($E235,'D-1 Off-Site Habitat Baseline'!$D$1:$O$258,12,FALSE))))</f>
        <v/>
      </c>
      <c r="N235" s="301" t="str">
        <f>IF(E235="","",IF(ISNA(VLOOKUP($E235,'D-1 Off-Site Habitat Baseline'!$D$1:$AA$258,17,FALSE)),"",(VLOOKUP($E235,'D-1 Off-Site Habitat Baseline'!$D$1:$AA$258,17,FALSE))))</f>
        <v/>
      </c>
      <c r="O235" s="305" t="str">
        <f>IF(E235="","",IF(ISNA(VLOOKUP($E235,'D-1 Off-Site Habitat Baseline'!$D$1:$AA$258,13,FALSE)),"",(VLOOKUP($E235,'D-1 Off-Site Habitat Baseline'!$D$1:$AA$258,13,FALSE))))</f>
        <v/>
      </c>
      <c r="P235" s="152" t="str">
        <f>IFERROR(INDEX('G-1 All Habitats'!$AG$49:$AG$63,MATCH(Q235,'G-1 All Habitats'!$AF$27:$AF$41,0)),"")</f>
        <v/>
      </c>
      <c r="Q235" s="153"/>
      <c r="R235" s="154"/>
      <c r="S235" s="155" t="str">
        <f>IFERROR(INDEX('G-1 All Habitats'!$B$3:$B$135,MATCH(R235,'G-1 All Habitats'!$A$3:$A$135,0)),"")</f>
        <v/>
      </c>
      <c r="T235" s="289" t="str">
        <f t="shared" si="32"/>
        <v/>
      </c>
      <c r="U235" s="305" t="str">
        <f t="shared" si="33"/>
        <v/>
      </c>
      <c r="V235" s="304" t="str">
        <f t="shared" si="30"/>
        <v/>
      </c>
      <c r="W235" s="301" t="str">
        <f>IF(S235="","",VLOOKUP(S235,'G-1 All Habitats'!$B$2:$M$135,10,FALSE))</f>
        <v/>
      </c>
      <c r="X235" s="301" t="str">
        <f>IFERROR(VLOOKUP(W235,'G-1 All Habitats'!$V$3:$W$7,2,FALSE),"")</f>
        <v/>
      </c>
      <c r="Y235" s="142"/>
      <c r="Z235" s="305" t="str">
        <f>IFERROR(INDEX('G-8 Condition Look up'!$A$3:$H$135,MATCH(S235,'G-8 Condition Look up'!$A$3:$A$135,0),MATCH(Y235,'G-8 Condition Look up'!$A$3:$H$3,0)),"")</f>
        <v/>
      </c>
      <c r="AA235" s="105"/>
      <c r="AB235" s="320" t="str">
        <f>IF(AA235="","",IF(VLOOKUP(AA235,'G-3 Multipliers'!$L$3:$N$6,2,FALSE)=0,"Spatial Data Missing ⚠",VLOOKUP(AA235,'G-3 Multipliers'!$L$3:$N$6,2,FALSE)))</f>
        <v/>
      </c>
      <c r="AC235" s="305" t="str">
        <f>IF(AA235="","",IF(VLOOKUP(AA235,'G-3 Multipliers'!$L$3:$N$6,3,FALSE)=0,"Spatial Data Missing ⚠",VLOOKUP(AA235,'G-3 Multipliers'!$L$3:$N$6,3,FALSE)))</f>
        <v/>
      </c>
      <c r="AD235" s="317" t="str">
        <f t="shared" si="31"/>
        <v/>
      </c>
      <c r="AE235" s="142"/>
      <c r="AF235" s="142"/>
      <c r="AG235" s="301" t="str">
        <f t="shared" si="34"/>
        <v/>
      </c>
      <c r="AH235" s="302" t="str">
        <f t="shared" si="35"/>
        <v/>
      </c>
      <c r="AI235" s="306" t="str">
        <f>IF(AH235="Check Data ⚠","Check Data ⚠",IFERROR(VLOOKUP(AH235,'G-4 Temporal multipliers'!$A$4:$C$36,3,FALSE),""))</f>
        <v/>
      </c>
      <c r="AJ235" s="317" t="str">
        <f>IF(S235="","",VLOOKUP(S235,'G-3 Multipliers'!$A$2:$E$134,4,FALSE))</f>
        <v/>
      </c>
      <c r="AK235" s="301" t="str">
        <f t="shared" si="36"/>
        <v/>
      </c>
      <c r="AL235" s="301" t="str">
        <f t="shared" si="37"/>
        <v/>
      </c>
      <c r="AM235" s="305" t="str">
        <f>IFERROR(IF(F235="","",IF(AH235="Check Data ⚠","Check Data ⚠",VLOOKUP(AL235, 'G-3 Multipliers'!$P$2:$Q$6,2,FALSE))),"")</f>
        <v/>
      </c>
      <c r="AN235" s="728"/>
      <c r="AO235" s="335" t="str">
        <f>IF(AN235="","",IF(VLOOKUP(AN235,'G-3 Multipliers'!$S$3:$T$10,2,FALSE)=0,"Spatial Data Missing ⚠",VLOOKUP(AN235,'G-3 Multipliers'!$S$3:$T$10,2,FALSE)))</f>
        <v/>
      </c>
      <c r="AP235" s="295" t="str">
        <f t="shared" si="38"/>
        <v/>
      </c>
      <c r="AQ235" s="295" t="str">
        <f t="shared" si="39"/>
        <v/>
      </c>
      <c r="AR235" s="109"/>
      <c r="AS235" s="142"/>
      <c r="AT235" s="108"/>
      <c r="AU235" s="108"/>
      <c r="AY235" s="30" t="str">
        <f>IF(E235="","",IF(ISNA(VLOOKUP($E235,'D-1 Off-Site Habitat Baseline'!$D$1:$AV$258,4,FALSE)),"",(VLOOKUP($E235,'D-1 Off-Site Habitat Baseline'!$D$1:$AV$258,4,FALSE))))</f>
        <v/>
      </c>
    </row>
    <row r="236" spans="1:51" x14ac:dyDescent="0.25">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325" t="str">
        <f>'D-1 Off-Site Habitat Baseline'!AP235</f>
        <v/>
      </c>
      <c r="F236" s="289" t="str">
        <f>IF(E236="","",IF(ISNA(VLOOKUP($E236,'D-1 Off-Site Habitat Baseline'!$D$1:$ZZ$258,45,FALSE)),"",(VLOOKUP($E236,'D-1 Off-Site Habitat Baseline'!$D$1:$ZZ$258,45,FALSE))))</f>
        <v/>
      </c>
      <c r="G236" s="301" t="str">
        <f>IF(E236="","",IF(ISNA(VLOOKUP($E236,'D-1 Off-Site Habitat Baseline'!$D$1:$O$258,5,FALSE)),"",(VLOOKUP($E236,'D-1 Off-Site Habitat Baseline'!$D$1:$O$258,5,FALSE))))</f>
        <v/>
      </c>
      <c r="H236" s="301" t="str">
        <f>IF(E236="","",IF(ISNA(VLOOKUP($E236,'D-1 Off-Site Habitat Baseline'!$D$1:$O$258,6,FALSE)),"",(VLOOKUP($E236,'D-1 Off-Site Habitat Baseline'!$D$1:$O$258,6,FALSE))))</f>
        <v/>
      </c>
      <c r="I236" s="301" t="str">
        <f>IF(E236="","",IF(ISNA(VLOOKUP($E236,'D-1 Off-Site Habitat Baseline'!$D$1:$O$258,7,FALSE)),"",(VLOOKUP($E236,'D-1 Off-Site Habitat Baseline'!$D$1:$O$258,7,FALSE))))</f>
        <v/>
      </c>
      <c r="J236" s="301" t="str">
        <f>IF(E236="","",IF(ISNA(VLOOKUP($E236,'D-1 Off-Site Habitat Baseline'!$D$1:$O$258,8,FALSE)),"",(VLOOKUP($E236,'D-1 Off-Site Habitat Baseline'!$D$1:$O$258,8,FALSE))))</f>
        <v/>
      </c>
      <c r="K236" s="301" t="str">
        <f>IF(E236="","",IF(ISNA(VLOOKUP($E236,'D-1 Off-Site Habitat Baseline'!$D$1:$O$258,9,FALSE)),"",(VLOOKUP($E236,'D-1 Off-Site Habitat Baseline'!$D$1:$O$258,9,FALSE))))</f>
        <v/>
      </c>
      <c r="L236" s="301" t="str">
        <f>IF(E236="","",IF(ISNA(VLOOKUP($E236,'D-1 Off-Site Habitat Baseline'!$D$1:$O$258,11,FALSE)),"",(VLOOKUP($E236,'D-1 Off-Site Habitat Baseline'!$D$1:$O$258,11,FALSE))))</f>
        <v/>
      </c>
      <c r="M236" s="301" t="str">
        <f>IF(E236="","",IF(ISNA(VLOOKUP($E236,'D-1 Off-Site Habitat Baseline'!$D$1:$O$258,12,FALSE)),"",(VLOOKUP($E236,'D-1 Off-Site Habitat Baseline'!$D$1:$O$258,12,FALSE))))</f>
        <v/>
      </c>
      <c r="N236" s="301" t="str">
        <f>IF(E236="","",IF(ISNA(VLOOKUP($E236,'D-1 Off-Site Habitat Baseline'!$D$1:$AA$258,17,FALSE)),"",(VLOOKUP($E236,'D-1 Off-Site Habitat Baseline'!$D$1:$AA$258,17,FALSE))))</f>
        <v/>
      </c>
      <c r="O236" s="305" t="str">
        <f>IF(E236="","",IF(ISNA(VLOOKUP($E236,'D-1 Off-Site Habitat Baseline'!$D$1:$AA$258,13,FALSE)),"",(VLOOKUP($E236,'D-1 Off-Site Habitat Baseline'!$D$1:$AA$258,13,FALSE))))</f>
        <v/>
      </c>
      <c r="P236" s="152" t="str">
        <f>IFERROR(INDEX('G-1 All Habitats'!$AG$49:$AG$63,MATCH(Q236,'G-1 All Habitats'!$AF$27:$AF$41,0)),"")</f>
        <v/>
      </c>
      <c r="Q236" s="153"/>
      <c r="R236" s="154"/>
      <c r="S236" s="155" t="str">
        <f>IFERROR(INDEX('G-1 All Habitats'!$B$3:$B$135,MATCH(R236,'G-1 All Habitats'!$A$3:$A$135,0)),"")</f>
        <v/>
      </c>
      <c r="T236" s="289" t="str">
        <f t="shared" si="32"/>
        <v/>
      </c>
      <c r="U236" s="305" t="str">
        <f t="shared" si="33"/>
        <v/>
      </c>
      <c r="V236" s="304" t="str">
        <f t="shared" si="30"/>
        <v/>
      </c>
      <c r="W236" s="301" t="str">
        <f>IF(S236="","",VLOOKUP(S236,'G-1 All Habitats'!$B$2:$M$135,10,FALSE))</f>
        <v/>
      </c>
      <c r="X236" s="301" t="str">
        <f>IFERROR(VLOOKUP(W236,'G-1 All Habitats'!$V$3:$W$7,2,FALSE),"")</f>
        <v/>
      </c>
      <c r="Y236" s="142"/>
      <c r="Z236" s="305" t="str">
        <f>IFERROR(INDEX('G-8 Condition Look up'!$A$3:$H$135,MATCH(S236,'G-8 Condition Look up'!$A$3:$A$135,0),MATCH(Y236,'G-8 Condition Look up'!$A$3:$H$3,0)),"")</f>
        <v/>
      </c>
      <c r="AA236" s="105"/>
      <c r="AB236" s="320" t="str">
        <f>IF(AA236="","",IF(VLOOKUP(AA236,'G-3 Multipliers'!$L$3:$N$6,2,FALSE)=0,"Spatial Data Missing ⚠",VLOOKUP(AA236,'G-3 Multipliers'!$L$3:$N$6,2,FALSE)))</f>
        <v/>
      </c>
      <c r="AC236" s="305" t="str">
        <f>IF(AA236="","",IF(VLOOKUP(AA236,'G-3 Multipliers'!$L$3:$N$6,3,FALSE)=0,"Spatial Data Missing ⚠",VLOOKUP(AA236,'G-3 Multipliers'!$L$3:$N$6,3,FALSE)))</f>
        <v/>
      </c>
      <c r="AD236" s="317" t="str">
        <f t="shared" si="31"/>
        <v/>
      </c>
      <c r="AE236" s="142"/>
      <c r="AF236" s="142"/>
      <c r="AG236" s="301" t="str">
        <f t="shared" si="34"/>
        <v/>
      </c>
      <c r="AH236" s="302" t="str">
        <f t="shared" si="35"/>
        <v/>
      </c>
      <c r="AI236" s="306" t="str">
        <f>IF(AH236="Check Data ⚠","Check Data ⚠",IFERROR(VLOOKUP(AH236,'G-4 Temporal multipliers'!$A$4:$C$36,3,FALSE),""))</f>
        <v/>
      </c>
      <c r="AJ236" s="317" t="str">
        <f>IF(S236="","",VLOOKUP(S236,'G-3 Multipliers'!$A$2:$E$134,4,FALSE))</f>
        <v/>
      </c>
      <c r="AK236" s="301" t="str">
        <f t="shared" si="36"/>
        <v/>
      </c>
      <c r="AL236" s="301" t="str">
        <f t="shared" si="37"/>
        <v/>
      </c>
      <c r="AM236" s="305" t="str">
        <f>IFERROR(IF(F236="","",IF(AH236="Check Data ⚠","Check Data ⚠",VLOOKUP(AL236, 'G-3 Multipliers'!$P$2:$Q$6,2,FALSE))),"")</f>
        <v/>
      </c>
      <c r="AN236" s="728"/>
      <c r="AO236" s="335" t="str">
        <f>IF(AN236="","",IF(VLOOKUP(AN236,'G-3 Multipliers'!$S$3:$T$10,2,FALSE)=0,"Spatial Data Missing ⚠",VLOOKUP(AN236,'G-3 Multipliers'!$S$3:$T$10,2,FALSE)))</f>
        <v/>
      </c>
      <c r="AP236" s="295" t="str">
        <f t="shared" si="38"/>
        <v/>
      </c>
      <c r="AQ236" s="295" t="str">
        <f t="shared" si="39"/>
        <v/>
      </c>
      <c r="AR236" s="109"/>
      <c r="AS236" s="142"/>
      <c r="AT236" s="108"/>
      <c r="AU236" s="108"/>
      <c r="AY236" s="30" t="str">
        <f>IF(E236="","",IF(ISNA(VLOOKUP($E236,'D-1 Off-Site Habitat Baseline'!$D$1:$AV$258,4,FALSE)),"",(VLOOKUP($E236,'D-1 Off-Site Habitat Baseline'!$D$1:$AV$258,4,FALSE))))</f>
        <v/>
      </c>
    </row>
    <row r="237" spans="1:51" x14ac:dyDescent="0.25">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325" t="str">
        <f>'D-1 Off-Site Habitat Baseline'!AP236</f>
        <v/>
      </c>
      <c r="F237" s="289" t="str">
        <f>IF(E237="","",IF(ISNA(VLOOKUP($E237,'D-1 Off-Site Habitat Baseline'!$D$1:$ZZ$258,45,FALSE)),"",(VLOOKUP($E237,'D-1 Off-Site Habitat Baseline'!$D$1:$ZZ$258,45,FALSE))))</f>
        <v/>
      </c>
      <c r="G237" s="301" t="str">
        <f>IF(E237="","",IF(ISNA(VLOOKUP($E237,'D-1 Off-Site Habitat Baseline'!$D$1:$O$258,5,FALSE)),"",(VLOOKUP($E237,'D-1 Off-Site Habitat Baseline'!$D$1:$O$258,5,FALSE))))</f>
        <v/>
      </c>
      <c r="H237" s="301" t="str">
        <f>IF(E237="","",IF(ISNA(VLOOKUP($E237,'D-1 Off-Site Habitat Baseline'!$D$1:$O$258,6,FALSE)),"",(VLOOKUP($E237,'D-1 Off-Site Habitat Baseline'!$D$1:$O$258,6,FALSE))))</f>
        <v/>
      </c>
      <c r="I237" s="301" t="str">
        <f>IF(E237="","",IF(ISNA(VLOOKUP($E237,'D-1 Off-Site Habitat Baseline'!$D$1:$O$258,7,FALSE)),"",(VLOOKUP($E237,'D-1 Off-Site Habitat Baseline'!$D$1:$O$258,7,FALSE))))</f>
        <v/>
      </c>
      <c r="J237" s="301" t="str">
        <f>IF(E237="","",IF(ISNA(VLOOKUP($E237,'D-1 Off-Site Habitat Baseline'!$D$1:$O$258,8,FALSE)),"",(VLOOKUP($E237,'D-1 Off-Site Habitat Baseline'!$D$1:$O$258,8,FALSE))))</f>
        <v/>
      </c>
      <c r="K237" s="301" t="str">
        <f>IF(E237="","",IF(ISNA(VLOOKUP($E237,'D-1 Off-Site Habitat Baseline'!$D$1:$O$258,9,FALSE)),"",(VLOOKUP($E237,'D-1 Off-Site Habitat Baseline'!$D$1:$O$258,9,FALSE))))</f>
        <v/>
      </c>
      <c r="L237" s="301" t="str">
        <f>IF(E237="","",IF(ISNA(VLOOKUP($E237,'D-1 Off-Site Habitat Baseline'!$D$1:$O$258,11,FALSE)),"",(VLOOKUP($E237,'D-1 Off-Site Habitat Baseline'!$D$1:$O$258,11,FALSE))))</f>
        <v/>
      </c>
      <c r="M237" s="301" t="str">
        <f>IF(E237="","",IF(ISNA(VLOOKUP($E237,'D-1 Off-Site Habitat Baseline'!$D$1:$O$258,12,FALSE)),"",(VLOOKUP($E237,'D-1 Off-Site Habitat Baseline'!$D$1:$O$258,12,FALSE))))</f>
        <v/>
      </c>
      <c r="N237" s="301" t="str">
        <f>IF(E237="","",IF(ISNA(VLOOKUP($E237,'D-1 Off-Site Habitat Baseline'!$D$1:$AA$258,17,FALSE)),"",(VLOOKUP($E237,'D-1 Off-Site Habitat Baseline'!$D$1:$AA$258,17,FALSE))))</f>
        <v/>
      </c>
      <c r="O237" s="305" t="str">
        <f>IF(E237="","",IF(ISNA(VLOOKUP($E237,'D-1 Off-Site Habitat Baseline'!$D$1:$AA$258,13,FALSE)),"",(VLOOKUP($E237,'D-1 Off-Site Habitat Baseline'!$D$1:$AA$258,13,FALSE))))</f>
        <v/>
      </c>
      <c r="P237" s="152" t="str">
        <f>IFERROR(INDEX('G-1 All Habitats'!$AG$49:$AG$63,MATCH(Q237,'G-1 All Habitats'!$AF$27:$AF$41,0)),"")</f>
        <v/>
      </c>
      <c r="Q237" s="153"/>
      <c r="R237" s="154"/>
      <c r="S237" s="155" t="str">
        <f>IFERROR(INDEX('G-1 All Habitats'!$B$3:$B$135,MATCH(R237,'G-1 All Habitats'!$A$3:$A$135,0)),"")</f>
        <v/>
      </c>
      <c r="T237" s="289" t="str">
        <f t="shared" si="32"/>
        <v/>
      </c>
      <c r="U237" s="305" t="str">
        <f t="shared" si="33"/>
        <v/>
      </c>
      <c r="V237" s="304" t="str">
        <f t="shared" si="30"/>
        <v/>
      </c>
      <c r="W237" s="301" t="str">
        <f>IF(S237="","",VLOOKUP(S237,'G-1 All Habitats'!$B$2:$M$135,10,FALSE))</f>
        <v/>
      </c>
      <c r="X237" s="301" t="str">
        <f>IFERROR(VLOOKUP(W237,'G-1 All Habitats'!$V$3:$W$7,2,FALSE),"")</f>
        <v/>
      </c>
      <c r="Y237" s="142"/>
      <c r="Z237" s="305" t="str">
        <f>IFERROR(INDEX('G-8 Condition Look up'!$A$3:$H$135,MATCH(S237,'G-8 Condition Look up'!$A$3:$A$135,0),MATCH(Y237,'G-8 Condition Look up'!$A$3:$H$3,0)),"")</f>
        <v/>
      </c>
      <c r="AA237" s="105"/>
      <c r="AB237" s="320" t="str">
        <f>IF(AA237="","",IF(VLOOKUP(AA237,'G-3 Multipliers'!$L$3:$N$6,2,FALSE)=0,"Spatial Data Missing ⚠",VLOOKUP(AA237,'G-3 Multipliers'!$L$3:$N$6,2,FALSE)))</f>
        <v/>
      </c>
      <c r="AC237" s="305" t="str">
        <f>IF(AA237="","",IF(VLOOKUP(AA237,'G-3 Multipliers'!$L$3:$N$6,3,FALSE)=0,"Spatial Data Missing ⚠",VLOOKUP(AA237,'G-3 Multipliers'!$L$3:$N$6,3,FALSE)))</f>
        <v/>
      </c>
      <c r="AD237" s="317" t="str">
        <f t="shared" si="31"/>
        <v/>
      </c>
      <c r="AE237" s="142"/>
      <c r="AF237" s="142"/>
      <c r="AG237" s="301" t="str">
        <f t="shared" si="34"/>
        <v/>
      </c>
      <c r="AH237" s="302" t="str">
        <f t="shared" si="35"/>
        <v/>
      </c>
      <c r="AI237" s="306" t="str">
        <f>IF(AH237="Check Data ⚠","Check Data ⚠",IFERROR(VLOOKUP(AH237,'G-4 Temporal multipliers'!$A$4:$C$36,3,FALSE),""))</f>
        <v/>
      </c>
      <c r="AJ237" s="317" t="str">
        <f>IF(S237="","",VLOOKUP(S237,'G-3 Multipliers'!$A$2:$E$134,4,FALSE))</f>
        <v/>
      </c>
      <c r="AK237" s="301" t="str">
        <f t="shared" si="36"/>
        <v/>
      </c>
      <c r="AL237" s="301" t="str">
        <f t="shared" si="37"/>
        <v/>
      </c>
      <c r="AM237" s="305" t="str">
        <f>IFERROR(IF(F237="","",IF(AH237="Check Data ⚠","Check Data ⚠",VLOOKUP(AL237, 'G-3 Multipliers'!$P$2:$Q$6,2,FALSE))),"")</f>
        <v/>
      </c>
      <c r="AN237" s="728"/>
      <c r="AO237" s="335" t="str">
        <f>IF(AN237="","",IF(VLOOKUP(AN237,'G-3 Multipliers'!$S$3:$T$10,2,FALSE)=0,"Spatial Data Missing ⚠",VLOOKUP(AN237,'G-3 Multipliers'!$S$3:$T$10,2,FALSE)))</f>
        <v/>
      </c>
      <c r="AP237" s="295" t="str">
        <f t="shared" si="38"/>
        <v/>
      </c>
      <c r="AQ237" s="295" t="str">
        <f t="shared" si="39"/>
        <v/>
      </c>
      <c r="AR237" s="109"/>
      <c r="AS237" s="142"/>
      <c r="AT237" s="108"/>
      <c r="AU237" s="108"/>
      <c r="AY237" s="30" t="str">
        <f>IF(E237="","",IF(ISNA(VLOOKUP($E237,'D-1 Off-Site Habitat Baseline'!$D$1:$AV$258,4,FALSE)),"",(VLOOKUP($E237,'D-1 Off-Site Habitat Baseline'!$D$1:$AV$258,4,FALSE))))</f>
        <v/>
      </c>
    </row>
    <row r="238" spans="1:51" x14ac:dyDescent="0.25">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325" t="str">
        <f>'D-1 Off-Site Habitat Baseline'!AP237</f>
        <v/>
      </c>
      <c r="F238" s="289" t="str">
        <f>IF(E238="","",IF(ISNA(VLOOKUP($E238,'D-1 Off-Site Habitat Baseline'!$D$1:$ZZ$258,45,FALSE)),"",(VLOOKUP($E238,'D-1 Off-Site Habitat Baseline'!$D$1:$ZZ$258,45,FALSE))))</f>
        <v/>
      </c>
      <c r="G238" s="301" t="str">
        <f>IF(E238="","",IF(ISNA(VLOOKUP($E238,'D-1 Off-Site Habitat Baseline'!$D$1:$O$258,5,FALSE)),"",(VLOOKUP($E238,'D-1 Off-Site Habitat Baseline'!$D$1:$O$258,5,FALSE))))</f>
        <v/>
      </c>
      <c r="H238" s="301" t="str">
        <f>IF(E238="","",IF(ISNA(VLOOKUP($E238,'D-1 Off-Site Habitat Baseline'!$D$1:$O$258,6,FALSE)),"",(VLOOKUP($E238,'D-1 Off-Site Habitat Baseline'!$D$1:$O$258,6,FALSE))))</f>
        <v/>
      </c>
      <c r="I238" s="301" t="str">
        <f>IF(E238="","",IF(ISNA(VLOOKUP($E238,'D-1 Off-Site Habitat Baseline'!$D$1:$O$258,7,FALSE)),"",(VLOOKUP($E238,'D-1 Off-Site Habitat Baseline'!$D$1:$O$258,7,FALSE))))</f>
        <v/>
      </c>
      <c r="J238" s="301" t="str">
        <f>IF(E238="","",IF(ISNA(VLOOKUP($E238,'D-1 Off-Site Habitat Baseline'!$D$1:$O$258,8,FALSE)),"",(VLOOKUP($E238,'D-1 Off-Site Habitat Baseline'!$D$1:$O$258,8,FALSE))))</f>
        <v/>
      </c>
      <c r="K238" s="301" t="str">
        <f>IF(E238="","",IF(ISNA(VLOOKUP($E238,'D-1 Off-Site Habitat Baseline'!$D$1:$O$258,9,FALSE)),"",(VLOOKUP($E238,'D-1 Off-Site Habitat Baseline'!$D$1:$O$258,9,FALSE))))</f>
        <v/>
      </c>
      <c r="L238" s="301" t="str">
        <f>IF(E238="","",IF(ISNA(VLOOKUP($E238,'D-1 Off-Site Habitat Baseline'!$D$1:$O$258,11,FALSE)),"",(VLOOKUP($E238,'D-1 Off-Site Habitat Baseline'!$D$1:$O$258,11,FALSE))))</f>
        <v/>
      </c>
      <c r="M238" s="301" t="str">
        <f>IF(E238="","",IF(ISNA(VLOOKUP($E238,'D-1 Off-Site Habitat Baseline'!$D$1:$O$258,12,FALSE)),"",(VLOOKUP($E238,'D-1 Off-Site Habitat Baseline'!$D$1:$O$258,12,FALSE))))</f>
        <v/>
      </c>
      <c r="N238" s="301" t="str">
        <f>IF(E238="","",IF(ISNA(VLOOKUP($E238,'D-1 Off-Site Habitat Baseline'!$D$1:$AA$258,17,FALSE)),"",(VLOOKUP($E238,'D-1 Off-Site Habitat Baseline'!$D$1:$AA$258,17,FALSE))))</f>
        <v/>
      </c>
      <c r="O238" s="305" t="str">
        <f>IF(E238="","",IF(ISNA(VLOOKUP($E238,'D-1 Off-Site Habitat Baseline'!$D$1:$AA$258,13,FALSE)),"",(VLOOKUP($E238,'D-1 Off-Site Habitat Baseline'!$D$1:$AA$258,13,FALSE))))</f>
        <v/>
      </c>
      <c r="P238" s="152" t="str">
        <f>IFERROR(INDEX('G-1 All Habitats'!$AG$49:$AG$63,MATCH(Q238,'G-1 All Habitats'!$AF$27:$AF$41,0)),"")</f>
        <v/>
      </c>
      <c r="Q238" s="153"/>
      <c r="R238" s="154"/>
      <c r="S238" s="155" t="str">
        <f>IFERROR(INDEX('G-1 All Habitats'!$B$3:$B$135,MATCH(R238,'G-1 All Habitats'!$A$3:$A$135,0)),"")</f>
        <v/>
      </c>
      <c r="T238" s="289" t="str">
        <f t="shared" si="32"/>
        <v/>
      </c>
      <c r="U238" s="305" t="str">
        <f t="shared" si="33"/>
        <v/>
      </c>
      <c r="V238" s="304" t="str">
        <f t="shared" si="30"/>
        <v/>
      </c>
      <c r="W238" s="301" t="str">
        <f>IF(S238="","",VLOOKUP(S238,'G-1 All Habitats'!$B$2:$M$135,10,FALSE))</f>
        <v/>
      </c>
      <c r="X238" s="301" t="str">
        <f>IFERROR(VLOOKUP(W238,'G-1 All Habitats'!$V$3:$W$7,2,FALSE),"")</f>
        <v/>
      </c>
      <c r="Y238" s="142"/>
      <c r="Z238" s="305" t="str">
        <f>IFERROR(INDEX('G-8 Condition Look up'!$A$3:$H$135,MATCH(S238,'G-8 Condition Look up'!$A$3:$A$135,0),MATCH(Y238,'G-8 Condition Look up'!$A$3:$H$3,0)),"")</f>
        <v/>
      </c>
      <c r="AA238" s="105"/>
      <c r="AB238" s="320" t="str">
        <f>IF(AA238="","",IF(VLOOKUP(AA238,'G-3 Multipliers'!$L$3:$N$6,2,FALSE)=0,"Spatial Data Missing ⚠",VLOOKUP(AA238,'G-3 Multipliers'!$L$3:$N$6,2,FALSE)))</f>
        <v/>
      </c>
      <c r="AC238" s="305" t="str">
        <f>IF(AA238="","",IF(VLOOKUP(AA238,'G-3 Multipliers'!$L$3:$N$6,3,FALSE)=0,"Spatial Data Missing ⚠",VLOOKUP(AA238,'G-3 Multipliers'!$L$3:$N$6,3,FALSE)))</f>
        <v/>
      </c>
      <c r="AD238" s="317" t="str">
        <f t="shared" si="31"/>
        <v/>
      </c>
      <c r="AE238" s="142"/>
      <c r="AF238" s="142"/>
      <c r="AG238" s="301" t="str">
        <f t="shared" si="34"/>
        <v/>
      </c>
      <c r="AH238" s="302" t="str">
        <f t="shared" si="35"/>
        <v/>
      </c>
      <c r="AI238" s="306" t="str">
        <f>IF(AH238="Check Data ⚠","Check Data ⚠",IFERROR(VLOOKUP(AH238,'G-4 Temporal multipliers'!$A$4:$C$36,3,FALSE),""))</f>
        <v/>
      </c>
      <c r="AJ238" s="317" t="str">
        <f>IF(S238="","",VLOOKUP(S238,'G-3 Multipliers'!$A$2:$E$134,4,FALSE))</f>
        <v/>
      </c>
      <c r="AK238" s="301" t="str">
        <f t="shared" si="36"/>
        <v/>
      </c>
      <c r="AL238" s="301" t="str">
        <f t="shared" si="37"/>
        <v/>
      </c>
      <c r="AM238" s="305" t="str">
        <f>IFERROR(IF(F238="","",IF(AH238="Check Data ⚠","Check Data ⚠",VLOOKUP(AL238, 'G-3 Multipliers'!$P$2:$Q$6,2,FALSE))),"")</f>
        <v/>
      </c>
      <c r="AN238" s="728"/>
      <c r="AO238" s="335" t="str">
        <f>IF(AN238="","",IF(VLOOKUP(AN238,'G-3 Multipliers'!$S$3:$T$10,2,FALSE)=0,"Spatial Data Missing ⚠",VLOOKUP(AN238,'G-3 Multipliers'!$S$3:$T$10,2,FALSE)))</f>
        <v/>
      </c>
      <c r="AP238" s="295" t="str">
        <f t="shared" si="38"/>
        <v/>
      </c>
      <c r="AQ238" s="295" t="str">
        <f t="shared" si="39"/>
        <v/>
      </c>
      <c r="AR238" s="109"/>
      <c r="AS238" s="142"/>
      <c r="AT238" s="108"/>
      <c r="AU238" s="108"/>
      <c r="AY238" s="30" t="str">
        <f>IF(E238="","",IF(ISNA(VLOOKUP($E238,'D-1 Off-Site Habitat Baseline'!$D$1:$AV$258,4,FALSE)),"",(VLOOKUP($E238,'D-1 Off-Site Habitat Baseline'!$D$1:$AV$258,4,FALSE))))</f>
        <v/>
      </c>
    </row>
    <row r="239" spans="1:51" x14ac:dyDescent="0.25">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325" t="str">
        <f>'D-1 Off-Site Habitat Baseline'!AP238</f>
        <v/>
      </c>
      <c r="F239" s="289" t="str">
        <f>IF(E239="","",IF(ISNA(VLOOKUP($E239,'D-1 Off-Site Habitat Baseline'!$D$1:$ZZ$258,45,FALSE)),"",(VLOOKUP($E239,'D-1 Off-Site Habitat Baseline'!$D$1:$ZZ$258,45,FALSE))))</f>
        <v/>
      </c>
      <c r="G239" s="301" t="str">
        <f>IF(E239="","",IF(ISNA(VLOOKUP($E239,'D-1 Off-Site Habitat Baseline'!$D$1:$O$258,5,FALSE)),"",(VLOOKUP($E239,'D-1 Off-Site Habitat Baseline'!$D$1:$O$258,5,FALSE))))</f>
        <v/>
      </c>
      <c r="H239" s="301" t="str">
        <f>IF(E239="","",IF(ISNA(VLOOKUP($E239,'D-1 Off-Site Habitat Baseline'!$D$1:$O$258,6,FALSE)),"",(VLOOKUP($E239,'D-1 Off-Site Habitat Baseline'!$D$1:$O$258,6,FALSE))))</f>
        <v/>
      </c>
      <c r="I239" s="301" t="str">
        <f>IF(E239="","",IF(ISNA(VLOOKUP($E239,'D-1 Off-Site Habitat Baseline'!$D$1:$O$258,7,FALSE)),"",(VLOOKUP($E239,'D-1 Off-Site Habitat Baseline'!$D$1:$O$258,7,FALSE))))</f>
        <v/>
      </c>
      <c r="J239" s="301" t="str">
        <f>IF(E239="","",IF(ISNA(VLOOKUP($E239,'D-1 Off-Site Habitat Baseline'!$D$1:$O$258,8,FALSE)),"",(VLOOKUP($E239,'D-1 Off-Site Habitat Baseline'!$D$1:$O$258,8,FALSE))))</f>
        <v/>
      </c>
      <c r="K239" s="301" t="str">
        <f>IF(E239="","",IF(ISNA(VLOOKUP($E239,'D-1 Off-Site Habitat Baseline'!$D$1:$O$258,9,FALSE)),"",(VLOOKUP($E239,'D-1 Off-Site Habitat Baseline'!$D$1:$O$258,9,FALSE))))</f>
        <v/>
      </c>
      <c r="L239" s="301" t="str">
        <f>IF(E239="","",IF(ISNA(VLOOKUP($E239,'D-1 Off-Site Habitat Baseline'!$D$1:$O$258,11,FALSE)),"",(VLOOKUP($E239,'D-1 Off-Site Habitat Baseline'!$D$1:$O$258,11,FALSE))))</f>
        <v/>
      </c>
      <c r="M239" s="301" t="str">
        <f>IF(E239="","",IF(ISNA(VLOOKUP($E239,'D-1 Off-Site Habitat Baseline'!$D$1:$O$258,12,FALSE)),"",(VLOOKUP($E239,'D-1 Off-Site Habitat Baseline'!$D$1:$O$258,12,FALSE))))</f>
        <v/>
      </c>
      <c r="N239" s="301" t="str">
        <f>IF(E239="","",IF(ISNA(VLOOKUP($E239,'D-1 Off-Site Habitat Baseline'!$D$1:$AA$258,17,FALSE)),"",(VLOOKUP($E239,'D-1 Off-Site Habitat Baseline'!$D$1:$AA$258,17,FALSE))))</f>
        <v/>
      </c>
      <c r="O239" s="305" t="str">
        <f>IF(E239="","",IF(ISNA(VLOOKUP($E239,'D-1 Off-Site Habitat Baseline'!$D$1:$AA$258,13,FALSE)),"",(VLOOKUP($E239,'D-1 Off-Site Habitat Baseline'!$D$1:$AA$258,13,FALSE))))</f>
        <v/>
      </c>
      <c r="P239" s="152" t="str">
        <f>IFERROR(INDEX('G-1 All Habitats'!$AG$49:$AG$63,MATCH(Q239,'G-1 All Habitats'!$AF$27:$AF$41,0)),"")</f>
        <v/>
      </c>
      <c r="Q239" s="153"/>
      <c r="R239" s="154"/>
      <c r="S239" s="155" t="str">
        <f>IFERROR(INDEX('G-1 All Habitats'!$B$3:$B$135,MATCH(R239,'G-1 All Habitats'!$A$3:$A$135,0)),"")</f>
        <v/>
      </c>
      <c r="T239" s="289" t="str">
        <f t="shared" si="32"/>
        <v/>
      </c>
      <c r="U239" s="305" t="str">
        <f t="shared" si="33"/>
        <v/>
      </c>
      <c r="V239" s="304" t="str">
        <f t="shared" si="30"/>
        <v/>
      </c>
      <c r="W239" s="301" t="str">
        <f>IF(S239="","",VLOOKUP(S239,'G-1 All Habitats'!$B$2:$M$135,10,FALSE))</f>
        <v/>
      </c>
      <c r="X239" s="301" t="str">
        <f>IFERROR(VLOOKUP(W239,'G-1 All Habitats'!$V$3:$W$7,2,FALSE),"")</f>
        <v/>
      </c>
      <c r="Y239" s="142"/>
      <c r="Z239" s="305" t="str">
        <f>IFERROR(INDEX('G-8 Condition Look up'!$A$3:$H$135,MATCH(S239,'G-8 Condition Look up'!$A$3:$A$135,0),MATCH(Y239,'G-8 Condition Look up'!$A$3:$H$3,0)),"")</f>
        <v/>
      </c>
      <c r="AA239" s="105"/>
      <c r="AB239" s="320" t="str">
        <f>IF(AA239="","",IF(VLOOKUP(AA239,'G-3 Multipliers'!$L$3:$N$6,2,FALSE)=0,"Spatial Data Missing ⚠",VLOOKUP(AA239,'G-3 Multipliers'!$L$3:$N$6,2,FALSE)))</f>
        <v/>
      </c>
      <c r="AC239" s="305" t="str">
        <f>IF(AA239="","",IF(VLOOKUP(AA239,'G-3 Multipliers'!$L$3:$N$6,3,FALSE)=0,"Spatial Data Missing ⚠",VLOOKUP(AA239,'G-3 Multipliers'!$L$3:$N$6,3,FALSE)))</f>
        <v/>
      </c>
      <c r="AD239" s="317" t="str">
        <f t="shared" si="31"/>
        <v/>
      </c>
      <c r="AE239" s="142"/>
      <c r="AF239" s="142"/>
      <c r="AG239" s="301" t="str">
        <f t="shared" si="34"/>
        <v/>
      </c>
      <c r="AH239" s="302" t="str">
        <f t="shared" si="35"/>
        <v/>
      </c>
      <c r="AI239" s="306" t="str">
        <f>IF(AH239="Check Data ⚠","Check Data ⚠",IFERROR(VLOOKUP(AH239,'G-4 Temporal multipliers'!$A$4:$C$36,3,FALSE),""))</f>
        <v/>
      </c>
      <c r="AJ239" s="317" t="str">
        <f>IF(S239="","",VLOOKUP(S239,'G-3 Multipliers'!$A$2:$E$134,4,FALSE))</f>
        <v/>
      </c>
      <c r="AK239" s="301" t="str">
        <f t="shared" si="36"/>
        <v/>
      </c>
      <c r="AL239" s="301" t="str">
        <f t="shared" si="37"/>
        <v/>
      </c>
      <c r="AM239" s="305" t="str">
        <f>IFERROR(IF(F239="","",IF(AH239="Check Data ⚠","Check Data ⚠",VLOOKUP(AL239, 'G-3 Multipliers'!$P$2:$Q$6,2,FALSE))),"")</f>
        <v/>
      </c>
      <c r="AN239" s="728"/>
      <c r="AO239" s="335" t="str">
        <f>IF(AN239="","",IF(VLOOKUP(AN239,'G-3 Multipliers'!$S$3:$T$10,2,FALSE)=0,"Spatial Data Missing ⚠",VLOOKUP(AN239,'G-3 Multipliers'!$S$3:$T$10,2,FALSE)))</f>
        <v/>
      </c>
      <c r="AP239" s="295" t="str">
        <f t="shared" si="38"/>
        <v/>
      </c>
      <c r="AQ239" s="295" t="str">
        <f t="shared" si="39"/>
        <v/>
      </c>
      <c r="AR239" s="109"/>
      <c r="AS239" s="142"/>
      <c r="AT239" s="108"/>
      <c r="AU239" s="108"/>
      <c r="AY239" s="30" t="str">
        <f>IF(E239="","",IF(ISNA(VLOOKUP($E239,'D-1 Off-Site Habitat Baseline'!$D$1:$AV$258,4,FALSE)),"",(VLOOKUP($E239,'D-1 Off-Site Habitat Baseline'!$D$1:$AV$258,4,FALSE))))</f>
        <v/>
      </c>
    </row>
    <row r="240" spans="1:51" x14ac:dyDescent="0.25">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325" t="str">
        <f>'D-1 Off-Site Habitat Baseline'!AP239</f>
        <v/>
      </c>
      <c r="F240" s="289" t="str">
        <f>IF(E240="","",IF(ISNA(VLOOKUP($E240,'D-1 Off-Site Habitat Baseline'!$D$1:$ZZ$258,45,FALSE)),"",(VLOOKUP($E240,'D-1 Off-Site Habitat Baseline'!$D$1:$ZZ$258,45,FALSE))))</f>
        <v/>
      </c>
      <c r="G240" s="301" t="str">
        <f>IF(E240="","",IF(ISNA(VLOOKUP($E240,'D-1 Off-Site Habitat Baseline'!$D$1:$O$258,5,FALSE)),"",(VLOOKUP($E240,'D-1 Off-Site Habitat Baseline'!$D$1:$O$258,5,FALSE))))</f>
        <v/>
      </c>
      <c r="H240" s="301" t="str">
        <f>IF(E240="","",IF(ISNA(VLOOKUP($E240,'D-1 Off-Site Habitat Baseline'!$D$1:$O$258,6,FALSE)),"",(VLOOKUP($E240,'D-1 Off-Site Habitat Baseline'!$D$1:$O$258,6,FALSE))))</f>
        <v/>
      </c>
      <c r="I240" s="301" t="str">
        <f>IF(E240="","",IF(ISNA(VLOOKUP($E240,'D-1 Off-Site Habitat Baseline'!$D$1:$O$258,7,FALSE)),"",(VLOOKUP($E240,'D-1 Off-Site Habitat Baseline'!$D$1:$O$258,7,FALSE))))</f>
        <v/>
      </c>
      <c r="J240" s="301" t="str">
        <f>IF(E240="","",IF(ISNA(VLOOKUP($E240,'D-1 Off-Site Habitat Baseline'!$D$1:$O$258,8,FALSE)),"",(VLOOKUP($E240,'D-1 Off-Site Habitat Baseline'!$D$1:$O$258,8,FALSE))))</f>
        <v/>
      </c>
      <c r="K240" s="301" t="str">
        <f>IF(E240="","",IF(ISNA(VLOOKUP($E240,'D-1 Off-Site Habitat Baseline'!$D$1:$O$258,9,FALSE)),"",(VLOOKUP($E240,'D-1 Off-Site Habitat Baseline'!$D$1:$O$258,9,FALSE))))</f>
        <v/>
      </c>
      <c r="L240" s="301" t="str">
        <f>IF(E240="","",IF(ISNA(VLOOKUP($E240,'D-1 Off-Site Habitat Baseline'!$D$1:$O$258,11,FALSE)),"",(VLOOKUP($E240,'D-1 Off-Site Habitat Baseline'!$D$1:$O$258,11,FALSE))))</f>
        <v/>
      </c>
      <c r="M240" s="301" t="str">
        <f>IF(E240="","",IF(ISNA(VLOOKUP($E240,'D-1 Off-Site Habitat Baseline'!$D$1:$O$258,12,FALSE)),"",(VLOOKUP($E240,'D-1 Off-Site Habitat Baseline'!$D$1:$O$258,12,FALSE))))</f>
        <v/>
      </c>
      <c r="N240" s="301" t="str">
        <f>IF(E240="","",IF(ISNA(VLOOKUP($E240,'D-1 Off-Site Habitat Baseline'!$D$1:$AA$258,17,FALSE)),"",(VLOOKUP($E240,'D-1 Off-Site Habitat Baseline'!$D$1:$AA$258,17,FALSE))))</f>
        <v/>
      </c>
      <c r="O240" s="305" t="str">
        <f>IF(E240="","",IF(ISNA(VLOOKUP($E240,'D-1 Off-Site Habitat Baseline'!$D$1:$AA$258,13,FALSE)),"",(VLOOKUP($E240,'D-1 Off-Site Habitat Baseline'!$D$1:$AA$258,13,FALSE))))</f>
        <v/>
      </c>
      <c r="P240" s="152" t="str">
        <f>IFERROR(INDEX('G-1 All Habitats'!$AG$49:$AG$63,MATCH(Q240,'G-1 All Habitats'!$AF$27:$AF$41,0)),"")</f>
        <v/>
      </c>
      <c r="Q240" s="153"/>
      <c r="R240" s="154"/>
      <c r="S240" s="155" t="str">
        <f>IFERROR(INDEX('G-1 All Habitats'!$B$3:$B$135,MATCH(R240,'G-1 All Habitats'!$A$3:$A$135,0)),"")</f>
        <v/>
      </c>
      <c r="T240" s="289" t="str">
        <f t="shared" si="32"/>
        <v/>
      </c>
      <c r="U240" s="305" t="str">
        <f t="shared" si="33"/>
        <v/>
      </c>
      <c r="V240" s="304" t="str">
        <f t="shared" si="30"/>
        <v/>
      </c>
      <c r="W240" s="301" t="str">
        <f>IF(S240="","",VLOOKUP(S240,'G-1 All Habitats'!$B$2:$M$135,10,FALSE))</f>
        <v/>
      </c>
      <c r="X240" s="301" t="str">
        <f>IFERROR(VLOOKUP(W240,'G-1 All Habitats'!$V$3:$W$7,2,FALSE),"")</f>
        <v/>
      </c>
      <c r="Y240" s="142"/>
      <c r="Z240" s="305" t="str">
        <f>IFERROR(INDEX('G-8 Condition Look up'!$A$3:$H$135,MATCH(S240,'G-8 Condition Look up'!$A$3:$A$135,0),MATCH(Y240,'G-8 Condition Look up'!$A$3:$H$3,0)),"")</f>
        <v/>
      </c>
      <c r="AA240" s="105"/>
      <c r="AB240" s="320" t="str">
        <f>IF(AA240="","",IF(VLOOKUP(AA240,'G-3 Multipliers'!$L$3:$N$6,2,FALSE)=0,"Spatial Data Missing ⚠",VLOOKUP(AA240,'G-3 Multipliers'!$L$3:$N$6,2,FALSE)))</f>
        <v/>
      </c>
      <c r="AC240" s="305" t="str">
        <f>IF(AA240="","",IF(VLOOKUP(AA240,'G-3 Multipliers'!$L$3:$N$6,3,FALSE)=0,"Spatial Data Missing ⚠",VLOOKUP(AA240,'G-3 Multipliers'!$L$3:$N$6,3,FALSE)))</f>
        <v/>
      </c>
      <c r="AD240" s="317" t="str">
        <f t="shared" si="31"/>
        <v/>
      </c>
      <c r="AE240" s="142"/>
      <c r="AF240" s="142"/>
      <c r="AG240" s="301" t="str">
        <f t="shared" si="34"/>
        <v/>
      </c>
      <c r="AH240" s="302" t="str">
        <f t="shared" si="35"/>
        <v/>
      </c>
      <c r="AI240" s="306" t="str">
        <f>IF(AH240="Check Data ⚠","Check Data ⚠",IFERROR(VLOOKUP(AH240,'G-4 Temporal multipliers'!$A$4:$C$36,3,FALSE),""))</f>
        <v/>
      </c>
      <c r="AJ240" s="317" t="str">
        <f>IF(S240="","",VLOOKUP(S240,'G-3 Multipliers'!$A$2:$E$134,4,FALSE))</f>
        <v/>
      </c>
      <c r="AK240" s="301" t="str">
        <f t="shared" si="36"/>
        <v/>
      </c>
      <c r="AL240" s="301" t="str">
        <f t="shared" si="37"/>
        <v/>
      </c>
      <c r="AM240" s="305" t="str">
        <f>IFERROR(IF(F240="","",IF(AH240="Check Data ⚠","Check Data ⚠",VLOOKUP(AL240, 'G-3 Multipliers'!$P$2:$Q$6,2,FALSE))),"")</f>
        <v/>
      </c>
      <c r="AN240" s="728"/>
      <c r="AO240" s="335" t="str">
        <f>IF(AN240="","",IF(VLOOKUP(AN240,'G-3 Multipliers'!$S$3:$T$10,2,FALSE)=0,"Spatial Data Missing ⚠",VLOOKUP(AN240,'G-3 Multipliers'!$S$3:$T$10,2,FALSE)))</f>
        <v/>
      </c>
      <c r="AP240" s="295" t="str">
        <f t="shared" si="38"/>
        <v/>
      </c>
      <c r="AQ240" s="295" t="str">
        <f t="shared" si="39"/>
        <v/>
      </c>
      <c r="AR240" s="109"/>
      <c r="AS240" s="142"/>
      <c r="AT240" s="108"/>
      <c r="AU240" s="108"/>
      <c r="AY240" s="30" t="str">
        <f>IF(E240="","",IF(ISNA(VLOOKUP($E240,'D-1 Off-Site Habitat Baseline'!$D$1:$AV$258,4,FALSE)),"",(VLOOKUP($E240,'D-1 Off-Site Habitat Baseline'!$D$1:$AV$258,4,FALSE))))</f>
        <v/>
      </c>
    </row>
    <row r="241" spans="1:51" x14ac:dyDescent="0.25">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325" t="str">
        <f>'D-1 Off-Site Habitat Baseline'!AP240</f>
        <v/>
      </c>
      <c r="F241" s="289" t="str">
        <f>IF(E241="","",IF(ISNA(VLOOKUP($E241,'D-1 Off-Site Habitat Baseline'!$D$1:$ZZ$258,45,FALSE)),"",(VLOOKUP($E241,'D-1 Off-Site Habitat Baseline'!$D$1:$ZZ$258,45,FALSE))))</f>
        <v/>
      </c>
      <c r="G241" s="301" t="str">
        <f>IF(E241="","",IF(ISNA(VLOOKUP($E241,'D-1 Off-Site Habitat Baseline'!$D$1:$O$258,5,FALSE)),"",(VLOOKUP($E241,'D-1 Off-Site Habitat Baseline'!$D$1:$O$258,5,FALSE))))</f>
        <v/>
      </c>
      <c r="H241" s="301" t="str">
        <f>IF(E241="","",IF(ISNA(VLOOKUP($E241,'D-1 Off-Site Habitat Baseline'!$D$1:$O$258,6,FALSE)),"",(VLOOKUP($E241,'D-1 Off-Site Habitat Baseline'!$D$1:$O$258,6,FALSE))))</f>
        <v/>
      </c>
      <c r="I241" s="301" t="str">
        <f>IF(E241="","",IF(ISNA(VLOOKUP($E241,'D-1 Off-Site Habitat Baseline'!$D$1:$O$258,7,FALSE)),"",(VLOOKUP($E241,'D-1 Off-Site Habitat Baseline'!$D$1:$O$258,7,FALSE))))</f>
        <v/>
      </c>
      <c r="J241" s="301" t="str">
        <f>IF(E241="","",IF(ISNA(VLOOKUP($E241,'D-1 Off-Site Habitat Baseline'!$D$1:$O$258,8,FALSE)),"",(VLOOKUP($E241,'D-1 Off-Site Habitat Baseline'!$D$1:$O$258,8,FALSE))))</f>
        <v/>
      </c>
      <c r="K241" s="301" t="str">
        <f>IF(E241="","",IF(ISNA(VLOOKUP($E241,'D-1 Off-Site Habitat Baseline'!$D$1:$O$258,9,FALSE)),"",(VLOOKUP($E241,'D-1 Off-Site Habitat Baseline'!$D$1:$O$258,9,FALSE))))</f>
        <v/>
      </c>
      <c r="L241" s="301" t="str">
        <f>IF(E241="","",IF(ISNA(VLOOKUP($E241,'D-1 Off-Site Habitat Baseline'!$D$1:$O$258,11,FALSE)),"",(VLOOKUP($E241,'D-1 Off-Site Habitat Baseline'!$D$1:$O$258,11,FALSE))))</f>
        <v/>
      </c>
      <c r="M241" s="301" t="str">
        <f>IF(E241="","",IF(ISNA(VLOOKUP($E241,'D-1 Off-Site Habitat Baseline'!$D$1:$O$258,12,FALSE)),"",(VLOOKUP($E241,'D-1 Off-Site Habitat Baseline'!$D$1:$O$258,12,FALSE))))</f>
        <v/>
      </c>
      <c r="N241" s="301" t="str">
        <f>IF(E241="","",IF(ISNA(VLOOKUP($E241,'D-1 Off-Site Habitat Baseline'!$D$1:$AA$258,17,FALSE)),"",(VLOOKUP($E241,'D-1 Off-Site Habitat Baseline'!$D$1:$AA$258,17,FALSE))))</f>
        <v/>
      </c>
      <c r="O241" s="305" t="str">
        <f>IF(E241="","",IF(ISNA(VLOOKUP($E241,'D-1 Off-Site Habitat Baseline'!$D$1:$AA$258,13,FALSE)),"",(VLOOKUP($E241,'D-1 Off-Site Habitat Baseline'!$D$1:$AA$258,13,FALSE))))</f>
        <v/>
      </c>
      <c r="P241" s="152" t="str">
        <f>IFERROR(INDEX('G-1 All Habitats'!$AG$49:$AG$63,MATCH(Q241,'G-1 All Habitats'!$AF$27:$AF$41,0)),"")</f>
        <v/>
      </c>
      <c r="Q241" s="153"/>
      <c r="R241" s="154"/>
      <c r="S241" s="155" t="str">
        <f>IFERROR(INDEX('G-1 All Habitats'!$B$3:$B$135,MATCH(R241,'G-1 All Habitats'!$A$3:$A$135,0)),"")</f>
        <v/>
      </c>
      <c r="T241" s="289" t="str">
        <f t="shared" si="32"/>
        <v/>
      </c>
      <c r="U241" s="305" t="str">
        <f t="shared" si="33"/>
        <v/>
      </c>
      <c r="V241" s="304" t="str">
        <f t="shared" si="30"/>
        <v/>
      </c>
      <c r="W241" s="301" t="str">
        <f>IF(S241="","",VLOOKUP(S241,'G-1 All Habitats'!$B$2:$M$135,10,FALSE))</f>
        <v/>
      </c>
      <c r="X241" s="301" t="str">
        <f>IFERROR(VLOOKUP(W241,'G-1 All Habitats'!$V$3:$W$7,2,FALSE),"")</f>
        <v/>
      </c>
      <c r="Y241" s="142"/>
      <c r="Z241" s="305" t="str">
        <f>IFERROR(INDEX('G-8 Condition Look up'!$A$3:$H$135,MATCH(S241,'G-8 Condition Look up'!$A$3:$A$135,0),MATCH(Y241,'G-8 Condition Look up'!$A$3:$H$3,0)),"")</f>
        <v/>
      </c>
      <c r="AA241" s="105"/>
      <c r="AB241" s="320" t="str">
        <f>IF(AA241="","",IF(VLOOKUP(AA241,'G-3 Multipliers'!$L$3:$N$6,2,FALSE)=0,"Spatial Data Missing ⚠",VLOOKUP(AA241,'G-3 Multipliers'!$L$3:$N$6,2,FALSE)))</f>
        <v/>
      </c>
      <c r="AC241" s="305" t="str">
        <f>IF(AA241="","",IF(VLOOKUP(AA241,'G-3 Multipliers'!$L$3:$N$6,3,FALSE)=0,"Spatial Data Missing ⚠",VLOOKUP(AA241,'G-3 Multipliers'!$L$3:$N$6,3,FALSE)))</f>
        <v/>
      </c>
      <c r="AD241" s="317" t="str">
        <f t="shared" si="31"/>
        <v/>
      </c>
      <c r="AE241" s="142"/>
      <c r="AF241" s="142"/>
      <c r="AG241" s="301" t="str">
        <f t="shared" si="34"/>
        <v/>
      </c>
      <c r="AH241" s="302" t="str">
        <f t="shared" si="35"/>
        <v/>
      </c>
      <c r="AI241" s="306" t="str">
        <f>IF(AH241="Check Data ⚠","Check Data ⚠",IFERROR(VLOOKUP(AH241,'G-4 Temporal multipliers'!$A$4:$C$36,3,FALSE),""))</f>
        <v/>
      </c>
      <c r="AJ241" s="317" t="str">
        <f>IF(S241="","",VLOOKUP(S241,'G-3 Multipliers'!$A$2:$E$134,4,FALSE))</f>
        <v/>
      </c>
      <c r="AK241" s="301" t="str">
        <f t="shared" si="36"/>
        <v/>
      </c>
      <c r="AL241" s="301" t="str">
        <f t="shared" si="37"/>
        <v/>
      </c>
      <c r="AM241" s="305" t="str">
        <f>IFERROR(IF(F241="","",IF(AH241="Check Data ⚠","Check Data ⚠",VLOOKUP(AL241, 'G-3 Multipliers'!$P$2:$Q$6,2,FALSE))),"")</f>
        <v/>
      </c>
      <c r="AN241" s="728"/>
      <c r="AO241" s="335" t="str">
        <f>IF(AN241="","",IF(VLOOKUP(AN241,'G-3 Multipliers'!$S$3:$T$10,2,FALSE)=0,"Spatial Data Missing ⚠",VLOOKUP(AN241,'G-3 Multipliers'!$S$3:$T$10,2,FALSE)))</f>
        <v/>
      </c>
      <c r="AP241" s="295" t="str">
        <f t="shared" si="38"/>
        <v/>
      </c>
      <c r="AQ241" s="295" t="str">
        <f t="shared" si="39"/>
        <v/>
      </c>
      <c r="AR241" s="109"/>
      <c r="AS241" s="142"/>
      <c r="AT241" s="108"/>
      <c r="AU241" s="108"/>
      <c r="AY241" s="30" t="str">
        <f>IF(E241="","",IF(ISNA(VLOOKUP($E241,'D-1 Off-Site Habitat Baseline'!$D$1:$AV$258,4,FALSE)),"",(VLOOKUP($E241,'D-1 Off-Site Habitat Baseline'!$D$1:$AV$258,4,FALSE))))</f>
        <v/>
      </c>
    </row>
    <row r="242" spans="1:51" x14ac:dyDescent="0.25">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325" t="str">
        <f>'D-1 Off-Site Habitat Baseline'!AP241</f>
        <v/>
      </c>
      <c r="F242" s="289" t="str">
        <f>IF(E242="","",IF(ISNA(VLOOKUP($E242,'D-1 Off-Site Habitat Baseline'!$D$1:$ZZ$258,45,FALSE)),"",(VLOOKUP($E242,'D-1 Off-Site Habitat Baseline'!$D$1:$ZZ$258,45,FALSE))))</f>
        <v/>
      </c>
      <c r="G242" s="301" t="str">
        <f>IF(E242="","",IF(ISNA(VLOOKUP($E242,'D-1 Off-Site Habitat Baseline'!$D$1:$O$258,5,FALSE)),"",(VLOOKUP($E242,'D-1 Off-Site Habitat Baseline'!$D$1:$O$258,5,FALSE))))</f>
        <v/>
      </c>
      <c r="H242" s="301" t="str">
        <f>IF(E242="","",IF(ISNA(VLOOKUP($E242,'D-1 Off-Site Habitat Baseline'!$D$1:$O$258,6,FALSE)),"",(VLOOKUP($E242,'D-1 Off-Site Habitat Baseline'!$D$1:$O$258,6,FALSE))))</f>
        <v/>
      </c>
      <c r="I242" s="301" t="str">
        <f>IF(E242="","",IF(ISNA(VLOOKUP($E242,'D-1 Off-Site Habitat Baseline'!$D$1:$O$258,7,FALSE)),"",(VLOOKUP($E242,'D-1 Off-Site Habitat Baseline'!$D$1:$O$258,7,FALSE))))</f>
        <v/>
      </c>
      <c r="J242" s="301" t="str">
        <f>IF(E242="","",IF(ISNA(VLOOKUP($E242,'D-1 Off-Site Habitat Baseline'!$D$1:$O$258,8,FALSE)),"",(VLOOKUP($E242,'D-1 Off-Site Habitat Baseline'!$D$1:$O$258,8,FALSE))))</f>
        <v/>
      </c>
      <c r="K242" s="301" t="str">
        <f>IF(E242="","",IF(ISNA(VLOOKUP($E242,'D-1 Off-Site Habitat Baseline'!$D$1:$O$258,9,FALSE)),"",(VLOOKUP($E242,'D-1 Off-Site Habitat Baseline'!$D$1:$O$258,9,FALSE))))</f>
        <v/>
      </c>
      <c r="L242" s="301" t="str">
        <f>IF(E242="","",IF(ISNA(VLOOKUP($E242,'D-1 Off-Site Habitat Baseline'!$D$1:$O$258,11,FALSE)),"",(VLOOKUP($E242,'D-1 Off-Site Habitat Baseline'!$D$1:$O$258,11,FALSE))))</f>
        <v/>
      </c>
      <c r="M242" s="301" t="str">
        <f>IF(E242="","",IF(ISNA(VLOOKUP($E242,'D-1 Off-Site Habitat Baseline'!$D$1:$O$258,12,FALSE)),"",(VLOOKUP($E242,'D-1 Off-Site Habitat Baseline'!$D$1:$O$258,12,FALSE))))</f>
        <v/>
      </c>
      <c r="N242" s="301" t="str">
        <f>IF(E242="","",IF(ISNA(VLOOKUP($E242,'D-1 Off-Site Habitat Baseline'!$D$1:$AA$258,17,FALSE)),"",(VLOOKUP($E242,'D-1 Off-Site Habitat Baseline'!$D$1:$AA$258,17,FALSE))))</f>
        <v/>
      </c>
      <c r="O242" s="305" t="str">
        <f>IF(E242="","",IF(ISNA(VLOOKUP($E242,'D-1 Off-Site Habitat Baseline'!$D$1:$AA$258,13,FALSE)),"",(VLOOKUP($E242,'D-1 Off-Site Habitat Baseline'!$D$1:$AA$258,13,FALSE))))</f>
        <v/>
      </c>
      <c r="P242" s="152" t="str">
        <f>IFERROR(INDEX('G-1 All Habitats'!$AG$49:$AG$63,MATCH(Q242,'G-1 All Habitats'!$AF$27:$AF$41,0)),"")</f>
        <v/>
      </c>
      <c r="Q242" s="153"/>
      <c r="R242" s="154"/>
      <c r="S242" s="155" t="str">
        <f>IFERROR(INDEX('G-1 All Habitats'!$B$3:$B$135,MATCH(R242,'G-1 All Habitats'!$A$3:$A$135,0)),"")</f>
        <v/>
      </c>
      <c r="T242" s="289" t="str">
        <f t="shared" si="32"/>
        <v/>
      </c>
      <c r="U242" s="305" t="str">
        <f t="shared" si="33"/>
        <v/>
      </c>
      <c r="V242" s="304" t="str">
        <f t="shared" si="30"/>
        <v/>
      </c>
      <c r="W242" s="301" t="str">
        <f>IF(S242="","",VLOOKUP(S242,'G-1 All Habitats'!$B$2:$M$135,10,FALSE))</f>
        <v/>
      </c>
      <c r="X242" s="301" t="str">
        <f>IFERROR(VLOOKUP(W242,'G-1 All Habitats'!$V$3:$W$7,2,FALSE),"")</f>
        <v/>
      </c>
      <c r="Y242" s="142"/>
      <c r="Z242" s="305" t="str">
        <f>IFERROR(INDEX('G-8 Condition Look up'!$A$3:$H$135,MATCH(S242,'G-8 Condition Look up'!$A$3:$A$135,0),MATCH(Y242,'G-8 Condition Look up'!$A$3:$H$3,0)),"")</f>
        <v/>
      </c>
      <c r="AA242" s="105"/>
      <c r="AB242" s="320" t="str">
        <f>IF(AA242="","",IF(VLOOKUP(AA242,'G-3 Multipliers'!$L$3:$N$6,2,FALSE)=0,"Spatial Data Missing ⚠",VLOOKUP(AA242,'G-3 Multipliers'!$L$3:$N$6,2,FALSE)))</f>
        <v/>
      </c>
      <c r="AC242" s="305" t="str">
        <f>IF(AA242="","",IF(VLOOKUP(AA242,'G-3 Multipliers'!$L$3:$N$6,3,FALSE)=0,"Spatial Data Missing ⚠",VLOOKUP(AA242,'G-3 Multipliers'!$L$3:$N$6,3,FALSE)))</f>
        <v/>
      </c>
      <c r="AD242" s="317" t="str">
        <f t="shared" si="31"/>
        <v/>
      </c>
      <c r="AE242" s="142"/>
      <c r="AF242" s="142"/>
      <c r="AG242" s="301" t="str">
        <f t="shared" si="34"/>
        <v/>
      </c>
      <c r="AH242" s="302" t="str">
        <f t="shared" si="35"/>
        <v/>
      </c>
      <c r="AI242" s="306" t="str">
        <f>IF(AH242="Check Data ⚠","Check Data ⚠",IFERROR(VLOOKUP(AH242,'G-4 Temporal multipliers'!$A$4:$C$36,3,FALSE),""))</f>
        <v/>
      </c>
      <c r="AJ242" s="317" t="str">
        <f>IF(S242="","",VLOOKUP(S242,'G-3 Multipliers'!$A$2:$E$134,4,FALSE))</f>
        <v/>
      </c>
      <c r="AK242" s="301" t="str">
        <f t="shared" si="36"/>
        <v/>
      </c>
      <c r="AL242" s="301" t="str">
        <f t="shared" si="37"/>
        <v/>
      </c>
      <c r="AM242" s="305" t="str">
        <f>IFERROR(IF(F242="","",IF(AH242="Check Data ⚠","Check Data ⚠",VLOOKUP(AL242, 'G-3 Multipliers'!$P$2:$Q$6,2,FALSE))),"")</f>
        <v/>
      </c>
      <c r="AN242" s="728"/>
      <c r="AO242" s="335" t="str">
        <f>IF(AN242="","",IF(VLOOKUP(AN242,'G-3 Multipliers'!$S$3:$T$10,2,FALSE)=0,"Spatial Data Missing ⚠",VLOOKUP(AN242,'G-3 Multipliers'!$S$3:$T$10,2,FALSE)))</f>
        <v/>
      </c>
      <c r="AP242" s="295" t="str">
        <f t="shared" si="38"/>
        <v/>
      </c>
      <c r="AQ242" s="295" t="str">
        <f t="shared" si="39"/>
        <v/>
      </c>
      <c r="AR242" s="109"/>
      <c r="AS242" s="142"/>
      <c r="AT242" s="108"/>
      <c r="AU242" s="108"/>
      <c r="AY242" s="30" t="str">
        <f>IF(E242="","",IF(ISNA(VLOOKUP($E242,'D-1 Off-Site Habitat Baseline'!$D$1:$AV$258,4,FALSE)),"",(VLOOKUP($E242,'D-1 Off-Site Habitat Baseline'!$D$1:$AV$258,4,FALSE))))</f>
        <v/>
      </c>
    </row>
    <row r="243" spans="1:51" x14ac:dyDescent="0.25">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325" t="str">
        <f>'D-1 Off-Site Habitat Baseline'!AP242</f>
        <v/>
      </c>
      <c r="F243" s="289" t="str">
        <f>IF(E243="","",IF(ISNA(VLOOKUP($E243,'D-1 Off-Site Habitat Baseline'!$D$1:$ZZ$258,45,FALSE)),"",(VLOOKUP($E243,'D-1 Off-Site Habitat Baseline'!$D$1:$ZZ$258,45,FALSE))))</f>
        <v/>
      </c>
      <c r="G243" s="301" t="str">
        <f>IF(E243="","",IF(ISNA(VLOOKUP($E243,'D-1 Off-Site Habitat Baseline'!$D$1:$O$258,5,FALSE)),"",(VLOOKUP($E243,'D-1 Off-Site Habitat Baseline'!$D$1:$O$258,5,FALSE))))</f>
        <v/>
      </c>
      <c r="H243" s="301" t="str">
        <f>IF(E243="","",IF(ISNA(VLOOKUP($E243,'D-1 Off-Site Habitat Baseline'!$D$1:$O$258,6,FALSE)),"",(VLOOKUP($E243,'D-1 Off-Site Habitat Baseline'!$D$1:$O$258,6,FALSE))))</f>
        <v/>
      </c>
      <c r="I243" s="301" t="str">
        <f>IF(E243="","",IF(ISNA(VLOOKUP($E243,'D-1 Off-Site Habitat Baseline'!$D$1:$O$258,7,FALSE)),"",(VLOOKUP($E243,'D-1 Off-Site Habitat Baseline'!$D$1:$O$258,7,FALSE))))</f>
        <v/>
      </c>
      <c r="J243" s="301" t="str">
        <f>IF(E243="","",IF(ISNA(VLOOKUP($E243,'D-1 Off-Site Habitat Baseline'!$D$1:$O$258,8,FALSE)),"",(VLOOKUP($E243,'D-1 Off-Site Habitat Baseline'!$D$1:$O$258,8,FALSE))))</f>
        <v/>
      </c>
      <c r="K243" s="301" t="str">
        <f>IF(E243="","",IF(ISNA(VLOOKUP($E243,'D-1 Off-Site Habitat Baseline'!$D$1:$O$258,9,FALSE)),"",(VLOOKUP($E243,'D-1 Off-Site Habitat Baseline'!$D$1:$O$258,9,FALSE))))</f>
        <v/>
      </c>
      <c r="L243" s="301" t="str">
        <f>IF(E243="","",IF(ISNA(VLOOKUP($E243,'D-1 Off-Site Habitat Baseline'!$D$1:$O$258,11,FALSE)),"",(VLOOKUP($E243,'D-1 Off-Site Habitat Baseline'!$D$1:$O$258,11,FALSE))))</f>
        <v/>
      </c>
      <c r="M243" s="301" t="str">
        <f>IF(E243="","",IF(ISNA(VLOOKUP($E243,'D-1 Off-Site Habitat Baseline'!$D$1:$O$258,12,FALSE)),"",(VLOOKUP($E243,'D-1 Off-Site Habitat Baseline'!$D$1:$O$258,12,FALSE))))</f>
        <v/>
      </c>
      <c r="N243" s="301" t="str">
        <f>IF(E243="","",IF(ISNA(VLOOKUP($E243,'D-1 Off-Site Habitat Baseline'!$D$1:$AA$258,17,FALSE)),"",(VLOOKUP($E243,'D-1 Off-Site Habitat Baseline'!$D$1:$AA$258,17,FALSE))))</f>
        <v/>
      </c>
      <c r="O243" s="305" t="str">
        <f>IF(E243="","",IF(ISNA(VLOOKUP($E243,'D-1 Off-Site Habitat Baseline'!$D$1:$AA$258,13,FALSE)),"",(VLOOKUP($E243,'D-1 Off-Site Habitat Baseline'!$D$1:$AA$258,13,FALSE))))</f>
        <v/>
      </c>
      <c r="P243" s="152" t="str">
        <f>IFERROR(INDEX('G-1 All Habitats'!$AG$49:$AG$63,MATCH(Q243,'G-1 All Habitats'!$AF$27:$AF$41,0)),"")</f>
        <v/>
      </c>
      <c r="Q243" s="153"/>
      <c r="R243" s="154"/>
      <c r="S243" s="155" t="str">
        <f>IFERROR(INDEX('G-1 All Habitats'!$B$3:$B$135,MATCH(R243,'G-1 All Habitats'!$A$3:$A$135,0)),"")</f>
        <v/>
      </c>
      <c r="T243" s="289" t="str">
        <f t="shared" si="32"/>
        <v/>
      </c>
      <c r="U243" s="305" t="str">
        <f t="shared" si="33"/>
        <v/>
      </c>
      <c r="V243" s="304" t="str">
        <f t="shared" si="30"/>
        <v/>
      </c>
      <c r="W243" s="301" t="str">
        <f>IF(S243="","",VLOOKUP(S243,'G-1 All Habitats'!$B$2:$M$135,10,FALSE))</f>
        <v/>
      </c>
      <c r="X243" s="301" t="str">
        <f>IFERROR(VLOOKUP(W243,'G-1 All Habitats'!$V$3:$W$7,2,FALSE),"")</f>
        <v/>
      </c>
      <c r="Y243" s="142"/>
      <c r="Z243" s="305" t="str">
        <f>IFERROR(INDEX('G-8 Condition Look up'!$A$3:$H$135,MATCH(S243,'G-8 Condition Look up'!$A$3:$A$135,0),MATCH(Y243,'G-8 Condition Look up'!$A$3:$H$3,0)),"")</f>
        <v/>
      </c>
      <c r="AA243" s="105"/>
      <c r="AB243" s="320" t="str">
        <f>IF(AA243="","",IF(VLOOKUP(AA243,'G-3 Multipliers'!$L$3:$N$6,2,FALSE)=0,"Spatial Data Missing ⚠",VLOOKUP(AA243,'G-3 Multipliers'!$L$3:$N$6,2,FALSE)))</f>
        <v/>
      </c>
      <c r="AC243" s="305" t="str">
        <f>IF(AA243="","",IF(VLOOKUP(AA243,'G-3 Multipliers'!$L$3:$N$6,3,FALSE)=0,"Spatial Data Missing ⚠",VLOOKUP(AA243,'G-3 Multipliers'!$L$3:$N$6,3,FALSE)))</f>
        <v/>
      </c>
      <c r="AD243" s="317" t="str">
        <f t="shared" si="31"/>
        <v/>
      </c>
      <c r="AE243" s="142"/>
      <c r="AF243" s="142"/>
      <c r="AG243" s="301" t="str">
        <f t="shared" si="34"/>
        <v/>
      </c>
      <c r="AH243" s="302" t="str">
        <f t="shared" si="35"/>
        <v/>
      </c>
      <c r="AI243" s="306" t="str">
        <f>IF(AH243="Check Data ⚠","Check Data ⚠",IFERROR(VLOOKUP(AH243,'G-4 Temporal multipliers'!$A$4:$C$36,3,FALSE),""))</f>
        <v/>
      </c>
      <c r="AJ243" s="317" t="str">
        <f>IF(S243="","",VLOOKUP(S243,'G-3 Multipliers'!$A$2:$E$134,4,FALSE))</f>
        <v/>
      </c>
      <c r="AK243" s="301" t="str">
        <f t="shared" si="36"/>
        <v/>
      </c>
      <c r="AL243" s="301" t="str">
        <f t="shared" si="37"/>
        <v/>
      </c>
      <c r="AM243" s="305" t="str">
        <f>IFERROR(IF(F243="","",IF(AH243="Check Data ⚠","Check Data ⚠",VLOOKUP(AL243, 'G-3 Multipliers'!$P$2:$Q$6,2,FALSE))),"")</f>
        <v/>
      </c>
      <c r="AN243" s="728"/>
      <c r="AO243" s="335" t="str">
        <f>IF(AN243="","",IF(VLOOKUP(AN243,'G-3 Multipliers'!$S$3:$T$10,2,FALSE)=0,"Spatial Data Missing ⚠",VLOOKUP(AN243,'G-3 Multipliers'!$S$3:$T$10,2,FALSE)))</f>
        <v/>
      </c>
      <c r="AP243" s="295" t="str">
        <f t="shared" si="38"/>
        <v/>
      </c>
      <c r="AQ243" s="295" t="str">
        <f t="shared" si="39"/>
        <v/>
      </c>
      <c r="AR243" s="109"/>
      <c r="AS243" s="142"/>
      <c r="AT243" s="108"/>
      <c r="AU243" s="108"/>
      <c r="AY243" s="30" t="str">
        <f>IF(E243="","",IF(ISNA(VLOOKUP($E243,'D-1 Off-Site Habitat Baseline'!$D$1:$AV$258,4,FALSE)),"",(VLOOKUP($E243,'D-1 Off-Site Habitat Baseline'!$D$1:$AV$258,4,FALSE))))</f>
        <v/>
      </c>
    </row>
    <row r="244" spans="1:51" x14ac:dyDescent="0.25">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325" t="str">
        <f>'D-1 Off-Site Habitat Baseline'!AP243</f>
        <v/>
      </c>
      <c r="F244" s="289" t="str">
        <f>IF(E244="","",IF(ISNA(VLOOKUP($E244,'D-1 Off-Site Habitat Baseline'!$D$1:$ZZ$258,45,FALSE)),"",(VLOOKUP($E244,'D-1 Off-Site Habitat Baseline'!$D$1:$ZZ$258,45,FALSE))))</f>
        <v/>
      </c>
      <c r="G244" s="301" t="str">
        <f>IF(E244="","",IF(ISNA(VLOOKUP($E244,'D-1 Off-Site Habitat Baseline'!$D$1:$O$258,5,FALSE)),"",(VLOOKUP($E244,'D-1 Off-Site Habitat Baseline'!$D$1:$O$258,5,FALSE))))</f>
        <v/>
      </c>
      <c r="H244" s="301" t="str">
        <f>IF(E244="","",IF(ISNA(VLOOKUP($E244,'D-1 Off-Site Habitat Baseline'!$D$1:$O$258,6,FALSE)),"",(VLOOKUP($E244,'D-1 Off-Site Habitat Baseline'!$D$1:$O$258,6,FALSE))))</f>
        <v/>
      </c>
      <c r="I244" s="301" t="str">
        <f>IF(E244="","",IF(ISNA(VLOOKUP($E244,'D-1 Off-Site Habitat Baseline'!$D$1:$O$258,7,FALSE)),"",(VLOOKUP($E244,'D-1 Off-Site Habitat Baseline'!$D$1:$O$258,7,FALSE))))</f>
        <v/>
      </c>
      <c r="J244" s="301" t="str">
        <f>IF(E244="","",IF(ISNA(VLOOKUP($E244,'D-1 Off-Site Habitat Baseline'!$D$1:$O$258,8,FALSE)),"",(VLOOKUP($E244,'D-1 Off-Site Habitat Baseline'!$D$1:$O$258,8,FALSE))))</f>
        <v/>
      </c>
      <c r="K244" s="301" t="str">
        <f>IF(E244="","",IF(ISNA(VLOOKUP($E244,'D-1 Off-Site Habitat Baseline'!$D$1:$O$258,9,FALSE)),"",(VLOOKUP($E244,'D-1 Off-Site Habitat Baseline'!$D$1:$O$258,9,FALSE))))</f>
        <v/>
      </c>
      <c r="L244" s="301" t="str">
        <f>IF(E244="","",IF(ISNA(VLOOKUP($E244,'D-1 Off-Site Habitat Baseline'!$D$1:$O$258,11,FALSE)),"",(VLOOKUP($E244,'D-1 Off-Site Habitat Baseline'!$D$1:$O$258,11,FALSE))))</f>
        <v/>
      </c>
      <c r="M244" s="301" t="str">
        <f>IF(E244="","",IF(ISNA(VLOOKUP($E244,'D-1 Off-Site Habitat Baseline'!$D$1:$O$258,12,FALSE)),"",(VLOOKUP($E244,'D-1 Off-Site Habitat Baseline'!$D$1:$O$258,12,FALSE))))</f>
        <v/>
      </c>
      <c r="N244" s="301" t="str">
        <f>IF(E244="","",IF(ISNA(VLOOKUP($E244,'D-1 Off-Site Habitat Baseline'!$D$1:$AA$258,17,FALSE)),"",(VLOOKUP($E244,'D-1 Off-Site Habitat Baseline'!$D$1:$AA$258,17,FALSE))))</f>
        <v/>
      </c>
      <c r="O244" s="305" t="str">
        <f>IF(E244="","",IF(ISNA(VLOOKUP($E244,'D-1 Off-Site Habitat Baseline'!$D$1:$AA$258,13,FALSE)),"",(VLOOKUP($E244,'D-1 Off-Site Habitat Baseline'!$D$1:$AA$258,13,FALSE))))</f>
        <v/>
      </c>
      <c r="P244" s="152" t="str">
        <f>IFERROR(INDEX('G-1 All Habitats'!$AG$49:$AG$63,MATCH(Q244,'G-1 All Habitats'!$AF$27:$AF$41,0)),"")</f>
        <v/>
      </c>
      <c r="Q244" s="153"/>
      <c r="R244" s="154"/>
      <c r="S244" s="155" t="str">
        <f>IFERROR(INDEX('G-1 All Habitats'!$B$3:$B$135,MATCH(R244,'G-1 All Habitats'!$A$3:$A$135,0)),"")</f>
        <v/>
      </c>
      <c r="T244" s="289" t="str">
        <f t="shared" si="32"/>
        <v/>
      </c>
      <c r="U244" s="305" t="str">
        <f t="shared" si="33"/>
        <v/>
      </c>
      <c r="V244" s="304" t="str">
        <f t="shared" si="30"/>
        <v/>
      </c>
      <c r="W244" s="301" t="str">
        <f>IF(S244="","",VLOOKUP(S244,'G-1 All Habitats'!$B$2:$M$135,10,FALSE))</f>
        <v/>
      </c>
      <c r="X244" s="301" t="str">
        <f>IFERROR(VLOOKUP(W244,'G-1 All Habitats'!$V$3:$W$7,2,FALSE),"")</f>
        <v/>
      </c>
      <c r="Y244" s="142"/>
      <c r="Z244" s="305" t="str">
        <f>IFERROR(INDEX('G-8 Condition Look up'!$A$3:$H$135,MATCH(S244,'G-8 Condition Look up'!$A$3:$A$135,0),MATCH(Y244,'G-8 Condition Look up'!$A$3:$H$3,0)),"")</f>
        <v/>
      </c>
      <c r="AA244" s="105"/>
      <c r="AB244" s="320" t="str">
        <f>IF(AA244="","",IF(VLOOKUP(AA244,'G-3 Multipliers'!$L$3:$N$6,2,FALSE)=0,"Spatial Data Missing ⚠",VLOOKUP(AA244,'G-3 Multipliers'!$L$3:$N$6,2,FALSE)))</f>
        <v/>
      </c>
      <c r="AC244" s="305" t="str">
        <f>IF(AA244="","",IF(VLOOKUP(AA244,'G-3 Multipliers'!$L$3:$N$6,3,FALSE)=0,"Spatial Data Missing ⚠",VLOOKUP(AA244,'G-3 Multipliers'!$L$3:$N$6,3,FALSE)))</f>
        <v/>
      </c>
      <c r="AD244" s="317" t="str">
        <f t="shared" si="31"/>
        <v/>
      </c>
      <c r="AE244" s="142"/>
      <c r="AF244" s="142"/>
      <c r="AG244" s="301" t="str">
        <f t="shared" si="34"/>
        <v/>
      </c>
      <c r="AH244" s="302" t="str">
        <f t="shared" si="35"/>
        <v/>
      </c>
      <c r="AI244" s="306" t="str">
        <f>IF(AH244="Check Data ⚠","Check Data ⚠",IFERROR(VLOOKUP(AH244,'G-4 Temporal multipliers'!$A$4:$C$36,3,FALSE),""))</f>
        <v/>
      </c>
      <c r="AJ244" s="317" t="str">
        <f>IF(S244="","",VLOOKUP(S244,'G-3 Multipliers'!$A$2:$E$134,4,FALSE))</f>
        <v/>
      </c>
      <c r="AK244" s="301" t="str">
        <f t="shared" si="36"/>
        <v/>
      </c>
      <c r="AL244" s="301" t="str">
        <f t="shared" si="37"/>
        <v/>
      </c>
      <c r="AM244" s="305" t="str">
        <f>IFERROR(IF(F244="","",IF(AH244="Check Data ⚠","Check Data ⚠",VLOOKUP(AL244, 'G-3 Multipliers'!$P$2:$Q$6,2,FALSE))),"")</f>
        <v/>
      </c>
      <c r="AN244" s="728"/>
      <c r="AO244" s="335" t="str">
        <f>IF(AN244="","",IF(VLOOKUP(AN244,'G-3 Multipliers'!$S$3:$T$10,2,FALSE)=0,"Spatial Data Missing ⚠",VLOOKUP(AN244,'G-3 Multipliers'!$S$3:$T$10,2,FALSE)))</f>
        <v/>
      </c>
      <c r="AP244" s="295" t="str">
        <f t="shared" si="38"/>
        <v/>
      </c>
      <c r="AQ244" s="295" t="str">
        <f t="shared" si="39"/>
        <v/>
      </c>
      <c r="AR244" s="109"/>
      <c r="AS244" s="142"/>
      <c r="AT244" s="108"/>
      <c r="AU244" s="108"/>
      <c r="AY244" s="30" t="str">
        <f>IF(E244="","",IF(ISNA(VLOOKUP($E244,'D-1 Off-Site Habitat Baseline'!$D$1:$AV$258,4,FALSE)),"",(VLOOKUP($E244,'D-1 Off-Site Habitat Baseline'!$D$1:$AV$258,4,FALSE))))</f>
        <v/>
      </c>
    </row>
    <row r="245" spans="1:51" x14ac:dyDescent="0.25">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325" t="str">
        <f>'D-1 Off-Site Habitat Baseline'!AP244</f>
        <v/>
      </c>
      <c r="F245" s="289" t="str">
        <f>IF(E245="","",IF(ISNA(VLOOKUP($E245,'D-1 Off-Site Habitat Baseline'!$D$1:$ZZ$258,45,FALSE)),"",(VLOOKUP($E245,'D-1 Off-Site Habitat Baseline'!$D$1:$ZZ$258,45,FALSE))))</f>
        <v/>
      </c>
      <c r="G245" s="301" t="str">
        <f>IF(E245="","",IF(ISNA(VLOOKUP($E245,'D-1 Off-Site Habitat Baseline'!$D$1:$O$258,5,FALSE)),"",(VLOOKUP($E245,'D-1 Off-Site Habitat Baseline'!$D$1:$O$258,5,FALSE))))</f>
        <v/>
      </c>
      <c r="H245" s="301" t="str">
        <f>IF(E245="","",IF(ISNA(VLOOKUP($E245,'D-1 Off-Site Habitat Baseline'!$D$1:$O$258,6,FALSE)),"",(VLOOKUP($E245,'D-1 Off-Site Habitat Baseline'!$D$1:$O$258,6,FALSE))))</f>
        <v/>
      </c>
      <c r="I245" s="301" t="str">
        <f>IF(E245="","",IF(ISNA(VLOOKUP($E245,'D-1 Off-Site Habitat Baseline'!$D$1:$O$258,7,FALSE)),"",(VLOOKUP($E245,'D-1 Off-Site Habitat Baseline'!$D$1:$O$258,7,FALSE))))</f>
        <v/>
      </c>
      <c r="J245" s="301" t="str">
        <f>IF(E245="","",IF(ISNA(VLOOKUP($E245,'D-1 Off-Site Habitat Baseline'!$D$1:$O$258,8,FALSE)),"",(VLOOKUP($E245,'D-1 Off-Site Habitat Baseline'!$D$1:$O$258,8,FALSE))))</f>
        <v/>
      </c>
      <c r="K245" s="301" t="str">
        <f>IF(E245="","",IF(ISNA(VLOOKUP($E245,'D-1 Off-Site Habitat Baseline'!$D$1:$O$258,9,FALSE)),"",(VLOOKUP($E245,'D-1 Off-Site Habitat Baseline'!$D$1:$O$258,9,FALSE))))</f>
        <v/>
      </c>
      <c r="L245" s="301" t="str">
        <f>IF(E245="","",IF(ISNA(VLOOKUP($E245,'D-1 Off-Site Habitat Baseline'!$D$1:$O$258,11,FALSE)),"",(VLOOKUP($E245,'D-1 Off-Site Habitat Baseline'!$D$1:$O$258,11,FALSE))))</f>
        <v/>
      </c>
      <c r="M245" s="301" t="str">
        <f>IF(E245="","",IF(ISNA(VLOOKUP($E245,'D-1 Off-Site Habitat Baseline'!$D$1:$O$258,12,FALSE)),"",(VLOOKUP($E245,'D-1 Off-Site Habitat Baseline'!$D$1:$O$258,12,FALSE))))</f>
        <v/>
      </c>
      <c r="N245" s="301" t="str">
        <f>IF(E245="","",IF(ISNA(VLOOKUP($E245,'D-1 Off-Site Habitat Baseline'!$D$1:$AA$258,17,FALSE)),"",(VLOOKUP($E245,'D-1 Off-Site Habitat Baseline'!$D$1:$AA$258,17,FALSE))))</f>
        <v/>
      </c>
      <c r="O245" s="305" t="str">
        <f>IF(E245="","",IF(ISNA(VLOOKUP($E245,'D-1 Off-Site Habitat Baseline'!$D$1:$AA$258,13,FALSE)),"",(VLOOKUP($E245,'D-1 Off-Site Habitat Baseline'!$D$1:$AA$258,13,FALSE))))</f>
        <v/>
      </c>
      <c r="P245" s="152" t="str">
        <f>IFERROR(INDEX('G-1 All Habitats'!$AG$49:$AG$63,MATCH(Q245,'G-1 All Habitats'!$AF$27:$AF$41,0)),"")</f>
        <v/>
      </c>
      <c r="Q245" s="153"/>
      <c r="R245" s="154"/>
      <c r="S245" s="155" t="str">
        <f>IFERROR(INDEX('G-1 All Habitats'!$B$3:$B$135,MATCH(R245,'G-1 All Habitats'!$A$3:$A$135,0)),"")</f>
        <v/>
      </c>
      <c r="T245" s="289" t="str">
        <f t="shared" si="32"/>
        <v/>
      </c>
      <c r="U245" s="305" t="str">
        <f t="shared" si="33"/>
        <v/>
      </c>
      <c r="V245" s="304" t="str">
        <f t="shared" si="30"/>
        <v/>
      </c>
      <c r="W245" s="301" t="str">
        <f>IF(S245="","",VLOOKUP(S245,'G-1 All Habitats'!$B$2:$M$135,10,FALSE))</f>
        <v/>
      </c>
      <c r="X245" s="301" t="str">
        <f>IFERROR(VLOOKUP(W245,'G-1 All Habitats'!$V$3:$W$7,2,FALSE),"")</f>
        <v/>
      </c>
      <c r="Y245" s="142"/>
      <c r="Z245" s="305" t="str">
        <f>IFERROR(INDEX('G-8 Condition Look up'!$A$3:$H$135,MATCH(S245,'G-8 Condition Look up'!$A$3:$A$135,0),MATCH(Y245,'G-8 Condition Look up'!$A$3:$H$3,0)),"")</f>
        <v/>
      </c>
      <c r="AA245" s="105"/>
      <c r="AB245" s="320" t="str">
        <f>IF(AA245="","",IF(VLOOKUP(AA245,'G-3 Multipliers'!$L$3:$N$6,2,FALSE)=0,"Spatial Data Missing ⚠",VLOOKUP(AA245,'G-3 Multipliers'!$L$3:$N$6,2,FALSE)))</f>
        <v/>
      </c>
      <c r="AC245" s="305" t="str">
        <f>IF(AA245="","",IF(VLOOKUP(AA245,'G-3 Multipliers'!$L$3:$N$6,3,FALSE)=0,"Spatial Data Missing ⚠",VLOOKUP(AA245,'G-3 Multipliers'!$L$3:$N$6,3,FALSE)))</f>
        <v/>
      </c>
      <c r="AD245" s="317" t="str">
        <f t="shared" si="31"/>
        <v/>
      </c>
      <c r="AE245" s="142"/>
      <c r="AF245" s="142"/>
      <c r="AG245" s="301" t="str">
        <f t="shared" si="34"/>
        <v/>
      </c>
      <c r="AH245" s="302" t="str">
        <f t="shared" si="35"/>
        <v/>
      </c>
      <c r="AI245" s="306" t="str">
        <f>IF(AH245="Check Data ⚠","Check Data ⚠",IFERROR(VLOOKUP(AH245,'G-4 Temporal multipliers'!$A$4:$C$36,3,FALSE),""))</f>
        <v/>
      </c>
      <c r="AJ245" s="317" t="str">
        <f>IF(S245="","",VLOOKUP(S245,'G-3 Multipliers'!$A$2:$E$134,4,FALSE))</f>
        <v/>
      </c>
      <c r="AK245" s="301" t="str">
        <f t="shared" si="36"/>
        <v/>
      </c>
      <c r="AL245" s="301" t="str">
        <f t="shared" si="37"/>
        <v/>
      </c>
      <c r="AM245" s="305" t="str">
        <f>IFERROR(IF(F245="","",IF(AH245="Check Data ⚠","Check Data ⚠",VLOOKUP(AL245, 'G-3 Multipliers'!$P$2:$Q$6,2,FALSE))),"")</f>
        <v/>
      </c>
      <c r="AN245" s="728"/>
      <c r="AO245" s="335" t="str">
        <f>IF(AN245="","",IF(VLOOKUP(AN245,'G-3 Multipliers'!$S$3:$T$10,2,FALSE)=0,"Spatial Data Missing ⚠",VLOOKUP(AN245,'G-3 Multipliers'!$S$3:$T$10,2,FALSE)))</f>
        <v/>
      </c>
      <c r="AP245" s="295" t="str">
        <f t="shared" si="38"/>
        <v/>
      </c>
      <c r="AQ245" s="295" t="str">
        <f t="shared" si="39"/>
        <v/>
      </c>
      <c r="AR245" s="109"/>
      <c r="AS245" s="142"/>
      <c r="AT245" s="108"/>
      <c r="AU245" s="108"/>
      <c r="AY245" s="30" t="str">
        <f>IF(E245="","",IF(ISNA(VLOOKUP($E245,'D-1 Off-Site Habitat Baseline'!$D$1:$AV$258,4,FALSE)),"",(VLOOKUP($E245,'D-1 Off-Site Habitat Baseline'!$D$1:$AV$258,4,FALSE))))</f>
        <v/>
      </c>
    </row>
    <row r="246" spans="1:51" x14ac:dyDescent="0.25">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325" t="str">
        <f>'D-1 Off-Site Habitat Baseline'!AP245</f>
        <v/>
      </c>
      <c r="F246" s="289" t="str">
        <f>IF(E246="","",IF(ISNA(VLOOKUP($E246,'D-1 Off-Site Habitat Baseline'!$D$1:$ZZ$258,45,FALSE)),"",(VLOOKUP($E246,'D-1 Off-Site Habitat Baseline'!$D$1:$ZZ$258,45,FALSE))))</f>
        <v/>
      </c>
      <c r="G246" s="301" t="str">
        <f>IF(E246="","",IF(ISNA(VLOOKUP($E246,'D-1 Off-Site Habitat Baseline'!$D$1:$O$258,5,FALSE)),"",(VLOOKUP($E246,'D-1 Off-Site Habitat Baseline'!$D$1:$O$258,5,FALSE))))</f>
        <v/>
      </c>
      <c r="H246" s="301" t="str">
        <f>IF(E246="","",IF(ISNA(VLOOKUP($E246,'D-1 Off-Site Habitat Baseline'!$D$1:$O$258,6,FALSE)),"",(VLOOKUP($E246,'D-1 Off-Site Habitat Baseline'!$D$1:$O$258,6,FALSE))))</f>
        <v/>
      </c>
      <c r="I246" s="301" t="str">
        <f>IF(E246="","",IF(ISNA(VLOOKUP($E246,'D-1 Off-Site Habitat Baseline'!$D$1:$O$258,7,FALSE)),"",(VLOOKUP($E246,'D-1 Off-Site Habitat Baseline'!$D$1:$O$258,7,FALSE))))</f>
        <v/>
      </c>
      <c r="J246" s="301" t="str">
        <f>IF(E246="","",IF(ISNA(VLOOKUP($E246,'D-1 Off-Site Habitat Baseline'!$D$1:$O$258,8,FALSE)),"",(VLOOKUP($E246,'D-1 Off-Site Habitat Baseline'!$D$1:$O$258,8,FALSE))))</f>
        <v/>
      </c>
      <c r="K246" s="301" t="str">
        <f>IF(E246="","",IF(ISNA(VLOOKUP($E246,'D-1 Off-Site Habitat Baseline'!$D$1:$O$258,9,FALSE)),"",(VLOOKUP($E246,'D-1 Off-Site Habitat Baseline'!$D$1:$O$258,9,FALSE))))</f>
        <v/>
      </c>
      <c r="L246" s="301" t="str">
        <f>IF(E246="","",IF(ISNA(VLOOKUP($E246,'D-1 Off-Site Habitat Baseline'!$D$1:$O$258,11,FALSE)),"",(VLOOKUP($E246,'D-1 Off-Site Habitat Baseline'!$D$1:$O$258,11,FALSE))))</f>
        <v/>
      </c>
      <c r="M246" s="301" t="str">
        <f>IF(E246="","",IF(ISNA(VLOOKUP($E246,'D-1 Off-Site Habitat Baseline'!$D$1:$O$258,12,FALSE)),"",(VLOOKUP($E246,'D-1 Off-Site Habitat Baseline'!$D$1:$O$258,12,FALSE))))</f>
        <v/>
      </c>
      <c r="N246" s="301" t="str">
        <f>IF(E246="","",IF(ISNA(VLOOKUP($E246,'D-1 Off-Site Habitat Baseline'!$D$1:$AA$258,17,FALSE)),"",(VLOOKUP($E246,'D-1 Off-Site Habitat Baseline'!$D$1:$AA$258,17,FALSE))))</f>
        <v/>
      </c>
      <c r="O246" s="305" t="str">
        <f>IF(E246="","",IF(ISNA(VLOOKUP($E246,'D-1 Off-Site Habitat Baseline'!$D$1:$AA$258,13,FALSE)),"",(VLOOKUP($E246,'D-1 Off-Site Habitat Baseline'!$D$1:$AA$258,13,FALSE))))</f>
        <v/>
      </c>
      <c r="P246" s="152" t="str">
        <f>IFERROR(INDEX('G-1 All Habitats'!$AG$49:$AG$63,MATCH(Q246,'G-1 All Habitats'!$AF$27:$AF$41,0)),"")</f>
        <v/>
      </c>
      <c r="Q246" s="153"/>
      <c r="R246" s="154"/>
      <c r="S246" s="155" t="str">
        <f>IFERROR(INDEX('G-1 All Habitats'!$B$3:$B$135,MATCH(R246,'G-1 All Habitats'!$A$3:$A$135,0)),"")</f>
        <v/>
      </c>
      <c r="T246" s="289" t="str">
        <f t="shared" si="32"/>
        <v/>
      </c>
      <c r="U246" s="305" t="str">
        <f t="shared" si="33"/>
        <v/>
      </c>
      <c r="V246" s="304" t="str">
        <f t="shared" si="30"/>
        <v/>
      </c>
      <c r="W246" s="301" t="str">
        <f>IF(S246="","",VLOOKUP(S246,'G-1 All Habitats'!$B$2:$M$135,10,FALSE))</f>
        <v/>
      </c>
      <c r="X246" s="301" t="str">
        <f>IFERROR(VLOOKUP(W246,'G-1 All Habitats'!$V$3:$W$7,2,FALSE),"")</f>
        <v/>
      </c>
      <c r="Y246" s="142"/>
      <c r="Z246" s="305" t="str">
        <f>IFERROR(INDEX('G-8 Condition Look up'!$A$3:$H$135,MATCH(S246,'G-8 Condition Look up'!$A$3:$A$135,0),MATCH(Y246,'G-8 Condition Look up'!$A$3:$H$3,0)),"")</f>
        <v/>
      </c>
      <c r="AA246" s="105"/>
      <c r="AB246" s="320" t="str">
        <f>IF(AA246="","",IF(VLOOKUP(AA246,'G-3 Multipliers'!$L$3:$N$6,2,FALSE)=0,"Spatial Data Missing ⚠",VLOOKUP(AA246,'G-3 Multipliers'!$L$3:$N$6,2,FALSE)))</f>
        <v/>
      </c>
      <c r="AC246" s="305" t="str">
        <f>IF(AA246="","",IF(VLOOKUP(AA246,'G-3 Multipliers'!$L$3:$N$6,3,FALSE)=0,"Spatial Data Missing ⚠",VLOOKUP(AA246,'G-3 Multipliers'!$L$3:$N$6,3,FALSE)))</f>
        <v/>
      </c>
      <c r="AD246" s="317" t="str">
        <f t="shared" si="31"/>
        <v/>
      </c>
      <c r="AE246" s="142"/>
      <c r="AF246" s="142"/>
      <c r="AG246" s="301" t="str">
        <f t="shared" si="34"/>
        <v/>
      </c>
      <c r="AH246" s="302" t="str">
        <f t="shared" si="35"/>
        <v/>
      </c>
      <c r="AI246" s="306" t="str">
        <f>IF(AH246="Check Data ⚠","Check Data ⚠",IFERROR(VLOOKUP(AH246,'G-4 Temporal multipliers'!$A$4:$C$36,3,FALSE),""))</f>
        <v/>
      </c>
      <c r="AJ246" s="317" t="str">
        <f>IF(S246="","",VLOOKUP(S246,'G-3 Multipliers'!$A$2:$E$134,4,FALSE))</f>
        <v/>
      </c>
      <c r="AK246" s="301" t="str">
        <f t="shared" si="36"/>
        <v/>
      </c>
      <c r="AL246" s="301" t="str">
        <f t="shared" si="37"/>
        <v/>
      </c>
      <c r="AM246" s="305" t="str">
        <f>IFERROR(IF(F246="","",IF(AH246="Check Data ⚠","Check Data ⚠",VLOOKUP(AL246, 'G-3 Multipliers'!$P$2:$Q$6,2,FALSE))),"")</f>
        <v/>
      </c>
      <c r="AN246" s="728"/>
      <c r="AO246" s="335" t="str">
        <f>IF(AN246="","",IF(VLOOKUP(AN246,'G-3 Multipliers'!$S$3:$T$10,2,FALSE)=0,"Spatial Data Missing ⚠",VLOOKUP(AN246,'G-3 Multipliers'!$S$3:$T$10,2,FALSE)))</f>
        <v/>
      </c>
      <c r="AP246" s="295" t="str">
        <f t="shared" si="38"/>
        <v/>
      </c>
      <c r="AQ246" s="295" t="str">
        <f t="shared" si="39"/>
        <v/>
      </c>
      <c r="AR246" s="109"/>
      <c r="AS246" s="142"/>
      <c r="AT246" s="108"/>
      <c r="AU246" s="108"/>
      <c r="AY246" s="30" t="str">
        <f>IF(E246="","",IF(ISNA(VLOOKUP($E246,'D-1 Off-Site Habitat Baseline'!$D$1:$AV$258,4,FALSE)),"",(VLOOKUP($E246,'D-1 Off-Site Habitat Baseline'!$D$1:$AV$258,4,FALSE))))</f>
        <v/>
      </c>
    </row>
    <row r="247" spans="1:51" x14ac:dyDescent="0.25">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325" t="str">
        <f>'D-1 Off-Site Habitat Baseline'!AP246</f>
        <v/>
      </c>
      <c r="F247" s="289" t="str">
        <f>IF(E247="","",IF(ISNA(VLOOKUP($E247,'D-1 Off-Site Habitat Baseline'!$D$1:$ZZ$258,45,FALSE)),"",(VLOOKUP($E247,'D-1 Off-Site Habitat Baseline'!$D$1:$ZZ$258,45,FALSE))))</f>
        <v/>
      </c>
      <c r="G247" s="301" t="str">
        <f>IF(E247="","",IF(ISNA(VLOOKUP($E247,'D-1 Off-Site Habitat Baseline'!$D$1:$O$258,5,FALSE)),"",(VLOOKUP($E247,'D-1 Off-Site Habitat Baseline'!$D$1:$O$258,5,FALSE))))</f>
        <v/>
      </c>
      <c r="H247" s="301" t="str">
        <f>IF(E247="","",IF(ISNA(VLOOKUP($E247,'D-1 Off-Site Habitat Baseline'!$D$1:$O$258,6,FALSE)),"",(VLOOKUP($E247,'D-1 Off-Site Habitat Baseline'!$D$1:$O$258,6,FALSE))))</f>
        <v/>
      </c>
      <c r="I247" s="301" t="str">
        <f>IF(E247="","",IF(ISNA(VLOOKUP($E247,'D-1 Off-Site Habitat Baseline'!$D$1:$O$258,7,FALSE)),"",(VLOOKUP($E247,'D-1 Off-Site Habitat Baseline'!$D$1:$O$258,7,FALSE))))</f>
        <v/>
      </c>
      <c r="J247" s="301" t="str">
        <f>IF(E247="","",IF(ISNA(VLOOKUP($E247,'D-1 Off-Site Habitat Baseline'!$D$1:$O$258,8,FALSE)),"",(VLOOKUP($E247,'D-1 Off-Site Habitat Baseline'!$D$1:$O$258,8,FALSE))))</f>
        <v/>
      </c>
      <c r="K247" s="301" t="str">
        <f>IF(E247="","",IF(ISNA(VLOOKUP($E247,'D-1 Off-Site Habitat Baseline'!$D$1:$O$258,9,FALSE)),"",(VLOOKUP($E247,'D-1 Off-Site Habitat Baseline'!$D$1:$O$258,9,FALSE))))</f>
        <v/>
      </c>
      <c r="L247" s="301" t="str">
        <f>IF(E247="","",IF(ISNA(VLOOKUP($E247,'D-1 Off-Site Habitat Baseline'!$D$1:$O$258,11,FALSE)),"",(VLOOKUP($E247,'D-1 Off-Site Habitat Baseline'!$D$1:$O$258,11,FALSE))))</f>
        <v/>
      </c>
      <c r="M247" s="301" t="str">
        <f>IF(E247="","",IF(ISNA(VLOOKUP($E247,'D-1 Off-Site Habitat Baseline'!$D$1:$O$258,12,FALSE)),"",(VLOOKUP($E247,'D-1 Off-Site Habitat Baseline'!$D$1:$O$258,12,FALSE))))</f>
        <v/>
      </c>
      <c r="N247" s="301" t="str">
        <f>IF(E247="","",IF(ISNA(VLOOKUP($E247,'D-1 Off-Site Habitat Baseline'!$D$1:$AA$258,17,FALSE)),"",(VLOOKUP($E247,'D-1 Off-Site Habitat Baseline'!$D$1:$AA$258,17,FALSE))))</f>
        <v/>
      </c>
      <c r="O247" s="305" t="str">
        <f>IF(E247="","",IF(ISNA(VLOOKUP($E247,'D-1 Off-Site Habitat Baseline'!$D$1:$AA$258,13,FALSE)),"",(VLOOKUP($E247,'D-1 Off-Site Habitat Baseline'!$D$1:$AA$258,13,FALSE))))</f>
        <v/>
      </c>
      <c r="P247" s="152" t="str">
        <f>IFERROR(INDEX('G-1 All Habitats'!$AG$49:$AG$63,MATCH(Q247,'G-1 All Habitats'!$AF$27:$AF$41,0)),"")</f>
        <v/>
      </c>
      <c r="Q247" s="153"/>
      <c r="R247" s="154"/>
      <c r="S247" s="155" t="str">
        <f>IFERROR(INDEX('G-1 All Habitats'!$B$3:$B$135,MATCH(R247,'G-1 All Habitats'!$A$3:$A$135,0)),"")</f>
        <v/>
      </c>
      <c r="T247" s="289" t="str">
        <f t="shared" si="32"/>
        <v/>
      </c>
      <c r="U247" s="305" t="str">
        <f t="shared" si="33"/>
        <v/>
      </c>
      <c r="V247" s="304" t="str">
        <f t="shared" si="30"/>
        <v/>
      </c>
      <c r="W247" s="301" t="str">
        <f>IF(S247="","",VLOOKUP(S247,'G-1 All Habitats'!$B$2:$M$135,10,FALSE))</f>
        <v/>
      </c>
      <c r="X247" s="301" t="str">
        <f>IFERROR(VLOOKUP(W247,'G-1 All Habitats'!$V$3:$W$7,2,FALSE),"")</f>
        <v/>
      </c>
      <c r="Y247" s="142"/>
      <c r="Z247" s="305" t="str">
        <f>IFERROR(INDEX('G-8 Condition Look up'!$A$3:$H$135,MATCH(S247,'G-8 Condition Look up'!$A$3:$A$135,0),MATCH(Y247,'G-8 Condition Look up'!$A$3:$H$3,0)),"")</f>
        <v/>
      </c>
      <c r="AA247" s="105"/>
      <c r="AB247" s="320" t="str">
        <f>IF(AA247="","",IF(VLOOKUP(AA247,'G-3 Multipliers'!$L$3:$N$6,2,FALSE)=0,"Spatial Data Missing ⚠",VLOOKUP(AA247,'G-3 Multipliers'!$L$3:$N$6,2,FALSE)))</f>
        <v/>
      </c>
      <c r="AC247" s="305" t="str">
        <f>IF(AA247="","",IF(VLOOKUP(AA247,'G-3 Multipliers'!$L$3:$N$6,3,FALSE)=0,"Spatial Data Missing ⚠",VLOOKUP(AA247,'G-3 Multipliers'!$L$3:$N$6,3,FALSE)))</f>
        <v/>
      </c>
      <c r="AD247" s="317" t="str">
        <f t="shared" si="31"/>
        <v/>
      </c>
      <c r="AE247" s="142"/>
      <c r="AF247" s="142"/>
      <c r="AG247" s="301" t="str">
        <f t="shared" si="34"/>
        <v/>
      </c>
      <c r="AH247" s="302" t="str">
        <f t="shared" si="35"/>
        <v/>
      </c>
      <c r="AI247" s="306" t="str">
        <f>IF(AH247="Check Data ⚠","Check Data ⚠",IFERROR(VLOOKUP(AH247,'G-4 Temporal multipliers'!$A$4:$C$36,3,FALSE),""))</f>
        <v/>
      </c>
      <c r="AJ247" s="317" t="str">
        <f>IF(S247="","",VLOOKUP(S247,'G-3 Multipliers'!$A$2:$E$134,4,FALSE))</f>
        <v/>
      </c>
      <c r="AK247" s="301" t="str">
        <f t="shared" si="36"/>
        <v/>
      </c>
      <c r="AL247" s="301" t="str">
        <f t="shared" si="37"/>
        <v/>
      </c>
      <c r="AM247" s="305" t="str">
        <f>IFERROR(IF(F247="","",IF(AH247="Check Data ⚠","Check Data ⚠",VLOOKUP(AL247, 'G-3 Multipliers'!$P$2:$Q$6,2,FALSE))),"")</f>
        <v/>
      </c>
      <c r="AN247" s="728"/>
      <c r="AO247" s="335" t="str">
        <f>IF(AN247="","",IF(VLOOKUP(AN247,'G-3 Multipliers'!$S$3:$T$10,2,FALSE)=0,"Spatial Data Missing ⚠",VLOOKUP(AN247,'G-3 Multipliers'!$S$3:$T$10,2,FALSE)))</f>
        <v/>
      </c>
      <c r="AP247" s="295" t="str">
        <f t="shared" si="38"/>
        <v/>
      </c>
      <c r="AQ247" s="295" t="str">
        <f t="shared" si="39"/>
        <v/>
      </c>
      <c r="AR247" s="109"/>
      <c r="AS247" s="142"/>
      <c r="AT247" s="108"/>
      <c r="AU247" s="108"/>
      <c r="AY247" s="30" t="str">
        <f>IF(E247="","",IF(ISNA(VLOOKUP($E247,'D-1 Off-Site Habitat Baseline'!$D$1:$AV$258,4,FALSE)),"",(VLOOKUP($E247,'D-1 Off-Site Habitat Baseline'!$D$1:$AV$258,4,FALSE))))</f>
        <v/>
      </c>
    </row>
    <row r="248" spans="1:51" x14ac:dyDescent="0.25">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325" t="str">
        <f>'D-1 Off-Site Habitat Baseline'!AP247</f>
        <v/>
      </c>
      <c r="F248" s="289" t="str">
        <f>IF(E248="","",IF(ISNA(VLOOKUP($E248,'D-1 Off-Site Habitat Baseline'!$D$1:$ZZ$258,45,FALSE)),"",(VLOOKUP($E248,'D-1 Off-Site Habitat Baseline'!$D$1:$ZZ$258,45,FALSE))))</f>
        <v/>
      </c>
      <c r="G248" s="301" t="str">
        <f>IF(E248="","",IF(ISNA(VLOOKUP($E248,'D-1 Off-Site Habitat Baseline'!$D$1:$O$258,5,FALSE)),"",(VLOOKUP($E248,'D-1 Off-Site Habitat Baseline'!$D$1:$O$258,5,FALSE))))</f>
        <v/>
      </c>
      <c r="H248" s="301" t="str">
        <f>IF(E248="","",IF(ISNA(VLOOKUP($E248,'D-1 Off-Site Habitat Baseline'!$D$1:$O$258,6,FALSE)),"",(VLOOKUP($E248,'D-1 Off-Site Habitat Baseline'!$D$1:$O$258,6,FALSE))))</f>
        <v/>
      </c>
      <c r="I248" s="301" t="str">
        <f>IF(E248="","",IF(ISNA(VLOOKUP($E248,'D-1 Off-Site Habitat Baseline'!$D$1:$O$258,7,FALSE)),"",(VLOOKUP($E248,'D-1 Off-Site Habitat Baseline'!$D$1:$O$258,7,FALSE))))</f>
        <v/>
      </c>
      <c r="J248" s="301" t="str">
        <f>IF(E248="","",IF(ISNA(VLOOKUP($E248,'D-1 Off-Site Habitat Baseline'!$D$1:$O$258,8,FALSE)),"",(VLOOKUP($E248,'D-1 Off-Site Habitat Baseline'!$D$1:$O$258,8,FALSE))))</f>
        <v/>
      </c>
      <c r="K248" s="301" t="str">
        <f>IF(E248="","",IF(ISNA(VLOOKUP($E248,'D-1 Off-Site Habitat Baseline'!$D$1:$O$258,9,FALSE)),"",(VLOOKUP($E248,'D-1 Off-Site Habitat Baseline'!$D$1:$O$258,9,FALSE))))</f>
        <v/>
      </c>
      <c r="L248" s="301" t="str">
        <f>IF(E248="","",IF(ISNA(VLOOKUP($E248,'D-1 Off-Site Habitat Baseline'!$D$1:$O$258,11,FALSE)),"",(VLOOKUP($E248,'D-1 Off-Site Habitat Baseline'!$D$1:$O$258,11,FALSE))))</f>
        <v/>
      </c>
      <c r="M248" s="301" t="str">
        <f>IF(E248="","",IF(ISNA(VLOOKUP($E248,'D-1 Off-Site Habitat Baseline'!$D$1:$O$258,12,FALSE)),"",(VLOOKUP($E248,'D-1 Off-Site Habitat Baseline'!$D$1:$O$258,12,FALSE))))</f>
        <v/>
      </c>
      <c r="N248" s="301" t="str">
        <f>IF(E248="","",IF(ISNA(VLOOKUP($E248,'D-1 Off-Site Habitat Baseline'!$D$1:$AA$258,17,FALSE)),"",(VLOOKUP($E248,'D-1 Off-Site Habitat Baseline'!$D$1:$AA$258,17,FALSE))))</f>
        <v/>
      </c>
      <c r="O248" s="305" t="str">
        <f>IF(E248="","",IF(ISNA(VLOOKUP($E248,'D-1 Off-Site Habitat Baseline'!$D$1:$AA$258,13,FALSE)),"",(VLOOKUP($E248,'D-1 Off-Site Habitat Baseline'!$D$1:$AA$258,13,FALSE))))</f>
        <v/>
      </c>
      <c r="P248" s="152" t="str">
        <f>IFERROR(INDEX('G-1 All Habitats'!$AG$49:$AG$63,MATCH(Q248,'G-1 All Habitats'!$AF$27:$AF$41,0)),"")</f>
        <v/>
      </c>
      <c r="Q248" s="153"/>
      <c r="R248" s="154"/>
      <c r="S248" s="155" t="str">
        <f>IFERROR(INDEX('G-1 All Habitats'!$B$3:$B$135,MATCH(R248,'G-1 All Habitats'!$A$3:$A$135,0)),"")</f>
        <v/>
      </c>
      <c r="T248" s="289" t="str">
        <f t="shared" si="32"/>
        <v/>
      </c>
      <c r="U248" s="305" t="str">
        <f t="shared" si="33"/>
        <v/>
      </c>
      <c r="V248" s="304" t="str">
        <f t="shared" si="30"/>
        <v/>
      </c>
      <c r="W248" s="301" t="str">
        <f>IF(S248="","",VLOOKUP(S248,'G-1 All Habitats'!$B$2:$M$135,10,FALSE))</f>
        <v/>
      </c>
      <c r="X248" s="301" t="str">
        <f>IFERROR(VLOOKUP(W248,'G-1 All Habitats'!$V$3:$W$7,2,FALSE),"")</f>
        <v/>
      </c>
      <c r="Y248" s="142"/>
      <c r="Z248" s="305" t="str">
        <f>IFERROR(INDEX('G-8 Condition Look up'!$A$3:$H$135,MATCH(S248,'G-8 Condition Look up'!$A$3:$A$135,0),MATCH(Y248,'G-8 Condition Look up'!$A$3:$H$3,0)),"")</f>
        <v/>
      </c>
      <c r="AA248" s="105"/>
      <c r="AB248" s="320" t="str">
        <f>IF(AA248="","",IF(VLOOKUP(AA248,'G-3 Multipliers'!$L$3:$N$6,2,FALSE)=0,"Spatial Data Missing ⚠",VLOOKUP(AA248,'G-3 Multipliers'!$L$3:$N$6,2,FALSE)))</f>
        <v/>
      </c>
      <c r="AC248" s="305" t="str">
        <f>IF(AA248="","",IF(VLOOKUP(AA248,'G-3 Multipliers'!$L$3:$N$6,3,FALSE)=0,"Spatial Data Missing ⚠",VLOOKUP(AA248,'G-3 Multipliers'!$L$3:$N$6,3,FALSE)))</f>
        <v/>
      </c>
      <c r="AD248" s="317" t="str">
        <f t="shared" si="31"/>
        <v/>
      </c>
      <c r="AE248" s="142"/>
      <c r="AF248" s="142"/>
      <c r="AG248" s="301" t="str">
        <f t="shared" si="34"/>
        <v/>
      </c>
      <c r="AH248" s="302" t="str">
        <f t="shared" si="35"/>
        <v/>
      </c>
      <c r="AI248" s="306" t="str">
        <f>IF(AH248="Check Data ⚠","Check Data ⚠",IFERROR(VLOOKUP(AH248,'G-4 Temporal multipliers'!$A$4:$C$36,3,FALSE),""))</f>
        <v/>
      </c>
      <c r="AJ248" s="317" t="str">
        <f>IF(S248="","",VLOOKUP(S248,'G-3 Multipliers'!$A$2:$E$134,4,FALSE))</f>
        <v/>
      </c>
      <c r="AK248" s="301" t="str">
        <f t="shared" si="36"/>
        <v/>
      </c>
      <c r="AL248" s="301" t="str">
        <f t="shared" si="37"/>
        <v/>
      </c>
      <c r="AM248" s="305" t="str">
        <f>IFERROR(IF(F248="","",IF(AH248="Check Data ⚠","Check Data ⚠",VLOOKUP(AL248, 'G-3 Multipliers'!$P$2:$Q$6,2,FALSE))),"")</f>
        <v/>
      </c>
      <c r="AN248" s="728"/>
      <c r="AO248" s="335" t="str">
        <f>IF(AN248="","",IF(VLOOKUP(AN248,'G-3 Multipliers'!$S$3:$T$10,2,FALSE)=0,"Spatial Data Missing ⚠",VLOOKUP(AN248,'G-3 Multipliers'!$S$3:$T$10,2,FALSE)))</f>
        <v/>
      </c>
      <c r="AP248" s="295" t="str">
        <f t="shared" si="38"/>
        <v/>
      </c>
      <c r="AQ248" s="295" t="str">
        <f t="shared" si="39"/>
        <v/>
      </c>
      <c r="AR248" s="109"/>
      <c r="AS248" s="142"/>
      <c r="AT248" s="108"/>
      <c r="AU248" s="108"/>
      <c r="AY248" s="30" t="str">
        <f>IF(E248="","",IF(ISNA(VLOOKUP($E248,'D-1 Off-Site Habitat Baseline'!$D$1:$AV$258,4,FALSE)),"",(VLOOKUP($E248,'D-1 Off-Site Habitat Baseline'!$D$1:$AV$258,4,FALSE))))</f>
        <v/>
      </c>
    </row>
    <row r="249" spans="1:51" x14ac:dyDescent="0.25">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325" t="str">
        <f>'D-1 Off-Site Habitat Baseline'!AP248</f>
        <v/>
      </c>
      <c r="F249" s="289" t="str">
        <f>IF(E249="","",IF(ISNA(VLOOKUP($E249,'D-1 Off-Site Habitat Baseline'!$D$1:$ZZ$258,45,FALSE)),"",(VLOOKUP($E249,'D-1 Off-Site Habitat Baseline'!$D$1:$ZZ$258,45,FALSE))))</f>
        <v/>
      </c>
      <c r="G249" s="301" t="str">
        <f>IF(E249="","",IF(ISNA(VLOOKUP($E249,'D-1 Off-Site Habitat Baseline'!$D$1:$O$258,5,FALSE)),"",(VLOOKUP($E249,'D-1 Off-Site Habitat Baseline'!$D$1:$O$258,5,FALSE))))</f>
        <v/>
      </c>
      <c r="H249" s="301" t="str">
        <f>IF(E249="","",IF(ISNA(VLOOKUP($E249,'D-1 Off-Site Habitat Baseline'!$D$1:$O$258,6,FALSE)),"",(VLOOKUP($E249,'D-1 Off-Site Habitat Baseline'!$D$1:$O$258,6,FALSE))))</f>
        <v/>
      </c>
      <c r="I249" s="301" t="str">
        <f>IF(E249="","",IF(ISNA(VLOOKUP($E249,'D-1 Off-Site Habitat Baseline'!$D$1:$O$258,7,FALSE)),"",(VLOOKUP($E249,'D-1 Off-Site Habitat Baseline'!$D$1:$O$258,7,FALSE))))</f>
        <v/>
      </c>
      <c r="J249" s="301" t="str">
        <f>IF(E249="","",IF(ISNA(VLOOKUP($E249,'D-1 Off-Site Habitat Baseline'!$D$1:$O$258,8,FALSE)),"",(VLOOKUP($E249,'D-1 Off-Site Habitat Baseline'!$D$1:$O$258,8,FALSE))))</f>
        <v/>
      </c>
      <c r="K249" s="301" t="str">
        <f>IF(E249="","",IF(ISNA(VLOOKUP($E249,'D-1 Off-Site Habitat Baseline'!$D$1:$O$258,9,FALSE)),"",(VLOOKUP($E249,'D-1 Off-Site Habitat Baseline'!$D$1:$O$258,9,FALSE))))</f>
        <v/>
      </c>
      <c r="L249" s="301" t="str">
        <f>IF(E249="","",IF(ISNA(VLOOKUP($E249,'D-1 Off-Site Habitat Baseline'!$D$1:$O$258,11,FALSE)),"",(VLOOKUP($E249,'D-1 Off-Site Habitat Baseline'!$D$1:$O$258,11,FALSE))))</f>
        <v/>
      </c>
      <c r="M249" s="301" t="str">
        <f>IF(E249="","",IF(ISNA(VLOOKUP($E249,'D-1 Off-Site Habitat Baseline'!$D$1:$O$258,12,FALSE)),"",(VLOOKUP($E249,'D-1 Off-Site Habitat Baseline'!$D$1:$O$258,12,FALSE))))</f>
        <v/>
      </c>
      <c r="N249" s="301" t="str">
        <f>IF(E249="","",IF(ISNA(VLOOKUP($E249,'D-1 Off-Site Habitat Baseline'!$D$1:$AA$258,17,FALSE)),"",(VLOOKUP($E249,'D-1 Off-Site Habitat Baseline'!$D$1:$AA$258,17,FALSE))))</f>
        <v/>
      </c>
      <c r="O249" s="305" t="str">
        <f>IF(E249="","",IF(ISNA(VLOOKUP($E249,'D-1 Off-Site Habitat Baseline'!$D$1:$AA$258,13,FALSE)),"",(VLOOKUP($E249,'D-1 Off-Site Habitat Baseline'!$D$1:$AA$258,13,FALSE))))</f>
        <v/>
      </c>
      <c r="P249" s="152" t="str">
        <f>IFERROR(INDEX('G-1 All Habitats'!$AG$49:$AG$63,MATCH(Q249,'G-1 All Habitats'!$AF$27:$AF$41,0)),"")</f>
        <v/>
      </c>
      <c r="Q249" s="153"/>
      <c r="R249" s="154"/>
      <c r="S249" s="155" t="str">
        <f>IFERROR(INDEX('G-1 All Habitats'!$B$3:$B$135,MATCH(R249,'G-1 All Habitats'!$A$3:$A$135,0)),"")</f>
        <v/>
      </c>
      <c r="T249" s="289" t="str">
        <f t="shared" si="32"/>
        <v/>
      </c>
      <c r="U249" s="305" t="str">
        <f t="shared" si="33"/>
        <v/>
      </c>
      <c r="V249" s="304" t="str">
        <f t="shared" si="30"/>
        <v/>
      </c>
      <c r="W249" s="301" t="str">
        <f>IF(S249="","",VLOOKUP(S249,'G-1 All Habitats'!$B$2:$M$135,10,FALSE))</f>
        <v/>
      </c>
      <c r="X249" s="301" t="str">
        <f>IFERROR(VLOOKUP(W249,'G-1 All Habitats'!$V$3:$W$7,2,FALSE),"")</f>
        <v/>
      </c>
      <c r="Y249" s="142"/>
      <c r="Z249" s="305" t="str">
        <f>IFERROR(INDEX('G-8 Condition Look up'!$A$3:$H$135,MATCH(S249,'G-8 Condition Look up'!$A$3:$A$135,0),MATCH(Y249,'G-8 Condition Look up'!$A$3:$H$3,0)),"")</f>
        <v/>
      </c>
      <c r="AA249" s="105"/>
      <c r="AB249" s="320" t="str">
        <f>IF(AA249="","",IF(VLOOKUP(AA249,'G-3 Multipliers'!$L$3:$N$6,2,FALSE)=0,"Spatial Data Missing ⚠",VLOOKUP(AA249,'G-3 Multipliers'!$L$3:$N$6,2,FALSE)))</f>
        <v/>
      </c>
      <c r="AC249" s="305" t="str">
        <f>IF(AA249="","",IF(VLOOKUP(AA249,'G-3 Multipliers'!$L$3:$N$6,3,FALSE)=0,"Spatial Data Missing ⚠",VLOOKUP(AA249,'G-3 Multipliers'!$L$3:$N$6,3,FALSE)))</f>
        <v/>
      </c>
      <c r="AD249" s="317" t="str">
        <f t="shared" si="31"/>
        <v/>
      </c>
      <c r="AE249" s="142"/>
      <c r="AF249" s="142"/>
      <c r="AG249" s="301" t="str">
        <f t="shared" si="34"/>
        <v/>
      </c>
      <c r="AH249" s="302" t="str">
        <f t="shared" si="35"/>
        <v/>
      </c>
      <c r="AI249" s="306" t="str">
        <f>IF(AH249="Check Data ⚠","Check Data ⚠",IFERROR(VLOOKUP(AH249,'G-4 Temporal multipliers'!$A$4:$C$36,3,FALSE),""))</f>
        <v/>
      </c>
      <c r="AJ249" s="317" t="str">
        <f>IF(S249="","",VLOOKUP(S249,'G-3 Multipliers'!$A$2:$E$134,4,FALSE))</f>
        <v/>
      </c>
      <c r="AK249" s="301" t="str">
        <f t="shared" si="36"/>
        <v/>
      </c>
      <c r="AL249" s="301" t="str">
        <f t="shared" si="37"/>
        <v/>
      </c>
      <c r="AM249" s="305" t="str">
        <f>IFERROR(IF(F249="","",IF(AH249="Check Data ⚠","Check Data ⚠",VLOOKUP(AL249, 'G-3 Multipliers'!$P$2:$Q$6,2,FALSE))),"")</f>
        <v/>
      </c>
      <c r="AN249" s="728"/>
      <c r="AO249" s="335" t="str">
        <f>IF(AN249="","",IF(VLOOKUP(AN249,'G-3 Multipliers'!$S$3:$T$10,2,FALSE)=0,"Spatial Data Missing ⚠",VLOOKUP(AN249,'G-3 Multipliers'!$S$3:$T$10,2,FALSE)))</f>
        <v/>
      </c>
      <c r="AP249" s="295" t="str">
        <f t="shared" si="38"/>
        <v/>
      </c>
      <c r="AQ249" s="295" t="str">
        <f t="shared" si="39"/>
        <v/>
      </c>
      <c r="AR249" s="109"/>
      <c r="AS249" s="142"/>
      <c r="AT249" s="108"/>
      <c r="AU249" s="108"/>
      <c r="AY249" s="30" t="str">
        <f>IF(E249="","",IF(ISNA(VLOOKUP($E249,'D-1 Off-Site Habitat Baseline'!$D$1:$AV$258,4,FALSE)),"",(VLOOKUP($E249,'D-1 Off-Site Habitat Baseline'!$D$1:$AV$258,4,FALSE))))</f>
        <v/>
      </c>
    </row>
    <row r="250" spans="1:51" x14ac:dyDescent="0.25">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325" t="str">
        <f>'D-1 Off-Site Habitat Baseline'!AP249</f>
        <v/>
      </c>
      <c r="F250" s="289" t="str">
        <f>IF(E250="","",IF(ISNA(VLOOKUP($E250,'D-1 Off-Site Habitat Baseline'!$D$1:$ZZ$258,45,FALSE)),"",(VLOOKUP($E250,'D-1 Off-Site Habitat Baseline'!$D$1:$ZZ$258,45,FALSE))))</f>
        <v/>
      </c>
      <c r="G250" s="301" t="str">
        <f>IF(E250="","",IF(ISNA(VLOOKUP($E250,'D-1 Off-Site Habitat Baseline'!$D$1:$O$258,5,FALSE)),"",(VLOOKUP($E250,'D-1 Off-Site Habitat Baseline'!$D$1:$O$258,5,FALSE))))</f>
        <v/>
      </c>
      <c r="H250" s="301" t="str">
        <f>IF(E250="","",IF(ISNA(VLOOKUP($E250,'D-1 Off-Site Habitat Baseline'!$D$1:$O$258,6,FALSE)),"",(VLOOKUP($E250,'D-1 Off-Site Habitat Baseline'!$D$1:$O$258,6,FALSE))))</f>
        <v/>
      </c>
      <c r="I250" s="301" t="str">
        <f>IF(E250="","",IF(ISNA(VLOOKUP($E250,'D-1 Off-Site Habitat Baseline'!$D$1:$O$258,7,FALSE)),"",(VLOOKUP($E250,'D-1 Off-Site Habitat Baseline'!$D$1:$O$258,7,FALSE))))</f>
        <v/>
      </c>
      <c r="J250" s="301" t="str">
        <f>IF(E250="","",IF(ISNA(VLOOKUP($E250,'D-1 Off-Site Habitat Baseline'!$D$1:$O$258,8,FALSE)),"",(VLOOKUP($E250,'D-1 Off-Site Habitat Baseline'!$D$1:$O$258,8,FALSE))))</f>
        <v/>
      </c>
      <c r="K250" s="301" t="str">
        <f>IF(E250="","",IF(ISNA(VLOOKUP($E250,'D-1 Off-Site Habitat Baseline'!$D$1:$O$258,9,FALSE)),"",(VLOOKUP($E250,'D-1 Off-Site Habitat Baseline'!$D$1:$O$258,9,FALSE))))</f>
        <v/>
      </c>
      <c r="L250" s="301" t="str">
        <f>IF(E250="","",IF(ISNA(VLOOKUP($E250,'D-1 Off-Site Habitat Baseline'!$D$1:$O$258,11,FALSE)),"",(VLOOKUP($E250,'D-1 Off-Site Habitat Baseline'!$D$1:$O$258,11,FALSE))))</f>
        <v/>
      </c>
      <c r="M250" s="301" t="str">
        <f>IF(E250="","",IF(ISNA(VLOOKUP($E250,'D-1 Off-Site Habitat Baseline'!$D$1:$O$258,12,FALSE)),"",(VLOOKUP($E250,'D-1 Off-Site Habitat Baseline'!$D$1:$O$258,12,FALSE))))</f>
        <v/>
      </c>
      <c r="N250" s="301" t="str">
        <f>IF(E250="","",IF(ISNA(VLOOKUP($E250,'D-1 Off-Site Habitat Baseline'!$D$1:$AA$258,17,FALSE)),"",(VLOOKUP($E250,'D-1 Off-Site Habitat Baseline'!$D$1:$AA$258,17,FALSE))))</f>
        <v/>
      </c>
      <c r="O250" s="305" t="str">
        <f>IF(E250="","",IF(ISNA(VLOOKUP($E250,'D-1 Off-Site Habitat Baseline'!$D$1:$AA$258,13,FALSE)),"",(VLOOKUP($E250,'D-1 Off-Site Habitat Baseline'!$D$1:$AA$258,13,FALSE))))</f>
        <v/>
      </c>
      <c r="P250" s="152" t="str">
        <f>IFERROR(INDEX('G-1 All Habitats'!$AG$49:$AG$63,MATCH(Q250,'G-1 All Habitats'!$AF$27:$AF$41,0)),"")</f>
        <v/>
      </c>
      <c r="Q250" s="153"/>
      <c r="R250" s="154"/>
      <c r="S250" s="155" t="str">
        <f>IFERROR(INDEX('G-1 All Habitats'!$B$3:$B$135,MATCH(R250,'G-1 All Habitats'!$A$3:$A$135,0)),"")</f>
        <v/>
      </c>
      <c r="T250" s="289" t="str">
        <f t="shared" si="32"/>
        <v/>
      </c>
      <c r="U250" s="305" t="str">
        <f t="shared" si="33"/>
        <v/>
      </c>
      <c r="V250" s="304" t="str">
        <f t="shared" si="30"/>
        <v/>
      </c>
      <c r="W250" s="301" t="str">
        <f>IF(S250="","",VLOOKUP(S250,'G-1 All Habitats'!$B$2:$M$135,10,FALSE))</f>
        <v/>
      </c>
      <c r="X250" s="301" t="str">
        <f>IFERROR(VLOOKUP(W250,'G-1 All Habitats'!$V$3:$W$7,2,FALSE),"")</f>
        <v/>
      </c>
      <c r="Y250" s="142"/>
      <c r="Z250" s="305" t="str">
        <f>IFERROR(INDEX('G-8 Condition Look up'!$A$3:$H$135,MATCH(S250,'G-8 Condition Look up'!$A$3:$A$135,0),MATCH(Y250,'G-8 Condition Look up'!$A$3:$H$3,0)),"")</f>
        <v/>
      </c>
      <c r="AA250" s="105"/>
      <c r="AB250" s="320" t="str">
        <f>IF(AA250="","",IF(VLOOKUP(AA250,'G-3 Multipliers'!$L$3:$N$6,2,FALSE)=0,"Spatial Data Missing ⚠",VLOOKUP(AA250,'G-3 Multipliers'!$L$3:$N$6,2,FALSE)))</f>
        <v/>
      </c>
      <c r="AC250" s="305" t="str">
        <f>IF(AA250="","",IF(VLOOKUP(AA250,'G-3 Multipliers'!$L$3:$N$6,3,FALSE)=0,"Spatial Data Missing ⚠",VLOOKUP(AA250,'G-3 Multipliers'!$L$3:$N$6,3,FALSE)))</f>
        <v/>
      </c>
      <c r="AD250" s="317" t="str">
        <f t="shared" si="31"/>
        <v/>
      </c>
      <c r="AE250" s="142"/>
      <c r="AF250" s="142"/>
      <c r="AG250" s="301" t="str">
        <f t="shared" si="34"/>
        <v/>
      </c>
      <c r="AH250" s="302" t="str">
        <f t="shared" si="35"/>
        <v/>
      </c>
      <c r="AI250" s="306" t="str">
        <f>IF(AH250="Check Data ⚠","Check Data ⚠",IFERROR(VLOOKUP(AH250,'G-4 Temporal multipliers'!$A$4:$C$36,3,FALSE),""))</f>
        <v/>
      </c>
      <c r="AJ250" s="317" t="str">
        <f>IF(S250="","",VLOOKUP(S250,'G-3 Multipliers'!$A$2:$E$134,4,FALSE))</f>
        <v/>
      </c>
      <c r="AK250" s="301" t="str">
        <f t="shared" si="36"/>
        <v/>
      </c>
      <c r="AL250" s="301" t="str">
        <f t="shared" si="37"/>
        <v/>
      </c>
      <c r="AM250" s="305" t="str">
        <f>IFERROR(IF(F250="","",IF(AH250="Check Data ⚠","Check Data ⚠",VLOOKUP(AL250, 'G-3 Multipliers'!$P$2:$Q$6,2,FALSE))),"")</f>
        <v/>
      </c>
      <c r="AN250" s="728"/>
      <c r="AO250" s="335" t="str">
        <f>IF(AN250="","",IF(VLOOKUP(AN250,'G-3 Multipliers'!$S$3:$T$10,2,FALSE)=0,"Spatial Data Missing ⚠",VLOOKUP(AN250,'G-3 Multipliers'!$S$3:$T$10,2,FALSE)))</f>
        <v/>
      </c>
      <c r="AP250" s="295" t="str">
        <f t="shared" si="38"/>
        <v/>
      </c>
      <c r="AQ250" s="295" t="str">
        <f t="shared" si="39"/>
        <v/>
      </c>
      <c r="AR250" s="109"/>
      <c r="AS250" s="142"/>
      <c r="AT250" s="108"/>
      <c r="AU250" s="108"/>
      <c r="AY250" s="30" t="str">
        <f>IF(E250="","",IF(ISNA(VLOOKUP($E250,'D-1 Off-Site Habitat Baseline'!$D$1:$AV$258,4,FALSE)),"",(VLOOKUP($E250,'D-1 Off-Site Habitat Baseline'!$D$1:$AV$258,4,FALSE))))</f>
        <v/>
      </c>
    </row>
    <row r="251" spans="1:51" x14ac:dyDescent="0.25">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325" t="str">
        <f>'D-1 Off-Site Habitat Baseline'!AP250</f>
        <v/>
      </c>
      <c r="F251" s="289" t="str">
        <f>IF(E251="","",IF(ISNA(VLOOKUP($E251,'D-1 Off-Site Habitat Baseline'!$D$1:$ZZ$258,45,FALSE)),"",(VLOOKUP($E251,'D-1 Off-Site Habitat Baseline'!$D$1:$ZZ$258,45,FALSE))))</f>
        <v/>
      </c>
      <c r="G251" s="301" t="str">
        <f>IF(E251="","",IF(ISNA(VLOOKUP($E251,'D-1 Off-Site Habitat Baseline'!$D$1:$O$258,5,FALSE)),"",(VLOOKUP($E251,'D-1 Off-Site Habitat Baseline'!$D$1:$O$258,5,FALSE))))</f>
        <v/>
      </c>
      <c r="H251" s="301" t="str">
        <f>IF(E251="","",IF(ISNA(VLOOKUP($E251,'D-1 Off-Site Habitat Baseline'!$D$1:$O$258,6,FALSE)),"",(VLOOKUP($E251,'D-1 Off-Site Habitat Baseline'!$D$1:$O$258,6,FALSE))))</f>
        <v/>
      </c>
      <c r="I251" s="301" t="str">
        <f>IF(E251="","",IF(ISNA(VLOOKUP($E251,'D-1 Off-Site Habitat Baseline'!$D$1:$O$258,7,FALSE)),"",(VLOOKUP($E251,'D-1 Off-Site Habitat Baseline'!$D$1:$O$258,7,FALSE))))</f>
        <v/>
      </c>
      <c r="J251" s="301" t="str">
        <f>IF(E251="","",IF(ISNA(VLOOKUP($E251,'D-1 Off-Site Habitat Baseline'!$D$1:$O$258,8,FALSE)),"",(VLOOKUP($E251,'D-1 Off-Site Habitat Baseline'!$D$1:$O$258,8,FALSE))))</f>
        <v/>
      </c>
      <c r="K251" s="301" t="str">
        <f>IF(E251="","",IF(ISNA(VLOOKUP($E251,'D-1 Off-Site Habitat Baseline'!$D$1:$O$258,9,FALSE)),"",(VLOOKUP($E251,'D-1 Off-Site Habitat Baseline'!$D$1:$O$258,9,FALSE))))</f>
        <v/>
      </c>
      <c r="L251" s="301" t="str">
        <f>IF(E251="","",IF(ISNA(VLOOKUP($E251,'D-1 Off-Site Habitat Baseline'!$D$1:$O$258,11,FALSE)),"",(VLOOKUP($E251,'D-1 Off-Site Habitat Baseline'!$D$1:$O$258,11,FALSE))))</f>
        <v/>
      </c>
      <c r="M251" s="301" t="str">
        <f>IF(E251="","",IF(ISNA(VLOOKUP($E251,'D-1 Off-Site Habitat Baseline'!$D$1:$O$258,12,FALSE)),"",(VLOOKUP($E251,'D-1 Off-Site Habitat Baseline'!$D$1:$O$258,12,FALSE))))</f>
        <v/>
      </c>
      <c r="N251" s="301" t="str">
        <f>IF(E251="","",IF(ISNA(VLOOKUP($E251,'D-1 Off-Site Habitat Baseline'!$D$1:$AA$258,17,FALSE)),"",(VLOOKUP($E251,'D-1 Off-Site Habitat Baseline'!$D$1:$AA$258,17,FALSE))))</f>
        <v/>
      </c>
      <c r="O251" s="305" t="str">
        <f>IF(E251="","",IF(ISNA(VLOOKUP($E251,'D-1 Off-Site Habitat Baseline'!$D$1:$AA$258,13,FALSE)),"",(VLOOKUP($E251,'D-1 Off-Site Habitat Baseline'!$D$1:$AA$258,13,FALSE))))</f>
        <v/>
      </c>
      <c r="P251" s="152" t="str">
        <f>IFERROR(INDEX('G-1 All Habitats'!$AG$49:$AG$63,MATCH(Q251,'G-1 All Habitats'!$AF$27:$AF$41,0)),"")</f>
        <v/>
      </c>
      <c r="Q251" s="153"/>
      <c r="R251" s="154"/>
      <c r="S251" s="155" t="str">
        <f>IFERROR(INDEX('G-1 All Habitats'!$B$3:$B$135,MATCH(R251,'G-1 All Habitats'!$A$3:$A$135,0)),"")</f>
        <v/>
      </c>
      <c r="T251" s="289" t="str">
        <f t="shared" si="32"/>
        <v/>
      </c>
      <c r="U251" s="305" t="str">
        <f t="shared" si="33"/>
        <v/>
      </c>
      <c r="V251" s="304" t="str">
        <f t="shared" si="30"/>
        <v/>
      </c>
      <c r="W251" s="301" t="str">
        <f>IF(S251="","",VLOOKUP(S251,'G-1 All Habitats'!$B$2:$M$135,10,FALSE))</f>
        <v/>
      </c>
      <c r="X251" s="301" t="str">
        <f>IFERROR(VLOOKUP(W251,'G-1 All Habitats'!$V$3:$W$7,2,FALSE),"")</f>
        <v/>
      </c>
      <c r="Y251" s="142"/>
      <c r="Z251" s="305" t="str">
        <f>IFERROR(INDEX('G-8 Condition Look up'!$A$3:$H$135,MATCH(S251,'G-8 Condition Look up'!$A$3:$A$135,0),MATCH(Y251,'G-8 Condition Look up'!$A$3:$H$3,0)),"")</f>
        <v/>
      </c>
      <c r="AA251" s="105"/>
      <c r="AB251" s="320" t="str">
        <f>IF(AA251="","",IF(VLOOKUP(AA251,'G-3 Multipliers'!$L$3:$N$6,2,FALSE)=0,"Spatial Data Missing ⚠",VLOOKUP(AA251,'G-3 Multipliers'!$L$3:$N$6,2,FALSE)))</f>
        <v/>
      </c>
      <c r="AC251" s="305" t="str">
        <f>IF(AA251="","",IF(VLOOKUP(AA251,'G-3 Multipliers'!$L$3:$N$6,3,FALSE)=0,"Spatial Data Missing ⚠",VLOOKUP(AA251,'G-3 Multipliers'!$L$3:$N$6,3,FALSE)))</f>
        <v/>
      </c>
      <c r="AD251" s="317" t="str">
        <f t="shared" si="31"/>
        <v/>
      </c>
      <c r="AE251" s="142"/>
      <c r="AF251" s="142"/>
      <c r="AG251" s="301" t="str">
        <f t="shared" si="34"/>
        <v/>
      </c>
      <c r="AH251" s="302" t="str">
        <f t="shared" si="35"/>
        <v/>
      </c>
      <c r="AI251" s="306" t="str">
        <f>IF(AH251="Check Data ⚠","Check Data ⚠",IFERROR(VLOOKUP(AH251,'G-4 Temporal multipliers'!$A$4:$C$36,3,FALSE),""))</f>
        <v/>
      </c>
      <c r="AJ251" s="317" t="str">
        <f>IF(S251="","",VLOOKUP(S251,'G-3 Multipliers'!$A$2:$E$134,4,FALSE))</f>
        <v/>
      </c>
      <c r="AK251" s="301" t="str">
        <f t="shared" si="36"/>
        <v/>
      </c>
      <c r="AL251" s="301" t="str">
        <f t="shared" si="37"/>
        <v/>
      </c>
      <c r="AM251" s="305" t="str">
        <f>IFERROR(IF(F251="","",IF(AH251="Check Data ⚠","Check Data ⚠",VLOOKUP(AL251, 'G-3 Multipliers'!$P$2:$Q$6,2,FALSE))),"")</f>
        <v/>
      </c>
      <c r="AN251" s="728"/>
      <c r="AO251" s="335" t="str">
        <f>IF(AN251="","",IF(VLOOKUP(AN251,'G-3 Multipliers'!$S$3:$T$10,2,FALSE)=0,"Spatial Data Missing ⚠",VLOOKUP(AN251,'G-3 Multipliers'!$S$3:$T$10,2,FALSE)))</f>
        <v/>
      </c>
      <c r="AP251" s="295" t="str">
        <f t="shared" si="38"/>
        <v/>
      </c>
      <c r="AQ251" s="295" t="str">
        <f t="shared" si="39"/>
        <v/>
      </c>
      <c r="AR251" s="109"/>
      <c r="AS251" s="142"/>
      <c r="AT251" s="108"/>
      <c r="AU251" s="108"/>
      <c r="AY251" s="30" t="str">
        <f>IF(E251="","",IF(ISNA(VLOOKUP($E251,'D-1 Off-Site Habitat Baseline'!$D$1:$AV$258,4,FALSE)),"",(VLOOKUP($E251,'D-1 Off-Site Habitat Baseline'!$D$1:$AV$258,4,FALSE))))</f>
        <v/>
      </c>
    </row>
    <row r="252" spans="1:51" x14ac:dyDescent="0.25">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325" t="str">
        <f>'D-1 Off-Site Habitat Baseline'!AP251</f>
        <v/>
      </c>
      <c r="F252" s="289" t="str">
        <f>IF(E252="","",IF(ISNA(VLOOKUP($E252,'D-1 Off-Site Habitat Baseline'!$D$1:$ZZ$258,45,FALSE)),"",(VLOOKUP($E252,'D-1 Off-Site Habitat Baseline'!$D$1:$ZZ$258,45,FALSE))))</f>
        <v/>
      </c>
      <c r="G252" s="301" t="str">
        <f>IF(E252="","",IF(ISNA(VLOOKUP($E252,'D-1 Off-Site Habitat Baseline'!$D$1:$O$258,5,FALSE)),"",(VLOOKUP($E252,'D-1 Off-Site Habitat Baseline'!$D$1:$O$258,5,FALSE))))</f>
        <v/>
      </c>
      <c r="H252" s="301" t="str">
        <f>IF(E252="","",IF(ISNA(VLOOKUP($E252,'D-1 Off-Site Habitat Baseline'!$D$1:$O$258,6,FALSE)),"",(VLOOKUP($E252,'D-1 Off-Site Habitat Baseline'!$D$1:$O$258,6,FALSE))))</f>
        <v/>
      </c>
      <c r="I252" s="301" t="str">
        <f>IF(E252="","",IF(ISNA(VLOOKUP($E252,'D-1 Off-Site Habitat Baseline'!$D$1:$O$258,7,FALSE)),"",(VLOOKUP($E252,'D-1 Off-Site Habitat Baseline'!$D$1:$O$258,7,FALSE))))</f>
        <v/>
      </c>
      <c r="J252" s="301" t="str">
        <f>IF(E252="","",IF(ISNA(VLOOKUP($E252,'D-1 Off-Site Habitat Baseline'!$D$1:$O$258,8,FALSE)),"",(VLOOKUP($E252,'D-1 Off-Site Habitat Baseline'!$D$1:$O$258,8,FALSE))))</f>
        <v/>
      </c>
      <c r="K252" s="301" t="str">
        <f>IF(E252="","",IF(ISNA(VLOOKUP($E252,'D-1 Off-Site Habitat Baseline'!$D$1:$O$258,9,FALSE)),"",(VLOOKUP($E252,'D-1 Off-Site Habitat Baseline'!$D$1:$O$258,9,FALSE))))</f>
        <v/>
      </c>
      <c r="L252" s="301" t="str">
        <f>IF(E252="","",IF(ISNA(VLOOKUP($E252,'D-1 Off-Site Habitat Baseline'!$D$1:$O$258,11,FALSE)),"",(VLOOKUP($E252,'D-1 Off-Site Habitat Baseline'!$D$1:$O$258,11,FALSE))))</f>
        <v/>
      </c>
      <c r="M252" s="301" t="str">
        <f>IF(E252="","",IF(ISNA(VLOOKUP($E252,'D-1 Off-Site Habitat Baseline'!$D$1:$O$258,12,FALSE)),"",(VLOOKUP($E252,'D-1 Off-Site Habitat Baseline'!$D$1:$O$258,12,FALSE))))</f>
        <v/>
      </c>
      <c r="N252" s="301" t="str">
        <f>IF(E252="","",IF(ISNA(VLOOKUP($E252,'D-1 Off-Site Habitat Baseline'!$D$1:$AA$258,17,FALSE)),"",(VLOOKUP($E252,'D-1 Off-Site Habitat Baseline'!$D$1:$AA$258,17,FALSE))))</f>
        <v/>
      </c>
      <c r="O252" s="305" t="str">
        <f>IF(E252="","",IF(ISNA(VLOOKUP($E252,'D-1 Off-Site Habitat Baseline'!$D$1:$AA$258,13,FALSE)),"",(VLOOKUP($E252,'D-1 Off-Site Habitat Baseline'!$D$1:$AA$258,13,FALSE))))</f>
        <v/>
      </c>
      <c r="P252" s="152" t="str">
        <f>IFERROR(INDEX('G-1 All Habitats'!$AG$49:$AG$63,MATCH(Q252,'G-1 All Habitats'!$AF$27:$AF$41,0)),"")</f>
        <v/>
      </c>
      <c r="Q252" s="153"/>
      <c r="R252" s="154"/>
      <c r="S252" s="155" t="str">
        <f>IFERROR(INDEX('G-1 All Habitats'!$B$3:$B$135,MATCH(R252,'G-1 All Habitats'!$A$3:$A$135,0)),"")</f>
        <v/>
      </c>
      <c r="T252" s="289" t="str">
        <f t="shared" si="32"/>
        <v/>
      </c>
      <c r="U252" s="305" t="str">
        <f t="shared" si="33"/>
        <v/>
      </c>
      <c r="V252" s="304" t="str">
        <f t="shared" si="30"/>
        <v/>
      </c>
      <c r="W252" s="301" t="str">
        <f>IF(S252="","",VLOOKUP(S252,'G-1 All Habitats'!$B$2:$M$135,10,FALSE))</f>
        <v/>
      </c>
      <c r="X252" s="301" t="str">
        <f>IFERROR(VLOOKUP(W252,'G-1 All Habitats'!$V$3:$W$7,2,FALSE),"")</f>
        <v/>
      </c>
      <c r="Y252" s="142"/>
      <c r="Z252" s="305" t="str">
        <f>IFERROR(INDEX('G-8 Condition Look up'!$A$3:$H$135,MATCH(S252,'G-8 Condition Look up'!$A$3:$A$135,0),MATCH(Y252,'G-8 Condition Look up'!$A$3:$H$3,0)),"")</f>
        <v/>
      </c>
      <c r="AA252" s="105"/>
      <c r="AB252" s="320" t="str">
        <f>IF(AA252="","",IF(VLOOKUP(AA252,'G-3 Multipliers'!$L$3:$N$6,2,FALSE)=0,"Spatial Data Missing ⚠",VLOOKUP(AA252,'G-3 Multipliers'!$L$3:$N$6,2,FALSE)))</f>
        <v/>
      </c>
      <c r="AC252" s="305" t="str">
        <f>IF(AA252="","",IF(VLOOKUP(AA252,'G-3 Multipliers'!$L$3:$N$6,3,FALSE)=0,"Spatial Data Missing ⚠",VLOOKUP(AA252,'G-3 Multipliers'!$L$3:$N$6,3,FALSE)))</f>
        <v/>
      </c>
      <c r="AD252" s="317" t="str">
        <f t="shared" si="31"/>
        <v/>
      </c>
      <c r="AE252" s="142"/>
      <c r="AF252" s="142"/>
      <c r="AG252" s="301" t="str">
        <f t="shared" si="34"/>
        <v/>
      </c>
      <c r="AH252" s="302" t="str">
        <f t="shared" si="35"/>
        <v/>
      </c>
      <c r="AI252" s="306" t="str">
        <f>IF(AH252="Check Data ⚠","Check Data ⚠",IFERROR(VLOOKUP(AH252,'G-4 Temporal multipliers'!$A$4:$C$36,3,FALSE),""))</f>
        <v/>
      </c>
      <c r="AJ252" s="317" t="str">
        <f>IF(S252="","",VLOOKUP(S252,'G-3 Multipliers'!$A$2:$E$134,4,FALSE))</f>
        <v/>
      </c>
      <c r="AK252" s="301" t="str">
        <f t="shared" si="36"/>
        <v/>
      </c>
      <c r="AL252" s="301" t="str">
        <f t="shared" si="37"/>
        <v/>
      </c>
      <c r="AM252" s="305" t="str">
        <f>IFERROR(IF(F252="","",IF(AH252="Check Data ⚠","Check Data ⚠",VLOOKUP(AL252, 'G-3 Multipliers'!$P$2:$Q$6,2,FALSE))),"")</f>
        <v/>
      </c>
      <c r="AN252" s="728"/>
      <c r="AO252" s="335" t="str">
        <f>IF(AN252="","",IF(VLOOKUP(AN252,'G-3 Multipliers'!$S$3:$T$10,2,FALSE)=0,"Spatial Data Missing ⚠",VLOOKUP(AN252,'G-3 Multipliers'!$S$3:$T$10,2,FALSE)))</f>
        <v/>
      </c>
      <c r="AP252" s="295" t="str">
        <f t="shared" si="38"/>
        <v/>
      </c>
      <c r="AQ252" s="295" t="str">
        <f t="shared" si="39"/>
        <v/>
      </c>
      <c r="AR252" s="109"/>
      <c r="AS252" s="142"/>
      <c r="AT252" s="108"/>
      <c r="AU252" s="108"/>
      <c r="AY252" s="30" t="str">
        <f>IF(E252="","",IF(ISNA(VLOOKUP($E252,'D-1 Off-Site Habitat Baseline'!$D$1:$AV$258,4,FALSE)),"",(VLOOKUP($E252,'D-1 Off-Site Habitat Baseline'!$D$1:$AV$258,4,FALSE))))</f>
        <v/>
      </c>
    </row>
    <row r="253" spans="1:51" x14ac:dyDescent="0.25">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325" t="str">
        <f>'D-1 Off-Site Habitat Baseline'!AP252</f>
        <v/>
      </c>
      <c r="F253" s="289" t="str">
        <f>IF(E253="","",IF(ISNA(VLOOKUP($E253,'D-1 Off-Site Habitat Baseline'!$D$1:$ZZ$258,45,FALSE)),"",(VLOOKUP($E253,'D-1 Off-Site Habitat Baseline'!$D$1:$ZZ$258,45,FALSE))))</f>
        <v/>
      </c>
      <c r="G253" s="301" t="str">
        <f>IF(E253="","",IF(ISNA(VLOOKUP($E253,'D-1 Off-Site Habitat Baseline'!$D$1:$O$258,5,FALSE)),"",(VLOOKUP($E253,'D-1 Off-Site Habitat Baseline'!$D$1:$O$258,5,FALSE))))</f>
        <v/>
      </c>
      <c r="H253" s="301" t="str">
        <f>IF(E253="","",IF(ISNA(VLOOKUP($E253,'D-1 Off-Site Habitat Baseline'!$D$1:$O$258,6,FALSE)),"",(VLOOKUP($E253,'D-1 Off-Site Habitat Baseline'!$D$1:$O$258,6,FALSE))))</f>
        <v/>
      </c>
      <c r="I253" s="301" t="str">
        <f>IF(E253="","",IF(ISNA(VLOOKUP($E253,'D-1 Off-Site Habitat Baseline'!$D$1:$O$258,7,FALSE)),"",(VLOOKUP($E253,'D-1 Off-Site Habitat Baseline'!$D$1:$O$258,7,FALSE))))</f>
        <v/>
      </c>
      <c r="J253" s="301" t="str">
        <f>IF(E253="","",IF(ISNA(VLOOKUP($E253,'D-1 Off-Site Habitat Baseline'!$D$1:$O$258,8,FALSE)),"",(VLOOKUP($E253,'D-1 Off-Site Habitat Baseline'!$D$1:$O$258,8,FALSE))))</f>
        <v/>
      </c>
      <c r="K253" s="301" t="str">
        <f>IF(E253="","",IF(ISNA(VLOOKUP($E253,'D-1 Off-Site Habitat Baseline'!$D$1:$O$258,9,FALSE)),"",(VLOOKUP($E253,'D-1 Off-Site Habitat Baseline'!$D$1:$O$258,9,FALSE))))</f>
        <v/>
      </c>
      <c r="L253" s="301" t="str">
        <f>IF(E253="","",IF(ISNA(VLOOKUP($E253,'D-1 Off-Site Habitat Baseline'!$D$1:$O$258,11,FALSE)),"",(VLOOKUP($E253,'D-1 Off-Site Habitat Baseline'!$D$1:$O$258,11,FALSE))))</f>
        <v/>
      </c>
      <c r="M253" s="301" t="str">
        <f>IF(E253="","",IF(ISNA(VLOOKUP($E253,'D-1 Off-Site Habitat Baseline'!$D$1:$O$258,12,FALSE)),"",(VLOOKUP($E253,'D-1 Off-Site Habitat Baseline'!$D$1:$O$258,12,FALSE))))</f>
        <v/>
      </c>
      <c r="N253" s="301" t="str">
        <f>IF(E253="","",IF(ISNA(VLOOKUP($E253,'D-1 Off-Site Habitat Baseline'!$D$1:$AA$258,17,FALSE)),"",(VLOOKUP($E253,'D-1 Off-Site Habitat Baseline'!$D$1:$AA$258,17,FALSE))))</f>
        <v/>
      </c>
      <c r="O253" s="305" t="str">
        <f>IF(E253="","",IF(ISNA(VLOOKUP($E253,'D-1 Off-Site Habitat Baseline'!$D$1:$AA$258,13,FALSE)),"",(VLOOKUP($E253,'D-1 Off-Site Habitat Baseline'!$D$1:$AA$258,13,FALSE))))</f>
        <v/>
      </c>
      <c r="P253" s="152" t="str">
        <f>IFERROR(INDEX('G-1 All Habitats'!$AG$49:$AG$63,MATCH(Q253,'G-1 All Habitats'!$AF$27:$AF$41,0)),"")</f>
        <v/>
      </c>
      <c r="Q253" s="153"/>
      <c r="R253" s="154"/>
      <c r="S253" s="155" t="str">
        <f>IFERROR(INDEX('G-1 All Habitats'!$B$3:$B$135,MATCH(R253,'G-1 All Habitats'!$A$3:$A$135,0)),"")</f>
        <v/>
      </c>
      <c r="T253" s="289" t="str">
        <f t="shared" si="32"/>
        <v/>
      </c>
      <c r="U253" s="305" t="str">
        <f t="shared" si="33"/>
        <v/>
      </c>
      <c r="V253" s="304" t="str">
        <f t="shared" si="30"/>
        <v/>
      </c>
      <c r="W253" s="301" t="str">
        <f>IF(S253="","",VLOOKUP(S253,'G-1 All Habitats'!$B$2:$M$135,10,FALSE))</f>
        <v/>
      </c>
      <c r="X253" s="301" t="str">
        <f>IFERROR(VLOOKUP(W253,'G-1 All Habitats'!$V$3:$W$7,2,FALSE),"")</f>
        <v/>
      </c>
      <c r="Y253" s="142"/>
      <c r="Z253" s="305" t="str">
        <f>IFERROR(INDEX('G-8 Condition Look up'!$A$3:$H$135,MATCH(S253,'G-8 Condition Look up'!$A$3:$A$135,0),MATCH(Y253,'G-8 Condition Look up'!$A$3:$H$3,0)),"")</f>
        <v/>
      </c>
      <c r="AA253" s="105"/>
      <c r="AB253" s="320" t="str">
        <f>IF(AA253="","",IF(VLOOKUP(AA253,'G-3 Multipliers'!$L$3:$N$6,2,FALSE)=0,"Spatial Data Missing ⚠",VLOOKUP(AA253,'G-3 Multipliers'!$L$3:$N$6,2,FALSE)))</f>
        <v/>
      </c>
      <c r="AC253" s="305" t="str">
        <f>IF(AA253="","",IF(VLOOKUP(AA253,'G-3 Multipliers'!$L$3:$N$6,3,FALSE)=0,"Spatial Data Missing ⚠",VLOOKUP(AA253,'G-3 Multipliers'!$L$3:$N$6,3,FALSE)))</f>
        <v/>
      </c>
      <c r="AD253" s="317" t="str">
        <f t="shared" si="31"/>
        <v/>
      </c>
      <c r="AE253" s="142"/>
      <c r="AF253" s="142"/>
      <c r="AG253" s="301" t="str">
        <f t="shared" si="34"/>
        <v/>
      </c>
      <c r="AH253" s="302" t="str">
        <f t="shared" si="35"/>
        <v/>
      </c>
      <c r="AI253" s="306" t="str">
        <f>IF(AH253="Check Data ⚠","Check Data ⚠",IFERROR(VLOOKUP(AH253,'G-4 Temporal multipliers'!$A$4:$C$36,3,FALSE),""))</f>
        <v/>
      </c>
      <c r="AJ253" s="317" t="str">
        <f>IF(S253="","",VLOOKUP(S253,'G-3 Multipliers'!$A$2:$E$134,4,FALSE))</f>
        <v/>
      </c>
      <c r="AK253" s="301" t="str">
        <f t="shared" si="36"/>
        <v/>
      </c>
      <c r="AL253" s="301" t="str">
        <f t="shared" si="37"/>
        <v/>
      </c>
      <c r="AM253" s="305" t="str">
        <f>IFERROR(IF(F253="","",IF(AH253="Check Data ⚠","Check Data ⚠",VLOOKUP(AL253, 'G-3 Multipliers'!$P$2:$Q$6,2,FALSE))),"")</f>
        <v/>
      </c>
      <c r="AN253" s="728"/>
      <c r="AO253" s="335" t="str">
        <f>IF(AN253="","",IF(VLOOKUP(AN253,'G-3 Multipliers'!$S$3:$T$10,2,FALSE)=0,"Spatial Data Missing ⚠",VLOOKUP(AN253,'G-3 Multipliers'!$S$3:$T$10,2,FALSE)))</f>
        <v/>
      </c>
      <c r="AP253" s="295" t="str">
        <f t="shared" si="38"/>
        <v/>
      </c>
      <c r="AQ253" s="295" t="str">
        <f t="shared" si="39"/>
        <v/>
      </c>
      <c r="AR253" s="109"/>
      <c r="AS253" s="142"/>
      <c r="AT253" s="108"/>
      <c r="AU253" s="108"/>
      <c r="AY253" s="30" t="str">
        <f>IF(E253="","",IF(ISNA(VLOOKUP($E253,'D-1 Off-Site Habitat Baseline'!$D$1:$AV$258,4,FALSE)),"",(VLOOKUP($E253,'D-1 Off-Site Habitat Baseline'!$D$1:$AV$258,4,FALSE))))</f>
        <v/>
      </c>
    </row>
    <row r="254" spans="1:51" x14ac:dyDescent="0.25">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325" t="str">
        <f>'D-1 Off-Site Habitat Baseline'!AP253</f>
        <v/>
      </c>
      <c r="F254" s="289" t="str">
        <f>IF(E254="","",IF(ISNA(VLOOKUP($E254,'D-1 Off-Site Habitat Baseline'!$D$1:$ZZ$258,45,FALSE)),"",(VLOOKUP($E254,'D-1 Off-Site Habitat Baseline'!$D$1:$ZZ$258,45,FALSE))))</f>
        <v/>
      </c>
      <c r="G254" s="301" t="str">
        <f>IF(E254="","",IF(ISNA(VLOOKUP($E254,'D-1 Off-Site Habitat Baseline'!$D$1:$O$258,5,FALSE)),"",(VLOOKUP($E254,'D-1 Off-Site Habitat Baseline'!$D$1:$O$258,5,FALSE))))</f>
        <v/>
      </c>
      <c r="H254" s="301" t="str">
        <f>IF(E254="","",IF(ISNA(VLOOKUP($E254,'D-1 Off-Site Habitat Baseline'!$D$1:$O$258,6,FALSE)),"",(VLOOKUP($E254,'D-1 Off-Site Habitat Baseline'!$D$1:$O$258,6,FALSE))))</f>
        <v/>
      </c>
      <c r="I254" s="301" t="str">
        <f>IF(E254="","",IF(ISNA(VLOOKUP($E254,'D-1 Off-Site Habitat Baseline'!$D$1:$O$258,7,FALSE)),"",(VLOOKUP($E254,'D-1 Off-Site Habitat Baseline'!$D$1:$O$258,7,FALSE))))</f>
        <v/>
      </c>
      <c r="J254" s="301" t="str">
        <f>IF(E254="","",IF(ISNA(VLOOKUP($E254,'D-1 Off-Site Habitat Baseline'!$D$1:$O$258,8,FALSE)),"",(VLOOKUP($E254,'D-1 Off-Site Habitat Baseline'!$D$1:$O$258,8,FALSE))))</f>
        <v/>
      </c>
      <c r="K254" s="301" t="str">
        <f>IF(E254="","",IF(ISNA(VLOOKUP($E254,'D-1 Off-Site Habitat Baseline'!$D$1:$O$258,9,FALSE)),"",(VLOOKUP($E254,'D-1 Off-Site Habitat Baseline'!$D$1:$O$258,9,FALSE))))</f>
        <v/>
      </c>
      <c r="L254" s="301" t="str">
        <f>IF(E254="","",IF(ISNA(VLOOKUP($E254,'D-1 Off-Site Habitat Baseline'!$D$1:$O$258,11,FALSE)),"",(VLOOKUP($E254,'D-1 Off-Site Habitat Baseline'!$D$1:$O$258,11,FALSE))))</f>
        <v/>
      </c>
      <c r="M254" s="301" t="str">
        <f>IF(E254="","",IF(ISNA(VLOOKUP($E254,'D-1 Off-Site Habitat Baseline'!$D$1:$O$258,12,FALSE)),"",(VLOOKUP($E254,'D-1 Off-Site Habitat Baseline'!$D$1:$O$258,12,FALSE))))</f>
        <v/>
      </c>
      <c r="N254" s="301" t="str">
        <f>IF(E254="","",IF(ISNA(VLOOKUP($E254,'D-1 Off-Site Habitat Baseline'!$D$1:$AA$258,17,FALSE)),"",(VLOOKUP($E254,'D-1 Off-Site Habitat Baseline'!$D$1:$AA$258,17,FALSE))))</f>
        <v/>
      </c>
      <c r="O254" s="305" t="str">
        <f>IF(E254="","",IF(ISNA(VLOOKUP($E254,'D-1 Off-Site Habitat Baseline'!$D$1:$AA$258,13,FALSE)),"",(VLOOKUP($E254,'D-1 Off-Site Habitat Baseline'!$D$1:$AA$258,13,FALSE))))</f>
        <v/>
      </c>
      <c r="P254" s="152" t="str">
        <f>IFERROR(INDEX('G-1 All Habitats'!$AG$49:$AG$63,MATCH(Q254,'G-1 All Habitats'!$AF$27:$AF$41,0)),"")</f>
        <v/>
      </c>
      <c r="Q254" s="153"/>
      <c r="R254" s="154"/>
      <c r="S254" s="155" t="str">
        <f>IFERROR(INDEX('G-1 All Habitats'!$B$3:$B$135,MATCH(R254,'G-1 All Habitats'!$A$3:$A$135,0)),"")</f>
        <v/>
      </c>
      <c r="T254" s="289" t="str">
        <f t="shared" si="32"/>
        <v/>
      </c>
      <c r="U254" s="305" t="str">
        <f t="shared" si="33"/>
        <v/>
      </c>
      <c r="V254" s="304" t="str">
        <f t="shared" si="30"/>
        <v/>
      </c>
      <c r="W254" s="301" t="str">
        <f>IF(S254="","",VLOOKUP(S254,'G-1 All Habitats'!$B$2:$M$135,10,FALSE))</f>
        <v/>
      </c>
      <c r="X254" s="301" t="str">
        <f>IFERROR(VLOOKUP(W254,'G-1 All Habitats'!$V$3:$W$7,2,FALSE),"")</f>
        <v/>
      </c>
      <c r="Y254" s="142"/>
      <c r="Z254" s="305" t="str">
        <f>IFERROR(INDEX('G-8 Condition Look up'!$A$3:$H$135,MATCH(S254,'G-8 Condition Look up'!$A$3:$A$135,0),MATCH(Y254,'G-8 Condition Look up'!$A$3:$H$3,0)),"")</f>
        <v/>
      </c>
      <c r="AA254" s="105"/>
      <c r="AB254" s="320" t="str">
        <f>IF(AA254="","",IF(VLOOKUP(AA254,'G-3 Multipliers'!$L$3:$N$6,2,FALSE)=0,"Spatial Data Missing ⚠",VLOOKUP(AA254,'G-3 Multipliers'!$L$3:$N$6,2,FALSE)))</f>
        <v/>
      </c>
      <c r="AC254" s="305" t="str">
        <f>IF(AA254="","",IF(VLOOKUP(AA254,'G-3 Multipliers'!$L$3:$N$6,3,FALSE)=0,"Spatial Data Missing ⚠",VLOOKUP(AA254,'G-3 Multipliers'!$L$3:$N$6,3,FALSE)))</f>
        <v/>
      </c>
      <c r="AD254" s="317" t="str">
        <f t="shared" si="31"/>
        <v/>
      </c>
      <c r="AE254" s="142"/>
      <c r="AF254" s="142"/>
      <c r="AG254" s="301" t="str">
        <f t="shared" si="34"/>
        <v/>
      </c>
      <c r="AH254" s="302" t="str">
        <f t="shared" si="35"/>
        <v/>
      </c>
      <c r="AI254" s="306" t="str">
        <f>IF(AH254="Check Data ⚠","Check Data ⚠",IFERROR(VLOOKUP(AH254,'G-4 Temporal multipliers'!$A$4:$C$36,3,FALSE),""))</f>
        <v/>
      </c>
      <c r="AJ254" s="317" t="str">
        <f>IF(S254="","",VLOOKUP(S254,'G-3 Multipliers'!$A$2:$E$134,4,FALSE))</f>
        <v/>
      </c>
      <c r="AK254" s="301" t="str">
        <f t="shared" si="36"/>
        <v/>
      </c>
      <c r="AL254" s="301" t="str">
        <f t="shared" si="37"/>
        <v/>
      </c>
      <c r="AM254" s="305" t="str">
        <f>IFERROR(IF(F254="","",IF(AH254="Check Data ⚠","Check Data ⚠",VLOOKUP(AL254, 'G-3 Multipliers'!$P$2:$Q$6,2,FALSE))),"")</f>
        <v/>
      </c>
      <c r="AN254" s="728"/>
      <c r="AO254" s="335" t="str">
        <f>IF(AN254="","",IF(VLOOKUP(AN254,'G-3 Multipliers'!$S$3:$T$10,2,FALSE)=0,"Spatial Data Missing ⚠",VLOOKUP(AN254,'G-3 Multipliers'!$S$3:$T$10,2,FALSE)))</f>
        <v/>
      </c>
      <c r="AP254" s="295" t="str">
        <f t="shared" si="38"/>
        <v/>
      </c>
      <c r="AQ254" s="295" t="str">
        <f t="shared" si="39"/>
        <v/>
      </c>
      <c r="AR254" s="109"/>
      <c r="AS254" s="142"/>
      <c r="AT254" s="108"/>
      <c r="AU254" s="108"/>
      <c r="AY254" s="30" t="str">
        <f>IF(E254="","",IF(ISNA(VLOOKUP($E254,'D-1 Off-Site Habitat Baseline'!$D$1:$AV$258,4,FALSE)),"",(VLOOKUP($E254,'D-1 Off-Site Habitat Baseline'!$D$1:$AV$258,4,FALSE))))</f>
        <v/>
      </c>
    </row>
    <row r="255" spans="1:51" x14ac:dyDescent="0.25">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325" t="str">
        <f>'D-1 Off-Site Habitat Baseline'!AP254</f>
        <v/>
      </c>
      <c r="F255" s="289" t="str">
        <f>IF(E255="","",IF(ISNA(VLOOKUP($E255,'D-1 Off-Site Habitat Baseline'!$D$1:$ZZ$258,45,FALSE)),"",(VLOOKUP($E255,'D-1 Off-Site Habitat Baseline'!$D$1:$ZZ$258,45,FALSE))))</f>
        <v/>
      </c>
      <c r="G255" s="301" t="str">
        <f>IF(E255="","",IF(ISNA(VLOOKUP($E255,'D-1 Off-Site Habitat Baseline'!$D$1:$O$258,5,FALSE)),"",(VLOOKUP($E255,'D-1 Off-Site Habitat Baseline'!$D$1:$O$258,5,FALSE))))</f>
        <v/>
      </c>
      <c r="H255" s="301" t="str">
        <f>IF(E255="","",IF(ISNA(VLOOKUP($E255,'D-1 Off-Site Habitat Baseline'!$D$1:$O$258,6,FALSE)),"",(VLOOKUP($E255,'D-1 Off-Site Habitat Baseline'!$D$1:$O$258,6,FALSE))))</f>
        <v/>
      </c>
      <c r="I255" s="301" t="str">
        <f>IF(E255="","",IF(ISNA(VLOOKUP($E255,'D-1 Off-Site Habitat Baseline'!$D$1:$O$258,7,FALSE)),"",(VLOOKUP($E255,'D-1 Off-Site Habitat Baseline'!$D$1:$O$258,7,FALSE))))</f>
        <v/>
      </c>
      <c r="J255" s="301" t="str">
        <f>IF(E255="","",IF(ISNA(VLOOKUP($E255,'D-1 Off-Site Habitat Baseline'!$D$1:$O$258,8,FALSE)),"",(VLOOKUP($E255,'D-1 Off-Site Habitat Baseline'!$D$1:$O$258,8,FALSE))))</f>
        <v/>
      </c>
      <c r="K255" s="301" t="str">
        <f>IF(E255="","",IF(ISNA(VLOOKUP($E255,'D-1 Off-Site Habitat Baseline'!$D$1:$O$258,9,FALSE)),"",(VLOOKUP($E255,'D-1 Off-Site Habitat Baseline'!$D$1:$O$258,9,FALSE))))</f>
        <v/>
      </c>
      <c r="L255" s="301" t="str">
        <f>IF(E255="","",IF(ISNA(VLOOKUP($E255,'D-1 Off-Site Habitat Baseline'!$D$1:$O$258,11,FALSE)),"",(VLOOKUP($E255,'D-1 Off-Site Habitat Baseline'!$D$1:$O$258,11,FALSE))))</f>
        <v/>
      </c>
      <c r="M255" s="301" t="str">
        <f>IF(E255="","",IF(ISNA(VLOOKUP($E255,'D-1 Off-Site Habitat Baseline'!$D$1:$O$258,12,FALSE)),"",(VLOOKUP($E255,'D-1 Off-Site Habitat Baseline'!$D$1:$O$258,12,FALSE))))</f>
        <v/>
      </c>
      <c r="N255" s="301" t="str">
        <f>IF(E255="","",IF(ISNA(VLOOKUP($E255,'D-1 Off-Site Habitat Baseline'!$D$1:$AA$258,17,FALSE)),"",(VLOOKUP($E255,'D-1 Off-Site Habitat Baseline'!$D$1:$AA$258,17,FALSE))))</f>
        <v/>
      </c>
      <c r="O255" s="305" t="str">
        <f>IF(E255="","",IF(ISNA(VLOOKUP($E255,'D-1 Off-Site Habitat Baseline'!$D$1:$AA$258,13,FALSE)),"",(VLOOKUP($E255,'D-1 Off-Site Habitat Baseline'!$D$1:$AA$258,13,FALSE))))</f>
        <v/>
      </c>
      <c r="P255" s="152" t="str">
        <f>IFERROR(INDEX('G-1 All Habitats'!$AG$49:$AG$63,MATCH(Q255,'G-1 All Habitats'!$AF$27:$AF$41,0)),"")</f>
        <v/>
      </c>
      <c r="Q255" s="153"/>
      <c r="R255" s="154"/>
      <c r="S255" s="155" t="str">
        <f>IFERROR(INDEX('G-1 All Habitats'!$B$3:$B$135,MATCH(R255,'G-1 All Habitats'!$A$3:$A$135,0)),"")</f>
        <v/>
      </c>
      <c r="T255" s="289" t="str">
        <f t="shared" si="32"/>
        <v/>
      </c>
      <c r="U255" s="305" t="str">
        <f t="shared" si="33"/>
        <v/>
      </c>
      <c r="V255" s="304" t="str">
        <f t="shared" si="30"/>
        <v/>
      </c>
      <c r="W255" s="301" t="str">
        <f>IF(S255="","",VLOOKUP(S255,'G-1 All Habitats'!$B$2:$M$135,10,FALSE))</f>
        <v/>
      </c>
      <c r="X255" s="301" t="str">
        <f>IFERROR(VLOOKUP(W255,'G-1 All Habitats'!$V$3:$W$7,2,FALSE),"")</f>
        <v/>
      </c>
      <c r="Y255" s="142"/>
      <c r="Z255" s="305" t="str">
        <f>IFERROR(INDEX('G-8 Condition Look up'!$A$3:$H$135,MATCH(S255,'G-8 Condition Look up'!$A$3:$A$135,0),MATCH(Y255,'G-8 Condition Look up'!$A$3:$H$3,0)),"")</f>
        <v/>
      </c>
      <c r="AA255" s="105"/>
      <c r="AB255" s="320" t="str">
        <f>IF(AA255="","",IF(VLOOKUP(AA255,'G-3 Multipliers'!$L$3:$N$6,2,FALSE)=0,"Spatial Data Missing ⚠",VLOOKUP(AA255,'G-3 Multipliers'!$L$3:$N$6,2,FALSE)))</f>
        <v/>
      </c>
      <c r="AC255" s="305" t="str">
        <f>IF(AA255="","",IF(VLOOKUP(AA255,'G-3 Multipliers'!$L$3:$N$6,3,FALSE)=0,"Spatial Data Missing ⚠",VLOOKUP(AA255,'G-3 Multipliers'!$L$3:$N$6,3,FALSE)))</f>
        <v/>
      </c>
      <c r="AD255" s="317" t="str">
        <f t="shared" si="31"/>
        <v/>
      </c>
      <c r="AE255" s="142"/>
      <c r="AF255" s="142"/>
      <c r="AG255" s="301" t="str">
        <f t="shared" si="34"/>
        <v/>
      </c>
      <c r="AH255" s="302" t="str">
        <f t="shared" si="35"/>
        <v/>
      </c>
      <c r="AI255" s="306" t="str">
        <f>IF(AH255="Check Data ⚠","Check Data ⚠",IFERROR(VLOOKUP(AH255,'G-4 Temporal multipliers'!$A$4:$C$36,3,FALSE),""))</f>
        <v/>
      </c>
      <c r="AJ255" s="317" t="str">
        <f>IF(S255="","",VLOOKUP(S255,'G-3 Multipliers'!$A$2:$E$134,4,FALSE))</f>
        <v/>
      </c>
      <c r="AK255" s="301" t="str">
        <f t="shared" si="36"/>
        <v/>
      </c>
      <c r="AL255" s="301" t="str">
        <f t="shared" si="37"/>
        <v/>
      </c>
      <c r="AM255" s="305" t="str">
        <f>IFERROR(IF(F255="","",IF(AH255="Check Data ⚠","Check Data ⚠",VLOOKUP(AL255, 'G-3 Multipliers'!$P$2:$Q$6,2,FALSE))),"")</f>
        <v/>
      </c>
      <c r="AN255" s="728"/>
      <c r="AO255" s="335" t="str">
        <f>IF(AN255="","",IF(VLOOKUP(AN255,'G-3 Multipliers'!$S$3:$T$10,2,FALSE)=0,"Spatial Data Missing ⚠",VLOOKUP(AN255,'G-3 Multipliers'!$S$3:$T$10,2,FALSE)))</f>
        <v/>
      </c>
      <c r="AP255" s="295" t="str">
        <f t="shared" si="38"/>
        <v/>
      </c>
      <c r="AQ255" s="295" t="str">
        <f t="shared" si="39"/>
        <v/>
      </c>
      <c r="AR255" s="109"/>
      <c r="AS255" s="142"/>
      <c r="AT255" s="108"/>
      <c r="AU255" s="108"/>
      <c r="AY255" s="30" t="str">
        <f>IF(E255="","",IF(ISNA(VLOOKUP($E255,'D-1 Off-Site Habitat Baseline'!$D$1:$AV$258,4,FALSE)),"",(VLOOKUP($E255,'D-1 Off-Site Habitat Baseline'!$D$1:$AV$258,4,FALSE))))</f>
        <v/>
      </c>
    </row>
    <row r="256" spans="1:51" x14ac:dyDescent="0.25">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325" t="str">
        <f>'D-1 Off-Site Habitat Baseline'!AP255</f>
        <v/>
      </c>
      <c r="F256" s="289" t="str">
        <f>IF(E256="","",IF(ISNA(VLOOKUP($E256,'D-1 Off-Site Habitat Baseline'!$D$1:$ZZ$258,45,FALSE)),"",(VLOOKUP($E256,'D-1 Off-Site Habitat Baseline'!$D$1:$ZZ$258,45,FALSE))))</f>
        <v/>
      </c>
      <c r="G256" s="301" t="str">
        <f>IF(E256="","",IF(ISNA(VLOOKUP($E256,'D-1 Off-Site Habitat Baseline'!$D$1:$O$258,5,FALSE)),"",(VLOOKUP($E256,'D-1 Off-Site Habitat Baseline'!$D$1:$O$258,5,FALSE))))</f>
        <v/>
      </c>
      <c r="H256" s="301" t="str">
        <f>IF(E256="","",IF(ISNA(VLOOKUP($E256,'D-1 Off-Site Habitat Baseline'!$D$1:$O$258,6,FALSE)),"",(VLOOKUP($E256,'D-1 Off-Site Habitat Baseline'!$D$1:$O$258,6,FALSE))))</f>
        <v/>
      </c>
      <c r="I256" s="301" t="str">
        <f>IF(E256="","",IF(ISNA(VLOOKUP($E256,'D-1 Off-Site Habitat Baseline'!$D$1:$O$258,7,FALSE)),"",(VLOOKUP($E256,'D-1 Off-Site Habitat Baseline'!$D$1:$O$258,7,FALSE))))</f>
        <v/>
      </c>
      <c r="J256" s="301" t="str">
        <f>IF(E256="","",IF(ISNA(VLOOKUP($E256,'D-1 Off-Site Habitat Baseline'!$D$1:$O$258,8,FALSE)),"",(VLOOKUP($E256,'D-1 Off-Site Habitat Baseline'!$D$1:$O$258,8,FALSE))))</f>
        <v/>
      </c>
      <c r="K256" s="301" t="str">
        <f>IF(E256="","",IF(ISNA(VLOOKUP($E256,'D-1 Off-Site Habitat Baseline'!$D$1:$O$258,9,FALSE)),"",(VLOOKUP($E256,'D-1 Off-Site Habitat Baseline'!$D$1:$O$258,9,FALSE))))</f>
        <v/>
      </c>
      <c r="L256" s="301" t="str">
        <f>IF(E256="","",IF(ISNA(VLOOKUP($E256,'D-1 Off-Site Habitat Baseline'!$D$1:$O$258,11,FALSE)),"",(VLOOKUP($E256,'D-1 Off-Site Habitat Baseline'!$D$1:$O$258,11,FALSE))))</f>
        <v/>
      </c>
      <c r="M256" s="301" t="str">
        <f>IF(E256="","",IF(ISNA(VLOOKUP($E256,'D-1 Off-Site Habitat Baseline'!$D$1:$O$258,12,FALSE)),"",(VLOOKUP($E256,'D-1 Off-Site Habitat Baseline'!$D$1:$O$258,12,FALSE))))</f>
        <v/>
      </c>
      <c r="N256" s="301" t="str">
        <f>IF(E256="","",IF(ISNA(VLOOKUP($E256,'D-1 Off-Site Habitat Baseline'!$D$1:$AA$258,17,FALSE)),"",(VLOOKUP($E256,'D-1 Off-Site Habitat Baseline'!$D$1:$AA$258,17,FALSE))))</f>
        <v/>
      </c>
      <c r="O256" s="305" t="str">
        <f>IF(E256="","",IF(ISNA(VLOOKUP($E256,'D-1 Off-Site Habitat Baseline'!$D$1:$AA$258,13,FALSE)),"",(VLOOKUP($E256,'D-1 Off-Site Habitat Baseline'!$D$1:$AA$258,13,FALSE))))</f>
        <v/>
      </c>
      <c r="P256" s="152" t="str">
        <f>IFERROR(INDEX('G-1 All Habitats'!$AG$49:$AG$63,MATCH(Q256,'G-1 All Habitats'!$AF$27:$AF$41,0)),"")</f>
        <v/>
      </c>
      <c r="Q256" s="153"/>
      <c r="R256" s="154"/>
      <c r="S256" s="155" t="str">
        <f>IFERROR(INDEX('G-1 All Habitats'!$B$3:$B$135,MATCH(R256,'G-1 All Habitats'!$A$3:$A$135,0)),"")</f>
        <v/>
      </c>
      <c r="T256" s="289" t="str">
        <f t="shared" si="32"/>
        <v/>
      </c>
      <c r="U256" s="305" t="str">
        <f t="shared" si="33"/>
        <v/>
      </c>
      <c r="V256" s="304" t="str">
        <f t="shared" si="30"/>
        <v/>
      </c>
      <c r="W256" s="301" t="str">
        <f>IF(S256="","",VLOOKUP(S256,'G-1 All Habitats'!$B$2:$M$135,10,FALSE))</f>
        <v/>
      </c>
      <c r="X256" s="301" t="str">
        <f>IFERROR(VLOOKUP(W256,'G-1 All Habitats'!$V$3:$W$7,2,FALSE),"")</f>
        <v/>
      </c>
      <c r="Y256" s="142"/>
      <c r="Z256" s="305" t="str">
        <f>IFERROR(INDEX('G-8 Condition Look up'!$A$3:$H$135,MATCH(S256,'G-8 Condition Look up'!$A$3:$A$135,0),MATCH(Y256,'G-8 Condition Look up'!$A$3:$H$3,0)),"")</f>
        <v/>
      </c>
      <c r="AA256" s="105"/>
      <c r="AB256" s="320" t="str">
        <f>IF(AA256="","",IF(VLOOKUP(AA256,'G-3 Multipliers'!$L$3:$N$6,2,FALSE)=0,"Spatial Data Missing ⚠",VLOOKUP(AA256,'G-3 Multipliers'!$L$3:$N$6,2,FALSE)))</f>
        <v/>
      </c>
      <c r="AC256" s="305" t="str">
        <f>IF(AA256="","",IF(VLOOKUP(AA256,'G-3 Multipliers'!$L$3:$N$6,3,FALSE)=0,"Spatial Data Missing ⚠",VLOOKUP(AA256,'G-3 Multipliers'!$L$3:$N$6,3,FALSE)))</f>
        <v/>
      </c>
      <c r="AD256" s="317" t="str">
        <f t="shared" si="31"/>
        <v/>
      </c>
      <c r="AE256" s="142"/>
      <c r="AF256" s="142"/>
      <c r="AG256" s="301" t="str">
        <f t="shared" si="34"/>
        <v/>
      </c>
      <c r="AH256" s="302" t="str">
        <f t="shared" si="35"/>
        <v/>
      </c>
      <c r="AI256" s="306" t="str">
        <f>IF(AH256="Check Data ⚠","Check Data ⚠",IFERROR(VLOOKUP(AH256,'G-4 Temporal multipliers'!$A$4:$C$36,3,FALSE),""))</f>
        <v/>
      </c>
      <c r="AJ256" s="317" t="str">
        <f>IF(S256="","",VLOOKUP(S256,'G-3 Multipliers'!$A$2:$E$134,4,FALSE))</f>
        <v/>
      </c>
      <c r="AK256" s="301" t="str">
        <f t="shared" si="36"/>
        <v/>
      </c>
      <c r="AL256" s="301" t="str">
        <f t="shared" si="37"/>
        <v/>
      </c>
      <c r="AM256" s="305" t="str">
        <f>IFERROR(IF(F256="","",IF(AH256="Check Data ⚠","Check Data ⚠",VLOOKUP(AL256, 'G-3 Multipliers'!$P$2:$Q$6,2,FALSE))),"")</f>
        <v/>
      </c>
      <c r="AN256" s="728"/>
      <c r="AO256" s="335" t="str">
        <f>IF(AN256="","",IF(VLOOKUP(AN256,'G-3 Multipliers'!$S$3:$T$10,2,FALSE)=0,"Spatial Data Missing ⚠",VLOOKUP(AN256,'G-3 Multipliers'!$S$3:$T$10,2,FALSE)))</f>
        <v/>
      </c>
      <c r="AP256" s="295" t="str">
        <f t="shared" si="38"/>
        <v/>
      </c>
      <c r="AQ256" s="295" t="str">
        <f t="shared" si="39"/>
        <v/>
      </c>
      <c r="AR256" s="109"/>
      <c r="AS256" s="142"/>
      <c r="AT256" s="108"/>
      <c r="AU256" s="108"/>
      <c r="AY256" s="30" t="str">
        <f>IF(E256="","",IF(ISNA(VLOOKUP($E256,'D-1 Off-Site Habitat Baseline'!$D$1:$AV$258,4,FALSE)),"",(VLOOKUP($E256,'D-1 Off-Site Habitat Baseline'!$D$1:$AV$258,4,FALSE))))</f>
        <v/>
      </c>
    </row>
    <row r="257" spans="1:51" x14ac:dyDescent="0.25">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325" t="str">
        <f>'D-1 Off-Site Habitat Baseline'!AP256</f>
        <v/>
      </c>
      <c r="F257" s="289" t="str">
        <f>IF(E257="","",IF(ISNA(VLOOKUP($E257,'D-1 Off-Site Habitat Baseline'!$D$1:$ZZ$258,45,FALSE)),"",(VLOOKUP($E257,'D-1 Off-Site Habitat Baseline'!$D$1:$ZZ$258,45,FALSE))))</f>
        <v/>
      </c>
      <c r="G257" s="301" t="str">
        <f>IF(E257="","",IF(ISNA(VLOOKUP($E257,'D-1 Off-Site Habitat Baseline'!$D$1:$O$258,5,FALSE)),"",(VLOOKUP($E257,'D-1 Off-Site Habitat Baseline'!$D$1:$O$258,5,FALSE))))</f>
        <v/>
      </c>
      <c r="H257" s="301" t="str">
        <f>IF(E257="","",IF(ISNA(VLOOKUP($E257,'D-1 Off-Site Habitat Baseline'!$D$1:$O$258,6,FALSE)),"",(VLOOKUP($E257,'D-1 Off-Site Habitat Baseline'!$D$1:$O$258,6,FALSE))))</f>
        <v/>
      </c>
      <c r="I257" s="301" t="str">
        <f>IF(E257="","",IF(ISNA(VLOOKUP($E257,'D-1 Off-Site Habitat Baseline'!$D$1:$O$258,7,FALSE)),"",(VLOOKUP($E257,'D-1 Off-Site Habitat Baseline'!$D$1:$O$258,7,FALSE))))</f>
        <v/>
      </c>
      <c r="J257" s="301" t="str">
        <f>IF(E257="","",IF(ISNA(VLOOKUP($E257,'D-1 Off-Site Habitat Baseline'!$D$1:$O$258,8,FALSE)),"",(VLOOKUP($E257,'D-1 Off-Site Habitat Baseline'!$D$1:$O$258,8,FALSE))))</f>
        <v/>
      </c>
      <c r="K257" s="301" t="str">
        <f>IF(E257="","",IF(ISNA(VLOOKUP($E257,'D-1 Off-Site Habitat Baseline'!$D$1:$O$258,9,FALSE)),"",(VLOOKUP($E257,'D-1 Off-Site Habitat Baseline'!$D$1:$O$258,9,FALSE))))</f>
        <v/>
      </c>
      <c r="L257" s="301" t="str">
        <f>IF(E257="","",IF(ISNA(VLOOKUP($E257,'D-1 Off-Site Habitat Baseline'!$D$1:$O$258,11,FALSE)),"",(VLOOKUP($E257,'D-1 Off-Site Habitat Baseline'!$D$1:$O$258,11,FALSE))))</f>
        <v/>
      </c>
      <c r="M257" s="301" t="str">
        <f>IF(E257="","",IF(ISNA(VLOOKUP($E257,'D-1 Off-Site Habitat Baseline'!$D$1:$O$258,12,FALSE)),"",(VLOOKUP($E257,'D-1 Off-Site Habitat Baseline'!$D$1:$O$258,12,FALSE))))</f>
        <v/>
      </c>
      <c r="N257" s="301" t="str">
        <f>IF(E257="","",IF(ISNA(VLOOKUP($E257,'D-1 Off-Site Habitat Baseline'!$D$1:$AA$258,17,FALSE)),"",(VLOOKUP($E257,'D-1 Off-Site Habitat Baseline'!$D$1:$AA$258,17,FALSE))))</f>
        <v/>
      </c>
      <c r="O257" s="305" t="str">
        <f>IF(E257="","",IF(ISNA(VLOOKUP($E257,'D-1 Off-Site Habitat Baseline'!$D$1:$AA$258,13,FALSE)),"",(VLOOKUP($E257,'D-1 Off-Site Habitat Baseline'!$D$1:$AA$258,13,FALSE))))</f>
        <v/>
      </c>
      <c r="P257" s="152" t="str">
        <f>IFERROR(INDEX('G-1 All Habitats'!$AG$49:$AG$63,MATCH(Q257,'G-1 All Habitats'!$AF$27:$AF$41,0)),"")</f>
        <v/>
      </c>
      <c r="Q257" s="153"/>
      <c r="R257" s="154"/>
      <c r="S257" s="155" t="str">
        <f>IFERROR(INDEX('G-1 All Habitats'!$B$3:$B$135,MATCH(R257,'G-1 All Habitats'!$A$3:$A$135,0)),"")</f>
        <v/>
      </c>
      <c r="T257" s="289" t="str">
        <f t="shared" si="32"/>
        <v/>
      </c>
      <c r="U257" s="305" t="str">
        <f t="shared" si="33"/>
        <v/>
      </c>
      <c r="V257" s="304" t="str">
        <f t="shared" si="30"/>
        <v/>
      </c>
      <c r="W257" s="301" t="str">
        <f>IF(S257="","",VLOOKUP(S257,'G-1 All Habitats'!$B$2:$M$135,10,FALSE))</f>
        <v/>
      </c>
      <c r="X257" s="301" t="str">
        <f>IFERROR(VLOOKUP(W257,'G-1 All Habitats'!$V$3:$W$7,2,FALSE),"")</f>
        <v/>
      </c>
      <c r="Y257" s="142"/>
      <c r="Z257" s="305" t="str">
        <f>IFERROR(INDEX('G-8 Condition Look up'!$A$3:$H$135,MATCH(S257,'G-8 Condition Look up'!$A$3:$A$135,0),MATCH(Y257,'G-8 Condition Look up'!$A$3:$H$3,0)),"")</f>
        <v/>
      </c>
      <c r="AA257" s="105"/>
      <c r="AB257" s="320" t="str">
        <f>IF(AA257="","",IF(VLOOKUP(AA257,'G-3 Multipliers'!$L$3:$N$6,2,FALSE)=0,"Spatial Data Missing ⚠",VLOOKUP(AA257,'G-3 Multipliers'!$L$3:$N$6,2,FALSE)))</f>
        <v/>
      </c>
      <c r="AC257" s="305" t="str">
        <f>IF(AA257="","",IF(VLOOKUP(AA257,'G-3 Multipliers'!$L$3:$N$6,3,FALSE)=0,"Spatial Data Missing ⚠",VLOOKUP(AA257,'G-3 Multipliers'!$L$3:$N$6,3,FALSE)))</f>
        <v/>
      </c>
      <c r="AD257" s="317" t="str">
        <f t="shared" si="31"/>
        <v/>
      </c>
      <c r="AE257" s="142"/>
      <c r="AF257" s="142"/>
      <c r="AG257" s="301" t="str">
        <f t="shared" si="34"/>
        <v/>
      </c>
      <c r="AH257" s="302" t="str">
        <f t="shared" si="35"/>
        <v/>
      </c>
      <c r="AI257" s="306" t="str">
        <f>IF(AH257="Check Data ⚠","Check Data ⚠",IFERROR(VLOOKUP(AH257,'G-4 Temporal multipliers'!$A$4:$C$36,3,FALSE),""))</f>
        <v/>
      </c>
      <c r="AJ257" s="317" t="str">
        <f>IF(S257="","",VLOOKUP(S257,'G-3 Multipliers'!$A$2:$E$134,4,FALSE))</f>
        <v/>
      </c>
      <c r="AK257" s="301" t="str">
        <f t="shared" si="36"/>
        <v/>
      </c>
      <c r="AL257" s="301" t="str">
        <f t="shared" si="37"/>
        <v/>
      </c>
      <c r="AM257" s="305" t="str">
        <f>IFERROR(IF(F257="","",IF(AH257="Check Data ⚠","Check Data ⚠",VLOOKUP(AL257, 'G-3 Multipliers'!$P$2:$Q$6,2,FALSE))),"")</f>
        <v/>
      </c>
      <c r="AN257" s="728"/>
      <c r="AO257" s="335" t="str">
        <f>IF(AN257="","",IF(VLOOKUP(AN257,'G-3 Multipliers'!$S$3:$T$10,2,FALSE)=0,"Spatial Data Missing ⚠",VLOOKUP(AN257,'G-3 Multipliers'!$S$3:$T$10,2,FALSE)))</f>
        <v/>
      </c>
      <c r="AP257" s="295" t="str">
        <f t="shared" si="38"/>
        <v/>
      </c>
      <c r="AQ257" s="295" t="str">
        <f t="shared" si="39"/>
        <v/>
      </c>
      <c r="AR257" s="109"/>
      <c r="AS257" s="142"/>
      <c r="AT257" s="108"/>
      <c r="AU257" s="108"/>
      <c r="AY257" s="30" t="str">
        <f>IF(E257="","",IF(ISNA(VLOOKUP($E257,'D-1 Off-Site Habitat Baseline'!$D$1:$AV$258,4,FALSE)),"",(VLOOKUP($E257,'D-1 Off-Site Habitat Baseline'!$D$1:$AV$258,4,FALSE))))</f>
        <v/>
      </c>
    </row>
    <row r="258" spans="1:51" ht="14.4" thickBot="1" x14ac:dyDescent="0.3">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326" t="str">
        <f>'D-1 Off-Site Habitat Baseline'!AP257</f>
        <v/>
      </c>
      <c r="F258" s="289" t="str">
        <f>IF(E258="","",IF(ISNA(VLOOKUP($E258,'D-1 Off-Site Habitat Baseline'!$D$1:$ZZ$258,45,FALSE)),"",(VLOOKUP($E258,'D-1 Off-Site Habitat Baseline'!$D$1:$ZZ$258,45,FALSE))))</f>
        <v/>
      </c>
      <c r="G258" s="314" t="str">
        <f>IF(E258="","",IF(ISNA(VLOOKUP($E258,'D-1 Off-Site Habitat Baseline'!$D$1:$O$258,5,FALSE)),"",(VLOOKUP($E258,'D-1 Off-Site Habitat Baseline'!$D$1:$O$258,5,FALSE))))</f>
        <v/>
      </c>
      <c r="H258" s="314" t="str">
        <f>IF(E258="","",IF(ISNA(VLOOKUP($E258,'D-1 Off-Site Habitat Baseline'!$D$1:$O$258,6,FALSE)),"",(VLOOKUP($E258,'D-1 Off-Site Habitat Baseline'!$D$1:$O$258,6,FALSE))))</f>
        <v/>
      </c>
      <c r="I258" s="314" t="str">
        <f>IF(E258="","",IF(ISNA(VLOOKUP($E258,'D-1 Off-Site Habitat Baseline'!$D$1:$O$258,7,FALSE)),"",(VLOOKUP($E258,'D-1 Off-Site Habitat Baseline'!$D$1:$O$258,7,FALSE))))</f>
        <v/>
      </c>
      <c r="J258" s="314" t="str">
        <f>IF(E258="","",IF(ISNA(VLOOKUP($E258,'D-1 Off-Site Habitat Baseline'!$D$1:$O$258,8,FALSE)),"",(VLOOKUP($E258,'D-1 Off-Site Habitat Baseline'!$D$1:$O$258,8,FALSE))))</f>
        <v/>
      </c>
      <c r="K258" s="314" t="str">
        <f>IF(E258="","",IF(ISNA(VLOOKUP($E258,'D-1 Off-Site Habitat Baseline'!$D$1:$O$258,9,FALSE)),"",(VLOOKUP($E258,'D-1 Off-Site Habitat Baseline'!$D$1:$O$258,9,FALSE))))</f>
        <v/>
      </c>
      <c r="L258" s="314" t="str">
        <f>IF(E258="","",IF(ISNA(VLOOKUP($E258,'D-1 Off-Site Habitat Baseline'!$D$1:$O$258,11,FALSE)),"",(VLOOKUP($E258,'D-1 Off-Site Habitat Baseline'!$D$1:$O$258,11,FALSE))))</f>
        <v/>
      </c>
      <c r="M258" s="314" t="str">
        <f>IF(E258="","",IF(ISNA(VLOOKUP($E258,'D-1 Off-Site Habitat Baseline'!$D$1:$O$258,12,FALSE)),"",(VLOOKUP($E258,'D-1 Off-Site Habitat Baseline'!$D$1:$O$258,12,FALSE))))</f>
        <v/>
      </c>
      <c r="N258" s="301" t="str">
        <f>IF(E258="","",IF(ISNA(VLOOKUP($E258,'D-1 Off-Site Habitat Baseline'!$D$1:$AA$258,17,FALSE)),"",(VLOOKUP($E258,'D-1 Off-Site Habitat Baseline'!$D$1:$AA$258,17,FALSE))))</f>
        <v/>
      </c>
      <c r="O258" s="305" t="str">
        <f>IF(E258="","",IF(ISNA(VLOOKUP($E258,'D-1 Off-Site Habitat Baseline'!$D$1:$AA$258,13,FALSE)),"",(VLOOKUP($E258,'D-1 Off-Site Habitat Baseline'!$D$1:$AA$258,13,FALSE))))</f>
        <v/>
      </c>
      <c r="P258" s="152" t="str">
        <f>IFERROR(INDEX('G-1 All Habitats'!$AG$49:$AG$63,MATCH(Q258,'G-1 All Habitats'!$AF$27:$AF$41,0)),"")</f>
        <v/>
      </c>
      <c r="Q258" s="153"/>
      <c r="R258" s="154"/>
      <c r="S258" s="155" t="str">
        <f>IFERROR(INDEX('G-1 All Habitats'!$B$3:$B$135,MATCH(R258,'G-1 All Habitats'!$A$3:$A$135,0)),"")</f>
        <v/>
      </c>
      <c r="T258" s="289" t="str">
        <f t="shared" si="32"/>
        <v/>
      </c>
      <c r="U258" s="316" t="str">
        <f t="shared" si="33"/>
        <v/>
      </c>
      <c r="V258" s="304" t="str">
        <f t="shared" si="30"/>
        <v/>
      </c>
      <c r="W258" s="301" t="str">
        <f>IF(S258="","",VLOOKUP(S258,'G-1 All Habitats'!$B$2:$M$135,10,FALSE))</f>
        <v/>
      </c>
      <c r="X258" s="314" t="str">
        <f>IFERROR(VLOOKUP(W258,'G-1 All Habitats'!$V$3:$W$7,2,FALSE),"")</f>
        <v/>
      </c>
      <c r="Y258" s="148"/>
      <c r="Z258" s="305" t="str">
        <f>IFERROR(INDEX('G-8 Condition Look up'!$A$3:$H$135,MATCH(S258,'G-8 Condition Look up'!$A$3:$A$135,0),MATCH(Y258,'G-8 Condition Look up'!$A$3:$H$3,0)),"")</f>
        <v/>
      </c>
      <c r="AA258" s="147"/>
      <c r="AB258" s="320" t="str">
        <f>IF(AA258="","",IF(VLOOKUP(AA258,'G-3 Multipliers'!$L$3:$N$6,2,FALSE)=0,"Spatial Data Missing ⚠",VLOOKUP(AA258,'G-3 Multipliers'!$L$3:$N$6,2,FALSE)))</f>
        <v/>
      </c>
      <c r="AC258" s="305" t="str">
        <f>IF(AA258="","",IF(VLOOKUP(AA258,'G-3 Multipliers'!$L$3:$N$6,3,FALSE)=0,"Spatial Data Missing ⚠",VLOOKUP(AA258,'G-3 Multipliers'!$L$3:$N$6,3,FALSE)))</f>
        <v/>
      </c>
      <c r="AD258" s="317" t="str">
        <f t="shared" si="31"/>
        <v/>
      </c>
      <c r="AE258" s="148"/>
      <c r="AF258" s="148"/>
      <c r="AG258" s="301" t="str">
        <f t="shared" si="34"/>
        <v/>
      </c>
      <c r="AH258" s="302" t="str">
        <f t="shared" si="35"/>
        <v/>
      </c>
      <c r="AI258" s="306" t="str">
        <f>IF(AH258="Check Data ⚠","Check Data ⚠",IFERROR(VLOOKUP(AH258,'G-4 Temporal multipliers'!$A$4:$C$36,3,FALSE),""))</f>
        <v/>
      </c>
      <c r="AJ258" s="317" t="str">
        <f>IF(S258="","",VLOOKUP(S258,'G-3 Multipliers'!$A$2:$E$134,4,FALSE))</f>
        <v/>
      </c>
      <c r="AK258" s="301" t="str">
        <f t="shared" si="36"/>
        <v/>
      </c>
      <c r="AL258" s="314" t="str">
        <f t="shared" si="37"/>
        <v/>
      </c>
      <c r="AM258" s="305" t="str">
        <f>IFERROR(IF(F258="","",IF(AH258="Check Data ⚠","Check Data ⚠",VLOOKUP(AL258, 'G-3 Multipliers'!$P$2:$Q$6,2,FALSE))),"")</f>
        <v/>
      </c>
      <c r="AN258" s="728"/>
      <c r="AO258" s="335" t="str">
        <f>IF(AN258="","",IF(VLOOKUP(AN258,'G-3 Multipliers'!$S$3:$T$10,2,FALSE)=0,"Spatial Data Missing ⚠",VLOOKUP(AN258,'G-3 Multipliers'!$S$3:$T$10,2,FALSE)))</f>
        <v/>
      </c>
      <c r="AP258" s="295" t="str">
        <f t="shared" si="38"/>
        <v/>
      </c>
      <c r="AQ258" s="295" t="str">
        <f t="shared" si="39"/>
        <v/>
      </c>
      <c r="AR258" s="115"/>
      <c r="AS258" s="145"/>
      <c r="AT258" s="114"/>
      <c r="AU258" s="114"/>
      <c r="AY258" s="30" t="str">
        <f>IF(E258="","",IF(ISNA(VLOOKUP($E258,'D-1 Off-Site Habitat Baseline'!$D$1:$AV$258,4,FALSE)),"",(VLOOKUP($E258,'D-1 Off-Site Habitat Baseline'!$D$1:$AV$258,4,FALSE))))</f>
        <v/>
      </c>
    </row>
    <row r="259" spans="1:51" ht="21.6" customHeight="1" thickBot="1" x14ac:dyDescent="0.3">
      <c r="E259" s="34"/>
      <c r="F259" s="34"/>
      <c r="G259" s="34"/>
      <c r="H259" s="34"/>
      <c r="I259" s="34"/>
      <c r="J259" s="34"/>
      <c r="K259" s="34"/>
      <c r="L259" s="34"/>
      <c r="M259" s="34"/>
      <c r="N259" s="34"/>
      <c r="O259" s="34"/>
      <c r="P259" s="34"/>
      <c r="Q259" s="34"/>
      <c r="R259" s="34"/>
      <c r="S259" s="34"/>
      <c r="T259" s="34"/>
      <c r="U259" s="648" t="s">
        <v>454</v>
      </c>
      <c r="V259" s="327">
        <f>SUM(V12:V258)</f>
        <v>0</v>
      </c>
      <c r="W259" s="34"/>
      <c r="X259" s="34"/>
      <c r="Y259" s="34"/>
      <c r="Z259" s="34"/>
      <c r="AA259" s="34"/>
      <c r="AB259" s="34"/>
      <c r="AC259" s="34"/>
      <c r="AD259" s="34"/>
      <c r="AE259" s="34"/>
      <c r="AF259" s="34"/>
      <c r="AG259" s="34"/>
      <c r="AH259" s="34"/>
      <c r="AI259" s="34"/>
      <c r="AJ259" s="34"/>
      <c r="AK259" s="34"/>
      <c r="AL259" s="34"/>
      <c r="AM259" s="34"/>
      <c r="AN259" s="256"/>
      <c r="AO259" s="256"/>
      <c r="AP259" s="328">
        <f>SUM(AP12:AP258)</f>
        <v>0</v>
      </c>
      <c r="AQ259" s="328">
        <f>SUM(AQ12:AQ258)</f>
        <v>0</v>
      </c>
    </row>
    <row r="260" spans="1:51" x14ac:dyDescent="0.25">
      <c r="V260" s="30" t="str">
        <f>IF(V259&lt;&gt;'D-1 Off-Site Habitat Baseline'!W259,"Error - Area of habitat enhancement must match the area from sheet D1 ▲","")</f>
        <v/>
      </c>
    </row>
    <row r="261" spans="1:51" x14ac:dyDescent="0.25"/>
    <row r="262" spans="1:51" x14ac:dyDescent="0.25"/>
    <row r="263" spans="1:51" x14ac:dyDescent="0.25"/>
    <row r="264" spans="1:51" x14ac:dyDescent="0.25"/>
    <row r="265" spans="1:51" x14ac:dyDescent="0.25"/>
    <row r="266" spans="1:51" x14ac:dyDescent="0.25"/>
    <row r="267" spans="1:51" x14ac:dyDescent="0.25"/>
    <row r="268" spans="1:51" x14ac:dyDescent="0.25"/>
    <row r="269" spans="1:51" x14ac:dyDescent="0.25"/>
  </sheetData>
  <sheetProtection algorithmName="SHA-512" hashValue="AX7fOxPYNi2U/lgkhwSO1NCJUm4P39Hq0mYe9JFZaBXjtNEAv6AK+CZmpyX5sRmW2YlgeHKSnKOAe5CP+cKJlA==" saltValue="PI/4r1Ej7hk+j4Didn/k5A==" spinCount="100000" sheet="1" objects="1" scenarios="1"/>
  <customSheetViews>
    <customSheetView guid="{8BDA793C-C9C5-4FC6-A0A5-F1109F6D4F22}" topLeftCell="D1">
      <pane ySplit="11" topLeftCell="A12" activePane="bottomLeft" state="frozen"/>
      <selection pane="bottomLeft"/>
    </customSheetView>
  </customSheetViews>
  <mergeCells count="27">
    <mergeCell ref="AR10:AU10"/>
    <mergeCell ref="V2:AA5"/>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H5:L6"/>
    <mergeCell ref="T3:U3"/>
    <mergeCell ref="T4:U4"/>
    <mergeCell ref="T5:U5"/>
    <mergeCell ref="R2:U2"/>
    <mergeCell ref="R6:T8"/>
  </mergeCells>
  <conditionalFormatting sqref="Z12:Z258">
    <cfRule type="containsText" dxfId="720" priority="69" operator="containsText" text="Not Possible">
      <formula>NOT(ISERROR(SEARCH("Not Possible",Z12)))</formula>
    </cfRule>
  </conditionalFormatting>
  <conditionalFormatting sqref="AN12:AN258">
    <cfRule type="containsText" dxfId="719" priority="66" operator="containsText" text="Existing Value Not Required">
      <formula>NOT(ISERROR(SEARCH("Existing Value Not Required",AN12)))</formula>
    </cfRule>
    <cfRule type="containsText" dxfId="718" priority="67" operator="containsText" text="Existing Value Required">
      <formula>NOT(ISERROR(SEARCH("Existing Value Required",AN12)))</formula>
    </cfRule>
  </conditionalFormatting>
  <conditionalFormatting sqref="Z13">
    <cfRule type="containsText" dxfId="717" priority="48" operator="containsText" text="Not Possible">
      <formula>NOT(ISERROR(SEARCH("Not Possible",Z13)))</formula>
    </cfRule>
  </conditionalFormatting>
  <conditionalFormatting sqref="AN13">
    <cfRule type="containsText" dxfId="716" priority="46" operator="containsText" text="Existing Value Not Required">
      <formula>NOT(ISERROR(SEARCH("Existing Value Not Required",AN13)))</formula>
    </cfRule>
    <cfRule type="containsText" dxfId="715" priority="47" operator="containsText" text="Existing Value Required">
      <formula>NOT(ISERROR(SEARCH("Existing Value Required",AN13)))</formula>
    </cfRule>
  </conditionalFormatting>
  <conditionalFormatting sqref="AN14:AN258">
    <cfRule type="containsText" dxfId="714" priority="43" operator="containsText" text="Existing Value Not Required">
      <formula>NOT(ISERROR(SEARCH("Existing Value Not Required",AN14)))</formula>
    </cfRule>
    <cfRule type="containsText" dxfId="713" priority="44" operator="containsText" text="Existing Value Required">
      <formula>NOT(ISERROR(SEARCH("Existing Value Required",AN14)))</formula>
    </cfRule>
  </conditionalFormatting>
  <conditionalFormatting sqref="Z14:Z258">
    <cfRule type="containsText" dxfId="712" priority="45" operator="containsText" text="Not Possible">
      <formula>NOT(ISERROR(SEARCH("Not Possible",Z14)))</formula>
    </cfRule>
  </conditionalFormatting>
  <conditionalFormatting sqref="AP12:AP258">
    <cfRule type="containsText" dxfId="711" priority="41" operator="containsText" text="Existing Value Not Required">
      <formula>NOT(ISERROR(SEARCH("Existing Value Not Required",AP12)))</formula>
    </cfRule>
    <cfRule type="containsText" dxfId="710" priority="42" operator="containsText" text="Existing Value Required">
      <formula>NOT(ISERROR(SEARCH("Existing Value Required",AP12)))</formula>
    </cfRule>
  </conditionalFormatting>
  <conditionalFormatting sqref="O12:O258">
    <cfRule type="beginsWith" dxfId="709" priority="37" operator="beginsWith" text="Bespoke">
      <formula>LEFT(O12,LEN("Bespoke"))="Bespoke"</formula>
    </cfRule>
    <cfRule type="beginsWith" dxfId="708" priority="38" operator="beginsWith" text="Same distinctiveness">
      <formula>LEFT(O12,LEN("Same distinctiveness"))="Same distinctiveness"</formula>
    </cfRule>
    <cfRule type="beginsWith" dxfId="707" priority="39" operator="beginsWith" text="Same broad">
      <formula>LEFT(O12,LEN("Same broad"))="Same broad"</formula>
    </cfRule>
    <cfRule type="beginsWith" dxfId="706" priority="40" operator="beginsWith" text="Same Habitat">
      <formula>LEFT(O12,LEN("Same Habitat"))="Same Habitat"</formula>
    </cfRule>
  </conditionalFormatting>
  <conditionalFormatting sqref="T12:AP258">
    <cfRule type="containsText" dxfId="705" priority="36" operator="containsText" text="Error">
      <formula>NOT(ISERROR(SEARCH("Error",T12)))</formula>
    </cfRule>
  </conditionalFormatting>
  <conditionalFormatting sqref="AB12:AC258">
    <cfRule type="containsText" dxfId="704" priority="35" operator="containsText" text="Spatial">
      <formula>NOT(ISERROR(SEARCH("Spatial",AB12)))</formula>
    </cfRule>
  </conditionalFormatting>
  <conditionalFormatting sqref="AD2">
    <cfRule type="containsText" dxfId="703" priority="34" operator="containsText" text="Note">
      <formula>NOT(ISERROR(SEARCH("Note",AD2)))</formula>
    </cfRule>
  </conditionalFormatting>
  <conditionalFormatting sqref="AD12:AP258">
    <cfRule type="containsText" dxfId="702" priority="33" operator="containsText" text="Check">
      <formula>NOT(ISERROR(SEARCH("Check",AD12)))</formula>
    </cfRule>
  </conditionalFormatting>
  <conditionalFormatting sqref="AO12:AO258">
    <cfRule type="containsText" dxfId="701" priority="32" operator="containsText" text="Spatial">
      <formula>NOT(ISERROR(SEARCH("Spatial",AO12)))</formula>
    </cfRule>
  </conditionalFormatting>
  <conditionalFormatting sqref="V260">
    <cfRule type="containsText" dxfId="700" priority="31" operator="containsText" text="Error">
      <formula>NOT(ISERROR(SEARCH("Error",V260)))</formula>
    </cfRule>
  </conditionalFormatting>
  <conditionalFormatting sqref="AD5">
    <cfRule type="containsText" dxfId="699" priority="30" operator="containsText" text="Change">
      <formula>NOT(ISERROR(SEARCH("Change",AD5)))</formula>
    </cfRule>
  </conditionalFormatting>
  <conditionalFormatting sqref="T3">
    <cfRule type="containsText" dxfId="698" priority="28" operator="containsText" text="Error">
      <formula>NOT(ISERROR(SEARCH("Error",T3)))</formula>
    </cfRule>
    <cfRule type="containsText" dxfId="697" priority="29" operator="containsText" text="Check">
      <formula>NOT(ISERROR(SEARCH("Check",T3)))</formula>
    </cfRule>
  </conditionalFormatting>
  <conditionalFormatting sqref="T4">
    <cfRule type="containsText" dxfId="696" priority="9" operator="containsText" text="Error">
      <formula>NOT(ISERROR(SEARCH("Error",T4)))</formula>
    </cfRule>
    <cfRule type="containsText" dxfId="695" priority="16" operator="containsText" text="Check">
      <formula>NOT(ISERROR(SEARCH("Check",T4)))</formula>
    </cfRule>
  </conditionalFormatting>
  <conditionalFormatting sqref="T5">
    <cfRule type="containsText" dxfId="694" priority="24" operator="containsText" text="No">
      <formula>NOT(ISERROR(SEARCH("No",T5)))</formula>
    </cfRule>
    <cfRule type="containsText" dxfId="693" priority="25" operator="containsText" text="Yes">
      <formula>NOT(ISERROR(SEARCH("Yes",T5)))</formula>
    </cfRule>
  </conditionalFormatting>
  <conditionalFormatting sqref="V2:AA5">
    <cfRule type="containsText" dxfId="692" priority="23" operator="containsText" text="Check">
      <formula>NOT(ISERROR(SEARCH("Check",V2)))</formula>
    </cfRule>
  </conditionalFormatting>
  <conditionalFormatting sqref="AQ12:AQ258">
    <cfRule type="containsText" dxfId="691" priority="21" operator="containsText" text="Existing Value Not Required">
      <formula>NOT(ISERROR(SEARCH("Existing Value Not Required",AQ12)))</formula>
    </cfRule>
    <cfRule type="containsText" dxfId="690" priority="22" operator="containsText" text="Existing Value Required">
      <formula>NOT(ISERROR(SEARCH("Existing Value Required",AQ12)))</formula>
    </cfRule>
  </conditionalFormatting>
  <conditionalFormatting sqref="AQ12:AQ258">
    <cfRule type="containsText" dxfId="689" priority="20" operator="containsText" text="Error">
      <formula>NOT(ISERROR(SEARCH("Error",AQ12)))</formula>
    </cfRule>
  </conditionalFormatting>
  <conditionalFormatting sqref="AQ12:AQ258">
    <cfRule type="containsText" dxfId="688" priority="19" operator="containsText" text="Check">
      <formula>NOT(ISERROR(SEARCH("Check",AQ12)))</formula>
    </cfRule>
  </conditionalFormatting>
  <conditionalFormatting sqref="R6:T8">
    <cfRule type="containsText" dxfId="687" priority="18" operator="containsText" text="⚠">
      <formula>NOT(ISERROR(SEARCH("⚠",R6)))</formula>
    </cfRule>
  </conditionalFormatting>
  <conditionalFormatting sqref="T4:U4">
    <cfRule type="cellIs" dxfId="686" priority="17" operator="equal">
      <formula>0</formula>
    </cfRule>
    <cfRule type="cellIs" dxfId="685" priority="444" operator="lessThan">
      <formula>0</formula>
    </cfRule>
  </conditionalFormatting>
  <conditionalFormatting sqref="T3:U5">
    <cfRule type="containsText" dxfId="684" priority="15" operator="containsText" text="N/A">
      <formula>NOT(ISERROR(SEARCH("N/A",T3)))</formula>
    </cfRule>
  </conditionalFormatting>
  <conditionalFormatting sqref="F12:F257">
    <cfRule type="expression" dxfId="683" priority="12">
      <formula>$AY12="Yes"</formula>
    </cfRule>
  </conditionalFormatting>
  <conditionalFormatting sqref="H5:L6">
    <cfRule type="containsText" dxfId="682" priority="11" operator="containsText" text="Enhanced">
      <formula>NOT(ISERROR(SEARCH("Enhanced",H5)))</formula>
    </cfRule>
  </conditionalFormatting>
  <conditionalFormatting sqref="N12:N258">
    <cfRule type="containsText" dxfId="681" priority="10" operator="containsText" text="Check">
      <formula>NOT(ISERROR(SEARCH("Check",N12)))</formula>
    </cfRule>
  </conditionalFormatting>
  <conditionalFormatting sqref="N1:N1048576">
    <cfRule type="containsText" dxfId="680" priority="8" operator="containsText" text="Error">
      <formula>NOT(ISERROR(SEARCH("Error",N1)))</formula>
    </cfRule>
  </conditionalFormatting>
  <conditionalFormatting sqref="K1:K1048576">
    <cfRule type="containsText" dxfId="679" priority="7" operator="containsText" text="Not Possible">
      <formula>NOT(ISERROR(SEARCH("Not Possible",K1)))</formula>
    </cfRule>
  </conditionalFormatting>
  <conditionalFormatting sqref="AK1:AK1048576">
    <cfRule type="containsText" dxfId="678" priority="6" operator="containsText" text="⚠">
      <formula>NOT(ISERROR(SEARCH("⚠",AK1)))</formula>
    </cfRule>
  </conditionalFormatting>
  <conditionalFormatting sqref="O1:O1048576">
    <cfRule type="containsText" dxfId="677" priority="5" operator="containsText" text=" ⚠">
      <formula>NOT(ISERROR(SEARCH(" ⚠",O1)))</formula>
    </cfRule>
  </conditionalFormatting>
  <conditionalFormatting sqref="AQ1:AQ1048576">
    <cfRule type="containsText" dxfId="676" priority="4" operator="containsText" text="▲">
      <formula>NOT(ISERROR(SEARCH("▲",AQ1)))</formula>
    </cfRule>
  </conditionalFormatting>
  <conditionalFormatting sqref="AU12:AU258">
    <cfRule type="expression" dxfId="675" priority="3">
      <formula>$AQ12="Off-site reference required ▲"</formula>
    </cfRule>
  </conditionalFormatting>
  <conditionalFormatting sqref="AH1:AH1048576">
    <cfRule type="containsText" dxfId="674" priority="2" operator="containsText" text="30+">
      <formula>NOT(ISERROR(SEARCH("30+",AH1)))</formula>
    </cfRule>
  </conditionalFormatting>
  <conditionalFormatting sqref="AD1:AD1048576">
    <cfRule type="containsText" dxfId="673" priority="1" operator="containsText" text="▲">
      <formula>NOT(ISERROR(SEARCH("▲",AD1)))</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13" id="{F40E7E0D-F4F3-41D4-B551-353F8EBB8806}">
            <xm:f>'Headline Results'!$H$8:$I$8=0</xm:f>
            <x14:dxf>
              <font>
                <color auto="1"/>
              </font>
              <fill>
                <patternFill>
                  <bgColor rgb="FFE0DCD3"/>
                </patternFill>
              </fill>
            </x14:dxf>
          </x14:cfRule>
          <xm:sqref>T4:U4</xm:sqref>
        </x14:conditionalFormatting>
        <x14:conditionalFormatting xmlns:xm="http://schemas.microsoft.com/office/excel/2006/main">
          <x14:cfRule type="cellIs" priority="14" operator="lessThan" id="{3FC4BA11-E79F-41AE-8528-BD37238A0A58}">
            <xm:f>Start!$F$22</xm:f>
            <x14:dxf>
              <font>
                <color rgb="FF383745"/>
              </font>
              <fill>
                <patternFill>
                  <bgColor rgb="FFFFC000"/>
                </patternFill>
              </fill>
            </x14:dxf>
          </x14:cfRule>
          <x14:cfRule type="cellIs" priority="445"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activeCell="Q21" sqref="Q21:Q22"/>
    </sheetView>
  </sheetViews>
  <sheetFormatPr defaultColWidth="15.5546875" defaultRowHeight="13.8" x14ac:dyDescent="0.25"/>
  <cols>
    <col min="1" max="1" width="3" style="30" customWidth="1"/>
    <col min="2" max="2" width="11.6640625" style="30" customWidth="1"/>
    <col min="3" max="3" width="12.6640625" style="30" customWidth="1"/>
    <col min="4" max="4" width="62.5546875" style="30" customWidth="1"/>
    <col min="5" max="5" width="10.6640625" style="30" customWidth="1"/>
    <col min="6" max="6" width="19.33203125" style="30" customWidth="1"/>
    <col min="7" max="7" width="8.6640625" style="30" customWidth="1"/>
    <col min="8" max="8" width="14.33203125" style="30" bestFit="1" customWidth="1"/>
    <col min="9" max="9" width="12.6640625" style="30" customWidth="1"/>
    <col min="10" max="10" width="52.33203125" style="30" customWidth="1"/>
    <col min="11" max="11" width="21.44140625" style="30" customWidth="1"/>
    <col min="12" max="12" width="15.33203125" style="30" customWidth="1"/>
    <col min="13" max="13" width="20.6640625" style="30" customWidth="1"/>
    <col min="14" max="14" width="13.33203125" style="30" customWidth="1"/>
    <col min="15" max="15" width="3.6640625" style="30" customWidth="1"/>
    <col min="16" max="17" width="12" style="30" customWidth="1"/>
    <col min="18" max="18" width="10.33203125" style="30" customWidth="1"/>
    <col min="19" max="19" width="12" style="30" customWidth="1"/>
    <col min="20" max="21" width="8.6640625" style="30" customWidth="1"/>
    <col min="22" max="23" width="50.33203125" style="30" customWidth="1"/>
    <col min="24" max="24" width="14.44140625" style="30" customWidth="1"/>
    <col min="25" max="25" width="15.5546875" style="30" customWidth="1"/>
    <col min="26" max="26" width="15.5546875" style="30" hidden="1" customWidth="1"/>
    <col min="27" max="16380" width="0" style="30" hidden="1" customWidth="1"/>
    <col min="16381" max="16384" width="15.5546875" style="30"/>
  </cols>
  <sheetData>
    <row r="1" spans="2:38" ht="14.4" thickBot="1" x14ac:dyDescent="0.3"/>
    <row r="2" spans="2:38" ht="18" thickBot="1" x14ac:dyDescent="0.3">
      <c r="B2" s="1740" t="str">
        <f>CONCATENATE("Project Name:", " ", Start!F12, "     ", "Map Reference:", " ", Start!F55)</f>
        <v xml:space="preserve">Project Name: Chickenhall Lane     Map Reference: </v>
      </c>
      <c r="C2" s="1741"/>
      <c r="D2" s="1742"/>
      <c r="F2" s="1591" t="s">
        <v>502</v>
      </c>
      <c r="G2" s="1592"/>
      <c r="H2" s="1592"/>
      <c r="I2" s="1592"/>
      <c r="J2" s="1593"/>
    </row>
    <row r="3" spans="2:38" x14ac:dyDescent="0.25">
      <c r="B3" s="1236" t="str">
        <f ca="1">MID(CELL("filename",A1),FIND("]",CELL("filename",A1))+1,256)</f>
        <v>B-1 On-Site Hedge Baseline</v>
      </c>
      <c r="C3" s="1237"/>
      <c r="D3" s="1238"/>
      <c r="F3" s="1659" t="s">
        <v>389</v>
      </c>
      <c r="G3" s="1660"/>
      <c r="H3" s="1660"/>
      <c r="I3" s="1660"/>
      <c r="J3" s="400">
        <f ca="1">'Headline Results'!H48</f>
        <v>0.28841467762499995</v>
      </c>
    </row>
    <row r="4" spans="2:38" ht="14.4" thickBot="1" x14ac:dyDescent="0.3">
      <c r="B4" s="1239"/>
      <c r="C4" s="1240"/>
      <c r="D4" s="1241"/>
      <c r="F4" s="1752" t="s">
        <v>391</v>
      </c>
      <c r="G4" s="1753"/>
      <c r="H4" s="1753"/>
      <c r="I4" s="1753"/>
      <c r="J4" s="401">
        <f ca="1">'Headline Results'!H52</f>
        <v>1.2378312344420599</v>
      </c>
    </row>
    <row r="5" spans="2:38" ht="14.4" thickBot="1" x14ac:dyDescent="0.3">
      <c r="F5" s="1754" t="s">
        <v>393</v>
      </c>
      <c r="G5" s="1729"/>
      <c r="H5" s="1729"/>
      <c r="I5" s="1729"/>
      <c r="J5" s="393" t="str" cm="1">
        <f t="array" aca="1" ref="J5" ca="1">IF(OR('Trading Summary Hedgerows'!F5:H9="No ▲"), "No - check trading summary ▲", "Yes ✓")</f>
        <v>Yes ✓</v>
      </c>
    </row>
    <row r="7" spans="2:38" ht="34.200000000000003" customHeight="1" thickBot="1" x14ac:dyDescent="0.3">
      <c r="B7" s="93"/>
      <c r="C7" s="93"/>
      <c r="E7" s="92"/>
    </row>
    <row r="8" spans="2:38" s="33" customFormat="1" ht="28.2" thickBot="1" x14ac:dyDescent="0.3">
      <c r="B8" s="32"/>
      <c r="C8" s="1711" t="s">
        <v>503</v>
      </c>
      <c r="D8" s="1432"/>
      <c r="E8" s="1425"/>
      <c r="F8" s="1688" t="s">
        <v>395</v>
      </c>
      <c r="G8" s="1688"/>
      <c r="H8" s="1688" t="s">
        <v>482</v>
      </c>
      <c r="I8" s="1688"/>
      <c r="J8" s="1688" t="s">
        <v>397</v>
      </c>
      <c r="K8" s="1688"/>
      <c r="L8" s="1688"/>
      <c r="M8" s="1688" t="s">
        <v>398</v>
      </c>
      <c r="N8" s="118" t="s">
        <v>399</v>
      </c>
      <c r="O8" s="30"/>
      <c r="P8" s="1689"/>
      <c r="Q8" s="1690"/>
      <c r="R8" s="1690"/>
      <c r="S8" s="1690"/>
      <c r="T8" s="1690"/>
      <c r="U8" s="1691"/>
      <c r="V8" s="1689" t="s">
        <v>401</v>
      </c>
      <c r="W8" s="1690"/>
      <c r="X8" s="1691"/>
    </row>
    <row r="9" spans="2:38" ht="42" thickBot="1" x14ac:dyDescent="0.3">
      <c r="B9" s="522" t="s">
        <v>406</v>
      </c>
      <c r="C9" s="120" t="s">
        <v>504</v>
      </c>
      <c r="D9" s="125" t="s">
        <v>367</v>
      </c>
      <c r="E9" s="124" t="s">
        <v>505</v>
      </c>
      <c r="F9" s="120" t="s">
        <v>395</v>
      </c>
      <c r="G9" s="124" t="s">
        <v>411</v>
      </c>
      <c r="H9" s="120" t="s">
        <v>396</v>
      </c>
      <c r="I9" s="124" t="s">
        <v>411</v>
      </c>
      <c r="J9" s="120" t="s">
        <v>397</v>
      </c>
      <c r="K9" s="125" t="s">
        <v>397</v>
      </c>
      <c r="L9" s="124" t="s">
        <v>412</v>
      </c>
      <c r="M9" s="1751"/>
      <c r="N9" s="146" t="s">
        <v>506</v>
      </c>
      <c r="P9" s="116" t="s">
        <v>507</v>
      </c>
      <c r="Q9" s="580" t="s">
        <v>508</v>
      </c>
      <c r="R9" s="580" t="s">
        <v>509</v>
      </c>
      <c r="S9" s="580" t="s">
        <v>510</v>
      </c>
      <c r="T9" s="580" t="s">
        <v>511</v>
      </c>
      <c r="U9" s="546" t="s">
        <v>417</v>
      </c>
      <c r="V9" s="505" t="s">
        <v>385</v>
      </c>
      <c r="W9" s="504" t="s">
        <v>362</v>
      </c>
      <c r="X9" s="633" t="s">
        <v>363</v>
      </c>
      <c r="AE9" s="111" t="s">
        <v>420</v>
      </c>
      <c r="AF9" s="111" t="s">
        <v>421</v>
      </c>
      <c r="AH9" s="111" t="s">
        <v>423</v>
      </c>
      <c r="AJ9" s="111" t="s">
        <v>420</v>
      </c>
      <c r="AK9" s="111" t="s">
        <v>421</v>
      </c>
      <c r="AL9" s="92" t="s">
        <v>405</v>
      </c>
    </row>
    <row r="10" spans="2:38" ht="27.6" x14ac:dyDescent="0.25">
      <c r="B10" s="95">
        <v>1</v>
      </c>
      <c r="C10" s="608" t="s">
        <v>1804</v>
      </c>
      <c r="D10" s="581" t="s">
        <v>255</v>
      </c>
      <c r="E10" s="623">
        <v>6.6000000000000003E-2</v>
      </c>
      <c r="F10" s="584" t="str">
        <f>IF(D10="","",VLOOKUP(D10,'G-6 Hedgerow Data'!$B$2:$AG$15,2,FALSE))</f>
        <v>Low</v>
      </c>
      <c r="G10" s="560">
        <f>IF(D10="","",VLOOKUP(D10,'G-6 Hedgerow Data'!$B$2:$AG$15,3,FALSE))</f>
        <v>2</v>
      </c>
      <c r="H10" s="105" t="s">
        <v>453</v>
      </c>
      <c r="I10" s="282">
        <f>IFERROR(IF(AND(D10&lt;&gt;"",H10=""),"Check data ⚠", IF(H10="","",IF(AND(D10="Non-native and ornamental hedgerow", H10&lt;&gt;"Poor"),"Not possible ▲", (VLOOKUP(H10,'G-1 All Habitats'!$Z$2:$AA$9,2,FALSE))))),"")</f>
        <v>1</v>
      </c>
      <c r="J10" s="607" t="s">
        <v>1127</v>
      </c>
      <c r="K10" s="286" t="str">
        <f>IF(AND(D10&lt;&gt;"",J10=""),"Check data ⚠", IF(J10="","",IF(VLOOKUP(J10,'G-3 Multipliers'!$L$3:$N$6,2,FALSE)=0,"Spatial Data Missing",VLOOKUP(J10,'G-3 Multipliers'!$L$3:$N$6,2,FALSE))))</f>
        <v>Low Strategic Significance</v>
      </c>
      <c r="L10" s="562">
        <f>IF(J10="","",IF(VLOOKUP(J10,'G-3 Multipliers'!$L$3:$N$6,3,FALSE)=0,"Spatial Data Missing ⚠",VLOOKUP(J10,'G-3 Multipliers'!$L$3:$N$6,3,FALSE)))</f>
        <v>1</v>
      </c>
      <c r="M10" s="563" t="str">
        <f>IF(D10="","",VLOOKUP(D10,'G-6 Hedgerow Data'!$B$1:$AH$15,33,FALSE))</f>
        <v>Same distinctiveness band or better</v>
      </c>
      <c r="N10" s="564">
        <f>IFERROR(IF(OR(K10="Check data ⚠",I10="Check data ⚠",R10="Error in lengths ▲"), "Check data ▲", (E10*G10*I10*L10)),"")</f>
        <v>0.13200000000000001</v>
      </c>
      <c r="O10" s="32"/>
      <c r="P10" s="250">
        <v>0</v>
      </c>
      <c r="Q10" s="137">
        <v>6.6000000000000003E-2</v>
      </c>
      <c r="R10" s="293">
        <f>IFERROR(P10*G10*I10*L10,"")</f>
        <v>0</v>
      </c>
      <c r="S10" s="293">
        <f>IFERROR(Q10*G10*I10*L10,"")</f>
        <v>0.13200000000000001</v>
      </c>
      <c r="T10" s="293">
        <f>IF(D10="","",IF(E10-P10-Q10=0&lt;0,"Error in lengths ▲",IF(P10+Q10&gt;E10,"Error in Lengths ▲",E10-P10-Q10)))</f>
        <v>0</v>
      </c>
      <c r="U10" s="323">
        <f>IFERROR(IF(OR(E10="",N10=""),"",IF(E10-P10-Q10=0&lt;0,"Error in Lengths ▲",IF(P10+Q10&gt;E10,"Error in Lengths ▲",N10-R10-S10))),"Check data ⚠")</f>
        <v>0</v>
      </c>
      <c r="V10" s="607"/>
      <c r="W10" s="623"/>
      <c r="X10" s="119"/>
      <c r="AE10" s="111" t="b">
        <f t="shared" ref="AE10:AE73" si="0">IF(D10="","",IF(P10&gt;0,TRUE,FALSE))</f>
        <v>0</v>
      </c>
      <c r="AF10" s="111" t="b">
        <f t="shared" ref="AF10:AF73" si="1">IF(D10="","",IF(Q10&gt;0,TRUE,FALSE))</f>
        <v>1</v>
      </c>
      <c r="AH10" s="111">
        <v>1</v>
      </c>
      <c r="AJ10" s="111" t="str">
        <f t="array" ref="AJ10">IFERROR(INDEX($AH$10:$AH$258, MATCH(0, IF(TRUE=$AE$10:$AE$258, COUNTIF($AJ9:$AJ$9, $AH$10:$AH$258), ""), 0)),"")</f>
        <v/>
      </c>
      <c r="AK10" s="111">
        <f t="array" ref="AK10">IFERROR(INDEX($AH$10:$AH$258, MATCH(0, IF(TRUE=$AF$10:$AF$258, COUNTIF($AK9:$AK$9, $AH$10:$AH$258), ""), 0)),"")</f>
        <v>1</v>
      </c>
      <c r="AL10" s="30" t="str">
        <f>IFERROR(INDEX('G-6 Hedgerow Data'!$BJ$3:$BJ$15,MATCH(D10,'G-6 Hedgerow Data'!$B$3:$B$15,0)),"")</f>
        <v>Hedgecond1</v>
      </c>
    </row>
    <row r="11" spans="2:38" ht="27.6" x14ac:dyDescent="0.25">
      <c r="B11" s="101">
        <v>2</v>
      </c>
      <c r="C11" s="142" t="s">
        <v>1803</v>
      </c>
      <c r="D11" s="58" t="s">
        <v>255</v>
      </c>
      <c r="E11" s="119">
        <v>4.3999999999999997E-2</v>
      </c>
      <c r="F11" s="329" t="str">
        <f>IF(D11="","",VLOOKUP(D11,'G-6 Hedgerow Data'!$B$2:$AG$15,2,FALSE))</f>
        <v>Low</v>
      </c>
      <c r="G11" s="282">
        <f>IF(D11="","",VLOOKUP(D11,'G-6 Hedgerow Data'!$B$2:$AG$15,3,FALSE))</f>
        <v>2</v>
      </c>
      <c r="H11" s="105" t="s">
        <v>453</v>
      </c>
      <c r="I11" s="282">
        <f>IFERROR(IF(AND(D11&lt;&gt;"",H11=""),"Check data ⚠", IF(H11="","",IF(AND(D11="Non-native and ornamental hedgerow", H11&lt;&gt;"Poor"),"Not possible ▲", (VLOOKUP(H11,'G-1 All Habitats'!$Z$2:$AA$9,2,FALSE))))),"")</f>
        <v>1</v>
      </c>
      <c r="J11" s="105" t="s">
        <v>1127</v>
      </c>
      <c r="K11" s="289" t="str">
        <f>IF(AND(D11&lt;&gt;"",J11=""),"Check data ⚠", IF(J11="","",IF(VLOOKUP(J11,'G-3 Multipliers'!$L$3:$N$6,2,FALSE)=0,"Spatial Data Missing",VLOOKUP(J11,'G-3 Multipliers'!$L$3:$N$6,2,FALSE))))</f>
        <v>Low Strategic Significance</v>
      </c>
      <c r="L11" s="287">
        <f>IF(J11="","",IF(VLOOKUP(J11,'G-3 Multipliers'!$L$3:$N$6,3,FALSE)=0,"Spatial Data Missing ⚠",VLOOKUP(J11,'G-3 Multipliers'!$L$3:$N$6,3,FALSE)))</f>
        <v>1</v>
      </c>
      <c r="M11" s="288" t="str">
        <f>IF(D11="","",VLOOKUP(D11,'G-6 Hedgerow Data'!$B$1:$AH$15,33,FALSE))</f>
        <v>Same distinctiveness band or better</v>
      </c>
      <c r="N11" s="295">
        <f t="shared" ref="N11:N74" si="2">IFERROR(IF(OR(K11="Check data ⚠",I11="Check data ⚠",R11="Error in lengths ▲"), "Check data ▲", (E11*G11*I11*L11)),"")</f>
        <v>8.7999999999999995E-2</v>
      </c>
      <c r="O11" s="32"/>
      <c r="P11" s="447">
        <v>0</v>
      </c>
      <c r="Q11" s="142">
        <v>4.3999999999999997E-2</v>
      </c>
      <c r="R11" s="312">
        <f t="shared" ref="R11:R74" si="3">IFERROR(P11*G11*I11*L11,"")</f>
        <v>0</v>
      </c>
      <c r="S11" s="312">
        <f t="shared" ref="S11:S74" si="4">IFERROR(Q11*G11*I11*L11,"")</f>
        <v>8.7999999999999995E-2</v>
      </c>
      <c r="T11" s="312">
        <f t="shared" ref="T11:T74" si="5">IF(D11="","",IF(E11-P11-Q11=0&lt;0,"Error in lengths ▲",IF(P11+Q11&gt;E11,"Error in Lengths ▲",E11-P11-Q11)))</f>
        <v>0</v>
      </c>
      <c r="U11" s="333">
        <f t="shared" ref="U11:U74" si="6">IFERROR(IF(OR(E11="",N11=""),"",IF(E11-P11-Q11=0&lt;0,"Error in Lengths ▲",IF(P11+Q11&gt;E11,"Error in Lengths ▲",N11-R11-S11))),"Check data ⚠")</f>
        <v>0</v>
      </c>
      <c r="V11" s="109"/>
      <c r="W11" s="108"/>
      <c r="X11" s="108"/>
      <c r="AE11" s="111" t="b">
        <f t="shared" si="0"/>
        <v>0</v>
      </c>
      <c r="AF11" s="111" t="b">
        <f t="shared" si="1"/>
        <v>1</v>
      </c>
      <c r="AH11" s="111">
        <v>2</v>
      </c>
      <c r="AJ11" s="111" t="str">
        <f t="array" ref="AJ11">IFERROR(INDEX($AH$10:$AH$258, MATCH(0, IF(TRUE=$AE$10:$AE$258, COUNTIF($AJ$9:$AJ10, $AH$10:$AH$258), ""), 0)),"")</f>
        <v/>
      </c>
      <c r="AK11" s="111">
        <f t="array" ref="AK11">IFERROR(INDEX($AH$10:$AH$258, MATCH(0, IF(TRUE=$AF$10:$AF$258, COUNTIF($AK$9:$AK10, $AH$10:$AH$258), ""), 0)),"")</f>
        <v>2</v>
      </c>
      <c r="AL11" s="30" t="str">
        <f>IFERROR(INDEX('G-6 Hedgerow Data'!$BJ$3:$BJ$15,MATCH(D11,'G-6 Hedgerow Data'!$B$3:$B$15,0)),"")</f>
        <v>Hedgecond1</v>
      </c>
    </row>
    <row r="12" spans="2:38" ht="27.6" x14ac:dyDescent="0.25">
      <c r="B12" s="101">
        <v>3</v>
      </c>
      <c r="C12" s="142" t="s">
        <v>1802</v>
      </c>
      <c r="D12" s="58" t="s">
        <v>258</v>
      </c>
      <c r="E12" s="119">
        <v>1.2999999999999999E-2</v>
      </c>
      <c r="F12" s="329" t="str">
        <f>IF(D12="","",VLOOKUP(D12,'G-6 Hedgerow Data'!$B$2:$AG$15,2,FALSE))</f>
        <v>V.Low</v>
      </c>
      <c r="G12" s="282">
        <f>IF(D12="","",VLOOKUP(D12,'G-6 Hedgerow Data'!$B$2:$AG$15,3,FALSE))</f>
        <v>1</v>
      </c>
      <c r="H12" s="105" t="s">
        <v>453</v>
      </c>
      <c r="I12" s="282">
        <f>IFERROR(IF(AND(D12&lt;&gt;"",H12=""),"Check data ⚠", IF(H12="","",IF(AND(D12="Non-native and ornamental hedgerow", H12&lt;&gt;"Poor"),"Not possible ▲", (VLOOKUP(H12,'G-1 All Habitats'!$Z$2:$AA$9,2,FALSE))))),"")</f>
        <v>1</v>
      </c>
      <c r="J12" s="105" t="s">
        <v>1127</v>
      </c>
      <c r="K12" s="289" t="str">
        <f>IF(AND(D12&lt;&gt;"",J12=""),"Check data ⚠", IF(J12="","",IF(VLOOKUP(J12,'G-3 Multipliers'!$L$3:$N$6,2,FALSE)=0,"Spatial Data Missing",VLOOKUP(J12,'G-3 Multipliers'!$L$3:$N$6,2,FALSE))))</f>
        <v>Low Strategic Significance</v>
      </c>
      <c r="L12" s="287">
        <f>IF(J12="","",IF(VLOOKUP(J12,'G-3 Multipliers'!$L$3:$N$6,3,FALSE)=0,"Spatial Data Missing ⚠",VLOOKUP(J12,'G-3 Multipliers'!$L$3:$N$6,3,FALSE)))</f>
        <v>1</v>
      </c>
      <c r="M12" s="288" t="str">
        <f>IF(D12="","",VLOOKUP(D12,'G-6 Hedgerow Data'!$B$1:$AH$15,33,FALSE))</f>
        <v>Same distinctiveness band or better</v>
      </c>
      <c r="N12" s="295">
        <f t="shared" si="2"/>
        <v>1.2999999999999999E-2</v>
      </c>
      <c r="O12" s="32"/>
      <c r="P12" s="447">
        <v>0</v>
      </c>
      <c r="Q12" s="142">
        <v>0</v>
      </c>
      <c r="R12" s="312">
        <f t="shared" si="3"/>
        <v>0</v>
      </c>
      <c r="S12" s="312">
        <f t="shared" si="4"/>
        <v>0</v>
      </c>
      <c r="T12" s="312">
        <f t="shared" si="5"/>
        <v>1.2999999999999999E-2</v>
      </c>
      <c r="U12" s="333">
        <f t="shared" si="6"/>
        <v>1.2999999999999999E-2</v>
      </c>
      <c r="V12" s="109"/>
      <c r="W12" s="108"/>
      <c r="X12" s="108"/>
      <c r="AE12" s="111" t="b">
        <f t="shared" si="0"/>
        <v>0</v>
      </c>
      <c r="AF12" s="111" t="b">
        <f t="shared" si="1"/>
        <v>0</v>
      </c>
      <c r="AH12" s="111">
        <v>3</v>
      </c>
      <c r="AJ12" s="111" t="str">
        <f t="array" ref="AJ12">IFERROR(INDEX($AH$10:$AH$258, MATCH(0, IF(TRUE=$AE$10:$AE$258, COUNTIF($AJ$9:$AJ11, $AH$10:$AH$258), ""), 0)),"")</f>
        <v/>
      </c>
      <c r="AK12" s="111" t="str">
        <f t="array" ref="AK12">IFERROR(INDEX($AH$10:$AH$258, MATCH(0, IF(TRUE=$AF$10:$AF$258, COUNTIF($AK$9:$AK11, $AH$10:$AH$258), ""), 0)),"")</f>
        <v/>
      </c>
      <c r="AL12" s="30" t="str">
        <f>IFERROR(INDEX('G-6 Hedgerow Data'!$BJ$3:$BJ$15,MATCH(D12,'G-6 Hedgerow Data'!$B$3:$B$15,0)),"")</f>
        <v>Hedgecond2</v>
      </c>
    </row>
    <row r="13" spans="2:38" x14ac:dyDescent="0.25">
      <c r="B13" s="101">
        <v>4</v>
      </c>
      <c r="C13" s="142"/>
      <c r="D13" s="58"/>
      <c r="E13" s="119"/>
      <c r="F13" s="329" t="str">
        <f>IF(D13="","",VLOOKUP(D13,'G-6 Hedgerow Data'!$B$2:$AG$15,2,FALSE))</f>
        <v/>
      </c>
      <c r="G13" s="282" t="str">
        <f>IF(D13="","",VLOOKUP(D13,'G-6 Hedgerow Data'!$B$2:$AG$15,3,FALSE))</f>
        <v/>
      </c>
      <c r="H13" s="105"/>
      <c r="I13" s="282" t="str">
        <f>IFERROR(IF(AND(D13&lt;&gt;"",H13=""),"Check data ⚠", IF(H13="","",IF(AND(D13="Non-native and ornamental hedgerow", H13&lt;&gt;"Poor"),"Not possible ▲", (VLOOKUP(H13,'G-1 All Habitats'!$Z$2:$AA$9,2,FALSE))))),"")</f>
        <v/>
      </c>
      <c r="J13" s="105"/>
      <c r="K13" s="289" t="str">
        <f>IF(AND(D13&lt;&gt;"",J13=""),"Check data ⚠", IF(J13="","",IF(VLOOKUP(J13,'G-3 Multipliers'!$L$3:$N$6,2,FALSE)=0,"Spatial Data Missing",VLOOKUP(J13,'G-3 Multipliers'!$L$3:$N$6,2,FALSE))))</f>
        <v/>
      </c>
      <c r="L13" s="287" t="str">
        <f>IF(J13="","",IF(VLOOKUP(J13,'G-3 Multipliers'!$L$3:$N$6,3,FALSE)=0,"Spatial Data Missing ⚠",VLOOKUP(J13,'G-3 Multipliers'!$L$3:$N$6,3,FALSE)))</f>
        <v/>
      </c>
      <c r="M13" s="288" t="str">
        <f>IF(D13="","",VLOOKUP(D13,'G-6 Hedgerow Data'!$B$1:$AH$15,33,FALSE))</f>
        <v/>
      </c>
      <c r="N13" s="295" t="str">
        <f t="shared" si="2"/>
        <v/>
      </c>
      <c r="O13" s="32"/>
      <c r="P13" s="447"/>
      <c r="Q13" s="142"/>
      <c r="R13" s="312" t="str">
        <f t="shared" si="3"/>
        <v/>
      </c>
      <c r="S13" s="312" t="str">
        <f t="shared" si="4"/>
        <v/>
      </c>
      <c r="T13" s="312" t="str">
        <f t="shared" si="5"/>
        <v/>
      </c>
      <c r="U13" s="333" t="str">
        <f t="shared" si="6"/>
        <v/>
      </c>
      <c r="V13" s="109"/>
      <c r="W13" s="108"/>
      <c r="X13" s="108"/>
      <c r="AE13" s="111" t="str">
        <f t="shared" si="0"/>
        <v/>
      </c>
      <c r="AF13" s="111" t="str">
        <f t="shared" si="1"/>
        <v/>
      </c>
      <c r="AH13" s="111">
        <v>4</v>
      </c>
      <c r="AJ13" s="111" t="str">
        <f t="array" ref="AJ13">IFERROR(INDEX($AH$10:$AH$258, MATCH(0, IF(TRUE=$AE$10:$AE$258, COUNTIF($AJ$9:$AJ12, $AH$10:$AH$258), ""), 0)),"")</f>
        <v/>
      </c>
      <c r="AK13" s="111" t="str">
        <f t="array" ref="AK13">IFERROR(INDEX($AH$10:$AH$258, MATCH(0, IF(TRUE=$AF$10:$AF$258, COUNTIF($AK$9:$AK12, $AH$10:$AH$258), ""), 0)),"")</f>
        <v/>
      </c>
      <c r="AL13" s="30" t="str">
        <f>IFERROR(INDEX('G-6 Hedgerow Data'!$BJ$3:$BJ$15,MATCH(D13,'G-6 Hedgerow Data'!$B$3:$B$15,0)),"")</f>
        <v/>
      </c>
    </row>
    <row r="14" spans="2:38" x14ac:dyDescent="0.25">
      <c r="B14" s="101">
        <v>5</v>
      </c>
      <c r="C14" s="142"/>
      <c r="D14" s="137"/>
      <c r="E14" s="51"/>
      <c r="F14" s="329" t="str">
        <f>IF(D14="","",VLOOKUP(D14,'G-6 Hedgerow Data'!$B$2:$AG$15,2,FALSE))</f>
        <v/>
      </c>
      <c r="G14" s="282" t="str">
        <f>IF(D14="","",VLOOKUP(D14,'G-6 Hedgerow Data'!$B$2:$AG$15,3,FALSE))</f>
        <v/>
      </c>
      <c r="H14" s="105"/>
      <c r="I14" s="282" t="str">
        <f>IFERROR(IF(AND(D14&lt;&gt;"",H14=""),"Check data ⚠", IF(H14="","",IF(AND(D14="Non-native and ornamental hedgerow", H14&lt;&gt;"Poor"),"Not possible ▲", (VLOOKUP(H14,'G-1 All Habitats'!$Z$2:$AA$9,2,FALSE))))),"")</f>
        <v/>
      </c>
      <c r="J14" s="105"/>
      <c r="K14" s="289" t="str">
        <f>IF(AND(D14&lt;&gt;"",J14=""),"Check data ⚠", IF(J14="","",IF(VLOOKUP(J14,'G-3 Multipliers'!$L$3:$N$6,2,FALSE)=0,"Spatial Data Missing",VLOOKUP(J14,'G-3 Multipliers'!$L$3:$N$6,2,FALSE))))</f>
        <v/>
      </c>
      <c r="L14" s="287" t="str">
        <f>IF(J14="","",IF(VLOOKUP(J14,'G-3 Multipliers'!$L$3:$N$6,3,FALSE)=0,"Spatial Data Missing ⚠",VLOOKUP(J14,'G-3 Multipliers'!$L$3:$N$6,3,FALSE)))</f>
        <v/>
      </c>
      <c r="M14" s="288" t="str">
        <f>IF(D14="","",VLOOKUP(D14,'G-6 Hedgerow Data'!$B$1:$AH$15,33,FALSE))</f>
        <v/>
      </c>
      <c r="N14" s="295" t="str">
        <f t="shared" si="2"/>
        <v/>
      </c>
      <c r="O14" s="32"/>
      <c r="P14" s="447"/>
      <c r="Q14" s="142"/>
      <c r="R14" s="312" t="str">
        <f t="shared" si="3"/>
        <v/>
      </c>
      <c r="S14" s="312" t="str">
        <f t="shared" si="4"/>
        <v/>
      </c>
      <c r="T14" s="312" t="str">
        <f t="shared" si="5"/>
        <v/>
      </c>
      <c r="U14" s="333" t="str">
        <f t="shared" si="6"/>
        <v/>
      </c>
      <c r="V14" s="109"/>
      <c r="W14" s="108"/>
      <c r="X14" s="108"/>
      <c r="AE14" s="111" t="str">
        <f t="shared" si="0"/>
        <v/>
      </c>
      <c r="AF14" s="111" t="str">
        <f t="shared" si="1"/>
        <v/>
      </c>
      <c r="AH14" s="111">
        <v>5</v>
      </c>
      <c r="AJ14" s="111" t="str">
        <f t="array" ref="AJ14">IFERROR(INDEX($AH$10:$AH$258, MATCH(0, IF(TRUE=$AE$10:$AE$258, COUNTIF($AJ$9:$AJ13, $AH$10:$AH$258), ""), 0)),"")</f>
        <v/>
      </c>
      <c r="AK14" s="111" t="str">
        <f t="array" ref="AK14">IFERROR(INDEX($AH$10:$AH$258, MATCH(0, IF(TRUE=$AF$10:$AF$258, COUNTIF($AK$9:$AK13, $AH$10:$AH$258), ""), 0)),"")</f>
        <v/>
      </c>
      <c r="AL14" s="30" t="str">
        <f>IFERROR(INDEX('G-6 Hedgerow Data'!$BJ$3:$BJ$15,MATCH(D14,'G-6 Hedgerow Data'!$B$3:$B$15,0)),"")</f>
        <v/>
      </c>
    </row>
    <row r="15" spans="2:38" x14ac:dyDescent="0.25">
      <c r="B15" s="101">
        <v>6</v>
      </c>
      <c r="C15" s="142"/>
      <c r="D15" s="137"/>
      <c r="E15" s="51"/>
      <c r="F15" s="329" t="str">
        <f>IF(D15="","",VLOOKUP(D15,'G-6 Hedgerow Data'!$B$2:$AG$15,2,FALSE))</f>
        <v/>
      </c>
      <c r="G15" s="282" t="str">
        <f>IF(D15="","",VLOOKUP(D15,'G-6 Hedgerow Data'!$B$2:$AG$15,3,FALSE))</f>
        <v/>
      </c>
      <c r="H15" s="105"/>
      <c r="I15" s="282" t="str">
        <f>IFERROR(IF(AND(D15&lt;&gt;"",H15=""),"Check data ⚠", IF(H15="","",IF(AND(D15="Non-native and ornamental hedgerow", H15&lt;&gt;"Poor"),"Not possible ▲", (VLOOKUP(H15,'G-1 All Habitats'!$Z$2:$AA$9,2,FALSE))))),"")</f>
        <v/>
      </c>
      <c r="J15" s="105"/>
      <c r="K15" s="289" t="str">
        <f>IF(AND(D15&lt;&gt;"",J15=""),"Check data ⚠", IF(J15="","",IF(VLOOKUP(J15,'G-3 Multipliers'!$L$3:$N$6,2,FALSE)=0,"Spatial Data Missing",VLOOKUP(J15,'G-3 Multipliers'!$L$3:$N$6,2,FALSE))))</f>
        <v/>
      </c>
      <c r="L15" s="287" t="str">
        <f>IF(J15="","",IF(VLOOKUP(J15,'G-3 Multipliers'!$L$3:$N$6,3,FALSE)=0,"Spatial Data Missing ⚠",VLOOKUP(J15,'G-3 Multipliers'!$L$3:$N$6,3,FALSE)))</f>
        <v/>
      </c>
      <c r="M15" s="288" t="str">
        <f>IF(D15="","",VLOOKUP(D15,'G-6 Hedgerow Data'!$B$1:$AH$15,33,FALSE))</f>
        <v/>
      </c>
      <c r="N15" s="295" t="str">
        <f t="shared" si="2"/>
        <v/>
      </c>
      <c r="O15" s="32"/>
      <c r="P15" s="447"/>
      <c r="Q15" s="142"/>
      <c r="R15" s="312" t="str">
        <f t="shared" si="3"/>
        <v/>
      </c>
      <c r="S15" s="312" t="str">
        <f t="shared" si="4"/>
        <v/>
      </c>
      <c r="T15" s="312" t="str">
        <f t="shared" si="5"/>
        <v/>
      </c>
      <c r="U15" s="333" t="str">
        <f t="shared" si="6"/>
        <v/>
      </c>
      <c r="V15" s="109"/>
      <c r="W15" s="108"/>
      <c r="X15" s="108"/>
      <c r="AE15" s="111" t="str">
        <f t="shared" si="0"/>
        <v/>
      </c>
      <c r="AF15" s="111" t="str">
        <f t="shared" si="1"/>
        <v/>
      </c>
      <c r="AH15" s="111">
        <v>6</v>
      </c>
      <c r="AJ15" s="111" t="str">
        <f t="array" ref="AJ15">IFERROR(INDEX($AH$10:$AH$258, MATCH(0, IF(TRUE=$AE$10:$AE$258, COUNTIF($AJ$9:$AJ14, $AH$10:$AH$258), ""), 0)),"")</f>
        <v/>
      </c>
      <c r="AK15" s="111" t="str">
        <f t="array" ref="AK15">IFERROR(INDEX($AH$10:$AH$258, MATCH(0, IF(TRUE=$AF$10:$AF$258, COUNTIF($AK$9:$AK14, $AH$10:$AH$258), ""), 0)),"")</f>
        <v/>
      </c>
      <c r="AL15" s="30" t="str">
        <f>IFERROR(INDEX('G-6 Hedgerow Data'!$BJ$3:$BJ$15,MATCH(D15,'G-6 Hedgerow Data'!$B$3:$B$15,0)),"")</f>
        <v/>
      </c>
    </row>
    <row r="16" spans="2:38" x14ac:dyDescent="0.25">
      <c r="B16" s="101">
        <v>7</v>
      </c>
      <c r="C16" s="142"/>
      <c r="D16" s="137"/>
      <c r="E16" s="51"/>
      <c r="F16" s="329" t="str">
        <f>IF(D16="","",VLOOKUP(D16,'G-6 Hedgerow Data'!$B$2:$AG$15,2,FALSE))</f>
        <v/>
      </c>
      <c r="G16" s="282" t="str">
        <f>IF(D16="","",VLOOKUP(D16,'G-6 Hedgerow Data'!$B$2:$AG$15,3,FALSE))</f>
        <v/>
      </c>
      <c r="H16" s="105"/>
      <c r="I16" s="282" t="str">
        <f>IFERROR(IF(AND(D16&lt;&gt;"",H16=""),"Check data ⚠", IF(H16="","",IF(AND(D16="Non-native and ornamental hedgerow", H16&lt;&gt;"Poor"),"Not possible ▲", (VLOOKUP(H16,'G-1 All Habitats'!$Z$2:$AA$9,2,FALSE))))),"")</f>
        <v/>
      </c>
      <c r="J16" s="105"/>
      <c r="K16" s="289" t="str">
        <f>IF(AND(D16&lt;&gt;"",J16=""),"Check data ⚠", IF(J16="","",IF(VLOOKUP(J16,'G-3 Multipliers'!$L$3:$N$6,2,FALSE)=0,"Spatial Data Missing",VLOOKUP(J16,'G-3 Multipliers'!$L$3:$N$6,2,FALSE))))</f>
        <v/>
      </c>
      <c r="L16" s="287" t="str">
        <f>IF(J16="","",IF(VLOOKUP(J16,'G-3 Multipliers'!$L$3:$N$6,3,FALSE)=0,"Spatial Data Missing ⚠",VLOOKUP(J16,'G-3 Multipliers'!$L$3:$N$6,3,FALSE)))</f>
        <v/>
      </c>
      <c r="M16" s="288" t="str">
        <f>IF(D16="","",VLOOKUP(D16,'G-6 Hedgerow Data'!$B$1:$AH$15,33,FALSE))</f>
        <v/>
      </c>
      <c r="N16" s="295" t="str">
        <f t="shared" si="2"/>
        <v/>
      </c>
      <c r="O16" s="32"/>
      <c r="P16" s="447"/>
      <c r="Q16" s="142"/>
      <c r="R16" s="312" t="str">
        <f t="shared" si="3"/>
        <v/>
      </c>
      <c r="S16" s="312" t="str">
        <f t="shared" si="4"/>
        <v/>
      </c>
      <c r="T16" s="312" t="str">
        <f t="shared" si="5"/>
        <v/>
      </c>
      <c r="U16" s="333" t="str">
        <f t="shared" si="6"/>
        <v/>
      </c>
      <c r="V16" s="109"/>
      <c r="W16" s="108"/>
      <c r="X16" s="108"/>
      <c r="AE16" s="111" t="str">
        <f t="shared" si="0"/>
        <v/>
      </c>
      <c r="AF16" s="111" t="str">
        <f t="shared" si="1"/>
        <v/>
      </c>
      <c r="AH16" s="111">
        <v>7</v>
      </c>
      <c r="AJ16" s="111" t="str">
        <f t="array" ref="AJ16">IFERROR(INDEX($AH$10:$AH$258, MATCH(0, IF(TRUE=$AE$10:$AE$258, COUNTIF($AJ$9:$AJ15, $AH$10:$AH$258), ""), 0)),"")</f>
        <v/>
      </c>
      <c r="AK16" s="111" t="str">
        <f t="array" ref="AK16">IFERROR(INDEX($AH$10:$AH$258, MATCH(0, IF(TRUE=$AF$10:$AF$258, COUNTIF($AK$9:$AK15, $AH$10:$AH$258), ""), 0)),"")</f>
        <v/>
      </c>
      <c r="AL16" s="30" t="str">
        <f>IFERROR(INDEX('G-6 Hedgerow Data'!$BJ$3:$BJ$15,MATCH(D16,'G-6 Hedgerow Data'!$B$3:$B$15,0)),"")</f>
        <v/>
      </c>
    </row>
    <row r="17" spans="2:38" x14ac:dyDescent="0.25">
      <c r="B17" s="101">
        <v>8</v>
      </c>
      <c r="C17" s="142"/>
      <c r="D17" s="137"/>
      <c r="E17" s="51"/>
      <c r="F17" s="329" t="str">
        <f>IF(D17="","",VLOOKUP(D17,'G-6 Hedgerow Data'!$B$2:$AG$15,2,FALSE))</f>
        <v/>
      </c>
      <c r="G17" s="282" t="str">
        <f>IF(D17="","",VLOOKUP(D17,'G-6 Hedgerow Data'!$B$2:$AG$15,3,FALSE))</f>
        <v/>
      </c>
      <c r="H17" s="105"/>
      <c r="I17" s="282" t="str">
        <f>IFERROR(IF(AND(D17&lt;&gt;"",H17=""),"Check data ⚠", IF(H17="","",IF(AND(D17="Non-native and ornamental hedgerow", H17&lt;&gt;"Poor"),"Not possible ▲", (VLOOKUP(H17,'G-1 All Habitats'!$Z$2:$AA$9,2,FALSE))))),"")</f>
        <v/>
      </c>
      <c r="J17" s="105"/>
      <c r="K17" s="289" t="str">
        <f>IF(AND(D17&lt;&gt;"",J17=""),"Check data ⚠", IF(J17="","",IF(VLOOKUP(J17,'G-3 Multipliers'!$L$3:$N$6,2,FALSE)=0,"Spatial Data Missing",VLOOKUP(J17,'G-3 Multipliers'!$L$3:$N$6,2,FALSE))))</f>
        <v/>
      </c>
      <c r="L17" s="287" t="str">
        <f>IF(J17="","",IF(VLOOKUP(J17,'G-3 Multipliers'!$L$3:$N$6,3,FALSE)=0,"Spatial Data Missing ⚠",VLOOKUP(J17,'G-3 Multipliers'!$L$3:$N$6,3,FALSE)))</f>
        <v/>
      </c>
      <c r="M17" s="288" t="str">
        <f>IF(D17="","",VLOOKUP(D17,'G-6 Hedgerow Data'!$B$1:$AH$15,33,FALSE))</f>
        <v/>
      </c>
      <c r="N17" s="295" t="str">
        <f t="shared" si="2"/>
        <v/>
      </c>
      <c r="O17" s="32"/>
      <c r="P17" s="447"/>
      <c r="Q17" s="142"/>
      <c r="R17" s="312" t="str">
        <f t="shared" si="3"/>
        <v/>
      </c>
      <c r="S17" s="312" t="str">
        <f t="shared" si="4"/>
        <v/>
      </c>
      <c r="T17" s="312" t="str">
        <f t="shared" si="5"/>
        <v/>
      </c>
      <c r="U17" s="333" t="str">
        <f t="shared" si="6"/>
        <v/>
      </c>
      <c r="V17" s="109"/>
      <c r="W17" s="108"/>
      <c r="X17" s="108"/>
      <c r="AE17" s="111" t="str">
        <f t="shared" si="0"/>
        <v/>
      </c>
      <c r="AF17" s="111" t="str">
        <f t="shared" si="1"/>
        <v/>
      </c>
      <c r="AH17" s="111">
        <v>8</v>
      </c>
      <c r="AJ17" s="111" t="str">
        <f t="array" ref="AJ17">IFERROR(INDEX($AH$10:$AH$258, MATCH(0, IF(TRUE=$AE$10:$AE$258, COUNTIF($AJ$9:$AJ16, $AH$10:$AH$258), ""), 0)),"")</f>
        <v/>
      </c>
      <c r="AK17" s="111" t="str">
        <f t="array" ref="AK17">IFERROR(INDEX($AH$10:$AH$258, MATCH(0, IF(TRUE=$AF$10:$AF$258, COUNTIF($AK$9:$AK16, $AH$10:$AH$258), ""), 0)),"")</f>
        <v/>
      </c>
      <c r="AL17" s="30" t="str">
        <f>IFERROR(INDEX('G-6 Hedgerow Data'!$BJ$3:$BJ$15,MATCH(D17,'G-6 Hedgerow Data'!$B$3:$B$15,0)),"")</f>
        <v/>
      </c>
    </row>
    <row r="18" spans="2:38" x14ac:dyDescent="0.25">
      <c r="B18" s="101">
        <v>9</v>
      </c>
      <c r="C18" s="142"/>
      <c r="D18" s="137"/>
      <c r="E18" s="119"/>
      <c r="F18" s="329" t="str">
        <f>IF(D18="","",VLOOKUP(D18,'G-6 Hedgerow Data'!$B$2:$AG$15,2,FALSE))</f>
        <v/>
      </c>
      <c r="G18" s="282" t="str">
        <f>IF(D18="","",VLOOKUP(D18,'G-6 Hedgerow Data'!$B$2:$AG$15,3,FALSE))</f>
        <v/>
      </c>
      <c r="H18" s="105"/>
      <c r="I18" s="282" t="str">
        <f>IFERROR(IF(AND(D18&lt;&gt;"",H18=""),"Check data ⚠", IF(H18="","",IF(AND(D18="Non-native and ornamental hedgerow", H18&lt;&gt;"Poor"),"Not possible ▲", (VLOOKUP(H18,'G-1 All Habitats'!$Z$2:$AA$9,2,FALSE))))),"")</f>
        <v/>
      </c>
      <c r="J18" s="105"/>
      <c r="K18" s="289" t="str">
        <f>IF(AND(D18&lt;&gt;"",J18=""),"Check data ⚠", IF(J18="","",IF(VLOOKUP(J18,'G-3 Multipliers'!$L$3:$N$6,2,FALSE)=0,"Spatial Data Missing",VLOOKUP(J18,'G-3 Multipliers'!$L$3:$N$6,2,FALSE))))</f>
        <v/>
      </c>
      <c r="L18" s="287" t="str">
        <f>IF(J18="","",IF(VLOOKUP(J18,'G-3 Multipliers'!$L$3:$N$6,3,FALSE)=0,"Spatial Data Missing ⚠",VLOOKUP(J18,'G-3 Multipliers'!$L$3:$N$6,3,FALSE)))</f>
        <v/>
      </c>
      <c r="M18" s="288" t="str">
        <f>IF(D18="","",VLOOKUP(D18,'G-6 Hedgerow Data'!$B$1:$AH$15,33,FALSE))</f>
        <v/>
      </c>
      <c r="N18" s="295" t="str">
        <f t="shared" si="2"/>
        <v/>
      </c>
      <c r="O18" s="32"/>
      <c r="P18" s="447"/>
      <c r="Q18" s="142"/>
      <c r="R18" s="312" t="str">
        <f t="shared" si="3"/>
        <v/>
      </c>
      <c r="S18" s="312" t="str">
        <f t="shared" si="4"/>
        <v/>
      </c>
      <c r="T18" s="312" t="str">
        <f t="shared" si="5"/>
        <v/>
      </c>
      <c r="U18" s="333" t="str">
        <f t="shared" si="6"/>
        <v/>
      </c>
      <c r="V18" s="109"/>
      <c r="W18" s="108"/>
      <c r="X18" s="108"/>
      <c r="AE18" s="111" t="str">
        <f t="shared" si="0"/>
        <v/>
      </c>
      <c r="AF18" s="111" t="str">
        <f t="shared" si="1"/>
        <v/>
      </c>
      <c r="AH18" s="111">
        <v>9</v>
      </c>
      <c r="AJ18" s="111" t="str">
        <f t="array" ref="AJ18">IFERROR(INDEX($AH$10:$AH$258, MATCH(0, IF(TRUE=$AE$10:$AE$258, COUNTIF($AJ$9:$AJ17, $AH$10:$AH$258), ""), 0)),"")</f>
        <v/>
      </c>
      <c r="AK18" s="111" t="str">
        <f t="array" ref="AK18">IFERROR(INDEX($AH$10:$AH$258, MATCH(0, IF(TRUE=$AF$10:$AF$258, COUNTIF($AK$9:$AK17, $AH$10:$AH$258), ""), 0)),"")</f>
        <v/>
      </c>
      <c r="AL18" s="30" t="str">
        <f>IFERROR(INDEX('G-6 Hedgerow Data'!$BJ$3:$BJ$15,MATCH(D18,'G-6 Hedgerow Data'!$B$3:$B$15,0)),"")</f>
        <v/>
      </c>
    </row>
    <row r="19" spans="2:38" x14ac:dyDescent="0.25">
      <c r="B19" s="101">
        <v>10</v>
      </c>
      <c r="C19" s="142"/>
      <c r="D19" s="137"/>
      <c r="E19" s="119"/>
      <c r="F19" s="329" t="str">
        <f>IF(D19="","",VLOOKUP(D19,'G-6 Hedgerow Data'!$B$2:$AG$15,2,FALSE))</f>
        <v/>
      </c>
      <c r="G19" s="282" t="str">
        <f>IF(D19="","",VLOOKUP(D19,'G-6 Hedgerow Data'!$B$2:$AG$15,3,FALSE))</f>
        <v/>
      </c>
      <c r="H19" s="105"/>
      <c r="I19" s="282" t="str">
        <f>IFERROR(IF(AND(D19&lt;&gt;"",H19=""),"Check data ⚠", IF(H19="","",IF(AND(D19="Non-native and ornamental hedgerow", H19&lt;&gt;"Poor"),"Not possible ▲", (VLOOKUP(H19,'G-1 All Habitats'!$Z$2:$AA$9,2,FALSE))))),"")</f>
        <v/>
      </c>
      <c r="J19" s="105"/>
      <c r="K19" s="289" t="str">
        <f>IF(AND(D19&lt;&gt;"",J19=""),"Check data ⚠", IF(J19="","",IF(VLOOKUP(J19,'G-3 Multipliers'!$L$3:$N$6,2,FALSE)=0,"Spatial Data Missing",VLOOKUP(J19,'G-3 Multipliers'!$L$3:$N$6,2,FALSE))))</f>
        <v/>
      </c>
      <c r="L19" s="287" t="str">
        <f>IF(J19="","",IF(VLOOKUP(J19,'G-3 Multipliers'!$L$3:$N$6,3,FALSE)=0,"Spatial Data Missing ⚠",VLOOKUP(J19,'G-3 Multipliers'!$L$3:$N$6,3,FALSE)))</f>
        <v/>
      </c>
      <c r="M19" s="288" t="str">
        <f>IF(D19="","",VLOOKUP(D19,'G-6 Hedgerow Data'!$B$1:$AH$15,33,FALSE))</f>
        <v/>
      </c>
      <c r="N19" s="295" t="str">
        <f t="shared" si="2"/>
        <v/>
      </c>
      <c r="O19" s="32"/>
      <c r="P19" s="447"/>
      <c r="Q19" s="142"/>
      <c r="R19" s="312" t="str">
        <f t="shared" si="3"/>
        <v/>
      </c>
      <c r="S19" s="312" t="str">
        <f t="shared" si="4"/>
        <v/>
      </c>
      <c r="T19" s="312" t="str">
        <f t="shared" si="5"/>
        <v/>
      </c>
      <c r="U19" s="333" t="str">
        <f t="shared" si="6"/>
        <v/>
      </c>
      <c r="V19" s="109"/>
      <c r="W19" s="108"/>
      <c r="X19" s="108"/>
      <c r="AE19" s="111" t="str">
        <f t="shared" si="0"/>
        <v/>
      </c>
      <c r="AF19" s="111" t="str">
        <f t="shared" si="1"/>
        <v/>
      </c>
      <c r="AH19" s="111">
        <v>10</v>
      </c>
      <c r="AJ19" s="111" t="str">
        <f t="array" ref="AJ19">IFERROR(INDEX($AH$10:$AH$258, MATCH(0, IF(TRUE=$AE$10:$AE$258, COUNTIF($AJ$9:$AJ18, $AH$10:$AH$258), ""), 0)),"")</f>
        <v/>
      </c>
      <c r="AK19" s="111" t="str">
        <f t="array" ref="AK19">IFERROR(INDEX($AH$10:$AH$258, MATCH(0, IF(TRUE=$AF$10:$AF$258, COUNTIF($AK$9:$AK18, $AH$10:$AH$258), ""), 0)),"")</f>
        <v/>
      </c>
      <c r="AL19" s="30" t="str">
        <f>IFERROR(INDEX('G-6 Hedgerow Data'!$BJ$3:$BJ$15,MATCH(D19,'G-6 Hedgerow Data'!$B$3:$B$15,0)),"")</f>
        <v/>
      </c>
    </row>
    <row r="20" spans="2:38" x14ac:dyDescent="0.25">
      <c r="B20" s="101">
        <v>11</v>
      </c>
      <c r="C20" s="142"/>
      <c r="D20" s="137"/>
      <c r="E20" s="119"/>
      <c r="F20" s="329" t="str">
        <f>IF(D20="","",VLOOKUP(D20,'G-6 Hedgerow Data'!$B$2:$AG$15,2,FALSE))</f>
        <v/>
      </c>
      <c r="G20" s="282" t="str">
        <f>IF(D20="","",VLOOKUP(D20,'G-6 Hedgerow Data'!$B$2:$AG$15,3,FALSE))</f>
        <v/>
      </c>
      <c r="H20" s="105"/>
      <c r="I20" s="282" t="str">
        <f>IFERROR(IF(AND(D20&lt;&gt;"",H20=""),"Check data ⚠", IF(H20="","",IF(AND(D20="Non-native and ornamental hedgerow", H20&lt;&gt;"Poor"),"Not possible ▲", (VLOOKUP(H20,'G-1 All Habitats'!$Z$2:$AA$9,2,FALSE))))),"")</f>
        <v/>
      </c>
      <c r="J20" s="105"/>
      <c r="K20" s="289" t="str">
        <f>IF(AND(D20&lt;&gt;"",J20=""),"Check data ⚠", IF(J20="","",IF(VLOOKUP(J20,'G-3 Multipliers'!$L$3:$N$6,2,FALSE)=0,"Spatial Data Missing",VLOOKUP(J20,'G-3 Multipliers'!$L$3:$N$6,2,FALSE))))</f>
        <v/>
      </c>
      <c r="L20" s="287" t="str">
        <f>IF(J20="","",IF(VLOOKUP(J20,'G-3 Multipliers'!$L$3:$N$6,3,FALSE)=0,"Spatial Data Missing ⚠",VLOOKUP(J20,'G-3 Multipliers'!$L$3:$N$6,3,FALSE)))</f>
        <v/>
      </c>
      <c r="M20" s="288" t="str">
        <f>IF(D20="","",VLOOKUP(D20,'G-6 Hedgerow Data'!$B$1:$AH$15,33,FALSE))</f>
        <v/>
      </c>
      <c r="N20" s="295" t="str">
        <f t="shared" si="2"/>
        <v/>
      </c>
      <c r="O20" s="32"/>
      <c r="P20" s="447"/>
      <c r="Q20" s="142"/>
      <c r="R20" s="312" t="str">
        <f t="shared" si="3"/>
        <v/>
      </c>
      <c r="S20" s="312" t="str">
        <f t="shared" si="4"/>
        <v/>
      </c>
      <c r="T20" s="312" t="str">
        <f t="shared" si="5"/>
        <v/>
      </c>
      <c r="U20" s="333" t="str">
        <f t="shared" si="6"/>
        <v/>
      </c>
      <c r="V20" s="109"/>
      <c r="W20" s="108"/>
      <c r="X20" s="108"/>
      <c r="AE20" s="111" t="str">
        <f t="shared" si="0"/>
        <v/>
      </c>
      <c r="AF20" s="111" t="str">
        <f t="shared" si="1"/>
        <v/>
      </c>
      <c r="AH20" s="111">
        <v>11</v>
      </c>
      <c r="AJ20" s="111" t="str">
        <f t="array" ref="AJ20">IFERROR(INDEX($AH$10:$AH$258, MATCH(0, IF(TRUE=$AE$10:$AE$258, COUNTIF($AJ$9:$AJ19, $AH$10:$AH$258), ""), 0)),"")</f>
        <v/>
      </c>
      <c r="AK20" s="111" t="str">
        <f t="array" ref="AK20">IFERROR(INDEX($AH$10:$AH$258, MATCH(0, IF(TRUE=$AF$10:$AF$258, COUNTIF($AK$9:$AK19, $AH$10:$AH$258), ""), 0)),"")</f>
        <v/>
      </c>
      <c r="AL20" s="30" t="str">
        <f>IFERROR(INDEX('G-6 Hedgerow Data'!$BJ$3:$BJ$15,MATCH(D20,'G-6 Hedgerow Data'!$B$3:$B$15,0)),"")</f>
        <v/>
      </c>
    </row>
    <row r="21" spans="2:38" x14ac:dyDescent="0.25">
      <c r="B21" s="101">
        <v>12</v>
      </c>
      <c r="C21" s="142"/>
      <c r="D21" s="137"/>
      <c r="E21" s="119"/>
      <c r="F21" s="329" t="str">
        <f>IF(D21="","",VLOOKUP(D21,'G-6 Hedgerow Data'!$B$2:$AG$15,2,FALSE))</f>
        <v/>
      </c>
      <c r="G21" s="282" t="str">
        <f>IF(D21="","",VLOOKUP(D21,'G-6 Hedgerow Data'!$B$2:$AG$15,3,FALSE))</f>
        <v/>
      </c>
      <c r="H21" s="105"/>
      <c r="I21" s="282" t="str">
        <f>IFERROR(IF(AND(D21&lt;&gt;"",H21=""),"Check data ⚠", IF(H21="","",IF(AND(D21="Non-native and ornamental hedgerow", H21&lt;&gt;"Poor"),"Not possible ▲", (VLOOKUP(H21,'G-1 All Habitats'!$Z$2:$AA$9,2,FALSE))))),"")</f>
        <v/>
      </c>
      <c r="J21" s="105"/>
      <c r="K21" s="289" t="str">
        <f>IF(AND(D21&lt;&gt;"",J21=""),"Check data ⚠", IF(J21="","",IF(VLOOKUP(J21,'G-3 Multipliers'!$L$3:$N$6,2,FALSE)=0,"Spatial Data Missing",VLOOKUP(J21,'G-3 Multipliers'!$L$3:$N$6,2,FALSE))))</f>
        <v/>
      </c>
      <c r="L21" s="287" t="str">
        <f>IF(J21="","",IF(VLOOKUP(J21,'G-3 Multipliers'!$L$3:$N$6,3,FALSE)=0,"Spatial Data Missing ⚠",VLOOKUP(J21,'G-3 Multipliers'!$L$3:$N$6,3,FALSE)))</f>
        <v/>
      </c>
      <c r="M21" s="288" t="str">
        <f>IF(D21="","",VLOOKUP(D21,'G-6 Hedgerow Data'!$B$1:$AH$15,33,FALSE))</f>
        <v/>
      </c>
      <c r="N21" s="295" t="str">
        <f t="shared" si="2"/>
        <v/>
      </c>
      <c r="O21" s="32"/>
      <c r="P21" s="447"/>
      <c r="Q21" s="142"/>
      <c r="R21" s="312" t="str">
        <f t="shared" si="3"/>
        <v/>
      </c>
      <c r="S21" s="312" t="str">
        <f t="shared" si="4"/>
        <v/>
      </c>
      <c r="T21" s="312" t="str">
        <f t="shared" si="5"/>
        <v/>
      </c>
      <c r="U21" s="333" t="str">
        <f t="shared" si="6"/>
        <v/>
      </c>
      <c r="V21" s="109"/>
      <c r="W21" s="108"/>
      <c r="X21" s="108"/>
      <c r="AE21" s="111" t="str">
        <f t="shared" si="0"/>
        <v/>
      </c>
      <c r="AF21" s="111" t="str">
        <f t="shared" si="1"/>
        <v/>
      </c>
      <c r="AH21" s="111">
        <v>12</v>
      </c>
      <c r="AJ21" s="111" t="str">
        <f t="array" ref="AJ21">IFERROR(INDEX($AH$10:$AH$258, MATCH(0, IF(TRUE=$AE$10:$AE$258, COUNTIF($AJ$9:$AJ20, $AH$10:$AH$258), ""), 0)),"")</f>
        <v/>
      </c>
      <c r="AK21" s="111" t="str">
        <f t="array" ref="AK21">IFERROR(INDEX($AH$10:$AH$258, MATCH(0, IF(TRUE=$AF$10:$AF$258, COUNTIF($AK$9:$AK20, $AH$10:$AH$258), ""), 0)),"")</f>
        <v/>
      </c>
      <c r="AL21" s="30" t="str">
        <f>IFERROR(INDEX('G-6 Hedgerow Data'!$BJ$3:$BJ$15,MATCH(D21,'G-6 Hedgerow Data'!$B$3:$B$15,0)),"")</f>
        <v/>
      </c>
    </row>
    <row r="22" spans="2:38" x14ac:dyDescent="0.25">
      <c r="B22" s="101">
        <v>13</v>
      </c>
      <c r="C22" s="142"/>
      <c r="D22" s="137"/>
      <c r="E22" s="119"/>
      <c r="F22" s="329" t="str">
        <f>IF(D22="","",VLOOKUP(D22,'G-6 Hedgerow Data'!$B$2:$AG$15,2,FALSE))</f>
        <v/>
      </c>
      <c r="G22" s="282" t="str">
        <f>IF(D22="","",VLOOKUP(D22,'G-6 Hedgerow Data'!$B$2:$AG$15,3,FALSE))</f>
        <v/>
      </c>
      <c r="H22" s="105"/>
      <c r="I22" s="282" t="str">
        <f>IFERROR(IF(AND(D22&lt;&gt;"",H22=""),"Check data ⚠", IF(H22="","",IF(AND(D22="Non-native and ornamental hedgerow", H22&lt;&gt;"Poor"),"Not possible ▲", (VLOOKUP(H22,'G-1 All Habitats'!$Z$2:$AA$9,2,FALSE))))),"")</f>
        <v/>
      </c>
      <c r="J22" s="105"/>
      <c r="K22" s="289" t="str">
        <f>IF(AND(D22&lt;&gt;"",J22=""),"Check data ⚠", IF(J22="","",IF(VLOOKUP(J22,'G-3 Multipliers'!$L$3:$N$6,2,FALSE)=0,"Spatial Data Missing",VLOOKUP(J22,'G-3 Multipliers'!$L$3:$N$6,2,FALSE))))</f>
        <v/>
      </c>
      <c r="L22" s="287" t="str">
        <f>IF(J22="","",IF(VLOOKUP(J22,'G-3 Multipliers'!$L$3:$N$6,3,FALSE)=0,"Spatial Data Missing ⚠",VLOOKUP(J22,'G-3 Multipliers'!$L$3:$N$6,3,FALSE)))</f>
        <v/>
      </c>
      <c r="M22" s="288" t="str">
        <f>IF(D22="","",VLOOKUP(D22,'G-6 Hedgerow Data'!$B$1:$AH$15,33,FALSE))</f>
        <v/>
      </c>
      <c r="N22" s="295" t="str">
        <f t="shared" si="2"/>
        <v/>
      </c>
      <c r="O22" s="32"/>
      <c r="P22" s="447"/>
      <c r="Q22" s="142"/>
      <c r="R22" s="312" t="str">
        <f t="shared" si="3"/>
        <v/>
      </c>
      <c r="S22" s="312" t="str">
        <f t="shared" si="4"/>
        <v/>
      </c>
      <c r="T22" s="312" t="str">
        <f t="shared" si="5"/>
        <v/>
      </c>
      <c r="U22" s="333" t="str">
        <f t="shared" si="6"/>
        <v/>
      </c>
      <c r="V22" s="109"/>
      <c r="W22" s="108"/>
      <c r="X22" s="108"/>
      <c r="AE22" s="111" t="str">
        <f t="shared" si="0"/>
        <v/>
      </c>
      <c r="AF22" s="111" t="str">
        <f t="shared" si="1"/>
        <v/>
      </c>
      <c r="AH22" s="111">
        <v>13</v>
      </c>
      <c r="AJ22" s="111" t="str">
        <f t="array" ref="AJ22">IFERROR(INDEX($AH$10:$AH$258, MATCH(0, IF(TRUE=$AE$10:$AE$258, COUNTIF($AJ$9:$AJ21, $AH$10:$AH$258), ""), 0)),"")</f>
        <v/>
      </c>
      <c r="AK22" s="111" t="str">
        <f t="array" ref="AK22">IFERROR(INDEX($AH$10:$AH$258, MATCH(0, IF(TRUE=$AF$10:$AF$258, COUNTIF($AK$9:$AK21, $AH$10:$AH$258), ""), 0)),"")</f>
        <v/>
      </c>
      <c r="AL22" s="30" t="str">
        <f>IFERROR(INDEX('G-6 Hedgerow Data'!$BJ$3:$BJ$15,MATCH(D22,'G-6 Hedgerow Data'!$B$3:$B$15,0)),"")</f>
        <v/>
      </c>
    </row>
    <row r="23" spans="2:38" x14ac:dyDescent="0.25">
      <c r="B23" s="101">
        <v>14</v>
      </c>
      <c r="C23" s="142"/>
      <c r="D23" s="58"/>
      <c r="E23" s="119"/>
      <c r="F23" s="329" t="str">
        <f>IF(D23="","",VLOOKUP(D23,'G-6 Hedgerow Data'!$B$2:$AG$15,2,FALSE))</f>
        <v/>
      </c>
      <c r="G23" s="282" t="str">
        <f>IF(D23="","",VLOOKUP(D23,'G-6 Hedgerow Data'!$B$2:$AG$15,3,FALSE))</f>
        <v/>
      </c>
      <c r="H23" s="105"/>
      <c r="I23" s="282" t="str">
        <f>IFERROR(IF(AND(D23&lt;&gt;"",H23=""),"Check data ⚠", IF(H23="","",IF(AND(D23="Non-native and ornamental hedgerow", H23&lt;&gt;"Poor"),"Not possible ▲", (VLOOKUP(H23,'G-1 All Habitats'!$Z$2:$AA$9,2,FALSE))))),"")</f>
        <v/>
      </c>
      <c r="J23" s="105"/>
      <c r="K23" s="289" t="str">
        <f>IF(AND(D23&lt;&gt;"",J23=""),"Check data ⚠", IF(J23="","",IF(VLOOKUP(J23,'G-3 Multipliers'!$L$3:$N$6,2,FALSE)=0,"Spatial Data Missing",VLOOKUP(J23,'G-3 Multipliers'!$L$3:$N$6,2,FALSE))))</f>
        <v/>
      </c>
      <c r="L23" s="287" t="str">
        <f>IF(J23="","",IF(VLOOKUP(J23,'G-3 Multipliers'!$L$3:$N$6,3,FALSE)=0,"Spatial Data Missing ⚠",VLOOKUP(J23,'G-3 Multipliers'!$L$3:$N$6,3,FALSE)))</f>
        <v/>
      </c>
      <c r="M23" s="288" t="str">
        <f>IF(D23="","",VLOOKUP(D23,'G-6 Hedgerow Data'!$B$1:$AH$15,33,FALSE))</f>
        <v/>
      </c>
      <c r="N23" s="295" t="str">
        <f t="shared" si="2"/>
        <v/>
      </c>
      <c r="O23" s="32"/>
      <c r="P23" s="447"/>
      <c r="Q23" s="142"/>
      <c r="R23" s="312" t="str">
        <f t="shared" si="3"/>
        <v/>
      </c>
      <c r="S23" s="312" t="str">
        <f t="shared" si="4"/>
        <v/>
      </c>
      <c r="T23" s="312" t="str">
        <f t="shared" si="5"/>
        <v/>
      </c>
      <c r="U23" s="333" t="str">
        <f t="shared" si="6"/>
        <v/>
      </c>
      <c r="V23" s="109"/>
      <c r="W23" s="108"/>
      <c r="X23" s="108"/>
      <c r="AE23" s="111" t="str">
        <f t="shared" si="0"/>
        <v/>
      </c>
      <c r="AF23" s="111" t="str">
        <f t="shared" si="1"/>
        <v/>
      </c>
      <c r="AH23" s="111">
        <v>14</v>
      </c>
      <c r="AJ23" s="111" t="str">
        <f t="array" ref="AJ23">IFERROR(INDEX($AH$10:$AH$258, MATCH(0, IF(TRUE=$AE$10:$AE$258, COUNTIF($AJ$9:$AJ22, $AH$10:$AH$258), ""), 0)),"")</f>
        <v/>
      </c>
      <c r="AK23" s="111" t="str">
        <f t="array" ref="AK23">IFERROR(INDEX($AH$10:$AH$258, MATCH(0, IF(TRUE=$AF$10:$AF$258, COUNTIF($AK$9:$AK22, $AH$10:$AH$258), ""), 0)),"")</f>
        <v/>
      </c>
      <c r="AL23" s="30" t="str">
        <f>IFERROR(INDEX('G-6 Hedgerow Data'!$BJ$3:$BJ$15,MATCH(D23,'G-6 Hedgerow Data'!$B$3:$B$15,0)),"")</f>
        <v/>
      </c>
    </row>
    <row r="24" spans="2:38" x14ac:dyDescent="0.25">
      <c r="B24" s="101">
        <v>15</v>
      </c>
      <c r="C24" s="142"/>
      <c r="D24" s="58"/>
      <c r="E24" s="119"/>
      <c r="F24" s="329" t="str">
        <f>IF(D24="","",VLOOKUP(D24,'G-6 Hedgerow Data'!$B$2:$AG$15,2,FALSE))</f>
        <v/>
      </c>
      <c r="G24" s="282" t="str">
        <f>IF(D24="","",VLOOKUP(D24,'G-6 Hedgerow Data'!$B$2:$AG$15,3,FALSE))</f>
        <v/>
      </c>
      <c r="H24" s="105"/>
      <c r="I24" s="282" t="str">
        <f>IFERROR(IF(AND(D24&lt;&gt;"",H24=""),"Check data ⚠", IF(H24="","",IF(AND(D24="Non-native and ornamental hedgerow", H24&lt;&gt;"Poor"),"Not possible ▲", (VLOOKUP(H24,'G-1 All Habitats'!$Z$2:$AA$9,2,FALSE))))),"")</f>
        <v/>
      </c>
      <c r="J24" s="105"/>
      <c r="K24" s="289" t="str">
        <f>IF(AND(D24&lt;&gt;"",J24=""),"Check data ⚠", IF(J24="","",IF(VLOOKUP(J24,'G-3 Multipliers'!$L$3:$N$6,2,FALSE)=0,"Spatial Data Missing",VLOOKUP(J24,'G-3 Multipliers'!$L$3:$N$6,2,FALSE))))</f>
        <v/>
      </c>
      <c r="L24" s="287" t="str">
        <f>IF(J24="","",IF(VLOOKUP(J24,'G-3 Multipliers'!$L$3:$N$6,3,FALSE)=0,"Spatial Data Missing ⚠",VLOOKUP(J24,'G-3 Multipliers'!$L$3:$N$6,3,FALSE)))</f>
        <v/>
      </c>
      <c r="M24" s="288" t="str">
        <f>IF(D24="","",VLOOKUP(D24,'G-6 Hedgerow Data'!$B$1:$AH$15,33,FALSE))</f>
        <v/>
      </c>
      <c r="N24" s="295" t="str">
        <f t="shared" si="2"/>
        <v/>
      </c>
      <c r="O24" s="32"/>
      <c r="P24" s="447"/>
      <c r="Q24" s="142"/>
      <c r="R24" s="312" t="str">
        <f t="shared" si="3"/>
        <v/>
      </c>
      <c r="S24" s="312" t="str">
        <f t="shared" si="4"/>
        <v/>
      </c>
      <c r="T24" s="312" t="str">
        <f t="shared" si="5"/>
        <v/>
      </c>
      <c r="U24" s="333" t="str">
        <f t="shared" si="6"/>
        <v/>
      </c>
      <c r="V24" s="109"/>
      <c r="W24" s="108"/>
      <c r="X24" s="108"/>
      <c r="AE24" s="111" t="str">
        <f t="shared" si="0"/>
        <v/>
      </c>
      <c r="AF24" s="111" t="str">
        <f t="shared" si="1"/>
        <v/>
      </c>
      <c r="AH24" s="111">
        <v>15</v>
      </c>
      <c r="AJ24" s="111" t="str">
        <f t="array" ref="AJ24">IFERROR(INDEX($AH$10:$AH$258, MATCH(0, IF(TRUE=$AE$10:$AE$258, COUNTIF($AJ$9:$AJ23, $AH$10:$AH$258), ""), 0)),"")</f>
        <v/>
      </c>
      <c r="AK24" s="111" t="str">
        <f t="array" ref="AK24">IFERROR(INDEX($AH$10:$AH$258, MATCH(0, IF(TRUE=$AF$10:$AF$258, COUNTIF($AK$9:$AK23, $AH$10:$AH$258), ""), 0)),"")</f>
        <v/>
      </c>
      <c r="AL24" s="30" t="str">
        <f>IFERROR(INDEX('G-6 Hedgerow Data'!$BJ$3:$BJ$15,MATCH(D24,'G-6 Hedgerow Data'!$B$3:$B$15,0)),"")</f>
        <v/>
      </c>
    </row>
    <row r="25" spans="2:38" x14ac:dyDescent="0.25">
      <c r="B25" s="101">
        <v>16</v>
      </c>
      <c r="C25" s="142"/>
      <c r="D25" s="58"/>
      <c r="E25" s="119"/>
      <c r="F25" s="329" t="str">
        <f>IF(D25="","",VLOOKUP(D25,'G-6 Hedgerow Data'!$B$2:$AG$15,2,FALSE))</f>
        <v/>
      </c>
      <c r="G25" s="282" t="str">
        <f>IF(D25="","",VLOOKUP(D25,'G-6 Hedgerow Data'!$B$2:$AG$15,3,FALSE))</f>
        <v/>
      </c>
      <c r="H25" s="105"/>
      <c r="I25" s="282" t="str">
        <f>IFERROR(IF(AND(D25&lt;&gt;"",H25=""),"Check data ⚠", IF(H25="","",IF(AND(D25="Non-native and ornamental hedgerow", H25&lt;&gt;"Poor"),"Not possible ▲", (VLOOKUP(H25,'G-1 All Habitats'!$Z$2:$AA$9,2,FALSE))))),"")</f>
        <v/>
      </c>
      <c r="J25" s="105"/>
      <c r="K25" s="289" t="str">
        <f>IF(AND(D25&lt;&gt;"",J25=""),"Check data ⚠", IF(J25="","",IF(VLOOKUP(J25,'G-3 Multipliers'!$L$3:$N$6,2,FALSE)=0,"Spatial Data Missing",VLOOKUP(J25,'G-3 Multipliers'!$L$3:$N$6,2,FALSE))))</f>
        <v/>
      </c>
      <c r="L25" s="287" t="str">
        <f>IF(J25="","",IF(VLOOKUP(J25,'G-3 Multipliers'!$L$3:$N$6,3,FALSE)=0,"Spatial Data Missing ⚠",VLOOKUP(J25,'G-3 Multipliers'!$L$3:$N$6,3,FALSE)))</f>
        <v/>
      </c>
      <c r="M25" s="288" t="str">
        <f>IF(D25="","",VLOOKUP(D25,'G-6 Hedgerow Data'!$B$1:$AH$15,33,FALSE))</f>
        <v/>
      </c>
      <c r="N25" s="295" t="str">
        <f t="shared" si="2"/>
        <v/>
      </c>
      <c r="O25" s="32"/>
      <c r="P25" s="447"/>
      <c r="Q25" s="142"/>
      <c r="R25" s="312" t="str">
        <f t="shared" si="3"/>
        <v/>
      </c>
      <c r="S25" s="312" t="str">
        <f t="shared" si="4"/>
        <v/>
      </c>
      <c r="T25" s="312" t="str">
        <f t="shared" si="5"/>
        <v/>
      </c>
      <c r="U25" s="333" t="str">
        <f t="shared" si="6"/>
        <v/>
      </c>
      <c r="V25" s="109"/>
      <c r="W25" s="108"/>
      <c r="X25" s="108"/>
      <c r="AE25" s="111" t="str">
        <f t="shared" si="0"/>
        <v/>
      </c>
      <c r="AF25" s="111" t="str">
        <f t="shared" si="1"/>
        <v/>
      </c>
      <c r="AH25" s="111">
        <v>16</v>
      </c>
      <c r="AJ25" s="111" t="str">
        <f t="array" ref="AJ25">IFERROR(INDEX($AH$10:$AH$258, MATCH(0, IF(TRUE=$AE$10:$AE$258, COUNTIF($AJ$9:$AJ24, $AH$10:$AH$258), ""), 0)),"")</f>
        <v/>
      </c>
      <c r="AK25" s="111" t="str">
        <f t="array" ref="AK25">IFERROR(INDEX($AH$10:$AH$258, MATCH(0, IF(TRUE=$AF$10:$AF$258, COUNTIF($AK$9:$AK24, $AH$10:$AH$258), ""), 0)),"")</f>
        <v/>
      </c>
      <c r="AL25" s="30" t="str">
        <f>IFERROR(INDEX('G-6 Hedgerow Data'!$BJ$3:$BJ$15,MATCH(D25,'G-6 Hedgerow Data'!$B$3:$B$15,0)),"")</f>
        <v/>
      </c>
    </row>
    <row r="26" spans="2:38" x14ac:dyDescent="0.25">
      <c r="B26" s="101">
        <v>17</v>
      </c>
      <c r="C26" s="142"/>
      <c r="D26" s="58"/>
      <c r="E26" s="119"/>
      <c r="F26" s="329" t="str">
        <f>IF(D26="","",VLOOKUP(D26,'G-6 Hedgerow Data'!$B$2:$AG$15,2,FALSE))</f>
        <v/>
      </c>
      <c r="G26" s="282" t="str">
        <f>IF(D26="","",VLOOKUP(D26,'G-6 Hedgerow Data'!$B$2:$AG$15,3,FALSE))</f>
        <v/>
      </c>
      <c r="H26" s="105"/>
      <c r="I26" s="282" t="str">
        <f>IFERROR(IF(AND(D26&lt;&gt;"",H26=""),"Check data ⚠", IF(H26="","",IF(AND(D26="Non-native and ornamental hedgerow", H26&lt;&gt;"Poor"),"Not possible ▲", (VLOOKUP(H26,'G-1 All Habitats'!$Z$2:$AA$9,2,FALSE))))),"")</f>
        <v/>
      </c>
      <c r="J26" s="105"/>
      <c r="K26" s="289" t="str">
        <f>IF(AND(D26&lt;&gt;"",J26=""),"Check data ⚠", IF(J26="","",IF(VLOOKUP(J26,'G-3 Multipliers'!$L$3:$N$6,2,FALSE)=0,"Spatial Data Missing",VLOOKUP(J26,'G-3 Multipliers'!$L$3:$N$6,2,FALSE))))</f>
        <v/>
      </c>
      <c r="L26" s="287" t="str">
        <f>IF(J26="","",IF(VLOOKUP(J26,'G-3 Multipliers'!$L$3:$N$6,3,FALSE)=0,"Spatial Data Missing ⚠",VLOOKUP(J26,'G-3 Multipliers'!$L$3:$N$6,3,FALSE)))</f>
        <v/>
      </c>
      <c r="M26" s="288" t="str">
        <f>IF(D26="","",VLOOKUP(D26,'G-6 Hedgerow Data'!$B$1:$AH$15,33,FALSE))</f>
        <v/>
      </c>
      <c r="N26" s="295" t="str">
        <f t="shared" si="2"/>
        <v/>
      </c>
      <c r="O26" s="32"/>
      <c r="P26" s="447"/>
      <c r="Q26" s="142"/>
      <c r="R26" s="312" t="str">
        <f t="shared" si="3"/>
        <v/>
      </c>
      <c r="S26" s="312" t="str">
        <f t="shared" si="4"/>
        <v/>
      </c>
      <c r="T26" s="312" t="str">
        <f t="shared" si="5"/>
        <v/>
      </c>
      <c r="U26" s="333" t="str">
        <f t="shared" si="6"/>
        <v/>
      </c>
      <c r="V26" s="109"/>
      <c r="W26" s="108"/>
      <c r="X26" s="108"/>
      <c r="AE26" s="111" t="str">
        <f t="shared" si="0"/>
        <v/>
      </c>
      <c r="AF26" s="111" t="str">
        <f t="shared" si="1"/>
        <v/>
      </c>
      <c r="AH26" s="111">
        <v>17</v>
      </c>
      <c r="AJ26" s="111" t="str">
        <f t="array" ref="AJ26">IFERROR(INDEX($AH$10:$AH$258, MATCH(0, IF(TRUE=$AE$10:$AE$258, COUNTIF($AJ$9:$AJ25, $AH$10:$AH$258), ""), 0)),"")</f>
        <v/>
      </c>
      <c r="AK26" s="111" t="str">
        <f t="array" ref="AK26">IFERROR(INDEX($AH$10:$AH$258, MATCH(0, IF(TRUE=$AF$10:$AF$258, COUNTIF($AK$9:$AK25, $AH$10:$AH$258), ""), 0)),"")</f>
        <v/>
      </c>
      <c r="AL26" s="30" t="str">
        <f>IFERROR(INDEX('G-6 Hedgerow Data'!$BJ$3:$BJ$15,MATCH(D26,'G-6 Hedgerow Data'!$B$3:$B$15,0)),"")</f>
        <v/>
      </c>
    </row>
    <row r="27" spans="2:38" x14ac:dyDescent="0.25">
      <c r="B27" s="101">
        <v>18</v>
      </c>
      <c r="C27" s="142"/>
      <c r="D27" s="137"/>
      <c r="E27" s="119"/>
      <c r="F27" s="329" t="str">
        <f>IF(D27="","",VLOOKUP(D27,'G-6 Hedgerow Data'!$B$2:$AG$15,2,FALSE))</f>
        <v/>
      </c>
      <c r="G27" s="282" t="str">
        <f>IF(D27="","",VLOOKUP(D27,'G-6 Hedgerow Data'!$B$2:$AG$15,3,FALSE))</f>
        <v/>
      </c>
      <c r="H27" s="105"/>
      <c r="I27" s="282" t="str">
        <f>IFERROR(IF(AND(D27&lt;&gt;"",H27=""),"Check data ⚠", IF(H27="","",IF(AND(D27="Non-native and ornamental hedgerow", H27&lt;&gt;"Poor"),"Not possible ▲", (VLOOKUP(H27,'G-1 All Habitats'!$Z$2:$AA$9,2,FALSE))))),"")</f>
        <v/>
      </c>
      <c r="J27" s="105"/>
      <c r="K27" s="289" t="str">
        <f>IF(AND(D27&lt;&gt;"",J27=""),"Check data ⚠", IF(J27="","",IF(VLOOKUP(J27,'G-3 Multipliers'!$L$3:$N$6,2,FALSE)=0,"Spatial Data Missing",VLOOKUP(J27,'G-3 Multipliers'!$L$3:$N$6,2,FALSE))))</f>
        <v/>
      </c>
      <c r="L27" s="287" t="str">
        <f>IF(J27="","",IF(VLOOKUP(J27,'G-3 Multipliers'!$L$3:$N$6,3,FALSE)=0,"Spatial Data Missing ⚠",VLOOKUP(J27,'G-3 Multipliers'!$L$3:$N$6,3,FALSE)))</f>
        <v/>
      </c>
      <c r="M27" s="288" t="str">
        <f>IF(D27="","",VLOOKUP(D27,'G-6 Hedgerow Data'!$B$1:$AH$15,33,FALSE))</f>
        <v/>
      </c>
      <c r="N27" s="295" t="str">
        <f t="shared" si="2"/>
        <v/>
      </c>
      <c r="O27" s="32"/>
      <c r="P27" s="447"/>
      <c r="Q27" s="142"/>
      <c r="R27" s="312" t="str">
        <f t="shared" si="3"/>
        <v/>
      </c>
      <c r="S27" s="312" t="str">
        <f t="shared" si="4"/>
        <v/>
      </c>
      <c r="T27" s="312" t="str">
        <f t="shared" si="5"/>
        <v/>
      </c>
      <c r="U27" s="333" t="str">
        <f t="shared" si="6"/>
        <v/>
      </c>
      <c r="V27" s="109"/>
      <c r="W27" s="108"/>
      <c r="X27" s="108"/>
      <c r="AE27" s="111" t="str">
        <f t="shared" si="0"/>
        <v/>
      </c>
      <c r="AF27" s="111" t="str">
        <f t="shared" si="1"/>
        <v/>
      </c>
      <c r="AH27" s="111">
        <v>18</v>
      </c>
      <c r="AJ27" s="111" t="str">
        <f t="array" ref="AJ27">IFERROR(INDEX($AH$10:$AH$258, MATCH(0, IF(TRUE=$AE$10:$AE$258, COUNTIF($AJ$9:$AJ26, $AH$10:$AH$258), ""), 0)),"")</f>
        <v/>
      </c>
      <c r="AK27" s="111" t="str">
        <f t="array" ref="AK27">IFERROR(INDEX($AH$10:$AH$258, MATCH(0, IF(TRUE=$AF$10:$AF$258, COUNTIF($AK$9:$AK26, $AH$10:$AH$258), ""), 0)),"")</f>
        <v/>
      </c>
      <c r="AL27" s="30" t="str">
        <f>IFERROR(INDEX('G-6 Hedgerow Data'!$BJ$3:$BJ$15,MATCH(D27,'G-6 Hedgerow Data'!$B$3:$B$15,0)),"")</f>
        <v/>
      </c>
    </row>
    <row r="28" spans="2:38" x14ac:dyDescent="0.25">
      <c r="B28" s="101">
        <v>19</v>
      </c>
      <c r="C28" s="142"/>
      <c r="D28" s="137"/>
      <c r="E28" s="119"/>
      <c r="F28" s="329" t="str">
        <f>IF(D28="","",VLOOKUP(D28,'G-6 Hedgerow Data'!$B$2:$AG$15,2,FALSE))</f>
        <v/>
      </c>
      <c r="G28" s="282" t="str">
        <f>IF(D28="","",VLOOKUP(D28,'G-6 Hedgerow Data'!$B$2:$AG$15,3,FALSE))</f>
        <v/>
      </c>
      <c r="H28" s="105"/>
      <c r="I28" s="282" t="str">
        <f>IFERROR(IF(AND(D28&lt;&gt;"",H28=""),"Check data ⚠", IF(H28="","",IF(AND(D28="Non-native and ornamental hedgerow", H28&lt;&gt;"Poor"),"Not possible ▲", (VLOOKUP(H28,'G-1 All Habitats'!$Z$2:$AA$9,2,FALSE))))),"")</f>
        <v/>
      </c>
      <c r="J28" s="105"/>
      <c r="K28" s="289" t="str">
        <f>IF(AND(D28&lt;&gt;"",J28=""),"Check data ⚠", IF(J28="","",IF(VLOOKUP(J28,'G-3 Multipliers'!$L$3:$N$6,2,FALSE)=0,"Spatial Data Missing",VLOOKUP(J28,'G-3 Multipliers'!$L$3:$N$6,2,FALSE))))</f>
        <v/>
      </c>
      <c r="L28" s="287" t="str">
        <f>IF(J28="","",IF(VLOOKUP(J28,'G-3 Multipliers'!$L$3:$N$6,3,FALSE)=0,"Spatial Data Missing ⚠",VLOOKUP(J28,'G-3 Multipliers'!$L$3:$N$6,3,FALSE)))</f>
        <v/>
      </c>
      <c r="M28" s="288" t="str">
        <f>IF(D28="","",VLOOKUP(D28,'G-6 Hedgerow Data'!$B$1:$AH$15,33,FALSE))</f>
        <v/>
      </c>
      <c r="N28" s="295" t="str">
        <f t="shared" si="2"/>
        <v/>
      </c>
      <c r="O28" s="32"/>
      <c r="P28" s="447"/>
      <c r="Q28" s="142"/>
      <c r="R28" s="312" t="str">
        <f t="shared" si="3"/>
        <v/>
      </c>
      <c r="S28" s="312" t="str">
        <f t="shared" si="4"/>
        <v/>
      </c>
      <c r="T28" s="312" t="str">
        <f t="shared" si="5"/>
        <v/>
      </c>
      <c r="U28" s="333" t="str">
        <f t="shared" si="6"/>
        <v/>
      </c>
      <c r="V28" s="109"/>
      <c r="W28" s="108"/>
      <c r="X28" s="108"/>
      <c r="AE28" s="111" t="str">
        <f t="shared" si="0"/>
        <v/>
      </c>
      <c r="AF28" s="111" t="str">
        <f t="shared" si="1"/>
        <v/>
      </c>
      <c r="AH28" s="111">
        <v>19</v>
      </c>
      <c r="AJ28" s="111" t="str">
        <f t="array" ref="AJ28">IFERROR(INDEX($AH$10:$AH$258, MATCH(0, IF(TRUE=$AE$10:$AE$258, COUNTIF($AJ$9:$AJ27, $AH$10:$AH$258), ""), 0)),"")</f>
        <v/>
      </c>
      <c r="AK28" s="111" t="str">
        <f t="array" ref="AK28">IFERROR(INDEX($AH$10:$AH$258, MATCH(0, IF(TRUE=$AF$10:$AF$258, COUNTIF($AK$9:$AK27, $AH$10:$AH$258), ""), 0)),"")</f>
        <v/>
      </c>
      <c r="AL28" s="30" t="str">
        <f>IFERROR(INDEX('G-6 Hedgerow Data'!$BJ$3:$BJ$15,MATCH(D28,'G-6 Hedgerow Data'!$B$3:$B$15,0)),"")</f>
        <v/>
      </c>
    </row>
    <row r="29" spans="2:38" x14ac:dyDescent="0.25">
      <c r="B29" s="101">
        <v>20</v>
      </c>
      <c r="C29" s="142"/>
      <c r="D29" s="137"/>
      <c r="E29" s="119"/>
      <c r="F29" s="329" t="str">
        <f>IF(D29="","",VLOOKUP(D29,'G-6 Hedgerow Data'!$B$2:$AG$15,2,FALSE))</f>
        <v/>
      </c>
      <c r="G29" s="282" t="str">
        <f>IF(D29="","",VLOOKUP(D29,'G-6 Hedgerow Data'!$B$2:$AG$15,3,FALSE))</f>
        <v/>
      </c>
      <c r="H29" s="105"/>
      <c r="I29" s="282" t="str">
        <f>IFERROR(IF(AND(D29&lt;&gt;"",H29=""),"Check data ⚠", IF(H29="","",IF(AND(D29="Non-native and ornamental hedgerow", H29&lt;&gt;"Poor"),"Not possible ▲", (VLOOKUP(H29,'G-1 All Habitats'!$Z$2:$AA$9,2,FALSE))))),"")</f>
        <v/>
      </c>
      <c r="J29" s="105"/>
      <c r="K29" s="289" t="str">
        <f>IF(AND(D29&lt;&gt;"",J29=""),"Check data ⚠", IF(J29="","",IF(VLOOKUP(J29,'G-3 Multipliers'!$L$3:$N$6,2,FALSE)=0,"Spatial Data Missing",VLOOKUP(J29,'G-3 Multipliers'!$L$3:$N$6,2,FALSE))))</f>
        <v/>
      </c>
      <c r="L29" s="287" t="str">
        <f>IF(J29="","",IF(VLOOKUP(J29,'G-3 Multipliers'!$L$3:$N$6,3,FALSE)=0,"Spatial Data Missing ⚠",VLOOKUP(J29,'G-3 Multipliers'!$L$3:$N$6,3,FALSE)))</f>
        <v/>
      </c>
      <c r="M29" s="288" t="str">
        <f>IF(D29="","",VLOOKUP(D29,'G-6 Hedgerow Data'!$B$1:$AH$15,33,FALSE))</f>
        <v/>
      </c>
      <c r="N29" s="295" t="str">
        <f t="shared" si="2"/>
        <v/>
      </c>
      <c r="O29" s="32"/>
      <c r="P29" s="447"/>
      <c r="Q29" s="142"/>
      <c r="R29" s="312" t="str">
        <f t="shared" si="3"/>
        <v/>
      </c>
      <c r="S29" s="312" t="str">
        <f t="shared" si="4"/>
        <v/>
      </c>
      <c r="T29" s="312" t="str">
        <f t="shared" si="5"/>
        <v/>
      </c>
      <c r="U29" s="333" t="str">
        <f t="shared" si="6"/>
        <v/>
      </c>
      <c r="V29" s="109"/>
      <c r="W29" s="108"/>
      <c r="X29" s="108"/>
      <c r="AE29" s="111" t="str">
        <f t="shared" si="0"/>
        <v/>
      </c>
      <c r="AF29" s="111" t="str">
        <f t="shared" si="1"/>
        <v/>
      </c>
      <c r="AH29" s="111">
        <v>20</v>
      </c>
      <c r="AJ29" s="111" t="str">
        <f t="array" ref="AJ29">IFERROR(INDEX($AH$10:$AH$258, MATCH(0, IF(TRUE=$AE$10:$AE$258, COUNTIF($AJ$9:$AJ28, $AH$10:$AH$258), ""), 0)),"")</f>
        <v/>
      </c>
      <c r="AK29" s="111" t="str">
        <f t="array" ref="AK29">IFERROR(INDEX($AH$10:$AH$258, MATCH(0, IF(TRUE=$AF$10:$AF$258, COUNTIF($AK$9:$AK28, $AH$10:$AH$258), ""), 0)),"")</f>
        <v/>
      </c>
      <c r="AL29" s="30" t="str">
        <f>IFERROR(INDEX('G-6 Hedgerow Data'!$BJ$3:$BJ$15,MATCH(D29,'G-6 Hedgerow Data'!$B$3:$B$15,0)),"")</f>
        <v/>
      </c>
    </row>
    <row r="30" spans="2:38" x14ac:dyDescent="0.25">
      <c r="B30" s="101">
        <v>21</v>
      </c>
      <c r="C30" s="142"/>
      <c r="D30" s="137"/>
      <c r="E30" s="119"/>
      <c r="F30" s="329" t="str">
        <f>IF(D30="","",VLOOKUP(D30,'G-6 Hedgerow Data'!$B$2:$AG$15,2,FALSE))</f>
        <v/>
      </c>
      <c r="G30" s="282" t="str">
        <f>IF(D30="","",VLOOKUP(D30,'G-6 Hedgerow Data'!$B$2:$AG$15,3,FALSE))</f>
        <v/>
      </c>
      <c r="H30" s="105"/>
      <c r="I30" s="282" t="str">
        <f>IFERROR(IF(AND(D30&lt;&gt;"",H30=""),"Check data ⚠", IF(H30="","",IF(AND(D30="Non-native and ornamental hedgerow", H30&lt;&gt;"Poor"),"Not possible ▲", (VLOOKUP(H30,'G-1 All Habitats'!$Z$2:$AA$9,2,FALSE))))),"")</f>
        <v/>
      </c>
      <c r="J30" s="105"/>
      <c r="K30" s="289" t="str">
        <f>IF(AND(D30&lt;&gt;"",J30=""),"Check data ⚠", IF(J30="","",IF(VLOOKUP(J30,'G-3 Multipliers'!$L$3:$N$6,2,FALSE)=0,"Spatial Data Missing",VLOOKUP(J30,'G-3 Multipliers'!$L$3:$N$6,2,FALSE))))</f>
        <v/>
      </c>
      <c r="L30" s="287" t="str">
        <f>IF(J30="","",IF(VLOOKUP(J30,'G-3 Multipliers'!$L$3:$N$6,3,FALSE)=0,"Spatial Data Missing ⚠",VLOOKUP(J30,'G-3 Multipliers'!$L$3:$N$6,3,FALSE)))</f>
        <v/>
      </c>
      <c r="M30" s="288" t="str">
        <f>IF(D30="","",VLOOKUP(D30,'G-6 Hedgerow Data'!$B$1:$AH$15,33,FALSE))</f>
        <v/>
      </c>
      <c r="N30" s="295" t="str">
        <f t="shared" si="2"/>
        <v/>
      </c>
      <c r="O30" s="32"/>
      <c r="P30" s="447"/>
      <c r="Q30" s="142"/>
      <c r="R30" s="312" t="str">
        <f t="shared" si="3"/>
        <v/>
      </c>
      <c r="S30" s="312" t="str">
        <f t="shared" si="4"/>
        <v/>
      </c>
      <c r="T30" s="312" t="str">
        <f t="shared" si="5"/>
        <v/>
      </c>
      <c r="U30" s="333" t="str">
        <f t="shared" si="6"/>
        <v/>
      </c>
      <c r="V30" s="109"/>
      <c r="W30" s="108"/>
      <c r="X30" s="108"/>
      <c r="AE30" s="111" t="str">
        <f t="shared" si="0"/>
        <v/>
      </c>
      <c r="AF30" s="111" t="str">
        <f t="shared" si="1"/>
        <v/>
      </c>
      <c r="AH30" s="111">
        <v>21</v>
      </c>
      <c r="AJ30" s="111" t="str">
        <f t="array" ref="AJ30">IFERROR(INDEX($AH$10:$AH$258, MATCH(0, IF(TRUE=$AE$10:$AE$258, COUNTIF($AJ$9:$AJ29, $AH$10:$AH$258), ""), 0)),"")</f>
        <v/>
      </c>
      <c r="AK30" s="111" t="str">
        <f t="array" ref="AK30">IFERROR(INDEX($AH$10:$AH$258, MATCH(0, IF(TRUE=$AF$10:$AF$258, COUNTIF($AK$9:$AK29, $AH$10:$AH$258), ""), 0)),"")</f>
        <v/>
      </c>
      <c r="AL30" s="30" t="str">
        <f>IFERROR(INDEX('G-6 Hedgerow Data'!$BJ$3:$BJ$15,MATCH(D30,'G-6 Hedgerow Data'!$B$3:$B$15,0)),"")</f>
        <v/>
      </c>
    </row>
    <row r="31" spans="2:38" x14ac:dyDescent="0.25">
      <c r="B31" s="101">
        <v>22</v>
      </c>
      <c r="C31" s="142"/>
      <c r="D31" s="137"/>
      <c r="E31" s="51"/>
      <c r="F31" s="329" t="str">
        <f>IF(D31="","",VLOOKUP(D31,'G-6 Hedgerow Data'!$B$2:$AG$15,2,FALSE))</f>
        <v/>
      </c>
      <c r="G31" s="282" t="str">
        <f>IF(D31="","",VLOOKUP(D31,'G-6 Hedgerow Data'!$B$2:$AG$15,3,FALSE))</f>
        <v/>
      </c>
      <c r="H31" s="105"/>
      <c r="I31" s="282" t="str">
        <f>IFERROR(IF(AND(D31&lt;&gt;"",H31=""),"Check data ⚠", IF(H31="","",IF(AND(D31="Non-native and ornamental hedgerow", H31&lt;&gt;"Poor"),"Not possible ▲", (VLOOKUP(H31,'G-1 All Habitats'!$Z$2:$AA$9,2,FALSE))))),"")</f>
        <v/>
      </c>
      <c r="J31" s="105"/>
      <c r="K31" s="289" t="str">
        <f>IF(AND(D31&lt;&gt;"",J31=""),"Check data ⚠", IF(J31="","",IF(VLOOKUP(J31,'G-3 Multipliers'!$L$3:$N$6,2,FALSE)=0,"Spatial Data Missing",VLOOKUP(J31,'G-3 Multipliers'!$L$3:$N$6,2,FALSE))))</f>
        <v/>
      </c>
      <c r="L31" s="287" t="str">
        <f>IF(J31="","",IF(VLOOKUP(J31,'G-3 Multipliers'!$L$3:$N$6,3,FALSE)=0,"Spatial Data Missing ⚠",VLOOKUP(J31,'G-3 Multipliers'!$L$3:$N$6,3,FALSE)))</f>
        <v/>
      </c>
      <c r="M31" s="288" t="str">
        <f>IF(D31="","",VLOOKUP(D31,'G-6 Hedgerow Data'!$B$1:$AH$15,33,FALSE))</f>
        <v/>
      </c>
      <c r="N31" s="295" t="str">
        <f t="shared" si="2"/>
        <v/>
      </c>
      <c r="O31" s="32"/>
      <c r="P31" s="447"/>
      <c r="Q31" s="142"/>
      <c r="R31" s="312" t="str">
        <f t="shared" si="3"/>
        <v/>
      </c>
      <c r="S31" s="312" t="str">
        <f t="shared" si="4"/>
        <v/>
      </c>
      <c r="T31" s="312" t="str">
        <f t="shared" si="5"/>
        <v/>
      </c>
      <c r="U31" s="333" t="str">
        <f t="shared" si="6"/>
        <v/>
      </c>
      <c r="V31" s="109"/>
      <c r="W31" s="108"/>
      <c r="X31" s="108"/>
      <c r="AE31" s="111" t="str">
        <f t="shared" si="0"/>
        <v/>
      </c>
      <c r="AF31" s="111" t="str">
        <f t="shared" si="1"/>
        <v/>
      </c>
      <c r="AH31" s="111">
        <v>22</v>
      </c>
      <c r="AJ31" s="111" t="str">
        <f t="array" ref="AJ31">IFERROR(INDEX($AH$10:$AH$258, MATCH(0, IF(TRUE=$AE$10:$AE$258, COUNTIF($AJ$9:$AJ30, $AH$10:$AH$258), ""), 0)),"")</f>
        <v/>
      </c>
      <c r="AK31" s="111" t="str">
        <f t="array" ref="AK31">IFERROR(INDEX($AH$10:$AH$258, MATCH(0, IF(TRUE=$AF$10:$AF$258, COUNTIF($AK$9:$AK30, $AH$10:$AH$258), ""), 0)),"")</f>
        <v/>
      </c>
      <c r="AL31" s="30" t="str">
        <f>IFERROR(INDEX('G-6 Hedgerow Data'!$BJ$3:$BJ$15,MATCH(D31,'G-6 Hedgerow Data'!$B$3:$B$15,0)),"")</f>
        <v/>
      </c>
    </row>
    <row r="32" spans="2:38" x14ac:dyDescent="0.25">
      <c r="B32" s="101">
        <v>23</v>
      </c>
      <c r="C32" s="142"/>
      <c r="D32" s="137"/>
      <c r="E32" s="51"/>
      <c r="F32" s="329" t="str">
        <f>IF(D32="","",VLOOKUP(D32,'G-6 Hedgerow Data'!$B$2:$AG$15,2,FALSE))</f>
        <v/>
      </c>
      <c r="G32" s="282" t="str">
        <f>IF(D32="","",VLOOKUP(D32,'G-6 Hedgerow Data'!$B$2:$AG$15,3,FALSE))</f>
        <v/>
      </c>
      <c r="H32" s="105"/>
      <c r="I32" s="282" t="str">
        <f>IFERROR(IF(AND(D32&lt;&gt;"",H32=""),"Check data ⚠", IF(H32="","",IF(AND(D32="Non-native and ornamental hedgerow", H32&lt;&gt;"Poor"),"Not possible ▲", (VLOOKUP(H32,'G-1 All Habitats'!$Z$2:$AA$9,2,FALSE))))),"")</f>
        <v/>
      </c>
      <c r="J32" s="105"/>
      <c r="K32" s="289" t="str">
        <f>IF(AND(D32&lt;&gt;"",J32=""),"Check data ⚠", IF(J32="","",IF(VLOOKUP(J32,'G-3 Multipliers'!$L$3:$N$6,2,FALSE)=0,"Spatial Data Missing",VLOOKUP(J32,'G-3 Multipliers'!$L$3:$N$6,2,FALSE))))</f>
        <v/>
      </c>
      <c r="L32" s="287" t="str">
        <f>IF(J32="","",IF(VLOOKUP(J32,'G-3 Multipliers'!$L$3:$N$6,3,FALSE)=0,"Spatial Data Missing ⚠",VLOOKUP(J32,'G-3 Multipliers'!$L$3:$N$6,3,FALSE)))</f>
        <v/>
      </c>
      <c r="M32" s="288" t="str">
        <f>IF(D32="","",VLOOKUP(D32,'G-6 Hedgerow Data'!$B$1:$AH$15,33,FALSE))</f>
        <v/>
      </c>
      <c r="N32" s="295" t="str">
        <f t="shared" si="2"/>
        <v/>
      </c>
      <c r="O32" s="32"/>
      <c r="P32" s="447"/>
      <c r="Q32" s="142"/>
      <c r="R32" s="312" t="str">
        <f t="shared" si="3"/>
        <v/>
      </c>
      <c r="S32" s="312" t="str">
        <f t="shared" si="4"/>
        <v/>
      </c>
      <c r="T32" s="312" t="str">
        <f t="shared" si="5"/>
        <v/>
      </c>
      <c r="U32" s="333" t="str">
        <f t="shared" si="6"/>
        <v/>
      </c>
      <c r="V32" s="109"/>
      <c r="W32" s="108"/>
      <c r="X32" s="108"/>
      <c r="AE32" s="111" t="str">
        <f t="shared" si="0"/>
        <v/>
      </c>
      <c r="AF32" s="111" t="str">
        <f t="shared" si="1"/>
        <v/>
      </c>
      <c r="AH32" s="111">
        <v>23</v>
      </c>
      <c r="AJ32" s="111" t="str">
        <f t="array" ref="AJ32">IFERROR(INDEX($AH$10:$AH$258, MATCH(0, IF(TRUE=$AE$10:$AE$258, COUNTIF($AJ$9:$AJ31, $AH$10:$AH$258), ""), 0)),"")</f>
        <v/>
      </c>
      <c r="AK32" s="111" t="str">
        <f t="array" ref="AK32">IFERROR(INDEX($AH$10:$AH$258, MATCH(0, IF(TRUE=$AF$10:$AF$258, COUNTIF($AK$9:$AK31, $AH$10:$AH$258), ""), 0)),"")</f>
        <v/>
      </c>
      <c r="AL32" s="30" t="str">
        <f>IFERROR(INDEX('G-6 Hedgerow Data'!$BJ$3:$BJ$15,MATCH(D32,'G-6 Hedgerow Data'!$B$3:$B$15,0)),"")</f>
        <v/>
      </c>
    </row>
    <row r="33" spans="2:38" x14ac:dyDescent="0.25">
      <c r="B33" s="101">
        <v>24</v>
      </c>
      <c r="C33" s="142"/>
      <c r="D33" s="137"/>
      <c r="E33" s="51"/>
      <c r="F33" s="329" t="str">
        <f>IF(D33="","",VLOOKUP(D33,'G-6 Hedgerow Data'!$B$2:$AG$15,2,FALSE))</f>
        <v/>
      </c>
      <c r="G33" s="282" t="str">
        <f>IF(D33="","",VLOOKUP(D33,'G-6 Hedgerow Data'!$B$2:$AG$15,3,FALSE))</f>
        <v/>
      </c>
      <c r="H33" s="105"/>
      <c r="I33" s="282" t="str">
        <f>IFERROR(IF(AND(D33&lt;&gt;"",H33=""),"Check data ⚠", IF(H33="","",IF(AND(D33="Non-native and ornamental hedgerow", H33&lt;&gt;"Poor"),"Not possible ▲", (VLOOKUP(H33,'G-1 All Habitats'!$Z$2:$AA$9,2,FALSE))))),"")</f>
        <v/>
      </c>
      <c r="J33" s="105"/>
      <c r="K33" s="289" t="str">
        <f>IF(AND(D33&lt;&gt;"",J33=""),"Check data ⚠", IF(J33="","",IF(VLOOKUP(J33,'G-3 Multipliers'!$L$3:$N$6,2,FALSE)=0,"Spatial Data Missing",VLOOKUP(J33,'G-3 Multipliers'!$L$3:$N$6,2,FALSE))))</f>
        <v/>
      </c>
      <c r="L33" s="287" t="str">
        <f>IF(J33="","",IF(VLOOKUP(J33,'G-3 Multipliers'!$L$3:$N$6,3,FALSE)=0,"Spatial Data Missing ⚠",VLOOKUP(J33,'G-3 Multipliers'!$L$3:$N$6,3,FALSE)))</f>
        <v/>
      </c>
      <c r="M33" s="288" t="str">
        <f>IF(D33="","",VLOOKUP(D33,'G-6 Hedgerow Data'!$B$1:$AH$15,33,FALSE))</f>
        <v/>
      </c>
      <c r="N33" s="295" t="str">
        <f t="shared" si="2"/>
        <v/>
      </c>
      <c r="O33" s="32"/>
      <c r="P33" s="447"/>
      <c r="Q33" s="142"/>
      <c r="R33" s="312" t="str">
        <f t="shared" si="3"/>
        <v/>
      </c>
      <c r="S33" s="312" t="str">
        <f t="shared" si="4"/>
        <v/>
      </c>
      <c r="T33" s="312" t="str">
        <f t="shared" si="5"/>
        <v/>
      </c>
      <c r="U33" s="333" t="str">
        <f t="shared" si="6"/>
        <v/>
      </c>
      <c r="V33" s="109"/>
      <c r="W33" s="108"/>
      <c r="X33" s="108"/>
      <c r="AE33" s="111" t="str">
        <f t="shared" si="0"/>
        <v/>
      </c>
      <c r="AF33" s="111" t="str">
        <f t="shared" si="1"/>
        <v/>
      </c>
      <c r="AH33" s="111">
        <v>24</v>
      </c>
      <c r="AJ33" s="111" t="str">
        <f t="array" ref="AJ33">IFERROR(INDEX($AH$10:$AH$258, MATCH(0, IF(TRUE=$AE$10:$AE$258, COUNTIF($AJ$9:$AJ32, $AH$10:$AH$258), ""), 0)),"")</f>
        <v/>
      </c>
      <c r="AK33" s="111" t="str">
        <f t="array" ref="AK33">IFERROR(INDEX($AH$10:$AH$258, MATCH(0, IF(TRUE=$AF$10:$AF$258, COUNTIF($AK$9:$AK32, $AH$10:$AH$258), ""), 0)),"")</f>
        <v/>
      </c>
      <c r="AL33" s="30" t="str">
        <f>IFERROR(INDEX('G-6 Hedgerow Data'!$BJ$3:$BJ$15,MATCH(D33,'G-6 Hedgerow Data'!$B$3:$B$15,0)),"")</f>
        <v/>
      </c>
    </row>
    <row r="34" spans="2:38" x14ac:dyDescent="0.25">
      <c r="B34" s="101">
        <v>25</v>
      </c>
      <c r="C34" s="142"/>
      <c r="D34" s="137"/>
      <c r="E34" s="51"/>
      <c r="F34" s="329" t="str">
        <f>IF(D34="","",VLOOKUP(D34,'G-6 Hedgerow Data'!$B$2:$AG$15,2,FALSE))</f>
        <v/>
      </c>
      <c r="G34" s="282" t="str">
        <f>IF(D34="","",VLOOKUP(D34,'G-6 Hedgerow Data'!$B$2:$AG$15,3,FALSE))</f>
        <v/>
      </c>
      <c r="H34" s="105"/>
      <c r="I34" s="282" t="str">
        <f>IFERROR(IF(AND(D34&lt;&gt;"",H34=""),"Check data ⚠", IF(H34="","",IF(AND(D34="Non-native and ornamental hedgerow", H34&lt;&gt;"Poor"),"Not possible ▲", (VLOOKUP(H34,'G-1 All Habitats'!$Z$2:$AA$9,2,FALSE))))),"")</f>
        <v/>
      </c>
      <c r="J34" s="105"/>
      <c r="K34" s="289" t="str">
        <f>IF(AND(D34&lt;&gt;"",J34=""),"Check data ⚠", IF(J34="","",IF(VLOOKUP(J34,'G-3 Multipliers'!$L$3:$N$6,2,FALSE)=0,"Spatial Data Missing",VLOOKUP(J34,'G-3 Multipliers'!$L$3:$N$6,2,FALSE))))</f>
        <v/>
      </c>
      <c r="L34" s="287" t="str">
        <f>IF(J34="","",IF(VLOOKUP(J34,'G-3 Multipliers'!$L$3:$N$6,3,FALSE)=0,"Spatial Data Missing ⚠",VLOOKUP(J34,'G-3 Multipliers'!$L$3:$N$6,3,FALSE)))</f>
        <v/>
      </c>
      <c r="M34" s="288" t="str">
        <f>IF(D34="","",VLOOKUP(D34,'G-6 Hedgerow Data'!$B$1:$AH$15,33,FALSE))</f>
        <v/>
      </c>
      <c r="N34" s="295" t="str">
        <f t="shared" si="2"/>
        <v/>
      </c>
      <c r="O34" s="32"/>
      <c r="P34" s="447"/>
      <c r="Q34" s="142"/>
      <c r="R34" s="312" t="str">
        <f t="shared" si="3"/>
        <v/>
      </c>
      <c r="S34" s="312" t="str">
        <f t="shared" si="4"/>
        <v/>
      </c>
      <c r="T34" s="312" t="str">
        <f t="shared" si="5"/>
        <v/>
      </c>
      <c r="U34" s="333" t="str">
        <f t="shared" si="6"/>
        <v/>
      </c>
      <c r="V34" s="109"/>
      <c r="W34" s="108"/>
      <c r="X34" s="108"/>
      <c r="AE34" s="111" t="str">
        <f t="shared" si="0"/>
        <v/>
      </c>
      <c r="AF34" s="111" t="str">
        <f t="shared" si="1"/>
        <v/>
      </c>
      <c r="AH34" s="111">
        <v>25</v>
      </c>
      <c r="AJ34" s="111" t="str">
        <f t="array" ref="AJ34">IFERROR(INDEX($AH$10:$AH$258, MATCH(0, IF(TRUE=$AE$10:$AE$258, COUNTIF($AJ$9:$AJ33, $AH$10:$AH$258), ""), 0)),"")</f>
        <v/>
      </c>
      <c r="AK34" s="111" t="str">
        <f t="array" ref="AK34">IFERROR(INDEX($AH$10:$AH$258, MATCH(0, IF(TRUE=$AF$10:$AF$258, COUNTIF($AK$9:$AK33, $AH$10:$AH$258), ""), 0)),"")</f>
        <v/>
      </c>
      <c r="AL34" s="30" t="str">
        <f>IFERROR(INDEX('G-6 Hedgerow Data'!$BJ$3:$BJ$15,MATCH(D34,'G-6 Hedgerow Data'!$B$3:$B$15,0)),"")</f>
        <v/>
      </c>
    </row>
    <row r="35" spans="2:38" x14ac:dyDescent="0.25">
      <c r="B35" s="101">
        <v>26</v>
      </c>
      <c r="C35" s="142"/>
      <c r="D35" s="137"/>
      <c r="E35" s="119"/>
      <c r="F35" s="329" t="str">
        <f>IF(D35="","",VLOOKUP(D35,'G-6 Hedgerow Data'!$B$2:$AG$15,2,FALSE))</f>
        <v/>
      </c>
      <c r="G35" s="282" t="str">
        <f>IF(D35="","",VLOOKUP(D35,'G-6 Hedgerow Data'!$B$2:$AG$15,3,FALSE))</f>
        <v/>
      </c>
      <c r="H35" s="105"/>
      <c r="I35" s="282" t="str">
        <f>IFERROR(IF(AND(D35&lt;&gt;"",H35=""),"Check data ⚠", IF(H35="","",IF(AND(D35="Non-native and ornamental hedgerow", H35&lt;&gt;"Poor"),"Not possible ▲", (VLOOKUP(H35,'G-1 All Habitats'!$Z$2:$AA$9,2,FALSE))))),"")</f>
        <v/>
      </c>
      <c r="J35" s="105"/>
      <c r="K35" s="289" t="str">
        <f>IF(AND(D35&lt;&gt;"",J35=""),"Check data ⚠", IF(J35="","",IF(VLOOKUP(J35,'G-3 Multipliers'!$L$3:$N$6,2,FALSE)=0,"Spatial Data Missing",VLOOKUP(J35,'G-3 Multipliers'!$L$3:$N$6,2,FALSE))))</f>
        <v/>
      </c>
      <c r="L35" s="287" t="str">
        <f>IF(J35="","",IF(VLOOKUP(J35,'G-3 Multipliers'!$L$3:$N$6,3,FALSE)=0,"Spatial Data Missing ⚠",VLOOKUP(J35,'G-3 Multipliers'!$L$3:$N$6,3,FALSE)))</f>
        <v/>
      </c>
      <c r="M35" s="288" t="str">
        <f>IF(D35="","",VLOOKUP(D35,'G-6 Hedgerow Data'!$B$1:$AH$15,33,FALSE))</f>
        <v/>
      </c>
      <c r="N35" s="295" t="str">
        <f t="shared" si="2"/>
        <v/>
      </c>
      <c r="O35" s="32"/>
      <c r="P35" s="447"/>
      <c r="Q35" s="142"/>
      <c r="R35" s="312" t="str">
        <f t="shared" si="3"/>
        <v/>
      </c>
      <c r="S35" s="312" t="str">
        <f t="shared" si="4"/>
        <v/>
      </c>
      <c r="T35" s="312" t="str">
        <f t="shared" si="5"/>
        <v/>
      </c>
      <c r="U35" s="333" t="str">
        <f t="shared" si="6"/>
        <v/>
      </c>
      <c r="V35" s="109"/>
      <c r="W35" s="108"/>
      <c r="X35" s="108"/>
      <c r="AE35" s="111" t="str">
        <f t="shared" si="0"/>
        <v/>
      </c>
      <c r="AF35" s="111" t="str">
        <f t="shared" si="1"/>
        <v/>
      </c>
      <c r="AH35" s="111">
        <v>26</v>
      </c>
      <c r="AJ35" s="111" t="str">
        <f t="array" ref="AJ35">IFERROR(INDEX($AH$10:$AH$258, MATCH(0, IF(TRUE=$AE$10:$AE$258, COUNTIF($AJ$9:$AJ34, $AH$10:$AH$258), ""), 0)),"")</f>
        <v/>
      </c>
      <c r="AK35" s="111" t="str">
        <f t="array" ref="AK35">IFERROR(INDEX($AH$10:$AH$258, MATCH(0, IF(TRUE=$AF$10:$AF$258, COUNTIF($AK$9:$AK34, $AH$10:$AH$258), ""), 0)),"")</f>
        <v/>
      </c>
      <c r="AL35" s="30" t="str">
        <f>IFERROR(INDEX('G-6 Hedgerow Data'!$BJ$3:$BJ$15,MATCH(D35,'G-6 Hedgerow Data'!$B$3:$B$15,0)),"")</f>
        <v/>
      </c>
    </row>
    <row r="36" spans="2:38" x14ac:dyDescent="0.25">
      <c r="B36" s="101">
        <v>27</v>
      </c>
      <c r="C36" s="142"/>
      <c r="D36" s="142"/>
      <c r="E36" s="119"/>
      <c r="F36" s="329" t="str">
        <f>IF(D36="","",VLOOKUP(D36,'G-6 Hedgerow Data'!$B$2:$AG$15,2,FALSE))</f>
        <v/>
      </c>
      <c r="G36" s="282" t="str">
        <f>IF(D36="","",VLOOKUP(D36,'G-6 Hedgerow Data'!$B$2:$AG$15,3,FALSE))</f>
        <v/>
      </c>
      <c r="H36" s="105"/>
      <c r="I36" s="282" t="str">
        <f>IFERROR(IF(AND(D36&lt;&gt;"",H36=""),"Check data ⚠", IF(H36="","",IF(AND(D36="Non-native and ornamental hedgerow", H36&lt;&gt;"Poor"),"Not possible ▲", (VLOOKUP(H36,'G-1 All Habitats'!$Z$2:$AA$9,2,FALSE))))),"")</f>
        <v/>
      </c>
      <c r="J36" s="105"/>
      <c r="K36" s="289" t="str">
        <f>IF(AND(D36&lt;&gt;"",J36=""),"Check data ⚠", IF(J36="","",IF(VLOOKUP(J36,'G-3 Multipliers'!$L$3:$N$6,2,FALSE)=0,"Spatial Data Missing",VLOOKUP(J36,'G-3 Multipliers'!$L$3:$N$6,2,FALSE))))</f>
        <v/>
      </c>
      <c r="L36" s="287" t="str">
        <f>IF(J36="","",IF(VLOOKUP(J36,'G-3 Multipliers'!$L$3:$N$6,3,FALSE)=0,"Spatial Data Missing ⚠",VLOOKUP(J36,'G-3 Multipliers'!$L$3:$N$6,3,FALSE)))</f>
        <v/>
      </c>
      <c r="M36" s="288" t="str">
        <f>IF(D36="","",VLOOKUP(D36,'G-6 Hedgerow Data'!$B$1:$AH$15,33,FALSE))</f>
        <v/>
      </c>
      <c r="N36" s="295" t="str">
        <f t="shared" si="2"/>
        <v/>
      </c>
      <c r="O36" s="32"/>
      <c r="P36" s="447"/>
      <c r="Q36" s="142"/>
      <c r="R36" s="312" t="str">
        <f t="shared" si="3"/>
        <v/>
      </c>
      <c r="S36" s="312" t="str">
        <f t="shared" si="4"/>
        <v/>
      </c>
      <c r="T36" s="312" t="str">
        <f t="shared" si="5"/>
        <v/>
      </c>
      <c r="U36" s="333" t="str">
        <f t="shared" si="6"/>
        <v/>
      </c>
      <c r="V36" s="109"/>
      <c r="W36" s="108"/>
      <c r="X36" s="108"/>
      <c r="AE36" s="111" t="str">
        <f t="shared" si="0"/>
        <v/>
      </c>
      <c r="AF36" s="111" t="str">
        <f t="shared" si="1"/>
        <v/>
      </c>
      <c r="AH36" s="111">
        <v>27</v>
      </c>
      <c r="AJ36" s="111" t="str">
        <f t="array" ref="AJ36">IFERROR(INDEX($AH$10:$AH$258, MATCH(0, IF(TRUE=$AE$10:$AE$258, COUNTIF($AJ$9:$AJ35, $AH$10:$AH$258), ""), 0)),"")</f>
        <v/>
      </c>
      <c r="AK36" s="111" t="str">
        <f t="array" ref="AK36">IFERROR(INDEX($AH$10:$AH$258, MATCH(0, IF(TRUE=$AF$10:$AF$258, COUNTIF($AK$9:$AK35, $AH$10:$AH$258), ""), 0)),"")</f>
        <v/>
      </c>
      <c r="AL36" s="30" t="str">
        <f>IFERROR(INDEX('G-6 Hedgerow Data'!$BJ$3:$BJ$15,MATCH(D36,'G-6 Hedgerow Data'!$B$3:$B$15,0)),"")</f>
        <v/>
      </c>
    </row>
    <row r="37" spans="2:38" x14ac:dyDescent="0.25">
      <c r="B37" s="101">
        <v>28</v>
      </c>
      <c r="C37" s="142"/>
      <c r="D37" s="142"/>
      <c r="E37" s="119"/>
      <c r="F37" s="329" t="str">
        <f>IF(D37="","",VLOOKUP(D37,'G-6 Hedgerow Data'!$B$2:$AG$15,2,FALSE))</f>
        <v/>
      </c>
      <c r="G37" s="282" t="str">
        <f>IF(D37="","",VLOOKUP(D37,'G-6 Hedgerow Data'!$B$2:$AG$15,3,FALSE))</f>
        <v/>
      </c>
      <c r="H37" s="105"/>
      <c r="I37" s="282" t="str">
        <f>IFERROR(IF(AND(D37&lt;&gt;"",H37=""),"Check data ⚠", IF(H37="","",IF(AND(D37="Non-native and ornamental hedgerow", H37&lt;&gt;"Poor"),"Not possible ▲", (VLOOKUP(H37,'G-1 All Habitats'!$Z$2:$AA$9,2,FALSE))))),"")</f>
        <v/>
      </c>
      <c r="J37" s="105"/>
      <c r="K37" s="289" t="str">
        <f>IF(AND(D37&lt;&gt;"",J37=""),"Check data ⚠", IF(J37="","",IF(VLOOKUP(J37,'G-3 Multipliers'!$L$3:$N$6,2,FALSE)=0,"Spatial Data Missing",VLOOKUP(J37,'G-3 Multipliers'!$L$3:$N$6,2,FALSE))))</f>
        <v/>
      </c>
      <c r="L37" s="287" t="str">
        <f>IF(J37="","",IF(VLOOKUP(J37,'G-3 Multipliers'!$L$3:$N$6,3,FALSE)=0,"Spatial Data Missing ⚠",VLOOKUP(J37,'G-3 Multipliers'!$L$3:$N$6,3,FALSE)))</f>
        <v/>
      </c>
      <c r="M37" s="288" t="str">
        <f>IF(D37="","",VLOOKUP(D37,'G-6 Hedgerow Data'!$B$1:$AH$15,33,FALSE))</f>
        <v/>
      </c>
      <c r="N37" s="295" t="str">
        <f t="shared" si="2"/>
        <v/>
      </c>
      <c r="O37" s="32"/>
      <c r="P37" s="447"/>
      <c r="Q37" s="142"/>
      <c r="R37" s="312" t="str">
        <f t="shared" si="3"/>
        <v/>
      </c>
      <c r="S37" s="312" t="str">
        <f t="shared" si="4"/>
        <v/>
      </c>
      <c r="T37" s="312" t="str">
        <f t="shared" si="5"/>
        <v/>
      </c>
      <c r="U37" s="333" t="str">
        <f t="shared" si="6"/>
        <v/>
      </c>
      <c r="V37" s="109"/>
      <c r="W37" s="108"/>
      <c r="X37" s="108"/>
      <c r="AE37" s="111" t="str">
        <f t="shared" si="0"/>
        <v/>
      </c>
      <c r="AF37" s="111" t="str">
        <f t="shared" si="1"/>
        <v/>
      </c>
      <c r="AH37" s="111">
        <v>28</v>
      </c>
      <c r="AJ37" s="111" t="str">
        <f t="array" ref="AJ37">IFERROR(INDEX($AH$10:$AH$258, MATCH(0, IF(TRUE=$AE$10:$AE$258, COUNTIF($AJ$9:$AJ36, $AH$10:$AH$258), ""), 0)),"")</f>
        <v/>
      </c>
      <c r="AK37" s="111" t="str">
        <f t="array" ref="AK37">IFERROR(INDEX($AH$10:$AH$258, MATCH(0, IF(TRUE=$AF$10:$AF$258, COUNTIF($AK$9:$AK36, $AH$10:$AH$258), ""), 0)),"")</f>
        <v/>
      </c>
      <c r="AL37" s="30" t="str">
        <f>IFERROR(INDEX('G-6 Hedgerow Data'!$BJ$3:$BJ$15,MATCH(D37,'G-6 Hedgerow Data'!$B$3:$B$15,0)),"")</f>
        <v/>
      </c>
    </row>
    <row r="38" spans="2:38" x14ac:dyDescent="0.25">
      <c r="B38" s="101">
        <v>29</v>
      </c>
      <c r="C38" s="142"/>
      <c r="D38" s="142"/>
      <c r="E38" s="119"/>
      <c r="F38" s="329" t="str">
        <f>IF(D38="","",VLOOKUP(D38,'G-6 Hedgerow Data'!$B$2:$AG$15,2,FALSE))</f>
        <v/>
      </c>
      <c r="G38" s="282" t="str">
        <f>IF(D38="","",VLOOKUP(D38,'G-6 Hedgerow Data'!$B$2:$AG$15,3,FALSE))</f>
        <v/>
      </c>
      <c r="H38" s="105"/>
      <c r="I38" s="282" t="str">
        <f>IFERROR(IF(AND(D38&lt;&gt;"",H38=""),"Check data ⚠", IF(H38="","",IF(AND(D38="Non-native and ornamental hedgerow", H38&lt;&gt;"Poor"),"Not possible ▲", (VLOOKUP(H38,'G-1 All Habitats'!$Z$2:$AA$9,2,FALSE))))),"")</f>
        <v/>
      </c>
      <c r="J38" s="105"/>
      <c r="K38" s="289" t="str">
        <f>IF(AND(D38&lt;&gt;"",J38=""),"Check data ⚠", IF(J38="","",IF(VLOOKUP(J38,'G-3 Multipliers'!$L$3:$N$6,2,FALSE)=0,"Spatial Data Missing",VLOOKUP(J38,'G-3 Multipliers'!$L$3:$N$6,2,FALSE))))</f>
        <v/>
      </c>
      <c r="L38" s="287" t="str">
        <f>IF(J38="","",IF(VLOOKUP(J38,'G-3 Multipliers'!$L$3:$N$6,3,FALSE)=0,"Spatial Data Missing ⚠",VLOOKUP(J38,'G-3 Multipliers'!$L$3:$N$6,3,FALSE)))</f>
        <v/>
      </c>
      <c r="M38" s="288" t="str">
        <f>IF(D38="","",VLOOKUP(D38,'G-6 Hedgerow Data'!$B$1:$AH$15,33,FALSE))</f>
        <v/>
      </c>
      <c r="N38" s="295" t="str">
        <f t="shared" si="2"/>
        <v/>
      </c>
      <c r="O38" s="32"/>
      <c r="P38" s="447"/>
      <c r="Q38" s="142"/>
      <c r="R38" s="312" t="str">
        <f t="shared" si="3"/>
        <v/>
      </c>
      <c r="S38" s="312" t="str">
        <f t="shared" si="4"/>
        <v/>
      </c>
      <c r="T38" s="312" t="str">
        <f t="shared" si="5"/>
        <v/>
      </c>
      <c r="U38" s="333" t="str">
        <f t="shared" si="6"/>
        <v/>
      </c>
      <c r="V38" s="109"/>
      <c r="W38" s="108"/>
      <c r="X38" s="108"/>
      <c r="AE38" s="111" t="str">
        <f t="shared" si="0"/>
        <v/>
      </c>
      <c r="AF38" s="111" t="str">
        <f t="shared" si="1"/>
        <v/>
      </c>
      <c r="AH38" s="111">
        <v>29</v>
      </c>
      <c r="AJ38" s="111" t="str">
        <f t="array" ref="AJ38">IFERROR(INDEX($AH$10:$AH$258, MATCH(0, IF(TRUE=$AE$10:$AE$258, COUNTIF($AJ$9:$AJ37, $AH$10:$AH$258), ""), 0)),"")</f>
        <v/>
      </c>
      <c r="AK38" s="111" t="str">
        <f t="array" ref="AK38">IFERROR(INDEX($AH$10:$AH$258, MATCH(0, IF(TRUE=$AF$10:$AF$258, COUNTIF($AK$9:$AK37, $AH$10:$AH$258), ""), 0)),"")</f>
        <v/>
      </c>
      <c r="AL38" s="30" t="str">
        <f>IFERROR(INDEX('G-6 Hedgerow Data'!$BJ$3:$BJ$15,MATCH(D38,'G-6 Hedgerow Data'!$B$3:$B$15,0)),"")</f>
        <v/>
      </c>
    </row>
    <row r="39" spans="2:38" x14ac:dyDescent="0.25">
      <c r="B39" s="101">
        <v>30</v>
      </c>
      <c r="C39" s="142"/>
      <c r="D39" s="142"/>
      <c r="E39" s="119"/>
      <c r="F39" s="329" t="str">
        <f>IF(D39="","",VLOOKUP(D39,'G-6 Hedgerow Data'!$B$2:$AG$15,2,FALSE))</f>
        <v/>
      </c>
      <c r="G39" s="282" t="str">
        <f>IF(D39="","",VLOOKUP(D39,'G-6 Hedgerow Data'!$B$2:$AG$15,3,FALSE))</f>
        <v/>
      </c>
      <c r="H39" s="105"/>
      <c r="I39" s="282" t="str">
        <f>IFERROR(IF(AND(D39&lt;&gt;"",H39=""),"Check data ⚠", IF(H39="","",IF(AND(D39="Non-native and ornamental hedgerow", H39&lt;&gt;"Poor"),"Not possible ▲", (VLOOKUP(H39,'G-1 All Habitats'!$Z$2:$AA$9,2,FALSE))))),"")</f>
        <v/>
      </c>
      <c r="J39" s="105"/>
      <c r="K39" s="289" t="str">
        <f>IF(AND(D39&lt;&gt;"",J39=""),"Check data ⚠", IF(J39="","",IF(VLOOKUP(J39,'G-3 Multipliers'!$L$3:$N$6,2,FALSE)=0,"Spatial Data Missing",VLOOKUP(J39,'G-3 Multipliers'!$L$3:$N$6,2,FALSE))))</f>
        <v/>
      </c>
      <c r="L39" s="287" t="str">
        <f>IF(J39="","",IF(VLOOKUP(J39,'G-3 Multipliers'!$L$3:$N$6,3,FALSE)=0,"Spatial Data Missing ⚠",VLOOKUP(J39,'G-3 Multipliers'!$L$3:$N$6,3,FALSE)))</f>
        <v/>
      </c>
      <c r="M39" s="288" t="str">
        <f>IF(D39="","",VLOOKUP(D39,'G-6 Hedgerow Data'!$B$1:$AH$15,33,FALSE))</f>
        <v/>
      </c>
      <c r="N39" s="295" t="str">
        <f t="shared" si="2"/>
        <v/>
      </c>
      <c r="O39" s="32"/>
      <c r="P39" s="447"/>
      <c r="Q39" s="142"/>
      <c r="R39" s="312" t="str">
        <f t="shared" si="3"/>
        <v/>
      </c>
      <c r="S39" s="312" t="str">
        <f t="shared" si="4"/>
        <v/>
      </c>
      <c r="T39" s="312" t="str">
        <f t="shared" si="5"/>
        <v/>
      </c>
      <c r="U39" s="333" t="str">
        <f t="shared" si="6"/>
        <v/>
      </c>
      <c r="V39" s="109"/>
      <c r="W39" s="108"/>
      <c r="X39" s="108"/>
      <c r="AE39" s="111" t="str">
        <f t="shared" si="0"/>
        <v/>
      </c>
      <c r="AF39" s="111" t="str">
        <f t="shared" si="1"/>
        <v/>
      </c>
      <c r="AH39" s="111">
        <v>30</v>
      </c>
      <c r="AJ39" s="111" t="str">
        <f t="array" ref="AJ39">IFERROR(INDEX($AH$10:$AH$258, MATCH(0, IF(TRUE=$AE$10:$AE$258, COUNTIF($AJ$9:$AJ38, $AH$10:$AH$258), ""), 0)),"")</f>
        <v/>
      </c>
      <c r="AK39" s="111" t="str">
        <f t="array" ref="AK39">IFERROR(INDEX($AH$10:$AH$258, MATCH(0, IF(TRUE=$AF$10:$AF$258, COUNTIF($AK$9:$AK38, $AH$10:$AH$258), ""), 0)),"")</f>
        <v/>
      </c>
      <c r="AL39" s="30" t="str">
        <f>IFERROR(INDEX('G-6 Hedgerow Data'!$BJ$3:$BJ$15,MATCH(D39,'G-6 Hedgerow Data'!$B$3:$B$15,0)),"")</f>
        <v/>
      </c>
    </row>
    <row r="40" spans="2:38" x14ac:dyDescent="0.25">
      <c r="B40" s="101">
        <v>31</v>
      </c>
      <c r="C40" s="142"/>
      <c r="D40" s="142"/>
      <c r="E40" s="119"/>
      <c r="F40" s="329" t="str">
        <f>IF(D40="","",VLOOKUP(D40,'G-6 Hedgerow Data'!$B$2:$AG$15,2,FALSE))</f>
        <v/>
      </c>
      <c r="G40" s="282" t="str">
        <f>IF(D40="","",VLOOKUP(D40,'G-6 Hedgerow Data'!$B$2:$AG$15,3,FALSE))</f>
        <v/>
      </c>
      <c r="H40" s="105"/>
      <c r="I40" s="282" t="str">
        <f>IFERROR(IF(AND(D40&lt;&gt;"",H40=""),"Check data ⚠", IF(H40="","",IF(AND(D40="Non-native and ornamental hedgerow", H40&lt;&gt;"Poor"),"Not possible ▲", (VLOOKUP(H40,'G-1 All Habitats'!$Z$2:$AA$9,2,FALSE))))),"")</f>
        <v/>
      </c>
      <c r="J40" s="105"/>
      <c r="K40" s="289" t="str">
        <f>IF(AND(D40&lt;&gt;"",J40=""),"Check data ⚠", IF(J40="","",IF(VLOOKUP(J40,'G-3 Multipliers'!$L$3:$N$6,2,FALSE)=0,"Spatial Data Missing",VLOOKUP(J40,'G-3 Multipliers'!$L$3:$N$6,2,FALSE))))</f>
        <v/>
      </c>
      <c r="L40" s="287" t="str">
        <f>IF(J40="","",IF(VLOOKUP(J40,'G-3 Multipliers'!$L$3:$N$6,3,FALSE)=0,"Spatial Data Missing ⚠",VLOOKUP(J40,'G-3 Multipliers'!$L$3:$N$6,3,FALSE)))</f>
        <v/>
      </c>
      <c r="M40" s="288" t="str">
        <f>IF(D40="","",VLOOKUP(D40,'G-6 Hedgerow Data'!$B$1:$AH$15,33,FALSE))</f>
        <v/>
      </c>
      <c r="N40" s="295" t="str">
        <f t="shared" si="2"/>
        <v/>
      </c>
      <c r="O40" s="32"/>
      <c r="P40" s="447"/>
      <c r="Q40" s="142"/>
      <c r="R40" s="312" t="str">
        <f t="shared" si="3"/>
        <v/>
      </c>
      <c r="S40" s="312" t="str">
        <f t="shared" si="4"/>
        <v/>
      </c>
      <c r="T40" s="312" t="str">
        <f t="shared" si="5"/>
        <v/>
      </c>
      <c r="U40" s="333" t="str">
        <f t="shared" si="6"/>
        <v/>
      </c>
      <c r="V40" s="109"/>
      <c r="W40" s="108"/>
      <c r="X40" s="108"/>
      <c r="AE40" s="111" t="str">
        <f t="shared" si="0"/>
        <v/>
      </c>
      <c r="AF40" s="111" t="str">
        <f t="shared" si="1"/>
        <v/>
      </c>
      <c r="AH40" s="111">
        <v>31</v>
      </c>
      <c r="AJ40" s="111" t="str">
        <f t="array" ref="AJ40">IFERROR(INDEX($AH$10:$AH$258, MATCH(0, IF(TRUE=$AE$10:$AE$258, COUNTIF($AJ$9:$AJ39, $AH$10:$AH$258), ""), 0)),"")</f>
        <v/>
      </c>
      <c r="AK40" s="111" t="str">
        <f t="array" ref="AK40">IFERROR(INDEX($AH$10:$AH$258, MATCH(0, IF(TRUE=$AF$10:$AF$258, COUNTIF($AK$9:$AK39, $AH$10:$AH$258), ""), 0)),"")</f>
        <v/>
      </c>
      <c r="AL40" s="30" t="str">
        <f>IFERROR(INDEX('G-6 Hedgerow Data'!$BJ$3:$BJ$15,MATCH(D40,'G-6 Hedgerow Data'!$B$3:$B$15,0)),"")</f>
        <v/>
      </c>
    </row>
    <row r="41" spans="2:38" x14ac:dyDescent="0.25">
      <c r="B41" s="101">
        <v>32</v>
      </c>
      <c r="C41" s="142"/>
      <c r="D41" s="142"/>
      <c r="E41" s="119"/>
      <c r="F41" s="329" t="str">
        <f>IF(D41="","",VLOOKUP(D41,'G-6 Hedgerow Data'!$B$2:$AG$15,2,FALSE))</f>
        <v/>
      </c>
      <c r="G41" s="282" t="str">
        <f>IF(D41="","",VLOOKUP(D41,'G-6 Hedgerow Data'!$B$2:$AG$15,3,FALSE))</f>
        <v/>
      </c>
      <c r="H41" s="105"/>
      <c r="I41" s="282" t="str">
        <f>IFERROR(IF(AND(D41&lt;&gt;"",H41=""),"Check data ⚠", IF(H41="","",IF(AND(D41="Non-native and ornamental hedgerow", H41&lt;&gt;"Poor"),"Not possible ▲", (VLOOKUP(H41,'G-1 All Habitats'!$Z$2:$AA$9,2,FALSE))))),"")</f>
        <v/>
      </c>
      <c r="J41" s="105"/>
      <c r="K41" s="289" t="str">
        <f>IF(AND(D41&lt;&gt;"",J41=""),"Check data ⚠", IF(J41="","",IF(VLOOKUP(J41,'G-3 Multipliers'!$L$3:$N$6,2,FALSE)=0,"Spatial Data Missing",VLOOKUP(J41,'G-3 Multipliers'!$L$3:$N$6,2,FALSE))))</f>
        <v/>
      </c>
      <c r="L41" s="287" t="str">
        <f>IF(J41="","",IF(VLOOKUP(J41,'G-3 Multipliers'!$L$3:$N$6,3,FALSE)=0,"Spatial Data Missing ⚠",VLOOKUP(J41,'G-3 Multipliers'!$L$3:$N$6,3,FALSE)))</f>
        <v/>
      </c>
      <c r="M41" s="288" t="str">
        <f>IF(D41="","",VLOOKUP(D41,'G-6 Hedgerow Data'!$B$1:$AH$15,33,FALSE))</f>
        <v/>
      </c>
      <c r="N41" s="295" t="str">
        <f t="shared" si="2"/>
        <v/>
      </c>
      <c r="O41" s="32"/>
      <c r="P41" s="447"/>
      <c r="Q41" s="142"/>
      <c r="R41" s="312" t="str">
        <f t="shared" si="3"/>
        <v/>
      </c>
      <c r="S41" s="312" t="str">
        <f t="shared" si="4"/>
        <v/>
      </c>
      <c r="T41" s="312" t="str">
        <f t="shared" si="5"/>
        <v/>
      </c>
      <c r="U41" s="333" t="str">
        <f t="shared" si="6"/>
        <v/>
      </c>
      <c r="V41" s="109"/>
      <c r="W41" s="108"/>
      <c r="X41" s="108"/>
      <c r="AE41" s="111" t="str">
        <f t="shared" si="0"/>
        <v/>
      </c>
      <c r="AF41" s="111" t="str">
        <f t="shared" si="1"/>
        <v/>
      </c>
      <c r="AH41" s="111">
        <v>32</v>
      </c>
      <c r="AJ41" s="111" t="str">
        <f t="array" ref="AJ41">IFERROR(INDEX($AH$10:$AH$258, MATCH(0, IF(TRUE=$AE$10:$AE$258, COUNTIF($AJ$9:$AJ40, $AH$10:$AH$258), ""), 0)),"")</f>
        <v/>
      </c>
      <c r="AK41" s="111" t="str">
        <f t="array" ref="AK41">IFERROR(INDEX($AH$10:$AH$258, MATCH(0, IF(TRUE=$AF$10:$AF$258, COUNTIF($AK$9:$AK40, $AH$10:$AH$258), ""), 0)),"")</f>
        <v/>
      </c>
      <c r="AL41" s="30" t="str">
        <f>IFERROR(INDEX('G-6 Hedgerow Data'!$BJ$3:$BJ$15,MATCH(D41,'G-6 Hedgerow Data'!$B$3:$B$15,0)),"")</f>
        <v/>
      </c>
    </row>
    <row r="42" spans="2:38" x14ac:dyDescent="0.25">
      <c r="B42" s="101">
        <v>33</v>
      </c>
      <c r="C42" s="142"/>
      <c r="D42" s="142"/>
      <c r="E42" s="119"/>
      <c r="F42" s="329" t="str">
        <f>IF(D42="","",VLOOKUP(D42,'G-6 Hedgerow Data'!$B$2:$AG$15,2,FALSE))</f>
        <v/>
      </c>
      <c r="G42" s="282" t="str">
        <f>IF(D42="","",VLOOKUP(D42,'G-6 Hedgerow Data'!$B$2:$AG$15,3,FALSE))</f>
        <v/>
      </c>
      <c r="H42" s="105"/>
      <c r="I42" s="282" t="str">
        <f>IFERROR(IF(AND(D42&lt;&gt;"",H42=""),"Check data ⚠", IF(H42="","",IF(AND(D42="Non-native and ornamental hedgerow", H42&lt;&gt;"Poor"),"Not possible ▲", (VLOOKUP(H42,'G-1 All Habitats'!$Z$2:$AA$9,2,FALSE))))),"")</f>
        <v/>
      </c>
      <c r="J42" s="105"/>
      <c r="K42" s="289" t="str">
        <f>IF(AND(D42&lt;&gt;"",J42=""),"Check data ⚠", IF(J42="","",IF(VLOOKUP(J42,'G-3 Multipliers'!$L$3:$N$6,2,FALSE)=0,"Spatial Data Missing",VLOOKUP(J42,'G-3 Multipliers'!$L$3:$N$6,2,FALSE))))</f>
        <v/>
      </c>
      <c r="L42" s="287" t="str">
        <f>IF(J42="","",IF(VLOOKUP(J42,'G-3 Multipliers'!$L$3:$N$6,3,FALSE)=0,"Spatial Data Missing ⚠",VLOOKUP(J42,'G-3 Multipliers'!$L$3:$N$6,3,FALSE)))</f>
        <v/>
      </c>
      <c r="M42" s="288" t="str">
        <f>IF(D42="","",VLOOKUP(D42,'G-6 Hedgerow Data'!$B$1:$AH$15,33,FALSE))</f>
        <v/>
      </c>
      <c r="N42" s="295" t="str">
        <f t="shared" si="2"/>
        <v/>
      </c>
      <c r="O42" s="32"/>
      <c r="P42" s="447"/>
      <c r="Q42" s="142"/>
      <c r="R42" s="312" t="str">
        <f t="shared" si="3"/>
        <v/>
      </c>
      <c r="S42" s="312" t="str">
        <f t="shared" si="4"/>
        <v/>
      </c>
      <c r="T42" s="312" t="str">
        <f t="shared" si="5"/>
        <v/>
      </c>
      <c r="U42" s="333" t="str">
        <f t="shared" si="6"/>
        <v/>
      </c>
      <c r="V42" s="109"/>
      <c r="W42" s="108"/>
      <c r="X42" s="108"/>
      <c r="AE42" s="111" t="str">
        <f t="shared" si="0"/>
        <v/>
      </c>
      <c r="AF42" s="111" t="str">
        <f t="shared" si="1"/>
        <v/>
      </c>
      <c r="AH42" s="111">
        <v>33</v>
      </c>
      <c r="AJ42" s="111" t="str">
        <f t="array" ref="AJ42">IFERROR(INDEX($AH$10:$AH$258, MATCH(0, IF(TRUE=$AE$10:$AE$258, COUNTIF($AJ$9:$AJ41, $AH$10:$AH$258), ""), 0)),"")</f>
        <v/>
      </c>
      <c r="AK42" s="111" t="str">
        <f t="array" ref="AK42">IFERROR(INDEX($AH$10:$AH$258, MATCH(0, IF(TRUE=$AF$10:$AF$258, COUNTIF($AK$9:$AK41, $AH$10:$AH$258), ""), 0)),"")</f>
        <v/>
      </c>
      <c r="AL42" s="30" t="str">
        <f>IFERROR(INDEX('G-6 Hedgerow Data'!$BJ$3:$BJ$15,MATCH(D42,'G-6 Hedgerow Data'!$B$3:$B$15,0)),"")</f>
        <v/>
      </c>
    </row>
    <row r="43" spans="2:38" x14ac:dyDescent="0.25">
      <c r="B43" s="101">
        <v>34</v>
      </c>
      <c r="C43" s="142"/>
      <c r="D43" s="142"/>
      <c r="E43" s="119"/>
      <c r="F43" s="329" t="str">
        <f>IF(D43="","",VLOOKUP(D43,'G-6 Hedgerow Data'!$B$2:$AG$15,2,FALSE))</f>
        <v/>
      </c>
      <c r="G43" s="282" t="str">
        <f>IF(D43="","",VLOOKUP(D43,'G-6 Hedgerow Data'!$B$2:$AG$15,3,FALSE))</f>
        <v/>
      </c>
      <c r="H43" s="105"/>
      <c r="I43" s="282" t="str">
        <f>IFERROR(IF(AND(D43&lt;&gt;"",H43=""),"Check data ⚠", IF(H43="","",IF(AND(D43="Non-native and ornamental hedgerow", H43&lt;&gt;"Poor"),"Not possible ▲", (VLOOKUP(H43,'G-1 All Habitats'!$Z$2:$AA$9,2,FALSE))))),"")</f>
        <v/>
      </c>
      <c r="J43" s="105"/>
      <c r="K43" s="289" t="str">
        <f>IF(AND(D43&lt;&gt;"",J43=""),"Check data ⚠", IF(J43="","",IF(VLOOKUP(J43,'G-3 Multipliers'!$L$3:$N$6,2,FALSE)=0,"Spatial Data Missing",VLOOKUP(J43,'G-3 Multipliers'!$L$3:$N$6,2,FALSE))))</f>
        <v/>
      </c>
      <c r="L43" s="287" t="str">
        <f>IF(J43="","",IF(VLOOKUP(J43,'G-3 Multipliers'!$L$3:$N$6,3,FALSE)=0,"Spatial Data Missing ⚠",VLOOKUP(J43,'G-3 Multipliers'!$L$3:$N$6,3,FALSE)))</f>
        <v/>
      </c>
      <c r="M43" s="288" t="str">
        <f>IF(D43="","",VLOOKUP(D43,'G-6 Hedgerow Data'!$B$1:$AH$15,33,FALSE))</f>
        <v/>
      </c>
      <c r="N43" s="295" t="str">
        <f t="shared" si="2"/>
        <v/>
      </c>
      <c r="O43" s="32"/>
      <c r="P43" s="447"/>
      <c r="Q43" s="142"/>
      <c r="R43" s="312" t="str">
        <f t="shared" si="3"/>
        <v/>
      </c>
      <c r="S43" s="312" t="str">
        <f t="shared" si="4"/>
        <v/>
      </c>
      <c r="T43" s="312" t="str">
        <f t="shared" si="5"/>
        <v/>
      </c>
      <c r="U43" s="333" t="str">
        <f t="shared" si="6"/>
        <v/>
      </c>
      <c r="V43" s="109"/>
      <c r="W43" s="108"/>
      <c r="X43" s="108"/>
      <c r="AE43" s="111" t="str">
        <f t="shared" si="0"/>
        <v/>
      </c>
      <c r="AF43" s="111" t="str">
        <f t="shared" si="1"/>
        <v/>
      </c>
      <c r="AH43" s="111">
        <v>34</v>
      </c>
      <c r="AJ43" s="111" t="str">
        <f t="array" ref="AJ43">IFERROR(INDEX($AH$10:$AH$258, MATCH(0, IF(TRUE=$AE$10:$AE$258, COUNTIF($AJ$9:$AJ42, $AH$10:$AH$258), ""), 0)),"")</f>
        <v/>
      </c>
      <c r="AK43" s="111" t="str">
        <f t="array" ref="AK43">IFERROR(INDEX($AH$10:$AH$258, MATCH(0, IF(TRUE=$AF$10:$AF$258, COUNTIF($AK$9:$AK42, $AH$10:$AH$258), ""), 0)),"")</f>
        <v/>
      </c>
      <c r="AL43" s="30" t="str">
        <f>IFERROR(INDEX('G-6 Hedgerow Data'!$BJ$3:$BJ$15,MATCH(D43,'G-6 Hedgerow Data'!$B$3:$B$15,0)),"")</f>
        <v/>
      </c>
    </row>
    <row r="44" spans="2:38" x14ac:dyDescent="0.25">
      <c r="B44" s="101">
        <v>35</v>
      </c>
      <c r="C44" s="142"/>
      <c r="D44" s="142"/>
      <c r="E44" s="108"/>
      <c r="F44" s="329" t="str">
        <f>IF(D44="","",VLOOKUP(D44,'G-6 Hedgerow Data'!$B$2:$AG$15,2,FALSE))</f>
        <v/>
      </c>
      <c r="G44" s="282" t="str">
        <f>IF(D44="","",VLOOKUP(D44,'G-6 Hedgerow Data'!$B$2:$AG$15,3,FALSE))</f>
        <v/>
      </c>
      <c r="H44" s="105"/>
      <c r="I44" s="282" t="str">
        <f>IFERROR(IF(AND(D44&lt;&gt;"",H44=""),"Check data ⚠", IF(H44="","",IF(AND(D44="Non-native and ornamental hedgerow", H44&lt;&gt;"Poor"),"Not possible ▲", (VLOOKUP(H44,'G-1 All Habitats'!$Z$2:$AA$9,2,FALSE))))),"")</f>
        <v/>
      </c>
      <c r="J44" s="105"/>
      <c r="K44" s="289" t="str">
        <f>IF(AND(D44&lt;&gt;"",J44=""),"Check data ⚠", IF(J44="","",IF(VLOOKUP(J44,'G-3 Multipliers'!$L$3:$N$6,2,FALSE)=0,"Spatial Data Missing",VLOOKUP(J44,'G-3 Multipliers'!$L$3:$N$6,2,FALSE))))</f>
        <v/>
      </c>
      <c r="L44" s="287" t="str">
        <f>IF(J44="","",IF(VLOOKUP(J44,'G-3 Multipliers'!$L$3:$N$6,3,FALSE)=0,"Spatial Data Missing ⚠",VLOOKUP(J44,'G-3 Multipliers'!$L$3:$N$6,3,FALSE)))</f>
        <v/>
      </c>
      <c r="M44" s="288" t="str">
        <f>IF(D44="","",VLOOKUP(D44,'G-6 Hedgerow Data'!$B$1:$AH$15,33,FALSE))</f>
        <v/>
      </c>
      <c r="N44" s="295" t="str">
        <f t="shared" si="2"/>
        <v/>
      </c>
      <c r="O44" s="32"/>
      <c r="P44" s="447"/>
      <c r="Q44" s="142"/>
      <c r="R44" s="312" t="str">
        <f t="shared" si="3"/>
        <v/>
      </c>
      <c r="S44" s="312" t="str">
        <f t="shared" si="4"/>
        <v/>
      </c>
      <c r="T44" s="312" t="str">
        <f t="shared" si="5"/>
        <v/>
      </c>
      <c r="U44" s="333" t="str">
        <f t="shared" si="6"/>
        <v/>
      </c>
      <c r="V44" s="109"/>
      <c r="W44" s="108"/>
      <c r="X44" s="108"/>
      <c r="AE44" s="111" t="str">
        <f t="shared" si="0"/>
        <v/>
      </c>
      <c r="AF44" s="111" t="str">
        <f t="shared" si="1"/>
        <v/>
      </c>
      <c r="AH44" s="111">
        <v>35</v>
      </c>
      <c r="AJ44" s="111" t="str">
        <f t="array" ref="AJ44">IFERROR(INDEX($AH$10:$AH$258, MATCH(0, IF(TRUE=$AE$10:$AE$258, COUNTIF($AJ$9:$AJ43, $AH$10:$AH$258), ""), 0)),"")</f>
        <v/>
      </c>
      <c r="AK44" s="111" t="str">
        <f t="array" ref="AK44">IFERROR(INDEX($AH$10:$AH$258, MATCH(0, IF(TRUE=$AF$10:$AF$258, COUNTIF($AK$9:$AK43, $AH$10:$AH$258), ""), 0)),"")</f>
        <v/>
      </c>
      <c r="AL44" s="30" t="str">
        <f>IFERROR(INDEX('G-6 Hedgerow Data'!$BJ$3:$BJ$15,MATCH(D44,'G-6 Hedgerow Data'!$B$3:$B$15,0)),"")</f>
        <v/>
      </c>
    </row>
    <row r="45" spans="2:38" x14ac:dyDescent="0.25">
      <c r="B45" s="101">
        <v>36</v>
      </c>
      <c r="C45" s="142"/>
      <c r="D45" s="142"/>
      <c r="E45" s="108"/>
      <c r="F45" s="329" t="str">
        <f>IF(D45="","",VLOOKUP(D45,'G-6 Hedgerow Data'!$B$2:$AG$15,2,FALSE))</f>
        <v/>
      </c>
      <c r="G45" s="282" t="str">
        <f>IF(D45="","",VLOOKUP(D45,'G-6 Hedgerow Data'!$B$2:$AG$15,3,FALSE))</f>
        <v/>
      </c>
      <c r="H45" s="105"/>
      <c r="I45" s="282" t="str">
        <f>IFERROR(IF(AND(D45&lt;&gt;"",H45=""),"Check data ⚠", IF(H45="","",IF(AND(D45="Non-native and ornamental hedgerow", H45&lt;&gt;"Poor"),"Not possible ▲", (VLOOKUP(H45,'G-1 All Habitats'!$Z$2:$AA$9,2,FALSE))))),"")</f>
        <v/>
      </c>
      <c r="J45" s="105"/>
      <c r="K45" s="289" t="str">
        <f>IF(AND(D45&lt;&gt;"",J45=""),"Check data ⚠", IF(J45="","",IF(VLOOKUP(J45,'G-3 Multipliers'!$L$3:$N$6,2,FALSE)=0,"Spatial Data Missing",VLOOKUP(J45,'G-3 Multipliers'!$L$3:$N$6,2,FALSE))))</f>
        <v/>
      </c>
      <c r="L45" s="287" t="str">
        <f>IF(J45="","",IF(VLOOKUP(J45,'G-3 Multipliers'!$L$3:$N$6,3,FALSE)=0,"Spatial Data Missing ⚠",VLOOKUP(J45,'G-3 Multipliers'!$L$3:$N$6,3,FALSE)))</f>
        <v/>
      </c>
      <c r="M45" s="288" t="str">
        <f>IF(D45="","",VLOOKUP(D45,'G-6 Hedgerow Data'!$B$1:$AH$15,33,FALSE))</f>
        <v/>
      </c>
      <c r="N45" s="295" t="str">
        <f t="shared" si="2"/>
        <v/>
      </c>
      <c r="O45" s="32"/>
      <c r="P45" s="447"/>
      <c r="Q45" s="142"/>
      <c r="R45" s="312" t="str">
        <f t="shared" si="3"/>
        <v/>
      </c>
      <c r="S45" s="312" t="str">
        <f t="shared" si="4"/>
        <v/>
      </c>
      <c r="T45" s="312" t="str">
        <f t="shared" si="5"/>
        <v/>
      </c>
      <c r="U45" s="333" t="str">
        <f t="shared" si="6"/>
        <v/>
      </c>
      <c r="V45" s="109"/>
      <c r="W45" s="108"/>
      <c r="X45" s="108"/>
      <c r="AE45" s="111" t="str">
        <f t="shared" si="0"/>
        <v/>
      </c>
      <c r="AF45" s="111" t="str">
        <f t="shared" si="1"/>
        <v/>
      </c>
      <c r="AH45" s="111">
        <v>36</v>
      </c>
      <c r="AJ45" s="111" t="str">
        <f t="array" ref="AJ45">IFERROR(INDEX($AH$10:$AH$258, MATCH(0, IF(TRUE=$AE$10:$AE$258, COUNTIF($AJ$9:$AJ44, $AH$10:$AH$258), ""), 0)),"")</f>
        <v/>
      </c>
      <c r="AK45" s="111" t="str">
        <f t="array" ref="AK45">IFERROR(INDEX($AH$10:$AH$258, MATCH(0, IF(TRUE=$AF$10:$AF$258, COUNTIF($AK$9:$AK44, $AH$10:$AH$258), ""), 0)),"")</f>
        <v/>
      </c>
      <c r="AL45" s="30" t="str">
        <f>IFERROR(INDEX('G-6 Hedgerow Data'!$BJ$3:$BJ$15,MATCH(D45,'G-6 Hedgerow Data'!$B$3:$B$15,0)),"")</f>
        <v/>
      </c>
    </row>
    <row r="46" spans="2:38" x14ac:dyDescent="0.25">
      <c r="B46" s="101">
        <v>37</v>
      </c>
      <c r="C46" s="142"/>
      <c r="D46" s="142"/>
      <c r="E46" s="108"/>
      <c r="F46" s="329" t="str">
        <f>IF(D46="","",VLOOKUP(D46,'G-6 Hedgerow Data'!$B$2:$AG$15,2,FALSE))</f>
        <v/>
      </c>
      <c r="G46" s="282" t="str">
        <f>IF(D46="","",VLOOKUP(D46,'G-6 Hedgerow Data'!$B$2:$AG$15,3,FALSE))</f>
        <v/>
      </c>
      <c r="H46" s="105"/>
      <c r="I46" s="282" t="str">
        <f>IFERROR(IF(AND(D46&lt;&gt;"",H46=""),"Check data ⚠", IF(H46="","",IF(AND(D46="Non-native and ornamental hedgerow", H46&lt;&gt;"Poor"),"Not possible ▲", (VLOOKUP(H46,'G-1 All Habitats'!$Z$2:$AA$9,2,FALSE))))),"")</f>
        <v/>
      </c>
      <c r="J46" s="105"/>
      <c r="K46" s="289" t="str">
        <f>IF(AND(D46&lt;&gt;"",J46=""),"Check data ⚠", IF(J46="","",IF(VLOOKUP(J46,'G-3 Multipliers'!$L$3:$N$6,2,FALSE)=0,"Spatial Data Missing",VLOOKUP(J46,'G-3 Multipliers'!$L$3:$N$6,2,FALSE))))</f>
        <v/>
      </c>
      <c r="L46" s="287" t="str">
        <f>IF(J46="","",IF(VLOOKUP(J46,'G-3 Multipliers'!$L$3:$N$6,3,FALSE)=0,"Spatial Data Missing ⚠",VLOOKUP(J46,'G-3 Multipliers'!$L$3:$N$6,3,FALSE)))</f>
        <v/>
      </c>
      <c r="M46" s="288" t="str">
        <f>IF(D46="","",VLOOKUP(D46,'G-6 Hedgerow Data'!$B$1:$AH$15,33,FALSE))</f>
        <v/>
      </c>
      <c r="N46" s="295" t="str">
        <f t="shared" si="2"/>
        <v/>
      </c>
      <c r="O46" s="32"/>
      <c r="P46" s="447"/>
      <c r="Q46" s="142"/>
      <c r="R46" s="312" t="str">
        <f t="shared" si="3"/>
        <v/>
      </c>
      <c r="S46" s="312" t="str">
        <f t="shared" si="4"/>
        <v/>
      </c>
      <c r="T46" s="312" t="str">
        <f t="shared" si="5"/>
        <v/>
      </c>
      <c r="U46" s="333" t="str">
        <f t="shared" si="6"/>
        <v/>
      </c>
      <c r="V46" s="109"/>
      <c r="W46" s="108"/>
      <c r="X46" s="108"/>
      <c r="AE46" s="111" t="str">
        <f t="shared" si="0"/>
        <v/>
      </c>
      <c r="AF46" s="111" t="str">
        <f t="shared" si="1"/>
        <v/>
      </c>
      <c r="AH46" s="111">
        <v>37</v>
      </c>
      <c r="AJ46" s="111" t="str">
        <f t="array" ref="AJ46">IFERROR(INDEX($AH$10:$AH$258, MATCH(0, IF(TRUE=$AE$10:$AE$258, COUNTIF($AJ$9:$AJ45, $AH$10:$AH$258), ""), 0)),"")</f>
        <v/>
      </c>
      <c r="AK46" s="111" t="str">
        <f t="array" ref="AK46">IFERROR(INDEX($AH$10:$AH$258, MATCH(0, IF(TRUE=$AF$10:$AF$258, COUNTIF($AK$9:$AK45, $AH$10:$AH$258), ""), 0)),"")</f>
        <v/>
      </c>
      <c r="AL46" s="30" t="str">
        <f>IFERROR(INDEX('G-6 Hedgerow Data'!$BJ$3:$BJ$15,MATCH(D46,'G-6 Hedgerow Data'!$B$3:$B$15,0)),"")</f>
        <v/>
      </c>
    </row>
    <row r="47" spans="2:38" x14ac:dyDescent="0.25">
      <c r="B47" s="101">
        <v>38</v>
      </c>
      <c r="C47" s="142"/>
      <c r="D47" s="142"/>
      <c r="E47" s="108"/>
      <c r="F47" s="329" t="str">
        <f>IF(D47="","",VLOOKUP(D47,'G-6 Hedgerow Data'!$B$2:$AG$15,2,FALSE))</f>
        <v/>
      </c>
      <c r="G47" s="282" t="str">
        <f>IF(D47="","",VLOOKUP(D47,'G-6 Hedgerow Data'!$B$2:$AG$15,3,FALSE))</f>
        <v/>
      </c>
      <c r="H47" s="105"/>
      <c r="I47" s="282" t="str">
        <f>IFERROR(IF(AND(D47&lt;&gt;"",H47=""),"Check data ⚠", IF(H47="","",IF(AND(D47="Non-native and ornamental hedgerow", H47&lt;&gt;"Poor"),"Not possible ▲", (VLOOKUP(H47,'G-1 All Habitats'!$Z$2:$AA$9,2,FALSE))))),"")</f>
        <v/>
      </c>
      <c r="J47" s="105"/>
      <c r="K47" s="289" t="str">
        <f>IF(AND(D47&lt;&gt;"",J47=""),"Check data ⚠", IF(J47="","",IF(VLOOKUP(J47,'G-3 Multipliers'!$L$3:$N$6,2,FALSE)=0,"Spatial Data Missing",VLOOKUP(J47,'G-3 Multipliers'!$L$3:$N$6,2,FALSE))))</f>
        <v/>
      </c>
      <c r="L47" s="287" t="str">
        <f>IF(J47="","",IF(VLOOKUP(J47,'G-3 Multipliers'!$L$3:$N$6,3,FALSE)=0,"Spatial Data Missing ⚠",VLOOKUP(J47,'G-3 Multipliers'!$L$3:$N$6,3,FALSE)))</f>
        <v/>
      </c>
      <c r="M47" s="288" t="str">
        <f>IF(D47="","",VLOOKUP(D47,'G-6 Hedgerow Data'!$B$1:$AH$15,33,FALSE))</f>
        <v/>
      </c>
      <c r="N47" s="295" t="str">
        <f t="shared" si="2"/>
        <v/>
      </c>
      <c r="O47" s="32"/>
      <c r="P47" s="447"/>
      <c r="Q47" s="142"/>
      <c r="R47" s="312" t="str">
        <f t="shared" si="3"/>
        <v/>
      </c>
      <c r="S47" s="312" t="str">
        <f t="shared" si="4"/>
        <v/>
      </c>
      <c r="T47" s="312" t="str">
        <f t="shared" si="5"/>
        <v/>
      </c>
      <c r="U47" s="333" t="str">
        <f t="shared" si="6"/>
        <v/>
      </c>
      <c r="V47" s="109"/>
      <c r="W47" s="108"/>
      <c r="X47" s="108"/>
      <c r="AE47" s="111" t="str">
        <f t="shared" si="0"/>
        <v/>
      </c>
      <c r="AF47" s="111" t="str">
        <f t="shared" si="1"/>
        <v/>
      </c>
      <c r="AH47" s="111">
        <v>38</v>
      </c>
      <c r="AJ47" s="111" t="str">
        <f t="array" ref="AJ47">IFERROR(INDEX($AH$10:$AH$258, MATCH(0, IF(TRUE=$AE$10:$AE$258, COUNTIF($AJ$9:$AJ46, $AH$10:$AH$258), ""), 0)),"")</f>
        <v/>
      </c>
      <c r="AK47" s="111" t="str">
        <f t="array" ref="AK47">IFERROR(INDEX($AH$10:$AH$258, MATCH(0, IF(TRUE=$AF$10:$AF$258, COUNTIF($AK$9:$AK46, $AH$10:$AH$258), ""), 0)),"")</f>
        <v/>
      </c>
      <c r="AL47" s="30" t="str">
        <f>IFERROR(INDEX('G-6 Hedgerow Data'!$BJ$3:$BJ$15,MATCH(D47,'G-6 Hedgerow Data'!$B$3:$B$15,0)),"")</f>
        <v/>
      </c>
    </row>
    <row r="48" spans="2:38" x14ac:dyDescent="0.25">
      <c r="B48" s="101">
        <v>39</v>
      </c>
      <c r="C48" s="142"/>
      <c r="D48" s="142"/>
      <c r="E48" s="108"/>
      <c r="F48" s="329" t="str">
        <f>IF(D48="","",VLOOKUP(D48,'G-6 Hedgerow Data'!$B$2:$AG$15,2,FALSE))</f>
        <v/>
      </c>
      <c r="G48" s="282" t="str">
        <f>IF(D48="","",VLOOKUP(D48,'G-6 Hedgerow Data'!$B$2:$AG$15,3,FALSE))</f>
        <v/>
      </c>
      <c r="H48" s="105"/>
      <c r="I48" s="282" t="str">
        <f>IFERROR(IF(AND(D48&lt;&gt;"",H48=""),"Check data ⚠", IF(H48="","",IF(AND(D48="Non-native and ornamental hedgerow", H48&lt;&gt;"Poor"),"Not possible ▲", (VLOOKUP(H48,'G-1 All Habitats'!$Z$2:$AA$9,2,FALSE))))),"")</f>
        <v/>
      </c>
      <c r="J48" s="105"/>
      <c r="K48" s="289" t="str">
        <f>IF(AND(D48&lt;&gt;"",J48=""),"Check data ⚠", IF(J48="","",IF(VLOOKUP(J48,'G-3 Multipliers'!$L$3:$N$6,2,FALSE)=0,"Spatial Data Missing",VLOOKUP(J48,'G-3 Multipliers'!$L$3:$N$6,2,FALSE))))</f>
        <v/>
      </c>
      <c r="L48" s="287" t="str">
        <f>IF(J48="","",IF(VLOOKUP(J48,'G-3 Multipliers'!$L$3:$N$6,3,FALSE)=0,"Spatial Data Missing ⚠",VLOOKUP(J48,'G-3 Multipliers'!$L$3:$N$6,3,FALSE)))</f>
        <v/>
      </c>
      <c r="M48" s="288" t="str">
        <f>IF(D48="","",VLOOKUP(D48,'G-6 Hedgerow Data'!$B$1:$AH$15,33,FALSE))</f>
        <v/>
      </c>
      <c r="N48" s="295" t="str">
        <f t="shared" si="2"/>
        <v/>
      </c>
      <c r="O48" s="32"/>
      <c r="P48" s="109"/>
      <c r="Q48" s="142"/>
      <c r="R48" s="312" t="str">
        <f t="shared" si="3"/>
        <v/>
      </c>
      <c r="S48" s="312" t="str">
        <f t="shared" si="4"/>
        <v/>
      </c>
      <c r="T48" s="312" t="str">
        <f t="shared" si="5"/>
        <v/>
      </c>
      <c r="U48" s="333" t="str">
        <f t="shared" si="6"/>
        <v/>
      </c>
      <c r="V48" s="109"/>
      <c r="W48" s="108"/>
      <c r="X48" s="108"/>
      <c r="AE48" s="111" t="str">
        <f t="shared" si="0"/>
        <v/>
      </c>
      <c r="AF48" s="111" t="str">
        <f t="shared" si="1"/>
        <v/>
      </c>
      <c r="AH48" s="111">
        <v>39</v>
      </c>
      <c r="AJ48" s="111" t="str">
        <f t="array" ref="AJ48">IFERROR(INDEX($AH$10:$AH$258, MATCH(0, IF(TRUE=$AE$10:$AE$258, COUNTIF($AJ$9:$AJ47, $AH$10:$AH$258), ""), 0)),"")</f>
        <v/>
      </c>
      <c r="AK48" s="111" t="str">
        <f t="array" ref="AK48">IFERROR(INDEX($AH$10:$AH$258, MATCH(0, IF(TRUE=$AF$10:$AF$258, COUNTIF($AK$9:$AK47, $AH$10:$AH$258), ""), 0)),"")</f>
        <v/>
      </c>
      <c r="AL48" s="30" t="str">
        <f>IFERROR(INDEX('G-6 Hedgerow Data'!$BJ$3:$BJ$15,MATCH(D48,'G-6 Hedgerow Data'!$B$3:$B$15,0)),"")</f>
        <v/>
      </c>
    </row>
    <row r="49" spans="2:38" x14ac:dyDescent="0.25">
      <c r="B49" s="101">
        <v>40</v>
      </c>
      <c r="C49" s="142"/>
      <c r="D49" s="142"/>
      <c r="E49" s="108"/>
      <c r="F49" s="329" t="str">
        <f>IF(D49="","",VLOOKUP(D49,'G-6 Hedgerow Data'!$B$2:$AG$15,2,FALSE))</f>
        <v/>
      </c>
      <c r="G49" s="282" t="str">
        <f>IF(D49="","",VLOOKUP(D49,'G-6 Hedgerow Data'!$B$2:$AG$15,3,FALSE))</f>
        <v/>
      </c>
      <c r="H49" s="105"/>
      <c r="I49" s="282" t="str">
        <f>IFERROR(IF(AND(D49&lt;&gt;"",H49=""),"Check data ⚠", IF(H49="","",IF(AND(D49="Non-native and ornamental hedgerow", H49&lt;&gt;"Poor"),"Not possible ▲", (VLOOKUP(H49,'G-1 All Habitats'!$Z$2:$AA$9,2,FALSE))))),"")</f>
        <v/>
      </c>
      <c r="J49" s="105"/>
      <c r="K49" s="289" t="str">
        <f>IF(AND(D49&lt;&gt;"",J49=""),"Check data ⚠", IF(J49="","",IF(VLOOKUP(J49,'G-3 Multipliers'!$L$3:$N$6,2,FALSE)=0,"Spatial Data Missing",VLOOKUP(J49,'G-3 Multipliers'!$L$3:$N$6,2,FALSE))))</f>
        <v/>
      </c>
      <c r="L49" s="287" t="str">
        <f>IF(J49="","",IF(VLOOKUP(J49,'G-3 Multipliers'!$L$3:$N$6,3,FALSE)=0,"Spatial Data Missing ⚠",VLOOKUP(J49,'G-3 Multipliers'!$L$3:$N$6,3,FALSE)))</f>
        <v/>
      </c>
      <c r="M49" s="288" t="str">
        <f>IF(D49="","",VLOOKUP(D49,'G-6 Hedgerow Data'!$B$1:$AH$15,33,FALSE))</f>
        <v/>
      </c>
      <c r="N49" s="295" t="str">
        <f t="shared" si="2"/>
        <v/>
      </c>
      <c r="O49" s="32"/>
      <c r="P49" s="109"/>
      <c r="Q49" s="142"/>
      <c r="R49" s="312" t="str">
        <f t="shared" si="3"/>
        <v/>
      </c>
      <c r="S49" s="312" t="str">
        <f t="shared" si="4"/>
        <v/>
      </c>
      <c r="T49" s="312" t="str">
        <f t="shared" si="5"/>
        <v/>
      </c>
      <c r="U49" s="333" t="str">
        <f t="shared" si="6"/>
        <v/>
      </c>
      <c r="V49" s="109"/>
      <c r="W49" s="108"/>
      <c r="X49" s="108"/>
      <c r="AE49" s="111" t="str">
        <f t="shared" si="0"/>
        <v/>
      </c>
      <c r="AF49" s="111" t="str">
        <f t="shared" si="1"/>
        <v/>
      </c>
      <c r="AH49" s="111">
        <v>40</v>
      </c>
      <c r="AJ49" s="111" t="str">
        <f t="array" ref="AJ49">IFERROR(INDEX($AH$10:$AH$258, MATCH(0, IF(TRUE=$AE$10:$AE$258, COUNTIF($AJ$9:$AJ48, $AH$10:$AH$258), ""), 0)),"")</f>
        <v/>
      </c>
      <c r="AK49" s="111" t="str">
        <f t="array" ref="AK49">IFERROR(INDEX($AH$10:$AH$258, MATCH(0, IF(TRUE=$AF$10:$AF$258, COUNTIF($AK$9:$AK48, $AH$10:$AH$258), ""), 0)),"")</f>
        <v/>
      </c>
      <c r="AL49" s="30" t="str">
        <f>IFERROR(INDEX('G-6 Hedgerow Data'!$BJ$3:$BJ$15,MATCH(D49,'G-6 Hedgerow Data'!$B$3:$B$15,0)),"")</f>
        <v/>
      </c>
    </row>
    <row r="50" spans="2:38" x14ac:dyDescent="0.25">
      <c r="B50" s="101">
        <v>41</v>
      </c>
      <c r="C50" s="142"/>
      <c r="D50" s="142"/>
      <c r="E50" s="108"/>
      <c r="F50" s="329" t="str">
        <f>IF(D50="","",VLOOKUP(D50,'G-6 Hedgerow Data'!$B$2:$AG$15,2,FALSE))</f>
        <v/>
      </c>
      <c r="G50" s="282" t="str">
        <f>IF(D50="","",VLOOKUP(D50,'G-6 Hedgerow Data'!$B$2:$AG$15,3,FALSE))</f>
        <v/>
      </c>
      <c r="H50" s="105"/>
      <c r="I50" s="282" t="str">
        <f>IFERROR(IF(AND(D50&lt;&gt;"",H50=""),"Check data ⚠", IF(H50="","",IF(AND(D50="Non-native and ornamental hedgerow", H50&lt;&gt;"Poor"),"Not possible ▲", (VLOOKUP(H50,'G-1 All Habitats'!$Z$2:$AA$9,2,FALSE))))),"")</f>
        <v/>
      </c>
      <c r="J50" s="105"/>
      <c r="K50" s="289" t="str">
        <f>IF(AND(D50&lt;&gt;"",J50=""),"Check data ⚠", IF(J50="","",IF(VLOOKUP(J50,'G-3 Multipliers'!$L$3:$N$6,2,FALSE)=0,"Spatial Data Missing",VLOOKUP(J50,'G-3 Multipliers'!$L$3:$N$6,2,FALSE))))</f>
        <v/>
      </c>
      <c r="L50" s="287" t="str">
        <f>IF(J50="","",IF(VLOOKUP(J50,'G-3 Multipliers'!$L$3:$N$6,3,FALSE)=0,"Spatial Data Missing ⚠",VLOOKUP(J50,'G-3 Multipliers'!$L$3:$N$6,3,FALSE)))</f>
        <v/>
      </c>
      <c r="M50" s="288" t="str">
        <f>IF(D50="","",VLOOKUP(D50,'G-6 Hedgerow Data'!$B$1:$AH$15,33,FALSE))</f>
        <v/>
      </c>
      <c r="N50" s="295" t="str">
        <f t="shared" si="2"/>
        <v/>
      </c>
      <c r="O50" s="32"/>
      <c r="P50" s="109"/>
      <c r="Q50" s="142"/>
      <c r="R50" s="312" t="str">
        <f t="shared" si="3"/>
        <v/>
      </c>
      <c r="S50" s="312" t="str">
        <f t="shared" si="4"/>
        <v/>
      </c>
      <c r="T50" s="312" t="str">
        <f t="shared" si="5"/>
        <v/>
      </c>
      <c r="U50" s="333" t="str">
        <f t="shared" si="6"/>
        <v/>
      </c>
      <c r="V50" s="109"/>
      <c r="W50" s="108"/>
      <c r="X50" s="108"/>
      <c r="AE50" s="111" t="str">
        <f t="shared" si="0"/>
        <v/>
      </c>
      <c r="AF50" s="111" t="str">
        <f t="shared" si="1"/>
        <v/>
      </c>
      <c r="AH50" s="111">
        <v>41</v>
      </c>
      <c r="AJ50" s="111" t="str">
        <f t="array" ref="AJ50">IFERROR(INDEX($AH$10:$AH$258, MATCH(0, IF(TRUE=$AE$10:$AE$258, COUNTIF($AJ$9:$AJ49, $AH$10:$AH$258), ""), 0)),"")</f>
        <v/>
      </c>
      <c r="AK50" s="111" t="str">
        <f t="array" ref="AK50">IFERROR(INDEX($AH$10:$AH$258, MATCH(0, IF(TRUE=$AF$10:$AF$258, COUNTIF($AK$9:$AK49, $AH$10:$AH$258), ""), 0)),"")</f>
        <v/>
      </c>
      <c r="AL50" s="30" t="str">
        <f>IFERROR(INDEX('G-6 Hedgerow Data'!$BJ$3:$BJ$15,MATCH(D50,'G-6 Hedgerow Data'!$B$3:$B$15,0)),"")</f>
        <v/>
      </c>
    </row>
    <row r="51" spans="2:38" x14ac:dyDescent="0.25">
      <c r="B51" s="101">
        <v>42</v>
      </c>
      <c r="C51" s="142"/>
      <c r="D51" s="142"/>
      <c r="E51" s="108"/>
      <c r="F51" s="329" t="str">
        <f>IF(D51="","",VLOOKUP(D51,'G-6 Hedgerow Data'!$B$2:$AG$15,2,FALSE))</f>
        <v/>
      </c>
      <c r="G51" s="282" t="str">
        <f>IF(D51="","",VLOOKUP(D51,'G-6 Hedgerow Data'!$B$2:$AG$15,3,FALSE))</f>
        <v/>
      </c>
      <c r="H51" s="105"/>
      <c r="I51" s="282" t="str">
        <f>IFERROR(IF(AND(D51&lt;&gt;"",H51=""),"Check data ⚠", IF(H51="","",IF(AND(D51="Non-native and ornamental hedgerow", H51&lt;&gt;"Poor"),"Not possible ▲", (VLOOKUP(H51,'G-1 All Habitats'!$Z$2:$AA$9,2,FALSE))))),"")</f>
        <v/>
      </c>
      <c r="J51" s="105"/>
      <c r="K51" s="289" t="str">
        <f>IF(AND(D51&lt;&gt;"",J51=""),"Check data ⚠", IF(J51="","",IF(VLOOKUP(J51,'G-3 Multipliers'!$L$3:$N$6,2,FALSE)=0,"Spatial Data Missing",VLOOKUP(J51,'G-3 Multipliers'!$L$3:$N$6,2,FALSE))))</f>
        <v/>
      </c>
      <c r="L51" s="287" t="str">
        <f>IF(J51="","",IF(VLOOKUP(J51,'G-3 Multipliers'!$L$3:$N$6,3,FALSE)=0,"Spatial Data Missing ⚠",VLOOKUP(J51,'G-3 Multipliers'!$L$3:$N$6,3,FALSE)))</f>
        <v/>
      </c>
      <c r="M51" s="288" t="str">
        <f>IF(D51="","",VLOOKUP(D51,'G-6 Hedgerow Data'!$B$1:$AH$15,33,FALSE))</f>
        <v/>
      </c>
      <c r="N51" s="295" t="str">
        <f t="shared" si="2"/>
        <v/>
      </c>
      <c r="O51" s="32"/>
      <c r="P51" s="109"/>
      <c r="Q51" s="142"/>
      <c r="R51" s="312" t="str">
        <f t="shared" si="3"/>
        <v/>
      </c>
      <c r="S51" s="312" t="str">
        <f t="shared" si="4"/>
        <v/>
      </c>
      <c r="T51" s="312" t="str">
        <f t="shared" si="5"/>
        <v/>
      </c>
      <c r="U51" s="333" t="str">
        <f t="shared" si="6"/>
        <v/>
      </c>
      <c r="V51" s="109"/>
      <c r="W51" s="108"/>
      <c r="X51" s="108"/>
      <c r="AE51" s="111" t="str">
        <f t="shared" si="0"/>
        <v/>
      </c>
      <c r="AF51" s="111" t="str">
        <f t="shared" si="1"/>
        <v/>
      </c>
      <c r="AH51" s="111">
        <v>42</v>
      </c>
      <c r="AJ51" s="111" t="str">
        <f t="array" ref="AJ51">IFERROR(INDEX($AH$10:$AH$258, MATCH(0, IF(TRUE=$AE$10:$AE$258, COUNTIF($AJ$9:$AJ50, $AH$10:$AH$258), ""), 0)),"")</f>
        <v/>
      </c>
      <c r="AK51" s="111" t="str">
        <f t="array" ref="AK51">IFERROR(INDEX($AH$10:$AH$258, MATCH(0, IF(TRUE=$AF$10:$AF$258, COUNTIF($AK$9:$AK50, $AH$10:$AH$258), ""), 0)),"")</f>
        <v/>
      </c>
      <c r="AL51" s="30" t="str">
        <f>IFERROR(INDEX('G-6 Hedgerow Data'!$BJ$3:$BJ$15,MATCH(D51,'G-6 Hedgerow Data'!$B$3:$B$15,0)),"")</f>
        <v/>
      </c>
    </row>
    <row r="52" spans="2:38" x14ac:dyDescent="0.25">
      <c r="B52" s="101">
        <v>43</v>
      </c>
      <c r="C52" s="142"/>
      <c r="D52" s="142"/>
      <c r="E52" s="108"/>
      <c r="F52" s="329" t="str">
        <f>IF(D52="","",VLOOKUP(D52,'G-6 Hedgerow Data'!$B$2:$AG$15,2,FALSE))</f>
        <v/>
      </c>
      <c r="G52" s="282" t="str">
        <f>IF(D52="","",VLOOKUP(D52,'G-6 Hedgerow Data'!$B$2:$AG$15,3,FALSE))</f>
        <v/>
      </c>
      <c r="H52" s="105"/>
      <c r="I52" s="282" t="str">
        <f>IFERROR(IF(AND(D52&lt;&gt;"",H52=""),"Check data ⚠", IF(H52="","",IF(AND(D52="Non-native and ornamental hedgerow", H52&lt;&gt;"Poor"),"Not possible ▲", (VLOOKUP(H52,'G-1 All Habitats'!$Z$2:$AA$9,2,FALSE))))),"")</f>
        <v/>
      </c>
      <c r="J52" s="105"/>
      <c r="K52" s="289" t="str">
        <f>IF(AND(D52&lt;&gt;"",J52=""),"Check data ⚠", IF(J52="","",IF(VLOOKUP(J52,'G-3 Multipliers'!$L$3:$N$6,2,FALSE)=0,"Spatial Data Missing",VLOOKUP(J52,'G-3 Multipliers'!$L$3:$N$6,2,FALSE))))</f>
        <v/>
      </c>
      <c r="L52" s="287" t="str">
        <f>IF(J52="","",IF(VLOOKUP(J52,'G-3 Multipliers'!$L$3:$N$6,3,FALSE)=0,"Spatial Data Missing ⚠",VLOOKUP(J52,'G-3 Multipliers'!$L$3:$N$6,3,FALSE)))</f>
        <v/>
      </c>
      <c r="M52" s="288" t="str">
        <f>IF(D52="","",VLOOKUP(D52,'G-6 Hedgerow Data'!$B$1:$AH$15,33,FALSE))</f>
        <v/>
      </c>
      <c r="N52" s="295" t="str">
        <f t="shared" si="2"/>
        <v/>
      </c>
      <c r="O52" s="32"/>
      <c r="P52" s="109"/>
      <c r="Q52" s="142"/>
      <c r="R52" s="312" t="str">
        <f t="shared" si="3"/>
        <v/>
      </c>
      <c r="S52" s="312" t="str">
        <f t="shared" si="4"/>
        <v/>
      </c>
      <c r="T52" s="312" t="str">
        <f t="shared" si="5"/>
        <v/>
      </c>
      <c r="U52" s="333" t="str">
        <f t="shared" si="6"/>
        <v/>
      </c>
      <c r="V52" s="109"/>
      <c r="W52" s="108"/>
      <c r="X52" s="108"/>
      <c r="AE52" s="111" t="str">
        <f t="shared" si="0"/>
        <v/>
      </c>
      <c r="AF52" s="111" t="str">
        <f t="shared" si="1"/>
        <v/>
      </c>
      <c r="AH52" s="111">
        <v>43</v>
      </c>
      <c r="AJ52" s="111" t="str">
        <f t="array" ref="AJ52">IFERROR(INDEX($AH$10:$AH$258, MATCH(0, IF(TRUE=$AE$10:$AE$258, COUNTIF($AJ$9:$AJ51, $AH$10:$AH$258), ""), 0)),"")</f>
        <v/>
      </c>
      <c r="AK52" s="111" t="str">
        <f t="array" ref="AK52">IFERROR(INDEX($AH$10:$AH$258, MATCH(0, IF(TRUE=$AF$10:$AF$258, COUNTIF($AK$9:$AK51, $AH$10:$AH$258), ""), 0)),"")</f>
        <v/>
      </c>
      <c r="AL52" s="30" t="str">
        <f>IFERROR(INDEX('G-6 Hedgerow Data'!$BJ$3:$BJ$15,MATCH(D52,'G-6 Hedgerow Data'!$B$3:$B$15,0)),"")</f>
        <v/>
      </c>
    </row>
    <row r="53" spans="2:38" x14ac:dyDescent="0.25">
      <c r="B53" s="101">
        <v>44</v>
      </c>
      <c r="C53" s="142"/>
      <c r="D53" s="142"/>
      <c r="E53" s="108"/>
      <c r="F53" s="329" t="str">
        <f>IF(D53="","",VLOOKUP(D53,'G-6 Hedgerow Data'!$B$2:$AG$15,2,FALSE))</f>
        <v/>
      </c>
      <c r="G53" s="282" t="str">
        <f>IF(D53="","",VLOOKUP(D53,'G-6 Hedgerow Data'!$B$2:$AG$15,3,FALSE))</f>
        <v/>
      </c>
      <c r="H53" s="105"/>
      <c r="I53" s="282" t="str">
        <f>IFERROR(IF(AND(D53&lt;&gt;"",H53=""),"Check data ⚠", IF(H53="","",IF(AND(D53="Non-native and ornamental hedgerow", H53&lt;&gt;"Poor"),"Not possible ▲", (VLOOKUP(H53,'G-1 All Habitats'!$Z$2:$AA$9,2,FALSE))))),"")</f>
        <v/>
      </c>
      <c r="J53" s="105"/>
      <c r="K53" s="289" t="str">
        <f>IF(AND(D53&lt;&gt;"",J53=""),"Check data ⚠", IF(J53="","",IF(VLOOKUP(J53,'G-3 Multipliers'!$L$3:$N$6,2,FALSE)=0,"Spatial Data Missing",VLOOKUP(J53,'G-3 Multipliers'!$L$3:$N$6,2,FALSE))))</f>
        <v/>
      </c>
      <c r="L53" s="287" t="str">
        <f>IF(J53="","",IF(VLOOKUP(J53,'G-3 Multipliers'!$L$3:$N$6,3,FALSE)=0,"Spatial Data Missing ⚠",VLOOKUP(J53,'G-3 Multipliers'!$L$3:$N$6,3,FALSE)))</f>
        <v/>
      </c>
      <c r="M53" s="288" t="str">
        <f>IF(D53="","",VLOOKUP(D53,'G-6 Hedgerow Data'!$B$1:$AH$15,33,FALSE))</f>
        <v/>
      </c>
      <c r="N53" s="295" t="str">
        <f t="shared" si="2"/>
        <v/>
      </c>
      <c r="O53" s="32"/>
      <c r="P53" s="109"/>
      <c r="Q53" s="142"/>
      <c r="R53" s="312" t="str">
        <f t="shared" si="3"/>
        <v/>
      </c>
      <c r="S53" s="312" t="str">
        <f t="shared" si="4"/>
        <v/>
      </c>
      <c r="T53" s="312" t="str">
        <f t="shared" si="5"/>
        <v/>
      </c>
      <c r="U53" s="333" t="str">
        <f t="shared" si="6"/>
        <v/>
      </c>
      <c r="V53" s="109"/>
      <c r="W53" s="108"/>
      <c r="X53" s="108"/>
      <c r="AE53" s="111" t="str">
        <f t="shared" si="0"/>
        <v/>
      </c>
      <c r="AF53" s="111" t="str">
        <f t="shared" si="1"/>
        <v/>
      </c>
      <c r="AH53" s="111">
        <v>44</v>
      </c>
      <c r="AJ53" s="111" t="str">
        <f t="array" ref="AJ53">IFERROR(INDEX($AH$10:$AH$258, MATCH(0, IF(TRUE=$AE$10:$AE$258, COUNTIF($AJ$9:$AJ52, $AH$10:$AH$258), ""), 0)),"")</f>
        <v/>
      </c>
      <c r="AK53" s="111" t="str">
        <f t="array" ref="AK53">IFERROR(INDEX($AH$10:$AH$258, MATCH(0, IF(TRUE=$AF$10:$AF$258, COUNTIF($AK$9:$AK52, $AH$10:$AH$258), ""), 0)),"")</f>
        <v/>
      </c>
      <c r="AL53" s="30" t="str">
        <f>IFERROR(INDEX('G-6 Hedgerow Data'!$BJ$3:$BJ$15,MATCH(D53,'G-6 Hedgerow Data'!$B$3:$B$15,0)),"")</f>
        <v/>
      </c>
    </row>
    <row r="54" spans="2:38" x14ac:dyDescent="0.25">
      <c r="B54" s="101">
        <v>45</v>
      </c>
      <c r="C54" s="142"/>
      <c r="D54" s="142"/>
      <c r="E54" s="108"/>
      <c r="F54" s="329" t="str">
        <f>IF(D54="","",VLOOKUP(D54,'G-6 Hedgerow Data'!$B$2:$AG$15,2,FALSE))</f>
        <v/>
      </c>
      <c r="G54" s="282" t="str">
        <f>IF(D54="","",VLOOKUP(D54,'G-6 Hedgerow Data'!$B$2:$AG$15,3,FALSE))</f>
        <v/>
      </c>
      <c r="H54" s="105"/>
      <c r="I54" s="282" t="str">
        <f>IFERROR(IF(AND(D54&lt;&gt;"",H54=""),"Check data ⚠", IF(H54="","",IF(AND(D54="Non-native and ornamental hedgerow", H54&lt;&gt;"Poor"),"Not possible ▲", (VLOOKUP(H54,'G-1 All Habitats'!$Z$2:$AA$9,2,FALSE))))),"")</f>
        <v/>
      </c>
      <c r="J54" s="105"/>
      <c r="K54" s="289" t="str">
        <f>IF(AND(D54&lt;&gt;"",J54=""),"Check data ⚠", IF(J54="","",IF(VLOOKUP(J54,'G-3 Multipliers'!$L$3:$N$6,2,FALSE)=0,"Spatial Data Missing",VLOOKUP(J54,'G-3 Multipliers'!$L$3:$N$6,2,FALSE))))</f>
        <v/>
      </c>
      <c r="L54" s="287" t="str">
        <f>IF(J54="","",IF(VLOOKUP(J54,'G-3 Multipliers'!$L$3:$N$6,3,FALSE)=0,"Spatial Data Missing ⚠",VLOOKUP(J54,'G-3 Multipliers'!$L$3:$N$6,3,FALSE)))</f>
        <v/>
      </c>
      <c r="M54" s="288" t="str">
        <f>IF(D54="","",VLOOKUP(D54,'G-6 Hedgerow Data'!$B$1:$AH$15,33,FALSE))</f>
        <v/>
      </c>
      <c r="N54" s="295" t="str">
        <f t="shared" si="2"/>
        <v/>
      </c>
      <c r="O54" s="32"/>
      <c r="P54" s="109"/>
      <c r="Q54" s="142"/>
      <c r="R54" s="312" t="str">
        <f t="shared" si="3"/>
        <v/>
      </c>
      <c r="S54" s="312" t="str">
        <f t="shared" si="4"/>
        <v/>
      </c>
      <c r="T54" s="312" t="str">
        <f t="shared" si="5"/>
        <v/>
      </c>
      <c r="U54" s="333" t="str">
        <f t="shared" si="6"/>
        <v/>
      </c>
      <c r="V54" s="109"/>
      <c r="W54" s="108"/>
      <c r="X54" s="108"/>
      <c r="AE54" s="111" t="str">
        <f t="shared" si="0"/>
        <v/>
      </c>
      <c r="AF54" s="111" t="str">
        <f t="shared" si="1"/>
        <v/>
      </c>
      <c r="AH54" s="111">
        <v>45</v>
      </c>
      <c r="AJ54" s="111" t="str">
        <f t="array" ref="AJ54">IFERROR(INDEX($AH$10:$AH$258, MATCH(0, IF(TRUE=$AE$10:$AE$258, COUNTIF($AJ$9:$AJ53, $AH$10:$AH$258), ""), 0)),"")</f>
        <v/>
      </c>
      <c r="AK54" s="111" t="str">
        <f t="array" ref="AK54">IFERROR(INDEX($AH$10:$AH$258, MATCH(0, IF(TRUE=$AF$10:$AF$258, COUNTIF($AK$9:$AK53, $AH$10:$AH$258), ""), 0)),"")</f>
        <v/>
      </c>
      <c r="AL54" s="30" t="str">
        <f>IFERROR(INDEX('G-6 Hedgerow Data'!$BJ$3:$BJ$15,MATCH(D54,'G-6 Hedgerow Data'!$B$3:$B$15,0)),"")</f>
        <v/>
      </c>
    </row>
    <row r="55" spans="2:38" x14ac:dyDescent="0.25">
      <c r="B55" s="101">
        <v>46</v>
      </c>
      <c r="C55" s="142"/>
      <c r="D55" s="142"/>
      <c r="E55" s="108"/>
      <c r="F55" s="329" t="str">
        <f>IF(D55="","",VLOOKUP(D55,'G-6 Hedgerow Data'!$B$2:$AG$15,2,FALSE))</f>
        <v/>
      </c>
      <c r="G55" s="282" t="str">
        <f>IF(D55="","",VLOOKUP(D55,'G-6 Hedgerow Data'!$B$2:$AG$15,3,FALSE))</f>
        <v/>
      </c>
      <c r="H55" s="105"/>
      <c r="I55" s="282" t="str">
        <f>IFERROR(IF(AND(D55&lt;&gt;"",H55=""),"Check data ⚠", IF(H55="","",IF(AND(D55="Non-native and ornamental hedgerow", H55&lt;&gt;"Poor"),"Not possible ▲", (VLOOKUP(H55,'G-1 All Habitats'!$Z$2:$AA$9,2,FALSE))))),"")</f>
        <v/>
      </c>
      <c r="J55" s="105"/>
      <c r="K55" s="289" t="str">
        <f>IF(AND(D55&lt;&gt;"",J55=""),"Check data ⚠", IF(J55="","",IF(VLOOKUP(J55,'G-3 Multipliers'!$L$3:$N$6,2,FALSE)=0,"Spatial Data Missing",VLOOKUP(J55,'G-3 Multipliers'!$L$3:$N$6,2,FALSE))))</f>
        <v/>
      </c>
      <c r="L55" s="287" t="str">
        <f>IF(J55="","",IF(VLOOKUP(J55,'G-3 Multipliers'!$L$3:$N$6,3,FALSE)=0,"Spatial Data Missing ⚠",VLOOKUP(J55,'G-3 Multipliers'!$L$3:$N$6,3,FALSE)))</f>
        <v/>
      </c>
      <c r="M55" s="288" t="str">
        <f>IF(D55="","",VLOOKUP(D55,'G-6 Hedgerow Data'!$B$1:$AH$15,33,FALSE))</f>
        <v/>
      </c>
      <c r="N55" s="295" t="str">
        <f t="shared" si="2"/>
        <v/>
      </c>
      <c r="O55" s="32"/>
      <c r="P55" s="109"/>
      <c r="Q55" s="142"/>
      <c r="R55" s="312" t="str">
        <f t="shared" si="3"/>
        <v/>
      </c>
      <c r="S55" s="312" t="str">
        <f t="shared" si="4"/>
        <v/>
      </c>
      <c r="T55" s="312" t="str">
        <f t="shared" si="5"/>
        <v/>
      </c>
      <c r="U55" s="333" t="str">
        <f t="shared" si="6"/>
        <v/>
      </c>
      <c r="V55" s="109"/>
      <c r="W55" s="108"/>
      <c r="X55" s="108"/>
      <c r="AE55" s="111" t="str">
        <f t="shared" si="0"/>
        <v/>
      </c>
      <c r="AF55" s="111" t="str">
        <f t="shared" si="1"/>
        <v/>
      </c>
      <c r="AH55" s="111">
        <v>46</v>
      </c>
      <c r="AJ55" s="111" t="str">
        <f t="array" ref="AJ55">IFERROR(INDEX($AH$10:$AH$258, MATCH(0, IF(TRUE=$AE$10:$AE$258, COUNTIF($AJ$9:$AJ54, $AH$10:$AH$258), ""), 0)),"")</f>
        <v/>
      </c>
      <c r="AK55" s="111" t="str">
        <f t="array" ref="AK55">IFERROR(INDEX($AH$10:$AH$258, MATCH(0, IF(TRUE=$AF$10:$AF$258, COUNTIF($AK$9:$AK54, $AH$10:$AH$258), ""), 0)),"")</f>
        <v/>
      </c>
      <c r="AL55" s="30" t="str">
        <f>IFERROR(INDEX('G-6 Hedgerow Data'!$BJ$3:$BJ$15,MATCH(D55,'G-6 Hedgerow Data'!$B$3:$B$15,0)),"")</f>
        <v/>
      </c>
    </row>
    <row r="56" spans="2:38" x14ac:dyDescent="0.25">
      <c r="B56" s="101">
        <v>47</v>
      </c>
      <c r="C56" s="142"/>
      <c r="D56" s="142"/>
      <c r="E56" s="108"/>
      <c r="F56" s="329" t="str">
        <f>IF(D56="","",VLOOKUP(D56,'G-6 Hedgerow Data'!$B$2:$AG$15,2,FALSE))</f>
        <v/>
      </c>
      <c r="G56" s="282" t="str">
        <f>IF(D56="","",VLOOKUP(D56,'G-6 Hedgerow Data'!$B$2:$AG$15,3,FALSE))</f>
        <v/>
      </c>
      <c r="H56" s="105"/>
      <c r="I56" s="282" t="str">
        <f>IFERROR(IF(AND(D56&lt;&gt;"",H56=""),"Check data ⚠", IF(H56="","",IF(AND(D56="Non-native and ornamental hedgerow", H56&lt;&gt;"Poor"),"Not possible ▲", (VLOOKUP(H56,'G-1 All Habitats'!$Z$2:$AA$9,2,FALSE))))),"")</f>
        <v/>
      </c>
      <c r="J56" s="105"/>
      <c r="K56" s="289" t="str">
        <f>IF(AND(D56&lt;&gt;"",J56=""),"Check data ⚠", IF(J56="","",IF(VLOOKUP(J56,'G-3 Multipliers'!$L$3:$N$6,2,FALSE)=0,"Spatial Data Missing",VLOOKUP(J56,'G-3 Multipliers'!$L$3:$N$6,2,FALSE))))</f>
        <v/>
      </c>
      <c r="L56" s="287" t="str">
        <f>IF(J56="","",IF(VLOOKUP(J56,'G-3 Multipliers'!$L$3:$N$6,3,FALSE)=0,"Spatial Data Missing ⚠",VLOOKUP(J56,'G-3 Multipliers'!$L$3:$N$6,3,FALSE)))</f>
        <v/>
      </c>
      <c r="M56" s="288" t="str">
        <f>IF(D56="","",VLOOKUP(D56,'G-6 Hedgerow Data'!$B$1:$AH$15,33,FALSE))</f>
        <v/>
      </c>
      <c r="N56" s="295" t="str">
        <f t="shared" si="2"/>
        <v/>
      </c>
      <c r="O56" s="32"/>
      <c r="P56" s="109"/>
      <c r="Q56" s="142"/>
      <c r="R56" s="312" t="str">
        <f t="shared" si="3"/>
        <v/>
      </c>
      <c r="S56" s="312" t="str">
        <f t="shared" si="4"/>
        <v/>
      </c>
      <c r="T56" s="312" t="str">
        <f t="shared" si="5"/>
        <v/>
      </c>
      <c r="U56" s="333" t="str">
        <f t="shared" si="6"/>
        <v/>
      </c>
      <c r="V56" s="109"/>
      <c r="W56" s="108"/>
      <c r="X56" s="108"/>
      <c r="AE56" s="111" t="str">
        <f t="shared" si="0"/>
        <v/>
      </c>
      <c r="AF56" s="111" t="str">
        <f t="shared" si="1"/>
        <v/>
      </c>
      <c r="AH56" s="111">
        <v>47</v>
      </c>
      <c r="AJ56" s="111" t="str">
        <f t="array" ref="AJ56">IFERROR(INDEX($AH$10:$AH$258, MATCH(0, IF(TRUE=$AE$10:$AE$258, COUNTIF($AJ$9:$AJ55, $AH$10:$AH$258), ""), 0)),"")</f>
        <v/>
      </c>
      <c r="AK56" s="111" t="str">
        <f t="array" ref="AK56">IFERROR(INDEX($AH$10:$AH$258, MATCH(0, IF(TRUE=$AF$10:$AF$258, COUNTIF($AK$9:$AK55, $AH$10:$AH$258), ""), 0)),"")</f>
        <v/>
      </c>
      <c r="AL56" s="30" t="str">
        <f>IFERROR(INDEX('G-6 Hedgerow Data'!$BJ$3:$BJ$15,MATCH(D56,'G-6 Hedgerow Data'!$B$3:$B$15,0)),"")</f>
        <v/>
      </c>
    </row>
    <row r="57" spans="2:38" x14ac:dyDescent="0.25">
      <c r="B57" s="101">
        <v>48</v>
      </c>
      <c r="C57" s="142"/>
      <c r="D57" s="142"/>
      <c r="E57" s="108"/>
      <c r="F57" s="329" t="str">
        <f>IF(D57="","",VLOOKUP(D57,'G-6 Hedgerow Data'!$B$2:$AG$15,2,FALSE))</f>
        <v/>
      </c>
      <c r="G57" s="282" t="str">
        <f>IF(D57="","",VLOOKUP(D57,'G-6 Hedgerow Data'!$B$2:$AG$15,3,FALSE))</f>
        <v/>
      </c>
      <c r="H57" s="105"/>
      <c r="I57" s="282" t="str">
        <f>IFERROR(IF(AND(D57&lt;&gt;"",H57=""),"Check data ⚠", IF(H57="","",IF(AND(D57="Non-native and ornamental hedgerow", H57&lt;&gt;"Poor"),"Not possible ▲", (VLOOKUP(H57,'G-1 All Habitats'!$Z$2:$AA$9,2,FALSE))))),"")</f>
        <v/>
      </c>
      <c r="J57" s="105"/>
      <c r="K57" s="289" t="str">
        <f>IF(AND(D57&lt;&gt;"",J57=""),"Check data ⚠", IF(J57="","",IF(VLOOKUP(J57,'G-3 Multipliers'!$L$3:$N$6,2,FALSE)=0,"Spatial Data Missing",VLOOKUP(J57,'G-3 Multipliers'!$L$3:$N$6,2,FALSE))))</f>
        <v/>
      </c>
      <c r="L57" s="287" t="str">
        <f>IF(J57="","",IF(VLOOKUP(J57,'G-3 Multipliers'!$L$3:$N$6,3,FALSE)=0,"Spatial Data Missing ⚠",VLOOKUP(J57,'G-3 Multipliers'!$L$3:$N$6,3,FALSE)))</f>
        <v/>
      </c>
      <c r="M57" s="288" t="str">
        <f>IF(D57="","",VLOOKUP(D57,'G-6 Hedgerow Data'!$B$1:$AH$15,33,FALSE))</f>
        <v/>
      </c>
      <c r="N57" s="295" t="str">
        <f t="shared" si="2"/>
        <v/>
      </c>
      <c r="O57" s="32"/>
      <c r="P57" s="109"/>
      <c r="Q57" s="142"/>
      <c r="R57" s="312" t="str">
        <f t="shared" si="3"/>
        <v/>
      </c>
      <c r="S57" s="312" t="str">
        <f t="shared" si="4"/>
        <v/>
      </c>
      <c r="T57" s="312" t="str">
        <f t="shared" si="5"/>
        <v/>
      </c>
      <c r="U57" s="333" t="str">
        <f t="shared" si="6"/>
        <v/>
      </c>
      <c r="V57" s="109"/>
      <c r="W57" s="108"/>
      <c r="X57" s="108"/>
      <c r="AE57" s="111" t="str">
        <f t="shared" si="0"/>
        <v/>
      </c>
      <c r="AF57" s="111" t="str">
        <f t="shared" si="1"/>
        <v/>
      </c>
      <c r="AH57" s="111">
        <v>48</v>
      </c>
      <c r="AJ57" s="111" t="str">
        <f t="array" ref="AJ57">IFERROR(INDEX($AH$10:$AH$258, MATCH(0, IF(TRUE=$AE$10:$AE$258, COUNTIF($AJ$9:$AJ56, $AH$10:$AH$258), ""), 0)),"")</f>
        <v/>
      </c>
      <c r="AK57" s="111" t="str">
        <f t="array" ref="AK57">IFERROR(INDEX($AH$10:$AH$258, MATCH(0, IF(TRUE=$AF$10:$AF$258, COUNTIF($AK$9:$AK56, $AH$10:$AH$258), ""), 0)),"")</f>
        <v/>
      </c>
      <c r="AL57" s="30" t="str">
        <f>IFERROR(INDEX('G-6 Hedgerow Data'!$BJ$3:$BJ$15,MATCH(D57,'G-6 Hedgerow Data'!$B$3:$B$15,0)),"")</f>
        <v/>
      </c>
    </row>
    <row r="58" spans="2:38" x14ac:dyDescent="0.25">
      <c r="B58" s="101">
        <v>49</v>
      </c>
      <c r="C58" s="142"/>
      <c r="D58" s="142"/>
      <c r="E58" s="108"/>
      <c r="F58" s="329" t="str">
        <f>IF(D58="","",VLOOKUP(D58,'G-6 Hedgerow Data'!$B$2:$AG$15,2,FALSE))</f>
        <v/>
      </c>
      <c r="G58" s="282" t="str">
        <f>IF(D58="","",VLOOKUP(D58,'G-6 Hedgerow Data'!$B$2:$AG$15,3,FALSE))</f>
        <v/>
      </c>
      <c r="H58" s="105"/>
      <c r="I58" s="282" t="str">
        <f>IFERROR(IF(AND(D58&lt;&gt;"",H58=""),"Check data ⚠", IF(H58="","",IF(AND(D58="Non-native and ornamental hedgerow", H58&lt;&gt;"Poor"),"Not possible ▲", (VLOOKUP(H58,'G-1 All Habitats'!$Z$2:$AA$9,2,FALSE))))),"")</f>
        <v/>
      </c>
      <c r="J58" s="105"/>
      <c r="K58" s="289" t="str">
        <f>IF(AND(D58&lt;&gt;"",J58=""),"Check data ⚠", IF(J58="","",IF(VLOOKUP(J58,'G-3 Multipliers'!$L$3:$N$6,2,FALSE)=0,"Spatial Data Missing",VLOOKUP(J58,'G-3 Multipliers'!$L$3:$N$6,2,FALSE))))</f>
        <v/>
      </c>
      <c r="L58" s="287" t="str">
        <f>IF(J58="","",IF(VLOOKUP(J58,'G-3 Multipliers'!$L$3:$N$6,3,FALSE)=0,"Spatial Data Missing ⚠",VLOOKUP(J58,'G-3 Multipliers'!$L$3:$N$6,3,FALSE)))</f>
        <v/>
      </c>
      <c r="M58" s="288" t="str">
        <f>IF(D58="","",VLOOKUP(D58,'G-6 Hedgerow Data'!$B$1:$AH$15,33,FALSE))</f>
        <v/>
      </c>
      <c r="N58" s="295" t="str">
        <f t="shared" si="2"/>
        <v/>
      </c>
      <c r="O58" s="32"/>
      <c r="P58" s="109"/>
      <c r="Q58" s="142"/>
      <c r="R58" s="312" t="str">
        <f t="shared" si="3"/>
        <v/>
      </c>
      <c r="S58" s="312" t="str">
        <f t="shared" si="4"/>
        <v/>
      </c>
      <c r="T58" s="312" t="str">
        <f t="shared" si="5"/>
        <v/>
      </c>
      <c r="U58" s="333" t="str">
        <f t="shared" si="6"/>
        <v/>
      </c>
      <c r="V58" s="109"/>
      <c r="W58" s="108"/>
      <c r="X58" s="108"/>
      <c r="AE58" s="111" t="str">
        <f t="shared" si="0"/>
        <v/>
      </c>
      <c r="AF58" s="111" t="str">
        <f t="shared" si="1"/>
        <v/>
      </c>
      <c r="AH58" s="111">
        <v>49</v>
      </c>
      <c r="AJ58" s="111" t="str">
        <f t="array" ref="AJ58">IFERROR(INDEX($AH$10:$AH$258, MATCH(0, IF(TRUE=$AE$10:$AE$258, COUNTIF($AJ$9:$AJ57, $AH$10:$AH$258), ""), 0)),"")</f>
        <v/>
      </c>
      <c r="AK58" s="111" t="str">
        <f t="array" ref="AK58">IFERROR(INDEX($AH$10:$AH$258, MATCH(0, IF(TRUE=$AF$10:$AF$258, COUNTIF($AK$9:$AK57, $AH$10:$AH$258), ""), 0)),"")</f>
        <v/>
      </c>
      <c r="AL58" s="30" t="str">
        <f>IFERROR(INDEX('G-6 Hedgerow Data'!$BJ$3:$BJ$15,MATCH(D58,'G-6 Hedgerow Data'!$B$3:$B$15,0)),"")</f>
        <v/>
      </c>
    </row>
    <row r="59" spans="2:38" x14ac:dyDescent="0.25">
      <c r="B59" s="101">
        <v>50</v>
      </c>
      <c r="C59" s="142"/>
      <c r="D59" s="142"/>
      <c r="E59" s="108"/>
      <c r="F59" s="329" t="str">
        <f>IF(D59="","",VLOOKUP(D59,'G-6 Hedgerow Data'!$B$2:$AG$15,2,FALSE))</f>
        <v/>
      </c>
      <c r="G59" s="282" t="str">
        <f>IF(D59="","",VLOOKUP(D59,'G-6 Hedgerow Data'!$B$2:$AG$15,3,FALSE))</f>
        <v/>
      </c>
      <c r="H59" s="105"/>
      <c r="I59" s="282" t="str">
        <f>IFERROR(IF(AND(D59&lt;&gt;"",H59=""),"Check data ⚠", IF(H59="","",IF(AND(D59="Non-native and ornamental hedgerow", H59&lt;&gt;"Poor"),"Not possible ▲", (VLOOKUP(H59,'G-1 All Habitats'!$Z$2:$AA$9,2,FALSE))))),"")</f>
        <v/>
      </c>
      <c r="J59" s="105"/>
      <c r="K59" s="289" t="str">
        <f>IF(AND(D59&lt;&gt;"",J59=""),"Check data ⚠", IF(J59="","",IF(VLOOKUP(J59,'G-3 Multipliers'!$L$3:$N$6,2,FALSE)=0,"Spatial Data Missing",VLOOKUP(J59,'G-3 Multipliers'!$L$3:$N$6,2,FALSE))))</f>
        <v/>
      </c>
      <c r="L59" s="287" t="str">
        <f>IF(J59="","",IF(VLOOKUP(J59,'G-3 Multipliers'!$L$3:$N$6,3,FALSE)=0,"Spatial Data Missing ⚠",VLOOKUP(J59,'G-3 Multipliers'!$L$3:$N$6,3,FALSE)))</f>
        <v/>
      </c>
      <c r="M59" s="288" t="str">
        <f>IF(D59="","",VLOOKUP(D59,'G-6 Hedgerow Data'!$B$1:$AH$15,33,FALSE))</f>
        <v/>
      </c>
      <c r="N59" s="295" t="str">
        <f t="shared" si="2"/>
        <v/>
      </c>
      <c r="O59" s="32"/>
      <c r="P59" s="109"/>
      <c r="Q59" s="142"/>
      <c r="R59" s="312" t="str">
        <f t="shared" si="3"/>
        <v/>
      </c>
      <c r="S59" s="312" t="str">
        <f t="shared" si="4"/>
        <v/>
      </c>
      <c r="T59" s="312" t="str">
        <f t="shared" si="5"/>
        <v/>
      </c>
      <c r="U59" s="333" t="str">
        <f t="shared" si="6"/>
        <v/>
      </c>
      <c r="V59" s="109"/>
      <c r="W59" s="108"/>
      <c r="X59" s="108"/>
      <c r="AE59" s="111" t="str">
        <f t="shared" si="0"/>
        <v/>
      </c>
      <c r="AF59" s="111" t="str">
        <f t="shared" si="1"/>
        <v/>
      </c>
      <c r="AH59" s="111">
        <v>50</v>
      </c>
      <c r="AJ59" s="111" t="str">
        <f t="array" ref="AJ59">IFERROR(INDEX($AH$10:$AH$258, MATCH(0, IF(TRUE=$AE$10:$AE$258, COUNTIF($AJ$9:$AJ58, $AH$10:$AH$258), ""), 0)),"")</f>
        <v/>
      </c>
      <c r="AK59" s="111" t="str">
        <f t="array" ref="AK59">IFERROR(INDEX($AH$10:$AH$258, MATCH(0, IF(TRUE=$AF$10:$AF$258, COUNTIF($AK$9:$AK58, $AH$10:$AH$258), ""), 0)),"")</f>
        <v/>
      </c>
      <c r="AL59" s="30" t="str">
        <f>IFERROR(INDEX('G-6 Hedgerow Data'!$BJ$3:$BJ$15,MATCH(D59,'G-6 Hedgerow Data'!$B$3:$B$15,0)),"")</f>
        <v/>
      </c>
    </row>
    <row r="60" spans="2:38" x14ac:dyDescent="0.25">
      <c r="B60" s="101">
        <v>51</v>
      </c>
      <c r="C60" s="142"/>
      <c r="D60" s="142"/>
      <c r="E60" s="108"/>
      <c r="F60" s="329" t="str">
        <f>IF(D60="","",VLOOKUP(D60,'G-6 Hedgerow Data'!$B$2:$AG$15,2,FALSE))</f>
        <v/>
      </c>
      <c r="G60" s="282" t="str">
        <f>IF(D60="","",VLOOKUP(D60,'G-6 Hedgerow Data'!$B$2:$AG$15,3,FALSE))</f>
        <v/>
      </c>
      <c r="H60" s="105"/>
      <c r="I60" s="282" t="str">
        <f>IFERROR(IF(AND(D60&lt;&gt;"",H60=""),"Check data ⚠", IF(H60="","",IF(AND(D60="Non-native and ornamental hedgerow", H60&lt;&gt;"Poor"),"Not possible ▲", (VLOOKUP(H60,'G-1 All Habitats'!$Z$2:$AA$9,2,FALSE))))),"")</f>
        <v/>
      </c>
      <c r="J60" s="105"/>
      <c r="K60" s="289" t="str">
        <f>IF(AND(D60&lt;&gt;"",J60=""),"Check data ⚠", IF(J60="","",IF(VLOOKUP(J60,'G-3 Multipliers'!$L$3:$N$6,2,FALSE)=0,"Spatial Data Missing",VLOOKUP(J60,'G-3 Multipliers'!$L$3:$N$6,2,FALSE))))</f>
        <v/>
      </c>
      <c r="L60" s="287" t="str">
        <f>IF(J60="","",IF(VLOOKUP(J60,'G-3 Multipliers'!$L$3:$N$6,3,FALSE)=0,"Spatial Data Missing ⚠",VLOOKUP(J60,'G-3 Multipliers'!$L$3:$N$6,3,FALSE)))</f>
        <v/>
      </c>
      <c r="M60" s="288" t="str">
        <f>IF(D60="","",VLOOKUP(D60,'G-6 Hedgerow Data'!$B$1:$AH$15,33,FALSE))</f>
        <v/>
      </c>
      <c r="N60" s="295" t="str">
        <f t="shared" si="2"/>
        <v/>
      </c>
      <c r="O60" s="32"/>
      <c r="P60" s="109"/>
      <c r="Q60" s="142"/>
      <c r="R60" s="312" t="str">
        <f t="shared" si="3"/>
        <v/>
      </c>
      <c r="S60" s="312" t="str">
        <f t="shared" si="4"/>
        <v/>
      </c>
      <c r="T60" s="312" t="str">
        <f t="shared" si="5"/>
        <v/>
      </c>
      <c r="U60" s="333" t="str">
        <f t="shared" si="6"/>
        <v/>
      </c>
      <c r="V60" s="109"/>
      <c r="W60" s="108"/>
      <c r="X60" s="108"/>
      <c r="AE60" s="111" t="str">
        <f t="shared" si="0"/>
        <v/>
      </c>
      <c r="AF60" s="111" t="str">
        <f t="shared" si="1"/>
        <v/>
      </c>
      <c r="AH60" s="111">
        <v>51</v>
      </c>
      <c r="AJ60" s="111" t="str">
        <f t="array" ref="AJ60">IFERROR(INDEX($AH$10:$AH$258, MATCH(0, IF(TRUE=$AE$10:$AE$258, COUNTIF($AJ$9:$AJ59, $AH$10:$AH$258), ""), 0)),"")</f>
        <v/>
      </c>
      <c r="AK60" s="111" t="str">
        <f t="array" ref="AK60">IFERROR(INDEX($AH$10:$AH$258, MATCH(0, IF(TRUE=$AF$10:$AF$258, COUNTIF($AK$9:$AK59, $AH$10:$AH$258), ""), 0)),"")</f>
        <v/>
      </c>
      <c r="AL60" s="30" t="str">
        <f>IFERROR(INDEX('G-6 Hedgerow Data'!$BJ$3:$BJ$15,MATCH(D60,'G-6 Hedgerow Data'!$B$3:$B$15,0)),"")</f>
        <v/>
      </c>
    </row>
    <row r="61" spans="2:38" x14ac:dyDescent="0.25">
      <c r="B61" s="101">
        <v>52</v>
      </c>
      <c r="C61" s="142"/>
      <c r="D61" s="142"/>
      <c r="E61" s="108"/>
      <c r="F61" s="329" t="str">
        <f>IF(D61="","",VLOOKUP(D61,'G-6 Hedgerow Data'!$B$2:$AG$15,2,FALSE))</f>
        <v/>
      </c>
      <c r="G61" s="282" t="str">
        <f>IF(D61="","",VLOOKUP(D61,'G-6 Hedgerow Data'!$B$2:$AG$15,3,FALSE))</f>
        <v/>
      </c>
      <c r="H61" s="105"/>
      <c r="I61" s="282" t="str">
        <f>IFERROR(IF(AND(D61&lt;&gt;"",H61=""),"Check data ⚠", IF(H61="","",IF(AND(D61="Non-native and ornamental hedgerow", H61&lt;&gt;"Poor"),"Not possible ▲", (VLOOKUP(H61,'G-1 All Habitats'!$Z$2:$AA$9,2,FALSE))))),"")</f>
        <v/>
      </c>
      <c r="J61" s="105"/>
      <c r="K61" s="289" t="str">
        <f>IF(AND(D61&lt;&gt;"",J61=""),"Check data ⚠", IF(J61="","",IF(VLOOKUP(J61,'G-3 Multipliers'!$L$3:$N$6,2,FALSE)=0,"Spatial Data Missing",VLOOKUP(J61,'G-3 Multipliers'!$L$3:$N$6,2,FALSE))))</f>
        <v/>
      </c>
      <c r="L61" s="287" t="str">
        <f>IF(J61="","",IF(VLOOKUP(J61,'G-3 Multipliers'!$L$3:$N$6,3,FALSE)=0,"Spatial Data Missing ⚠",VLOOKUP(J61,'G-3 Multipliers'!$L$3:$N$6,3,FALSE)))</f>
        <v/>
      </c>
      <c r="M61" s="288" t="str">
        <f>IF(D61="","",VLOOKUP(D61,'G-6 Hedgerow Data'!$B$1:$AH$15,33,FALSE))</f>
        <v/>
      </c>
      <c r="N61" s="295" t="str">
        <f t="shared" si="2"/>
        <v/>
      </c>
      <c r="O61" s="32"/>
      <c r="P61" s="109"/>
      <c r="Q61" s="142"/>
      <c r="R61" s="312" t="str">
        <f t="shared" si="3"/>
        <v/>
      </c>
      <c r="S61" s="312" t="str">
        <f t="shared" si="4"/>
        <v/>
      </c>
      <c r="T61" s="312" t="str">
        <f t="shared" si="5"/>
        <v/>
      </c>
      <c r="U61" s="333" t="str">
        <f t="shared" si="6"/>
        <v/>
      </c>
      <c r="V61" s="109"/>
      <c r="W61" s="108"/>
      <c r="X61" s="108"/>
      <c r="AE61" s="111" t="str">
        <f t="shared" si="0"/>
        <v/>
      </c>
      <c r="AF61" s="111" t="str">
        <f t="shared" si="1"/>
        <v/>
      </c>
      <c r="AH61" s="111">
        <v>52</v>
      </c>
      <c r="AJ61" s="111" t="str">
        <f t="array" ref="AJ61">IFERROR(INDEX($AH$10:$AH$258, MATCH(0, IF(TRUE=$AE$10:$AE$258, COUNTIF($AJ$9:$AJ60, $AH$10:$AH$258), ""), 0)),"")</f>
        <v/>
      </c>
      <c r="AK61" s="111" t="str">
        <f t="array" ref="AK61">IFERROR(INDEX($AH$10:$AH$258, MATCH(0, IF(TRUE=$AF$10:$AF$258, COUNTIF($AK$9:$AK60, $AH$10:$AH$258), ""), 0)),"")</f>
        <v/>
      </c>
      <c r="AL61" s="30" t="str">
        <f>IFERROR(INDEX('G-6 Hedgerow Data'!$BJ$3:$BJ$15,MATCH(D61,'G-6 Hedgerow Data'!$B$3:$B$15,0)),"")</f>
        <v/>
      </c>
    </row>
    <row r="62" spans="2:38" x14ac:dyDescent="0.25">
      <c r="B62" s="101">
        <v>53</v>
      </c>
      <c r="C62" s="142"/>
      <c r="D62" s="142"/>
      <c r="E62" s="108"/>
      <c r="F62" s="329" t="str">
        <f>IF(D62="","",VLOOKUP(D62,'G-6 Hedgerow Data'!$B$2:$AG$15,2,FALSE))</f>
        <v/>
      </c>
      <c r="G62" s="282" t="str">
        <f>IF(D62="","",VLOOKUP(D62,'G-6 Hedgerow Data'!$B$2:$AG$15,3,FALSE))</f>
        <v/>
      </c>
      <c r="H62" s="105"/>
      <c r="I62" s="282" t="str">
        <f>IFERROR(IF(AND(D62&lt;&gt;"",H62=""),"Check data ⚠", IF(H62="","",IF(AND(D62="Non-native and ornamental hedgerow", H62&lt;&gt;"Poor"),"Not possible ▲", (VLOOKUP(H62,'G-1 All Habitats'!$Z$2:$AA$9,2,FALSE))))),"")</f>
        <v/>
      </c>
      <c r="J62" s="105"/>
      <c r="K62" s="289" t="str">
        <f>IF(AND(D62&lt;&gt;"",J62=""),"Check data ⚠", IF(J62="","",IF(VLOOKUP(J62,'G-3 Multipliers'!$L$3:$N$6,2,FALSE)=0,"Spatial Data Missing",VLOOKUP(J62,'G-3 Multipliers'!$L$3:$N$6,2,FALSE))))</f>
        <v/>
      </c>
      <c r="L62" s="287" t="str">
        <f>IF(J62="","",IF(VLOOKUP(J62,'G-3 Multipliers'!$L$3:$N$6,3,FALSE)=0,"Spatial Data Missing ⚠",VLOOKUP(J62,'G-3 Multipliers'!$L$3:$N$6,3,FALSE)))</f>
        <v/>
      </c>
      <c r="M62" s="288" t="str">
        <f>IF(D62="","",VLOOKUP(D62,'G-6 Hedgerow Data'!$B$1:$AH$15,33,FALSE))</f>
        <v/>
      </c>
      <c r="N62" s="295" t="str">
        <f t="shared" si="2"/>
        <v/>
      </c>
      <c r="O62" s="32"/>
      <c r="P62" s="109"/>
      <c r="Q62" s="142"/>
      <c r="R62" s="312" t="str">
        <f t="shared" si="3"/>
        <v/>
      </c>
      <c r="S62" s="312" t="str">
        <f t="shared" si="4"/>
        <v/>
      </c>
      <c r="T62" s="312" t="str">
        <f t="shared" si="5"/>
        <v/>
      </c>
      <c r="U62" s="333" t="str">
        <f t="shared" si="6"/>
        <v/>
      </c>
      <c r="V62" s="109"/>
      <c r="W62" s="108"/>
      <c r="X62" s="108"/>
      <c r="AE62" s="111" t="str">
        <f t="shared" si="0"/>
        <v/>
      </c>
      <c r="AF62" s="111" t="str">
        <f t="shared" si="1"/>
        <v/>
      </c>
      <c r="AH62" s="111">
        <v>53</v>
      </c>
      <c r="AJ62" s="111" t="str">
        <f t="array" ref="AJ62">IFERROR(INDEX($AH$10:$AH$258, MATCH(0, IF(TRUE=$AE$10:$AE$258, COUNTIF($AJ$9:$AJ61, $AH$10:$AH$258), ""), 0)),"")</f>
        <v/>
      </c>
      <c r="AK62" s="111" t="str">
        <f t="array" ref="AK62">IFERROR(INDEX($AH$10:$AH$258, MATCH(0, IF(TRUE=$AF$10:$AF$258, COUNTIF($AK$9:$AK61, $AH$10:$AH$258), ""), 0)),"")</f>
        <v/>
      </c>
      <c r="AL62" s="30" t="str">
        <f>IFERROR(INDEX('G-6 Hedgerow Data'!$BJ$3:$BJ$15,MATCH(D62,'G-6 Hedgerow Data'!$B$3:$B$15,0)),"")</f>
        <v/>
      </c>
    </row>
    <row r="63" spans="2:38" x14ac:dyDescent="0.25">
      <c r="B63" s="101">
        <v>54</v>
      </c>
      <c r="C63" s="142"/>
      <c r="D63" s="142"/>
      <c r="E63" s="108"/>
      <c r="F63" s="329" t="str">
        <f>IF(D63="","",VLOOKUP(D63,'G-6 Hedgerow Data'!$B$2:$AG$15,2,FALSE))</f>
        <v/>
      </c>
      <c r="G63" s="282" t="str">
        <f>IF(D63="","",VLOOKUP(D63,'G-6 Hedgerow Data'!$B$2:$AG$15,3,FALSE))</f>
        <v/>
      </c>
      <c r="H63" s="105"/>
      <c r="I63" s="282" t="str">
        <f>IFERROR(IF(AND(D63&lt;&gt;"",H63=""),"Check data ⚠", IF(H63="","",IF(AND(D63="Non-native and ornamental hedgerow", H63&lt;&gt;"Poor"),"Not possible ▲", (VLOOKUP(H63,'G-1 All Habitats'!$Z$2:$AA$9,2,FALSE))))),"")</f>
        <v/>
      </c>
      <c r="J63" s="105"/>
      <c r="K63" s="289" t="str">
        <f>IF(AND(D63&lt;&gt;"",J63=""),"Check data ⚠", IF(J63="","",IF(VLOOKUP(J63,'G-3 Multipliers'!$L$3:$N$6,2,FALSE)=0,"Spatial Data Missing",VLOOKUP(J63,'G-3 Multipliers'!$L$3:$N$6,2,FALSE))))</f>
        <v/>
      </c>
      <c r="L63" s="287" t="str">
        <f>IF(J63="","",IF(VLOOKUP(J63,'G-3 Multipliers'!$L$3:$N$6,3,FALSE)=0,"Spatial Data Missing ⚠",VLOOKUP(J63,'G-3 Multipliers'!$L$3:$N$6,3,FALSE)))</f>
        <v/>
      </c>
      <c r="M63" s="288" t="str">
        <f>IF(D63="","",VLOOKUP(D63,'G-6 Hedgerow Data'!$B$1:$AH$15,33,FALSE))</f>
        <v/>
      </c>
      <c r="N63" s="295" t="str">
        <f t="shared" si="2"/>
        <v/>
      </c>
      <c r="O63" s="32"/>
      <c r="P63" s="109"/>
      <c r="Q63" s="142"/>
      <c r="R63" s="312" t="str">
        <f t="shared" si="3"/>
        <v/>
      </c>
      <c r="S63" s="312" t="str">
        <f t="shared" si="4"/>
        <v/>
      </c>
      <c r="T63" s="312" t="str">
        <f t="shared" si="5"/>
        <v/>
      </c>
      <c r="U63" s="333" t="str">
        <f t="shared" si="6"/>
        <v/>
      </c>
      <c r="V63" s="109"/>
      <c r="W63" s="108"/>
      <c r="X63" s="108"/>
      <c r="AE63" s="111" t="str">
        <f t="shared" si="0"/>
        <v/>
      </c>
      <c r="AF63" s="111" t="str">
        <f t="shared" si="1"/>
        <v/>
      </c>
      <c r="AH63" s="111">
        <v>54</v>
      </c>
      <c r="AJ63" s="111" t="str">
        <f t="array" ref="AJ63">IFERROR(INDEX($AH$10:$AH$258, MATCH(0, IF(TRUE=$AE$10:$AE$258, COUNTIF($AJ$9:$AJ62, $AH$10:$AH$258), ""), 0)),"")</f>
        <v/>
      </c>
      <c r="AK63" s="111" t="str">
        <f t="array" ref="AK63">IFERROR(INDEX($AH$10:$AH$258, MATCH(0, IF(TRUE=$AF$10:$AF$258, COUNTIF($AK$9:$AK62, $AH$10:$AH$258), ""), 0)),"")</f>
        <v/>
      </c>
      <c r="AL63" s="30" t="str">
        <f>IFERROR(INDEX('G-6 Hedgerow Data'!$BJ$3:$BJ$15,MATCH(D63,'G-6 Hedgerow Data'!$B$3:$B$15,0)),"")</f>
        <v/>
      </c>
    </row>
    <row r="64" spans="2:38" x14ac:dyDescent="0.25">
      <c r="B64" s="101">
        <v>55</v>
      </c>
      <c r="C64" s="142"/>
      <c r="D64" s="142"/>
      <c r="E64" s="108"/>
      <c r="F64" s="329" t="str">
        <f>IF(D64="","",VLOOKUP(D64,'G-6 Hedgerow Data'!$B$2:$AG$15,2,FALSE))</f>
        <v/>
      </c>
      <c r="G64" s="282" t="str">
        <f>IF(D64="","",VLOOKUP(D64,'G-6 Hedgerow Data'!$B$2:$AG$15,3,FALSE))</f>
        <v/>
      </c>
      <c r="H64" s="105"/>
      <c r="I64" s="282" t="str">
        <f>IFERROR(IF(AND(D64&lt;&gt;"",H64=""),"Check data ⚠", IF(H64="","",IF(AND(D64="Non-native and ornamental hedgerow", H64&lt;&gt;"Poor"),"Not possible ▲", (VLOOKUP(H64,'G-1 All Habitats'!$Z$2:$AA$9,2,FALSE))))),"")</f>
        <v/>
      </c>
      <c r="J64" s="105"/>
      <c r="K64" s="289" t="str">
        <f>IF(AND(D64&lt;&gt;"",J64=""),"Check data ⚠", IF(J64="","",IF(VLOOKUP(J64,'G-3 Multipliers'!$L$3:$N$6,2,FALSE)=0,"Spatial Data Missing",VLOOKUP(J64,'G-3 Multipliers'!$L$3:$N$6,2,FALSE))))</f>
        <v/>
      </c>
      <c r="L64" s="287" t="str">
        <f>IF(J64="","",IF(VLOOKUP(J64,'G-3 Multipliers'!$L$3:$N$6,3,FALSE)=0,"Spatial Data Missing ⚠",VLOOKUP(J64,'G-3 Multipliers'!$L$3:$N$6,3,FALSE)))</f>
        <v/>
      </c>
      <c r="M64" s="288" t="str">
        <f>IF(D64="","",VLOOKUP(D64,'G-6 Hedgerow Data'!$B$1:$AH$15,33,FALSE))</f>
        <v/>
      </c>
      <c r="N64" s="295" t="str">
        <f t="shared" si="2"/>
        <v/>
      </c>
      <c r="O64" s="32"/>
      <c r="P64" s="109"/>
      <c r="Q64" s="142"/>
      <c r="R64" s="312" t="str">
        <f t="shared" si="3"/>
        <v/>
      </c>
      <c r="S64" s="312" t="str">
        <f t="shared" si="4"/>
        <v/>
      </c>
      <c r="T64" s="312" t="str">
        <f t="shared" si="5"/>
        <v/>
      </c>
      <c r="U64" s="333" t="str">
        <f t="shared" si="6"/>
        <v/>
      </c>
      <c r="V64" s="109"/>
      <c r="W64" s="108"/>
      <c r="X64" s="108"/>
      <c r="AE64" s="111" t="str">
        <f t="shared" si="0"/>
        <v/>
      </c>
      <c r="AF64" s="111" t="str">
        <f t="shared" si="1"/>
        <v/>
      </c>
      <c r="AH64" s="111">
        <v>55</v>
      </c>
      <c r="AJ64" s="111" t="str">
        <f t="array" ref="AJ64">IFERROR(INDEX($AH$10:$AH$258, MATCH(0, IF(TRUE=$AE$10:$AE$258, COUNTIF($AJ$9:$AJ63, $AH$10:$AH$258), ""), 0)),"")</f>
        <v/>
      </c>
      <c r="AK64" s="111" t="str">
        <f t="array" ref="AK64">IFERROR(INDEX($AH$10:$AH$258, MATCH(0, IF(TRUE=$AF$10:$AF$258, COUNTIF($AK$9:$AK63, $AH$10:$AH$258), ""), 0)),"")</f>
        <v/>
      </c>
      <c r="AL64" s="30" t="str">
        <f>IFERROR(INDEX('G-6 Hedgerow Data'!$BJ$3:$BJ$15,MATCH(D64,'G-6 Hedgerow Data'!$B$3:$B$15,0)),"")</f>
        <v/>
      </c>
    </row>
    <row r="65" spans="2:38" x14ac:dyDescent="0.25">
      <c r="B65" s="101">
        <v>56</v>
      </c>
      <c r="C65" s="142"/>
      <c r="D65" s="142"/>
      <c r="E65" s="108"/>
      <c r="F65" s="329" t="str">
        <f>IF(D65="","",VLOOKUP(D65,'G-6 Hedgerow Data'!$B$2:$AG$15,2,FALSE))</f>
        <v/>
      </c>
      <c r="G65" s="282" t="str">
        <f>IF(D65="","",VLOOKUP(D65,'G-6 Hedgerow Data'!$B$2:$AG$15,3,FALSE))</f>
        <v/>
      </c>
      <c r="H65" s="105"/>
      <c r="I65" s="282" t="str">
        <f>IFERROR(IF(AND(D65&lt;&gt;"",H65=""),"Check data ⚠", IF(H65="","",IF(AND(D65="Non-native and ornamental hedgerow", H65&lt;&gt;"Poor"),"Not possible ▲", (VLOOKUP(H65,'G-1 All Habitats'!$Z$2:$AA$9,2,FALSE))))),"")</f>
        <v/>
      </c>
      <c r="J65" s="105"/>
      <c r="K65" s="289" t="str">
        <f>IF(AND(D65&lt;&gt;"",J65=""),"Check data ⚠", IF(J65="","",IF(VLOOKUP(J65,'G-3 Multipliers'!$L$3:$N$6,2,FALSE)=0,"Spatial Data Missing",VLOOKUP(J65,'G-3 Multipliers'!$L$3:$N$6,2,FALSE))))</f>
        <v/>
      </c>
      <c r="L65" s="287" t="str">
        <f>IF(J65="","",IF(VLOOKUP(J65,'G-3 Multipliers'!$L$3:$N$6,3,FALSE)=0,"Spatial Data Missing ⚠",VLOOKUP(J65,'G-3 Multipliers'!$L$3:$N$6,3,FALSE)))</f>
        <v/>
      </c>
      <c r="M65" s="288" t="str">
        <f>IF(D65="","",VLOOKUP(D65,'G-6 Hedgerow Data'!$B$1:$AH$15,33,FALSE))</f>
        <v/>
      </c>
      <c r="N65" s="295" t="str">
        <f t="shared" si="2"/>
        <v/>
      </c>
      <c r="O65" s="32"/>
      <c r="P65" s="109"/>
      <c r="Q65" s="142"/>
      <c r="R65" s="312" t="str">
        <f t="shared" si="3"/>
        <v/>
      </c>
      <c r="S65" s="312" t="str">
        <f t="shared" si="4"/>
        <v/>
      </c>
      <c r="T65" s="312" t="str">
        <f t="shared" si="5"/>
        <v/>
      </c>
      <c r="U65" s="333" t="str">
        <f t="shared" si="6"/>
        <v/>
      </c>
      <c r="V65" s="109"/>
      <c r="W65" s="108"/>
      <c r="X65" s="108"/>
      <c r="AE65" s="111" t="str">
        <f t="shared" si="0"/>
        <v/>
      </c>
      <c r="AF65" s="111" t="str">
        <f t="shared" si="1"/>
        <v/>
      </c>
      <c r="AH65" s="111">
        <v>56</v>
      </c>
      <c r="AJ65" s="111" t="str">
        <f t="array" ref="AJ65">IFERROR(INDEX($AH$10:$AH$258, MATCH(0, IF(TRUE=$AE$10:$AE$258, COUNTIF($AJ$9:$AJ64, $AH$10:$AH$258), ""), 0)),"")</f>
        <v/>
      </c>
      <c r="AK65" s="111" t="str">
        <f t="array" ref="AK65">IFERROR(INDEX($AH$10:$AH$258, MATCH(0, IF(TRUE=$AF$10:$AF$258, COUNTIF($AK$9:$AK64, $AH$10:$AH$258), ""), 0)),"")</f>
        <v/>
      </c>
      <c r="AL65" s="30" t="str">
        <f>IFERROR(INDEX('G-6 Hedgerow Data'!$BJ$3:$BJ$15,MATCH(D65,'G-6 Hedgerow Data'!$B$3:$B$15,0)),"")</f>
        <v/>
      </c>
    </row>
    <row r="66" spans="2:38" x14ac:dyDescent="0.25">
      <c r="B66" s="101">
        <v>57</v>
      </c>
      <c r="C66" s="142"/>
      <c r="D66" s="142"/>
      <c r="E66" s="108"/>
      <c r="F66" s="329" t="str">
        <f>IF(D66="","",VLOOKUP(D66,'G-6 Hedgerow Data'!$B$2:$AG$15,2,FALSE))</f>
        <v/>
      </c>
      <c r="G66" s="282" t="str">
        <f>IF(D66="","",VLOOKUP(D66,'G-6 Hedgerow Data'!$B$2:$AG$15,3,FALSE))</f>
        <v/>
      </c>
      <c r="H66" s="105"/>
      <c r="I66" s="282" t="str">
        <f>IFERROR(IF(AND(D66&lt;&gt;"",H66=""),"Check data ⚠", IF(H66="","",IF(AND(D66="Non-native and ornamental hedgerow", H66&lt;&gt;"Poor"),"Not possible ▲", (VLOOKUP(H66,'G-1 All Habitats'!$Z$2:$AA$9,2,FALSE))))),"")</f>
        <v/>
      </c>
      <c r="J66" s="105"/>
      <c r="K66" s="289" t="str">
        <f>IF(AND(D66&lt;&gt;"",J66=""),"Check data ⚠", IF(J66="","",IF(VLOOKUP(J66,'G-3 Multipliers'!$L$3:$N$6,2,FALSE)=0,"Spatial Data Missing",VLOOKUP(J66,'G-3 Multipliers'!$L$3:$N$6,2,FALSE))))</f>
        <v/>
      </c>
      <c r="L66" s="287" t="str">
        <f>IF(J66="","",IF(VLOOKUP(J66,'G-3 Multipliers'!$L$3:$N$6,3,FALSE)=0,"Spatial Data Missing ⚠",VLOOKUP(J66,'G-3 Multipliers'!$L$3:$N$6,3,FALSE)))</f>
        <v/>
      </c>
      <c r="M66" s="288" t="str">
        <f>IF(D66="","",VLOOKUP(D66,'G-6 Hedgerow Data'!$B$1:$AH$15,33,FALSE))</f>
        <v/>
      </c>
      <c r="N66" s="295" t="str">
        <f t="shared" si="2"/>
        <v/>
      </c>
      <c r="O66" s="32"/>
      <c r="P66" s="109"/>
      <c r="Q66" s="142"/>
      <c r="R66" s="312" t="str">
        <f t="shared" si="3"/>
        <v/>
      </c>
      <c r="S66" s="312" t="str">
        <f t="shared" si="4"/>
        <v/>
      </c>
      <c r="T66" s="312" t="str">
        <f t="shared" si="5"/>
        <v/>
      </c>
      <c r="U66" s="333" t="str">
        <f t="shared" si="6"/>
        <v/>
      </c>
      <c r="V66" s="109"/>
      <c r="W66" s="108"/>
      <c r="X66" s="108"/>
      <c r="AE66" s="111" t="str">
        <f t="shared" si="0"/>
        <v/>
      </c>
      <c r="AF66" s="111" t="str">
        <f t="shared" si="1"/>
        <v/>
      </c>
      <c r="AH66" s="111">
        <v>57</v>
      </c>
      <c r="AJ66" s="111" t="str">
        <f t="array" ref="AJ66">IFERROR(INDEX($AH$10:$AH$258, MATCH(0, IF(TRUE=$AE$10:$AE$258, COUNTIF($AJ$9:$AJ65, $AH$10:$AH$258), ""), 0)),"")</f>
        <v/>
      </c>
      <c r="AK66" s="111" t="str">
        <f t="array" ref="AK66">IFERROR(INDEX($AH$10:$AH$258, MATCH(0, IF(TRUE=$AF$10:$AF$258, COUNTIF($AK$9:$AK65, $AH$10:$AH$258), ""), 0)),"")</f>
        <v/>
      </c>
      <c r="AL66" s="30" t="str">
        <f>IFERROR(INDEX('G-6 Hedgerow Data'!$BJ$3:$BJ$15,MATCH(D66,'G-6 Hedgerow Data'!$B$3:$B$15,0)),"")</f>
        <v/>
      </c>
    </row>
    <row r="67" spans="2:38" x14ac:dyDescent="0.25">
      <c r="B67" s="101">
        <v>58</v>
      </c>
      <c r="C67" s="142"/>
      <c r="D67" s="142"/>
      <c r="E67" s="108"/>
      <c r="F67" s="329" t="str">
        <f>IF(D67="","",VLOOKUP(D67,'G-6 Hedgerow Data'!$B$2:$AG$15,2,FALSE))</f>
        <v/>
      </c>
      <c r="G67" s="282" t="str">
        <f>IF(D67="","",VLOOKUP(D67,'G-6 Hedgerow Data'!$B$2:$AG$15,3,FALSE))</f>
        <v/>
      </c>
      <c r="H67" s="105"/>
      <c r="I67" s="282" t="str">
        <f>IFERROR(IF(AND(D67&lt;&gt;"",H67=""),"Check data ⚠", IF(H67="","",IF(AND(D67="Non-native and ornamental hedgerow", H67&lt;&gt;"Poor"),"Not possible ▲", (VLOOKUP(H67,'G-1 All Habitats'!$Z$2:$AA$9,2,FALSE))))),"")</f>
        <v/>
      </c>
      <c r="J67" s="105"/>
      <c r="K67" s="289" t="str">
        <f>IF(AND(D67&lt;&gt;"",J67=""),"Check data ⚠", IF(J67="","",IF(VLOOKUP(J67,'G-3 Multipliers'!$L$3:$N$6,2,FALSE)=0,"Spatial Data Missing",VLOOKUP(J67,'G-3 Multipliers'!$L$3:$N$6,2,FALSE))))</f>
        <v/>
      </c>
      <c r="L67" s="287" t="str">
        <f>IF(J67="","",IF(VLOOKUP(J67,'G-3 Multipliers'!$L$3:$N$6,3,FALSE)=0,"Spatial Data Missing ⚠",VLOOKUP(J67,'G-3 Multipliers'!$L$3:$N$6,3,FALSE)))</f>
        <v/>
      </c>
      <c r="M67" s="288" t="str">
        <f>IF(D67="","",VLOOKUP(D67,'G-6 Hedgerow Data'!$B$1:$AH$15,33,FALSE))</f>
        <v/>
      </c>
      <c r="N67" s="295" t="str">
        <f t="shared" si="2"/>
        <v/>
      </c>
      <c r="O67" s="32"/>
      <c r="P67" s="109"/>
      <c r="Q67" s="142"/>
      <c r="R67" s="312" t="str">
        <f t="shared" si="3"/>
        <v/>
      </c>
      <c r="S67" s="312" t="str">
        <f t="shared" si="4"/>
        <v/>
      </c>
      <c r="T67" s="312" t="str">
        <f t="shared" si="5"/>
        <v/>
      </c>
      <c r="U67" s="333" t="str">
        <f t="shared" si="6"/>
        <v/>
      </c>
      <c r="V67" s="109"/>
      <c r="W67" s="108"/>
      <c r="X67" s="108"/>
      <c r="AE67" s="111" t="str">
        <f t="shared" si="0"/>
        <v/>
      </c>
      <c r="AF67" s="111" t="str">
        <f t="shared" si="1"/>
        <v/>
      </c>
      <c r="AH67" s="111">
        <v>58</v>
      </c>
      <c r="AJ67" s="111" t="str">
        <f t="array" ref="AJ67">IFERROR(INDEX($AH$10:$AH$258, MATCH(0, IF(TRUE=$AE$10:$AE$258, COUNTIF($AJ$9:$AJ66, $AH$10:$AH$258), ""), 0)),"")</f>
        <v/>
      </c>
      <c r="AK67" s="111" t="str">
        <f t="array" ref="AK67">IFERROR(INDEX($AH$10:$AH$258, MATCH(0, IF(TRUE=$AF$10:$AF$258, COUNTIF($AK$9:$AK66, $AH$10:$AH$258), ""), 0)),"")</f>
        <v/>
      </c>
      <c r="AL67" s="30" t="str">
        <f>IFERROR(INDEX('G-6 Hedgerow Data'!$BJ$3:$BJ$15,MATCH(D67,'G-6 Hedgerow Data'!$B$3:$B$15,0)),"")</f>
        <v/>
      </c>
    </row>
    <row r="68" spans="2:38" x14ac:dyDescent="0.25">
      <c r="B68" s="101">
        <v>59</v>
      </c>
      <c r="C68" s="142"/>
      <c r="D68" s="142"/>
      <c r="E68" s="108"/>
      <c r="F68" s="329" t="str">
        <f>IF(D68="","",VLOOKUP(D68,'G-6 Hedgerow Data'!$B$2:$AG$15,2,FALSE))</f>
        <v/>
      </c>
      <c r="G68" s="282" t="str">
        <f>IF(D68="","",VLOOKUP(D68,'G-6 Hedgerow Data'!$B$2:$AG$15,3,FALSE))</f>
        <v/>
      </c>
      <c r="H68" s="105"/>
      <c r="I68" s="282" t="str">
        <f>IFERROR(IF(AND(D68&lt;&gt;"",H68=""),"Check data ⚠", IF(H68="","",IF(AND(D68="Non-native and ornamental hedgerow", H68&lt;&gt;"Poor"),"Not possible ▲", (VLOOKUP(H68,'G-1 All Habitats'!$Z$2:$AA$9,2,FALSE))))),"")</f>
        <v/>
      </c>
      <c r="J68" s="105"/>
      <c r="K68" s="289" t="str">
        <f>IF(AND(D68&lt;&gt;"",J68=""),"Check data ⚠", IF(J68="","",IF(VLOOKUP(J68,'G-3 Multipliers'!$L$3:$N$6,2,FALSE)=0,"Spatial Data Missing",VLOOKUP(J68,'G-3 Multipliers'!$L$3:$N$6,2,FALSE))))</f>
        <v/>
      </c>
      <c r="L68" s="287" t="str">
        <f>IF(J68="","",IF(VLOOKUP(J68,'G-3 Multipliers'!$L$3:$N$6,3,FALSE)=0,"Spatial Data Missing ⚠",VLOOKUP(J68,'G-3 Multipliers'!$L$3:$N$6,3,FALSE)))</f>
        <v/>
      </c>
      <c r="M68" s="288" t="str">
        <f>IF(D68="","",VLOOKUP(D68,'G-6 Hedgerow Data'!$B$1:$AH$15,33,FALSE))</f>
        <v/>
      </c>
      <c r="N68" s="295" t="str">
        <f t="shared" si="2"/>
        <v/>
      </c>
      <c r="O68" s="32"/>
      <c r="P68" s="109"/>
      <c r="Q68" s="142"/>
      <c r="R68" s="312" t="str">
        <f t="shared" si="3"/>
        <v/>
      </c>
      <c r="S68" s="312" t="str">
        <f t="shared" si="4"/>
        <v/>
      </c>
      <c r="T68" s="312" t="str">
        <f t="shared" si="5"/>
        <v/>
      </c>
      <c r="U68" s="333" t="str">
        <f t="shared" si="6"/>
        <v/>
      </c>
      <c r="V68" s="109"/>
      <c r="W68" s="108"/>
      <c r="X68" s="108"/>
      <c r="AE68" s="111" t="str">
        <f t="shared" si="0"/>
        <v/>
      </c>
      <c r="AF68" s="111" t="str">
        <f t="shared" si="1"/>
        <v/>
      </c>
      <c r="AH68" s="111">
        <v>59</v>
      </c>
      <c r="AJ68" s="111" t="str">
        <f t="array" ref="AJ68">IFERROR(INDEX($AH$10:$AH$258, MATCH(0, IF(TRUE=$AE$10:$AE$258, COUNTIF($AJ$9:$AJ67, $AH$10:$AH$258), ""), 0)),"")</f>
        <v/>
      </c>
      <c r="AK68" s="111" t="str">
        <f t="array" ref="AK68">IFERROR(INDEX($AH$10:$AH$258, MATCH(0, IF(TRUE=$AF$10:$AF$258, COUNTIF($AK$9:$AK67, $AH$10:$AH$258), ""), 0)),"")</f>
        <v/>
      </c>
      <c r="AL68" s="30" t="str">
        <f>IFERROR(INDEX('G-6 Hedgerow Data'!$BJ$3:$BJ$15,MATCH(D68,'G-6 Hedgerow Data'!$B$3:$B$15,0)),"")</f>
        <v/>
      </c>
    </row>
    <row r="69" spans="2:38" x14ac:dyDescent="0.25">
      <c r="B69" s="101">
        <v>60</v>
      </c>
      <c r="C69" s="142"/>
      <c r="D69" s="142"/>
      <c r="E69" s="108"/>
      <c r="F69" s="329" t="str">
        <f>IF(D69="","",VLOOKUP(D69,'G-6 Hedgerow Data'!$B$2:$AG$15,2,FALSE))</f>
        <v/>
      </c>
      <c r="G69" s="282" t="str">
        <f>IF(D69="","",VLOOKUP(D69,'G-6 Hedgerow Data'!$B$2:$AG$15,3,FALSE))</f>
        <v/>
      </c>
      <c r="H69" s="105"/>
      <c r="I69" s="282" t="str">
        <f>IFERROR(IF(AND(D69&lt;&gt;"",H69=""),"Check data ⚠", IF(H69="","",IF(AND(D69="Non-native and ornamental hedgerow", H69&lt;&gt;"Poor"),"Not possible ▲", (VLOOKUP(H69,'G-1 All Habitats'!$Z$2:$AA$9,2,FALSE))))),"")</f>
        <v/>
      </c>
      <c r="J69" s="105"/>
      <c r="K69" s="289" t="str">
        <f>IF(AND(D69&lt;&gt;"",J69=""),"Check data ⚠", IF(J69="","",IF(VLOOKUP(J69,'G-3 Multipliers'!$L$3:$N$6,2,FALSE)=0,"Spatial Data Missing",VLOOKUP(J69,'G-3 Multipliers'!$L$3:$N$6,2,FALSE))))</f>
        <v/>
      </c>
      <c r="L69" s="287" t="str">
        <f>IF(J69="","",IF(VLOOKUP(J69,'G-3 Multipliers'!$L$3:$N$6,3,FALSE)=0,"Spatial Data Missing ⚠",VLOOKUP(J69,'G-3 Multipliers'!$L$3:$N$6,3,FALSE)))</f>
        <v/>
      </c>
      <c r="M69" s="288" t="str">
        <f>IF(D69="","",VLOOKUP(D69,'G-6 Hedgerow Data'!$B$1:$AH$15,33,FALSE))</f>
        <v/>
      </c>
      <c r="N69" s="295" t="str">
        <f t="shared" si="2"/>
        <v/>
      </c>
      <c r="O69" s="32"/>
      <c r="P69" s="109"/>
      <c r="Q69" s="142"/>
      <c r="R69" s="312" t="str">
        <f t="shared" si="3"/>
        <v/>
      </c>
      <c r="S69" s="312" t="str">
        <f t="shared" si="4"/>
        <v/>
      </c>
      <c r="T69" s="312" t="str">
        <f t="shared" si="5"/>
        <v/>
      </c>
      <c r="U69" s="333" t="str">
        <f t="shared" si="6"/>
        <v/>
      </c>
      <c r="V69" s="109"/>
      <c r="W69" s="108"/>
      <c r="X69" s="108"/>
      <c r="AE69" s="111" t="str">
        <f t="shared" si="0"/>
        <v/>
      </c>
      <c r="AF69" s="111" t="str">
        <f t="shared" si="1"/>
        <v/>
      </c>
      <c r="AH69" s="111">
        <v>60</v>
      </c>
      <c r="AJ69" s="111" t="str">
        <f t="array" ref="AJ69">IFERROR(INDEX($AH$10:$AH$258, MATCH(0, IF(TRUE=$AE$10:$AE$258, COUNTIF($AJ$9:$AJ68, $AH$10:$AH$258), ""), 0)),"")</f>
        <v/>
      </c>
      <c r="AK69" s="111" t="str">
        <f t="array" ref="AK69">IFERROR(INDEX($AH$10:$AH$258, MATCH(0, IF(TRUE=$AF$10:$AF$258, COUNTIF($AK$9:$AK68, $AH$10:$AH$258), ""), 0)),"")</f>
        <v/>
      </c>
      <c r="AL69" s="30" t="str">
        <f>IFERROR(INDEX('G-6 Hedgerow Data'!$BJ$3:$BJ$15,MATCH(D69,'G-6 Hedgerow Data'!$B$3:$B$15,0)),"")</f>
        <v/>
      </c>
    </row>
    <row r="70" spans="2:38" x14ac:dyDescent="0.25">
      <c r="B70" s="101">
        <v>61</v>
      </c>
      <c r="C70" s="142"/>
      <c r="D70" s="142"/>
      <c r="E70" s="108"/>
      <c r="F70" s="329" t="str">
        <f>IF(D70="","",VLOOKUP(D70,'G-6 Hedgerow Data'!$B$2:$AG$15,2,FALSE))</f>
        <v/>
      </c>
      <c r="G70" s="282" t="str">
        <f>IF(D70="","",VLOOKUP(D70,'G-6 Hedgerow Data'!$B$2:$AG$15,3,FALSE))</f>
        <v/>
      </c>
      <c r="H70" s="105"/>
      <c r="I70" s="282" t="str">
        <f>IFERROR(IF(AND(D70&lt;&gt;"",H70=""),"Check data ⚠", IF(H70="","",IF(AND(D70="Non-native and ornamental hedgerow", H70&lt;&gt;"Poor"),"Not possible ▲", (VLOOKUP(H70,'G-1 All Habitats'!$Z$2:$AA$9,2,FALSE))))),"")</f>
        <v/>
      </c>
      <c r="J70" s="105"/>
      <c r="K70" s="289" t="str">
        <f>IF(AND(D70&lt;&gt;"",J70=""),"Check data ⚠", IF(J70="","",IF(VLOOKUP(J70,'G-3 Multipliers'!$L$3:$N$6,2,FALSE)=0,"Spatial Data Missing",VLOOKUP(J70,'G-3 Multipliers'!$L$3:$N$6,2,FALSE))))</f>
        <v/>
      </c>
      <c r="L70" s="287" t="str">
        <f>IF(J70="","",IF(VLOOKUP(J70,'G-3 Multipliers'!$L$3:$N$6,3,FALSE)=0,"Spatial Data Missing ⚠",VLOOKUP(J70,'G-3 Multipliers'!$L$3:$N$6,3,FALSE)))</f>
        <v/>
      </c>
      <c r="M70" s="288" t="str">
        <f>IF(D70="","",VLOOKUP(D70,'G-6 Hedgerow Data'!$B$1:$AH$15,33,FALSE))</f>
        <v/>
      </c>
      <c r="N70" s="295" t="str">
        <f t="shared" si="2"/>
        <v/>
      </c>
      <c r="O70" s="32"/>
      <c r="P70" s="109"/>
      <c r="Q70" s="142"/>
      <c r="R70" s="312" t="str">
        <f t="shared" si="3"/>
        <v/>
      </c>
      <c r="S70" s="312" t="str">
        <f t="shared" si="4"/>
        <v/>
      </c>
      <c r="T70" s="312" t="str">
        <f t="shared" si="5"/>
        <v/>
      </c>
      <c r="U70" s="333" t="str">
        <f t="shared" si="6"/>
        <v/>
      </c>
      <c r="V70" s="109"/>
      <c r="W70" s="108"/>
      <c r="X70" s="108"/>
      <c r="AE70" s="111" t="str">
        <f t="shared" si="0"/>
        <v/>
      </c>
      <c r="AF70" s="111" t="str">
        <f t="shared" si="1"/>
        <v/>
      </c>
      <c r="AH70" s="111">
        <v>61</v>
      </c>
      <c r="AJ70" s="111" t="str">
        <f t="array" ref="AJ70">IFERROR(INDEX($AH$10:$AH$258, MATCH(0, IF(TRUE=$AE$10:$AE$258, COUNTIF($AJ$9:$AJ69, $AH$10:$AH$258), ""), 0)),"")</f>
        <v/>
      </c>
      <c r="AK70" s="111" t="str">
        <f t="array" ref="AK70">IFERROR(INDEX($AH$10:$AH$258, MATCH(0, IF(TRUE=$AF$10:$AF$258, COUNTIF($AK$9:$AK69, $AH$10:$AH$258), ""), 0)),"")</f>
        <v/>
      </c>
      <c r="AL70" s="30" t="str">
        <f>IFERROR(INDEX('G-6 Hedgerow Data'!$BJ$3:$BJ$15,MATCH(D70,'G-6 Hedgerow Data'!$B$3:$B$15,0)),"")</f>
        <v/>
      </c>
    </row>
    <row r="71" spans="2:38" x14ac:dyDescent="0.25">
      <c r="B71" s="101">
        <v>62</v>
      </c>
      <c r="C71" s="142"/>
      <c r="D71" s="142"/>
      <c r="E71" s="108"/>
      <c r="F71" s="329" t="str">
        <f>IF(D71="","",VLOOKUP(D71,'G-6 Hedgerow Data'!$B$2:$AG$15,2,FALSE))</f>
        <v/>
      </c>
      <c r="G71" s="282" t="str">
        <f>IF(D71="","",VLOOKUP(D71,'G-6 Hedgerow Data'!$B$2:$AG$15,3,FALSE))</f>
        <v/>
      </c>
      <c r="H71" s="105"/>
      <c r="I71" s="282" t="str">
        <f>IFERROR(IF(AND(D71&lt;&gt;"",H71=""),"Check data ⚠", IF(H71="","",IF(AND(D71="Non-native and ornamental hedgerow", H71&lt;&gt;"Poor"),"Not possible ▲", (VLOOKUP(H71,'G-1 All Habitats'!$Z$2:$AA$9,2,FALSE))))),"")</f>
        <v/>
      </c>
      <c r="J71" s="105"/>
      <c r="K71" s="289" t="str">
        <f>IF(AND(D71&lt;&gt;"",J71=""),"Check data ⚠", IF(J71="","",IF(VLOOKUP(J71,'G-3 Multipliers'!$L$3:$N$6,2,FALSE)=0,"Spatial Data Missing",VLOOKUP(J71,'G-3 Multipliers'!$L$3:$N$6,2,FALSE))))</f>
        <v/>
      </c>
      <c r="L71" s="287" t="str">
        <f>IF(J71="","",IF(VLOOKUP(J71,'G-3 Multipliers'!$L$3:$N$6,3,FALSE)=0,"Spatial Data Missing ⚠",VLOOKUP(J71,'G-3 Multipliers'!$L$3:$N$6,3,FALSE)))</f>
        <v/>
      </c>
      <c r="M71" s="288" t="str">
        <f>IF(D71="","",VLOOKUP(D71,'G-6 Hedgerow Data'!$B$1:$AH$15,33,FALSE))</f>
        <v/>
      </c>
      <c r="N71" s="295" t="str">
        <f t="shared" si="2"/>
        <v/>
      </c>
      <c r="O71" s="32"/>
      <c r="P71" s="109"/>
      <c r="Q71" s="142"/>
      <c r="R71" s="312" t="str">
        <f t="shared" si="3"/>
        <v/>
      </c>
      <c r="S71" s="312" t="str">
        <f t="shared" si="4"/>
        <v/>
      </c>
      <c r="T71" s="312" t="str">
        <f t="shared" si="5"/>
        <v/>
      </c>
      <c r="U71" s="333" t="str">
        <f t="shared" si="6"/>
        <v/>
      </c>
      <c r="V71" s="109"/>
      <c r="W71" s="108"/>
      <c r="X71" s="108"/>
      <c r="AE71" s="111" t="str">
        <f t="shared" si="0"/>
        <v/>
      </c>
      <c r="AF71" s="111" t="str">
        <f t="shared" si="1"/>
        <v/>
      </c>
      <c r="AH71" s="111">
        <v>62</v>
      </c>
      <c r="AJ71" s="111" t="str">
        <f t="array" ref="AJ71">IFERROR(INDEX($AH$10:$AH$258, MATCH(0, IF(TRUE=$AE$10:$AE$258, COUNTIF($AJ$9:$AJ70, $AH$10:$AH$258), ""), 0)),"")</f>
        <v/>
      </c>
      <c r="AK71" s="111" t="str">
        <f t="array" ref="AK71">IFERROR(INDEX($AH$10:$AH$258, MATCH(0, IF(TRUE=$AF$10:$AF$258, COUNTIF($AK$9:$AK70, $AH$10:$AH$258), ""), 0)),"")</f>
        <v/>
      </c>
      <c r="AL71" s="30" t="str">
        <f>IFERROR(INDEX('G-6 Hedgerow Data'!$BJ$3:$BJ$15,MATCH(D71,'G-6 Hedgerow Data'!$B$3:$B$15,0)),"")</f>
        <v/>
      </c>
    </row>
    <row r="72" spans="2:38" x14ac:dyDescent="0.25">
      <c r="B72" s="101">
        <v>63</v>
      </c>
      <c r="C72" s="142"/>
      <c r="D72" s="142"/>
      <c r="E72" s="108"/>
      <c r="F72" s="329" t="str">
        <f>IF(D72="","",VLOOKUP(D72,'G-6 Hedgerow Data'!$B$2:$AG$15,2,FALSE))</f>
        <v/>
      </c>
      <c r="G72" s="282" t="str">
        <f>IF(D72="","",VLOOKUP(D72,'G-6 Hedgerow Data'!$B$2:$AG$15,3,FALSE))</f>
        <v/>
      </c>
      <c r="H72" s="105"/>
      <c r="I72" s="282" t="str">
        <f>IFERROR(IF(AND(D72&lt;&gt;"",H72=""),"Check data ⚠", IF(H72="","",IF(AND(D72="Non-native and ornamental hedgerow", H72&lt;&gt;"Poor"),"Not possible ▲", (VLOOKUP(H72,'G-1 All Habitats'!$Z$2:$AA$9,2,FALSE))))),"")</f>
        <v/>
      </c>
      <c r="J72" s="105"/>
      <c r="K72" s="289" t="str">
        <f>IF(AND(D72&lt;&gt;"",J72=""),"Check data ⚠", IF(J72="","",IF(VLOOKUP(J72,'G-3 Multipliers'!$L$3:$N$6,2,FALSE)=0,"Spatial Data Missing",VLOOKUP(J72,'G-3 Multipliers'!$L$3:$N$6,2,FALSE))))</f>
        <v/>
      </c>
      <c r="L72" s="287" t="str">
        <f>IF(J72="","",IF(VLOOKUP(J72,'G-3 Multipliers'!$L$3:$N$6,3,FALSE)=0,"Spatial Data Missing ⚠",VLOOKUP(J72,'G-3 Multipliers'!$L$3:$N$6,3,FALSE)))</f>
        <v/>
      </c>
      <c r="M72" s="288" t="str">
        <f>IF(D72="","",VLOOKUP(D72,'G-6 Hedgerow Data'!$B$1:$AH$15,33,FALSE))</f>
        <v/>
      </c>
      <c r="N72" s="295" t="str">
        <f t="shared" si="2"/>
        <v/>
      </c>
      <c r="O72" s="32"/>
      <c r="P72" s="109"/>
      <c r="Q72" s="142"/>
      <c r="R72" s="312" t="str">
        <f t="shared" si="3"/>
        <v/>
      </c>
      <c r="S72" s="312" t="str">
        <f t="shared" si="4"/>
        <v/>
      </c>
      <c r="T72" s="312" t="str">
        <f t="shared" si="5"/>
        <v/>
      </c>
      <c r="U72" s="333" t="str">
        <f t="shared" si="6"/>
        <v/>
      </c>
      <c r="V72" s="109"/>
      <c r="W72" s="108"/>
      <c r="X72" s="108"/>
      <c r="AE72" s="111" t="str">
        <f t="shared" si="0"/>
        <v/>
      </c>
      <c r="AF72" s="111" t="str">
        <f t="shared" si="1"/>
        <v/>
      </c>
      <c r="AH72" s="111">
        <v>63</v>
      </c>
      <c r="AJ72" s="111" t="str">
        <f t="array" ref="AJ72">IFERROR(INDEX($AH$10:$AH$258, MATCH(0, IF(TRUE=$AE$10:$AE$258, COUNTIF($AJ$9:$AJ71, $AH$10:$AH$258), ""), 0)),"")</f>
        <v/>
      </c>
      <c r="AK72" s="111" t="str">
        <f t="array" ref="AK72">IFERROR(INDEX($AH$10:$AH$258, MATCH(0, IF(TRUE=$AF$10:$AF$258, COUNTIF($AK$9:$AK71, $AH$10:$AH$258), ""), 0)),"")</f>
        <v/>
      </c>
      <c r="AL72" s="30" t="str">
        <f>IFERROR(INDEX('G-6 Hedgerow Data'!$BJ$3:$BJ$15,MATCH(D72,'G-6 Hedgerow Data'!$B$3:$B$15,0)),"")</f>
        <v/>
      </c>
    </row>
    <row r="73" spans="2:38" x14ac:dyDescent="0.25">
      <c r="B73" s="101">
        <v>64</v>
      </c>
      <c r="C73" s="142"/>
      <c r="D73" s="142"/>
      <c r="E73" s="108"/>
      <c r="F73" s="329" t="str">
        <f>IF(D73="","",VLOOKUP(D73,'G-6 Hedgerow Data'!$B$2:$AG$15,2,FALSE))</f>
        <v/>
      </c>
      <c r="G73" s="282" t="str">
        <f>IF(D73="","",VLOOKUP(D73,'G-6 Hedgerow Data'!$B$2:$AG$15,3,FALSE))</f>
        <v/>
      </c>
      <c r="H73" s="105"/>
      <c r="I73" s="282" t="str">
        <f>IFERROR(IF(AND(D73&lt;&gt;"",H73=""),"Check data ⚠", IF(H73="","",IF(AND(D73="Non-native and ornamental hedgerow", H73&lt;&gt;"Poor"),"Not possible ▲", (VLOOKUP(H73,'G-1 All Habitats'!$Z$2:$AA$9,2,FALSE))))),"")</f>
        <v/>
      </c>
      <c r="J73" s="105"/>
      <c r="K73" s="289" t="str">
        <f>IF(AND(D73&lt;&gt;"",J73=""),"Check data ⚠", IF(J73="","",IF(VLOOKUP(J73,'G-3 Multipliers'!$L$3:$N$6,2,FALSE)=0,"Spatial Data Missing",VLOOKUP(J73,'G-3 Multipliers'!$L$3:$N$6,2,FALSE))))</f>
        <v/>
      </c>
      <c r="L73" s="287" t="str">
        <f>IF(J73="","",IF(VLOOKUP(J73,'G-3 Multipliers'!$L$3:$N$6,3,FALSE)=0,"Spatial Data Missing ⚠",VLOOKUP(J73,'G-3 Multipliers'!$L$3:$N$6,3,FALSE)))</f>
        <v/>
      </c>
      <c r="M73" s="288" t="str">
        <f>IF(D73="","",VLOOKUP(D73,'G-6 Hedgerow Data'!$B$1:$AH$15,33,FALSE))</f>
        <v/>
      </c>
      <c r="N73" s="295" t="str">
        <f t="shared" si="2"/>
        <v/>
      </c>
      <c r="O73" s="32"/>
      <c r="P73" s="109"/>
      <c r="Q73" s="142"/>
      <c r="R73" s="312" t="str">
        <f t="shared" si="3"/>
        <v/>
      </c>
      <c r="S73" s="312" t="str">
        <f t="shared" si="4"/>
        <v/>
      </c>
      <c r="T73" s="312" t="str">
        <f t="shared" si="5"/>
        <v/>
      </c>
      <c r="U73" s="333" t="str">
        <f t="shared" si="6"/>
        <v/>
      </c>
      <c r="V73" s="109"/>
      <c r="W73" s="108"/>
      <c r="X73" s="108"/>
      <c r="AE73" s="111" t="str">
        <f t="shared" si="0"/>
        <v/>
      </c>
      <c r="AF73" s="111" t="str">
        <f t="shared" si="1"/>
        <v/>
      </c>
      <c r="AH73" s="111">
        <v>64</v>
      </c>
      <c r="AJ73" s="111" t="str">
        <f t="array" ref="AJ73">IFERROR(INDEX($AH$10:$AH$258, MATCH(0, IF(TRUE=$AE$10:$AE$258, COUNTIF($AJ$9:$AJ72, $AH$10:$AH$258), ""), 0)),"")</f>
        <v/>
      </c>
      <c r="AK73" s="111" t="str">
        <f t="array" ref="AK73">IFERROR(INDEX($AH$10:$AH$258, MATCH(0, IF(TRUE=$AF$10:$AF$258, COUNTIF($AK$9:$AK72, $AH$10:$AH$258), ""), 0)),"")</f>
        <v/>
      </c>
      <c r="AL73" s="30" t="str">
        <f>IFERROR(INDEX('G-6 Hedgerow Data'!$BJ$3:$BJ$15,MATCH(D73,'G-6 Hedgerow Data'!$B$3:$B$15,0)),"")</f>
        <v/>
      </c>
    </row>
    <row r="74" spans="2:38" x14ac:dyDescent="0.25">
      <c r="B74" s="101">
        <v>65</v>
      </c>
      <c r="C74" s="142"/>
      <c r="D74" s="142"/>
      <c r="E74" s="108"/>
      <c r="F74" s="329" t="str">
        <f>IF(D74="","",VLOOKUP(D74,'G-6 Hedgerow Data'!$B$2:$AG$15,2,FALSE))</f>
        <v/>
      </c>
      <c r="G74" s="282" t="str">
        <f>IF(D74="","",VLOOKUP(D74,'G-6 Hedgerow Data'!$B$2:$AG$15,3,FALSE))</f>
        <v/>
      </c>
      <c r="H74" s="105"/>
      <c r="I74" s="282" t="str">
        <f>IFERROR(IF(AND(D74&lt;&gt;"",H74=""),"Check data ⚠", IF(H74="","",IF(AND(D74="Non-native and ornamental hedgerow", H74&lt;&gt;"Poor"),"Not possible ▲", (VLOOKUP(H74,'G-1 All Habitats'!$Z$2:$AA$9,2,FALSE))))),"")</f>
        <v/>
      </c>
      <c r="J74" s="105"/>
      <c r="K74" s="289" t="str">
        <f>IF(AND(D74&lt;&gt;"",J74=""),"Check data ⚠", IF(J74="","",IF(VLOOKUP(J74,'G-3 Multipliers'!$L$3:$N$6,2,FALSE)=0,"Spatial Data Missing",VLOOKUP(J74,'G-3 Multipliers'!$L$3:$N$6,2,FALSE))))</f>
        <v/>
      </c>
      <c r="L74" s="287" t="str">
        <f>IF(J74="","",IF(VLOOKUP(J74,'G-3 Multipliers'!$L$3:$N$6,3,FALSE)=0,"Spatial Data Missing ⚠",VLOOKUP(J74,'G-3 Multipliers'!$L$3:$N$6,3,FALSE)))</f>
        <v/>
      </c>
      <c r="M74" s="288" t="str">
        <f>IF(D74="","",VLOOKUP(D74,'G-6 Hedgerow Data'!$B$1:$AH$15,33,FALSE))</f>
        <v/>
      </c>
      <c r="N74" s="295" t="str">
        <f t="shared" si="2"/>
        <v/>
      </c>
      <c r="O74" s="32"/>
      <c r="P74" s="109"/>
      <c r="Q74" s="142"/>
      <c r="R74" s="312" t="str">
        <f t="shared" si="3"/>
        <v/>
      </c>
      <c r="S74" s="312" t="str">
        <f t="shared" si="4"/>
        <v/>
      </c>
      <c r="T74" s="312" t="str">
        <f t="shared" si="5"/>
        <v/>
      </c>
      <c r="U74" s="333" t="str">
        <f t="shared" si="6"/>
        <v/>
      </c>
      <c r="V74" s="109"/>
      <c r="W74" s="108"/>
      <c r="X74" s="108"/>
      <c r="AE74" s="111" t="str">
        <f t="shared" ref="AE74:AE137" si="7">IF(D74="","",IF(P74&gt;0,TRUE,FALSE))</f>
        <v/>
      </c>
      <c r="AF74" s="111" t="str">
        <f t="shared" ref="AF74:AF137" si="8">IF(D74="","",IF(Q74&gt;0,TRUE,FALSE))</f>
        <v/>
      </c>
      <c r="AH74" s="111">
        <v>65</v>
      </c>
      <c r="AJ74" s="111" t="str">
        <f t="array" ref="AJ74">IFERROR(INDEX($AH$10:$AH$258, MATCH(0, IF(TRUE=$AE$10:$AE$258, COUNTIF($AJ$9:$AJ73, $AH$10:$AH$258), ""), 0)),"")</f>
        <v/>
      </c>
      <c r="AK74" s="111" t="str">
        <f t="array" ref="AK74">IFERROR(INDEX($AH$10:$AH$258, MATCH(0, IF(TRUE=$AF$10:$AF$258, COUNTIF($AK$9:$AK73, $AH$10:$AH$258), ""), 0)),"")</f>
        <v/>
      </c>
      <c r="AL74" s="30" t="str">
        <f>IFERROR(INDEX('G-6 Hedgerow Data'!$BJ$3:$BJ$15,MATCH(D74,'G-6 Hedgerow Data'!$B$3:$B$15,0)),"")</f>
        <v/>
      </c>
    </row>
    <row r="75" spans="2:38" x14ac:dyDescent="0.25">
      <c r="B75" s="101">
        <v>66</v>
      </c>
      <c r="C75" s="142"/>
      <c r="D75" s="142"/>
      <c r="E75" s="108"/>
      <c r="F75" s="329" t="str">
        <f>IF(D75="","",VLOOKUP(D75,'G-6 Hedgerow Data'!$B$2:$AG$15,2,FALSE))</f>
        <v/>
      </c>
      <c r="G75" s="282" t="str">
        <f>IF(D75="","",VLOOKUP(D75,'G-6 Hedgerow Data'!$B$2:$AG$15,3,FALSE))</f>
        <v/>
      </c>
      <c r="H75" s="105"/>
      <c r="I75" s="282" t="str">
        <f>IFERROR(IF(AND(D75&lt;&gt;"",H75=""),"Check data ⚠", IF(H75="","",IF(AND(D75="Non-native and ornamental hedgerow", H75&lt;&gt;"Poor"),"Not possible ▲", (VLOOKUP(H75,'G-1 All Habitats'!$Z$2:$AA$9,2,FALSE))))),"")</f>
        <v/>
      </c>
      <c r="J75" s="105"/>
      <c r="K75" s="289" t="str">
        <f>IF(AND(D75&lt;&gt;"",J75=""),"Check data ⚠", IF(J75="","",IF(VLOOKUP(J75,'G-3 Multipliers'!$L$3:$N$6,2,FALSE)=0,"Spatial Data Missing",VLOOKUP(J75,'G-3 Multipliers'!$L$3:$N$6,2,FALSE))))</f>
        <v/>
      </c>
      <c r="L75" s="287" t="str">
        <f>IF(J75="","",IF(VLOOKUP(J75,'G-3 Multipliers'!$L$3:$N$6,3,FALSE)=0,"Spatial Data Missing ⚠",VLOOKUP(J75,'G-3 Multipliers'!$L$3:$N$6,3,FALSE)))</f>
        <v/>
      </c>
      <c r="M75" s="288" t="str">
        <f>IF(D75="","",VLOOKUP(D75,'G-6 Hedgerow Data'!$B$1:$AH$15,33,FALSE))</f>
        <v/>
      </c>
      <c r="N75" s="295" t="str">
        <f t="shared" ref="N75:N138" si="9">IFERROR(IF(OR(K75="Check data ⚠",I75="Check data ⚠",R75="Error in lengths ▲"), "Check data ▲", (E75*G75*I75*L75)),"")</f>
        <v/>
      </c>
      <c r="O75" s="32"/>
      <c r="P75" s="109"/>
      <c r="Q75" s="142"/>
      <c r="R75" s="312" t="str">
        <f t="shared" ref="R75:R138" si="10">IFERROR(P75*G75*I75*L75,"")</f>
        <v/>
      </c>
      <c r="S75" s="312" t="str">
        <f t="shared" ref="S75:S138" si="11">IFERROR(Q75*G75*I75*L75,"")</f>
        <v/>
      </c>
      <c r="T75" s="312" t="str">
        <f t="shared" ref="T75:T138" si="12">IF(D75="","",IF(E75-P75-Q75=0&lt;0,"Error in lengths ▲",IF(P75+Q75&gt;E75,"Error in Lengths ▲",E75-P75-Q75)))</f>
        <v/>
      </c>
      <c r="U75" s="333" t="str">
        <f t="shared" ref="U75:U138" si="13">IFERROR(IF(OR(E75="",N75=""),"",IF(E75-P75-Q75=0&lt;0,"Error in Lengths ▲",IF(P75+Q75&gt;E75,"Error in Lengths ▲",N75-R75-S75))),"Check data ⚠")</f>
        <v/>
      </c>
      <c r="V75" s="109"/>
      <c r="W75" s="108"/>
      <c r="X75" s="108"/>
      <c r="AE75" s="111" t="str">
        <f t="shared" si="7"/>
        <v/>
      </c>
      <c r="AF75" s="111" t="str">
        <f t="shared" si="8"/>
        <v/>
      </c>
      <c r="AH75" s="111">
        <v>66</v>
      </c>
      <c r="AJ75" s="111" t="str">
        <f t="array" ref="AJ75">IFERROR(INDEX($AH$10:$AH$258, MATCH(0, IF(TRUE=$AE$10:$AE$258, COUNTIF($AJ$9:$AJ74, $AH$10:$AH$258), ""), 0)),"")</f>
        <v/>
      </c>
      <c r="AK75" s="111" t="str">
        <f t="array" ref="AK75">IFERROR(INDEX($AH$10:$AH$258, MATCH(0, IF(TRUE=$AF$10:$AF$258, COUNTIF($AK$9:$AK74, $AH$10:$AH$258), ""), 0)),"")</f>
        <v/>
      </c>
      <c r="AL75" s="30" t="str">
        <f>IFERROR(INDEX('G-6 Hedgerow Data'!$BJ$3:$BJ$15,MATCH(D75,'G-6 Hedgerow Data'!$B$3:$B$15,0)),"")</f>
        <v/>
      </c>
    </row>
    <row r="76" spans="2:38" x14ac:dyDescent="0.25">
      <c r="B76" s="101">
        <v>67</v>
      </c>
      <c r="C76" s="142"/>
      <c r="D76" s="142"/>
      <c r="E76" s="108"/>
      <c r="F76" s="329" t="str">
        <f>IF(D76="","",VLOOKUP(D76,'G-6 Hedgerow Data'!$B$2:$AG$15,2,FALSE))</f>
        <v/>
      </c>
      <c r="G76" s="282" t="str">
        <f>IF(D76="","",VLOOKUP(D76,'G-6 Hedgerow Data'!$B$2:$AG$15,3,FALSE))</f>
        <v/>
      </c>
      <c r="H76" s="105"/>
      <c r="I76" s="282" t="str">
        <f>IFERROR(IF(AND(D76&lt;&gt;"",H76=""),"Check data ⚠", IF(H76="","",IF(AND(D76="Non-native and ornamental hedgerow", H76&lt;&gt;"Poor"),"Not possible ▲", (VLOOKUP(H76,'G-1 All Habitats'!$Z$2:$AA$9,2,FALSE))))),"")</f>
        <v/>
      </c>
      <c r="J76" s="105"/>
      <c r="K76" s="289" t="str">
        <f>IF(AND(D76&lt;&gt;"",J76=""),"Check data ⚠", IF(J76="","",IF(VLOOKUP(J76,'G-3 Multipliers'!$L$3:$N$6,2,FALSE)=0,"Spatial Data Missing",VLOOKUP(J76,'G-3 Multipliers'!$L$3:$N$6,2,FALSE))))</f>
        <v/>
      </c>
      <c r="L76" s="287" t="str">
        <f>IF(J76="","",IF(VLOOKUP(J76,'G-3 Multipliers'!$L$3:$N$6,3,FALSE)=0,"Spatial Data Missing ⚠",VLOOKUP(J76,'G-3 Multipliers'!$L$3:$N$6,3,FALSE)))</f>
        <v/>
      </c>
      <c r="M76" s="288" t="str">
        <f>IF(D76="","",VLOOKUP(D76,'G-6 Hedgerow Data'!$B$1:$AH$15,33,FALSE))</f>
        <v/>
      </c>
      <c r="N76" s="295" t="str">
        <f t="shared" si="9"/>
        <v/>
      </c>
      <c r="O76" s="32"/>
      <c r="P76" s="109"/>
      <c r="Q76" s="142"/>
      <c r="R76" s="312" t="str">
        <f t="shared" si="10"/>
        <v/>
      </c>
      <c r="S76" s="312" t="str">
        <f t="shared" si="11"/>
        <v/>
      </c>
      <c r="T76" s="312" t="str">
        <f t="shared" si="12"/>
        <v/>
      </c>
      <c r="U76" s="333" t="str">
        <f t="shared" si="13"/>
        <v/>
      </c>
      <c r="V76" s="109"/>
      <c r="W76" s="108"/>
      <c r="X76" s="108"/>
      <c r="AE76" s="111" t="str">
        <f t="shared" si="7"/>
        <v/>
      </c>
      <c r="AF76" s="111" t="str">
        <f t="shared" si="8"/>
        <v/>
      </c>
      <c r="AH76" s="111">
        <v>67</v>
      </c>
      <c r="AJ76" s="111" t="str">
        <f t="array" ref="AJ76">IFERROR(INDEX($AH$10:$AH$258, MATCH(0, IF(TRUE=$AE$10:$AE$258, COUNTIF($AJ$9:$AJ75, $AH$10:$AH$258), ""), 0)),"")</f>
        <v/>
      </c>
      <c r="AK76" s="111" t="str">
        <f t="array" ref="AK76">IFERROR(INDEX($AH$10:$AH$258, MATCH(0, IF(TRUE=$AF$10:$AF$258, COUNTIF($AK$9:$AK75, $AH$10:$AH$258), ""), 0)),"")</f>
        <v/>
      </c>
      <c r="AL76" s="30" t="str">
        <f>IFERROR(INDEX('G-6 Hedgerow Data'!$BJ$3:$BJ$15,MATCH(D76,'G-6 Hedgerow Data'!$B$3:$B$15,0)),"")</f>
        <v/>
      </c>
    </row>
    <row r="77" spans="2:38" x14ac:dyDescent="0.25">
      <c r="B77" s="101">
        <v>68</v>
      </c>
      <c r="C77" s="142"/>
      <c r="D77" s="142"/>
      <c r="E77" s="108"/>
      <c r="F77" s="329" t="str">
        <f>IF(D77="","",VLOOKUP(D77,'G-6 Hedgerow Data'!$B$2:$AG$15,2,FALSE))</f>
        <v/>
      </c>
      <c r="G77" s="282" t="str">
        <f>IF(D77="","",VLOOKUP(D77,'G-6 Hedgerow Data'!$B$2:$AG$15,3,FALSE))</f>
        <v/>
      </c>
      <c r="H77" s="105"/>
      <c r="I77" s="282" t="str">
        <f>IFERROR(IF(AND(D77&lt;&gt;"",H77=""),"Check data ⚠", IF(H77="","",IF(AND(D77="Non-native and ornamental hedgerow", H77&lt;&gt;"Poor"),"Not possible ▲", (VLOOKUP(H77,'G-1 All Habitats'!$Z$2:$AA$9,2,FALSE))))),"")</f>
        <v/>
      </c>
      <c r="J77" s="105"/>
      <c r="K77" s="289" t="str">
        <f>IF(AND(D77&lt;&gt;"",J77=""),"Check data ⚠", IF(J77="","",IF(VLOOKUP(J77,'G-3 Multipliers'!$L$3:$N$6,2,FALSE)=0,"Spatial Data Missing",VLOOKUP(J77,'G-3 Multipliers'!$L$3:$N$6,2,FALSE))))</f>
        <v/>
      </c>
      <c r="L77" s="287" t="str">
        <f>IF(J77="","",IF(VLOOKUP(J77,'G-3 Multipliers'!$L$3:$N$6,3,FALSE)=0,"Spatial Data Missing ⚠",VLOOKUP(J77,'G-3 Multipliers'!$L$3:$N$6,3,FALSE)))</f>
        <v/>
      </c>
      <c r="M77" s="288" t="str">
        <f>IF(D77="","",VLOOKUP(D77,'G-6 Hedgerow Data'!$B$1:$AH$15,33,FALSE))</f>
        <v/>
      </c>
      <c r="N77" s="295" t="str">
        <f t="shared" si="9"/>
        <v/>
      </c>
      <c r="O77" s="32"/>
      <c r="P77" s="109"/>
      <c r="Q77" s="142"/>
      <c r="R77" s="312" t="str">
        <f t="shared" si="10"/>
        <v/>
      </c>
      <c r="S77" s="312" t="str">
        <f t="shared" si="11"/>
        <v/>
      </c>
      <c r="T77" s="312" t="str">
        <f t="shared" si="12"/>
        <v/>
      </c>
      <c r="U77" s="333" t="str">
        <f t="shared" si="13"/>
        <v/>
      </c>
      <c r="V77" s="109"/>
      <c r="W77" s="108"/>
      <c r="X77" s="108"/>
      <c r="AE77" s="111" t="str">
        <f t="shared" si="7"/>
        <v/>
      </c>
      <c r="AF77" s="111" t="str">
        <f t="shared" si="8"/>
        <v/>
      </c>
      <c r="AH77" s="111">
        <v>68</v>
      </c>
      <c r="AJ77" s="111" t="str">
        <f t="array" ref="AJ77">IFERROR(INDEX($AH$10:$AH$258, MATCH(0, IF(TRUE=$AE$10:$AE$258, COUNTIF($AJ$9:$AJ76, $AH$10:$AH$258), ""), 0)),"")</f>
        <v/>
      </c>
      <c r="AK77" s="111" t="str">
        <f t="array" ref="AK77">IFERROR(INDEX($AH$10:$AH$258, MATCH(0, IF(TRUE=$AF$10:$AF$258, COUNTIF($AK$9:$AK76, $AH$10:$AH$258), ""), 0)),"")</f>
        <v/>
      </c>
      <c r="AL77" s="30" t="str">
        <f>IFERROR(INDEX('G-6 Hedgerow Data'!$BJ$3:$BJ$15,MATCH(D77,'G-6 Hedgerow Data'!$B$3:$B$15,0)),"")</f>
        <v/>
      </c>
    </row>
    <row r="78" spans="2:38" x14ac:dyDescent="0.25">
      <c r="B78" s="101">
        <v>69</v>
      </c>
      <c r="C78" s="142"/>
      <c r="D78" s="142"/>
      <c r="E78" s="108"/>
      <c r="F78" s="329" t="str">
        <f>IF(D78="","",VLOOKUP(D78,'G-6 Hedgerow Data'!$B$2:$AG$15,2,FALSE))</f>
        <v/>
      </c>
      <c r="G78" s="282" t="str">
        <f>IF(D78="","",VLOOKUP(D78,'G-6 Hedgerow Data'!$B$2:$AG$15,3,FALSE))</f>
        <v/>
      </c>
      <c r="H78" s="105"/>
      <c r="I78" s="282" t="str">
        <f>IFERROR(IF(AND(D78&lt;&gt;"",H78=""),"Check data ⚠", IF(H78="","",IF(AND(D78="Non-native and ornamental hedgerow", H78&lt;&gt;"Poor"),"Not possible ▲", (VLOOKUP(H78,'G-1 All Habitats'!$Z$2:$AA$9,2,FALSE))))),"")</f>
        <v/>
      </c>
      <c r="J78" s="105"/>
      <c r="K78" s="289" t="str">
        <f>IF(AND(D78&lt;&gt;"",J78=""),"Check data ⚠", IF(J78="","",IF(VLOOKUP(J78,'G-3 Multipliers'!$L$3:$N$6,2,FALSE)=0,"Spatial Data Missing",VLOOKUP(J78,'G-3 Multipliers'!$L$3:$N$6,2,FALSE))))</f>
        <v/>
      </c>
      <c r="L78" s="287" t="str">
        <f>IF(J78="","",IF(VLOOKUP(J78,'G-3 Multipliers'!$L$3:$N$6,3,FALSE)=0,"Spatial Data Missing ⚠",VLOOKUP(J78,'G-3 Multipliers'!$L$3:$N$6,3,FALSE)))</f>
        <v/>
      </c>
      <c r="M78" s="288" t="str">
        <f>IF(D78="","",VLOOKUP(D78,'G-6 Hedgerow Data'!$B$1:$AH$15,33,FALSE))</f>
        <v/>
      </c>
      <c r="N78" s="295" t="str">
        <f t="shared" si="9"/>
        <v/>
      </c>
      <c r="O78" s="32"/>
      <c r="P78" s="109"/>
      <c r="Q78" s="142"/>
      <c r="R78" s="312" t="str">
        <f t="shared" si="10"/>
        <v/>
      </c>
      <c r="S78" s="312" t="str">
        <f t="shared" si="11"/>
        <v/>
      </c>
      <c r="T78" s="312" t="str">
        <f t="shared" si="12"/>
        <v/>
      </c>
      <c r="U78" s="333" t="str">
        <f t="shared" si="13"/>
        <v/>
      </c>
      <c r="V78" s="109"/>
      <c r="W78" s="108"/>
      <c r="X78" s="108"/>
      <c r="AE78" s="111" t="str">
        <f t="shared" si="7"/>
        <v/>
      </c>
      <c r="AF78" s="111" t="str">
        <f t="shared" si="8"/>
        <v/>
      </c>
      <c r="AH78" s="111">
        <v>69</v>
      </c>
      <c r="AJ78" s="111" t="str">
        <f t="array" ref="AJ78">IFERROR(INDEX($AH$10:$AH$258, MATCH(0, IF(TRUE=$AE$10:$AE$258, COUNTIF($AJ$9:$AJ77, $AH$10:$AH$258), ""), 0)),"")</f>
        <v/>
      </c>
      <c r="AK78" s="111" t="str">
        <f t="array" ref="AK78">IFERROR(INDEX($AH$10:$AH$258, MATCH(0, IF(TRUE=$AF$10:$AF$258, COUNTIF($AK$9:$AK77, $AH$10:$AH$258), ""), 0)),"")</f>
        <v/>
      </c>
      <c r="AL78" s="30" t="str">
        <f>IFERROR(INDEX('G-6 Hedgerow Data'!$BJ$3:$BJ$15,MATCH(D78,'G-6 Hedgerow Data'!$B$3:$B$15,0)),"")</f>
        <v/>
      </c>
    </row>
    <row r="79" spans="2:38" x14ac:dyDescent="0.25">
      <c r="B79" s="101">
        <v>70</v>
      </c>
      <c r="C79" s="142"/>
      <c r="D79" s="142"/>
      <c r="E79" s="108"/>
      <c r="F79" s="329" t="str">
        <f>IF(D79="","",VLOOKUP(D79,'G-6 Hedgerow Data'!$B$2:$AG$15,2,FALSE))</f>
        <v/>
      </c>
      <c r="G79" s="282" t="str">
        <f>IF(D79="","",VLOOKUP(D79,'G-6 Hedgerow Data'!$B$2:$AG$15,3,FALSE))</f>
        <v/>
      </c>
      <c r="H79" s="105"/>
      <c r="I79" s="282" t="str">
        <f>IFERROR(IF(AND(D79&lt;&gt;"",H79=""),"Check data ⚠", IF(H79="","",IF(AND(D79="Non-native and ornamental hedgerow", H79&lt;&gt;"Poor"),"Not possible ▲", (VLOOKUP(H79,'G-1 All Habitats'!$Z$2:$AA$9,2,FALSE))))),"")</f>
        <v/>
      </c>
      <c r="J79" s="105"/>
      <c r="K79" s="289" t="str">
        <f>IF(AND(D79&lt;&gt;"",J79=""),"Check data ⚠", IF(J79="","",IF(VLOOKUP(J79,'G-3 Multipliers'!$L$3:$N$6,2,FALSE)=0,"Spatial Data Missing",VLOOKUP(J79,'G-3 Multipliers'!$L$3:$N$6,2,FALSE))))</f>
        <v/>
      </c>
      <c r="L79" s="287" t="str">
        <f>IF(J79="","",IF(VLOOKUP(J79,'G-3 Multipliers'!$L$3:$N$6,3,FALSE)=0,"Spatial Data Missing ⚠",VLOOKUP(J79,'G-3 Multipliers'!$L$3:$N$6,3,FALSE)))</f>
        <v/>
      </c>
      <c r="M79" s="288" t="str">
        <f>IF(D79="","",VLOOKUP(D79,'G-6 Hedgerow Data'!$B$1:$AH$15,33,FALSE))</f>
        <v/>
      </c>
      <c r="N79" s="295" t="str">
        <f t="shared" si="9"/>
        <v/>
      </c>
      <c r="O79" s="32"/>
      <c r="P79" s="109"/>
      <c r="Q79" s="142"/>
      <c r="R79" s="312" t="str">
        <f t="shared" si="10"/>
        <v/>
      </c>
      <c r="S79" s="312" t="str">
        <f t="shared" si="11"/>
        <v/>
      </c>
      <c r="T79" s="312" t="str">
        <f t="shared" si="12"/>
        <v/>
      </c>
      <c r="U79" s="333" t="str">
        <f t="shared" si="13"/>
        <v/>
      </c>
      <c r="V79" s="109"/>
      <c r="W79" s="108"/>
      <c r="X79" s="108"/>
      <c r="AE79" s="111" t="str">
        <f t="shared" si="7"/>
        <v/>
      </c>
      <c r="AF79" s="111" t="str">
        <f t="shared" si="8"/>
        <v/>
      </c>
      <c r="AH79" s="111">
        <v>70</v>
      </c>
      <c r="AJ79" s="111" t="str">
        <f t="array" ref="AJ79">IFERROR(INDEX($AH$10:$AH$258, MATCH(0, IF(TRUE=$AE$10:$AE$258, COUNTIF($AJ$9:$AJ78, $AH$10:$AH$258), ""), 0)),"")</f>
        <v/>
      </c>
      <c r="AK79" s="111" t="str">
        <f t="array" ref="AK79">IFERROR(INDEX($AH$10:$AH$258, MATCH(0, IF(TRUE=$AF$10:$AF$258, COUNTIF($AK$9:$AK78, $AH$10:$AH$258), ""), 0)),"")</f>
        <v/>
      </c>
      <c r="AL79" s="30" t="str">
        <f>IFERROR(INDEX('G-6 Hedgerow Data'!$BJ$3:$BJ$15,MATCH(D79,'G-6 Hedgerow Data'!$B$3:$B$15,0)),"")</f>
        <v/>
      </c>
    </row>
    <row r="80" spans="2:38" x14ac:dyDescent="0.25">
      <c r="B80" s="101">
        <v>71</v>
      </c>
      <c r="C80" s="142"/>
      <c r="D80" s="142"/>
      <c r="E80" s="108"/>
      <c r="F80" s="329" t="str">
        <f>IF(D80="","",VLOOKUP(D80,'G-6 Hedgerow Data'!$B$2:$AG$15,2,FALSE))</f>
        <v/>
      </c>
      <c r="G80" s="282" t="str">
        <f>IF(D80="","",VLOOKUP(D80,'G-6 Hedgerow Data'!$B$2:$AG$15,3,FALSE))</f>
        <v/>
      </c>
      <c r="H80" s="105"/>
      <c r="I80" s="282" t="str">
        <f>IFERROR(IF(AND(D80&lt;&gt;"",H80=""),"Check data ⚠", IF(H80="","",IF(AND(D80="Non-native and ornamental hedgerow", H80&lt;&gt;"Poor"),"Not possible ▲", (VLOOKUP(H80,'G-1 All Habitats'!$Z$2:$AA$9,2,FALSE))))),"")</f>
        <v/>
      </c>
      <c r="J80" s="105"/>
      <c r="K80" s="289" t="str">
        <f>IF(AND(D80&lt;&gt;"",J80=""),"Check data ⚠", IF(J80="","",IF(VLOOKUP(J80,'G-3 Multipliers'!$L$3:$N$6,2,FALSE)=0,"Spatial Data Missing",VLOOKUP(J80,'G-3 Multipliers'!$L$3:$N$6,2,FALSE))))</f>
        <v/>
      </c>
      <c r="L80" s="287" t="str">
        <f>IF(J80="","",IF(VLOOKUP(J80,'G-3 Multipliers'!$L$3:$N$6,3,FALSE)=0,"Spatial Data Missing ⚠",VLOOKUP(J80,'G-3 Multipliers'!$L$3:$N$6,3,FALSE)))</f>
        <v/>
      </c>
      <c r="M80" s="288" t="str">
        <f>IF(D80="","",VLOOKUP(D80,'G-6 Hedgerow Data'!$B$1:$AH$15,33,FALSE))</f>
        <v/>
      </c>
      <c r="N80" s="295" t="str">
        <f t="shared" si="9"/>
        <v/>
      </c>
      <c r="O80" s="32"/>
      <c r="P80" s="109"/>
      <c r="Q80" s="142"/>
      <c r="R80" s="312" t="str">
        <f t="shared" si="10"/>
        <v/>
      </c>
      <c r="S80" s="312" t="str">
        <f t="shared" si="11"/>
        <v/>
      </c>
      <c r="T80" s="312" t="str">
        <f t="shared" si="12"/>
        <v/>
      </c>
      <c r="U80" s="333" t="str">
        <f t="shared" si="13"/>
        <v/>
      </c>
      <c r="V80" s="109"/>
      <c r="W80" s="108"/>
      <c r="X80" s="108"/>
      <c r="AE80" s="111" t="str">
        <f t="shared" si="7"/>
        <v/>
      </c>
      <c r="AF80" s="111" t="str">
        <f t="shared" si="8"/>
        <v/>
      </c>
      <c r="AH80" s="111">
        <v>71</v>
      </c>
      <c r="AJ80" s="111" t="str">
        <f t="array" ref="AJ80">IFERROR(INDEX($AH$10:$AH$258, MATCH(0, IF(TRUE=$AE$10:$AE$258, COUNTIF($AJ$9:$AJ79, $AH$10:$AH$258), ""), 0)),"")</f>
        <v/>
      </c>
      <c r="AK80" s="111" t="str">
        <f t="array" ref="AK80">IFERROR(INDEX($AH$10:$AH$258, MATCH(0, IF(TRUE=$AF$10:$AF$258, COUNTIF($AK$9:$AK79, $AH$10:$AH$258), ""), 0)),"")</f>
        <v/>
      </c>
      <c r="AL80" s="30" t="str">
        <f>IFERROR(INDEX('G-6 Hedgerow Data'!$BJ$3:$BJ$15,MATCH(D80,'G-6 Hedgerow Data'!$B$3:$B$15,0)),"")</f>
        <v/>
      </c>
    </row>
    <row r="81" spans="2:38" x14ac:dyDescent="0.25">
      <c r="B81" s="101">
        <v>72</v>
      </c>
      <c r="C81" s="142"/>
      <c r="D81" s="142"/>
      <c r="E81" s="108"/>
      <c r="F81" s="329" t="str">
        <f>IF(D81="","",VLOOKUP(D81,'G-6 Hedgerow Data'!$B$2:$AG$15,2,FALSE))</f>
        <v/>
      </c>
      <c r="G81" s="282" t="str">
        <f>IF(D81="","",VLOOKUP(D81,'G-6 Hedgerow Data'!$B$2:$AG$15,3,FALSE))</f>
        <v/>
      </c>
      <c r="H81" s="105"/>
      <c r="I81" s="282" t="str">
        <f>IFERROR(IF(AND(D81&lt;&gt;"",H81=""),"Check data ⚠", IF(H81="","",IF(AND(D81="Non-native and ornamental hedgerow", H81&lt;&gt;"Poor"),"Not possible ▲", (VLOOKUP(H81,'G-1 All Habitats'!$Z$2:$AA$9,2,FALSE))))),"")</f>
        <v/>
      </c>
      <c r="J81" s="105"/>
      <c r="K81" s="289" t="str">
        <f>IF(AND(D81&lt;&gt;"",J81=""),"Check data ⚠", IF(J81="","",IF(VLOOKUP(J81,'G-3 Multipliers'!$L$3:$N$6,2,FALSE)=0,"Spatial Data Missing",VLOOKUP(J81,'G-3 Multipliers'!$L$3:$N$6,2,FALSE))))</f>
        <v/>
      </c>
      <c r="L81" s="287" t="str">
        <f>IF(J81="","",IF(VLOOKUP(J81,'G-3 Multipliers'!$L$3:$N$6,3,FALSE)=0,"Spatial Data Missing ⚠",VLOOKUP(J81,'G-3 Multipliers'!$L$3:$N$6,3,FALSE)))</f>
        <v/>
      </c>
      <c r="M81" s="288" t="str">
        <f>IF(D81="","",VLOOKUP(D81,'G-6 Hedgerow Data'!$B$1:$AH$15,33,FALSE))</f>
        <v/>
      </c>
      <c r="N81" s="295" t="str">
        <f t="shared" si="9"/>
        <v/>
      </c>
      <c r="O81" s="32"/>
      <c r="P81" s="109"/>
      <c r="Q81" s="142"/>
      <c r="R81" s="312" t="str">
        <f t="shared" si="10"/>
        <v/>
      </c>
      <c r="S81" s="312" t="str">
        <f t="shared" si="11"/>
        <v/>
      </c>
      <c r="T81" s="312" t="str">
        <f t="shared" si="12"/>
        <v/>
      </c>
      <c r="U81" s="333" t="str">
        <f t="shared" si="13"/>
        <v/>
      </c>
      <c r="V81" s="109"/>
      <c r="W81" s="108"/>
      <c r="X81" s="108"/>
      <c r="AE81" s="111" t="str">
        <f t="shared" si="7"/>
        <v/>
      </c>
      <c r="AF81" s="111" t="str">
        <f t="shared" si="8"/>
        <v/>
      </c>
      <c r="AH81" s="111">
        <v>72</v>
      </c>
      <c r="AJ81" s="111" t="str">
        <f t="array" ref="AJ81">IFERROR(INDEX($AH$10:$AH$258, MATCH(0, IF(TRUE=$AE$10:$AE$258, COUNTIF($AJ$9:$AJ80, $AH$10:$AH$258), ""), 0)),"")</f>
        <v/>
      </c>
      <c r="AK81" s="111" t="str">
        <f t="array" ref="AK81">IFERROR(INDEX($AH$10:$AH$258, MATCH(0, IF(TRUE=$AF$10:$AF$258, COUNTIF($AK$9:$AK80, $AH$10:$AH$258), ""), 0)),"")</f>
        <v/>
      </c>
      <c r="AL81" s="30" t="str">
        <f>IFERROR(INDEX('G-6 Hedgerow Data'!$BJ$3:$BJ$15,MATCH(D81,'G-6 Hedgerow Data'!$B$3:$B$15,0)),"")</f>
        <v/>
      </c>
    </row>
    <row r="82" spans="2:38" x14ac:dyDescent="0.25">
      <c r="B82" s="101">
        <v>73</v>
      </c>
      <c r="C82" s="142"/>
      <c r="D82" s="142"/>
      <c r="E82" s="108"/>
      <c r="F82" s="329" t="str">
        <f>IF(D82="","",VLOOKUP(D82,'G-6 Hedgerow Data'!$B$2:$AG$15,2,FALSE))</f>
        <v/>
      </c>
      <c r="G82" s="282" t="str">
        <f>IF(D82="","",VLOOKUP(D82,'G-6 Hedgerow Data'!$B$2:$AG$15,3,FALSE))</f>
        <v/>
      </c>
      <c r="H82" s="105"/>
      <c r="I82" s="282" t="str">
        <f>IFERROR(IF(AND(D82&lt;&gt;"",H82=""),"Check data ⚠", IF(H82="","",IF(AND(D82="Non-native and ornamental hedgerow", H82&lt;&gt;"Poor"),"Not possible ▲", (VLOOKUP(H82,'G-1 All Habitats'!$Z$2:$AA$9,2,FALSE))))),"")</f>
        <v/>
      </c>
      <c r="J82" s="105"/>
      <c r="K82" s="289" t="str">
        <f>IF(AND(D82&lt;&gt;"",J82=""),"Check data ⚠", IF(J82="","",IF(VLOOKUP(J82,'G-3 Multipliers'!$L$3:$N$6,2,FALSE)=0,"Spatial Data Missing",VLOOKUP(J82,'G-3 Multipliers'!$L$3:$N$6,2,FALSE))))</f>
        <v/>
      </c>
      <c r="L82" s="287" t="str">
        <f>IF(J82="","",IF(VLOOKUP(J82,'G-3 Multipliers'!$L$3:$N$6,3,FALSE)=0,"Spatial Data Missing ⚠",VLOOKUP(J82,'G-3 Multipliers'!$L$3:$N$6,3,FALSE)))</f>
        <v/>
      </c>
      <c r="M82" s="288" t="str">
        <f>IF(D82="","",VLOOKUP(D82,'G-6 Hedgerow Data'!$B$1:$AH$15,33,FALSE))</f>
        <v/>
      </c>
      <c r="N82" s="295" t="str">
        <f t="shared" si="9"/>
        <v/>
      </c>
      <c r="O82" s="32"/>
      <c r="P82" s="109"/>
      <c r="Q82" s="142"/>
      <c r="R82" s="312" t="str">
        <f t="shared" si="10"/>
        <v/>
      </c>
      <c r="S82" s="312" t="str">
        <f t="shared" si="11"/>
        <v/>
      </c>
      <c r="T82" s="312" t="str">
        <f t="shared" si="12"/>
        <v/>
      </c>
      <c r="U82" s="333" t="str">
        <f t="shared" si="13"/>
        <v/>
      </c>
      <c r="V82" s="109"/>
      <c r="W82" s="108"/>
      <c r="X82" s="108"/>
      <c r="AE82" s="111" t="str">
        <f t="shared" si="7"/>
        <v/>
      </c>
      <c r="AF82" s="111" t="str">
        <f t="shared" si="8"/>
        <v/>
      </c>
      <c r="AH82" s="111">
        <v>73</v>
      </c>
      <c r="AJ82" s="111" t="str">
        <f t="array" ref="AJ82">IFERROR(INDEX($AH$10:$AH$258, MATCH(0, IF(TRUE=$AE$10:$AE$258, COUNTIF($AJ$9:$AJ81, $AH$10:$AH$258), ""), 0)),"")</f>
        <v/>
      </c>
      <c r="AK82" s="111" t="str">
        <f t="array" ref="AK82">IFERROR(INDEX($AH$10:$AH$258, MATCH(0, IF(TRUE=$AF$10:$AF$258, COUNTIF($AK$9:$AK81, $AH$10:$AH$258), ""), 0)),"")</f>
        <v/>
      </c>
      <c r="AL82" s="30" t="str">
        <f>IFERROR(INDEX('G-6 Hedgerow Data'!$BJ$3:$BJ$15,MATCH(D82,'G-6 Hedgerow Data'!$B$3:$B$15,0)),"")</f>
        <v/>
      </c>
    </row>
    <row r="83" spans="2:38" x14ac:dyDescent="0.25">
      <c r="B83" s="101">
        <v>74</v>
      </c>
      <c r="C83" s="142"/>
      <c r="D83" s="142"/>
      <c r="E83" s="108"/>
      <c r="F83" s="329" t="str">
        <f>IF(D83="","",VLOOKUP(D83,'G-6 Hedgerow Data'!$B$2:$AG$15,2,FALSE))</f>
        <v/>
      </c>
      <c r="G83" s="282" t="str">
        <f>IF(D83="","",VLOOKUP(D83,'G-6 Hedgerow Data'!$B$2:$AG$15,3,FALSE))</f>
        <v/>
      </c>
      <c r="H83" s="105"/>
      <c r="I83" s="282" t="str">
        <f>IFERROR(IF(AND(D83&lt;&gt;"",H83=""),"Check data ⚠", IF(H83="","",IF(AND(D83="Non-native and ornamental hedgerow", H83&lt;&gt;"Poor"),"Not possible ▲", (VLOOKUP(H83,'G-1 All Habitats'!$Z$2:$AA$9,2,FALSE))))),"")</f>
        <v/>
      </c>
      <c r="J83" s="105"/>
      <c r="K83" s="289" t="str">
        <f>IF(AND(D83&lt;&gt;"",J83=""),"Check data ⚠", IF(J83="","",IF(VLOOKUP(J83,'G-3 Multipliers'!$L$3:$N$6,2,FALSE)=0,"Spatial Data Missing",VLOOKUP(J83,'G-3 Multipliers'!$L$3:$N$6,2,FALSE))))</f>
        <v/>
      </c>
      <c r="L83" s="287" t="str">
        <f>IF(J83="","",IF(VLOOKUP(J83,'G-3 Multipliers'!$L$3:$N$6,3,FALSE)=0,"Spatial Data Missing ⚠",VLOOKUP(J83,'G-3 Multipliers'!$L$3:$N$6,3,FALSE)))</f>
        <v/>
      </c>
      <c r="M83" s="288" t="str">
        <f>IF(D83="","",VLOOKUP(D83,'G-6 Hedgerow Data'!$B$1:$AH$15,33,FALSE))</f>
        <v/>
      </c>
      <c r="N83" s="295" t="str">
        <f t="shared" si="9"/>
        <v/>
      </c>
      <c r="O83" s="32"/>
      <c r="P83" s="109"/>
      <c r="Q83" s="142"/>
      <c r="R83" s="312" t="str">
        <f t="shared" si="10"/>
        <v/>
      </c>
      <c r="S83" s="312" t="str">
        <f t="shared" si="11"/>
        <v/>
      </c>
      <c r="T83" s="312" t="str">
        <f t="shared" si="12"/>
        <v/>
      </c>
      <c r="U83" s="333" t="str">
        <f t="shared" si="13"/>
        <v/>
      </c>
      <c r="V83" s="109"/>
      <c r="W83" s="108"/>
      <c r="X83" s="108"/>
      <c r="AE83" s="111" t="str">
        <f t="shared" si="7"/>
        <v/>
      </c>
      <c r="AF83" s="111" t="str">
        <f t="shared" si="8"/>
        <v/>
      </c>
      <c r="AH83" s="111">
        <v>74</v>
      </c>
      <c r="AJ83" s="111" t="str">
        <f t="array" ref="AJ83">IFERROR(INDEX($AH$10:$AH$258, MATCH(0, IF(TRUE=$AE$10:$AE$258, COUNTIF($AJ$9:$AJ82, $AH$10:$AH$258), ""), 0)),"")</f>
        <v/>
      </c>
      <c r="AK83" s="111" t="str">
        <f t="array" ref="AK83">IFERROR(INDEX($AH$10:$AH$258, MATCH(0, IF(TRUE=$AF$10:$AF$258, COUNTIF($AK$9:$AK82, $AH$10:$AH$258), ""), 0)),"")</f>
        <v/>
      </c>
      <c r="AL83" s="30" t="str">
        <f>IFERROR(INDEX('G-6 Hedgerow Data'!$BJ$3:$BJ$15,MATCH(D83,'G-6 Hedgerow Data'!$B$3:$B$15,0)),"")</f>
        <v/>
      </c>
    </row>
    <row r="84" spans="2:38" x14ac:dyDescent="0.25">
      <c r="B84" s="101">
        <v>75</v>
      </c>
      <c r="C84" s="142"/>
      <c r="D84" s="142"/>
      <c r="E84" s="108"/>
      <c r="F84" s="329" t="str">
        <f>IF(D84="","",VLOOKUP(D84,'G-6 Hedgerow Data'!$B$2:$AG$15,2,FALSE))</f>
        <v/>
      </c>
      <c r="G84" s="282" t="str">
        <f>IF(D84="","",VLOOKUP(D84,'G-6 Hedgerow Data'!$B$2:$AG$15,3,FALSE))</f>
        <v/>
      </c>
      <c r="H84" s="105"/>
      <c r="I84" s="282" t="str">
        <f>IFERROR(IF(AND(D84&lt;&gt;"",H84=""),"Check data ⚠", IF(H84="","",IF(AND(D84="Non-native and ornamental hedgerow", H84&lt;&gt;"Poor"),"Not possible ▲", (VLOOKUP(H84,'G-1 All Habitats'!$Z$2:$AA$9,2,FALSE))))),"")</f>
        <v/>
      </c>
      <c r="J84" s="105"/>
      <c r="K84" s="289" t="str">
        <f>IF(AND(D84&lt;&gt;"",J84=""),"Check data ⚠", IF(J84="","",IF(VLOOKUP(J84,'G-3 Multipliers'!$L$3:$N$6,2,FALSE)=0,"Spatial Data Missing",VLOOKUP(J84,'G-3 Multipliers'!$L$3:$N$6,2,FALSE))))</f>
        <v/>
      </c>
      <c r="L84" s="287" t="str">
        <f>IF(J84="","",IF(VLOOKUP(J84,'G-3 Multipliers'!$L$3:$N$6,3,FALSE)=0,"Spatial Data Missing ⚠",VLOOKUP(J84,'G-3 Multipliers'!$L$3:$N$6,3,FALSE)))</f>
        <v/>
      </c>
      <c r="M84" s="288" t="str">
        <f>IF(D84="","",VLOOKUP(D84,'G-6 Hedgerow Data'!$B$1:$AH$15,33,FALSE))</f>
        <v/>
      </c>
      <c r="N84" s="295" t="str">
        <f t="shared" si="9"/>
        <v/>
      </c>
      <c r="O84" s="32"/>
      <c r="P84" s="109"/>
      <c r="Q84" s="142"/>
      <c r="R84" s="312" t="str">
        <f t="shared" si="10"/>
        <v/>
      </c>
      <c r="S84" s="312" t="str">
        <f t="shared" si="11"/>
        <v/>
      </c>
      <c r="T84" s="312" t="str">
        <f t="shared" si="12"/>
        <v/>
      </c>
      <c r="U84" s="333" t="str">
        <f t="shared" si="13"/>
        <v/>
      </c>
      <c r="V84" s="109"/>
      <c r="W84" s="108"/>
      <c r="X84" s="108"/>
      <c r="AE84" s="111" t="str">
        <f t="shared" si="7"/>
        <v/>
      </c>
      <c r="AF84" s="111" t="str">
        <f t="shared" si="8"/>
        <v/>
      </c>
      <c r="AH84" s="111">
        <v>75</v>
      </c>
      <c r="AJ84" s="111" t="str">
        <f t="array" ref="AJ84">IFERROR(INDEX($AH$10:$AH$258, MATCH(0, IF(TRUE=$AE$10:$AE$258, COUNTIF($AJ$9:$AJ83, $AH$10:$AH$258), ""), 0)),"")</f>
        <v/>
      </c>
      <c r="AK84" s="111" t="str">
        <f t="array" ref="AK84">IFERROR(INDEX($AH$10:$AH$258, MATCH(0, IF(TRUE=$AF$10:$AF$258, COUNTIF($AK$9:$AK83, $AH$10:$AH$258), ""), 0)),"")</f>
        <v/>
      </c>
      <c r="AL84" s="30" t="str">
        <f>IFERROR(INDEX('G-6 Hedgerow Data'!$BJ$3:$BJ$15,MATCH(D84,'G-6 Hedgerow Data'!$B$3:$B$15,0)),"")</f>
        <v/>
      </c>
    </row>
    <row r="85" spans="2:38" x14ac:dyDescent="0.25">
      <c r="B85" s="101">
        <v>76</v>
      </c>
      <c r="C85" s="142"/>
      <c r="D85" s="142"/>
      <c r="E85" s="108"/>
      <c r="F85" s="329" t="str">
        <f>IF(D85="","",VLOOKUP(D85,'G-6 Hedgerow Data'!$B$2:$AG$15,2,FALSE))</f>
        <v/>
      </c>
      <c r="G85" s="282" t="str">
        <f>IF(D85="","",VLOOKUP(D85,'G-6 Hedgerow Data'!$B$2:$AG$15,3,FALSE))</f>
        <v/>
      </c>
      <c r="H85" s="105"/>
      <c r="I85" s="282" t="str">
        <f>IFERROR(IF(AND(D85&lt;&gt;"",H85=""),"Check data ⚠", IF(H85="","",IF(AND(D85="Non-native and ornamental hedgerow", H85&lt;&gt;"Poor"),"Not possible ▲", (VLOOKUP(H85,'G-1 All Habitats'!$Z$2:$AA$9,2,FALSE))))),"")</f>
        <v/>
      </c>
      <c r="J85" s="105"/>
      <c r="K85" s="289" t="str">
        <f>IF(AND(D85&lt;&gt;"",J85=""),"Check data ⚠", IF(J85="","",IF(VLOOKUP(J85,'G-3 Multipliers'!$L$3:$N$6,2,FALSE)=0,"Spatial Data Missing",VLOOKUP(J85,'G-3 Multipliers'!$L$3:$N$6,2,FALSE))))</f>
        <v/>
      </c>
      <c r="L85" s="287" t="str">
        <f>IF(J85="","",IF(VLOOKUP(J85,'G-3 Multipliers'!$L$3:$N$6,3,FALSE)=0,"Spatial Data Missing ⚠",VLOOKUP(J85,'G-3 Multipliers'!$L$3:$N$6,3,FALSE)))</f>
        <v/>
      </c>
      <c r="M85" s="288" t="str">
        <f>IF(D85="","",VLOOKUP(D85,'G-6 Hedgerow Data'!$B$1:$AH$15,33,FALSE))</f>
        <v/>
      </c>
      <c r="N85" s="295" t="str">
        <f t="shared" si="9"/>
        <v/>
      </c>
      <c r="O85" s="32"/>
      <c r="P85" s="109"/>
      <c r="Q85" s="142"/>
      <c r="R85" s="312" t="str">
        <f t="shared" si="10"/>
        <v/>
      </c>
      <c r="S85" s="312" t="str">
        <f t="shared" si="11"/>
        <v/>
      </c>
      <c r="T85" s="312" t="str">
        <f t="shared" si="12"/>
        <v/>
      </c>
      <c r="U85" s="333" t="str">
        <f t="shared" si="13"/>
        <v/>
      </c>
      <c r="V85" s="109"/>
      <c r="W85" s="108"/>
      <c r="X85" s="108"/>
      <c r="AE85" s="111" t="str">
        <f t="shared" si="7"/>
        <v/>
      </c>
      <c r="AF85" s="111" t="str">
        <f t="shared" si="8"/>
        <v/>
      </c>
      <c r="AH85" s="111">
        <v>76</v>
      </c>
      <c r="AJ85" s="111" t="str">
        <f t="array" ref="AJ85">IFERROR(INDEX($AH$10:$AH$258, MATCH(0, IF(TRUE=$AE$10:$AE$258, COUNTIF($AJ$9:$AJ84, $AH$10:$AH$258), ""), 0)),"")</f>
        <v/>
      </c>
      <c r="AK85" s="111" t="str">
        <f t="array" ref="AK85">IFERROR(INDEX($AH$10:$AH$258, MATCH(0, IF(TRUE=$AF$10:$AF$258, COUNTIF($AK$9:$AK84, $AH$10:$AH$258), ""), 0)),"")</f>
        <v/>
      </c>
      <c r="AL85" s="30" t="str">
        <f>IFERROR(INDEX('G-6 Hedgerow Data'!$BJ$3:$BJ$15,MATCH(D85,'G-6 Hedgerow Data'!$B$3:$B$15,0)),"")</f>
        <v/>
      </c>
    </row>
    <row r="86" spans="2:38" x14ac:dyDescent="0.25">
      <c r="B86" s="101">
        <v>77</v>
      </c>
      <c r="C86" s="142"/>
      <c r="D86" s="142"/>
      <c r="E86" s="108"/>
      <c r="F86" s="329" t="str">
        <f>IF(D86="","",VLOOKUP(D86,'G-6 Hedgerow Data'!$B$2:$AG$15,2,FALSE))</f>
        <v/>
      </c>
      <c r="G86" s="282" t="str">
        <f>IF(D86="","",VLOOKUP(D86,'G-6 Hedgerow Data'!$B$2:$AG$15,3,FALSE))</f>
        <v/>
      </c>
      <c r="H86" s="105"/>
      <c r="I86" s="282" t="str">
        <f>IFERROR(IF(AND(D86&lt;&gt;"",H86=""),"Check data ⚠", IF(H86="","",IF(AND(D86="Non-native and ornamental hedgerow", H86&lt;&gt;"Poor"),"Not possible ▲", (VLOOKUP(H86,'G-1 All Habitats'!$Z$2:$AA$9,2,FALSE))))),"")</f>
        <v/>
      </c>
      <c r="J86" s="105"/>
      <c r="K86" s="289" t="str">
        <f>IF(AND(D86&lt;&gt;"",J86=""),"Check data ⚠", IF(J86="","",IF(VLOOKUP(J86,'G-3 Multipliers'!$L$3:$N$6,2,FALSE)=0,"Spatial Data Missing",VLOOKUP(J86,'G-3 Multipliers'!$L$3:$N$6,2,FALSE))))</f>
        <v/>
      </c>
      <c r="L86" s="287" t="str">
        <f>IF(J86="","",IF(VLOOKUP(J86,'G-3 Multipliers'!$L$3:$N$6,3,FALSE)=0,"Spatial Data Missing ⚠",VLOOKUP(J86,'G-3 Multipliers'!$L$3:$N$6,3,FALSE)))</f>
        <v/>
      </c>
      <c r="M86" s="288" t="str">
        <f>IF(D86="","",VLOOKUP(D86,'G-6 Hedgerow Data'!$B$1:$AH$15,33,FALSE))</f>
        <v/>
      </c>
      <c r="N86" s="295" t="str">
        <f t="shared" si="9"/>
        <v/>
      </c>
      <c r="O86" s="32"/>
      <c r="P86" s="109"/>
      <c r="Q86" s="142"/>
      <c r="R86" s="312" t="str">
        <f t="shared" si="10"/>
        <v/>
      </c>
      <c r="S86" s="312" t="str">
        <f t="shared" si="11"/>
        <v/>
      </c>
      <c r="T86" s="312" t="str">
        <f t="shared" si="12"/>
        <v/>
      </c>
      <c r="U86" s="333" t="str">
        <f t="shared" si="13"/>
        <v/>
      </c>
      <c r="V86" s="109"/>
      <c r="W86" s="108"/>
      <c r="X86" s="108"/>
      <c r="AE86" s="111" t="str">
        <f t="shared" si="7"/>
        <v/>
      </c>
      <c r="AF86" s="111" t="str">
        <f t="shared" si="8"/>
        <v/>
      </c>
      <c r="AH86" s="111">
        <v>77</v>
      </c>
      <c r="AJ86" s="111" t="str">
        <f t="array" ref="AJ86">IFERROR(INDEX($AH$10:$AH$258, MATCH(0, IF(TRUE=$AE$10:$AE$258, COUNTIF($AJ$9:$AJ85, $AH$10:$AH$258), ""), 0)),"")</f>
        <v/>
      </c>
      <c r="AK86" s="111" t="str">
        <f t="array" ref="AK86">IFERROR(INDEX($AH$10:$AH$258, MATCH(0, IF(TRUE=$AF$10:$AF$258, COUNTIF($AK$9:$AK85, $AH$10:$AH$258), ""), 0)),"")</f>
        <v/>
      </c>
      <c r="AL86" s="30" t="str">
        <f>IFERROR(INDEX('G-6 Hedgerow Data'!$BJ$3:$BJ$15,MATCH(D86,'G-6 Hedgerow Data'!$B$3:$B$15,0)),"")</f>
        <v/>
      </c>
    </row>
    <row r="87" spans="2:38" x14ac:dyDescent="0.25">
      <c r="B87" s="101">
        <v>78</v>
      </c>
      <c r="C87" s="142"/>
      <c r="D87" s="142"/>
      <c r="E87" s="108"/>
      <c r="F87" s="329" t="str">
        <f>IF(D87="","",VLOOKUP(D87,'G-6 Hedgerow Data'!$B$2:$AG$15,2,FALSE))</f>
        <v/>
      </c>
      <c r="G87" s="282" t="str">
        <f>IF(D87="","",VLOOKUP(D87,'G-6 Hedgerow Data'!$B$2:$AG$15,3,FALSE))</f>
        <v/>
      </c>
      <c r="H87" s="105"/>
      <c r="I87" s="282" t="str">
        <f>IFERROR(IF(AND(D87&lt;&gt;"",H87=""),"Check data ⚠", IF(H87="","",IF(AND(D87="Non-native and ornamental hedgerow", H87&lt;&gt;"Poor"),"Not possible ▲", (VLOOKUP(H87,'G-1 All Habitats'!$Z$2:$AA$9,2,FALSE))))),"")</f>
        <v/>
      </c>
      <c r="J87" s="105"/>
      <c r="K87" s="289" t="str">
        <f>IF(AND(D87&lt;&gt;"",J87=""),"Check data ⚠", IF(J87="","",IF(VLOOKUP(J87,'G-3 Multipliers'!$L$3:$N$6,2,FALSE)=0,"Spatial Data Missing",VLOOKUP(J87,'G-3 Multipliers'!$L$3:$N$6,2,FALSE))))</f>
        <v/>
      </c>
      <c r="L87" s="287" t="str">
        <f>IF(J87="","",IF(VLOOKUP(J87,'G-3 Multipliers'!$L$3:$N$6,3,FALSE)=0,"Spatial Data Missing ⚠",VLOOKUP(J87,'G-3 Multipliers'!$L$3:$N$6,3,FALSE)))</f>
        <v/>
      </c>
      <c r="M87" s="288" t="str">
        <f>IF(D87="","",VLOOKUP(D87,'G-6 Hedgerow Data'!$B$1:$AH$15,33,FALSE))</f>
        <v/>
      </c>
      <c r="N87" s="295" t="str">
        <f t="shared" si="9"/>
        <v/>
      </c>
      <c r="O87" s="32"/>
      <c r="P87" s="109"/>
      <c r="Q87" s="142"/>
      <c r="R87" s="312" t="str">
        <f t="shared" si="10"/>
        <v/>
      </c>
      <c r="S87" s="312" t="str">
        <f t="shared" si="11"/>
        <v/>
      </c>
      <c r="T87" s="312" t="str">
        <f t="shared" si="12"/>
        <v/>
      </c>
      <c r="U87" s="333" t="str">
        <f t="shared" si="13"/>
        <v/>
      </c>
      <c r="V87" s="109"/>
      <c r="W87" s="108"/>
      <c r="X87" s="108"/>
      <c r="AE87" s="111" t="str">
        <f t="shared" si="7"/>
        <v/>
      </c>
      <c r="AF87" s="111" t="str">
        <f t="shared" si="8"/>
        <v/>
      </c>
      <c r="AH87" s="111">
        <v>78</v>
      </c>
      <c r="AJ87" s="111" t="str">
        <f t="array" ref="AJ87">IFERROR(INDEX($AH$10:$AH$258, MATCH(0, IF(TRUE=$AE$10:$AE$258, COUNTIF($AJ$9:$AJ86, $AH$10:$AH$258), ""), 0)),"")</f>
        <v/>
      </c>
      <c r="AK87" s="111" t="str">
        <f t="array" ref="AK87">IFERROR(INDEX($AH$10:$AH$258, MATCH(0, IF(TRUE=$AF$10:$AF$258, COUNTIF($AK$9:$AK86, $AH$10:$AH$258), ""), 0)),"")</f>
        <v/>
      </c>
      <c r="AL87" s="30" t="str">
        <f>IFERROR(INDEX('G-6 Hedgerow Data'!$BJ$3:$BJ$15,MATCH(D87,'G-6 Hedgerow Data'!$B$3:$B$15,0)),"")</f>
        <v/>
      </c>
    </row>
    <row r="88" spans="2:38" x14ac:dyDescent="0.25">
      <c r="B88" s="101">
        <v>79</v>
      </c>
      <c r="C88" s="142"/>
      <c r="D88" s="142"/>
      <c r="E88" s="108"/>
      <c r="F88" s="329" t="str">
        <f>IF(D88="","",VLOOKUP(D88,'G-6 Hedgerow Data'!$B$2:$AG$15,2,FALSE))</f>
        <v/>
      </c>
      <c r="G88" s="282" t="str">
        <f>IF(D88="","",VLOOKUP(D88,'G-6 Hedgerow Data'!$B$2:$AG$15,3,FALSE))</f>
        <v/>
      </c>
      <c r="H88" s="105"/>
      <c r="I88" s="282" t="str">
        <f>IFERROR(IF(AND(D88&lt;&gt;"",H88=""),"Check data ⚠", IF(H88="","",IF(AND(D88="Non-native and ornamental hedgerow", H88&lt;&gt;"Poor"),"Not possible ▲", (VLOOKUP(H88,'G-1 All Habitats'!$Z$2:$AA$9,2,FALSE))))),"")</f>
        <v/>
      </c>
      <c r="J88" s="105"/>
      <c r="K88" s="289" t="str">
        <f>IF(AND(D88&lt;&gt;"",J88=""),"Check data ⚠", IF(J88="","",IF(VLOOKUP(J88,'G-3 Multipliers'!$L$3:$N$6,2,FALSE)=0,"Spatial Data Missing",VLOOKUP(J88,'G-3 Multipliers'!$L$3:$N$6,2,FALSE))))</f>
        <v/>
      </c>
      <c r="L88" s="287" t="str">
        <f>IF(J88="","",IF(VLOOKUP(J88,'G-3 Multipliers'!$L$3:$N$6,3,FALSE)=0,"Spatial Data Missing ⚠",VLOOKUP(J88,'G-3 Multipliers'!$L$3:$N$6,3,FALSE)))</f>
        <v/>
      </c>
      <c r="M88" s="288" t="str">
        <f>IF(D88="","",VLOOKUP(D88,'G-6 Hedgerow Data'!$B$1:$AH$15,33,FALSE))</f>
        <v/>
      </c>
      <c r="N88" s="295" t="str">
        <f t="shared" si="9"/>
        <v/>
      </c>
      <c r="O88" s="32"/>
      <c r="P88" s="109"/>
      <c r="Q88" s="142"/>
      <c r="R88" s="312" t="str">
        <f t="shared" si="10"/>
        <v/>
      </c>
      <c r="S88" s="312" t="str">
        <f t="shared" si="11"/>
        <v/>
      </c>
      <c r="T88" s="312" t="str">
        <f t="shared" si="12"/>
        <v/>
      </c>
      <c r="U88" s="333" t="str">
        <f t="shared" si="13"/>
        <v/>
      </c>
      <c r="V88" s="109"/>
      <c r="W88" s="108"/>
      <c r="X88" s="108"/>
      <c r="AE88" s="111" t="str">
        <f t="shared" si="7"/>
        <v/>
      </c>
      <c r="AF88" s="111" t="str">
        <f t="shared" si="8"/>
        <v/>
      </c>
      <c r="AH88" s="111">
        <v>79</v>
      </c>
      <c r="AJ88" s="111" t="str">
        <f t="array" ref="AJ88">IFERROR(INDEX($AH$10:$AH$258, MATCH(0, IF(TRUE=$AE$10:$AE$258, COUNTIF($AJ$9:$AJ87, $AH$10:$AH$258), ""), 0)),"")</f>
        <v/>
      </c>
      <c r="AK88" s="111" t="str">
        <f t="array" ref="AK88">IFERROR(INDEX($AH$10:$AH$258, MATCH(0, IF(TRUE=$AF$10:$AF$258, COUNTIF($AK$9:$AK87, $AH$10:$AH$258), ""), 0)),"")</f>
        <v/>
      </c>
      <c r="AL88" s="30" t="str">
        <f>IFERROR(INDEX('G-6 Hedgerow Data'!$BJ$3:$BJ$15,MATCH(D88,'G-6 Hedgerow Data'!$B$3:$B$15,0)),"")</f>
        <v/>
      </c>
    </row>
    <row r="89" spans="2:38" x14ac:dyDescent="0.25">
      <c r="B89" s="101">
        <v>80</v>
      </c>
      <c r="C89" s="142"/>
      <c r="D89" s="142"/>
      <c r="E89" s="108"/>
      <c r="F89" s="329" t="str">
        <f>IF(D89="","",VLOOKUP(D89,'G-6 Hedgerow Data'!$B$2:$AG$15,2,FALSE))</f>
        <v/>
      </c>
      <c r="G89" s="282" t="str">
        <f>IF(D89="","",VLOOKUP(D89,'G-6 Hedgerow Data'!$B$2:$AG$15,3,FALSE))</f>
        <v/>
      </c>
      <c r="H89" s="105"/>
      <c r="I89" s="282" t="str">
        <f>IFERROR(IF(AND(D89&lt;&gt;"",H89=""),"Check data ⚠", IF(H89="","",IF(AND(D89="Non-native and ornamental hedgerow", H89&lt;&gt;"Poor"),"Not possible ▲", (VLOOKUP(H89,'G-1 All Habitats'!$Z$2:$AA$9,2,FALSE))))),"")</f>
        <v/>
      </c>
      <c r="J89" s="105"/>
      <c r="K89" s="289" t="str">
        <f>IF(AND(D89&lt;&gt;"",J89=""),"Check data ⚠", IF(J89="","",IF(VLOOKUP(J89,'G-3 Multipliers'!$L$3:$N$6,2,FALSE)=0,"Spatial Data Missing",VLOOKUP(J89,'G-3 Multipliers'!$L$3:$N$6,2,FALSE))))</f>
        <v/>
      </c>
      <c r="L89" s="287" t="str">
        <f>IF(J89="","",IF(VLOOKUP(J89,'G-3 Multipliers'!$L$3:$N$6,3,FALSE)=0,"Spatial Data Missing ⚠",VLOOKUP(J89,'G-3 Multipliers'!$L$3:$N$6,3,FALSE)))</f>
        <v/>
      </c>
      <c r="M89" s="288" t="str">
        <f>IF(D89="","",VLOOKUP(D89,'G-6 Hedgerow Data'!$B$1:$AH$15,33,FALSE))</f>
        <v/>
      </c>
      <c r="N89" s="295" t="str">
        <f t="shared" si="9"/>
        <v/>
      </c>
      <c r="O89" s="32"/>
      <c r="P89" s="109"/>
      <c r="Q89" s="142"/>
      <c r="R89" s="312" t="str">
        <f t="shared" si="10"/>
        <v/>
      </c>
      <c r="S89" s="312" t="str">
        <f t="shared" si="11"/>
        <v/>
      </c>
      <c r="T89" s="312" t="str">
        <f t="shared" si="12"/>
        <v/>
      </c>
      <c r="U89" s="333" t="str">
        <f t="shared" si="13"/>
        <v/>
      </c>
      <c r="V89" s="109"/>
      <c r="W89" s="108"/>
      <c r="X89" s="108"/>
      <c r="AE89" s="111" t="str">
        <f t="shared" si="7"/>
        <v/>
      </c>
      <c r="AF89" s="111" t="str">
        <f t="shared" si="8"/>
        <v/>
      </c>
      <c r="AH89" s="111">
        <v>80</v>
      </c>
      <c r="AJ89" s="111" t="str">
        <f t="array" ref="AJ89">IFERROR(INDEX($AH$10:$AH$258, MATCH(0, IF(TRUE=$AE$10:$AE$258, COUNTIF($AJ$9:$AJ88, $AH$10:$AH$258), ""), 0)),"")</f>
        <v/>
      </c>
      <c r="AK89" s="111" t="str">
        <f t="array" ref="AK89">IFERROR(INDEX($AH$10:$AH$258, MATCH(0, IF(TRUE=$AF$10:$AF$258, COUNTIF($AK$9:$AK88, $AH$10:$AH$258), ""), 0)),"")</f>
        <v/>
      </c>
      <c r="AL89" s="30" t="str">
        <f>IFERROR(INDEX('G-6 Hedgerow Data'!$BJ$3:$BJ$15,MATCH(D89,'G-6 Hedgerow Data'!$B$3:$B$15,0)),"")</f>
        <v/>
      </c>
    </row>
    <row r="90" spans="2:38" x14ac:dyDescent="0.25">
      <c r="B90" s="101">
        <v>81</v>
      </c>
      <c r="C90" s="142"/>
      <c r="D90" s="142"/>
      <c r="E90" s="108"/>
      <c r="F90" s="329" t="str">
        <f>IF(D90="","",VLOOKUP(D90,'G-6 Hedgerow Data'!$B$2:$AG$15,2,FALSE))</f>
        <v/>
      </c>
      <c r="G90" s="282" t="str">
        <f>IF(D90="","",VLOOKUP(D90,'G-6 Hedgerow Data'!$B$2:$AG$15,3,FALSE))</f>
        <v/>
      </c>
      <c r="H90" s="105"/>
      <c r="I90" s="282" t="str">
        <f>IFERROR(IF(AND(D90&lt;&gt;"",H90=""),"Check data ⚠", IF(H90="","",IF(AND(D90="Non-native and ornamental hedgerow", H90&lt;&gt;"Poor"),"Not possible ▲", (VLOOKUP(H90,'G-1 All Habitats'!$Z$2:$AA$9,2,FALSE))))),"")</f>
        <v/>
      </c>
      <c r="J90" s="105"/>
      <c r="K90" s="289" t="str">
        <f>IF(AND(D90&lt;&gt;"",J90=""),"Check data ⚠", IF(J90="","",IF(VLOOKUP(J90,'G-3 Multipliers'!$L$3:$N$6,2,FALSE)=0,"Spatial Data Missing",VLOOKUP(J90,'G-3 Multipliers'!$L$3:$N$6,2,FALSE))))</f>
        <v/>
      </c>
      <c r="L90" s="287" t="str">
        <f>IF(J90="","",IF(VLOOKUP(J90,'G-3 Multipliers'!$L$3:$N$6,3,FALSE)=0,"Spatial Data Missing ⚠",VLOOKUP(J90,'G-3 Multipliers'!$L$3:$N$6,3,FALSE)))</f>
        <v/>
      </c>
      <c r="M90" s="288" t="str">
        <f>IF(D90="","",VLOOKUP(D90,'G-6 Hedgerow Data'!$B$1:$AH$15,33,FALSE))</f>
        <v/>
      </c>
      <c r="N90" s="295" t="str">
        <f t="shared" si="9"/>
        <v/>
      </c>
      <c r="O90" s="32"/>
      <c r="P90" s="109"/>
      <c r="Q90" s="142"/>
      <c r="R90" s="312" t="str">
        <f t="shared" si="10"/>
        <v/>
      </c>
      <c r="S90" s="312" t="str">
        <f t="shared" si="11"/>
        <v/>
      </c>
      <c r="T90" s="312" t="str">
        <f t="shared" si="12"/>
        <v/>
      </c>
      <c r="U90" s="333" t="str">
        <f t="shared" si="13"/>
        <v/>
      </c>
      <c r="V90" s="109"/>
      <c r="W90" s="108"/>
      <c r="X90" s="108"/>
      <c r="AE90" s="111" t="str">
        <f t="shared" si="7"/>
        <v/>
      </c>
      <c r="AF90" s="111" t="str">
        <f t="shared" si="8"/>
        <v/>
      </c>
      <c r="AH90" s="111">
        <v>81</v>
      </c>
      <c r="AJ90" s="111" t="str">
        <f t="array" ref="AJ90">IFERROR(INDEX($AH$10:$AH$258, MATCH(0, IF(TRUE=$AE$10:$AE$258, COUNTIF($AJ$9:$AJ89, $AH$10:$AH$258), ""), 0)),"")</f>
        <v/>
      </c>
      <c r="AK90" s="111" t="str">
        <f t="array" ref="AK90">IFERROR(INDEX($AH$10:$AH$258, MATCH(0, IF(TRUE=$AF$10:$AF$258, COUNTIF($AK$9:$AK89, $AH$10:$AH$258), ""), 0)),"")</f>
        <v/>
      </c>
      <c r="AL90" s="30" t="str">
        <f>IFERROR(INDEX('G-6 Hedgerow Data'!$BJ$3:$BJ$15,MATCH(D90,'G-6 Hedgerow Data'!$B$3:$B$15,0)),"")</f>
        <v/>
      </c>
    </row>
    <row r="91" spans="2:38" x14ac:dyDescent="0.25">
      <c r="B91" s="101">
        <v>82</v>
      </c>
      <c r="C91" s="142"/>
      <c r="D91" s="142"/>
      <c r="E91" s="108"/>
      <c r="F91" s="329" t="str">
        <f>IF(D91="","",VLOOKUP(D91,'G-6 Hedgerow Data'!$B$2:$AG$15,2,FALSE))</f>
        <v/>
      </c>
      <c r="G91" s="282" t="str">
        <f>IF(D91="","",VLOOKUP(D91,'G-6 Hedgerow Data'!$B$2:$AG$15,3,FALSE))</f>
        <v/>
      </c>
      <c r="H91" s="105"/>
      <c r="I91" s="282" t="str">
        <f>IFERROR(IF(AND(D91&lt;&gt;"",H91=""),"Check data ⚠", IF(H91="","",IF(AND(D91="Non-native and ornamental hedgerow", H91&lt;&gt;"Poor"),"Not possible ▲", (VLOOKUP(H91,'G-1 All Habitats'!$Z$2:$AA$9,2,FALSE))))),"")</f>
        <v/>
      </c>
      <c r="J91" s="105"/>
      <c r="K91" s="289" t="str">
        <f>IF(AND(D91&lt;&gt;"",J91=""),"Check data ⚠", IF(J91="","",IF(VLOOKUP(J91,'G-3 Multipliers'!$L$3:$N$6,2,FALSE)=0,"Spatial Data Missing",VLOOKUP(J91,'G-3 Multipliers'!$L$3:$N$6,2,FALSE))))</f>
        <v/>
      </c>
      <c r="L91" s="287" t="str">
        <f>IF(J91="","",IF(VLOOKUP(J91,'G-3 Multipliers'!$L$3:$N$6,3,FALSE)=0,"Spatial Data Missing ⚠",VLOOKUP(J91,'G-3 Multipliers'!$L$3:$N$6,3,FALSE)))</f>
        <v/>
      </c>
      <c r="M91" s="288" t="str">
        <f>IF(D91="","",VLOOKUP(D91,'G-6 Hedgerow Data'!$B$1:$AH$15,33,FALSE))</f>
        <v/>
      </c>
      <c r="N91" s="295" t="str">
        <f t="shared" si="9"/>
        <v/>
      </c>
      <c r="O91" s="32"/>
      <c r="P91" s="109"/>
      <c r="Q91" s="142"/>
      <c r="R91" s="312" t="str">
        <f t="shared" si="10"/>
        <v/>
      </c>
      <c r="S91" s="312" t="str">
        <f t="shared" si="11"/>
        <v/>
      </c>
      <c r="T91" s="312" t="str">
        <f t="shared" si="12"/>
        <v/>
      </c>
      <c r="U91" s="333" t="str">
        <f t="shared" si="13"/>
        <v/>
      </c>
      <c r="V91" s="109"/>
      <c r="W91" s="108"/>
      <c r="X91" s="108"/>
      <c r="AE91" s="111" t="str">
        <f t="shared" si="7"/>
        <v/>
      </c>
      <c r="AF91" s="111" t="str">
        <f t="shared" si="8"/>
        <v/>
      </c>
      <c r="AH91" s="111">
        <v>82</v>
      </c>
      <c r="AJ91" s="111" t="str">
        <f t="array" ref="AJ91">IFERROR(INDEX($AH$10:$AH$258, MATCH(0, IF(TRUE=$AE$10:$AE$258, COUNTIF($AJ$9:$AJ90, $AH$10:$AH$258), ""), 0)),"")</f>
        <v/>
      </c>
      <c r="AK91" s="111" t="str">
        <f t="array" ref="AK91">IFERROR(INDEX($AH$10:$AH$258, MATCH(0, IF(TRUE=$AF$10:$AF$258, COUNTIF($AK$9:$AK90, $AH$10:$AH$258), ""), 0)),"")</f>
        <v/>
      </c>
      <c r="AL91" s="30" t="str">
        <f>IFERROR(INDEX('G-6 Hedgerow Data'!$BJ$3:$BJ$15,MATCH(D91,'G-6 Hedgerow Data'!$B$3:$B$15,0)),"")</f>
        <v/>
      </c>
    </row>
    <row r="92" spans="2:38" x14ac:dyDescent="0.25">
      <c r="B92" s="101">
        <v>83</v>
      </c>
      <c r="C92" s="142"/>
      <c r="D92" s="142"/>
      <c r="E92" s="108"/>
      <c r="F92" s="329" t="str">
        <f>IF(D92="","",VLOOKUP(D92,'G-6 Hedgerow Data'!$B$2:$AG$15,2,FALSE))</f>
        <v/>
      </c>
      <c r="G92" s="282" t="str">
        <f>IF(D92="","",VLOOKUP(D92,'G-6 Hedgerow Data'!$B$2:$AG$15,3,FALSE))</f>
        <v/>
      </c>
      <c r="H92" s="105"/>
      <c r="I92" s="282" t="str">
        <f>IFERROR(IF(AND(D92&lt;&gt;"",H92=""),"Check data ⚠", IF(H92="","",IF(AND(D92="Non-native and ornamental hedgerow", H92&lt;&gt;"Poor"),"Not possible ▲", (VLOOKUP(H92,'G-1 All Habitats'!$Z$2:$AA$9,2,FALSE))))),"")</f>
        <v/>
      </c>
      <c r="J92" s="105"/>
      <c r="K92" s="289" t="str">
        <f>IF(AND(D92&lt;&gt;"",J92=""),"Check data ⚠", IF(J92="","",IF(VLOOKUP(J92,'G-3 Multipliers'!$L$3:$N$6,2,FALSE)=0,"Spatial Data Missing",VLOOKUP(J92,'G-3 Multipliers'!$L$3:$N$6,2,FALSE))))</f>
        <v/>
      </c>
      <c r="L92" s="287" t="str">
        <f>IF(J92="","",IF(VLOOKUP(J92,'G-3 Multipliers'!$L$3:$N$6,3,FALSE)=0,"Spatial Data Missing ⚠",VLOOKUP(J92,'G-3 Multipliers'!$L$3:$N$6,3,FALSE)))</f>
        <v/>
      </c>
      <c r="M92" s="288" t="str">
        <f>IF(D92="","",VLOOKUP(D92,'G-6 Hedgerow Data'!$B$1:$AH$15,33,FALSE))</f>
        <v/>
      </c>
      <c r="N92" s="295" t="str">
        <f t="shared" si="9"/>
        <v/>
      </c>
      <c r="O92" s="32"/>
      <c r="P92" s="109"/>
      <c r="Q92" s="142"/>
      <c r="R92" s="312" t="str">
        <f t="shared" si="10"/>
        <v/>
      </c>
      <c r="S92" s="312" t="str">
        <f t="shared" si="11"/>
        <v/>
      </c>
      <c r="T92" s="312" t="str">
        <f t="shared" si="12"/>
        <v/>
      </c>
      <c r="U92" s="333" t="str">
        <f t="shared" si="13"/>
        <v/>
      </c>
      <c r="V92" s="109"/>
      <c r="W92" s="108"/>
      <c r="X92" s="108"/>
      <c r="AE92" s="111" t="str">
        <f t="shared" si="7"/>
        <v/>
      </c>
      <c r="AF92" s="111" t="str">
        <f t="shared" si="8"/>
        <v/>
      </c>
      <c r="AH92" s="111">
        <v>83</v>
      </c>
      <c r="AJ92" s="111" t="str">
        <f t="array" ref="AJ92">IFERROR(INDEX($AH$10:$AH$258, MATCH(0, IF(TRUE=$AE$10:$AE$258, COUNTIF($AJ$9:$AJ91, $AH$10:$AH$258), ""), 0)),"")</f>
        <v/>
      </c>
      <c r="AK92" s="111" t="str">
        <f t="array" ref="AK92">IFERROR(INDEX($AH$10:$AH$258, MATCH(0, IF(TRUE=$AF$10:$AF$258, COUNTIF($AK$9:$AK91, $AH$10:$AH$258), ""), 0)),"")</f>
        <v/>
      </c>
      <c r="AL92" s="30" t="str">
        <f>IFERROR(INDEX('G-6 Hedgerow Data'!$BJ$3:$BJ$15,MATCH(D92,'G-6 Hedgerow Data'!$B$3:$B$15,0)),"")</f>
        <v/>
      </c>
    </row>
    <row r="93" spans="2:38" x14ac:dyDescent="0.25">
      <c r="B93" s="101">
        <v>84</v>
      </c>
      <c r="C93" s="142"/>
      <c r="D93" s="142"/>
      <c r="E93" s="108"/>
      <c r="F93" s="329" t="str">
        <f>IF(D93="","",VLOOKUP(D93,'G-6 Hedgerow Data'!$B$2:$AG$15,2,FALSE))</f>
        <v/>
      </c>
      <c r="G93" s="282" t="str">
        <f>IF(D93="","",VLOOKUP(D93,'G-6 Hedgerow Data'!$B$2:$AG$15,3,FALSE))</f>
        <v/>
      </c>
      <c r="H93" s="105"/>
      <c r="I93" s="282" t="str">
        <f>IFERROR(IF(AND(D93&lt;&gt;"",H93=""),"Check data ⚠", IF(H93="","",IF(AND(D93="Non-native and ornamental hedgerow", H93&lt;&gt;"Poor"),"Not possible ▲", (VLOOKUP(H93,'G-1 All Habitats'!$Z$2:$AA$9,2,FALSE))))),"")</f>
        <v/>
      </c>
      <c r="J93" s="105"/>
      <c r="K93" s="289" t="str">
        <f>IF(AND(D93&lt;&gt;"",J93=""),"Check data ⚠", IF(J93="","",IF(VLOOKUP(J93,'G-3 Multipliers'!$L$3:$N$6,2,FALSE)=0,"Spatial Data Missing",VLOOKUP(J93,'G-3 Multipliers'!$L$3:$N$6,2,FALSE))))</f>
        <v/>
      </c>
      <c r="L93" s="287" t="str">
        <f>IF(J93="","",IF(VLOOKUP(J93,'G-3 Multipliers'!$L$3:$N$6,3,FALSE)=0,"Spatial Data Missing ⚠",VLOOKUP(J93,'G-3 Multipliers'!$L$3:$N$6,3,FALSE)))</f>
        <v/>
      </c>
      <c r="M93" s="288" t="str">
        <f>IF(D93="","",VLOOKUP(D93,'G-6 Hedgerow Data'!$B$1:$AH$15,33,FALSE))</f>
        <v/>
      </c>
      <c r="N93" s="295" t="str">
        <f t="shared" si="9"/>
        <v/>
      </c>
      <c r="O93" s="32"/>
      <c r="P93" s="109"/>
      <c r="Q93" s="142"/>
      <c r="R93" s="312" t="str">
        <f t="shared" si="10"/>
        <v/>
      </c>
      <c r="S93" s="312" t="str">
        <f t="shared" si="11"/>
        <v/>
      </c>
      <c r="T93" s="312" t="str">
        <f t="shared" si="12"/>
        <v/>
      </c>
      <c r="U93" s="333" t="str">
        <f t="shared" si="13"/>
        <v/>
      </c>
      <c r="V93" s="109"/>
      <c r="W93" s="108"/>
      <c r="X93" s="108"/>
      <c r="AE93" s="111" t="str">
        <f t="shared" si="7"/>
        <v/>
      </c>
      <c r="AF93" s="111" t="str">
        <f t="shared" si="8"/>
        <v/>
      </c>
      <c r="AH93" s="111">
        <v>84</v>
      </c>
      <c r="AJ93" s="111" t="str">
        <f t="array" ref="AJ93">IFERROR(INDEX($AH$10:$AH$258, MATCH(0, IF(TRUE=$AE$10:$AE$258, COUNTIF($AJ$9:$AJ92, $AH$10:$AH$258), ""), 0)),"")</f>
        <v/>
      </c>
      <c r="AK93" s="111" t="str">
        <f t="array" ref="AK93">IFERROR(INDEX($AH$10:$AH$258, MATCH(0, IF(TRUE=$AF$10:$AF$258, COUNTIF($AK$9:$AK92, $AH$10:$AH$258), ""), 0)),"")</f>
        <v/>
      </c>
      <c r="AL93" s="30" t="str">
        <f>IFERROR(INDEX('G-6 Hedgerow Data'!$BJ$3:$BJ$15,MATCH(D93,'G-6 Hedgerow Data'!$B$3:$B$15,0)),"")</f>
        <v/>
      </c>
    </row>
    <row r="94" spans="2:38" x14ac:dyDescent="0.25">
      <c r="B94" s="101">
        <v>85</v>
      </c>
      <c r="C94" s="142"/>
      <c r="D94" s="142"/>
      <c r="E94" s="108"/>
      <c r="F94" s="329" t="str">
        <f>IF(D94="","",VLOOKUP(D94,'G-6 Hedgerow Data'!$B$2:$AG$15,2,FALSE))</f>
        <v/>
      </c>
      <c r="G94" s="282" t="str">
        <f>IF(D94="","",VLOOKUP(D94,'G-6 Hedgerow Data'!$B$2:$AG$15,3,FALSE))</f>
        <v/>
      </c>
      <c r="H94" s="105"/>
      <c r="I94" s="282" t="str">
        <f>IFERROR(IF(AND(D94&lt;&gt;"",H94=""),"Check data ⚠", IF(H94="","",IF(AND(D94="Non-native and ornamental hedgerow", H94&lt;&gt;"Poor"),"Not possible ▲", (VLOOKUP(H94,'G-1 All Habitats'!$Z$2:$AA$9,2,FALSE))))),"")</f>
        <v/>
      </c>
      <c r="J94" s="105"/>
      <c r="K94" s="289" t="str">
        <f>IF(AND(D94&lt;&gt;"",J94=""),"Check data ⚠", IF(J94="","",IF(VLOOKUP(J94,'G-3 Multipliers'!$L$3:$N$6,2,FALSE)=0,"Spatial Data Missing",VLOOKUP(J94,'G-3 Multipliers'!$L$3:$N$6,2,FALSE))))</f>
        <v/>
      </c>
      <c r="L94" s="287" t="str">
        <f>IF(J94="","",IF(VLOOKUP(J94,'G-3 Multipliers'!$L$3:$N$6,3,FALSE)=0,"Spatial Data Missing ⚠",VLOOKUP(J94,'G-3 Multipliers'!$L$3:$N$6,3,FALSE)))</f>
        <v/>
      </c>
      <c r="M94" s="288" t="str">
        <f>IF(D94="","",VLOOKUP(D94,'G-6 Hedgerow Data'!$B$1:$AH$15,33,FALSE))</f>
        <v/>
      </c>
      <c r="N94" s="295" t="str">
        <f t="shared" si="9"/>
        <v/>
      </c>
      <c r="O94" s="32"/>
      <c r="P94" s="109"/>
      <c r="Q94" s="142"/>
      <c r="R94" s="312" t="str">
        <f t="shared" si="10"/>
        <v/>
      </c>
      <c r="S94" s="312" t="str">
        <f t="shared" si="11"/>
        <v/>
      </c>
      <c r="T94" s="312" t="str">
        <f t="shared" si="12"/>
        <v/>
      </c>
      <c r="U94" s="333" t="str">
        <f t="shared" si="13"/>
        <v/>
      </c>
      <c r="V94" s="109"/>
      <c r="W94" s="108"/>
      <c r="X94" s="108"/>
      <c r="AE94" s="111" t="str">
        <f t="shared" si="7"/>
        <v/>
      </c>
      <c r="AF94" s="111" t="str">
        <f t="shared" si="8"/>
        <v/>
      </c>
      <c r="AH94" s="111">
        <v>85</v>
      </c>
      <c r="AJ94" s="111" t="str">
        <f t="array" ref="AJ94">IFERROR(INDEX($AH$10:$AH$258, MATCH(0, IF(TRUE=$AE$10:$AE$258, COUNTIF($AJ$9:$AJ93, $AH$10:$AH$258), ""), 0)),"")</f>
        <v/>
      </c>
      <c r="AK94" s="111" t="str">
        <f t="array" ref="AK94">IFERROR(INDEX($AH$10:$AH$258, MATCH(0, IF(TRUE=$AF$10:$AF$258, COUNTIF($AK$9:$AK93, $AH$10:$AH$258), ""), 0)),"")</f>
        <v/>
      </c>
      <c r="AL94" s="30" t="str">
        <f>IFERROR(INDEX('G-6 Hedgerow Data'!$BJ$3:$BJ$15,MATCH(D94,'G-6 Hedgerow Data'!$B$3:$B$15,0)),"")</f>
        <v/>
      </c>
    </row>
    <row r="95" spans="2:38" x14ac:dyDescent="0.25">
      <c r="B95" s="101">
        <v>86</v>
      </c>
      <c r="C95" s="142"/>
      <c r="D95" s="142"/>
      <c r="E95" s="108"/>
      <c r="F95" s="329" t="str">
        <f>IF(D95="","",VLOOKUP(D95,'G-6 Hedgerow Data'!$B$2:$AG$15,2,FALSE))</f>
        <v/>
      </c>
      <c r="G95" s="282" t="str">
        <f>IF(D95="","",VLOOKUP(D95,'G-6 Hedgerow Data'!$B$2:$AG$15,3,FALSE))</f>
        <v/>
      </c>
      <c r="H95" s="105"/>
      <c r="I95" s="282" t="str">
        <f>IFERROR(IF(AND(D95&lt;&gt;"",H95=""),"Check data ⚠", IF(H95="","",IF(AND(D95="Non-native and ornamental hedgerow", H95&lt;&gt;"Poor"),"Not possible ▲", (VLOOKUP(H95,'G-1 All Habitats'!$Z$2:$AA$9,2,FALSE))))),"")</f>
        <v/>
      </c>
      <c r="J95" s="105"/>
      <c r="K95" s="289" t="str">
        <f>IF(AND(D95&lt;&gt;"",J95=""),"Check data ⚠", IF(J95="","",IF(VLOOKUP(J95,'G-3 Multipliers'!$L$3:$N$6,2,FALSE)=0,"Spatial Data Missing",VLOOKUP(J95,'G-3 Multipliers'!$L$3:$N$6,2,FALSE))))</f>
        <v/>
      </c>
      <c r="L95" s="287" t="str">
        <f>IF(J95="","",IF(VLOOKUP(J95,'G-3 Multipliers'!$L$3:$N$6,3,FALSE)=0,"Spatial Data Missing ⚠",VLOOKUP(J95,'G-3 Multipliers'!$L$3:$N$6,3,FALSE)))</f>
        <v/>
      </c>
      <c r="M95" s="288" t="str">
        <f>IF(D95="","",VLOOKUP(D95,'G-6 Hedgerow Data'!$B$1:$AH$15,33,FALSE))</f>
        <v/>
      </c>
      <c r="N95" s="295" t="str">
        <f t="shared" si="9"/>
        <v/>
      </c>
      <c r="O95" s="32"/>
      <c r="P95" s="109"/>
      <c r="Q95" s="142"/>
      <c r="R95" s="312" t="str">
        <f t="shared" si="10"/>
        <v/>
      </c>
      <c r="S95" s="312" t="str">
        <f t="shared" si="11"/>
        <v/>
      </c>
      <c r="T95" s="312" t="str">
        <f t="shared" si="12"/>
        <v/>
      </c>
      <c r="U95" s="333" t="str">
        <f t="shared" si="13"/>
        <v/>
      </c>
      <c r="V95" s="109"/>
      <c r="W95" s="108"/>
      <c r="X95" s="108"/>
      <c r="AE95" s="111" t="str">
        <f t="shared" si="7"/>
        <v/>
      </c>
      <c r="AF95" s="111" t="str">
        <f t="shared" si="8"/>
        <v/>
      </c>
      <c r="AH95" s="111">
        <v>86</v>
      </c>
      <c r="AJ95" s="111" t="str">
        <f t="array" ref="AJ95">IFERROR(INDEX($AH$10:$AH$258, MATCH(0, IF(TRUE=$AE$10:$AE$258, COUNTIF($AJ$9:$AJ94, $AH$10:$AH$258), ""), 0)),"")</f>
        <v/>
      </c>
      <c r="AK95" s="111" t="str">
        <f t="array" ref="AK95">IFERROR(INDEX($AH$10:$AH$258, MATCH(0, IF(TRUE=$AF$10:$AF$258, COUNTIF($AK$9:$AK94, $AH$10:$AH$258), ""), 0)),"")</f>
        <v/>
      </c>
      <c r="AL95" s="30" t="str">
        <f>IFERROR(INDEX('G-6 Hedgerow Data'!$BJ$3:$BJ$15,MATCH(D95,'G-6 Hedgerow Data'!$B$3:$B$15,0)),"")</f>
        <v/>
      </c>
    </row>
    <row r="96" spans="2:38" x14ac:dyDescent="0.25">
      <c r="B96" s="101">
        <v>87</v>
      </c>
      <c r="C96" s="142"/>
      <c r="D96" s="142"/>
      <c r="E96" s="108"/>
      <c r="F96" s="329" t="str">
        <f>IF(D96="","",VLOOKUP(D96,'G-6 Hedgerow Data'!$B$2:$AG$15,2,FALSE))</f>
        <v/>
      </c>
      <c r="G96" s="282" t="str">
        <f>IF(D96="","",VLOOKUP(D96,'G-6 Hedgerow Data'!$B$2:$AG$15,3,FALSE))</f>
        <v/>
      </c>
      <c r="H96" s="105"/>
      <c r="I96" s="282" t="str">
        <f>IFERROR(IF(AND(D96&lt;&gt;"",H96=""),"Check data ⚠", IF(H96="","",IF(AND(D96="Non-native and ornamental hedgerow", H96&lt;&gt;"Poor"),"Not possible ▲", (VLOOKUP(H96,'G-1 All Habitats'!$Z$2:$AA$9,2,FALSE))))),"")</f>
        <v/>
      </c>
      <c r="J96" s="105"/>
      <c r="K96" s="289" t="str">
        <f>IF(AND(D96&lt;&gt;"",J96=""),"Check data ⚠", IF(J96="","",IF(VLOOKUP(J96,'G-3 Multipliers'!$L$3:$N$6,2,FALSE)=0,"Spatial Data Missing",VLOOKUP(J96,'G-3 Multipliers'!$L$3:$N$6,2,FALSE))))</f>
        <v/>
      </c>
      <c r="L96" s="287" t="str">
        <f>IF(J96="","",IF(VLOOKUP(J96,'G-3 Multipliers'!$L$3:$N$6,3,FALSE)=0,"Spatial Data Missing ⚠",VLOOKUP(J96,'G-3 Multipliers'!$L$3:$N$6,3,FALSE)))</f>
        <v/>
      </c>
      <c r="M96" s="288" t="str">
        <f>IF(D96="","",VLOOKUP(D96,'G-6 Hedgerow Data'!$B$1:$AH$15,33,FALSE))</f>
        <v/>
      </c>
      <c r="N96" s="295" t="str">
        <f t="shared" si="9"/>
        <v/>
      </c>
      <c r="O96" s="32"/>
      <c r="P96" s="109"/>
      <c r="Q96" s="142"/>
      <c r="R96" s="312" t="str">
        <f t="shared" si="10"/>
        <v/>
      </c>
      <c r="S96" s="312" t="str">
        <f t="shared" si="11"/>
        <v/>
      </c>
      <c r="T96" s="312" t="str">
        <f t="shared" si="12"/>
        <v/>
      </c>
      <c r="U96" s="333" t="str">
        <f t="shared" si="13"/>
        <v/>
      </c>
      <c r="V96" s="109"/>
      <c r="W96" s="108"/>
      <c r="X96" s="108"/>
      <c r="AE96" s="111" t="str">
        <f t="shared" si="7"/>
        <v/>
      </c>
      <c r="AF96" s="111" t="str">
        <f t="shared" si="8"/>
        <v/>
      </c>
      <c r="AH96" s="111">
        <v>87</v>
      </c>
      <c r="AJ96" s="111" t="str">
        <f t="array" ref="AJ96">IFERROR(INDEX($AH$10:$AH$258, MATCH(0, IF(TRUE=$AE$10:$AE$258, COUNTIF($AJ$9:$AJ95, $AH$10:$AH$258), ""), 0)),"")</f>
        <v/>
      </c>
      <c r="AK96" s="111" t="str">
        <f t="array" ref="AK96">IFERROR(INDEX($AH$10:$AH$258, MATCH(0, IF(TRUE=$AF$10:$AF$258, COUNTIF($AK$9:$AK95, $AH$10:$AH$258), ""), 0)),"")</f>
        <v/>
      </c>
      <c r="AL96" s="30" t="str">
        <f>IFERROR(INDEX('G-6 Hedgerow Data'!$BJ$3:$BJ$15,MATCH(D96,'G-6 Hedgerow Data'!$B$3:$B$15,0)),"")</f>
        <v/>
      </c>
    </row>
    <row r="97" spans="2:38" x14ac:dyDescent="0.25">
      <c r="B97" s="101">
        <v>88</v>
      </c>
      <c r="C97" s="142"/>
      <c r="D97" s="142"/>
      <c r="E97" s="108"/>
      <c r="F97" s="329" t="str">
        <f>IF(D97="","",VLOOKUP(D97,'G-6 Hedgerow Data'!$B$2:$AG$15,2,FALSE))</f>
        <v/>
      </c>
      <c r="G97" s="282" t="str">
        <f>IF(D97="","",VLOOKUP(D97,'G-6 Hedgerow Data'!$B$2:$AG$15,3,FALSE))</f>
        <v/>
      </c>
      <c r="H97" s="105"/>
      <c r="I97" s="282" t="str">
        <f>IFERROR(IF(AND(D97&lt;&gt;"",H97=""),"Check data ⚠", IF(H97="","",IF(AND(D97="Non-native and ornamental hedgerow", H97&lt;&gt;"Poor"),"Not possible ▲", (VLOOKUP(H97,'G-1 All Habitats'!$Z$2:$AA$9,2,FALSE))))),"")</f>
        <v/>
      </c>
      <c r="J97" s="105"/>
      <c r="K97" s="289" t="str">
        <f>IF(AND(D97&lt;&gt;"",J97=""),"Check data ⚠", IF(J97="","",IF(VLOOKUP(J97,'G-3 Multipliers'!$L$3:$N$6,2,FALSE)=0,"Spatial Data Missing",VLOOKUP(J97,'G-3 Multipliers'!$L$3:$N$6,2,FALSE))))</f>
        <v/>
      </c>
      <c r="L97" s="287" t="str">
        <f>IF(J97="","",IF(VLOOKUP(J97,'G-3 Multipliers'!$L$3:$N$6,3,FALSE)=0,"Spatial Data Missing ⚠",VLOOKUP(J97,'G-3 Multipliers'!$L$3:$N$6,3,FALSE)))</f>
        <v/>
      </c>
      <c r="M97" s="288" t="str">
        <f>IF(D97="","",VLOOKUP(D97,'G-6 Hedgerow Data'!$B$1:$AH$15,33,FALSE))</f>
        <v/>
      </c>
      <c r="N97" s="295" t="str">
        <f t="shared" si="9"/>
        <v/>
      </c>
      <c r="O97" s="32"/>
      <c r="P97" s="109"/>
      <c r="Q97" s="142"/>
      <c r="R97" s="312" t="str">
        <f t="shared" si="10"/>
        <v/>
      </c>
      <c r="S97" s="312" t="str">
        <f t="shared" si="11"/>
        <v/>
      </c>
      <c r="T97" s="312" t="str">
        <f t="shared" si="12"/>
        <v/>
      </c>
      <c r="U97" s="333" t="str">
        <f t="shared" si="13"/>
        <v/>
      </c>
      <c r="V97" s="109"/>
      <c r="W97" s="108"/>
      <c r="X97" s="108"/>
      <c r="AE97" s="111" t="str">
        <f t="shared" si="7"/>
        <v/>
      </c>
      <c r="AF97" s="111" t="str">
        <f t="shared" si="8"/>
        <v/>
      </c>
      <c r="AH97" s="111">
        <v>88</v>
      </c>
      <c r="AJ97" s="111" t="str">
        <f t="array" ref="AJ97">IFERROR(INDEX($AH$10:$AH$258, MATCH(0, IF(TRUE=$AE$10:$AE$258, COUNTIF($AJ$9:$AJ96, $AH$10:$AH$258), ""), 0)),"")</f>
        <v/>
      </c>
      <c r="AK97" s="111" t="str">
        <f t="array" ref="AK97">IFERROR(INDEX($AH$10:$AH$258, MATCH(0, IF(TRUE=$AF$10:$AF$258, COUNTIF($AK$9:$AK96, $AH$10:$AH$258), ""), 0)),"")</f>
        <v/>
      </c>
      <c r="AL97" s="30" t="str">
        <f>IFERROR(INDEX('G-6 Hedgerow Data'!$BJ$3:$BJ$15,MATCH(D97,'G-6 Hedgerow Data'!$B$3:$B$15,0)),"")</f>
        <v/>
      </c>
    </row>
    <row r="98" spans="2:38" x14ac:dyDescent="0.25">
      <c r="B98" s="101">
        <v>89</v>
      </c>
      <c r="C98" s="142"/>
      <c r="D98" s="142"/>
      <c r="E98" s="108"/>
      <c r="F98" s="329" t="str">
        <f>IF(D98="","",VLOOKUP(D98,'G-6 Hedgerow Data'!$B$2:$AG$15,2,FALSE))</f>
        <v/>
      </c>
      <c r="G98" s="282" t="str">
        <f>IF(D98="","",VLOOKUP(D98,'G-6 Hedgerow Data'!$B$2:$AG$15,3,FALSE))</f>
        <v/>
      </c>
      <c r="H98" s="105"/>
      <c r="I98" s="282" t="str">
        <f>IFERROR(IF(AND(D98&lt;&gt;"",H98=""),"Check data ⚠", IF(H98="","",IF(AND(D98="Non-native and ornamental hedgerow", H98&lt;&gt;"Poor"),"Not possible ▲", (VLOOKUP(H98,'G-1 All Habitats'!$Z$2:$AA$9,2,FALSE))))),"")</f>
        <v/>
      </c>
      <c r="J98" s="105"/>
      <c r="K98" s="289" t="str">
        <f>IF(AND(D98&lt;&gt;"",J98=""),"Check data ⚠", IF(J98="","",IF(VLOOKUP(J98,'G-3 Multipliers'!$L$3:$N$6,2,FALSE)=0,"Spatial Data Missing",VLOOKUP(J98,'G-3 Multipliers'!$L$3:$N$6,2,FALSE))))</f>
        <v/>
      </c>
      <c r="L98" s="287" t="str">
        <f>IF(J98="","",IF(VLOOKUP(J98,'G-3 Multipliers'!$L$3:$N$6,3,FALSE)=0,"Spatial Data Missing ⚠",VLOOKUP(J98,'G-3 Multipliers'!$L$3:$N$6,3,FALSE)))</f>
        <v/>
      </c>
      <c r="M98" s="288" t="str">
        <f>IF(D98="","",VLOOKUP(D98,'G-6 Hedgerow Data'!$B$1:$AH$15,33,FALSE))</f>
        <v/>
      </c>
      <c r="N98" s="295" t="str">
        <f t="shared" si="9"/>
        <v/>
      </c>
      <c r="O98" s="32"/>
      <c r="P98" s="109"/>
      <c r="Q98" s="142"/>
      <c r="R98" s="312" t="str">
        <f t="shared" si="10"/>
        <v/>
      </c>
      <c r="S98" s="312" t="str">
        <f t="shared" si="11"/>
        <v/>
      </c>
      <c r="T98" s="312" t="str">
        <f t="shared" si="12"/>
        <v/>
      </c>
      <c r="U98" s="333" t="str">
        <f t="shared" si="13"/>
        <v/>
      </c>
      <c r="V98" s="109"/>
      <c r="W98" s="108"/>
      <c r="X98" s="108"/>
      <c r="AE98" s="111" t="str">
        <f t="shared" si="7"/>
        <v/>
      </c>
      <c r="AF98" s="111" t="str">
        <f t="shared" si="8"/>
        <v/>
      </c>
      <c r="AH98" s="111">
        <v>89</v>
      </c>
      <c r="AJ98" s="111" t="str">
        <f t="array" ref="AJ98">IFERROR(INDEX($AH$10:$AH$258, MATCH(0, IF(TRUE=$AE$10:$AE$258, COUNTIF($AJ$9:$AJ97, $AH$10:$AH$258), ""), 0)),"")</f>
        <v/>
      </c>
      <c r="AK98" s="111" t="str">
        <f t="array" ref="AK98">IFERROR(INDEX($AH$10:$AH$258, MATCH(0, IF(TRUE=$AF$10:$AF$258, COUNTIF($AK$9:$AK97, $AH$10:$AH$258), ""), 0)),"")</f>
        <v/>
      </c>
      <c r="AL98" s="30" t="str">
        <f>IFERROR(INDEX('G-6 Hedgerow Data'!$BJ$3:$BJ$15,MATCH(D98,'G-6 Hedgerow Data'!$B$3:$B$15,0)),"")</f>
        <v/>
      </c>
    </row>
    <row r="99" spans="2:38" x14ac:dyDescent="0.25">
      <c r="B99" s="101">
        <v>90</v>
      </c>
      <c r="C99" s="142"/>
      <c r="D99" s="142"/>
      <c r="E99" s="108"/>
      <c r="F99" s="329" t="str">
        <f>IF(D99="","",VLOOKUP(D99,'G-6 Hedgerow Data'!$B$2:$AG$15,2,FALSE))</f>
        <v/>
      </c>
      <c r="G99" s="282" t="str">
        <f>IF(D99="","",VLOOKUP(D99,'G-6 Hedgerow Data'!$B$2:$AG$15,3,FALSE))</f>
        <v/>
      </c>
      <c r="H99" s="105"/>
      <c r="I99" s="282" t="str">
        <f>IFERROR(IF(AND(D99&lt;&gt;"",H99=""),"Check data ⚠", IF(H99="","",IF(AND(D99="Non-native and ornamental hedgerow", H99&lt;&gt;"Poor"),"Not possible ▲", (VLOOKUP(H99,'G-1 All Habitats'!$Z$2:$AA$9,2,FALSE))))),"")</f>
        <v/>
      </c>
      <c r="J99" s="105"/>
      <c r="K99" s="289" t="str">
        <f>IF(AND(D99&lt;&gt;"",J99=""),"Check data ⚠", IF(J99="","",IF(VLOOKUP(J99,'G-3 Multipliers'!$L$3:$N$6,2,FALSE)=0,"Spatial Data Missing",VLOOKUP(J99,'G-3 Multipliers'!$L$3:$N$6,2,FALSE))))</f>
        <v/>
      </c>
      <c r="L99" s="287" t="str">
        <f>IF(J99="","",IF(VLOOKUP(J99,'G-3 Multipliers'!$L$3:$N$6,3,FALSE)=0,"Spatial Data Missing ⚠",VLOOKUP(J99,'G-3 Multipliers'!$L$3:$N$6,3,FALSE)))</f>
        <v/>
      </c>
      <c r="M99" s="288" t="str">
        <f>IF(D99="","",VLOOKUP(D99,'G-6 Hedgerow Data'!$B$1:$AH$15,33,FALSE))</f>
        <v/>
      </c>
      <c r="N99" s="295" t="str">
        <f t="shared" si="9"/>
        <v/>
      </c>
      <c r="O99" s="32"/>
      <c r="P99" s="109"/>
      <c r="Q99" s="142"/>
      <c r="R99" s="312" t="str">
        <f t="shared" si="10"/>
        <v/>
      </c>
      <c r="S99" s="312" t="str">
        <f t="shared" si="11"/>
        <v/>
      </c>
      <c r="T99" s="312" t="str">
        <f t="shared" si="12"/>
        <v/>
      </c>
      <c r="U99" s="333" t="str">
        <f t="shared" si="13"/>
        <v/>
      </c>
      <c r="V99" s="109"/>
      <c r="W99" s="108"/>
      <c r="X99" s="108"/>
      <c r="AE99" s="111" t="str">
        <f t="shared" si="7"/>
        <v/>
      </c>
      <c r="AF99" s="111" t="str">
        <f t="shared" si="8"/>
        <v/>
      </c>
      <c r="AH99" s="111">
        <v>90</v>
      </c>
      <c r="AJ99" s="111" t="str">
        <f t="array" ref="AJ99">IFERROR(INDEX($AH$10:$AH$258, MATCH(0, IF(TRUE=$AE$10:$AE$258, COUNTIF($AJ$9:$AJ98, $AH$10:$AH$258), ""), 0)),"")</f>
        <v/>
      </c>
      <c r="AK99" s="111" t="str">
        <f t="array" ref="AK99">IFERROR(INDEX($AH$10:$AH$258, MATCH(0, IF(TRUE=$AF$10:$AF$258, COUNTIF($AK$9:$AK98, $AH$10:$AH$258), ""), 0)),"")</f>
        <v/>
      </c>
      <c r="AL99" s="30" t="str">
        <f>IFERROR(INDEX('G-6 Hedgerow Data'!$BJ$3:$BJ$15,MATCH(D99,'G-6 Hedgerow Data'!$B$3:$B$15,0)),"")</f>
        <v/>
      </c>
    </row>
    <row r="100" spans="2:38" x14ac:dyDescent="0.25">
      <c r="B100" s="101">
        <v>91</v>
      </c>
      <c r="C100" s="142"/>
      <c r="D100" s="142"/>
      <c r="E100" s="108"/>
      <c r="F100" s="329" t="str">
        <f>IF(D100="","",VLOOKUP(D100,'G-6 Hedgerow Data'!$B$2:$AG$15,2,FALSE))</f>
        <v/>
      </c>
      <c r="G100" s="282" t="str">
        <f>IF(D100="","",VLOOKUP(D100,'G-6 Hedgerow Data'!$B$2:$AG$15,3,FALSE))</f>
        <v/>
      </c>
      <c r="H100" s="105"/>
      <c r="I100" s="282" t="str">
        <f>IFERROR(IF(AND(D100&lt;&gt;"",H100=""),"Check data ⚠", IF(H100="","",IF(AND(D100="Non-native and ornamental hedgerow", H100&lt;&gt;"Poor"),"Not possible ▲", (VLOOKUP(H100,'G-1 All Habitats'!$Z$2:$AA$9,2,FALSE))))),"")</f>
        <v/>
      </c>
      <c r="J100" s="105"/>
      <c r="K100" s="289" t="str">
        <f>IF(AND(D100&lt;&gt;"",J100=""),"Check data ⚠", IF(J100="","",IF(VLOOKUP(J100,'G-3 Multipliers'!$L$3:$N$6,2,FALSE)=0,"Spatial Data Missing",VLOOKUP(J100,'G-3 Multipliers'!$L$3:$N$6,2,FALSE))))</f>
        <v/>
      </c>
      <c r="L100" s="287" t="str">
        <f>IF(J100="","",IF(VLOOKUP(J100,'G-3 Multipliers'!$L$3:$N$6,3,FALSE)=0,"Spatial Data Missing ⚠",VLOOKUP(J100,'G-3 Multipliers'!$L$3:$N$6,3,FALSE)))</f>
        <v/>
      </c>
      <c r="M100" s="288" t="str">
        <f>IF(D100="","",VLOOKUP(D100,'G-6 Hedgerow Data'!$B$1:$AH$15,33,FALSE))</f>
        <v/>
      </c>
      <c r="N100" s="295" t="str">
        <f t="shared" si="9"/>
        <v/>
      </c>
      <c r="O100" s="32"/>
      <c r="P100" s="109"/>
      <c r="Q100" s="142"/>
      <c r="R100" s="312" t="str">
        <f t="shared" si="10"/>
        <v/>
      </c>
      <c r="S100" s="312" t="str">
        <f t="shared" si="11"/>
        <v/>
      </c>
      <c r="T100" s="312" t="str">
        <f t="shared" si="12"/>
        <v/>
      </c>
      <c r="U100" s="333" t="str">
        <f t="shared" si="13"/>
        <v/>
      </c>
      <c r="V100" s="109"/>
      <c r="W100" s="108"/>
      <c r="X100" s="108"/>
      <c r="AE100" s="111" t="str">
        <f t="shared" si="7"/>
        <v/>
      </c>
      <c r="AF100" s="111" t="str">
        <f t="shared" si="8"/>
        <v/>
      </c>
      <c r="AH100" s="111">
        <v>91</v>
      </c>
      <c r="AJ100" s="111" t="str">
        <f t="array" ref="AJ100">IFERROR(INDEX($AH$10:$AH$258, MATCH(0, IF(TRUE=$AE$10:$AE$258, COUNTIF($AJ$9:$AJ99, $AH$10:$AH$258), ""), 0)),"")</f>
        <v/>
      </c>
      <c r="AK100" s="111" t="str">
        <f t="array" ref="AK100">IFERROR(INDEX($AH$10:$AH$258, MATCH(0, IF(TRUE=$AF$10:$AF$258, COUNTIF($AK$9:$AK99, $AH$10:$AH$258), ""), 0)),"")</f>
        <v/>
      </c>
      <c r="AL100" s="30" t="str">
        <f>IFERROR(INDEX('G-6 Hedgerow Data'!$BJ$3:$BJ$15,MATCH(D100,'G-6 Hedgerow Data'!$B$3:$B$15,0)),"")</f>
        <v/>
      </c>
    </row>
    <row r="101" spans="2:38" x14ac:dyDescent="0.25">
      <c r="B101" s="101">
        <v>92</v>
      </c>
      <c r="C101" s="142"/>
      <c r="D101" s="142"/>
      <c r="E101" s="108"/>
      <c r="F101" s="329" t="str">
        <f>IF(D101="","",VLOOKUP(D101,'G-6 Hedgerow Data'!$B$2:$AG$15,2,FALSE))</f>
        <v/>
      </c>
      <c r="G101" s="282" t="str">
        <f>IF(D101="","",VLOOKUP(D101,'G-6 Hedgerow Data'!$B$2:$AG$15,3,FALSE))</f>
        <v/>
      </c>
      <c r="H101" s="105"/>
      <c r="I101" s="282" t="str">
        <f>IFERROR(IF(AND(D101&lt;&gt;"",H101=""),"Check data ⚠", IF(H101="","",IF(AND(D101="Non-native and ornamental hedgerow", H101&lt;&gt;"Poor"),"Not possible ▲", (VLOOKUP(H101,'G-1 All Habitats'!$Z$2:$AA$9,2,FALSE))))),"")</f>
        <v/>
      </c>
      <c r="J101" s="105"/>
      <c r="K101" s="289" t="str">
        <f>IF(AND(D101&lt;&gt;"",J101=""),"Check data ⚠", IF(J101="","",IF(VLOOKUP(J101,'G-3 Multipliers'!$L$3:$N$6,2,FALSE)=0,"Spatial Data Missing",VLOOKUP(J101,'G-3 Multipliers'!$L$3:$N$6,2,FALSE))))</f>
        <v/>
      </c>
      <c r="L101" s="287" t="str">
        <f>IF(J101="","",IF(VLOOKUP(J101,'G-3 Multipliers'!$L$3:$N$6,3,FALSE)=0,"Spatial Data Missing ⚠",VLOOKUP(J101,'G-3 Multipliers'!$L$3:$N$6,3,FALSE)))</f>
        <v/>
      </c>
      <c r="M101" s="288" t="str">
        <f>IF(D101="","",VLOOKUP(D101,'G-6 Hedgerow Data'!$B$1:$AH$15,33,FALSE))</f>
        <v/>
      </c>
      <c r="N101" s="295" t="str">
        <f t="shared" si="9"/>
        <v/>
      </c>
      <c r="O101" s="32"/>
      <c r="P101" s="109"/>
      <c r="Q101" s="142"/>
      <c r="R101" s="312" t="str">
        <f t="shared" si="10"/>
        <v/>
      </c>
      <c r="S101" s="312" t="str">
        <f t="shared" si="11"/>
        <v/>
      </c>
      <c r="T101" s="312" t="str">
        <f t="shared" si="12"/>
        <v/>
      </c>
      <c r="U101" s="333" t="str">
        <f t="shared" si="13"/>
        <v/>
      </c>
      <c r="V101" s="109"/>
      <c r="W101" s="108"/>
      <c r="X101" s="108"/>
      <c r="AE101" s="111" t="str">
        <f t="shared" si="7"/>
        <v/>
      </c>
      <c r="AF101" s="111" t="str">
        <f t="shared" si="8"/>
        <v/>
      </c>
      <c r="AH101" s="111">
        <v>92</v>
      </c>
      <c r="AJ101" s="111" t="str">
        <f t="array" ref="AJ101">IFERROR(INDEX($AH$10:$AH$258, MATCH(0, IF(TRUE=$AE$10:$AE$258, COUNTIF($AJ$9:$AJ100, $AH$10:$AH$258), ""), 0)),"")</f>
        <v/>
      </c>
      <c r="AK101" s="111" t="str">
        <f t="array" ref="AK101">IFERROR(INDEX($AH$10:$AH$258, MATCH(0, IF(TRUE=$AF$10:$AF$258, COUNTIF($AK$9:$AK100, $AH$10:$AH$258), ""), 0)),"")</f>
        <v/>
      </c>
      <c r="AL101" s="30" t="str">
        <f>IFERROR(INDEX('G-6 Hedgerow Data'!$BJ$3:$BJ$15,MATCH(D101,'G-6 Hedgerow Data'!$B$3:$B$15,0)),"")</f>
        <v/>
      </c>
    </row>
    <row r="102" spans="2:38" x14ac:dyDescent="0.25">
      <c r="B102" s="101">
        <v>93</v>
      </c>
      <c r="C102" s="142"/>
      <c r="D102" s="142"/>
      <c r="E102" s="108"/>
      <c r="F102" s="329" t="str">
        <f>IF(D102="","",VLOOKUP(D102,'G-6 Hedgerow Data'!$B$2:$AG$15,2,FALSE))</f>
        <v/>
      </c>
      <c r="G102" s="282" t="str">
        <f>IF(D102="","",VLOOKUP(D102,'G-6 Hedgerow Data'!$B$2:$AG$15,3,FALSE))</f>
        <v/>
      </c>
      <c r="H102" s="105"/>
      <c r="I102" s="282" t="str">
        <f>IFERROR(IF(AND(D102&lt;&gt;"",H102=""),"Check data ⚠", IF(H102="","",IF(AND(D102="Non-native and ornamental hedgerow", H102&lt;&gt;"Poor"),"Not possible ▲", (VLOOKUP(H102,'G-1 All Habitats'!$Z$2:$AA$9,2,FALSE))))),"")</f>
        <v/>
      </c>
      <c r="J102" s="105"/>
      <c r="K102" s="289" t="str">
        <f>IF(AND(D102&lt;&gt;"",J102=""),"Check data ⚠", IF(J102="","",IF(VLOOKUP(J102,'G-3 Multipliers'!$L$3:$N$6,2,FALSE)=0,"Spatial Data Missing",VLOOKUP(J102,'G-3 Multipliers'!$L$3:$N$6,2,FALSE))))</f>
        <v/>
      </c>
      <c r="L102" s="287" t="str">
        <f>IF(J102="","",IF(VLOOKUP(J102,'G-3 Multipliers'!$L$3:$N$6,3,FALSE)=0,"Spatial Data Missing ⚠",VLOOKUP(J102,'G-3 Multipliers'!$L$3:$N$6,3,FALSE)))</f>
        <v/>
      </c>
      <c r="M102" s="288" t="str">
        <f>IF(D102="","",VLOOKUP(D102,'G-6 Hedgerow Data'!$B$1:$AH$15,33,FALSE))</f>
        <v/>
      </c>
      <c r="N102" s="295" t="str">
        <f t="shared" si="9"/>
        <v/>
      </c>
      <c r="O102" s="32"/>
      <c r="P102" s="109"/>
      <c r="Q102" s="142"/>
      <c r="R102" s="312" t="str">
        <f t="shared" si="10"/>
        <v/>
      </c>
      <c r="S102" s="312" t="str">
        <f t="shared" si="11"/>
        <v/>
      </c>
      <c r="T102" s="312" t="str">
        <f t="shared" si="12"/>
        <v/>
      </c>
      <c r="U102" s="333" t="str">
        <f t="shared" si="13"/>
        <v/>
      </c>
      <c r="V102" s="109"/>
      <c r="W102" s="108"/>
      <c r="X102" s="108"/>
      <c r="AE102" s="111" t="str">
        <f t="shared" si="7"/>
        <v/>
      </c>
      <c r="AF102" s="111" t="str">
        <f t="shared" si="8"/>
        <v/>
      </c>
      <c r="AH102" s="111">
        <v>93</v>
      </c>
      <c r="AJ102" s="111" t="str">
        <f t="array" ref="AJ102">IFERROR(INDEX($AH$10:$AH$258, MATCH(0, IF(TRUE=$AE$10:$AE$258, COUNTIF($AJ$9:$AJ101, $AH$10:$AH$258), ""), 0)),"")</f>
        <v/>
      </c>
      <c r="AK102" s="111" t="str">
        <f t="array" ref="AK102">IFERROR(INDEX($AH$10:$AH$258, MATCH(0, IF(TRUE=$AF$10:$AF$258, COUNTIF($AK$9:$AK101, $AH$10:$AH$258), ""), 0)),"")</f>
        <v/>
      </c>
      <c r="AL102" s="30" t="str">
        <f>IFERROR(INDEX('G-6 Hedgerow Data'!$BJ$3:$BJ$15,MATCH(D102,'G-6 Hedgerow Data'!$B$3:$B$15,0)),"")</f>
        <v/>
      </c>
    </row>
    <row r="103" spans="2:38" x14ac:dyDescent="0.25">
      <c r="B103" s="101">
        <v>94</v>
      </c>
      <c r="C103" s="142"/>
      <c r="D103" s="142"/>
      <c r="E103" s="108"/>
      <c r="F103" s="329" t="str">
        <f>IF(D103="","",VLOOKUP(D103,'G-6 Hedgerow Data'!$B$2:$AG$15,2,FALSE))</f>
        <v/>
      </c>
      <c r="G103" s="282" t="str">
        <f>IF(D103="","",VLOOKUP(D103,'G-6 Hedgerow Data'!$B$2:$AG$15,3,FALSE))</f>
        <v/>
      </c>
      <c r="H103" s="105"/>
      <c r="I103" s="282" t="str">
        <f>IFERROR(IF(AND(D103&lt;&gt;"",H103=""),"Check data ⚠", IF(H103="","",IF(AND(D103="Non-native and ornamental hedgerow", H103&lt;&gt;"Poor"),"Not possible ▲", (VLOOKUP(H103,'G-1 All Habitats'!$Z$2:$AA$9,2,FALSE))))),"")</f>
        <v/>
      </c>
      <c r="J103" s="105"/>
      <c r="K103" s="289" t="str">
        <f>IF(AND(D103&lt;&gt;"",J103=""),"Check data ⚠", IF(J103="","",IF(VLOOKUP(J103,'G-3 Multipliers'!$L$3:$N$6,2,FALSE)=0,"Spatial Data Missing",VLOOKUP(J103,'G-3 Multipliers'!$L$3:$N$6,2,FALSE))))</f>
        <v/>
      </c>
      <c r="L103" s="287" t="str">
        <f>IF(J103="","",IF(VLOOKUP(J103,'G-3 Multipliers'!$L$3:$N$6,3,FALSE)=0,"Spatial Data Missing ⚠",VLOOKUP(J103,'G-3 Multipliers'!$L$3:$N$6,3,FALSE)))</f>
        <v/>
      </c>
      <c r="M103" s="288" t="str">
        <f>IF(D103="","",VLOOKUP(D103,'G-6 Hedgerow Data'!$B$1:$AH$15,33,FALSE))</f>
        <v/>
      </c>
      <c r="N103" s="295" t="str">
        <f t="shared" si="9"/>
        <v/>
      </c>
      <c r="O103" s="32"/>
      <c r="P103" s="109"/>
      <c r="Q103" s="142"/>
      <c r="R103" s="312" t="str">
        <f t="shared" si="10"/>
        <v/>
      </c>
      <c r="S103" s="312" t="str">
        <f t="shared" si="11"/>
        <v/>
      </c>
      <c r="T103" s="312" t="str">
        <f t="shared" si="12"/>
        <v/>
      </c>
      <c r="U103" s="333" t="str">
        <f t="shared" si="13"/>
        <v/>
      </c>
      <c r="V103" s="109"/>
      <c r="W103" s="108"/>
      <c r="X103" s="108"/>
      <c r="AE103" s="111" t="str">
        <f t="shared" si="7"/>
        <v/>
      </c>
      <c r="AF103" s="111" t="str">
        <f t="shared" si="8"/>
        <v/>
      </c>
      <c r="AH103" s="111">
        <v>94</v>
      </c>
      <c r="AJ103" s="111" t="str">
        <f t="array" ref="AJ103">IFERROR(INDEX($AH$10:$AH$258, MATCH(0, IF(TRUE=$AE$10:$AE$258, COUNTIF($AJ$9:$AJ102, $AH$10:$AH$258), ""), 0)),"")</f>
        <v/>
      </c>
      <c r="AK103" s="111" t="str">
        <f t="array" ref="AK103">IFERROR(INDEX($AH$10:$AH$258, MATCH(0, IF(TRUE=$AF$10:$AF$258, COUNTIF($AK$9:$AK102, $AH$10:$AH$258), ""), 0)),"")</f>
        <v/>
      </c>
      <c r="AL103" s="30" t="str">
        <f>IFERROR(INDEX('G-6 Hedgerow Data'!$BJ$3:$BJ$15,MATCH(D103,'G-6 Hedgerow Data'!$B$3:$B$15,0)),"")</f>
        <v/>
      </c>
    </row>
    <row r="104" spans="2:38" x14ac:dyDescent="0.25">
      <c r="B104" s="101">
        <v>95</v>
      </c>
      <c r="C104" s="142"/>
      <c r="D104" s="142"/>
      <c r="E104" s="108"/>
      <c r="F104" s="329" t="str">
        <f>IF(D104="","",VLOOKUP(D104,'G-6 Hedgerow Data'!$B$2:$AG$15,2,FALSE))</f>
        <v/>
      </c>
      <c r="G104" s="282" t="str">
        <f>IF(D104="","",VLOOKUP(D104,'G-6 Hedgerow Data'!$B$2:$AG$15,3,FALSE))</f>
        <v/>
      </c>
      <c r="H104" s="105"/>
      <c r="I104" s="282" t="str">
        <f>IFERROR(IF(AND(D104&lt;&gt;"",H104=""),"Check data ⚠", IF(H104="","",IF(AND(D104="Non-native and ornamental hedgerow", H104&lt;&gt;"Poor"),"Not possible ▲", (VLOOKUP(H104,'G-1 All Habitats'!$Z$2:$AA$9,2,FALSE))))),"")</f>
        <v/>
      </c>
      <c r="J104" s="105"/>
      <c r="K104" s="289" t="str">
        <f>IF(AND(D104&lt;&gt;"",J104=""),"Check data ⚠", IF(J104="","",IF(VLOOKUP(J104,'G-3 Multipliers'!$L$3:$N$6,2,FALSE)=0,"Spatial Data Missing",VLOOKUP(J104,'G-3 Multipliers'!$L$3:$N$6,2,FALSE))))</f>
        <v/>
      </c>
      <c r="L104" s="287" t="str">
        <f>IF(J104="","",IF(VLOOKUP(J104,'G-3 Multipliers'!$L$3:$N$6,3,FALSE)=0,"Spatial Data Missing ⚠",VLOOKUP(J104,'G-3 Multipliers'!$L$3:$N$6,3,FALSE)))</f>
        <v/>
      </c>
      <c r="M104" s="288" t="str">
        <f>IF(D104="","",VLOOKUP(D104,'G-6 Hedgerow Data'!$B$1:$AH$15,33,FALSE))</f>
        <v/>
      </c>
      <c r="N104" s="295" t="str">
        <f t="shared" si="9"/>
        <v/>
      </c>
      <c r="O104" s="32"/>
      <c r="P104" s="109"/>
      <c r="Q104" s="142"/>
      <c r="R104" s="312" t="str">
        <f t="shared" si="10"/>
        <v/>
      </c>
      <c r="S104" s="312" t="str">
        <f t="shared" si="11"/>
        <v/>
      </c>
      <c r="T104" s="312" t="str">
        <f t="shared" si="12"/>
        <v/>
      </c>
      <c r="U104" s="333" t="str">
        <f t="shared" si="13"/>
        <v/>
      </c>
      <c r="V104" s="109"/>
      <c r="W104" s="108"/>
      <c r="X104" s="108"/>
      <c r="AE104" s="111" t="str">
        <f t="shared" si="7"/>
        <v/>
      </c>
      <c r="AF104" s="111" t="str">
        <f t="shared" si="8"/>
        <v/>
      </c>
      <c r="AH104" s="111">
        <v>95</v>
      </c>
      <c r="AJ104" s="111" t="str">
        <f t="array" ref="AJ104">IFERROR(INDEX($AH$10:$AH$258, MATCH(0, IF(TRUE=$AE$10:$AE$258, COUNTIF($AJ$9:$AJ103, $AH$10:$AH$258), ""), 0)),"")</f>
        <v/>
      </c>
      <c r="AK104" s="111" t="str">
        <f t="array" ref="AK104">IFERROR(INDEX($AH$10:$AH$258, MATCH(0, IF(TRUE=$AF$10:$AF$258, COUNTIF($AK$9:$AK103, $AH$10:$AH$258), ""), 0)),"")</f>
        <v/>
      </c>
      <c r="AL104" s="30" t="str">
        <f>IFERROR(INDEX('G-6 Hedgerow Data'!$BJ$3:$BJ$15,MATCH(D104,'G-6 Hedgerow Data'!$B$3:$B$15,0)),"")</f>
        <v/>
      </c>
    </row>
    <row r="105" spans="2:38" x14ac:dyDescent="0.25">
      <c r="B105" s="101">
        <v>96</v>
      </c>
      <c r="C105" s="142"/>
      <c r="D105" s="142"/>
      <c r="E105" s="108"/>
      <c r="F105" s="329" t="str">
        <f>IF(D105="","",VLOOKUP(D105,'G-6 Hedgerow Data'!$B$2:$AG$15,2,FALSE))</f>
        <v/>
      </c>
      <c r="G105" s="282" t="str">
        <f>IF(D105="","",VLOOKUP(D105,'G-6 Hedgerow Data'!$B$2:$AG$15,3,FALSE))</f>
        <v/>
      </c>
      <c r="H105" s="105"/>
      <c r="I105" s="282" t="str">
        <f>IFERROR(IF(AND(D105&lt;&gt;"",H105=""),"Check data ⚠", IF(H105="","",IF(AND(D105="Non-native and ornamental hedgerow", H105&lt;&gt;"Poor"),"Not possible ▲", (VLOOKUP(H105,'G-1 All Habitats'!$Z$2:$AA$9,2,FALSE))))),"")</f>
        <v/>
      </c>
      <c r="J105" s="105"/>
      <c r="K105" s="289" t="str">
        <f>IF(AND(D105&lt;&gt;"",J105=""),"Check data ⚠", IF(J105="","",IF(VLOOKUP(J105,'G-3 Multipliers'!$L$3:$N$6,2,FALSE)=0,"Spatial Data Missing",VLOOKUP(J105,'G-3 Multipliers'!$L$3:$N$6,2,FALSE))))</f>
        <v/>
      </c>
      <c r="L105" s="287" t="str">
        <f>IF(J105="","",IF(VLOOKUP(J105,'G-3 Multipliers'!$L$3:$N$6,3,FALSE)=0,"Spatial Data Missing ⚠",VLOOKUP(J105,'G-3 Multipliers'!$L$3:$N$6,3,FALSE)))</f>
        <v/>
      </c>
      <c r="M105" s="288" t="str">
        <f>IF(D105="","",VLOOKUP(D105,'G-6 Hedgerow Data'!$B$1:$AH$15,33,FALSE))</f>
        <v/>
      </c>
      <c r="N105" s="295" t="str">
        <f t="shared" si="9"/>
        <v/>
      </c>
      <c r="O105" s="32"/>
      <c r="P105" s="109"/>
      <c r="Q105" s="142"/>
      <c r="R105" s="312" t="str">
        <f t="shared" si="10"/>
        <v/>
      </c>
      <c r="S105" s="312" t="str">
        <f t="shared" si="11"/>
        <v/>
      </c>
      <c r="T105" s="312" t="str">
        <f t="shared" si="12"/>
        <v/>
      </c>
      <c r="U105" s="333" t="str">
        <f t="shared" si="13"/>
        <v/>
      </c>
      <c r="V105" s="109"/>
      <c r="W105" s="108"/>
      <c r="X105" s="108"/>
      <c r="AE105" s="111" t="str">
        <f t="shared" si="7"/>
        <v/>
      </c>
      <c r="AF105" s="111" t="str">
        <f t="shared" si="8"/>
        <v/>
      </c>
      <c r="AH105" s="111">
        <v>96</v>
      </c>
      <c r="AJ105" s="111" t="str">
        <f t="array" ref="AJ105">IFERROR(INDEX($AH$10:$AH$258, MATCH(0, IF(TRUE=$AE$10:$AE$258, COUNTIF($AJ$9:$AJ104, $AH$10:$AH$258), ""), 0)),"")</f>
        <v/>
      </c>
      <c r="AK105" s="111" t="str">
        <f t="array" ref="AK105">IFERROR(INDEX($AH$10:$AH$258, MATCH(0, IF(TRUE=$AF$10:$AF$258, COUNTIF($AK$9:$AK104, $AH$10:$AH$258), ""), 0)),"")</f>
        <v/>
      </c>
      <c r="AL105" s="30" t="str">
        <f>IFERROR(INDEX('G-6 Hedgerow Data'!$BJ$3:$BJ$15,MATCH(D105,'G-6 Hedgerow Data'!$B$3:$B$15,0)),"")</f>
        <v/>
      </c>
    </row>
    <row r="106" spans="2:38" x14ac:dyDescent="0.25">
      <c r="B106" s="101">
        <v>97</v>
      </c>
      <c r="C106" s="142"/>
      <c r="D106" s="142"/>
      <c r="E106" s="108"/>
      <c r="F106" s="329" t="str">
        <f>IF(D106="","",VLOOKUP(D106,'G-6 Hedgerow Data'!$B$2:$AG$15,2,FALSE))</f>
        <v/>
      </c>
      <c r="G106" s="282" t="str">
        <f>IF(D106="","",VLOOKUP(D106,'G-6 Hedgerow Data'!$B$2:$AG$15,3,FALSE))</f>
        <v/>
      </c>
      <c r="H106" s="105"/>
      <c r="I106" s="282" t="str">
        <f>IFERROR(IF(AND(D106&lt;&gt;"",H106=""),"Check data ⚠", IF(H106="","",IF(AND(D106="Non-native and ornamental hedgerow", H106&lt;&gt;"Poor"),"Not possible ▲", (VLOOKUP(H106,'G-1 All Habitats'!$Z$2:$AA$9,2,FALSE))))),"")</f>
        <v/>
      </c>
      <c r="J106" s="105"/>
      <c r="K106" s="289" t="str">
        <f>IF(AND(D106&lt;&gt;"",J106=""),"Check data ⚠", IF(J106="","",IF(VLOOKUP(J106,'G-3 Multipliers'!$L$3:$N$6,2,FALSE)=0,"Spatial Data Missing",VLOOKUP(J106,'G-3 Multipliers'!$L$3:$N$6,2,FALSE))))</f>
        <v/>
      </c>
      <c r="L106" s="287" t="str">
        <f>IF(J106="","",IF(VLOOKUP(J106,'G-3 Multipliers'!$L$3:$N$6,3,FALSE)=0,"Spatial Data Missing ⚠",VLOOKUP(J106,'G-3 Multipliers'!$L$3:$N$6,3,FALSE)))</f>
        <v/>
      </c>
      <c r="M106" s="288" t="str">
        <f>IF(D106="","",VLOOKUP(D106,'G-6 Hedgerow Data'!$B$1:$AH$15,33,FALSE))</f>
        <v/>
      </c>
      <c r="N106" s="295" t="str">
        <f t="shared" si="9"/>
        <v/>
      </c>
      <c r="O106" s="32"/>
      <c r="P106" s="109"/>
      <c r="Q106" s="142"/>
      <c r="R106" s="312" t="str">
        <f t="shared" si="10"/>
        <v/>
      </c>
      <c r="S106" s="312" t="str">
        <f t="shared" si="11"/>
        <v/>
      </c>
      <c r="T106" s="312" t="str">
        <f t="shared" si="12"/>
        <v/>
      </c>
      <c r="U106" s="333" t="str">
        <f t="shared" si="13"/>
        <v/>
      </c>
      <c r="V106" s="109"/>
      <c r="W106" s="108"/>
      <c r="X106" s="108"/>
      <c r="AE106" s="111" t="str">
        <f t="shared" si="7"/>
        <v/>
      </c>
      <c r="AF106" s="111" t="str">
        <f t="shared" si="8"/>
        <v/>
      </c>
      <c r="AH106" s="111">
        <v>97</v>
      </c>
      <c r="AJ106" s="111" t="str">
        <f t="array" ref="AJ106">IFERROR(INDEX($AH$10:$AH$258, MATCH(0, IF(TRUE=$AE$10:$AE$258, COUNTIF($AJ$9:$AJ105, $AH$10:$AH$258), ""), 0)),"")</f>
        <v/>
      </c>
      <c r="AK106" s="111" t="str">
        <f t="array" ref="AK106">IFERROR(INDEX($AH$10:$AH$258, MATCH(0, IF(TRUE=$AF$10:$AF$258, COUNTIF($AK$9:$AK105, $AH$10:$AH$258), ""), 0)),"")</f>
        <v/>
      </c>
      <c r="AL106" s="30" t="str">
        <f>IFERROR(INDEX('G-6 Hedgerow Data'!$BJ$3:$BJ$15,MATCH(D106,'G-6 Hedgerow Data'!$B$3:$B$15,0)),"")</f>
        <v/>
      </c>
    </row>
    <row r="107" spans="2:38" x14ac:dyDescent="0.25">
      <c r="B107" s="101">
        <v>98</v>
      </c>
      <c r="C107" s="142"/>
      <c r="D107" s="142"/>
      <c r="E107" s="108"/>
      <c r="F107" s="329" t="str">
        <f>IF(D107="","",VLOOKUP(D107,'G-6 Hedgerow Data'!$B$2:$AG$15,2,FALSE))</f>
        <v/>
      </c>
      <c r="G107" s="282" t="str">
        <f>IF(D107="","",VLOOKUP(D107,'G-6 Hedgerow Data'!$B$2:$AG$15,3,FALSE))</f>
        <v/>
      </c>
      <c r="H107" s="105"/>
      <c r="I107" s="282" t="str">
        <f>IFERROR(IF(AND(D107&lt;&gt;"",H107=""),"Check data ⚠", IF(H107="","",IF(AND(D107="Non-native and ornamental hedgerow", H107&lt;&gt;"Poor"),"Not possible ▲", (VLOOKUP(H107,'G-1 All Habitats'!$Z$2:$AA$9,2,FALSE))))),"")</f>
        <v/>
      </c>
      <c r="J107" s="105"/>
      <c r="K107" s="289" t="str">
        <f>IF(AND(D107&lt;&gt;"",J107=""),"Check data ⚠", IF(J107="","",IF(VLOOKUP(J107,'G-3 Multipliers'!$L$3:$N$6,2,FALSE)=0,"Spatial Data Missing",VLOOKUP(J107,'G-3 Multipliers'!$L$3:$N$6,2,FALSE))))</f>
        <v/>
      </c>
      <c r="L107" s="287" t="str">
        <f>IF(J107="","",IF(VLOOKUP(J107,'G-3 Multipliers'!$L$3:$N$6,3,FALSE)=0,"Spatial Data Missing ⚠",VLOOKUP(J107,'G-3 Multipliers'!$L$3:$N$6,3,FALSE)))</f>
        <v/>
      </c>
      <c r="M107" s="288" t="str">
        <f>IF(D107="","",VLOOKUP(D107,'G-6 Hedgerow Data'!$B$1:$AH$15,33,FALSE))</f>
        <v/>
      </c>
      <c r="N107" s="295" t="str">
        <f t="shared" si="9"/>
        <v/>
      </c>
      <c r="O107" s="32"/>
      <c r="P107" s="109"/>
      <c r="Q107" s="142"/>
      <c r="R107" s="312" t="str">
        <f t="shared" si="10"/>
        <v/>
      </c>
      <c r="S107" s="312" t="str">
        <f t="shared" si="11"/>
        <v/>
      </c>
      <c r="T107" s="312" t="str">
        <f t="shared" si="12"/>
        <v/>
      </c>
      <c r="U107" s="333" t="str">
        <f t="shared" si="13"/>
        <v/>
      </c>
      <c r="V107" s="109"/>
      <c r="W107" s="108"/>
      <c r="X107" s="108"/>
      <c r="AE107" s="111" t="str">
        <f t="shared" si="7"/>
        <v/>
      </c>
      <c r="AF107" s="111" t="str">
        <f t="shared" si="8"/>
        <v/>
      </c>
      <c r="AH107" s="111">
        <v>98</v>
      </c>
      <c r="AJ107" s="111" t="str">
        <f t="array" ref="AJ107">IFERROR(INDEX($AH$10:$AH$258, MATCH(0, IF(TRUE=$AE$10:$AE$258, COUNTIF($AJ$9:$AJ106, $AH$10:$AH$258), ""), 0)),"")</f>
        <v/>
      </c>
      <c r="AK107" s="111" t="str">
        <f t="array" ref="AK107">IFERROR(INDEX($AH$10:$AH$258, MATCH(0, IF(TRUE=$AF$10:$AF$258, COUNTIF($AK$9:$AK106, $AH$10:$AH$258), ""), 0)),"")</f>
        <v/>
      </c>
      <c r="AL107" s="30" t="str">
        <f>IFERROR(INDEX('G-6 Hedgerow Data'!$BJ$3:$BJ$15,MATCH(D107,'G-6 Hedgerow Data'!$B$3:$B$15,0)),"")</f>
        <v/>
      </c>
    </row>
    <row r="108" spans="2:38" x14ac:dyDescent="0.25">
      <c r="B108" s="101">
        <v>99</v>
      </c>
      <c r="C108" s="142"/>
      <c r="D108" s="142"/>
      <c r="E108" s="108"/>
      <c r="F108" s="329" t="str">
        <f>IF(D108="","",VLOOKUP(D108,'G-6 Hedgerow Data'!$B$2:$AG$15,2,FALSE))</f>
        <v/>
      </c>
      <c r="G108" s="282" t="str">
        <f>IF(D108="","",VLOOKUP(D108,'G-6 Hedgerow Data'!$B$2:$AG$15,3,FALSE))</f>
        <v/>
      </c>
      <c r="H108" s="105"/>
      <c r="I108" s="282" t="str">
        <f>IFERROR(IF(AND(D108&lt;&gt;"",H108=""),"Check data ⚠", IF(H108="","",IF(AND(D108="Non-native and ornamental hedgerow", H108&lt;&gt;"Poor"),"Not possible ▲", (VLOOKUP(H108,'G-1 All Habitats'!$Z$2:$AA$9,2,FALSE))))),"")</f>
        <v/>
      </c>
      <c r="J108" s="105"/>
      <c r="K108" s="289" t="str">
        <f>IF(AND(D108&lt;&gt;"",J108=""),"Check data ⚠", IF(J108="","",IF(VLOOKUP(J108,'G-3 Multipliers'!$L$3:$N$6,2,FALSE)=0,"Spatial Data Missing",VLOOKUP(J108,'G-3 Multipliers'!$L$3:$N$6,2,FALSE))))</f>
        <v/>
      </c>
      <c r="L108" s="287" t="str">
        <f>IF(J108="","",IF(VLOOKUP(J108,'G-3 Multipliers'!$L$3:$N$6,3,FALSE)=0,"Spatial Data Missing ⚠",VLOOKUP(J108,'G-3 Multipliers'!$L$3:$N$6,3,FALSE)))</f>
        <v/>
      </c>
      <c r="M108" s="288" t="str">
        <f>IF(D108="","",VLOOKUP(D108,'G-6 Hedgerow Data'!$B$1:$AH$15,33,FALSE))</f>
        <v/>
      </c>
      <c r="N108" s="295" t="str">
        <f t="shared" si="9"/>
        <v/>
      </c>
      <c r="O108" s="32"/>
      <c r="P108" s="109"/>
      <c r="Q108" s="142"/>
      <c r="R108" s="312" t="str">
        <f t="shared" si="10"/>
        <v/>
      </c>
      <c r="S108" s="312" t="str">
        <f t="shared" si="11"/>
        <v/>
      </c>
      <c r="T108" s="312" t="str">
        <f t="shared" si="12"/>
        <v/>
      </c>
      <c r="U108" s="333" t="str">
        <f t="shared" si="13"/>
        <v/>
      </c>
      <c r="V108" s="109"/>
      <c r="W108" s="108"/>
      <c r="X108" s="108"/>
      <c r="AE108" s="111" t="str">
        <f t="shared" si="7"/>
        <v/>
      </c>
      <c r="AF108" s="111" t="str">
        <f t="shared" si="8"/>
        <v/>
      </c>
      <c r="AH108" s="111">
        <v>99</v>
      </c>
      <c r="AJ108" s="111" t="str">
        <f t="array" ref="AJ108">IFERROR(INDEX($AH$10:$AH$258, MATCH(0, IF(TRUE=$AE$10:$AE$258, COUNTIF($AJ$9:$AJ107, $AH$10:$AH$258), ""), 0)),"")</f>
        <v/>
      </c>
      <c r="AK108" s="111" t="str">
        <f t="array" ref="AK108">IFERROR(INDEX($AH$10:$AH$258, MATCH(0, IF(TRUE=$AF$10:$AF$258, COUNTIF($AK$9:$AK107, $AH$10:$AH$258), ""), 0)),"")</f>
        <v/>
      </c>
      <c r="AL108" s="30" t="str">
        <f>IFERROR(INDEX('G-6 Hedgerow Data'!$BJ$3:$BJ$15,MATCH(D108,'G-6 Hedgerow Data'!$B$3:$B$15,0)),"")</f>
        <v/>
      </c>
    </row>
    <row r="109" spans="2:38" x14ac:dyDescent="0.25">
      <c r="B109" s="101">
        <v>100</v>
      </c>
      <c r="C109" s="142"/>
      <c r="D109" s="142"/>
      <c r="E109" s="108"/>
      <c r="F109" s="329" t="str">
        <f>IF(D109="","",VLOOKUP(D109,'G-6 Hedgerow Data'!$B$2:$AG$15,2,FALSE))</f>
        <v/>
      </c>
      <c r="G109" s="282" t="str">
        <f>IF(D109="","",VLOOKUP(D109,'G-6 Hedgerow Data'!$B$2:$AG$15,3,FALSE))</f>
        <v/>
      </c>
      <c r="H109" s="105"/>
      <c r="I109" s="282" t="str">
        <f>IFERROR(IF(AND(D109&lt;&gt;"",H109=""),"Check data ⚠", IF(H109="","",IF(AND(D109="Non-native and ornamental hedgerow", H109&lt;&gt;"Poor"),"Not possible ▲", (VLOOKUP(H109,'G-1 All Habitats'!$Z$2:$AA$9,2,FALSE))))),"")</f>
        <v/>
      </c>
      <c r="J109" s="105"/>
      <c r="K109" s="289" t="str">
        <f>IF(AND(D109&lt;&gt;"",J109=""),"Check data ⚠", IF(J109="","",IF(VLOOKUP(J109,'G-3 Multipliers'!$L$3:$N$6,2,FALSE)=0,"Spatial Data Missing",VLOOKUP(J109,'G-3 Multipliers'!$L$3:$N$6,2,FALSE))))</f>
        <v/>
      </c>
      <c r="L109" s="287" t="str">
        <f>IF(J109="","",IF(VLOOKUP(J109,'G-3 Multipliers'!$L$3:$N$6,3,FALSE)=0,"Spatial Data Missing ⚠",VLOOKUP(J109,'G-3 Multipliers'!$L$3:$N$6,3,FALSE)))</f>
        <v/>
      </c>
      <c r="M109" s="288" t="str">
        <f>IF(D109="","",VLOOKUP(D109,'G-6 Hedgerow Data'!$B$1:$AH$15,33,FALSE))</f>
        <v/>
      </c>
      <c r="N109" s="295" t="str">
        <f t="shared" si="9"/>
        <v/>
      </c>
      <c r="O109" s="32"/>
      <c r="P109" s="109"/>
      <c r="Q109" s="142"/>
      <c r="R109" s="312" t="str">
        <f t="shared" si="10"/>
        <v/>
      </c>
      <c r="S109" s="312" t="str">
        <f t="shared" si="11"/>
        <v/>
      </c>
      <c r="T109" s="312" t="str">
        <f t="shared" si="12"/>
        <v/>
      </c>
      <c r="U109" s="333" t="str">
        <f t="shared" si="13"/>
        <v/>
      </c>
      <c r="V109" s="109"/>
      <c r="W109" s="108"/>
      <c r="X109" s="108"/>
      <c r="AE109" s="111" t="str">
        <f t="shared" si="7"/>
        <v/>
      </c>
      <c r="AF109" s="111" t="str">
        <f t="shared" si="8"/>
        <v/>
      </c>
      <c r="AH109" s="111">
        <v>100</v>
      </c>
      <c r="AJ109" s="111" t="str">
        <f t="array" ref="AJ109">IFERROR(INDEX($AH$10:$AH$258, MATCH(0, IF(TRUE=$AE$10:$AE$258, COUNTIF($AJ$9:$AJ108, $AH$10:$AH$258), ""), 0)),"")</f>
        <v/>
      </c>
      <c r="AK109" s="111" t="str">
        <f t="array" ref="AK109">IFERROR(INDEX($AH$10:$AH$258, MATCH(0, IF(TRUE=$AF$10:$AF$258, COUNTIF($AK$9:$AK108, $AH$10:$AH$258), ""), 0)),"")</f>
        <v/>
      </c>
      <c r="AL109" s="30" t="str">
        <f>IFERROR(INDEX('G-6 Hedgerow Data'!$BJ$3:$BJ$15,MATCH(D109,'G-6 Hedgerow Data'!$B$3:$B$15,0)),"")</f>
        <v/>
      </c>
    </row>
    <row r="110" spans="2:38" x14ac:dyDescent="0.25">
      <c r="B110" s="101">
        <v>101</v>
      </c>
      <c r="C110" s="142"/>
      <c r="D110" s="142"/>
      <c r="E110" s="108"/>
      <c r="F110" s="329" t="str">
        <f>IF(D110="","",VLOOKUP(D110,'G-6 Hedgerow Data'!$B$2:$AG$15,2,FALSE))</f>
        <v/>
      </c>
      <c r="G110" s="282" t="str">
        <f>IF(D110="","",VLOOKUP(D110,'G-6 Hedgerow Data'!$B$2:$AG$15,3,FALSE))</f>
        <v/>
      </c>
      <c r="H110" s="105"/>
      <c r="I110" s="282" t="str">
        <f>IFERROR(IF(AND(D110&lt;&gt;"",H110=""),"Check data ⚠", IF(H110="","",IF(AND(D110="Non-native and ornamental hedgerow", H110&lt;&gt;"Poor"),"Not possible ▲", (VLOOKUP(H110,'G-1 All Habitats'!$Z$2:$AA$9,2,FALSE))))),"")</f>
        <v/>
      </c>
      <c r="J110" s="105"/>
      <c r="K110" s="289" t="str">
        <f>IF(AND(D110&lt;&gt;"",J110=""),"Check data ⚠", IF(J110="","",IF(VLOOKUP(J110,'G-3 Multipliers'!$L$3:$N$6,2,FALSE)=0,"Spatial Data Missing",VLOOKUP(J110,'G-3 Multipliers'!$L$3:$N$6,2,FALSE))))</f>
        <v/>
      </c>
      <c r="L110" s="287" t="str">
        <f>IF(J110="","",IF(VLOOKUP(J110,'G-3 Multipliers'!$L$3:$N$6,3,FALSE)=0,"Spatial Data Missing ⚠",VLOOKUP(J110,'G-3 Multipliers'!$L$3:$N$6,3,FALSE)))</f>
        <v/>
      </c>
      <c r="M110" s="288" t="str">
        <f>IF(D110="","",VLOOKUP(D110,'G-6 Hedgerow Data'!$B$1:$AH$15,33,FALSE))</f>
        <v/>
      </c>
      <c r="N110" s="295" t="str">
        <f t="shared" si="9"/>
        <v/>
      </c>
      <c r="O110" s="32"/>
      <c r="P110" s="109"/>
      <c r="Q110" s="142"/>
      <c r="R110" s="312" t="str">
        <f t="shared" si="10"/>
        <v/>
      </c>
      <c r="S110" s="312" t="str">
        <f t="shared" si="11"/>
        <v/>
      </c>
      <c r="T110" s="312" t="str">
        <f t="shared" si="12"/>
        <v/>
      </c>
      <c r="U110" s="333" t="str">
        <f t="shared" si="13"/>
        <v/>
      </c>
      <c r="V110" s="109"/>
      <c r="W110" s="108"/>
      <c r="X110" s="108"/>
      <c r="AE110" s="111" t="str">
        <f t="shared" si="7"/>
        <v/>
      </c>
      <c r="AF110" s="111" t="str">
        <f t="shared" si="8"/>
        <v/>
      </c>
      <c r="AH110" s="111">
        <v>101</v>
      </c>
      <c r="AJ110" s="111" t="str">
        <f t="array" ref="AJ110">IFERROR(INDEX($AH$10:$AH$258, MATCH(0, IF(TRUE=$AE$10:$AE$258, COUNTIF($AJ$9:$AJ109, $AH$10:$AH$258), ""), 0)),"")</f>
        <v/>
      </c>
      <c r="AK110" s="111" t="str">
        <f t="array" ref="AK110">IFERROR(INDEX($AH$10:$AH$258, MATCH(0, IF(TRUE=$AF$10:$AF$258, COUNTIF($AK$9:$AK109, $AH$10:$AH$258), ""), 0)),"")</f>
        <v/>
      </c>
      <c r="AL110" s="30" t="str">
        <f>IFERROR(INDEX('G-6 Hedgerow Data'!$BJ$3:$BJ$15,MATCH(D110,'G-6 Hedgerow Data'!$B$3:$B$15,0)),"")</f>
        <v/>
      </c>
    </row>
    <row r="111" spans="2:38" x14ac:dyDescent="0.25">
      <c r="B111" s="101">
        <v>102</v>
      </c>
      <c r="C111" s="142"/>
      <c r="D111" s="142"/>
      <c r="E111" s="108"/>
      <c r="F111" s="329" t="str">
        <f>IF(D111="","",VLOOKUP(D111,'G-6 Hedgerow Data'!$B$2:$AG$15,2,FALSE))</f>
        <v/>
      </c>
      <c r="G111" s="282" t="str">
        <f>IF(D111="","",VLOOKUP(D111,'G-6 Hedgerow Data'!$B$2:$AG$15,3,FALSE))</f>
        <v/>
      </c>
      <c r="H111" s="105"/>
      <c r="I111" s="282" t="str">
        <f>IFERROR(IF(AND(D111&lt;&gt;"",H111=""),"Check data ⚠", IF(H111="","",IF(AND(D111="Non-native and ornamental hedgerow", H111&lt;&gt;"Poor"),"Not possible ▲", (VLOOKUP(H111,'G-1 All Habitats'!$Z$2:$AA$9,2,FALSE))))),"")</f>
        <v/>
      </c>
      <c r="J111" s="105"/>
      <c r="K111" s="289" t="str">
        <f>IF(AND(D111&lt;&gt;"",J111=""),"Check data ⚠", IF(J111="","",IF(VLOOKUP(J111,'G-3 Multipliers'!$L$3:$N$6,2,FALSE)=0,"Spatial Data Missing",VLOOKUP(J111,'G-3 Multipliers'!$L$3:$N$6,2,FALSE))))</f>
        <v/>
      </c>
      <c r="L111" s="287" t="str">
        <f>IF(J111="","",IF(VLOOKUP(J111,'G-3 Multipliers'!$L$3:$N$6,3,FALSE)=0,"Spatial Data Missing ⚠",VLOOKUP(J111,'G-3 Multipliers'!$L$3:$N$6,3,FALSE)))</f>
        <v/>
      </c>
      <c r="M111" s="288" t="str">
        <f>IF(D111="","",VLOOKUP(D111,'G-6 Hedgerow Data'!$B$1:$AH$15,33,FALSE))</f>
        <v/>
      </c>
      <c r="N111" s="295" t="str">
        <f t="shared" si="9"/>
        <v/>
      </c>
      <c r="O111" s="32"/>
      <c r="P111" s="109"/>
      <c r="Q111" s="142"/>
      <c r="R111" s="312" t="str">
        <f t="shared" si="10"/>
        <v/>
      </c>
      <c r="S111" s="312" t="str">
        <f t="shared" si="11"/>
        <v/>
      </c>
      <c r="T111" s="312" t="str">
        <f t="shared" si="12"/>
        <v/>
      </c>
      <c r="U111" s="333" t="str">
        <f t="shared" si="13"/>
        <v/>
      </c>
      <c r="V111" s="109"/>
      <c r="W111" s="108"/>
      <c r="X111" s="108"/>
      <c r="AE111" s="111" t="str">
        <f t="shared" si="7"/>
        <v/>
      </c>
      <c r="AF111" s="111" t="str">
        <f t="shared" si="8"/>
        <v/>
      </c>
      <c r="AH111" s="111">
        <v>102</v>
      </c>
      <c r="AJ111" s="111" t="str">
        <f t="array" ref="AJ111">IFERROR(INDEX($AH$10:$AH$258, MATCH(0, IF(TRUE=$AE$10:$AE$258, COUNTIF($AJ$9:$AJ110, $AH$10:$AH$258), ""), 0)),"")</f>
        <v/>
      </c>
      <c r="AK111" s="111" t="str">
        <f t="array" ref="AK111">IFERROR(INDEX($AH$10:$AH$258, MATCH(0, IF(TRUE=$AF$10:$AF$258, COUNTIF($AK$9:$AK110, $AH$10:$AH$258), ""), 0)),"")</f>
        <v/>
      </c>
      <c r="AL111" s="30" t="str">
        <f>IFERROR(INDEX('G-6 Hedgerow Data'!$BJ$3:$BJ$15,MATCH(D111,'G-6 Hedgerow Data'!$B$3:$B$15,0)),"")</f>
        <v/>
      </c>
    </row>
    <row r="112" spans="2:38" x14ac:dyDescent="0.25">
      <c r="B112" s="101">
        <v>103</v>
      </c>
      <c r="C112" s="142"/>
      <c r="D112" s="142"/>
      <c r="E112" s="108"/>
      <c r="F112" s="329" t="str">
        <f>IF(D112="","",VLOOKUP(D112,'G-6 Hedgerow Data'!$B$2:$AG$15,2,FALSE))</f>
        <v/>
      </c>
      <c r="G112" s="282" t="str">
        <f>IF(D112="","",VLOOKUP(D112,'G-6 Hedgerow Data'!$B$2:$AG$15,3,FALSE))</f>
        <v/>
      </c>
      <c r="H112" s="105"/>
      <c r="I112" s="282" t="str">
        <f>IFERROR(IF(AND(D112&lt;&gt;"",H112=""),"Check data ⚠", IF(H112="","",IF(AND(D112="Non-native and ornamental hedgerow", H112&lt;&gt;"Poor"),"Not possible ▲", (VLOOKUP(H112,'G-1 All Habitats'!$Z$2:$AA$9,2,FALSE))))),"")</f>
        <v/>
      </c>
      <c r="J112" s="105"/>
      <c r="K112" s="289" t="str">
        <f>IF(AND(D112&lt;&gt;"",J112=""),"Check data ⚠", IF(J112="","",IF(VLOOKUP(J112,'G-3 Multipliers'!$L$3:$N$6,2,FALSE)=0,"Spatial Data Missing",VLOOKUP(J112,'G-3 Multipliers'!$L$3:$N$6,2,FALSE))))</f>
        <v/>
      </c>
      <c r="L112" s="287" t="str">
        <f>IF(J112="","",IF(VLOOKUP(J112,'G-3 Multipliers'!$L$3:$N$6,3,FALSE)=0,"Spatial Data Missing ⚠",VLOOKUP(J112,'G-3 Multipliers'!$L$3:$N$6,3,FALSE)))</f>
        <v/>
      </c>
      <c r="M112" s="288" t="str">
        <f>IF(D112="","",VLOOKUP(D112,'G-6 Hedgerow Data'!$B$1:$AH$15,33,FALSE))</f>
        <v/>
      </c>
      <c r="N112" s="295" t="str">
        <f t="shared" si="9"/>
        <v/>
      </c>
      <c r="O112" s="32"/>
      <c r="P112" s="109"/>
      <c r="Q112" s="142"/>
      <c r="R112" s="312" t="str">
        <f t="shared" si="10"/>
        <v/>
      </c>
      <c r="S112" s="312" t="str">
        <f t="shared" si="11"/>
        <v/>
      </c>
      <c r="T112" s="312" t="str">
        <f t="shared" si="12"/>
        <v/>
      </c>
      <c r="U112" s="333" t="str">
        <f t="shared" si="13"/>
        <v/>
      </c>
      <c r="V112" s="109"/>
      <c r="W112" s="108"/>
      <c r="X112" s="108"/>
      <c r="AE112" s="111" t="str">
        <f t="shared" si="7"/>
        <v/>
      </c>
      <c r="AF112" s="111" t="str">
        <f t="shared" si="8"/>
        <v/>
      </c>
      <c r="AH112" s="111">
        <v>103</v>
      </c>
      <c r="AJ112" s="111" t="str">
        <f t="array" ref="AJ112">IFERROR(INDEX($AH$10:$AH$258, MATCH(0, IF(TRUE=$AE$10:$AE$258, COUNTIF($AJ$9:$AJ111, $AH$10:$AH$258), ""), 0)),"")</f>
        <v/>
      </c>
      <c r="AK112" s="111" t="str">
        <f t="array" ref="AK112">IFERROR(INDEX($AH$10:$AH$258, MATCH(0, IF(TRUE=$AF$10:$AF$258, COUNTIF($AK$9:$AK111, $AH$10:$AH$258), ""), 0)),"")</f>
        <v/>
      </c>
      <c r="AL112" s="30" t="str">
        <f>IFERROR(INDEX('G-6 Hedgerow Data'!$BJ$3:$BJ$15,MATCH(D112,'G-6 Hedgerow Data'!$B$3:$B$15,0)),"")</f>
        <v/>
      </c>
    </row>
    <row r="113" spans="2:38" x14ac:dyDescent="0.25">
      <c r="B113" s="101">
        <v>104</v>
      </c>
      <c r="C113" s="142"/>
      <c r="D113" s="142"/>
      <c r="E113" s="108"/>
      <c r="F113" s="329" t="str">
        <f>IF(D113="","",VLOOKUP(D113,'G-6 Hedgerow Data'!$B$2:$AG$15,2,FALSE))</f>
        <v/>
      </c>
      <c r="G113" s="282" t="str">
        <f>IF(D113="","",VLOOKUP(D113,'G-6 Hedgerow Data'!$B$2:$AG$15,3,FALSE))</f>
        <v/>
      </c>
      <c r="H113" s="105"/>
      <c r="I113" s="282" t="str">
        <f>IFERROR(IF(AND(D113&lt;&gt;"",H113=""),"Check data ⚠", IF(H113="","",IF(AND(D113="Non-native and ornamental hedgerow", H113&lt;&gt;"Poor"),"Not possible ▲", (VLOOKUP(H113,'G-1 All Habitats'!$Z$2:$AA$9,2,FALSE))))),"")</f>
        <v/>
      </c>
      <c r="J113" s="105"/>
      <c r="K113" s="289" t="str">
        <f>IF(AND(D113&lt;&gt;"",J113=""),"Check data ⚠", IF(J113="","",IF(VLOOKUP(J113,'G-3 Multipliers'!$L$3:$N$6,2,FALSE)=0,"Spatial Data Missing",VLOOKUP(J113,'G-3 Multipliers'!$L$3:$N$6,2,FALSE))))</f>
        <v/>
      </c>
      <c r="L113" s="287" t="str">
        <f>IF(J113="","",IF(VLOOKUP(J113,'G-3 Multipliers'!$L$3:$N$6,3,FALSE)=0,"Spatial Data Missing ⚠",VLOOKUP(J113,'G-3 Multipliers'!$L$3:$N$6,3,FALSE)))</f>
        <v/>
      </c>
      <c r="M113" s="288" t="str">
        <f>IF(D113="","",VLOOKUP(D113,'G-6 Hedgerow Data'!$B$1:$AH$15,33,FALSE))</f>
        <v/>
      </c>
      <c r="N113" s="295" t="str">
        <f t="shared" si="9"/>
        <v/>
      </c>
      <c r="O113" s="32"/>
      <c r="P113" s="109"/>
      <c r="Q113" s="142"/>
      <c r="R113" s="312" t="str">
        <f t="shared" si="10"/>
        <v/>
      </c>
      <c r="S113" s="312" t="str">
        <f t="shared" si="11"/>
        <v/>
      </c>
      <c r="T113" s="312" t="str">
        <f t="shared" si="12"/>
        <v/>
      </c>
      <c r="U113" s="333" t="str">
        <f t="shared" si="13"/>
        <v/>
      </c>
      <c r="V113" s="109"/>
      <c r="W113" s="108"/>
      <c r="X113" s="108"/>
      <c r="AE113" s="111" t="str">
        <f t="shared" si="7"/>
        <v/>
      </c>
      <c r="AF113" s="111" t="str">
        <f t="shared" si="8"/>
        <v/>
      </c>
      <c r="AH113" s="111">
        <v>104</v>
      </c>
      <c r="AJ113" s="111" t="str">
        <f t="array" ref="AJ113">IFERROR(INDEX($AH$10:$AH$258, MATCH(0, IF(TRUE=$AE$10:$AE$258, COUNTIF($AJ$9:$AJ112, $AH$10:$AH$258), ""), 0)),"")</f>
        <v/>
      </c>
      <c r="AK113" s="111" t="str">
        <f t="array" ref="AK113">IFERROR(INDEX($AH$10:$AH$258, MATCH(0, IF(TRUE=$AF$10:$AF$258, COUNTIF($AK$9:$AK112, $AH$10:$AH$258), ""), 0)),"")</f>
        <v/>
      </c>
      <c r="AL113" s="30" t="str">
        <f>IFERROR(INDEX('G-6 Hedgerow Data'!$BJ$3:$BJ$15,MATCH(D113,'G-6 Hedgerow Data'!$B$3:$B$15,0)),"")</f>
        <v/>
      </c>
    </row>
    <row r="114" spans="2:38" x14ac:dyDescent="0.25">
      <c r="B114" s="101">
        <v>105</v>
      </c>
      <c r="C114" s="142"/>
      <c r="D114" s="142"/>
      <c r="E114" s="108"/>
      <c r="F114" s="329" t="str">
        <f>IF(D114="","",VLOOKUP(D114,'G-6 Hedgerow Data'!$B$2:$AG$15,2,FALSE))</f>
        <v/>
      </c>
      <c r="G114" s="282" t="str">
        <f>IF(D114="","",VLOOKUP(D114,'G-6 Hedgerow Data'!$B$2:$AG$15,3,FALSE))</f>
        <v/>
      </c>
      <c r="H114" s="105"/>
      <c r="I114" s="282" t="str">
        <f>IFERROR(IF(AND(D114&lt;&gt;"",H114=""),"Check data ⚠", IF(H114="","",IF(AND(D114="Non-native and ornamental hedgerow", H114&lt;&gt;"Poor"),"Not possible ▲", (VLOOKUP(H114,'G-1 All Habitats'!$Z$2:$AA$9,2,FALSE))))),"")</f>
        <v/>
      </c>
      <c r="J114" s="105"/>
      <c r="K114" s="289" t="str">
        <f>IF(AND(D114&lt;&gt;"",J114=""),"Check data ⚠", IF(J114="","",IF(VLOOKUP(J114,'G-3 Multipliers'!$L$3:$N$6,2,FALSE)=0,"Spatial Data Missing",VLOOKUP(J114,'G-3 Multipliers'!$L$3:$N$6,2,FALSE))))</f>
        <v/>
      </c>
      <c r="L114" s="287" t="str">
        <f>IF(J114="","",IF(VLOOKUP(J114,'G-3 Multipliers'!$L$3:$N$6,3,FALSE)=0,"Spatial Data Missing ⚠",VLOOKUP(J114,'G-3 Multipliers'!$L$3:$N$6,3,FALSE)))</f>
        <v/>
      </c>
      <c r="M114" s="288" t="str">
        <f>IF(D114="","",VLOOKUP(D114,'G-6 Hedgerow Data'!$B$1:$AH$15,33,FALSE))</f>
        <v/>
      </c>
      <c r="N114" s="295" t="str">
        <f t="shared" si="9"/>
        <v/>
      </c>
      <c r="O114" s="32"/>
      <c r="P114" s="109"/>
      <c r="Q114" s="142"/>
      <c r="R114" s="312" t="str">
        <f t="shared" si="10"/>
        <v/>
      </c>
      <c r="S114" s="312" t="str">
        <f t="shared" si="11"/>
        <v/>
      </c>
      <c r="T114" s="312" t="str">
        <f t="shared" si="12"/>
        <v/>
      </c>
      <c r="U114" s="333" t="str">
        <f t="shared" si="13"/>
        <v/>
      </c>
      <c r="V114" s="109"/>
      <c r="W114" s="108"/>
      <c r="X114" s="108"/>
      <c r="AE114" s="111" t="str">
        <f t="shared" si="7"/>
        <v/>
      </c>
      <c r="AF114" s="111" t="str">
        <f t="shared" si="8"/>
        <v/>
      </c>
      <c r="AH114" s="111">
        <v>105</v>
      </c>
      <c r="AJ114" s="111" t="str">
        <f t="array" ref="AJ114">IFERROR(INDEX($AH$10:$AH$258, MATCH(0, IF(TRUE=$AE$10:$AE$258, COUNTIF($AJ$9:$AJ113, $AH$10:$AH$258), ""), 0)),"")</f>
        <v/>
      </c>
      <c r="AK114" s="111" t="str">
        <f t="array" ref="AK114">IFERROR(INDEX($AH$10:$AH$258, MATCH(0, IF(TRUE=$AF$10:$AF$258, COUNTIF($AK$9:$AK113, $AH$10:$AH$258), ""), 0)),"")</f>
        <v/>
      </c>
      <c r="AL114" s="30" t="str">
        <f>IFERROR(INDEX('G-6 Hedgerow Data'!$BJ$3:$BJ$15,MATCH(D114,'G-6 Hedgerow Data'!$B$3:$B$15,0)),"")</f>
        <v/>
      </c>
    </row>
    <row r="115" spans="2:38" x14ac:dyDescent="0.25">
      <c r="B115" s="101">
        <v>106</v>
      </c>
      <c r="C115" s="142"/>
      <c r="D115" s="142"/>
      <c r="E115" s="108"/>
      <c r="F115" s="329" t="str">
        <f>IF(D115="","",VLOOKUP(D115,'G-6 Hedgerow Data'!$B$2:$AG$15,2,FALSE))</f>
        <v/>
      </c>
      <c r="G115" s="282" t="str">
        <f>IF(D115="","",VLOOKUP(D115,'G-6 Hedgerow Data'!$B$2:$AG$15,3,FALSE))</f>
        <v/>
      </c>
      <c r="H115" s="105"/>
      <c r="I115" s="282" t="str">
        <f>IFERROR(IF(AND(D115&lt;&gt;"",H115=""),"Check data ⚠", IF(H115="","",IF(AND(D115="Non-native and ornamental hedgerow", H115&lt;&gt;"Poor"),"Not possible ▲", (VLOOKUP(H115,'G-1 All Habitats'!$Z$2:$AA$9,2,FALSE))))),"")</f>
        <v/>
      </c>
      <c r="J115" s="105"/>
      <c r="K115" s="289" t="str">
        <f>IF(AND(D115&lt;&gt;"",J115=""),"Check data ⚠", IF(J115="","",IF(VLOOKUP(J115,'G-3 Multipliers'!$L$3:$N$6,2,FALSE)=0,"Spatial Data Missing",VLOOKUP(J115,'G-3 Multipliers'!$L$3:$N$6,2,FALSE))))</f>
        <v/>
      </c>
      <c r="L115" s="287" t="str">
        <f>IF(J115="","",IF(VLOOKUP(J115,'G-3 Multipliers'!$L$3:$N$6,3,FALSE)=0,"Spatial Data Missing ⚠",VLOOKUP(J115,'G-3 Multipliers'!$L$3:$N$6,3,FALSE)))</f>
        <v/>
      </c>
      <c r="M115" s="288" t="str">
        <f>IF(D115="","",VLOOKUP(D115,'G-6 Hedgerow Data'!$B$1:$AH$15,33,FALSE))</f>
        <v/>
      </c>
      <c r="N115" s="295" t="str">
        <f t="shared" si="9"/>
        <v/>
      </c>
      <c r="O115" s="32"/>
      <c r="P115" s="109"/>
      <c r="Q115" s="142"/>
      <c r="R115" s="312" t="str">
        <f t="shared" si="10"/>
        <v/>
      </c>
      <c r="S115" s="312" t="str">
        <f t="shared" si="11"/>
        <v/>
      </c>
      <c r="T115" s="312" t="str">
        <f t="shared" si="12"/>
        <v/>
      </c>
      <c r="U115" s="333" t="str">
        <f t="shared" si="13"/>
        <v/>
      </c>
      <c r="V115" s="109"/>
      <c r="W115" s="108"/>
      <c r="X115" s="108"/>
      <c r="AE115" s="111" t="str">
        <f t="shared" si="7"/>
        <v/>
      </c>
      <c r="AF115" s="111" t="str">
        <f t="shared" si="8"/>
        <v/>
      </c>
      <c r="AH115" s="111">
        <v>106</v>
      </c>
      <c r="AJ115" s="111" t="str">
        <f t="array" ref="AJ115">IFERROR(INDEX($AH$10:$AH$258, MATCH(0, IF(TRUE=$AE$10:$AE$258, COUNTIF($AJ$9:$AJ114, $AH$10:$AH$258), ""), 0)),"")</f>
        <v/>
      </c>
      <c r="AK115" s="111" t="str">
        <f t="array" ref="AK115">IFERROR(INDEX($AH$10:$AH$258, MATCH(0, IF(TRUE=$AF$10:$AF$258, COUNTIF($AK$9:$AK114, $AH$10:$AH$258), ""), 0)),"")</f>
        <v/>
      </c>
      <c r="AL115" s="30" t="str">
        <f>IFERROR(INDEX('G-6 Hedgerow Data'!$BJ$3:$BJ$15,MATCH(D115,'G-6 Hedgerow Data'!$B$3:$B$15,0)),"")</f>
        <v/>
      </c>
    </row>
    <row r="116" spans="2:38" x14ac:dyDescent="0.25">
      <c r="B116" s="101">
        <v>107</v>
      </c>
      <c r="C116" s="142"/>
      <c r="D116" s="142"/>
      <c r="E116" s="108"/>
      <c r="F116" s="329" t="str">
        <f>IF(D116="","",VLOOKUP(D116,'G-6 Hedgerow Data'!$B$2:$AG$15,2,FALSE))</f>
        <v/>
      </c>
      <c r="G116" s="282" t="str">
        <f>IF(D116="","",VLOOKUP(D116,'G-6 Hedgerow Data'!$B$2:$AG$15,3,FALSE))</f>
        <v/>
      </c>
      <c r="H116" s="105"/>
      <c r="I116" s="282" t="str">
        <f>IFERROR(IF(AND(D116&lt;&gt;"",H116=""),"Check data ⚠", IF(H116="","",IF(AND(D116="Non-native and ornamental hedgerow", H116&lt;&gt;"Poor"),"Not possible ▲", (VLOOKUP(H116,'G-1 All Habitats'!$Z$2:$AA$9,2,FALSE))))),"")</f>
        <v/>
      </c>
      <c r="J116" s="105"/>
      <c r="K116" s="289" t="str">
        <f>IF(AND(D116&lt;&gt;"",J116=""),"Check data ⚠", IF(J116="","",IF(VLOOKUP(J116,'G-3 Multipliers'!$L$3:$N$6,2,FALSE)=0,"Spatial Data Missing",VLOOKUP(J116,'G-3 Multipliers'!$L$3:$N$6,2,FALSE))))</f>
        <v/>
      </c>
      <c r="L116" s="287" t="str">
        <f>IF(J116="","",IF(VLOOKUP(J116,'G-3 Multipliers'!$L$3:$N$6,3,FALSE)=0,"Spatial Data Missing ⚠",VLOOKUP(J116,'G-3 Multipliers'!$L$3:$N$6,3,FALSE)))</f>
        <v/>
      </c>
      <c r="M116" s="288" t="str">
        <f>IF(D116="","",VLOOKUP(D116,'G-6 Hedgerow Data'!$B$1:$AH$15,33,FALSE))</f>
        <v/>
      </c>
      <c r="N116" s="295" t="str">
        <f t="shared" si="9"/>
        <v/>
      </c>
      <c r="O116" s="32"/>
      <c r="P116" s="109"/>
      <c r="Q116" s="142"/>
      <c r="R116" s="312" t="str">
        <f t="shared" si="10"/>
        <v/>
      </c>
      <c r="S116" s="312" t="str">
        <f t="shared" si="11"/>
        <v/>
      </c>
      <c r="T116" s="312" t="str">
        <f t="shared" si="12"/>
        <v/>
      </c>
      <c r="U116" s="333" t="str">
        <f t="shared" si="13"/>
        <v/>
      </c>
      <c r="V116" s="109"/>
      <c r="W116" s="108"/>
      <c r="X116" s="108"/>
      <c r="AE116" s="111" t="str">
        <f t="shared" si="7"/>
        <v/>
      </c>
      <c r="AF116" s="111" t="str">
        <f t="shared" si="8"/>
        <v/>
      </c>
      <c r="AH116" s="111">
        <v>107</v>
      </c>
      <c r="AJ116" s="111" t="str">
        <f t="array" ref="AJ116">IFERROR(INDEX($AH$10:$AH$258, MATCH(0, IF(TRUE=$AE$10:$AE$258, COUNTIF($AJ$9:$AJ115, $AH$10:$AH$258), ""), 0)),"")</f>
        <v/>
      </c>
      <c r="AK116" s="111" t="str">
        <f t="array" ref="AK116">IFERROR(INDEX($AH$10:$AH$258, MATCH(0, IF(TRUE=$AF$10:$AF$258, COUNTIF($AK$9:$AK115, $AH$10:$AH$258), ""), 0)),"")</f>
        <v/>
      </c>
      <c r="AL116" s="30" t="str">
        <f>IFERROR(INDEX('G-6 Hedgerow Data'!$BJ$3:$BJ$15,MATCH(D116,'G-6 Hedgerow Data'!$B$3:$B$15,0)),"")</f>
        <v/>
      </c>
    </row>
    <row r="117" spans="2:38" x14ac:dyDescent="0.25">
      <c r="B117" s="101">
        <v>108</v>
      </c>
      <c r="C117" s="142"/>
      <c r="D117" s="142"/>
      <c r="E117" s="108"/>
      <c r="F117" s="329" t="str">
        <f>IF(D117="","",VLOOKUP(D117,'G-6 Hedgerow Data'!$B$2:$AG$15,2,FALSE))</f>
        <v/>
      </c>
      <c r="G117" s="282" t="str">
        <f>IF(D117="","",VLOOKUP(D117,'G-6 Hedgerow Data'!$B$2:$AG$15,3,FALSE))</f>
        <v/>
      </c>
      <c r="H117" s="105"/>
      <c r="I117" s="282" t="str">
        <f>IFERROR(IF(AND(D117&lt;&gt;"",H117=""),"Check data ⚠", IF(H117="","",IF(AND(D117="Non-native and ornamental hedgerow", H117&lt;&gt;"Poor"),"Not possible ▲", (VLOOKUP(H117,'G-1 All Habitats'!$Z$2:$AA$9,2,FALSE))))),"")</f>
        <v/>
      </c>
      <c r="J117" s="105"/>
      <c r="K117" s="289" t="str">
        <f>IF(AND(D117&lt;&gt;"",J117=""),"Check data ⚠", IF(J117="","",IF(VLOOKUP(J117,'G-3 Multipliers'!$L$3:$N$6,2,FALSE)=0,"Spatial Data Missing",VLOOKUP(J117,'G-3 Multipliers'!$L$3:$N$6,2,FALSE))))</f>
        <v/>
      </c>
      <c r="L117" s="287" t="str">
        <f>IF(J117="","",IF(VLOOKUP(J117,'G-3 Multipliers'!$L$3:$N$6,3,FALSE)=0,"Spatial Data Missing ⚠",VLOOKUP(J117,'G-3 Multipliers'!$L$3:$N$6,3,FALSE)))</f>
        <v/>
      </c>
      <c r="M117" s="288" t="str">
        <f>IF(D117="","",VLOOKUP(D117,'G-6 Hedgerow Data'!$B$1:$AH$15,33,FALSE))</f>
        <v/>
      </c>
      <c r="N117" s="295" t="str">
        <f t="shared" si="9"/>
        <v/>
      </c>
      <c r="O117" s="32"/>
      <c r="P117" s="109"/>
      <c r="Q117" s="142"/>
      <c r="R117" s="312" t="str">
        <f t="shared" si="10"/>
        <v/>
      </c>
      <c r="S117" s="312" t="str">
        <f t="shared" si="11"/>
        <v/>
      </c>
      <c r="T117" s="312" t="str">
        <f t="shared" si="12"/>
        <v/>
      </c>
      <c r="U117" s="333" t="str">
        <f t="shared" si="13"/>
        <v/>
      </c>
      <c r="V117" s="109"/>
      <c r="W117" s="108"/>
      <c r="X117" s="108"/>
      <c r="AE117" s="111" t="str">
        <f t="shared" si="7"/>
        <v/>
      </c>
      <c r="AF117" s="111" t="str">
        <f t="shared" si="8"/>
        <v/>
      </c>
      <c r="AH117" s="111">
        <v>108</v>
      </c>
      <c r="AJ117" s="111" t="str">
        <f t="array" ref="AJ117">IFERROR(INDEX($AH$10:$AH$258, MATCH(0, IF(TRUE=$AE$10:$AE$258, COUNTIF($AJ$9:$AJ116, $AH$10:$AH$258), ""), 0)),"")</f>
        <v/>
      </c>
      <c r="AK117" s="111" t="str">
        <f t="array" ref="AK117">IFERROR(INDEX($AH$10:$AH$258, MATCH(0, IF(TRUE=$AF$10:$AF$258, COUNTIF($AK$9:$AK116, $AH$10:$AH$258), ""), 0)),"")</f>
        <v/>
      </c>
      <c r="AL117" s="30" t="str">
        <f>IFERROR(INDEX('G-6 Hedgerow Data'!$BJ$3:$BJ$15,MATCH(D117,'G-6 Hedgerow Data'!$B$3:$B$15,0)),"")</f>
        <v/>
      </c>
    </row>
    <row r="118" spans="2:38" x14ac:dyDescent="0.25">
      <c r="B118" s="101">
        <v>109</v>
      </c>
      <c r="C118" s="142"/>
      <c r="D118" s="142"/>
      <c r="E118" s="108"/>
      <c r="F118" s="329" t="str">
        <f>IF(D118="","",VLOOKUP(D118,'G-6 Hedgerow Data'!$B$2:$AG$15,2,FALSE))</f>
        <v/>
      </c>
      <c r="G118" s="282" t="str">
        <f>IF(D118="","",VLOOKUP(D118,'G-6 Hedgerow Data'!$B$2:$AG$15,3,FALSE))</f>
        <v/>
      </c>
      <c r="H118" s="105"/>
      <c r="I118" s="282" t="str">
        <f>IFERROR(IF(AND(D118&lt;&gt;"",H118=""),"Check data ⚠", IF(H118="","",IF(AND(D118="Non-native and ornamental hedgerow", H118&lt;&gt;"Poor"),"Not possible ▲", (VLOOKUP(H118,'G-1 All Habitats'!$Z$2:$AA$9,2,FALSE))))),"")</f>
        <v/>
      </c>
      <c r="J118" s="105"/>
      <c r="K118" s="289" t="str">
        <f>IF(AND(D118&lt;&gt;"",J118=""),"Check data ⚠", IF(J118="","",IF(VLOOKUP(J118,'G-3 Multipliers'!$L$3:$N$6,2,FALSE)=0,"Spatial Data Missing",VLOOKUP(J118,'G-3 Multipliers'!$L$3:$N$6,2,FALSE))))</f>
        <v/>
      </c>
      <c r="L118" s="287" t="str">
        <f>IF(J118="","",IF(VLOOKUP(J118,'G-3 Multipliers'!$L$3:$N$6,3,FALSE)=0,"Spatial Data Missing ⚠",VLOOKUP(J118,'G-3 Multipliers'!$L$3:$N$6,3,FALSE)))</f>
        <v/>
      </c>
      <c r="M118" s="288" t="str">
        <f>IF(D118="","",VLOOKUP(D118,'G-6 Hedgerow Data'!$B$1:$AH$15,33,FALSE))</f>
        <v/>
      </c>
      <c r="N118" s="295" t="str">
        <f t="shared" si="9"/>
        <v/>
      </c>
      <c r="O118" s="32"/>
      <c r="P118" s="109"/>
      <c r="Q118" s="142"/>
      <c r="R118" s="312" t="str">
        <f t="shared" si="10"/>
        <v/>
      </c>
      <c r="S118" s="312" t="str">
        <f t="shared" si="11"/>
        <v/>
      </c>
      <c r="T118" s="312" t="str">
        <f t="shared" si="12"/>
        <v/>
      </c>
      <c r="U118" s="333" t="str">
        <f t="shared" si="13"/>
        <v/>
      </c>
      <c r="V118" s="109"/>
      <c r="W118" s="108"/>
      <c r="X118" s="108"/>
      <c r="AE118" s="111" t="str">
        <f t="shared" si="7"/>
        <v/>
      </c>
      <c r="AF118" s="111" t="str">
        <f t="shared" si="8"/>
        <v/>
      </c>
      <c r="AH118" s="111">
        <v>109</v>
      </c>
      <c r="AJ118" s="111" t="str">
        <f t="array" ref="AJ118">IFERROR(INDEX($AH$10:$AH$258, MATCH(0, IF(TRUE=$AE$10:$AE$258, COUNTIF($AJ$9:$AJ117, $AH$10:$AH$258), ""), 0)),"")</f>
        <v/>
      </c>
      <c r="AK118" s="111" t="str">
        <f t="array" ref="AK118">IFERROR(INDEX($AH$10:$AH$258, MATCH(0, IF(TRUE=$AF$10:$AF$258, COUNTIF($AK$9:$AK117, $AH$10:$AH$258), ""), 0)),"")</f>
        <v/>
      </c>
      <c r="AL118" s="30" t="str">
        <f>IFERROR(INDEX('G-6 Hedgerow Data'!$BJ$3:$BJ$15,MATCH(D118,'G-6 Hedgerow Data'!$B$3:$B$15,0)),"")</f>
        <v/>
      </c>
    </row>
    <row r="119" spans="2:38" x14ac:dyDescent="0.25">
      <c r="B119" s="101">
        <v>110</v>
      </c>
      <c r="C119" s="142"/>
      <c r="D119" s="142"/>
      <c r="E119" s="108"/>
      <c r="F119" s="329" t="str">
        <f>IF(D119="","",VLOOKUP(D119,'G-6 Hedgerow Data'!$B$2:$AG$15,2,FALSE))</f>
        <v/>
      </c>
      <c r="G119" s="282" t="str">
        <f>IF(D119="","",VLOOKUP(D119,'G-6 Hedgerow Data'!$B$2:$AG$15,3,FALSE))</f>
        <v/>
      </c>
      <c r="H119" s="105"/>
      <c r="I119" s="282" t="str">
        <f>IFERROR(IF(AND(D119&lt;&gt;"",H119=""),"Check data ⚠", IF(H119="","",IF(AND(D119="Non-native and ornamental hedgerow", H119&lt;&gt;"Poor"),"Not possible ▲", (VLOOKUP(H119,'G-1 All Habitats'!$Z$2:$AA$9,2,FALSE))))),"")</f>
        <v/>
      </c>
      <c r="J119" s="105"/>
      <c r="K119" s="289" t="str">
        <f>IF(AND(D119&lt;&gt;"",J119=""),"Check data ⚠", IF(J119="","",IF(VLOOKUP(J119,'G-3 Multipliers'!$L$3:$N$6,2,FALSE)=0,"Spatial Data Missing",VLOOKUP(J119,'G-3 Multipliers'!$L$3:$N$6,2,FALSE))))</f>
        <v/>
      </c>
      <c r="L119" s="287" t="str">
        <f>IF(J119="","",IF(VLOOKUP(J119,'G-3 Multipliers'!$L$3:$N$6,3,FALSE)=0,"Spatial Data Missing ⚠",VLOOKUP(J119,'G-3 Multipliers'!$L$3:$N$6,3,FALSE)))</f>
        <v/>
      </c>
      <c r="M119" s="288" t="str">
        <f>IF(D119="","",VLOOKUP(D119,'G-6 Hedgerow Data'!$B$1:$AH$15,33,FALSE))</f>
        <v/>
      </c>
      <c r="N119" s="295" t="str">
        <f t="shared" si="9"/>
        <v/>
      </c>
      <c r="O119" s="32"/>
      <c r="P119" s="109"/>
      <c r="Q119" s="142"/>
      <c r="R119" s="312" t="str">
        <f t="shared" si="10"/>
        <v/>
      </c>
      <c r="S119" s="312" t="str">
        <f t="shared" si="11"/>
        <v/>
      </c>
      <c r="T119" s="312" t="str">
        <f t="shared" si="12"/>
        <v/>
      </c>
      <c r="U119" s="333" t="str">
        <f t="shared" si="13"/>
        <v/>
      </c>
      <c r="V119" s="109"/>
      <c r="W119" s="108"/>
      <c r="X119" s="108"/>
      <c r="AE119" s="111" t="str">
        <f t="shared" si="7"/>
        <v/>
      </c>
      <c r="AF119" s="111" t="str">
        <f t="shared" si="8"/>
        <v/>
      </c>
      <c r="AH119" s="111">
        <v>110</v>
      </c>
      <c r="AJ119" s="111" t="str">
        <f t="array" ref="AJ119">IFERROR(INDEX($AH$10:$AH$258, MATCH(0, IF(TRUE=$AE$10:$AE$258, COUNTIF($AJ$9:$AJ118, $AH$10:$AH$258), ""), 0)),"")</f>
        <v/>
      </c>
      <c r="AK119" s="111" t="str">
        <f t="array" ref="AK119">IFERROR(INDEX($AH$10:$AH$258, MATCH(0, IF(TRUE=$AF$10:$AF$258, COUNTIF($AK$9:$AK118, $AH$10:$AH$258), ""), 0)),"")</f>
        <v/>
      </c>
      <c r="AL119" s="30" t="str">
        <f>IFERROR(INDEX('G-6 Hedgerow Data'!$BJ$3:$BJ$15,MATCH(D119,'G-6 Hedgerow Data'!$B$3:$B$15,0)),"")</f>
        <v/>
      </c>
    </row>
    <row r="120" spans="2:38" x14ac:dyDescent="0.25">
      <c r="B120" s="101">
        <v>111</v>
      </c>
      <c r="C120" s="142"/>
      <c r="D120" s="142"/>
      <c r="E120" s="108"/>
      <c r="F120" s="329" t="str">
        <f>IF(D120="","",VLOOKUP(D120,'G-6 Hedgerow Data'!$B$2:$AG$15,2,FALSE))</f>
        <v/>
      </c>
      <c r="G120" s="282" t="str">
        <f>IF(D120="","",VLOOKUP(D120,'G-6 Hedgerow Data'!$B$2:$AG$15,3,FALSE))</f>
        <v/>
      </c>
      <c r="H120" s="105"/>
      <c r="I120" s="282" t="str">
        <f>IFERROR(IF(AND(D120&lt;&gt;"",H120=""),"Check data ⚠", IF(H120="","",IF(AND(D120="Non-native and ornamental hedgerow", H120&lt;&gt;"Poor"),"Not possible ▲", (VLOOKUP(H120,'G-1 All Habitats'!$Z$2:$AA$9,2,FALSE))))),"")</f>
        <v/>
      </c>
      <c r="J120" s="105"/>
      <c r="K120" s="289" t="str">
        <f>IF(AND(D120&lt;&gt;"",J120=""),"Check data ⚠", IF(J120="","",IF(VLOOKUP(J120,'G-3 Multipliers'!$L$3:$N$6,2,FALSE)=0,"Spatial Data Missing",VLOOKUP(J120,'G-3 Multipliers'!$L$3:$N$6,2,FALSE))))</f>
        <v/>
      </c>
      <c r="L120" s="287" t="str">
        <f>IF(J120="","",IF(VLOOKUP(J120,'G-3 Multipliers'!$L$3:$N$6,3,FALSE)=0,"Spatial Data Missing ⚠",VLOOKUP(J120,'G-3 Multipliers'!$L$3:$N$6,3,FALSE)))</f>
        <v/>
      </c>
      <c r="M120" s="288" t="str">
        <f>IF(D120="","",VLOOKUP(D120,'G-6 Hedgerow Data'!$B$1:$AH$15,33,FALSE))</f>
        <v/>
      </c>
      <c r="N120" s="295" t="str">
        <f t="shared" si="9"/>
        <v/>
      </c>
      <c r="O120" s="32"/>
      <c r="P120" s="109"/>
      <c r="Q120" s="142"/>
      <c r="R120" s="312" t="str">
        <f t="shared" si="10"/>
        <v/>
      </c>
      <c r="S120" s="312" t="str">
        <f t="shared" si="11"/>
        <v/>
      </c>
      <c r="T120" s="312" t="str">
        <f t="shared" si="12"/>
        <v/>
      </c>
      <c r="U120" s="333" t="str">
        <f t="shared" si="13"/>
        <v/>
      </c>
      <c r="V120" s="109"/>
      <c r="W120" s="108"/>
      <c r="X120" s="108"/>
      <c r="AE120" s="111" t="str">
        <f t="shared" si="7"/>
        <v/>
      </c>
      <c r="AF120" s="111" t="str">
        <f t="shared" si="8"/>
        <v/>
      </c>
      <c r="AH120" s="111">
        <v>111</v>
      </c>
      <c r="AJ120" s="111" t="str">
        <f t="array" ref="AJ120">IFERROR(INDEX($AH$10:$AH$258, MATCH(0, IF(TRUE=$AE$10:$AE$258, COUNTIF($AJ$9:$AJ119, $AH$10:$AH$258), ""), 0)),"")</f>
        <v/>
      </c>
      <c r="AK120" s="111" t="str">
        <f t="array" ref="AK120">IFERROR(INDEX($AH$10:$AH$258, MATCH(0, IF(TRUE=$AF$10:$AF$258, COUNTIF($AK$9:$AK119, $AH$10:$AH$258), ""), 0)),"")</f>
        <v/>
      </c>
      <c r="AL120" s="30" t="str">
        <f>IFERROR(INDEX('G-6 Hedgerow Data'!$BJ$3:$BJ$15,MATCH(D120,'G-6 Hedgerow Data'!$B$3:$B$15,0)),"")</f>
        <v/>
      </c>
    </row>
    <row r="121" spans="2:38" x14ac:dyDescent="0.25">
      <c r="B121" s="101">
        <v>112</v>
      </c>
      <c r="C121" s="142"/>
      <c r="D121" s="142"/>
      <c r="E121" s="108"/>
      <c r="F121" s="329" t="str">
        <f>IF(D121="","",VLOOKUP(D121,'G-6 Hedgerow Data'!$B$2:$AG$15,2,FALSE))</f>
        <v/>
      </c>
      <c r="G121" s="282" t="str">
        <f>IF(D121="","",VLOOKUP(D121,'G-6 Hedgerow Data'!$B$2:$AG$15,3,FALSE))</f>
        <v/>
      </c>
      <c r="H121" s="105"/>
      <c r="I121" s="282" t="str">
        <f>IFERROR(IF(AND(D121&lt;&gt;"",H121=""),"Check data ⚠", IF(H121="","",IF(AND(D121="Non-native and ornamental hedgerow", H121&lt;&gt;"Poor"),"Not possible ▲", (VLOOKUP(H121,'G-1 All Habitats'!$Z$2:$AA$9,2,FALSE))))),"")</f>
        <v/>
      </c>
      <c r="J121" s="105"/>
      <c r="K121" s="289" t="str">
        <f>IF(AND(D121&lt;&gt;"",J121=""),"Check data ⚠", IF(J121="","",IF(VLOOKUP(J121,'G-3 Multipliers'!$L$3:$N$6,2,FALSE)=0,"Spatial Data Missing",VLOOKUP(J121,'G-3 Multipliers'!$L$3:$N$6,2,FALSE))))</f>
        <v/>
      </c>
      <c r="L121" s="287" t="str">
        <f>IF(J121="","",IF(VLOOKUP(J121,'G-3 Multipliers'!$L$3:$N$6,3,FALSE)=0,"Spatial Data Missing ⚠",VLOOKUP(J121,'G-3 Multipliers'!$L$3:$N$6,3,FALSE)))</f>
        <v/>
      </c>
      <c r="M121" s="288" t="str">
        <f>IF(D121="","",VLOOKUP(D121,'G-6 Hedgerow Data'!$B$1:$AH$15,33,FALSE))</f>
        <v/>
      </c>
      <c r="N121" s="295" t="str">
        <f t="shared" si="9"/>
        <v/>
      </c>
      <c r="O121" s="32"/>
      <c r="P121" s="109"/>
      <c r="Q121" s="142"/>
      <c r="R121" s="312" t="str">
        <f t="shared" si="10"/>
        <v/>
      </c>
      <c r="S121" s="312" t="str">
        <f t="shared" si="11"/>
        <v/>
      </c>
      <c r="T121" s="312" t="str">
        <f t="shared" si="12"/>
        <v/>
      </c>
      <c r="U121" s="333" t="str">
        <f t="shared" si="13"/>
        <v/>
      </c>
      <c r="V121" s="109"/>
      <c r="W121" s="108"/>
      <c r="X121" s="108"/>
      <c r="AE121" s="111" t="str">
        <f t="shared" si="7"/>
        <v/>
      </c>
      <c r="AF121" s="111" t="str">
        <f t="shared" si="8"/>
        <v/>
      </c>
      <c r="AH121" s="111">
        <v>112</v>
      </c>
      <c r="AJ121" s="111" t="str">
        <f t="array" ref="AJ121">IFERROR(INDEX($AH$10:$AH$258, MATCH(0, IF(TRUE=$AE$10:$AE$258, COUNTIF($AJ$9:$AJ120, $AH$10:$AH$258), ""), 0)),"")</f>
        <v/>
      </c>
      <c r="AK121" s="111" t="str">
        <f t="array" ref="AK121">IFERROR(INDEX($AH$10:$AH$258, MATCH(0, IF(TRUE=$AF$10:$AF$258, COUNTIF($AK$9:$AK120, $AH$10:$AH$258), ""), 0)),"")</f>
        <v/>
      </c>
      <c r="AL121" s="30" t="str">
        <f>IFERROR(INDEX('G-6 Hedgerow Data'!$BJ$3:$BJ$15,MATCH(D121,'G-6 Hedgerow Data'!$B$3:$B$15,0)),"")</f>
        <v/>
      </c>
    </row>
    <row r="122" spans="2:38" x14ac:dyDescent="0.25">
      <c r="B122" s="101">
        <v>113</v>
      </c>
      <c r="C122" s="142"/>
      <c r="D122" s="142"/>
      <c r="E122" s="108"/>
      <c r="F122" s="329" t="str">
        <f>IF(D122="","",VLOOKUP(D122,'G-6 Hedgerow Data'!$B$2:$AG$15,2,FALSE))</f>
        <v/>
      </c>
      <c r="G122" s="282" t="str">
        <f>IF(D122="","",VLOOKUP(D122,'G-6 Hedgerow Data'!$B$2:$AG$15,3,FALSE))</f>
        <v/>
      </c>
      <c r="H122" s="105"/>
      <c r="I122" s="282" t="str">
        <f>IFERROR(IF(AND(D122&lt;&gt;"",H122=""),"Check data ⚠", IF(H122="","",IF(AND(D122="Non-native and ornamental hedgerow", H122&lt;&gt;"Poor"),"Not possible ▲", (VLOOKUP(H122,'G-1 All Habitats'!$Z$2:$AA$9,2,FALSE))))),"")</f>
        <v/>
      </c>
      <c r="J122" s="105"/>
      <c r="K122" s="289" t="str">
        <f>IF(AND(D122&lt;&gt;"",J122=""),"Check data ⚠", IF(J122="","",IF(VLOOKUP(J122,'G-3 Multipliers'!$L$3:$N$6,2,FALSE)=0,"Spatial Data Missing",VLOOKUP(J122,'G-3 Multipliers'!$L$3:$N$6,2,FALSE))))</f>
        <v/>
      </c>
      <c r="L122" s="287" t="str">
        <f>IF(J122="","",IF(VLOOKUP(J122,'G-3 Multipliers'!$L$3:$N$6,3,FALSE)=0,"Spatial Data Missing ⚠",VLOOKUP(J122,'G-3 Multipliers'!$L$3:$N$6,3,FALSE)))</f>
        <v/>
      </c>
      <c r="M122" s="288" t="str">
        <f>IF(D122="","",VLOOKUP(D122,'G-6 Hedgerow Data'!$B$1:$AH$15,33,FALSE))</f>
        <v/>
      </c>
      <c r="N122" s="295" t="str">
        <f t="shared" si="9"/>
        <v/>
      </c>
      <c r="O122" s="32"/>
      <c r="P122" s="109"/>
      <c r="Q122" s="142"/>
      <c r="R122" s="312" t="str">
        <f t="shared" si="10"/>
        <v/>
      </c>
      <c r="S122" s="312" t="str">
        <f t="shared" si="11"/>
        <v/>
      </c>
      <c r="T122" s="312" t="str">
        <f t="shared" si="12"/>
        <v/>
      </c>
      <c r="U122" s="333" t="str">
        <f t="shared" si="13"/>
        <v/>
      </c>
      <c r="V122" s="109"/>
      <c r="W122" s="108"/>
      <c r="X122" s="108"/>
      <c r="AE122" s="111" t="str">
        <f t="shared" si="7"/>
        <v/>
      </c>
      <c r="AF122" s="111" t="str">
        <f t="shared" si="8"/>
        <v/>
      </c>
      <c r="AH122" s="111">
        <v>113</v>
      </c>
      <c r="AJ122" s="111" t="str">
        <f t="array" ref="AJ122">IFERROR(INDEX($AH$10:$AH$258, MATCH(0, IF(TRUE=$AE$10:$AE$258, COUNTIF($AJ$9:$AJ121, $AH$10:$AH$258), ""), 0)),"")</f>
        <v/>
      </c>
      <c r="AK122" s="111" t="str">
        <f t="array" ref="AK122">IFERROR(INDEX($AH$10:$AH$258, MATCH(0, IF(TRUE=$AF$10:$AF$258, COUNTIF($AK$9:$AK121, $AH$10:$AH$258), ""), 0)),"")</f>
        <v/>
      </c>
      <c r="AL122" s="30" t="str">
        <f>IFERROR(INDEX('G-6 Hedgerow Data'!$BJ$3:$BJ$15,MATCH(D122,'G-6 Hedgerow Data'!$B$3:$B$15,0)),"")</f>
        <v/>
      </c>
    </row>
    <row r="123" spans="2:38" x14ac:dyDescent="0.25">
      <c r="B123" s="101">
        <v>114</v>
      </c>
      <c r="C123" s="142"/>
      <c r="D123" s="142"/>
      <c r="E123" s="108"/>
      <c r="F123" s="329" t="str">
        <f>IF(D123="","",VLOOKUP(D123,'G-6 Hedgerow Data'!$B$2:$AG$15,2,FALSE))</f>
        <v/>
      </c>
      <c r="G123" s="282" t="str">
        <f>IF(D123="","",VLOOKUP(D123,'G-6 Hedgerow Data'!$B$2:$AG$15,3,FALSE))</f>
        <v/>
      </c>
      <c r="H123" s="105"/>
      <c r="I123" s="282" t="str">
        <f>IFERROR(IF(AND(D123&lt;&gt;"",H123=""),"Check data ⚠", IF(H123="","",IF(AND(D123="Non-native and ornamental hedgerow", H123&lt;&gt;"Poor"),"Not possible ▲", (VLOOKUP(H123,'G-1 All Habitats'!$Z$2:$AA$9,2,FALSE))))),"")</f>
        <v/>
      </c>
      <c r="J123" s="105"/>
      <c r="K123" s="289" t="str">
        <f>IF(AND(D123&lt;&gt;"",J123=""),"Check data ⚠", IF(J123="","",IF(VLOOKUP(J123,'G-3 Multipliers'!$L$3:$N$6,2,FALSE)=0,"Spatial Data Missing",VLOOKUP(J123,'G-3 Multipliers'!$L$3:$N$6,2,FALSE))))</f>
        <v/>
      </c>
      <c r="L123" s="287" t="str">
        <f>IF(J123="","",IF(VLOOKUP(J123,'G-3 Multipliers'!$L$3:$N$6,3,FALSE)=0,"Spatial Data Missing ⚠",VLOOKUP(J123,'G-3 Multipliers'!$L$3:$N$6,3,FALSE)))</f>
        <v/>
      </c>
      <c r="M123" s="288" t="str">
        <f>IF(D123="","",VLOOKUP(D123,'G-6 Hedgerow Data'!$B$1:$AH$15,33,FALSE))</f>
        <v/>
      </c>
      <c r="N123" s="295" t="str">
        <f t="shared" si="9"/>
        <v/>
      </c>
      <c r="O123" s="32"/>
      <c r="P123" s="109"/>
      <c r="Q123" s="142"/>
      <c r="R123" s="312" t="str">
        <f t="shared" si="10"/>
        <v/>
      </c>
      <c r="S123" s="312" t="str">
        <f t="shared" si="11"/>
        <v/>
      </c>
      <c r="T123" s="312" t="str">
        <f t="shared" si="12"/>
        <v/>
      </c>
      <c r="U123" s="333" t="str">
        <f t="shared" si="13"/>
        <v/>
      </c>
      <c r="V123" s="109"/>
      <c r="W123" s="108"/>
      <c r="X123" s="108"/>
      <c r="AE123" s="111" t="str">
        <f t="shared" si="7"/>
        <v/>
      </c>
      <c r="AF123" s="111" t="str">
        <f t="shared" si="8"/>
        <v/>
      </c>
      <c r="AH123" s="111">
        <v>114</v>
      </c>
      <c r="AJ123" s="111" t="str">
        <f t="array" ref="AJ123">IFERROR(INDEX($AH$10:$AH$258, MATCH(0, IF(TRUE=$AE$10:$AE$258, COUNTIF($AJ$9:$AJ122, $AH$10:$AH$258), ""), 0)),"")</f>
        <v/>
      </c>
      <c r="AK123" s="111" t="str">
        <f t="array" ref="AK123">IFERROR(INDEX($AH$10:$AH$258, MATCH(0, IF(TRUE=$AF$10:$AF$258, COUNTIF($AK$9:$AK122, $AH$10:$AH$258), ""), 0)),"")</f>
        <v/>
      </c>
      <c r="AL123" s="30" t="str">
        <f>IFERROR(INDEX('G-6 Hedgerow Data'!$BJ$3:$BJ$15,MATCH(D123,'G-6 Hedgerow Data'!$B$3:$B$15,0)),"")</f>
        <v/>
      </c>
    </row>
    <row r="124" spans="2:38" x14ac:dyDescent="0.25">
      <c r="B124" s="101">
        <v>115</v>
      </c>
      <c r="C124" s="142"/>
      <c r="D124" s="142"/>
      <c r="E124" s="108"/>
      <c r="F124" s="329" t="str">
        <f>IF(D124="","",VLOOKUP(D124,'G-6 Hedgerow Data'!$B$2:$AG$15,2,FALSE))</f>
        <v/>
      </c>
      <c r="G124" s="282" t="str">
        <f>IF(D124="","",VLOOKUP(D124,'G-6 Hedgerow Data'!$B$2:$AG$15,3,FALSE))</f>
        <v/>
      </c>
      <c r="H124" s="105"/>
      <c r="I124" s="282" t="str">
        <f>IFERROR(IF(AND(D124&lt;&gt;"",H124=""),"Check data ⚠", IF(H124="","",IF(AND(D124="Non-native and ornamental hedgerow", H124&lt;&gt;"Poor"),"Not possible ▲", (VLOOKUP(H124,'G-1 All Habitats'!$Z$2:$AA$9,2,FALSE))))),"")</f>
        <v/>
      </c>
      <c r="J124" s="105"/>
      <c r="K124" s="289" t="str">
        <f>IF(AND(D124&lt;&gt;"",J124=""),"Check data ⚠", IF(J124="","",IF(VLOOKUP(J124,'G-3 Multipliers'!$L$3:$N$6,2,FALSE)=0,"Spatial Data Missing",VLOOKUP(J124,'G-3 Multipliers'!$L$3:$N$6,2,FALSE))))</f>
        <v/>
      </c>
      <c r="L124" s="287" t="str">
        <f>IF(J124="","",IF(VLOOKUP(J124,'G-3 Multipliers'!$L$3:$N$6,3,FALSE)=0,"Spatial Data Missing ⚠",VLOOKUP(J124,'G-3 Multipliers'!$L$3:$N$6,3,FALSE)))</f>
        <v/>
      </c>
      <c r="M124" s="288" t="str">
        <f>IF(D124="","",VLOOKUP(D124,'G-6 Hedgerow Data'!$B$1:$AH$15,33,FALSE))</f>
        <v/>
      </c>
      <c r="N124" s="295" t="str">
        <f t="shared" si="9"/>
        <v/>
      </c>
      <c r="O124" s="32"/>
      <c r="P124" s="109"/>
      <c r="Q124" s="142"/>
      <c r="R124" s="312" t="str">
        <f t="shared" si="10"/>
        <v/>
      </c>
      <c r="S124" s="312" t="str">
        <f t="shared" si="11"/>
        <v/>
      </c>
      <c r="T124" s="312" t="str">
        <f t="shared" si="12"/>
        <v/>
      </c>
      <c r="U124" s="333" t="str">
        <f t="shared" si="13"/>
        <v/>
      </c>
      <c r="V124" s="109"/>
      <c r="W124" s="108"/>
      <c r="X124" s="108"/>
      <c r="AE124" s="111" t="str">
        <f t="shared" si="7"/>
        <v/>
      </c>
      <c r="AF124" s="111" t="str">
        <f t="shared" si="8"/>
        <v/>
      </c>
      <c r="AH124" s="111">
        <v>115</v>
      </c>
      <c r="AJ124" s="111" t="str">
        <f t="array" ref="AJ124">IFERROR(INDEX($AH$10:$AH$258, MATCH(0, IF(TRUE=$AE$10:$AE$258, COUNTIF($AJ$9:$AJ123, $AH$10:$AH$258), ""), 0)),"")</f>
        <v/>
      </c>
      <c r="AK124" s="111" t="str">
        <f t="array" ref="AK124">IFERROR(INDEX($AH$10:$AH$258, MATCH(0, IF(TRUE=$AF$10:$AF$258, COUNTIF($AK$9:$AK123, $AH$10:$AH$258), ""), 0)),"")</f>
        <v/>
      </c>
      <c r="AL124" s="30" t="str">
        <f>IFERROR(INDEX('G-6 Hedgerow Data'!$BJ$3:$BJ$15,MATCH(D124,'G-6 Hedgerow Data'!$B$3:$B$15,0)),"")</f>
        <v/>
      </c>
    </row>
    <row r="125" spans="2:38" x14ac:dyDescent="0.25">
      <c r="B125" s="101">
        <v>116</v>
      </c>
      <c r="C125" s="142"/>
      <c r="D125" s="142"/>
      <c r="E125" s="108"/>
      <c r="F125" s="329" t="str">
        <f>IF(D125="","",VLOOKUP(D125,'G-6 Hedgerow Data'!$B$2:$AG$15,2,FALSE))</f>
        <v/>
      </c>
      <c r="G125" s="282" t="str">
        <f>IF(D125="","",VLOOKUP(D125,'G-6 Hedgerow Data'!$B$2:$AG$15,3,FALSE))</f>
        <v/>
      </c>
      <c r="H125" s="105"/>
      <c r="I125" s="282" t="str">
        <f>IFERROR(IF(AND(D125&lt;&gt;"",H125=""),"Check data ⚠", IF(H125="","",IF(AND(D125="Non-native and ornamental hedgerow", H125&lt;&gt;"Poor"),"Not possible ▲", (VLOOKUP(H125,'G-1 All Habitats'!$Z$2:$AA$9,2,FALSE))))),"")</f>
        <v/>
      </c>
      <c r="J125" s="105"/>
      <c r="K125" s="289" t="str">
        <f>IF(AND(D125&lt;&gt;"",J125=""),"Check data ⚠", IF(J125="","",IF(VLOOKUP(J125,'G-3 Multipliers'!$L$3:$N$6,2,FALSE)=0,"Spatial Data Missing",VLOOKUP(J125,'G-3 Multipliers'!$L$3:$N$6,2,FALSE))))</f>
        <v/>
      </c>
      <c r="L125" s="287" t="str">
        <f>IF(J125="","",IF(VLOOKUP(J125,'G-3 Multipliers'!$L$3:$N$6,3,FALSE)=0,"Spatial Data Missing ⚠",VLOOKUP(J125,'G-3 Multipliers'!$L$3:$N$6,3,FALSE)))</f>
        <v/>
      </c>
      <c r="M125" s="288" t="str">
        <f>IF(D125="","",VLOOKUP(D125,'G-6 Hedgerow Data'!$B$1:$AH$15,33,FALSE))</f>
        <v/>
      </c>
      <c r="N125" s="295" t="str">
        <f t="shared" si="9"/>
        <v/>
      </c>
      <c r="O125" s="32"/>
      <c r="P125" s="109"/>
      <c r="Q125" s="142"/>
      <c r="R125" s="312" t="str">
        <f t="shared" si="10"/>
        <v/>
      </c>
      <c r="S125" s="312" t="str">
        <f t="shared" si="11"/>
        <v/>
      </c>
      <c r="T125" s="312" t="str">
        <f t="shared" si="12"/>
        <v/>
      </c>
      <c r="U125" s="333" t="str">
        <f t="shared" si="13"/>
        <v/>
      </c>
      <c r="V125" s="109"/>
      <c r="W125" s="108"/>
      <c r="X125" s="108"/>
      <c r="AE125" s="111" t="str">
        <f t="shared" si="7"/>
        <v/>
      </c>
      <c r="AF125" s="111" t="str">
        <f t="shared" si="8"/>
        <v/>
      </c>
      <c r="AH125" s="111">
        <v>116</v>
      </c>
      <c r="AJ125" s="111" t="str">
        <f t="array" ref="AJ125">IFERROR(INDEX($AH$10:$AH$258, MATCH(0, IF(TRUE=$AE$10:$AE$258, COUNTIF($AJ$9:$AJ124, $AH$10:$AH$258), ""), 0)),"")</f>
        <v/>
      </c>
      <c r="AK125" s="111" t="str">
        <f t="array" ref="AK125">IFERROR(INDEX($AH$10:$AH$258, MATCH(0, IF(TRUE=$AF$10:$AF$258, COUNTIF($AK$9:$AK124, $AH$10:$AH$258), ""), 0)),"")</f>
        <v/>
      </c>
      <c r="AL125" s="30" t="str">
        <f>IFERROR(INDEX('G-6 Hedgerow Data'!$BJ$3:$BJ$15,MATCH(D125,'G-6 Hedgerow Data'!$B$3:$B$15,0)),"")</f>
        <v/>
      </c>
    </row>
    <row r="126" spans="2:38" x14ac:dyDescent="0.25">
      <c r="B126" s="101">
        <v>117</v>
      </c>
      <c r="C126" s="142"/>
      <c r="D126" s="142"/>
      <c r="E126" s="108"/>
      <c r="F126" s="329" t="str">
        <f>IF(D126="","",VLOOKUP(D126,'G-6 Hedgerow Data'!$B$2:$AG$15,2,FALSE))</f>
        <v/>
      </c>
      <c r="G126" s="282" t="str">
        <f>IF(D126="","",VLOOKUP(D126,'G-6 Hedgerow Data'!$B$2:$AG$15,3,FALSE))</f>
        <v/>
      </c>
      <c r="H126" s="105"/>
      <c r="I126" s="282" t="str">
        <f>IFERROR(IF(AND(D126&lt;&gt;"",H126=""),"Check data ⚠", IF(H126="","",IF(AND(D126="Non-native and ornamental hedgerow", H126&lt;&gt;"Poor"),"Not possible ▲", (VLOOKUP(H126,'G-1 All Habitats'!$Z$2:$AA$9,2,FALSE))))),"")</f>
        <v/>
      </c>
      <c r="J126" s="105"/>
      <c r="K126" s="289" t="str">
        <f>IF(AND(D126&lt;&gt;"",J126=""),"Check data ⚠", IF(J126="","",IF(VLOOKUP(J126,'G-3 Multipliers'!$L$3:$N$6,2,FALSE)=0,"Spatial Data Missing",VLOOKUP(J126,'G-3 Multipliers'!$L$3:$N$6,2,FALSE))))</f>
        <v/>
      </c>
      <c r="L126" s="287" t="str">
        <f>IF(J126="","",IF(VLOOKUP(J126,'G-3 Multipliers'!$L$3:$N$6,3,FALSE)=0,"Spatial Data Missing ⚠",VLOOKUP(J126,'G-3 Multipliers'!$L$3:$N$6,3,FALSE)))</f>
        <v/>
      </c>
      <c r="M126" s="288" t="str">
        <f>IF(D126="","",VLOOKUP(D126,'G-6 Hedgerow Data'!$B$1:$AH$15,33,FALSE))</f>
        <v/>
      </c>
      <c r="N126" s="295" t="str">
        <f t="shared" si="9"/>
        <v/>
      </c>
      <c r="O126" s="32"/>
      <c r="P126" s="109"/>
      <c r="Q126" s="142"/>
      <c r="R126" s="312" t="str">
        <f t="shared" si="10"/>
        <v/>
      </c>
      <c r="S126" s="312" t="str">
        <f t="shared" si="11"/>
        <v/>
      </c>
      <c r="T126" s="312" t="str">
        <f t="shared" si="12"/>
        <v/>
      </c>
      <c r="U126" s="333" t="str">
        <f t="shared" si="13"/>
        <v/>
      </c>
      <c r="V126" s="109"/>
      <c r="W126" s="108"/>
      <c r="X126" s="108"/>
      <c r="AE126" s="111" t="str">
        <f t="shared" si="7"/>
        <v/>
      </c>
      <c r="AF126" s="111" t="str">
        <f t="shared" si="8"/>
        <v/>
      </c>
      <c r="AH126" s="111">
        <v>117</v>
      </c>
      <c r="AJ126" s="111" t="str">
        <f t="array" ref="AJ126">IFERROR(INDEX($AH$10:$AH$258, MATCH(0, IF(TRUE=$AE$10:$AE$258, COUNTIF($AJ$9:$AJ125, $AH$10:$AH$258), ""), 0)),"")</f>
        <v/>
      </c>
      <c r="AK126" s="111" t="str">
        <f t="array" ref="AK126">IFERROR(INDEX($AH$10:$AH$258, MATCH(0, IF(TRUE=$AF$10:$AF$258, COUNTIF($AK$9:$AK125, $AH$10:$AH$258), ""), 0)),"")</f>
        <v/>
      </c>
      <c r="AL126" s="30" t="str">
        <f>IFERROR(INDEX('G-6 Hedgerow Data'!$BJ$3:$BJ$15,MATCH(D126,'G-6 Hedgerow Data'!$B$3:$B$15,0)),"")</f>
        <v/>
      </c>
    </row>
    <row r="127" spans="2:38" x14ac:dyDescent="0.25">
      <c r="B127" s="101">
        <v>118</v>
      </c>
      <c r="C127" s="142"/>
      <c r="D127" s="142"/>
      <c r="E127" s="108"/>
      <c r="F127" s="329" t="str">
        <f>IF(D127="","",VLOOKUP(D127,'G-6 Hedgerow Data'!$B$2:$AG$15,2,FALSE))</f>
        <v/>
      </c>
      <c r="G127" s="282" t="str">
        <f>IF(D127="","",VLOOKUP(D127,'G-6 Hedgerow Data'!$B$2:$AG$15,3,FALSE))</f>
        <v/>
      </c>
      <c r="H127" s="105"/>
      <c r="I127" s="282" t="str">
        <f>IFERROR(IF(AND(D127&lt;&gt;"",H127=""),"Check data ⚠", IF(H127="","",IF(AND(D127="Non-native and ornamental hedgerow", H127&lt;&gt;"Poor"),"Not possible ▲", (VLOOKUP(H127,'G-1 All Habitats'!$Z$2:$AA$9,2,FALSE))))),"")</f>
        <v/>
      </c>
      <c r="J127" s="105"/>
      <c r="K127" s="289" t="str">
        <f>IF(AND(D127&lt;&gt;"",J127=""),"Check data ⚠", IF(J127="","",IF(VLOOKUP(J127,'G-3 Multipliers'!$L$3:$N$6,2,FALSE)=0,"Spatial Data Missing",VLOOKUP(J127,'G-3 Multipliers'!$L$3:$N$6,2,FALSE))))</f>
        <v/>
      </c>
      <c r="L127" s="287" t="str">
        <f>IF(J127="","",IF(VLOOKUP(J127,'G-3 Multipliers'!$L$3:$N$6,3,FALSE)=0,"Spatial Data Missing ⚠",VLOOKUP(J127,'G-3 Multipliers'!$L$3:$N$6,3,FALSE)))</f>
        <v/>
      </c>
      <c r="M127" s="288" t="str">
        <f>IF(D127="","",VLOOKUP(D127,'G-6 Hedgerow Data'!$B$1:$AH$15,33,FALSE))</f>
        <v/>
      </c>
      <c r="N127" s="295" t="str">
        <f t="shared" si="9"/>
        <v/>
      </c>
      <c r="O127" s="32"/>
      <c r="P127" s="109"/>
      <c r="Q127" s="142"/>
      <c r="R127" s="312" t="str">
        <f t="shared" si="10"/>
        <v/>
      </c>
      <c r="S127" s="312" t="str">
        <f t="shared" si="11"/>
        <v/>
      </c>
      <c r="T127" s="312" t="str">
        <f t="shared" si="12"/>
        <v/>
      </c>
      <c r="U127" s="333" t="str">
        <f t="shared" si="13"/>
        <v/>
      </c>
      <c r="V127" s="109"/>
      <c r="W127" s="108"/>
      <c r="X127" s="108"/>
      <c r="AE127" s="111" t="str">
        <f t="shared" si="7"/>
        <v/>
      </c>
      <c r="AF127" s="111" t="str">
        <f t="shared" si="8"/>
        <v/>
      </c>
      <c r="AH127" s="111">
        <v>118</v>
      </c>
      <c r="AJ127" s="111" t="str">
        <f t="array" ref="AJ127">IFERROR(INDEX($AH$10:$AH$258, MATCH(0, IF(TRUE=$AE$10:$AE$258, COUNTIF($AJ$9:$AJ126, $AH$10:$AH$258), ""), 0)),"")</f>
        <v/>
      </c>
      <c r="AK127" s="111" t="str">
        <f t="array" ref="AK127">IFERROR(INDEX($AH$10:$AH$258, MATCH(0, IF(TRUE=$AF$10:$AF$258, COUNTIF($AK$9:$AK126, $AH$10:$AH$258), ""), 0)),"")</f>
        <v/>
      </c>
      <c r="AL127" s="30" t="str">
        <f>IFERROR(INDEX('G-6 Hedgerow Data'!$BJ$3:$BJ$15,MATCH(D127,'G-6 Hedgerow Data'!$B$3:$B$15,0)),"")</f>
        <v/>
      </c>
    </row>
    <row r="128" spans="2:38" x14ac:dyDescent="0.25">
      <c r="B128" s="101">
        <v>119</v>
      </c>
      <c r="C128" s="142"/>
      <c r="D128" s="142"/>
      <c r="E128" s="108"/>
      <c r="F128" s="329" t="str">
        <f>IF(D128="","",VLOOKUP(D128,'G-6 Hedgerow Data'!$B$2:$AG$15,2,FALSE))</f>
        <v/>
      </c>
      <c r="G128" s="282" t="str">
        <f>IF(D128="","",VLOOKUP(D128,'G-6 Hedgerow Data'!$B$2:$AG$15,3,FALSE))</f>
        <v/>
      </c>
      <c r="H128" s="105"/>
      <c r="I128" s="282" t="str">
        <f>IFERROR(IF(AND(D128&lt;&gt;"",H128=""),"Check data ⚠", IF(H128="","",IF(AND(D128="Non-native and ornamental hedgerow", H128&lt;&gt;"Poor"),"Not possible ▲", (VLOOKUP(H128,'G-1 All Habitats'!$Z$2:$AA$9,2,FALSE))))),"")</f>
        <v/>
      </c>
      <c r="J128" s="105"/>
      <c r="K128" s="289" t="str">
        <f>IF(AND(D128&lt;&gt;"",J128=""),"Check data ⚠", IF(J128="","",IF(VLOOKUP(J128,'G-3 Multipliers'!$L$3:$N$6,2,FALSE)=0,"Spatial Data Missing",VLOOKUP(J128,'G-3 Multipliers'!$L$3:$N$6,2,FALSE))))</f>
        <v/>
      </c>
      <c r="L128" s="287" t="str">
        <f>IF(J128="","",IF(VLOOKUP(J128,'G-3 Multipliers'!$L$3:$N$6,3,FALSE)=0,"Spatial Data Missing ⚠",VLOOKUP(J128,'G-3 Multipliers'!$L$3:$N$6,3,FALSE)))</f>
        <v/>
      </c>
      <c r="M128" s="288" t="str">
        <f>IF(D128="","",VLOOKUP(D128,'G-6 Hedgerow Data'!$B$1:$AH$15,33,FALSE))</f>
        <v/>
      </c>
      <c r="N128" s="295" t="str">
        <f t="shared" si="9"/>
        <v/>
      </c>
      <c r="O128" s="32"/>
      <c r="P128" s="109"/>
      <c r="Q128" s="142"/>
      <c r="R128" s="312" t="str">
        <f t="shared" si="10"/>
        <v/>
      </c>
      <c r="S128" s="312" t="str">
        <f t="shared" si="11"/>
        <v/>
      </c>
      <c r="T128" s="312" t="str">
        <f t="shared" si="12"/>
        <v/>
      </c>
      <c r="U128" s="333" t="str">
        <f t="shared" si="13"/>
        <v/>
      </c>
      <c r="V128" s="109"/>
      <c r="W128" s="108"/>
      <c r="X128" s="108"/>
      <c r="AE128" s="111" t="str">
        <f t="shared" si="7"/>
        <v/>
      </c>
      <c r="AF128" s="111" t="str">
        <f t="shared" si="8"/>
        <v/>
      </c>
      <c r="AH128" s="111">
        <v>119</v>
      </c>
      <c r="AJ128" s="111" t="str">
        <f t="array" ref="AJ128">IFERROR(INDEX($AH$10:$AH$258, MATCH(0, IF(TRUE=$AE$10:$AE$258, COUNTIF($AJ$9:$AJ127, $AH$10:$AH$258), ""), 0)),"")</f>
        <v/>
      </c>
      <c r="AK128" s="111" t="str">
        <f t="array" ref="AK128">IFERROR(INDEX($AH$10:$AH$258, MATCH(0, IF(TRUE=$AF$10:$AF$258, COUNTIF($AK$9:$AK127, $AH$10:$AH$258), ""), 0)),"")</f>
        <v/>
      </c>
      <c r="AL128" s="30" t="str">
        <f>IFERROR(INDEX('G-6 Hedgerow Data'!$BJ$3:$BJ$15,MATCH(D128,'G-6 Hedgerow Data'!$B$3:$B$15,0)),"")</f>
        <v/>
      </c>
    </row>
    <row r="129" spans="2:38" x14ac:dyDescent="0.25">
      <c r="B129" s="101">
        <v>120</v>
      </c>
      <c r="C129" s="142"/>
      <c r="D129" s="142"/>
      <c r="E129" s="108"/>
      <c r="F129" s="329" t="str">
        <f>IF(D129="","",VLOOKUP(D129,'G-6 Hedgerow Data'!$B$2:$AG$15,2,FALSE))</f>
        <v/>
      </c>
      <c r="G129" s="282" t="str">
        <f>IF(D129="","",VLOOKUP(D129,'G-6 Hedgerow Data'!$B$2:$AG$15,3,FALSE))</f>
        <v/>
      </c>
      <c r="H129" s="105"/>
      <c r="I129" s="282" t="str">
        <f>IFERROR(IF(AND(D129&lt;&gt;"",H129=""),"Check data ⚠", IF(H129="","",IF(AND(D129="Non-native and ornamental hedgerow", H129&lt;&gt;"Poor"),"Not possible ▲", (VLOOKUP(H129,'G-1 All Habitats'!$Z$2:$AA$9,2,FALSE))))),"")</f>
        <v/>
      </c>
      <c r="J129" s="105"/>
      <c r="K129" s="289" t="str">
        <f>IF(AND(D129&lt;&gt;"",J129=""),"Check data ⚠", IF(J129="","",IF(VLOOKUP(J129,'G-3 Multipliers'!$L$3:$N$6,2,FALSE)=0,"Spatial Data Missing",VLOOKUP(J129,'G-3 Multipliers'!$L$3:$N$6,2,FALSE))))</f>
        <v/>
      </c>
      <c r="L129" s="287" t="str">
        <f>IF(J129="","",IF(VLOOKUP(J129,'G-3 Multipliers'!$L$3:$N$6,3,FALSE)=0,"Spatial Data Missing ⚠",VLOOKUP(J129,'G-3 Multipliers'!$L$3:$N$6,3,FALSE)))</f>
        <v/>
      </c>
      <c r="M129" s="288" t="str">
        <f>IF(D129="","",VLOOKUP(D129,'G-6 Hedgerow Data'!$B$1:$AH$15,33,FALSE))</f>
        <v/>
      </c>
      <c r="N129" s="295" t="str">
        <f t="shared" si="9"/>
        <v/>
      </c>
      <c r="O129" s="32"/>
      <c r="P129" s="109"/>
      <c r="Q129" s="142"/>
      <c r="R129" s="312" t="str">
        <f t="shared" si="10"/>
        <v/>
      </c>
      <c r="S129" s="312" t="str">
        <f t="shared" si="11"/>
        <v/>
      </c>
      <c r="T129" s="312" t="str">
        <f t="shared" si="12"/>
        <v/>
      </c>
      <c r="U129" s="333" t="str">
        <f t="shared" si="13"/>
        <v/>
      </c>
      <c r="V129" s="109"/>
      <c r="W129" s="108"/>
      <c r="X129" s="108"/>
      <c r="AE129" s="111" t="str">
        <f t="shared" si="7"/>
        <v/>
      </c>
      <c r="AF129" s="111" t="str">
        <f t="shared" si="8"/>
        <v/>
      </c>
      <c r="AH129" s="111">
        <v>120</v>
      </c>
      <c r="AJ129" s="111" t="str">
        <f t="array" ref="AJ129">IFERROR(INDEX($AH$10:$AH$258, MATCH(0, IF(TRUE=$AE$10:$AE$258, COUNTIF($AJ$9:$AJ128, $AH$10:$AH$258), ""), 0)),"")</f>
        <v/>
      </c>
      <c r="AK129" s="111" t="str">
        <f t="array" ref="AK129">IFERROR(INDEX($AH$10:$AH$258, MATCH(0, IF(TRUE=$AF$10:$AF$258, COUNTIF($AK$9:$AK128, $AH$10:$AH$258), ""), 0)),"")</f>
        <v/>
      </c>
      <c r="AL129" s="30" t="str">
        <f>IFERROR(INDEX('G-6 Hedgerow Data'!$BJ$3:$BJ$15,MATCH(D129,'G-6 Hedgerow Data'!$B$3:$B$15,0)),"")</f>
        <v/>
      </c>
    </row>
    <row r="130" spans="2:38" x14ac:dyDescent="0.25">
      <c r="B130" s="101">
        <v>121</v>
      </c>
      <c r="C130" s="142"/>
      <c r="D130" s="142"/>
      <c r="E130" s="108"/>
      <c r="F130" s="329" t="str">
        <f>IF(D130="","",VLOOKUP(D130,'G-6 Hedgerow Data'!$B$2:$AG$15,2,FALSE))</f>
        <v/>
      </c>
      <c r="G130" s="282" t="str">
        <f>IF(D130="","",VLOOKUP(D130,'G-6 Hedgerow Data'!$B$2:$AG$15,3,FALSE))</f>
        <v/>
      </c>
      <c r="H130" s="105"/>
      <c r="I130" s="282" t="str">
        <f>IFERROR(IF(AND(D130&lt;&gt;"",H130=""),"Check data ⚠", IF(H130="","",IF(AND(D130="Non-native and ornamental hedgerow", H130&lt;&gt;"Poor"),"Not possible ▲", (VLOOKUP(H130,'G-1 All Habitats'!$Z$2:$AA$9,2,FALSE))))),"")</f>
        <v/>
      </c>
      <c r="J130" s="105"/>
      <c r="K130" s="289" t="str">
        <f>IF(AND(D130&lt;&gt;"",J130=""),"Check data ⚠", IF(J130="","",IF(VLOOKUP(J130,'G-3 Multipliers'!$L$3:$N$6,2,FALSE)=0,"Spatial Data Missing",VLOOKUP(J130,'G-3 Multipliers'!$L$3:$N$6,2,FALSE))))</f>
        <v/>
      </c>
      <c r="L130" s="287" t="str">
        <f>IF(J130="","",IF(VLOOKUP(J130,'G-3 Multipliers'!$L$3:$N$6,3,FALSE)=0,"Spatial Data Missing ⚠",VLOOKUP(J130,'G-3 Multipliers'!$L$3:$N$6,3,FALSE)))</f>
        <v/>
      </c>
      <c r="M130" s="288" t="str">
        <f>IF(D130="","",VLOOKUP(D130,'G-6 Hedgerow Data'!$B$1:$AH$15,33,FALSE))</f>
        <v/>
      </c>
      <c r="N130" s="295" t="str">
        <f t="shared" si="9"/>
        <v/>
      </c>
      <c r="O130" s="32"/>
      <c r="P130" s="109"/>
      <c r="Q130" s="142"/>
      <c r="R130" s="312" t="str">
        <f t="shared" si="10"/>
        <v/>
      </c>
      <c r="S130" s="312" t="str">
        <f t="shared" si="11"/>
        <v/>
      </c>
      <c r="T130" s="312" t="str">
        <f t="shared" si="12"/>
        <v/>
      </c>
      <c r="U130" s="333" t="str">
        <f t="shared" si="13"/>
        <v/>
      </c>
      <c r="V130" s="109"/>
      <c r="W130" s="108"/>
      <c r="X130" s="108"/>
      <c r="AE130" s="111" t="str">
        <f t="shared" si="7"/>
        <v/>
      </c>
      <c r="AF130" s="111" t="str">
        <f t="shared" si="8"/>
        <v/>
      </c>
      <c r="AH130" s="111">
        <v>121</v>
      </c>
      <c r="AJ130" s="111" t="str">
        <f t="array" ref="AJ130">IFERROR(INDEX($AH$10:$AH$258, MATCH(0, IF(TRUE=$AE$10:$AE$258, COUNTIF($AJ$9:$AJ129, $AH$10:$AH$258), ""), 0)),"")</f>
        <v/>
      </c>
      <c r="AK130" s="111" t="str">
        <f t="array" ref="AK130">IFERROR(INDEX($AH$10:$AH$258, MATCH(0, IF(TRUE=$AF$10:$AF$258, COUNTIF($AK$9:$AK129, $AH$10:$AH$258), ""), 0)),"")</f>
        <v/>
      </c>
      <c r="AL130" s="30" t="str">
        <f>IFERROR(INDEX('G-6 Hedgerow Data'!$BJ$3:$BJ$15,MATCH(D130,'G-6 Hedgerow Data'!$B$3:$B$15,0)),"")</f>
        <v/>
      </c>
    </row>
    <row r="131" spans="2:38" x14ac:dyDescent="0.25">
      <c r="B131" s="101">
        <v>122</v>
      </c>
      <c r="C131" s="142"/>
      <c r="D131" s="142"/>
      <c r="E131" s="108"/>
      <c r="F131" s="329" t="str">
        <f>IF(D131="","",VLOOKUP(D131,'G-6 Hedgerow Data'!$B$2:$AG$15,2,FALSE))</f>
        <v/>
      </c>
      <c r="G131" s="282" t="str">
        <f>IF(D131="","",VLOOKUP(D131,'G-6 Hedgerow Data'!$B$2:$AG$15,3,FALSE))</f>
        <v/>
      </c>
      <c r="H131" s="105"/>
      <c r="I131" s="282" t="str">
        <f>IFERROR(IF(AND(D131&lt;&gt;"",H131=""),"Check data ⚠", IF(H131="","",IF(AND(D131="Non-native and ornamental hedgerow", H131&lt;&gt;"Poor"),"Not possible ▲", (VLOOKUP(H131,'G-1 All Habitats'!$Z$2:$AA$9,2,FALSE))))),"")</f>
        <v/>
      </c>
      <c r="J131" s="105"/>
      <c r="K131" s="289" t="str">
        <f>IF(AND(D131&lt;&gt;"",J131=""),"Check data ⚠", IF(J131="","",IF(VLOOKUP(J131,'G-3 Multipliers'!$L$3:$N$6,2,FALSE)=0,"Spatial Data Missing",VLOOKUP(J131,'G-3 Multipliers'!$L$3:$N$6,2,FALSE))))</f>
        <v/>
      </c>
      <c r="L131" s="287" t="str">
        <f>IF(J131="","",IF(VLOOKUP(J131,'G-3 Multipliers'!$L$3:$N$6,3,FALSE)=0,"Spatial Data Missing ⚠",VLOOKUP(J131,'G-3 Multipliers'!$L$3:$N$6,3,FALSE)))</f>
        <v/>
      </c>
      <c r="M131" s="288" t="str">
        <f>IF(D131="","",VLOOKUP(D131,'G-6 Hedgerow Data'!$B$1:$AH$15,33,FALSE))</f>
        <v/>
      </c>
      <c r="N131" s="295" t="str">
        <f t="shared" si="9"/>
        <v/>
      </c>
      <c r="O131" s="32"/>
      <c r="P131" s="109"/>
      <c r="Q131" s="142"/>
      <c r="R131" s="312" t="str">
        <f t="shared" si="10"/>
        <v/>
      </c>
      <c r="S131" s="312" t="str">
        <f t="shared" si="11"/>
        <v/>
      </c>
      <c r="T131" s="312" t="str">
        <f t="shared" si="12"/>
        <v/>
      </c>
      <c r="U131" s="333" t="str">
        <f t="shared" si="13"/>
        <v/>
      </c>
      <c r="V131" s="109"/>
      <c r="W131" s="108"/>
      <c r="X131" s="108"/>
      <c r="AE131" s="111" t="str">
        <f t="shared" si="7"/>
        <v/>
      </c>
      <c r="AF131" s="111" t="str">
        <f t="shared" si="8"/>
        <v/>
      </c>
      <c r="AH131" s="111">
        <v>122</v>
      </c>
      <c r="AJ131" s="111" t="str">
        <f t="array" ref="AJ131">IFERROR(INDEX($AH$10:$AH$258, MATCH(0, IF(TRUE=$AE$10:$AE$258, COUNTIF($AJ$9:$AJ130, $AH$10:$AH$258), ""), 0)),"")</f>
        <v/>
      </c>
      <c r="AK131" s="111" t="str">
        <f t="array" ref="AK131">IFERROR(INDEX($AH$10:$AH$258, MATCH(0, IF(TRUE=$AF$10:$AF$258, COUNTIF($AK$9:$AK130, $AH$10:$AH$258), ""), 0)),"")</f>
        <v/>
      </c>
      <c r="AL131" s="30" t="str">
        <f>IFERROR(INDEX('G-6 Hedgerow Data'!$BJ$3:$BJ$15,MATCH(D131,'G-6 Hedgerow Data'!$B$3:$B$15,0)),"")</f>
        <v/>
      </c>
    </row>
    <row r="132" spans="2:38" x14ac:dyDescent="0.25">
      <c r="B132" s="101">
        <v>123</v>
      </c>
      <c r="C132" s="142"/>
      <c r="D132" s="142"/>
      <c r="E132" s="108"/>
      <c r="F132" s="329" t="str">
        <f>IF(D132="","",VLOOKUP(D132,'G-6 Hedgerow Data'!$B$2:$AG$15,2,FALSE))</f>
        <v/>
      </c>
      <c r="G132" s="282" t="str">
        <f>IF(D132="","",VLOOKUP(D132,'G-6 Hedgerow Data'!$B$2:$AG$15,3,FALSE))</f>
        <v/>
      </c>
      <c r="H132" s="105"/>
      <c r="I132" s="282" t="str">
        <f>IFERROR(IF(AND(D132&lt;&gt;"",H132=""),"Check data ⚠", IF(H132="","",IF(AND(D132="Non-native and ornamental hedgerow", H132&lt;&gt;"Poor"),"Not possible ▲", (VLOOKUP(H132,'G-1 All Habitats'!$Z$2:$AA$9,2,FALSE))))),"")</f>
        <v/>
      </c>
      <c r="J132" s="105"/>
      <c r="K132" s="289" t="str">
        <f>IF(AND(D132&lt;&gt;"",J132=""),"Check data ⚠", IF(J132="","",IF(VLOOKUP(J132,'G-3 Multipliers'!$L$3:$N$6,2,FALSE)=0,"Spatial Data Missing",VLOOKUP(J132,'G-3 Multipliers'!$L$3:$N$6,2,FALSE))))</f>
        <v/>
      </c>
      <c r="L132" s="287" t="str">
        <f>IF(J132="","",IF(VLOOKUP(J132,'G-3 Multipliers'!$L$3:$N$6,3,FALSE)=0,"Spatial Data Missing ⚠",VLOOKUP(J132,'G-3 Multipliers'!$L$3:$N$6,3,FALSE)))</f>
        <v/>
      </c>
      <c r="M132" s="288" t="str">
        <f>IF(D132="","",VLOOKUP(D132,'G-6 Hedgerow Data'!$B$1:$AH$15,33,FALSE))</f>
        <v/>
      </c>
      <c r="N132" s="295" t="str">
        <f t="shared" si="9"/>
        <v/>
      </c>
      <c r="O132" s="32"/>
      <c r="P132" s="109"/>
      <c r="Q132" s="142"/>
      <c r="R132" s="312" t="str">
        <f t="shared" si="10"/>
        <v/>
      </c>
      <c r="S132" s="312" t="str">
        <f t="shared" si="11"/>
        <v/>
      </c>
      <c r="T132" s="312" t="str">
        <f t="shared" si="12"/>
        <v/>
      </c>
      <c r="U132" s="333" t="str">
        <f t="shared" si="13"/>
        <v/>
      </c>
      <c r="V132" s="109"/>
      <c r="W132" s="108"/>
      <c r="X132" s="108"/>
      <c r="AE132" s="111" t="str">
        <f t="shared" si="7"/>
        <v/>
      </c>
      <c r="AF132" s="111" t="str">
        <f t="shared" si="8"/>
        <v/>
      </c>
      <c r="AH132" s="111">
        <v>123</v>
      </c>
      <c r="AJ132" s="111" t="str">
        <f t="array" ref="AJ132">IFERROR(INDEX($AH$10:$AH$258, MATCH(0, IF(TRUE=$AE$10:$AE$258, COUNTIF($AJ$9:$AJ131, $AH$10:$AH$258), ""), 0)),"")</f>
        <v/>
      </c>
      <c r="AK132" s="111" t="str">
        <f t="array" ref="AK132">IFERROR(INDEX($AH$10:$AH$258, MATCH(0, IF(TRUE=$AF$10:$AF$258, COUNTIF($AK$9:$AK131, $AH$10:$AH$258), ""), 0)),"")</f>
        <v/>
      </c>
      <c r="AL132" s="30" t="str">
        <f>IFERROR(INDEX('G-6 Hedgerow Data'!$BJ$3:$BJ$15,MATCH(D132,'G-6 Hedgerow Data'!$B$3:$B$15,0)),"")</f>
        <v/>
      </c>
    </row>
    <row r="133" spans="2:38" x14ac:dyDescent="0.25">
      <c r="B133" s="101">
        <v>124</v>
      </c>
      <c r="C133" s="142"/>
      <c r="D133" s="142"/>
      <c r="E133" s="108"/>
      <c r="F133" s="329" t="str">
        <f>IF(D133="","",VLOOKUP(D133,'G-6 Hedgerow Data'!$B$2:$AG$15,2,FALSE))</f>
        <v/>
      </c>
      <c r="G133" s="282" t="str">
        <f>IF(D133="","",VLOOKUP(D133,'G-6 Hedgerow Data'!$B$2:$AG$15,3,FALSE))</f>
        <v/>
      </c>
      <c r="H133" s="105"/>
      <c r="I133" s="282" t="str">
        <f>IFERROR(IF(AND(D133&lt;&gt;"",H133=""),"Check data ⚠", IF(H133="","",IF(AND(D133="Non-native and ornamental hedgerow", H133&lt;&gt;"Poor"),"Not possible ▲", (VLOOKUP(H133,'G-1 All Habitats'!$Z$2:$AA$9,2,FALSE))))),"")</f>
        <v/>
      </c>
      <c r="J133" s="105"/>
      <c r="K133" s="289" t="str">
        <f>IF(AND(D133&lt;&gt;"",J133=""),"Check data ⚠", IF(J133="","",IF(VLOOKUP(J133,'G-3 Multipliers'!$L$3:$N$6,2,FALSE)=0,"Spatial Data Missing",VLOOKUP(J133,'G-3 Multipliers'!$L$3:$N$6,2,FALSE))))</f>
        <v/>
      </c>
      <c r="L133" s="287" t="str">
        <f>IF(J133="","",IF(VLOOKUP(J133,'G-3 Multipliers'!$L$3:$N$6,3,FALSE)=0,"Spatial Data Missing ⚠",VLOOKUP(J133,'G-3 Multipliers'!$L$3:$N$6,3,FALSE)))</f>
        <v/>
      </c>
      <c r="M133" s="288" t="str">
        <f>IF(D133="","",VLOOKUP(D133,'G-6 Hedgerow Data'!$B$1:$AH$15,33,FALSE))</f>
        <v/>
      </c>
      <c r="N133" s="295" t="str">
        <f t="shared" si="9"/>
        <v/>
      </c>
      <c r="O133" s="32"/>
      <c r="P133" s="109"/>
      <c r="Q133" s="142"/>
      <c r="R133" s="312" t="str">
        <f t="shared" si="10"/>
        <v/>
      </c>
      <c r="S133" s="312" t="str">
        <f t="shared" si="11"/>
        <v/>
      </c>
      <c r="T133" s="312" t="str">
        <f t="shared" si="12"/>
        <v/>
      </c>
      <c r="U133" s="333" t="str">
        <f t="shared" si="13"/>
        <v/>
      </c>
      <c r="V133" s="109"/>
      <c r="W133" s="108"/>
      <c r="X133" s="108"/>
      <c r="AE133" s="111" t="str">
        <f t="shared" si="7"/>
        <v/>
      </c>
      <c r="AF133" s="111" t="str">
        <f t="shared" si="8"/>
        <v/>
      </c>
      <c r="AH133" s="111">
        <v>124</v>
      </c>
      <c r="AJ133" s="111" t="str">
        <f t="array" ref="AJ133">IFERROR(INDEX($AH$10:$AH$258, MATCH(0, IF(TRUE=$AE$10:$AE$258, COUNTIF($AJ$9:$AJ132, $AH$10:$AH$258), ""), 0)),"")</f>
        <v/>
      </c>
      <c r="AK133" s="111" t="str">
        <f t="array" ref="AK133">IFERROR(INDEX($AH$10:$AH$258, MATCH(0, IF(TRUE=$AF$10:$AF$258, COUNTIF($AK$9:$AK132, $AH$10:$AH$258), ""), 0)),"")</f>
        <v/>
      </c>
      <c r="AL133" s="30" t="str">
        <f>IFERROR(INDEX('G-6 Hedgerow Data'!$BJ$3:$BJ$15,MATCH(D133,'G-6 Hedgerow Data'!$B$3:$B$15,0)),"")</f>
        <v/>
      </c>
    </row>
    <row r="134" spans="2:38" x14ac:dyDescent="0.25">
      <c r="B134" s="101">
        <v>125</v>
      </c>
      <c r="C134" s="142"/>
      <c r="D134" s="142"/>
      <c r="E134" s="108"/>
      <c r="F134" s="329" t="str">
        <f>IF(D134="","",VLOOKUP(D134,'G-6 Hedgerow Data'!$B$2:$AG$15,2,FALSE))</f>
        <v/>
      </c>
      <c r="G134" s="282" t="str">
        <f>IF(D134="","",VLOOKUP(D134,'G-6 Hedgerow Data'!$B$2:$AG$15,3,FALSE))</f>
        <v/>
      </c>
      <c r="H134" s="105"/>
      <c r="I134" s="282" t="str">
        <f>IFERROR(IF(AND(D134&lt;&gt;"",H134=""),"Check data ⚠", IF(H134="","",IF(AND(D134="Non-native and ornamental hedgerow", H134&lt;&gt;"Poor"),"Not possible ▲", (VLOOKUP(H134,'G-1 All Habitats'!$Z$2:$AA$9,2,FALSE))))),"")</f>
        <v/>
      </c>
      <c r="J134" s="105"/>
      <c r="K134" s="289" t="str">
        <f>IF(AND(D134&lt;&gt;"",J134=""),"Check data ⚠", IF(J134="","",IF(VLOOKUP(J134,'G-3 Multipliers'!$L$3:$N$6,2,FALSE)=0,"Spatial Data Missing",VLOOKUP(J134,'G-3 Multipliers'!$L$3:$N$6,2,FALSE))))</f>
        <v/>
      </c>
      <c r="L134" s="287" t="str">
        <f>IF(J134="","",IF(VLOOKUP(J134,'G-3 Multipliers'!$L$3:$N$6,3,FALSE)=0,"Spatial Data Missing ⚠",VLOOKUP(J134,'G-3 Multipliers'!$L$3:$N$6,3,FALSE)))</f>
        <v/>
      </c>
      <c r="M134" s="288" t="str">
        <f>IF(D134="","",VLOOKUP(D134,'G-6 Hedgerow Data'!$B$1:$AH$15,33,FALSE))</f>
        <v/>
      </c>
      <c r="N134" s="295" t="str">
        <f t="shared" si="9"/>
        <v/>
      </c>
      <c r="O134" s="32"/>
      <c r="P134" s="109"/>
      <c r="Q134" s="142"/>
      <c r="R134" s="312" t="str">
        <f t="shared" si="10"/>
        <v/>
      </c>
      <c r="S134" s="312" t="str">
        <f t="shared" si="11"/>
        <v/>
      </c>
      <c r="T134" s="312" t="str">
        <f t="shared" si="12"/>
        <v/>
      </c>
      <c r="U134" s="333" t="str">
        <f t="shared" si="13"/>
        <v/>
      </c>
      <c r="V134" s="109"/>
      <c r="W134" s="108"/>
      <c r="X134" s="108"/>
      <c r="AE134" s="111" t="str">
        <f t="shared" si="7"/>
        <v/>
      </c>
      <c r="AF134" s="111" t="str">
        <f t="shared" si="8"/>
        <v/>
      </c>
      <c r="AH134" s="111">
        <v>125</v>
      </c>
      <c r="AJ134" s="111" t="str">
        <f t="array" ref="AJ134">IFERROR(INDEX($AH$10:$AH$258, MATCH(0, IF(TRUE=$AE$10:$AE$258, COUNTIF($AJ$9:$AJ133, $AH$10:$AH$258), ""), 0)),"")</f>
        <v/>
      </c>
      <c r="AK134" s="111" t="str">
        <f t="array" ref="AK134">IFERROR(INDEX($AH$10:$AH$258, MATCH(0, IF(TRUE=$AF$10:$AF$258, COUNTIF($AK$9:$AK133, $AH$10:$AH$258), ""), 0)),"")</f>
        <v/>
      </c>
      <c r="AL134" s="30" t="str">
        <f>IFERROR(INDEX('G-6 Hedgerow Data'!$BJ$3:$BJ$15,MATCH(D134,'G-6 Hedgerow Data'!$B$3:$B$15,0)),"")</f>
        <v/>
      </c>
    </row>
    <row r="135" spans="2:38" x14ac:dyDescent="0.25">
      <c r="B135" s="101">
        <v>126</v>
      </c>
      <c r="C135" s="142"/>
      <c r="D135" s="142"/>
      <c r="E135" s="108"/>
      <c r="F135" s="329" t="str">
        <f>IF(D135="","",VLOOKUP(D135,'G-6 Hedgerow Data'!$B$2:$AG$15,2,FALSE))</f>
        <v/>
      </c>
      <c r="G135" s="282" t="str">
        <f>IF(D135="","",VLOOKUP(D135,'G-6 Hedgerow Data'!$B$2:$AG$15,3,FALSE))</f>
        <v/>
      </c>
      <c r="H135" s="105"/>
      <c r="I135" s="282" t="str">
        <f>IFERROR(IF(AND(D135&lt;&gt;"",H135=""),"Check data ⚠", IF(H135="","",IF(AND(D135="Non-native and ornamental hedgerow", H135&lt;&gt;"Poor"),"Not possible ▲", (VLOOKUP(H135,'G-1 All Habitats'!$Z$2:$AA$9,2,FALSE))))),"")</f>
        <v/>
      </c>
      <c r="J135" s="105"/>
      <c r="K135" s="289" t="str">
        <f>IF(AND(D135&lt;&gt;"",J135=""),"Check data ⚠", IF(J135="","",IF(VLOOKUP(J135,'G-3 Multipliers'!$L$3:$N$6,2,FALSE)=0,"Spatial Data Missing",VLOOKUP(J135,'G-3 Multipliers'!$L$3:$N$6,2,FALSE))))</f>
        <v/>
      </c>
      <c r="L135" s="287" t="str">
        <f>IF(J135="","",IF(VLOOKUP(J135,'G-3 Multipliers'!$L$3:$N$6,3,FALSE)=0,"Spatial Data Missing ⚠",VLOOKUP(J135,'G-3 Multipliers'!$L$3:$N$6,3,FALSE)))</f>
        <v/>
      </c>
      <c r="M135" s="288" t="str">
        <f>IF(D135="","",VLOOKUP(D135,'G-6 Hedgerow Data'!$B$1:$AH$15,33,FALSE))</f>
        <v/>
      </c>
      <c r="N135" s="295" t="str">
        <f t="shared" si="9"/>
        <v/>
      </c>
      <c r="O135" s="32"/>
      <c r="P135" s="109"/>
      <c r="Q135" s="142"/>
      <c r="R135" s="312" t="str">
        <f t="shared" si="10"/>
        <v/>
      </c>
      <c r="S135" s="312" t="str">
        <f t="shared" si="11"/>
        <v/>
      </c>
      <c r="T135" s="312" t="str">
        <f t="shared" si="12"/>
        <v/>
      </c>
      <c r="U135" s="333" t="str">
        <f t="shared" si="13"/>
        <v/>
      </c>
      <c r="V135" s="109"/>
      <c r="W135" s="108"/>
      <c r="X135" s="108"/>
      <c r="AE135" s="111" t="str">
        <f t="shared" si="7"/>
        <v/>
      </c>
      <c r="AF135" s="111" t="str">
        <f t="shared" si="8"/>
        <v/>
      </c>
      <c r="AH135" s="111">
        <v>126</v>
      </c>
      <c r="AJ135" s="111" t="str">
        <f t="array" ref="AJ135">IFERROR(INDEX($AH$10:$AH$258, MATCH(0, IF(TRUE=$AE$10:$AE$258, COUNTIF($AJ$9:$AJ134, $AH$10:$AH$258), ""), 0)),"")</f>
        <v/>
      </c>
      <c r="AK135" s="111" t="str">
        <f t="array" ref="AK135">IFERROR(INDEX($AH$10:$AH$258, MATCH(0, IF(TRUE=$AF$10:$AF$258, COUNTIF($AK$9:$AK134, $AH$10:$AH$258), ""), 0)),"")</f>
        <v/>
      </c>
      <c r="AL135" s="30" t="str">
        <f>IFERROR(INDEX('G-6 Hedgerow Data'!$BJ$3:$BJ$15,MATCH(D135,'G-6 Hedgerow Data'!$B$3:$B$15,0)),"")</f>
        <v/>
      </c>
    </row>
    <row r="136" spans="2:38" x14ac:dyDescent="0.25">
      <c r="B136" s="101">
        <v>127</v>
      </c>
      <c r="C136" s="142"/>
      <c r="D136" s="142"/>
      <c r="E136" s="108"/>
      <c r="F136" s="329" t="str">
        <f>IF(D136="","",VLOOKUP(D136,'G-6 Hedgerow Data'!$B$2:$AG$15,2,FALSE))</f>
        <v/>
      </c>
      <c r="G136" s="282" t="str">
        <f>IF(D136="","",VLOOKUP(D136,'G-6 Hedgerow Data'!$B$2:$AG$15,3,FALSE))</f>
        <v/>
      </c>
      <c r="H136" s="105"/>
      <c r="I136" s="282" t="str">
        <f>IFERROR(IF(AND(D136&lt;&gt;"",H136=""),"Check data ⚠", IF(H136="","",IF(AND(D136="Non-native and ornamental hedgerow", H136&lt;&gt;"Poor"),"Not possible ▲", (VLOOKUP(H136,'G-1 All Habitats'!$Z$2:$AA$9,2,FALSE))))),"")</f>
        <v/>
      </c>
      <c r="J136" s="105"/>
      <c r="K136" s="289" t="str">
        <f>IF(AND(D136&lt;&gt;"",J136=""),"Check data ⚠", IF(J136="","",IF(VLOOKUP(J136,'G-3 Multipliers'!$L$3:$N$6,2,FALSE)=0,"Spatial Data Missing",VLOOKUP(J136,'G-3 Multipliers'!$L$3:$N$6,2,FALSE))))</f>
        <v/>
      </c>
      <c r="L136" s="287" t="str">
        <f>IF(J136="","",IF(VLOOKUP(J136,'G-3 Multipliers'!$L$3:$N$6,3,FALSE)=0,"Spatial Data Missing ⚠",VLOOKUP(J136,'G-3 Multipliers'!$L$3:$N$6,3,FALSE)))</f>
        <v/>
      </c>
      <c r="M136" s="288" t="str">
        <f>IF(D136="","",VLOOKUP(D136,'G-6 Hedgerow Data'!$B$1:$AH$15,33,FALSE))</f>
        <v/>
      </c>
      <c r="N136" s="295" t="str">
        <f t="shared" si="9"/>
        <v/>
      </c>
      <c r="O136" s="32"/>
      <c r="P136" s="109"/>
      <c r="Q136" s="142"/>
      <c r="R136" s="312" t="str">
        <f t="shared" si="10"/>
        <v/>
      </c>
      <c r="S136" s="312" t="str">
        <f t="shared" si="11"/>
        <v/>
      </c>
      <c r="T136" s="312" t="str">
        <f t="shared" si="12"/>
        <v/>
      </c>
      <c r="U136" s="333" t="str">
        <f t="shared" si="13"/>
        <v/>
      </c>
      <c r="V136" s="109"/>
      <c r="W136" s="108"/>
      <c r="X136" s="108"/>
      <c r="AE136" s="111" t="str">
        <f t="shared" si="7"/>
        <v/>
      </c>
      <c r="AF136" s="111" t="str">
        <f t="shared" si="8"/>
        <v/>
      </c>
      <c r="AH136" s="111">
        <v>127</v>
      </c>
      <c r="AJ136" s="111" t="str">
        <f t="array" ref="AJ136">IFERROR(INDEX($AH$10:$AH$258, MATCH(0, IF(TRUE=$AE$10:$AE$258, COUNTIF($AJ$9:$AJ135, $AH$10:$AH$258), ""), 0)),"")</f>
        <v/>
      </c>
      <c r="AK136" s="111" t="str">
        <f t="array" ref="AK136">IFERROR(INDEX($AH$10:$AH$258, MATCH(0, IF(TRUE=$AF$10:$AF$258, COUNTIF($AK$9:$AK135, $AH$10:$AH$258), ""), 0)),"")</f>
        <v/>
      </c>
      <c r="AL136" s="30" t="str">
        <f>IFERROR(INDEX('G-6 Hedgerow Data'!$BJ$3:$BJ$15,MATCH(D136,'G-6 Hedgerow Data'!$B$3:$B$15,0)),"")</f>
        <v/>
      </c>
    </row>
    <row r="137" spans="2:38" x14ac:dyDescent="0.25">
      <c r="B137" s="101">
        <v>128</v>
      </c>
      <c r="C137" s="142"/>
      <c r="D137" s="142"/>
      <c r="E137" s="108"/>
      <c r="F137" s="329" t="str">
        <f>IF(D137="","",VLOOKUP(D137,'G-6 Hedgerow Data'!$B$2:$AG$15,2,FALSE))</f>
        <v/>
      </c>
      <c r="G137" s="282" t="str">
        <f>IF(D137="","",VLOOKUP(D137,'G-6 Hedgerow Data'!$B$2:$AG$15,3,FALSE))</f>
        <v/>
      </c>
      <c r="H137" s="105"/>
      <c r="I137" s="282" t="str">
        <f>IFERROR(IF(AND(D137&lt;&gt;"",H137=""),"Check data ⚠", IF(H137="","",IF(AND(D137="Non-native and ornamental hedgerow", H137&lt;&gt;"Poor"),"Not possible ▲", (VLOOKUP(H137,'G-1 All Habitats'!$Z$2:$AA$9,2,FALSE))))),"")</f>
        <v/>
      </c>
      <c r="J137" s="105"/>
      <c r="K137" s="289" t="str">
        <f>IF(AND(D137&lt;&gt;"",J137=""),"Check data ⚠", IF(J137="","",IF(VLOOKUP(J137,'G-3 Multipliers'!$L$3:$N$6,2,FALSE)=0,"Spatial Data Missing",VLOOKUP(J137,'G-3 Multipliers'!$L$3:$N$6,2,FALSE))))</f>
        <v/>
      </c>
      <c r="L137" s="287" t="str">
        <f>IF(J137="","",IF(VLOOKUP(J137,'G-3 Multipliers'!$L$3:$N$6,3,FALSE)=0,"Spatial Data Missing ⚠",VLOOKUP(J137,'G-3 Multipliers'!$L$3:$N$6,3,FALSE)))</f>
        <v/>
      </c>
      <c r="M137" s="288" t="str">
        <f>IF(D137="","",VLOOKUP(D137,'G-6 Hedgerow Data'!$B$1:$AH$15,33,FALSE))</f>
        <v/>
      </c>
      <c r="N137" s="295" t="str">
        <f t="shared" si="9"/>
        <v/>
      </c>
      <c r="O137" s="32"/>
      <c r="P137" s="109"/>
      <c r="Q137" s="142"/>
      <c r="R137" s="312" t="str">
        <f t="shared" si="10"/>
        <v/>
      </c>
      <c r="S137" s="312" t="str">
        <f t="shared" si="11"/>
        <v/>
      </c>
      <c r="T137" s="312" t="str">
        <f t="shared" si="12"/>
        <v/>
      </c>
      <c r="U137" s="333" t="str">
        <f t="shared" si="13"/>
        <v/>
      </c>
      <c r="V137" s="109"/>
      <c r="W137" s="108"/>
      <c r="X137" s="108"/>
      <c r="AE137" s="111" t="str">
        <f t="shared" si="7"/>
        <v/>
      </c>
      <c r="AF137" s="111" t="str">
        <f t="shared" si="8"/>
        <v/>
      </c>
      <c r="AH137" s="111">
        <v>128</v>
      </c>
      <c r="AJ137" s="111" t="str">
        <f t="array" ref="AJ137">IFERROR(INDEX($AH$10:$AH$258, MATCH(0, IF(TRUE=$AE$10:$AE$258, COUNTIF($AJ$9:$AJ136, $AH$10:$AH$258), ""), 0)),"")</f>
        <v/>
      </c>
      <c r="AK137" s="111" t="str">
        <f t="array" ref="AK137">IFERROR(INDEX($AH$10:$AH$258, MATCH(0, IF(TRUE=$AF$10:$AF$258, COUNTIF($AK$9:$AK136, $AH$10:$AH$258), ""), 0)),"")</f>
        <v/>
      </c>
      <c r="AL137" s="30" t="str">
        <f>IFERROR(INDEX('G-6 Hedgerow Data'!$BJ$3:$BJ$15,MATCH(D137,'G-6 Hedgerow Data'!$B$3:$B$15,0)),"")</f>
        <v/>
      </c>
    </row>
    <row r="138" spans="2:38" x14ac:dyDescent="0.25">
      <c r="B138" s="101">
        <v>129</v>
      </c>
      <c r="C138" s="142"/>
      <c r="D138" s="142"/>
      <c r="E138" s="108"/>
      <c r="F138" s="329" t="str">
        <f>IF(D138="","",VLOOKUP(D138,'G-6 Hedgerow Data'!$B$2:$AG$15,2,FALSE))</f>
        <v/>
      </c>
      <c r="G138" s="282" t="str">
        <f>IF(D138="","",VLOOKUP(D138,'G-6 Hedgerow Data'!$B$2:$AG$15,3,FALSE))</f>
        <v/>
      </c>
      <c r="H138" s="105"/>
      <c r="I138" s="282" t="str">
        <f>IFERROR(IF(AND(D138&lt;&gt;"",H138=""),"Check data ⚠", IF(H138="","",IF(AND(D138="Non-native and ornamental hedgerow", H138&lt;&gt;"Poor"),"Not possible ▲", (VLOOKUP(H138,'G-1 All Habitats'!$Z$2:$AA$9,2,FALSE))))),"")</f>
        <v/>
      </c>
      <c r="J138" s="105"/>
      <c r="K138" s="289" t="str">
        <f>IF(AND(D138&lt;&gt;"",J138=""),"Check data ⚠", IF(J138="","",IF(VLOOKUP(J138,'G-3 Multipliers'!$L$3:$N$6,2,FALSE)=0,"Spatial Data Missing",VLOOKUP(J138,'G-3 Multipliers'!$L$3:$N$6,2,FALSE))))</f>
        <v/>
      </c>
      <c r="L138" s="287" t="str">
        <f>IF(J138="","",IF(VLOOKUP(J138,'G-3 Multipliers'!$L$3:$N$6,3,FALSE)=0,"Spatial Data Missing ⚠",VLOOKUP(J138,'G-3 Multipliers'!$L$3:$N$6,3,FALSE)))</f>
        <v/>
      </c>
      <c r="M138" s="288" t="str">
        <f>IF(D138="","",VLOOKUP(D138,'G-6 Hedgerow Data'!$B$1:$AH$15,33,FALSE))</f>
        <v/>
      </c>
      <c r="N138" s="295" t="str">
        <f t="shared" si="9"/>
        <v/>
      </c>
      <c r="O138" s="32"/>
      <c r="P138" s="109"/>
      <c r="Q138" s="142"/>
      <c r="R138" s="312" t="str">
        <f t="shared" si="10"/>
        <v/>
      </c>
      <c r="S138" s="312" t="str">
        <f t="shared" si="11"/>
        <v/>
      </c>
      <c r="T138" s="312" t="str">
        <f t="shared" si="12"/>
        <v/>
      </c>
      <c r="U138" s="333" t="str">
        <f t="shared" si="13"/>
        <v/>
      </c>
      <c r="V138" s="109"/>
      <c r="W138" s="108"/>
      <c r="X138" s="108"/>
      <c r="AE138" s="111" t="str">
        <f t="shared" ref="AE138:AE201" si="14">IF(D138="","",IF(P138&gt;0,TRUE,FALSE))</f>
        <v/>
      </c>
      <c r="AF138" s="111" t="str">
        <f t="shared" ref="AF138:AF201" si="15">IF(D138="","",IF(Q138&gt;0,TRUE,FALSE))</f>
        <v/>
      </c>
      <c r="AH138" s="111">
        <v>129</v>
      </c>
      <c r="AJ138" s="111" t="str">
        <f t="array" ref="AJ138">IFERROR(INDEX($AH$10:$AH$258, MATCH(0, IF(TRUE=$AE$10:$AE$258, COUNTIF($AJ$9:$AJ137, $AH$10:$AH$258), ""), 0)),"")</f>
        <v/>
      </c>
      <c r="AK138" s="111" t="str">
        <f t="array" ref="AK138">IFERROR(INDEX($AH$10:$AH$258, MATCH(0, IF(TRUE=$AF$10:$AF$258, COUNTIF($AK$9:$AK137, $AH$10:$AH$258), ""), 0)),"")</f>
        <v/>
      </c>
      <c r="AL138" s="30" t="str">
        <f>IFERROR(INDEX('G-6 Hedgerow Data'!$BJ$3:$BJ$15,MATCH(D138,'G-6 Hedgerow Data'!$B$3:$B$15,0)),"")</f>
        <v/>
      </c>
    </row>
    <row r="139" spans="2:38" x14ac:dyDescent="0.25">
      <c r="B139" s="101">
        <v>130</v>
      </c>
      <c r="C139" s="142"/>
      <c r="D139" s="142"/>
      <c r="E139" s="108"/>
      <c r="F139" s="329" t="str">
        <f>IF(D139="","",VLOOKUP(D139,'G-6 Hedgerow Data'!$B$2:$AG$15,2,FALSE))</f>
        <v/>
      </c>
      <c r="G139" s="282" t="str">
        <f>IF(D139="","",VLOOKUP(D139,'G-6 Hedgerow Data'!$B$2:$AG$15,3,FALSE))</f>
        <v/>
      </c>
      <c r="H139" s="105"/>
      <c r="I139" s="282" t="str">
        <f>IFERROR(IF(AND(D139&lt;&gt;"",H139=""),"Check data ⚠", IF(H139="","",IF(AND(D139="Non-native and ornamental hedgerow", H139&lt;&gt;"Poor"),"Not possible ▲", (VLOOKUP(H139,'G-1 All Habitats'!$Z$2:$AA$9,2,FALSE))))),"")</f>
        <v/>
      </c>
      <c r="J139" s="105"/>
      <c r="K139" s="289" t="str">
        <f>IF(AND(D139&lt;&gt;"",J139=""),"Check data ⚠", IF(J139="","",IF(VLOOKUP(J139,'G-3 Multipliers'!$L$3:$N$6,2,FALSE)=0,"Spatial Data Missing",VLOOKUP(J139,'G-3 Multipliers'!$L$3:$N$6,2,FALSE))))</f>
        <v/>
      </c>
      <c r="L139" s="287" t="str">
        <f>IF(J139="","",IF(VLOOKUP(J139,'G-3 Multipliers'!$L$3:$N$6,3,FALSE)=0,"Spatial Data Missing ⚠",VLOOKUP(J139,'G-3 Multipliers'!$L$3:$N$6,3,FALSE)))</f>
        <v/>
      </c>
      <c r="M139" s="288" t="str">
        <f>IF(D139="","",VLOOKUP(D139,'G-6 Hedgerow Data'!$B$1:$AH$15,33,FALSE))</f>
        <v/>
      </c>
      <c r="N139" s="295" t="str">
        <f t="shared" ref="N139:N202" si="16">IFERROR(IF(OR(K139="Check data ⚠",I139="Check data ⚠",R139="Error in lengths ▲"), "Check data ▲", (E139*G139*I139*L139)),"")</f>
        <v/>
      </c>
      <c r="O139" s="32"/>
      <c r="P139" s="109"/>
      <c r="Q139" s="142"/>
      <c r="R139" s="312" t="str">
        <f t="shared" ref="R139:R202" si="17">IFERROR(P139*G139*I139*L139,"")</f>
        <v/>
      </c>
      <c r="S139" s="312" t="str">
        <f t="shared" ref="S139:S202" si="18">IFERROR(Q139*G139*I139*L139,"")</f>
        <v/>
      </c>
      <c r="T139" s="312" t="str">
        <f t="shared" ref="T139:T202" si="19">IF(D139="","",IF(E139-P139-Q139=0&lt;0,"Error in lengths ▲",IF(P139+Q139&gt;E139,"Error in Lengths ▲",E139-P139-Q139)))</f>
        <v/>
      </c>
      <c r="U139" s="333" t="str">
        <f t="shared" ref="U139:U202" si="20">IFERROR(IF(OR(E139="",N139=""),"",IF(E139-P139-Q139=0&lt;0,"Error in Lengths ▲",IF(P139+Q139&gt;E139,"Error in Lengths ▲",N139-R139-S139))),"Check data ⚠")</f>
        <v/>
      </c>
      <c r="V139" s="109"/>
      <c r="W139" s="108"/>
      <c r="X139" s="108"/>
      <c r="AE139" s="111" t="str">
        <f t="shared" si="14"/>
        <v/>
      </c>
      <c r="AF139" s="111" t="str">
        <f t="shared" si="15"/>
        <v/>
      </c>
      <c r="AH139" s="111">
        <v>130</v>
      </c>
      <c r="AJ139" s="111" t="str">
        <f t="array" ref="AJ139">IFERROR(INDEX($AH$10:$AH$258, MATCH(0, IF(TRUE=$AE$10:$AE$258, COUNTIF($AJ$9:$AJ138, $AH$10:$AH$258), ""), 0)),"")</f>
        <v/>
      </c>
      <c r="AK139" s="111" t="str">
        <f t="array" ref="AK139">IFERROR(INDEX($AH$10:$AH$258, MATCH(0, IF(TRUE=$AF$10:$AF$258, COUNTIF($AK$9:$AK138, $AH$10:$AH$258), ""), 0)),"")</f>
        <v/>
      </c>
      <c r="AL139" s="30" t="str">
        <f>IFERROR(INDEX('G-6 Hedgerow Data'!$BJ$3:$BJ$15,MATCH(D139,'G-6 Hedgerow Data'!$B$3:$B$15,0)),"")</f>
        <v/>
      </c>
    </row>
    <row r="140" spans="2:38" x14ac:dyDescent="0.25">
      <c r="B140" s="101">
        <v>131</v>
      </c>
      <c r="C140" s="142"/>
      <c r="D140" s="142"/>
      <c r="E140" s="108"/>
      <c r="F140" s="329" t="str">
        <f>IF(D140="","",VLOOKUP(D140,'G-6 Hedgerow Data'!$B$2:$AG$15,2,FALSE))</f>
        <v/>
      </c>
      <c r="G140" s="282" t="str">
        <f>IF(D140="","",VLOOKUP(D140,'G-6 Hedgerow Data'!$B$2:$AG$15,3,FALSE))</f>
        <v/>
      </c>
      <c r="H140" s="105"/>
      <c r="I140" s="282" t="str">
        <f>IFERROR(IF(AND(D140&lt;&gt;"",H140=""),"Check data ⚠", IF(H140="","",IF(AND(D140="Non-native and ornamental hedgerow", H140&lt;&gt;"Poor"),"Not possible ▲", (VLOOKUP(H140,'G-1 All Habitats'!$Z$2:$AA$9,2,FALSE))))),"")</f>
        <v/>
      </c>
      <c r="J140" s="105"/>
      <c r="K140" s="289" t="str">
        <f>IF(AND(D140&lt;&gt;"",J140=""),"Check data ⚠", IF(J140="","",IF(VLOOKUP(J140,'G-3 Multipliers'!$L$3:$N$6,2,FALSE)=0,"Spatial Data Missing",VLOOKUP(J140,'G-3 Multipliers'!$L$3:$N$6,2,FALSE))))</f>
        <v/>
      </c>
      <c r="L140" s="287" t="str">
        <f>IF(J140="","",IF(VLOOKUP(J140,'G-3 Multipliers'!$L$3:$N$6,3,FALSE)=0,"Spatial Data Missing ⚠",VLOOKUP(J140,'G-3 Multipliers'!$L$3:$N$6,3,FALSE)))</f>
        <v/>
      </c>
      <c r="M140" s="288" t="str">
        <f>IF(D140="","",VLOOKUP(D140,'G-6 Hedgerow Data'!$B$1:$AH$15,33,FALSE))</f>
        <v/>
      </c>
      <c r="N140" s="295" t="str">
        <f t="shared" si="16"/>
        <v/>
      </c>
      <c r="O140" s="32"/>
      <c r="P140" s="109"/>
      <c r="Q140" s="142"/>
      <c r="R140" s="312" t="str">
        <f t="shared" si="17"/>
        <v/>
      </c>
      <c r="S140" s="312" t="str">
        <f t="shared" si="18"/>
        <v/>
      </c>
      <c r="T140" s="312" t="str">
        <f t="shared" si="19"/>
        <v/>
      </c>
      <c r="U140" s="333" t="str">
        <f t="shared" si="20"/>
        <v/>
      </c>
      <c r="V140" s="109"/>
      <c r="W140" s="108"/>
      <c r="X140" s="108"/>
      <c r="AE140" s="111" t="str">
        <f t="shared" si="14"/>
        <v/>
      </c>
      <c r="AF140" s="111" t="str">
        <f t="shared" si="15"/>
        <v/>
      </c>
      <c r="AH140" s="111">
        <v>131</v>
      </c>
      <c r="AJ140" s="111" t="str">
        <f t="array" ref="AJ140">IFERROR(INDEX($AH$10:$AH$258, MATCH(0, IF(TRUE=$AE$10:$AE$258, COUNTIF($AJ$9:$AJ139, $AH$10:$AH$258), ""), 0)),"")</f>
        <v/>
      </c>
      <c r="AK140" s="111" t="str">
        <f t="array" ref="AK140">IFERROR(INDEX($AH$10:$AH$258, MATCH(0, IF(TRUE=$AF$10:$AF$258, COUNTIF($AK$9:$AK139, $AH$10:$AH$258), ""), 0)),"")</f>
        <v/>
      </c>
      <c r="AL140" s="30" t="str">
        <f>IFERROR(INDEX('G-6 Hedgerow Data'!$BJ$3:$BJ$15,MATCH(D140,'G-6 Hedgerow Data'!$B$3:$B$15,0)),"")</f>
        <v/>
      </c>
    </row>
    <row r="141" spans="2:38" x14ac:dyDescent="0.25">
      <c r="B141" s="101">
        <v>132</v>
      </c>
      <c r="C141" s="142"/>
      <c r="D141" s="142"/>
      <c r="E141" s="108"/>
      <c r="F141" s="329" t="str">
        <f>IF(D141="","",VLOOKUP(D141,'G-6 Hedgerow Data'!$B$2:$AG$15,2,FALSE))</f>
        <v/>
      </c>
      <c r="G141" s="282" t="str">
        <f>IF(D141="","",VLOOKUP(D141,'G-6 Hedgerow Data'!$B$2:$AG$15,3,FALSE))</f>
        <v/>
      </c>
      <c r="H141" s="105"/>
      <c r="I141" s="282" t="str">
        <f>IFERROR(IF(AND(D141&lt;&gt;"",H141=""),"Check data ⚠", IF(H141="","",IF(AND(D141="Non-native and ornamental hedgerow", H141&lt;&gt;"Poor"),"Not possible ▲", (VLOOKUP(H141,'G-1 All Habitats'!$Z$2:$AA$9,2,FALSE))))),"")</f>
        <v/>
      </c>
      <c r="J141" s="105"/>
      <c r="K141" s="289" t="str">
        <f>IF(AND(D141&lt;&gt;"",J141=""),"Check data ⚠", IF(J141="","",IF(VLOOKUP(J141,'G-3 Multipliers'!$L$3:$N$6,2,FALSE)=0,"Spatial Data Missing",VLOOKUP(J141,'G-3 Multipliers'!$L$3:$N$6,2,FALSE))))</f>
        <v/>
      </c>
      <c r="L141" s="287" t="str">
        <f>IF(J141="","",IF(VLOOKUP(J141,'G-3 Multipliers'!$L$3:$N$6,3,FALSE)=0,"Spatial Data Missing ⚠",VLOOKUP(J141,'G-3 Multipliers'!$L$3:$N$6,3,FALSE)))</f>
        <v/>
      </c>
      <c r="M141" s="288" t="str">
        <f>IF(D141="","",VLOOKUP(D141,'G-6 Hedgerow Data'!$B$1:$AH$15,33,FALSE))</f>
        <v/>
      </c>
      <c r="N141" s="295" t="str">
        <f t="shared" si="16"/>
        <v/>
      </c>
      <c r="O141" s="32"/>
      <c r="P141" s="109"/>
      <c r="Q141" s="142"/>
      <c r="R141" s="312" t="str">
        <f t="shared" si="17"/>
        <v/>
      </c>
      <c r="S141" s="312" t="str">
        <f t="shared" si="18"/>
        <v/>
      </c>
      <c r="T141" s="312" t="str">
        <f t="shared" si="19"/>
        <v/>
      </c>
      <c r="U141" s="333" t="str">
        <f t="shared" si="20"/>
        <v/>
      </c>
      <c r="V141" s="109"/>
      <c r="W141" s="108"/>
      <c r="X141" s="108"/>
      <c r="AE141" s="111" t="str">
        <f t="shared" si="14"/>
        <v/>
      </c>
      <c r="AF141" s="111" t="str">
        <f t="shared" si="15"/>
        <v/>
      </c>
      <c r="AH141" s="111">
        <v>132</v>
      </c>
      <c r="AJ141" s="111" t="str">
        <f t="array" ref="AJ141">IFERROR(INDEX($AH$10:$AH$258, MATCH(0, IF(TRUE=$AE$10:$AE$258, COUNTIF($AJ$9:$AJ140, $AH$10:$AH$258), ""), 0)),"")</f>
        <v/>
      </c>
      <c r="AK141" s="111" t="str">
        <f t="array" ref="AK141">IFERROR(INDEX($AH$10:$AH$258, MATCH(0, IF(TRUE=$AF$10:$AF$258, COUNTIF($AK$9:$AK140, $AH$10:$AH$258), ""), 0)),"")</f>
        <v/>
      </c>
      <c r="AL141" s="30" t="str">
        <f>IFERROR(INDEX('G-6 Hedgerow Data'!$BJ$3:$BJ$15,MATCH(D141,'G-6 Hedgerow Data'!$B$3:$B$15,0)),"")</f>
        <v/>
      </c>
    </row>
    <row r="142" spans="2:38" x14ac:dyDescent="0.25">
      <c r="B142" s="101">
        <v>133</v>
      </c>
      <c r="C142" s="142"/>
      <c r="D142" s="142"/>
      <c r="E142" s="108"/>
      <c r="F142" s="329" t="str">
        <f>IF(D142="","",VLOOKUP(D142,'G-6 Hedgerow Data'!$B$2:$AG$15,2,FALSE))</f>
        <v/>
      </c>
      <c r="G142" s="282" t="str">
        <f>IF(D142="","",VLOOKUP(D142,'G-6 Hedgerow Data'!$B$2:$AG$15,3,FALSE))</f>
        <v/>
      </c>
      <c r="H142" s="105"/>
      <c r="I142" s="282" t="str">
        <f>IFERROR(IF(AND(D142&lt;&gt;"",H142=""),"Check data ⚠", IF(H142="","",IF(AND(D142="Non-native and ornamental hedgerow", H142&lt;&gt;"Poor"),"Not possible ▲", (VLOOKUP(H142,'G-1 All Habitats'!$Z$2:$AA$9,2,FALSE))))),"")</f>
        <v/>
      </c>
      <c r="J142" s="105"/>
      <c r="K142" s="289" t="str">
        <f>IF(AND(D142&lt;&gt;"",J142=""),"Check data ⚠", IF(J142="","",IF(VLOOKUP(J142,'G-3 Multipliers'!$L$3:$N$6,2,FALSE)=0,"Spatial Data Missing",VLOOKUP(J142,'G-3 Multipliers'!$L$3:$N$6,2,FALSE))))</f>
        <v/>
      </c>
      <c r="L142" s="287" t="str">
        <f>IF(J142="","",IF(VLOOKUP(J142,'G-3 Multipliers'!$L$3:$N$6,3,FALSE)=0,"Spatial Data Missing ⚠",VLOOKUP(J142,'G-3 Multipliers'!$L$3:$N$6,3,FALSE)))</f>
        <v/>
      </c>
      <c r="M142" s="288" t="str">
        <f>IF(D142="","",VLOOKUP(D142,'G-6 Hedgerow Data'!$B$1:$AH$15,33,FALSE))</f>
        <v/>
      </c>
      <c r="N142" s="295" t="str">
        <f t="shared" si="16"/>
        <v/>
      </c>
      <c r="O142" s="32"/>
      <c r="P142" s="109"/>
      <c r="Q142" s="142"/>
      <c r="R142" s="312" t="str">
        <f t="shared" si="17"/>
        <v/>
      </c>
      <c r="S142" s="312" t="str">
        <f t="shared" si="18"/>
        <v/>
      </c>
      <c r="T142" s="312" t="str">
        <f t="shared" si="19"/>
        <v/>
      </c>
      <c r="U142" s="333" t="str">
        <f t="shared" si="20"/>
        <v/>
      </c>
      <c r="V142" s="109"/>
      <c r="W142" s="108"/>
      <c r="X142" s="108"/>
      <c r="AE142" s="111" t="str">
        <f t="shared" si="14"/>
        <v/>
      </c>
      <c r="AF142" s="111" t="str">
        <f t="shared" si="15"/>
        <v/>
      </c>
      <c r="AH142" s="111">
        <v>133</v>
      </c>
      <c r="AJ142" s="111" t="str">
        <f t="array" ref="AJ142">IFERROR(INDEX($AH$10:$AH$258, MATCH(0, IF(TRUE=$AE$10:$AE$258, COUNTIF($AJ$9:$AJ141, $AH$10:$AH$258), ""), 0)),"")</f>
        <v/>
      </c>
      <c r="AK142" s="111" t="str">
        <f t="array" ref="AK142">IFERROR(INDEX($AH$10:$AH$258, MATCH(0, IF(TRUE=$AF$10:$AF$258, COUNTIF($AK$9:$AK141, $AH$10:$AH$258), ""), 0)),"")</f>
        <v/>
      </c>
      <c r="AL142" s="30" t="str">
        <f>IFERROR(INDEX('G-6 Hedgerow Data'!$BJ$3:$BJ$15,MATCH(D142,'G-6 Hedgerow Data'!$B$3:$B$15,0)),"")</f>
        <v/>
      </c>
    </row>
    <row r="143" spans="2:38" x14ac:dyDescent="0.25">
      <c r="B143" s="101">
        <v>134</v>
      </c>
      <c r="C143" s="142"/>
      <c r="D143" s="142"/>
      <c r="E143" s="108"/>
      <c r="F143" s="329" t="str">
        <f>IF(D143="","",VLOOKUP(D143,'G-6 Hedgerow Data'!$B$2:$AG$15,2,FALSE))</f>
        <v/>
      </c>
      <c r="G143" s="282" t="str">
        <f>IF(D143="","",VLOOKUP(D143,'G-6 Hedgerow Data'!$B$2:$AG$15,3,FALSE))</f>
        <v/>
      </c>
      <c r="H143" s="105"/>
      <c r="I143" s="282" t="str">
        <f>IFERROR(IF(AND(D143&lt;&gt;"",H143=""),"Check data ⚠", IF(H143="","",IF(AND(D143="Non-native and ornamental hedgerow", H143&lt;&gt;"Poor"),"Not possible ▲", (VLOOKUP(H143,'G-1 All Habitats'!$Z$2:$AA$9,2,FALSE))))),"")</f>
        <v/>
      </c>
      <c r="J143" s="105"/>
      <c r="K143" s="289" t="str">
        <f>IF(AND(D143&lt;&gt;"",J143=""),"Check data ⚠", IF(J143="","",IF(VLOOKUP(J143,'G-3 Multipliers'!$L$3:$N$6,2,FALSE)=0,"Spatial Data Missing",VLOOKUP(J143,'G-3 Multipliers'!$L$3:$N$6,2,FALSE))))</f>
        <v/>
      </c>
      <c r="L143" s="287" t="str">
        <f>IF(J143="","",IF(VLOOKUP(J143,'G-3 Multipliers'!$L$3:$N$6,3,FALSE)=0,"Spatial Data Missing ⚠",VLOOKUP(J143,'G-3 Multipliers'!$L$3:$N$6,3,FALSE)))</f>
        <v/>
      </c>
      <c r="M143" s="288" t="str">
        <f>IF(D143="","",VLOOKUP(D143,'G-6 Hedgerow Data'!$B$1:$AH$15,33,FALSE))</f>
        <v/>
      </c>
      <c r="N143" s="295" t="str">
        <f t="shared" si="16"/>
        <v/>
      </c>
      <c r="O143" s="32"/>
      <c r="P143" s="109"/>
      <c r="Q143" s="142"/>
      <c r="R143" s="312" t="str">
        <f t="shared" si="17"/>
        <v/>
      </c>
      <c r="S143" s="312" t="str">
        <f t="shared" si="18"/>
        <v/>
      </c>
      <c r="T143" s="312" t="str">
        <f t="shared" si="19"/>
        <v/>
      </c>
      <c r="U143" s="333" t="str">
        <f t="shared" si="20"/>
        <v/>
      </c>
      <c r="V143" s="109"/>
      <c r="W143" s="108"/>
      <c r="X143" s="108"/>
      <c r="AE143" s="111" t="str">
        <f t="shared" si="14"/>
        <v/>
      </c>
      <c r="AF143" s="111" t="str">
        <f t="shared" si="15"/>
        <v/>
      </c>
      <c r="AH143" s="111">
        <v>134</v>
      </c>
      <c r="AJ143" s="111" t="str">
        <f t="array" ref="AJ143">IFERROR(INDEX($AH$10:$AH$258, MATCH(0, IF(TRUE=$AE$10:$AE$258, COUNTIF($AJ$9:$AJ142, $AH$10:$AH$258), ""), 0)),"")</f>
        <v/>
      </c>
      <c r="AK143" s="111" t="str">
        <f t="array" ref="AK143">IFERROR(INDEX($AH$10:$AH$258, MATCH(0, IF(TRUE=$AF$10:$AF$258, COUNTIF($AK$9:$AK142, $AH$10:$AH$258), ""), 0)),"")</f>
        <v/>
      </c>
      <c r="AL143" s="30" t="str">
        <f>IFERROR(INDEX('G-6 Hedgerow Data'!$BJ$3:$BJ$15,MATCH(D143,'G-6 Hedgerow Data'!$B$3:$B$15,0)),"")</f>
        <v/>
      </c>
    </row>
    <row r="144" spans="2:38" x14ac:dyDescent="0.25">
      <c r="B144" s="101">
        <v>135</v>
      </c>
      <c r="C144" s="142"/>
      <c r="D144" s="142"/>
      <c r="E144" s="108"/>
      <c r="F144" s="329" t="str">
        <f>IF(D144="","",VLOOKUP(D144,'G-6 Hedgerow Data'!$B$2:$AG$15,2,FALSE))</f>
        <v/>
      </c>
      <c r="G144" s="282" t="str">
        <f>IF(D144="","",VLOOKUP(D144,'G-6 Hedgerow Data'!$B$2:$AG$15,3,FALSE))</f>
        <v/>
      </c>
      <c r="H144" s="105"/>
      <c r="I144" s="282" t="str">
        <f>IFERROR(IF(AND(D144&lt;&gt;"",H144=""),"Check data ⚠", IF(H144="","",IF(AND(D144="Non-native and ornamental hedgerow", H144&lt;&gt;"Poor"),"Not possible ▲", (VLOOKUP(H144,'G-1 All Habitats'!$Z$2:$AA$9,2,FALSE))))),"")</f>
        <v/>
      </c>
      <c r="J144" s="105"/>
      <c r="K144" s="289" t="str">
        <f>IF(AND(D144&lt;&gt;"",J144=""),"Check data ⚠", IF(J144="","",IF(VLOOKUP(J144,'G-3 Multipliers'!$L$3:$N$6,2,FALSE)=0,"Spatial Data Missing",VLOOKUP(J144,'G-3 Multipliers'!$L$3:$N$6,2,FALSE))))</f>
        <v/>
      </c>
      <c r="L144" s="287" t="str">
        <f>IF(J144="","",IF(VLOOKUP(J144,'G-3 Multipliers'!$L$3:$N$6,3,FALSE)=0,"Spatial Data Missing ⚠",VLOOKUP(J144,'G-3 Multipliers'!$L$3:$N$6,3,FALSE)))</f>
        <v/>
      </c>
      <c r="M144" s="288" t="str">
        <f>IF(D144="","",VLOOKUP(D144,'G-6 Hedgerow Data'!$B$1:$AH$15,33,FALSE))</f>
        <v/>
      </c>
      <c r="N144" s="295" t="str">
        <f t="shared" si="16"/>
        <v/>
      </c>
      <c r="O144" s="32"/>
      <c r="P144" s="109"/>
      <c r="Q144" s="142"/>
      <c r="R144" s="312" t="str">
        <f t="shared" si="17"/>
        <v/>
      </c>
      <c r="S144" s="312" t="str">
        <f t="shared" si="18"/>
        <v/>
      </c>
      <c r="T144" s="312" t="str">
        <f t="shared" si="19"/>
        <v/>
      </c>
      <c r="U144" s="333" t="str">
        <f t="shared" si="20"/>
        <v/>
      </c>
      <c r="V144" s="109"/>
      <c r="W144" s="108"/>
      <c r="X144" s="108"/>
      <c r="AE144" s="111" t="str">
        <f t="shared" si="14"/>
        <v/>
      </c>
      <c r="AF144" s="111" t="str">
        <f t="shared" si="15"/>
        <v/>
      </c>
      <c r="AH144" s="111">
        <v>135</v>
      </c>
      <c r="AJ144" s="111" t="str">
        <f t="array" ref="AJ144">IFERROR(INDEX($AH$10:$AH$258, MATCH(0, IF(TRUE=$AE$10:$AE$258, COUNTIF($AJ$9:$AJ143, $AH$10:$AH$258), ""), 0)),"")</f>
        <v/>
      </c>
      <c r="AK144" s="111" t="str">
        <f t="array" ref="AK144">IFERROR(INDEX($AH$10:$AH$258, MATCH(0, IF(TRUE=$AF$10:$AF$258, COUNTIF($AK$9:$AK143, $AH$10:$AH$258), ""), 0)),"")</f>
        <v/>
      </c>
      <c r="AL144" s="30" t="str">
        <f>IFERROR(INDEX('G-6 Hedgerow Data'!$BJ$3:$BJ$15,MATCH(D144,'G-6 Hedgerow Data'!$B$3:$B$15,0)),"")</f>
        <v/>
      </c>
    </row>
    <row r="145" spans="2:38" x14ac:dyDescent="0.25">
      <c r="B145" s="101">
        <v>136</v>
      </c>
      <c r="C145" s="142"/>
      <c r="D145" s="142"/>
      <c r="E145" s="108"/>
      <c r="F145" s="329" t="str">
        <f>IF(D145="","",VLOOKUP(D145,'G-6 Hedgerow Data'!$B$2:$AG$15,2,FALSE))</f>
        <v/>
      </c>
      <c r="G145" s="282" t="str">
        <f>IF(D145="","",VLOOKUP(D145,'G-6 Hedgerow Data'!$B$2:$AG$15,3,FALSE))</f>
        <v/>
      </c>
      <c r="H145" s="105"/>
      <c r="I145" s="282" t="str">
        <f>IFERROR(IF(AND(D145&lt;&gt;"",H145=""),"Check data ⚠", IF(H145="","",IF(AND(D145="Non-native and ornamental hedgerow", H145&lt;&gt;"Poor"),"Not possible ▲", (VLOOKUP(H145,'G-1 All Habitats'!$Z$2:$AA$9,2,FALSE))))),"")</f>
        <v/>
      </c>
      <c r="J145" s="105"/>
      <c r="K145" s="289" t="str">
        <f>IF(AND(D145&lt;&gt;"",J145=""),"Check data ⚠", IF(J145="","",IF(VLOOKUP(J145,'G-3 Multipliers'!$L$3:$N$6,2,FALSE)=0,"Spatial Data Missing",VLOOKUP(J145,'G-3 Multipliers'!$L$3:$N$6,2,FALSE))))</f>
        <v/>
      </c>
      <c r="L145" s="287" t="str">
        <f>IF(J145="","",IF(VLOOKUP(J145,'G-3 Multipliers'!$L$3:$N$6,3,FALSE)=0,"Spatial Data Missing ⚠",VLOOKUP(J145,'G-3 Multipliers'!$L$3:$N$6,3,FALSE)))</f>
        <v/>
      </c>
      <c r="M145" s="288" t="str">
        <f>IF(D145="","",VLOOKUP(D145,'G-6 Hedgerow Data'!$B$1:$AH$15,33,FALSE))</f>
        <v/>
      </c>
      <c r="N145" s="295" t="str">
        <f t="shared" si="16"/>
        <v/>
      </c>
      <c r="O145" s="32"/>
      <c r="P145" s="109"/>
      <c r="Q145" s="142"/>
      <c r="R145" s="312" t="str">
        <f t="shared" si="17"/>
        <v/>
      </c>
      <c r="S145" s="312" t="str">
        <f t="shared" si="18"/>
        <v/>
      </c>
      <c r="T145" s="312" t="str">
        <f t="shared" si="19"/>
        <v/>
      </c>
      <c r="U145" s="333" t="str">
        <f t="shared" si="20"/>
        <v/>
      </c>
      <c r="V145" s="109"/>
      <c r="W145" s="108"/>
      <c r="X145" s="108"/>
      <c r="AE145" s="111" t="str">
        <f t="shared" si="14"/>
        <v/>
      </c>
      <c r="AF145" s="111" t="str">
        <f t="shared" si="15"/>
        <v/>
      </c>
      <c r="AH145" s="111">
        <v>136</v>
      </c>
      <c r="AJ145" s="111" t="str">
        <f t="array" ref="AJ145">IFERROR(INDEX($AH$10:$AH$258, MATCH(0, IF(TRUE=$AE$10:$AE$258, COUNTIF($AJ$9:$AJ144, $AH$10:$AH$258), ""), 0)),"")</f>
        <v/>
      </c>
      <c r="AK145" s="111" t="str">
        <f t="array" ref="AK145">IFERROR(INDEX($AH$10:$AH$258, MATCH(0, IF(TRUE=$AF$10:$AF$258, COUNTIF($AK$9:$AK144, $AH$10:$AH$258), ""), 0)),"")</f>
        <v/>
      </c>
      <c r="AL145" s="30" t="str">
        <f>IFERROR(INDEX('G-6 Hedgerow Data'!$BJ$3:$BJ$15,MATCH(D145,'G-6 Hedgerow Data'!$B$3:$B$15,0)),"")</f>
        <v/>
      </c>
    </row>
    <row r="146" spans="2:38" x14ac:dyDescent="0.25">
      <c r="B146" s="101">
        <v>137</v>
      </c>
      <c r="C146" s="142"/>
      <c r="D146" s="142"/>
      <c r="E146" s="108"/>
      <c r="F146" s="329" t="str">
        <f>IF(D146="","",VLOOKUP(D146,'G-6 Hedgerow Data'!$B$2:$AG$15,2,FALSE))</f>
        <v/>
      </c>
      <c r="G146" s="282" t="str">
        <f>IF(D146="","",VLOOKUP(D146,'G-6 Hedgerow Data'!$B$2:$AG$15,3,FALSE))</f>
        <v/>
      </c>
      <c r="H146" s="105"/>
      <c r="I146" s="282" t="str">
        <f>IFERROR(IF(AND(D146&lt;&gt;"",H146=""),"Check data ⚠", IF(H146="","",IF(AND(D146="Non-native and ornamental hedgerow", H146&lt;&gt;"Poor"),"Not possible ▲", (VLOOKUP(H146,'G-1 All Habitats'!$Z$2:$AA$9,2,FALSE))))),"")</f>
        <v/>
      </c>
      <c r="J146" s="105"/>
      <c r="K146" s="289" t="str">
        <f>IF(AND(D146&lt;&gt;"",J146=""),"Check data ⚠", IF(J146="","",IF(VLOOKUP(J146,'G-3 Multipliers'!$L$3:$N$6,2,FALSE)=0,"Spatial Data Missing",VLOOKUP(J146,'G-3 Multipliers'!$L$3:$N$6,2,FALSE))))</f>
        <v/>
      </c>
      <c r="L146" s="287" t="str">
        <f>IF(J146="","",IF(VLOOKUP(J146,'G-3 Multipliers'!$L$3:$N$6,3,FALSE)=0,"Spatial Data Missing ⚠",VLOOKUP(J146,'G-3 Multipliers'!$L$3:$N$6,3,FALSE)))</f>
        <v/>
      </c>
      <c r="M146" s="288" t="str">
        <f>IF(D146="","",VLOOKUP(D146,'G-6 Hedgerow Data'!$B$1:$AH$15,33,FALSE))</f>
        <v/>
      </c>
      <c r="N146" s="295" t="str">
        <f t="shared" si="16"/>
        <v/>
      </c>
      <c r="O146" s="32"/>
      <c r="P146" s="109"/>
      <c r="Q146" s="142"/>
      <c r="R146" s="312" t="str">
        <f t="shared" si="17"/>
        <v/>
      </c>
      <c r="S146" s="312" t="str">
        <f t="shared" si="18"/>
        <v/>
      </c>
      <c r="T146" s="312" t="str">
        <f t="shared" si="19"/>
        <v/>
      </c>
      <c r="U146" s="333" t="str">
        <f t="shared" si="20"/>
        <v/>
      </c>
      <c r="V146" s="109"/>
      <c r="W146" s="108"/>
      <c r="X146" s="108"/>
      <c r="AE146" s="111" t="str">
        <f t="shared" si="14"/>
        <v/>
      </c>
      <c r="AF146" s="111" t="str">
        <f t="shared" si="15"/>
        <v/>
      </c>
      <c r="AH146" s="111">
        <v>137</v>
      </c>
      <c r="AJ146" s="111" t="str">
        <f t="array" ref="AJ146">IFERROR(INDEX($AH$10:$AH$258, MATCH(0, IF(TRUE=$AE$10:$AE$258, COUNTIF($AJ$9:$AJ145, $AH$10:$AH$258), ""), 0)),"")</f>
        <v/>
      </c>
      <c r="AK146" s="111" t="str">
        <f t="array" ref="AK146">IFERROR(INDEX($AH$10:$AH$258, MATCH(0, IF(TRUE=$AF$10:$AF$258, COUNTIF($AK$9:$AK145, $AH$10:$AH$258), ""), 0)),"")</f>
        <v/>
      </c>
      <c r="AL146" s="30" t="str">
        <f>IFERROR(INDEX('G-6 Hedgerow Data'!$BJ$3:$BJ$15,MATCH(D146,'G-6 Hedgerow Data'!$B$3:$B$15,0)),"")</f>
        <v/>
      </c>
    </row>
    <row r="147" spans="2:38" x14ac:dyDescent="0.25">
      <c r="B147" s="101">
        <v>138</v>
      </c>
      <c r="C147" s="142"/>
      <c r="D147" s="142"/>
      <c r="E147" s="108"/>
      <c r="F147" s="329" t="str">
        <f>IF(D147="","",VLOOKUP(D147,'G-6 Hedgerow Data'!$B$2:$AG$15,2,FALSE))</f>
        <v/>
      </c>
      <c r="G147" s="282" t="str">
        <f>IF(D147="","",VLOOKUP(D147,'G-6 Hedgerow Data'!$B$2:$AG$15,3,FALSE))</f>
        <v/>
      </c>
      <c r="H147" s="105"/>
      <c r="I147" s="282" t="str">
        <f>IFERROR(IF(AND(D147&lt;&gt;"",H147=""),"Check data ⚠", IF(H147="","",IF(AND(D147="Non-native and ornamental hedgerow", H147&lt;&gt;"Poor"),"Not possible ▲", (VLOOKUP(H147,'G-1 All Habitats'!$Z$2:$AA$9,2,FALSE))))),"")</f>
        <v/>
      </c>
      <c r="J147" s="105"/>
      <c r="K147" s="289" t="str">
        <f>IF(AND(D147&lt;&gt;"",J147=""),"Check data ⚠", IF(J147="","",IF(VLOOKUP(J147,'G-3 Multipliers'!$L$3:$N$6,2,FALSE)=0,"Spatial Data Missing",VLOOKUP(J147,'G-3 Multipliers'!$L$3:$N$6,2,FALSE))))</f>
        <v/>
      </c>
      <c r="L147" s="287" t="str">
        <f>IF(J147="","",IF(VLOOKUP(J147,'G-3 Multipliers'!$L$3:$N$6,3,FALSE)=0,"Spatial Data Missing ⚠",VLOOKUP(J147,'G-3 Multipliers'!$L$3:$N$6,3,FALSE)))</f>
        <v/>
      </c>
      <c r="M147" s="288" t="str">
        <f>IF(D147="","",VLOOKUP(D147,'G-6 Hedgerow Data'!$B$1:$AH$15,33,FALSE))</f>
        <v/>
      </c>
      <c r="N147" s="295" t="str">
        <f t="shared" si="16"/>
        <v/>
      </c>
      <c r="O147" s="32"/>
      <c r="P147" s="109"/>
      <c r="Q147" s="142"/>
      <c r="R147" s="312" t="str">
        <f t="shared" si="17"/>
        <v/>
      </c>
      <c r="S147" s="312" t="str">
        <f t="shared" si="18"/>
        <v/>
      </c>
      <c r="T147" s="312" t="str">
        <f t="shared" si="19"/>
        <v/>
      </c>
      <c r="U147" s="333" t="str">
        <f t="shared" si="20"/>
        <v/>
      </c>
      <c r="V147" s="109"/>
      <c r="W147" s="108"/>
      <c r="X147" s="108"/>
      <c r="AE147" s="111" t="str">
        <f t="shared" si="14"/>
        <v/>
      </c>
      <c r="AF147" s="111" t="str">
        <f t="shared" si="15"/>
        <v/>
      </c>
      <c r="AH147" s="111">
        <v>138</v>
      </c>
      <c r="AJ147" s="111" t="str">
        <f t="array" ref="AJ147">IFERROR(INDEX($AH$10:$AH$258, MATCH(0, IF(TRUE=$AE$10:$AE$258, COUNTIF($AJ$9:$AJ146, $AH$10:$AH$258), ""), 0)),"")</f>
        <v/>
      </c>
      <c r="AK147" s="111" t="str">
        <f t="array" ref="AK147">IFERROR(INDEX($AH$10:$AH$258, MATCH(0, IF(TRUE=$AF$10:$AF$258, COUNTIF($AK$9:$AK146, $AH$10:$AH$258), ""), 0)),"")</f>
        <v/>
      </c>
      <c r="AL147" s="30" t="str">
        <f>IFERROR(INDEX('G-6 Hedgerow Data'!$BJ$3:$BJ$15,MATCH(D147,'G-6 Hedgerow Data'!$B$3:$B$15,0)),"")</f>
        <v/>
      </c>
    </row>
    <row r="148" spans="2:38" x14ac:dyDescent="0.25">
      <c r="B148" s="101">
        <v>139</v>
      </c>
      <c r="C148" s="142"/>
      <c r="D148" s="142"/>
      <c r="E148" s="108"/>
      <c r="F148" s="329" t="str">
        <f>IF(D148="","",VLOOKUP(D148,'G-6 Hedgerow Data'!$B$2:$AG$15,2,FALSE))</f>
        <v/>
      </c>
      <c r="G148" s="282" t="str">
        <f>IF(D148="","",VLOOKUP(D148,'G-6 Hedgerow Data'!$B$2:$AG$15,3,FALSE))</f>
        <v/>
      </c>
      <c r="H148" s="105"/>
      <c r="I148" s="282" t="str">
        <f>IFERROR(IF(AND(D148&lt;&gt;"",H148=""),"Check data ⚠", IF(H148="","",IF(AND(D148="Non-native and ornamental hedgerow", H148&lt;&gt;"Poor"),"Not possible ▲", (VLOOKUP(H148,'G-1 All Habitats'!$Z$2:$AA$9,2,FALSE))))),"")</f>
        <v/>
      </c>
      <c r="J148" s="105"/>
      <c r="K148" s="289" t="str">
        <f>IF(AND(D148&lt;&gt;"",J148=""),"Check data ⚠", IF(J148="","",IF(VLOOKUP(J148,'G-3 Multipliers'!$L$3:$N$6,2,FALSE)=0,"Spatial Data Missing",VLOOKUP(J148,'G-3 Multipliers'!$L$3:$N$6,2,FALSE))))</f>
        <v/>
      </c>
      <c r="L148" s="287" t="str">
        <f>IF(J148="","",IF(VLOOKUP(J148,'G-3 Multipliers'!$L$3:$N$6,3,FALSE)=0,"Spatial Data Missing ⚠",VLOOKUP(J148,'G-3 Multipliers'!$L$3:$N$6,3,FALSE)))</f>
        <v/>
      </c>
      <c r="M148" s="288" t="str">
        <f>IF(D148="","",VLOOKUP(D148,'G-6 Hedgerow Data'!$B$1:$AH$15,33,FALSE))</f>
        <v/>
      </c>
      <c r="N148" s="295" t="str">
        <f t="shared" si="16"/>
        <v/>
      </c>
      <c r="O148" s="32"/>
      <c r="P148" s="109"/>
      <c r="Q148" s="142"/>
      <c r="R148" s="312" t="str">
        <f t="shared" si="17"/>
        <v/>
      </c>
      <c r="S148" s="312" t="str">
        <f t="shared" si="18"/>
        <v/>
      </c>
      <c r="T148" s="312" t="str">
        <f t="shared" si="19"/>
        <v/>
      </c>
      <c r="U148" s="333" t="str">
        <f t="shared" si="20"/>
        <v/>
      </c>
      <c r="V148" s="109"/>
      <c r="W148" s="108"/>
      <c r="X148" s="108"/>
      <c r="AE148" s="111" t="str">
        <f t="shared" si="14"/>
        <v/>
      </c>
      <c r="AF148" s="111" t="str">
        <f t="shared" si="15"/>
        <v/>
      </c>
      <c r="AH148" s="111">
        <v>139</v>
      </c>
      <c r="AJ148" s="111" t="str">
        <f t="array" ref="AJ148">IFERROR(INDEX($AH$10:$AH$258, MATCH(0, IF(TRUE=$AE$10:$AE$258, COUNTIF($AJ$9:$AJ147, $AH$10:$AH$258), ""), 0)),"")</f>
        <v/>
      </c>
      <c r="AK148" s="111" t="str">
        <f t="array" ref="AK148">IFERROR(INDEX($AH$10:$AH$258, MATCH(0, IF(TRUE=$AF$10:$AF$258, COUNTIF($AK$9:$AK147, $AH$10:$AH$258), ""), 0)),"")</f>
        <v/>
      </c>
      <c r="AL148" s="30" t="str">
        <f>IFERROR(INDEX('G-6 Hedgerow Data'!$BJ$3:$BJ$15,MATCH(D148,'G-6 Hedgerow Data'!$B$3:$B$15,0)),"")</f>
        <v/>
      </c>
    </row>
    <row r="149" spans="2:38" x14ac:dyDescent="0.25">
      <c r="B149" s="101">
        <v>140</v>
      </c>
      <c r="C149" s="142"/>
      <c r="D149" s="142"/>
      <c r="E149" s="108"/>
      <c r="F149" s="329" t="str">
        <f>IF(D149="","",VLOOKUP(D149,'G-6 Hedgerow Data'!$B$2:$AG$15,2,FALSE))</f>
        <v/>
      </c>
      <c r="G149" s="282" t="str">
        <f>IF(D149="","",VLOOKUP(D149,'G-6 Hedgerow Data'!$B$2:$AG$15,3,FALSE))</f>
        <v/>
      </c>
      <c r="H149" s="105"/>
      <c r="I149" s="282" t="str">
        <f>IFERROR(IF(AND(D149&lt;&gt;"",H149=""),"Check data ⚠", IF(H149="","",IF(AND(D149="Non-native and ornamental hedgerow", H149&lt;&gt;"Poor"),"Not possible ▲", (VLOOKUP(H149,'G-1 All Habitats'!$Z$2:$AA$9,2,FALSE))))),"")</f>
        <v/>
      </c>
      <c r="J149" s="105"/>
      <c r="K149" s="289" t="str">
        <f>IF(AND(D149&lt;&gt;"",J149=""),"Check data ⚠", IF(J149="","",IF(VLOOKUP(J149,'G-3 Multipliers'!$L$3:$N$6,2,FALSE)=0,"Spatial Data Missing",VLOOKUP(J149,'G-3 Multipliers'!$L$3:$N$6,2,FALSE))))</f>
        <v/>
      </c>
      <c r="L149" s="287" t="str">
        <f>IF(J149="","",IF(VLOOKUP(J149,'G-3 Multipliers'!$L$3:$N$6,3,FALSE)=0,"Spatial Data Missing ⚠",VLOOKUP(J149,'G-3 Multipliers'!$L$3:$N$6,3,FALSE)))</f>
        <v/>
      </c>
      <c r="M149" s="288" t="str">
        <f>IF(D149="","",VLOOKUP(D149,'G-6 Hedgerow Data'!$B$1:$AH$15,33,FALSE))</f>
        <v/>
      </c>
      <c r="N149" s="295" t="str">
        <f t="shared" si="16"/>
        <v/>
      </c>
      <c r="O149" s="32"/>
      <c r="P149" s="109"/>
      <c r="Q149" s="142"/>
      <c r="R149" s="312" t="str">
        <f t="shared" si="17"/>
        <v/>
      </c>
      <c r="S149" s="312" t="str">
        <f t="shared" si="18"/>
        <v/>
      </c>
      <c r="T149" s="312" t="str">
        <f t="shared" si="19"/>
        <v/>
      </c>
      <c r="U149" s="333" t="str">
        <f t="shared" si="20"/>
        <v/>
      </c>
      <c r="V149" s="109"/>
      <c r="W149" s="108"/>
      <c r="X149" s="108"/>
      <c r="AE149" s="111" t="str">
        <f t="shared" si="14"/>
        <v/>
      </c>
      <c r="AF149" s="111" t="str">
        <f t="shared" si="15"/>
        <v/>
      </c>
      <c r="AH149" s="111">
        <v>140</v>
      </c>
      <c r="AJ149" s="111" t="str">
        <f t="array" ref="AJ149">IFERROR(INDEX($AH$10:$AH$258, MATCH(0, IF(TRUE=$AE$10:$AE$258, COUNTIF($AJ$9:$AJ148, $AH$10:$AH$258), ""), 0)),"")</f>
        <v/>
      </c>
      <c r="AK149" s="111" t="str">
        <f t="array" ref="AK149">IFERROR(INDEX($AH$10:$AH$258, MATCH(0, IF(TRUE=$AF$10:$AF$258, COUNTIF($AK$9:$AK148, $AH$10:$AH$258), ""), 0)),"")</f>
        <v/>
      </c>
      <c r="AL149" s="30" t="str">
        <f>IFERROR(INDEX('G-6 Hedgerow Data'!$BJ$3:$BJ$15,MATCH(D149,'G-6 Hedgerow Data'!$B$3:$B$15,0)),"")</f>
        <v/>
      </c>
    </row>
    <row r="150" spans="2:38" x14ac:dyDescent="0.25">
      <c r="B150" s="101">
        <v>141</v>
      </c>
      <c r="C150" s="142"/>
      <c r="D150" s="142"/>
      <c r="E150" s="108"/>
      <c r="F150" s="329" t="str">
        <f>IF(D150="","",VLOOKUP(D150,'G-6 Hedgerow Data'!$B$2:$AG$15,2,FALSE))</f>
        <v/>
      </c>
      <c r="G150" s="282" t="str">
        <f>IF(D150="","",VLOOKUP(D150,'G-6 Hedgerow Data'!$B$2:$AG$15,3,FALSE))</f>
        <v/>
      </c>
      <c r="H150" s="105"/>
      <c r="I150" s="282" t="str">
        <f>IFERROR(IF(AND(D150&lt;&gt;"",H150=""),"Check data ⚠", IF(H150="","",IF(AND(D150="Non-native and ornamental hedgerow", H150&lt;&gt;"Poor"),"Not possible ▲", (VLOOKUP(H150,'G-1 All Habitats'!$Z$2:$AA$9,2,FALSE))))),"")</f>
        <v/>
      </c>
      <c r="J150" s="105"/>
      <c r="K150" s="289" t="str">
        <f>IF(AND(D150&lt;&gt;"",J150=""),"Check data ⚠", IF(J150="","",IF(VLOOKUP(J150,'G-3 Multipliers'!$L$3:$N$6,2,FALSE)=0,"Spatial Data Missing",VLOOKUP(J150,'G-3 Multipliers'!$L$3:$N$6,2,FALSE))))</f>
        <v/>
      </c>
      <c r="L150" s="287" t="str">
        <f>IF(J150="","",IF(VLOOKUP(J150,'G-3 Multipliers'!$L$3:$N$6,3,FALSE)=0,"Spatial Data Missing ⚠",VLOOKUP(J150,'G-3 Multipliers'!$L$3:$N$6,3,FALSE)))</f>
        <v/>
      </c>
      <c r="M150" s="288" t="str">
        <f>IF(D150="","",VLOOKUP(D150,'G-6 Hedgerow Data'!$B$1:$AH$15,33,FALSE))</f>
        <v/>
      </c>
      <c r="N150" s="295" t="str">
        <f t="shared" si="16"/>
        <v/>
      </c>
      <c r="O150" s="32"/>
      <c r="P150" s="109"/>
      <c r="Q150" s="142"/>
      <c r="R150" s="312" t="str">
        <f t="shared" si="17"/>
        <v/>
      </c>
      <c r="S150" s="312" t="str">
        <f t="shared" si="18"/>
        <v/>
      </c>
      <c r="T150" s="312" t="str">
        <f t="shared" si="19"/>
        <v/>
      </c>
      <c r="U150" s="333" t="str">
        <f t="shared" si="20"/>
        <v/>
      </c>
      <c r="V150" s="109"/>
      <c r="W150" s="108"/>
      <c r="X150" s="108"/>
      <c r="AE150" s="111" t="str">
        <f t="shared" si="14"/>
        <v/>
      </c>
      <c r="AF150" s="111" t="str">
        <f t="shared" si="15"/>
        <v/>
      </c>
      <c r="AH150" s="111">
        <v>141</v>
      </c>
      <c r="AJ150" s="111" t="str">
        <f t="array" ref="AJ150">IFERROR(INDEX($AH$10:$AH$258, MATCH(0, IF(TRUE=$AE$10:$AE$258, COUNTIF($AJ$9:$AJ149, $AH$10:$AH$258), ""), 0)),"")</f>
        <v/>
      </c>
      <c r="AK150" s="111" t="str">
        <f t="array" ref="AK150">IFERROR(INDEX($AH$10:$AH$258, MATCH(0, IF(TRUE=$AF$10:$AF$258, COUNTIF($AK$9:$AK149, $AH$10:$AH$258), ""), 0)),"")</f>
        <v/>
      </c>
      <c r="AL150" s="30" t="str">
        <f>IFERROR(INDEX('G-6 Hedgerow Data'!$BJ$3:$BJ$15,MATCH(D150,'G-6 Hedgerow Data'!$B$3:$B$15,0)),"")</f>
        <v/>
      </c>
    </row>
    <row r="151" spans="2:38" x14ac:dyDescent="0.25">
      <c r="B151" s="101">
        <v>142</v>
      </c>
      <c r="C151" s="142"/>
      <c r="D151" s="142"/>
      <c r="E151" s="108"/>
      <c r="F151" s="329" t="str">
        <f>IF(D151="","",VLOOKUP(D151,'G-6 Hedgerow Data'!$B$2:$AG$15,2,FALSE))</f>
        <v/>
      </c>
      <c r="G151" s="282" t="str">
        <f>IF(D151="","",VLOOKUP(D151,'G-6 Hedgerow Data'!$B$2:$AG$15,3,FALSE))</f>
        <v/>
      </c>
      <c r="H151" s="105"/>
      <c r="I151" s="282" t="str">
        <f>IFERROR(IF(AND(D151&lt;&gt;"",H151=""),"Check data ⚠", IF(H151="","",IF(AND(D151="Non-native and ornamental hedgerow", H151&lt;&gt;"Poor"),"Not possible ▲", (VLOOKUP(H151,'G-1 All Habitats'!$Z$2:$AA$9,2,FALSE))))),"")</f>
        <v/>
      </c>
      <c r="J151" s="105"/>
      <c r="K151" s="289" t="str">
        <f>IF(AND(D151&lt;&gt;"",J151=""),"Check data ⚠", IF(J151="","",IF(VLOOKUP(J151,'G-3 Multipliers'!$L$3:$N$6,2,FALSE)=0,"Spatial Data Missing",VLOOKUP(J151,'G-3 Multipliers'!$L$3:$N$6,2,FALSE))))</f>
        <v/>
      </c>
      <c r="L151" s="287" t="str">
        <f>IF(J151="","",IF(VLOOKUP(J151,'G-3 Multipliers'!$L$3:$N$6,3,FALSE)=0,"Spatial Data Missing ⚠",VLOOKUP(J151,'G-3 Multipliers'!$L$3:$N$6,3,FALSE)))</f>
        <v/>
      </c>
      <c r="M151" s="288" t="str">
        <f>IF(D151="","",VLOOKUP(D151,'G-6 Hedgerow Data'!$B$1:$AH$15,33,FALSE))</f>
        <v/>
      </c>
      <c r="N151" s="295" t="str">
        <f t="shared" si="16"/>
        <v/>
      </c>
      <c r="O151" s="32"/>
      <c r="P151" s="109"/>
      <c r="Q151" s="142"/>
      <c r="R151" s="312" t="str">
        <f t="shared" si="17"/>
        <v/>
      </c>
      <c r="S151" s="312" t="str">
        <f t="shared" si="18"/>
        <v/>
      </c>
      <c r="T151" s="312" t="str">
        <f t="shared" si="19"/>
        <v/>
      </c>
      <c r="U151" s="333" t="str">
        <f t="shared" si="20"/>
        <v/>
      </c>
      <c r="V151" s="109"/>
      <c r="W151" s="108"/>
      <c r="X151" s="108"/>
      <c r="AE151" s="111" t="str">
        <f t="shared" si="14"/>
        <v/>
      </c>
      <c r="AF151" s="111" t="str">
        <f t="shared" si="15"/>
        <v/>
      </c>
      <c r="AH151" s="111">
        <v>142</v>
      </c>
      <c r="AJ151" s="111" t="str">
        <f t="array" ref="AJ151">IFERROR(INDEX($AH$10:$AH$258, MATCH(0, IF(TRUE=$AE$10:$AE$258, COUNTIF($AJ$9:$AJ150, $AH$10:$AH$258), ""), 0)),"")</f>
        <v/>
      </c>
      <c r="AK151" s="111" t="str">
        <f t="array" ref="AK151">IFERROR(INDEX($AH$10:$AH$258, MATCH(0, IF(TRUE=$AF$10:$AF$258, COUNTIF($AK$9:$AK150, $AH$10:$AH$258), ""), 0)),"")</f>
        <v/>
      </c>
      <c r="AL151" s="30" t="str">
        <f>IFERROR(INDEX('G-6 Hedgerow Data'!$BJ$3:$BJ$15,MATCH(D151,'G-6 Hedgerow Data'!$B$3:$B$15,0)),"")</f>
        <v/>
      </c>
    </row>
    <row r="152" spans="2:38" x14ac:dyDescent="0.25">
      <c r="B152" s="101">
        <v>143</v>
      </c>
      <c r="C152" s="142"/>
      <c r="D152" s="142"/>
      <c r="E152" s="108"/>
      <c r="F152" s="329" t="str">
        <f>IF(D152="","",VLOOKUP(D152,'G-6 Hedgerow Data'!$B$2:$AG$15,2,FALSE))</f>
        <v/>
      </c>
      <c r="G152" s="282" t="str">
        <f>IF(D152="","",VLOOKUP(D152,'G-6 Hedgerow Data'!$B$2:$AG$15,3,FALSE))</f>
        <v/>
      </c>
      <c r="H152" s="105"/>
      <c r="I152" s="282" t="str">
        <f>IFERROR(IF(AND(D152&lt;&gt;"",H152=""),"Check data ⚠", IF(H152="","",IF(AND(D152="Non-native and ornamental hedgerow", H152&lt;&gt;"Poor"),"Not possible ▲", (VLOOKUP(H152,'G-1 All Habitats'!$Z$2:$AA$9,2,FALSE))))),"")</f>
        <v/>
      </c>
      <c r="J152" s="105"/>
      <c r="K152" s="289" t="str">
        <f>IF(AND(D152&lt;&gt;"",J152=""),"Check data ⚠", IF(J152="","",IF(VLOOKUP(J152,'G-3 Multipliers'!$L$3:$N$6,2,FALSE)=0,"Spatial Data Missing",VLOOKUP(J152,'G-3 Multipliers'!$L$3:$N$6,2,FALSE))))</f>
        <v/>
      </c>
      <c r="L152" s="287" t="str">
        <f>IF(J152="","",IF(VLOOKUP(J152,'G-3 Multipliers'!$L$3:$N$6,3,FALSE)=0,"Spatial Data Missing ⚠",VLOOKUP(J152,'G-3 Multipliers'!$L$3:$N$6,3,FALSE)))</f>
        <v/>
      </c>
      <c r="M152" s="288" t="str">
        <f>IF(D152="","",VLOOKUP(D152,'G-6 Hedgerow Data'!$B$1:$AH$15,33,FALSE))</f>
        <v/>
      </c>
      <c r="N152" s="295" t="str">
        <f t="shared" si="16"/>
        <v/>
      </c>
      <c r="O152" s="32"/>
      <c r="P152" s="109"/>
      <c r="Q152" s="142"/>
      <c r="R152" s="312" t="str">
        <f t="shared" si="17"/>
        <v/>
      </c>
      <c r="S152" s="312" t="str">
        <f t="shared" si="18"/>
        <v/>
      </c>
      <c r="T152" s="312" t="str">
        <f t="shared" si="19"/>
        <v/>
      </c>
      <c r="U152" s="333" t="str">
        <f t="shared" si="20"/>
        <v/>
      </c>
      <c r="V152" s="109"/>
      <c r="W152" s="108"/>
      <c r="X152" s="108"/>
      <c r="AE152" s="111" t="str">
        <f t="shared" si="14"/>
        <v/>
      </c>
      <c r="AF152" s="111" t="str">
        <f t="shared" si="15"/>
        <v/>
      </c>
      <c r="AH152" s="111">
        <v>143</v>
      </c>
      <c r="AJ152" s="111" t="str">
        <f t="array" ref="AJ152">IFERROR(INDEX($AH$10:$AH$258, MATCH(0, IF(TRUE=$AE$10:$AE$258, COUNTIF($AJ$9:$AJ151, $AH$10:$AH$258), ""), 0)),"")</f>
        <v/>
      </c>
      <c r="AK152" s="111" t="str">
        <f t="array" ref="AK152">IFERROR(INDEX($AH$10:$AH$258, MATCH(0, IF(TRUE=$AF$10:$AF$258, COUNTIF($AK$9:$AK151, $AH$10:$AH$258), ""), 0)),"")</f>
        <v/>
      </c>
      <c r="AL152" s="30" t="str">
        <f>IFERROR(INDEX('G-6 Hedgerow Data'!$BJ$3:$BJ$15,MATCH(D152,'G-6 Hedgerow Data'!$B$3:$B$15,0)),"")</f>
        <v/>
      </c>
    </row>
    <row r="153" spans="2:38" x14ac:dyDescent="0.25">
      <c r="B153" s="101">
        <v>144</v>
      </c>
      <c r="C153" s="142"/>
      <c r="D153" s="142"/>
      <c r="E153" s="108"/>
      <c r="F153" s="329" t="str">
        <f>IF(D153="","",VLOOKUP(D153,'G-6 Hedgerow Data'!$B$2:$AG$15,2,FALSE))</f>
        <v/>
      </c>
      <c r="G153" s="282" t="str">
        <f>IF(D153="","",VLOOKUP(D153,'G-6 Hedgerow Data'!$B$2:$AG$15,3,FALSE))</f>
        <v/>
      </c>
      <c r="H153" s="105"/>
      <c r="I153" s="282" t="str">
        <f>IFERROR(IF(AND(D153&lt;&gt;"",H153=""),"Check data ⚠", IF(H153="","",IF(AND(D153="Non-native and ornamental hedgerow", H153&lt;&gt;"Poor"),"Not possible ▲", (VLOOKUP(H153,'G-1 All Habitats'!$Z$2:$AA$9,2,FALSE))))),"")</f>
        <v/>
      </c>
      <c r="J153" s="105"/>
      <c r="K153" s="289" t="str">
        <f>IF(AND(D153&lt;&gt;"",J153=""),"Check data ⚠", IF(J153="","",IF(VLOOKUP(J153,'G-3 Multipliers'!$L$3:$N$6,2,FALSE)=0,"Spatial Data Missing",VLOOKUP(J153,'G-3 Multipliers'!$L$3:$N$6,2,FALSE))))</f>
        <v/>
      </c>
      <c r="L153" s="287" t="str">
        <f>IF(J153="","",IF(VLOOKUP(J153,'G-3 Multipliers'!$L$3:$N$6,3,FALSE)=0,"Spatial Data Missing ⚠",VLOOKUP(J153,'G-3 Multipliers'!$L$3:$N$6,3,FALSE)))</f>
        <v/>
      </c>
      <c r="M153" s="288" t="str">
        <f>IF(D153="","",VLOOKUP(D153,'G-6 Hedgerow Data'!$B$1:$AH$15,33,FALSE))</f>
        <v/>
      </c>
      <c r="N153" s="295" t="str">
        <f t="shared" si="16"/>
        <v/>
      </c>
      <c r="O153" s="32"/>
      <c r="P153" s="109"/>
      <c r="Q153" s="142"/>
      <c r="R153" s="312" t="str">
        <f t="shared" si="17"/>
        <v/>
      </c>
      <c r="S153" s="312" t="str">
        <f t="shared" si="18"/>
        <v/>
      </c>
      <c r="T153" s="312" t="str">
        <f t="shared" si="19"/>
        <v/>
      </c>
      <c r="U153" s="333" t="str">
        <f t="shared" si="20"/>
        <v/>
      </c>
      <c r="V153" s="109"/>
      <c r="W153" s="108"/>
      <c r="X153" s="108"/>
      <c r="AE153" s="111" t="str">
        <f t="shared" si="14"/>
        <v/>
      </c>
      <c r="AF153" s="111" t="str">
        <f t="shared" si="15"/>
        <v/>
      </c>
      <c r="AH153" s="111">
        <v>144</v>
      </c>
      <c r="AJ153" s="111" t="str">
        <f t="array" ref="AJ153">IFERROR(INDEX($AH$10:$AH$258, MATCH(0, IF(TRUE=$AE$10:$AE$258, COUNTIF($AJ$9:$AJ152, $AH$10:$AH$258), ""), 0)),"")</f>
        <v/>
      </c>
      <c r="AK153" s="111" t="str">
        <f t="array" ref="AK153">IFERROR(INDEX($AH$10:$AH$258, MATCH(0, IF(TRUE=$AF$10:$AF$258, COUNTIF($AK$9:$AK152, $AH$10:$AH$258), ""), 0)),"")</f>
        <v/>
      </c>
      <c r="AL153" s="30" t="str">
        <f>IFERROR(INDEX('G-6 Hedgerow Data'!$BJ$3:$BJ$15,MATCH(D153,'G-6 Hedgerow Data'!$B$3:$B$15,0)),"")</f>
        <v/>
      </c>
    </row>
    <row r="154" spans="2:38" x14ac:dyDescent="0.25">
      <c r="B154" s="101">
        <v>145</v>
      </c>
      <c r="C154" s="142"/>
      <c r="D154" s="142"/>
      <c r="E154" s="108"/>
      <c r="F154" s="329" t="str">
        <f>IF(D154="","",VLOOKUP(D154,'G-6 Hedgerow Data'!$B$2:$AG$15,2,FALSE))</f>
        <v/>
      </c>
      <c r="G154" s="282" t="str">
        <f>IF(D154="","",VLOOKUP(D154,'G-6 Hedgerow Data'!$B$2:$AG$15,3,FALSE))</f>
        <v/>
      </c>
      <c r="H154" s="105"/>
      <c r="I154" s="282" t="str">
        <f>IFERROR(IF(AND(D154&lt;&gt;"",H154=""),"Check data ⚠", IF(H154="","",IF(AND(D154="Non-native and ornamental hedgerow", H154&lt;&gt;"Poor"),"Not possible ▲", (VLOOKUP(H154,'G-1 All Habitats'!$Z$2:$AA$9,2,FALSE))))),"")</f>
        <v/>
      </c>
      <c r="J154" s="105"/>
      <c r="K154" s="289" t="str">
        <f>IF(AND(D154&lt;&gt;"",J154=""),"Check data ⚠", IF(J154="","",IF(VLOOKUP(J154,'G-3 Multipliers'!$L$3:$N$6,2,FALSE)=0,"Spatial Data Missing",VLOOKUP(J154,'G-3 Multipliers'!$L$3:$N$6,2,FALSE))))</f>
        <v/>
      </c>
      <c r="L154" s="287" t="str">
        <f>IF(J154="","",IF(VLOOKUP(J154,'G-3 Multipliers'!$L$3:$N$6,3,FALSE)=0,"Spatial Data Missing ⚠",VLOOKUP(J154,'G-3 Multipliers'!$L$3:$N$6,3,FALSE)))</f>
        <v/>
      </c>
      <c r="M154" s="288" t="str">
        <f>IF(D154="","",VLOOKUP(D154,'G-6 Hedgerow Data'!$B$1:$AH$15,33,FALSE))</f>
        <v/>
      </c>
      <c r="N154" s="295" t="str">
        <f t="shared" si="16"/>
        <v/>
      </c>
      <c r="O154" s="32"/>
      <c r="P154" s="109"/>
      <c r="Q154" s="142"/>
      <c r="R154" s="312" t="str">
        <f t="shared" si="17"/>
        <v/>
      </c>
      <c r="S154" s="312" t="str">
        <f t="shared" si="18"/>
        <v/>
      </c>
      <c r="T154" s="312" t="str">
        <f t="shared" si="19"/>
        <v/>
      </c>
      <c r="U154" s="333" t="str">
        <f t="shared" si="20"/>
        <v/>
      </c>
      <c r="V154" s="109"/>
      <c r="W154" s="108"/>
      <c r="X154" s="108"/>
      <c r="AE154" s="111" t="str">
        <f t="shared" si="14"/>
        <v/>
      </c>
      <c r="AF154" s="111" t="str">
        <f t="shared" si="15"/>
        <v/>
      </c>
      <c r="AH154" s="111">
        <v>145</v>
      </c>
      <c r="AJ154" s="111" t="str">
        <f t="array" ref="AJ154">IFERROR(INDEX($AH$10:$AH$258, MATCH(0, IF(TRUE=$AE$10:$AE$258, COUNTIF($AJ$9:$AJ153, $AH$10:$AH$258), ""), 0)),"")</f>
        <v/>
      </c>
      <c r="AK154" s="111" t="str">
        <f t="array" ref="AK154">IFERROR(INDEX($AH$10:$AH$258, MATCH(0, IF(TRUE=$AF$10:$AF$258, COUNTIF($AK$9:$AK153, $AH$10:$AH$258), ""), 0)),"")</f>
        <v/>
      </c>
      <c r="AL154" s="30" t="str">
        <f>IFERROR(INDEX('G-6 Hedgerow Data'!$BJ$3:$BJ$15,MATCH(D154,'G-6 Hedgerow Data'!$B$3:$B$15,0)),"")</f>
        <v/>
      </c>
    </row>
    <row r="155" spans="2:38" x14ac:dyDescent="0.25">
      <c r="B155" s="101">
        <v>146</v>
      </c>
      <c r="C155" s="142"/>
      <c r="D155" s="142"/>
      <c r="E155" s="108"/>
      <c r="F155" s="329" t="str">
        <f>IF(D155="","",VLOOKUP(D155,'G-6 Hedgerow Data'!$B$2:$AG$15,2,FALSE))</f>
        <v/>
      </c>
      <c r="G155" s="282" t="str">
        <f>IF(D155="","",VLOOKUP(D155,'G-6 Hedgerow Data'!$B$2:$AG$15,3,FALSE))</f>
        <v/>
      </c>
      <c r="H155" s="105"/>
      <c r="I155" s="282" t="str">
        <f>IFERROR(IF(AND(D155&lt;&gt;"",H155=""),"Check data ⚠", IF(H155="","",IF(AND(D155="Non-native and ornamental hedgerow", H155&lt;&gt;"Poor"),"Not possible ▲", (VLOOKUP(H155,'G-1 All Habitats'!$Z$2:$AA$9,2,FALSE))))),"")</f>
        <v/>
      </c>
      <c r="J155" s="105"/>
      <c r="K155" s="289" t="str">
        <f>IF(AND(D155&lt;&gt;"",J155=""),"Check data ⚠", IF(J155="","",IF(VLOOKUP(J155,'G-3 Multipliers'!$L$3:$N$6,2,FALSE)=0,"Spatial Data Missing",VLOOKUP(J155,'G-3 Multipliers'!$L$3:$N$6,2,FALSE))))</f>
        <v/>
      </c>
      <c r="L155" s="287" t="str">
        <f>IF(J155="","",IF(VLOOKUP(J155,'G-3 Multipliers'!$L$3:$N$6,3,FALSE)=0,"Spatial Data Missing ⚠",VLOOKUP(J155,'G-3 Multipliers'!$L$3:$N$6,3,FALSE)))</f>
        <v/>
      </c>
      <c r="M155" s="288" t="str">
        <f>IF(D155="","",VLOOKUP(D155,'G-6 Hedgerow Data'!$B$1:$AH$15,33,FALSE))</f>
        <v/>
      </c>
      <c r="N155" s="295" t="str">
        <f t="shared" si="16"/>
        <v/>
      </c>
      <c r="O155" s="32"/>
      <c r="P155" s="109"/>
      <c r="Q155" s="142"/>
      <c r="R155" s="312" t="str">
        <f t="shared" si="17"/>
        <v/>
      </c>
      <c r="S155" s="312" t="str">
        <f t="shared" si="18"/>
        <v/>
      </c>
      <c r="T155" s="312" t="str">
        <f t="shared" si="19"/>
        <v/>
      </c>
      <c r="U155" s="333" t="str">
        <f t="shared" si="20"/>
        <v/>
      </c>
      <c r="V155" s="109"/>
      <c r="W155" s="108"/>
      <c r="X155" s="108"/>
      <c r="AE155" s="111" t="str">
        <f t="shared" si="14"/>
        <v/>
      </c>
      <c r="AF155" s="111" t="str">
        <f t="shared" si="15"/>
        <v/>
      </c>
      <c r="AH155" s="111">
        <v>146</v>
      </c>
      <c r="AJ155" s="111" t="str">
        <f t="array" ref="AJ155">IFERROR(INDEX($AH$10:$AH$258, MATCH(0, IF(TRUE=$AE$10:$AE$258, COUNTIF($AJ$9:$AJ154, $AH$10:$AH$258), ""), 0)),"")</f>
        <v/>
      </c>
      <c r="AK155" s="111" t="str">
        <f t="array" ref="AK155">IFERROR(INDEX($AH$10:$AH$258, MATCH(0, IF(TRUE=$AF$10:$AF$258, COUNTIF($AK$9:$AK154, $AH$10:$AH$258), ""), 0)),"")</f>
        <v/>
      </c>
      <c r="AL155" s="30" t="str">
        <f>IFERROR(INDEX('G-6 Hedgerow Data'!$BJ$3:$BJ$15,MATCH(D155,'G-6 Hedgerow Data'!$B$3:$B$15,0)),"")</f>
        <v/>
      </c>
    </row>
    <row r="156" spans="2:38" x14ac:dyDescent="0.25">
      <c r="B156" s="101">
        <v>147</v>
      </c>
      <c r="C156" s="142"/>
      <c r="D156" s="142"/>
      <c r="E156" s="108"/>
      <c r="F156" s="329" t="str">
        <f>IF(D156="","",VLOOKUP(D156,'G-6 Hedgerow Data'!$B$2:$AG$15,2,FALSE))</f>
        <v/>
      </c>
      <c r="G156" s="282" t="str">
        <f>IF(D156="","",VLOOKUP(D156,'G-6 Hedgerow Data'!$B$2:$AG$15,3,FALSE))</f>
        <v/>
      </c>
      <c r="H156" s="105"/>
      <c r="I156" s="282" t="str">
        <f>IFERROR(IF(AND(D156&lt;&gt;"",H156=""),"Check data ⚠", IF(H156="","",IF(AND(D156="Non-native and ornamental hedgerow", H156&lt;&gt;"Poor"),"Not possible ▲", (VLOOKUP(H156,'G-1 All Habitats'!$Z$2:$AA$9,2,FALSE))))),"")</f>
        <v/>
      </c>
      <c r="J156" s="105"/>
      <c r="K156" s="289" t="str">
        <f>IF(AND(D156&lt;&gt;"",J156=""),"Check data ⚠", IF(J156="","",IF(VLOOKUP(J156,'G-3 Multipliers'!$L$3:$N$6,2,FALSE)=0,"Spatial Data Missing",VLOOKUP(J156,'G-3 Multipliers'!$L$3:$N$6,2,FALSE))))</f>
        <v/>
      </c>
      <c r="L156" s="287" t="str">
        <f>IF(J156="","",IF(VLOOKUP(J156,'G-3 Multipliers'!$L$3:$N$6,3,FALSE)=0,"Spatial Data Missing ⚠",VLOOKUP(J156,'G-3 Multipliers'!$L$3:$N$6,3,FALSE)))</f>
        <v/>
      </c>
      <c r="M156" s="288" t="str">
        <f>IF(D156="","",VLOOKUP(D156,'G-6 Hedgerow Data'!$B$1:$AH$15,33,FALSE))</f>
        <v/>
      </c>
      <c r="N156" s="295" t="str">
        <f t="shared" si="16"/>
        <v/>
      </c>
      <c r="O156" s="32"/>
      <c r="P156" s="109"/>
      <c r="Q156" s="142"/>
      <c r="R156" s="312" t="str">
        <f t="shared" si="17"/>
        <v/>
      </c>
      <c r="S156" s="312" t="str">
        <f t="shared" si="18"/>
        <v/>
      </c>
      <c r="T156" s="312" t="str">
        <f t="shared" si="19"/>
        <v/>
      </c>
      <c r="U156" s="333" t="str">
        <f t="shared" si="20"/>
        <v/>
      </c>
      <c r="V156" s="109"/>
      <c r="W156" s="108"/>
      <c r="X156" s="108"/>
      <c r="AE156" s="111" t="str">
        <f t="shared" si="14"/>
        <v/>
      </c>
      <c r="AF156" s="111" t="str">
        <f t="shared" si="15"/>
        <v/>
      </c>
      <c r="AH156" s="111">
        <v>147</v>
      </c>
      <c r="AJ156" s="111" t="str">
        <f t="array" ref="AJ156">IFERROR(INDEX($AH$10:$AH$258, MATCH(0, IF(TRUE=$AE$10:$AE$258, COUNTIF($AJ$9:$AJ155, $AH$10:$AH$258), ""), 0)),"")</f>
        <v/>
      </c>
      <c r="AK156" s="111" t="str">
        <f t="array" ref="AK156">IFERROR(INDEX($AH$10:$AH$258, MATCH(0, IF(TRUE=$AF$10:$AF$258, COUNTIF($AK$9:$AK155, $AH$10:$AH$258), ""), 0)),"")</f>
        <v/>
      </c>
      <c r="AL156" s="30" t="str">
        <f>IFERROR(INDEX('G-6 Hedgerow Data'!$BJ$3:$BJ$15,MATCH(D156,'G-6 Hedgerow Data'!$B$3:$B$15,0)),"")</f>
        <v/>
      </c>
    </row>
    <row r="157" spans="2:38" x14ac:dyDescent="0.25">
      <c r="B157" s="101">
        <v>148</v>
      </c>
      <c r="C157" s="142"/>
      <c r="D157" s="142"/>
      <c r="E157" s="108"/>
      <c r="F157" s="329" t="str">
        <f>IF(D157="","",VLOOKUP(D157,'G-6 Hedgerow Data'!$B$2:$AG$15,2,FALSE))</f>
        <v/>
      </c>
      <c r="G157" s="282" t="str">
        <f>IF(D157="","",VLOOKUP(D157,'G-6 Hedgerow Data'!$B$2:$AG$15,3,FALSE))</f>
        <v/>
      </c>
      <c r="H157" s="105"/>
      <c r="I157" s="282" t="str">
        <f>IFERROR(IF(AND(D157&lt;&gt;"",H157=""),"Check data ⚠", IF(H157="","",IF(AND(D157="Non-native and ornamental hedgerow", H157&lt;&gt;"Poor"),"Not possible ▲", (VLOOKUP(H157,'G-1 All Habitats'!$Z$2:$AA$9,2,FALSE))))),"")</f>
        <v/>
      </c>
      <c r="J157" s="105"/>
      <c r="K157" s="289" t="str">
        <f>IF(AND(D157&lt;&gt;"",J157=""),"Check data ⚠", IF(J157="","",IF(VLOOKUP(J157,'G-3 Multipliers'!$L$3:$N$6,2,FALSE)=0,"Spatial Data Missing",VLOOKUP(J157,'G-3 Multipliers'!$L$3:$N$6,2,FALSE))))</f>
        <v/>
      </c>
      <c r="L157" s="287" t="str">
        <f>IF(J157="","",IF(VLOOKUP(J157,'G-3 Multipliers'!$L$3:$N$6,3,FALSE)=0,"Spatial Data Missing ⚠",VLOOKUP(J157,'G-3 Multipliers'!$L$3:$N$6,3,FALSE)))</f>
        <v/>
      </c>
      <c r="M157" s="288" t="str">
        <f>IF(D157="","",VLOOKUP(D157,'G-6 Hedgerow Data'!$B$1:$AH$15,33,FALSE))</f>
        <v/>
      </c>
      <c r="N157" s="295" t="str">
        <f t="shared" si="16"/>
        <v/>
      </c>
      <c r="O157" s="32"/>
      <c r="P157" s="109"/>
      <c r="Q157" s="142"/>
      <c r="R157" s="312" t="str">
        <f t="shared" si="17"/>
        <v/>
      </c>
      <c r="S157" s="312" t="str">
        <f t="shared" si="18"/>
        <v/>
      </c>
      <c r="T157" s="312" t="str">
        <f t="shared" si="19"/>
        <v/>
      </c>
      <c r="U157" s="333" t="str">
        <f t="shared" si="20"/>
        <v/>
      </c>
      <c r="V157" s="109"/>
      <c r="W157" s="108"/>
      <c r="X157" s="108"/>
      <c r="AE157" s="111" t="str">
        <f t="shared" si="14"/>
        <v/>
      </c>
      <c r="AF157" s="111" t="str">
        <f t="shared" si="15"/>
        <v/>
      </c>
      <c r="AH157" s="111">
        <v>148</v>
      </c>
      <c r="AJ157" s="111" t="str">
        <f t="array" ref="AJ157">IFERROR(INDEX($AH$10:$AH$258, MATCH(0, IF(TRUE=$AE$10:$AE$258, COUNTIF($AJ$9:$AJ156, $AH$10:$AH$258), ""), 0)),"")</f>
        <v/>
      </c>
      <c r="AK157" s="111" t="str">
        <f t="array" ref="AK157">IFERROR(INDEX($AH$10:$AH$258, MATCH(0, IF(TRUE=$AF$10:$AF$258, COUNTIF($AK$9:$AK156, $AH$10:$AH$258), ""), 0)),"")</f>
        <v/>
      </c>
      <c r="AL157" s="30" t="str">
        <f>IFERROR(INDEX('G-6 Hedgerow Data'!$BJ$3:$BJ$15,MATCH(D157,'G-6 Hedgerow Data'!$B$3:$B$15,0)),"")</f>
        <v/>
      </c>
    </row>
    <row r="158" spans="2:38" x14ac:dyDescent="0.25">
      <c r="B158" s="101">
        <v>149</v>
      </c>
      <c r="C158" s="142"/>
      <c r="D158" s="142"/>
      <c r="E158" s="108"/>
      <c r="F158" s="329" t="str">
        <f>IF(D158="","",VLOOKUP(D158,'G-6 Hedgerow Data'!$B$2:$AG$15,2,FALSE))</f>
        <v/>
      </c>
      <c r="G158" s="282" t="str">
        <f>IF(D158="","",VLOOKUP(D158,'G-6 Hedgerow Data'!$B$2:$AG$15,3,FALSE))</f>
        <v/>
      </c>
      <c r="H158" s="105"/>
      <c r="I158" s="282" t="str">
        <f>IFERROR(IF(AND(D158&lt;&gt;"",H158=""),"Check data ⚠", IF(H158="","",IF(AND(D158="Non-native and ornamental hedgerow", H158&lt;&gt;"Poor"),"Not possible ▲", (VLOOKUP(H158,'G-1 All Habitats'!$Z$2:$AA$9,2,FALSE))))),"")</f>
        <v/>
      </c>
      <c r="J158" s="105"/>
      <c r="K158" s="289" t="str">
        <f>IF(AND(D158&lt;&gt;"",J158=""),"Check data ⚠", IF(J158="","",IF(VLOOKUP(J158,'G-3 Multipliers'!$L$3:$N$6,2,FALSE)=0,"Spatial Data Missing",VLOOKUP(J158,'G-3 Multipliers'!$L$3:$N$6,2,FALSE))))</f>
        <v/>
      </c>
      <c r="L158" s="287" t="str">
        <f>IF(J158="","",IF(VLOOKUP(J158,'G-3 Multipliers'!$L$3:$N$6,3,FALSE)=0,"Spatial Data Missing ⚠",VLOOKUP(J158,'G-3 Multipliers'!$L$3:$N$6,3,FALSE)))</f>
        <v/>
      </c>
      <c r="M158" s="288" t="str">
        <f>IF(D158="","",VLOOKUP(D158,'G-6 Hedgerow Data'!$B$1:$AH$15,33,FALSE))</f>
        <v/>
      </c>
      <c r="N158" s="295" t="str">
        <f t="shared" si="16"/>
        <v/>
      </c>
      <c r="O158" s="32"/>
      <c r="P158" s="109"/>
      <c r="Q158" s="142"/>
      <c r="R158" s="312" t="str">
        <f t="shared" si="17"/>
        <v/>
      </c>
      <c r="S158" s="312" t="str">
        <f t="shared" si="18"/>
        <v/>
      </c>
      <c r="T158" s="312" t="str">
        <f t="shared" si="19"/>
        <v/>
      </c>
      <c r="U158" s="333" t="str">
        <f t="shared" si="20"/>
        <v/>
      </c>
      <c r="V158" s="109"/>
      <c r="W158" s="108"/>
      <c r="X158" s="108"/>
      <c r="AE158" s="111" t="str">
        <f t="shared" si="14"/>
        <v/>
      </c>
      <c r="AF158" s="111" t="str">
        <f t="shared" si="15"/>
        <v/>
      </c>
      <c r="AH158" s="111">
        <v>149</v>
      </c>
      <c r="AJ158" s="111" t="str">
        <f t="array" ref="AJ158">IFERROR(INDEX($AH$10:$AH$258, MATCH(0, IF(TRUE=$AE$10:$AE$258, COUNTIF($AJ$9:$AJ157, $AH$10:$AH$258), ""), 0)),"")</f>
        <v/>
      </c>
      <c r="AK158" s="111" t="str">
        <f t="array" ref="AK158">IFERROR(INDEX($AH$10:$AH$258, MATCH(0, IF(TRUE=$AF$10:$AF$258, COUNTIF($AK$9:$AK157, $AH$10:$AH$258), ""), 0)),"")</f>
        <v/>
      </c>
      <c r="AL158" s="30" t="str">
        <f>IFERROR(INDEX('G-6 Hedgerow Data'!$BJ$3:$BJ$15,MATCH(D158,'G-6 Hedgerow Data'!$B$3:$B$15,0)),"")</f>
        <v/>
      </c>
    </row>
    <row r="159" spans="2:38" x14ac:dyDescent="0.25">
      <c r="B159" s="101">
        <v>150</v>
      </c>
      <c r="C159" s="142"/>
      <c r="D159" s="142"/>
      <c r="E159" s="108"/>
      <c r="F159" s="329" t="str">
        <f>IF(D159="","",VLOOKUP(D159,'G-6 Hedgerow Data'!$B$2:$AG$15,2,FALSE))</f>
        <v/>
      </c>
      <c r="G159" s="282" t="str">
        <f>IF(D159="","",VLOOKUP(D159,'G-6 Hedgerow Data'!$B$2:$AG$15,3,FALSE))</f>
        <v/>
      </c>
      <c r="H159" s="105"/>
      <c r="I159" s="282" t="str">
        <f>IFERROR(IF(AND(D159&lt;&gt;"",H159=""),"Check data ⚠", IF(H159="","",IF(AND(D159="Non-native and ornamental hedgerow", H159&lt;&gt;"Poor"),"Not possible ▲", (VLOOKUP(H159,'G-1 All Habitats'!$Z$2:$AA$9,2,FALSE))))),"")</f>
        <v/>
      </c>
      <c r="J159" s="105"/>
      <c r="K159" s="289" t="str">
        <f>IF(AND(D159&lt;&gt;"",J159=""),"Check data ⚠", IF(J159="","",IF(VLOOKUP(J159,'G-3 Multipliers'!$L$3:$N$6,2,FALSE)=0,"Spatial Data Missing",VLOOKUP(J159,'G-3 Multipliers'!$L$3:$N$6,2,FALSE))))</f>
        <v/>
      </c>
      <c r="L159" s="287" t="str">
        <f>IF(J159="","",IF(VLOOKUP(J159,'G-3 Multipliers'!$L$3:$N$6,3,FALSE)=0,"Spatial Data Missing ⚠",VLOOKUP(J159,'G-3 Multipliers'!$L$3:$N$6,3,FALSE)))</f>
        <v/>
      </c>
      <c r="M159" s="288" t="str">
        <f>IF(D159="","",VLOOKUP(D159,'G-6 Hedgerow Data'!$B$1:$AH$15,33,FALSE))</f>
        <v/>
      </c>
      <c r="N159" s="295" t="str">
        <f t="shared" si="16"/>
        <v/>
      </c>
      <c r="O159" s="32"/>
      <c r="P159" s="109"/>
      <c r="Q159" s="142"/>
      <c r="R159" s="312" t="str">
        <f t="shared" si="17"/>
        <v/>
      </c>
      <c r="S159" s="312" t="str">
        <f t="shared" si="18"/>
        <v/>
      </c>
      <c r="T159" s="312" t="str">
        <f t="shared" si="19"/>
        <v/>
      </c>
      <c r="U159" s="333" t="str">
        <f t="shared" si="20"/>
        <v/>
      </c>
      <c r="V159" s="109"/>
      <c r="W159" s="108"/>
      <c r="X159" s="108"/>
      <c r="AE159" s="111" t="str">
        <f t="shared" si="14"/>
        <v/>
      </c>
      <c r="AF159" s="111" t="str">
        <f t="shared" si="15"/>
        <v/>
      </c>
      <c r="AH159" s="111">
        <v>150</v>
      </c>
      <c r="AJ159" s="111" t="str">
        <f t="array" ref="AJ159">IFERROR(INDEX($AH$10:$AH$258, MATCH(0, IF(TRUE=$AE$10:$AE$258, COUNTIF($AJ$9:$AJ158, $AH$10:$AH$258), ""), 0)),"")</f>
        <v/>
      </c>
      <c r="AK159" s="111" t="str">
        <f t="array" ref="AK159">IFERROR(INDEX($AH$10:$AH$258, MATCH(0, IF(TRUE=$AF$10:$AF$258, COUNTIF($AK$9:$AK158, $AH$10:$AH$258), ""), 0)),"")</f>
        <v/>
      </c>
      <c r="AL159" s="30" t="str">
        <f>IFERROR(INDEX('G-6 Hedgerow Data'!$BJ$3:$BJ$15,MATCH(D159,'G-6 Hedgerow Data'!$B$3:$B$15,0)),"")</f>
        <v/>
      </c>
    </row>
    <row r="160" spans="2:38" x14ac:dyDescent="0.25">
      <c r="B160" s="101">
        <v>151</v>
      </c>
      <c r="C160" s="142"/>
      <c r="D160" s="142"/>
      <c r="E160" s="108"/>
      <c r="F160" s="329" t="str">
        <f>IF(D160="","",VLOOKUP(D160,'G-6 Hedgerow Data'!$B$2:$AG$15,2,FALSE))</f>
        <v/>
      </c>
      <c r="G160" s="282" t="str">
        <f>IF(D160="","",VLOOKUP(D160,'G-6 Hedgerow Data'!$B$2:$AG$15,3,FALSE))</f>
        <v/>
      </c>
      <c r="H160" s="105"/>
      <c r="I160" s="282" t="str">
        <f>IFERROR(IF(AND(D160&lt;&gt;"",H160=""),"Check data ⚠", IF(H160="","",IF(AND(D160="Non-native and ornamental hedgerow", H160&lt;&gt;"Poor"),"Not possible ▲", (VLOOKUP(H160,'G-1 All Habitats'!$Z$2:$AA$9,2,FALSE))))),"")</f>
        <v/>
      </c>
      <c r="J160" s="105"/>
      <c r="K160" s="289" t="str">
        <f>IF(AND(D160&lt;&gt;"",J160=""),"Check data ⚠", IF(J160="","",IF(VLOOKUP(J160,'G-3 Multipliers'!$L$3:$N$6,2,FALSE)=0,"Spatial Data Missing",VLOOKUP(J160,'G-3 Multipliers'!$L$3:$N$6,2,FALSE))))</f>
        <v/>
      </c>
      <c r="L160" s="287" t="str">
        <f>IF(J160="","",IF(VLOOKUP(J160,'G-3 Multipliers'!$L$3:$N$6,3,FALSE)=0,"Spatial Data Missing ⚠",VLOOKUP(J160,'G-3 Multipliers'!$L$3:$N$6,3,FALSE)))</f>
        <v/>
      </c>
      <c r="M160" s="288" t="str">
        <f>IF(D160="","",VLOOKUP(D160,'G-6 Hedgerow Data'!$B$1:$AH$15,33,FALSE))</f>
        <v/>
      </c>
      <c r="N160" s="295" t="str">
        <f t="shared" si="16"/>
        <v/>
      </c>
      <c r="O160" s="32"/>
      <c r="P160" s="109"/>
      <c r="Q160" s="142"/>
      <c r="R160" s="312" t="str">
        <f t="shared" si="17"/>
        <v/>
      </c>
      <c r="S160" s="312" t="str">
        <f t="shared" si="18"/>
        <v/>
      </c>
      <c r="T160" s="312" t="str">
        <f t="shared" si="19"/>
        <v/>
      </c>
      <c r="U160" s="333" t="str">
        <f t="shared" si="20"/>
        <v/>
      </c>
      <c r="V160" s="109"/>
      <c r="W160" s="108"/>
      <c r="X160" s="108"/>
      <c r="AE160" s="111" t="str">
        <f t="shared" si="14"/>
        <v/>
      </c>
      <c r="AF160" s="111" t="str">
        <f t="shared" si="15"/>
        <v/>
      </c>
      <c r="AH160" s="111">
        <v>151</v>
      </c>
      <c r="AJ160" s="111" t="str">
        <f t="array" ref="AJ160">IFERROR(INDEX($AH$10:$AH$258, MATCH(0, IF(TRUE=$AE$10:$AE$258, COUNTIF($AJ$9:$AJ159, $AH$10:$AH$258), ""), 0)),"")</f>
        <v/>
      </c>
      <c r="AK160" s="111" t="str">
        <f t="array" ref="AK160">IFERROR(INDEX($AH$10:$AH$258, MATCH(0, IF(TRUE=$AF$10:$AF$258, COUNTIF($AK$9:$AK159, $AH$10:$AH$258), ""), 0)),"")</f>
        <v/>
      </c>
      <c r="AL160" s="30" t="str">
        <f>IFERROR(INDEX('G-6 Hedgerow Data'!$BJ$3:$BJ$15,MATCH(D160,'G-6 Hedgerow Data'!$B$3:$B$15,0)),"")</f>
        <v/>
      </c>
    </row>
    <row r="161" spans="2:38" x14ac:dyDescent="0.25">
      <c r="B161" s="101">
        <v>152</v>
      </c>
      <c r="C161" s="142"/>
      <c r="D161" s="142"/>
      <c r="E161" s="108"/>
      <c r="F161" s="329" t="str">
        <f>IF(D161="","",VLOOKUP(D161,'G-6 Hedgerow Data'!$B$2:$AG$15,2,FALSE))</f>
        <v/>
      </c>
      <c r="G161" s="282" t="str">
        <f>IF(D161="","",VLOOKUP(D161,'G-6 Hedgerow Data'!$B$2:$AG$15,3,FALSE))</f>
        <v/>
      </c>
      <c r="H161" s="105"/>
      <c r="I161" s="282" t="str">
        <f>IFERROR(IF(AND(D161&lt;&gt;"",H161=""),"Check data ⚠", IF(H161="","",IF(AND(D161="Non-native and ornamental hedgerow", H161&lt;&gt;"Poor"),"Not possible ▲", (VLOOKUP(H161,'G-1 All Habitats'!$Z$2:$AA$9,2,FALSE))))),"")</f>
        <v/>
      </c>
      <c r="J161" s="105"/>
      <c r="K161" s="289" t="str">
        <f>IF(AND(D161&lt;&gt;"",J161=""),"Check data ⚠", IF(J161="","",IF(VLOOKUP(J161,'G-3 Multipliers'!$L$3:$N$6,2,FALSE)=0,"Spatial Data Missing",VLOOKUP(J161,'G-3 Multipliers'!$L$3:$N$6,2,FALSE))))</f>
        <v/>
      </c>
      <c r="L161" s="287" t="str">
        <f>IF(J161="","",IF(VLOOKUP(J161,'G-3 Multipliers'!$L$3:$N$6,3,FALSE)=0,"Spatial Data Missing ⚠",VLOOKUP(J161,'G-3 Multipliers'!$L$3:$N$6,3,FALSE)))</f>
        <v/>
      </c>
      <c r="M161" s="288" t="str">
        <f>IF(D161="","",VLOOKUP(D161,'G-6 Hedgerow Data'!$B$1:$AH$15,33,FALSE))</f>
        <v/>
      </c>
      <c r="N161" s="295" t="str">
        <f t="shared" si="16"/>
        <v/>
      </c>
      <c r="O161" s="32"/>
      <c r="P161" s="109"/>
      <c r="Q161" s="142"/>
      <c r="R161" s="312" t="str">
        <f t="shared" si="17"/>
        <v/>
      </c>
      <c r="S161" s="312" t="str">
        <f t="shared" si="18"/>
        <v/>
      </c>
      <c r="T161" s="312" t="str">
        <f t="shared" si="19"/>
        <v/>
      </c>
      <c r="U161" s="333" t="str">
        <f t="shared" si="20"/>
        <v/>
      </c>
      <c r="V161" s="109"/>
      <c r="W161" s="108"/>
      <c r="X161" s="108"/>
      <c r="AE161" s="111" t="str">
        <f t="shared" si="14"/>
        <v/>
      </c>
      <c r="AF161" s="111" t="str">
        <f t="shared" si="15"/>
        <v/>
      </c>
      <c r="AH161" s="111">
        <v>152</v>
      </c>
      <c r="AJ161" s="111" t="str">
        <f t="array" ref="AJ161">IFERROR(INDEX($AH$10:$AH$258, MATCH(0, IF(TRUE=$AE$10:$AE$258, COUNTIF($AJ$9:$AJ160, $AH$10:$AH$258), ""), 0)),"")</f>
        <v/>
      </c>
      <c r="AK161" s="111" t="str">
        <f t="array" ref="AK161">IFERROR(INDEX($AH$10:$AH$258, MATCH(0, IF(TRUE=$AF$10:$AF$258, COUNTIF($AK$9:$AK160, $AH$10:$AH$258), ""), 0)),"")</f>
        <v/>
      </c>
      <c r="AL161" s="30" t="str">
        <f>IFERROR(INDEX('G-6 Hedgerow Data'!$BJ$3:$BJ$15,MATCH(D161,'G-6 Hedgerow Data'!$B$3:$B$15,0)),"")</f>
        <v/>
      </c>
    </row>
    <row r="162" spans="2:38" x14ac:dyDescent="0.25">
      <c r="B162" s="101">
        <v>153</v>
      </c>
      <c r="C162" s="142"/>
      <c r="D162" s="142"/>
      <c r="E162" s="108"/>
      <c r="F162" s="329" t="str">
        <f>IF(D162="","",VLOOKUP(D162,'G-6 Hedgerow Data'!$B$2:$AG$15,2,FALSE))</f>
        <v/>
      </c>
      <c r="G162" s="282" t="str">
        <f>IF(D162="","",VLOOKUP(D162,'G-6 Hedgerow Data'!$B$2:$AG$15,3,FALSE))</f>
        <v/>
      </c>
      <c r="H162" s="105"/>
      <c r="I162" s="282" t="str">
        <f>IFERROR(IF(AND(D162&lt;&gt;"",H162=""),"Check data ⚠", IF(H162="","",IF(AND(D162="Non-native and ornamental hedgerow", H162&lt;&gt;"Poor"),"Not possible ▲", (VLOOKUP(H162,'G-1 All Habitats'!$Z$2:$AA$9,2,FALSE))))),"")</f>
        <v/>
      </c>
      <c r="J162" s="105"/>
      <c r="K162" s="289" t="str">
        <f>IF(AND(D162&lt;&gt;"",J162=""),"Check data ⚠", IF(J162="","",IF(VLOOKUP(J162,'G-3 Multipliers'!$L$3:$N$6,2,FALSE)=0,"Spatial Data Missing",VLOOKUP(J162,'G-3 Multipliers'!$L$3:$N$6,2,FALSE))))</f>
        <v/>
      </c>
      <c r="L162" s="287" t="str">
        <f>IF(J162="","",IF(VLOOKUP(J162,'G-3 Multipliers'!$L$3:$N$6,3,FALSE)=0,"Spatial Data Missing ⚠",VLOOKUP(J162,'G-3 Multipliers'!$L$3:$N$6,3,FALSE)))</f>
        <v/>
      </c>
      <c r="M162" s="288" t="str">
        <f>IF(D162="","",VLOOKUP(D162,'G-6 Hedgerow Data'!$B$1:$AH$15,33,FALSE))</f>
        <v/>
      </c>
      <c r="N162" s="295" t="str">
        <f t="shared" si="16"/>
        <v/>
      </c>
      <c r="O162" s="32"/>
      <c r="P162" s="109"/>
      <c r="Q162" s="142"/>
      <c r="R162" s="312" t="str">
        <f t="shared" si="17"/>
        <v/>
      </c>
      <c r="S162" s="312" t="str">
        <f t="shared" si="18"/>
        <v/>
      </c>
      <c r="T162" s="312" t="str">
        <f t="shared" si="19"/>
        <v/>
      </c>
      <c r="U162" s="333" t="str">
        <f t="shared" si="20"/>
        <v/>
      </c>
      <c r="V162" s="109"/>
      <c r="W162" s="108"/>
      <c r="X162" s="108"/>
      <c r="AE162" s="111" t="str">
        <f t="shared" si="14"/>
        <v/>
      </c>
      <c r="AF162" s="111" t="str">
        <f t="shared" si="15"/>
        <v/>
      </c>
      <c r="AH162" s="111">
        <v>153</v>
      </c>
      <c r="AJ162" s="111" t="str">
        <f t="array" ref="AJ162">IFERROR(INDEX($AH$10:$AH$258, MATCH(0, IF(TRUE=$AE$10:$AE$258, COUNTIF($AJ$9:$AJ161, $AH$10:$AH$258), ""), 0)),"")</f>
        <v/>
      </c>
      <c r="AK162" s="111" t="str">
        <f t="array" ref="AK162">IFERROR(INDEX($AH$10:$AH$258, MATCH(0, IF(TRUE=$AF$10:$AF$258, COUNTIF($AK$9:$AK161, $AH$10:$AH$258), ""), 0)),"")</f>
        <v/>
      </c>
      <c r="AL162" s="30" t="str">
        <f>IFERROR(INDEX('G-6 Hedgerow Data'!$BJ$3:$BJ$15,MATCH(D162,'G-6 Hedgerow Data'!$B$3:$B$15,0)),"")</f>
        <v/>
      </c>
    </row>
    <row r="163" spans="2:38" x14ac:dyDescent="0.25">
      <c r="B163" s="101">
        <v>154</v>
      </c>
      <c r="C163" s="142"/>
      <c r="D163" s="142"/>
      <c r="E163" s="108"/>
      <c r="F163" s="329" t="str">
        <f>IF(D163="","",VLOOKUP(D163,'G-6 Hedgerow Data'!$B$2:$AG$15,2,FALSE))</f>
        <v/>
      </c>
      <c r="G163" s="282" t="str">
        <f>IF(D163="","",VLOOKUP(D163,'G-6 Hedgerow Data'!$B$2:$AG$15,3,FALSE))</f>
        <v/>
      </c>
      <c r="H163" s="105"/>
      <c r="I163" s="282" t="str">
        <f>IFERROR(IF(AND(D163&lt;&gt;"",H163=""),"Check data ⚠", IF(H163="","",IF(AND(D163="Non-native and ornamental hedgerow", H163&lt;&gt;"Poor"),"Not possible ▲", (VLOOKUP(H163,'G-1 All Habitats'!$Z$2:$AA$9,2,FALSE))))),"")</f>
        <v/>
      </c>
      <c r="J163" s="105"/>
      <c r="K163" s="289" t="str">
        <f>IF(AND(D163&lt;&gt;"",J163=""),"Check data ⚠", IF(J163="","",IF(VLOOKUP(J163,'G-3 Multipliers'!$L$3:$N$6,2,FALSE)=0,"Spatial Data Missing",VLOOKUP(J163,'G-3 Multipliers'!$L$3:$N$6,2,FALSE))))</f>
        <v/>
      </c>
      <c r="L163" s="287" t="str">
        <f>IF(J163="","",IF(VLOOKUP(J163,'G-3 Multipliers'!$L$3:$N$6,3,FALSE)=0,"Spatial Data Missing ⚠",VLOOKUP(J163,'G-3 Multipliers'!$L$3:$N$6,3,FALSE)))</f>
        <v/>
      </c>
      <c r="M163" s="288" t="str">
        <f>IF(D163="","",VLOOKUP(D163,'G-6 Hedgerow Data'!$B$1:$AH$15,33,FALSE))</f>
        <v/>
      </c>
      <c r="N163" s="295" t="str">
        <f t="shared" si="16"/>
        <v/>
      </c>
      <c r="O163" s="32"/>
      <c r="P163" s="109"/>
      <c r="Q163" s="142"/>
      <c r="R163" s="312" t="str">
        <f t="shared" si="17"/>
        <v/>
      </c>
      <c r="S163" s="312" t="str">
        <f t="shared" si="18"/>
        <v/>
      </c>
      <c r="T163" s="312" t="str">
        <f t="shared" si="19"/>
        <v/>
      </c>
      <c r="U163" s="333" t="str">
        <f t="shared" si="20"/>
        <v/>
      </c>
      <c r="V163" s="109"/>
      <c r="W163" s="108"/>
      <c r="X163" s="108"/>
      <c r="AE163" s="111" t="str">
        <f t="shared" si="14"/>
        <v/>
      </c>
      <c r="AF163" s="111" t="str">
        <f t="shared" si="15"/>
        <v/>
      </c>
      <c r="AH163" s="111">
        <v>154</v>
      </c>
      <c r="AJ163" s="111" t="str">
        <f t="array" ref="AJ163">IFERROR(INDEX($AH$10:$AH$258, MATCH(0, IF(TRUE=$AE$10:$AE$258, COUNTIF($AJ$9:$AJ162, $AH$10:$AH$258), ""), 0)),"")</f>
        <v/>
      </c>
      <c r="AK163" s="111" t="str">
        <f t="array" ref="AK163">IFERROR(INDEX($AH$10:$AH$258, MATCH(0, IF(TRUE=$AF$10:$AF$258, COUNTIF($AK$9:$AK162, $AH$10:$AH$258), ""), 0)),"")</f>
        <v/>
      </c>
      <c r="AL163" s="30" t="str">
        <f>IFERROR(INDEX('G-6 Hedgerow Data'!$BJ$3:$BJ$15,MATCH(D163,'G-6 Hedgerow Data'!$B$3:$B$15,0)),"")</f>
        <v/>
      </c>
    </row>
    <row r="164" spans="2:38" x14ac:dyDescent="0.25">
      <c r="B164" s="101">
        <v>155</v>
      </c>
      <c r="C164" s="142"/>
      <c r="D164" s="142"/>
      <c r="E164" s="108"/>
      <c r="F164" s="329" t="str">
        <f>IF(D164="","",VLOOKUP(D164,'G-6 Hedgerow Data'!$B$2:$AG$15,2,FALSE))</f>
        <v/>
      </c>
      <c r="G164" s="282" t="str">
        <f>IF(D164="","",VLOOKUP(D164,'G-6 Hedgerow Data'!$B$2:$AG$15,3,FALSE))</f>
        <v/>
      </c>
      <c r="H164" s="105"/>
      <c r="I164" s="282" t="str">
        <f>IFERROR(IF(AND(D164&lt;&gt;"",H164=""),"Check data ⚠", IF(H164="","",IF(AND(D164="Non-native and ornamental hedgerow", H164&lt;&gt;"Poor"),"Not possible ▲", (VLOOKUP(H164,'G-1 All Habitats'!$Z$2:$AA$9,2,FALSE))))),"")</f>
        <v/>
      </c>
      <c r="J164" s="105"/>
      <c r="K164" s="289" t="str">
        <f>IF(AND(D164&lt;&gt;"",J164=""),"Check data ⚠", IF(J164="","",IF(VLOOKUP(J164,'G-3 Multipliers'!$L$3:$N$6,2,FALSE)=0,"Spatial Data Missing",VLOOKUP(J164,'G-3 Multipliers'!$L$3:$N$6,2,FALSE))))</f>
        <v/>
      </c>
      <c r="L164" s="287" t="str">
        <f>IF(J164="","",IF(VLOOKUP(J164,'G-3 Multipliers'!$L$3:$N$6,3,FALSE)=0,"Spatial Data Missing ⚠",VLOOKUP(J164,'G-3 Multipliers'!$L$3:$N$6,3,FALSE)))</f>
        <v/>
      </c>
      <c r="M164" s="288" t="str">
        <f>IF(D164="","",VLOOKUP(D164,'G-6 Hedgerow Data'!$B$1:$AH$15,33,FALSE))</f>
        <v/>
      </c>
      <c r="N164" s="295" t="str">
        <f t="shared" si="16"/>
        <v/>
      </c>
      <c r="O164" s="32"/>
      <c r="P164" s="109"/>
      <c r="Q164" s="142"/>
      <c r="R164" s="312" t="str">
        <f t="shared" si="17"/>
        <v/>
      </c>
      <c r="S164" s="312" t="str">
        <f t="shared" si="18"/>
        <v/>
      </c>
      <c r="T164" s="312" t="str">
        <f t="shared" si="19"/>
        <v/>
      </c>
      <c r="U164" s="333" t="str">
        <f t="shared" si="20"/>
        <v/>
      </c>
      <c r="V164" s="109"/>
      <c r="W164" s="108"/>
      <c r="X164" s="108"/>
      <c r="AE164" s="111" t="str">
        <f t="shared" si="14"/>
        <v/>
      </c>
      <c r="AF164" s="111" t="str">
        <f t="shared" si="15"/>
        <v/>
      </c>
      <c r="AH164" s="111">
        <v>155</v>
      </c>
      <c r="AJ164" s="111" t="str">
        <f t="array" ref="AJ164">IFERROR(INDEX($AH$10:$AH$258, MATCH(0, IF(TRUE=$AE$10:$AE$258, COUNTIF($AJ$9:$AJ163, $AH$10:$AH$258), ""), 0)),"")</f>
        <v/>
      </c>
      <c r="AK164" s="111" t="str">
        <f t="array" ref="AK164">IFERROR(INDEX($AH$10:$AH$258, MATCH(0, IF(TRUE=$AF$10:$AF$258, COUNTIF($AK$9:$AK163, $AH$10:$AH$258), ""), 0)),"")</f>
        <v/>
      </c>
      <c r="AL164" s="30" t="str">
        <f>IFERROR(INDEX('G-6 Hedgerow Data'!$BJ$3:$BJ$15,MATCH(D164,'G-6 Hedgerow Data'!$B$3:$B$15,0)),"")</f>
        <v/>
      </c>
    </row>
    <row r="165" spans="2:38" x14ac:dyDescent="0.25">
      <c r="B165" s="101">
        <v>156</v>
      </c>
      <c r="C165" s="142"/>
      <c r="D165" s="142"/>
      <c r="E165" s="108"/>
      <c r="F165" s="329" t="str">
        <f>IF(D165="","",VLOOKUP(D165,'G-6 Hedgerow Data'!$B$2:$AG$15,2,FALSE))</f>
        <v/>
      </c>
      <c r="G165" s="282" t="str">
        <f>IF(D165="","",VLOOKUP(D165,'G-6 Hedgerow Data'!$B$2:$AG$15,3,FALSE))</f>
        <v/>
      </c>
      <c r="H165" s="105"/>
      <c r="I165" s="282" t="str">
        <f>IFERROR(IF(AND(D165&lt;&gt;"",H165=""),"Check data ⚠", IF(H165="","",IF(AND(D165="Non-native and ornamental hedgerow", H165&lt;&gt;"Poor"),"Not possible ▲", (VLOOKUP(H165,'G-1 All Habitats'!$Z$2:$AA$9,2,FALSE))))),"")</f>
        <v/>
      </c>
      <c r="J165" s="105"/>
      <c r="K165" s="289" t="str">
        <f>IF(AND(D165&lt;&gt;"",J165=""),"Check data ⚠", IF(J165="","",IF(VLOOKUP(J165,'G-3 Multipliers'!$L$3:$N$6,2,FALSE)=0,"Spatial Data Missing",VLOOKUP(J165,'G-3 Multipliers'!$L$3:$N$6,2,FALSE))))</f>
        <v/>
      </c>
      <c r="L165" s="287" t="str">
        <f>IF(J165="","",IF(VLOOKUP(J165,'G-3 Multipliers'!$L$3:$N$6,3,FALSE)=0,"Spatial Data Missing ⚠",VLOOKUP(J165,'G-3 Multipliers'!$L$3:$N$6,3,FALSE)))</f>
        <v/>
      </c>
      <c r="M165" s="288" t="str">
        <f>IF(D165="","",VLOOKUP(D165,'G-6 Hedgerow Data'!$B$1:$AH$15,33,FALSE))</f>
        <v/>
      </c>
      <c r="N165" s="295" t="str">
        <f t="shared" si="16"/>
        <v/>
      </c>
      <c r="O165" s="32"/>
      <c r="P165" s="109"/>
      <c r="Q165" s="142"/>
      <c r="R165" s="312" t="str">
        <f t="shared" si="17"/>
        <v/>
      </c>
      <c r="S165" s="312" t="str">
        <f t="shared" si="18"/>
        <v/>
      </c>
      <c r="T165" s="312" t="str">
        <f t="shared" si="19"/>
        <v/>
      </c>
      <c r="U165" s="333" t="str">
        <f t="shared" si="20"/>
        <v/>
      </c>
      <c r="V165" s="109"/>
      <c r="W165" s="108"/>
      <c r="X165" s="108"/>
      <c r="AE165" s="111" t="str">
        <f t="shared" si="14"/>
        <v/>
      </c>
      <c r="AF165" s="111" t="str">
        <f t="shared" si="15"/>
        <v/>
      </c>
      <c r="AH165" s="111">
        <v>156</v>
      </c>
      <c r="AJ165" s="111" t="str">
        <f t="array" ref="AJ165">IFERROR(INDEX($AH$10:$AH$258, MATCH(0, IF(TRUE=$AE$10:$AE$258, COUNTIF($AJ$9:$AJ164, $AH$10:$AH$258), ""), 0)),"")</f>
        <v/>
      </c>
      <c r="AK165" s="111" t="str">
        <f t="array" ref="AK165">IFERROR(INDEX($AH$10:$AH$258, MATCH(0, IF(TRUE=$AF$10:$AF$258, COUNTIF($AK$9:$AK164, $AH$10:$AH$258), ""), 0)),"")</f>
        <v/>
      </c>
      <c r="AL165" s="30" t="str">
        <f>IFERROR(INDEX('G-6 Hedgerow Data'!$BJ$3:$BJ$15,MATCH(D165,'G-6 Hedgerow Data'!$B$3:$B$15,0)),"")</f>
        <v/>
      </c>
    </row>
    <row r="166" spans="2:38" x14ac:dyDescent="0.25">
      <c r="B166" s="101">
        <v>157</v>
      </c>
      <c r="C166" s="142"/>
      <c r="D166" s="142"/>
      <c r="E166" s="108"/>
      <c r="F166" s="329" t="str">
        <f>IF(D166="","",VLOOKUP(D166,'G-6 Hedgerow Data'!$B$2:$AG$15,2,FALSE))</f>
        <v/>
      </c>
      <c r="G166" s="282" t="str">
        <f>IF(D166="","",VLOOKUP(D166,'G-6 Hedgerow Data'!$B$2:$AG$15,3,FALSE))</f>
        <v/>
      </c>
      <c r="H166" s="105"/>
      <c r="I166" s="282" t="str">
        <f>IFERROR(IF(AND(D166&lt;&gt;"",H166=""),"Check data ⚠", IF(H166="","",IF(AND(D166="Non-native and ornamental hedgerow", H166&lt;&gt;"Poor"),"Not possible ▲", (VLOOKUP(H166,'G-1 All Habitats'!$Z$2:$AA$9,2,FALSE))))),"")</f>
        <v/>
      </c>
      <c r="J166" s="105"/>
      <c r="K166" s="289" t="str">
        <f>IF(AND(D166&lt;&gt;"",J166=""),"Check data ⚠", IF(J166="","",IF(VLOOKUP(J166,'G-3 Multipliers'!$L$3:$N$6,2,FALSE)=0,"Spatial Data Missing",VLOOKUP(J166,'G-3 Multipliers'!$L$3:$N$6,2,FALSE))))</f>
        <v/>
      </c>
      <c r="L166" s="287" t="str">
        <f>IF(J166="","",IF(VLOOKUP(J166,'G-3 Multipliers'!$L$3:$N$6,3,FALSE)=0,"Spatial Data Missing ⚠",VLOOKUP(J166,'G-3 Multipliers'!$L$3:$N$6,3,FALSE)))</f>
        <v/>
      </c>
      <c r="M166" s="288" t="str">
        <f>IF(D166="","",VLOOKUP(D166,'G-6 Hedgerow Data'!$B$1:$AH$15,33,FALSE))</f>
        <v/>
      </c>
      <c r="N166" s="295" t="str">
        <f t="shared" si="16"/>
        <v/>
      </c>
      <c r="O166" s="32"/>
      <c r="P166" s="109"/>
      <c r="Q166" s="142"/>
      <c r="R166" s="312" t="str">
        <f t="shared" si="17"/>
        <v/>
      </c>
      <c r="S166" s="312" t="str">
        <f t="shared" si="18"/>
        <v/>
      </c>
      <c r="T166" s="312" t="str">
        <f t="shared" si="19"/>
        <v/>
      </c>
      <c r="U166" s="333" t="str">
        <f t="shared" si="20"/>
        <v/>
      </c>
      <c r="V166" s="109"/>
      <c r="W166" s="108"/>
      <c r="X166" s="108"/>
      <c r="AE166" s="111" t="str">
        <f t="shared" si="14"/>
        <v/>
      </c>
      <c r="AF166" s="111" t="str">
        <f t="shared" si="15"/>
        <v/>
      </c>
      <c r="AH166" s="111">
        <v>157</v>
      </c>
      <c r="AJ166" s="111" t="str">
        <f t="array" ref="AJ166">IFERROR(INDEX($AH$10:$AH$258, MATCH(0, IF(TRUE=$AE$10:$AE$258, COUNTIF($AJ$9:$AJ165, $AH$10:$AH$258), ""), 0)),"")</f>
        <v/>
      </c>
      <c r="AK166" s="111" t="str">
        <f t="array" ref="AK166">IFERROR(INDEX($AH$10:$AH$258, MATCH(0, IF(TRUE=$AF$10:$AF$258, COUNTIF($AK$9:$AK165, $AH$10:$AH$258), ""), 0)),"")</f>
        <v/>
      </c>
      <c r="AL166" s="30" t="str">
        <f>IFERROR(INDEX('G-6 Hedgerow Data'!$BJ$3:$BJ$15,MATCH(D166,'G-6 Hedgerow Data'!$B$3:$B$15,0)),"")</f>
        <v/>
      </c>
    </row>
    <row r="167" spans="2:38" x14ac:dyDescent="0.25">
      <c r="B167" s="101">
        <v>158</v>
      </c>
      <c r="C167" s="142"/>
      <c r="D167" s="142"/>
      <c r="E167" s="108"/>
      <c r="F167" s="329" t="str">
        <f>IF(D167="","",VLOOKUP(D167,'G-6 Hedgerow Data'!$B$2:$AG$15,2,FALSE))</f>
        <v/>
      </c>
      <c r="G167" s="282" t="str">
        <f>IF(D167="","",VLOOKUP(D167,'G-6 Hedgerow Data'!$B$2:$AG$15,3,FALSE))</f>
        <v/>
      </c>
      <c r="H167" s="105"/>
      <c r="I167" s="282" t="str">
        <f>IFERROR(IF(AND(D167&lt;&gt;"",H167=""),"Check data ⚠", IF(H167="","",IF(AND(D167="Non-native and ornamental hedgerow", H167&lt;&gt;"Poor"),"Not possible ▲", (VLOOKUP(H167,'G-1 All Habitats'!$Z$2:$AA$9,2,FALSE))))),"")</f>
        <v/>
      </c>
      <c r="J167" s="105"/>
      <c r="K167" s="289" t="str">
        <f>IF(AND(D167&lt;&gt;"",J167=""),"Check data ⚠", IF(J167="","",IF(VLOOKUP(J167,'G-3 Multipliers'!$L$3:$N$6,2,FALSE)=0,"Spatial Data Missing",VLOOKUP(J167,'G-3 Multipliers'!$L$3:$N$6,2,FALSE))))</f>
        <v/>
      </c>
      <c r="L167" s="287" t="str">
        <f>IF(J167="","",IF(VLOOKUP(J167,'G-3 Multipliers'!$L$3:$N$6,3,FALSE)=0,"Spatial Data Missing ⚠",VLOOKUP(J167,'G-3 Multipliers'!$L$3:$N$6,3,FALSE)))</f>
        <v/>
      </c>
      <c r="M167" s="288" t="str">
        <f>IF(D167="","",VLOOKUP(D167,'G-6 Hedgerow Data'!$B$1:$AH$15,33,FALSE))</f>
        <v/>
      </c>
      <c r="N167" s="295" t="str">
        <f t="shared" si="16"/>
        <v/>
      </c>
      <c r="O167" s="32"/>
      <c r="P167" s="109"/>
      <c r="Q167" s="142"/>
      <c r="R167" s="312" t="str">
        <f t="shared" si="17"/>
        <v/>
      </c>
      <c r="S167" s="312" t="str">
        <f t="shared" si="18"/>
        <v/>
      </c>
      <c r="T167" s="312" t="str">
        <f t="shared" si="19"/>
        <v/>
      </c>
      <c r="U167" s="333" t="str">
        <f t="shared" si="20"/>
        <v/>
      </c>
      <c r="V167" s="109"/>
      <c r="W167" s="108"/>
      <c r="X167" s="108"/>
      <c r="AE167" s="111" t="str">
        <f t="shared" si="14"/>
        <v/>
      </c>
      <c r="AF167" s="111" t="str">
        <f t="shared" si="15"/>
        <v/>
      </c>
      <c r="AH167" s="111">
        <v>158</v>
      </c>
      <c r="AJ167" s="111" t="str">
        <f t="array" ref="AJ167">IFERROR(INDEX($AH$10:$AH$258, MATCH(0, IF(TRUE=$AE$10:$AE$258, COUNTIF($AJ$9:$AJ166, $AH$10:$AH$258), ""), 0)),"")</f>
        <v/>
      </c>
      <c r="AK167" s="111" t="str">
        <f t="array" ref="AK167">IFERROR(INDEX($AH$10:$AH$258, MATCH(0, IF(TRUE=$AF$10:$AF$258, COUNTIF($AK$9:$AK166, $AH$10:$AH$258), ""), 0)),"")</f>
        <v/>
      </c>
      <c r="AL167" s="30" t="str">
        <f>IFERROR(INDEX('G-6 Hedgerow Data'!$BJ$3:$BJ$15,MATCH(D167,'G-6 Hedgerow Data'!$B$3:$B$15,0)),"")</f>
        <v/>
      </c>
    </row>
    <row r="168" spans="2:38" x14ac:dyDescent="0.25">
      <c r="B168" s="101">
        <v>159</v>
      </c>
      <c r="C168" s="142"/>
      <c r="D168" s="142"/>
      <c r="E168" s="108"/>
      <c r="F168" s="329" t="str">
        <f>IF(D168="","",VLOOKUP(D168,'G-6 Hedgerow Data'!$B$2:$AG$15,2,FALSE))</f>
        <v/>
      </c>
      <c r="G168" s="282" t="str">
        <f>IF(D168="","",VLOOKUP(D168,'G-6 Hedgerow Data'!$B$2:$AG$15,3,FALSE))</f>
        <v/>
      </c>
      <c r="H168" s="105"/>
      <c r="I168" s="282" t="str">
        <f>IFERROR(IF(AND(D168&lt;&gt;"",H168=""),"Check data ⚠", IF(H168="","",IF(AND(D168="Non-native and ornamental hedgerow", H168&lt;&gt;"Poor"),"Not possible ▲", (VLOOKUP(H168,'G-1 All Habitats'!$Z$2:$AA$9,2,FALSE))))),"")</f>
        <v/>
      </c>
      <c r="J168" s="105"/>
      <c r="K168" s="289" t="str">
        <f>IF(AND(D168&lt;&gt;"",J168=""),"Check data ⚠", IF(J168="","",IF(VLOOKUP(J168,'G-3 Multipliers'!$L$3:$N$6,2,FALSE)=0,"Spatial Data Missing",VLOOKUP(J168,'G-3 Multipliers'!$L$3:$N$6,2,FALSE))))</f>
        <v/>
      </c>
      <c r="L168" s="287" t="str">
        <f>IF(J168="","",IF(VLOOKUP(J168,'G-3 Multipliers'!$L$3:$N$6,3,FALSE)=0,"Spatial Data Missing ⚠",VLOOKUP(J168,'G-3 Multipliers'!$L$3:$N$6,3,FALSE)))</f>
        <v/>
      </c>
      <c r="M168" s="288" t="str">
        <f>IF(D168="","",VLOOKUP(D168,'G-6 Hedgerow Data'!$B$1:$AH$15,33,FALSE))</f>
        <v/>
      </c>
      <c r="N168" s="295" t="str">
        <f t="shared" si="16"/>
        <v/>
      </c>
      <c r="O168" s="32"/>
      <c r="P168" s="109"/>
      <c r="Q168" s="142"/>
      <c r="R168" s="312" t="str">
        <f t="shared" si="17"/>
        <v/>
      </c>
      <c r="S168" s="312" t="str">
        <f t="shared" si="18"/>
        <v/>
      </c>
      <c r="T168" s="312" t="str">
        <f t="shared" si="19"/>
        <v/>
      </c>
      <c r="U168" s="333" t="str">
        <f t="shared" si="20"/>
        <v/>
      </c>
      <c r="V168" s="109"/>
      <c r="W168" s="108"/>
      <c r="X168" s="108"/>
      <c r="AE168" s="111" t="str">
        <f t="shared" si="14"/>
        <v/>
      </c>
      <c r="AF168" s="111" t="str">
        <f t="shared" si="15"/>
        <v/>
      </c>
      <c r="AH168" s="111">
        <v>159</v>
      </c>
      <c r="AJ168" s="111" t="str">
        <f t="array" ref="AJ168">IFERROR(INDEX($AH$10:$AH$258, MATCH(0, IF(TRUE=$AE$10:$AE$258, COUNTIF($AJ$9:$AJ167, $AH$10:$AH$258), ""), 0)),"")</f>
        <v/>
      </c>
      <c r="AK168" s="111" t="str">
        <f t="array" ref="AK168">IFERROR(INDEX($AH$10:$AH$258, MATCH(0, IF(TRUE=$AF$10:$AF$258, COUNTIF($AK$9:$AK167, $AH$10:$AH$258), ""), 0)),"")</f>
        <v/>
      </c>
      <c r="AL168" s="30" t="str">
        <f>IFERROR(INDEX('G-6 Hedgerow Data'!$BJ$3:$BJ$15,MATCH(D168,'G-6 Hedgerow Data'!$B$3:$B$15,0)),"")</f>
        <v/>
      </c>
    </row>
    <row r="169" spans="2:38" x14ac:dyDescent="0.25">
      <c r="B169" s="101">
        <v>160</v>
      </c>
      <c r="C169" s="142"/>
      <c r="D169" s="142"/>
      <c r="E169" s="108"/>
      <c r="F169" s="329" t="str">
        <f>IF(D169="","",VLOOKUP(D169,'G-6 Hedgerow Data'!$B$2:$AG$15,2,FALSE))</f>
        <v/>
      </c>
      <c r="G169" s="282" t="str">
        <f>IF(D169="","",VLOOKUP(D169,'G-6 Hedgerow Data'!$B$2:$AG$15,3,FALSE))</f>
        <v/>
      </c>
      <c r="H169" s="105"/>
      <c r="I169" s="282" t="str">
        <f>IFERROR(IF(AND(D169&lt;&gt;"",H169=""),"Check data ⚠", IF(H169="","",IF(AND(D169="Non-native and ornamental hedgerow", H169&lt;&gt;"Poor"),"Not possible ▲", (VLOOKUP(H169,'G-1 All Habitats'!$Z$2:$AA$9,2,FALSE))))),"")</f>
        <v/>
      </c>
      <c r="J169" s="105"/>
      <c r="K169" s="289" t="str">
        <f>IF(AND(D169&lt;&gt;"",J169=""),"Check data ⚠", IF(J169="","",IF(VLOOKUP(J169,'G-3 Multipliers'!$L$3:$N$6,2,FALSE)=0,"Spatial Data Missing",VLOOKUP(J169,'G-3 Multipliers'!$L$3:$N$6,2,FALSE))))</f>
        <v/>
      </c>
      <c r="L169" s="287" t="str">
        <f>IF(J169="","",IF(VLOOKUP(J169,'G-3 Multipliers'!$L$3:$N$6,3,FALSE)=0,"Spatial Data Missing ⚠",VLOOKUP(J169,'G-3 Multipliers'!$L$3:$N$6,3,FALSE)))</f>
        <v/>
      </c>
      <c r="M169" s="288" t="str">
        <f>IF(D169="","",VLOOKUP(D169,'G-6 Hedgerow Data'!$B$1:$AH$15,33,FALSE))</f>
        <v/>
      </c>
      <c r="N169" s="295" t="str">
        <f t="shared" si="16"/>
        <v/>
      </c>
      <c r="O169" s="32"/>
      <c r="P169" s="109"/>
      <c r="Q169" s="142"/>
      <c r="R169" s="312" t="str">
        <f t="shared" si="17"/>
        <v/>
      </c>
      <c r="S169" s="312" t="str">
        <f t="shared" si="18"/>
        <v/>
      </c>
      <c r="T169" s="312" t="str">
        <f t="shared" si="19"/>
        <v/>
      </c>
      <c r="U169" s="333" t="str">
        <f t="shared" si="20"/>
        <v/>
      </c>
      <c r="V169" s="109"/>
      <c r="W169" s="108"/>
      <c r="X169" s="108"/>
      <c r="AE169" s="111" t="str">
        <f t="shared" si="14"/>
        <v/>
      </c>
      <c r="AF169" s="111" t="str">
        <f t="shared" si="15"/>
        <v/>
      </c>
      <c r="AH169" s="111">
        <v>160</v>
      </c>
      <c r="AJ169" s="111" t="str">
        <f t="array" ref="AJ169">IFERROR(INDEX($AH$10:$AH$258, MATCH(0, IF(TRUE=$AE$10:$AE$258, COUNTIF($AJ$9:$AJ168, $AH$10:$AH$258), ""), 0)),"")</f>
        <v/>
      </c>
      <c r="AK169" s="111" t="str">
        <f t="array" ref="AK169">IFERROR(INDEX($AH$10:$AH$258, MATCH(0, IF(TRUE=$AF$10:$AF$258, COUNTIF($AK$9:$AK168, $AH$10:$AH$258), ""), 0)),"")</f>
        <v/>
      </c>
      <c r="AL169" s="30" t="str">
        <f>IFERROR(INDEX('G-6 Hedgerow Data'!$BJ$3:$BJ$15,MATCH(D169,'G-6 Hedgerow Data'!$B$3:$B$15,0)),"")</f>
        <v/>
      </c>
    </row>
    <row r="170" spans="2:38" x14ac:dyDescent="0.25">
      <c r="B170" s="101">
        <v>161</v>
      </c>
      <c r="C170" s="142"/>
      <c r="D170" s="142"/>
      <c r="E170" s="108"/>
      <c r="F170" s="329" t="str">
        <f>IF(D170="","",VLOOKUP(D170,'G-6 Hedgerow Data'!$B$2:$AG$15,2,FALSE))</f>
        <v/>
      </c>
      <c r="G170" s="282" t="str">
        <f>IF(D170="","",VLOOKUP(D170,'G-6 Hedgerow Data'!$B$2:$AG$15,3,FALSE))</f>
        <v/>
      </c>
      <c r="H170" s="105"/>
      <c r="I170" s="282" t="str">
        <f>IFERROR(IF(AND(D170&lt;&gt;"",H170=""),"Check data ⚠", IF(H170="","",IF(AND(D170="Non-native and ornamental hedgerow", H170&lt;&gt;"Poor"),"Not possible ▲", (VLOOKUP(H170,'G-1 All Habitats'!$Z$2:$AA$9,2,FALSE))))),"")</f>
        <v/>
      </c>
      <c r="J170" s="105"/>
      <c r="K170" s="289" t="str">
        <f>IF(AND(D170&lt;&gt;"",J170=""),"Check data ⚠", IF(J170="","",IF(VLOOKUP(J170,'G-3 Multipliers'!$L$3:$N$6,2,FALSE)=0,"Spatial Data Missing",VLOOKUP(J170,'G-3 Multipliers'!$L$3:$N$6,2,FALSE))))</f>
        <v/>
      </c>
      <c r="L170" s="287" t="str">
        <f>IF(J170="","",IF(VLOOKUP(J170,'G-3 Multipliers'!$L$3:$N$6,3,FALSE)=0,"Spatial Data Missing ⚠",VLOOKUP(J170,'G-3 Multipliers'!$L$3:$N$6,3,FALSE)))</f>
        <v/>
      </c>
      <c r="M170" s="288" t="str">
        <f>IF(D170="","",VLOOKUP(D170,'G-6 Hedgerow Data'!$B$1:$AH$15,33,FALSE))</f>
        <v/>
      </c>
      <c r="N170" s="295" t="str">
        <f t="shared" si="16"/>
        <v/>
      </c>
      <c r="O170" s="32"/>
      <c r="P170" s="109"/>
      <c r="Q170" s="142"/>
      <c r="R170" s="312" t="str">
        <f t="shared" si="17"/>
        <v/>
      </c>
      <c r="S170" s="312" t="str">
        <f t="shared" si="18"/>
        <v/>
      </c>
      <c r="T170" s="312" t="str">
        <f t="shared" si="19"/>
        <v/>
      </c>
      <c r="U170" s="333" t="str">
        <f t="shared" si="20"/>
        <v/>
      </c>
      <c r="V170" s="109"/>
      <c r="W170" s="108"/>
      <c r="X170" s="108"/>
      <c r="AE170" s="111" t="str">
        <f t="shared" si="14"/>
        <v/>
      </c>
      <c r="AF170" s="111" t="str">
        <f t="shared" si="15"/>
        <v/>
      </c>
      <c r="AH170" s="111">
        <v>161</v>
      </c>
      <c r="AJ170" s="111" t="str">
        <f t="array" ref="AJ170">IFERROR(INDEX($AH$10:$AH$258, MATCH(0, IF(TRUE=$AE$10:$AE$258, COUNTIF($AJ$9:$AJ169, $AH$10:$AH$258), ""), 0)),"")</f>
        <v/>
      </c>
      <c r="AK170" s="111" t="str">
        <f t="array" ref="AK170">IFERROR(INDEX($AH$10:$AH$258, MATCH(0, IF(TRUE=$AF$10:$AF$258, COUNTIF($AK$9:$AK169, $AH$10:$AH$258), ""), 0)),"")</f>
        <v/>
      </c>
      <c r="AL170" s="30" t="str">
        <f>IFERROR(INDEX('G-6 Hedgerow Data'!$BJ$3:$BJ$15,MATCH(D170,'G-6 Hedgerow Data'!$B$3:$B$15,0)),"")</f>
        <v/>
      </c>
    </row>
    <row r="171" spans="2:38" x14ac:dyDescent="0.25">
      <c r="B171" s="101">
        <v>162</v>
      </c>
      <c r="C171" s="142"/>
      <c r="D171" s="142"/>
      <c r="E171" s="108"/>
      <c r="F171" s="329" t="str">
        <f>IF(D171="","",VLOOKUP(D171,'G-6 Hedgerow Data'!$B$2:$AG$15,2,FALSE))</f>
        <v/>
      </c>
      <c r="G171" s="282" t="str">
        <f>IF(D171="","",VLOOKUP(D171,'G-6 Hedgerow Data'!$B$2:$AG$15,3,FALSE))</f>
        <v/>
      </c>
      <c r="H171" s="105"/>
      <c r="I171" s="282" t="str">
        <f>IFERROR(IF(AND(D171&lt;&gt;"",H171=""),"Check data ⚠", IF(H171="","",IF(AND(D171="Non-native and ornamental hedgerow", H171&lt;&gt;"Poor"),"Not possible ▲", (VLOOKUP(H171,'G-1 All Habitats'!$Z$2:$AA$9,2,FALSE))))),"")</f>
        <v/>
      </c>
      <c r="J171" s="105"/>
      <c r="K171" s="289" t="str">
        <f>IF(AND(D171&lt;&gt;"",J171=""),"Check data ⚠", IF(J171="","",IF(VLOOKUP(J171,'G-3 Multipliers'!$L$3:$N$6,2,FALSE)=0,"Spatial Data Missing",VLOOKUP(J171,'G-3 Multipliers'!$L$3:$N$6,2,FALSE))))</f>
        <v/>
      </c>
      <c r="L171" s="287" t="str">
        <f>IF(J171="","",IF(VLOOKUP(J171,'G-3 Multipliers'!$L$3:$N$6,3,FALSE)=0,"Spatial Data Missing ⚠",VLOOKUP(J171,'G-3 Multipliers'!$L$3:$N$6,3,FALSE)))</f>
        <v/>
      </c>
      <c r="M171" s="288" t="str">
        <f>IF(D171="","",VLOOKUP(D171,'G-6 Hedgerow Data'!$B$1:$AH$15,33,FALSE))</f>
        <v/>
      </c>
      <c r="N171" s="295" t="str">
        <f t="shared" si="16"/>
        <v/>
      </c>
      <c r="O171" s="32"/>
      <c r="P171" s="109"/>
      <c r="Q171" s="142"/>
      <c r="R171" s="312" t="str">
        <f t="shared" si="17"/>
        <v/>
      </c>
      <c r="S171" s="312" t="str">
        <f t="shared" si="18"/>
        <v/>
      </c>
      <c r="T171" s="312" t="str">
        <f t="shared" si="19"/>
        <v/>
      </c>
      <c r="U171" s="333" t="str">
        <f t="shared" si="20"/>
        <v/>
      </c>
      <c r="V171" s="109"/>
      <c r="W171" s="108"/>
      <c r="X171" s="108"/>
      <c r="AE171" s="111" t="str">
        <f t="shared" si="14"/>
        <v/>
      </c>
      <c r="AF171" s="111" t="str">
        <f t="shared" si="15"/>
        <v/>
      </c>
      <c r="AH171" s="111">
        <v>162</v>
      </c>
      <c r="AJ171" s="111" t="str">
        <f t="array" ref="AJ171">IFERROR(INDEX($AH$10:$AH$258, MATCH(0, IF(TRUE=$AE$10:$AE$258, COUNTIF($AJ$9:$AJ170, $AH$10:$AH$258), ""), 0)),"")</f>
        <v/>
      </c>
      <c r="AK171" s="111" t="str">
        <f t="array" ref="AK171">IFERROR(INDEX($AH$10:$AH$258, MATCH(0, IF(TRUE=$AF$10:$AF$258, COUNTIF($AK$9:$AK170, $AH$10:$AH$258), ""), 0)),"")</f>
        <v/>
      </c>
      <c r="AL171" s="30" t="str">
        <f>IFERROR(INDEX('G-6 Hedgerow Data'!$BJ$3:$BJ$15,MATCH(D171,'G-6 Hedgerow Data'!$B$3:$B$15,0)),"")</f>
        <v/>
      </c>
    </row>
    <row r="172" spans="2:38" x14ac:dyDescent="0.25">
      <c r="B172" s="101">
        <v>163</v>
      </c>
      <c r="C172" s="142"/>
      <c r="D172" s="142"/>
      <c r="E172" s="108"/>
      <c r="F172" s="329" t="str">
        <f>IF(D172="","",VLOOKUP(D172,'G-6 Hedgerow Data'!$B$2:$AG$15,2,FALSE))</f>
        <v/>
      </c>
      <c r="G172" s="282" t="str">
        <f>IF(D172="","",VLOOKUP(D172,'G-6 Hedgerow Data'!$B$2:$AG$15,3,FALSE))</f>
        <v/>
      </c>
      <c r="H172" s="105"/>
      <c r="I172" s="282" t="str">
        <f>IFERROR(IF(AND(D172&lt;&gt;"",H172=""),"Check data ⚠", IF(H172="","",IF(AND(D172="Non-native and ornamental hedgerow", H172&lt;&gt;"Poor"),"Not possible ▲", (VLOOKUP(H172,'G-1 All Habitats'!$Z$2:$AA$9,2,FALSE))))),"")</f>
        <v/>
      </c>
      <c r="J172" s="105"/>
      <c r="K172" s="289" t="str">
        <f>IF(AND(D172&lt;&gt;"",J172=""),"Check data ⚠", IF(J172="","",IF(VLOOKUP(J172,'G-3 Multipliers'!$L$3:$N$6,2,FALSE)=0,"Spatial Data Missing",VLOOKUP(J172,'G-3 Multipliers'!$L$3:$N$6,2,FALSE))))</f>
        <v/>
      </c>
      <c r="L172" s="287" t="str">
        <f>IF(J172="","",IF(VLOOKUP(J172,'G-3 Multipliers'!$L$3:$N$6,3,FALSE)=0,"Spatial Data Missing ⚠",VLOOKUP(J172,'G-3 Multipliers'!$L$3:$N$6,3,FALSE)))</f>
        <v/>
      </c>
      <c r="M172" s="288" t="str">
        <f>IF(D172="","",VLOOKUP(D172,'G-6 Hedgerow Data'!$B$1:$AH$15,33,FALSE))</f>
        <v/>
      </c>
      <c r="N172" s="295" t="str">
        <f t="shared" si="16"/>
        <v/>
      </c>
      <c r="O172" s="32"/>
      <c r="P172" s="109"/>
      <c r="Q172" s="142"/>
      <c r="R172" s="312" t="str">
        <f t="shared" si="17"/>
        <v/>
      </c>
      <c r="S172" s="312" t="str">
        <f t="shared" si="18"/>
        <v/>
      </c>
      <c r="T172" s="312" t="str">
        <f t="shared" si="19"/>
        <v/>
      </c>
      <c r="U172" s="333" t="str">
        <f t="shared" si="20"/>
        <v/>
      </c>
      <c r="V172" s="109"/>
      <c r="W172" s="108"/>
      <c r="X172" s="108"/>
      <c r="AE172" s="111" t="str">
        <f t="shared" si="14"/>
        <v/>
      </c>
      <c r="AF172" s="111" t="str">
        <f t="shared" si="15"/>
        <v/>
      </c>
      <c r="AH172" s="111">
        <v>163</v>
      </c>
      <c r="AJ172" s="111" t="str">
        <f t="array" ref="AJ172">IFERROR(INDEX($AH$10:$AH$258, MATCH(0, IF(TRUE=$AE$10:$AE$258, COUNTIF($AJ$9:$AJ171, $AH$10:$AH$258), ""), 0)),"")</f>
        <v/>
      </c>
      <c r="AK172" s="111" t="str">
        <f t="array" ref="AK172">IFERROR(INDEX($AH$10:$AH$258, MATCH(0, IF(TRUE=$AF$10:$AF$258, COUNTIF($AK$9:$AK171, $AH$10:$AH$258), ""), 0)),"")</f>
        <v/>
      </c>
      <c r="AL172" s="30" t="str">
        <f>IFERROR(INDEX('G-6 Hedgerow Data'!$BJ$3:$BJ$15,MATCH(D172,'G-6 Hedgerow Data'!$B$3:$B$15,0)),"")</f>
        <v/>
      </c>
    </row>
    <row r="173" spans="2:38" x14ac:dyDescent="0.25">
      <c r="B173" s="101">
        <v>164</v>
      </c>
      <c r="C173" s="142"/>
      <c r="D173" s="142"/>
      <c r="E173" s="108"/>
      <c r="F173" s="329" t="str">
        <f>IF(D173="","",VLOOKUP(D173,'G-6 Hedgerow Data'!$B$2:$AG$15,2,FALSE))</f>
        <v/>
      </c>
      <c r="G173" s="282" t="str">
        <f>IF(D173="","",VLOOKUP(D173,'G-6 Hedgerow Data'!$B$2:$AG$15,3,FALSE))</f>
        <v/>
      </c>
      <c r="H173" s="105"/>
      <c r="I173" s="282" t="str">
        <f>IFERROR(IF(AND(D173&lt;&gt;"",H173=""),"Check data ⚠", IF(H173="","",IF(AND(D173="Non-native and ornamental hedgerow", H173&lt;&gt;"Poor"),"Not possible ▲", (VLOOKUP(H173,'G-1 All Habitats'!$Z$2:$AA$9,2,FALSE))))),"")</f>
        <v/>
      </c>
      <c r="J173" s="105"/>
      <c r="K173" s="289" t="str">
        <f>IF(AND(D173&lt;&gt;"",J173=""),"Check data ⚠", IF(J173="","",IF(VLOOKUP(J173,'G-3 Multipliers'!$L$3:$N$6,2,FALSE)=0,"Spatial Data Missing",VLOOKUP(J173,'G-3 Multipliers'!$L$3:$N$6,2,FALSE))))</f>
        <v/>
      </c>
      <c r="L173" s="287" t="str">
        <f>IF(J173="","",IF(VLOOKUP(J173,'G-3 Multipliers'!$L$3:$N$6,3,FALSE)=0,"Spatial Data Missing ⚠",VLOOKUP(J173,'G-3 Multipliers'!$L$3:$N$6,3,FALSE)))</f>
        <v/>
      </c>
      <c r="M173" s="288" t="str">
        <f>IF(D173="","",VLOOKUP(D173,'G-6 Hedgerow Data'!$B$1:$AH$15,33,FALSE))</f>
        <v/>
      </c>
      <c r="N173" s="295" t="str">
        <f t="shared" si="16"/>
        <v/>
      </c>
      <c r="O173" s="32"/>
      <c r="P173" s="109"/>
      <c r="Q173" s="142"/>
      <c r="R173" s="312" t="str">
        <f t="shared" si="17"/>
        <v/>
      </c>
      <c r="S173" s="312" t="str">
        <f t="shared" si="18"/>
        <v/>
      </c>
      <c r="T173" s="312" t="str">
        <f t="shared" si="19"/>
        <v/>
      </c>
      <c r="U173" s="333" t="str">
        <f t="shared" si="20"/>
        <v/>
      </c>
      <c r="V173" s="109"/>
      <c r="W173" s="108"/>
      <c r="X173" s="108"/>
      <c r="AE173" s="111" t="str">
        <f t="shared" si="14"/>
        <v/>
      </c>
      <c r="AF173" s="111" t="str">
        <f t="shared" si="15"/>
        <v/>
      </c>
      <c r="AH173" s="111">
        <v>164</v>
      </c>
      <c r="AJ173" s="111" t="str">
        <f t="array" ref="AJ173">IFERROR(INDEX($AH$10:$AH$258, MATCH(0, IF(TRUE=$AE$10:$AE$258, COUNTIF($AJ$9:$AJ172, $AH$10:$AH$258), ""), 0)),"")</f>
        <v/>
      </c>
      <c r="AK173" s="111" t="str">
        <f t="array" ref="AK173">IFERROR(INDEX($AH$10:$AH$258, MATCH(0, IF(TRUE=$AF$10:$AF$258, COUNTIF($AK$9:$AK172, $AH$10:$AH$258), ""), 0)),"")</f>
        <v/>
      </c>
      <c r="AL173" s="30" t="str">
        <f>IFERROR(INDEX('G-6 Hedgerow Data'!$BJ$3:$BJ$15,MATCH(D173,'G-6 Hedgerow Data'!$B$3:$B$15,0)),"")</f>
        <v/>
      </c>
    </row>
    <row r="174" spans="2:38" x14ac:dyDescent="0.25">
      <c r="B174" s="101">
        <v>165</v>
      </c>
      <c r="C174" s="142"/>
      <c r="D174" s="142"/>
      <c r="E174" s="108"/>
      <c r="F174" s="329" t="str">
        <f>IF(D174="","",VLOOKUP(D174,'G-6 Hedgerow Data'!$B$2:$AG$15,2,FALSE))</f>
        <v/>
      </c>
      <c r="G174" s="282" t="str">
        <f>IF(D174="","",VLOOKUP(D174,'G-6 Hedgerow Data'!$B$2:$AG$15,3,FALSE))</f>
        <v/>
      </c>
      <c r="H174" s="105"/>
      <c r="I174" s="282" t="str">
        <f>IFERROR(IF(AND(D174&lt;&gt;"",H174=""),"Check data ⚠", IF(H174="","",IF(AND(D174="Non-native and ornamental hedgerow", H174&lt;&gt;"Poor"),"Not possible ▲", (VLOOKUP(H174,'G-1 All Habitats'!$Z$2:$AA$9,2,FALSE))))),"")</f>
        <v/>
      </c>
      <c r="J174" s="105"/>
      <c r="K174" s="289" t="str">
        <f>IF(AND(D174&lt;&gt;"",J174=""),"Check data ⚠", IF(J174="","",IF(VLOOKUP(J174,'G-3 Multipliers'!$L$3:$N$6,2,FALSE)=0,"Spatial Data Missing",VLOOKUP(J174,'G-3 Multipliers'!$L$3:$N$6,2,FALSE))))</f>
        <v/>
      </c>
      <c r="L174" s="287" t="str">
        <f>IF(J174="","",IF(VLOOKUP(J174,'G-3 Multipliers'!$L$3:$N$6,3,FALSE)=0,"Spatial Data Missing ⚠",VLOOKUP(J174,'G-3 Multipliers'!$L$3:$N$6,3,FALSE)))</f>
        <v/>
      </c>
      <c r="M174" s="288" t="str">
        <f>IF(D174="","",VLOOKUP(D174,'G-6 Hedgerow Data'!$B$1:$AH$15,33,FALSE))</f>
        <v/>
      </c>
      <c r="N174" s="295" t="str">
        <f t="shared" si="16"/>
        <v/>
      </c>
      <c r="O174" s="32"/>
      <c r="P174" s="109"/>
      <c r="Q174" s="142"/>
      <c r="R174" s="312" t="str">
        <f t="shared" si="17"/>
        <v/>
      </c>
      <c r="S174" s="312" t="str">
        <f t="shared" si="18"/>
        <v/>
      </c>
      <c r="T174" s="312" t="str">
        <f t="shared" si="19"/>
        <v/>
      </c>
      <c r="U174" s="333" t="str">
        <f t="shared" si="20"/>
        <v/>
      </c>
      <c r="V174" s="109"/>
      <c r="W174" s="108"/>
      <c r="X174" s="108"/>
      <c r="AE174" s="111" t="str">
        <f t="shared" si="14"/>
        <v/>
      </c>
      <c r="AF174" s="111" t="str">
        <f t="shared" si="15"/>
        <v/>
      </c>
      <c r="AH174" s="111">
        <v>165</v>
      </c>
      <c r="AJ174" s="111" t="str">
        <f t="array" ref="AJ174">IFERROR(INDEX($AH$10:$AH$258, MATCH(0, IF(TRUE=$AE$10:$AE$258, COUNTIF($AJ$9:$AJ173, $AH$10:$AH$258), ""), 0)),"")</f>
        <v/>
      </c>
      <c r="AK174" s="111" t="str">
        <f t="array" ref="AK174">IFERROR(INDEX($AH$10:$AH$258, MATCH(0, IF(TRUE=$AF$10:$AF$258, COUNTIF($AK$9:$AK173, $AH$10:$AH$258), ""), 0)),"")</f>
        <v/>
      </c>
      <c r="AL174" s="30" t="str">
        <f>IFERROR(INDEX('G-6 Hedgerow Data'!$BJ$3:$BJ$15,MATCH(D174,'G-6 Hedgerow Data'!$B$3:$B$15,0)),"")</f>
        <v/>
      </c>
    </row>
    <row r="175" spans="2:38" x14ac:dyDescent="0.25">
      <c r="B175" s="101">
        <v>166</v>
      </c>
      <c r="C175" s="142"/>
      <c r="D175" s="142"/>
      <c r="E175" s="108"/>
      <c r="F175" s="329" t="str">
        <f>IF(D175="","",VLOOKUP(D175,'G-6 Hedgerow Data'!$B$2:$AG$15,2,FALSE))</f>
        <v/>
      </c>
      <c r="G175" s="282" t="str">
        <f>IF(D175="","",VLOOKUP(D175,'G-6 Hedgerow Data'!$B$2:$AG$15,3,FALSE))</f>
        <v/>
      </c>
      <c r="H175" s="105"/>
      <c r="I175" s="282" t="str">
        <f>IFERROR(IF(AND(D175&lt;&gt;"",H175=""),"Check data ⚠", IF(H175="","",IF(AND(D175="Non-native and ornamental hedgerow", H175&lt;&gt;"Poor"),"Not possible ▲", (VLOOKUP(H175,'G-1 All Habitats'!$Z$2:$AA$9,2,FALSE))))),"")</f>
        <v/>
      </c>
      <c r="J175" s="105"/>
      <c r="K175" s="289" t="str">
        <f>IF(AND(D175&lt;&gt;"",J175=""),"Check data ⚠", IF(J175="","",IF(VLOOKUP(J175,'G-3 Multipliers'!$L$3:$N$6,2,FALSE)=0,"Spatial Data Missing",VLOOKUP(J175,'G-3 Multipliers'!$L$3:$N$6,2,FALSE))))</f>
        <v/>
      </c>
      <c r="L175" s="287" t="str">
        <f>IF(J175="","",IF(VLOOKUP(J175,'G-3 Multipliers'!$L$3:$N$6,3,FALSE)=0,"Spatial Data Missing ⚠",VLOOKUP(J175,'G-3 Multipliers'!$L$3:$N$6,3,FALSE)))</f>
        <v/>
      </c>
      <c r="M175" s="288" t="str">
        <f>IF(D175="","",VLOOKUP(D175,'G-6 Hedgerow Data'!$B$1:$AH$15,33,FALSE))</f>
        <v/>
      </c>
      <c r="N175" s="295" t="str">
        <f t="shared" si="16"/>
        <v/>
      </c>
      <c r="O175" s="32"/>
      <c r="P175" s="109"/>
      <c r="Q175" s="142"/>
      <c r="R175" s="312" t="str">
        <f t="shared" si="17"/>
        <v/>
      </c>
      <c r="S175" s="312" t="str">
        <f t="shared" si="18"/>
        <v/>
      </c>
      <c r="T175" s="312" t="str">
        <f t="shared" si="19"/>
        <v/>
      </c>
      <c r="U175" s="333" t="str">
        <f t="shared" si="20"/>
        <v/>
      </c>
      <c r="V175" s="109"/>
      <c r="W175" s="108"/>
      <c r="X175" s="108"/>
      <c r="AE175" s="111" t="str">
        <f t="shared" si="14"/>
        <v/>
      </c>
      <c r="AF175" s="111" t="str">
        <f t="shared" si="15"/>
        <v/>
      </c>
      <c r="AH175" s="111">
        <v>166</v>
      </c>
      <c r="AJ175" s="111" t="str">
        <f t="array" ref="AJ175">IFERROR(INDEX($AH$10:$AH$258, MATCH(0, IF(TRUE=$AE$10:$AE$258, COUNTIF($AJ$9:$AJ174, $AH$10:$AH$258), ""), 0)),"")</f>
        <v/>
      </c>
      <c r="AK175" s="111" t="str">
        <f t="array" ref="AK175">IFERROR(INDEX($AH$10:$AH$258, MATCH(0, IF(TRUE=$AF$10:$AF$258, COUNTIF($AK$9:$AK174, $AH$10:$AH$258), ""), 0)),"")</f>
        <v/>
      </c>
      <c r="AL175" s="30" t="str">
        <f>IFERROR(INDEX('G-6 Hedgerow Data'!$BJ$3:$BJ$15,MATCH(D175,'G-6 Hedgerow Data'!$B$3:$B$15,0)),"")</f>
        <v/>
      </c>
    </row>
    <row r="176" spans="2:38" x14ac:dyDescent="0.25">
      <c r="B176" s="101">
        <v>167</v>
      </c>
      <c r="C176" s="142"/>
      <c r="D176" s="142"/>
      <c r="E176" s="108"/>
      <c r="F176" s="329" t="str">
        <f>IF(D176="","",VLOOKUP(D176,'G-6 Hedgerow Data'!$B$2:$AG$15,2,FALSE))</f>
        <v/>
      </c>
      <c r="G176" s="282" t="str">
        <f>IF(D176="","",VLOOKUP(D176,'G-6 Hedgerow Data'!$B$2:$AG$15,3,FALSE))</f>
        <v/>
      </c>
      <c r="H176" s="105"/>
      <c r="I176" s="282" t="str">
        <f>IFERROR(IF(AND(D176&lt;&gt;"",H176=""),"Check data ⚠", IF(H176="","",IF(AND(D176="Non-native and ornamental hedgerow", H176&lt;&gt;"Poor"),"Not possible ▲", (VLOOKUP(H176,'G-1 All Habitats'!$Z$2:$AA$9,2,FALSE))))),"")</f>
        <v/>
      </c>
      <c r="J176" s="105"/>
      <c r="K176" s="289" t="str">
        <f>IF(AND(D176&lt;&gt;"",J176=""),"Check data ⚠", IF(J176="","",IF(VLOOKUP(J176,'G-3 Multipliers'!$L$3:$N$6,2,FALSE)=0,"Spatial Data Missing",VLOOKUP(J176,'G-3 Multipliers'!$L$3:$N$6,2,FALSE))))</f>
        <v/>
      </c>
      <c r="L176" s="287" t="str">
        <f>IF(J176="","",IF(VLOOKUP(J176,'G-3 Multipliers'!$L$3:$N$6,3,FALSE)=0,"Spatial Data Missing ⚠",VLOOKUP(J176,'G-3 Multipliers'!$L$3:$N$6,3,FALSE)))</f>
        <v/>
      </c>
      <c r="M176" s="288" t="str">
        <f>IF(D176="","",VLOOKUP(D176,'G-6 Hedgerow Data'!$B$1:$AH$15,33,FALSE))</f>
        <v/>
      </c>
      <c r="N176" s="295" t="str">
        <f t="shared" si="16"/>
        <v/>
      </c>
      <c r="O176" s="32"/>
      <c r="P176" s="109"/>
      <c r="Q176" s="142"/>
      <c r="R176" s="312" t="str">
        <f t="shared" si="17"/>
        <v/>
      </c>
      <c r="S176" s="312" t="str">
        <f t="shared" si="18"/>
        <v/>
      </c>
      <c r="T176" s="312" t="str">
        <f t="shared" si="19"/>
        <v/>
      </c>
      <c r="U176" s="333" t="str">
        <f t="shared" si="20"/>
        <v/>
      </c>
      <c r="V176" s="109"/>
      <c r="W176" s="108"/>
      <c r="X176" s="108"/>
      <c r="AE176" s="111" t="str">
        <f t="shared" si="14"/>
        <v/>
      </c>
      <c r="AF176" s="111" t="str">
        <f t="shared" si="15"/>
        <v/>
      </c>
      <c r="AH176" s="111">
        <v>167</v>
      </c>
      <c r="AJ176" s="111" t="str">
        <f t="array" ref="AJ176">IFERROR(INDEX($AH$10:$AH$258, MATCH(0, IF(TRUE=$AE$10:$AE$258, COUNTIF($AJ$9:$AJ175, $AH$10:$AH$258), ""), 0)),"")</f>
        <v/>
      </c>
      <c r="AK176" s="111" t="str">
        <f t="array" ref="AK176">IFERROR(INDEX($AH$10:$AH$258, MATCH(0, IF(TRUE=$AF$10:$AF$258, COUNTIF($AK$9:$AK175, $AH$10:$AH$258), ""), 0)),"")</f>
        <v/>
      </c>
      <c r="AL176" s="30" t="str">
        <f>IFERROR(INDEX('G-6 Hedgerow Data'!$BJ$3:$BJ$15,MATCH(D176,'G-6 Hedgerow Data'!$B$3:$B$15,0)),"")</f>
        <v/>
      </c>
    </row>
    <row r="177" spans="2:38" x14ac:dyDescent="0.25">
      <c r="B177" s="101">
        <v>168</v>
      </c>
      <c r="C177" s="142"/>
      <c r="D177" s="142"/>
      <c r="E177" s="108"/>
      <c r="F177" s="329" t="str">
        <f>IF(D177="","",VLOOKUP(D177,'G-6 Hedgerow Data'!$B$2:$AG$15,2,FALSE))</f>
        <v/>
      </c>
      <c r="G177" s="282" t="str">
        <f>IF(D177="","",VLOOKUP(D177,'G-6 Hedgerow Data'!$B$2:$AG$15,3,FALSE))</f>
        <v/>
      </c>
      <c r="H177" s="105"/>
      <c r="I177" s="282" t="str">
        <f>IFERROR(IF(AND(D177&lt;&gt;"",H177=""),"Check data ⚠", IF(H177="","",IF(AND(D177="Non-native and ornamental hedgerow", H177&lt;&gt;"Poor"),"Not possible ▲", (VLOOKUP(H177,'G-1 All Habitats'!$Z$2:$AA$9,2,FALSE))))),"")</f>
        <v/>
      </c>
      <c r="J177" s="105"/>
      <c r="K177" s="289" t="str">
        <f>IF(AND(D177&lt;&gt;"",J177=""),"Check data ⚠", IF(J177="","",IF(VLOOKUP(J177,'G-3 Multipliers'!$L$3:$N$6,2,FALSE)=0,"Spatial Data Missing",VLOOKUP(J177,'G-3 Multipliers'!$L$3:$N$6,2,FALSE))))</f>
        <v/>
      </c>
      <c r="L177" s="287" t="str">
        <f>IF(J177="","",IF(VLOOKUP(J177,'G-3 Multipliers'!$L$3:$N$6,3,FALSE)=0,"Spatial Data Missing ⚠",VLOOKUP(J177,'G-3 Multipliers'!$L$3:$N$6,3,FALSE)))</f>
        <v/>
      </c>
      <c r="M177" s="288" t="str">
        <f>IF(D177="","",VLOOKUP(D177,'G-6 Hedgerow Data'!$B$1:$AH$15,33,FALSE))</f>
        <v/>
      </c>
      <c r="N177" s="295" t="str">
        <f t="shared" si="16"/>
        <v/>
      </c>
      <c r="O177" s="32"/>
      <c r="P177" s="109"/>
      <c r="Q177" s="142"/>
      <c r="R177" s="312" t="str">
        <f t="shared" si="17"/>
        <v/>
      </c>
      <c r="S177" s="312" t="str">
        <f t="shared" si="18"/>
        <v/>
      </c>
      <c r="T177" s="312" t="str">
        <f t="shared" si="19"/>
        <v/>
      </c>
      <c r="U177" s="333" t="str">
        <f t="shared" si="20"/>
        <v/>
      </c>
      <c r="V177" s="109"/>
      <c r="W177" s="108"/>
      <c r="X177" s="108"/>
      <c r="AE177" s="111" t="str">
        <f t="shared" si="14"/>
        <v/>
      </c>
      <c r="AF177" s="111" t="str">
        <f t="shared" si="15"/>
        <v/>
      </c>
      <c r="AH177" s="111">
        <v>168</v>
      </c>
      <c r="AJ177" s="111" t="str">
        <f t="array" ref="AJ177">IFERROR(INDEX($AH$10:$AH$258, MATCH(0, IF(TRUE=$AE$10:$AE$258, COUNTIF($AJ$9:$AJ176, $AH$10:$AH$258), ""), 0)),"")</f>
        <v/>
      </c>
      <c r="AK177" s="111" t="str">
        <f t="array" ref="AK177">IFERROR(INDEX($AH$10:$AH$258, MATCH(0, IF(TRUE=$AF$10:$AF$258, COUNTIF($AK$9:$AK176, $AH$10:$AH$258), ""), 0)),"")</f>
        <v/>
      </c>
      <c r="AL177" s="30" t="str">
        <f>IFERROR(INDEX('G-6 Hedgerow Data'!$BJ$3:$BJ$15,MATCH(D177,'G-6 Hedgerow Data'!$B$3:$B$15,0)),"")</f>
        <v/>
      </c>
    </row>
    <row r="178" spans="2:38" x14ac:dyDescent="0.25">
      <c r="B178" s="101">
        <v>169</v>
      </c>
      <c r="C178" s="142"/>
      <c r="D178" s="142"/>
      <c r="E178" s="108"/>
      <c r="F178" s="329" t="str">
        <f>IF(D178="","",VLOOKUP(D178,'G-6 Hedgerow Data'!$B$2:$AG$15,2,FALSE))</f>
        <v/>
      </c>
      <c r="G178" s="282" t="str">
        <f>IF(D178="","",VLOOKUP(D178,'G-6 Hedgerow Data'!$B$2:$AG$15,3,FALSE))</f>
        <v/>
      </c>
      <c r="H178" s="105"/>
      <c r="I178" s="282" t="str">
        <f>IFERROR(IF(AND(D178&lt;&gt;"",H178=""),"Check data ⚠", IF(H178="","",IF(AND(D178="Non-native and ornamental hedgerow", H178&lt;&gt;"Poor"),"Not possible ▲", (VLOOKUP(H178,'G-1 All Habitats'!$Z$2:$AA$9,2,FALSE))))),"")</f>
        <v/>
      </c>
      <c r="J178" s="105"/>
      <c r="K178" s="289" t="str">
        <f>IF(AND(D178&lt;&gt;"",J178=""),"Check data ⚠", IF(J178="","",IF(VLOOKUP(J178,'G-3 Multipliers'!$L$3:$N$6,2,FALSE)=0,"Spatial Data Missing",VLOOKUP(J178,'G-3 Multipliers'!$L$3:$N$6,2,FALSE))))</f>
        <v/>
      </c>
      <c r="L178" s="287" t="str">
        <f>IF(J178="","",IF(VLOOKUP(J178,'G-3 Multipliers'!$L$3:$N$6,3,FALSE)=0,"Spatial Data Missing ⚠",VLOOKUP(J178,'G-3 Multipliers'!$L$3:$N$6,3,FALSE)))</f>
        <v/>
      </c>
      <c r="M178" s="288" t="str">
        <f>IF(D178="","",VLOOKUP(D178,'G-6 Hedgerow Data'!$B$1:$AH$15,33,FALSE))</f>
        <v/>
      </c>
      <c r="N178" s="295" t="str">
        <f t="shared" si="16"/>
        <v/>
      </c>
      <c r="O178" s="32"/>
      <c r="P178" s="109"/>
      <c r="Q178" s="142"/>
      <c r="R178" s="312" t="str">
        <f t="shared" si="17"/>
        <v/>
      </c>
      <c r="S178" s="312" t="str">
        <f t="shared" si="18"/>
        <v/>
      </c>
      <c r="T178" s="312" t="str">
        <f t="shared" si="19"/>
        <v/>
      </c>
      <c r="U178" s="333" t="str">
        <f t="shared" si="20"/>
        <v/>
      </c>
      <c r="V178" s="109"/>
      <c r="W178" s="108"/>
      <c r="X178" s="108"/>
      <c r="AE178" s="111" t="str">
        <f t="shared" si="14"/>
        <v/>
      </c>
      <c r="AF178" s="111" t="str">
        <f t="shared" si="15"/>
        <v/>
      </c>
      <c r="AH178" s="111">
        <v>169</v>
      </c>
      <c r="AJ178" s="111" t="str">
        <f t="array" ref="AJ178">IFERROR(INDEX($AH$10:$AH$258, MATCH(0, IF(TRUE=$AE$10:$AE$258, COUNTIF($AJ$9:$AJ177, $AH$10:$AH$258), ""), 0)),"")</f>
        <v/>
      </c>
      <c r="AK178" s="111" t="str">
        <f t="array" ref="AK178">IFERROR(INDEX($AH$10:$AH$258, MATCH(0, IF(TRUE=$AF$10:$AF$258, COUNTIF($AK$9:$AK177, $AH$10:$AH$258), ""), 0)),"")</f>
        <v/>
      </c>
      <c r="AL178" s="30" t="str">
        <f>IFERROR(INDEX('G-6 Hedgerow Data'!$BJ$3:$BJ$15,MATCH(D178,'G-6 Hedgerow Data'!$B$3:$B$15,0)),"")</f>
        <v/>
      </c>
    </row>
    <row r="179" spans="2:38" x14ac:dyDescent="0.25">
      <c r="B179" s="101">
        <v>170</v>
      </c>
      <c r="C179" s="142"/>
      <c r="D179" s="142"/>
      <c r="E179" s="108"/>
      <c r="F179" s="329" t="str">
        <f>IF(D179="","",VLOOKUP(D179,'G-6 Hedgerow Data'!$B$2:$AG$15,2,FALSE))</f>
        <v/>
      </c>
      <c r="G179" s="282" t="str">
        <f>IF(D179="","",VLOOKUP(D179,'G-6 Hedgerow Data'!$B$2:$AG$15,3,FALSE))</f>
        <v/>
      </c>
      <c r="H179" s="105"/>
      <c r="I179" s="282" t="str">
        <f>IFERROR(IF(AND(D179&lt;&gt;"",H179=""),"Check data ⚠", IF(H179="","",IF(AND(D179="Non-native and ornamental hedgerow", H179&lt;&gt;"Poor"),"Not possible ▲", (VLOOKUP(H179,'G-1 All Habitats'!$Z$2:$AA$9,2,FALSE))))),"")</f>
        <v/>
      </c>
      <c r="J179" s="105"/>
      <c r="K179" s="289" t="str">
        <f>IF(AND(D179&lt;&gt;"",J179=""),"Check data ⚠", IF(J179="","",IF(VLOOKUP(J179,'G-3 Multipliers'!$L$3:$N$6,2,FALSE)=0,"Spatial Data Missing",VLOOKUP(J179,'G-3 Multipliers'!$L$3:$N$6,2,FALSE))))</f>
        <v/>
      </c>
      <c r="L179" s="287" t="str">
        <f>IF(J179="","",IF(VLOOKUP(J179,'G-3 Multipliers'!$L$3:$N$6,3,FALSE)=0,"Spatial Data Missing ⚠",VLOOKUP(J179,'G-3 Multipliers'!$L$3:$N$6,3,FALSE)))</f>
        <v/>
      </c>
      <c r="M179" s="288" t="str">
        <f>IF(D179="","",VLOOKUP(D179,'G-6 Hedgerow Data'!$B$1:$AH$15,33,FALSE))</f>
        <v/>
      </c>
      <c r="N179" s="295" t="str">
        <f t="shared" si="16"/>
        <v/>
      </c>
      <c r="O179" s="32"/>
      <c r="P179" s="109"/>
      <c r="Q179" s="142"/>
      <c r="R179" s="312" t="str">
        <f t="shared" si="17"/>
        <v/>
      </c>
      <c r="S179" s="312" t="str">
        <f t="shared" si="18"/>
        <v/>
      </c>
      <c r="T179" s="312" t="str">
        <f t="shared" si="19"/>
        <v/>
      </c>
      <c r="U179" s="333" t="str">
        <f t="shared" si="20"/>
        <v/>
      </c>
      <c r="V179" s="109"/>
      <c r="W179" s="108"/>
      <c r="X179" s="108"/>
      <c r="AE179" s="111" t="str">
        <f t="shared" si="14"/>
        <v/>
      </c>
      <c r="AF179" s="111" t="str">
        <f t="shared" si="15"/>
        <v/>
      </c>
      <c r="AH179" s="111">
        <v>170</v>
      </c>
      <c r="AJ179" s="111" t="str">
        <f t="array" ref="AJ179">IFERROR(INDEX($AH$10:$AH$258, MATCH(0, IF(TRUE=$AE$10:$AE$258, COUNTIF($AJ$9:$AJ178, $AH$10:$AH$258), ""), 0)),"")</f>
        <v/>
      </c>
      <c r="AK179" s="111" t="str">
        <f t="array" ref="AK179">IFERROR(INDEX($AH$10:$AH$258, MATCH(0, IF(TRUE=$AF$10:$AF$258, COUNTIF($AK$9:$AK178, $AH$10:$AH$258), ""), 0)),"")</f>
        <v/>
      </c>
      <c r="AL179" s="30" t="str">
        <f>IFERROR(INDEX('G-6 Hedgerow Data'!$BJ$3:$BJ$15,MATCH(D179,'G-6 Hedgerow Data'!$B$3:$B$15,0)),"")</f>
        <v/>
      </c>
    </row>
    <row r="180" spans="2:38" x14ac:dyDescent="0.25">
      <c r="B180" s="101">
        <v>171</v>
      </c>
      <c r="C180" s="142"/>
      <c r="D180" s="142"/>
      <c r="E180" s="108"/>
      <c r="F180" s="329" t="str">
        <f>IF(D180="","",VLOOKUP(D180,'G-6 Hedgerow Data'!$B$2:$AG$15,2,FALSE))</f>
        <v/>
      </c>
      <c r="G180" s="282" t="str">
        <f>IF(D180="","",VLOOKUP(D180,'G-6 Hedgerow Data'!$B$2:$AG$15,3,FALSE))</f>
        <v/>
      </c>
      <c r="H180" s="105"/>
      <c r="I180" s="282" t="str">
        <f>IFERROR(IF(AND(D180&lt;&gt;"",H180=""),"Check data ⚠", IF(H180="","",IF(AND(D180="Non-native and ornamental hedgerow", H180&lt;&gt;"Poor"),"Not possible ▲", (VLOOKUP(H180,'G-1 All Habitats'!$Z$2:$AA$9,2,FALSE))))),"")</f>
        <v/>
      </c>
      <c r="J180" s="105"/>
      <c r="K180" s="289" t="str">
        <f>IF(AND(D180&lt;&gt;"",J180=""),"Check data ⚠", IF(J180="","",IF(VLOOKUP(J180,'G-3 Multipliers'!$L$3:$N$6,2,FALSE)=0,"Spatial Data Missing",VLOOKUP(J180,'G-3 Multipliers'!$L$3:$N$6,2,FALSE))))</f>
        <v/>
      </c>
      <c r="L180" s="287" t="str">
        <f>IF(J180="","",IF(VLOOKUP(J180,'G-3 Multipliers'!$L$3:$N$6,3,FALSE)=0,"Spatial Data Missing ⚠",VLOOKUP(J180,'G-3 Multipliers'!$L$3:$N$6,3,FALSE)))</f>
        <v/>
      </c>
      <c r="M180" s="288" t="str">
        <f>IF(D180="","",VLOOKUP(D180,'G-6 Hedgerow Data'!$B$1:$AH$15,33,FALSE))</f>
        <v/>
      </c>
      <c r="N180" s="295" t="str">
        <f t="shared" si="16"/>
        <v/>
      </c>
      <c r="O180" s="32"/>
      <c r="P180" s="109"/>
      <c r="Q180" s="142"/>
      <c r="R180" s="312" t="str">
        <f t="shared" si="17"/>
        <v/>
      </c>
      <c r="S180" s="312" t="str">
        <f t="shared" si="18"/>
        <v/>
      </c>
      <c r="T180" s="312" t="str">
        <f t="shared" si="19"/>
        <v/>
      </c>
      <c r="U180" s="333" t="str">
        <f t="shared" si="20"/>
        <v/>
      </c>
      <c r="V180" s="109"/>
      <c r="W180" s="108"/>
      <c r="X180" s="108"/>
      <c r="AE180" s="111" t="str">
        <f t="shared" si="14"/>
        <v/>
      </c>
      <c r="AF180" s="111" t="str">
        <f t="shared" si="15"/>
        <v/>
      </c>
      <c r="AH180" s="111">
        <v>171</v>
      </c>
      <c r="AJ180" s="111" t="str">
        <f t="array" ref="AJ180">IFERROR(INDEX($AH$10:$AH$258, MATCH(0, IF(TRUE=$AE$10:$AE$258, COUNTIF($AJ$9:$AJ179, $AH$10:$AH$258), ""), 0)),"")</f>
        <v/>
      </c>
      <c r="AK180" s="111" t="str">
        <f t="array" ref="AK180">IFERROR(INDEX($AH$10:$AH$258, MATCH(0, IF(TRUE=$AF$10:$AF$258, COUNTIF($AK$9:$AK179, $AH$10:$AH$258), ""), 0)),"")</f>
        <v/>
      </c>
      <c r="AL180" s="30" t="str">
        <f>IFERROR(INDEX('G-6 Hedgerow Data'!$BJ$3:$BJ$15,MATCH(D180,'G-6 Hedgerow Data'!$B$3:$B$15,0)),"")</f>
        <v/>
      </c>
    </row>
    <row r="181" spans="2:38" x14ac:dyDescent="0.25">
      <c r="B181" s="101">
        <v>172</v>
      </c>
      <c r="C181" s="142"/>
      <c r="D181" s="142"/>
      <c r="E181" s="108"/>
      <c r="F181" s="329" t="str">
        <f>IF(D181="","",VLOOKUP(D181,'G-6 Hedgerow Data'!$B$2:$AG$15,2,FALSE))</f>
        <v/>
      </c>
      <c r="G181" s="282" t="str">
        <f>IF(D181="","",VLOOKUP(D181,'G-6 Hedgerow Data'!$B$2:$AG$15,3,FALSE))</f>
        <v/>
      </c>
      <c r="H181" s="105"/>
      <c r="I181" s="282" t="str">
        <f>IFERROR(IF(AND(D181&lt;&gt;"",H181=""),"Check data ⚠", IF(H181="","",IF(AND(D181="Non-native and ornamental hedgerow", H181&lt;&gt;"Poor"),"Not possible ▲", (VLOOKUP(H181,'G-1 All Habitats'!$Z$2:$AA$9,2,FALSE))))),"")</f>
        <v/>
      </c>
      <c r="J181" s="105"/>
      <c r="K181" s="289" t="str">
        <f>IF(AND(D181&lt;&gt;"",J181=""),"Check data ⚠", IF(J181="","",IF(VLOOKUP(J181,'G-3 Multipliers'!$L$3:$N$6,2,FALSE)=0,"Spatial Data Missing",VLOOKUP(J181,'G-3 Multipliers'!$L$3:$N$6,2,FALSE))))</f>
        <v/>
      </c>
      <c r="L181" s="287" t="str">
        <f>IF(J181="","",IF(VLOOKUP(J181,'G-3 Multipliers'!$L$3:$N$6,3,FALSE)=0,"Spatial Data Missing ⚠",VLOOKUP(J181,'G-3 Multipliers'!$L$3:$N$6,3,FALSE)))</f>
        <v/>
      </c>
      <c r="M181" s="288" t="str">
        <f>IF(D181="","",VLOOKUP(D181,'G-6 Hedgerow Data'!$B$1:$AH$15,33,FALSE))</f>
        <v/>
      </c>
      <c r="N181" s="295" t="str">
        <f t="shared" si="16"/>
        <v/>
      </c>
      <c r="O181" s="32"/>
      <c r="P181" s="109"/>
      <c r="Q181" s="142"/>
      <c r="R181" s="312" t="str">
        <f t="shared" si="17"/>
        <v/>
      </c>
      <c r="S181" s="312" t="str">
        <f t="shared" si="18"/>
        <v/>
      </c>
      <c r="T181" s="312" t="str">
        <f t="shared" si="19"/>
        <v/>
      </c>
      <c r="U181" s="333" t="str">
        <f t="shared" si="20"/>
        <v/>
      </c>
      <c r="V181" s="109"/>
      <c r="W181" s="108"/>
      <c r="X181" s="108"/>
      <c r="AE181" s="111" t="str">
        <f t="shared" si="14"/>
        <v/>
      </c>
      <c r="AF181" s="111" t="str">
        <f t="shared" si="15"/>
        <v/>
      </c>
      <c r="AH181" s="111">
        <v>172</v>
      </c>
      <c r="AJ181" s="111" t="str">
        <f t="array" ref="AJ181">IFERROR(INDEX($AH$10:$AH$258, MATCH(0, IF(TRUE=$AE$10:$AE$258, COUNTIF($AJ$9:$AJ180, $AH$10:$AH$258), ""), 0)),"")</f>
        <v/>
      </c>
      <c r="AK181" s="111" t="str">
        <f t="array" ref="AK181">IFERROR(INDEX($AH$10:$AH$258, MATCH(0, IF(TRUE=$AF$10:$AF$258, COUNTIF($AK$9:$AK180, $AH$10:$AH$258), ""), 0)),"")</f>
        <v/>
      </c>
      <c r="AL181" s="30" t="str">
        <f>IFERROR(INDEX('G-6 Hedgerow Data'!$BJ$3:$BJ$15,MATCH(D181,'G-6 Hedgerow Data'!$B$3:$B$15,0)),"")</f>
        <v/>
      </c>
    </row>
    <row r="182" spans="2:38" x14ac:dyDescent="0.25">
      <c r="B182" s="101">
        <v>173</v>
      </c>
      <c r="C182" s="142"/>
      <c r="D182" s="142"/>
      <c r="E182" s="108"/>
      <c r="F182" s="329" t="str">
        <f>IF(D182="","",VLOOKUP(D182,'G-6 Hedgerow Data'!$B$2:$AG$15,2,FALSE))</f>
        <v/>
      </c>
      <c r="G182" s="282" t="str">
        <f>IF(D182="","",VLOOKUP(D182,'G-6 Hedgerow Data'!$B$2:$AG$15,3,FALSE))</f>
        <v/>
      </c>
      <c r="H182" s="105"/>
      <c r="I182" s="282" t="str">
        <f>IFERROR(IF(AND(D182&lt;&gt;"",H182=""),"Check data ⚠", IF(H182="","",IF(AND(D182="Non-native and ornamental hedgerow", H182&lt;&gt;"Poor"),"Not possible ▲", (VLOOKUP(H182,'G-1 All Habitats'!$Z$2:$AA$9,2,FALSE))))),"")</f>
        <v/>
      </c>
      <c r="J182" s="105"/>
      <c r="K182" s="289" t="str">
        <f>IF(AND(D182&lt;&gt;"",J182=""),"Check data ⚠", IF(J182="","",IF(VLOOKUP(J182,'G-3 Multipliers'!$L$3:$N$6,2,FALSE)=0,"Spatial Data Missing",VLOOKUP(J182,'G-3 Multipliers'!$L$3:$N$6,2,FALSE))))</f>
        <v/>
      </c>
      <c r="L182" s="287" t="str">
        <f>IF(J182="","",IF(VLOOKUP(J182,'G-3 Multipliers'!$L$3:$N$6,3,FALSE)=0,"Spatial Data Missing ⚠",VLOOKUP(J182,'G-3 Multipliers'!$L$3:$N$6,3,FALSE)))</f>
        <v/>
      </c>
      <c r="M182" s="288" t="str">
        <f>IF(D182="","",VLOOKUP(D182,'G-6 Hedgerow Data'!$B$1:$AH$15,33,FALSE))</f>
        <v/>
      </c>
      <c r="N182" s="295" t="str">
        <f t="shared" si="16"/>
        <v/>
      </c>
      <c r="O182" s="32"/>
      <c r="P182" s="109"/>
      <c r="Q182" s="142"/>
      <c r="R182" s="312" t="str">
        <f t="shared" si="17"/>
        <v/>
      </c>
      <c r="S182" s="312" t="str">
        <f t="shared" si="18"/>
        <v/>
      </c>
      <c r="T182" s="312" t="str">
        <f t="shared" si="19"/>
        <v/>
      </c>
      <c r="U182" s="333" t="str">
        <f t="shared" si="20"/>
        <v/>
      </c>
      <c r="V182" s="109"/>
      <c r="W182" s="108"/>
      <c r="X182" s="108"/>
      <c r="AE182" s="111" t="str">
        <f t="shared" si="14"/>
        <v/>
      </c>
      <c r="AF182" s="111" t="str">
        <f t="shared" si="15"/>
        <v/>
      </c>
      <c r="AH182" s="111">
        <v>173</v>
      </c>
      <c r="AJ182" s="111" t="str">
        <f t="array" ref="AJ182">IFERROR(INDEX($AH$10:$AH$258, MATCH(0, IF(TRUE=$AE$10:$AE$258, COUNTIF($AJ$9:$AJ181, $AH$10:$AH$258), ""), 0)),"")</f>
        <v/>
      </c>
      <c r="AK182" s="111" t="str">
        <f t="array" ref="AK182">IFERROR(INDEX($AH$10:$AH$258, MATCH(0, IF(TRUE=$AF$10:$AF$258, COUNTIF($AK$9:$AK181, $AH$10:$AH$258), ""), 0)),"")</f>
        <v/>
      </c>
      <c r="AL182" s="30" t="str">
        <f>IFERROR(INDEX('G-6 Hedgerow Data'!$BJ$3:$BJ$15,MATCH(D182,'G-6 Hedgerow Data'!$B$3:$B$15,0)),"")</f>
        <v/>
      </c>
    </row>
    <row r="183" spans="2:38" x14ac:dyDescent="0.25">
      <c r="B183" s="101">
        <v>174</v>
      </c>
      <c r="C183" s="142"/>
      <c r="D183" s="142"/>
      <c r="E183" s="108"/>
      <c r="F183" s="329" t="str">
        <f>IF(D183="","",VLOOKUP(D183,'G-6 Hedgerow Data'!$B$2:$AG$15,2,FALSE))</f>
        <v/>
      </c>
      <c r="G183" s="282" t="str">
        <f>IF(D183="","",VLOOKUP(D183,'G-6 Hedgerow Data'!$B$2:$AG$15,3,FALSE))</f>
        <v/>
      </c>
      <c r="H183" s="105"/>
      <c r="I183" s="282" t="str">
        <f>IFERROR(IF(AND(D183&lt;&gt;"",H183=""),"Check data ⚠", IF(H183="","",IF(AND(D183="Non-native and ornamental hedgerow", H183&lt;&gt;"Poor"),"Not possible ▲", (VLOOKUP(H183,'G-1 All Habitats'!$Z$2:$AA$9,2,FALSE))))),"")</f>
        <v/>
      </c>
      <c r="J183" s="105"/>
      <c r="K183" s="289" t="str">
        <f>IF(AND(D183&lt;&gt;"",J183=""),"Check data ⚠", IF(J183="","",IF(VLOOKUP(J183,'G-3 Multipliers'!$L$3:$N$6,2,FALSE)=0,"Spatial Data Missing",VLOOKUP(J183,'G-3 Multipliers'!$L$3:$N$6,2,FALSE))))</f>
        <v/>
      </c>
      <c r="L183" s="287" t="str">
        <f>IF(J183="","",IF(VLOOKUP(J183,'G-3 Multipliers'!$L$3:$N$6,3,FALSE)=0,"Spatial Data Missing ⚠",VLOOKUP(J183,'G-3 Multipliers'!$L$3:$N$6,3,FALSE)))</f>
        <v/>
      </c>
      <c r="M183" s="288" t="str">
        <f>IF(D183="","",VLOOKUP(D183,'G-6 Hedgerow Data'!$B$1:$AH$15,33,FALSE))</f>
        <v/>
      </c>
      <c r="N183" s="295" t="str">
        <f t="shared" si="16"/>
        <v/>
      </c>
      <c r="O183" s="32"/>
      <c r="P183" s="109"/>
      <c r="Q183" s="142"/>
      <c r="R183" s="312" t="str">
        <f t="shared" si="17"/>
        <v/>
      </c>
      <c r="S183" s="312" t="str">
        <f t="shared" si="18"/>
        <v/>
      </c>
      <c r="T183" s="312" t="str">
        <f t="shared" si="19"/>
        <v/>
      </c>
      <c r="U183" s="333" t="str">
        <f t="shared" si="20"/>
        <v/>
      </c>
      <c r="V183" s="109"/>
      <c r="W183" s="108"/>
      <c r="X183" s="108"/>
      <c r="AE183" s="111" t="str">
        <f t="shared" si="14"/>
        <v/>
      </c>
      <c r="AF183" s="111" t="str">
        <f t="shared" si="15"/>
        <v/>
      </c>
      <c r="AH183" s="111">
        <v>174</v>
      </c>
      <c r="AJ183" s="111" t="str">
        <f t="array" ref="AJ183">IFERROR(INDEX($AH$10:$AH$258, MATCH(0, IF(TRUE=$AE$10:$AE$258, COUNTIF($AJ$9:$AJ182, $AH$10:$AH$258), ""), 0)),"")</f>
        <v/>
      </c>
      <c r="AK183" s="111" t="str">
        <f t="array" ref="AK183">IFERROR(INDEX($AH$10:$AH$258, MATCH(0, IF(TRUE=$AF$10:$AF$258, COUNTIF($AK$9:$AK182, $AH$10:$AH$258), ""), 0)),"")</f>
        <v/>
      </c>
      <c r="AL183" s="30" t="str">
        <f>IFERROR(INDEX('G-6 Hedgerow Data'!$BJ$3:$BJ$15,MATCH(D183,'G-6 Hedgerow Data'!$B$3:$B$15,0)),"")</f>
        <v/>
      </c>
    </row>
    <row r="184" spans="2:38" x14ac:dyDescent="0.25">
      <c r="B184" s="101">
        <v>175</v>
      </c>
      <c r="C184" s="142"/>
      <c r="D184" s="142"/>
      <c r="E184" s="108"/>
      <c r="F184" s="329" t="str">
        <f>IF(D184="","",VLOOKUP(D184,'G-6 Hedgerow Data'!$B$2:$AG$15,2,FALSE))</f>
        <v/>
      </c>
      <c r="G184" s="282" t="str">
        <f>IF(D184="","",VLOOKUP(D184,'G-6 Hedgerow Data'!$B$2:$AG$15,3,FALSE))</f>
        <v/>
      </c>
      <c r="H184" s="105"/>
      <c r="I184" s="282" t="str">
        <f>IFERROR(IF(AND(D184&lt;&gt;"",H184=""),"Check data ⚠", IF(H184="","",IF(AND(D184="Non-native and ornamental hedgerow", H184&lt;&gt;"Poor"),"Not possible ▲", (VLOOKUP(H184,'G-1 All Habitats'!$Z$2:$AA$9,2,FALSE))))),"")</f>
        <v/>
      </c>
      <c r="J184" s="105"/>
      <c r="K184" s="289" t="str">
        <f>IF(AND(D184&lt;&gt;"",J184=""),"Check data ⚠", IF(J184="","",IF(VLOOKUP(J184,'G-3 Multipliers'!$L$3:$N$6,2,FALSE)=0,"Spatial Data Missing",VLOOKUP(J184,'G-3 Multipliers'!$L$3:$N$6,2,FALSE))))</f>
        <v/>
      </c>
      <c r="L184" s="287" t="str">
        <f>IF(J184="","",IF(VLOOKUP(J184,'G-3 Multipliers'!$L$3:$N$6,3,FALSE)=0,"Spatial Data Missing ⚠",VLOOKUP(J184,'G-3 Multipliers'!$L$3:$N$6,3,FALSE)))</f>
        <v/>
      </c>
      <c r="M184" s="288" t="str">
        <f>IF(D184="","",VLOOKUP(D184,'G-6 Hedgerow Data'!$B$1:$AH$15,33,FALSE))</f>
        <v/>
      </c>
      <c r="N184" s="295" t="str">
        <f t="shared" si="16"/>
        <v/>
      </c>
      <c r="O184" s="32"/>
      <c r="P184" s="109"/>
      <c r="Q184" s="142"/>
      <c r="R184" s="312" t="str">
        <f t="shared" si="17"/>
        <v/>
      </c>
      <c r="S184" s="312" t="str">
        <f t="shared" si="18"/>
        <v/>
      </c>
      <c r="T184" s="312" t="str">
        <f t="shared" si="19"/>
        <v/>
      </c>
      <c r="U184" s="333" t="str">
        <f t="shared" si="20"/>
        <v/>
      </c>
      <c r="V184" s="109"/>
      <c r="W184" s="108"/>
      <c r="X184" s="108"/>
      <c r="AE184" s="111" t="str">
        <f t="shared" si="14"/>
        <v/>
      </c>
      <c r="AF184" s="111" t="str">
        <f t="shared" si="15"/>
        <v/>
      </c>
      <c r="AH184" s="111">
        <v>175</v>
      </c>
      <c r="AJ184" s="111" t="str">
        <f t="array" ref="AJ184">IFERROR(INDEX($AH$10:$AH$258, MATCH(0, IF(TRUE=$AE$10:$AE$258, COUNTIF($AJ$9:$AJ183, $AH$10:$AH$258), ""), 0)),"")</f>
        <v/>
      </c>
      <c r="AK184" s="111" t="str">
        <f t="array" ref="AK184">IFERROR(INDEX($AH$10:$AH$258, MATCH(0, IF(TRUE=$AF$10:$AF$258, COUNTIF($AK$9:$AK183, $AH$10:$AH$258), ""), 0)),"")</f>
        <v/>
      </c>
      <c r="AL184" s="30" t="str">
        <f>IFERROR(INDEX('G-6 Hedgerow Data'!$BJ$3:$BJ$15,MATCH(D184,'G-6 Hedgerow Data'!$B$3:$B$15,0)),"")</f>
        <v/>
      </c>
    </row>
    <row r="185" spans="2:38" x14ac:dyDescent="0.25">
      <c r="B185" s="101">
        <v>176</v>
      </c>
      <c r="C185" s="142"/>
      <c r="D185" s="142"/>
      <c r="E185" s="108"/>
      <c r="F185" s="329" t="str">
        <f>IF(D185="","",VLOOKUP(D185,'G-6 Hedgerow Data'!$B$2:$AG$15,2,FALSE))</f>
        <v/>
      </c>
      <c r="G185" s="282" t="str">
        <f>IF(D185="","",VLOOKUP(D185,'G-6 Hedgerow Data'!$B$2:$AG$15,3,FALSE))</f>
        <v/>
      </c>
      <c r="H185" s="105"/>
      <c r="I185" s="282" t="str">
        <f>IFERROR(IF(AND(D185&lt;&gt;"",H185=""),"Check data ⚠", IF(H185="","",IF(AND(D185="Non-native and ornamental hedgerow", H185&lt;&gt;"Poor"),"Not possible ▲", (VLOOKUP(H185,'G-1 All Habitats'!$Z$2:$AA$9,2,FALSE))))),"")</f>
        <v/>
      </c>
      <c r="J185" s="105"/>
      <c r="K185" s="289" t="str">
        <f>IF(AND(D185&lt;&gt;"",J185=""),"Check data ⚠", IF(J185="","",IF(VLOOKUP(J185,'G-3 Multipliers'!$L$3:$N$6,2,FALSE)=0,"Spatial Data Missing",VLOOKUP(J185,'G-3 Multipliers'!$L$3:$N$6,2,FALSE))))</f>
        <v/>
      </c>
      <c r="L185" s="287" t="str">
        <f>IF(J185="","",IF(VLOOKUP(J185,'G-3 Multipliers'!$L$3:$N$6,3,FALSE)=0,"Spatial Data Missing ⚠",VLOOKUP(J185,'G-3 Multipliers'!$L$3:$N$6,3,FALSE)))</f>
        <v/>
      </c>
      <c r="M185" s="288" t="str">
        <f>IF(D185="","",VLOOKUP(D185,'G-6 Hedgerow Data'!$B$1:$AH$15,33,FALSE))</f>
        <v/>
      </c>
      <c r="N185" s="295" t="str">
        <f t="shared" si="16"/>
        <v/>
      </c>
      <c r="O185" s="32"/>
      <c r="P185" s="109"/>
      <c r="Q185" s="142"/>
      <c r="R185" s="312" t="str">
        <f t="shared" si="17"/>
        <v/>
      </c>
      <c r="S185" s="312" t="str">
        <f t="shared" si="18"/>
        <v/>
      </c>
      <c r="T185" s="312" t="str">
        <f t="shared" si="19"/>
        <v/>
      </c>
      <c r="U185" s="333" t="str">
        <f t="shared" si="20"/>
        <v/>
      </c>
      <c r="V185" s="109"/>
      <c r="W185" s="108"/>
      <c r="X185" s="108"/>
      <c r="AE185" s="111" t="str">
        <f t="shared" si="14"/>
        <v/>
      </c>
      <c r="AF185" s="111" t="str">
        <f t="shared" si="15"/>
        <v/>
      </c>
      <c r="AH185" s="111">
        <v>176</v>
      </c>
      <c r="AJ185" s="111" t="str">
        <f t="array" ref="AJ185">IFERROR(INDEX($AH$10:$AH$258, MATCH(0, IF(TRUE=$AE$10:$AE$258, COUNTIF($AJ$9:$AJ184, $AH$10:$AH$258), ""), 0)),"")</f>
        <v/>
      </c>
      <c r="AK185" s="111" t="str">
        <f t="array" ref="AK185">IFERROR(INDEX($AH$10:$AH$258, MATCH(0, IF(TRUE=$AF$10:$AF$258, COUNTIF($AK$9:$AK184, $AH$10:$AH$258), ""), 0)),"")</f>
        <v/>
      </c>
      <c r="AL185" s="30" t="str">
        <f>IFERROR(INDEX('G-6 Hedgerow Data'!$BJ$3:$BJ$15,MATCH(D185,'G-6 Hedgerow Data'!$B$3:$B$15,0)),"")</f>
        <v/>
      </c>
    </row>
    <row r="186" spans="2:38" x14ac:dyDescent="0.25">
      <c r="B186" s="101">
        <v>177</v>
      </c>
      <c r="C186" s="142"/>
      <c r="D186" s="142"/>
      <c r="E186" s="108"/>
      <c r="F186" s="329" t="str">
        <f>IF(D186="","",VLOOKUP(D186,'G-6 Hedgerow Data'!$B$2:$AG$15,2,FALSE))</f>
        <v/>
      </c>
      <c r="G186" s="282" t="str">
        <f>IF(D186="","",VLOOKUP(D186,'G-6 Hedgerow Data'!$B$2:$AG$15,3,FALSE))</f>
        <v/>
      </c>
      <c r="H186" s="105"/>
      <c r="I186" s="282" t="str">
        <f>IFERROR(IF(AND(D186&lt;&gt;"",H186=""),"Check data ⚠", IF(H186="","",IF(AND(D186="Non-native and ornamental hedgerow", H186&lt;&gt;"Poor"),"Not possible ▲", (VLOOKUP(H186,'G-1 All Habitats'!$Z$2:$AA$9,2,FALSE))))),"")</f>
        <v/>
      </c>
      <c r="J186" s="105"/>
      <c r="K186" s="289" t="str">
        <f>IF(AND(D186&lt;&gt;"",J186=""),"Check data ⚠", IF(J186="","",IF(VLOOKUP(J186,'G-3 Multipliers'!$L$3:$N$6,2,FALSE)=0,"Spatial Data Missing",VLOOKUP(J186,'G-3 Multipliers'!$L$3:$N$6,2,FALSE))))</f>
        <v/>
      </c>
      <c r="L186" s="287" t="str">
        <f>IF(J186="","",IF(VLOOKUP(J186,'G-3 Multipliers'!$L$3:$N$6,3,FALSE)=0,"Spatial Data Missing ⚠",VLOOKUP(J186,'G-3 Multipliers'!$L$3:$N$6,3,FALSE)))</f>
        <v/>
      </c>
      <c r="M186" s="288" t="str">
        <f>IF(D186="","",VLOOKUP(D186,'G-6 Hedgerow Data'!$B$1:$AH$15,33,FALSE))</f>
        <v/>
      </c>
      <c r="N186" s="295" t="str">
        <f t="shared" si="16"/>
        <v/>
      </c>
      <c r="O186" s="32"/>
      <c r="P186" s="109"/>
      <c r="Q186" s="142"/>
      <c r="R186" s="312" t="str">
        <f t="shared" si="17"/>
        <v/>
      </c>
      <c r="S186" s="312" t="str">
        <f t="shared" si="18"/>
        <v/>
      </c>
      <c r="T186" s="312" t="str">
        <f t="shared" si="19"/>
        <v/>
      </c>
      <c r="U186" s="333" t="str">
        <f t="shared" si="20"/>
        <v/>
      </c>
      <c r="V186" s="109"/>
      <c r="W186" s="108"/>
      <c r="X186" s="108"/>
      <c r="AE186" s="111" t="str">
        <f t="shared" si="14"/>
        <v/>
      </c>
      <c r="AF186" s="111" t="str">
        <f t="shared" si="15"/>
        <v/>
      </c>
      <c r="AH186" s="111">
        <v>177</v>
      </c>
      <c r="AJ186" s="111" t="str">
        <f t="array" ref="AJ186">IFERROR(INDEX($AH$10:$AH$258, MATCH(0, IF(TRUE=$AE$10:$AE$258, COUNTIF($AJ$9:$AJ185, $AH$10:$AH$258), ""), 0)),"")</f>
        <v/>
      </c>
      <c r="AK186" s="111" t="str">
        <f t="array" ref="AK186">IFERROR(INDEX($AH$10:$AH$258, MATCH(0, IF(TRUE=$AF$10:$AF$258, COUNTIF($AK$9:$AK185, $AH$10:$AH$258), ""), 0)),"")</f>
        <v/>
      </c>
      <c r="AL186" s="30" t="str">
        <f>IFERROR(INDEX('G-6 Hedgerow Data'!$BJ$3:$BJ$15,MATCH(D186,'G-6 Hedgerow Data'!$B$3:$B$15,0)),"")</f>
        <v/>
      </c>
    </row>
    <row r="187" spans="2:38" x14ac:dyDescent="0.25">
      <c r="B187" s="101">
        <v>178</v>
      </c>
      <c r="C187" s="142"/>
      <c r="D187" s="142"/>
      <c r="E187" s="108"/>
      <c r="F187" s="329" t="str">
        <f>IF(D187="","",VLOOKUP(D187,'G-6 Hedgerow Data'!$B$2:$AG$15,2,FALSE))</f>
        <v/>
      </c>
      <c r="G187" s="282" t="str">
        <f>IF(D187="","",VLOOKUP(D187,'G-6 Hedgerow Data'!$B$2:$AG$15,3,FALSE))</f>
        <v/>
      </c>
      <c r="H187" s="105"/>
      <c r="I187" s="282" t="str">
        <f>IFERROR(IF(AND(D187&lt;&gt;"",H187=""),"Check data ⚠", IF(H187="","",IF(AND(D187="Non-native and ornamental hedgerow", H187&lt;&gt;"Poor"),"Not possible ▲", (VLOOKUP(H187,'G-1 All Habitats'!$Z$2:$AA$9,2,FALSE))))),"")</f>
        <v/>
      </c>
      <c r="J187" s="105"/>
      <c r="K187" s="289" t="str">
        <f>IF(AND(D187&lt;&gt;"",J187=""),"Check data ⚠", IF(J187="","",IF(VLOOKUP(J187,'G-3 Multipliers'!$L$3:$N$6,2,FALSE)=0,"Spatial Data Missing",VLOOKUP(J187,'G-3 Multipliers'!$L$3:$N$6,2,FALSE))))</f>
        <v/>
      </c>
      <c r="L187" s="287" t="str">
        <f>IF(J187="","",IF(VLOOKUP(J187,'G-3 Multipliers'!$L$3:$N$6,3,FALSE)=0,"Spatial Data Missing ⚠",VLOOKUP(J187,'G-3 Multipliers'!$L$3:$N$6,3,FALSE)))</f>
        <v/>
      </c>
      <c r="M187" s="288" t="str">
        <f>IF(D187="","",VLOOKUP(D187,'G-6 Hedgerow Data'!$B$1:$AH$15,33,FALSE))</f>
        <v/>
      </c>
      <c r="N187" s="295" t="str">
        <f t="shared" si="16"/>
        <v/>
      </c>
      <c r="O187" s="32"/>
      <c r="P187" s="109"/>
      <c r="Q187" s="142"/>
      <c r="R187" s="312" t="str">
        <f t="shared" si="17"/>
        <v/>
      </c>
      <c r="S187" s="312" t="str">
        <f t="shared" si="18"/>
        <v/>
      </c>
      <c r="T187" s="312" t="str">
        <f t="shared" si="19"/>
        <v/>
      </c>
      <c r="U187" s="333" t="str">
        <f t="shared" si="20"/>
        <v/>
      </c>
      <c r="V187" s="109"/>
      <c r="W187" s="108"/>
      <c r="X187" s="108"/>
      <c r="AE187" s="111" t="str">
        <f t="shared" si="14"/>
        <v/>
      </c>
      <c r="AF187" s="111" t="str">
        <f t="shared" si="15"/>
        <v/>
      </c>
      <c r="AH187" s="111">
        <v>178</v>
      </c>
      <c r="AJ187" s="111" t="str">
        <f t="array" ref="AJ187">IFERROR(INDEX($AH$10:$AH$258, MATCH(0, IF(TRUE=$AE$10:$AE$258, COUNTIF($AJ$9:$AJ186, $AH$10:$AH$258), ""), 0)),"")</f>
        <v/>
      </c>
      <c r="AK187" s="111" t="str">
        <f t="array" ref="AK187">IFERROR(INDEX($AH$10:$AH$258, MATCH(0, IF(TRUE=$AF$10:$AF$258, COUNTIF($AK$9:$AK186, $AH$10:$AH$258), ""), 0)),"")</f>
        <v/>
      </c>
      <c r="AL187" s="30" t="str">
        <f>IFERROR(INDEX('G-6 Hedgerow Data'!$BJ$3:$BJ$15,MATCH(D187,'G-6 Hedgerow Data'!$B$3:$B$15,0)),"")</f>
        <v/>
      </c>
    </row>
    <row r="188" spans="2:38" x14ac:dyDescent="0.25">
      <c r="B188" s="101">
        <v>179</v>
      </c>
      <c r="C188" s="142"/>
      <c r="D188" s="142"/>
      <c r="E188" s="108"/>
      <c r="F188" s="329" t="str">
        <f>IF(D188="","",VLOOKUP(D188,'G-6 Hedgerow Data'!$B$2:$AG$15,2,FALSE))</f>
        <v/>
      </c>
      <c r="G188" s="282" t="str">
        <f>IF(D188="","",VLOOKUP(D188,'G-6 Hedgerow Data'!$B$2:$AG$15,3,FALSE))</f>
        <v/>
      </c>
      <c r="H188" s="105"/>
      <c r="I188" s="282" t="str">
        <f>IFERROR(IF(AND(D188&lt;&gt;"",H188=""),"Check data ⚠", IF(H188="","",IF(AND(D188="Non-native and ornamental hedgerow", H188&lt;&gt;"Poor"),"Not possible ▲", (VLOOKUP(H188,'G-1 All Habitats'!$Z$2:$AA$9,2,FALSE))))),"")</f>
        <v/>
      </c>
      <c r="J188" s="105"/>
      <c r="K188" s="289" t="str">
        <f>IF(AND(D188&lt;&gt;"",J188=""),"Check data ⚠", IF(J188="","",IF(VLOOKUP(J188,'G-3 Multipliers'!$L$3:$N$6,2,FALSE)=0,"Spatial Data Missing",VLOOKUP(J188,'G-3 Multipliers'!$L$3:$N$6,2,FALSE))))</f>
        <v/>
      </c>
      <c r="L188" s="287" t="str">
        <f>IF(J188="","",IF(VLOOKUP(J188,'G-3 Multipliers'!$L$3:$N$6,3,FALSE)=0,"Spatial Data Missing ⚠",VLOOKUP(J188,'G-3 Multipliers'!$L$3:$N$6,3,FALSE)))</f>
        <v/>
      </c>
      <c r="M188" s="288" t="str">
        <f>IF(D188="","",VLOOKUP(D188,'G-6 Hedgerow Data'!$B$1:$AH$15,33,FALSE))</f>
        <v/>
      </c>
      <c r="N188" s="295" t="str">
        <f t="shared" si="16"/>
        <v/>
      </c>
      <c r="O188" s="32"/>
      <c r="P188" s="109"/>
      <c r="Q188" s="142"/>
      <c r="R188" s="312" t="str">
        <f t="shared" si="17"/>
        <v/>
      </c>
      <c r="S188" s="312" t="str">
        <f t="shared" si="18"/>
        <v/>
      </c>
      <c r="T188" s="312" t="str">
        <f t="shared" si="19"/>
        <v/>
      </c>
      <c r="U188" s="333" t="str">
        <f t="shared" si="20"/>
        <v/>
      </c>
      <c r="V188" s="109"/>
      <c r="W188" s="108"/>
      <c r="X188" s="108"/>
      <c r="AE188" s="111" t="str">
        <f t="shared" si="14"/>
        <v/>
      </c>
      <c r="AF188" s="111" t="str">
        <f t="shared" si="15"/>
        <v/>
      </c>
      <c r="AH188" s="111">
        <v>179</v>
      </c>
      <c r="AJ188" s="111" t="str">
        <f t="array" ref="AJ188">IFERROR(INDEX($AH$10:$AH$258, MATCH(0, IF(TRUE=$AE$10:$AE$258, COUNTIF($AJ$9:$AJ187, $AH$10:$AH$258), ""), 0)),"")</f>
        <v/>
      </c>
      <c r="AK188" s="111" t="str">
        <f t="array" ref="AK188">IFERROR(INDEX($AH$10:$AH$258, MATCH(0, IF(TRUE=$AF$10:$AF$258, COUNTIF($AK$9:$AK187, $AH$10:$AH$258), ""), 0)),"")</f>
        <v/>
      </c>
      <c r="AL188" s="30" t="str">
        <f>IFERROR(INDEX('G-6 Hedgerow Data'!$BJ$3:$BJ$15,MATCH(D188,'G-6 Hedgerow Data'!$B$3:$B$15,0)),"")</f>
        <v/>
      </c>
    </row>
    <row r="189" spans="2:38" x14ac:dyDescent="0.25">
      <c r="B189" s="101">
        <v>180</v>
      </c>
      <c r="C189" s="142"/>
      <c r="D189" s="142"/>
      <c r="E189" s="108"/>
      <c r="F189" s="329" t="str">
        <f>IF(D189="","",VLOOKUP(D189,'G-6 Hedgerow Data'!$B$2:$AG$15,2,FALSE))</f>
        <v/>
      </c>
      <c r="G189" s="282" t="str">
        <f>IF(D189="","",VLOOKUP(D189,'G-6 Hedgerow Data'!$B$2:$AG$15,3,FALSE))</f>
        <v/>
      </c>
      <c r="H189" s="105"/>
      <c r="I189" s="282" t="str">
        <f>IFERROR(IF(AND(D189&lt;&gt;"",H189=""),"Check data ⚠", IF(H189="","",IF(AND(D189="Non-native and ornamental hedgerow", H189&lt;&gt;"Poor"),"Not possible ▲", (VLOOKUP(H189,'G-1 All Habitats'!$Z$2:$AA$9,2,FALSE))))),"")</f>
        <v/>
      </c>
      <c r="J189" s="105"/>
      <c r="K189" s="289" t="str">
        <f>IF(AND(D189&lt;&gt;"",J189=""),"Check data ⚠", IF(J189="","",IF(VLOOKUP(J189,'G-3 Multipliers'!$L$3:$N$6,2,FALSE)=0,"Spatial Data Missing",VLOOKUP(J189,'G-3 Multipliers'!$L$3:$N$6,2,FALSE))))</f>
        <v/>
      </c>
      <c r="L189" s="287" t="str">
        <f>IF(J189="","",IF(VLOOKUP(J189,'G-3 Multipliers'!$L$3:$N$6,3,FALSE)=0,"Spatial Data Missing ⚠",VLOOKUP(J189,'G-3 Multipliers'!$L$3:$N$6,3,FALSE)))</f>
        <v/>
      </c>
      <c r="M189" s="288" t="str">
        <f>IF(D189="","",VLOOKUP(D189,'G-6 Hedgerow Data'!$B$1:$AH$15,33,FALSE))</f>
        <v/>
      </c>
      <c r="N189" s="295" t="str">
        <f t="shared" si="16"/>
        <v/>
      </c>
      <c r="O189" s="32"/>
      <c r="P189" s="109"/>
      <c r="Q189" s="142"/>
      <c r="R189" s="312" t="str">
        <f t="shared" si="17"/>
        <v/>
      </c>
      <c r="S189" s="312" t="str">
        <f t="shared" si="18"/>
        <v/>
      </c>
      <c r="T189" s="312" t="str">
        <f t="shared" si="19"/>
        <v/>
      </c>
      <c r="U189" s="333" t="str">
        <f t="shared" si="20"/>
        <v/>
      </c>
      <c r="V189" s="109"/>
      <c r="W189" s="108"/>
      <c r="X189" s="108"/>
      <c r="AE189" s="111" t="str">
        <f t="shared" si="14"/>
        <v/>
      </c>
      <c r="AF189" s="111" t="str">
        <f t="shared" si="15"/>
        <v/>
      </c>
      <c r="AH189" s="111">
        <v>180</v>
      </c>
      <c r="AJ189" s="111" t="str">
        <f t="array" ref="AJ189">IFERROR(INDEX($AH$10:$AH$258, MATCH(0, IF(TRUE=$AE$10:$AE$258, COUNTIF($AJ$9:$AJ188, $AH$10:$AH$258), ""), 0)),"")</f>
        <v/>
      </c>
      <c r="AK189" s="111" t="str">
        <f t="array" ref="AK189">IFERROR(INDEX($AH$10:$AH$258, MATCH(0, IF(TRUE=$AF$10:$AF$258, COUNTIF($AK$9:$AK188, $AH$10:$AH$258), ""), 0)),"")</f>
        <v/>
      </c>
      <c r="AL189" s="30" t="str">
        <f>IFERROR(INDEX('G-6 Hedgerow Data'!$BJ$3:$BJ$15,MATCH(D189,'G-6 Hedgerow Data'!$B$3:$B$15,0)),"")</f>
        <v/>
      </c>
    </row>
    <row r="190" spans="2:38" x14ac:dyDescent="0.25">
      <c r="B190" s="101">
        <v>181</v>
      </c>
      <c r="C190" s="142"/>
      <c r="D190" s="142"/>
      <c r="E190" s="108"/>
      <c r="F190" s="329" t="str">
        <f>IF(D190="","",VLOOKUP(D190,'G-6 Hedgerow Data'!$B$2:$AG$15,2,FALSE))</f>
        <v/>
      </c>
      <c r="G190" s="282" t="str">
        <f>IF(D190="","",VLOOKUP(D190,'G-6 Hedgerow Data'!$B$2:$AG$15,3,FALSE))</f>
        <v/>
      </c>
      <c r="H190" s="105"/>
      <c r="I190" s="282" t="str">
        <f>IFERROR(IF(AND(D190&lt;&gt;"",H190=""),"Check data ⚠", IF(H190="","",IF(AND(D190="Non-native and ornamental hedgerow", H190&lt;&gt;"Poor"),"Not possible ▲", (VLOOKUP(H190,'G-1 All Habitats'!$Z$2:$AA$9,2,FALSE))))),"")</f>
        <v/>
      </c>
      <c r="J190" s="105"/>
      <c r="K190" s="289" t="str">
        <f>IF(AND(D190&lt;&gt;"",J190=""),"Check data ⚠", IF(J190="","",IF(VLOOKUP(J190,'G-3 Multipliers'!$L$3:$N$6,2,FALSE)=0,"Spatial Data Missing",VLOOKUP(J190,'G-3 Multipliers'!$L$3:$N$6,2,FALSE))))</f>
        <v/>
      </c>
      <c r="L190" s="287" t="str">
        <f>IF(J190="","",IF(VLOOKUP(J190,'G-3 Multipliers'!$L$3:$N$6,3,FALSE)=0,"Spatial Data Missing ⚠",VLOOKUP(J190,'G-3 Multipliers'!$L$3:$N$6,3,FALSE)))</f>
        <v/>
      </c>
      <c r="M190" s="288" t="str">
        <f>IF(D190="","",VLOOKUP(D190,'G-6 Hedgerow Data'!$B$1:$AH$15,33,FALSE))</f>
        <v/>
      </c>
      <c r="N190" s="295" t="str">
        <f t="shared" si="16"/>
        <v/>
      </c>
      <c r="O190" s="32"/>
      <c r="P190" s="109"/>
      <c r="Q190" s="142"/>
      <c r="R190" s="312" t="str">
        <f t="shared" si="17"/>
        <v/>
      </c>
      <c r="S190" s="312" t="str">
        <f t="shared" si="18"/>
        <v/>
      </c>
      <c r="T190" s="312" t="str">
        <f t="shared" si="19"/>
        <v/>
      </c>
      <c r="U190" s="333" t="str">
        <f t="shared" si="20"/>
        <v/>
      </c>
      <c r="V190" s="109"/>
      <c r="W190" s="108"/>
      <c r="X190" s="108"/>
      <c r="AE190" s="111" t="str">
        <f t="shared" si="14"/>
        <v/>
      </c>
      <c r="AF190" s="111" t="str">
        <f t="shared" si="15"/>
        <v/>
      </c>
      <c r="AH190" s="111">
        <v>181</v>
      </c>
      <c r="AJ190" s="111" t="str">
        <f t="array" ref="AJ190">IFERROR(INDEX($AH$10:$AH$258, MATCH(0, IF(TRUE=$AE$10:$AE$258, COUNTIF($AJ$9:$AJ189, $AH$10:$AH$258), ""), 0)),"")</f>
        <v/>
      </c>
      <c r="AK190" s="111" t="str">
        <f t="array" ref="AK190">IFERROR(INDEX($AH$10:$AH$258, MATCH(0, IF(TRUE=$AF$10:$AF$258, COUNTIF($AK$9:$AK189, $AH$10:$AH$258), ""), 0)),"")</f>
        <v/>
      </c>
      <c r="AL190" s="30" t="str">
        <f>IFERROR(INDEX('G-6 Hedgerow Data'!$BJ$3:$BJ$15,MATCH(D190,'G-6 Hedgerow Data'!$B$3:$B$15,0)),"")</f>
        <v/>
      </c>
    </row>
    <row r="191" spans="2:38" x14ac:dyDescent="0.25">
      <c r="B191" s="101">
        <v>182</v>
      </c>
      <c r="C191" s="142"/>
      <c r="D191" s="142"/>
      <c r="E191" s="108"/>
      <c r="F191" s="329" t="str">
        <f>IF(D191="","",VLOOKUP(D191,'G-6 Hedgerow Data'!$B$2:$AG$15,2,FALSE))</f>
        <v/>
      </c>
      <c r="G191" s="282" t="str">
        <f>IF(D191="","",VLOOKUP(D191,'G-6 Hedgerow Data'!$B$2:$AG$15,3,FALSE))</f>
        <v/>
      </c>
      <c r="H191" s="105"/>
      <c r="I191" s="282" t="str">
        <f>IFERROR(IF(AND(D191&lt;&gt;"",H191=""),"Check data ⚠", IF(H191="","",IF(AND(D191="Non-native and ornamental hedgerow", H191&lt;&gt;"Poor"),"Not possible ▲", (VLOOKUP(H191,'G-1 All Habitats'!$Z$2:$AA$9,2,FALSE))))),"")</f>
        <v/>
      </c>
      <c r="J191" s="105"/>
      <c r="K191" s="289" t="str">
        <f>IF(AND(D191&lt;&gt;"",J191=""),"Check data ⚠", IF(J191="","",IF(VLOOKUP(J191,'G-3 Multipliers'!$L$3:$N$6,2,FALSE)=0,"Spatial Data Missing",VLOOKUP(J191,'G-3 Multipliers'!$L$3:$N$6,2,FALSE))))</f>
        <v/>
      </c>
      <c r="L191" s="287" t="str">
        <f>IF(J191="","",IF(VLOOKUP(J191,'G-3 Multipliers'!$L$3:$N$6,3,FALSE)=0,"Spatial Data Missing ⚠",VLOOKUP(J191,'G-3 Multipliers'!$L$3:$N$6,3,FALSE)))</f>
        <v/>
      </c>
      <c r="M191" s="288" t="str">
        <f>IF(D191="","",VLOOKUP(D191,'G-6 Hedgerow Data'!$B$1:$AH$15,33,FALSE))</f>
        <v/>
      </c>
      <c r="N191" s="295" t="str">
        <f t="shared" si="16"/>
        <v/>
      </c>
      <c r="O191" s="32"/>
      <c r="P191" s="109"/>
      <c r="Q191" s="142"/>
      <c r="R191" s="312" t="str">
        <f t="shared" si="17"/>
        <v/>
      </c>
      <c r="S191" s="312" t="str">
        <f t="shared" si="18"/>
        <v/>
      </c>
      <c r="T191" s="312" t="str">
        <f t="shared" si="19"/>
        <v/>
      </c>
      <c r="U191" s="333" t="str">
        <f t="shared" si="20"/>
        <v/>
      </c>
      <c r="V191" s="109"/>
      <c r="W191" s="108"/>
      <c r="X191" s="108"/>
      <c r="AE191" s="111" t="str">
        <f t="shared" si="14"/>
        <v/>
      </c>
      <c r="AF191" s="111" t="str">
        <f t="shared" si="15"/>
        <v/>
      </c>
      <c r="AH191" s="111">
        <v>182</v>
      </c>
      <c r="AJ191" s="111" t="str">
        <f t="array" ref="AJ191">IFERROR(INDEX($AH$10:$AH$258, MATCH(0, IF(TRUE=$AE$10:$AE$258, COUNTIF($AJ$9:$AJ190, $AH$10:$AH$258), ""), 0)),"")</f>
        <v/>
      </c>
      <c r="AK191" s="111" t="str">
        <f t="array" ref="AK191">IFERROR(INDEX($AH$10:$AH$258, MATCH(0, IF(TRUE=$AF$10:$AF$258, COUNTIF($AK$9:$AK190, $AH$10:$AH$258), ""), 0)),"")</f>
        <v/>
      </c>
      <c r="AL191" s="30" t="str">
        <f>IFERROR(INDEX('G-6 Hedgerow Data'!$BJ$3:$BJ$15,MATCH(D191,'G-6 Hedgerow Data'!$B$3:$B$15,0)),"")</f>
        <v/>
      </c>
    </row>
    <row r="192" spans="2:38" x14ac:dyDescent="0.25">
      <c r="B192" s="101">
        <v>183</v>
      </c>
      <c r="C192" s="142"/>
      <c r="D192" s="142"/>
      <c r="E192" s="108"/>
      <c r="F192" s="329" t="str">
        <f>IF(D192="","",VLOOKUP(D192,'G-6 Hedgerow Data'!$B$2:$AG$15,2,FALSE))</f>
        <v/>
      </c>
      <c r="G192" s="282" t="str">
        <f>IF(D192="","",VLOOKUP(D192,'G-6 Hedgerow Data'!$B$2:$AG$15,3,FALSE))</f>
        <v/>
      </c>
      <c r="H192" s="105"/>
      <c r="I192" s="282" t="str">
        <f>IFERROR(IF(AND(D192&lt;&gt;"",H192=""),"Check data ⚠", IF(H192="","",IF(AND(D192="Non-native and ornamental hedgerow", H192&lt;&gt;"Poor"),"Not possible ▲", (VLOOKUP(H192,'G-1 All Habitats'!$Z$2:$AA$9,2,FALSE))))),"")</f>
        <v/>
      </c>
      <c r="J192" s="105"/>
      <c r="K192" s="289" t="str">
        <f>IF(AND(D192&lt;&gt;"",J192=""),"Check data ⚠", IF(J192="","",IF(VLOOKUP(J192,'G-3 Multipliers'!$L$3:$N$6,2,FALSE)=0,"Spatial Data Missing",VLOOKUP(J192,'G-3 Multipliers'!$L$3:$N$6,2,FALSE))))</f>
        <v/>
      </c>
      <c r="L192" s="287" t="str">
        <f>IF(J192="","",IF(VLOOKUP(J192,'G-3 Multipliers'!$L$3:$N$6,3,FALSE)=0,"Spatial Data Missing ⚠",VLOOKUP(J192,'G-3 Multipliers'!$L$3:$N$6,3,FALSE)))</f>
        <v/>
      </c>
      <c r="M192" s="288" t="str">
        <f>IF(D192="","",VLOOKUP(D192,'G-6 Hedgerow Data'!$B$1:$AH$15,33,FALSE))</f>
        <v/>
      </c>
      <c r="N192" s="295" t="str">
        <f t="shared" si="16"/>
        <v/>
      </c>
      <c r="O192" s="32"/>
      <c r="P192" s="109"/>
      <c r="Q192" s="142"/>
      <c r="R192" s="312" t="str">
        <f t="shared" si="17"/>
        <v/>
      </c>
      <c r="S192" s="312" t="str">
        <f t="shared" si="18"/>
        <v/>
      </c>
      <c r="T192" s="312" t="str">
        <f t="shared" si="19"/>
        <v/>
      </c>
      <c r="U192" s="333" t="str">
        <f t="shared" si="20"/>
        <v/>
      </c>
      <c r="V192" s="109"/>
      <c r="W192" s="108"/>
      <c r="X192" s="108"/>
      <c r="AE192" s="111" t="str">
        <f t="shared" si="14"/>
        <v/>
      </c>
      <c r="AF192" s="111" t="str">
        <f t="shared" si="15"/>
        <v/>
      </c>
      <c r="AH192" s="111">
        <v>183</v>
      </c>
      <c r="AJ192" s="111" t="str">
        <f t="array" ref="AJ192">IFERROR(INDEX($AH$10:$AH$258, MATCH(0, IF(TRUE=$AE$10:$AE$258, COUNTIF($AJ$9:$AJ191, $AH$10:$AH$258), ""), 0)),"")</f>
        <v/>
      </c>
      <c r="AK192" s="111" t="str">
        <f t="array" ref="AK192">IFERROR(INDEX($AH$10:$AH$258, MATCH(0, IF(TRUE=$AF$10:$AF$258, COUNTIF($AK$9:$AK191, $AH$10:$AH$258), ""), 0)),"")</f>
        <v/>
      </c>
      <c r="AL192" s="30" t="str">
        <f>IFERROR(INDEX('G-6 Hedgerow Data'!$BJ$3:$BJ$15,MATCH(D192,'G-6 Hedgerow Data'!$B$3:$B$15,0)),"")</f>
        <v/>
      </c>
    </row>
    <row r="193" spans="2:38" x14ac:dyDescent="0.25">
      <c r="B193" s="101">
        <v>184</v>
      </c>
      <c r="C193" s="142"/>
      <c r="D193" s="142"/>
      <c r="E193" s="108"/>
      <c r="F193" s="329" t="str">
        <f>IF(D193="","",VLOOKUP(D193,'G-6 Hedgerow Data'!$B$2:$AG$15,2,FALSE))</f>
        <v/>
      </c>
      <c r="G193" s="282" t="str">
        <f>IF(D193="","",VLOOKUP(D193,'G-6 Hedgerow Data'!$B$2:$AG$15,3,FALSE))</f>
        <v/>
      </c>
      <c r="H193" s="105"/>
      <c r="I193" s="282" t="str">
        <f>IFERROR(IF(AND(D193&lt;&gt;"",H193=""),"Check data ⚠", IF(H193="","",IF(AND(D193="Non-native and ornamental hedgerow", H193&lt;&gt;"Poor"),"Not possible ▲", (VLOOKUP(H193,'G-1 All Habitats'!$Z$2:$AA$9,2,FALSE))))),"")</f>
        <v/>
      </c>
      <c r="J193" s="105"/>
      <c r="K193" s="289" t="str">
        <f>IF(AND(D193&lt;&gt;"",J193=""),"Check data ⚠", IF(J193="","",IF(VLOOKUP(J193,'G-3 Multipliers'!$L$3:$N$6,2,FALSE)=0,"Spatial Data Missing",VLOOKUP(J193,'G-3 Multipliers'!$L$3:$N$6,2,FALSE))))</f>
        <v/>
      </c>
      <c r="L193" s="287" t="str">
        <f>IF(J193="","",IF(VLOOKUP(J193,'G-3 Multipliers'!$L$3:$N$6,3,FALSE)=0,"Spatial Data Missing ⚠",VLOOKUP(J193,'G-3 Multipliers'!$L$3:$N$6,3,FALSE)))</f>
        <v/>
      </c>
      <c r="M193" s="288" t="str">
        <f>IF(D193="","",VLOOKUP(D193,'G-6 Hedgerow Data'!$B$1:$AH$15,33,FALSE))</f>
        <v/>
      </c>
      <c r="N193" s="295" t="str">
        <f t="shared" si="16"/>
        <v/>
      </c>
      <c r="O193" s="32"/>
      <c r="P193" s="109"/>
      <c r="Q193" s="142"/>
      <c r="R193" s="312" t="str">
        <f t="shared" si="17"/>
        <v/>
      </c>
      <c r="S193" s="312" t="str">
        <f t="shared" si="18"/>
        <v/>
      </c>
      <c r="T193" s="312" t="str">
        <f t="shared" si="19"/>
        <v/>
      </c>
      <c r="U193" s="333" t="str">
        <f t="shared" si="20"/>
        <v/>
      </c>
      <c r="V193" s="109"/>
      <c r="W193" s="108"/>
      <c r="X193" s="108"/>
      <c r="AE193" s="111" t="str">
        <f t="shared" si="14"/>
        <v/>
      </c>
      <c r="AF193" s="111" t="str">
        <f t="shared" si="15"/>
        <v/>
      </c>
      <c r="AH193" s="111">
        <v>184</v>
      </c>
      <c r="AJ193" s="111" t="str">
        <f t="array" ref="AJ193">IFERROR(INDEX($AH$10:$AH$258, MATCH(0, IF(TRUE=$AE$10:$AE$258, COUNTIF($AJ$9:$AJ192, $AH$10:$AH$258), ""), 0)),"")</f>
        <v/>
      </c>
      <c r="AK193" s="111" t="str">
        <f t="array" ref="AK193">IFERROR(INDEX($AH$10:$AH$258, MATCH(0, IF(TRUE=$AF$10:$AF$258, COUNTIF($AK$9:$AK192, $AH$10:$AH$258), ""), 0)),"")</f>
        <v/>
      </c>
      <c r="AL193" s="30" t="str">
        <f>IFERROR(INDEX('G-6 Hedgerow Data'!$BJ$3:$BJ$15,MATCH(D193,'G-6 Hedgerow Data'!$B$3:$B$15,0)),"")</f>
        <v/>
      </c>
    </row>
    <row r="194" spans="2:38" x14ac:dyDescent="0.25">
      <c r="B194" s="101">
        <v>185</v>
      </c>
      <c r="C194" s="142"/>
      <c r="D194" s="142"/>
      <c r="E194" s="108"/>
      <c r="F194" s="329" t="str">
        <f>IF(D194="","",VLOOKUP(D194,'G-6 Hedgerow Data'!$B$2:$AG$15,2,FALSE))</f>
        <v/>
      </c>
      <c r="G194" s="282" t="str">
        <f>IF(D194="","",VLOOKUP(D194,'G-6 Hedgerow Data'!$B$2:$AG$15,3,FALSE))</f>
        <v/>
      </c>
      <c r="H194" s="105"/>
      <c r="I194" s="282" t="str">
        <f>IFERROR(IF(AND(D194&lt;&gt;"",H194=""),"Check data ⚠", IF(H194="","",IF(AND(D194="Non-native and ornamental hedgerow", H194&lt;&gt;"Poor"),"Not possible ▲", (VLOOKUP(H194,'G-1 All Habitats'!$Z$2:$AA$9,2,FALSE))))),"")</f>
        <v/>
      </c>
      <c r="J194" s="105"/>
      <c r="K194" s="289" t="str">
        <f>IF(AND(D194&lt;&gt;"",J194=""),"Check data ⚠", IF(J194="","",IF(VLOOKUP(J194,'G-3 Multipliers'!$L$3:$N$6,2,FALSE)=0,"Spatial Data Missing",VLOOKUP(J194,'G-3 Multipliers'!$L$3:$N$6,2,FALSE))))</f>
        <v/>
      </c>
      <c r="L194" s="287" t="str">
        <f>IF(J194="","",IF(VLOOKUP(J194,'G-3 Multipliers'!$L$3:$N$6,3,FALSE)=0,"Spatial Data Missing ⚠",VLOOKUP(J194,'G-3 Multipliers'!$L$3:$N$6,3,FALSE)))</f>
        <v/>
      </c>
      <c r="M194" s="288" t="str">
        <f>IF(D194="","",VLOOKUP(D194,'G-6 Hedgerow Data'!$B$1:$AH$15,33,FALSE))</f>
        <v/>
      </c>
      <c r="N194" s="295" t="str">
        <f t="shared" si="16"/>
        <v/>
      </c>
      <c r="O194" s="32"/>
      <c r="P194" s="109"/>
      <c r="Q194" s="142"/>
      <c r="R194" s="312" t="str">
        <f t="shared" si="17"/>
        <v/>
      </c>
      <c r="S194" s="312" t="str">
        <f t="shared" si="18"/>
        <v/>
      </c>
      <c r="T194" s="312" t="str">
        <f t="shared" si="19"/>
        <v/>
      </c>
      <c r="U194" s="333" t="str">
        <f t="shared" si="20"/>
        <v/>
      </c>
      <c r="V194" s="109"/>
      <c r="W194" s="108"/>
      <c r="X194" s="108"/>
      <c r="AE194" s="111" t="str">
        <f t="shared" si="14"/>
        <v/>
      </c>
      <c r="AF194" s="111" t="str">
        <f t="shared" si="15"/>
        <v/>
      </c>
      <c r="AH194" s="111">
        <v>185</v>
      </c>
      <c r="AJ194" s="111" t="str">
        <f t="array" ref="AJ194">IFERROR(INDEX($AH$10:$AH$258, MATCH(0, IF(TRUE=$AE$10:$AE$258, COUNTIF($AJ$9:$AJ193, $AH$10:$AH$258), ""), 0)),"")</f>
        <v/>
      </c>
      <c r="AK194" s="111" t="str">
        <f t="array" ref="AK194">IFERROR(INDEX($AH$10:$AH$258, MATCH(0, IF(TRUE=$AF$10:$AF$258, COUNTIF($AK$9:$AK193, $AH$10:$AH$258), ""), 0)),"")</f>
        <v/>
      </c>
      <c r="AL194" s="30" t="str">
        <f>IFERROR(INDEX('G-6 Hedgerow Data'!$BJ$3:$BJ$15,MATCH(D194,'G-6 Hedgerow Data'!$B$3:$B$15,0)),"")</f>
        <v/>
      </c>
    </row>
    <row r="195" spans="2:38" x14ac:dyDescent="0.25">
      <c r="B195" s="101">
        <v>186</v>
      </c>
      <c r="C195" s="142"/>
      <c r="D195" s="142"/>
      <c r="E195" s="108"/>
      <c r="F195" s="329" t="str">
        <f>IF(D195="","",VLOOKUP(D195,'G-6 Hedgerow Data'!$B$2:$AG$15,2,FALSE))</f>
        <v/>
      </c>
      <c r="G195" s="282" t="str">
        <f>IF(D195="","",VLOOKUP(D195,'G-6 Hedgerow Data'!$B$2:$AG$15,3,FALSE))</f>
        <v/>
      </c>
      <c r="H195" s="105"/>
      <c r="I195" s="282" t="str">
        <f>IFERROR(IF(AND(D195&lt;&gt;"",H195=""),"Check data ⚠", IF(H195="","",IF(AND(D195="Non-native and ornamental hedgerow", H195&lt;&gt;"Poor"),"Not possible ▲", (VLOOKUP(H195,'G-1 All Habitats'!$Z$2:$AA$9,2,FALSE))))),"")</f>
        <v/>
      </c>
      <c r="J195" s="105"/>
      <c r="K195" s="289" t="str">
        <f>IF(AND(D195&lt;&gt;"",J195=""),"Check data ⚠", IF(J195="","",IF(VLOOKUP(J195,'G-3 Multipliers'!$L$3:$N$6,2,FALSE)=0,"Spatial Data Missing",VLOOKUP(J195,'G-3 Multipliers'!$L$3:$N$6,2,FALSE))))</f>
        <v/>
      </c>
      <c r="L195" s="287" t="str">
        <f>IF(J195="","",IF(VLOOKUP(J195,'G-3 Multipliers'!$L$3:$N$6,3,FALSE)=0,"Spatial Data Missing ⚠",VLOOKUP(J195,'G-3 Multipliers'!$L$3:$N$6,3,FALSE)))</f>
        <v/>
      </c>
      <c r="M195" s="288" t="str">
        <f>IF(D195="","",VLOOKUP(D195,'G-6 Hedgerow Data'!$B$1:$AH$15,33,FALSE))</f>
        <v/>
      </c>
      <c r="N195" s="295" t="str">
        <f t="shared" si="16"/>
        <v/>
      </c>
      <c r="O195" s="32"/>
      <c r="P195" s="109"/>
      <c r="Q195" s="142"/>
      <c r="R195" s="312" t="str">
        <f t="shared" si="17"/>
        <v/>
      </c>
      <c r="S195" s="312" t="str">
        <f t="shared" si="18"/>
        <v/>
      </c>
      <c r="T195" s="312" t="str">
        <f t="shared" si="19"/>
        <v/>
      </c>
      <c r="U195" s="333" t="str">
        <f t="shared" si="20"/>
        <v/>
      </c>
      <c r="V195" s="109"/>
      <c r="W195" s="108"/>
      <c r="X195" s="108"/>
      <c r="AE195" s="111" t="str">
        <f t="shared" si="14"/>
        <v/>
      </c>
      <c r="AF195" s="111" t="str">
        <f t="shared" si="15"/>
        <v/>
      </c>
      <c r="AH195" s="111">
        <v>186</v>
      </c>
      <c r="AJ195" s="111" t="str">
        <f t="array" ref="AJ195">IFERROR(INDEX($AH$10:$AH$258, MATCH(0, IF(TRUE=$AE$10:$AE$258, COUNTIF($AJ$9:$AJ194, $AH$10:$AH$258), ""), 0)),"")</f>
        <v/>
      </c>
      <c r="AK195" s="111" t="str">
        <f t="array" ref="AK195">IFERROR(INDEX($AH$10:$AH$258, MATCH(0, IF(TRUE=$AF$10:$AF$258, COUNTIF($AK$9:$AK194, $AH$10:$AH$258), ""), 0)),"")</f>
        <v/>
      </c>
      <c r="AL195" s="30" t="str">
        <f>IFERROR(INDEX('G-6 Hedgerow Data'!$BJ$3:$BJ$15,MATCH(D195,'G-6 Hedgerow Data'!$B$3:$B$15,0)),"")</f>
        <v/>
      </c>
    </row>
    <row r="196" spans="2:38" x14ac:dyDescent="0.25">
      <c r="B196" s="101">
        <v>187</v>
      </c>
      <c r="C196" s="142"/>
      <c r="D196" s="142"/>
      <c r="E196" s="108"/>
      <c r="F196" s="329" t="str">
        <f>IF(D196="","",VLOOKUP(D196,'G-6 Hedgerow Data'!$B$2:$AG$15,2,FALSE))</f>
        <v/>
      </c>
      <c r="G196" s="282" t="str">
        <f>IF(D196="","",VLOOKUP(D196,'G-6 Hedgerow Data'!$B$2:$AG$15,3,FALSE))</f>
        <v/>
      </c>
      <c r="H196" s="105"/>
      <c r="I196" s="282" t="str">
        <f>IFERROR(IF(AND(D196&lt;&gt;"",H196=""),"Check data ⚠", IF(H196="","",IF(AND(D196="Non-native and ornamental hedgerow", H196&lt;&gt;"Poor"),"Not possible ▲", (VLOOKUP(H196,'G-1 All Habitats'!$Z$2:$AA$9,2,FALSE))))),"")</f>
        <v/>
      </c>
      <c r="J196" s="105"/>
      <c r="K196" s="289" t="str">
        <f>IF(AND(D196&lt;&gt;"",J196=""),"Check data ⚠", IF(J196="","",IF(VLOOKUP(J196,'G-3 Multipliers'!$L$3:$N$6,2,FALSE)=0,"Spatial Data Missing",VLOOKUP(J196,'G-3 Multipliers'!$L$3:$N$6,2,FALSE))))</f>
        <v/>
      </c>
      <c r="L196" s="287" t="str">
        <f>IF(J196="","",IF(VLOOKUP(J196,'G-3 Multipliers'!$L$3:$N$6,3,FALSE)=0,"Spatial Data Missing ⚠",VLOOKUP(J196,'G-3 Multipliers'!$L$3:$N$6,3,FALSE)))</f>
        <v/>
      </c>
      <c r="M196" s="288" t="str">
        <f>IF(D196="","",VLOOKUP(D196,'G-6 Hedgerow Data'!$B$1:$AH$15,33,FALSE))</f>
        <v/>
      </c>
      <c r="N196" s="295" t="str">
        <f t="shared" si="16"/>
        <v/>
      </c>
      <c r="O196" s="32"/>
      <c r="P196" s="109"/>
      <c r="Q196" s="142"/>
      <c r="R196" s="312" t="str">
        <f t="shared" si="17"/>
        <v/>
      </c>
      <c r="S196" s="312" t="str">
        <f t="shared" si="18"/>
        <v/>
      </c>
      <c r="T196" s="312" t="str">
        <f t="shared" si="19"/>
        <v/>
      </c>
      <c r="U196" s="333" t="str">
        <f t="shared" si="20"/>
        <v/>
      </c>
      <c r="V196" s="109"/>
      <c r="W196" s="108"/>
      <c r="X196" s="108"/>
      <c r="AE196" s="111" t="str">
        <f t="shared" si="14"/>
        <v/>
      </c>
      <c r="AF196" s="111" t="str">
        <f t="shared" si="15"/>
        <v/>
      </c>
      <c r="AH196" s="111">
        <v>187</v>
      </c>
      <c r="AJ196" s="111" t="str">
        <f t="array" ref="AJ196">IFERROR(INDEX($AH$10:$AH$258, MATCH(0, IF(TRUE=$AE$10:$AE$258, COUNTIF($AJ$9:$AJ195, $AH$10:$AH$258), ""), 0)),"")</f>
        <v/>
      </c>
      <c r="AK196" s="111" t="str">
        <f t="array" ref="AK196">IFERROR(INDEX($AH$10:$AH$258, MATCH(0, IF(TRUE=$AF$10:$AF$258, COUNTIF($AK$9:$AK195, $AH$10:$AH$258), ""), 0)),"")</f>
        <v/>
      </c>
      <c r="AL196" s="30" t="str">
        <f>IFERROR(INDEX('G-6 Hedgerow Data'!$BJ$3:$BJ$15,MATCH(D196,'G-6 Hedgerow Data'!$B$3:$B$15,0)),"")</f>
        <v/>
      </c>
    </row>
    <row r="197" spans="2:38" x14ac:dyDescent="0.25">
      <c r="B197" s="101">
        <v>188</v>
      </c>
      <c r="C197" s="142"/>
      <c r="D197" s="142"/>
      <c r="E197" s="108"/>
      <c r="F197" s="329" t="str">
        <f>IF(D197="","",VLOOKUP(D197,'G-6 Hedgerow Data'!$B$2:$AG$15,2,FALSE))</f>
        <v/>
      </c>
      <c r="G197" s="282" t="str">
        <f>IF(D197="","",VLOOKUP(D197,'G-6 Hedgerow Data'!$B$2:$AG$15,3,FALSE))</f>
        <v/>
      </c>
      <c r="H197" s="105"/>
      <c r="I197" s="282" t="str">
        <f>IFERROR(IF(AND(D197&lt;&gt;"",H197=""),"Check data ⚠", IF(H197="","",IF(AND(D197="Non-native and ornamental hedgerow", H197&lt;&gt;"Poor"),"Not possible ▲", (VLOOKUP(H197,'G-1 All Habitats'!$Z$2:$AA$9,2,FALSE))))),"")</f>
        <v/>
      </c>
      <c r="J197" s="105"/>
      <c r="K197" s="289" t="str">
        <f>IF(AND(D197&lt;&gt;"",J197=""),"Check data ⚠", IF(J197="","",IF(VLOOKUP(J197,'G-3 Multipliers'!$L$3:$N$6,2,FALSE)=0,"Spatial Data Missing",VLOOKUP(J197,'G-3 Multipliers'!$L$3:$N$6,2,FALSE))))</f>
        <v/>
      </c>
      <c r="L197" s="287" t="str">
        <f>IF(J197="","",IF(VLOOKUP(J197,'G-3 Multipliers'!$L$3:$N$6,3,FALSE)=0,"Spatial Data Missing ⚠",VLOOKUP(J197,'G-3 Multipliers'!$L$3:$N$6,3,FALSE)))</f>
        <v/>
      </c>
      <c r="M197" s="288" t="str">
        <f>IF(D197="","",VLOOKUP(D197,'G-6 Hedgerow Data'!$B$1:$AH$15,33,FALSE))</f>
        <v/>
      </c>
      <c r="N197" s="295" t="str">
        <f t="shared" si="16"/>
        <v/>
      </c>
      <c r="O197" s="32"/>
      <c r="P197" s="109"/>
      <c r="Q197" s="142"/>
      <c r="R197" s="312" t="str">
        <f t="shared" si="17"/>
        <v/>
      </c>
      <c r="S197" s="312" t="str">
        <f t="shared" si="18"/>
        <v/>
      </c>
      <c r="T197" s="312" t="str">
        <f t="shared" si="19"/>
        <v/>
      </c>
      <c r="U197" s="333" t="str">
        <f t="shared" si="20"/>
        <v/>
      </c>
      <c r="V197" s="109"/>
      <c r="W197" s="108"/>
      <c r="X197" s="108"/>
      <c r="AE197" s="111" t="str">
        <f t="shared" si="14"/>
        <v/>
      </c>
      <c r="AF197" s="111" t="str">
        <f t="shared" si="15"/>
        <v/>
      </c>
      <c r="AH197" s="111">
        <v>188</v>
      </c>
      <c r="AJ197" s="111" t="str">
        <f t="array" ref="AJ197">IFERROR(INDEX($AH$10:$AH$258, MATCH(0, IF(TRUE=$AE$10:$AE$258, COUNTIF($AJ$9:$AJ196, $AH$10:$AH$258), ""), 0)),"")</f>
        <v/>
      </c>
      <c r="AK197" s="111" t="str">
        <f t="array" ref="AK197">IFERROR(INDEX($AH$10:$AH$258, MATCH(0, IF(TRUE=$AF$10:$AF$258, COUNTIF($AK$9:$AK196, $AH$10:$AH$258), ""), 0)),"")</f>
        <v/>
      </c>
      <c r="AL197" s="30" t="str">
        <f>IFERROR(INDEX('G-6 Hedgerow Data'!$BJ$3:$BJ$15,MATCH(D197,'G-6 Hedgerow Data'!$B$3:$B$15,0)),"")</f>
        <v/>
      </c>
    </row>
    <row r="198" spans="2:38" x14ac:dyDescent="0.25">
      <c r="B198" s="101">
        <v>189</v>
      </c>
      <c r="C198" s="142"/>
      <c r="D198" s="142"/>
      <c r="E198" s="108"/>
      <c r="F198" s="329" t="str">
        <f>IF(D198="","",VLOOKUP(D198,'G-6 Hedgerow Data'!$B$2:$AG$15,2,FALSE))</f>
        <v/>
      </c>
      <c r="G198" s="282" t="str">
        <f>IF(D198="","",VLOOKUP(D198,'G-6 Hedgerow Data'!$B$2:$AG$15,3,FALSE))</f>
        <v/>
      </c>
      <c r="H198" s="105"/>
      <c r="I198" s="282" t="str">
        <f>IFERROR(IF(AND(D198&lt;&gt;"",H198=""),"Check data ⚠", IF(H198="","",IF(AND(D198="Non-native and ornamental hedgerow", H198&lt;&gt;"Poor"),"Not possible ▲", (VLOOKUP(H198,'G-1 All Habitats'!$Z$2:$AA$9,2,FALSE))))),"")</f>
        <v/>
      </c>
      <c r="J198" s="105"/>
      <c r="K198" s="289" t="str">
        <f>IF(AND(D198&lt;&gt;"",J198=""),"Check data ⚠", IF(J198="","",IF(VLOOKUP(J198,'G-3 Multipliers'!$L$3:$N$6,2,FALSE)=0,"Spatial Data Missing",VLOOKUP(J198,'G-3 Multipliers'!$L$3:$N$6,2,FALSE))))</f>
        <v/>
      </c>
      <c r="L198" s="287" t="str">
        <f>IF(J198="","",IF(VLOOKUP(J198,'G-3 Multipliers'!$L$3:$N$6,3,FALSE)=0,"Spatial Data Missing ⚠",VLOOKUP(J198,'G-3 Multipliers'!$L$3:$N$6,3,FALSE)))</f>
        <v/>
      </c>
      <c r="M198" s="288" t="str">
        <f>IF(D198="","",VLOOKUP(D198,'G-6 Hedgerow Data'!$B$1:$AH$15,33,FALSE))</f>
        <v/>
      </c>
      <c r="N198" s="295" t="str">
        <f t="shared" si="16"/>
        <v/>
      </c>
      <c r="O198" s="32"/>
      <c r="P198" s="109"/>
      <c r="Q198" s="142"/>
      <c r="R198" s="312" t="str">
        <f t="shared" si="17"/>
        <v/>
      </c>
      <c r="S198" s="312" t="str">
        <f t="shared" si="18"/>
        <v/>
      </c>
      <c r="T198" s="312" t="str">
        <f t="shared" si="19"/>
        <v/>
      </c>
      <c r="U198" s="333" t="str">
        <f t="shared" si="20"/>
        <v/>
      </c>
      <c r="V198" s="109"/>
      <c r="W198" s="108"/>
      <c r="X198" s="108"/>
      <c r="AE198" s="111" t="str">
        <f t="shared" si="14"/>
        <v/>
      </c>
      <c r="AF198" s="111" t="str">
        <f t="shared" si="15"/>
        <v/>
      </c>
      <c r="AH198" s="111">
        <v>189</v>
      </c>
      <c r="AJ198" s="111" t="str">
        <f t="array" ref="AJ198">IFERROR(INDEX($AH$10:$AH$258, MATCH(0, IF(TRUE=$AE$10:$AE$258, COUNTIF($AJ$9:$AJ197, $AH$10:$AH$258), ""), 0)),"")</f>
        <v/>
      </c>
      <c r="AK198" s="111" t="str">
        <f t="array" ref="AK198">IFERROR(INDEX($AH$10:$AH$258, MATCH(0, IF(TRUE=$AF$10:$AF$258, COUNTIF($AK$9:$AK197, $AH$10:$AH$258), ""), 0)),"")</f>
        <v/>
      </c>
      <c r="AL198" s="30" t="str">
        <f>IFERROR(INDEX('G-6 Hedgerow Data'!$BJ$3:$BJ$15,MATCH(D198,'G-6 Hedgerow Data'!$B$3:$B$15,0)),"")</f>
        <v/>
      </c>
    </row>
    <row r="199" spans="2:38" x14ac:dyDescent="0.25">
      <c r="B199" s="101">
        <v>190</v>
      </c>
      <c r="C199" s="142"/>
      <c r="D199" s="142"/>
      <c r="E199" s="108"/>
      <c r="F199" s="329" t="str">
        <f>IF(D199="","",VLOOKUP(D199,'G-6 Hedgerow Data'!$B$2:$AG$15,2,FALSE))</f>
        <v/>
      </c>
      <c r="G199" s="282" t="str">
        <f>IF(D199="","",VLOOKUP(D199,'G-6 Hedgerow Data'!$B$2:$AG$15,3,FALSE))</f>
        <v/>
      </c>
      <c r="H199" s="105"/>
      <c r="I199" s="282" t="str">
        <f>IFERROR(IF(AND(D199&lt;&gt;"",H199=""),"Check data ⚠", IF(H199="","",IF(AND(D199="Non-native and ornamental hedgerow", H199&lt;&gt;"Poor"),"Not possible ▲", (VLOOKUP(H199,'G-1 All Habitats'!$Z$2:$AA$9,2,FALSE))))),"")</f>
        <v/>
      </c>
      <c r="J199" s="105"/>
      <c r="K199" s="289" t="str">
        <f>IF(AND(D199&lt;&gt;"",J199=""),"Check data ⚠", IF(J199="","",IF(VLOOKUP(J199,'G-3 Multipliers'!$L$3:$N$6,2,FALSE)=0,"Spatial Data Missing",VLOOKUP(J199,'G-3 Multipliers'!$L$3:$N$6,2,FALSE))))</f>
        <v/>
      </c>
      <c r="L199" s="287" t="str">
        <f>IF(J199="","",IF(VLOOKUP(J199,'G-3 Multipliers'!$L$3:$N$6,3,FALSE)=0,"Spatial Data Missing ⚠",VLOOKUP(J199,'G-3 Multipliers'!$L$3:$N$6,3,FALSE)))</f>
        <v/>
      </c>
      <c r="M199" s="288" t="str">
        <f>IF(D199="","",VLOOKUP(D199,'G-6 Hedgerow Data'!$B$1:$AH$15,33,FALSE))</f>
        <v/>
      </c>
      <c r="N199" s="295" t="str">
        <f t="shared" si="16"/>
        <v/>
      </c>
      <c r="O199" s="32"/>
      <c r="P199" s="109"/>
      <c r="Q199" s="142"/>
      <c r="R199" s="312" t="str">
        <f t="shared" si="17"/>
        <v/>
      </c>
      <c r="S199" s="312" t="str">
        <f t="shared" si="18"/>
        <v/>
      </c>
      <c r="T199" s="312" t="str">
        <f t="shared" si="19"/>
        <v/>
      </c>
      <c r="U199" s="333" t="str">
        <f t="shared" si="20"/>
        <v/>
      </c>
      <c r="V199" s="109"/>
      <c r="W199" s="108"/>
      <c r="X199" s="108"/>
      <c r="AE199" s="111" t="str">
        <f t="shared" si="14"/>
        <v/>
      </c>
      <c r="AF199" s="111" t="str">
        <f t="shared" si="15"/>
        <v/>
      </c>
      <c r="AH199" s="111">
        <v>190</v>
      </c>
      <c r="AJ199" s="111" t="str">
        <f t="array" ref="AJ199">IFERROR(INDEX($AH$10:$AH$258, MATCH(0, IF(TRUE=$AE$10:$AE$258, COUNTIF($AJ$9:$AJ198, $AH$10:$AH$258), ""), 0)),"")</f>
        <v/>
      </c>
      <c r="AK199" s="111" t="str">
        <f t="array" ref="AK199">IFERROR(INDEX($AH$10:$AH$258, MATCH(0, IF(TRUE=$AF$10:$AF$258, COUNTIF($AK$9:$AK198, $AH$10:$AH$258), ""), 0)),"")</f>
        <v/>
      </c>
      <c r="AL199" s="30" t="str">
        <f>IFERROR(INDEX('G-6 Hedgerow Data'!$BJ$3:$BJ$15,MATCH(D199,'G-6 Hedgerow Data'!$B$3:$B$15,0)),"")</f>
        <v/>
      </c>
    </row>
    <row r="200" spans="2:38" x14ac:dyDescent="0.25">
      <c r="B200" s="101">
        <v>191</v>
      </c>
      <c r="C200" s="142"/>
      <c r="D200" s="142"/>
      <c r="E200" s="108"/>
      <c r="F200" s="329" t="str">
        <f>IF(D200="","",VLOOKUP(D200,'G-6 Hedgerow Data'!$B$2:$AG$15,2,FALSE))</f>
        <v/>
      </c>
      <c r="G200" s="282" t="str">
        <f>IF(D200="","",VLOOKUP(D200,'G-6 Hedgerow Data'!$B$2:$AG$15,3,FALSE))</f>
        <v/>
      </c>
      <c r="H200" s="105"/>
      <c r="I200" s="282" t="str">
        <f>IFERROR(IF(AND(D200&lt;&gt;"",H200=""),"Check data ⚠", IF(H200="","",IF(AND(D200="Non-native and ornamental hedgerow", H200&lt;&gt;"Poor"),"Not possible ▲", (VLOOKUP(H200,'G-1 All Habitats'!$Z$2:$AA$9,2,FALSE))))),"")</f>
        <v/>
      </c>
      <c r="J200" s="105"/>
      <c r="K200" s="289" t="str">
        <f>IF(AND(D200&lt;&gt;"",J200=""),"Check data ⚠", IF(J200="","",IF(VLOOKUP(J200,'G-3 Multipliers'!$L$3:$N$6,2,FALSE)=0,"Spatial Data Missing",VLOOKUP(J200,'G-3 Multipliers'!$L$3:$N$6,2,FALSE))))</f>
        <v/>
      </c>
      <c r="L200" s="287" t="str">
        <f>IF(J200="","",IF(VLOOKUP(J200,'G-3 Multipliers'!$L$3:$N$6,3,FALSE)=0,"Spatial Data Missing ⚠",VLOOKUP(J200,'G-3 Multipliers'!$L$3:$N$6,3,FALSE)))</f>
        <v/>
      </c>
      <c r="M200" s="288" t="str">
        <f>IF(D200="","",VLOOKUP(D200,'G-6 Hedgerow Data'!$B$1:$AH$15,33,FALSE))</f>
        <v/>
      </c>
      <c r="N200" s="295" t="str">
        <f t="shared" si="16"/>
        <v/>
      </c>
      <c r="O200" s="32"/>
      <c r="P200" s="109"/>
      <c r="Q200" s="142"/>
      <c r="R200" s="312" t="str">
        <f t="shared" si="17"/>
        <v/>
      </c>
      <c r="S200" s="312" t="str">
        <f t="shared" si="18"/>
        <v/>
      </c>
      <c r="T200" s="312" t="str">
        <f t="shared" si="19"/>
        <v/>
      </c>
      <c r="U200" s="333" t="str">
        <f t="shared" si="20"/>
        <v/>
      </c>
      <c r="V200" s="109"/>
      <c r="W200" s="108"/>
      <c r="X200" s="108"/>
      <c r="AE200" s="111" t="str">
        <f t="shared" si="14"/>
        <v/>
      </c>
      <c r="AF200" s="111" t="str">
        <f t="shared" si="15"/>
        <v/>
      </c>
      <c r="AH200" s="111">
        <v>191</v>
      </c>
      <c r="AJ200" s="111" t="str">
        <f t="array" ref="AJ200">IFERROR(INDEX($AH$10:$AH$258, MATCH(0, IF(TRUE=$AE$10:$AE$258, COUNTIF($AJ$9:$AJ199, $AH$10:$AH$258), ""), 0)),"")</f>
        <v/>
      </c>
      <c r="AK200" s="111" t="str">
        <f t="array" ref="AK200">IFERROR(INDEX($AH$10:$AH$258, MATCH(0, IF(TRUE=$AF$10:$AF$258, COUNTIF($AK$9:$AK199, $AH$10:$AH$258), ""), 0)),"")</f>
        <v/>
      </c>
      <c r="AL200" s="30" t="str">
        <f>IFERROR(INDEX('G-6 Hedgerow Data'!$BJ$3:$BJ$15,MATCH(D200,'G-6 Hedgerow Data'!$B$3:$B$15,0)),"")</f>
        <v/>
      </c>
    </row>
    <row r="201" spans="2:38" x14ac:dyDescent="0.25">
      <c r="B201" s="101">
        <v>192</v>
      </c>
      <c r="C201" s="142"/>
      <c r="D201" s="142"/>
      <c r="E201" s="108"/>
      <c r="F201" s="329" t="str">
        <f>IF(D201="","",VLOOKUP(D201,'G-6 Hedgerow Data'!$B$2:$AG$15,2,FALSE))</f>
        <v/>
      </c>
      <c r="G201" s="282" t="str">
        <f>IF(D201="","",VLOOKUP(D201,'G-6 Hedgerow Data'!$B$2:$AG$15,3,FALSE))</f>
        <v/>
      </c>
      <c r="H201" s="105"/>
      <c r="I201" s="282" t="str">
        <f>IFERROR(IF(AND(D201&lt;&gt;"",H201=""),"Check data ⚠", IF(H201="","",IF(AND(D201="Non-native and ornamental hedgerow", H201&lt;&gt;"Poor"),"Not possible ▲", (VLOOKUP(H201,'G-1 All Habitats'!$Z$2:$AA$9,2,FALSE))))),"")</f>
        <v/>
      </c>
      <c r="J201" s="105"/>
      <c r="K201" s="289" t="str">
        <f>IF(AND(D201&lt;&gt;"",J201=""),"Check data ⚠", IF(J201="","",IF(VLOOKUP(J201,'G-3 Multipliers'!$L$3:$N$6,2,FALSE)=0,"Spatial Data Missing",VLOOKUP(J201,'G-3 Multipliers'!$L$3:$N$6,2,FALSE))))</f>
        <v/>
      </c>
      <c r="L201" s="287" t="str">
        <f>IF(J201="","",IF(VLOOKUP(J201,'G-3 Multipliers'!$L$3:$N$6,3,FALSE)=0,"Spatial Data Missing ⚠",VLOOKUP(J201,'G-3 Multipliers'!$L$3:$N$6,3,FALSE)))</f>
        <v/>
      </c>
      <c r="M201" s="288" t="str">
        <f>IF(D201="","",VLOOKUP(D201,'G-6 Hedgerow Data'!$B$1:$AH$15,33,FALSE))</f>
        <v/>
      </c>
      <c r="N201" s="295" t="str">
        <f t="shared" si="16"/>
        <v/>
      </c>
      <c r="O201" s="32"/>
      <c r="P201" s="109"/>
      <c r="Q201" s="142"/>
      <c r="R201" s="312" t="str">
        <f t="shared" si="17"/>
        <v/>
      </c>
      <c r="S201" s="312" t="str">
        <f t="shared" si="18"/>
        <v/>
      </c>
      <c r="T201" s="312" t="str">
        <f t="shared" si="19"/>
        <v/>
      </c>
      <c r="U201" s="333" t="str">
        <f t="shared" si="20"/>
        <v/>
      </c>
      <c r="V201" s="109"/>
      <c r="W201" s="108"/>
      <c r="X201" s="108"/>
      <c r="AE201" s="111" t="str">
        <f t="shared" si="14"/>
        <v/>
      </c>
      <c r="AF201" s="111" t="str">
        <f t="shared" si="15"/>
        <v/>
      </c>
      <c r="AH201" s="111">
        <v>192</v>
      </c>
      <c r="AJ201" s="111" t="str">
        <f t="array" ref="AJ201">IFERROR(INDEX($AH$10:$AH$258, MATCH(0, IF(TRUE=$AE$10:$AE$258, COUNTIF($AJ$9:$AJ200, $AH$10:$AH$258), ""), 0)),"")</f>
        <v/>
      </c>
      <c r="AK201" s="111" t="str">
        <f t="array" ref="AK201">IFERROR(INDEX($AH$10:$AH$258, MATCH(0, IF(TRUE=$AF$10:$AF$258, COUNTIF($AK$9:$AK200, $AH$10:$AH$258), ""), 0)),"")</f>
        <v/>
      </c>
      <c r="AL201" s="30" t="str">
        <f>IFERROR(INDEX('G-6 Hedgerow Data'!$BJ$3:$BJ$15,MATCH(D201,'G-6 Hedgerow Data'!$B$3:$B$15,0)),"")</f>
        <v/>
      </c>
    </row>
    <row r="202" spans="2:38" x14ac:dyDescent="0.25">
      <c r="B202" s="101">
        <v>193</v>
      </c>
      <c r="C202" s="142"/>
      <c r="D202" s="142"/>
      <c r="E202" s="108"/>
      <c r="F202" s="329" t="str">
        <f>IF(D202="","",VLOOKUP(D202,'G-6 Hedgerow Data'!$B$2:$AG$15,2,FALSE))</f>
        <v/>
      </c>
      <c r="G202" s="282" t="str">
        <f>IF(D202="","",VLOOKUP(D202,'G-6 Hedgerow Data'!$B$2:$AG$15,3,FALSE))</f>
        <v/>
      </c>
      <c r="H202" s="105"/>
      <c r="I202" s="282" t="str">
        <f>IFERROR(IF(AND(D202&lt;&gt;"",H202=""),"Check data ⚠", IF(H202="","",IF(AND(D202="Non-native and ornamental hedgerow", H202&lt;&gt;"Poor"),"Not possible ▲", (VLOOKUP(H202,'G-1 All Habitats'!$Z$2:$AA$9,2,FALSE))))),"")</f>
        <v/>
      </c>
      <c r="J202" s="105"/>
      <c r="K202" s="289" t="str">
        <f>IF(AND(D202&lt;&gt;"",J202=""),"Check data ⚠", IF(J202="","",IF(VLOOKUP(J202,'G-3 Multipliers'!$L$3:$N$6,2,FALSE)=0,"Spatial Data Missing",VLOOKUP(J202,'G-3 Multipliers'!$L$3:$N$6,2,FALSE))))</f>
        <v/>
      </c>
      <c r="L202" s="287" t="str">
        <f>IF(J202="","",IF(VLOOKUP(J202,'G-3 Multipliers'!$L$3:$N$6,3,FALSE)=0,"Spatial Data Missing ⚠",VLOOKUP(J202,'G-3 Multipliers'!$L$3:$N$6,3,FALSE)))</f>
        <v/>
      </c>
      <c r="M202" s="288" t="str">
        <f>IF(D202="","",VLOOKUP(D202,'G-6 Hedgerow Data'!$B$1:$AH$15,33,FALSE))</f>
        <v/>
      </c>
      <c r="N202" s="295" t="str">
        <f t="shared" si="16"/>
        <v/>
      </c>
      <c r="O202" s="32"/>
      <c r="P202" s="109"/>
      <c r="Q202" s="142"/>
      <c r="R202" s="312" t="str">
        <f t="shared" si="17"/>
        <v/>
      </c>
      <c r="S202" s="312" t="str">
        <f t="shared" si="18"/>
        <v/>
      </c>
      <c r="T202" s="312" t="str">
        <f t="shared" si="19"/>
        <v/>
      </c>
      <c r="U202" s="333" t="str">
        <f t="shared" si="20"/>
        <v/>
      </c>
      <c r="V202" s="109"/>
      <c r="W202" s="108"/>
      <c r="X202" s="108"/>
      <c r="AE202" s="111" t="str">
        <f t="shared" ref="AE202:AE257" si="21">IF(D202="","",IF(P202&gt;0,TRUE,FALSE))</f>
        <v/>
      </c>
      <c r="AF202" s="111" t="str">
        <f t="shared" ref="AF202:AF257" si="22">IF(D202="","",IF(Q202&gt;0,TRUE,FALSE))</f>
        <v/>
      </c>
      <c r="AH202" s="111">
        <v>193</v>
      </c>
      <c r="AJ202" s="111" t="str">
        <f t="array" ref="AJ202">IFERROR(INDEX($AH$10:$AH$258, MATCH(0, IF(TRUE=$AE$10:$AE$258, COUNTIF($AJ$9:$AJ201, $AH$10:$AH$258), ""), 0)),"")</f>
        <v/>
      </c>
      <c r="AK202" s="111" t="str">
        <f t="array" ref="AK202">IFERROR(INDEX($AH$10:$AH$258, MATCH(0, IF(TRUE=$AF$10:$AF$258, COUNTIF($AK$9:$AK201, $AH$10:$AH$258), ""), 0)),"")</f>
        <v/>
      </c>
      <c r="AL202" s="30" t="str">
        <f>IFERROR(INDEX('G-6 Hedgerow Data'!$BJ$3:$BJ$15,MATCH(D202,'G-6 Hedgerow Data'!$B$3:$B$15,0)),"")</f>
        <v/>
      </c>
    </row>
    <row r="203" spans="2:38" x14ac:dyDescent="0.25">
      <c r="B203" s="101">
        <v>194</v>
      </c>
      <c r="C203" s="142"/>
      <c r="D203" s="142"/>
      <c r="E203" s="108"/>
      <c r="F203" s="329" t="str">
        <f>IF(D203="","",VLOOKUP(D203,'G-6 Hedgerow Data'!$B$2:$AG$15,2,FALSE))</f>
        <v/>
      </c>
      <c r="G203" s="282" t="str">
        <f>IF(D203="","",VLOOKUP(D203,'G-6 Hedgerow Data'!$B$2:$AG$15,3,FALSE))</f>
        <v/>
      </c>
      <c r="H203" s="105"/>
      <c r="I203" s="282" t="str">
        <f>IFERROR(IF(AND(D203&lt;&gt;"",H203=""),"Check data ⚠", IF(H203="","",IF(AND(D203="Non-native and ornamental hedgerow", H203&lt;&gt;"Poor"),"Not possible ▲", (VLOOKUP(H203,'G-1 All Habitats'!$Z$2:$AA$9,2,FALSE))))),"")</f>
        <v/>
      </c>
      <c r="J203" s="105"/>
      <c r="K203" s="289" t="str">
        <f>IF(AND(D203&lt;&gt;"",J203=""),"Check data ⚠", IF(J203="","",IF(VLOOKUP(J203,'G-3 Multipliers'!$L$3:$N$6,2,FALSE)=0,"Spatial Data Missing",VLOOKUP(J203,'G-3 Multipliers'!$L$3:$N$6,2,FALSE))))</f>
        <v/>
      </c>
      <c r="L203" s="287" t="str">
        <f>IF(J203="","",IF(VLOOKUP(J203,'G-3 Multipliers'!$L$3:$N$6,3,FALSE)=0,"Spatial Data Missing ⚠",VLOOKUP(J203,'G-3 Multipliers'!$L$3:$N$6,3,FALSE)))</f>
        <v/>
      </c>
      <c r="M203" s="288" t="str">
        <f>IF(D203="","",VLOOKUP(D203,'G-6 Hedgerow Data'!$B$1:$AH$15,33,FALSE))</f>
        <v/>
      </c>
      <c r="N203" s="295" t="str">
        <f t="shared" ref="N203:N257" si="23">IFERROR(IF(OR(K203="Check data ⚠",I203="Check data ⚠",R203="Error in lengths ▲"), "Check data ▲", (E203*G203*I203*L203)),"")</f>
        <v/>
      </c>
      <c r="O203" s="32"/>
      <c r="P203" s="109"/>
      <c r="Q203" s="142"/>
      <c r="R203" s="312" t="str">
        <f t="shared" ref="R203:R257" si="24">IFERROR(P203*G203*I203*L203,"")</f>
        <v/>
      </c>
      <c r="S203" s="312" t="str">
        <f t="shared" ref="S203:S257" si="25">IFERROR(Q203*G203*I203*L203,"")</f>
        <v/>
      </c>
      <c r="T203" s="312" t="str">
        <f t="shared" ref="T203:T257" si="26">IF(D203="","",IF(E203-P203-Q203=0&lt;0,"Error in lengths ▲",IF(P203+Q203&gt;E203,"Error in Lengths ▲",E203-P203-Q203)))</f>
        <v/>
      </c>
      <c r="U203" s="333" t="str">
        <f t="shared" ref="U203:U257" si="27">IFERROR(IF(OR(E203="",N203=""),"",IF(E203-P203-Q203=0&lt;0,"Error in Lengths ▲",IF(P203+Q203&gt;E203,"Error in Lengths ▲",N203-R203-S203))),"Check data ⚠")</f>
        <v/>
      </c>
      <c r="V203" s="109"/>
      <c r="W203" s="108"/>
      <c r="X203" s="108"/>
      <c r="AE203" s="111" t="str">
        <f t="shared" si="21"/>
        <v/>
      </c>
      <c r="AF203" s="111" t="str">
        <f t="shared" si="22"/>
        <v/>
      </c>
      <c r="AH203" s="111">
        <v>194</v>
      </c>
      <c r="AJ203" s="111" t="str">
        <f t="array" ref="AJ203">IFERROR(INDEX($AH$10:$AH$258, MATCH(0, IF(TRUE=$AE$10:$AE$258, COUNTIF($AJ$9:$AJ202, $AH$10:$AH$258), ""), 0)),"")</f>
        <v/>
      </c>
      <c r="AK203" s="111" t="str">
        <f t="array" ref="AK203">IFERROR(INDEX($AH$10:$AH$258, MATCH(0, IF(TRUE=$AF$10:$AF$258, COUNTIF($AK$9:$AK202, $AH$10:$AH$258), ""), 0)),"")</f>
        <v/>
      </c>
      <c r="AL203" s="30" t="str">
        <f>IFERROR(INDEX('G-6 Hedgerow Data'!$BJ$3:$BJ$15,MATCH(D203,'G-6 Hedgerow Data'!$B$3:$B$15,0)),"")</f>
        <v/>
      </c>
    </row>
    <row r="204" spans="2:38" x14ac:dyDescent="0.25">
      <c r="B204" s="101">
        <v>195</v>
      </c>
      <c r="C204" s="142"/>
      <c r="D204" s="142"/>
      <c r="E204" s="108"/>
      <c r="F204" s="329" t="str">
        <f>IF(D204="","",VLOOKUP(D204,'G-6 Hedgerow Data'!$B$2:$AG$15,2,FALSE))</f>
        <v/>
      </c>
      <c r="G204" s="282" t="str">
        <f>IF(D204="","",VLOOKUP(D204,'G-6 Hedgerow Data'!$B$2:$AG$15,3,FALSE))</f>
        <v/>
      </c>
      <c r="H204" s="105"/>
      <c r="I204" s="282" t="str">
        <f>IFERROR(IF(AND(D204&lt;&gt;"",H204=""),"Check data ⚠", IF(H204="","",IF(AND(D204="Non-native and ornamental hedgerow", H204&lt;&gt;"Poor"),"Not possible ▲", (VLOOKUP(H204,'G-1 All Habitats'!$Z$2:$AA$9,2,FALSE))))),"")</f>
        <v/>
      </c>
      <c r="J204" s="105"/>
      <c r="K204" s="289" t="str">
        <f>IF(AND(D204&lt;&gt;"",J204=""),"Check data ⚠", IF(J204="","",IF(VLOOKUP(J204,'G-3 Multipliers'!$L$3:$N$6,2,FALSE)=0,"Spatial Data Missing",VLOOKUP(J204,'G-3 Multipliers'!$L$3:$N$6,2,FALSE))))</f>
        <v/>
      </c>
      <c r="L204" s="287" t="str">
        <f>IF(J204="","",IF(VLOOKUP(J204,'G-3 Multipliers'!$L$3:$N$6,3,FALSE)=0,"Spatial Data Missing ⚠",VLOOKUP(J204,'G-3 Multipliers'!$L$3:$N$6,3,FALSE)))</f>
        <v/>
      </c>
      <c r="M204" s="288" t="str">
        <f>IF(D204="","",VLOOKUP(D204,'G-6 Hedgerow Data'!$B$1:$AH$15,33,FALSE))</f>
        <v/>
      </c>
      <c r="N204" s="295" t="str">
        <f t="shared" si="23"/>
        <v/>
      </c>
      <c r="O204" s="32"/>
      <c r="P204" s="109"/>
      <c r="Q204" s="142"/>
      <c r="R204" s="312" t="str">
        <f t="shared" si="24"/>
        <v/>
      </c>
      <c r="S204" s="312" t="str">
        <f t="shared" si="25"/>
        <v/>
      </c>
      <c r="T204" s="312" t="str">
        <f t="shared" si="26"/>
        <v/>
      </c>
      <c r="U204" s="333" t="str">
        <f t="shared" si="27"/>
        <v/>
      </c>
      <c r="V204" s="109"/>
      <c r="W204" s="108"/>
      <c r="X204" s="108"/>
      <c r="AE204" s="111" t="str">
        <f t="shared" si="21"/>
        <v/>
      </c>
      <c r="AF204" s="111" t="str">
        <f t="shared" si="22"/>
        <v/>
      </c>
      <c r="AH204" s="111">
        <v>195</v>
      </c>
      <c r="AJ204" s="111" t="str">
        <f t="array" ref="AJ204">IFERROR(INDEX($AH$10:$AH$258, MATCH(0, IF(TRUE=$AE$10:$AE$258, COUNTIF($AJ$9:$AJ203, $AH$10:$AH$258), ""), 0)),"")</f>
        <v/>
      </c>
      <c r="AK204" s="111" t="str">
        <f t="array" ref="AK204">IFERROR(INDEX($AH$10:$AH$258, MATCH(0, IF(TRUE=$AF$10:$AF$258, COUNTIF($AK$9:$AK203, $AH$10:$AH$258), ""), 0)),"")</f>
        <v/>
      </c>
      <c r="AL204" s="30" t="str">
        <f>IFERROR(INDEX('G-6 Hedgerow Data'!$BJ$3:$BJ$15,MATCH(D204,'G-6 Hedgerow Data'!$B$3:$B$15,0)),"")</f>
        <v/>
      </c>
    </row>
    <row r="205" spans="2:38" x14ac:dyDescent="0.25">
      <c r="B205" s="101">
        <v>196</v>
      </c>
      <c r="C205" s="142"/>
      <c r="D205" s="142"/>
      <c r="E205" s="108"/>
      <c r="F205" s="329" t="str">
        <f>IF(D205="","",VLOOKUP(D205,'G-6 Hedgerow Data'!$B$2:$AG$15,2,FALSE))</f>
        <v/>
      </c>
      <c r="G205" s="282" t="str">
        <f>IF(D205="","",VLOOKUP(D205,'G-6 Hedgerow Data'!$B$2:$AG$15,3,FALSE))</f>
        <v/>
      </c>
      <c r="H205" s="105"/>
      <c r="I205" s="282" t="str">
        <f>IFERROR(IF(AND(D205&lt;&gt;"",H205=""),"Check data ⚠", IF(H205="","",IF(AND(D205="Non-native and ornamental hedgerow", H205&lt;&gt;"Poor"),"Not possible ▲", (VLOOKUP(H205,'G-1 All Habitats'!$Z$2:$AA$9,2,FALSE))))),"")</f>
        <v/>
      </c>
      <c r="J205" s="105"/>
      <c r="K205" s="289" t="str">
        <f>IF(AND(D205&lt;&gt;"",J205=""),"Check data ⚠", IF(J205="","",IF(VLOOKUP(J205,'G-3 Multipliers'!$L$3:$N$6,2,FALSE)=0,"Spatial Data Missing",VLOOKUP(J205,'G-3 Multipliers'!$L$3:$N$6,2,FALSE))))</f>
        <v/>
      </c>
      <c r="L205" s="287" t="str">
        <f>IF(J205="","",IF(VLOOKUP(J205,'G-3 Multipliers'!$L$3:$N$6,3,FALSE)=0,"Spatial Data Missing ⚠",VLOOKUP(J205,'G-3 Multipliers'!$L$3:$N$6,3,FALSE)))</f>
        <v/>
      </c>
      <c r="M205" s="288" t="str">
        <f>IF(D205="","",VLOOKUP(D205,'G-6 Hedgerow Data'!$B$1:$AH$15,33,FALSE))</f>
        <v/>
      </c>
      <c r="N205" s="295" t="str">
        <f t="shared" si="23"/>
        <v/>
      </c>
      <c r="O205" s="32"/>
      <c r="P205" s="109"/>
      <c r="Q205" s="142"/>
      <c r="R205" s="312" t="str">
        <f t="shared" si="24"/>
        <v/>
      </c>
      <c r="S205" s="312" t="str">
        <f t="shared" si="25"/>
        <v/>
      </c>
      <c r="T205" s="312" t="str">
        <f t="shared" si="26"/>
        <v/>
      </c>
      <c r="U205" s="333" t="str">
        <f t="shared" si="27"/>
        <v/>
      </c>
      <c r="V205" s="109"/>
      <c r="W205" s="108"/>
      <c r="X205" s="108"/>
      <c r="AE205" s="111" t="str">
        <f t="shared" si="21"/>
        <v/>
      </c>
      <c r="AF205" s="111" t="str">
        <f t="shared" si="22"/>
        <v/>
      </c>
      <c r="AH205" s="111">
        <v>196</v>
      </c>
      <c r="AJ205" s="111" t="str">
        <f t="array" ref="AJ205">IFERROR(INDEX($AH$10:$AH$258, MATCH(0, IF(TRUE=$AE$10:$AE$258, COUNTIF($AJ$9:$AJ204, $AH$10:$AH$258), ""), 0)),"")</f>
        <v/>
      </c>
      <c r="AK205" s="111" t="str">
        <f t="array" ref="AK205">IFERROR(INDEX($AH$10:$AH$258, MATCH(0, IF(TRUE=$AF$10:$AF$258, COUNTIF($AK$9:$AK204, $AH$10:$AH$258), ""), 0)),"")</f>
        <v/>
      </c>
      <c r="AL205" s="30" t="str">
        <f>IFERROR(INDEX('G-6 Hedgerow Data'!$BJ$3:$BJ$15,MATCH(D205,'G-6 Hedgerow Data'!$B$3:$B$15,0)),"")</f>
        <v/>
      </c>
    </row>
    <row r="206" spans="2:38" x14ac:dyDescent="0.25">
      <c r="B206" s="101">
        <v>197</v>
      </c>
      <c r="C206" s="142"/>
      <c r="D206" s="142"/>
      <c r="E206" s="108"/>
      <c r="F206" s="329" t="str">
        <f>IF(D206="","",VLOOKUP(D206,'G-6 Hedgerow Data'!$B$2:$AG$15,2,FALSE))</f>
        <v/>
      </c>
      <c r="G206" s="282" t="str">
        <f>IF(D206="","",VLOOKUP(D206,'G-6 Hedgerow Data'!$B$2:$AG$15,3,FALSE))</f>
        <v/>
      </c>
      <c r="H206" s="105"/>
      <c r="I206" s="282" t="str">
        <f>IFERROR(IF(AND(D206&lt;&gt;"",H206=""),"Check data ⚠", IF(H206="","",IF(AND(D206="Non-native and ornamental hedgerow", H206&lt;&gt;"Poor"),"Not possible ▲", (VLOOKUP(H206,'G-1 All Habitats'!$Z$2:$AA$9,2,FALSE))))),"")</f>
        <v/>
      </c>
      <c r="J206" s="105"/>
      <c r="K206" s="289" t="str">
        <f>IF(AND(D206&lt;&gt;"",J206=""),"Check data ⚠", IF(J206="","",IF(VLOOKUP(J206,'G-3 Multipliers'!$L$3:$N$6,2,FALSE)=0,"Spatial Data Missing",VLOOKUP(J206,'G-3 Multipliers'!$L$3:$N$6,2,FALSE))))</f>
        <v/>
      </c>
      <c r="L206" s="287" t="str">
        <f>IF(J206="","",IF(VLOOKUP(J206,'G-3 Multipliers'!$L$3:$N$6,3,FALSE)=0,"Spatial Data Missing ⚠",VLOOKUP(J206,'G-3 Multipliers'!$L$3:$N$6,3,FALSE)))</f>
        <v/>
      </c>
      <c r="M206" s="288" t="str">
        <f>IF(D206="","",VLOOKUP(D206,'G-6 Hedgerow Data'!$B$1:$AH$15,33,FALSE))</f>
        <v/>
      </c>
      <c r="N206" s="295" t="str">
        <f t="shared" si="23"/>
        <v/>
      </c>
      <c r="O206" s="32"/>
      <c r="P206" s="109"/>
      <c r="Q206" s="142"/>
      <c r="R206" s="312" t="str">
        <f t="shared" si="24"/>
        <v/>
      </c>
      <c r="S206" s="312" t="str">
        <f t="shared" si="25"/>
        <v/>
      </c>
      <c r="T206" s="312" t="str">
        <f t="shared" si="26"/>
        <v/>
      </c>
      <c r="U206" s="333" t="str">
        <f t="shared" si="27"/>
        <v/>
      </c>
      <c r="V206" s="109"/>
      <c r="W206" s="108"/>
      <c r="X206" s="108"/>
      <c r="AE206" s="111" t="str">
        <f t="shared" si="21"/>
        <v/>
      </c>
      <c r="AF206" s="111" t="str">
        <f t="shared" si="22"/>
        <v/>
      </c>
      <c r="AH206" s="111">
        <v>197</v>
      </c>
      <c r="AJ206" s="111" t="str">
        <f t="array" ref="AJ206">IFERROR(INDEX($AH$10:$AH$258, MATCH(0, IF(TRUE=$AE$10:$AE$258, COUNTIF($AJ$9:$AJ205, $AH$10:$AH$258), ""), 0)),"")</f>
        <v/>
      </c>
      <c r="AK206" s="111" t="str">
        <f t="array" ref="AK206">IFERROR(INDEX($AH$10:$AH$258, MATCH(0, IF(TRUE=$AF$10:$AF$258, COUNTIF($AK$9:$AK205, $AH$10:$AH$258), ""), 0)),"")</f>
        <v/>
      </c>
      <c r="AL206" s="30" t="str">
        <f>IFERROR(INDEX('G-6 Hedgerow Data'!$BJ$3:$BJ$15,MATCH(D206,'G-6 Hedgerow Data'!$B$3:$B$15,0)),"")</f>
        <v/>
      </c>
    </row>
    <row r="207" spans="2:38" x14ac:dyDescent="0.25">
      <c r="B207" s="101">
        <v>198</v>
      </c>
      <c r="C207" s="142"/>
      <c r="D207" s="142"/>
      <c r="E207" s="108"/>
      <c r="F207" s="329" t="str">
        <f>IF(D207="","",VLOOKUP(D207,'G-6 Hedgerow Data'!$B$2:$AG$15,2,FALSE))</f>
        <v/>
      </c>
      <c r="G207" s="282" t="str">
        <f>IF(D207="","",VLOOKUP(D207,'G-6 Hedgerow Data'!$B$2:$AG$15,3,FALSE))</f>
        <v/>
      </c>
      <c r="H207" s="105"/>
      <c r="I207" s="282" t="str">
        <f>IFERROR(IF(AND(D207&lt;&gt;"",H207=""),"Check data ⚠", IF(H207="","",IF(AND(D207="Non-native and ornamental hedgerow", H207&lt;&gt;"Poor"),"Not possible ▲", (VLOOKUP(H207,'G-1 All Habitats'!$Z$2:$AA$9,2,FALSE))))),"")</f>
        <v/>
      </c>
      <c r="J207" s="105"/>
      <c r="K207" s="289" t="str">
        <f>IF(AND(D207&lt;&gt;"",J207=""),"Check data ⚠", IF(J207="","",IF(VLOOKUP(J207,'G-3 Multipliers'!$L$3:$N$6,2,FALSE)=0,"Spatial Data Missing",VLOOKUP(J207,'G-3 Multipliers'!$L$3:$N$6,2,FALSE))))</f>
        <v/>
      </c>
      <c r="L207" s="287" t="str">
        <f>IF(J207="","",IF(VLOOKUP(J207,'G-3 Multipliers'!$L$3:$N$6,3,FALSE)=0,"Spatial Data Missing ⚠",VLOOKUP(J207,'G-3 Multipliers'!$L$3:$N$6,3,FALSE)))</f>
        <v/>
      </c>
      <c r="M207" s="288" t="str">
        <f>IF(D207="","",VLOOKUP(D207,'G-6 Hedgerow Data'!$B$1:$AH$15,33,FALSE))</f>
        <v/>
      </c>
      <c r="N207" s="295" t="str">
        <f t="shared" si="23"/>
        <v/>
      </c>
      <c r="O207" s="32"/>
      <c r="P207" s="109"/>
      <c r="Q207" s="142"/>
      <c r="R207" s="312" t="str">
        <f t="shared" si="24"/>
        <v/>
      </c>
      <c r="S207" s="312" t="str">
        <f t="shared" si="25"/>
        <v/>
      </c>
      <c r="T207" s="312" t="str">
        <f t="shared" si="26"/>
        <v/>
      </c>
      <c r="U207" s="333" t="str">
        <f t="shared" si="27"/>
        <v/>
      </c>
      <c r="V207" s="109"/>
      <c r="W207" s="108"/>
      <c r="X207" s="108"/>
      <c r="AE207" s="111" t="str">
        <f t="shared" si="21"/>
        <v/>
      </c>
      <c r="AF207" s="111" t="str">
        <f t="shared" si="22"/>
        <v/>
      </c>
      <c r="AH207" s="111">
        <v>198</v>
      </c>
      <c r="AJ207" s="111" t="str">
        <f t="array" ref="AJ207">IFERROR(INDEX($AH$10:$AH$258, MATCH(0, IF(TRUE=$AE$10:$AE$258, COUNTIF($AJ$9:$AJ206, $AH$10:$AH$258), ""), 0)),"")</f>
        <v/>
      </c>
      <c r="AK207" s="111" t="str">
        <f t="array" ref="AK207">IFERROR(INDEX($AH$10:$AH$258, MATCH(0, IF(TRUE=$AF$10:$AF$258, COUNTIF($AK$9:$AK206, $AH$10:$AH$258), ""), 0)),"")</f>
        <v/>
      </c>
      <c r="AL207" s="30" t="str">
        <f>IFERROR(INDEX('G-6 Hedgerow Data'!$BJ$3:$BJ$15,MATCH(D207,'G-6 Hedgerow Data'!$B$3:$B$15,0)),"")</f>
        <v/>
      </c>
    </row>
    <row r="208" spans="2:38" x14ac:dyDescent="0.25">
      <c r="B208" s="101">
        <v>199</v>
      </c>
      <c r="C208" s="142"/>
      <c r="D208" s="142"/>
      <c r="E208" s="108"/>
      <c r="F208" s="329" t="str">
        <f>IF(D208="","",VLOOKUP(D208,'G-6 Hedgerow Data'!$B$2:$AG$15,2,FALSE))</f>
        <v/>
      </c>
      <c r="G208" s="282" t="str">
        <f>IF(D208="","",VLOOKUP(D208,'G-6 Hedgerow Data'!$B$2:$AG$15,3,FALSE))</f>
        <v/>
      </c>
      <c r="H208" s="105"/>
      <c r="I208" s="282" t="str">
        <f>IFERROR(IF(AND(D208&lt;&gt;"",H208=""),"Check data ⚠", IF(H208="","",IF(AND(D208="Non-native and ornamental hedgerow", H208&lt;&gt;"Poor"),"Not possible ▲", (VLOOKUP(H208,'G-1 All Habitats'!$Z$2:$AA$9,2,FALSE))))),"")</f>
        <v/>
      </c>
      <c r="J208" s="105"/>
      <c r="K208" s="289" t="str">
        <f>IF(AND(D208&lt;&gt;"",J208=""),"Check data ⚠", IF(J208="","",IF(VLOOKUP(J208,'G-3 Multipliers'!$L$3:$N$6,2,FALSE)=0,"Spatial Data Missing",VLOOKUP(J208,'G-3 Multipliers'!$L$3:$N$6,2,FALSE))))</f>
        <v/>
      </c>
      <c r="L208" s="287" t="str">
        <f>IF(J208="","",IF(VLOOKUP(J208,'G-3 Multipliers'!$L$3:$N$6,3,FALSE)=0,"Spatial Data Missing ⚠",VLOOKUP(J208,'G-3 Multipliers'!$L$3:$N$6,3,FALSE)))</f>
        <v/>
      </c>
      <c r="M208" s="288" t="str">
        <f>IF(D208="","",VLOOKUP(D208,'G-6 Hedgerow Data'!$B$1:$AH$15,33,FALSE))</f>
        <v/>
      </c>
      <c r="N208" s="295" t="str">
        <f t="shared" si="23"/>
        <v/>
      </c>
      <c r="O208" s="32"/>
      <c r="P208" s="109"/>
      <c r="Q208" s="142"/>
      <c r="R208" s="312" t="str">
        <f t="shared" si="24"/>
        <v/>
      </c>
      <c r="S208" s="312" t="str">
        <f t="shared" si="25"/>
        <v/>
      </c>
      <c r="T208" s="312" t="str">
        <f t="shared" si="26"/>
        <v/>
      </c>
      <c r="U208" s="333" t="str">
        <f t="shared" si="27"/>
        <v/>
      </c>
      <c r="V208" s="109"/>
      <c r="W208" s="108"/>
      <c r="X208" s="108"/>
      <c r="AE208" s="111" t="str">
        <f t="shared" si="21"/>
        <v/>
      </c>
      <c r="AF208" s="111" t="str">
        <f t="shared" si="22"/>
        <v/>
      </c>
      <c r="AH208" s="111">
        <v>199</v>
      </c>
      <c r="AJ208" s="111" t="str">
        <f t="array" ref="AJ208">IFERROR(INDEX($AH$10:$AH$258, MATCH(0, IF(TRUE=$AE$10:$AE$258, COUNTIF($AJ$9:$AJ207, $AH$10:$AH$258), ""), 0)),"")</f>
        <v/>
      </c>
      <c r="AK208" s="111" t="str">
        <f t="array" ref="AK208">IFERROR(INDEX($AH$10:$AH$258, MATCH(0, IF(TRUE=$AF$10:$AF$258, COUNTIF($AK$9:$AK207, $AH$10:$AH$258), ""), 0)),"")</f>
        <v/>
      </c>
      <c r="AL208" s="30" t="str">
        <f>IFERROR(INDEX('G-6 Hedgerow Data'!$BJ$3:$BJ$15,MATCH(D208,'G-6 Hedgerow Data'!$B$3:$B$15,0)),"")</f>
        <v/>
      </c>
    </row>
    <row r="209" spans="2:38" x14ac:dyDescent="0.25">
      <c r="B209" s="101">
        <v>200</v>
      </c>
      <c r="C209" s="142"/>
      <c r="D209" s="142"/>
      <c r="E209" s="108"/>
      <c r="F209" s="329" t="str">
        <f>IF(D209="","",VLOOKUP(D209,'G-6 Hedgerow Data'!$B$2:$AG$15,2,FALSE))</f>
        <v/>
      </c>
      <c r="G209" s="282" t="str">
        <f>IF(D209="","",VLOOKUP(D209,'G-6 Hedgerow Data'!$B$2:$AG$15,3,FALSE))</f>
        <v/>
      </c>
      <c r="H209" s="105"/>
      <c r="I209" s="282" t="str">
        <f>IFERROR(IF(AND(D209&lt;&gt;"",H209=""),"Check data ⚠", IF(H209="","",IF(AND(D209="Non-native and ornamental hedgerow", H209&lt;&gt;"Poor"),"Not possible ▲", (VLOOKUP(H209,'G-1 All Habitats'!$Z$2:$AA$9,2,FALSE))))),"")</f>
        <v/>
      </c>
      <c r="J209" s="105"/>
      <c r="K209" s="289" t="str">
        <f>IF(AND(D209&lt;&gt;"",J209=""),"Check data ⚠", IF(J209="","",IF(VLOOKUP(J209,'G-3 Multipliers'!$L$3:$N$6,2,FALSE)=0,"Spatial Data Missing",VLOOKUP(J209,'G-3 Multipliers'!$L$3:$N$6,2,FALSE))))</f>
        <v/>
      </c>
      <c r="L209" s="287" t="str">
        <f>IF(J209="","",IF(VLOOKUP(J209,'G-3 Multipliers'!$L$3:$N$6,3,FALSE)=0,"Spatial Data Missing ⚠",VLOOKUP(J209,'G-3 Multipliers'!$L$3:$N$6,3,FALSE)))</f>
        <v/>
      </c>
      <c r="M209" s="288" t="str">
        <f>IF(D209="","",VLOOKUP(D209,'G-6 Hedgerow Data'!$B$1:$AH$15,33,FALSE))</f>
        <v/>
      </c>
      <c r="N209" s="295" t="str">
        <f t="shared" si="23"/>
        <v/>
      </c>
      <c r="O209" s="32"/>
      <c r="P209" s="109"/>
      <c r="Q209" s="142"/>
      <c r="R209" s="312" t="str">
        <f t="shared" si="24"/>
        <v/>
      </c>
      <c r="S209" s="312" t="str">
        <f t="shared" si="25"/>
        <v/>
      </c>
      <c r="T209" s="312" t="str">
        <f t="shared" si="26"/>
        <v/>
      </c>
      <c r="U209" s="333" t="str">
        <f t="shared" si="27"/>
        <v/>
      </c>
      <c r="V209" s="109"/>
      <c r="W209" s="108"/>
      <c r="X209" s="108"/>
      <c r="AE209" s="111" t="str">
        <f t="shared" si="21"/>
        <v/>
      </c>
      <c r="AF209" s="111" t="str">
        <f t="shared" si="22"/>
        <v/>
      </c>
      <c r="AH209" s="111">
        <v>200</v>
      </c>
      <c r="AJ209" s="111" t="str">
        <f t="array" ref="AJ209">IFERROR(INDEX($AH$10:$AH$258, MATCH(0, IF(TRUE=$AE$10:$AE$258, COUNTIF($AJ$9:$AJ208, $AH$10:$AH$258), ""), 0)),"")</f>
        <v/>
      </c>
      <c r="AK209" s="111" t="str">
        <f t="array" ref="AK209">IFERROR(INDEX($AH$10:$AH$258, MATCH(0, IF(TRUE=$AF$10:$AF$258, COUNTIF($AK$9:$AK208, $AH$10:$AH$258), ""), 0)),"")</f>
        <v/>
      </c>
      <c r="AL209" s="30" t="str">
        <f>IFERROR(INDEX('G-6 Hedgerow Data'!$BJ$3:$BJ$15,MATCH(D209,'G-6 Hedgerow Data'!$B$3:$B$15,0)),"")</f>
        <v/>
      </c>
    </row>
    <row r="210" spans="2:38" x14ac:dyDescent="0.25">
      <c r="B210" s="101">
        <v>201</v>
      </c>
      <c r="C210" s="142"/>
      <c r="D210" s="142"/>
      <c r="E210" s="108"/>
      <c r="F210" s="329" t="str">
        <f>IF(D210="","",VLOOKUP(D210,'G-6 Hedgerow Data'!$B$2:$AG$15,2,FALSE))</f>
        <v/>
      </c>
      <c r="G210" s="282" t="str">
        <f>IF(D210="","",VLOOKUP(D210,'G-6 Hedgerow Data'!$B$2:$AG$15,3,FALSE))</f>
        <v/>
      </c>
      <c r="H210" s="105"/>
      <c r="I210" s="282" t="str">
        <f>IFERROR(IF(AND(D210&lt;&gt;"",H210=""),"Check data ⚠", IF(H210="","",IF(AND(D210="Non-native and ornamental hedgerow", H210&lt;&gt;"Poor"),"Not possible ▲", (VLOOKUP(H210,'G-1 All Habitats'!$Z$2:$AA$9,2,FALSE))))),"")</f>
        <v/>
      </c>
      <c r="J210" s="105"/>
      <c r="K210" s="289" t="str">
        <f>IF(AND(D210&lt;&gt;"",J210=""),"Check data ⚠", IF(J210="","",IF(VLOOKUP(J210,'G-3 Multipliers'!$L$3:$N$6,2,FALSE)=0,"Spatial Data Missing",VLOOKUP(J210,'G-3 Multipliers'!$L$3:$N$6,2,FALSE))))</f>
        <v/>
      </c>
      <c r="L210" s="287" t="str">
        <f>IF(J210="","",IF(VLOOKUP(J210,'G-3 Multipliers'!$L$3:$N$6,3,FALSE)=0,"Spatial Data Missing ⚠",VLOOKUP(J210,'G-3 Multipliers'!$L$3:$N$6,3,FALSE)))</f>
        <v/>
      </c>
      <c r="M210" s="288" t="str">
        <f>IF(D210="","",VLOOKUP(D210,'G-6 Hedgerow Data'!$B$1:$AH$15,33,FALSE))</f>
        <v/>
      </c>
      <c r="N210" s="295" t="str">
        <f t="shared" si="23"/>
        <v/>
      </c>
      <c r="O210" s="32"/>
      <c r="P210" s="109"/>
      <c r="Q210" s="142"/>
      <c r="R210" s="312" t="str">
        <f t="shared" si="24"/>
        <v/>
      </c>
      <c r="S210" s="312" t="str">
        <f t="shared" si="25"/>
        <v/>
      </c>
      <c r="T210" s="312" t="str">
        <f t="shared" si="26"/>
        <v/>
      </c>
      <c r="U210" s="333" t="str">
        <f t="shared" si="27"/>
        <v/>
      </c>
      <c r="V210" s="109"/>
      <c r="W210" s="108"/>
      <c r="X210" s="108"/>
      <c r="AE210" s="111" t="str">
        <f t="shared" si="21"/>
        <v/>
      </c>
      <c r="AF210" s="111" t="str">
        <f t="shared" si="22"/>
        <v/>
      </c>
      <c r="AH210" s="111">
        <v>201</v>
      </c>
      <c r="AJ210" s="111" t="str">
        <f t="array" ref="AJ210">IFERROR(INDEX($AH$10:$AH$258, MATCH(0, IF(TRUE=$AE$10:$AE$258, COUNTIF($AJ$9:$AJ209, $AH$10:$AH$258), ""), 0)),"")</f>
        <v/>
      </c>
      <c r="AK210" s="111" t="str">
        <f t="array" ref="AK210">IFERROR(INDEX($AH$10:$AH$258, MATCH(0, IF(TRUE=$AF$10:$AF$258, COUNTIF($AK$9:$AK209, $AH$10:$AH$258), ""), 0)),"")</f>
        <v/>
      </c>
      <c r="AL210" s="30" t="str">
        <f>IFERROR(INDEX('G-6 Hedgerow Data'!$BJ$3:$BJ$15,MATCH(D210,'G-6 Hedgerow Data'!$B$3:$B$15,0)),"")</f>
        <v/>
      </c>
    </row>
    <row r="211" spans="2:38" x14ac:dyDescent="0.25">
      <c r="B211" s="101">
        <v>202</v>
      </c>
      <c r="C211" s="142"/>
      <c r="D211" s="142"/>
      <c r="E211" s="108"/>
      <c r="F211" s="329" t="str">
        <f>IF(D211="","",VLOOKUP(D211,'G-6 Hedgerow Data'!$B$2:$AG$15,2,FALSE))</f>
        <v/>
      </c>
      <c r="G211" s="282" t="str">
        <f>IF(D211="","",VLOOKUP(D211,'G-6 Hedgerow Data'!$B$2:$AG$15,3,FALSE))</f>
        <v/>
      </c>
      <c r="H211" s="105"/>
      <c r="I211" s="282" t="str">
        <f>IFERROR(IF(AND(D211&lt;&gt;"",H211=""),"Check data ⚠", IF(H211="","",IF(AND(D211="Non-native and ornamental hedgerow", H211&lt;&gt;"Poor"),"Not possible ▲", (VLOOKUP(H211,'G-1 All Habitats'!$Z$2:$AA$9,2,FALSE))))),"")</f>
        <v/>
      </c>
      <c r="J211" s="105"/>
      <c r="K211" s="289" t="str">
        <f>IF(AND(D211&lt;&gt;"",J211=""),"Check data ⚠", IF(J211="","",IF(VLOOKUP(J211,'G-3 Multipliers'!$L$3:$N$6,2,FALSE)=0,"Spatial Data Missing",VLOOKUP(J211,'G-3 Multipliers'!$L$3:$N$6,2,FALSE))))</f>
        <v/>
      </c>
      <c r="L211" s="287" t="str">
        <f>IF(J211="","",IF(VLOOKUP(J211,'G-3 Multipliers'!$L$3:$N$6,3,FALSE)=0,"Spatial Data Missing ⚠",VLOOKUP(J211,'G-3 Multipliers'!$L$3:$N$6,3,FALSE)))</f>
        <v/>
      </c>
      <c r="M211" s="288" t="str">
        <f>IF(D211="","",VLOOKUP(D211,'G-6 Hedgerow Data'!$B$1:$AH$15,33,FALSE))</f>
        <v/>
      </c>
      <c r="N211" s="295" t="str">
        <f t="shared" si="23"/>
        <v/>
      </c>
      <c r="O211" s="32"/>
      <c r="P211" s="109"/>
      <c r="Q211" s="142"/>
      <c r="R211" s="312" t="str">
        <f t="shared" si="24"/>
        <v/>
      </c>
      <c r="S211" s="312" t="str">
        <f t="shared" si="25"/>
        <v/>
      </c>
      <c r="T211" s="312" t="str">
        <f t="shared" si="26"/>
        <v/>
      </c>
      <c r="U211" s="333" t="str">
        <f t="shared" si="27"/>
        <v/>
      </c>
      <c r="V211" s="109"/>
      <c r="W211" s="108"/>
      <c r="X211" s="108"/>
      <c r="AE211" s="111" t="str">
        <f t="shared" si="21"/>
        <v/>
      </c>
      <c r="AF211" s="111" t="str">
        <f t="shared" si="22"/>
        <v/>
      </c>
      <c r="AH211" s="111">
        <v>202</v>
      </c>
      <c r="AJ211" s="111" t="str">
        <f t="array" ref="AJ211">IFERROR(INDEX($AH$10:$AH$258, MATCH(0, IF(TRUE=$AE$10:$AE$258, COUNTIF($AJ$9:$AJ210, $AH$10:$AH$258), ""), 0)),"")</f>
        <v/>
      </c>
      <c r="AK211" s="111" t="str">
        <f t="array" ref="AK211">IFERROR(INDEX($AH$10:$AH$258, MATCH(0, IF(TRUE=$AF$10:$AF$258, COUNTIF($AK$9:$AK210, $AH$10:$AH$258), ""), 0)),"")</f>
        <v/>
      </c>
      <c r="AL211" s="30" t="str">
        <f>IFERROR(INDEX('G-6 Hedgerow Data'!$BJ$3:$BJ$15,MATCH(D211,'G-6 Hedgerow Data'!$B$3:$B$15,0)),"")</f>
        <v/>
      </c>
    </row>
    <row r="212" spans="2:38" x14ac:dyDescent="0.25">
      <c r="B212" s="101">
        <v>203</v>
      </c>
      <c r="C212" s="142"/>
      <c r="D212" s="142"/>
      <c r="E212" s="108"/>
      <c r="F212" s="329" t="str">
        <f>IF(D212="","",VLOOKUP(D212,'G-6 Hedgerow Data'!$B$2:$AG$15,2,FALSE))</f>
        <v/>
      </c>
      <c r="G212" s="282" t="str">
        <f>IF(D212="","",VLOOKUP(D212,'G-6 Hedgerow Data'!$B$2:$AG$15,3,FALSE))</f>
        <v/>
      </c>
      <c r="H212" s="105"/>
      <c r="I212" s="282" t="str">
        <f>IFERROR(IF(AND(D212&lt;&gt;"",H212=""),"Check data ⚠", IF(H212="","",IF(AND(D212="Non-native and ornamental hedgerow", H212&lt;&gt;"Poor"),"Not possible ▲", (VLOOKUP(H212,'G-1 All Habitats'!$Z$2:$AA$9,2,FALSE))))),"")</f>
        <v/>
      </c>
      <c r="J212" s="105"/>
      <c r="K212" s="289" t="str">
        <f>IF(AND(D212&lt;&gt;"",J212=""),"Check data ⚠", IF(J212="","",IF(VLOOKUP(J212,'G-3 Multipliers'!$L$3:$N$6,2,FALSE)=0,"Spatial Data Missing",VLOOKUP(J212,'G-3 Multipliers'!$L$3:$N$6,2,FALSE))))</f>
        <v/>
      </c>
      <c r="L212" s="287" t="str">
        <f>IF(J212="","",IF(VLOOKUP(J212,'G-3 Multipliers'!$L$3:$N$6,3,FALSE)=0,"Spatial Data Missing ⚠",VLOOKUP(J212,'G-3 Multipliers'!$L$3:$N$6,3,FALSE)))</f>
        <v/>
      </c>
      <c r="M212" s="288" t="str">
        <f>IF(D212="","",VLOOKUP(D212,'G-6 Hedgerow Data'!$B$1:$AH$15,33,FALSE))</f>
        <v/>
      </c>
      <c r="N212" s="295" t="str">
        <f t="shared" si="23"/>
        <v/>
      </c>
      <c r="O212" s="32"/>
      <c r="P212" s="109"/>
      <c r="Q212" s="142"/>
      <c r="R212" s="312" t="str">
        <f t="shared" si="24"/>
        <v/>
      </c>
      <c r="S212" s="312" t="str">
        <f t="shared" si="25"/>
        <v/>
      </c>
      <c r="T212" s="312" t="str">
        <f t="shared" si="26"/>
        <v/>
      </c>
      <c r="U212" s="333" t="str">
        <f t="shared" si="27"/>
        <v/>
      </c>
      <c r="V212" s="109"/>
      <c r="W212" s="108"/>
      <c r="X212" s="108"/>
      <c r="AE212" s="111" t="str">
        <f t="shared" si="21"/>
        <v/>
      </c>
      <c r="AF212" s="111" t="str">
        <f t="shared" si="22"/>
        <v/>
      </c>
      <c r="AH212" s="111">
        <v>203</v>
      </c>
      <c r="AJ212" s="111" t="str">
        <f t="array" ref="AJ212">IFERROR(INDEX($AH$10:$AH$258, MATCH(0, IF(TRUE=$AE$10:$AE$258, COUNTIF($AJ$9:$AJ211, $AH$10:$AH$258), ""), 0)),"")</f>
        <v/>
      </c>
      <c r="AK212" s="111" t="str">
        <f t="array" ref="AK212">IFERROR(INDEX($AH$10:$AH$258, MATCH(0, IF(TRUE=$AF$10:$AF$258, COUNTIF($AK$9:$AK211, $AH$10:$AH$258), ""), 0)),"")</f>
        <v/>
      </c>
      <c r="AL212" s="30" t="str">
        <f>IFERROR(INDEX('G-6 Hedgerow Data'!$BJ$3:$BJ$15,MATCH(D212,'G-6 Hedgerow Data'!$B$3:$B$15,0)),"")</f>
        <v/>
      </c>
    </row>
    <row r="213" spans="2:38" x14ac:dyDescent="0.25">
      <c r="B213" s="101">
        <v>204</v>
      </c>
      <c r="C213" s="142"/>
      <c r="D213" s="142"/>
      <c r="E213" s="108"/>
      <c r="F213" s="329" t="str">
        <f>IF(D213="","",VLOOKUP(D213,'G-6 Hedgerow Data'!$B$2:$AG$15,2,FALSE))</f>
        <v/>
      </c>
      <c r="G213" s="282" t="str">
        <f>IF(D213="","",VLOOKUP(D213,'G-6 Hedgerow Data'!$B$2:$AG$15,3,FALSE))</f>
        <v/>
      </c>
      <c r="H213" s="105"/>
      <c r="I213" s="282" t="str">
        <f>IFERROR(IF(AND(D213&lt;&gt;"",H213=""),"Check data ⚠", IF(H213="","",IF(AND(D213="Non-native and ornamental hedgerow", H213&lt;&gt;"Poor"),"Not possible ▲", (VLOOKUP(H213,'G-1 All Habitats'!$Z$2:$AA$9,2,FALSE))))),"")</f>
        <v/>
      </c>
      <c r="J213" s="105"/>
      <c r="K213" s="289" t="str">
        <f>IF(AND(D213&lt;&gt;"",J213=""),"Check data ⚠", IF(J213="","",IF(VLOOKUP(J213,'G-3 Multipliers'!$L$3:$N$6,2,FALSE)=0,"Spatial Data Missing",VLOOKUP(J213,'G-3 Multipliers'!$L$3:$N$6,2,FALSE))))</f>
        <v/>
      </c>
      <c r="L213" s="287" t="str">
        <f>IF(J213="","",IF(VLOOKUP(J213,'G-3 Multipliers'!$L$3:$N$6,3,FALSE)=0,"Spatial Data Missing ⚠",VLOOKUP(J213,'G-3 Multipliers'!$L$3:$N$6,3,FALSE)))</f>
        <v/>
      </c>
      <c r="M213" s="288" t="str">
        <f>IF(D213="","",VLOOKUP(D213,'G-6 Hedgerow Data'!$B$1:$AH$15,33,FALSE))</f>
        <v/>
      </c>
      <c r="N213" s="295" t="str">
        <f t="shared" si="23"/>
        <v/>
      </c>
      <c r="O213" s="32"/>
      <c r="P213" s="109"/>
      <c r="Q213" s="142"/>
      <c r="R213" s="312" t="str">
        <f t="shared" si="24"/>
        <v/>
      </c>
      <c r="S213" s="312" t="str">
        <f t="shared" si="25"/>
        <v/>
      </c>
      <c r="T213" s="312" t="str">
        <f t="shared" si="26"/>
        <v/>
      </c>
      <c r="U213" s="333" t="str">
        <f t="shared" si="27"/>
        <v/>
      </c>
      <c r="V213" s="109"/>
      <c r="W213" s="108"/>
      <c r="X213" s="108"/>
      <c r="AE213" s="111" t="str">
        <f t="shared" si="21"/>
        <v/>
      </c>
      <c r="AF213" s="111" t="str">
        <f t="shared" si="22"/>
        <v/>
      </c>
      <c r="AH213" s="111">
        <v>204</v>
      </c>
      <c r="AJ213" s="111" t="str">
        <f t="array" ref="AJ213">IFERROR(INDEX($AH$10:$AH$258, MATCH(0, IF(TRUE=$AE$10:$AE$258, COUNTIF($AJ$9:$AJ212, $AH$10:$AH$258), ""), 0)),"")</f>
        <v/>
      </c>
      <c r="AK213" s="111" t="str">
        <f t="array" ref="AK213">IFERROR(INDEX($AH$10:$AH$258, MATCH(0, IF(TRUE=$AF$10:$AF$258, COUNTIF($AK$9:$AK212, $AH$10:$AH$258), ""), 0)),"")</f>
        <v/>
      </c>
      <c r="AL213" s="30" t="str">
        <f>IFERROR(INDEX('G-6 Hedgerow Data'!$BJ$3:$BJ$15,MATCH(D213,'G-6 Hedgerow Data'!$B$3:$B$15,0)),"")</f>
        <v/>
      </c>
    </row>
    <row r="214" spans="2:38" x14ac:dyDescent="0.25">
      <c r="B214" s="101">
        <v>205</v>
      </c>
      <c r="C214" s="142"/>
      <c r="D214" s="142"/>
      <c r="E214" s="108"/>
      <c r="F214" s="329" t="str">
        <f>IF(D214="","",VLOOKUP(D214,'G-6 Hedgerow Data'!$B$2:$AG$15,2,FALSE))</f>
        <v/>
      </c>
      <c r="G214" s="282" t="str">
        <f>IF(D214="","",VLOOKUP(D214,'G-6 Hedgerow Data'!$B$2:$AG$15,3,FALSE))</f>
        <v/>
      </c>
      <c r="H214" s="105"/>
      <c r="I214" s="282" t="str">
        <f>IFERROR(IF(AND(D214&lt;&gt;"",H214=""),"Check data ⚠", IF(H214="","",IF(AND(D214="Non-native and ornamental hedgerow", H214&lt;&gt;"Poor"),"Not possible ▲", (VLOOKUP(H214,'G-1 All Habitats'!$Z$2:$AA$9,2,FALSE))))),"")</f>
        <v/>
      </c>
      <c r="J214" s="105"/>
      <c r="K214" s="289" t="str">
        <f>IF(AND(D214&lt;&gt;"",J214=""),"Check data ⚠", IF(J214="","",IF(VLOOKUP(J214,'G-3 Multipliers'!$L$3:$N$6,2,FALSE)=0,"Spatial Data Missing",VLOOKUP(J214,'G-3 Multipliers'!$L$3:$N$6,2,FALSE))))</f>
        <v/>
      </c>
      <c r="L214" s="287" t="str">
        <f>IF(J214="","",IF(VLOOKUP(J214,'G-3 Multipliers'!$L$3:$N$6,3,FALSE)=0,"Spatial Data Missing ⚠",VLOOKUP(J214,'G-3 Multipliers'!$L$3:$N$6,3,FALSE)))</f>
        <v/>
      </c>
      <c r="M214" s="288" t="str">
        <f>IF(D214="","",VLOOKUP(D214,'G-6 Hedgerow Data'!$B$1:$AH$15,33,FALSE))</f>
        <v/>
      </c>
      <c r="N214" s="295" t="str">
        <f t="shared" si="23"/>
        <v/>
      </c>
      <c r="O214" s="32"/>
      <c r="P214" s="109"/>
      <c r="Q214" s="142"/>
      <c r="R214" s="312" t="str">
        <f t="shared" si="24"/>
        <v/>
      </c>
      <c r="S214" s="312" t="str">
        <f t="shared" si="25"/>
        <v/>
      </c>
      <c r="T214" s="312" t="str">
        <f t="shared" si="26"/>
        <v/>
      </c>
      <c r="U214" s="333" t="str">
        <f t="shared" si="27"/>
        <v/>
      </c>
      <c r="V214" s="109"/>
      <c r="W214" s="108"/>
      <c r="X214" s="108"/>
      <c r="AE214" s="111" t="str">
        <f t="shared" si="21"/>
        <v/>
      </c>
      <c r="AF214" s="111" t="str">
        <f t="shared" si="22"/>
        <v/>
      </c>
      <c r="AH214" s="111">
        <v>205</v>
      </c>
      <c r="AJ214" s="111" t="str">
        <f t="array" ref="AJ214">IFERROR(INDEX($AH$10:$AH$258, MATCH(0, IF(TRUE=$AE$10:$AE$258, COUNTIF($AJ$9:$AJ213, $AH$10:$AH$258), ""), 0)),"")</f>
        <v/>
      </c>
      <c r="AK214" s="111" t="str">
        <f t="array" ref="AK214">IFERROR(INDEX($AH$10:$AH$258, MATCH(0, IF(TRUE=$AF$10:$AF$258, COUNTIF($AK$9:$AK213, $AH$10:$AH$258), ""), 0)),"")</f>
        <v/>
      </c>
      <c r="AL214" s="30" t="str">
        <f>IFERROR(INDEX('G-6 Hedgerow Data'!$BJ$3:$BJ$15,MATCH(D214,'G-6 Hedgerow Data'!$B$3:$B$15,0)),"")</f>
        <v/>
      </c>
    </row>
    <row r="215" spans="2:38" x14ac:dyDescent="0.25">
      <c r="B215" s="101">
        <v>206</v>
      </c>
      <c r="C215" s="142"/>
      <c r="D215" s="142"/>
      <c r="E215" s="108"/>
      <c r="F215" s="329" t="str">
        <f>IF(D215="","",VLOOKUP(D215,'G-6 Hedgerow Data'!$B$2:$AG$15,2,FALSE))</f>
        <v/>
      </c>
      <c r="G215" s="282" t="str">
        <f>IF(D215="","",VLOOKUP(D215,'G-6 Hedgerow Data'!$B$2:$AG$15,3,FALSE))</f>
        <v/>
      </c>
      <c r="H215" s="105"/>
      <c r="I215" s="282" t="str">
        <f>IFERROR(IF(AND(D215&lt;&gt;"",H215=""),"Check data ⚠", IF(H215="","",IF(AND(D215="Non-native and ornamental hedgerow", H215&lt;&gt;"Poor"),"Not possible ▲", (VLOOKUP(H215,'G-1 All Habitats'!$Z$2:$AA$9,2,FALSE))))),"")</f>
        <v/>
      </c>
      <c r="J215" s="105"/>
      <c r="K215" s="289" t="str">
        <f>IF(AND(D215&lt;&gt;"",J215=""),"Check data ⚠", IF(J215="","",IF(VLOOKUP(J215,'G-3 Multipliers'!$L$3:$N$6,2,FALSE)=0,"Spatial Data Missing",VLOOKUP(J215,'G-3 Multipliers'!$L$3:$N$6,2,FALSE))))</f>
        <v/>
      </c>
      <c r="L215" s="287" t="str">
        <f>IF(J215="","",IF(VLOOKUP(J215,'G-3 Multipliers'!$L$3:$N$6,3,FALSE)=0,"Spatial Data Missing ⚠",VLOOKUP(J215,'G-3 Multipliers'!$L$3:$N$6,3,FALSE)))</f>
        <v/>
      </c>
      <c r="M215" s="288" t="str">
        <f>IF(D215="","",VLOOKUP(D215,'G-6 Hedgerow Data'!$B$1:$AH$15,33,FALSE))</f>
        <v/>
      </c>
      <c r="N215" s="295" t="str">
        <f t="shared" si="23"/>
        <v/>
      </c>
      <c r="O215" s="32"/>
      <c r="P215" s="109"/>
      <c r="Q215" s="142"/>
      <c r="R215" s="312" t="str">
        <f t="shared" si="24"/>
        <v/>
      </c>
      <c r="S215" s="312" t="str">
        <f t="shared" si="25"/>
        <v/>
      </c>
      <c r="T215" s="312" t="str">
        <f t="shared" si="26"/>
        <v/>
      </c>
      <c r="U215" s="333" t="str">
        <f t="shared" si="27"/>
        <v/>
      </c>
      <c r="V215" s="109"/>
      <c r="W215" s="108"/>
      <c r="X215" s="108"/>
      <c r="AE215" s="111" t="str">
        <f t="shared" si="21"/>
        <v/>
      </c>
      <c r="AF215" s="111" t="str">
        <f t="shared" si="22"/>
        <v/>
      </c>
      <c r="AH215" s="111">
        <v>206</v>
      </c>
      <c r="AJ215" s="111" t="str">
        <f t="array" ref="AJ215">IFERROR(INDEX($AH$10:$AH$258, MATCH(0, IF(TRUE=$AE$10:$AE$258, COUNTIF($AJ$9:$AJ214, $AH$10:$AH$258), ""), 0)),"")</f>
        <v/>
      </c>
      <c r="AK215" s="111" t="str">
        <f t="array" ref="AK215">IFERROR(INDEX($AH$10:$AH$258, MATCH(0, IF(TRUE=$AF$10:$AF$258, COUNTIF($AK$9:$AK214, $AH$10:$AH$258), ""), 0)),"")</f>
        <v/>
      </c>
      <c r="AL215" s="30" t="str">
        <f>IFERROR(INDEX('G-6 Hedgerow Data'!$BJ$3:$BJ$15,MATCH(D215,'G-6 Hedgerow Data'!$B$3:$B$15,0)),"")</f>
        <v/>
      </c>
    </row>
    <row r="216" spans="2:38" x14ac:dyDescent="0.25">
      <c r="B216" s="101">
        <v>207</v>
      </c>
      <c r="C216" s="142"/>
      <c r="D216" s="142"/>
      <c r="E216" s="108"/>
      <c r="F216" s="329" t="str">
        <f>IF(D216="","",VLOOKUP(D216,'G-6 Hedgerow Data'!$B$2:$AG$15,2,FALSE))</f>
        <v/>
      </c>
      <c r="G216" s="282" t="str">
        <f>IF(D216="","",VLOOKUP(D216,'G-6 Hedgerow Data'!$B$2:$AG$15,3,FALSE))</f>
        <v/>
      </c>
      <c r="H216" s="105"/>
      <c r="I216" s="282" t="str">
        <f>IFERROR(IF(AND(D216&lt;&gt;"",H216=""),"Check data ⚠", IF(H216="","",IF(AND(D216="Non-native and ornamental hedgerow", H216&lt;&gt;"Poor"),"Not possible ▲", (VLOOKUP(H216,'G-1 All Habitats'!$Z$2:$AA$9,2,FALSE))))),"")</f>
        <v/>
      </c>
      <c r="J216" s="105"/>
      <c r="K216" s="289" t="str">
        <f>IF(AND(D216&lt;&gt;"",J216=""),"Check data ⚠", IF(J216="","",IF(VLOOKUP(J216,'G-3 Multipliers'!$L$3:$N$6,2,FALSE)=0,"Spatial Data Missing",VLOOKUP(J216,'G-3 Multipliers'!$L$3:$N$6,2,FALSE))))</f>
        <v/>
      </c>
      <c r="L216" s="287" t="str">
        <f>IF(J216="","",IF(VLOOKUP(J216,'G-3 Multipliers'!$L$3:$N$6,3,FALSE)=0,"Spatial Data Missing ⚠",VLOOKUP(J216,'G-3 Multipliers'!$L$3:$N$6,3,FALSE)))</f>
        <v/>
      </c>
      <c r="M216" s="288" t="str">
        <f>IF(D216="","",VLOOKUP(D216,'G-6 Hedgerow Data'!$B$1:$AH$15,33,FALSE))</f>
        <v/>
      </c>
      <c r="N216" s="295" t="str">
        <f t="shared" si="23"/>
        <v/>
      </c>
      <c r="O216" s="32"/>
      <c r="P216" s="109"/>
      <c r="Q216" s="142"/>
      <c r="R216" s="312" t="str">
        <f t="shared" si="24"/>
        <v/>
      </c>
      <c r="S216" s="312" t="str">
        <f t="shared" si="25"/>
        <v/>
      </c>
      <c r="T216" s="312" t="str">
        <f t="shared" si="26"/>
        <v/>
      </c>
      <c r="U216" s="333" t="str">
        <f t="shared" si="27"/>
        <v/>
      </c>
      <c r="V216" s="109"/>
      <c r="W216" s="108"/>
      <c r="X216" s="108"/>
      <c r="AE216" s="111" t="str">
        <f t="shared" si="21"/>
        <v/>
      </c>
      <c r="AF216" s="111" t="str">
        <f t="shared" si="22"/>
        <v/>
      </c>
      <c r="AH216" s="111">
        <v>207</v>
      </c>
      <c r="AJ216" s="111" t="str">
        <f t="array" ref="AJ216">IFERROR(INDEX($AH$10:$AH$258, MATCH(0, IF(TRUE=$AE$10:$AE$258, COUNTIF($AJ$9:$AJ215, $AH$10:$AH$258), ""), 0)),"")</f>
        <v/>
      </c>
      <c r="AK216" s="111" t="str">
        <f t="array" ref="AK216">IFERROR(INDEX($AH$10:$AH$258, MATCH(0, IF(TRUE=$AF$10:$AF$258, COUNTIF($AK$9:$AK215, $AH$10:$AH$258), ""), 0)),"")</f>
        <v/>
      </c>
      <c r="AL216" s="30" t="str">
        <f>IFERROR(INDEX('G-6 Hedgerow Data'!$BJ$3:$BJ$15,MATCH(D216,'G-6 Hedgerow Data'!$B$3:$B$15,0)),"")</f>
        <v/>
      </c>
    </row>
    <row r="217" spans="2:38" x14ac:dyDescent="0.25">
      <c r="B217" s="101">
        <v>208</v>
      </c>
      <c r="C217" s="142"/>
      <c r="D217" s="142"/>
      <c r="E217" s="108"/>
      <c r="F217" s="329" t="str">
        <f>IF(D217="","",VLOOKUP(D217,'G-6 Hedgerow Data'!$B$2:$AG$15,2,FALSE))</f>
        <v/>
      </c>
      <c r="G217" s="282" t="str">
        <f>IF(D217="","",VLOOKUP(D217,'G-6 Hedgerow Data'!$B$2:$AG$15,3,FALSE))</f>
        <v/>
      </c>
      <c r="H217" s="105"/>
      <c r="I217" s="282" t="str">
        <f>IFERROR(IF(AND(D217&lt;&gt;"",H217=""),"Check data ⚠", IF(H217="","",IF(AND(D217="Non-native and ornamental hedgerow", H217&lt;&gt;"Poor"),"Not possible ▲", (VLOOKUP(H217,'G-1 All Habitats'!$Z$2:$AA$9,2,FALSE))))),"")</f>
        <v/>
      </c>
      <c r="J217" s="105"/>
      <c r="K217" s="289" t="str">
        <f>IF(AND(D217&lt;&gt;"",J217=""),"Check data ⚠", IF(J217="","",IF(VLOOKUP(J217,'G-3 Multipliers'!$L$3:$N$6,2,FALSE)=0,"Spatial Data Missing",VLOOKUP(J217,'G-3 Multipliers'!$L$3:$N$6,2,FALSE))))</f>
        <v/>
      </c>
      <c r="L217" s="287" t="str">
        <f>IF(J217="","",IF(VLOOKUP(J217,'G-3 Multipliers'!$L$3:$N$6,3,FALSE)=0,"Spatial Data Missing ⚠",VLOOKUP(J217,'G-3 Multipliers'!$L$3:$N$6,3,FALSE)))</f>
        <v/>
      </c>
      <c r="M217" s="288" t="str">
        <f>IF(D217="","",VLOOKUP(D217,'G-6 Hedgerow Data'!$B$1:$AH$15,33,FALSE))</f>
        <v/>
      </c>
      <c r="N217" s="295" t="str">
        <f t="shared" si="23"/>
        <v/>
      </c>
      <c r="O217" s="32"/>
      <c r="P217" s="109"/>
      <c r="Q217" s="142"/>
      <c r="R217" s="312" t="str">
        <f t="shared" si="24"/>
        <v/>
      </c>
      <c r="S217" s="312" t="str">
        <f t="shared" si="25"/>
        <v/>
      </c>
      <c r="T217" s="312" t="str">
        <f t="shared" si="26"/>
        <v/>
      </c>
      <c r="U217" s="333" t="str">
        <f t="shared" si="27"/>
        <v/>
      </c>
      <c r="V217" s="109"/>
      <c r="W217" s="108"/>
      <c r="X217" s="108"/>
      <c r="AE217" s="111" t="str">
        <f t="shared" si="21"/>
        <v/>
      </c>
      <c r="AF217" s="111" t="str">
        <f t="shared" si="22"/>
        <v/>
      </c>
      <c r="AH217" s="111">
        <v>208</v>
      </c>
      <c r="AJ217" s="111" t="str">
        <f t="array" ref="AJ217">IFERROR(INDEX($AH$10:$AH$258, MATCH(0, IF(TRUE=$AE$10:$AE$258, COUNTIF($AJ$9:$AJ216, $AH$10:$AH$258), ""), 0)),"")</f>
        <v/>
      </c>
      <c r="AK217" s="111" t="str">
        <f t="array" ref="AK217">IFERROR(INDEX($AH$10:$AH$258, MATCH(0, IF(TRUE=$AF$10:$AF$258, COUNTIF($AK$9:$AK216, $AH$10:$AH$258), ""), 0)),"")</f>
        <v/>
      </c>
      <c r="AL217" s="30" t="str">
        <f>IFERROR(INDEX('G-6 Hedgerow Data'!$BJ$3:$BJ$15,MATCH(D217,'G-6 Hedgerow Data'!$B$3:$B$15,0)),"")</f>
        <v/>
      </c>
    </row>
    <row r="218" spans="2:38" x14ac:dyDescent="0.25">
      <c r="B218" s="101">
        <v>209</v>
      </c>
      <c r="C218" s="142"/>
      <c r="D218" s="142"/>
      <c r="E218" s="108"/>
      <c r="F218" s="329" t="str">
        <f>IF(D218="","",VLOOKUP(D218,'G-6 Hedgerow Data'!$B$2:$AG$15,2,FALSE))</f>
        <v/>
      </c>
      <c r="G218" s="282" t="str">
        <f>IF(D218="","",VLOOKUP(D218,'G-6 Hedgerow Data'!$B$2:$AG$15,3,FALSE))</f>
        <v/>
      </c>
      <c r="H218" s="105"/>
      <c r="I218" s="282" t="str">
        <f>IFERROR(IF(AND(D218&lt;&gt;"",H218=""),"Check data ⚠", IF(H218="","",IF(AND(D218="Non-native and ornamental hedgerow", H218&lt;&gt;"Poor"),"Not possible ▲", (VLOOKUP(H218,'G-1 All Habitats'!$Z$2:$AA$9,2,FALSE))))),"")</f>
        <v/>
      </c>
      <c r="J218" s="105"/>
      <c r="K218" s="289" t="str">
        <f>IF(AND(D218&lt;&gt;"",J218=""),"Check data ⚠", IF(J218="","",IF(VLOOKUP(J218,'G-3 Multipliers'!$L$3:$N$6,2,FALSE)=0,"Spatial Data Missing",VLOOKUP(J218,'G-3 Multipliers'!$L$3:$N$6,2,FALSE))))</f>
        <v/>
      </c>
      <c r="L218" s="287" t="str">
        <f>IF(J218="","",IF(VLOOKUP(J218,'G-3 Multipliers'!$L$3:$N$6,3,FALSE)=0,"Spatial Data Missing ⚠",VLOOKUP(J218,'G-3 Multipliers'!$L$3:$N$6,3,FALSE)))</f>
        <v/>
      </c>
      <c r="M218" s="288" t="str">
        <f>IF(D218="","",VLOOKUP(D218,'G-6 Hedgerow Data'!$B$1:$AH$15,33,FALSE))</f>
        <v/>
      </c>
      <c r="N218" s="295" t="str">
        <f t="shared" si="23"/>
        <v/>
      </c>
      <c r="O218" s="32"/>
      <c r="P218" s="109"/>
      <c r="Q218" s="142"/>
      <c r="R218" s="312" t="str">
        <f t="shared" si="24"/>
        <v/>
      </c>
      <c r="S218" s="312" t="str">
        <f t="shared" si="25"/>
        <v/>
      </c>
      <c r="T218" s="312" t="str">
        <f t="shared" si="26"/>
        <v/>
      </c>
      <c r="U218" s="333" t="str">
        <f t="shared" si="27"/>
        <v/>
      </c>
      <c r="V218" s="109"/>
      <c r="W218" s="108"/>
      <c r="X218" s="108"/>
      <c r="AE218" s="111" t="str">
        <f t="shared" si="21"/>
        <v/>
      </c>
      <c r="AF218" s="111" t="str">
        <f t="shared" si="22"/>
        <v/>
      </c>
      <c r="AH218" s="111">
        <v>209</v>
      </c>
      <c r="AJ218" s="111" t="str">
        <f t="array" ref="AJ218">IFERROR(INDEX($AH$10:$AH$258, MATCH(0, IF(TRUE=$AE$10:$AE$258, COUNTIF($AJ$9:$AJ217, $AH$10:$AH$258), ""), 0)),"")</f>
        <v/>
      </c>
      <c r="AK218" s="111" t="str">
        <f t="array" ref="AK218">IFERROR(INDEX($AH$10:$AH$258, MATCH(0, IF(TRUE=$AF$10:$AF$258, COUNTIF($AK$9:$AK217, $AH$10:$AH$258), ""), 0)),"")</f>
        <v/>
      </c>
      <c r="AL218" s="30" t="str">
        <f>IFERROR(INDEX('G-6 Hedgerow Data'!$BJ$3:$BJ$15,MATCH(D218,'G-6 Hedgerow Data'!$B$3:$B$15,0)),"")</f>
        <v/>
      </c>
    </row>
    <row r="219" spans="2:38" x14ac:dyDescent="0.25">
      <c r="B219" s="101">
        <v>210</v>
      </c>
      <c r="C219" s="142"/>
      <c r="D219" s="142"/>
      <c r="E219" s="108"/>
      <c r="F219" s="329" t="str">
        <f>IF(D219="","",VLOOKUP(D219,'G-6 Hedgerow Data'!$B$2:$AG$15,2,FALSE))</f>
        <v/>
      </c>
      <c r="G219" s="282" t="str">
        <f>IF(D219="","",VLOOKUP(D219,'G-6 Hedgerow Data'!$B$2:$AG$15,3,FALSE))</f>
        <v/>
      </c>
      <c r="H219" s="105"/>
      <c r="I219" s="282" t="str">
        <f>IFERROR(IF(AND(D219&lt;&gt;"",H219=""),"Check data ⚠", IF(H219="","",IF(AND(D219="Non-native and ornamental hedgerow", H219&lt;&gt;"Poor"),"Not possible ▲", (VLOOKUP(H219,'G-1 All Habitats'!$Z$2:$AA$9,2,FALSE))))),"")</f>
        <v/>
      </c>
      <c r="J219" s="105"/>
      <c r="K219" s="289" t="str">
        <f>IF(AND(D219&lt;&gt;"",J219=""),"Check data ⚠", IF(J219="","",IF(VLOOKUP(J219,'G-3 Multipliers'!$L$3:$N$6,2,FALSE)=0,"Spatial Data Missing",VLOOKUP(J219,'G-3 Multipliers'!$L$3:$N$6,2,FALSE))))</f>
        <v/>
      </c>
      <c r="L219" s="287" t="str">
        <f>IF(J219="","",IF(VLOOKUP(J219,'G-3 Multipliers'!$L$3:$N$6,3,FALSE)=0,"Spatial Data Missing ⚠",VLOOKUP(J219,'G-3 Multipliers'!$L$3:$N$6,3,FALSE)))</f>
        <v/>
      </c>
      <c r="M219" s="288" t="str">
        <f>IF(D219="","",VLOOKUP(D219,'G-6 Hedgerow Data'!$B$1:$AH$15,33,FALSE))</f>
        <v/>
      </c>
      <c r="N219" s="295" t="str">
        <f t="shared" si="23"/>
        <v/>
      </c>
      <c r="O219" s="32"/>
      <c r="P219" s="109"/>
      <c r="Q219" s="142"/>
      <c r="R219" s="312" t="str">
        <f t="shared" si="24"/>
        <v/>
      </c>
      <c r="S219" s="312" t="str">
        <f t="shared" si="25"/>
        <v/>
      </c>
      <c r="T219" s="312" t="str">
        <f t="shared" si="26"/>
        <v/>
      </c>
      <c r="U219" s="333" t="str">
        <f t="shared" si="27"/>
        <v/>
      </c>
      <c r="V219" s="109"/>
      <c r="W219" s="108"/>
      <c r="X219" s="108"/>
      <c r="AE219" s="111" t="str">
        <f t="shared" si="21"/>
        <v/>
      </c>
      <c r="AF219" s="111" t="str">
        <f t="shared" si="22"/>
        <v/>
      </c>
      <c r="AH219" s="111">
        <v>210</v>
      </c>
      <c r="AJ219" s="111" t="str">
        <f t="array" ref="AJ219">IFERROR(INDEX($AH$10:$AH$258, MATCH(0, IF(TRUE=$AE$10:$AE$258, COUNTIF($AJ$9:$AJ218, $AH$10:$AH$258), ""), 0)),"")</f>
        <v/>
      </c>
      <c r="AK219" s="111" t="str">
        <f t="array" ref="AK219">IFERROR(INDEX($AH$10:$AH$258, MATCH(0, IF(TRUE=$AF$10:$AF$258, COUNTIF($AK$9:$AK218, $AH$10:$AH$258), ""), 0)),"")</f>
        <v/>
      </c>
      <c r="AL219" s="30" t="str">
        <f>IFERROR(INDEX('G-6 Hedgerow Data'!$BJ$3:$BJ$15,MATCH(D219,'G-6 Hedgerow Data'!$B$3:$B$15,0)),"")</f>
        <v/>
      </c>
    </row>
    <row r="220" spans="2:38" x14ac:dyDescent="0.25">
      <c r="B220" s="101">
        <v>211</v>
      </c>
      <c r="C220" s="142"/>
      <c r="D220" s="142"/>
      <c r="E220" s="108"/>
      <c r="F220" s="329" t="str">
        <f>IF(D220="","",VLOOKUP(D220,'G-6 Hedgerow Data'!$B$2:$AG$15,2,FALSE))</f>
        <v/>
      </c>
      <c r="G220" s="282" t="str">
        <f>IF(D220="","",VLOOKUP(D220,'G-6 Hedgerow Data'!$B$2:$AG$15,3,FALSE))</f>
        <v/>
      </c>
      <c r="H220" s="105"/>
      <c r="I220" s="282" t="str">
        <f>IFERROR(IF(AND(D220&lt;&gt;"",H220=""),"Check data ⚠", IF(H220="","",IF(AND(D220="Non-native and ornamental hedgerow", H220&lt;&gt;"Poor"),"Not possible ▲", (VLOOKUP(H220,'G-1 All Habitats'!$Z$2:$AA$9,2,FALSE))))),"")</f>
        <v/>
      </c>
      <c r="J220" s="105"/>
      <c r="K220" s="289" t="str">
        <f>IF(AND(D220&lt;&gt;"",J220=""),"Check data ⚠", IF(J220="","",IF(VLOOKUP(J220,'G-3 Multipliers'!$L$3:$N$6,2,FALSE)=0,"Spatial Data Missing",VLOOKUP(J220,'G-3 Multipliers'!$L$3:$N$6,2,FALSE))))</f>
        <v/>
      </c>
      <c r="L220" s="287" t="str">
        <f>IF(J220="","",IF(VLOOKUP(J220,'G-3 Multipliers'!$L$3:$N$6,3,FALSE)=0,"Spatial Data Missing ⚠",VLOOKUP(J220,'G-3 Multipliers'!$L$3:$N$6,3,FALSE)))</f>
        <v/>
      </c>
      <c r="M220" s="288" t="str">
        <f>IF(D220="","",VLOOKUP(D220,'G-6 Hedgerow Data'!$B$1:$AH$15,33,FALSE))</f>
        <v/>
      </c>
      <c r="N220" s="295" t="str">
        <f t="shared" si="23"/>
        <v/>
      </c>
      <c r="O220" s="32"/>
      <c r="P220" s="109"/>
      <c r="Q220" s="142"/>
      <c r="R220" s="312" t="str">
        <f t="shared" si="24"/>
        <v/>
      </c>
      <c r="S220" s="312" t="str">
        <f t="shared" si="25"/>
        <v/>
      </c>
      <c r="T220" s="312" t="str">
        <f t="shared" si="26"/>
        <v/>
      </c>
      <c r="U220" s="333" t="str">
        <f t="shared" si="27"/>
        <v/>
      </c>
      <c r="V220" s="109"/>
      <c r="W220" s="108"/>
      <c r="X220" s="108"/>
      <c r="AE220" s="111" t="str">
        <f t="shared" si="21"/>
        <v/>
      </c>
      <c r="AF220" s="111" t="str">
        <f t="shared" si="22"/>
        <v/>
      </c>
      <c r="AH220" s="111">
        <v>211</v>
      </c>
      <c r="AJ220" s="111" t="str">
        <f t="array" ref="AJ220">IFERROR(INDEX($AH$10:$AH$258, MATCH(0, IF(TRUE=$AE$10:$AE$258, COUNTIF($AJ$9:$AJ219, $AH$10:$AH$258), ""), 0)),"")</f>
        <v/>
      </c>
      <c r="AK220" s="111" t="str">
        <f t="array" ref="AK220">IFERROR(INDEX($AH$10:$AH$258, MATCH(0, IF(TRUE=$AF$10:$AF$258, COUNTIF($AK$9:$AK219, $AH$10:$AH$258), ""), 0)),"")</f>
        <v/>
      </c>
      <c r="AL220" s="30" t="str">
        <f>IFERROR(INDEX('G-6 Hedgerow Data'!$BJ$3:$BJ$15,MATCH(D220,'G-6 Hedgerow Data'!$B$3:$B$15,0)),"")</f>
        <v/>
      </c>
    </row>
    <row r="221" spans="2:38" x14ac:dyDescent="0.25">
      <c r="B221" s="101">
        <v>212</v>
      </c>
      <c r="C221" s="142"/>
      <c r="D221" s="142"/>
      <c r="E221" s="108"/>
      <c r="F221" s="329" t="str">
        <f>IF(D221="","",VLOOKUP(D221,'G-6 Hedgerow Data'!$B$2:$AG$15,2,FALSE))</f>
        <v/>
      </c>
      <c r="G221" s="282" t="str">
        <f>IF(D221="","",VLOOKUP(D221,'G-6 Hedgerow Data'!$B$2:$AG$15,3,FALSE))</f>
        <v/>
      </c>
      <c r="H221" s="105"/>
      <c r="I221" s="282" t="str">
        <f>IFERROR(IF(AND(D221&lt;&gt;"",H221=""),"Check data ⚠", IF(H221="","",IF(AND(D221="Non-native and ornamental hedgerow", H221&lt;&gt;"Poor"),"Not possible ▲", (VLOOKUP(H221,'G-1 All Habitats'!$Z$2:$AA$9,2,FALSE))))),"")</f>
        <v/>
      </c>
      <c r="J221" s="105"/>
      <c r="K221" s="289" t="str">
        <f>IF(AND(D221&lt;&gt;"",J221=""),"Check data ⚠", IF(J221="","",IF(VLOOKUP(J221,'G-3 Multipliers'!$L$3:$N$6,2,FALSE)=0,"Spatial Data Missing",VLOOKUP(J221,'G-3 Multipliers'!$L$3:$N$6,2,FALSE))))</f>
        <v/>
      </c>
      <c r="L221" s="287" t="str">
        <f>IF(J221="","",IF(VLOOKUP(J221,'G-3 Multipliers'!$L$3:$N$6,3,FALSE)=0,"Spatial Data Missing ⚠",VLOOKUP(J221,'G-3 Multipliers'!$L$3:$N$6,3,FALSE)))</f>
        <v/>
      </c>
      <c r="M221" s="288" t="str">
        <f>IF(D221="","",VLOOKUP(D221,'G-6 Hedgerow Data'!$B$1:$AH$15,33,FALSE))</f>
        <v/>
      </c>
      <c r="N221" s="295" t="str">
        <f t="shared" si="23"/>
        <v/>
      </c>
      <c r="O221" s="32"/>
      <c r="P221" s="109"/>
      <c r="Q221" s="142"/>
      <c r="R221" s="312" t="str">
        <f t="shared" si="24"/>
        <v/>
      </c>
      <c r="S221" s="312" t="str">
        <f t="shared" si="25"/>
        <v/>
      </c>
      <c r="T221" s="312" t="str">
        <f t="shared" si="26"/>
        <v/>
      </c>
      <c r="U221" s="333" t="str">
        <f t="shared" si="27"/>
        <v/>
      </c>
      <c r="V221" s="109"/>
      <c r="W221" s="108"/>
      <c r="X221" s="108"/>
      <c r="AE221" s="111" t="str">
        <f t="shared" si="21"/>
        <v/>
      </c>
      <c r="AF221" s="111" t="str">
        <f t="shared" si="22"/>
        <v/>
      </c>
      <c r="AH221" s="111">
        <v>212</v>
      </c>
      <c r="AJ221" s="111" t="str">
        <f t="array" ref="AJ221">IFERROR(INDEX($AH$10:$AH$258, MATCH(0, IF(TRUE=$AE$10:$AE$258, COUNTIF($AJ$9:$AJ220, $AH$10:$AH$258), ""), 0)),"")</f>
        <v/>
      </c>
      <c r="AK221" s="111" t="str">
        <f t="array" ref="AK221">IFERROR(INDEX($AH$10:$AH$258, MATCH(0, IF(TRUE=$AF$10:$AF$258, COUNTIF($AK$9:$AK220, $AH$10:$AH$258), ""), 0)),"")</f>
        <v/>
      </c>
      <c r="AL221" s="30" t="str">
        <f>IFERROR(INDEX('G-6 Hedgerow Data'!$BJ$3:$BJ$15,MATCH(D221,'G-6 Hedgerow Data'!$B$3:$B$15,0)),"")</f>
        <v/>
      </c>
    </row>
    <row r="222" spans="2:38" x14ac:dyDescent="0.25">
      <c r="B222" s="101">
        <v>213</v>
      </c>
      <c r="C222" s="142"/>
      <c r="D222" s="142"/>
      <c r="E222" s="108"/>
      <c r="F222" s="329" t="str">
        <f>IF(D222="","",VLOOKUP(D222,'G-6 Hedgerow Data'!$B$2:$AG$15,2,FALSE))</f>
        <v/>
      </c>
      <c r="G222" s="282" t="str">
        <f>IF(D222="","",VLOOKUP(D222,'G-6 Hedgerow Data'!$B$2:$AG$15,3,FALSE))</f>
        <v/>
      </c>
      <c r="H222" s="105"/>
      <c r="I222" s="282" t="str">
        <f>IFERROR(IF(AND(D222&lt;&gt;"",H222=""),"Check data ⚠", IF(H222="","",IF(AND(D222="Non-native and ornamental hedgerow", H222&lt;&gt;"Poor"),"Not possible ▲", (VLOOKUP(H222,'G-1 All Habitats'!$Z$2:$AA$9,2,FALSE))))),"")</f>
        <v/>
      </c>
      <c r="J222" s="105"/>
      <c r="K222" s="289" t="str">
        <f>IF(AND(D222&lt;&gt;"",J222=""),"Check data ⚠", IF(J222="","",IF(VLOOKUP(J222,'G-3 Multipliers'!$L$3:$N$6,2,FALSE)=0,"Spatial Data Missing",VLOOKUP(J222,'G-3 Multipliers'!$L$3:$N$6,2,FALSE))))</f>
        <v/>
      </c>
      <c r="L222" s="287" t="str">
        <f>IF(J222="","",IF(VLOOKUP(J222,'G-3 Multipliers'!$L$3:$N$6,3,FALSE)=0,"Spatial Data Missing ⚠",VLOOKUP(J222,'G-3 Multipliers'!$L$3:$N$6,3,FALSE)))</f>
        <v/>
      </c>
      <c r="M222" s="288" t="str">
        <f>IF(D222="","",VLOOKUP(D222,'G-6 Hedgerow Data'!$B$1:$AH$15,33,FALSE))</f>
        <v/>
      </c>
      <c r="N222" s="295" t="str">
        <f t="shared" si="23"/>
        <v/>
      </c>
      <c r="O222" s="32"/>
      <c r="P222" s="109"/>
      <c r="Q222" s="142"/>
      <c r="R222" s="312" t="str">
        <f t="shared" si="24"/>
        <v/>
      </c>
      <c r="S222" s="312" t="str">
        <f t="shared" si="25"/>
        <v/>
      </c>
      <c r="T222" s="312" t="str">
        <f t="shared" si="26"/>
        <v/>
      </c>
      <c r="U222" s="333" t="str">
        <f t="shared" si="27"/>
        <v/>
      </c>
      <c r="V222" s="109"/>
      <c r="W222" s="108"/>
      <c r="X222" s="108"/>
      <c r="AE222" s="111" t="str">
        <f t="shared" si="21"/>
        <v/>
      </c>
      <c r="AF222" s="111" t="str">
        <f t="shared" si="22"/>
        <v/>
      </c>
      <c r="AH222" s="111">
        <v>213</v>
      </c>
      <c r="AJ222" s="111" t="str">
        <f t="array" ref="AJ222">IFERROR(INDEX($AH$10:$AH$258, MATCH(0, IF(TRUE=$AE$10:$AE$258, COUNTIF($AJ$9:$AJ221, $AH$10:$AH$258), ""), 0)),"")</f>
        <v/>
      </c>
      <c r="AK222" s="111" t="str">
        <f t="array" ref="AK222">IFERROR(INDEX($AH$10:$AH$258, MATCH(0, IF(TRUE=$AF$10:$AF$258, COUNTIF($AK$9:$AK221, $AH$10:$AH$258), ""), 0)),"")</f>
        <v/>
      </c>
      <c r="AL222" s="30" t="str">
        <f>IFERROR(INDEX('G-6 Hedgerow Data'!$BJ$3:$BJ$15,MATCH(D222,'G-6 Hedgerow Data'!$B$3:$B$15,0)),"")</f>
        <v/>
      </c>
    </row>
    <row r="223" spans="2:38" x14ac:dyDescent="0.25">
      <c r="B223" s="101">
        <v>214</v>
      </c>
      <c r="C223" s="142"/>
      <c r="D223" s="142"/>
      <c r="E223" s="108"/>
      <c r="F223" s="329" t="str">
        <f>IF(D223="","",VLOOKUP(D223,'G-6 Hedgerow Data'!$B$2:$AG$15,2,FALSE))</f>
        <v/>
      </c>
      <c r="G223" s="282" t="str">
        <f>IF(D223="","",VLOOKUP(D223,'G-6 Hedgerow Data'!$B$2:$AG$15,3,FALSE))</f>
        <v/>
      </c>
      <c r="H223" s="105"/>
      <c r="I223" s="282" t="str">
        <f>IFERROR(IF(AND(D223&lt;&gt;"",H223=""),"Check data ⚠", IF(H223="","",IF(AND(D223="Non-native and ornamental hedgerow", H223&lt;&gt;"Poor"),"Not possible ▲", (VLOOKUP(H223,'G-1 All Habitats'!$Z$2:$AA$9,2,FALSE))))),"")</f>
        <v/>
      </c>
      <c r="J223" s="105"/>
      <c r="K223" s="289" t="str">
        <f>IF(AND(D223&lt;&gt;"",J223=""),"Check data ⚠", IF(J223="","",IF(VLOOKUP(J223,'G-3 Multipliers'!$L$3:$N$6,2,FALSE)=0,"Spatial Data Missing",VLOOKUP(J223,'G-3 Multipliers'!$L$3:$N$6,2,FALSE))))</f>
        <v/>
      </c>
      <c r="L223" s="287" t="str">
        <f>IF(J223="","",IF(VLOOKUP(J223,'G-3 Multipliers'!$L$3:$N$6,3,FALSE)=0,"Spatial Data Missing ⚠",VLOOKUP(J223,'G-3 Multipliers'!$L$3:$N$6,3,FALSE)))</f>
        <v/>
      </c>
      <c r="M223" s="288" t="str">
        <f>IF(D223="","",VLOOKUP(D223,'G-6 Hedgerow Data'!$B$1:$AH$15,33,FALSE))</f>
        <v/>
      </c>
      <c r="N223" s="295" t="str">
        <f t="shared" si="23"/>
        <v/>
      </c>
      <c r="O223" s="32"/>
      <c r="P223" s="109"/>
      <c r="Q223" s="142"/>
      <c r="R223" s="312" t="str">
        <f t="shared" si="24"/>
        <v/>
      </c>
      <c r="S223" s="312" t="str">
        <f t="shared" si="25"/>
        <v/>
      </c>
      <c r="T223" s="312" t="str">
        <f t="shared" si="26"/>
        <v/>
      </c>
      <c r="U223" s="333" t="str">
        <f t="shared" si="27"/>
        <v/>
      </c>
      <c r="V223" s="109"/>
      <c r="W223" s="108"/>
      <c r="X223" s="108"/>
      <c r="AE223" s="111" t="str">
        <f t="shared" si="21"/>
        <v/>
      </c>
      <c r="AF223" s="111" t="str">
        <f t="shared" si="22"/>
        <v/>
      </c>
      <c r="AH223" s="111">
        <v>214</v>
      </c>
      <c r="AJ223" s="111" t="str">
        <f t="array" ref="AJ223">IFERROR(INDEX($AH$10:$AH$258, MATCH(0, IF(TRUE=$AE$10:$AE$258, COUNTIF($AJ$9:$AJ222, $AH$10:$AH$258), ""), 0)),"")</f>
        <v/>
      </c>
      <c r="AK223" s="111" t="str">
        <f t="array" ref="AK223">IFERROR(INDEX($AH$10:$AH$258, MATCH(0, IF(TRUE=$AF$10:$AF$258, COUNTIF($AK$9:$AK222, $AH$10:$AH$258), ""), 0)),"")</f>
        <v/>
      </c>
      <c r="AL223" s="30" t="str">
        <f>IFERROR(INDEX('G-6 Hedgerow Data'!$BJ$3:$BJ$15,MATCH(D223,'G-6 Hedgerow Data'!$B$3:$B$15,0)),"")</f>
        <v/>
      </c>
    </row>
    <row r="224" spans="2:38" x14ac:dyDescent="0.25">
      <c r="B224" s="101">
        <v>215</v>
      </c>
      <c r="C224" s="142"/>
      <c r="D224" s="142"/>
      <c r="E224" s="108"/>
      <c r="F224" s="329" t="str">
        <f>IF(D224="","",VLOOKUP(D224,'G-6 Hedgerow Data'!$B$2:$AG$15,2,FALSE))</f>
        <v/>
      </c>
      <c r="G224" s="282" t="str">
        <f>IF(D224="","",VLOOKUP(D224,'G-6 Hedgerow Data'!$B$2:$AG$15,3,FALSE))</f>
        <v/>
      </c>
      <c r="H224" s="105"/>
      <c r="I224" s="282" t="str">
        <f>IFERROR(IF(AND(D224&lt;&gt;"",H224=""),"Check data ⚠", IF(H224="","",IF(AND(D224="Non-native and ornamental hedgerow", H224&lt;&gt;"Poor"),"Not possible ▲", (VLOOKUP(H224,'G-1 All Habitats'!$Z$2:$AA$9,2,FALSE))))),"")</f>
        <v/>
      </c>
      <c r="J224" s="105"/>
      <c r="K224" s="289" t="str">
        <f>IF(AND(D224&lt;&gt;"",J224=""),"Check data ⚠", IF(J224="","",IF(VLOOKUP(J224,'G-3 Multipliers'!$L$3:$N$6,2,FALSE)=0,"Spatial Data Missing",VLOOKUP(J224,'G-3 Multipliers'!$L$3:$N$6,2,FALSE))))</f>
        <v/>
      </c>
      <c r="L224" s="287" t="str">
        <f>IF(J224="","",IF(VLOOKUP(J224,'G-3 Multipliers'!$L$3:$N$6,3,FALSE)=0,"Spatial Data Missing ⚠",VLOOKUP(J224,'G-3 Multipliers'!$L$3:$N$6,3,FALSE)))</f>
        <v/>
      </c>
      <c r="M224" s="288" t="str">
        <f>IF(D224="","",VLOOKUP(D224,'G-6 Hedgerow Data'!$B$1:$AH$15,33,FALSE))</f>
        <v/>
      </c>
      <c r="N224" s="295" t="str">
        <f t="shared" si="23"/>
        <v/>
      </c>
      <c r="O224" s="32"/>
      <c r="P224" s="109"/>
      <c r="Q224" s="142"/>
      <c r="R224" s="312" t="str">
        <f t="shared" si="24"/>
        <v/>
      </c>
      <c r="S224" s="312" t="str">
        <f t="shared" si="25"/>
        <v/>
      </c>
      <c r="T224" s="312" t="str">
        <f t="shared" si="26"/>
        <v/>
      </c>
      <c r="U224" s="333" t="str">
        <f t="shared" si="27"/>
        <v/>
      </c>
      <c r="V224" s="109"/>
      <c r="W224" s="108"/>
      <c r="X224" s="108"/>
      <c r="AE224" s="111" t="str">
        <f t="shared" si="21"/>
        <v/>
      </c>
      <c r="AF224" s="111" t="str">
        <f t="shared" si="22"/>
        <v/>
      </c>
      <c r="AH224" s="111">
        <v>215</v>
      </c>
      <c r="AJ224" s="111" t="str">
        <f t="array" ref="AJ224">IFERROR(INDEX($AH$10:$AH$258, MATCH(0, IF(TRUE=$AE$10:$AE$258, COUNTIF($AJ$9:$AJ223, $AH$10:$AH$258), ""), 0)),"")</f>
        <v/>
      </c>
      <c r="AK224" s="111" t="str">
        <f t="array" ref="AK224">IFERROR(INDEX($AH$10:$AH$258, MATCH(0, IF(TRUE=$AF$10:$AF$258, COUNTIF($AK$9:$AK223, $AH$10:$AH$258), ""), 0)),"")</f>
        <v/>
      </c>
      <c r="AL224" s="30" t="str">
        <f>IFERROR(INDEX('G-6 Hedgerow Data'!$BJ$3:$BJ$15,MATCH(D224,'G-6 Hedgerow Data'!$B$3:$B$15,0)),"")</f>
        <v/>
      </c>
    </row>
    <row r="225" spans="2:38" x14ac:dyDescent="0.25">
      <c r="B225" s="101">
        <v>216</v>
      </c>
      <c r="C225" s="142"/>
      <c r="D225" s="142"/>
      <c r="E225" s="108"/>
      <c r="F225" s="329" t="str">
        <f>IF(D225="","",VLOOKUP(D225,'G-6 Hedgerow Data'!$B$2:$AG$15,2,FALSE))</f>
        <v/>
      </c>
      <c r="G225" s="282" t="str">
        <f>IF(D225="","",VLOOKUP(D225,'G-6 Hedgerow Data'!$B$2:$AG$15,3,FALSE))</f>
        <v/>
      </c>
      <c r="H225" s="105"/>
      <c r="I225" s="282" t="str">
        <f>IFERROR(IF(AND(D225&lt;&gt;"",H225=""),"Check data ⚠", IF(H225="","",IF(AND(D225="Non-native and ornamental hedgerow", H225&lt;&gt;"Poor"),"Not possible ▲", (VLOOKUP(H225,'G-1 All Habitats'!$Z$2:$AA$9,2,FALSE))))),"")</f>
        <v/>
      </c>
      <c r="J225" s="105"/>
      <c r="K225" s="289" t="str">
        <f>IF(AND(D225&lt;&gt;"",J225=""),"Check data ⚠", IF(J225="","",IF(VLOOKUP(J225,'G-3 Multipliers'!$L$3:$N$6,2,FALSE)=0,"Spatial Data Missing",VLOOKUP(J225,'G-3 Multipliers'!$L$3:$N$6,2,FALSE))))</f>
        <v/>
      </c>
      <c r="L225" s="287" t="str">
        <f>IF(J225="","",IF(VLOOKUP(J225,'G-3 Multipliers'!$L$3:$N$6,3,FALSE)=0,"Spatial Data Missing ⚠",VLOOKUP(J225,'G-3 Multipliers'!$L$3:$N$6,3,FALSE)))</f>
        <v/>
      </c>
      <c r="M225" s="288" t="str">
        <f>IF(D225="","",VLOOKUP(D225,'G-6 Hedgerow Data'!$B$1:$AH$15,33,FALSE))</f>
        <v/>
      </c>
      <c r="N225" s="295" t="str">
        <f t="shared" si="23"/>
        <v/>
      </c>
      <c r="O225" s="32"/>
      <c r="P225" s="109"/>
      <c r="Q225" s="142"/>
      <c r="R225" s="312" t="str">
        <f t="shared" si="24"/>
        <v/>
      </c>
      <c r="S225" s="312" t="str">
        <f t="shared" si="25"/>
        <v/>
      </c>
      <c r="T225" s="312" t="str">
        <f t="shared" si="26"/>
        <v/>
      </c>
      <c r="U225" s="333" t="str">
        <f t="shared" si="27"/>
        <v/>
      </c>
      <c r="V225" s="109"/>
      <c r="W225" s="108"/>
      <c r="X225" s="108"/>
      <c r="AE225" s="111" t="str">
        <f t="shared" si="21"/>
        <v/>
      </c>
      <c r="AF225" s="111" t="str">
        <f t="shared" si="22"/>
        <v/>
      </c>
      <c r="AH225" s="111">
        <v>216</v>
      </c>
      <c r="AJ225" s="111" t="str">
        <f t="array" ref="AJ225">IFERROR(INDEX($AH$10:$AH$258, MATCH(0, IF(TRUE=$AE$10:$AE$258, COUNTIF($AJ$9:$AJ224, $AH$10:$AH$258), ""), 0)),"")</f>
        <v/>
      </c>
      <c r="AK225" s="111" t="str">
        <f t="array" ref="AK225">IFERROR(INDEX($AH$10:$AH$258, MATCH(0, IF(TRUE=$AF$10:$AF$258, COUNTIF($AK$9:$AK224, $AH$10:$AH$258), ""), 0)),"")</f>
        <v/>
      </c>
      <c r="AL225" s="30" t="str">
        <f>IFERROR(INDEX('G-6 Hedgerow Data'!$BJ$3:$BJ$15,MATCH(D225,'G-6 Hedgerow Data'!$B$3:$B$15,0)),"")</f>
        <v/>
      </c>
    </row>
    <row r="226" spans="2:38" x14ac:dyDescent="0.25">
      <c r="B226" s="101">
        <v>217</v>
      </c>
      <c r="C226" s="142"/>
      <c r="D226" s="142"/>
      <c r="E226" s="108"/>
      <c r="F226" s="329" t="str">
        <f>IF(D226="","",VLOOKUP(D226,'G-6 Hedgerow Data'!$B$2:$AG$15,2,FALSE))</f>
        <v/>
      </c>
      <c r="G226" s="282" t="str">
        <f>IF(D226="","",VLOOKUP(D226,'G-6 Hedgerow Data'!$B$2:$AG$15,3,FALSE))</f>
        <v/>
      </c>
      <c r="H226" s="105"/>
      <c r="I226" s="282" t="str">
        <f>IFERROR(IF(AND(D226&lt;&gt;"",H226=""),"Check data ⚠", IF(H226="","",IF(AND(D226="Non-native and ornamental hedgerow", H226&lt;&gt;"Poor"),"Not possible ▲", (VLOOKUP(H226,'G-1 All Habitats'!$Z$2:$AA$9,2,FALSE))))),"")</f>
        <v/>
      </c>
      <c r="J226" s="105"/>
      <c r="K226" s="289" t="str">
        <f>IF(AND(D226&lt;&gt;"",J226=""),"Check data ⚠", IF(J226="","",IF(VLOOKUP(J226,'G-3 Multipliers'!$L$3:$N$6,2,FALSE)=0,"Spatial Data Missing",VLOOKUP(J226,'G-3 Multipliers'!$L$3:$N$6,2,FALSE))))</f>
        <v/>
      </c>
      <c r="L226" s="287" t="str">
        <f>IF(J226="","",IF(VLOOKUP(J226,'G-3 Multipliers'!$L$3:$N$6,3,FALSE)=0,"Spatial Data Missing ⚠",VLOOKUP(J226,'G-3 Multipliers'!$L$3:$N$6,3,FALSE)))</f>
        <v/>
      </c>
      <c r="M226" s="288" t="str">
        <f>IF(D226="","",VLOOKUP(D226,'G-6 Hedgerow Data'!$B$1:$AH$15,33,FALSE))</f>
        <v/>
      </c>
      <c r="N226" s="295" t="str">
        <f t="shared" si="23"/>
        <v/>
      </c>
      <c r="O226" s="32"/>
      <c r="P226" s="109"/>
      <c r="Q226" s="142"/>
      <c r="R226" s="312" t="str">
        <f t="shared" si="24"/>
        <v/>
      </c>
      <c r="S226" s="312" t="str">
        <f t="shared" si="25"/>
        <v/>
      </c>
      <c r="T226" s="312" t="str">
        <f t="shared" si="26"/>
        <v/>
      </c>
      <c r="U226" s="333" t="str">
        <f t="shared" si="27"/>
        <v/>
      </c>
      <c r="V226" s="109"/>
      <c r="W226" s="108"/>
      <c r="X226" s="108"/>
      <c r="AE226" s="111" t="str">
        <f t="shared" si="21"/>
        <v/>
      </c>
      <c r="AF226" s="111" t="str">
        <f t="shared" si="22"/>
        <v/>
      </c>
      <c r="AH226" s="111">
        <v>217</v>
      </c>
      <c r="AJ226" s="111" t="str">
        <f t="array" ref="AJ226">IFERROR(INDEX($AH$10:$AH$258, MATCH(0, IF(TRUE=$AE$10:$AE$258, COUNTIF($AJ$9:$AJ225, $AH$10:$AH$258), ""), 0)),"")</f>
        <v/>
      </c>
      <c r="AK226" s="111" t="str">
        <f t="array" ref="AK226">IFERROR(INDEX($AH$10:$AH$258, MATCH(0, IF(TRUE=$AF$10:$AF$258, COUNTIF($AK$9:$AK225, $AH$10:$AH$258), ""), 0)),"")</f>
        <v/>
      </c>
      <c r="AL226" s="30" t="str">
        <f>IFERROR(INDEX('G-6 Hedgerow Data'!$BJ$3:$BJ$15,MATCH(D226,'G-6 Hedgerow Data'!$B$3:$B$15,0)),"")</f>
        <v/>
      </c>
    </row>
    <row r="227" spans="2:38" x14ac:dyDescent="0.25">
      <c r="B227" s="101">
        <v>218</v>
      </c>
      <c r="C227" s="142"/>
      <c r="D227" s="142"/>
      <c r="E227" s="108"/>
      <c r="F227" s="329" t="str">
        <f>IF(D227="","",VLOOKUP(D227,'G-6 Hedgerow Data'!$B$2:$AG$15,2,FALSE))</f>
        <v/>
      </c>
      <c r="G227" s="282" t="str">
        <f>IF(D227="","",VLOOKUP(D227,'G-6 Hedgerow Data'!$B$2:$AG$15,3,FALSE))</f>
        <v/>
      </c>
      <c r="H227" s="105"/>
      <c r="I227" s="282" t="str">
        <f>IFERROR(IF(AND(D227&lt;&gt;"",H227=""),"Check data ⚠", IF(H227="","",IF(AND(D227="Non-native and ornamental hedgerow", H227&lt;&gt;"Poor"),"Not possible ▲", (VLOOKUP(H227,'G-1 All Habitats'!$Z$2:$AA$9,2,FALSE))))),"")</f>
        <v/>
      </c>
      <c r="J227" s="105"/>
      <c r="K227" s="289" t="str">
        <f>IF(AND(D227&lt;&gt;"",J227=""),"Check data ⚠", IF(J227="","",IF(VLOOKUP(J227,'G-3 Multipliers'!$L$3:$N$6,2,FALSE)=0,"Spatial Data Missing",VLOOKUP(J227,'G-3 Multipliers'!$L$3:$N$6,2,FALSE))))</f>
        <v/>
      </c>
      <c r="L227" s="287" t="str">
        <f>IF(J227="","",IF(VLOOKUP(J227,'G-3 Multipliers'!$L$3:$N$6,3,FALSE)=0,"Spatial Data Missing ⚠",VLOOKUP(J227,'G-3 Multipliers'!$L$3:$N$6,3,FALSE)))</f>
        <v/>
      </c>
      <c r="M227" s="288" t="str">
        <f>IF(D227="","",VLOOKUP(D227,'G-6 Hedgerow Data'!$B$1:$AH$15,33,FALSE))</f>
        <v/>
      </c>
      <c r="N227" s="295" t="str">
        <f t="shared" si="23"/>
        <v/>
      </c>
      <c r="O227" s="32"/>
      <c r="P227" s="109"/>
      <c r="Q227" s="142"/>
      <c r="R227" s="312" t="str">
        <f t="shared" si="24"/>
        <v/>
      </c>
      <c r="S227" s="312" t="str">
        <f t="shared" si="25"/>
        <v/>
      </c>
      <c r="T227" s="312" t="str">
        <f t="shared" si="26"/>
        <v/>
      </c>
      <c r="U227" s="333" t="str">
        <f t="shared" si="27"/>
        <v/>
      </c>
      <c r="V227" s="109"/>
      <c r="W227" s="108"/>
      <c r="X227" s="108"/>
      <c r="AE227" s="111" t="str">
        <f t="shared" si="21"/>
        <v/>
      </c>
      <c r="AF227" s="111" t="str">
        <f t="shared" si="22"/>
        <v/>
      </c>
      <c r="AH227" s="111">
        <v>218</v>
      </c>
      <c r="AJ227" s="111" t="str">
        <f t="array" ref="AJ227">IFERROR(INDEX($AH$10:$AH$258, MATCH(0, IF(TRUE=$AE$10:$AE$258, COUNTIF($AJ$9:$AJ226, $AH$10:$AH$258), ""), 0)),"")</f>
        <v/>
      </c>
      <c r="AK227" s="111" t="str">
        <f t="array" ref="AK227">IFERROR(INDEX($AH$10:$AH$258, MATCH(0, IF(TRUE=$AF$10:$AF$258, COUNTIF($AK$9:$AK226, $AH$10:$AH$258), ""), 0)),"")</f>
        <v/>
      </c>
      <c r="AL227" s="30" t="str">
        <f>IFERROR(INDEX('G-6 Hedgerow Data'!$BJ$3:$BJ$15,MATCH(D227,'G-6 Hedgerow Data'!$B$3:$B$15,0)),"")</f>
        <v/>
      </c>
    </row>
    <row r="228" spans="2:38" x14ac:dyDescent="0.25">
      <c r="B228" s="101">
        <v>219</v>
      </c>
      <c r="C228" s="142"/>
      <c r="D228" s="142"/>
      <c r="E228" s="108"/>
      <c r="F228" s="329" t="str">
        <f>IF(D228="","",VLOOKUP(D228,'G-6 Hedgerow Data'!$B$2:$AG$15,2,FALSE))</f>
        <v/>
      </c>
      <c r="G228" s="282" t="str">
        <f>IF(D228="","",VLOOKUP(D228,'G-6 Hedgerow Data'!$B$2:$AG$15,3,FALSE))</f>
        <v/>
      </c>
      <c r="H228" s="105"/>
      <c r="I228" s="282" t="str">
        <f>IFERROR(IF(AND(D228&lt;&gt;"",H228=""),"Check data ⚠", IF(H228="","",IF(AND(D228="Non-native and ornamental hedgerow", H228&lt;&gt;"Poor"),"Not possible ▲", (VLOOKUP(H228,'G-1 All Habitats'!$Z$2:$AA$9,2,FALSE))))),"")</f>
        <v/>
      </c>
      <c r="J228" s="105"/>
      <c r="K228" s="289" t="str">
        <f>IF(AND(D228&lt;&gt;"",J228=""),"Check data ⚠", IF(J228="","",IF(VLOOKUP(J228,'G-3 Multipliers'!$L$3:$N$6,2,FALSE)=0,"Spatial Data Missing",VLOOKUP(J228,'G-3 Multipliers'!$L$3:$N$6,2,FALSE))))</f>
        <v/>
      </c>
      <c r="L228" s="287" t="str">
        <f>IF(J228="","",IF(VLOOKUP(J228,'G-3 Multipliers'!$L$3:$N$6,3,FALSE)=0,"Spatial Data Missing ⚠",VLOOKUP(J228,'G-3 Multipliers'!$L$3:$N$6,3,FALSE)))</f>
        <v/>
      </c>
      <c r="M228" s="288" t="str">
        <f>IF(D228="","",VLOOKUP(D228,'G-6 Hedgerow Data'!$B$1:$AH$15,33,FALSE))</f>
        <v/>
      </c>
      <c r="N228" s="295" t="str">
        <f t="shared" si="23"/>
        <v/>
      </c>
      <c r="O228" s="32"/>
      <c r="P228" s="109"/>
      <c r="Q228" s="142"/>
      <c r="R228" s="312" t="str">
        <f t="shared" si="24"/>
        <v/>
      </c>
      <c r="S228" s="312" t="str">
        <f t="shared" si="25"/>
        <v/>
      </c>
      <c r="T228" s="312" t="str">
        <f t="shared" si="26"/>
        <v/>
      </c>
      <c r="U228" s="333" t="str">
        <f t="shared" si="27"/>
        <v/>
      </c>
      <c r="V228" s="109"/>
      <c r="W228" s="108"/>
      <c r="X228" s="108"/>
      <c r="AE228" s="111" t="str">
        <f t="shared" si="21"/>
        <v/>
      </c>
      <c r="AF228" s="111" t="str">
        <f t="shared" si="22"/>
        <v/>
      </c>
      <c r="AH228" s="111">
        <v>219</v>
      </c>
      <c r="AJ228" s="111" t="str">
        <f t="array" ref="AJ228">IFERROR(INDEX($AH$10:$AH$258, MATCH(0, IF(TRUE=$AE$10:$AE$258, COUNTIF($AJ$9:$AJ227, $AH$10:$AH$258), ""), 0)),"")</f>
        <v/>
      </c>
      <c r="AK228" s="111" t="str">
        <f t="array" ref="AK228">IFERROR(INDEX($AH$10:$AH$258, MATCH(0, IF(TRUE=$AF$10:$AF$258, COUNTIF($AK$9:$AK227, $AH$10:$AH$258), ""), 0)),"")</f>
        <v/>
      </c>
      <c r="AL228" s="30" t="str">
        <f>IFERROR(INDEX('G-6 Hedgerow Data'!$BJ$3:$BJ$15,MATCH(D228,'G-6 Hedgerow Data'!$B$3:$B$15,0)),"")</f>
        <v/>
      </c>
    </row>
    <row r="229" spans="2:38" x14ac:dyDescent="0.25">
      <c r="B229" s="101">
        <v>220</v>
      </c>
      <c r="C229" s="142"/>
      <c r="D229" s="142"/>
      <c r="E229" s="108"/>
      <c r="F229" s="329" t="str">
        <f>IF(D229="","",VLOOKUP(D229,'G-6 Hedgerow Data'!$B$2:$AG$15,2,FALSE))</f>
        <v/>
      </c>
      <c r="G229" s="282" t="str">
        <f>IF(D229="","",VLOOKUP(D229,'G-6 Hedgerow Data'!$B$2:$AG$15,3,FALSE))</f>
        <v/>
      </c>
      <c r="H229" s="105"/>
      <c r="I229" s="282" t="str">
        <f>IFERROR(IF(AND(D229&lt;&gt;"",H229=""),"Check data ⚠", IF(H229="","",IF(AND(D229="Non-native and ornamental hedgerow", H229&lt;&gt;"Poor"),"Not possible ▲", (VLOOKUP(H229,'G-1 All Habitats'!$Z$2:$AA$9,2,FALSE))))),"")</f>
        <v/>
      </c>
      <c r="J229" s="105"/>
      <c r="K229" s="289" t="str">
        <f>IF(AND(D229&lt;&gt;"",J229=""),"Check data ⚠", IF(J229="","",IF(VLOOKUP(J229,'G-3 Multipliers'!$L$3:$N$6,2,FALSE)=0,"Spatial Data Missing",VLOOKUP(J229,'G-3 Multipliers'!$L$3:$N$6,2,FALSE))))</f>
        <v/>
      </c>
      <c r="L229" s="287" t="str">
        <f>IF(J229="","",IF(VLOOKUP(J229,'G-3 Multipliers'!$L$3:$N$6,3,FALSE)=0,"Spatial Data Missing ⚠",VLOOKUP(J229,'G-3 Multipliers'!$L$3:$N$6,3,FALSE)))</f>
        <v/>
      </c>
      <c r="M229" s="288" t="str">
        <f>IF(D229="","",VLOOKUP(D229,'G-6 Hedgerow Data'!$B$1:$AH$15,33,FALSE))</f>
        <v/>
      </c>
      <c r="N229" s="295" t="str">
        <f t="shared" si="23"/>
        <v/>
      </c>
      <c r="O229" s="32"/>
      <c r="P229" s="109"/>
      <c r="Q229" s="142"/>
      <c r="R229" s="312" t="str">
        <f t="shared" si="24"/>
        <v/>
      </c>
      <c r="S229" s="312" t="str">
        <f t="shared" si="25"/>
        <v/>
      </c>
      <c r="T229" s="312" t="str">
        <f t="shared" si="26"/>
        <v/>
      </c>
      <c r="U229" s="333" t="str">
        <f t="shared" si="27"/>
        <v/>
      </c>
      <c r="V229" s="109"/>
      <c r="W229" s="108"/>
      <c r="X229" s="108"/>
      <c r="AE229" s="111" t="str">
        <f t="shared" si="21"/>
        <v/>
      </c>
      <c r="AF229" s="111" t="str">
        <f t="shared" si="22"/>
        <v/>
      </c>
      <c r="AH229" s="111">
        <v>220</v>
      </c>
      <c r="AJ229" s="111" t="str">
        <f t="array" ref="AJ229">IFERROR(INDEX($AH$10:$AH$258, MATCH(0, IF(TRUE=$AE$10:$AE$258, COUNTIF($AJ$9:$AJ228, $AH$10:$AH$258), ""), 0)),"")</f>
        <v/>
      </c>
      <c r="AK229" s="111" t="str">
        <f t="array" ref="AK229">IFERROR(INDEX($AH$10:$AH$258, MATCH(0, IF(TRUE=$AF$10:$AF$258, COUNTIF($AK$9:$AK228, $AH$10:$AH$258), ""), 0)),"")</f>
        <v/>
      </c>
      <c r="AL229" s="30" t="str">
        <f>IFERROR(INDEX('G-6 Hedgerow Data'!$BJ$3:$BJ$15,MATCH(D229,'G-6 Hedgerow Data'!$B$3:$B$15,0)),"")</f>
        <v/>
      </c>
    </row>
    <row r="230" spans="2:38" x14ac:dyDescent="0.25">
      <c r="B230" s="101">
        <v>221</v>
      </c>
      <c r="C230" s="142"/>
      <c r="D230" s="142"/>
      <c r="E230" s="108"/>
      <c r="F230" s="329" t="str">
        <f>IF(D230="","",VLOOKUP(D230,'G-6 Hedgerow Data'!$B$2:$AG$15,2,FALSE))</f>
        <v/>
      </c>
      <c r="G230" s="282" t="str">
        <f>IF(D230="","",VLOOKUP(D230,'G-6 Hedgerow Data'!$B$2:$AG$15,3,FALSE))</f>
        <v/>
      </c>
      <c r="H230" s="105"/>
      <c r="I230" s="282" t="str">
        <f>IFERROR(IF(AND(D230&lt;&gt;"",H230=""),"Check data ⚠", IF(H230="","",IF(AND(D230="Non-native and ornamental hedgerow", H230&lt;&gt;"Poor"),"Not possible ▲", (VLOOKUP(H230,'G-1 All Habitats'!$Z$2:$AA$9,2,FALSE))))),"")</f>
        <v/>
      </c>
      <c r="J230" s="105"/>
      <c r="K230" s="289" t="str">
        <f>IF(AND(D230&lt;&gt;"",J230=""),"Check data ⚠", IF(J230="","",IF(VLOOKUP(J230,'G-3 Multipliers'!$L$3:$N$6,2,FALSE)=0,"Spatial Data Missing",VLOOKUP(J230,'G-3 Multipliers'!$L$3:$N$6,2,FALSE))))</f>
        <v/>
      </c>
      <c r="L230" s="287" t="str">
        <f>IF(J230="","",IF(VLOOKUP(J230,'G-3 Multipliers'!$L$3:$N$6,3,FALSE)=0,"Spatial Data Missing ⚠",VLOOKUP(J230,'G-3 Multipliers'!$L$3:$N$6,3,FALSE)))</f>
        <v/>
      </c>
      <c r="M230" s="288" t="str">
        <f>IF(D230="","",VLOOKUP(D230,'G-6 Hedgerow Data'!$B$1:$AH$15,33,FALSE))</f>
        <v/>
      </c>
      <c r="N230" s="295" t="str">
        <f t="shared" si="23"/>
        <v/>
      </c>
      <c r="O230" s="32"/>
      <c r="P230" s="109"/>
      <c r="Q230" s="142"/>
      <c r="R230" s="312" t="str">
        <f t="shared" si="24"/>
        <v/>
      </c>
      <c r="S230" s="312" t="str">
        <f t="shared" si="25"/>
        <v/>
      </c>
      <c r="T230" s="312" t="str">
        <f t="shared" si="26"/>
        <v/>
      </c>
      <c r="U230" s="333" t="str">
        <f t="shared" si="27"/>
        <v/>
      </c>
      <c r="V230" s="109"/>
      <c r="W230" s="108"/>
      <c r="X230" s="108"/>
      <c r="AE230" s="111" t="str">
        <f t="shared" si="21"/>
        <v/>
      </c>
      <c r="AF230" s="111" t="str">
        <f t="shared" si="22"/>
        <v/>
      </c>
      <c r="AH230" s="111">
        <v>221</v>
      </c>
      <c r="AJ230" s="111" t="str">
        <f t="array" ref="AJ230">IFERROR(INDEX($AH$10:$AH$258, MATCH(0, IF(TRUE=$AE$10:$AE$258, COUNTIF($AJ$9:$AJ229, $AH$10:$AH$258), ""), 0)),"")</f>
        <v/>
      </c>
      <c r="AK230" s="111" t="str">
        <f t="array" ref="AK230">IFERROR(INDEX($AH$10:$AH$258, MATCH(0, IF(TRUE=$AF$10:$AF$258, COUNTIF($AK$9:$AK229, $AH$10:$AH$258), ""), 0)),"")</f>
        <v/>
      </c>
      <c r="AL230" s="30" t="str">
        <f>IFERROR(INDEX('G-6 Hedgerow Data'!$BJ$3:$BJ$15,MATCH(D230,'G-6 Hedgerow Data'!$B$3:$B$15,0)),"")</f>
        <v/>
      </c>
    </row>
    <row r="231" spans="2:38" x14ac:dyDescent="0.25">
      <c r="B231" s="101">
        <v>222</v>
      </c>
      <c r="C231" s="142"/>
      <c r="D231" s="142"/>
      <c r="E231" s="108"/>
      <c r="F231" s="329" t="str">
        <f>IF(D231="","",VLOOKUP(D231,'G-6 Hedgerow Data'!$B$2:$AG$15,2,FALSE))</f>
        <v/>
      </c>
      <c r="G231" s="282" t="str">
        <f>IF(D231="","",VLOOKUP(D231,'G-6 Hedgerow Data'!$B$2:$AG$15,3,FALSE))</f>
        <v/>
      </c>
      <c r="H231" s="105"/>
      <c r="I231" s="282" t="str">
        <f>IFERROR(IF(AND(D231&lt;&gt;"",H231=""),"Check data ⚠", IF(H231="","",IF(AND(D231="Non-native and ornamental hedgerow", H231&lt;&gt;"Poor"),"Not possible ▲", (VLOOKUP(H231,'G-1 All Habitats'!$Z$2:$AA$9,2,FALSE))))),"")</f>
        <v/>
      </c>
      <c r="J231" s="105"/>
      <c r="K231" s="289" t="str">
        <f>IF(AND(D231&lt;&gt;"",J231=""),"Check data ⚠", IF(J231="","",IF(VLOOKUP(J231,'G-3 Multipliers'!$L$3:$N$6,2,FALSE)=0,"Spatial Data Missing",VLOOKUP(J231,'G-3 Multipliers'!$L$3:$N$6,2,FALSE))))</f>
        <v/>
      </c>
      <c r="L231" s="287" t="str">
        <f>IF(J231="","",IF(VLOOKUP(J231,'G-3 Multipliers'!$L$3:$N$6,3,FALSE)=0,"Spatial Data Missing ⚠",VLOOKUP(J231,'G-3 Multipliers'!$L$3:$N$6,3,FALSE)))</f>
        <v/>
      </c>
      <c r="M231" s="288" t="str">
        <f>IF(D231="","",VLOOKUP(D231,'G-6 Hedgerow Data'!$B$1:$AH$15,33,FALSE))</f>
        <v/>
      </c>
      <c r="N231" s="295" t="str">
        <f t="shared" si="23"/>
        <v/>
      </c>
      <c r="O231" s="32"/>
      <c r="P231" s="109"/>
      <c r="Q231" s="142"/>
      <c r="R231" s="312" t="str">
        <f t="shared" si="24"/>
        <v/>
      </c>
      <c r="S231" s="312" t="str">
        <f t="shared" si="25"/>
        <v/>
      </c>
      <c r="T231" s="312" t="str">
        <f t="shared" si="26"/>
        <v/>
      </c>
      <c r="U231" s="333" t="str">
        <f t="shared" si="27"/>
        <v/>
      </c>
      <c r="V231" s="109"/>
      <c r="W231" s="108"/>
      <c r="X231" s="108"/>
      <c r="AE231" s="111" t="str">
        <f t="shared" si="21"/>
        <v/>
      </c>
      <c r="AF231" s="111" t="str">
        <f t="shared" si="22"/>
        <v/>
      </c>
      <c r="AH231" s="111">
        <v>222</v>
      </c>
      <c r="AJ231" s="111" t="str">
        <f t="array" ref="AJ231">IFERROR(INDEX($AH$10:$AH$258, MATCH(0, IF(TRUE=$AE$10:$AE$258, COUNTIF($AJ$9:$AJ230, $AH$10:$AH$258), ""), 0)),"")</f>
        <v/>
      </c>
      <c r="AK231" s="111" t="str">
        <f t="array" ref="AK231">IFERROR(INDEX($AH$10:$AH$258, MATCH(0, IF(TRUE=$AF$10:$AF$258, COUNTIF($AK$9:$AK230, $AH$10:$AH$258), ""), 0)),"")</f>
        <v/>
      </c>
      <c r="AL231" s="30" t="str">
        <f>IFERROR(INDEX('G-6 Hedgerow Data'!$BJ$3:$BJ$15,MATCH(D231,'G-6 Hedgerow Data'!$B$3:$B$15,0)),"")</f>
        <v/>
      </c>
    </row>
    <row r="232" spans="2:38" x14ac:dyDescent="0.25">
      <c r="B232" s="101">
        <v>223</v>
      </c>
      <c r="C232" s="142"/>
      <c r="D232" s="142"/>
      <c r="E232" s="108"/>
      <c r="F232" s="329" t="str">
        <f>IF(D232="","",VLOOKUP(D232,'G-6 Hedgerow Data'!$B$2:$AG$15,2,FALSE))</f>
        <v/>
      </c>
      <c r="G232" s="282" t="str">
        <f>IF(D232="","",VLOOKUP(D232,'G-6 Hedgerow Data'!$B$2:$AG$15,3,FALSE))</f>
        <v/>
      </c>
      <c r="H232" s="105"/>
      <c r="I232" s="282" t="str">
        <f>IFERROR(IF(AND(D232&lt;&gt;"",H232=""),"Check data ⚠", IF(H232="","",IF(AND(D232="Non-native and ornamental hedgerow", H232&lt;&gt;"Poor"),"Not possible ▲", (VLOOKUP(H232,'G-1 All Habitats'!$Z$2:$AA$9,2,FALSE))))),"")</f>
        <v/>
      </c>
      <c r="J232" s="105"/>
      <c r="K232" s="289" t="str">
        <f>IF(AND(D232&lt;&gt;"",J232=""),"Check data ⚠", IF(J232="","",IF(VLOOKUP(J232,'G-3 Multipliers'!$L$3:$N$6,2,FALSE)=0,"Spatial Data Missing",VLOOKUP(J232,'G-3 Multipliers'!$L$3:$N$6,2,FALSE))))</f>
        <v/>
      </c>
      <c r="L232" s="287" t="str">
        <f>IF(J232="","",IF(VLOOKUP(J232,'G-3 Multipliers'!$L$3:$N$6,3,FALSE)=0,"Spatial Data Missing ⚠",VLOOKUP(J232,'G-3 Multipliers'!$L$3:$N$6,3,FALSE)))</f>
        <v/>
      </c>
      <c r="M232" s="288" t="str">
        <f>IF(D232="","",VLOOKUP(D232,'G-6 Hedgerow Data'!$B$1:$AH$15,33,FALSE))</f>
        <v/>
      </c>
      <c r="N232" s="295" t="str">
        <f t="shared" si="23"/>
        <v/>
      </c>
      <c r="O232" s="32"/>
      <c r="P232" s="109"/>
      <c r="Q232" s="142"/>
      <c r="R232" s="312" t="str">
        <f t="shared" si="24"/>
        <v/>
      </c>
      <c r="S232" s="312" t="str">
        <f t="shared" si="25"/>
        <v/>
      </c>
      <c r="T232" s="312" t="str">
        <f t="shared" si="26"/>
        <v/>
      </c>
      <c r="U232" s="333" t="str">
        <f t="shared" si="27"/>
        <v/>
      </c>
      <c r="V232" s="109"/>
      <c r="W232" s="108"/>
      <c r="X232" s="108"/>
      <c r="AE232" s="111" t="str">
        <f t="shared" si="21"/>
        <v/>
      </c>
      <c r="AF232" s="111" t="str">
        <f t="shared" si="22"/>
        <v/>
      </c>
      <c r="AH232" s="111">
        <v>223</v>
      </c>
      <c r="AJ232" s="111" t="str">
        <f t="array" ref="AJ232">IFERROR(INDEX($AH$10:$AH$258, MATCH(0, IF(TRUE=$AE$10:$AE$258, COUNTIF($AJ$9:$AJ231, $AH$10:$AH$258), ""), 0)),"")</f>
        <v/>
      </c>
      <c r="AK232" s="111" t="str">
        <f t="array" ref="AK232">IFERROR(INDEX($AH$10:$AH$258, MATCH(0, IF(TRUE=$AF$10:$AF$258, COUNTIF($AK$9:$AK231, $AH$10:$AH$258), ""), 0)),"")</f>
        <v/>
      </c>
      <c r="AL232" s="30" t="str">
        <f>IFERROR(INDEX('G-6 Hedgerow Data'!$BJ$3:$BJ$15,MATCH(D232,'G-6 Hedgerow Data'!$B$3:$B$15,0)),"")</f>
        <v/>
      </c>
    </row>
    <row r="233" spans="2:38" x14ac:dyDescent="0.25">
      <c r="B233" s="101">
        <v>224</v>
      </c>
      <c r="C233" s="142"/>
      <c r="D233" s="142"/>
      <c r="E233" s="108"/>
      <c r="F233" s="329" t="str">
        <f>IF(D233="","",VLOOKUP(D233,'G-6 Hedgerow Data'!$B$2:$AG$15,2,FALSE))</f>
        <v/>
      </c>
      <c r="G233" s="282" t="str">
        <f>IF(D233="","",VLOOKUP(D233,'G-6 Hedgerow Data'!$B$2:$AG$15,3,FALSE))</f>
        <v/>
      </c>
      <c r="H233" s="105"/>
      <c r="I233" s="282" t="str">
        <f>IFERROR(IF(AND(D233&lt;&gt;"",H233=""),"Check data ⚠", IF(H233="","",IF(AND(D233="Non-native and ornamental hedgerow", H233&lt;&gt;"Poor"),"Not possible ▲", (VLOOKUP(H233,'G-1 All Habitats'!$Z$2:$AA$9,2,FALSE))))),"")</f>
        <v/>
      </c>
      <c r="J233" s="105"/>
      <c r="K233" s="289" t="str">
        <f>IF(AND(D233&lt;&gt;"",J233=""),"Check data ⚠", IF(J233="","",IF(VLOOKUP(J233,'G-3 Multipliers'!$L$3:$N$6,2,FALSE)=0,"Spatial Data Missing",VLOOKUP(J233,'G-3 Multipliers'!$L$3:$N$6,2,FALSE))))</f>
        <v/>
      </c>
      <c r="L233" s="287" t="str">
        <f>IF(J233="","",IF(VLOOKUP(J233,'G-3 Multipliers'!$L$3:$N$6,3,FALSE)=0,"Spatial Data Missing ⚠",VLOOKUP(J233,'G-3 Multipliers'!$L$3:$N$6,3,FALSE)))</f>
        <v/>
      </c>
      <c r="M233" s="288" t="str">
        <f>IF(D233="","",VLOOKUP(D233,'G-6 Hedgerow Data'!$B$1:$AH$15,33,FALSE))</f>
        <v/>
      </c>
      <c r="N233" s="295" t="str">
        <f t="shared" si="23"/>
        <v/>
      </c>
      <c r="O233" s="32"/>
      <c r="P233" s="109"/>
      <c r="Q233" s="142"/>
      <c r="R233" s="312" t="str">
        <f t="shared" si="24"/>
        <v/>
      </c>
      <c r="S233" s="312" t="str">
        <f t="shared" si="25"/>
        <v/>
      </c>
      <c r="T233" s="312" t="str">
        <f t="shared" si="26"/>
        <v/>
      </c>
      <c r="U233" s="333" t="str">
        <f t="shared" si="27"/>
        <v/>
      </c>
      <c r="V233" s="109"/>
      <c r="W233" s="108"/>
      <c r="X233" s="108"/>
      <c r="AE233" s="111" t="str">
        <f t="shared" si="21"/>
        <v/>
      </c>
      <c r="AF233" s="111" t="str">
        <f t="shared" si="22"/>
        <v/>
      </c>
      <c r="AH233" s="111">
        <v>224</v>
      </c>
      <c r="AJ233" s="111" t="str">
        <f t="array" ref="AJ233">IFERROR(INDEX($AH$10:$AH$258, MATCH(0, IF(TRUE=$AE$10:$AE$258, COUNTIF($AJ$9:$AJ232, $AH$10:$AH$258), ""), 0)),"")</f>
        <v/>
      </c>
      <c r="AK233" s="111" t="str">
        <f t="array" ref="AK233">IFERROR(INDEX($AH$10:$AH$258, MATCH(0, IF(TRUE=$AF$10:$AF$258, COUNTIF($AK$9:$AK232, $AH$10:$AH$258), ""), 0)),"")</f>
        <v/>
      </c>
      <c r="AL233" s="30" t="str">
        <f>IFERROR(INDEX('G-6 Hedgerow Data'!$BJ$3:$BJ$15,MATCH(D233,'G-6 Hedgerow Data'!$B$3:$B$15,0)),"")</f>
        <v/>
      </c>
    </row>
    <row r="234" spans="2:38" x14ac:dyDescent="0.25">
      <c r="B234" s="101">
        <v>225</v>
      </c>
      <c r="C234" s="142"/>
      <c r="D234" s="142"/>
      <c r="E234" s="108"/>
      <c r="F234" s="329" t="str">
        <f>IF(D234="","",VLOOKUP(D234,'G-6 Hedgerow Data'!$B$2:$AG$15,2,FALSE))</f>
        <v/>
      </c>
      <c r="G234" s="282" t="str">
        <f>IF(D234="","",VLOOKUP(D234,'G-6 Hedgerow Data'!$B$2:$AG$15,3,FALSE))</f>
        <v/>
      </c>
      <c r="H234" s="105"/>
      <c r="I234" s="282" t="str">
        <f>IFERROR(IF(AND(D234&lt;&gt;"",H234=""),"Check data ⚠", IF(H234="","",IF(AND(D234="Non-native and ornamental hedgerow", H234&lt;&gt;"Poor"),"Not possible ▲", (VLOOKUP(H234,'G-1 All Habitats'!$Z$2:$AA$9,2,FALSE))))),"")</f>
        <v/>
      </c>
      <c r="J234" s="105"/>
      <c r="K234" s="289" t="str">
        <f>IF(AND(D234&lt;&gt;"",J234=""),"Check data ⚠", IF(J234="","",IF(VLOOKUP(J234,'G-3 Multipliers'!$L$3:$N$6,2,FALSE)=0,"Spatial Data Missing",VLOOKUP(J234,'G-3 Multipliers'!$L$3:$N$6,2,FALSE))))</f>
        <v/>
      </c>
      <c r="L234" s="287" t="str">
        <f>IF(J234="","",IF(VLOOKUP(J234,'G-3 Multipliers'!$L$3:$N$6,3,FALSE)=0,"Spatial Data Missing ⚠",VLOOKUP(J234,'G-3 Multipliers'!$L$3:$N$6,3,FALSE)))</f>
        <v/>
      </c>
      <c r="M234" s="288" t="str">
        <f>IF(D234="","",VLOOKUP(D234,'G-6 Hedgerow Data'!$B$1:$AH$15,33,FALSE))</f>
        <v/>
      </c>
      <c r="N234" s="295" t="str">
        <f t="shared" si="23"/>
        <v/>
      </c>
      <c r="O234" s="32"/>
      <c r="P234" s="109"/>
      <c r="Q234" s="142"/>
      <c r="R234" s="312" t="str">
        <f t="shared" si="24"/>
        <v/>
      </c>
      <c r="S234" s="312" t="str">
        <f t="shared" si="25"/>
        <v/>
      </c>
      <c r="T234" s="312" t="str">
        <f t="shared" si="26"/>
        <v/>
      </c>
      <c r="U234" s="333" t="str">
        <f t="shared" si="27"/>
        <v/>
      </c>
      <c r="V234" s="109"/>
      <c r="W234" s="108"/>
      <c r="X234" s="108"/>
      <c r="AE234" s="111" t="str">
        <f t="shared" si="21"/>
        <v/>
      </c>
      <c r="AF234" s="111" t="str">
        <f t="shared" si="22"/>
        <v/>
      </c>
      <c r="AH234" s="111">
        <v>225</v>
      </c>
      <c r="AJ234" s="111" t="str">
        <f t="array" ref="AJ234">IFERROR(INDEX($AH$10:$AH$258, MATCH(0, IF(TRUE=$AE$10:$AE$258, COUNTIF($AJ$9:$AJ233, $AH$10:$AH$258), ""), 0)),"")</f>
        <v/>
      </c>
      <c r="AK234" s="111" t="str">
        <f t="array" ref="AK234">IFERROR(INDEX($AH$10:$AH$258, MATCH(0, IF(TRUE=$AF$10:$AF$258, COUNTIF($AK$9:$AK233, $AH$10:$AH$258), ""), 0)),"")</f>
        <v/>
      </c>
      <c r="AL234" s="30" t="str">
        <f>IFERROR(INDEX('G-6 Hedgerow Data'!$BJ$3:$BJ$15,MATCH(D234,'G-6 Hedgerow Data'!$B$3:$B$15,0)),"")</f>
        <v/>
      </c>
    </row>
    <row r="235" spans="2:38" x14ac:dyDescent="0.25">
      <c r="B235" s="101">
        <v>226</v>
      </c>
      <c r="C235" s="142"/>
      <c r="D235" s="142"/>
      <c r="E235" s="108"/>
      <c r="F235" s="329" t="str">
        <f>IF(D235="","",VLOOKUP(D235,'G-6 Hedgerow Data'!$B$2:$AG$15,2,FALSE))</f>
        <v/>
      </c>
      <c r="G235" s="282" t="str">
        <f>IF(D235="","",VLOOKUP(D235,'G-6 Hedgerow Data'!$B$2:$AG$15,3,FALSE))</f>
        <v/>
      </c>
      <c r="H235" s="105"/>
      <c r="I235" s="282" t="str">
        <f>IFERROR(IF(AND(D235&lt;&gt;"",H235=""),"Check data ⚠", IF(H235="","",IF(AND(D235="Non-native and ornamental hedgerow", H235&lt;&gt;"Poor"),"Not possible ▲", (VLOOKUP(H235,'G-1 All Habitats'!$Z$2:$AA$9,2,FALSE))))),"")</f>
        <v/>
      </c>
      <c r="J235" s="105"/>
      <c r="K235" s="289" t="str">
        <f>IF(AND(D235&lt;&gt;"",J235=""),"Check data ⚠", IF(J235="","",IF(VLOOKUP(J235,'G-3 Multipliers'!$L$3:$N$6,2,FALSE)=0,"Spatial Data Missing",VLOOKUP(J235,'G-3 Multipliers'!$L$3:$N$6,2,FALSE))))</f>
        <v/>
      </c>
      <c r="L235" s="287" t="str">
        <f>IF(J235="","",IF(VLOOKUP(J235,'G-3 Multipliers'!$L$3:$N$6,3,FALSE)=0,"Spatial Data Missing ⚠",VLOOKUP(J235,'G-3 Multipliers'!$L$3:$N$6,3,FALSE)))</f>
        <v/>
      </c>
      <c r="M235" s="288" t="str">
        <f>IF(D235="","",VLOOKUP(D235,'G-6 Hedgerow Data'!$B$1:$AH$15,33,FALSE))</f>
        <v/>
      </c>
      <c r="N235" s="295" t="str">
        <f t="shared" si="23"/>
        <v/>
      </c>
      <c r="O235" s="32"/>
      <c r="P235" s="109"/>
      <c r="Q235" s="142"/>
      <c r="R235" s="312" t="str">
        <f t="shared" si="24"/>
        <v/>
      </c>
      <c r="S235" s="312" t="str">
        <f t="shared" si="25"/>
        <v/>
      </c>
      <c r="T235" s="312" t="str">
        <f t="shared" si="26"/>
        <v/>
      </c>
      <c r="U235" s="333" t="str">
        <f t="shared" si="27"/>
        <v/>
      </c>
      <c r="V235" s="109"/>
      <c r="W235" s="108"/>
      <c r="X235" s="108"/>
      <c r="AE235" s="111" t="str">
        <f t="shared" si="21"/>
        <v/>
      </c>
      <c r="AF235" s="111" t="str">
        <f t="shared" si="22"/>
        <v/>
      </c>
      <c r="AH235" s="111">
        <v>226</v>
      </c>
      <c r="AJ235" s="111" t="str">
        <f t="array" ref="AJ235">IFERROR(INDEX($AH$10:$AH$258, MATCH(0, IF(TRUE=$AE$10:$AE$258, COUNTIF($AJ$9:$AJ234, $AH$10:$AH$258), ""), 0)),"")</f>
        <v/>
      </c>
      <c r="AK235" s="111" t="str">
        <f t="array" ref="AK235">IFERROR(INDEX($AH$10:$AH$258, MATCH(0, IF(TRUE=$AF$10:$AF$258, COUNTIF($AK$9:$AK234, $AH$10:$AH$258), ""), 0)),"")</f>
        <v/>
      </c>
      <c r="AL235" s="30" t="str">
        <f>IFERROR(INDEX('G-6 Hedgerow Data'!$BJ$3:$BJ$15,MATCH(D235,'G-6 Hedgerow Data'!$B$3:$B$15,0)),"")</f>
        <v/>
      </c>
    </row>
    <row r="236" spans="2:38" x14ac:dyDescent="0.25">
      <c r="B236" s="101">
        <v>227</v>
      </c>
      <c r="C236" s="142"/>
      <c r="D236" s="142"/>
      <c r="E236" s="108"/>
      <c r="F236" s="329" t="str">
        <f>IF(D236="","",VLOOKUP(D236,'G-6 Hedgerow Data'!$B$2:$AG$15,2,FALSE))</f>
        <v/>
      </c>
      <c r="G236" s="282" t="str">
        <f>IF(D236="","",VLOOKUP(D236,'G-6 Hedgerow Data'!$B$2:$AG$15,3,FALSE))</f>
        <v/>
      </c>
      <c r="H236" s="105"/>
      <c r="I236" s="282" t="str">
        <f>IFERROR(IF(AND(D236&lt;&gt;"",H236=""),"Check data ⚠", IF(H236="","",IF(AND(D236="Non-native and ornamental hedgerow", H236&lt;&gt;"Poor"),"Not possible ▲", (VLOOKUP(H236,'G-1 All Habitats'!$Z$2:$AA$9,2,FALSE))))),"")</f>
        <v/>
      </c>
      <c r="J236" s="105"/>
      <c r="K236" s="289" t="str">
        <f>IF(AND(D236&lt;&gt;"",J236=""),"Check data ⚠", IF(J236="","",IF(VLOOKUP(J236,'G-3 Multipliers'!$L$3:$N$6,2,FALSE)=0,"Spatial Data Missing",VLOOKUP(J236,'G-3 Multipliers'!$L$3:$N$6,2,FALSE))))</f>
        <v/>
      </c>
      <c r="L236" s="287" t="str">
        <f>IF(J236="","",IF(VLOOKUP(J236,'G-3 Multipliers'!$L$3:$N$6,3,FALSE)=0,"Spatial Data Missing ⚠",VLOOKUP(J236,'G-3 Multipliers'!$L$3:$N$6,3,FALSE)))</f>
        <v/>
      </c>
      <c r="M236" s="288" t="str">
        <f>IF(D236="","",VLOOKUP(D236,'G-6 Hedgerow Data'!$B$1:$AH$15,33,FALSE))</f>
        <v/>
      </c>
      <c r="N236" s="295" t="str">
        <f t="shared" si="23"/>
        <v/>
      </c>
      <c r="O236" s="32"/>
      <c r="P236" s="109"/>
      <c r="Q236" s="142"/>
      <c r="R236" s="312" t="str">
        <f t="shared" si="24"/>
        <v/>
      </c>
      <c r="S236" s="312" t="str">
        <f t="shared" si="25"/>
        <v/>
      </c>
      <c r="T236" s="312" t="str">
        <f t="shared" si="26"/>
        <v/>
      </c>
      <c r="U236" s="333" t="str">
        <f t="shared" si="27"/>
        <v/>
      </c>
      <c r="V236" s="109"/>
      <c r="W236" s="108"/>
      <c r="X236" s="108"/>
      <c r="AE236" s="111" t="str">
        <f t="shared" si="21"/>
        <v/>
      </c>
      <c r="AF236" s="111" t="str">
        <f t="shared" si="22"/>
        <v/>
      </c>
      <c r="AH236" s="111">
        <v>227</v>
      </c>
      <c r="AJ236" s="111" t="str">
        <f t="array" ref="AJ236">IFERROR(INDEX($AH$10:$AH$258, MATCH(0, IF(TRUE=$AE$10:$AE$258, COUNTIF($AJ$9:$AJ235, $AH$10:$AH$258), ""), 0)),"")</f>
        <v/>
      </c>
      <c r="AK236" s="111" t="str">
        <f t="array" ref="AK236">IFERROR(INDEX($AH$10:$AH$258, MATCH(0, IF(TRUE=$AF$10:$AF$258, COUNTIF($AK$9:$AK235, $AH$10:$AH$258), ""), 0)),"")</f>
        <v/>
      </c>
      <c r="AL236" s="30" t="str">
        <f>IFERROR(INDEX('G-6 Hedgerow Data'!$BJ$3:$BJ$15,MATCH(D236,'G-6 Hedgerow Data'!$B$3:$B$15,0)),"")</f>
        <v/>
      </c>
    </row>
    <row r="237" spans="2:38" x14ac:dyDescent="0.25">
      <c r="B237" s="101">
        <v>228</v>
      </c>
      <c r="C237" s="142"/>
      <c r="D237" s="142"/>
      <c r="E237" s="108"/>
      <c r="F237" s="329" t="str">
        <f>IF(D237="","",VLOOKUP(D237,'G-6 Hedgerow Data'!$B$2:$AG$15,2,FALSE))</f>
        <v/>
      </c>
      <c r="G237" s="282" t="str">
        <f>IF(D237="","",VLOOKUP(D237,'G-6 Hedgerow Data'!$B$2:$AG$15,3,FALSE))</f>
        <v/>
      </c>
      <c r="H237" s="105"/>
      <c r="I237" s="282" t="str">
        <f>IFERROR(IF(AND(D237&lt;&gt;"",H237=""),"Check data ⚠", IF(H237="","",IF(AND(D237="Non-native and ornamental hedgerow", H237&lt;&gt;"Poor"),"Not possible ▲", (VLOOKUP(H237,'G-1 All Habitats'!$Z$2:$AA$9,2,FALSE))))),"")</f>
        <v/>
      </c>
      <c r="J237" s="105"/>
      <c r="K237" s="289" t="str">
        <f>IF(AND(D237&lt;&gt;"",J237=""),"Check data ⚠", IF(J237="","",IF(VLOOKUP(J237,'G-3 Multipliers'!$L$3:$N$6,2,FALSE)=0,"Spatial Data Missing",VLOOKUP(J237,'G-3 Multipliers'!$L$3:$N$6,2,FALSE))))</f>
        <v/>
      </c>
      <c r="L237" s="287" t="str">
        <f>IF(J237="","",IF(VLOOKUP(J237,'G-3 Multipliers'!$L$3:$N$6,3,FALSE)=0,"Spatial Data Missing ⚠",VLOOKUP(J237,'G-3 Multipliers'!$L$3:$N$6,3,FALSE)))</f>
        <v/>
      </c>
      <c r="M237" s="288" t="str">
        <f>IF(D237="","",VLOOKUP(D237,'G-6 Hedgerow Data'!$B$1:$AH$15,33,FALSE))</f>
        <v/>
      </c>
      <c r="N237" s="295" t="str">
        <f t="shared" si="23"/>
        <v/>
      </c>
      <c r="O237" s="32"/>
      <c r="P237" s="109"/>
      <c r="Q237" s="142"/>
      <c r="R237" s="312" t="str">
        <f t="shared" si="24"/>
        <v/>
      </c>
      <c r="S237" s="312" t="str">
        <f t="shared" si="25"/>
        <v/>
      </c>
      <c r="T237" s="312" t="str">
        <f t="shared" si="26"/>
        <v/>
      </c>
      <c r="U237" s="333" t="str">
        <f t="shared" si="27"/>
        <v/>
      </c>
      <c r="V237" s="109"/>
      <c r="W237" s="108"/>
      <c r="X237" s="108"/>
      <c r="AE237" s="111" t="str">
        <f t="shared" si="21"/>
        <v/>
      </c>
      <c r="AF237" s="111" t="str">
        <f t="shared" si="22"/>
        <v/>
      </c>
      <c r="AH237" s="111">
        <v>228</v>
      </c>
      <c r="AJ237" s="111" t="str">
        <f t="array" ref="AJ237">IFERROR(INDEX($AH$10:$AH$258, MATCH(0, IF(TRUE=$AE$10:$AE$258, COUNTIF($AJ$9:$AJ236, $AH$10:$AH$258), ""), 0)),"")</f>
        <v/>
      </c>
      <c r="AK237" s="111" t="str">
        <f t="array" ref="AK237">IFERROR(INDEX($AH$10:$AH$258, MATCH(0, IF(TRUE=$AF$10:$AF$258, COUNTIF($AK$9:$AK236, $AH$10:$AH$258), ""), 0)),"")</f>
        <v/>
      </c>
      <c r="AL237" s="30" t="str">
        <f>IFERROR(INDEX('G-6 Hedgerow Data'!$BJ$3:$BJ$15,MATCH(D237,'G-6 Hedgerow Data'!$B$3:$B$15,0)),"")</f>
        <v/>
      </c>
    </row>
    <row r="238" spans="2:38" x14ac:dyDescent="0.25">
      <c r="B238" s="101">
        <v>229</v>
      </c>
      <c r="C238" s="142"/>
      <c r="D238" s="142"/>
      <c r="E238" s="108"/>
      <c r="F238" s="329" t="str">
        <f>IF(D238="","",VLOOKUP(D238,'G-6 Hedgerow Data'!$B$2:$AG$15,2,FALSE))</f>
        <v/>
      </c>
      <c r="G238" s="282" t="str">
        <f>IF(D238="","",VLOOKUP(D238,'G-6 Hedgerow Data'!$B$2:$AG$15,3,FALSE))</f>
        <v/>
      </c>
      <c r="H238" s="105"/>
      <c r="I238" s="282" t="str">
        <f>IFERROR(IF(AND(D238&lt;&gt;"",H238=""),"Check data ⚠", IF(H238="","",IF(AND(D238="Non-native and ornamental hedgerow", H238&lt;&gt;"Poor"),"Not possible ▲", (VLOOKUP(H238,'G-1 All Habitats'!$Z$2:$AA$9,2,FALSE))))),"")</f>
        <v/>
      </c>
      <c r="J238" s="105"/>
      <c r="K238" s="289" t="str">
        <f>IF(AND(D238&lt;&gt;"",J238=""),"Check data ⚠", IF(J238="","",IF(VLOOKUP(J238,'G-3 Multipliers'!$L$3:$N$6,2,FALSE)=0,"Spatial Data Missing",VLOOKUP(J238,'G-3 Multipliers'!$L$3:$N$6,2,FALSE))))</f>
        <v/>
      </c>
      <c r="L238" s="287" t="str">
        <f>IF(J238="","",IF(VLOOKUP(J238,'G-3 Multipliers'!$L$3:$N$6,3,FALSE)=0,"Spatial Data Missing ⚠",VLOOKUP(J238,'G-3 Multipliers'!$L$3:$N$6,3,FALSE)))</f>
        <v/>
      </c>
      <c r="M238" s="288" t="str">
        <f>IF(D238="","",VLOOKUP(D238,'G-6 Hedgerow Data'!$B$1:$AH$15,33,FALSE))</f>
        <v/>
      </c>
      <c r="N238" s="295" t="str">
        <f t="shared" si="23"/>
        <v/>
      </c>
      <c r="O238" s="32"/>
      <c r="P238" s="109"/>
      <c r="Q238" s="142"/>
      <c r="R238" s="312" t="str">
        <f t="shared" si="24"/>
        <v/>
      </c>
      <c r="S238" s="312" t="str">
        <f t="shared" si="25"/>
        <v/>
      </c>
      <c r="T238" s="312" t="str">
        <f t="shared" si="26"/>
        <v/>
      </c>
      <c r="U238" s="333" t="str">
        <f t="shared" si="27"/>
        <v/>
      </c>
      <c r="V238" s="109"/>
      <c r="W238" s="108"/>
      <c r="X238" s="108"/>
      <c r="AE238" s="111" t="str">
        <f t="shared" si="21"/>
        <v/>
      </c>
      <c r="AF238" s="111" t="str">
        <f t="shared" si="22"/>
        <v/>
      </c>
      <c r="AH238" s="111">
        <v>229</v>
      </c>
      <c r="AJ238" s="111" t="str">
        <f t="array" ref="AJ238">IFERROR(INDEX($AH$10:$AH$258, MATCH(0, IF(TRUE=$AE$10:$AE$258, COUNTIF($AJ$9:$AJ237, $AH$10:$AH$258), ""), 0)),"")</f>
        <v/>
      </c>
      <c r="AK238" s="111" t="str">
        <f t="array" ref="AK238">IFERROR(INDEX($AH$10:$AH$258, MATCH(0, IF(TRUE=$AF$10:$AF$258, COUNTIF($AK$9:$AK237, $AH$10:$AH$258), ""), 0)),"")</f>
        <v/>
      </c>
      <c r="AL238" s="30" t="str">
        <f>IFERROR(INDEX('G-6 Hedgerow Data'!$BJ$3:$BJ$15,MATCH(D238,'G-6 Hedgerow Data'!$B$3:$B$15,0)),"")</f>
        <v/>
      </c>
    </row>
    <row r="239" spans="2:38" x14ac:dyDescent="0.25">
      <c r="B239" s="101">
        <v>230</v>
      </c>
      <c r="C239" s="142"/>
      <c r="D239" s="142"/>
      <c r="E239" s="108"/>
      <c r="F239" s="329" t="str">
        <f>IF(D239="","",VLOOKUP(D239,'G-6 Hedgerow Data'!$B$2:$AG$15,2,FALSE))</f>
        <v/>
      </c>
      <c r="G239" s="282" t="str">
        <f>IF(D239="","",VLOOKUP(D239,'G-6 Hedgerow Data'!$B$2:$AG$15,3,FALSE))</f>
        <v/>
      </c>
      <c r="H239" s="105"/>
      <c r="I239" s="282" t="str">
        <f>IFERROR(IF(AND(D239&lt;&gt;"",H239=""),"Check data ⚠", IF(H239="","",IF(AND(D239="Non-native and ornamental hedgerow", H239&lt;&gt;"Poor"),"Not possible ▲", (VLOOKUP(H239,'G-1 All Habitats'!$Z$2:$AA$9,2,FALSE))))),"")</f>
        <v/>
      </c>
      <c r="J239" s="105"/>
      <c r="K239" s="289" t="str">
        <f>IF(AND(D239&lt;&gt;"",J239=""),"Check data ⚠", IF(J239="","",IF(VLOOKUP(J239,'G-3 Multipliers'!$L$3:$N$6,2,FALSE)=0,"Spatial Data Missing",VLOOKUP(J239,'G-3 Multipliers'!$L$3:$N$6,2,FALSE))))</f>
        <v/>
      </c>
      <c r="L239" s="287" t="str">
        <f>IF(J239="","",IF(VLOOKUP(J239,'G-3 Multipliers'!$L$3:$N$6,3,FALSE)=0,"Spatial Data Missing ⚠",VLOOKUP(J239,'G-3 Multipliers'!$L$3:$N$6,3,FALSE)))</f>
        <v/>
      </c>
      <c r="M239" s="288" t="str">
        <f>IF(D239="","",VLOOKUP(D239,'G-6 Hedgerow Data'!$B$1:$AH$15,33,FALSE))</f>
        <v/>
      </c>
      <c r="N239" s="295" t="str">
        <f t="shared" si="23"/>
        <v/>
      </c>
      <c r="O239" s="32"/>
      <c r="P239" s="109"/>
      <c r="Q239" s="142"/>
      <c r="R239" s="312" t="str">
        <f t="shared" si="24"/>
        <v/>
      </c>
      <c r="S239" s="312" t="str">
        <f t="shared" si="25"/>
        <v/>
      </c>
      <c r="T239" s="312" t="str">
        <f t="shared" si="26"/>
        <v/>
      </c>
      <c r="U239" s="333" t="str">
        <f t="shared" si="27"/>
        <v/>
      </c>
      <c r="V239" s="109"/>
      <c r="W239" s="108"/>
      <c r="X239" s="108"/>
      <c r="AE239" s="111" t="str">
        <f t="shared" si="21"/>
        <v/>
      </c>
      <c r="AF239" s="111" t="str">
        <f t="shared" si="22"/>
        <v/>
      </c>
      <c r="AH239" s="111">
        <v>230</v>
      </c>
      <c r="AJ239" s="111" t="str">
        <f t="array" ref="AJ239">IFERROR(INDEX($AH$10:$AH$258, MATCH(0, IF(TRUE=$AE$10:$AE$258, COUNTIF($AJ$9:$AJ238, $AH$10:$AH$258), ""), 0)),"")</f>
        <v/>
      </c>
      <c r="AK239" s="111" t="str">
        <f t="array" ref="AK239">IFERROR(INDEX($AH$10:$AH$258, MATCH(0, IF(TRUE=$AF$10:$AF$258, COUNTIF($AK$9:$AK238, $AH$10:$AH$258), ""), 0)),"")</f>
        <v/>
      </c>
      <c r="AL239" s="30" t="str">
        <f>IFERROR(INDEX('G-6 Hedgerow Data'!$BJ$3:$BJ$15,MATCH(D239,'G-6 Hedgerow Data'!$B$3:$B$15,0)),"")</f>
        <v/>
      </c>
    </row>
    <row r="240" spans="2:38" x14ac:dyDescent="0.25">
      <c r="B240" s="101">
        <v>231</v>
      </c>
      <c r="C240" s="142"/>
      <c r="D240" s="142"/>
      <c r="E240" s="108"/>
      <c r="F240" s="329" t="str">
        <f>IF(D240="","",VLOOKUP(D240,'G-6 Hedgerow Data'!$B$2:$AG$15,2,FALSE))</f>
        <v/>
      </c>
      <c r="G240" s="282" t="str">
        <f>IF(D240="","",VLOOKUP(D240,'G-6 Hedgerow Data'!$B$2:$AG$15,3,FALSE))</f>
        <v/>
      </c>
      <c r="H240" s="105"/>
      <c r="I240" s="282" t="str">
        <f>IFERROR(IF(AND(D240&lt;&gt;"",H240=""),"Check data ⚠", IF(H240="","",IF(AND(D240="Non-native and ornamental hedgerow", H240&lt;&gt;"Poor"),"Not possible ▲", (VLOOKUP(H240,'G-1 All Habitats'!$Z$2:$AA$9,2,FALSE))))),"")</f>
        <v/>
      </c>
      <c r="J240" s="105"/>
      <c r="K240" s="289" t="str">
        <f>IF(AND(D240&lt;&gt;"",J240=""),"Check data ⚠", IF(J240="","",IF(VLOOKUP(J240,'G-3 Multipliers'!$L$3:$N$6,2,FALSE)=0,"Spatial Data Missing",VLOOKUP(J240,'G-3 Multipliers'!$L$3:$N$6,2,FALSE))))</f>
        <v/>
      </c>
      <c r="L240" s="287" t="str">
        <f>IF(J240="","",IF(VLOOKUP(J240,'G-3 Multipliers'!$L$3:$N$6,3,FALSE)=0,"Spatial Data Missing ⚠",VLOOKUP(J240,'G-3 Multipliers'!$L$3:$N$6,3,FALSE)))</f>
        <v/>
      </c>
      <c r="M240" s="288" t="str">
        <f>IF(D240="","",VLOOKUP(D240,'G-6 Hedgerow Data'!$B$1:$AH$15,33,FALSE))</f>
        <v/>
      </c>
      <c r="N240" s="295" t="str">
        <f t="shared" si="23"/>
        <v/>
      </c>
      <c r="O240" s="32"/>
      <c r="P240" s="109"/>
      <c r="Q240" s="142"/>
      <c r="R240" s="312" t="str">
        <f t="shared" si="24"/>
        <v/>
      </c>
      <c r="S240" s="312" t="str">
        <f t="shared" si="25"/>
        <v/>
      </c>
      <c r="T240" s="312" t="str">
        <f t="shared" si="26"/>
        <v/>
      </c>
      <c r="U240" s="333" t="str">
        <f t="shared" si="27"/>
        <v/>
      </c>
      <c r="V240" s="109"/>
      <c r="W240" s="108"/>
      <c r="X240" s="108"/>
      <c r="AE240" s="111" t="str">
        <f t="shared" si="21"/>
        <v/>
      </c>
      <c r="AF240" s="111" t="str">
        <f t="shared" si="22"/>
        <v/>
      </c>
      <c r="AH240" s="111">
        <v>231</v>
      </c>
      <c r="AJ240" s="111" t="str">
        <f t="array" ref="AJ240">IFERROR(INDEX($AH$10:$AH$258, MATCH(0, IF(TRUE=$AE$10:$AE$258, COUNTIF($AJ$9:$AJ239, $AH$10:$AH$258), ""), 0)),"")</f>
        <v/>
      </c>
      <c r="AK240" s="111" t="str">
        <f t="array" ref="AK240">IFERROR(INDEX($AH$10:$AH$258, MATCH(0, IF(TRUE=$AF$10:$AF$258, COUNTIF($AK$9:$AK239, $AH$10:$AH$258), ""), 0)),"")</f>
        <v/>
      </c>
      <c r="AL240" s="30" t="str">
        <f>IFERROR(INDEX('G-6 Hedgerow Data'!$BJ$3:$BJ$15,MATCH(D240,'G-6 Hedgerow Data'!$B$3:$B$15,0)),"")</f>
        <v/>
      </c>
    </row>
    <row r="241" spans="2:38" x14ac:dyDescent="0.25">
      <c r="B241" s="101">
        <v>232</v>
      </c>
      <c r="C241" s="142"/>
      <c r="D241" s="142"/>
      <c r="E241" s="108"/>
      <c r="F241" s="329" t="str">
        <f>IF(D241="","",VLOOKUP(D241,'G-6 Hedgerow Data'!$B$2:$AG$15,2,FALSE))</f>
        <v/>
      </c>
      <c r="G241" s="282" t="str">
        <f>IF(D241="","",VLOOKUP(D241,'G-6 Hedgerow Data'!$B$2:$AG$15,3,FALSE))</f>
        <v/>
      </c>
      <c r="H241" s="105"/>
      <c r="I241" s="282" t="str">
        <f>IFERROR(IF(AND(D241&lt;&gt;"",H241=""),"Check data ⚠", IF(H241="","",IF(AND(D241="Non-native and ornamental hedgerow", H241&lt;&gt;"Poor"),"Not possible ▲", (VLOOKUP(H241,'G-1 All Habitats'!$Z$2:$AA$9,2,FALSE))))),"")</f>
        <v/>
      </c>
      <c r="J241" s="105"/>
      <c r="K241" s="289" t="str">
        <f>IF(AND(D241&lt;&gt;"",J241=""),"Check data ⚠", IF(J241="","",IF(VLOOKUP(J241,'G-3 Multipliers'!$L$3:$N$6,2,FALSE)=0,"Spatial Data Missing",VLOOKUP(J241,'G-3 Multipliers'!$L$3:$N$6,2,FALSE))))</f>
        <v/>
      </c>
      <c r="L241" s="287" t="str">
        <f>IF(J241="","",IF(VLOOKUP(J241,'G-3 Multipliers'!$L$3:$N$6,3,FALSE)=0,"Spatial Data Missing ⚠",VLOOKUP(J241,'G-3 Multipliers'!$L$3:$N$6,3,FALSE)))</f>
        <v/>
      </c>
      <c r="M241" s="288" t="str">
        <f>IF(D241="","",VLOOKUP(D241,'G-6 Hedgerow Data'!$B$1:$AH$15,33,FALSE))</f>
        <v/>
      </c>
      <c r="N241" s="295" t="str">
        <f t="shared" si="23"/>
        <v/>
      </c>
      <c r="O241" s="32"/>
      <c r="P241" s="109"/>
      <c r="Q241" s="142"/>
      <c r="R241" s="312" t="str">
        <f t="shared" si="24"/>
        <v/>
      </c>
      <c r="S241" s="312" t="str">
        <f t="shared" si="25"/>
        <v/>
      </c>
      <c r="T241" s="312" t="str">
        <f t="shared" si="26"/>
        <v/>
      </c>
      <c r="U241" s="333" t="str">
        <f t="shared" si="27"/>
        <v/>
      </c>
      <c r="V241" s="109"/>
      <c r="W241" s="108"/>
      <c r="X241" s="108"/>
      <c r="AE241" s="111" t="str">
        <f t="shared" si="21"/>
        <v/>
      </c>
      <c r="AF241" s="111" t="str">
        <f t="shared" si="22"/>
        <v/>
      </c>
      <c r="AH241" s="111">
        <v>232</v>
      </c>
      <c r="AJ241" s="111" t="str">
        <f t="array" ref="AJ241">IFERROR(INDEX($AH$10:$AH$258, MATCH(0, IF(TRUE=$AE$10:$AE$258, COUNTIF($AJ$9:$AJ240, $AH$10:$AH$258), ""), 0)),"")</f>
        <v/>
      </c>
      <c r="AK241" s="111" t="str">
        <f t="array" ref="AK241">IFERROR(INDEX($AH$10:$AH$258, MATCH(0, IF(TRUE=$AF$10:$AF$258, COUNTIF($AK$9:$AK240, $AH$10:$AH$258), ""), 0)),"")</f>
        <v/>
      </c>
      <c r="AL241" s="30" t="str">
        <f>IFERROR(INDEX('G-6 Hedgerow Data'!$BJ$3:$BJ$15,MATCH(D241,'G-6 Hedgerow Data'!$B$3:$B$15,0)),"")</f>
        <v/>
      </c>
    </row>
    <row r="242" spans="2:38" x14ac:dyDescent="0.25">
      <c r="B242" s="101">
        <v>233</v>
      </c>
      <c r="C242" s="142"/>
      <c r="D242" s="142"/>
      <c r="E242" s="108"/>
      <c r="F242" s="329" t="str">
        <f>IF(D242="","",VLOOKUP(D242,'G-6 Hedgerow Data'!$B$2:$AG$15,2,FALSE))</f>
        <v/>
      </c>
      <c r="G242" s="282" t="str">
        <f>IF(D242="","",VLOOKUP(D242,'G-6 Hedgerow Data'!$B$2:$AG$15,3,FALSE))</f>
        <v/>
      </c>
      <c r="H242" s="105"/>
      <c r="I242" s="282" t="str">
        <f>IFERROR(IF(AND(D242&lt;&gt;"",H242=""),"Check data ⚠", IF(H242="","",IF(AND(D242="Non-native and ornamental hedgerow", H242&lt;&gt;"Poor"),"Not possible ▲", (VLOOKUP(H242,'G-1 All Habitats'!$Z$2:$AA$9,2,FALSE))))),"")</f>
        <v/>
      </c>
      <c r="J242" s="105"/>
      <c r="K242" s="289" t="str">
        <f>IF(AND(D242&lt;&gt;"",J242=""),"Check data ⚠", IF(J242="","",IF(VLOOKUP(J242,'G-3 Multipliers'!$L$3:$N$6,2,FALSE)=0,"Spatial Data Missing",VLOOKUP(J242,'G-3 Multipliers'!$L$3:$N$6,2,FALSE))))</f>
        <v/>
      </c>
      <c r="L242" s="287" t="str">
        <f>IF(J242="","",IF(VLOOKUP(J242,'G-3 Multipliers'!$L$3:$N$6,3,FALSE)=0,"Spatial Data Missing ⚠",VLOOKUP(J242,'G-3 Multipliers'!$L$3:$N$6,3,FALSE)))</f>
        <v/>
      </c>
      <c r="M242" s="288" t="str">
        <f>IF(D242="","",VLOOKUP(D242,'G-6 Hedgerow Data'!$B$1:$AH$15,33,FALSE))</f>
        <v/>
      </c>
      <c r="N242" s="295" t="str">
        <f t="shared" si="23"/>
        <v/>
      </c>
      <c r="O242" s="32"/>
      <c r="P242" s="109"/>
      <c r="Q242" s="142"/>
      <c r="R242" s="312" t="str">
        <f t="shared" si="24"/>
        <v/>
      </c>
      <c r="S242" s="312" t="str">
        <f t="shared" si="25"/>
        <v/>
      </c>
      <c r="T242" s="312" t="str">
        <f t="shared" si="26"/>
        <v/>
      </c>
      <c r="U242" s="333" t="str">
        <f t="shared" si="27"/>
        <v/>
      </c>
      <c r="V242" s="109"/>
      <c r="W242" s="108"/>
      <c r="X242" s="108"/>
      <c r="AE242" s="111" t="str">
        <f t="shared" si="21"/>
        <v/>
      </c>
      <c r="AF242" s="111" t="str">
        <f t="shared" si="22"/>
        <v/>
      </c>
      <c r="AH242" s="111">
        <v>233</v>
      </c>
      <c r="AJ242" s="111" t="str">
        <f t="array" ref="AJ242">IFERROR(INDEX($AH$10:$AH$258, MATCH(0, IF(TRUE=$AE$10:$AE$258, COUNTIF($AJ$9:$AJ241, $AH$10:$AH$258), ""), 0)),"")</f>
        <v/>
      </c>
      <c r="AK242" s="111" t="str">
        <f t="array" ref="AK242">IFERROR(INDEX($AH$10:$AH$258, MATCH(0, IF(TRUE=$AF$10:$AF$258, COUNTIF($AK$9:$AK241, $AH$10:$AH$258), ""), 0)),"")</f>
        <v/>
      </c>
      <c r="AL242" s="30" t="str">
        <f>IFERROR(INDEX('G-6 Hedgerow Data'!$BJ$3:$BJ$15,MATCH(D242,'G-6 Hedgerow Data'!$B$3:$B$15,0)),"")</f>
        <v/>
      </c>
    </row>
    <row r="243" spans="2:38" x14ac:dyDescent="0.25">
      <c r="B243" s="101">
        <v>234</v>
      </c>
      <c r="C243" s="142"/>
      <c r="D243" s="142"/>
      <c r="E243" s="108"/>
      <c r="F243" s="329" t="str">
        <f>IF(D243="","",VLOOKUP(D243,'G-6 Hedgerow Data'!$B$2:$AG$15,2,FALSE))</f>
        <v/>
      </c>
      <c r="G243" s="282" t="str">
        <f>IF(D243="","",VLOOKUP(D243,'G-6 Hedgerow Data'!$B$2:$AG$15,3,FALSE))</f>
        <v/>
      </c>
      <c r="H243" s="105"/>
      <c r="I243" s="282" t="str">
        <f>IFERROR(IF(AND(D243&lt;&gt;"",H243=""),"Check data ⚠", IF(H243="","",IF(AND(D243="Non-native and ornamental hedgerow", H243&lt;&gt;"Poor"),"Not possible ▲", (VLOOKUP(H243,'G-1 All Habitats'!$Z$2:$AA$9,2,FALSE))))),"")</f>
        <v/>
      </c>
      <c r="J243" s="105"/>
      <c r="K243" s="289" t="str">
        <f>IF(AND(D243&lt;&gt;"",J243=""),"Check data ⚠", IF(J243="","",IF(VLOOKUP(J243,'G-3 Multipliers'!$L$3:$N$6,2,FALSE)=0,"Spatial Data Missing",VLOOKUP(J243,'G-3 Multipliers'!$L$3:$N$6,2,FALSE))))</f>
        <v/>
      </c>
      <c r="L243" s="287" t="str">
        <f>IF(J243="","",IF(VLOOKUP(J243,'G-3 Multipliers'!$L$3:$N$6,3,FALSE)=0,"Spatial Data Missing ⚠",VLOOKUP(J243,'G-3 Multipliers'!$L$3:$N$6,3,FALSE)))</f>
        <v/>
      </c>
      <c r="M243" s="288" t="str">
        <f>IF(D243="","",VLOOKUP(D243,'G-6 Hedgerow Data'!$B$1:$AH$15,33,FALSE))</f>
        <v/>
      </c>
      <c r="N243" s="295" t="str">
        <f t="shared" si="23"/>
        <v/>
      </c>
      <c r="O243" s="32"/>
      <c r="P243" s="109"/>
      <c r="Q243" s="142"/>
      <c r="R243" s="312" t="str">
        <f t="shared" si="24"/>
        <v/>
      </c>
      <c r="S243" s="312" t="str">
        <f t="shared" si="25"/>
        <v/>
      </c>
      <c r="T243" s="312" t="str">
        <f t="shared" si="26"/>
        <v/>
      </c>
      <c r="U243" s="333" t="str">
        <f t="shared" si="27"/>
        <v/>
      </c>
      <c r="V243" s="109"/>
      <c r="W243" s="108"/>
      <c r="X243" s="108"/>
      <c r="AE243" s="111" t="str">
        <f t="shared" si="21"/>
        <v/>
      </c>
      <c r="AF243" s="111" t="str">
        <f t="shared" si="22"/>
        <v/>
      </c>
      <c r="AH243" s="111">
        <v>234</v>
      </c>
      <c r="AJ243" s="111" t="str">
        <f t="array" ref="AJ243">IFERROR(INDEX($AH$10:$AH$258, MATCH(0, IF(TRUE=$AE$10:$AE$258, COUNTIF($AJ$9:$AJ242, $AH$10:$AH$258), ""), 0)),"")</f>
        <v/>
      </c>
      <c r="AK243" s="111" t="str">
        <f t="array" ref="AK243">IFERROR(INDEX($AH$10:$AH$258, MATCH(0, IF(TRUE=$AF$10:$AF$258, COUNTIF($AK$9:$AK242, $AH$10:$AH$258), ""), 0)),"")</f>
        <v/>
      </c>
      <c r="AL243" s="30" t="str">
        <f>IFERROR(INDEX('G-6 Hedgerow Data'!$BJ$3:$BJ$15,MATCH(D243,'G-6 Hedgerow Data'!$B$3:$B$15,0)),"")</f>
        <v/>
      </c>
    </row>
    <row r="244" spans="2:38" x14ac:dyDescent="0.25">
      <c r="B244" s="101">
        <v>235</v>
      </c>
      <c r="C244" s="142"/>
      <c r="D244" s="142"/>
      <c r="E244" s="108"/>
      <c r="F244" s="329" t="str">
        <f>IF(D244="","",VLOOKUP(D244,'G-6 Hedgerow Data'!$B$2:$AG$15,2,FALSE))</f>
        <v/>
      </c>
      <c r="G244" s="282" t="str">
        <f>IF(D244="","",VLOOKUP(D244,'G-6 Hedgerow Data'!$B$2:$AG$15,3,FALSE))</f>
        <v/>
      </c>
      <c r="H244" s="105"/>
      <c r="I244" s="282" t="str">
        <f>IFERROR(IF(AND(D244&lt;&gt;"",H244=""),"Check data ⚠", IF(H244="","",IF(AND(D244="Non-native and ornamental hedgerow", H244&lt;&gt;"Poor"),"Not possible ▲", (VLOOKUP(H244,'G-1 All Habitats'!$Z$2:$AA$9,2,FALSE))))),"")</f>
        <v/>
      </c>
      <c r="J244" s="105"/>
      <c r="K244" s="289" t="str">
        <f>IF(AND(D244&lt;&gt;"",J244=""),"Check data ⚠", IF(J244="","",IF(VLOOKUP(J244,'G-3 Multipliers'!$L$3:$N$6,2,FALSE)=0,"Spatial Data Missing",VLOOKUP(J244,'G-3 Multipliers'!$L$3:$N$6,2,FALSE))))</f>
        <v/>
      </c>
      <c r="L244" s="287" t="str">
        <f>IF(J244="","",IF(VLOOKUP(J244,'G-3 Multipliers'!$L$3:$N$6,3,FALSE)=0,"Spatial Data Missing ⚠",VLOOKUP(J244,'G-3 Multipliers'!$L$3:$N$6,3,FALSE)))</f>
        <v/>
      </c>
      <c r="M244" s="288" t="str">
        <f>IF(D244="","",VLOOKUP(D244,'G-6 Hedgerow Data'!$B$1:$AH$15,33,FALSE))</f>
        <v/>
      </c>
      <c r="N244" s="295" t="str">
        <f t="shared" si="23"/>
        <v/>
      </c>
      <c r="O244" s="32"/>
      <c r="P244" s="109"/>
      <c r="Q244" s="142"/>
      <c r="R244" s="312" t="str">
        <f t="shared" si="24"/>
        <v/>
      </c>
      <c r="S244" s="312" t="str">
        <f t="shared" si="25"/>
        <v/>
      </c>
      <c r="T244" s="312" t="str">
        <f t="shared" si="26"/>
        <v/>
      </c>
      <c r="U244" s="333" t="str">
        <f t="shared" si="27"/>
        <v/>
      </c>
      <c r="V244" s="109"/>
      <c r="W244" s="108"/>
      <c r="X244" s="108"/>
      <c r="AE244" s="111" t="str">
        <f t="shared" si="21"/>
        <v/>
      </c>
      <c r="AF244" s="111" t="str">
        <f t="shared" si="22"/>
        <v/>
      </c>
      <c r="AH244" s="111">
        <v>235</v>
      </c>
      <c r="AJ244" s="111" t="str">
        <f t="array" ref="AJ244">IFERROR(INDEX($AH$10:$AH$258, MATCH(0, IF(TRUE=$AE$10:$AE$258, COUNTIF($AJ$9:$AJ243, $AH$10:$AH$258), ""), 0)),"")</f>
        <v/>
      </c>
      <c r="AK244" s="111" t="str">
        <f t="array" ref="AK244">IFERROR(INDEX($AH$10:$AH$258, MATCH(0, IF(TRUE=$AF$10:$AF$258, COUNTIF($AK$9:$AK243, $AH$10:$AH$258), ""), 0)),"")</f>
        <v/>
      </c>
      <c r="AL244" s="30" t="str">
        <f>IFERROR(INDEX('G-6 Hedgerow Data'!$BJ$3:$BJ$15,MATCH(D244,'G-6 Hedgerow Data'!$B$3:$B$15,0)),"")</f>
        <v/>
      </c>
    </row>
    <row r="245" spans="2:38" x14ac:dyDescent="0.25">
      <c r="B245" s="101">
        <v>236</v>
      </c>
      <c r="C245" s="142"/>
      <c r="D245" s="142"/>
      <c r="E245" s="108"/>
      <c r="F245" s="329" t="str">
        <f>IF(D245="","",VLOOKUP(D245,'G-6 Hedgerow Data'!$B$2:$AG$15,2,FALSE))</f>
        <v/>
      </c>
      <c r="G245" s="282" t="str">
        <f>IF(D245="","",VLOOKUP(D245,'G-6 Hedgerow Data'!$B$2:$AG$15,3,FALSE))</f>
        <v/>
      </c>
      <c r="H245" s="105"/>
      <c r="I245" s="282" t="str">
        <f>IFERROR(IF(AND(D245&lt;&gt;"",H245=""),"Check data ⚠", IF(H245="","",IF(AND(D245="Non-native and ornamental hedgerow", H245&lt;&gt;"Poor"),"Not possible ▲", (VLOOKUP(H245,'G-1 All Habitats'!$Z$2:$AA$9,2,FALSE))))),"")</f>
        <v/>
      </c>
      <c r="J245" s="105"/>
      <c r="K245" s="289" t="str">
        <f>IF(AND(D245&lt;&gt;"",J245=""),"Check data ⚠", IF(J245="","",IF(VLOOKUP(J245,'G-3 Multipliers'!$L$3:$N$6,2,FALSE)=0,"Spatial Data Missing",VLOOKUP(J245,'G-3 Multipliers'!$L$3:$N$6,2,FALSE))))</f>
        <v/>
      </c>
      <c r="L245" s="287" t="str">
        <f>IF(J245="","",IF(VLOOKUP(J245,'G-3 Multipliers'!$L$3:$N$6,3,FALSE)=0,"Spatial Data Missing ⚠",VLOOKUP(J245,'G-3 Multipliers'!$L$3:$N$6,3,FALSE)))</f>
        <v/>
      </c>
      <c r="M245" s="288" t="str">
        <f>IF(D245="","",VLOOKUP(D245,'G-6 Hedgerow Data'!$B$1:$AH$15,33,FALSE))</f>
        <v/>
      </c>
      <c r="N245" s="295" t="str">
        <f t="shared" si="23"/>
        <v/>
      </c>
      <c r="O245" s="32"/>
      <c r="P245" s="109"/>
      <c r="Q245" s="142"/>
      <c r="R245" s="312" t="str">
        <f t="shared" si="24"/>
        <v/>
      </c>
      <c r="S245" s="312" t="str">
        <f t="shared" si="25"/>
        <v/>
      </c>
      <c r="T245" s="312" t="str">
        <f t="shared" si="26"/>
        <v/>
      </c>
      <c r="U245" s="333" t="str">
        <f t="shared" si="27"/>
        <v/>
      </c>
      <c r="V245" s="109"/>
      <c r="W245" s="108"/>
      <c r="X245" s="108"/>
      <c r="AE245" s="111" t="str">
        <f t="shared" si="21"/>
        <v/>
      </c>
      <c r="AF245" s="111" t="str">
        <f t="shared" si="22"/>
        <v/>
      </c>
      <c r="AH245" s="111">
        <v>236</v>
      </c>
      <c r="AJ245" s="111" t="str">
        <f t="array" ref="AJ245">IFERROR(INDEX($AH$10:$AH$258, MATCH(0, IF(TRUE=$AE$10:$AE$258, COUNTIF($AJ$9:$AJ244, $AH$10:$AH$258), ""), 0)),"")</f>
        <v/>
      </c>
      <c r="AK245" s="111" t="str">
        <f t="array" ref="AK245">IFERROR(INDEX($AH$10:$AH$258, MATCH(0, IF(TRUE=$AF$10:$AF$258, COUNTIF($AK$9:$AK244, $AH$10:$AH$258), ""), 0)),"")</f>
        <v/>
      </c>
      <c r="AL245" s="30" t="str">
        <f>IFERROR(INDEX('G-6 Hedgerow Data'!$BJ$3:$BJ$15,MATCH(D245,'G-6 Hedgerow Data'!$B$3:$B$15,0)),"")</f>
        <v/>
      </c>
    </row>
    <row r="246" spans="2:38" x14ac:dyDescent="0.25">
      <c r="B246" s="101">
        <v>237</v>
      </c>
      <c r="C246" s="142"/>
      <c r="D246" s="142"/>
      <c r="E246" s="108"/>
      <c r="F246" s="329" t="str">
        <f>IF(D246="","",VLOOKUP(D246,'G-6 Hedgerow Data'!$B$2:$AG$15,2,FALSE))</f>
        <v/>
      </c>
      <c r="G246" s="282" t="str">
        <f>IF(D246="","",VLOOKUP(D246,'G-6 Hedgerow Data'!$B$2:$AG$15,3,FALSE))</f>
        <v/>
      </c>
      <c r="H246" s="105"/>
      <c r="I246" s="282" t="str">
        <f>IFERROR(IF(AND(D246&lt;&gt;"",H246=""),"Check data ⚠", IF(H246="","",IF(AND(D246="Non-native and ornamental hedgerow", H246&lt;&gt;"Poor"),"Not possible ▲", (VLOOKUP(H246,'G-1 All Habitats'!$Z$2:$AA$9,2,FALSE))))),"")</f>
        <v/>
      </c>
      <c r="J246" s="105"/>
      <c r="K246" s="289" t="str">
        <f>IF(AND(D246&lt;&gt;"",J246=""),"Check data ⚠", IF(J246="","",IF(VLOOKUP(J246,'G-3 Multipliers'!$L$3:$N$6,2,FALSE)=0,"Spatial Data Missing",VLOOKUP(J246,'G-3 Multipliers'!$L$3:$N$6,2,FALSE))))</f>
        <v/>
      </c>
      <c r="L246" s="287" t="str">
        <f>IF(J246="","",IF(VLOOKUP(J246,'G-3 Multipliers'!$L$3:$N$6,3,FALSE)=0,"Spatial Data Missing ⚠",VLOOKUP(J246,'G-3 Multipliers'!$L$3:$N$6,3,FALSE)))</f>
        <v/>
      </c>
      <c r="M246" s="288" t="str">
        <f>IF(D246="","",VLOOKUP(D246,'G-6 Hedgerow Data'!$B$1:$AH$15,33,FALSE))</f>
        <v/>
      </c>
      <c r="N246" s="295" t="str">
        <f t="shared" si="23"/>
        <v/>
      </c>
      <c r="O246" s="32"/>
      <c r="P246" s="109"/>
      <c r="Q246" s="142"/>
      <c r="R246" s="312" t="str">
        <f t="shared" si="24"/>
        <v/>
      </c>
      <c r="S246" s="312" t="str">
        <f t="shared" si="25"/>
        <v/>
      </c>
      <c r="T246" s="312" t="str">
        <f t="shared" si="26"/>
        <v/>
      </c>
      <c r="U246" s="333" t="str">
        <f t="shared" si="27"/>
        <v/>
      </c>
      <c r="V246" s="109"/>
      <c r="W246" s="108"/>
      <c r="X246" s="108"/>
      <c r="AE246" s="111" t="str">
        <f t="shared" si="21"/>
        <v/>
      </c>
      <c r="AF246" s="111" t="str">
        <f t="shared" si="22"/>
        <v/>
      </c>
      <c r="AH246" s="111">
        <v>237</v>
      </c>
      <c r="AJ246" s="111" t="str">
        <f t="array" ref="AJ246">IFERROR(INDEX($AH$10:$AH$258, MATCH(0, IF(TRUE=$AE$10:$AE$258, COUNTIF($AJ$9:$AJ245, $AH$10:$AH$258), ""), 0)),"")</f>
        <v/>
      </c>
      <c r="AK246" s="111" t="str">
        <f t="array" ref="AK246">IFERROR(INDEX($AH$10:$AH$258, MATCH(0, IF(TRUE=$AF$10:$AF$258, COUNTIF($AK$9:$AK245, $AH$10:$AH$258), ""), 0)),"")</f>
        <v/>
      </c>
      <c r="AL246" s="30" t="str">
        <f>IFERROR(INDEX('G-6 Hedgerow Data'!$BJ$3:$BJ$15,MATCH(D246,'G-6 Hedgerow Data'!$B$3:$B$15,0)),"")</f>
        <v/>
      </c>
    </row>
    <row r="247" spans="2:38" x14ac:dyDescent="0.25">
      <c r="B247" s="101">
        <v>238</v>
      </c>
      <c r="C247" s="142"/>
      <c r="D247" s="142"/>
      <c r="E247" s="108"/>
      <c r="F247" s="329" t="str">
        <f>IF(D247="","",VLOOKUP(D247,'G-6 Hedgerow Data'!$B$2:$AG$15,2,FALSE))</f>
        <v/>
      </c>
      <c r="G247" s="282" t="str">
        <f>IF(D247="","",VLOOKUP(D247,'G-6 Hedgerow Data'!$B$2:$AG$15,3,FALSE))</f>
        <v/>
      </c>
      <c r="H247" s="105"/>
      <c r="I247" s="282" t="str">
        <f>IFERROR(IF(AND(D247&lt;&gt;"",H247=""),"Check data ⚠", IF(H247="","",IF(AND(D247="Non-native and ornamental hedgerow", H247&lt;&gt;"Poor"),"Not possible ▲", (VLOOKUP(H247,'G-1 All Habitats'!$Z$2:$AA$9,2,FALSE))))),"")</f>
        <v/>
      </c>
      <c r="J247" s="105"/>
      <c r="K247" s="289" t="str">
        <f>IF(AND(D247&lt;&gt;"",J247=""),"Check data ⚠", IF(J247="","",IF(VLOOKUP(J247,'G-3 Multipliers'!$L$3:$N$6,2,FALSE)=0,"Spatial Data Missing",VLOOKUP(J247,'G-3 Multipliers'!$L$3:$N$6,2,FALSE))))</f>
        <v/>
      </c>
      <c r="L247" s="287" t="str">
        <f>IF(J247="","",IF(VLOOKUP(J247,'G-3 Multipliers'!$L$3:$N$6,3,FALSE)=0,"Spatial Data Missing ⚠",VLOOKUP(J247,'G-3 Multipliers'!$L$3:$N$6,3,FALSE)))</f>
        <v/>
      </c>
      <c r="M247" s="288" t="str">
        <f>IF(D247="","",VLOOKUP(D247,'G-6 Hedgerow Data'!$B$1:$AH$15,33,FALSE))</f>
        <v/>
      </c>
      <c r="N247" s="295" t="str">
        <f t="shared" si="23"/>
        <v/>
      </c>
      <c r="O247" s="32"/>
      <c r="P247" s="109"/>
      <c r="Q247" s="142"/>
      <c r="R247" s="312" t="str">
        <f t="shared" si="24"/>
        <v/>
      </c>
      <c r="S247" s="312" t="str">
        <f t="shared" si="25"/>
        <v/>
      </c>
      <c r="T247" s="312" t="str">
        <f t="shared" si="26"/>
        <v/>
      </c>
      <c r="U247" s="333" t="str">
        <f t="shared" si="27"/>
        <v/>
      </c>
      <c r="V247" s="109"/>
      <c r="W247" s="108"/>
      <c r="X247" s="108"/>
      <c r="AE247" s="111" t="str">
        <f t="shared" si="21"/>
        <v/>
      </c>
      <c r="AF247" s="111" t="str">
        <f t="shared" si="22"/>
        <v/>
      </c>
      <c r="AH247" s="111">
        <v>238</v>
      </c>
      <c r="AJ247" s="111" t="str">
        <f t="array" ref="AJ247">IFERROR(INDEX($AH$10:$AH$258, MATCH(0, IF(TRUE=$AE$10:$AE$258, COUNTIF($AJ$9:$AJ246, $AH$10:$AH$258), ""), 0)),"")</f>
        <v/>
      </c>
      <c r="AK247" s="111" t="str">
        <f t="array" ref="AK247">IFERROR(INDEX($AH$10:$AH$258, MATCH(0, IF(TRUE=$AF$10:$AF$258, COUNTIF($AK$9:$AK246, $AH$10:$AH$258), ""), 0)),"")</f>
        <v/>
      </c>
      <c r="AL247" s="30" t="str">
        <f>IFERROR(INDEX('G-6 Hedgerow Data'!$BJ$3:$BJ$15,MATCH(D247,'G-6 Hedgerow Data'!$B$3:$B$15,0)),"")</f>
        <v/>
      </c>
    </row>
    <row r="248" spans="2:38" x14ac:dyDescent="0.25">
      <c r="B248" s="101">
        <v>239</v>
      </c>
      <c r="C248" s="142"/>
      <c r="D248" s="142"/>
      <c r="E248" s="108"/>
      <c r="F248" s="329" t="str">
        <f>IF(D248="","",VLOOKUP(D248,'G-6 Hedgerow Data'!$B$2:$AG$15,2,FALSE))</f>
        <v/>
      </c>
      <c r="G248" s="282" t="str">
        <f>IF(D248="","",VLOOKUP(D248,'G-6 Hedgerow Data'!$B$2:$AG$15,3,FALSE))</f>
        <v/>
      </c>
      <c r="H248" s="105"/>
      <c r="I248" s="282" t="str">
        <f>IFERROR(IF(AND(D248&lt;&gt;"",H248=""),"Check data ⚠", IF(H248="","",IF(AND(D248="Non-native and ornamental hedgerow", H248&lt;&gt;"Poor"),"Not possible ▲", (VLOOKUP(H248,'G-1 All Habitats'!$Z$2:$AA$9,2,FALSE))))),"")</f>
        <v/>
      </c>
      <c r="J248" s="105"/>
      <c r="K248" s="289" t="str">
        <f>IF(AND(D248&lt;&gt;"",J248=""),"Check data ⚠", IF(J248="","",IF(VLOOKUP(J248,'G-3 Multipliers'!$L$3:$N$6,2,FALSE)=0,"Spatial Data Missing",VLOOKUP(J248,'G-3 Multipliers'!$L$3:$N$6,2,FALSE))))</f>
        <v/>
      </c>
      <c r="L248" s="287" t="str">
        <f>IF(J248="","",IF(VLOOKUP(J248,'G-3 Multipliers'!$L$3:$N$6,3,FALSE)=0,"Spatial Data Missing ⚠",VLOOKUP(J248,'G-3 Multipliers'!$L$3:$N$6,3,FALSE)))</f>
        <v/>
      </c>
      <c r="M248" s="288" t="str">
        <f>IF(D248="","",VLOOKUP(D248,'G-6 Hedgerow Data'!$B$1:$AH$15,33,FALSE))</f>
        <v/>
      </c>
      <c r="N248" s="295" t="str">
        <f t="shared" si="23"/>
        <v/>
      </c>
      <c r="O248" s="32"/>
      <c r="P248" s="109"/>
      <c r="Q248" s="142"/>
      <c r="R248" s="312" t="str">
        <f t="shared" si="24"/>
        <v/>
      </c>
      <c r="S248" s="312" t="str">
        <f t="shared" si="25"/>
        <v/>
      </c>
      <c r="T248" s="312" t="str">
        <f t="shared" si="26"/>
        <v/>
      </c>
      <c r="U248" s="333" t="str">
        <f t="shared" si="27"/>
        <v/>
      </c>
      <c r="V248" s="109"/>
      <c r="W248" s="108"/>
      <c r="X248" s="108"/>
      <c r="AE248" s="111" t="str">
        <f t="shared" si="21"/>
        <v/>
      </c>
      <c r="AF248" s="111" t="str">
        <f t="shared" si="22"/>
        <v/>
      </c>
      <c r="AH248" s="111">
        <v>239</v>
      </c>
      <c r="AJ248" s="111" t="str">
        <f t="array" ref="AJ248">IFERROR(INDEX($AH$10:$AH$258, MATCH(0, IF(TRUE=$AE$10:$AE$258, COUNTIF($AJ$9:$AJ247, $AH$10:$AH$258), ""), 0)),"")</f>
        <v/>
      </c>
      <c r="AK248" s="111" t="str">
        <f t="array" ref="AK248">IFERROR(INDEX($AH$10:$AH$258, MATCH(0, IF(TRUE=$AF$10:$AF$258, COUNTIF($AK$9:$AK247, $AH$10:$AH$258), ""), 0)),"")</f>
        <v/>
      </c>
      <c r="AL248" s="30" t="str">
        <f>IFERROR(INDEX('G-6 Hedgerow Data'!$BJ$3:$BJ$15,MATCH(D248,'G-6 Hedgerow Data'!$B$3:$B$15,0)),"")</f>
        <v/>
      </c>
    </row>
    <row r="249" spans="2:38" x14ac:dyDescent="0.25">
      <c r="B249" s="101">
        <v>240</v>
      </c>
      <c r="C249" s="142"/>
      <c r="D249" s="142"/>
      <c r="E249" s="108"/>
      <c r="F249" s="329" t="str">
        <f>IF(D249="","",VLOOKUP(D249,'G-6 Hedgerow Data'!$B$2:$AG$15,2,FALSE))</f>
        <v/>
      </c>
      <c r="G249" s="282" t="str">
        <f>IF(D249="","",VLOOKUP(D249,'G-6 Hedgerow Data'!$B$2:$AG$15,3,FALSE))</f>
        <v/>
      </c>
      <c r="H249" s="105"/>
      <c r="I249" s="282" t="str">
        <f>IFERROR(IF(AND(D249&lt;&gt;"",H249=""),"Check data ⚠", IF(H249="","",IF(AND(D249="Non-native and ornamental hedgerow", H249&lt;&gt;"Poor"),"Not possible ▲", (VLOOKUP(H249,'G-1 All Habitats'!$Z$2:$AA$9,2,FALSE))))),"")</f>
        <v/>
      </c>
      <c r="J249" s="105"/>
      <c r="K249" s="289" t="str">
        <f>IF(AND(D249&lt;&gt;"",J249=""),"Check data ⚠", IF(J249="","",IF(VLOOKUP(J249,'G-3 Multipliers'!$L$3:$N$6,2,FALSE)=0,"Spatial Data Missing",VLOOKUP(J249,'G-3 Multipliers'!$L$3:$N$6,2,FALSE))))</f>
        <v/>
      </c>
      <c r="L249" s="287" t="str">
        <f>IF(J249="","",IF(VLOOKUP(J249,'G-3 Multipliers'!$L$3:$N$6,3,FALSE)=0,"Spatial Data Missing ⚠",VLOOKUP(J249,'G-3 Multipliers'!$L$3:$N$6,3,FALSE)))</f>
        <v/>
      </c>
      <c r="M249" s="288" t="str">
        <f>IF(D249="","",VLOOKUP(D249,'G-6 Hedgerow Data'!$B$1:$AH$15,33,FALSE))</f>
        <v/>
      </c>
      <c r="N249" s="295" t="str">
        <f t="shared" si="23"/>
        <v/>
      </c>
      <c r="O249" s="32"/>
      <c r="P249" s="109"/>
      <c r="Q249" s="142"/>
      <c r="R249" s="312" t="str">
        <f t="shared" si="24"/>
        <v/>
      </c>
      <c r="S249" s="312" t="str">
        <f t="shared" si="25"/>
        <v/>
      </c>
      <c r="T249" s="312" t="str">
        <f t="shared" si="26"/>
        <v/>
      </c>
      <c r="U249" s="333" t="str">
        <f t="shared" si="27"/>
        <v/>
      </c>
      <c r="V249" s="109"/>
      <c r="W249" s="108"/>
      <c r="X249" s="108"/>
      <c r="AE249" s="111" t="str">
        <f t="shared" si="21"/>
        <v/>
      </c>
      <c r="AF249" s="111" t="str">
        <f t="shared" si="22"/>
        <v/>
      </c>
      <c r="AH249" s="111">
        <v>240</v>
      </c>
      <c r="AJ249" s="111" t="str">
        <f t="array" ref="AJ249">IFERROR(INDEX($AH$10:$AH$258, MATCH(0, IF(TRUE=$AE$10:$AE$258, COUNTIF($AJ$9:$AJ248, $AH$10:$AH$258), ""), 0)),"")</f>
        <v/>
      </c>
      <c r="AK249" s="111" t="str">
        <f t="array" ref="AK249">IFERROR(INDEX($AH$10:$AH$258, MATCH(0, IF(TRUE=$AF$10:$AF$258, COUNTIF($AK$9:$AK248, $AH$10:$AH$258), ""), 0)),"")</f>
        <v/>
      </c>
      <c r="AL249" s="30" t="str">
        <f>IFERROR(INDEX('G-6 Hedgerow Data'!$BJ$3:$BJ$15,MATCH(D249,'G-6 Hedgerow Data'!$B$3:$B$15,0)),"")</f>
        <v/>
      </c>
    </row>
    <row r="250" spans="2:38" x14ac:dyDescent="0.25">
      <c r="B250" s="101">
        <v>241</v>
      </c>
      <c r="C250" s="142"/>
      <c r="D250" s="142"/>
      <c r="E250" s="108"/>
      <c r="F250" s="329" t="str">
        <f>IF(D250="","",VLOOKUP(D250,'G-6 Hedgerow Data'!$B$2:$AG$15,2,FALSE))</f>
        <v/>
      </c>
      <c r="G250" s="282" t="str">
        <f>IF(D250="","",VLOOKUP(D250,'G-6 Hedgerow Data'!$B$2:$AG$15,3,FALSE))</f>
        <v/>
      </c>
      <c r="H250" s="105"/>
      <c r="I250" s="282" t="str">
        <f>IFERROR(IF(AND(D250&lt;&gt;"",H250=""),"Check data ⚠", IF(H250="","",IF(AND(D250="Non-native and ornamental hedgerow", H250&lt;&gt;"Poor"),"Not possible ▲", (VLOOKUP(H250,'G-1 All Habitats'!$Z$2:$AA$9,2,FALSE))))),"")</f>
        <v/>
      </c>
      <c r="J250" s="105"/>
      <c r="K250" s="289" t="str">
        <f>IF(AND(D250&lt;&gt;"",J250=""),"Check data ⚠", IF(J250="","",IF(VLOOKUP(J250,'G-3 Multipliers'!$L$3:$N$6,2,FALSE)=0,"Spatial Data Missing",VLOOKUP(J250,'G-3 Multipliers'!$L$3:$N$6,2,FALSE))))</f>
        <v/>
      </c>
      <c r="L250" s="287" t="str">
        <f>IF(J250="","",IF(VLOOKUP(J250,'G-3 Multipliers'!$L$3:$N$6,3,FALSE)=0,"Spatial Data Missing ⚠",VLOOKUP(J250,'G-3 Multipliers'!$L$3:$N$6,3,FALSE)))</f>
        <v/>
      </c>
      <c r="M250" s="288" t="str">
        <f>IF(D250="","",VLOOKUP(D250,'G-6 Hedgerow Data'!$B$1:$AH$15,33,FALSE))</f>
        <v/>
      </c>
      <c r="N250" s="295" t="str">
        <f t="shared" si="23"/>
        <v/>
      </c>
      <c r="O250" s="32"/>
      <c r="P250" s="109"/>
      <c r="Q250" s="142"/>
      <c r="R250" s="312" t="str">
        <f t="shared" si="24"/>
        <v/>
      </c>
      <c r="S250" s="312" t="str">
        <f t="shared" si="25"/>
        <v/>
      </c>
      <c r="T250" s="312" t="str">
        <f t="shared" si="26"/>
        <v/>
      </c>
      <c r="U250" s="333" t="str">
        <f t="shared" si="27"/>
        <v/>
      </c>
      <c r="V250" s="109"/>
      <c r="W250" s="108"/>
      <c r="X250" s="108"/>
      <c r="AE250" s="111" t="str">
        <f t="shared" si="21"/>
        <v/>
      </c>
      <c r="AF250" s="111" t="str">
        <f t="shared" si="22"/>
        <v/>
      </c>
      <c r="AH250" s="111">
        <v>241</v>
      </c>
      <c r="AJ250" s="111" t="str">
        <f t="array" ref="AJ250">IFERROR(INDEX($AH$10:$AH$258, MATCH(0, IF(TRUE=$AE$10:$AE$258, COUNTIF($AJ$9:$AJ249, $AH$10:$AH$258), ""), 0)),"")</f>
        <v/>
      </c>
      <c r="AK250" s="111" t="str">
        <f t="array" ref="AK250">IFERROR(INDEX($AH$10:$AH$258, MATCH(0, IF(TRUE=$AF$10:$AF$258, COUNTIF($AK$9:$AK249, $AH$10:$AH$258), ""), 0)),"")</f>
        <v/>
      </c>
      <c r="AL250" s="30" t="str">
        <f>IFERROR(INDEX('G-6 Hedgerow Data'!$BJ$3:$BJ$15,MATCH(D250,'G-6 Hedgerow Data'!$B$3:$B$15,0)),"")</f>
        <v/>
      </c>
    </row>
    <row r="251" spans="2:38" x14ac:dyDescent="0.25">
      <c r="B251" s="101">
        <v>242</v>
      </c>
      <c r="C251" s="142"/>
      <c r="D251" s="142"/>
      <c r="E251" s="108"/>
      <c r="F251" s="329" t="str">
        <f>IF(D251="","",VLOOKUP(D251,'G-6 Hedgerow Data'!$B$2:$AG$15,2,FALSE))</f>
        <v/>
      </c>
      <c r="G251" s="282" t="str">
        <f>IF(D251="","",VLOOKUP(D251,'G-6 Hedgerow Data'!$B$2:$AG$15,3,FALSE))</f>
        <v/>
      </c>
      <c r="H251" s="105"/>
      <c r="I251" s="282" t="str">
        <f>IFERROR(IF(AND(D251&lt;&gt;"",H251=""),"Check data ⚠", IF(H251="","",IF(AND(D251="Non-native and ornamental hedgerow", H251&lt;&gt;"Poor"),"Not possible ▲", (VLOOKUP(H251,'G-1 All Habitats'!$Z$2:$AA$9,2,FALSE))))),"")</f>
        <v/>
      </c>
      <c r="J251" s="105"/>
      <c r="K251" s="289" t="str">
        <f>IF(AND(D251&lt;&gt;"",J251=""),"Check data ⚠", IF(J251="","",IF(VLOOKUP(J251,'G-3 Multipliers'!$L$3:$N$6,2,FALSE)=0,"Spatial Data Missing",VLOOKUP(J251,'G-3 Multipliers'!$L$3:$N$6,2,FALSE))))</f>
        <v/>
      </c>
      <c r="L251" s="287" t="str">
        <f>IF(J251="","",IF(VLOOKUP(J251,'G-3 Multipliers'!$L$3:$N$6,3,FALSE)=0,"Spatial Data Missing ⚠",VLOOKUP(J251,'G-3 Multipliers'!$L$3:$N$6,3,FALSE)))</f>
        <v/>
      </c>
      <c r="M251" s="288" t="str">
        <f>IF(D251="","",VLOOKUP(D251,'G-6 Hedgerow Data'!$B$1:$AH$15,33,FALSE))</f>
        <v/>
      </c>
      <c r="N251" s="295" t="str">
        <f t="shared" si="23"/>
        <v/>
      </c>
      <c r="O251" s="32"/>
      <c r="P251" s="109"/>
      <c r="Q251" s="142"/>
      <c r="R251" s="312" t="str">
        <f t="shared" si="24"/>
        <v/>
      </c>
      <c r="S251" s="312" t="str">
        <f t="shared" si="25"/>
        <v/>
      </c>
      <c r="T251" s="312" t="str">
        <f t="shared" si="26"/>
        <v/>
      </c>
      <c r="U251" s="333" t="str">
        <f t="shared" si="27"/>
        <v/>
      </c>
      <c r="V251" s="109"/>
      <c r="W251" s="108"/>
      <c r="X251" s="108"/>
      <c r="AE251" s="111" t="str">
        <f t="shared" si="21"/>
        <v/>
      </c>
      <c r="AF251" s="111" t="str">
        <f t="shared" si="22"/>
        <v/>
      </c>
      <c r="AH251" s="111">
        <v>242</v>
      </c>
      <c r="AJ251" s="111" t="str">
        <f t="array" ref="AJ251">IFERROR(INDEX($AH$10:$AH$258, MATCH(0, IF(TRUE=$AE$10:$AE$258, COUNTIF($AJ$9:$AJ250, $AH$10:$AH$258), ""), 0)),"")</f>
        <v/>
      </c>
      <c r="AK251" s="111" t="str">
        <f t="array" ref="AK251">IFERROR(INDEX($AH$10:$AH$258, MATCH(0, IF(TRUE=$AF$10:$AF$258, COUNTIF($AK$9:$AK250, $AH$10:$AH$258), ""), 0)),"")</f>
        <v/>
      </c>
      <c r="AL251" s="30" t="str">
        <f>IFERROR(INDEX('G-6 Hedgerow Data'!$BJ$3:$BJ$15,MATCH(D251,'G-6 Hedgerow Data'!$B$3:$B$15,0)),"")</f>
        <v/>
      </c>
    </row>
    <row r="252" spans="2:38" x14ac:dyDescent="0.25">
      <c r="B252" s="101">
        <v>243</v>
      </c>
      <c r="C252" s="142"/>
      <c r="D252" s="142"/>
      <c r="E252" s="108"/>
      <c r="F252" s="329" t="str">
        <f>IF(D252="","",VLOOKUP(D252,'G-6 Hedgerow Data'!$B$2:$AG$15,2,FALSE))</f>
        <v/>
      </c>
      <c r="G252" s="282" t="str">
        <f>IF(D252="","",VLOOKUP(D252,'G-6 Hedgerow Data'!$B$2:$AG$15,3,FALSE))</f>
        <v/>
      </c>
      <c r="H252" s="105"/>
      <c r="I252" s="282" t="str">
        <f>IFERROR(IF(AND(D252&lt;&gt;"",H252=""),"Check data ⚠", IF(H252="","",IF(AND(D252="Non-native and ornamental hedgerow", H252&lt;&gt;"Poor"),"Not possible ▲", (VLOOKUP(H252,'G-1 All Habitats'!$Z$2:$AA$9,2,FALSE))))),"")</f>
        <v/>
      </c>
      <c r="J252" s="105"/>
      <c r="K252" s="289" t="str">
        <f>IF(AND(D252&lt;&gt;"",J252=""),"Check data ⚠", IF(J252="","",IF(VLOOKUP(J252,'G-3 Multipliers'!$L$3:$N$6,2,FALSE)=0,"Spatial Data Missing",VLOOKUP(J252,'G-3 Multipliers'!$L$3:$N$6,2,FALSE))))</f>
        <v/>
      </c>
      <c r="L252" s="287" t="str">
        <f>IF(J252="","",IF(VLOOKUP(J252,'G-3 Multipliers'!$L$3:$N$6,3,FALSE)=0,"Spatial Data Missing ⚠",VLOOKUP(J252,'G-3 Multipliers'!$L$3:$N$6,3,FALSE)))</f>
        <v/>
      </c>
      <c r="M252" s="288" t="str">
        <f>IF(D252="","",VLOOKUP(D252,'G-6 Hedgerow Data'!$B$1:$AH$15,33,FALSE))</f>
        <v/>
      </c>
      <c r="N252" s="295" t="str">
        <f t="shared" si="23"/>
        <v/>
      </c>
      <c r="O252" s="32"/>
      <c r="P252" s="109"/>
      <c r="Q252" s="142"/>
      <c r="R252" s="312" t="str">
        <f t="shared" si="24"/>
        <v/>
      </c>
      <c r="S252" s="312" t="str">
        <f t="shared" si="25"/>
        <v/>
      </c>
      <c r="T252" s="312" t="str">
        <f t="shared" si="26"/>
        <v/>
      </c>
      <c r="U252" s="333" t="str">
        <f t="shared" si="27"/>
        <v/>
      </c>
      <c r="V252" s="109"/>
      <c r="W252" s="108"/>
      <c r="X252" s="108"/>
      <c r="AE252" s="111" t="str">
        <f t="shared" si="21"/>
        <v/>
      </c>
      <c r="AF252" s="111" t="str">
        <f t="shared" si="22"/>
        <v/>
      </c>
      <c r="AH252" s="111">
        <v>243</v>
      </c>
      <c r="AJ252" s="111" t="str">
        <f t="array" ref="AJ252">IFERROR(INDEX($AH$10:$AH$258, MATCH(0, IF(TRUE=$AE$10:$AE$258, COUNTIF($AJ$9:$AJ251, $AH$10:$AH$258), ""), 0)),"")</f>
        <v/>
      </c>
      <c r="AK252" s="111" t="str">
        <f t="array" ref="AK252">IFERROR(INDEX($AH$10:$AH$258, MATCH(0, IF(TRUE=$AF$10:$AF$258, COUNTIF($AK$9:$AK251, $AH$10:$AH$258), ""), 0)),"")</f>
        <v/>
      </c>
      <c r="AL252" s="30" t="str">
        <f>IFERROR(INDEX('G-6 Hedgerow Data'!$BJ$3:$BJ$15,MATCH(D252,'G-6 Hedgerow Data'!$B$3:$B$15,0)),"")</f>
        <v/>
      </c>
    </row>
    <row r="253" spans="2:38" x14ac:dyDescent="0.25">
      <c r="B253" s="101">
        <v>244</v>
      </c>
      <c r="C253" s="142"/>
      <c r="D253" s="142"/>
      <c r="E253" s="108"/>
      <c r="F253" s="329" t="str">
        <f>IF(D253="","",VLOOKUP(D253,'G-6 Hedgerow Data'!$B$2:$AG$15,2,FALSE))</f>
        <v/>
      </c>
      <c r="G253" s="282" t="str">
        <f>IF(D253="","",VLOOKUP(D253,'G-6 Hedgerow Data'!$B$2:$AG$15,3,FALSE))</f>
        <v/>
      </c>
      <c r="H253" s="105"/>
      <c r="I253" s="282" t="str">
        <f>IFERROR(IF(AND(D253&lt;&gt;"",H253=""),"Check data ⚠", IF(H253="","",IF(AND(D253="Non-native and ornamental hedgerow", H253&lt;&gt;"Poor"),"Not possible ▲", (VLOOKUP(H253,'G-1 All Habitats'!$Z$2:$AA$9,2,FALSE))))),"")</f>
        <v/>
      </c>
      <c r="J253" s="105"/>
      <c r="K253" s="289" t="str">
        <f>IF(AND(D253&lt;&gt;"",J253=""),"Check data ⚠", IF(J253="","",IF(VLOOKUP(J253,'G-3 Multipliers'!$L$3:$N$6,2,FALSE)=0,"Spatial Data Missing",VLOOKUP(J253,'G-3 Multipliers'!$L$3:$N$6,2,FALSE))))</f>
        <v/>
      </c>
      <c r="L253" s="287" t="str">
        <f>IF(J253="","",IF(VLOOKUP(J253,'G-3 Multipliers'!$L$3:$N$6,3,FALSE)=0,"Spatial Data Missing ⚠",VLOOKUP(J253,'G-3 Multipliers'!$L$3:$N$6,3,FALSE)))</f>
        <v/>
      </c>
      <c r="M253" s="288" t="str">
        <f>IF(D253="","",VLOOKUP(D253,'G-6 Hedgerow Data'!$B$1:$AH$15,33,FALSE))</f>
        <v/>
      </c>
      <c r="N253" s="295" t="str">
        <f t="shared" si="23"/>
        <v/>
      </c>
      <c r="O253" s="32"/>
      <c r="P253" s="109"/>
      <c r="Q253" s="142"/>
      <c r="R253" s="312" t="str">
        <f t="shared" si="24"/>
        <v/>
      </c>
      <c r="S253" s="312" t="str">
        <f t="shared" si="25"/>
        <v/>
      </c>
      <c r="T253" s="312" t="str">
        <f t="shared" si="26"/>
        <v/>
      </c>
      <c r="U253" s="333" t="str">
        <f t="shared" si="27"/>
        <v/>
      </c>
      <c r="V253" s="109"/>
      <c r="W253" s="108"/>
      <c r="X253" s="108"/>
      <c r="AE253" s="111" t="str">
        <f t="shared" si="21"/>
        <v/>
      </c>
      <c r="AF253" s="111" t="str">
        <f t="shared" si="22"/>
        <v/>
      </c>
      <c r="AH253" s="111">
        <v>244</v>
      </c>
      <c r="AJ253" s="111" t="str">
        <f t="array" ref="AJ253">IFERROR(INDEX($AH$10:$AH$258, MATCH(0, IF(TRUE=$AE$10:$AE$258, COUNTIF($AJ$9:$AJ252, $AH$10:$AH$258), ""), 0)),"")</f>
        <v/>
      </c>
      <c r="AK253" s="111" t="str">
        <f t="array" ref="AK253">IFERROR(INDEX($AH$10:$AH$258, MATCH(0, IF(TRUE=$AF$10:$AF$258, COUNTIF($AK$9:$AK252, $AH$10:$AH$258), ""), 0)),"")</f>
        <v/>
      </c>
      <c r="AL253" s="30" t="str">
        <f>IFERROR(INDEX('G-6 Hedgerow Data'!$BJ$3:$BJ$15,MATCH(D253,'G-6 Hedgerow Data'!$B$3:$B$15,0)),"")</f>
        <v/>
      </c>
    </row>
    <row r="254" spans="2:38" x14ac:dyDescent="0.25">
      <c r="B254" s="101">
        <v>245</v>
      </c>
      <c r="C254" s="142"/>
      <c r="D254" s="142"/>
      <c r="E254" s="108"/>
      <c r="F254" s="329" t="str">
        <f>IF(D254="","",VLOOKUP(D254,'G-6 Hedgerow Data'!$B$2:$AG$15,2,FALSE))</f>
        <v/>
      </c>
      <c r="G254" s="282" t="str">
        <f>IF(D254="","",VLOOKUP(D254,'G-6 Hedgerow Data'!$B$2:$AG$15,3,FALSE))</f>
        <v/>
      </c>
      <c r="H254" s="105"/>
      <c r="I254" s="282" t="str">
        <f>IFERROR(IF(AND(D254&lt;&gt;"",H254=""),"Check data ⚠", IF(H254="","",IF(AND(D254="Non-native and ornamental hedgerow", H254&lt;&gt;"Poor"),"Not possible ▲", (VLOOKUP(H254,'G-1 All Habitats'!$Z$2:$AA$9,2,FALSE))))),"")</f>
        <v/>
      </c>
      <c r="J254" s="105"/>
      <c r="K254" s="289" t="str">
        <f>IF(AND(D254&lt;&gt;"",J254=""),"Check data ⚠", IF(J254="","",IF(VLOOKUP(J254,'G-3 Multipliers'!$L$3:$N$6,2,FALSE)=0,"Spatial Data Missing",VLOOKUP(J254,'G-3 Multipliers'!$L$3:$N$6,2,FALSE))))</f>
        <v/>
      </c>
      <c r="L254" s="287" t="str">
        <f>IF(J254="","",IF(VLOOKUP(J254,'G-3 Multipliers'!$L$3:$N$6,3,FALSE)=0,"Spatial Data Missing ⚠",VLOOKUP(J254,'G-3 Multipliers'!$L$3:$N$6,3,FALSE)))</f>
        <v/>
      </c>
      <c r="M254" s="288" t="str">
        <f>IF(D254="","",VLOOKUP(D254,'G-6 Hedgerow Data'!$B$1:$AH$15,33,FALSE))</f>
        <v/>
      </c>
      <c r="N254" s="295" t="str">
        <f t="shared" si="23"/>
        <v/>
      </c>
      <c r="O254" s="32"/>
      <c r="P254" s="109"/>
      <c r="Q254" s="142"/>
      <c r="R254" s="312" t="str">
        <f t="shared" si="24"/>
        <v/>
      </c>
      <c r="S254" s="312" t="str">
        <f t="shared" si="25"/>
        <v/>
      </c>
      <c r="T254" s="312" t="str">
        <f t="shared" si="26"/>
        <v/>
      </c>
      <c r="U254" s="333" t="str">
        <f t="shared" si="27"/>
        <v/>
      </c>
      <c r="V254" s="109"/>
      <c r="W254" s="108"/>
      <c r="X254" s="108"/>
      <c r="AE254" s="111" t="str">
        <f t="shared" si="21"/>
        <v/>
      </c>
      <c r="AF254" s="111" t="str">
        <f t="shared" si="22"/>
        <v/>
      </c>
      <c r="AH254" s="111">
        <v>245</v>
      </c>
      <c r="AJ254" s="111" t="str">
        <f t="array" ref="AJ254">IFERROR(INDEX($AH$10:$AH$258, MATCH(0, IF(TRUE=$AE$10:$AE$258, COUNTIF($AJ$9:$AJ253, $AH$10:$AH$258), ""), 0)),"")</f>
        <v/>
      </c>
      <c r="AK254" s="111" t="str">
        <f t="array" ref="AK254">IFERROR(INDEX($AH$10:$AH$258, MATCH(0, IF(TRUE=$AF$10:$AF$258, COUNTIF($AK$9:$AK253, $AH$10:$AH$258), ""), 0)),"")</f>
        <v/>
      </c>
      <c r="AL254" s="30" t="str">
        <f>IFERROR(INDEX('G-6 Hedgerow Data'!$BJ$3:$BJ$15,MATCH(D254,'G-6 Hedgerow Data'!$B$3:$B$15,0)),"")</f>
        <v/>
      </c>
    </row>
    <row r="255" spans="2:38" x14ac:dyDescent="0.25">
      <c r="B255" s="101">
        <v>246</v>
      </c>
      <c r="C255" s="142"/>
      <c r="D255" s="142"/>
      <c r="E255" s="108"/>
      <c r="F255" s="329" t="str">
        <f>IF(D255="","",VLOOKUP(D255,'G-6 Hedgerow Data'!$B$2:$AG$15,2,FALSE))</f>
        <v/>
      </c>
      <c r="G255" s="282" t="str">
        <f>IF(D255="","",VLOOKUP(D255,'G-6 Hedgerow Data'!$B$2:$AG$15,3,FALSE))</f>
        <v/>
      </c>
      <c r="H255" s="105"/>
      <c r="I255" s="282" t="str">
        <f>IFERROR(IF(AND(D255&lt;&gt;"",H255=""),"Check data ⚠", IF(H255="","",IF(AND(D255="Non-native and ornamental hedgerow", H255&lt;&gt;"Poor"),"Not possible ▲", (VLOOKUP(H255,'G-1 All Habitats'!$Z$2:$AA$9,2,FALSE))))),"")</f>
        <v/>
      </c>
      <c r="J255" s="105"/>
      <c r="K255" s="289" t="str">
        <f>IF(AND(D255&lt;&gt;"",J255=""),"Check data ⚠", IF(J255="","",IF(VLOOKUP(J255,'G-3 Multipliers'!$L$3:$N$6,2,FALSE)=0,"Spatial Data Missing",VLOOKUP(J255,'G-3 Multipliers'!$L$3:$N$6,2,FALSE))))</f>
        <v/>
      </c>
      <c r="L255" s="287" t="str">
        <f>IF(J255="","",IF(VLOOKUP(J255,'G-3 Multipliers'!$L$3:$N$6,3,FALSE)=0,"Spatial Data Missing ⚠",VLOOKUP(J255,'G-3 Multipliers'!$L$3:$N$6,3,FALSE)))</f>
        <v/>
      </c>
      <c r="M255" s="288" t="str">
        <f>IF(D255="","",VLOOKUP(D255,'G-6 Hedgerow Data'!$B$1:$AH$15,33,FALSE))</f>
        <v/>
      </c>
      <c r="N255" s="295" t="str">
        <f t="shared" si="23"/>
        <v/>
      </c>
      <c r="O255" s="32"/>
      <c r="P255" s="109"/>
      <c r="Q255" s="142"/>
      <c r="R255" s="312" t="str">
        <f t="shared" si="24"/>
        <v/>
      </c>
      <c r="S255" s="312" t="str">
        <f t="shared" si="25"/>
        <v/>
      </c>
      <c r="T255" s="312" t="str">
        <f t="shared" si="26"/>
        <v/>
      </c>
      <c r="U255" s="333" t="str">
        <f t="shared" si="27"/>
        <v/>
      </c>
      <c r="V255" s="109"/>
      <c r="W255" s="108"/>
      <c r="X255" s="108"/>
      <c r="AE255" s="111" t="str">
        <f t="shared" si="21"/>
        <v/>
      </c>
      <c r="AF255" s="111" t="str">
        <f t="shared" si="22"/>
        <v/>
      </c>
      <c r="AH255" s="111">
        <v>246</v>
      </c>
      <c r="AJ255" s="111" t="str">
        <f t="array" ref="AJ255">IFERROR(INDEX($AH$10:$AH$258, MATCH(0, IF(TRUE=$AE$10:$AE$258, COUNTIF($AJ$9:$AJ254, $AH$10:$AH$258), ""), 0)),"")</f>
        <v/>
      </c>
      <c r="AK255" s="111" t="str">
        <f t="array" ref="AK255">IFERROR(INDEX($AH$10:$AH$258, MATCH(0, IF(TRUE=$AF$10:$AF$258, COUNTIF($AK$9:$AK254, $AH$10:$AH$258), ""), 0)),"")</f>
        <v/>
      </c>
      <c r="AL255" s="30" t="str">
        <f>IFERROR(INDEX('G-6 Hedgerow Data'!$BJ$3:$BJ$15,MATCH(D255,'G-6 Hedgerow Data'!$B$3:$B$15,0)),"")</f>
        <v/>
      </c>
    </row>
    <row r="256" spans="2:38" x14ac:dyDescent="0.25">
      <c r="B256" s="101">
        <v>247</v>
      </c>
      <c r="C256" s="142"/>
      <c r="D256" s="142"/>
      <c r="E256" s="108"/>
      <c r="F256" s="329" t="str">
        <f>IF(D256="","",VLOOKUP(D256,'G-6 Hedgerow Data'!$B$2:$AG$15,2,FALSE))</f>
        <v/>
      </c>
      <c r="G256" s="282" t="str">
        <f>IF(D256="","",VLOOKUP(D256,'G-6 Hedgerow Data'!$B$2:$AG$15,3,FALSE))</f>
        <v/>
      </c>
      <c r="H256" s="105"/>
      <c r="I256" s="282" t="str">
        <f>IFERROR(IF(AND(D256&lt;&gt;"",H256=""),"Check data ⚠", IF(H256="","",IF(AND(D256="Non-native and ornamental hedgerow", H256&lt;&gt;"Poor"),"Not possible ▲", (VLOOKUP(H256,'G-1 All Habitats'!$Z$2:$AA$9,2,FALSE))))),"")</f>
        <v/>
      </c>
      <c r="J256" s="105"/>
      <c r="K256" s="289" t="str">
        <f>IF(AND(D256&lt;&gt;"",J256=""),"Check data ⚠", IF(J256="","",IF(VLOOKUP(J256,'G-3 Multipliers'!$L$3:$N$6,2,FALSE)=0,"Spatial Data Missing",VLOOKUP(J256,'G-3 Multipliers'!$L$3:$N$6,2,FALSE))))</f>
        <v/>
      </c>
      <c r="L256" s="287" t="str">
        <f>IF(J256="","",IF(VLOOKUP(J256,'G-3 Multipliers'!$L$3:$N$6,3,FALSE)=0,"Spatial Data Missing ⚠",VLOOKUP(J256,'G-3 Multipliers'!$L$3:$N$6,3,FALSE)))</f>
        <v/>
      </c>
      <c r="M256" s="288" t="str">
        <f>IF(D256="","",VLOOKUP(D256,'G-6 Hedgerow Data'!$B$1:$AH$15,33,FALSE))</f>
        <v/>
      </c>
      <c r="N256" s="295" t="str">
        <f t="shared" si="23"/>
        <v/>
      </c>
      <c r="O256" s="32"/>
      <c r="P256" s="109"/>
      <c r="Q256" s="142"/>
      <c r="R256" s="312" t="str">
        <f t="shared" si="24"/>
        <v/>
      </c>
      <c r="S256" s="312" t="str">
        <f t="shared" si="25"/>
        <v/>
      </c>
      <c r="T256" s="312" t="str">
        <f t="shared" si="26"/>
        <v/>
      </c>
      <c r="U256" s="333" t="str">
        <f t="shared" si="27"/>
        <v/>
      </c>
      <c r="V256" s="109"/>
      <c r="W256" s="108"/>
      <c r="X256" s="108"/>
      <c r="AE256" s="111" t="str">
        <f t="shared" si="21"/>
        <v/>
      </c>
      <c r="AF256" s="111" t="str">
        <f t="shared" si="22"/>
        <v/>
      </c>
      <c r="AH256" s="111">
        <v>247</v>
      </c>
      <c r="AJ256" s="111" t="str">
        <f t="array" ref="AJ256">IFERROR(INDEX($AH$10:$AH$258, MATCH(0, IF(TRUE=$AE$10:$AE$258, COUNTIF($AJ$9:$AJ255, $AH$10:$AH$258), ""), 0)),"")</f>
        <v/>
      </c>
      <c r="AK256" s="111" t="str">
        <f t="array" ref="AK256">IFERROR(INDEX($AH$10:$AH$258, MATCH(0, IF(TRUE=$AF$10:$AF$258, COUNTIF($AK$9:$AK255, $AH$10:$AH$258), ""), 0)),"")</f>
        <v/>
      </c>
      <c r="AL256" s="30" t="str">
        <f>IFERROR(INDEX('G-6 Hedgerow Data'!$BJ$3:$BJ$15,MATCH(D256,'G-6 Hedgerow Data'!$B$3:$B$15,0)),"")</f>
        <v/>
      </c>
    </row>
    <row r="257" spans="2:38" ht="14.4" thickBot="1" x14ac:dyDescent="0.3">
      <c r="B257" s="113">
        <v>248</v>
      </c>
      <c r="C257" s="145"/>
      <c r="D257" s="145"/>
      <c r="E257" s="114"/>
      <c r="F257" s="308" t="str">
        <f>IF(D257="","",VLOOKUP(D257,'G-6 Hedgerow Data'!$B$2:$AG$15,2,FALSE))</f>
        <v/>
      </c>
      <c r="G257" s="566" t="str">
        <f>IF(D257="","",VLOOKUP(D257,'G-6 Hedgerow Data'!$B$2:$AG$15,3,FALSE))</f>
        <v/>
      </c>
      <c r="H257" s="115"/>
      <c r="I257" s="566" t="str">
        <f>IFERROR(IF(AND(D257&lt;&gt;"",H257=""),"Check data ⚠", IF(H257="","",IF(AND(D257="Non-native and ornamental hedgerow", H257&lt;&gt;"Poor"),"Not possible ▲", (VLOOKUP(H257,'G-1 All Habitats'!$Z$2:$AA$9,2,FALSE))))),"")</f>
        <v/>
      </c>
      <c r="J257" s="115"/>
      <c r="K257" s="290" t="str">
        <f>IF(AND(D257&lt;&gt;"",J257=""),"Check data ⚠", IF(J257="","",IF(VLOOKUP(J257,'G-3 Multipliers'!$L$3:$N$6,2,FALSE)=0,"Spatial Data Missing",VLOOKUP(J257,'G-3 Multipliers'!$L$3:$N$6,2,FALSE))))</f>
        <v/>
      </c>
      <c r="L257" s="291" t="str">
        <f>IF(J257="","",IF(VLOOKUP(J257,'G-3 Multipliers'!$L$3:$N$6,3,FALSE)=0,"Spatial Data Missing ⚠",VLOOKUP(J257,'G-3 Multipliers'!$L$3:$N$6,3,FALSE)))</f>
        <v/>
      </c>
      <c r="M257" s="292" t="str">
        <f>IF(D257="","",VLOOKUP(D257,'G-6 Hedgerow Data'!$B$1:$AH$15,33,FALSE))</f>
        <v/>
      </c>
      <c r="N257" s="331" t="str">
        <f t="shared" si="23"/>
        <v/>
      </c>
      <c r="O257" s="32"/>
      <c r="P257" s="147"/>
      <c r="Q257" s="148"/>
      <c r="R257" s="315" t="str">
        <f t="shared" si="24"/>
        <v/>
      </c>
      <c r="S257" s="315" t="str">
        <f t="shared" si="25"/>
        <v/>
      </c>
      <c r="T257" s="312" t="str">
        <f t="shared" si="26"/>
        <v/>
      </c>
      <c r="U257" s="333" t="str">
        <f t="shared" si="27"/>
        <v/>
      </c>
      <c r="V257" s="115"/>
      <c r="W257" s="114"/>
      <c r="X257" s="114"/>
      <c r="AE257" s="111" t="str">
        <f t="shared" si="21"/>
        <v/>
      </c>
      <c r="AF257" s="111" t="str">
        <f t="shared" si="22"/>
        <v/>
      </c>
      <c r="AH257" s="111">
        <v>248</v>
      </c>
      <c r="AJ257" s="111" t="str">
        <f t="array" ref="AJ257">IFERROR(INDEX($AH$10:$AH$258, MATCH(0, IF(TRUE=$AE$10:$AE$258, COUNTIF($AJ$9:$AJ256, $AH$10:$AH$258), ""), 0)),"")</f>
        <v/>
      </c>
      <c r="AK257" s="111" t="str">
        <f t="array" ref="AK257">IFERROR(INDEX($AH$10:$AH$258, MATCH(0, IF(TRUE=$AF$10:$AF$258, COUNTIF($AK$9:$AK256, $AH$10:$AH$258), ""), 0)),"")</f>
        <v/>
      </c>
      <c r="AL257" s="30" t="str">
        <f>IFERROR(INDEX('G-6 Hedgerow Data'!$BJ$3:$BJ$15,MATCH(D257,'G-6 Hedgerow Data'!$B$3:$B$15,0)),"")</f>
        <v/>
      </c>
    </row>
    <row r="258" spans="2:38" ht="14.4" thickBot="1" x14ac:dyDescent="0.3">
      <c r="D258" s="622"/>
      <c r="E258" s="330">
        <f>SUM(E10:E257)</f>
        <v>0.123</v>
      </c>
      <c r="M258" s="622"/>
      <c r="N258" s="332">
        <f>SUM(N10:N257)</f>
        <v>0.23300000000000001</v>
      </c>
      <c r="O258" s="117"/>
      <c r="P258" s="298">
        <f t="shared" ref="P258:U258" si="28">SUM(P10:P257)</f>
        <v>0</v>
      </c>
      <c r="Q258" s="299">
        <f t="shared" si="28"/>
        <v>0.11</v>
      </c>
      <c r="R258" s="299" cm="1">
        <f t="array" ref="R258">IF(OR(T10:T257="Error in Lengths ▲", R10:R27 = "Error"), "Error ▲", SUM(R10:R257))</f>
        <v>0</v>
      </c>
      <c r="S258" s="299" cm="1">
        <f t="array" ref="S258">IF(OR(T10:T257="Error in lengths ▲",S10:S257="Error"),"Error ▲",SUM(S10:S257))</f>
        <v>0.22</v>
      </c>
      <c r="T258" s="299">
        <f t="shared" si="28"/>
        <v>1.2999999999999999E-2</v>
      </c>
      <c r="U258" s="296">
        <f t="shared" si="28"/>
        <v>1.2999999999999999E-2</v>
      </c>
    </row>
    <row r="259" spans="2:38" x14ac:dyDescent="0.25">
      <c r="O259" s="117"/>
      <c r="P259" s="117"/>
      <c r="Q259" s="117"/>
      <c r="R259" s="117"/>
      <c r="S259" s="117"/>
      <c r="T259" s="117"/>
      <c r="U259" s="117"/>
    </row>
    <row r="260" spans="2:38" x14ac:dyDescent="0.25">
      <c r="B260" s="93"/>
      <c r="C260" s="93"/>
    </row>
    <row r="261" spans="2:38" x14ac:dyDescent="0.25">
      <c r="B261" s="93"/>
      <c r="C261" s="93"/>
    </row>
    <row r="262" spans="2:38" x14ac:dyDescent="0.25">
      <c r="B262" s="93"/>
      <c r="C262" s="93"/>
    </row>
    <row r="263" spans="2:38" x14ac:dyDescent="0.25">
      <c r="B263" s="93"/>
      <c r="C263" s="93"/>
    </row>
    <row r="264" spans="2:38" x14ac:dyDescent="0.25">
      <c r="B264" s="93"/>
      <c r="C264" s="93"/>
    </row>
  </sheetData>
  <sheetProtection algorithmName="SHA-512" hashValue="q/rbei07rnNzIV/97lj9P5J5r+tDvIHy8L+KAPDbdUEtmnjC2NX4SIyV5i4Xayy/KWePj70ThmMheYCW7uNxgg==" saltValue="A+dSo0wYp08KabuJtSTaS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2:J2"/>
    <mergeCell ref="F4:I4"/>
    <mergeCell ref="F5:I5"/>
    <mergeCell ref="F3:I3"/>
    <mergeCell ref="B2:D2"/>
    <mergeCell ref="V8:X8"/>
    <mergeCell ref="J8:L8"/>
    <mergeCell ref="P8:U8"/>
    <mergeCell ref="M8:M9"/>
    <mergeCell ref="B3:D4"/>
    <mergeCell ref="C8:E8"/>
    <mergeCell ref="F8:G8"/>
    <mergeCell ref="H8:I8"/>
  </mergeCells>
  <conditionalFormatting sqref="M10:M257">
    <cfRule type="cellIs" dxfId="669" priority="31" operator="equal">
      <formula>"Like for like or better"</formula>
    </cfRule>
    <cfRule type="cellIs" dxfId="668" priority="32" operator="equal">
      <formula>"Like for like"</formula>
    </cfRule>
    <cfRule type="containsText" dxfId="667" priority="33" operator="containsText" text="Same distinctiveness">
      <formula>NOT(ISERROR(SEARCH("Same distinctiveness",M10)))</formula>
    </cfRule>
  </conditionalFormatting>
  <conditionalFormatting sqref="K10:K257">
    <cfRule type="containsText" dxfId="666" priority="29" operator="containsText" text="Spatial">
      <formula>NOT(ISERROR(SEARCH("Spatial",K10)))</formula>
    </cfRule>
  </conditionalFormatting>
  <conditionalFormatting sqref="L10:L257">
    <cfRule type="containsText" dxfId="665" priority="28" operator="containsText" text="Spatial">
      <formula>NOT(ISERROR(SEARCH("Spatial",L10)))</formula>
    </cfRule>
  </conditionalFormatting>
  <conditionalFormatting sqref="T10:T257">
    <cfRule type="containsText" dxfId="664" priority="27" operator="containsText" text="Error">
      <formula>NOT(ISERROR(SEARCH("Error",T10)))</formula>
    </cfRule>
  </conditionalFormatting>
  <conditionalFormatting sqref="U10:U257">
    <cfRule type="containsText" dxfId="663" priority="26" operator="containsText" text="Error">
      <formula>NOT(ISERROR(SEARCH("Error",U10)))</formula>
    </cfRule>
  </conditionalFormatting>
  <conditionalFormatting sqref="J3">
    <cfRule type="containsText" dxfId="662" priority="20" operator="containsText" text="Error">
      <formula>NOT(ISERROR(SEARCH("Error",J3)))</formula>
    </cfRule>
    <cfRule type="containsText" dxfId="661" priority="21" operator="containsText" text="Check">
      <formula>NOT(ISERROR(SEARCH("Check",J3)))</formula>
    </cfRule>
  </conditionalFormatting>
  <conditionalFormatting sqref="J4">
    <cfRule type="containsText" dxfId="660" priority="2" operator="containsText" text="Error">
      <formula>NOT(ISERROR(SEARCH("Error",J4)))</formula>
    </cfRule>
    <cfRule type="containsText" dxfId="659" priority="10" operator="containsText" text="Check">
      <formula>NOT(ISERROR(SEARCH("Check",J4)))</formula>
    </cfRule>
    <cfRule type="cellIs" dxfId="658" priority="11" operator="equal">
      <formula>0</formula>
    </cfRule>
    <cfRule type="cellIs" dxfId="657" priority="440" operator="lessThan">
      <formula>0</formula>
    </cfRule>
  </conditionalFormatting>
  <conditionalFormatting sqref="J5">
    <cfRule type="containsText" dxfId="656" priority="14" operator="containsText" text="No">
      <formula>NOT(ISERROR(SEARCH("No",J5)))</formula>
    </cfRule>
    <cfRule type="containsText" dxfId="655" priority="15" operator="containsText" text="Yes">
      <formula>NOT(ISERROR(SEARCH("Yes",J5)))</formula>
    </cfRule>
  </conditionalFormatting>
  <conditionalFormatting sqref="I10:I257">
    <cfRule type="containsText" dxfId="654" priority="13" operator="containsText" text="Not possible">
      <formula>NOT(ISERROR(SEARCH("Not possible",I10)))</formula>
    </cfRule>
  </conditionalFormatting>
  <conditionalFormatting sqref="R258:S258">
    <cfRule type="containsText" dxfId="653" priority="12" operator="containsText" text="Error">
      <formula>NOT(ISERROR(SEARCH("Error",R258)))</formula>
    </cfRule>
  </conditionalFormatting>
  <conditionalFormatting sqref="J3:J5">
    <cfRule type="containsText" dxfId="652" priority="9" operator="containsText" text="N/A">
      <formula>NOT(ISERROR(SEARCH("N/A",J3)))</formula>
    </cfRule>
  </conditionalFormatting>
  <conditionalFormatting sqref="K1:K1048576">
    <cfRule type="containsText" dxfId="651" priority="6" operator="containsText" text="Check">
      <formula>NOT(ISERROR(SEARCH("Check",K1)))</formula>
    </cfRule>
  </conditionalFormatting>
  <conditionalFormatting sqref="I1:I1048576">
    <cfRule type="containsText" dxfId="650" priority="5" operator="containsText" text="Check">
      <formula>NOT(ISERROR(SEARCH("Check",I1)))</formula>
    </cfRule>
  </conditionalFormatting>
  <conditionalFormatting sqref="N1:N1048576">
    <cfRule type="containsText" dxfId="649" priority="1" operator="containsText" text="▲">
      <formula>NOT(ISERROR(SEARCH("▲",N1)))</formula>
    </cfRule>
    <cfRule type="containsText" dxfId="648" priority="4" operator="containsText" text="Check">
      <formula>NOT(ISERROR(SEARCH("Check",N1)))</formula>
    </cfRule>
  </conditionalFormatting>
  <conditionalFormatting sqref="U1:U1048576">
    <cfRule type="containsText" dxfId="647" priority="3" operator="containsText" text="Check">
      <formula>NOT(ISERROR(SEARCH("Check",U1)))</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7" id="{254FF72C-9F39-4571-A7BA-7A2B3ED9FDF3}">
            <xm:f>'Headline Results'!$H$9:$I$9=0</xm:f>
            <x14:dxf>
              <font>
                <color auto="1"/>
              </font>
              <fill>
                <patternFill>
                  <bgColor rgb="FFE0DCD3"/>
                </patternFill>
              </fill>
            </x14:dxf>
          </x14:cfRule>
          <xm:sqref>J4</xm:sqref>
        </x14:conditionalFormatting>
        <x14:conditionalFormatting xmlns:xm="http://schemas.microsoft.com/office/excel/2006/main">
          <x14:cfRule type="cellIs" priority="8" operator="lessThan" id="{B1ACE558-59E3-4CD1-B5A8-4EB8AA7004D8}">
            <xm:f>Start!$F$22</xm:f>
            <x14:dxf>
              <font>
                <color rgb="FF383745"/>
              </font>
              <fill>
                <patternFill>
                  <bgColor rgb="FFFFC000"/>
                </patternFill>
              </fill>
            </x14:dxf>
          </x14:cfRule>
          <x14:cfRule type="cellIs" priority="441"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B1:AG267"/>
  <sheetViews>
    <sheetView zoomScale="80" zoomScaleNormal="80" workbookViewId="0">
      <pane ySplit="11" topLeftCell="A12" activePane="bottomLeft" state="frozen"/>
      <selection pane="bottomLeft" activeCell="C12" sqref="C12"/>
    </sheetView>
  </sheetViews>
  <sheetFormatPr defaultColWidth="11.5546875" defaultRowHeight="61.5" customHeight="1" zeroHeight="1" x14ac:dyDescent="0.25"/>
  <cols>
    <col min="1" max="1" width="2.6640625" style="30" customWidth="1"/>
    <col min="2" max="2" width="14.33203125" style="30" customWidth="1"/>
    <col min="3" max="3" width="10.5546875" style="30" customWidth="1"/>
    <col min="4" max="4" width="62.6640625" style="30" customWidth="1"/>
    <col min="5" max="5" width="10.44140625" style="30" customWidth="1"/>
    <col min="6" max="6" width="18.6640625" style="30" customWidth="1"/>
    <col min="7" max="7" width="10.5546875" style="30" customWidth="1"/>
    <col min="8" max="8" width="12.5546875" style="30" bestFit="1" customWidth="1"/>
    <col min="9" max="9" width="8.6640625" style="30" customWidth="1"/>
    <col min="10" max="10" width="41.6640625" style="30" customWidth="1"/>
    <col min="11" max="11" width="16.6640625" style="30" customWidth="1"/>
    <col min="12" max="12" width="13.6640625" style="30" customWidth="1"/>
    <col min="13" max="13" width="19.44140625" style="30" customWidth="1"/>
    <col min="14" max="14" width="19.33203125" style="30" customWidth="1"/>
    <col min="15" max="15" width="21.6640625" style="30" customWidth="1"/>
    <col min="16" max="16" width="33.33203125" style="30" customWidth="1"/>
    <col min="17" max="17" width="19.33203125" style="30" customWidth="1"/>
    <col min="18" max="18" width="15.33203125" style="30" customWidth="1"/>
    <col min="19" max="19" width="13.44140625" style="30" customWidth="1"/>
    <col min="20" max="20" width="18.44140625" style="30" customWidth="1"/>
    <col min="21" max="21" width="13.6640625" style="30" customWidth="1"/>
    <col min="22" max="22" width="11.6640625" style="30" customWidth="1"/>
    <col min="23" max="23" width="12.6640625" style="30" customWidth="1"/>
    <col min="24" max="24" width="42.44140625" style="30" customWidth="1"/>
    <col min="25" max="25" width="43.33203125" style="30" customWidth="1"/>
    <col min="26" max="26" width="12.6640625" style="30" customWidth="1"/>
    <col min="27" max="27" width="11.5546875" style="30" customWidth="1"/>
    <col min="28" max="28" width="11.5546875" style="30" hidden="1" customWidth="1"/>
    <col min="29" max="16380" width="0" style="30" hidden="1" customWidth="1"/>
    <col min="16381" max="16384" width="11.5546875" style="30"/>
  </cols>
  <sheetData>
    <row r="1" spans="2:33" ht="15.75" customHeight="1" thickBot="1" x14ac:dyDescent="0.3"/>
    <row r="2" spans="2:33" ht="21.6" customHeight="1" thickBot="1" x14ac:dyDescent="0.3">
      <c r="B2" s="1740" t="str">
        <f>CONCATENATE("Project Name:", " ", Start!F12, "     ", "Map Reference:", " ", Start!K55)</f>
        <v xml:space="preserve">Project Name: Chickenhall Lane     Map Reference: </v>
      </c>
      <c r="C2" s="1741"/>
      <c r="D2" s="1742"/>
      <c r="F2" s="1591" t="s">
        <v>502</v>
      </c>
      <c r="G2" s="1592"/>
      <c r="H2" s="1592"/>
      <c r="I2" s="1592"/>
      <c r="J2" s="1593"/>
    </row>
    <row r="3" spans="2:33" ht="15" customHeight="1" x14ac:dyDescent="0.25">
      <c r="B3" s="1236" t="str">
        <f ca="1">MID(CELL("filename",A1),FIND("]",CELL("filename",A1))+1,256)</f>
        <v>B-2 On-Site Hedge Creation</v>
      </c>
      <c r="C3" s="1237"/>
      <c r="D3" s="1238"/>
      <c r="F3" s="1659" t="s">
        <v>389</v>
      </c>
      <c r="G3" s="1660"/>
      <c r="H3" s="1660"/>
      <c r="I3" s="1676">
        <f ca="1">'Headline Results'!H48</f>
        <v>0.28841467762499995</v>
      </c>
      <c r="J3" s="1677"/>
      <c r="M3" s="1653" t="str">
        <f>IF(OR(COUNTIF($M$12:M259,"*30+*")&gt;0,COUNTIF($Q$12:Q259,"*30+*")&gt;0),"Note; Habitat selected has a time to target condition greater than 30 years. Non standard agreement may be required. ⚠","")</f>
        <v/>
      </c>
      <c r="N3" s="1653"/>
      <c r="O3" s="1653"/>
      <c r="P3" s="1653"/>
      <c r="Q3" s="1653"/>
      <c r="R3" s="1653"/>
    </row>
    <row r="4" spans="2:33" ht="15.75" customHeight="1" thickBot="1" x14ac:dyDescent="0.3">
      <c r="B4" s="1239"/>
      <c r="C4" s="1240"/>
      <c r="D4" s="1241"/>
      <c r="F4" s="1752" t="s">
        <v>391</v>
      </c>
      <c r="G4" s="1753"/>
      <c r="H4" s="1753"/>
      <c r="I4" s="1678">
        <f ca="1">'Headline Results'!H52</f>
        <v>1.2378312344420599</v>
      </c>
      <c r="J4" s="1679"/>
      <c r="M4" s="1653"/>
      <c r="N4" s="1653"/>
      <c r="O4" s="1653"/>
      <c r="P4" s="1653"/>
      <c r="Q4" s="1653"/>
      <c r="R4" s="1653"/>
    </row>
    <row r="5" spans="2:33" ht="15.75" customHeight="1" thickBot="1" x14ac:dyDescent="0.3">
      <c r="F5" s="1754" t="s">
        <v>393</v>
      </c>
      <c r="G5" s="1729"/>
      <c r="H5" s="1729"/>
      <c r="I5" s="1729" t="str" cm="1">
        <f t="array" aca="1" ref="I5" ca="1">IF(OR('Trading Summary Hedgerows'!F5:H9="No ▲"), "No - check trading summary ▲", "Yes ✓")</f>
        <v>Yes ✓</v>
      </c>
      <c r="J5" s="1730"/>
      <c r="M5" s="1653"/>
      <c r="N5" s="1653"/>
      <c r="O5" s="1653"/>
      <c r="P5" s="1653"/>
      <c r="Q5" s="1653"/>
      <c r="R5" s="1653"/>
    </row>
    <row r="6" spans="2:33" ht="15.75" customHeight="1" x14ac:dyDescent="0.25">
      <c r="M6" s="247"/>
      <c r="N6" s="247"/>
      <c r="O6" s="247"/>
      <c r="P6" s="247"/>
      <c r="Q6" s="247"/>
    </row>
    <row r="7" spans="2:33" ht="15.75" customHeight="1" x14ac:dyDescent="0.25">
      <c r="B7" s="93"/>
      <c r="C7" s="93"/>
      <c r="M7" s="247"/>
      <c r="N7" s="247"/>
      <c r="O7" s="247"/>
      <c r="P7" s="247"/>
      <c r="Q7" s="247"/>
    </row>
    <row r="8" spans="2:33" ht="13.8" x14ac:dyDescent="0.25"/>
    <row r="9" spans="2:33" ht="20.100000000000001" customHeight="1" thickBot="1" x14ac:dyDescent="0.3"/>
    <row r="10" spans="2:33" ht="44.1" customHeight="1" thickBot="1" x14ac:dyDescent="0.3">
      <c r="B10" s="93"/>
      <c r="C10" s="93"/>
      <c r="D10" s="1711" t="s">
        <v>512</v>
      </c>
      <c r="E10" s="1425"/>
      <c r="F10" s="1711" t="s">
        <v>395</v>
      </c>
      <c r="G10" s="1425"/>
      <c r="H10" s="1711" t="s">
        <v>482</v>
      </c>
      <c r="I10" s="1425"/>
      <c r="J10" s="1711" t="s">
        <v>397</v>
      </c>
      <c r="K10" s="1432"/>
      <c r="L10" s="1425"/>
      <c r="M10" s="1711" t="s">
        <v>440</v>
      </c>
      <c r="N10" s="1432"/>
      <c r="O10" s="1432"/>
      <c r="P10" s="1432"/>
      <c r="Q10" s="1432"/>
      <c r="R10" s="1425"/>
      <c r="S10" s="1711" t="s">
        <v>462</v>
      </c>
      <c r="T10" s="1432"/>
      <c r="U10" s="1432"/>
      <c r="V10" s="1425"/>
      <c r="W10" s="1688" t="s">
        <v>513</v>
      </c>
      <c r="X10" s="1722" t="s">
        <v>401</v>
      </c>
      <c r="Y10" s="1723"/>
      <c r="Z10" s="1724"/>
    </row>
    <row r="11" spans="2:33" ht="42" thickBot="1" x14ac:dyDescent="0.3">
      <c r="B11" s="522" t="s">
        <v>406</v>
      </c>
      <c r="C11" s="522" t="s">
        <v>514</v>
      </c>
      <c r="D11" s="120" t="s">
        <v>367</v>
      </c>
      <c r="E11" s="124" t="s">
        <v>505</v>
      </c>
      <c r="F11" s="979" t="s">
        <v>395</v>
      </c>
      <c r="G11" s="124" t="s">
        <v>411</v>
      </c>
      <c r="H11" s="120" t="s">
        <v>396</v>
      </c>
      <c r="I11" s="124" t="s">
        <v>411</v>
      </c>
      <c r="J11" s="120" t="s">
        <v>397</v>
      </c>
      <c r="K11" s="125" t="s">
        <v>397</v>
      </c>
      <c r="L11" s="124" t="s">
        <v>412</v>
      </c>
      <c r="M11" s="120" t="s">
        <v>515</v>
      </c>
      <c r="N11" s="125" t="s">
        <v>444</v>
      </c>
      <c r="O11" s="125" t="s">
        <v>445</v>
      </c>
      <c r="P11" s="125" t="s">
        <v>446</v>
      </c>
      <c r="Q11" s="125" t="s">
        <v>447</v>
      </c>
      <c r="R11" s="124" t="s">
        <v>448</v>
      </c>
      <c r="S11" s="120" t="s">
        <v>449</v>
      </c>
      <c r="T11" s="125" t="s">
        <v>516</v>
      </c>
      <c r="U11" s="125" t="s">
        <v>451</v>
      </c>
      <c r="V11" s="124" t="s">
        <v>452</v>
      </c>
      <c r="W11" s="1751"/>
      <c r="X11" s="116" t="s">
        <v>385</v>
      </c>
      <c r="Y11" s="546" t="s">
        <v>362</v>
      </c>
      <c r="Z11" s="633" t="s">
        <v>363</v>
      </c>
      <c r="AG11" s="92" t="s">
        <v>405</v>
      </c>
    </row>
    <row r="12" spans="2:33" ht="27.6" x14ac:dyDescent="0.25">
      <c r="B12" s="232">
        <v>1</v>
      </c>
      <c r="C12" s="143"/>
      <c r="D12" s="58" t="s">
        <v>258</v>
      </c>
      <c r="E12" s="51">
        <v>0.02</v>
      </c>
      <c r="F12" s="329" t="str">
        <f>IF(D12="","",VLOOKUP(D12,'G-6 Hedgerow Data'!$B$2:$AG$15,2,FALSE))</f>
        <v>V.Low</v>
      </c>
      <c r="G12" s="282">
        <f>IF(D12="","",VLOOKUP(D12,'G-6 Hedgerow Data'!$B$2:$AG$15,3,FALSE))</f>
        <v>1</v>
      </c>
      <c r="H12" s="105" t="s">
        <v>453</v>
      </c>
      <c r="I12" s="282">
        <f>IFERROR(IF(H12="","",IF(AND(D12="Non-native and ornamental hedgerow", H12&lt;&gt;"Poor"),"Not possible ▲", (VLOOKUP(H12,'G-1 All Habitats'!$Z$2:$AA$9,2,FALSE)))),"")</f>
        <v>1</v>
      </c>
      <c r="J12" s="105" t="s">
        <v>1119</v>
      </c>
      <c r="K12" s="289" t="str">
        <f>IF(J12="","",IF(VLOOKUP(J12,'G-3 Multipliers'!$L$3:$N$6,2,FALSE)=0,"Spatial Data Missing ⚠",VLOOKUP(J12,'G-3 Multipliers'!$L$3:$N$6,2,FALSE)))</f>
        <v xml:space="preserve">High strategic significance </v>
      </c>
      <c r="L12" s="287">
        <f>IF(J12="","",IF(VLOOKUP(J12,'G-3 Multipliers'!$L$3:$N$6,3,FALSE)=0,"Spatial Data Missing ⚠",VLOOKUP(J12,'G-3 Multipliers'!$L$3:$N$6,3,FALSE)))</f>
        <v>1.1499999999999999</v>
      </c>
      <c r="M12" s="281">
        <f>IF(OR(D12="",H12=""),"",(INDEX('G-6 Hedgerow Data'!$E$3:$I$15,MATCH(D12,'G-6 Hedgerow Data'!$B$3:$B$15,0),MATCH(H12,'G-6 Hedgerow Data'!$E$2:$I$2,0))))</f>
        <v>1</v>
      </c>
      <c r="N12" s="137">
        <v>0</v>
      </c>
      <c r="O12" s="137">
        <v>0</v>
      </c>
      <c r="P12" s="289"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02">
        <f>IF(M12="","",IF(P12="Error -both advance and delayed habitat creation ▲","Check Data ⚠", IF(M12="Not possible ▲", "Check Data ⚠", IF(OR(N12="30+",N12="Habitat already in target condition"),0,IF(O12="30+","30+",IF(AND(M12="30+",OR(N12="",N12=0)),"30+",IF(AND(M12="30+",N12&gt;0),30-N12,IF(M12+O12&gt;30,"30+",IF(M12+O12-N12&gt;0,M12+O12-N12,IF(M12-N12&lt;0,0,M12+O12-N12))))))))))</f>
        <v>1</v>
      </c>
      <c r="R12" s="303">
        <f t="shared" ref="R12:R75" si="0">IF(M12="","",IF(Q12="Check Data ⚠","Check Data ⚠",VLOOKUP(Q12,TemporalMultipliers,3,FALSE)))</f>
        <v>0.96499999999999997</v>
      </c>
      <c r="S12" s="281" t="str">
        <f>IF(D12="","",VLOOKUP(D12,'G-6 Hedgerow Data'!$B$3:$AG$15,31,FALSE))</f>
        <v>Low</v>
      </c>
      <c r="T12" s="289" t="str">
        <f>IF(D12="","",IF(Q12="Check Data ⚠","Check Data ⚠",IF(H12="","",IF($P12="Check details - Is there evidence that habitat has reached target condition? ⚠","Low Difficulty - only applicable if all habitat created before losses ⚠","Standard difficulty applied"))))</f>
        <v>Standard difficulty applied</v>
      </c>
      <c r="U12" s="289" t="str">
        <f>(IF(AND(T12="Standard difficulty applied",M12&gt;N12),S12,IF(Q12="Check data ⚠", "Check data ⚠", IF(AND(T12="Low Difficulty - only applicable if all habitat created before losses ⚠",Q12&lt;=0),"Low",S12))))</f>
        <v>Low</v>
      </c>
      <c r="V12" s="282">
        <f>IF(D12="","",VLOOKUP(S12,'G-3 Multipliers'!$P$3:$Q$6,2,FALSE))</f>
        <v>1</v>
      </c>
      <c r="W12" s="309">
        <f>IFERROR(E12*G12*I12*L12*R12*V12,"")</f>
        <v>2.2194999999999999E-2</v>
      </c>
      <c r="X12" s="105"/>
      <c r="Y12" s="119"/>
      <c r="Z12" s="119"/>
      <c r="AG12" s="30" t="str">
        <f>IFERROR(INDEX('G-6 Hedgerow Data'!$BJ$3:$BJ$15,MATCH(D12,'G-6 Hedgerow Data'!$B$3:$B$15,0)),"")</f>
        <v>Hedgecond2</v>
      </c>
    </row>
    <row r="13" spans="2:33" ht="27.6" x14ac:dyDescent="0.25">
      <c r="B13" s="101">
        <v>2</v>
      </c>
      <c r="C13" s="143"/>
      <c r="D13" s="58" t="s">
        <v>258</v>
      </c>
      <c r="E13" s="51">
        <v>2E-3</v>
      </c>
      <c r="F13" s="329" t="str">
        <f>IF(D13="","",VLOOKUP(D13,'G-6 Hedgerow Data'!$B$2:$AG$15,2,FALSE))</f>
        <v>V.Low</v>
      </c>
      <c r="G13" s="282">
        <f>IF(D13="","",VLOOKUP(D13,'G-6 Hedgerow Data'!$B$2:$AG$15,3,FALSE))</f>
        <v>1</v>
      </c>
      <c r="H13" s="105" t="s">
        <v>453</v>
      </c>
      <c r="I13" s="282">
        <f>IFERROR(IF(H13="","",IF(AND(D13="Non-native and ornamental hedgerow", H13&lt;&gt;"Poor"),"Not possible ▲", (VLOOKUP(H13,'G-1 All Habitats'!$Z$2:$AA$9,2,FALSE)))),"")</f>
        <v>1</v>
      </c>
      <c r="J13" s="105" t="s">
        <v>1119</v>
      </c>
      <c r="K13" s="301" t="str">
        <f>IF(J13="","",IF(VLOOKUP(J13,'G-3 Multipliers'!$L$3:$N$6,2,FALSE)=0,"Spatial Data Missing ⚠",VLOOKUP(J13,'G-3 Multipliers'!$L$3:$N$6,2,FALSE)))</f>
        <v xml:space="preserve">High strategic significance </v>
      </c>
      <c r="L13" s="287">
        <f>IF(J13="","",IF(VLOOKUP(J13,'G-3 Multipliers'!$L$3:$N$6,3,FALSE)=0,"Spatial Data Missing ⚠",VLOOKUP(J13,'G-3 Multipliers'!$L$3:$N$6,3,FALSE)))</f>
        <v>1.1499999999999999</v>
      </c>
      <c r="M13" s="281">
        <f>IF(OR(D13="",H13=""),"",(INDEX('G-6 Hedgerow Data'!$E$3:$I$15,MATCH(D13,'G-6 Hedgerow Data'!$B$3:$B$15,0),MATCH(H13,'G-6 Hedgerow Data'!$E$2:$I$2,0))))</f>
        <v>1</v>
      </c>
      <c r="N13" s="137">
        <v>0</v>
      </c>
      <c r="O13" s="137">
        <v>0</v>
      </c>
      <c r="P13" s="289"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302">
        <f t="shared" ref="Q13:Q76" si="2">IF(M13="","",IF(P13="Error -both advance and delayed habitat creation ▲","Check Data ⚠", IF(M13="Not possible ▲", "Check Data ⚠", IF(OR(N13="30+",N13="Habitat already in target condition"),0,IF(O13="30+","30+",IF(AND(M13="30+",OR(N13="",N13=0)),"30+",IF(AND(M13="30+",N13&gt;0),30-N13,IF(M13+O13&gt;30,"30+",IF(M13+O13-N13&gt;0,M13+O13-N13,IF(M13-N13&lt;0,0,M13+O13-N13))))))))))</f>
        <v>1</v>
      </c>
      <c r="R13" s="303">
        <f t="shared" si="0"/>
        <v>0.96499999999999997</v>
      </c>
      <c r="S13" s="317" t="str">
        <f>IF(D13="","",VLOOKUP(D13,'G-6 Hedgerow Data'!$B$3:$AG$15,31,FALSE))</f>
        <v>Low</v>
      </c>
      <c r="T13" s="289"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289" t="str">
        <f t="shared" ref="U13:U76" si="4">(IF(AND(T13="Standard difficulty applied",M13&gt;N13),S13,IF(Q13="Check data ⚠", "Check data ⚠", IF(AND(T13="Low Difficulty - only applicable if all habitat created before losses ⚠",Q13&lt;=0),"Low",S13))))</f>
        <v>Low</v>
      </c>
      <c r="V13" s="305">
        <f>IF(D13="","",VLOOKUP(S13,'G-3 Multipliers'!$P$3:$Q$6,2,FALSE))</f>
        <v>1</v>
      </c>
      <c r="W13" s="309">
        <f t="shared" ref="W13:W76" si="5">IFERROR(E13*G13*I13*L13*R13*V13,"")</f>
        <v>2.2194999999999997E-3</v>
      </c>
      <c r="X13" s="105"/>
      <c r="Y13" s="119"/>
      <c r="Z13" s="108"/>
      <c r="AG13" s="30" t="str">
        <f>IFERROR(INDEX('G-6 Hedgerow Data'!$BJ$3:$BJ$15,MATCH(D13,'G-6 Hedgerow Data'!$B$3:$B$15,0)),"")</f>
        <v>Hedgecond2</v>
      </c>
    </row>
    <row r="14" spans="2:33" ht="27.6" x14ac:dyDescent="0.25">
      <c r="B14" s="101">
        <v>3</v>
      </c>
      <c r="C14" s="143"/>
      <c r="D14" s="58" t="s">
        <v>258</v>
      </c>
      <c r="E14" s="51">
        <v>3.0000000000000001E-3</v>
      </c>
      <c r="F14" s="329" t="str">
        <f>IF(D14="","",VLOOKUP(D14,'G-6 Hedgerow Data'!$B$2:$AG$15,2,FALSE))</f>
        <v>V.Low</v>
      </c>
      <c r="G14" s="282">
        <f>IF(D14="","",VLOOKUP(D14,'G-6 Hedgerow Data'!$B$2:$AG$15,3,FALSE))</f>
        <v>1</v>
      </c>
      <c r="H14" s="105" t="s">
        <v>453</v>
      </c>
      <c r="I14" s="282">
        <f>IFERROR(IF(H14="","",IF(AND(D14="Non-native and ornamental hedgerow", H14&lt;&gt;"Poor"),"Not possible ▲", (VLOOKUP(H14,'G-1 All Habitats'!$Z$2:$AA$9,2,FALSE)))),"")</f>
        <v>1</v>
      </c>
      <c r="J14" s="105" t="s">
        <v>1119</v>
      </c>
      <c r="K14" s="301" t="str">
        <f>IF(J14="","",IF(VLOOKUP(J14,'G-3 Multipliers'!$L$3:$N$6,2,FALSE)=0,"Spatial Data Missing ⚠",VLOOKUP(J14,'G-3 Multipliers'!$L$3:$N$6,2,FALSE)))</f>
        <v xml:space="preserve">High strategic significance </v>
      </c>
      <c r="L14" s="287">
        <f>IF(J14="","",IF(VLOOKUP(J14,'G-3 Multipliers'!$L$3:$N$6,3,FALSE)=0,"Spatial Data Missing ⚠",VLOOKUP(J14,'G-3 Multipliers'!$L$3:$N$6,3,FALSE)))</f>
        <v>1.1499999999999999</v>
      </c>
      <c r="M14" s="281">
        <f>IF(OR(D14="",H14=""),"",(INDEX('G-6 Hedgerow Data'!$E$3:$I$15,MATCH(D14,'G-6 Hedgerow Data'!$B$3:$B$15,0),MATCH(H14,'G-6 Hedgerow Data'!$E$2:$I$2,0))))</f>
        <v>1</v>
      </c>
      <c r="N14" s="137">
        <v>0</v>
      </c>
      <c r="O14" s="137">
        <v>0</v>
      </c>
      <c r="P14" s="289" t="str">
        <f t="shared" si="1"/>
        <v>Standard time to target condition applied</v>
      </c>
      <c r="Q14" s="302">
        <f t="shared" si="2"/>
        <v>1</v>
      </c>
      <c r="R14" s="303">
        <f t="shared" si="0"/>
        <v>0.96499999999999997</v>
      </c>
      <c r="S14" s="317" t="str">
        <f>IF(D14="","",VLOOKUP(D14,'G-6 Hedgerow Data'!$B$3:$AG$15,31,FALSE))</f>
        <v>Low</v>
      </c>
      <c r="T14" s="289" t="str">
        <f t="shared" si="3"/>
        <v>Standard difficulty applied</v>
      </c>
      <c r="U14" s="289" t="str">
        <f t="shared" si="4"/>
        <v>Low</v>
      </c>
      <c r="V14" s="305">
        <f>IF(D14="","",VLOOKUP(S14,'G-3 Multipliers'!$P$3:$Q$6,2,FALSE))</f>
        <v>1</v>
      </c>
      <c r="W14" s="309">
        <f t="shared" si="5"/>
        <v>3.3292499999999997E-3</v>
      </c>
      <c r="X14" s="105"/>
      <c r="Y14" s="119"/>
      <c r="Z14" s="108"/>
      <c r="AG14" s="30" t="str">
        <f>IFERROR(INDEX('G-6 Hedgerow Data'!$BJ$3:$BJ$15,MATCH(D14,'G-6 Hedgerow Data'!$B$3:$B$15,0)),"")</f>
        <v>Hedgecond2</v>
      </c>
    </row>
    <row r="15" spans="2:33" ht="27.6" x14ac:dyDescent="0.25">
      <c r="B15" s="101">
        <v>4</v>
      </c>
      <c r="C15" s="143"/>
      <c r="D15" s="58" t="s">
        <v>258</v>
      </c>
      <c r="E15" s="51">
        <v>2E-3</v>
      </c>
      <c r="F15" s="329" t="str">
        <f>IF(D15="","",VLOOKUP(D15,'G-6 Hedgerow Data'!$B$2:$AG$15,2,FALSE))</f>
        <v>V.Low</v>
      </c>
      <c r="G15" s="282">
        <f>IF(D15="","",VLOOKUP(D15,'G-6 Hedgerow Data'!$B$2:$AG$15,3,FALSE))</f>
        <v>1</v>
      </c>
      <c r="H15" s="105" t="s">
        <v>453</v>
      </c>
      <c r="I15" s="282">
        <f>IFERROR(IF(H15="","",IF(AND(D15="Non-native and ornamental hedgerow", H15&lt;&gt;"Poor"),"Not possible ▲", (VLOOKUP(H15,'G-1 All Habitats'!$Z$2:$AA$9,2,FALSE)))),"")</f>
        <v>1</v>
      </c>
      <c r="J15" s="105" t="s">
        <v>1119</v>
      </c>
      <c r="K15" s="301" t="str">
        <f>IF(J15="","",IF(VLOOKUP(J15,'G-3 Multipliers'!$L$3:$N$6,2,FALSE)=0,"Spatial Data Missing ⚠",VLOOKUP(J15,'G-3 Multipliers'!$L$3:$N$6,2,FALSE)))</f>
        <v xml:space="preserve">High strategic significance </v>
      </c>
      <c r="L15" s="287">
        <f>IF(J15="","",IF(VLOOKUP(J15,'G-3 Multipliers'!$L$3:$N$6,3,FALSE)=0,"Spatial Data Missing ⚠",VLOOKUP(J15,'G-3 Multipliers'!$L$3:$N$6,3,FALSE)))</f>
        <v>1.1499999999999999</v>
      </c>
      <c r="M15" s="281">
        <f>IF(OR(D15="",H15=""),"",(INDEX('G-6 Hedgerow Data'!$E$3:$I$15,MATCH(D15,'G-6 Hedgerow Data'!$B$3:$B$15,0),MATCH(H15,'G-6 Hedgerow Data'!$E$2:$I$2,0))))</f>
        <v>1</v>
      </c>
      <c r="N15" s="137">
        <v>0</v>
      </c>
      <c r="O15" s="137">
        <v>0</v>
      </c>
      <c r="P15" s="289" t="str">
        <f t="shared" si="1"/>
        <v>Standard time to target condition applied</v>
      </c>
      <c r="Q15" s="302">
        <f t="shared" si="2"/>
        <v>1</v>
      </c>
      <c r="R15" s="303">
        <f t="shared" si="0"/>
        <v>0.96499999999999997</v>
      </c>
      <c r="S15" s="317" t="str">
        <f>IF(D15="","",VLOOKUP(D15,'G-6 Hedgerow Data'!$B$3:$AG$15,31,FALSE))</f>
        <v>Low</v>
      </c>
      <c r="T15" s="289" t="str">
        <f t="shared" si="3"/>
        <v>Standard difficulty applied</v>
      </c>
      <c r="U15" s="289" t="str">
        <f t="shared" si="4"/>
        <v>Low</v>
      </c>
      <c r="V15" s="305">
        <f>IF(D15="","",VLOOKUP(S15,'G-3 Multipliers'!$P$3:$Q$6,2,FALSE))</f>
        <v>1</v>
      </c>
      <c r="W15" s="309">
        <f t="shared" si="5"/>
        <v>2.2194999999999997E-3</v>
      </c>
      <c r="X15" s="105"/>
      <c r="Y15" s="119"/>
      <c r="Z15" s="108"/>
      <c r="AG15" s="30" t="str">
        <f>IFERROR(INDEX('G-6 Hedgerow Data'!$BJ$3:$BJ$15,MATCH(D15,'G-6 Hedgerow Data'!$B$3:$B$15,0)),"")</f>
        <v>Hedgecond2</v>
      </c>
    </row>
    <row r="16" spans="2:33" ht="27.6" x14ac:dyDescent="0.25">
      <c r="B16" s="101">
        <v>5</v>
      </c>
      <c r="C16" s="144"/>
      <c r="D16" s="137" t="s">
        <v>258</v>
      </c>
      <c r="E16" s="119">
        <v>0.01</v>
      </c>
      <c r="F16" s="329" t="str">
        <f>IF(D16="","",VLOOKUP(D16,'G-6 Hedgerow Data'!$B$2:$AG$15,2,FALSE))</f>
        <v>V.Low</v>
      </c>
      <c r="G16" s="282">
        <f>IF(D16="","",VLOOKUP(D16,'G-6 Hedgerow Data'!$B$2:$AG$15,3,FALSE))</f>
        <v>1</v>
      </c>
      <c r="H16" s="109" t="s">
        <v>453</v>
      </c>
      <c r="I16" s="282">
        <f>IFERROR(IF(H16="","",IF(AND(D16="Non-native and ornamental hedgerow", H16&lt;&gt;"Poor"),"Not possible ▲", (VLOOKUP(H16,'G-1 All Habitats'!$Z$2:$AA$9,2,FALSE)))),"")</f>
        <v>1</v>
      </c>
      <c r="J16" s="105" t="s">
        <v>1119</v>
      </c>
      <c r="K16" s="301" t="str">
        <f>IF(J16="","",IF(VLOOKUP(J16,'G-3 Multipliers'!$L$3:$N$6,2,FALSE)=0,"Spatial Data Missing ⚠",VLOOKUP(J16,'G-3 Multipliers'!$L$3:$N$6,2,FALSE)))</f>
        <v xml:space="preserve">High strategic significance </v>
      </c>
      <c r="L16" s="287">
        <f>IF(J16="","",IF(VLOOKUP(J16,'G-3 Multipliers'!$L$3:$N$6,3,FALSE)=0,"Spatial Data Missing ⚠",VLOOKUP(J16,'G-3 Multipliers'!$L$3:$N$6,3,FALSE)))</f>
        <v>1.1499999999999999</v>
      </c>
      <c r="M16" s="281">
        <f>IF(OR(D16="",H16=""),"",(INDEX('G-6 Hedgerow Data'!$E$3:$I$15,MATCH(D16,'G-6 Hedgerow Data'!$B$3:$B$15,0),MATCH(H16,'G-6 Hedgerow Data'!$E$2:$I$2,0))))</f>
        <v>1</v>
      </c>
      <c r="N16" s="137">
        <v>0</v>
      </c>
      <c r="O16" s="137">
        <v>0</v>
      </c>
      <c r="P16" s="289" t="str">
        <f t="shared" si="1"/>
        <v>Standard time to target condition applied</v>
      </c>
      <c r="Q16" s="302">
        <f t="shared" si="2"/>
        <v>1</v>
      </c>
      <c r="R16" s="303">
        <f t="shared" si="0"/>
        <v>0.96499999999999997</v>
      </c>
      <c r="S16" s="317" t="str">
        <f>IF(D16="","",VLOOKUP(D16,'G-6 Hedgerow Data'!$B$3:$AG$15,31,FALSE))</f>
        <v>Low</v>
      </c>
      <c r="T16" s="289" t="str">
        <f t="shared" si="3"/>
        <v>Standard difficulty applied</v>
      </c>
      <c r="U16" s="289" t="str">
        <f t="shared" si="4"/>
        <v>Low</v>
      </c>
      <c r="V16" s="305">
        <f>IF(D16="","",VLOOKUP(S16,'G-3 Multipliers'!$P$3:$Q$6,2,FALSE))</f>
        <v>1</v>
      </c>
      <c r="W16" s="309">
        <f t="shared" si="5"/>
        <v>1.10975E-2</v>
      </c>
      <c r="X16" s="105"/>
      <c r="Y16" s="119"/>
      <c r="Z16" s="108"/>
      <c r="AG16" s="30" t="str">
        <f>IFERROR(INDEX('G-6 Hedgerow Data'!$BJ$3:$BJ$15,MATCH(D16,'G-6 Hedgerow Data'!$B$3:$B$15,0)),"")</f>
        <v>Hedgecond2</v>
      </c>
    </row>
    <row r="17" spans="2:33" ht="13.8" x14ac:dyDescent="0.25">
      <c r="B17" s="101">
        <v>6</v>
      </c>
      <c r="C17" s="144"/>
      <c r="D17" s="137"/>
      <c r="E17" s="119"/>
      <c r="F17" s="317" t="str">
        <f>IF(D17="","",VLOOKUP(D17,'G-6 Hedgerow Data'!$B$2:$AG$15,2,FALSE))</f>
        <v/>
      </c>
      <c r="G17" s="287" t="str">
        <f>IF(D17="","",VLOOKUP(D17,'G-6 Hedgerow Data'!$B$2:$AG$15,3,FALSE))</f>
        <v/>
      </c>
      <c r="H17" s="52"/>
      <c r="I17" s="282" t="str">
        <f>IFERROR(IF(H17="","",IF(AND(D17="Non-native and ornamental hedgerow", H17&lt;&gt;"Poor"),"Not possible ▲", (VLOOKUP(H17,'G-1 All Habitats'!$Z$2:$AA$9,2,FALSE)))),"")</f>
        <v/>
      </c>
      <c r="J17" s="105"/>
      <c r="K17" s="301" t="str">
        <f>IF(J17="","",IF(VLOOKUP(J17,'G-3 Multipliers'!$L$3:$N$6,2,FALSE)=0,"Spatial Data Missing ⚠",VLOOKUP(J17,'G-3 Multipliers'!$L$3:$N$6,2,FALSE)))</f>
        <v/>
      </c>
      <c r="L17" s="287" t="str">
        <f>IF(J17="","",IF(VLOOKUP(J17,'G-3 Multipliers'!$L$3:$N$6,3,FALSE)=0,"Spatial Data Missing ⚠",VLOOKUP(J17,'G-3 Multipliers'!$L$3:$N$6,3,FALSE)))</f>
        <v/>
      </c>
      <c r="M17" s="281" t="str">
        <f>IF(OR(D17="",H17=""),"",(INDEX('G-6 Hedgerow Data'!$E$3:$I$15,MATCH(D17,'G-6 Hedgerow Data'!$B$3:$B$15,0),MATCH(H17,'G-6 Hedgerow Data'!$E$2:$I$2,0))))</f>
        <v/>
      </c>
      <c r="N17" s="137"/>
      <c r="O17" s="137"/>
      <c r="P17" s="289" t="str">
        <f t="shared" si="1"/>
        <v/>
      </c>
      <c r="Q17" s="302" t="str">
        <f t="shared" si="2"/>
        <v/>
      </c>
      <c r="R17" s="303" t="str">
        <f t="shared" si="0"/>
        <v/>
      </c>
      <c r="S17" s="317" t="str">
        <f>IF(D17="","",VLOOKUP(D17,'G-6 Hedgerow Data'!$B$3:$AG$15,31,FALSE))</f>
        <v/>
      </c>
      <c r="T17" s="289" t="str">
        <f t="shared" si="3"/>
        <v/>
      </c>
      <c r="U17" s="289" t="str">
        <f t="shared" si="4"/>
        <v/>
      </c>
      <c r="V17" s="305" t="str">
        <f>IF(D17="","",VLOOKUP(S17,'G-3 Multipliers'!$P$3:$Q$6,2,FALSE))</f>
        <v/>
      </c>
      <c r="W17" s="309" t="str">
        <f t="shared" si="5"/>
        <v/>
      </c>
      <c r="X17" s="105"/>
      <c r="Y17" s="119"/>
      <c r="Z17" s="108"/>
      <c r="AG17" s="30" t="str">
        <f>IFERROR(INDEX('G-6 Hedgerow Data'!$BJ$3:$BJ$15,MATCH(D17,'G-6 Hedgerow Data'!$B$3:$B$15,0)),"")</f>
        <v/>
      </c>
    </row>
    <row r="18" spans="2:33" ht="13.8" x14ac:dyDescent="0.25">
      <c r="B18" s="101">
        <v>7</v>
      </c>
      <c r="C18" s="144"/>
      <c r="D18" s="137"/>
      <c r="E18" s="119"/>
      <c r="F18" s="281" t="str">
        <f>IF(D18="","",VLOOKUP(D18,'G-6 Hedgerow Data'!$B$2:$AG$15,2,FALSE))</f>
        <v/>
      </c>
      <c r="G18" s="287" t="str">
        <f>IF(D18="","",VLOOKUP(D18,'G-6 Hedgerow Data'!$B$2:$AG$15,3,FALSE))</f>
        <v/>
      </c>
      <c r="H18" s="52"/>
      <c r="I18" s="282" t="str">
        <f>IFERROR(IF(H18="","",IF(AND(D18="Non-native and ornamental hedgerow", H18&lt;&gt;"Poor"),"Not possible ▲", (VLOOKUP(H18,'G-1 All Habitats'!$Z$2:$AA$9,2,FALSE)))),"")</f>
        <v/>
      </c>
      <c r="J18" s="105"/>
      <c r="K18" s="301" t="str">
        <f>IF(J18="","",IF(VLOOKUP(J18,'G-3 Multipliers'!$L$3:$N$6,2,FALSE)=0,"Spatial Data Missing ⚠",VLOOKUP(J18,'G-3 Multipliers'!$L$3:$N$6,2,FALSE)))</f>
        <v/>
      </c>
      <c r="L18" s="287" t="str">
        <f>IF(J18="","",IF(VLOOKUP(J18,'G-3 Multipliers'!$L$3:$N$6,3,FALSE)=0,"Spatial Data Missing ⚠",VLOOKUP(J18,'G-3 Multipliers'!$L$3:$N$6,3,FALSE)))</f>
        <v/>
      </c>
      <c r="M18" s="281" t="str">
        <f>IF(OR(D18="",H18=""),"",(INDEX('G-6 Hedgerow Data'!$E$3:$I$15,MATCH(D18,'G-6 Hedgerow Data'!$B$3:$B$15,0),MATCH(H18,'G-6 Hedgerow Data'!$E$2:$I$2,0))))</f>
        <v/>
      </c>
      <c r="N18" s="137"/>
      <c r="O18" s="137"/>
      <c r="P18" s="289" t="str">
        <f t="shared" si="1"/>
        <v/>
      </c>
      <c r="Q18" s="302" t="str">
        <f t="shared" si="2"/>
        <v/>
      </c>
      <c r="R18" s="303" t="str">
        <f t="shared" si="0"/>
        <v/>
      </c>
      <c r="S18" s="317" t="str">
        <f>IF(D18="","",VLOOKUP(D18,'G-6 Hedgerow Data'!$B$3:$AG$15,31,FALSE))</f>
        <v/>
      </c>
      <c r="T18" s="289" t="str">
        <f t="shared" si="3"/>
        <v/>
      </c>
      <c r="U18" s="289" t="str">
        <f t="shared" si="4"/>
        <v/>
      </c>
      <c r="V18" s="305" t="str">
        <f>IF(D18="","",VLOOKUP(S18,'G-3 Multipliers'!$P$3:$Q$6,2,FALSE))</f>
        <v/>
      </c>
      <c r="W18" s="309" t="str">
        <f t="shared" si="5"/>
        <v/>
      </c>
      <c r="X18" s="105"/>
      <c r="Y18" s="119"/>
      <c r="Z18" s="108"/>
      <c r="AG18" s="30" t="str">
        <f>IFERROR(INDEX('G-6 Hedgerow Data'!$BJ$3:$BJ$15,MATCH(D18,'G-6 Hedgerow Data'!$B$3:$B$15,0)),"")</f>
        <v/>
      </c>
    </row>
    <row r="19" spans="2:33" ht="13.8" x14ac:dyDescent="0.25">
      <c r="B19" s="101">
        <v>8</v>
      </c>
      <c r="C19" s="144"/>
      <c r="D19" s="137"/>
      <c r="E19" s="119"/>
      <c r="F19" s="281" t="str">
        <f>IF(D19="","",VLOOKUP(D19,'G-6 Hedgerow Data'!$B$2:$AG$15,2,FALSE))</f>
        <v/>
      </c>
      <c r="G19" s="287" t="str">
        <f>IF(D19="","",VLOOKUP(D19,'G-6 Hedgerow Data'!$B$2:$AG$15,3,FALSE))</f>
        <v/>
      </c>
      <c r="H19" s="52"/>
      <c r="I19" s="282" t="str">
        <f>IFERROR(IF(H19="","",IF(AND(D19="Non-native and ornamental hedgerow", H19&lt;&gt;"Poor"),"Not possible ▲", (VLOOKUP(H19,'G-1 All Habitats'!$Z$2:$AA$9,2,FALSE)))),"")</f>
        <v/>
      </c>
      <c r="J19" s="105"/>
      <c r="K19" s="301" t="str">
        <f>IF(J19="","",IF(VLOOKUP(J19,'G-3 Multipliers'!$L$3:$N$6,2,FALSE)=0,"Spatial Data Missing ⚠",VLOOKUP(J19,'G-3 Multipliers'!$L$3:$N$6,2,FALSE)))</f>
        <v/>
      </c>
      <c r="L19" s="287" t="str">
        <f>IF(J19="","",IF(VLOOKUP(J19,'G-3 Multipliers'!$L$3:$N$6,3,FALSE)=0,"Spatial Data Missing ⚠",VLOOKUP(J19,'G-3 Multipliers'!$L$3:$N$6,3,FALSE)))</f>
        <v/>
      </c>
      <c r="M19" s="281" t="str">
        <f>IF(OR(D19="",H19=""),"",(INDEX('G-6 Hedgerow Data'!$E$3:$I$15,MATCH(D19,'G-6 Hedgerow Data'!$B$3:$B$15,0),MATCH(H19,'G-6 Hedgerow Data'!$E$2:$I$2,0))))</f>
        <v/>
      </c>
      <c r="N19" s="137"/>
      <c r="O19" s="137"/>
      <c r="P19" s="289" t="str">
        <f t="shared" si="1"/>
        <v/>
      </c>
      <c r="Q19" s="302" t="str">
        <f t="shared" si="2"/>
        <v/>
      </c>
      <c r="R19" s="303" t="str">
        <f t="shared" si="0"/>
        <v/>
      </c>
      <c r="S19" s="317" t="str">
        <f>IF(D19="","",VLOOKUP(D19,'G-6 Hedgerow Data'!$B$3:$AG$15,31,FALSE))</f>
        <v/>
      </c>
      <c r="T19" s="289" t="str">
        <f t="shared" si="3"/>
        <v/>
      </c>
      <c r="U19" s="289" t="str">
        <f t="shared" si="4"/>
        <v/>
      </c>
      <c r="V19" s="305" t="str">
        <f>IF(D19="","",VLOOKUP(S19,'G-3 Multipliers'!$P$3:$Q$6,2,FALSE))</f>
        <v/>
      </c>
      <c r="W19" s="309" t="str">
        <f t="shared" si="5"/>
        <v/>
      </c>
      <c r="X19" s="105"/>
      <c r="Y19" s="119"/>
      <c r="Z19" s="108"/>
      <c r="AG19" s="30" t="str">
        <f>IFERROR(INDEX('G-6 Hedgerow Data'!$BJ$3:$BJ$15,MATCH(D19,'G-6 Hedgerow Data'!$B$3:$B$15,0)),"")</f>
        <v/>
      </c>
    </row>
    <row r="20" spans="2:33" ht="13.8" x14ac:dyDescent="0.25">
      <c r="B20" s="101">
        <v>9</v>
      </c>
      <c r="C20" s="144"/>
      <c r="D20" s="137"/>
      <c r="E20" s="119"/>
      <c r="F20" s="281" t="str">
        <f>IF(D20="","",VLOOKUP(D20,'G-6 Hedgerow Data'!$B$2:$AG$15,2,FALSE))</f>
        <v/>
      </c>
      <c r="G20" s="287" t="str">
        <f>IF(D20="","",VLOOKUP(D20,'G-6 Hedgerow Data'!$B$2:$AG$15,3,FALSE))</f>
        <v/>
      </c>
      <c r="H20" s="52"/>
      <c r="I20" s="282" t="str">
        <f>IFERROR(IF(H20="","",IF(AND(D20="Non-native and ornamental hedgerow", H20&lt;&gt;"Poor"),"Not possible ▲", (VLOOKUP(H20,'G-1 All Habitats'!$Z$2:$AA$9,2,FALSE)))),"")</f>
        <v/>
      </c>
      <c r="J20" s="105"/>
      <c r="K20" s="301" t="str">
        <f>IF(J20="","",IF(VLOOKUP(J20,'G-3 Multipliers'!$L$3:$N$6,2,FALSE)=0,"Spatial Data Missing ⚠",VLOOKUP(J20,'G-3 Multipliers'!$L$3:$N$6,2,FALSE)))</f>
        <v/>
      </c>
      <c r="L20" s="287" t="str">
        <f>IF(J20="","",IF(VLOOKUP(J20,'G-3 Multipliers'!$L$3:$N$6,3,FALSE)=0,"Spatial Data Missing ⚠",VLOOKUP(J20,'G-3 Multipliers'!$L$3:$N$6,3,FALSE)))</f>
        <v/>
      </c>
      <c r="M20" s="281" t="str">
        <f>IF(OR(D20="",H20=""),"",(INDEX('G-6 Hedgerow Data'!$E$3:$I$15,MATCH(D20,'G-6 Hedgerow Data'!$B$3:$B$15,0),MATCH(H20,'G-6 Hedgerow Data'!$E$2:$I$2,0))))</f>
        <v/>
      </c>
      <c r="N20" s="137"/>
      <c r="O20" s="137"/>
      <c r="P20" s="289" t="str">
        <f t="shared" si="1"/>
        <v/>
      </c>
      <c r="Q20" s="302" t="str">
        <f t="shared" si="2"/>
        <v/>
      </c>
      <c r="R20" s="303" t="str">
        <f t="shared" si="0"/>
        <v/>
      </c>
      <c r="S20" s="317" t="str">
        <f>IF(D20="","",VLOOKUP(D20,'G-6 Hedgerow Data'!$B$3:$AG$15,31,FALSE))</f>
        <v/>
      </c>
      <c r="T20" s="289" t="str">
        <f t="shared" si="3"/>
        <v/>
      </c>
      <c r="U20" s="289" t="str">
        <f t="shared" si="4"/>
        <v/>
      </c>
      <c r="V20" s="305" t="str">
        <f>IF(D20="","",VLOOKUP(S20,'G-3 Multipliers'!$P$3:$Q$6,2,FALSE))</f>
        <v/>
      </c>
      <c r="W20" s="309" t="str">
        <f t="shared" si="5"/>
        <v/>
      </c>
      <c r="X20" s="105"/>
      <c r="Y20" s="119"/>
      <c r="Z20" s="108"/>
      <c r="AG20" s="30" t="str">
        <f>IFERROR(INDEX('G-6 Hedgerow Data'!$BJ$3:$BJ$15,MATCH(D20,'G-6 Hedgerow Data'!$B$3:$B$15,0)),"")</f>
        <v/>
      </c>
    </row>
    <row r="21" spans="2:33" ht="13.8" x14ac:dyDescent="0.25">
      <c r="B21" s="101">
        <v>10</v>
      </c>
      <c r="C21" s="144"/>
      <c r="D21" s="137"/>
      <c r="E21" s="119"/>
      <c r="F21" s="281" t="str">
        <f>IF(D21="","",VLOOKUP(D21,'G-6 Hedgerow Data'!$B$2:$AG$15,2,FALSE))</f>
        <v/>
      </c>
      <c r="G21" s="287" t="str">
        <f>IF(D21="","",VLOOKUP(D21,'G-6 Hedgerow Data'!$B$2:$AG$15,3,FALSE))</f>
        <v/>
      </c>
      <c r="H21" s="52"/>
      <c r="I21" s="282" t="str">
        <f>IFERROR(IF(H21="","",IF(AND(D21="Non-native and ornamental hedgerow", H21&lt;&gt;"Poor"),"Not possible ▲", (VLOOKUP(H21,'G-1 All Habitats'!$Z$2:$AA$9,2,FALSE)))),"")</f>
        <v/>
      </c>
      <c r="J21" s="105"/>
      <c r="K21" s="301" t="str">
        <f>IF(J21="","",IF(VLOOKUP(J21,'G-3 Multipliers'!$L$3:$N$6,2,FALSE)=0,"Spatial Data Missing ⚠",VLOOKUP(J21,'G-3 Multipliers'!$L$3:$N$6,2,FALSE)))</f>
        <v/>
      </c>
      <c r="L21" s="287" t="str">
        <f>IF(J21="","",IF(VLOOKUP(J21,'G-3 Multipliers'!$L$3:$N$6,3,FALSE)=0,"Spatial Data Missing ⚠",VLOOKUP(J21,'G-3 Multipliers'!$L$3:$N$6,3,FALSE)))</f>
        <v/>
      </c>
      <c r="M21" s="281" t="str">
        <f>IF(OR(D21="",H21=""),"",(INDEX('G-6 Hedgerow Data'!$E$3:$I$15,MATCH(D21,'G-6 Hedgerow Data'!$B$3:$B$15,0),MATCH(H21,'G-6 Hedgerow Data'!$E$2:$I$2,0))))</f>
        <v/>
      </c>
      <c r="N21" s="137"/>
      <c r="O21" s="137"/>
      <c r="P21" s="289" t="str">
        <f t="shared" si="1"/>
        <v/>
      </c>
      <c r="Q21" s="302" t="str">
        <f t="shared" si="2"/>
        <v/>
      </c>
      <c r="R21" s="303" t="str">
        <f t="shared" si="0"/>
        <v/>
      </c>
      <c r="S21" s="317" t="str">
        <f>IF(D21="","",VLOOKUP(D21,'G-6 Hedgerow Data'!$B$3:$AG$15,31,FALSE))</f>
        <v/>
      </c>
      <c r="T21" s="289" t="str">
        <f t="shared" si="3"/>
        <v/>
      </c>
      <c r="U21" s="289" t="str">
        <f t="shared" si="4"/>
        <v/>
      </c>
      <c r="V21" s="305" t="str">
        <f>IF(D21="","",VLOOKUP(S21,'G-3 Multipliers'!$P$3:$Q$6,2,FALSE))</f>
        <v/>
      </c>
      <c r="W21" s="309" t="str">
        <f t="shared" si="5"/>
        <v/>
      </c>
      <c r="X21" s="105"/>
      <c r="Y21" s="119"/>
      <c r="Z21" s="108"/>
      <c r="AG21" s="30" t="str">
        <f>IFERROR(INDEX('G-6 Hedgerow Data'!$BJ$3:$BJ$15,MATCH(D21,'G-6 Hedgerow Data'!$B$3:$B$15,0)),"")</f>
        <v/>
      </c>
    </row>
    <row r="22" spans="2:33" ht="13.8" x14ac:dyDescent="0.25">
      <c r="B22" s="101">
        <v>11</v>
      </c>
      <c r="C22" s="144"/>
      <c r="D22" s="137"/>
      <c r="E22" s="119"/>
      <c r="F22" s="281" t="str">
        <f>IF(D22="","",VLOOKUP(D22,'G-6 Hedgerow Data'!$B$2:$AG$15,2,FALSE))</f>
        <v/>
      </c>
      <c r="G22" s="287" t="str">
        <f>IF(D22="","",VLOOKUP(D22,'G-6 Hedgerow Data'!$B$2:$AG$15,3,FALSE))</f>
        <v/>
      </c>
      <c r="H22" s="52"/>
      <c r="I22" s="282" t="str">
        <f>IFERROR(IF(H22="","",IF(AND(D22="Non-native and ornamental hedgerow", H22&lt;&gt;"Poor"),"Not possible ▲", (VLOOKUP(H22,'G-1 All Habitats'!$Z$2:$AA$9,2,FALSE)))),"")</f>
        <v/>
      </c>
      <c r="J22" s="105"/>
      <c r="K22" s="301" t="str">
        <f>IF(J22="","",IF(VLOOKUP(J22,'G-3 Multipliers'!$L$3:$N$6,2,FALSE)=0,"Spatial Data Missing ⚠",VLOOKUP(J22,'G-3 Multipliers'!$L$3:$N$6,2,FALSE)))</f>
        <v/>
      </c>
      <c r="L22" s="287" t="str">
        <f>IF(J22="","",IF(VLOOKUP(J22,'G-3 Multipliers'!$L$3:$N$6,3,FALSE)=0,"Spatial Data Missing ⚠",VLOOKUP(J22,'G-3 Multipliers'!$L$3:$N$6,3,FALSE)))</f>
        <v/>
      </c>
      <c r="M22" s="281" t="str">
        <f>IF(OR(D22="",H22=""),"",(INDEX('G-6 Hedgerow Data'!$E$3:$I$15,MATCH(D22,'G-6 Hedgerow Data'!$B$3:$B$15,0),MATCH(H22,'G-6 Hedgerow Data'!$E$2:$I$2,0))))</f>
        <v/>
      </c>
      <c r="N22" s="137"/>
      <c r="O22" s="137"/>
      <c r="P22" s="289" t="str">
        <f t="shared" si="1"/>
        <v/>
      </c>
      <c r="Q22" s="302" t="str">
        <f t="shared" si="2"/>
        <v/>
      </c>
      <c r="R22" s="303" t="str">
        <f t="shared" si="0"/>
        <v/>
      </c>
      <c r="S22" s="317" t="str">
        <f>IF(D22="","",VLOOKUP(D22,'G-6 Hedgerow Data'!$B$3:$AG$15,31,FALSE))</f>
        <v/>
      </c>
      <c r="T22" s="289" t="str">
        <f t="shared" si="3"/>
        <v/>
      </c>
      <c r="U22" s="289" t="str">
        <f t="shared" si="4"/>
        <v/>
      </c>
      <c r="V22" s="305" t="str">
        <f>IF(D22="","",VLOOKUP(S22,'G-3 Multipliers'!$P$3:$Q$6,2,FALSE))</f>
        <v/>
      </c>
      <c r="W22" s="309" t="str">
        <f t="shared" si="5"/>
        <v/>
      </c>
      <c r="X22" s="105"/>
      <c r="Y22" s="119"/>
      <c r="Z22" s="108"/>
      <c r="AG22" s="30" t="str">
        <f>IFERROR(INDEX('G-6 Hedgerow Data'!$BJ$3:$BJ$15,MATCH(D22,'G-6 Hedgerow Data'!$B$3:$B$15,0)),"")</f>
        <v/>
      </c>
    </row>
    <row r="23" spans="2:33" ht="13.8" x14ac:dyDescent="0.25">
      <c r="B23" s="101">
        <v>12</v>
      </c>
      <c r="C23" s="144"/>
      <c r="D23" s="137"/>
      <c r="E23" s="119"/>
      <c r="F23" s="281" t="str">
        <f>IF(D23="","",VLOOKUP(D23,'G-6 Hedgerow Data'!$B$2:$AG$15,2,FALSE))</f>
        <v/>
      </c>
      <c r="G23" s="287" t="str">
        <f>IF(D23="","",VLOOKUP(D23,'G-6 Hedgerow Data'!$B$2:$AG$15,3,FALSE))</f>
        <v/>
      </c>
      <c r="H23" s="52"/>
      <c r="I23" s="282" t="str">
        <f>IFERROR(IF(H23="","",IF(AND(D23="Non-native and ornamental hedgerow", H23&lt;&gt;"Poor"),"Not possible ▲", (VLOOKUP(H23,'G-1 All Habitats'!$Z$2:$AA$9,2,FALSE)))),"")</f>
        <v/>
      </c>
      <c r="J23" s="105"/>
      <c r="K23" s="301" t="str">
        <f>IF(J23="","",IF(VLOOKUP(J23,'G-3 Multipliers'!$L$3:$N$6,2,FALSE)=0,"Spatial Data Missing ⚠",VLOOKUP(J23,'G-3 Multipliers'!$L$3:$N$6,2,FALSE)))</f>
        <v/>
      </c>
      <c r="L23" s="287" t="str">
        <f>IF(J23="","",IF(VLOOKUP(J23,'G-3 Multipliers'!$L$3:$N$6,3,FALSE)=0,"Spatial Data Missing ⚠",VLOOKUP(J23,'G-3 Multipliers'!$L$3:$N$6,3,FALSE)))</f>
        <v/>
      </c>
      <c r="M23" s="281" t="str">
        <f>IF(OR(D23="",H23=""),"",(INDEX('G-6 Hedgerow Data'!$E$3:$I$15,MATCH(D23,'G-6 Hedgerow Data'!$B$3:$B$15,0),MATCH(H23,'G-6 Hedgerow Data'!$E$2:$I$2,0))))</f>
        <v/>
      </c>
      <c r="N23" s="137"/>
      <c r="O23" s="137"/>
      <c r="P23" s="289" t="str">
        <f t="shared" si="1"/>
        <v/>
      </c>
      <c r="Q23" s="302" t="str">
        <f t="shared" si="2"/>
        <v/>
      </c>
      <c r="R23" s="303" t="str">
        <f t="shared" si="0"/>
        <v/>
      </c>
      <c r="S23" s="317" t="str">
        <f>IF(D23="","",VLOOKUP(D23,'G-6 Hedgerow Data'!$B$3:$AG$15,31,FALSE))</f>
        <v/>
      </c>
      <c r="T23" s="289" t="str">
        <f t="shared" si="3"/>
        <v/>
      </c>
      <c r="U23" s="289" t="str">
        <f t="shared" si="4"/>
        <v/>
      </c>
      <c r="V23" s="305" t="str">
        <f>IF(D23="","",VLOOKUP(S23,'G-3 Multipliers'!$P$3:$Q$6,2,FALSE))</f>
        <v/>
      </c>
      <c r="W23" s="309" t="str">
        <f t="shared" si="5"/>
        <v/>
      </c>
      <c r="X23" s="105"/>
      <c r="Y23" s="119"/>
      <c r="Z23" s="108"/>
      <c r="AG23" s="30" t="str">
        <f>IFERROR(INDEX('G-6 Hedgerow Data'!$BJ$3:$BJ$15,MATCH(D23,'G-6 Hedgerow Data'!$B$3:$B$15,0)),"")</f>
        <v/>
      </c>
    </row>
    <row r="24" spans="2:33" ht="13.8" x14ac:dyDescent="0.25">
      <c r="B24" s="101">
        <v>13</v>
      </c>
      <c r="C24" s="144"/>
      <c r="D24" s="137"/>
      <c r="E24" s="119"/>
      <c r="F24" s="281" t="str">
        <f>IF(D24="","",VLOOKUP(D24,'G-6 Hedgerow Data'!$B$2:$AG$15,2,FALSE))</f>
        <v/>
      </c>
      <c r="G24" s="287" t="str">
        <f>IF(D24="","",VLOOKUP(D24,'G-6 Hedgerow Data'!$B$2:$AG$15,3,FALSE))</f>
        <v/>
      </c>
      <c r="H24" s="105"/>
      <c r="I24" s="282" t="str">
        <f>IFERROR(IF(H24="","",IF(AND(D24="Non-native and ornamental hedgerow", H24&lt;&gt;"Poor"),"Not possible ▲", (VLOOKUP(H24,'G-1 All Habitats'!$Z$2:$AA$9,2,FALSE)))),"")</f>
        <v/>
      </c>
      <c r="J24" s="105"/>
      <c r="K24" s="301" t="str">
        <f>IF(J24="","",IF(VLOOKUP(J24,'G-3 Multipliers'!$L$3:$N$6,2,FALSE)=0,"Spatial Data Missing ⚠",VLOOKUP(J24,'G-3 Multipliers'!$L$3:$N$6,2,FALSE)))</f>
        <v/>
      </c>
      <c r="L24" s="287" t="str">
        <f>IF(J24="","",IF(VLOOKUP(J24,'G-3 Multipliers'!$L$3:$N$6,3,FALSE)=0,"Spatial Data Missing ⚠",VLOOKUP(J24,'G-3 Multipliers'!$L$3:$N$6,3,FALSE)))</f>
        <v/>
      </c>
      <c r="M24" s="281" t="str">
        <f>IF(OR(D24="",H24=""),"",(INDEX('G-6 Hedgerow Data'!$E$3:$I$15,MATCH(D24,'G-6 Hedgerow Data'!$B$3:$B$15,0),MATCH(H24,'G-6 Hedgerow Data'!$E$2:$I$2,0))))</f>
        <v/>
      </c>
      <c r="N24" s="137"/>
      <c r="O24" s="137"/>
      <c r="P24" s="289" t="str">
        <f t="shared" si="1"/>
        <v/>
      </c>
      <c r="Q24" s="302" t="str">
        <f t="shared" si="2"/>
        <v/>
      </c>
      <c r="R24" s="303" t="str">
        <f t="shared" si="0"/>
        <v/>
      </c>
      <c r="S24" s="317" t="str">
        <f>IF(D24="","",VLOOKUP(D24,'G-6 Hedgerow Data'!$B$3:$AG$15,31,FALSE))</f>
        <v/>
      </c>
      <c r="T24" s="289" t="str">
        <f t="shared" si="3"/>
        <v/>
      </c>
      <c r="U24" s="289" t="str">
        <f t="shared" si="4"/>
        <v/>
      </c>
      <c r="V24" s="305" t="str">
        <f>IF(D24="","",VLOOKUP(S24,'G-3 Multipliers'!$P$3:$Q$6,2,FALSE))</f>
        <v/>
      </c>
      <c r="W24" s="309" t="str">
        <f t="shared" si="5"/>
        <v/>
      </c>
      <c r="X24" s="105"/>
      <c r="Y24" s="119"/>
      <c r="Z24" s="108"/>
      <c r="AG24" s="30" t="str">
        <f>IFERROR(INDEX('G-6 Hedgerow Data'!$BJ$3:$BJ$15,MATCH(D24,'G-6 Hedgerow Data'!$B$3:$B$15,0)),"")</f>
        <v/>
      </c>
    </row>
    <row r="25" spans="2:33" ht="13.8" x14ac:dyDescent="0.25">
      <c r="B25" s="101">
        <v>14</v>
      </c>
      <c r="C25" s="144"/>
      <c r="D25" s="58"/>
      <c r="E25" s="51"/>
      <c r="F25" s="329" t="str">
        <f>IF(D25="","",VLOOKUP(D25,'G-6 Hedgerow Data'!$B$2:$AG$15,2,FALSE))</f>
        <v/>
      </c>
      <c r="G25" s="282" t="str">
        <f>IF(D25="","",VLOOKUP(D25,'G-6 Hedgerow Data'!$B$2:$AG$15,3,FALSE))</f>
        <v/>
      </c>
      <c r="H25" s="105"/>
      <c r="I25" s="282" t="str">
        <f>IFERROR(IF(H25="","",IF(AND(D25="Non-native and ornamental hedgerow", H25&lt;&gt;"Poor"),"Not possible ▲", (VLOOKUP(H25,'G-1 All Habitats'!$Z$2:$AA$9,2,FALSE)))),"")</f>
        <v/>
      </c>
      <c r="J25" s="105"/>
      <c r="K25" s="301" t="str">
        <f>IF(J25="","",IF(VLOOKUP(J25,'G-3 Multipliers'!$L$3:$N$6,2,FALSE)=0,"Spatial Data Missing ⚠",VLOOKUP(J25,'G-3 Multipliers'!$L$3:$N$6,2,FALSE)))</f>
        <v/>
      </c>
      <c r="L25" s="287" t="str">
        <f>IF(J25="","",IF(VLOOKUP(J25,'G-3 Multipliers'!$L$3:$N$6,3,FALSE)=0,"Spatial Data Missing ⚠",VLOOKUP(J25,'G-3 Multipliers'!$L$3:$N$6,3,FALSE)))</f>
        <v/>
      </c>
      <c r="M25" s="281" t="str">
        <f>IF(OR(D25="",H25=""),"",(INDEX('G-6 Hedgerow Data'!$E$3:$I$15,MATCH(D25,'G-6 Hedgerow Data'!$B$3:$B$15,0),MATCH(H25,'G-6 Hedgerow Data'!$E$2:$I$2,0))))</f>
        <v/>
      </c>
      <c r="N25" s="137"/>
      <c r="O25" s="137"/>
      <c r="P25" s="289" t="str">
        <f t="shared" si="1"/>
        <v/>
      </c>
      <c r="Q25" s="302" t="str">
        <f t="shared" si="2"/>
        <v/>
      </c>
      <c r="R25" s="303" t="str">
        <f t="shared" si="0"/>
        <v/>
      </c>
      <c r="S25" s="317" t="str">
        <f>IF(D25="","",VLOOKUP(D25,'G-6 Hedgerow Data'!$B$3:$AG$15,31,FALSE))</f>
        <v/>
      </c>
      <c r="T25" s="289" t="str">
        <f t="shared" si="3"/>
        <v/>
      </c>
      <c r="U25" s="289" t="str">
        <f t="shared" si="4"/>
        <v/>
      </c>
      <c r="V25" s="305" t="str">
        <f>IF(D25="","",VLOOKUP(S25,'G-3 Multipliers'!$P$3:$Q$6,2,FALSE))</f>
        <v/>
      </c>
      <c r="W25" s="309" t="str">
        <f t="shared" si="5"/>
        <v/>
      </c>
      <c r="X25" s="105"/>
      <c r="Y25" s="119"/>
      <c r="Z25" s="108"/>
      <c r="AG25" s="30" t="str">
        <f>IFERROR(INDEX('G-6 Hedgerow Data'!$BJ$3:$BJ$15,MATCH(D25,'G-6 Hedgerow Data'!$B$3:$B$15,0)),"")</f>
        <v/>
      </c>
    </row>
    <row r="26" spans="2:33" ht="13.8" x14ac:dyDescent="0.25">
      <c r="B26" s="101">
        <v>15</v>
      </c>
      <c r="C26" s="144"/>
      <c r="D26" s="58"/>
      <c r="E26" s="51"/>
      <c r="F26" s="329" t="str">
        <f>IF(D26="","",VLOOKUP(D26,'G-6 Hedgerow Data'!$B$2:$AG$15,2,FALSE))</f>
        <v/>
      </c>
      <c r="G26" s="282" t="str">
        <f>IF(D26="","",VLOOKUP(D26,'G-6 Hedgerow Data'!$B$2:$AG$15,3,FALSE))</f>
        <v/>
      </c>
      <c r="H26" s="105"/>
      <c r="I26" s="282" t="str">
        <f>IFERROR(IF(H26="","",IF(AND(D26="Non-native and ornamental hedgerow", H26&lt;&gt;"Poor"),"Not possible ▲", (VLOOKUP(H26,'G-1 All Habitats'!$Z$2:$AA$9,2,FALSE)))),"")</f>
        <v/>
      </c>
      <c r="J26" s="105"/>
      <c r="K26" s="301" t="str">
        <f>IF(J26="","",IF(VLOOKUP(J26,'G-3 Multipliers'!$L$3:$N$6,2,FALSE)=0,"Spatial Data Missing ⚠",VLOOKUP(J26,'G-3 Multipliers'!$L$3:$N$6,2,FALSE)))</f>
        <v/>
      </c>
      <c r="L26" s="287" t="str">
        <f>IF(J26="","",IF(VLOOKUP(J26,'G-3 Multipliers'!$L$3:$N$6,3,FALSE)=0,"Spatial Data Missing ⚠",VLOOKUP(J26,'G-3 Multipliers'!$L$3:$N$6,3,FALSE)))</f>
        <v/>
      </c>
      <c r="M26" s="281" t="str">
        <f>IF(OR(D26="",H26=""),"",(INDEX('G-6 Hedgerow Data'!$E$3:$I$15,MATCH(D26,'G-6 Hedgerow Data'!$B$3:$B$15,0),MATCH(H26,'G-6 Hedgerow Data'!$E$2:$I$2,0))))</f>
        <v/>
      </c>
      <c r="N26" s="137"/>
      <c r="O26" s="137"/>
      <c r="P26" s="289" t="str">
        <f t="shared" si="1"/>
        <v/>
      </c>
      <c r="Q26" s="302" t="str">
        <f t="shared" si="2"/>
        <v/>
      </c>
      <c r="R26" s="303" t="str">
        <f t="shared" si="0"/>
        <v/>
      </c>
      <c r="S26" s="317" t="str">
        <f>IF(D26="","",VLOOKUP(D26,'G-6 Hedgerow Data'!$B$3:$AG$15,31,FALSE))</f>
        <v/>
      </c>
      <c r="T26" s="289" t="str">
        <f t="shared" si="3"/>
        <v/>
      </c>
      <c r="U26" s="289" t="str">
        <f t="shared" si="4"/>
        <v/>
      </c>
      <c r="V26" s="305" t="str">
        <f>IF(D26="","",VLOOKUP(S26,'G-3 Multipliers'!$P$3:$Q$6,2,FALSE))</f>
        <v/>
      </c>
      <c r="W26" s="309" t="str">
        <f t="shared" si="5"/>
        <v/>
      </c>
      <c r="X26" s="105"/>
      <c r="Y26" s="119"/>
      <c r="Z26" s="108"/>
      <c r="AG26" s="30" t="str">
        <f>IFERROR(INDEX('G-6 Hedgerow Data'!$BJ$3:$BJ$15,MATCH(D26,'G-6 Hedgerow Data'!$B$3:$B$15,0)),"")</f>
        <v/>
      </c>
    </row>
    <row r="27" spans="2:33" ht="13.8" x14ac:dyDescent="0.25">
      <c r="B27" s="101">
        <v>16</v>
      </c>
      <c r="C27" s="144"/>
      <c r="D27" s="58"/>
      <c r="E27" s="51"/>
      <c r="F27" s="329" t="str">
        <f>IF(D27="","",VLOOKUP(D27,'G-6 Hedgerow Data'!$B$2:$AG$15,2,FALSE))</f>
        <v/>
      </c>
      <c r="G27" s="282" t="str">
        <f>IF(D27="","",VLOOKUP(D27,'G-6 Hedgerow Data'!$B$2:$AG$15,3,FALSE))</f>
        <v/>
      </c>
      <c r="H27" s="105"/>
      <c r="I27" s="282" t="str">
        <f>IFERROR(IF(H27="","",IF(AND(D27="Non-native and ornamental hedgerow", H27&lt;&gt;"Poor"),"Not possible ▲", (VLOOKUP(H27,'G-1 All Habitats'!$Z$2:$AA$9,2,FALSE)))),"")</f>
        <v/>
      </c>
      <c r="J27" s="105"/>
      <c r="K27" s="301" t="str">
        <f>IF(J27="","",IF(VLOOKUP(J27,'G-3 Multipliers'!$L$3:$N$6,2,FALSE)=0,"Spatial Data Missing ⚠",VLOOKUP(J27,'G-3 Multipliers'!$L$3:$N$6,2,FALSE)))</f>
        <v/>
      </c>
      <c r="L27" s="287" t="str">
        <f>IF(J27="","",IF(VLOOKUP(J27,'G-3 Multipliers'!$L$3:$N$6,3,FALSE)=0,"Spatial Data Missing ⚠",VLOOKUP(J27,'G-3 Multipliers'!$L$3:$N$6,3,FALSE)))</f>
        <v/>
      </c>
      <c r="M27" s="281" t="str">
        <f>IF(OR(D27="",H27=""),"",(INDEX('G-6 Hedgerow Data'!$E$3:$I$15,MATCH(D27,'G-6 Hedgerow Data'!$B$3:$B$15,0),MATCH(H27,'G-6 Hedgerow Data'!$E$2:$I$2,0))))</f>
        <v/>
      </c>
      <c r="N27" s="137"/>
      <c r="O27" s="137"/>
      <c r="P27" s="289" t="str">
        <f t="shared" si="1"/>
        <v/>
      </c>
      <c r="Q27" s="302" t="str">
        <f t="shared" si="2"/>
        <v/>
      </c>
      <c r="R27" s="303" t="str">
        <f t="shared" si="0"/>
        <v/>
      </c>
      <c r="S27" s="317" t="str">
        <f>IF(D27="","",VLOOKUP(D27,'G-6 Hedgerow Data'!$B$3:$AG$15,31,FALSE))</f>
        <v/>
      </c>
      <c r="T27" s="289" t="str">
        <f t="shared" si="3"/>
        <v/>
      </c>
      <c r="U27" s="289" t="str">
        <f t="shared" si="4"/>
        <v/>
      </c>
      <c r="V27" s="305" t="str">
        <f>IF(D27="","",VLOOKUP(S27,'G-3 Multipliers'!$P$3:$Q$6,2,FALSE))</f>
        <v/>
      </c>
      <c r="W27" s="309" t="str">
        <f t="shared" si="5"/>
        <v/>
      </c>
      <c r="X27" s="105"/>
      <c r="Y27" s="119"/>
      <c r="Z27" s="108"/>
      <c r="AG27" s="30" t="str">
        <f>IFERROR(INDEX('G-6 Hedgerow Data'!$BJ$3:$BJ$15,MATCH(D27,'G-6 Hedgerow Data'!$B$3:$B$15,0)),"")</f>
        <v/>
      </c>
    </row>
    <row r="28" spans="2:33" ht="13.8" x14ac:dyDescent="0.25">
      <c r="B28" s="101">
        <v>17</v>
      </c>
      <c r="C28" s="144"/>
      <c r="D28" s="58"/>
      <c r="E28" s="51"/>
      <c r="F28" s="329" t="str">
        <f>IF(D28="","",VLOOKUP(D28,'G-6 Hedgerow Data'!$B$2:$AG$15,2,FALSE))</f>
        <v/>
      </c>
      <c r="G28" s="282" t="str">
        <f>IF(D28="","",VLOOKUP(D28,'G-6 Hedgerow Data'!$B$2:$AG$15,3,FALSE))</f>
        <v/>
      </c>
      <c r="H28" s="105"/>
      <c r="I28" s="282" t="str">
        <f>IFERROR(IF(H28="","",IF(AND(D28="Non-native and ornamental hedgerow", H28&lt;&gt;"Poor"),"Not possible ▲", (VLOOKUP(H28,'G-1 All Habitats'!$Z$2:$AA$9,2,FALSE)))),"")</f>
        <v/>
      </c>
      <c r="J28" s="105"/>
      <c r="K28" s="301" t="str">
        <f>IF(J28="","",IF(VLOOKUP(J28,'G-3 Multipliers'!$L$3:$N$6,2,FALSE)=0,"Spatial Data Missing ⚠",VLOOKUP(J28,'G-3 Multipliers'!$L$3:$N$6,2,FALSE)))</f>
        <v/>
      </c>
      <c r="L28" s="287" t="str">
        <f>IF(J28="","",IF(VLOOKUP(J28,'G-3 Multipliers'!$L$3:$N$6,3,FALSE)=0,"Spatial Data Missing ⚠",VLOOKUP(J28,'G-3 Multipliers'!$L$3:$N$6,3,FALSE)))</f>
        <v/>
      </c>
      <c r="M28" s="281" t="str">
        <f>IF(OR(D28="",H28=""),"",(INDEX('G-6 Hedgerow Data'!$E$3:$I$15,MATCH(D28,'G-6 Hedgerow Data'!$B$3:$B$15,0),MATCH(H28,'G-6 Hedgerow Data'!$E$2:$I$2,0))))</f>
        <v/>
      </c>
      <c r="N28" s="137"/>
      <c r="O28" s="137"/>
      <c r="P28" s="289" t="str">
        <f t="shared" si="1"/>
        <v/>
      </c>
      <c r="Q28" s="302" t="str">
        <f t="shared" si="2"/>
        <v/>
      </c>
      <c r="R28" s="303" t="str">
        <f t="shared" si="0"/>
        <v/>
      </c>
      <c r="S28" s="317" t="str">
        <f>IF(D28="","",VLOOKUP(D28,'G-6 Hedgerow Data'!$B$3:$AG$15,31,FALSE))</f>
        <v/>
      </c>
      <c r="T28" s="289" t="str">
        <f t="shared" si="3"/>
        <v/>
      </c>
      <c r="U28" s="289" t="str">
        <f t="shared" si="4"/>
        <v/>
      </c>
      <c r="V28" s="305" t="str">
        <f>IF(D28="","",VLOOKUP(S28,'G-3 Multipliers'!$P$3:$Q$6,2,FALSE))</f>
        <v/>
      </c>
      <c r="W28" s="309" t="str">
        <f t="shared" si="5"/>
        <v/>
      </c>
      <c r="X28" s="105"/>
      <c r="Y28" s="119"/>
      <c r="Z28" s="108"/>
      <c r="AG28" s="30" t="str">
        <f>IFERROR(INDEX('G-6 Hedgerow Data'!$BJ$3:$BJ$15,MATCH(D28,'G-6 Hedgerow Data'!$B$3:$B$15,0)),"")</f>
        <v/>
      </c>
    </row>
    <row r="29" spans="2:33" ht="13.8" x14ac:dyDescent="0.25">
      <c r="B29" s="101">
        <v>18</v>
      </c>
      <c r="C29" s="144"/>
      <c r="D29" s="137"/>
      <c r="E29" s="119"/>
      <c r="F29" s="329" t="str">
        <f>IF(D29="","",VLOOKUP(D29,'G-6 Hedgerow Data'!$B$2:$AG$15,2,FALSE))</f>
        <v/>
      </c>
      <c r="G29" s="282" t="str">
        <f>IF(D29="","",VLOOKUP(D29,'G-6 Hedgerow Data'!$B$2:$AG$15,3,FALSE))</f>
        <v/>
      </c>
      <c r="H29" s="105"/>
      <c r="I29" s="282" t="str">
        <f>IFERROR(IF(H29="","",IF(AND(D29="Non-native and ornamental hedgerow", H29&lt;&gt;"Poor"),"Not possible ▲", (VLOOKUP(H29,'G-1 All Habitats'!$Z$2:$AA$9,2,FALSE)))),"")</f>
        <v/>
      </c>
      <c r="J29" s="105"/>
      <c r="K29" s="301" t="str">
        <f>IF(J29="","",IF(VLOOKUP(J29,'G-3 Multipliers'!$L$3:$N$6,2,FALSE)=0,"Spatial Data Missing ⚠",VLOOKUP(J29,'G-3 Multipliers'!$L$3:$N$6,2,FALSE)))</f>
        <v/>
      </c>
      <c r="L29" s="287" t="str">
        <f>IF(J29="","",IF(VLOOKUP(J29,'G-3 Multipliers'!$L$3:$N$6,3,FALSE)=0,"Spatial Data Missing ⚠",VLOOKUP(J29,'G-3 Multipliers'!$L$3:$N$6,3,FALSE)))</f>
        <v/>
      </c>
      <c r="M29" s="281" t="str">
        <f>IF(OR(D29="",H29=""),"",(INDEX('G-6 Hedgerow Data'!$E$3:$I$15,MATCH(D29,'G-6 Hedgerow Data'!$B$3:$B$15,0),MATCH(H29,'G-6 Hedgerow Data'!$E$2:$I$2,0))))</f>
        <v/>
      </c>
      <c r="N29" s="137"/>
      <c r="O29" s="137"/>
      <c r="P29" s="289" t="str">
        <f t="shared" si="1"/>
        <v/>
      </c>
      <c r="Q29" s="302" t="str">
        <f t="shared" si="2"/>
        <v/>
      </c>
      <c r="R29" s="303" t="str">
        <f t="shared" si="0"/>
        <v/>
      </c>
      <c r="S29" s="317" t="str">
        <f>IF(D29="","",VLOOKUP(D29,'G-6 Hedgerow Data'!$B$3:$AG$15,31,FALSE))</f>
        <v/>
      </c>
      <c r="T29" s="289" t="str">
        <f t="shared" si="3"/>
        <v/>
      </c>
      <c r="U29" s="289" t="str">
        <f t="shared" si="4"/>
        <v/>
      </c>
      <c r="V29" s="305" t="str">
        <f>IF(D29="","",VLOOKUP(S29,'G-3 Multipliers'!$P$3:$Q$6,2,FALSE))</f>
        <v/>
      </c>
      <c r="W29" s="309" t="str">
        <f t="shared" si="5"/>
        <v/>
      </c>
      <c r="X29" s="105"/>
      <c r="Y29" s="119"/>
      <c r="Z29" s="108"/>
      <c r="AG29" s="30" t="str">
        <f>IFERROR(INDEX('G-6 Hedgerow Data'!$BJ$3:$BJ$15,MATCH(D29,'G-6 Hedgerow Data'!$B$3:$B$15,0)),"")</f>
        <v/>
      </c>
    </row>
    <row r="30" spans="2:33" ht="13.8" x14ac:dyDescent="0.25">
      <c r="B30" s="101">
        <v>19</v>
      </c>
      <c r="C30" s="144"/>
      <c r="D30" s="137"/>
      <c r="E30" s="119"/>
      <c r="F30" s="317" t="str">
        <f>IF(D30="","",VLOOKUP(D30,'G-6 Hedgerow Data'!$B$2:$AG$15,2,FALSE))</f>
        <v/>
      </c>
      <c r="G30" s="287" t="str">
        <f>IF(D30="","",VLOOKUP(D30,'G-6 Hedgerow Data'!$B$2:$AG$15,3,FALSE))</f>
        <v/>
      </c>
      <c r="H30" s="106"/>
      <c r="I30" s="282" t="str">
        <f>IFERROR(IF(H30="","",IF(AND(D30="Non-native and ornamental hedgerow", H30&lt;&gt;"Poor"),"Not possible ▲", (VLOOKUP(H30,'G-1 All Habitats'!$Z$2:$AA$9,2,FALSE)))),"")</f>
        <v/>
      </c>
      <c r="J30" s="105"/>
      <c r="K30" s="301" t="str">
        <f>IF(J30="","",IF(VLOOKUP(J30,'G-3 Multipliers'!$L$3:$N$6,2,FALSE)=0,"Spatial Data Missing ⚠",VLOOKUP(J30,'G-3 Multipliers'!$L$3:$N$6,2,FALSE)))</f>
        <v/>
      </c>
      <c r="L30" s="287" t="str">
        <f>IF(J30="","",IF(VLOOKUP(J30,'G-3 Multipliers'!$L$3:$N$6,3,FALSE)=0,"Spatial Data Missing ⚠",VLOOKUP(J30,'G-3 Multipliers'!$L$3:$N$6,3,FALSE)))</f>
        <v/>
      </c>
      <c r="M30" s="281" t="str">
        <f>IF(OR(D30="",H30=""),"",(INDEX('G-6 Hedgerow Data'!$E$3:$I$15,MATCH(D30,'G-6 Hedgerow Data'!$B$3:$B$15,0),MATCH(H30,'G-6 Hedgerow Data'!$E$2:$I$2,0))))</f>
        <v/>
      </c>
      <c r="N30" s="137"/>
      <c r="O30" s="137"/>
      <c r="P30" s="289" t="str">
        <f t="shared" si="1"/>
        <v/>
      </c>
      <c r="Q30" s="302" t="str">
        <f t="shared" si="2"/>
        <v/>
      </c>
      <c r="R30" s="303" t="str">
        <f t="shared" si="0"/>
        <v/>
      </c>
      <c r="S30" s="317" t="str">
        <f>IF(D30="","",VLOOKUP(D30,'G-6 Hedgerow Data'!$B$3:$AG$15,31,FALSE))</f>
        <v/>
      </c>
      <c r="T30" s="289" t="str">
        <f t="shared" si="3"/>
        <v/>
      </c>
      <c r="U30" s="289" t="str">
        <f t="shared" si="4"/>
        <v/>
      </c>
      <c r="V30" s="305" t="str">
        <f>IF(D30="","",VLOOKUP(S30,'G-3 Multipliers'!$P$3:$Q$6,2,FALSE))</f>
        <v/>
      </c>
      <c r="W30" s="309" t="str">
        <f t="shared" si="5"/>
        <v/>
      </c>
      <c r="X30" s="105"/>
      <c r="Y30" s="119"/>
      <c r="Z30" s="108"/>
      <c r="AG30" s="30" t="str">
        <f>IFERROR(INDEX('G-6 Hedgerow Data'!$BJ$3:$BJ$15,MATCH(D30,'G-6 Hedgerow Data'!$B$3:$B$15,0)),"")</f>
        <v/>
      </c>
    </row>
    <row r="31" spans="2:33" ht="13.8" x14ac:dyDescent="0.25">
      <c r="B31" s="101">
        <v>20</v>
      </c>
      <c r="C31" s="144"/>
      <c r="D31" s="137"/>
      <c r="E31" s="119"/>
      <c r="F31" s="281" t="str">
        <f>IF(D31="","",VLOOKUP(D31,'G-6 Hedgerow Data'!$B$2:$AG$15,2,FALSE))</f>
        <v/>
      </c>
      <c r="G31" s="287" t="str">
        <f>IF(D31="","",VLOOKUP(D31,'G-6 Hedgerow Data'!$B$2:$AG$15,3,FALSE))</f>
        <v/>
      </c>
      <c r="H31" s="52"/>
      <c r="I31" s="282" t="str">
        <f>IFERROR(IF(H31="","",IF(AND(D31="Non-native and ornamental hedgerow", H31&lt;&gt;"Poor"),"Not possible ▲", (VLOOKUP(H31,'G-1 All Habitats'!$Z$2:$AA$9,2,FALSE)))),"")</f>
        <v/>
      </c>
      <c r="J31" s="105"/>
      <c r="K31" s="301" t="str">
        <f>IF(J31="","",IF(VLOOKUP(J31,'G-3 Multipliers'!$L$3:$N$6,2,FALSE)=0,"Spatial Data Missing ⚠",VLOOKUP(J31,'G-3 Multipliers'!$L$3:$N$6,2,FALSE)))</f>
        <v/>
      </c>
      <c r="L31" s="287" t="str">
        <f>IF(J31="","",IF(VLOOKUP(J31,'G-3 Multipliers'!$L$3:$N$6,3,FALSE)=0,"Spatial Data Missing ⚠",VLOOKUP(J31,'G-3 Multipliers'!$L$3:$N$6,3,FALSE)))</f>
        <v/>
      </c>
      <c r="M31" s="281" t="str">
        <f>IF(OR(D31="",H31=""),"",(INDEX('G-6 Hedgerow Data'!$E$3:$I$15,MATCH(D31,'G-6 Hedgerow Data'!$B$3:$B$15,0),MATCH(H31,'G-6 Hedgerow Data'!$E$2:$I$2,0))))</f>
        <v/>
      </c>
      <c r="N31" s="137"/>
      <c r="O31" s="137"/>
      <c r="P31" s="289" t="str">
        <f t="shared" si="1"/>
        <v/>
      </c>
      <c r="Q31" s="302" t="str">
        <f t="shared" si="2"/>
        <v/>
      </c>
      <c r="R31" s="303" t="str">
        <f t="shared" si="0"/>
        <v/>
      </c>
      <c r="S31" s="317" t="str">
        <f>IF(D31="","",VLOOKUP(D31,'G-6 Hedgerow Data'!$B$3:$AG$15,31,FALSE))</f>
        <v/>
      </c>
      <c r="T31" s="289" t="str">
        <f t="shared" si="3"/>
        <v/>
      </c>
      <c r="U31" s="289" t="str">
        <f t="shared" si="4"/>
        <v/>
      </c>
      <c r="V31" s="305" t="str">
        <f>IF(D31="","",VLOOKUP(S31,'G-3 Multipliers'!$P$3:$Q$6,2,FALSE))</f>
        <v/>
      </c>
      <c r="W31" s="309" t="str">
        <f t="shared" si="5"/>
        <v/>
      </c>
      <c r="X31" s="105"/>
      <c r="Y31" s="119"/>
      <c r="Z31" s="108"/>
      <c r="AG31" s="30" t="str">
        <f>IFERROR(INDEX('G-6 Hedgerow Data'!$BJ$3:$BJ$15,MATCH(D31,'G-6 Hedgerow Data'!$B$3:$B$15,0)),"")</f>
        <v/>
      </c>
    </row>
    <row r="32" spans="2:33" ht="13.8" x14ac:dyDescent="0.25">
      <c r="B32" s="101">
        <v>21</v>
      </c>
      <c r="C32" s="144"/>
      <c r="D32" s="137"/>
      <c r="E32" s="119"/>
      <c r="F32" s="281" t="str">
        <f>IF(D32="","",VLOOKUP(D32,'G-6 Hedgerow Data'!$B$2:$AG$15,2,FALSE))</f>
        <v/>
      </c>
      <c r="G32" s="287" t="str">
        <f>IF(D32="","",VLOOKUP(D32,'G-6 Hedgerow Data'!$B$2:$AG$15,3,FALSE))</f>
        <v/>
      </c>
      <c r="H32" s="52"/>
      <c r="I32" s="282" t="str">
        <f>IFERROR(IF(H32="","",IF(AND(D32="Non-native and ornamental hedgerow", H32&lt;&gt;"Poor"),"Not possible ▲", (VLOOKUP(H32,'G-1 All Habitats'!$Z$2:$AA$9,2,FALSE)))),"")</f>
        <v/>
      </c>
      <c r="J32" s="105"/>
      <c r="K32" s="301" t="str">
        <f>IF(J32="","",IF(VLOOKUP(J32,'G-3 Multipliers'!$L$3:$N$6,2,FALSE)=0,"Spatial Data Missing ⚠",VLOOKUP(J32,'G-3 Multipliers'!$L$3:$N$6,2,FALSE)))</f>
        <v/>
      </c>
      <c r="L32" s="287" t="str">
        <f>IF(J32="","",IF(VLOOKUP(J32,'G-3 Multipliers'!$L$3:$N$6,3,FALSE)=0,"Spatial Data Missing ⚠",VLOOKUP(J32,'G-3 Multipliers'!$L$3:$N$6,3,FALSE)))</f>
        <v/>
      </c>
      <c r="M32" s="281" t="str">
        <f>IF(OR(D32="",H32=""),"",(INDEX('G-6 Hedgerow Data'!$E$3:$I$15,MATCH(D32,'G-6 Hedgerow Data'!$B$3:$B$15,0),MATCH(H32,'G-6 Hedgerow Data'!$E$2:$I$2,0))))</f>
        <v/>
      </c>
      <c r="N32" s="137"/>
      <c r="O32" s="137"/>
      <c r="P32" s="289" t="str">
        <f t="shared" si="1"/>
        <v/>
      </c>
      <c r="Q32" s="302" t="str">
        <f t="shared" si="2"/>
        <v/>
      </c>
      <c r="R32" s="303" t="str">
        <f t="shared" si="0"/>
        <v/>
      </c>
      <c r="S32" s="317" t="str">
        <f>IF(D32="","",VLOOKUP(D32,'G-6 Hedgerow Data'!$B$3:$AG$15,31,FALSE))</f>
        <v/>
      </c>
      <c r="T32" s="289" t="str">
        <f t="shared" si="3"/>
        <v/>
      </c>
      <c r="U32" s="289" t="str">
        <f t="shared" si="4"/>
        <v/>
      </c>
      <c r="V32" s="305" t="str">
        <f>IF(D32="","",VLOOKUP(S32,'G-3 Multipliers'!$P$3:$Q$6,2,FALSE))</f>
        <v/>
      </c>
      <c r="W32" s="309" t="str">
        <f t="shared" si="5"/>
        <v/>
      </c>
      <c r="X32" s="105"/>
      <c r="Y32" s="119"/>
      <c r="Z32" s="108"/>
      <c r="AG32" s="30" t="str">
        <f>IFERROR(INDEX('G-6 Hedgerow Data'!$BJ$3:$BJ$15,MATCH(D32,'G-6 Hedgerow Data'!$B$3:$B$15,0)),"")</f>
        <v/>
      </c>
    </row>
    <row r="33" spans="2:33" ht="13.8" x14ac:dyDescent="0.25">
      <c r="B33" s="101">
        <v>22</v>
      </c>
      <c r="C33" s="144"/>
      <c r="D33" s="137"/>
      <c r="E33" s="119"/>
      <c r="F33" s="281" t="str">
        <f>IF(D33="","",VLOOKUP(D33,'G-6 Hedgerow Data'!$B$2:$AG$15,2,FALSE))</f>
        <v/>
      </c>
      <c r="G33" s="287" t="str">
        <f>IF(D33="","",VLOOKUP(D33,'G-6 Hedgerow Data'!$B$2:$AG$15,3,FALSE))</f>
        <v/>
      </c>
      <c r="H33" s="52"/>
      <c r="I33" s="282" t="str">
        <f>IFERROR(IF(H33="","",IF(AND(D33="Non-native and ornamental hedgerow", H33&lt;&gt;"Poor"),"Not possible ▲", (VLOOKUP(H33,'G-1 All Habitats'!$Z$2:$AA$9,2,FALSE)))),"")</f>
        <v/>
      </c>
      <c r="J33" s="105"/>
      <c r="K33" s="301" t="str">
        <f>IF(J33="","",IF(VLOOKUP(J33,'G-3 Multipliers'!$L$3:$N$6,2,FALSE)=0,"Spatial Data Missing ⚠",VLOOKUP(J33,'G-3 Multipliers'!$L$3:$N$6,2,FALSE)))</f>
        <v/>
      </c>
      <c r="L33" s="287" t="str">
        <f>IF(J33="","",IF(VLOOKUP(J33,'G-3 Multipliers'!$L$3:$N$6,3,FALSE)=0,"Spatial Data Missing ⚠",VLOOKUP(J33,'G-3 Multipliers'!$L$3:$N$6,3,FALSE)))</f>
        <v/>
      </c>
      <c r="M33" s="281" t="str">
        <f>IF(OR(D33="",H33=""),"",(INDEX('G-6 Hedgerow Data'!$E$3:$I$15,MATCH(D33,'G-6 Hedgerow Data'!$B$3:$B$15,0),MATCH(H33,'G-6 Hedgerow Data'!$E$2:$I$2,0))))</f>
        <v/>
      </c>
      <c r="N33" s="137"/>
      <c r="O33" s="137"/>
      <c r="P33" s="289" t="str">
        <f t="shared" si="1"/>
        <v/>
      </c>
      <c r="Q33" s="302" t="str">
        <f t="shared" si="2"/>
        <v/>
      </c>
      <c r="R33" s="303" t="str">
        <f t="shared" si="0"/>
        <v/>
      </c>
      <c r="S33" s="317" t="str">
        <f>IF(D33="","",VLOOKUP(D33,'G-6 Hedgerow Data'!$B$3:$AG$15,31,FALSE))</f>
        <v/>
      </c>
      <c r="T33" s="289" t="str">
        <f t="shared" si="3"/>
        <v/>
      </c>
      <c r="U33" s="289" t="str">
        <f t="shared" si="4"/>
        <v/>
      </c>
      <c r="V33" s="305" t="str">
        <f>IF(D33="","",VLOOKUP(S33,'G-3 Multipliers'!$P$3:$Q$6,2,FALSE))</f>
        <v/>
      </c>
      <c r="W33" s="309" t="str">
        <f t="shared" si="5"/>
        <v/>
      </c>
      <c r="X33" s="105"/>
      <c r="Y33" s="119"/>
      <c r="Z33" s="108"/>
      <c r="AG33" s="30" t="str">
        <f>IFERROR(INDEX('G-6 Hedgerow Data'!$BJ$3:$BJ$15,MATCH(D33,'G-6 Hedgerow Data'!$B$3:$B$15,0)),"")</f>
        <v/>
      </c>
    </row>
    <row r="34" spans="2:33" ht="13.8" x14ac:dyDescent="0.25">
      <c r="B34" s="101">
        <v>23</v>
      </c>
      <c r="C34" s="144"/>
      <c r="D34" s="137"/>
      <c r="E34" s="119"/>
      <c r="F34" s="281" t="str">
        <f>IF(D34="","",VLOOKUP(D34,'G-6 Hedgerow Data'!$B$2:$AG$15,2,FALSE))</f>
        <v/>
      </c>
      <c r="G34" s="287" t="str">
        <f>IF(D34="","",VLOOKUP(D34,'G-6 Hedgerow Data'!$B$2:$AG$15,3,FALSE))</f>
        <v/>
      </c>
      <c r="H34" s="52"/>
      <c r="I34" s="282" t="str">
        <f>IFERROR(IF(H34="","",IF(AND(D34="Non-native and ornamental hedgerow", H34&lt;&gt;"Poor"),"Not possible ▲", (VLOOKUP(H34,'G-1 All Habitats'!$Z$2:$AA$9,2,FALSE)))),"")</f>
        <v/>
      </c>
      <c r="J34" s="105"/>
      <c r="K34" s="301" t="str">
        <f>IF(J34="","",IF(VLOOKUP(J34,'G-3 Multipliers'!$L$3:$N$6,2,FALSE)=0,"Spatial Data Missing ⚠",VLOOKUP(J34,'G-3 Multipliers'!$L$3:$N$6,2,FALSE)))</f>
        <v/>
      </c>
      <c r="L34" s="287" t="str">
        <f>IF(J34="","",IF(VLOOKUP(J34,'G-3 Multipliers'!$L$3:$N$6,3,FALSE)=0,"Spatial Data Missing ⚠",VLOOKUP(J34,'G-3 Multipliers'!$L$3:$N$6,3,FALSE)))</f>
        <v/>
      </c>
      <c r="M34" s="281" t="str">
        <f>IF(OR(D34="",H34=""),"",(INDEX('G-6 Hedgerow Data'!$E$3:$I$15,MATCH(D34,'G-6 Hedgerow Data'!$B$3:$B$15,0),MATCH(H34,'G-6 Hedgerow Data'!$E$2:$I$2,0))))</f>
        <v/>
      </c>
      <c r="N34" s="137"/>
      <c r="O34" s="137"/>
      <c r="P34" s="289" t="str">
        <f t="shared" si="1"/>
        <v/>
      </c>
      <c r="Q34" s="302" t="str">
        <f t="shared" si="2"/>
        <v/>
      </c>
      <c r="R34" s="303" t="str">
        <f t="shared" si="0"/>
        <v/>
      </c>
      <c r="S34" s="317" t="str">
        <f>IF(D34="","",VLOOKUP(D34,'G-6 Hedgerow Data'!$B$3:$AG$15,31,FALSE))</f>
        <v/>
      </c>
      <c r="T34" s="289" t="str">
        <f t="shared" si="3"/>
        <v/>
      </c>
      <c r="U34" s="289" t="str">
        <f t="shared" si="4"/>
        <v/>
      </c>
      <c r="V34" s="305" t="str">
        <f>IF(D34="","",VLOOKUP(S34,'G-3 Multipliers'!$P$3:$Q$6,2,FALSE))</f>
        <v/>
      </c>
      <c r="W34" s="309" t="str">
        <f t="shared" si="5"/>
        <v/>
      </c>
      <c r="X34" s="105"/>
      <c r="Y34" s="119"/>
      <c r="Z34" s="108"/>
      <c r="AG34" s="30" t="str">
        <f>IFERROR(INDEX('G-6 Hedgerow Data'!$BJ$3:$BJ$15,MATCH(D34,'G-6 Hedgerow Data'!$B$3:$B$15,0)),"")</f>
        <v/>
      </c>
    </row>
    <row r="35" spans="2:33" ht="13.8" x14ac:dyDescent="0.25">
      <c r="B35" s="101">
        <v>24</v>
      </c>
      <c r="C35" s="144"/>
      <c r="D35" s="137"/>
      <c r="E35" s="119"/>
      <c r="F35" s="281" t="str">
        <f>IF(D35="","",VLOOKUP(D35,'G-6 Hedgerow Data'!$B$2:$AG$15,2,FALSE))</f>
        <v/>
      </c>
      <c r="G35" s="287" t="str">
        <f>IF(D35="","",VLOOKUP(D35,'G-6 Hedgerow Data'!$B$2:$AG$15,3,FALSE))</f>
        <v/>
      </c>
      <c r="H35" s="52"/>
      <c r="I35" s="282" t="str">
        <f>IFERROR(IF(H35="","",IF(AND(D35="Non-native and ornamental hedgerow", H35&lt;&gt;"Poor"),"Not possible ▲", (VLOOKUP(H35,'G-1 All Habitats'!$Z$2:$AA$9,2,FALSE)))),"")</f>
        <v/>
      </c>
      <c r="J35" s="105"/>
      <c r="K35" s="301" t="str">
        <f>IF(J35="","",IF(VLOOKUP(J35,'G-3 Multipliers'!$L$3:$N$6,2,FALSE)=0,"Spatial Data Missing ⚠",VLOOKUP(J35,'G-3 Multipliers'!$L$3:$N$6,2,FALSE)))</f>
        <v/>
      </c>
      <c r="L35" s="287" t="str">
        <f>IF(J35="","",IF(VLOOKUP(J35,'G-3 Multipliers'!$L$3:$N$6,3,FALSE)=0,"Spatial Data Missing ⚠",VLOOKUP(J35,'G-3 Multipliers'!$L$3:$N$6,3,FALSE)))</f>
        <v/>
      </c>
      <c r="M35" s="281" t="str">
        <f>IF(OR(D35="",H35=""),"",(INDEX('G-6 Hedgerow Data'!$E$3:$I$15,MATCH(D35,'G-6 Hedgerow Data'!$B$3:$B$15,0),MATCH(H35,'G-6 Hedgerow Data'!$E$2:$I$2,0))))</f>
        <v/>
      </c>
      <c r="N35" s="137"/>
      <c r="O35" s="137"/>
      <c r="P35" s="289" t="str">
        <f t="shared" si="1"/>
        <v/>
      </c>
      <c r="Q35" s="302" t="str">
        <f t="shared" si="2"/>
        <v/>
      </c>
      <c r="R35" s="303" t="str">
        <f t="shared" si="0"/>
        <v/>
      </c>
      <c r="S35" s="317" t="str">
        <f>IF(D35="","",VLOOKUP(D35,'G-6 Hedgerow Data'!$B$3:$AG$15,31,FALSE))</f>
        <v/>
      </c>
      <c r="T35" s="289" t="str">
        <f t="shared" si="3"/>
        <v/>
      </c>
      <c r="U35" s="289" t="str">
        <f t="shared" si="4"/>
        <v/>
      </c>
      <c r="V35" s="305" t="str">
        <f>IF(D35="","",VLOOKUP(S35,'G-3 Multipliers'!$P$3:$Q$6,2,FALSE))</f>
        <v/>
      </c>
      <c r="W35" s="309" t="str">
        <f t="shared" si="5"/>
        <v/>
      </c>
      <c r="X35" s="105"/>
      <c r="Y35" s="119"/>
      <c r="Z35" s="108"/>
      <c r="AG35" s="30" t="str">
        <f>IFERROR(INDEX('G-6 Hedgerow Data'!$BJ$3:$BJ$15,MATCH(D35,'G-6 Hedgerow Data'!$B$3:$B$15,0)),"")</f>
        <v/>
      </c>
    </row>
    <row r="36" spans="2:33" ht="13.8" x14ac:dyDescent="0.25">
      <c r="B36" s="101">
        <v>25</v>
      </c>
      <c r="C36" s="144"/>
      <c r="D36" s="137"/>
      <c r="E36" s="119"/>
      <c r="F36" s="281" t="str">
        <f>IF(D36="","",VLOOKUP(D36,'G-6 Hedgerow Data'!$B$2:$AG$15,2,FALSE))</f>
        <v/>
      </c>
      <c r="G36" s="287" t="str">
        <f>IF(D36="","",VLOOKUP(D36,'G-6 Hedgerow Data'!$B$2:$AG$15,3,FALSE))</f>
        <v/>
      </c>
      <c r="H36" s="52"/>
      <c r="I36" s="282" t="str">
        <f>IFERROR(IF(H36="","",IF(AND(D36="Non-native and ornamental hedgerow", H36&lt;&gt;"Poor"),"Not possible ▲", (VLOOKUP(H36,'G-1 All Habitats'!$Z$2:$AA$9,2,FALSE)))),"")</f>
        <v/>
      </c>
      <c r="J36" s="105"/>
      <c r="K36" s="301" t="str">
        <f>IF(J36="","",IF(VLOOKUP(J36,'G-3 Multipliers'!$L$3:$N$6,2,FALSE)=0,"Spatial Data Missing ⚠",VLOOKUP(J36,'G-3 Multipliers'!$L$3:$N$6,2,FALSE)))</f>
        <v/>
      </c>
      <c r="L36" s="287" t="str">
        <f>IF(J36="","",IF(VLOOKUP(J36,'G-3 Multipliers'!$L$3:$N$6,3,FALSE)=0,"Spatial Data Missing ⚠",VLOOKUP(J36,'G-3 Multipliers'!$L$3:$N$6,3,FALSE)))</f>
        <v/>
      </c>
      <c r="M36" s="281" t="str">
        <f>IF(OR(D36="",H36=""),"",(INDEX('G-6 Hedgerow Data'!$E$3:$I$15,MATCH(D36,'G-6 Hedgerow Data'!$B$3:$B$15,0),MATCH(H36,'G-6 Hedgerow Data'!$E$2:$I$2,0))))</f>
        <v/>
      </c>
      <c r="N36" s="137"/>
      <c r="O36" s="137"/>
      <c r="P36" s="289" t="str">
        <f t="shared" si="1"/>
        <v/>
      </c>
      <c r="Q36" s="302" t="str">
        <f t="shared" si="2"/>
        <v/>
      </c>
      <c r="R36" s="303" t="str">
        <f t="shared" si="0"/>
        <v/>
      </c>
      <c r="S36" s="317" t="str">
        <f>IF(D36="","",VLOOKUP(D36,'G-6 Hedgerow Data'!$B$3:$AG$15,31,FALSE))</f>
        <v/>
      </c>
      <c r="T36" s="289" t="str">
        <f t="shared" si="3"/>
        <v/>
      </c>
      <c r="U36" s="289" t="str">
        <f t="shared" si="4"/>
        <v/>
      </c>
      <c r="V36" s="305" t="str">
        <f>IF(D36="","",VLOOKUP(S36,'G-3 Multipliers'!$P$3:$Q$6,2,FALSE))</f>
        <v/>
      </c>
      <c r="W36" s="309" t="str">
        <f t="shared" si="5"/>
        <v/>
      </c>
      <c r="X36" s="105"/>
      <c r="Y36" s="119"/>
      <c r="Z36" s="108"/>
      <c r="AG36" s="30" t="str">
        <f>IFERROR(INDEX('G-6 Hedgerow Data'!$BJ$3:$BJ$15,MATCH(D36,'G-6 Hedgerow Data'!$B$3:$B$15,0)),"")</f>
        <v/>
      </c>
    </row>
    <row r="37" spans="2:33" ht="13.8" x14ac:dyDescent="0.25">
      <c r="B37" s="101">
        <v>26</v>
      </c>
      <c r="C37" s="144"/>
      <c r="D37" s="137"/>
      <c r="E37" s="119"/>
      <c r="F37" s="329" t="str">
        <f>IF(D37="","",VLOOKUP(D37,'G-6 Hedgerow Data'!$B$2:$AG$15,2,FALSE))</f>
        <v/>
      </c>
      <c r="G37" s="282" t="str">
        <f>IF(D37="","",VLOOKUP(D37,'G-6 Hedgerow Data'!$B$2:$AG$15,3,FALSE))</f>
        <v/>
      </c>
      <c r="H37" s="105"/>
      <c r="I37" s="282" t="str">
        <f>IFERROR(IF(H37="","",IF(AND(D37="Non-native and ornamental hedgerow", H37&lt;&gt;"Poor"),"Not possible ▲", (VLOOKUP(H37,'G-1 All Habitats'!$Z$2:$AA$9,2,FALSE)))),"")</f>
        <v/>
      </c>
      <c r="J37" s="105"/>
      <c r="K37" s="301" t="str">
        <f>IF(J37="","",IF(VLOOKUP(J37,'G-3 Multipliers'!$L$3:$N$6,2,FALSE)=0,"Spatial Data Missing ⚠",VLOOKUP(J37,'G-3 Multipliers'!$L$3:$N$6,2,FALSE)))</f>
        <v/>
      </c>
      <c r="L37" s="287" t="str">
        <f>IF(J37="","",IF(VLOOKUP(J37,'G-3 Multipliers'!$L$3:$N$6,3,FALSE)=0,"Spatial Data Missing ⚠",VLOOKUP(J37,'G-3 Multipliers'!$L$3:$N$6,3,FALSE)))</f>
        <v/>
      </c>
      <c r="M37" s="281" t="str">
        <f>IF(OR(D37="",H37=""),"",(INDEX('G-6 Hedgerow Data'!$E$3:$I$15,MATCH(D37,'G-6 Hedgerow Data'!$B$3:$B$15,0),MATCH(H37,'G-6 Hedgerow Data'!$E$2:$I$2,0))))</f>
        <v/>
      </c>
      <c r="N37" s="137"/>
      <c r="O37" s="137"/>
      <c r="P37" s="289" t="str">
        <f t="shared" si="1"/>
        <v/>
      </c>
      <c r="Q37" s="302" t="str">
        <f t="shared" si="2"/>
        <v/>
      </c>
      <c r="R37" s="303" t="str">
        <f t="shared" si="0"/>
        <v/>
      </c>
      <c r="S37" s="317" t="str">
        <f>IF(D37="","",VLOOKUP(D37,'G-6 Hedgerow Data'!$B$3:$AG$15,31,FALSE))</f>
        <v/>
      </c>
      <c r="T37" s="289" t="str">
        <f t="shared" si="3"/>
        <v/>
      </c>
      <c r="U37" s="289" t="str">
        <f t="shared" si="4"/>
        <v/>
      </c>
      <c r="V37" s="305" t="str">
        <f>IF(D37="","",VLOOKUP(S37,'G-3 Multipliers'!$P$3:$Q$6,2,FALSE))</f>
        <v/>
      </c>
      <c r="W37" s="309" t="str">
        <f t="shared" si="5"/>
        <v/>
      </c>
      <c r="X37" s="105"/>
      <c r="Y37" s="119"/>
      <c r="Z37" s="108"/>
      <c r="AG37" s="30" t="str">
        <f>IFERROR(INDEX('G-6 Hedgerow Data'!$BJ$3:$BJ$15,MATCH(D37,'G-6 Hedgerow Data'!$B$3:$B$15,0)),"")</f>
        <v/>
      </c>
    </row>
    <row r="38" spans="2:33" ht="13.8" x14ac:dyDescent="0.25">
      <c r="B38" s="101">
        <v>27</v>
      </c>
      <c r="C38" s="144"/>
      <c r="D38" s="137"/>
      <c r="E38" s="119"/>
      <c r="F38" s="329" t="str">
        <f>IF(D38="","",VLOOKUP(D38,'G-6 Hedgerow Data'!$B$2:$AG$15,2,FALSE))</f>
        <v/>
      </c>
      <c r="G38" s="282" t="str">
        <f>IF(D38="","",VLOOKUP(D38,'G-6 Hedgerow Data'!$B$2:$AG$15,3,FALSE))</f>
        <v/>
      </c>
      <c r="H38" s="105"/>
      <c r="I38" s="282" t="str">
        <f>IFERROR(IF(H38="","",IF(AND(D38="Non-native and ornamental hedgerow", H38&lt;&gt;"Poor"),"Not possible ▲", (VLOOKUP(H38,'G-1 All Habitats'!$Z$2:$AA$9,2,FALSE)))),"")</f>
        <v/>
      </c>
      <c r="J38" s="105"/>
      <c r="K38" s="301" t="str">
        <f>IF(J38="","",IF(VLOOKUP(J38,'G-3 Multipliers'!$L$3:$N$6,2,FALSE)=0,"Spatial Data Missing ⚠",VLOOKUP(J38,'G-3 Multipliers'!$L$3:$N$6,2,FALSE)))</f>
        <v/>
      </c>
      <c r="L38" s="287" t="str">
        <f>IF(J38="","",IF(VLOOKUP(J38,'G-3 Multipliers'!$L$3:$N$6,3,FALSE)=0,"Spatial Data Missing ⚠",VLOOKUP(J38,'G-3 Multipliers'!$L$3:$N$6,3,FALSE)))</f>
        <v/>
      </c>
      <c r="M38" s="281" t="str">
        <f>IF(OR(D38="",H38=""),"",(INDEX('G-6 Hedgerow Data'!$E$3:$I$15,MATCH(D38,'G-6 Hedgerow Data'!$B$3:$B$15,0),MATCH(H38,'G-6 Hedgerow Data'!$E$2:$I$2,0))))</f>
        <v/>
      </c>
      <c r="N38" s="137"/>
      <c r="O38" s="137"/>
      <c r="P38" s="289" t="str">
        <f t="shared" si="1"/>
        <v/>
      </c>
      <c r="Q38" s="302" t="str">
        <f t="shared" si="2"/>
        <v/>
      </c>
      <c r="R38" s="303" t="str">
        <f t="shared" si="0"/>
        <v/>
      </c>
      <c r="S38" s="317" t="str">
        <f>IF(D38="","",VLOOKUP(D38,'G-6 Hedgerow Data'!$B$3:$AG$15,31,FALSE))</f>
        <v/>
      </c>
      <c r="T38" s="289" t="str">
        <f t="shared" si="3"/>
        <v/>
      </c>
      <c r="U38" s="289" t="str">
        <f t="shared" si="4"/>
        <v/>
      </c>
      <c r="V38" s="305" t="str">
        <f>IF(D38="","",VLOOKUP(S38,'G-3 Multipliers'!$P$3:$Q$6,2,FALSE))</f>
        <v/>
      </c>
      <c r="W38" s="309" t="str">
        <f t="shared" si="5"/>
        <v/>
      </c>
      <c r="X38" s="105"/>
      <c r="Y38" s="119"/>
      <c r="Z38" s="108"/>
      <c r="AG38" s="30" t="str">
        <f>IFERROR(INDEX('G-6 Hedgerow Data'!$BJ$3:$BJ$15,MATCH(D38,'G-6 Hedgerow Data'!$B$3:$B$15,0)),"")</f>
        <v/>
      </c>
    </row>
    <row r="39" spans="2:33" ht="13.8" x14ac:dyDescent="0.25">
      <c r="B39" s="101">
        <v>28</v>
      </c>
      <c r="C39" s="144"/>
      <c r="D39" s="137"/>
      <c r="E39" s="119"/>
      <c r="F39" s="329" t="str">
        <f>IF(D39="","",VLOOKUP(D39,'G-6 Hedgerow Data'!$B$2:$AG$15,2,FALSE))</f>
        <v/>
      </c>
      <c r="G39" s="282" t="str">
        <f>IF(D39="","",VLOOKUP(D39,'G-6 Hedgerow Data'!$B$2:$AG$15,3,FALSE))</f>
        <v/>
      </c>
      <c r="H39" s="105"/>
      <c r="I39" s="282" t="str">
        <f>IFERROR(IF(H39="","",IF(AND(D39="Non-native and ornamental hedgerow", H39&lt;&gt;"Poor"),"Not possible ▲", (VLOOKUP(H39,'G-1 All Habitats'!$Z$2:$AA$9,2,FALSE)))),"")</f>
        <v/>
      </c>
      <c r="J39" s="105"/>
      <c r="K39" s="301" t="str">
        <f>IF(J39="","",IF(VLOOKUP(J39,'G-3 Multipliers'!$L$3:$N$6,2,FALSE)=0,"Spatial Data Missing ⚠",VLOOKUP(J39,'G-3 Multipliers'!$L$3:$N$6,2,FALSE)))</f>
        <v/>
      </c>
      <c r="L39" s="287" t="str">
        <f>IF(J39="","",IF(VLOOKUP(J39,'G-3 Multipliers'!$L$3:$N$6,3,FALSE)=0,"Spatial Data Missing ⚠",VLOOKUP(J39,'G-3 Multipliers'!$L$3:$N$6,3,FALSE)))</f>
        <v/>
      </c>
      <c r="M39" s="281" t="str">
        <f>IF(OR(D39="",H39=""),"",(INDEX('G-6 Hedgerow Data'!$E$3:$I$15,MATCH(D39,'G-6 Hedgerow Data'!$B$3:$B$15,0),MATCH(H39,'G-6 Hedgerow Data'!$E$2:$I$2,0))))</f>
        <v/>
      </c>
      <c r="N39" s="137"/>
      <c r="O39" s="137"/>
      <c r="P39" s="289" t="str">
        <f t="shared" si="1"/>
        <v/>
      </c>
      <c r="Q39" s="302" t="str">
        <f t="shared" si="2"/>
        <v/>
      </c>
      <c r="R39" s="303" t="str">
        <f t="shared" si="0"/>
        <v/>
      </c>
      <c r="S39" s="317" t="str">
        <f>IF(D39="","",VLOOKUP(D39,'G-6 Hedgerow Data'!$B$3:$AG$15,31,FALSE))</f>
        <v/>
      </c>
      <c r="T39" s="289" t="str">
        <f t="shared" si="3"/>
        <v/>
      </c>
      <c r="U39" s="289" t="str">
        <f t="shared" si="4"/>
        <v/>
      </c>
      <c r="V39" s="305" t="str">
        <f>IF(D39="","",VLOOKUP(S39,'G-3 Multipliers'!$P$3:$Q$6,2,FALSE))</f>
        <v/>
      </c>
      <c r="W39" s="309" t="str">
        <f t="shared" si="5"/>
        <v/>
      </c>
      <c r="X39" s="105"/>
      <c r="Y39" s="119"/>
      <c r="Z39" s="108"/>
      <c r="AG39" s="30" t="str">
        <f>IFERROR(INDEX('G-6 Hedgerow Data'!$BJ$3:$BJ$15,MATCH(D39,'G-6 Hedgerow Data'!$B$3:$B$15,0)),"")</f>
        <v/>
      </c>
    </row>
    <row r="40" spans="2:33" ht="13.8" x14ac:dyDescent="0.25">
      <c r="B40" s="101">
        <v>29</v>
      </c>
      <c r="C40" s="144"/>
      <c r="D40" s="137"/>
      <c r="E40" s="119"/>
      <c r="F40" s="329" t="str">
        <f>IF(D40="","",VLOOKUP(D40,'G-6 Hedgerow Data'!$B$2:$AG$15,2,FALSE))</f>
        <v/>
      </c>
      <c r="G40" s="282" t="str">
        <f>IF(D40="","",VLOOKUP(D40,'G-6 Hedgerow Data'!$B$2:$AG$15,3,FALSE))</f>
        <v/>
      </c>
      <c r="H40" s="105"/>
      <c r="I40" s="282" t="str">
        <f>IFERROR(IF(H40="","",IF(AND(D40="Non-native and ornamental hedgerow", H40&lt;&gt;"Poor"),"Not possible ▲", (VLOOKUP(H40,'G-1 All Habitats'!$Z$2:$AA$9,2,FALSE)))),"")</f>
        <v/>
      </c>
      <c r="J40" s="105"/>
      <c r="K40" s="301" t="str">
        <f>IF(J40="","",IF(VLOOKUP(J40,'G-3 Multipliers'!$L$3:$N$6,2,FALSE)=0,"Spatial Data Missing ⚠",VLOOKUP(J40,'G-3 Multipliers'!$L$3:$N$6,2,FALSE)))</f>
        <v/>
      </c>
      <c r="L40" s="287" t="str">
        <f>IF(J40="","",IF(VLOOKUP(J40,'G-3 Multipliers'!$L$3:$N$6,3,FALSE)=0,"Spatial Data Missing ⚠",VLOOKUP(J40,'G-3 Multipliers'!$L$3:$N$6,3,FALSE)))</f>
        <v/>
      </c>
      <c r="M40" s="281" t="str">
        <f>IF(OR(D40="",H40=""),"",(INDEX('G-6 Hedgerow Data'!$E$3:$I$15,MATCH(D40,'G-6 Hedgerow Data'!$B$3:$B$15,0),MATCH(H40,'G-6 Hedgerow Data'!$E$2:$I$2,0))))</f>
        <v/>
      </c>
      <c r="N40" s="137"/>
      <c r="O40" s="137"/>
      <c r="P40" s="289" t="str">
        <f t="shared" si="1"/>
        <v/>
      </c>
      <c r="Q40" s="302" t="str">
        <f t="shared" si="2"/>
        <v/>
      </c>
      <c r="R40" s="303" t="str">
        <f t="shared" si="0"/>
        <v/>
      </c>
      <c r="S40" s="317" t="str">
        <f>IF(D40="","",VLOOKUP(D40,'G-6 Hedgerow Data'!$B$3:$AG$15,31,FALSE))</f>
        <v/>
      </c>
      <c r="T40" s="289" t="str">
        <f t="shared" si="3"/>
        <v/>
      </c>
      <c r="U40" s="289" t="str">
        <f t="shared" si="4"/>
        <v/>
      </c>
      <c r="V40" s="305" t="str">
        <f>IF(D40="","",VLOOKUP(S40,'G-3 Multipliers'!$P$3:$Q$6,2,FALSE))</f>
        <v/>
      </c>
      <c r="W40" s="309" t="str">
        <f t="shared" si="5"/>
        <v/>
      </c>
      <c r="X40" s="105"/>
      <c r="Y40" s="119"/>
      <c r="Z40" s="108"/>
      <c r="AG40" s="30" t="str">
        <f>IFERROR(INDEX('G-6 Hedgerow Data'!$BJ$3:$BJ$15,MATCH(D40,'G-6 Hedgerow Data'!$B$3:$B$15,0)),"")</f>
        <v/>
      </c>
    </row>
    <row r="41" spans="2:33" ht="13.8" x14ac:dyDescent="0.25">
      <c r="B41" s="101">
        <v>30</v>
      </c>
      <c r="C41" s="144"/>
      <c r="D41" s="137"/>
      <c r="E41" s="119"/>
      <c r="F41" s="329" t="str">
        <f>IF(D41="","",VLOOKUP(D41,'G-6 Hedgerow Data'!$B$2:$AG$15,2,FALSE))</f>
        <v/>
      </c>
      <c r="G41" s="282" t="str">
        <f>IF(D41="","",VLOOKUP(D41,'G-6 Hedgerow Data'!$B$2:$AG$15,3,FALSE))</f>
        <v/>
      </c>
      <c r="H41" s="105"/>
      <c r="I41" s="282" t="str">
        <f>IFERROR(IF(H41="","",IF(AND(D41="Non-native and ornamental hedgerow", H41&lt;&gt;"Poor"),"Not possible ▲", (VLOOKUP(H41,'G-1 All Habitats'!$Z$2:$AA$9,2,FALSE)))),"")</f>
        <v/>
      </c>
      <c r="J41" s="105"/>
      <c r="K41" s="301" t="str">
        <f>IF(J41="","",IF(VLOOKUP(J41,'G-3 Multipliers'!$L$3:$N$6,2,FALSE)=0,"Spatial Data Missing ⚠",VLOOKUP(J41,'G-3 Multipliers'!$L$3:$N$6,2,FALSE)))</f>
        <v/>
      </c>
      <c r="L41" s="287" t="str">
        <f>IF(J41="","",IF(VLOOKUP(J41,'G-3 Multipliers'!$L$3:$N$6,3,FALSE)=0,"Spatial Data Missing ⚠",VLOOKUP(J41,'G-3 Multipliers'!$L$3:$N$6,3,FALSE)))</f>
        <v/>
      </c>
      <c r="M41" s="281" t="str">
        <f>IF(OR(D41="",H41=""),"",(INDEX('G-6 Hedgerow Data'!$E$3:$I$15,MATCH(D41,'G-6 Hedgerow Data'!$B$3:$B$15,0),MATCH(H41,'G-6 Hedgerow Data'!$E$2:$I$2,0))))</f>
        <v/>
      </c>
      <c r="N41" s="137"/>
      <c r="O41" s="137"/>
      <c r="P41" s="289" t="str">
        <f t="shared" si="1"/>
        <v/>
      </c>
      <c r="Q41" s="302" t="str">
        <f t="shared" si="2"/>
        <v/>
      </c>
      <c r="R41" s="303" t="str">
        <f t="shared" si="0"/>
        <v/>
      </c>
      <c r="S41" s="317" t="str">
        <f>IF(D41="","",VLOOKUP(D41,'G-6 Hedgerow Data'!$B$3:$AG$15,31,FALSE))</f>
        <v/>
      </c>
      <c r="T41" s="289" t="str">
        <f t="shared" si="3"/>
        <v/>
      </c>
      <c r="U41" s="289" t="str">
        <f t="shared" si="4"/>
        <v/>
      </c>
      <c r="V41" s="305" t="str">
        <f>IF(D41="","",VLOOKUP(S41,'G-3 Multipliers'!$P$3:$Q$6,2,FALSE))</f>
        <v/>
      </c>
      <c r="W41" s="309" t="str">
        <f t="shared" si="5"/>
        <v/>
      </c>
      <c r="X41" s="105"/>
      <c r="Y41" s="119"/>
      <c r="Z41" s="108"/>
      <c r="AG41" s="30" t="str">
        <f>IFERROR(INDEX('G-6 Hedgerow Data'!$BJ$3:$BJ$15,MATCH(D41,'G-6 Hedgerow Data'!$B$3:$B$15,0)),"")</f>
        <v/>
      </c>
    </row>
    <row r="42" spans="2:33" ht="13.8" x14ac:dyDescent="0.25">
      <c r="B42" s="101">
        <v>31</v>
      </c>
      <c r="C42" s="144"/>
      <c r="D42" s="137"/>
      <c r="E42" s="119"/>
      <c r="F42" s="329" t="str">
        <f>IF(D42="","",VLOOKUP(D42,'G-6 Hedgerow Data'!$B$2:$AG$15,2,FALSE))</f>
        <v/>
      </c>
      <c r="G42" s="282" t="str">
        <f>IF(D42="","",VLOOKUP(D42,'G-6 Hedgerow Data'!$B$2:$AG$15,3,FALSE))</f>
        <v/>
      </c>
      <c r="H42" s="105"/>
      <c r="I42" s="282" t="str">
        <f>IFERROR(IF(H42="","",IF(AND(D42="Non-native and ornamental hedgerow", H42&lt;&gt;"Poor"),"Not possible ▲", (VLOOKUP(H42,'G-1 All Habitats'!$Z$2:$AA$9,2,FALSE)))),"")</f>
        <v/>
      </c>
      <c r="J42" s="105"/>
      <c r="K42" s="301" t="str">
        <f>IF(J42="","",IF(VLOOKUP(J42,'G-3 Multipliers'!$L$3:$N$6,2,FALSE)=0,"Spatial Data Missing ⚠",VLOOKUP(J42,'G-3 Multipliers'!$L$3:$N$6,2,FALSE)))</f>
        <v/>
      </c>
      <c r="L42" s="287" t="str">
        <f>IF(J42="","",IF(VLOOKUP(J42,'G-3 Multipliers'!$L$3:$N$6,3,FALSE)=0,"Spatial Data Missing ⚠",VLOOKUP(J42,'G-3 Multipliers'!$L$3:$N$6,3,FALSE)))</f>
        <v/>
      </c>
      <c r="M42" s="281" t="str">
        <f>IF(OR(D42="",H42=""),"",(INDEX('G-6 Hedgerow Data'!$E$3:$I$15,MATCH(D42,'G-6 Hedgerow Data'!$B$3:$B$15,0),MATCH(H42,'G-6 Hedgerow Data'!$E$2:$I$2,0))))</f>
        <v/>
      </c>
      <c r="N42" s="137"/>
      <c r="O42" s="137"/>
      <c r="P42" s="289" t="str">
        <f t="shared" si="1"/>
        <v/>
      </c>
      <c r="Q42" s="302" t="str">
        <f t="shared" si="2"/>
        <v/>
      </c>
      <c r="R42" s="303" t="str">
        <f t="shared" si="0"/>
        <v/>
      </c>
      <c r="S42" s="317" t="str">
        <f>IF(D42="","",VLOOKUP(D42,'G-6 Hedgerow Data'!$B$3:$AG$15,31,FALSE))</f>
        <v/>
      </c>
      <c r="T42" s="289" t="str">
        <f t="shared" si="3"/>
        <v/>
      </c>
      <c r="U42" s="289" t="str">
        <f t="shared" si="4"/>
        <v/>
      </c>
      <c r="V42" s="305" t="str">
        <f>IF(D42="","",VLOOKUP(S42,'G-3 Multipliers'!$P$3:$Q$6,2,FALSE))</f>
        <v/>
      </c>
      <c r="W42" s="309" t="str">
        <f t="shared" si="5"/>
        <v/>
      </c>
      <c r="X42" s="105"/>
      <c r="Y42" s="119"/>
      <c r="Z42" s="108"/>
      <c r="AG42" s="30" t="str">
        <f>IFERROR(INDEX('G-6 Hedgerow Data'!$BJ$3:$BJ$15,MATCH(D42,'G-6 Hedgerow Data'!$B$3:$B$15,0)),"")</f>
        <v/>
      </c>
    </row>
    <row r="43" spans="2:33" ht="13.8" x14ac:dyDescent="0.25">
      <c r="B43" s="101">
        <v>32</v>
      </c>
      <c r="C43" s="144"/>
      <c r="D43" s="137"/>
      <c r="E43" s="119"/>
      <c r="F43" s="329" t="str">
        <f>IF(D43="","",VLOOKUP(D43,'G-6 Hedgerow Data'!$B$2:$AG$15,2,FALSE))</f>
        <v/>
      </c>
      <c r="G43" s="282" t="str">
        <f>IF(D43="","",VLOOKUP(D43,'G-6 Hedgerow Data'!$B$2:$AG$15,3,FALSE))</f>
        <v/>
      </c>
      <c r="H43" s="105"/>
      <c r="I43" s="282" t="str">
        <f>IFERROR(IF(H43="","",IF(AND(D43="Non-native and ornamental hedgerow", H43&lt;&gt;"Poor"),"Not possible ▲", (VLOOKUP(H43,'G-1 All Habitats'!$Z$2:$AA$9,2,FALSE)))),"")</f>
        <v/>
      </c>
      <c r="J43" s="105"/>
      <c r="K43" s="301" t="str">
        <f>IF(J43="","",IF(VLOOKUP(J43,'G-3 Multipliers'!$L$3:$N$6,2,FALSE)=0,"Spatial Data Missing ⚠",VLOOKUP(J43,'G-3 Multipliers'!$L$3:$N$6,2,FALSE)))</f>
        <v/>
      </c>
      <c r="L43" s="287" t="str">
        <f>IF(J43="","",IF(VLOOKUP(J43,'G-3 Multipliers'!$L$3:$N$6,3,FALSE)=0,"Spatial Data Missing ⚠",VLOOKUP(J43,'G-3 Multipliers'!$L$3:$N$6,3,FALSE)))</f>
        <v/>
      </c>
      <c r="M43" s="281" t="str">
        <f>IF(OR(D43="",H43=""),"",(INDEX('G-6 Hedgerow Data'!$E$3:$I$15,MATCH(D43,'G-6 Hedgerow Data'!$B$3:$B$15,0),MATCH(H43,'G-6 Hedgerow Data'!$E$2:$I$2,0))))</f>
        <v/>
      </c>
      <c r="N43" s="137"/>
      <c r="O43" s="137"/>
      <c r="P43" s="289" t="str">
        <f t="shared" si="1"/>
        <v/>
      </c>
      <c r="Q43" s="302" t="str">
        <f t="shared" si="2"/>
        <v/>
      </c>
      <c r="R43" s="303" t="str">
        <f t="shared" si="0"/>
        <v/>
      </c>
      <c r="S43" s="317" t="str">
        <f>IF(D43="","",VLOOKUP(D43,'G-6 Hedgerow Data'!$B$3:$AG$15,31,FALSE))</f>
        <v/>
      </c>
      <c r="T43" s="289" t="str">
        <f t="shared" si="3"/>
        <v/>
      </c>
      <c r="U43" s="289" t="str">
        <f t="shared" si="4"/>
        <v/>
      </c>
      <c r="V43" s="305" t="str">
        <f>IF(D43="","",VLOOKUP(S43,'G-3 Multipliers'!$P$3:$Q$6,2,FALSE))</f>
        <v/>
      </c>
      <c r="W43" s="309" t="str">
        <f t="shared" si="5"/>
        <v/>
      </c>
      <c r="X43" s="105"/>
      <c r="Y43" s="119"/>
      <c r="Z43" s="108"/>
      <c r="AG43" s="30" t="str">
        <f>IFERROR(INDEX('G-6 Hedgerow Data'!$BJ$3:$BJ$15,MATCH(D43,'G-6 Hedgerow Data'!$B$3:$B$15,0)),"")</f>
        <v/>
      </c>
    </row>
    <row r="44" spans="2:33" ht="13.8" x14ac:dyDescent="0.25">
      <c r="B44" s="101">
        <v>33</v>
      </c>
      <c r="C44" s="144"/>
      <c r="D44" s="137"/>
      <c r="E44" s="119"/>
      <c r="F44" s="329" t="str">
        <f>IF(D44="","",VLOOKUP(D44,'G-6 Hedgerow Data'!$B$2:$AG$15,2,FALSE))</f>
        <v/>
      </c>
      <c r="G44" s="282" t="str">
        <f>IF(D44="","",VLOOKUP(D44,'G-6 Hedgerow Data'!$B$2:$AG$15,3,FALSE))</f>
        <v/>
      </c>
      <c r="H44" s="105"/>
      <c r="I44" s="282" t="str">
        <f>IFERROR(IF(H44="","",IF(AND(D44="Non-native and ornamental hedgerow", H44&lt;&gt;"Poor"),"Not possible ▲", (VLOOKUP(H44,'G-1 All Habitats'!$Z$2:$AA$9,2,FALSE)))),"")</f>
        <v/>
      </c>
      <c r="J44" s="105"/>
      <c r="K44" s="301" t="str">
        <f>IF(J44="","",IF(VLOOKUP(J44,'G-3 Multipliers'!$L$3:$N$6,2,FALSE)=0,"Spatial Data Missing ⚠",VLOOKUP(J44,'G-3 Multipliers'!$L$3:$N$6,2,FALSE)))</f>
        <v/>
      </c>
      <c r="L44" s="287" t="str">
        <f>IF(J44="","",IF(VLOOKUP(J44,'G-3 Multipliers'!$L$3:$N$6,3,FALSE)=0,"Spatial Data Missing ⚠",VLOOKUP(J44,'G-3 Multipliers'!$L$3:$N$6,3,FALSE)))</f>
        <v/>
      </c>
      <c r="M44" s="281" t="str">
        <f>IF(OR(D44="",H44=""),"",(INDEX('G-6 Hedgerow Data'!$E$3:$I$15,MATCH(D44,'G-6 Hedgerow Data'!$B$3:$B$15,0),MATCH(H44,'G-6 Hedgerow Data'!$E$2:$I$2,0))))</f>
        <v/>
      </c>
      <c r="N44" s="137"/>
      <c r="O44" s="137"/>
      <c r="P44" s="289" t="str">
        <f t="shared" si="1"/>
        <v/>
      </c>
      <c r="Q44" s="302" t="str">
        <f t="shared" si="2"/>
        <v/>
      </c>
      <c r="R44" s="303" t="str">
        <f t="shared" si="0"/>
        <v/>
      </c>
      <c r="S44" s="317" t="str">
        <f>IF(D44="","",VLOOKUP(D44,'G-6 Hedgerow Data'!$B$3:$AG$15,31,FALSE))</f>
        <v/>
      </c>
      <c r="T44" s="289" t="str">
        <f t="shared" si="3"/>
        <v/>
      </c>
      <c r="U44" s="289" t="str">
        <f t="shared" si="4"/>
        <v/>
      </c>
      <c r="V44" s="305" t="str">
        <f>IF(D44="","",VLOOKUP(S44,'G-3 Multipliers'!$P$3:$Q$6,2,FALSE))</f>
        <v/>
      </c>
      <c r="W44" s="309" t="str">
        <f t="shared" si="5"/>
        <v/>
      </c>
      <c r="X44" s="105"/>
      <c r="Y44" s="119"/>
      <c r="Z44" s="108"/>
      <c r="AG44" s="30" t="str">
        <f>IFERROR(INDEX('G-6 Hedgerow Data'!$BJ$3:$BJ$15,MATCH(D44,'G-6 Hedgerow Data'!$B$3:$B$15,0)),"")</f>
        <v/>
      </c>
    </row>
    <row r="45" spans="2:33" ht="13.8" x14ac:dyDescent="0.25">
      <c r="B45" s="101">
        <v>34</v>
      </c>
      <c r="C45" s="144"/>
      <c r="D45" s="137"/>
      <c r="E45" s="119"/>
      <c r="F45" s="329" t="str">
        <f>IF(D45="","",VLOOKUP(D45,'G-6 Hedgerow Data'!$B$2:$AG$15,2,FALSE))</f>
        <v/>
      </c>
      <c r="G45" s="282" t="str">
        <f>IF(D45="","",VLOOKUP(D45,'G-6 Hedgerow Data'!$B$2:$AG$15,3,FALSE))</f>
        <v/>
      </c>
      <c r="H45" s="105"/>
      <c r="I45" s="282" t="str">
        <f>IFERROR(IF(H45="","",IF(AND(D45="Non-native and ornamental hedgerow", H45&lt;&gt;"Poor"),"Not possible ▲", (VLOOKUP(H45,'G-1 All Habitats'!$Z$2:$AA$9,2,FALSE)))),"")</f>
        <v/>
      </c>
      <c r="J45" s="105"/>
      <c r="K45" s="301" t="str">
        <f>IF(J45="","",IF(VLOOKUP(J45,'G-3 Multipliers'!$L$3:$N$6,2,FALSE)=0,"Spatial Data Missing ⚠",VLOOKUP(J45,'G-3 Multipliers'!$L$3:$N$6,2,FALSE)))</f>
        <v/>
      </c>
      <c r="L45" s="287" t="str">
        <f>IF(J45="","",IF(VLOOKUP(J45,'G-3 Multipliers'!$L$3:$N$6,3,FALSE)=0,"Spatial Data Missing ⚠",VLOOKUP(J45,'G-3 Multipliers'!$L$3:$N$6,3,FALSE)))</f>
        <v/>
      </c>
      <c r="M45" s="281" t="str">
        <f>IF(OR(D45="",H45=""),"",(INDEX('G-6 Hedgerow Data'!$E$3:$I$15,MATCH(D45,'G-6 Hedgerow Data'!$B$3:$B$15,0),MATCH(H45,'G-6 Hedgerow Data'!$E$2:$I$2,0))))</f>
        <v/>
      </c>
      <c r="N45" s="137"/>
      <c r="O45" s="137"/>
      <c r="P45" s="289" t="str">
        <f t="shared" si="1"/>
        <v/>
      </c>
      <c r="Q45" s="302" t="str">
        <f t="shared" si="2"/>
        <v/>
      </c>
      <c r="R45" s="303" t="str">
        <f t="shared" si="0"/>
        <v/>
      </c>
      <c r="S45" s="317" t="str">
        <f>IF(D45="","",VLOOKUP(D45,'G-6 Hedgerow Data'!$B$3:$AG$15,31,FALSE))</f>
        <v/>
      </c>
      <c r="T45" s="289" t="str">
        <f t="shared" si="3"/>
        <v/>
      </c>
      <c r="U45" s="289" t="str">
        <f t="shared" si="4"/>
        <v/>
      </c>
      <c r="V45" s="305" t="str">
        <f>IF(D45="","",VLOOKUP(S45,'G-3 Multipliers'!$P$3:$Q$6,2,FALSE))</f>
        <v/>
      </c>
      <c r="W45" s="309" t="str">
        <f t="shared" si="5"/>
        <v/>
      </c>
      <c r="X45" s="105"/>
      <c r="Y45" s="119"/>
      <c r="Z45" s="108"/>
      <c r="AG45" s="30" t="str">
        <f>IFERROR(INDEX('G-6 Hedgerow Data'!$BJ$3:$BJ$15,MATCH(D45,'G-6 Hedgerow Data'!$B$3:$B$15,0)),"")</f>
        <v/>
      </c>
    </row>
    <row r="46" spans="2:33" ht="13.8" x14ac:dyDescent="0.25">
      <c r="B46" s="101">
        <v>35</v>
      </c>
      <c r="C46" s="144"/>
      <c r="D46" s="137"/>
      <c r="E46" s="119"/>
      <c r="F46" s="329" t="str">
        <f>IF(D46="","",VLOOKUP(D46,'G-6 Hedgerow Data'!$B$2:$AG$15,2,FALSE))</f>
        <v/>
      </c>
      <c r="G46" s="282" t="str">
        <f>IF(D46="","",VLOOKUP(D46,'G-6 Hedgerow Data'!$B$2:$AG$15,3,FALSE))</f>
        <v/>
      </c>
      <c r="H46" s="105"/>
      <c r="I46" s="282" t="str">
        <f>IFERROR(IF(H46="","",IF(AND(D46="Non-native and ornamental hedgerow", H46&lt;&gt;"Poor"),"Not possible ▲", (VLOOKUP(H46,'G-1 All Habitats'!$Z$2:$AA$9,2,FALSE)))),"")</f>
        <v/>
      </c>
      <c r="J46" s="105"/>
      <c r="K46" s="301" t="str">
        <f>IF(J46="","",IF(VLOOKUP(J46,'G-3 Multipliers'!$L$3:$N$6,2,FALSE)=0,"Spatial Data Missing ⚠",VLOOKUP(J46,'G-3 Multipliers'!$L$3:$N$6,2,FALSE)))</f>
        <v/>
      </c>
      <c r="L46" s="287" t="str">
        <f>IF(J46="","",IF(VLOOKUP(J46,'G-3 Multipliers'!$L$3:$N$6,3,FALSE)=0,"Spatial Data Missing ⚠",VLOOKUP(J46,'G-3 Multipliers'!$L$3:$N$6,3,FALSE)))</f>
        <v/>
      </c>
      <c r="M46" s="281" t="str">
        <f>IF(OR(D46="",H46=""),"",(INDEX('G-6 Hedgerow Data'!$E$3:$I$15,MATCH(D46,'G-6 Hedgerow Data'!$B$3:$B$15,0),MATCH(H46,'G-6 Hedgerow Data'!$E$2:$I$2,0))))</f>
        <v/>
      </c>
      <c r="N46" s="137"/>
      <c r="O46" s="137"/>
      <c r="P46" s="289" t="str">
        <f t="shared" si="1"/>
        <v/>
      </c>
      <c r="Q46" s="302" t="str">
        <f t="shared" si="2"/>
        <v/>
      </c>
      <c r="R46" s="303" t="str">
        <f t="shared" si="0"/>
        <v/>
      </c>
      <c r="S46" s="317" t="str">
        <f>IF(D46="","",VLOOKUP(D46,'G-6 Hedgerow Data'!$B$3:$AG$15,31,FALSE))</f>
        <v/>
      </c>
      <c r="T46" s="289" t="str">
        <f t="shared" si="3"/>
        <v/>
      </c>
      <c r="U46" s="289" t="str">
        <f t="shared" si="4"/>
        <v/>
      </c>
      <c r="V46" s="305" t="str">
        <f>IF(D46="","",VLOOKUP(S46,'G-3 Multipliers'!$P$3:$Q$6,2,FALSE))</f>
        <v/>
      </c>
      <c r="W46" s="309" t="str">
        <f t="shared" si="5"/>
        <v/>
      </c>
      <c r="X46" s="105"/>
      <c r="Y46" s="119"/>
      <c r="Z46" s="108"/>
      <c r="AG46" s="30" t="str">
        <f>IFERROR(INDEX('G-6 Hedgerow Data'!$BJ$3:$BJ$15,MATCH(D46,'G-6 Hedgerow Data'!$B$3:$B$15,0)),"")</f>
        <v/>
      </c>
    </row>
    <row r="47" spans="2:33" ht="13.8" x14ac:dyDescent="0.25">
      <c r="B47" s="101">
        <v>36</v>
      </c>
      <c r="C47" s="144"/>
      <c r="D47" s="137"/>
      <c r="E47" s="119"/>
      <c r="F47" s="329" t="str">
        <f>IF(D47="","",VLOOKUP(D47,'G-6 Hedgerow Data'!$B$2:$AG$15,2,FALSE))</f>
        <v/>
      </c>
      <c r="G47" s="282" t="str">
        <f>IF(D47="","",VLOOKUP(D47,'G-6 Hedgerow Data'!$B$2:$AG$15,3,FALSE))</f>
        <v/>
      </c>
      <c r="H47" s="105"/>
      <c r="I47" s="282" t="str">
        <f>IFERROR(IF(H47="","",IF(AND(D47="Non-native and ornamental hedgerow", H47&lt;&gt;"Poor"),"Not possible ▲", (VLOOKUP(H47,'G-1 All Habitats'!$Z$2:$AA$9,2,FALSE)))),"")</f>
        <v/>
      </c>
      <c r="J47" s="105"/>
      <c r="K47" s="301" t="str">
        <f>IF(J47="","",IF(VLOOKUP(J47,'G-3 Multipliers'!$L$3:$N$6,2,FALSE)=0,"Spatial Data Missing ⚠",VLOOKUP(J47,'G-3 Multipliers'!$L$3:$N$6,2,FALSE)))</f>
        <v/>
      </c>
      <c r="L47" s="287" t="str">
        <f>IF(J47="","",IF(VLOOKUP(J47,'G-3 Multipliers'!$L$3:$N$6,3,FALSE)=0,"Spatial Data Missing ⚠",VLOOKUP(J47,'G-3 Multipliers'!$L$3:$N$6,3,FALSE)))</f>
        <v/>
      </c>
      <c r="M47" s="281" t="str">
        <f>IF(OR(D47="",H47=""),"",(INDEX('G-6 Hedgerow Data'!$E$3:$I$15,MATCH(D47,'G-6 Hedgerow Data'!$B$3:$B$15,0),MATCH(H47,'G-6 Hedgerow Data'!$E$2:$I$2,0))))</f>
        <v/>
      </c>
      <c r="N47" s="137"/>
      <c r="O47" s="137"/>
      <c r="P47" s="289" t="str">
        <f t="shared" si="1"/>
        <v/>
      </c>
      <c r="Q47" s="302" t="str">
        <f t="shared" si="2"/>
        <v/>
      </c>
      <c r="R47" s="303" t="str">
        <f t="shared" si="0"/>
        <v/>
      </c>
      <c r="S47" s="317" t="str">
        <f>IF(D47="","",VLOOKUP(D47,'G-6 Hedgerow Data'!$B$3:$AG$15,31,FALSE))</f>
        <v/>
      </c>
      <c r="T47" s="289" t="str">
        <f t="shared" si="3"/>
        <v/>
      </c>
      <c r="U47" s="289" t="str">
        <f t="shared" si="4"/>
        <v/>
      </c>
      <c r="V47" s="305" t="str">
        <f>IF(D47="","",VLOOKUP(S47,'G-3 Multipliers'!$P$3:$Q$6,2,FALSE))</f>
        <v/>
      </c>
      <c r="W47" s="309" t="str">
        <f t="shared" si="5"/>
        <v/>
      </c>
      <c r="X47" s="105"/>
      <c r="Y47" s="119"/>
      <c r="Z47" s="108"/>
      <c r="AG47" s="30" t="str">
        <f>IFERROR(INDEX('G-6 Hedgerow Data'!$BJ$3:$BJ$15,MATCH(D47,'G-6 Hedgerow Data'!$B$3:$B$15,0)),"")</f>
        <v/>
      </c>
    </row>
    <row r="48" spans="2:33" ht="13.8" x14ac:dyDescent="0.25">
      <c r="B48" s="101">
        <v>37</v>
      </c>
      <c r="C48" s="144"/>
      <c r="D48" s="137"/>
      <c r="E48" s="119"/>
      <c r="F48" s="329" t="str">
        <f>IF(D48="","",VLOOKUP(D48,'G-6 Hedgerow Data'!$B$2:$AG$15,2,FALSE))</f>
        <v/>
      </c>
      <c r="G48" s="282" t="str">
        <f>IF(D48="","",VLOOKUP(D48,'G-6 Hedgerow Data'!$B$2:$AG$15,3,FALSE))</f>
        <v/>
      </c>
      <c r="H48" s="105"/>
      <c r="I48" s="282" t="str">
        <f>IFERROR(IF(H48="","",IF(AND(D48="Non-native and ornamental hedgerow", H48&lt;&gt;"Poor"),"Not possible ▲", (VLOOKUP(H48,'G-1 All Habitats'!$Z$2:$AA$9,2,FALSE)))),"")</f>
        <v/>
      </c>
      <c r="J48" s="105"/>
      <c r="K48" s="301" t="str">
        <f>IF(J48="","",IF(VLOOKUP(J48,'G-3 Multipliers'!$L$3:$N$6,2,FALSE)=0,"Spatial Data Missing ⚠",VLOOKUP(J48,'G-3 Multipliers'!$L$3:$N$6,2,FALSE)))</f>
        <v/>
      </c>
      <c r="L48" s="287" t="str">
        <f>IF(J48="","",IF(VLOOKUP(J48,'G-3 Multipliers'!$L$3:$N$6,3,FALSE)=0,"Spatial Data Missing ⚠",VLOOKUP(J48,'G-3 Multipliers'!$L$3:$N$6,3,FALSE)))</f>
        <v/>
      </c>
      <c r="M48" s="281" t="str">
        <f>IF(OR(D48="",H48=""),"",(INDEX('G-6 Hedgerow Data'!$E$3:$I$15,MATCH(D48,'G-6 Hedgerow Data'!$B$3:$B$15,0),MATCH(H48,'G-6 Hedgerow Data'!$E$2:$I$2,0))))</f>
        <v/>
      </c>
      <c r="N48" s="137"/>
      <c r="O48" s="137"/>
      <c r="P48" s="289" t="str">
        <f t="shared" si="1"/>
        <v/>
      </c>
      <c r="Q48" s="302" t="str">
        <f t="shared" si="2"/>
        <v/>
      </c>
      <c r="R48" s="303" t="str">
        <f t="shared" si="0"/>
        <v/>
      </c>
      <c r="S48" s="317" t="str">
        <f>IF(D48="","",VLOOKUP(D48,'G-6 Hedgerow Data'!$B$3:$AG$15,31,FALSE))</f>
        <v/>
      </c>
      <c r="T48" s="289" t="str">
        <f t="shared" si="3"/>
        <v/>
      </c>
      <c r="U48" s="289" t="str">
        <f t="shared" si="4"/>
        <v/>
      </c>
      <c r="V48" s="305" t="str">
        <f>IF(D48="","",VLOOKUP(S48,'G-3 Multipliers'!$P$3:$Q$6,2,FALSE))</f>
        <v/>
      </c>
      <c r="W48" s="309" t="str">
        <f t="shared" si="5"/>
        <v/>
      </c>
      <c r="X48" s="105"/>
      <c r="Y48" s="119"/>
      <c r="Z48" s="108"/>
      <c r="AG48" s="30" t="str">
        <f>IFERROR(INDEX('G-6 Hedgerow Data'!$BJ$3:$BJ$15,MATCH(D48,'G-6 Hedgerow Data'!$B$3:$B$15,0)),"")</f>
        <v/>
      </c>
    </row>
    <row r="49" spans="2:33" ht="13.8" x14ac:dyDescent="0.25">
      <c r="B49" s="101">
        <v>38</v>
      </c>
      <c r="C49" s="144"/>
      <c r="D49" s="137"/>
      <c r="E49" s="119"/>
      <c r="F49" s="329" t="str">
        <f>IF(D49="","",VLOOKUP(D49,'G-6 Hedgerow Data'!$B$2:$AG$15,2,FALSE))</f>
        <v/>
      </c>
      <c r="G49" s="282" t="str">
        <f>IF(D49="","",VLOOKUP(D49,'G-6 Hedgerow Data'!$B$2:$AG$15,3,FALSE))</f>
        <v/>
      </c>
      <c r="H49" s="105"/>
      <c r="I49" s="282" t="str">
        <f>IFERROR(IF(H49="","",IF(AND(D49="Non-native and ornamental hedgerow", H49&lt;&gt;"Poor"),"Not possible ▲", (VLOOKUP(H49,'G-1 All Habitats'!$Z$2:$AA$9,2,FALSE)))),"")</f>
        <v/>
      </c>
      <c r="J49" s="105"/>
      <c r="K49" s="301" t="str">
        <f>IF(J49="","",IF(VLOOKUP(J49,'G-3 Multipliers'!$L$3:$N$6,2,FALSE)=0,"Spatial Data Missing ⚠",VLOOKUP(J49,'G-3 Multipliers'!$L$3:$N$6,2,FALSE)))</f>
        <v/>
      </c>
      <c r="L49" s="287" t="str">
        <f>IF(J49="","",IF(VLOOKUP(J49,'G-3 Multipliers'!$L$3:$N$6,3,FALSE)=0,"Spatial Data Missing ⚠",VLOOKUP(J49,'G-3 Multipliers'!$L$3:$N$6,3,FALSE)))</f>
        <v/>
      </c>
      <c r="M49" s="281" t="str">
        <f>IF(OR(D49="",H49=""),"",(INDEX('G-6 Hedgerow Data'!$E$3:$I$15,MATCH(D49,'G-6 Hedgerow Data'!$B$3:$B$15,0),MATCH(H49,'G-6 Hedgerow Data'!$E$2:$I$2,0))))</f>
        <v/>
      </c>
      <c r="N49" s="137"/>
      <c r="O49" s="137"/>
      <c r="P49" s="289" t="str">
        <f t="shared" si="1"/>
        <v/>
      </c>
      <c r="Q49" s="302" t="str">
        <f t="shared" si="2"/>
        <v/>
      </c>
      <c r="R49" s="303" t="str">
        <f t="shared" si="0"/>
        <v/>
      </c>
      <c r="S49" s="317" t="str">
        <f>IF(D49="","",VLOOKUP(D49,'G-6 Hedgerow Data'!$B$3:$AG$15,31,FALSE))</f>
        <v/>
      </c>
      <c r="T49" s="289" t="str">
        <f t="shared" si="3"/>
        <v/>
      </c>
      <c r="U49" s="289" t="str">
        <f t="shared" si="4"/>
        <v/>
      </c>
      <c r="V49" s="305" t="str">
        <f>IF(D49="","",VLOOKUP(S49,'G-3 Multipliers'!$P$3:$Q$6,2,FALSE))</f>
        <v/>
      </c>
      <c r="W49" s="309" t="str">
        <f t="shared" si="5"/>
        <v/>
      </c>
      <c r="X49" s="105"/>
      <c r="Y49" s="119"/>
      <c r="Z49" s="108"/>
      <c r="AG49" s="30" t="str">
        <f>IFERROR(INDEX('G-6 Hedgerow Data'!$BJ$3:$BJ$15,MATCH(D49,'G-6 Hedgerow Data'!$B$3:$B$15,0)),"")</f>
        <v/>
      </c>
    </row>
    <row r="50" spans="2:33" ht="13.8" x14ac:dyDescent="0.25">
      <c r="B50" s="101">
        <v>39</v>
      </c>
      <c r="C50" s="144"/>
      <c r="D50" s="137"/>
      <c r="E50" s="119"/>
      <c r="F50" s="329" t="str">
        <f>IF(D50="","",VLOOKUP(D50,'G-6 Hedgerow Data'!$B$2:$AG$15,2,FALSE))</f>
        <v/>
      </c>
      <c r="G50" s="282" t="str">
        <f>IF(D50="","",VLOOKUP(D50,'G-6 Hedgerow Data'!$B$2:$AG$15,3,FALSE))</f>
        <v/>
      </c>
      <c r="H50" s="105"/>
      <c r="I50" s="282" t="str">
        <f>IFERROR(IF(H50="","",IF(AND(D50="Non-native and ornamental hedgerow", H50&lt;&gt;"Poor"),"Not possible ▲", (VLOOKUP(H50,'G-1 All Habitats'!$Z$2:$AA$9,2,FALSE)))),"")</f>
        <v/>
      </c>
      <c r="J50" s="105"/>
      <c r="K50" s="301" t="str">
        <f>IF(J50="","",IF(VLOOKUP(J50,'G-3 Multipliers'!$L$3:$N$6,2,FALSE)=0,"Spatial Data Missing ⚠",VLOOKUP(J50,'G-3 Multipliers'!$L$3:$N$6,2,FALSE)))</f>
        <v/>
      </c>
      <c r="L50" s="287" t="str">
        <f>IF(J50="","",IF(VLOOKUP(J50,'G-3 Multipliers'!$L$3:$N$6,3,FALSE)=0,"Spatial Data Missing ⚠",VLOOKUP(J50,'G-3 Multipliers'!$L$3:$N$6,3,FALSE)))</f>
        <v/>
      </c>
      <c r="M50" s="281" t="str">
        <f>IF(OR(D50="",H50=""),"",(INDEX('G-6 Hedgerow Data'!$E$3:$I$15,MATCH(D50,'G-6 Hedgerow Data'!$B$3:$B$15,0),MATCH(H50,'G-6 Hedgerow Data'!$E$2:$I$2,0))))</f>
        <v/>
      </c>
      <c r="N50" s="137"/>
      <c r="O50" s="137"/>
      <c r="P50" s="289" t="str">
        <f t="shared" si="1"/>
        <v/>
      </c>
      <c r="Q50" s="302" t="str">
        <f t="shared" si="2"/>
        <v/>
      </c>
      <c r="R50" s="303" t="str">
        <f t="shared" si="0"/>
        <v/>
      </c>
      <c r="S50" s="317" t="str">
        <f>IF(D50="","",VLOOKUP(D50,'G-6 Hedgerow Data'!$B$3:$AG$15,31,FALSE))</f>
        <v/>
      </c>
      <c r="T50" s="289" t="str">
        <f t="shared" si="3"/>
        <v/>
      </c>
      <c r="U50" s="289" t="str">
        <f t="shared" si="4"/>
        <v/>
      </c>
      <c r="V50" s="305" t="str">
        <f>IF(D50="","",VLOOKUP(S50,'G-3 Multipliers'!$P$3:$Q$6,2,FALSE))</f>
        <v/>
      </c>
      <c r="W50" s="309" t="str">
        <f t="shared" si="5"/>
        <v/>
      </c>
      <c r="X50" s="105"/>
      <c r="Y50" s="119"/>
      <c r="Z50" s="108"/>
      <c r="AG50" s="30" t="str">
        <f>IFERROR(INDEX('G-6 Hedgerow Data'!$BJ$3:$BJ$15,MATCH(D50,'G-6 Hedgerow Data'!$B$3:$B$15,0)),"")</f>
        <v/>
      </c>
    </row>
    <row r="51" spans="2:33" ht="13.8" x14ac:dyDescent="0.25">
      <c r="B51" s="101">
        <v>40</v>
      </c>
      <c r="C51" s="144"/>
      <c r="D51" s="137"/>
      <c r="E51" s="119"/>
      <c r="F51" s="329" t="str">
        <f>IF(D51="","",VLOOKUP(D51,'G-6 Hedgerow Data'!$B$2:$AG$15,2,FALSE))</f>
        <v/>
      </c>
      <c r="G51" s="282" t="str">
        <f>IF(D51="","",VLOOKUP(D51,'G-6 Hedgerow Data'!$B$2:$AG$15,3,FALSE))</f>
        <v/>
      </c>
      <c r="H51" s="105"/>
      <c r="I51" s="282" t="str">
        <f>IFERROR(IF(H51="","",IF(AND(D51="Non-native and ornamental hedgerow", H51&lt;&gt;"Poor"),"Not possible ▲", (VLOOKUP(H51,'G-1 All Habitats'!$Z$2:$AA$9,2,FALSE)))),"")</f>
        <v/>
      </c>
      <c r="J51" s="105"/>
      <c r="K51" s="301" t="str">
        <f>IF(J51="","",IF(VLOOKUP(J51,'G-3 Multipliers'!$L$3:$N$6,2,FALSE)=0,"Spatial Data Missing ⚠",VLOOKUP(J51,'G-3 Multipliers'!$L$3:$N$6,2,FALSE)))</f>
        <v/>
      </c>
      <c r="L51" s="287" t="str">
        <f>IF(J51="","",IF(VLOOKUP(J51,'G-3 Multipliers'!$L$3:$N$6,3,FALSE)=0,"Spatial Data Missing ⚠",VLOOKUP(J51,'G-3 Multipliers'!$L$3:$N$6,3,FALSE)))</f>
        <v/>
      </c>
      <c r="M51" s="281" t="str">
        <f>IF(OR(D51="",H51=""),"",(INDEX('G-6 Hedgerow Data'!$E$3:$I$15,MATCH(D51,'G-6 Hedgerow Data'!$B$3:$B$15,0),MATCH(H51,'G-6 Hedgerow Data'!$E$2:$I$2,0))))</f>
        <v/>
      </c>
      <c r="N51" s="137"/>
      <c r="O51" s="137"/>
      <c r="P51" s="289" t="str">
        <f t="shared" si="1"/>
        <v/>
      </c>
      <c r="Q51" s="302" t="str">
        <f t="shared" si="2"/>
        <v/>
      </c>
      <c r="R51" s="303" t="str">
        <f t="shared" si="0"/>
        <v/>
      </c>
      <c r="S51" s="317" t="str">
        <f>IF(D51="","",VLOOKUP(D51,'G-6 Hedgerow Data'!$B$3:$AG$15,31,FALSE))</f>
        <v/>
      </c>
      <c r="T51" s="289" t="str">
        <f t="shared" si="3"/>
        <v/>
      </c>
      <c r="U51" s="289" t="str">
        <f t="shared" si="4"/>
        <v/>
      </c>
      <c r="V51" s="305" t="str">
        <f>IF(D51="","",VLOOKUP(S51,'G-3 Multipliers'!$P$3:$Q$6,2,FALSE))</f>
        <v/>
      </c>
      <c r="W51" s="309" t="str">
        <f t="shared" si="5"/>
        <v/>
      </c>
      <c r="X51" s="105"/>
      <c r="Y51" s="119"/>
      <c r="Z51" s="108"/>
      <c r="AG51" s="30" t="str">
        <f>IFERROR(INDEX('G-6 Hedgerow Data'!$BJ$3:$BJ$15,MATCH(D51,'G-6 Hedgerow Data'!$B$3:$B$15,0)),"")</f>
        <v/>
      </c>
    </row>
    <row r="52" spans="2:33" ht="13.8" x14ac:dyDescent="0.25">
      <c r="B52" s="101">
        <v>41</v>
      </c>
      <c r="C52" s="144"/>
      <c r="D52" s="137"/>
      <c r="E52" s="119"/>
      <c r="F52" s="329" t="str">
        <f>IF(D52="","",VLOOKUP(D52,'G-6 Hedgerow Data'!$B$2:$AG$15,2,FALSE))</f>
        <v/>
      </c>
      <c r="G52" s="282" t="str">
        <f>IF(D52="","",VLOOKUP(D52,'G-6 Hedgerow Data'!$B$2:$AG$15,3,FALSE))</f>
        <v/>
      </c>
      <c r="H52" s="105"/>
      <c r="I52" s="282" t="str">
        <f>IFERROR(IF(H52="","",IF(AND(D52="Non-native and ornamental hedgerow", H52&lt;&gt;"Poor"),"Not possible ▲", (VLOOKUP(H52,'G-1 All Habitats'!$Z$2:$AA$9,2,FALSE)))),"")</f>
        <v/>
      </c>
      <c r="J52" s="105"/>
      <c r="K52" s="301" t="str">
        <f>IF(J52="","",IF(VLOOKUP(J52,'G-3 Multipliers'!$L$3:$N$6,2,FALSE)=0,"Spatial Data Missing ⚠",VLOOKUP(J52,'G-3 Multipliers'!$L$3:$N$6,2,FALSE)))</f>
        <v/>
      </c>
      <c r="L52" s="287" t="str">
        <f>IF(J52="","",IF(VLOOKUP(J52,'G-3 Multipliers'!$L$3:$N$6,3,FALSE)=0,"Spatial Data Missing ⚠",VLOOKUP(J52,'G-3 Multipliers'!$L$3:$N$6,3,FALSE)))</f>
        <v/>
      </c>
      <c r="M52" s="281" t="str">
        <f>IF(OR(D52="",H52=""),"",(INDEX('G-6 Hedgerow Data'!$E$3:$I$15,MATCH(D52,'G-6 Hedgerow Data'!$B$3:$B$15,0),MATCH(H52,'G-6 Hedgerow Data'!$E$2:$I$2,0))))</f>
        <v/>
      </c>
      <c r="N52" s="137"/>
      <c r="O52" s="137"/>
      <c r="P52" s="289" t="str">
        <f t="shared" si="1"/>
        <v/>
      </c>
      <c r="Q52" s="302" t="str">
        <f t="shared" si="2"/>
        <v/>
      </c>
      <c r="R52" s="303" t="str">
        <f t="shared" si="0"/>
        <v/>
      </c>
      <c r="S52" s="317" t="str">
        <f>IF(D52="","",VLOOKUP(D52,'G-6 Hedgerow Data'!$B$3:$AG$15,31,FALSE))</f>
        <v/>
      </c>
      <c r="T52" s="289" t="str">
        <f t="shared" si="3"/>
        <v/>
      </c>
      <c r="U52" s="289" t="str">
        <f t="shared" si="4"/>
        <v/>
      </c>
      <c r="V52" s="305" t="str">
        <f>IF(D52="","",VLOOKUP(S52,'G-3 Multipliers'!$P$3:$Q$6,2,FALSE))</f>
        <v/>
      </c>
      <c r="W52" s="309" t="str">
        <f t="shared" si="5"/>
        <v/>
      </c>
      <c r="X52" s="105"/>
      <c r="Y52" s="119"/>
      <c r="Z52" s="108"/>
      <c r="AG52" s="30" t="str">
        <f>IFERROR(INDEX('G-6 Hedgerow Data'!$BJ$3:$BJ$15,MATCH(D52,'G-6 Hedgerow Data'!$B$3:$B$15,0)),"")</f>
        <v/>
      </c>
    </row>
    <row r="53" spans="2:33" ht="13.8" x14ac:dyDescent="0.25">
      <c r="B53" s="101">
        <v>42</v>
      </c>
      <c r="C53" s="144"/>
      <c r="D53" s="137"/>
      <c r="E53" s="119"/>
      <c r="F53" s="329" t="str">
        <f>IF(D53="","",VLOOKUP(D53,'G-6 Hedgerow Data'!$B$2:$AG$15,2,FALSE))</f>
        <v/>
      </c>
      <c r="G53" s="282" t="str">
        <f>IF(D53="","",VLOOKUP(D53,'G-6 Hedgerow Data'!$B$2:$AG$15,3,FALSE))</f>
        <v/>
      </c>
      <c r="H53" s="105"/>
      <c r="I53" s="282" t="str">
        <f>IFERROR(IF(H53="","",IF(AND(D53="Non-native and ornamental hedgerow", H53&lt;&gt;"Poor"),"Not possible ▲", (VLOOKUP(H53,'G-1 All Habitats'!$Z$2:$AA$9,2,FALSE)))),"")</f>
        <v/>
      </c>
      <c r="J53" s="105"/>
      <c r="K53" s="301" t="str">
        <f>IF(J53="","",IF(VLOOKUP(J53,'G-3 Multipliers'!$L$3:$N$6,2,FALSE)=0,"Spatial Data Missing ⚠",VLOOKUP(J53,'G-3 Multipliers'!$L$3:$N$6,2,FALSE)))</f>
        <v/>
      </c>
      <c r="L53" s="287" t="str">
        <f>IF(J53="","",IF(VLOOKUP(J53,'G-3 Multipliers'!$L$3:$N$6,3,FALSE)=0,"Spatial Data Missing ⚠",VLOOKUP(J53,'G-3 Multipliers'!$L$3:$N$6,3,FALSE)))</f>
        <v/>
      </c>
      <c r="M53" s="281" t="str">
        <f>IF(OR(D53="",H53=""),"",(INDEX('G-6 Hedgerow Data'!$E$3:$I$15,MATCH(D53,'G-6 Hedgerow Data'!$B$3:$B$15,0),MATCH(H53,'G-6 Hedgerow Data'!$E$2:$I$2,0))))</f>
        <v/>
      </c>
      <c r="N53" s="137"/>
      <c r="O53" s="137"/>
      <c r="P53" s="289" t="str">
        <f t="shared" si="1"/>
        <v/>
      </c>
      <c r="Q53" s="302" t="str">
        <f t="shared" si="2"/>
        <v/>
      </c>
      <c r="R53" s="303" t="str">
        <f t="shared" si="0"/>
        <v/>
      </c>
      <c r="S53" s="317" t="str">
        <f>IF(D53="","",VLOOKUP(D53,'G-6 Hedgerow Data'!$B$3:$AG$15,31,FALSE))</f>
        <v/>
      </c>
      <c r="T53" s="289" t="str">
        <f t="shared" si="3"/>
        <v/>
      </c>
      <c r="U53" s="289" t="str">
        <f t="shared" si="4"/>
        <v/>
      </c>
      <c r="V53" s="305" t="str">
        <f>IF(D53="","",VLOOKUP(S53,'G-3 Multipliers'!$P$3:$Q$6,2,FALSE))</f>
        <v/>
      </c>
      <c r="W53" s="309" t="str">
        <f t="shared" si="5"/>
        <v/>
      </c>
      <c r="X53" s="105"/>
      <c r="Y53" s="119"/>
      <c r="Z53" s="108"/>
      <c r="AG53" s="30" t="str">
        <f>IFERROR(INDEX('G-6 Hedgerow Data'!$BJ$3:$BJ$15,MATCH(D53,'G-6 Hedgerow Data'!$B$3:$B$15,0)),"")</f>
        <v/>
      </c>
    </row>
    <row r="54" spans="2:33" ht="13.8" x14ac:dyDescent="0.25">
      <c r="B54" s="101">
        <v>43</v>
      </c>
      <c r="C54" s="144"/>
      <c r="D54" s="137"/>
      <c r="E54" s="119"/>
      <c r="F54" s="329" t="str">
        <f>IF(D54="","",VLOOKUP(D54,'G-6 Hedgerow Data'!$B$2:$AG$15,2,FALSE))</f>
        <v/>
      </c>
      <c r="G54" s="282" t="str">
        <f>IF(D54="","",VLOOKUP(D54,'G-6 Hedgerow Data'!$B$2:$AG$15,3,FALSE))</f>
        <v/>
      </c>
      <c r="H54" s="105"/>
      <c r="I54" s="282" t="str">
        <f>IFERROR(IF(H54="","",IF(AND(D54="Non-native and ornamental hedgerow", H54&lt;&gt;"Poor"),"Not possible ▲", (VLOOKUP(H54,'G-1 All Habitats'!$Z$2:$AA$9,2,FALSE)))),"")</f>
        <v/>
      </c>
      <c r="J54" s="105"/>
      <c r="K54" s="301" t="str">
        <f>IF(J54="","",IF(VLOOKUP(J54,'G-3 Multipliers'!$L$3:$N$6,2,FALSE)=0,"Spatial Data Missing ⚠",VLOOKUP(J54,'G-3 Multipliers'!$L$3:$N$6,2,FALSE)))</f>
        <v/>
      </c>
      <c r="L54" s="287" t="str">
        <f>IF(J54="","",IF(VLOOKUP(J54,'G-3 Multipliers'!$L$3:$N$6,3,FALSE)=0,"Spatial Data Missing ⚠",VLOOKUP(J54,'G-3 Multipliers'!$L$3:$N$6,3,FALSE)))</f>
        <v/>
      </c>
      <c r="M54" s="281" t="str">
        <f>IF(OR(D54="",H54=""),"",(INDEX('G-6 Hedgerow Data'!$E$3:$I$15,MATCH(D54,'G-6 Hedgerow Data'!$B$3:$B$15,0),MATCH(H54,'G-6 Hedgerow Data'!$E$2:$I$2,0))))</f>
        <v/>
      </c>
      <c r="N54" s="137"/>
      <c r="O54" s="137"/>
      <c r="P54" s="289" t="str">
        <f t="shared" si="1"/>
        <v/>
      </c>
      <c r="Q54" s="302" t="str">
        <f t="shared" si="2"/>
        <v/>
      </c>
      <c r="R54" s="303" t="str">
        <f t="shared" si="0"/>
        <v/>
      </c>
      <c r="S54" s="317" t="str">
        <f>IF(D54="","",VLOOKUP(D54,'G-6 Hedgerow Data'!$B$3:$AG$15,31,FALSE))</f>
        <v/>
      </c>
      <c r="T54" s="289" t="str">
        <f t="shared" si="3"/>
        <v/>
      </c>
      <c r="U54" s="289" t="str">
        <f t="shared" si="4"/>
        <v/>
      </c>
      <c r="V54" s="305" t="str">
        <f>IF(D54="","",VLOOKUP(S54,'G-3 Multipliers'!$P$3:$Q$6,2,FALSE))</f>
        <v/>
      </c>
      <c r="W54" s="309" t="str">
        <f t="shared" si="5"/>
        <v/>
      </c>
      <c r="X54" s="105"/>
      <c r="Y54" s="119"/>
      <c r="Z54" s="108"/>
      <c r="AG54" s="30" t="str">
        <f>IFERROR(INDEX('G-6 Hedgerow Data'!$BJ$3:$BJ$15,MATCH(D54,'G-6 Hedgerow Data'!$B$3:$B$15,0)),"")</f>
        <v/>
      </c>
    </row>
    <row r="55" spans="2:33" ht="13.8" x14ac:dyDescent="0.25">
      <c r="B55" s="101">
        <v>44</v>
      </c>
      <c r="C55" s="144"/>
      <c r="D55" s="137"/>
      <c r="E55" s="119"/>
      <c r="F55" s="329" t="str">
        <f>IF(D55="","",VLOOKUP(D55,'G-6 Hedgerow Data'!$B$2:$AG$15,2,FALSE))</f>
        <v/>
      </c>
      <c r="G55" s="282" t="str">
        <f>IF(D55="","",VLOOKUP(D55,'G-6 Hedgerow Data'!$B$2:$AG$15,3,FALSE))</f>
        <v/>
      </c>
      <c r="H55" s="105"/>
      <c r="I55" s="282" t="str">
        <f>IFERROR(IF(H55="","",IF(AND(D55="Non-native and ornamental hedgerow", H55&lt;&gt;"Poor"),"Not possible ▲", (VLOOKUP(H55,'G-1 All Habitats'!$Z$2:$AA$9,2,FALSE)))),"")</f>
        <v/>
      </c>
      <c r="J55" s="105"/>
      <c r="K55" s="301" t="str">
        <f>IF(J55="","",IF(VLOOKUP(J55,'G-3 Multipliers'!$L$3:$N$6,2,FALSE)=0,"Spatial Data Missing ⚠",VLOOKUP(J55,'G-3 Multipliers'!$L$3:$N$6,2,FALSE)))</f>
        <v/>
      </c>
      <c r="L55" s="287" t="str">
        <f>IF(J55="","",IF(VLOOKUP(J55,'G-3 Multipliers'!$L$3:$N$6,3,FALSE)=0,"Spatial Data Missing ⚠",VLOOKUP(J55,'G-3 Multipliers'!$L$3:$N$6,3,FALSE)))</f>
        <v/>
      </c>
      <c r="M55" s="281" t="str">
        <f>IF(OR(D55="",H55=""),"",(INDEX('G-6 Hedgerow Data'!$E$3:$I$15,MATCH(D55,'G-6 Hedgerow Data'!$B$3:$B$15,0),MATCH(H55,'G-6 Hedgerow Data'!$E$2:$I$2,0))))</f>
        <v/>
      </c>
      <c r="N55" s="137"/>
      <c r="O55" s="137"/>
      <c r="P55" s="289" t="str">
        <f t="shared" si="1"/>
        <v/>
      </c>
      <c r="Q55" s="302" t="str">
        <f t="shared" si="2"/>
        <v/>
      </c>
      <c r="R55" s="303" t="str">
        <f t="shared" si="0"/>
        <v/>
      </c>
      <c r="S55" s="317" t="str">
        <f>IF(D55="","",VLOOKUP(D55,'G-6 Hedgerow Data'!$B$3:$AG$15,31,FALSE))</f>
        <v/>
      </c>
      <c r="T55" s="289" t="str">
        <f t="shared" si="3"/>
        <v/>
      </c>
      <c r="U55" s="289" t="str">
        <f t="shared" si="4"/>
        <v/>
      </c>
      <c r="V55" s="305" t="str">
        <f>IF(D55="","",VLOOKUP(S55,'G-3 Multipliers'!$P$3:$Q$6,2,FALSE))</f>
        <v/>
      </c>
      <c r="W55" s="309" t="str">
        <f t="shared" si="5"/>
        <v/>
      </c>
      <c r="X55" s="105"/>
      <c r="Y55" s="119"/>
      <c r="Z55" s="108"/>
      <c r="AG55" s="30" t="str">
        <f>IFERROR(INDEX('G-6 Hedgerow Data'!$BJ$3:$BJ$15,MATCH(D55,'G-6 Hedgerow Data'!$B$3:$B$15,0)),"")</f>
        <v/>
      </c>
    </row>
    <row r="56" spans="2:33" ht="13.8" x14ac:dyDescent="0.25">
      <c r="B56" s="101">
        <v>45</v>
      </c>
      <c r="C56" s="144"/>
      <c r="D56" s="137"/>
      <c r="E56" s="119"/>
      <c r="F56" s="329" t="str">
        <f>IF(D56="","",VLOOKUP(D56,'G-6 Hedgerow Data'!$B$2:$AG$15,2,FALSE))</f>
        <v/>
      </c>
      <c r="G56" s="282" t="str">
        <f>IF(D56="","",VLOOKUP(D56,'G-6 Hedgerow Data'!$B$2:$AG$15,3,FALSE))</f>
        <v/>
      </c>
      <c r="H56" s="105"/>
      <c r="I56" s="282" t="str">
        <f>IFERROR(IF(H56="","",IF(AND(D56="Non-native and ornamental hedgerow", H56&lt;&gt;"Poor"),"Not possible ▲", (VLOOKUP(H56,'G-1 All Habitats'!$Z$2:$AA$9,2,FALSE)))),"")</f>
        <v/>
      </c>
      <c r="J56" s="105"/>
      <c r="K56" s="301" t="str">
        <f>IF(J56="","",IF(VLOOKUP(J56,'G-3 Multipliers'!$L$3:$N$6,2,FALSE)=0,"Spatial Data Missing ⚠",VLOOKUP(J56,'G-3 Multipliers'!$L$3:$N$6,2,FALSE)))</f>
        <v/>
      </c>
      <c r="L56" s="287" t="str">
        <f>IF(J56="","",IF(VLOOKUP(J56,'G-3 Multipliers'!$L$3:$N$6,3,FALSE)=0,"Spatial Data Missing ⚠",VLOOKUP(J56,'G-3 Multipliers'!$L$3:$N$6,3,FALSE)))</f>
        <v/>
      </c>
      <c r="M56" s="281" t="str">
        <f>IF(OR(D56="",H56=""),"",(INDEX('G-6 Hedgerow Data'!$E$3:$I$15,MATCH(D56,'G-6 Hedgerow Data'!$B$3:$B$15,0),MATCH(H56,'G-6 Hedgerow Data'!$E$2:$I$2,0))))</f>
        <v/>
      </c>
      <c r="N56" s="137"/>
      <c r="O56" s="137"/>
      <c r="P56" s="289" t="str">
        <f t="shared" si="1"/>
        <v/>
      </c>
      <c r="Q56" s="302" t="str">
        <f t="shared" si="2"/>
        <v/>
      </c>
      <c r="R56" s="303" t="str">
        <f t="shared" si="0"/>
        <v/>
      </c>
      <c r="S56" s="317" t="str">
        <f>IF(D56="","",VLOOKUP(D56,'G-6 Hedgerow Data'!$B$3:$AG$15,31,FALSE))</f>
        <v/>
      </c>
      <c r="T56" s="289" t="str">
        <f t="shared" si="3"/>
        <v/>
      </c>
      <c r="U56" s="289" t="str">
        <f t="shared" si="4"/>
        <v/>
      </c>
      <c r="V56" s="305" t="str">
        <f>IF(D56="","",VLOOKUP(S56,'G-3 Multipliers'!$P$3:$Q$6,2,FALSE))</f>
        <v/>
      </c>
      <c r="W56" s="309" t="str">
        <f t="shared" si="5"/>
        <v/>
      </c>
      <c r="X56" s="105"/>
      <c r="Y56" s="119"/>
      <c r="Z56" s="108"/>
      <c r="AG56" s="30" t="str">
        <f>IFERROR(INDEX('G-6 Hedgerow Data'!$BJ$3:$BJ$15,MATCH(D56,'G-6 Hedgerow Data'!$B$3:$B$15,0)),"")</f>
        <v/>
      </c>
    </row>
    <row r="57" spans="2:33" ht="13.8" x14ac:dyDescent="0.25">
      <c r="B57" s="101">
        <v>46</v>
      </c>
      <c r="C57" s="144"/>
      <c r="D57" s="137"/>
      <c r="E57" s="119"/>
      <c r="F57" s="329" t="str">
        <f>IF(D57="","",VLOOKUP(D57,'G-6 Hedgerow Data'!$B$2:$AG$15,2,FALSE))</f>
        <v/>
      </c>
      <c r="G57" s="282" t="str">
        <f>IF(D57="","",VLOOKUP(D57,'G-6 Hedgerow Data'!$B$2:$AG$15,3,FALSE))</f>
        <v/>
      </c>
      <c r="H57" s="105"/>
      <c r="I57" s="282" t="str">
        <f>IFERROR(IF(H57="","",IF(AND(D57="Non-native and ornamental hedgerow", H57&lt;&gt;"Poor"),"Not possible ▲", (VLOOKUP(H57,'G-1 All Habitats'!$Z$2:$AA$9,2,FALSE)))),"")</f>
        <v/>
      </c>
      <c r="J57" s="105"/>
      <c r="K57" s="301" t="str">
        <f>IF(J57="","",IF(VLOOKUP(J57,'G-3 Multipliers'!$L$3:$N$6,2,FALSE)=0,"Spatial Data Missing ⚠",VLOOKUP(J57,'G-3 Multipliers'!$L$3:$N$6,2,FALSE)))</f>
        <v/>
      </c>
      <c r="L57" s="287" t="str">
        <f>IF(J57="","",IF(VLOOKUP(J57,'G-3 Multipliers'!$L$3:$N$6,3,FALSE)=0,"Spatial Data Missing ⚠",VLOOKUP(J57,'G-3 Multipliers'!$L$3:$N$6,3,FALSE)))</f>
        <v/>
      </c>
      <c r="M57" s="281" t="str">
        <f>IF(OR(D57="",H57=""),"",(INDEX('G-6 Hedgerow Data'!$E$3:$I$15,MATCH(D57,'G-6 Hedgerow Data'!$B$3:$B$15,0),MATCH(H57,'G-6 Hedgerow Data'!$E$2:$I$2,0))))</f>
        <v/>
      </c>
      <c r="N57" s="137"/>
      <c r="O57" s="137"/>
      <c r="P57" s="289" t="str">
        <f t="shared" si="1"/>
        <v/>
      </c>
      <c r="Q57" s="302" t="str">
        <f t="shared" si="2"/>
        <v/>
      </c>
      <c r="R57" s="303" t="str">
        <f t="shared" si="0"/>
        <v/>
      </c>
      <c r="S57" s="317" t="str">
        <f>IF(D57="","",VLOOKUP(D57,'G-6 Hedgerow Data'!$B$3:$AG$15,31,FALSE))</f>
        <v/>
      </c>
      <c r="T57" s="289" t="str">
        <f t="shared" si="3"/>
        <v/>
      </c>
      <c r="U57" s="289" t="str">
        <f t="shared" si="4"/>
        <v/>
      </c>
      <c r="V57" s="305" t="str">
        <f>IF(D57="","",VLOOKUP(S57,'G-3 Multipliers'!$P$3:$Q$6,2,FALSE))</f>
        <v/>
      </c>
      <c r="W57" s="309" t="str">
        <f t="shared" si="5"/>
        <v/>
      </c>
      <c r="X57" s="105"/>
      <c r="Y57" s="119"/>
      <c r="Z57" s="108"/>
      <c r="AG57" s="30" t="str">
        <f>IFERROR(INDEX('G-6 Hedgerow Data'!$BJ$3:$BJ$15,MATCH(D57,'G-6 Hedgerow Data'!$B$3:$B$15,0)),"")</f>
        <v/>
      </c>
    </row>
    <row r="58" spans="2:33" ht="13.8" x14ac:dyDescent="0.25">
      <c r="B58" s="101">
        <v>47</v>
      </c>
      <c r="C58" s="144"/>
      <c r="D58" s="137"/>
      <c r="E58" s="119"/>
      <c r="F58" s="329" t="str">
        <f>IF(D58="","",VLOOKUP(D58,'G-6 Hedgerow Data'!$B$2:$AG$15,2,FALSE))</f>
        <v/>
      </c>
      <c r="G58" s="282" t="str">
        <f>IF(D58="","",VLOOKUP(D58,'G-6 Hedgerow Data'!$B$2:$AG$15,3,FALSE))</f>
        <v/>
      </c>
      <c r="H58" s="105"/>
      <c r="I58" s="282" t="str">
        <f>IFERROR(IF(H58="","",IF(AND(D58="Non-native and ornamental hedgerow", H58&lt;&gt;"Poor"),"Not possible ▲", (VLOOKUP(H58,'G-1 All Habitats'!$Z$2:$AA$9,2,FALSE)))),"")</f>
        <v/>
      </c>
      <c r="J58" s="105"/>
      <c r="K58" s="301" t="str">
        <f>IF(J58="","",IF(VLOOKUP(J58,'G-3 Multipliers'!$L$3:$N$6,2,FALSE)=0,"Spatial Data Missing ⚠",VLOOKUP(J58,'G-3 Multipliers'!$L$3:$N$6,2,FALSE)))</f>
        <v/>
      </c>
      <c r="L58" s="287" t="str">
        <f>IF(J58="","",IF(VLOOKUP(J58,'G-3 Multipliers'!$L$3:$N$6,3,FALSE)=0,"Spatial Data Missing ⚠",VLOOKUP(J58,'G-3 Multipliers'!$L$3:$N$6,3,FALSE)))</f>
        <v/>
      </c>
      <c r="M58" s="281" t="str">
        <f>IF(OR(D58="",H58=""),"",(INDEX('G-6 Hedgerow Data'!$E$3:$I$15,MATCH(D58,'G-6 Hedgerow Data'!$B$3:$B$15,0),MATCH(H58,'G-6 Hedgerow Data'!$E$2:$I$2,0))))</f>
        <v/>
      </c>
      <c r="N58" s="137"/>
      <c r="O58" s="137"/>
      <c r="P58" s="289" t="str">
        <f t="shared" si="1"/>
        <v/>
      </c>
      <c r="Q58" s="302" t="str">
        <f t="shared" si="2"/>
        <v/>
      </c>
      <c r="R58" s="303" t="str">
        <f t="shared" si="0"/>
        <v/>
      </c>
      <c r="S58" s="317" t="str">
        <f>IF(D58="","",VLOOKUP(D58,'G-6 Hedgerow Data'!$B$3:$AG$15,31,FALSE))</f>
        <v/>
      </c>
      <c r="T58" s="289" t="str">
        <f t="shared" si="3"/>
        <v/>
      </c>
      <c r="U58" s="289" t="str">
        <f t="shared" si="4"/>
        <v/>
      </c>
      <c r="V58" s="305" t="str">
        <f>IF(D58="","",VLOOKUP(S58,'G-3 Multipliers'!$P$3:$Q$6,2,FALSE))</f>
        <v/>
      </c>
      <c r="W58" s="309" t="str">
        <f t="shared" si="5"/>
        <v/>
      </c>
      <c r="X58" s="105"/>
      <c r="Y58" s="119"/>
      <c r="Z58" s="108"/>
      <c r="AG58" s="30" t="str">
        <f>IFERROR(INDEX('G-6 Hedgerow Data'!$BJ$3:$BJ$15,MATCH(D58,'G-6 Hedgerow Data'!$B$3:$B$15,0)),"")</f>
        <v/>
      </c>
    </row>
    <row r="59" spans="2:33" ht="13.8" x14ac:dyDescent="0.25">
      <c r="B59" s="101">
        <v>48</v>
      </c>
      <c r="C59" s="144"/>
      <c r="D59" s="137"/>
      <c r="E59" s="119"/>
      <c r="F59" s="329" t="str">
        <f>IF(D59="","",VLOOKUP(D59,'G-6 Hedgerow Data'!$B$2:$AG$15,2,FALSE))</f>
        <v/>
      </c>
      <c r="G59" s="282" t="str">
        <f>IF(D59="","",VLOOKUP(D59,'G-6 Hedgerow Data'!$B$2:$AG$15,3,FALSE))</f>
        <v/>
      </c>
      <c r="H59" s="105"/>
      <c r="I59" s="282" t="str">
        <f>IFERROR(IF(H59="","",IF(AND(D59="Non-native and ornamental hedgerow", H59&lt;&gt;"Poor"),"Not possible ▲", (VLOOKUP(H59,'G-1 All Habitats'!$Z$2:$AA$9,2,FALSE)))),"")</f>
        <v/>
      </c>
      <c r="J59" s="105"/>
      <c r="K59" s="301" t="str">
        <f>IF(J59="","",IF(VLOOKUP(J59,'G-3 Multipliers'!$L$3:$N$6,2,FALSE)=0,"Spatial Data Missing ⚠",VLOOKUP(J59,'G-3 Multipliers'!$L$3:$N$6,2,FALSE)))</f>
        <v/>
      </c>
      <c r="L59" s="287" t="str">
        <f>IF(J59="","",IF(VLOOKUP(J59,'G-3 Multipliers'!$L$3:$N$6,3,FALSE)=0,"Spatial Data Missing ⚠",VLOOKUP(J59,'G-3 Multipliers'!$L$3:$N$6,3,FALSE)))</f>
        <v/>
      </c>
      <c r="M59" s="281" t="str">
        <f>IF(OR(D59="",H59=""),"",(INDEX('G-6 Hedgerow Data'!$E$3:$I$15,MATCH(D59,'G-6 Hedgerow Data'!$B$3:$B$15,0),MATCH(H59,'G-6 Hedgerow Data'!$E$2:$I$2,0))))</f>
        <v/>
      </c>
      <c r="N59" s="137"/>
      <c r="O59" s="137"/>
      <c r="P59" s="289" t="str">
        <f t="shared" si="1"/>
        <v/>
      </c>
      <c r="Q59" s="302" t="str">
        <f t="shared" si="2"/>
        <v/>
      </c>
      <c r="R59" s="303" t="str">
        <f t="shared" si="0"/>
        <v/>
      </c>
      <c r="S59" s="317" t="str">
        <f>IF(D59="","",VLOOKUP(D59,'G-6 Hedgerow Data'!$B$3:$AG$15,31,FALSE))</f>
        <v/>
      </c>
      <c r="T59" s="289" t="str">
        <f t="shared" si="3"/>
        <v/>
      </c>
      <c r="U59" s="289" t="str">
        <f t="shared" si="4"/>
        <v/>
      </c>
      <c r="V59" s="305" t="str">
        <f>IF(D59="","",VLOOKUP(S59,'G-3 Multipliers'!$P$3:$Q$6,2,FALSE))</f>
        <v/>
      </c>
      <c r="W59" s="309" t="str">
        <f t="shared" si="5"/>
        <v/>
      </c>
      <c r="X59" s="105"/>
      <c r="Y59" s="119"/>
      <c r="Z59" s="108"/>
      <c r="AG59" s="30" t="str">
        <f>IFERROR(INDEX('G-6 Hedgerow Data'!$BJ$3:$BJ$15,MATCH(D59,'G-6 Hedgerow Data'!$B$3:$B$15,0)),"")</f>
        <v/>
      </c>
    </row>
    <row r="60" spans="2:33" ht="13.8" x14ac:dyDescent="0.25">
      <c r="B60" s="101">
        <v>49</v>
      </c>
      <c r="C60" s="144"/>
      <c r="D60" s="137"/>
      <c r="E60" s="119"/>
      <c r="F60" s="329" t="str">
        <f>IF(D60="","",VLOOKUP(D60,'G-6 Hedgerow Data'!$B$2:$AG$15,2,FALSE))</f>
        <v/>
      </c>
      <c r="G60" s="282" t="str">
        <f>IF(D60="","",VLOOKUP(D60,'G-6 Hedgerow Data'!$B$2:$AG$15,3,FALSE))</f>
        <v/>
      </c>
      <c r="H60" s="105"/>
      <c r="I60" s="282" t="str">
        <f>IFERROR(IF(H60="","",IF(AND(D60="Non-native and ornamental hedgerow", H60&lt;&gt;"Poor"),"Not possible ▲", (VLOOKUP(H60,'G-1 All Habitats'!$Z$2:$AA$9,2,FALSE)))),"")</f>
        <v/>
      </c>
      <c r="J60" s="105"/>
      <c r="K60" s="301" t="str">
        <f>IF(J60="","",IF(VLOOKUP(J60,'G-3 Multipliers'!$L$3:$N$6,2,FALSE)=0,"Spatial Data Missing ⚠",VLOOKUP(J60,'G-3 Multipliers'!$L$3:$N$6,2,FALSE)))</f>
        <v/>
      </c>
      <c r="L60" s="287" t="str">
        <f>IF(J60="","",IF(VLOOKUP(J60,'G-3 Multipliers'!$L$3:$N$6,3,FALSE)=0,"Spatial Data Missing ⚠",VLOOKUP(J60,'G-3 Multipliers'!$L$3:$N$6,3,FALSE)))</f>
        <v/>
      </c>
      <c r="M60" s="281" t="str">
        <f>IF(OR(D60="",H60=""),"",(INDEX('G-6 Hedgerow Data'!$E$3:$I$15,MATCH(D60,'G-6 Hedgerow Data'!$B$3:$B$15,0),MATCH(H60,'G-6 Hedgerow Data'!$E$2:$I$2,0))))</f>
        <v/>
      </c>
      <c r="N60" s="137"/>
      <c r="O60" s="137"/>
      <c r="P60" s="289" t="str">
        <f t="shared" si="1"/>
        <v/>
      </c>
      <c r="Q60" s="302" t="str">
        <f t="shared" si="2"/>
        <v/>
      </c>
      <c r="R60" s="303" t="str">
        <f t="shared" si="0"/>
        <v/>
      </c>
      <c r="S60" s="317" t="str">
        <f>IF(D60="","",VLOOKUP(D60,'G-6 Hedgerow Data'!$B$3:$AG$15,31,FALSE))</f>
        <v/>
      </c>
      <c r="T60" s="289" t="str">
        <f t="shared" si="3"/>
        <v/>
      </c>
      <c r="U60" s="289" t="str">
        <f t="shared" si="4"/>
        <v/>
      </c>
      <c r="V60" s="305" t="str">
        <f>IF(D60="","",VLOOKUP(S60,'G-3 Multipliers'!$P$3:$Q$6,2,FALSE))</f>
        <v/>
      </c>
      <c r="W60" s="309" t="str">
        <f t="shared" si="5"/>
        <v/>
      </c>
      <c r="X60" s="105"/>
      <c r="Y60" s="119"/>
      <c r="Z60" s="108"/>
      <c r="AG60" s="30" t="str">
        <f>IFERROR(INDEX('G-6 Hedgerow Data'!$BJ$3:$BJ$15,MATCH(D60,'G-6 Hedgerow Data'!$B$3:$B$15,0)),"")</f>
        <v/>
      </c>
    </row>
    <row r="61" spans="2:33" ht="13.8" x14ac:dyDescent="0.25">
      <c r="B61" s="101">
        <v>50</v>
      </c>
      <c r="C61" s="144"/>
      <c r="D61" s="137"/>
      <c r="E61" s="119"/>
      <c r="F61" s="329" t="str">
        <f>IF(D61="","",VLOOKUP(D61,'G-6 Hedgerow Data'!$B$2:$AG$15,2,FALSE))</f>
        <v/>
      </c>
      <c r="G61" s="282" t="str">
        <f>IF(D61="","",VLOOKUP(D61,'G-6 Hedgerow Data'!$B$2:$AG$15,3,FALSE))</f>
        <v/>
      </c>
      <c r="H61" s="105"/>
      <c r="I61" s="282" t="str">
        <f>IFERROR(IF(H61="","",IF(AND(D61="Non-native and ornamental hedgerow", H61&lt;&gt;"Poor"),"Not possible ▲", (VLOOKUP(H61,'G-1 All Habitats'!$Z$2:$AA$9,2,FALSE)))),"")</f>
        <v/>
      </c>
      <c r="J61" s="105"/>
      <c r="K61" s="301" t="str">
        <f>IF(J61="","",IF(VLOOKUP(J61,'G-3 Multipliers'!$L$3:$N$6,2,FALSE)=0,"Spatial Data Missing ⚠",VLOOKUP(J61,'G-3 Multipliers'!$L$3:$N$6,2,FALSE)))</f>
        <v/>
      </c>
      <c r="L61" s="287" t="str">
        <f>IF(J61="","",IF(VLOOKUP(J61,'G-3 Multipliers'!$L$3:$N$6,3,FALSE)=0,"Spatial Data Missing ⚠",VLOOKUP(J61,'G-3 Multipliers'!$L$3:$N$6,3,FALSE)))</f>
        <v/>
      </c>
      <c r="M61" s="281" t="str">
        <f>IF(OR(D61="",H61=""),"",(INDEX('G-6 Hedgerow Data'!$E$3:$I$15,MATCH(D61,'G-6 Hedgerow Data'!$B$3:$B$15,0),MATCH(H61,'G-6 Hedgerow Data'!$E$2:$I$2,0))))</f>
        <v/>
      </c>
      <c r="N61" s="137"/>
      <c r="O61" s="137"/>
      <c r="P61" s="289" t="str">
        <f t="shared" si="1"/>
        <v/>
      </c>
      <c r="Q61" s="302" t="str">
        <f t="shared" si="2"/>
        <v/>
      </c>
      <c r="R61" s="303" t="str">
        <f t="shared" si="0"/>
        <v/>
      </c>
      <c r="S61" s="317" t="str">
        <f>IF(D61="","",VLOOKUP(D61,'G-6 Hedgerow Data'!$B$3:$AG$15,31,FALSE))</f>
        <v/>
      </c>
      <c r="T61" s="289" t="str">
        <f t="shared" si="3"/>
        <v/>
      </c>
      <c r="U61" s="289" t="str">
        <f t="shared" si="4"/>
        <v/>
      </c>
      <c r="V61" s="305" t="str">
        <f>IF(D61="","",VLOOKUP(S61,'G-3 Multipliers'!$P$3:$Q$6,2,FALSE))</f>
        <v/>
      </c>
      <c r="W61" s="309" t="str">
        <f t="shared" si="5"/>
        <v/>
      </c>
      <c r="X61" s="105"/>
      <c r="Y61" s="119"/>
      <c r="Z61" s="108"/>
      <c r="AG61" s="30" t="str">
        <f>IFERROR(INDEX('G-6 Hedgerow Data'!$BJ$3:$BJ$15,MATCH(D61,'G-6 Hedgerow Data'!$B$3:$B$15,0)),"")</f>
        <v/>
      </c>
    </row>
    <row r="62" spans="2:33" ht="13.8" x14ac:dyDescent="0.25">
      <c r="B62" s="101">
        <v>51</v>
      </c>
      <c r="C62" s="144"/>
      <c r="D62" s="137"/>
      <c r="E62" s="119"/>
      <c r="F62" s="329" t="str">
        <f>IF(D62="","",VLOOKUP(D62,'G-6 Hedgerow Data'!$B$2:$AG$15,2,FALSE))</f>
        <v/>
      </c>
      <c r="G62" s="282" t="str">
        <f>IF(D62="","",VLOOKUP(D62,'G-6 Hedgerow Data'!$B$2:$AG$15,3,FALSE))</f>
        <v/>
      </c>
      <c r="H62" s="105"/>
      <c r="I62" s="282" t="str">
        <f>IFERROR(IF(H62="","",IF(AND(D62="Non-native and ornamental hedgerow", H62&lt;&gt;"Poor"),"Not possible ▲", (VLOOKUP(H62,'G-1 All Habitats'!$Z$2:$AA$9,2,FALSE)))),"")</f>
        <v/>
      </c>
      <c r="J62" s="105"/>
      <c r="K62" s="301" t="str">
        <f>IF(J62="","",IF(VLOOKUP(J62,'G-3 Multipliers'!$L$3:$N$6,2,FALSE)=0,"Spatial Data Missing ⚠",VLOOKUP(J62,'G-3 Multipliers'!$L$3:$N$6,2,FALSE)))</f>
        <v/>
      </c>
      <c r="L62" s="287" t="str">
        <f>IF(J62="","",IF(VLOOKUP(J62,'G-3 Multipliers'!$L$3:$N$6,3,FALSE)=0,"Spatial Data Missing ⚠",VLOOKUP(J62,'G-3 Multipliers'!$L$3:$N$6,3,FALSE)))</f>
        <v/>
      </c>
      <c r="M62" s="281" t="str">
        <f>IF(OR(D62="",H62=""),"",(INDEX('G-6 Hedgerow Data'!$E$3:$I$15,MATCH(D62,'G-6 Hedgerow Data'!$B$3:$B$15,0),MATCH(H62,'G-6 Hedgerow Data'!$E$2:$I$2,0))))</f>
        <v/>
      </c>
      <c r="N62" s="137"/>
      <c r="O62" s="137"/>
      <c r="P62" s="289" t="str">
        <f t="shared" si="1"/>
        <v/>
      </c>
      <c r="Q62" s="302" t="str">
        <f t="shared" si="2"/>
        <v/>
      </c>
      <c r="R62" s="303" t="str">
        <f t="shared" si="0"/>
        <v/>
      </c>
      <c r="S62" s="317" t="str">
        <f>IF(D62="","",VLOOKUP(D62,'G-6 Hedgerow Data'!$B$3:$AG$15,31,FALSE))</f>
        <v/>
      </c>
      <c r="T62" s="289" t="str">
        <f t="shared" si="3"/>
        <v/>
      </c>
      <c r="U62" s="289" t="str">
        <f t="shared" si="4"/>
        <v/>
      </c>
      <c r="V62" s="305" t="str">
        <f>IF(D62="","",VLOOKUP(S62,'G-3 Multipliers'!$P$3:$Q$6,2,FALSE))</f>
        <v/>
      </c>
      <c r="W62" s="309" t="str">
        <f t="shared" si="5"/>
        <v/>
      </c>
      <c r="X62" s="105"/>
      <c r="Y62" s="119"/>
      <c r="Z62" s="108"/>
      <c r="AG62" s="30" t="str">
        <f>IFERROR(INDEX('G-6 Hedgerow Data'!$BJ$3:$BJ$15,MATCH(D62,'G-6 Hedgerow Data'!$B$3:$B$15,0)),"")</f>
        <v/>
      </c>
    </row>
    <row r="63" spans="2:33" ht="13.8" x14ac:dyDescent="0.25">
      <c r="B63" s="101">
        <v>52</v>
      </c>
      <c r="C63" s="144"/>
      <c r="D63" s="137"/>
      <c r="E63" s="119"/>
      <c r="F63" s="329" t="str">
        <f>IF(D63="","",VLOOKUP(D63,'G-6 Hedgerow Data'!$B$2:$AG$15,2,FALSE))</f>
        <v/>
      </c>
      <c r="G63" s="282" t="str">
        <f>IF(D63="","",VLOOKUP(D63,'G-6 Hedgerow Data'!$B$2:$AG$15,3,FALSE))</f>
        <v/>
      </c>
      <c r="H63" s="105"/>
      <c r="I63" s="282" t="str">
        <f>IFERROR(IF(H63="","",IF(AND(D63="Non-native and ornamental hedgerow", H63&lt;&gt;"Poor"),"Not possible ▲", (VLOOKUP(H63,'G-1 All Habitats'!$Z$2:$AA$9,2,FALSE)))),"")</f>
        <v/>
      </c>
      <c r="J63" s="105"/>
      <c r="K63" s="301" t="str">
        <f>IF(J63="","",IF(VLOOKUP(J63,'G-3 Multipliers'!$L$3:$N$6,2,FALSE)=0,"Spatial Data Missing ⚠",VLOOKUP(J63,'G-3 Multipliers'!$L$3:$N$6,2,FALSE)))</f>
        <v/>
      </c>
      <c r="L63" s="287" t="str">
        <f>IF(J63="","",IF(VLOOKUP(J63,'G-3 Multipliers'!$L$3:$N$6,3,FALSE)=0,"Spatial Data Missing ⚠",VLOOKUP(J63,'G-3 Multipliers'!$L$3:$N$6,3,FALSE)))</f>
        <v/>
      </c>
      <c r="M63" s="281" t="str">
        <f>IF(OR(D63="",H63=""),"",(INDEX('G-6 Hedgerow Data'!$E$3:$I$15,MATCH(D63,'G-6 Hedgerow Data'!$B$3:$B$15,0),MATCH(H63,'G-6 Hedgerow Data'!$E$2:$I$2,0))))</f>
        <v/>
      </c>
      <c r="N63" s="137"/>
      <c r="O63" s="137"/>
      <c r="P63" s="289" t="str">
        <f t="shared" si="1"/>
        <v/>
      </c>
      <c r="Q63" s="302" t="str">
        <f t="shared" si="2"/>
        <v/>
      </c>
      <c r="R63" s="303" t="str">
        <f t="shared" si="0"/>
        <v/>
      </c>
      <c r="S63" s="317" t="str">
        <f>IF(D63="","",VLOOKUP(D63,'G-6 Hedgerow Data'!$B$3:$AG$15,31,FALSE))</f>
        <v/>
      </c>
      <c r="T63" s="289" t="str">
        <f t="shared" si="3"/>
        <v/>
      </c>
      <c r="U63" s="289" t="str">
        <f t="shared" si="4"/>
        <v/>
      </c>
      <c r="V63" s="305" t="str">
        <f>IF(D63="","",VLOOKUP(S63,'G-3 Multipliers'!$P$3:$Q$6,2,FALSE))</f>
        <v/>
      </c>
      <c r="W63" s="309" t="str">
        <f t="shared" si="5"/>
        <v/>
      </c>
      <c r="X63" s="105"/>
      <c r="Y63" s="119"/>
      <c r="Z63" s="108"/>
      <c r="AG63" s="30" t="str">
        <f>IFERROR(INDEX('G-6 Hedgerow Data'!$BJ$3:$BJ$15,MATCH(D63,'G-6 Hedgerow Data'!$B$3:$B$15,0)),"")</f>
        <v/>
      </c>
    </row>
    <row r="64" spans="2:33" ht="13.8" x14ac:dyDescent="0.25">
      <c r="B64" s="101">
        <v>53</v>
      </c>
      <c r="C64" s="144"/>
      <c r="D64" s="137"/>
      <c r="E64" s="119"/>
      <c r="F64" s="329" t="str">
        <f>IF(D64="","",VLOOKUP(D64,'G-6 Hedgerow Data'!$B$2:$AG$15,2,FALSE))</f>
        <v/>
      </c>
      <c r="G64" s="282" t="str">
        <f>IF(D64="","",VLOOKUP(D64,'G-6 Hedgerow Data'!$B$2:$AG$15,3,FALSE))</f>
        <v/>
      </c>
      <c r="H64" s="105"/>
      <c r="I64" s="282" t="str">
        <f>IFERROR(IF(H64="","",IF(AND(D64="Non-native and ornamental hedgerow", H64&lt;&gt;"Poor"),"Not possible ▲", (VLOOKUP(H64,'G-1 All Habitats'!$Z$2:$AA$9,2,FALSE)))),"")</f>
        <v/>
      </c>
      <c r="J64" s="105"/>
      <c r="K64" s="301" t="str">
        <f>IF(J64="","",IF(VLOOKUP(J64,'G-3 Multipliers'!$L$3:$N$6,2,FALSE)=0,"Spatial Data Missing ⚠",VLOOKUP(J64,'G-3 Multipliers'!$L$3:$N$6,2,FALSE)))</f>
        <v/>
      </c>
      <c r="L64" s="287" t="str">
        <f>IF(J64="","",IF(VLOOKUP(J64,'G-3 Multipliers'!$L$3:$N$6,3,FALSE)=0,"Spatial Data Missing ⚠",VLOOKUP(J64,'G-3 Multipliers'!$L$3:$N$6,3,FALSE)))</f>
        <v/>
      </c>
      <c r="M64" s="281" t="str">
        <f>IF(OR(D64="",H64=""),"",(INDEX('G-6 Hedgerow Data'!$E$3:$I$15,MATCH(D64,'G-6 Hedgerow Data'!$B$3:$B$15,0),MATCH(H64,'G-6 Hedgerow Data'!$E$2:$I$2,0))))</f>
        <v/>
      </c>
      <c r="N64" s="137"/>
      <c r="O64" s="137"/>
      <c r="P64" s="289" t="str">
        <f t="shared" si="1"/>
        <v/>
      </c>
      <c r="Q64" s="302" t="str">
        <f t="shared" si="2"/>
        <v/>
      </c>
      <c r="R64" s="303" t="str">
        <f t="shared" si="0"/>
        <v/>
      </c>
      <c r="S64" s="317" t="str">
        <f>IF(D64="","",VLOOKUP(D64,'G-6 Hedgerow Data'!$B$3:$AG$15,31,FALSE))</f>
        <v/>
      </c>
      <c r="T64" s="289" t="str">
        <f t="shared" si="3"/>
        <v/>
      </c>
      <c r="U64" s="289" t="str">
        <f t="shared" si="4"/>
        <v/>
      </c>
      <c r="V64" s="305" t="str">
        <f>IF(D64="","",VLOOKUP(S64,'G-3 Multipliers'!$P$3:$Q$6,2,FALSE))</f>
        <v/>
      </c>
      <c r="W64" s="309" t="str">
        <f t="shared" si="5"/>
        <v/>
      </c>
      <c r="X64" s="105"/>
      <c r="Y64" s="119"/>
      <c r="Z64" s="108"/>
      <c r="AG64" s="30" t="str">
        <f>IFERROR(INDEX('G-6 Hedgerow Data'!$BJ$3:$BJ$15,MATCH(D64,'G-6 Hedgerow Data'!$B$3:$B$15,0)),"")</f>
        <v/>
      </c>
    </row>
    <row r="65" spans="2:33" ht="13.8" x14ac:dyDescent="0.25">
      <c r="B65" s="101">
        <v>54</v>
      </c>
      <c r="C65" s="144"/>
      <c r="D65" s="137"/>
      <c r="E65" s="119"/>
      <c r="F65" s="329" t="str">
        <f>IF(D65="","",VLOOKUP(D65,'G-6 Hedgerow Data'!$B$2:$AG$15,2,FALSE))</f>
        <v/>
      </c>
      <c r="G65" s="282" t="str">
        <f>IF(D65="","",VLOOKUP(D65,'G-6 Hedgerow Data'!$B$2:$AG$15,3,FALSE))</f>
        <v/>
      </c>
      <c r="H65" s="105"/>
      <c r="I65" s="282" t="str">
        <f>IFERROR(IF(H65="","",IF(AND(D65="Non-native and ornamental hedgerow", H65&lt;&gt;"Poor"),"Not possible ▲", (VLOOKUP(H65,'G-1 All Habitats'!$Z$2:$AA$9,2,FALSE)))),"")</f>
        <v/>
      </c>
      <c r="J65" s="105"/>
      <c r="K65" s="301" t="str">
        <f>IF(J65="","",IF(VLOOKUP(J65,'G-3 Multipliers'!$L$3:$N$6,2,FALSE)=0,"Spatial Data Missing ⚠",VLOOKUP(J65,'G-3 Multipliers'!$L$3:$N$6,2,FALSE)))</f>
        <v/>
      </c>
      <c r="L65" s="287" t="str">
        <f>IF(J65="","",IF(VLOOKUP(J65,'G-3 Multipliers'!$L$3:$N$6,3,FALSE)=0,"Spatial Data Missing ⚠",VLOOKUP(J65,'G-3 Multipliers'!$L$3:$N$6,3,FALSE)))</f>
        <v/>
      </c>
      <c r="M65" s="281" t="str">
        <f>IF(OR(D65="",H65=""),"",(INDEX('G-6 Hedgerow Data'!$E$3:$I$15,MATCH(D65,'G-6 Hedgerow Data'!$B$3:$B$15,0),MATCH(H65,'G-6 Hedgerow Data'!$E$2:$I$2,0))))</f>
        <v/>
      </c>
      <c r="N65" s="137"/>
      <c r="O65" s="137"/>
      <c r="P65" s="289" t="str">
        <f t="shared" si="1"/>
        <v/>
      </c>
      <c r="Q65" s="302" t="str">
        <f t="shared" si="2"/>
        <v/>
      </c>
      <c r="R65" s="303" t="str">
        <f t="shared" si="0"/>
        <v/>
      </c>
      <c r="S65" s="317" t="str">
        <f>IF(D65="","",VLOOKUP(D65,'G-6 Hedgerow Data'!$B$3:$AG$15,31,FALSE))</f>
        <v/>
      </c>
      <c r="T65" s="289" t="str">
        <f t="shared" si="3"/>
        <v/>
      </c>
      <c r="U65" s="289" t="str">
        <f t="shared" si="4"/>
        <v/>
      </c>
      <c r="V65" s="305" t="str">
        <f>IF(D65="","",VLOOKUP(S65,'G-3 Multipliers'!$P$3:$Q$6,2,FALSE))</f>
        <v/>
      </c>
      <c r="W65" s="309" t="str">
        <f t="shared" si="5"/>
        <v/>
      </c>
      <c r="X65" s="105"/>
      <c r="Y65" s="119"/>
      <c r="Z65" s="108"/>
      <c r="AG65" s="30" t="str">
        <f>IFERROR(INDEX('G-6 Hedgerow Data'!$BJ$3:$BJ$15,MATCH(D65,'G-6 Hedgerow Data'!$B$3:$B$15,0)),"")</f>
        <v/>
      </c>
    </row>
    <row r="66" spans="2:33" ht="13.8" x14ac:dyDescent="0.25">
      <c r="B66" s="101">
        <v>55</v>
      </c>
      <c r="C66" s="144"/>
      <c r="D66" s="137"/>
      <c r="E66" s="119"/>
      <c r="F66" s="329" t="str">
        <f>IF(D66="","",VLOOKUP(D66,'G-6 Hedgerow Data'!$B$2:$AG$15,2,FALSE))</f>
        <v/>
      </c>
      <c r="G66" s="282" t="str">
        <f>IF(D66="","",VLOOKUP(D66,'G-6 Hedgerow Data'!$B$2:$AG$15,3,FALSE))</f>
        <v/>
      </c>
      <c r="H66" s="105"/>
      <c r="I66" s="282" t="str">
        <f>IFERROR(IF(H66="","",IF(AND(D66="Non-native and ornamental hedgerow", H66&lt;&gt;"Poor"),"Not possible ▲", (VLOOKUP(H66,'G-1 All Habitats'!$Z$2:$AA$9,2,FALSE)))),"")</f>
        <v/>
      </c>
      <c r="J66" s="105"/>
      <c r="K66" s="301" t="str">
        <f>IF(J66="","",IF(VLOOKUP(J66,'G-3 Multipliers'!$L$3:$N$6,2,FALSE)=0,"Spatial Data Missing ⚠",VLOOKUP(J66,'G-3 Multipliers'!$L$3:$N$6,2,FALSE)))</f>
        <v/>
      </c>
      <c r="L66" s="287" t="str">
        <f>IF(J66="","",IF(VLOOKUP(J66,'G-3 Multipliers'!$L$3:$N$6,3,FALSE)=0,"Spatial Data Missing ⚠",VLOOKUP(J66,'G-3 Multipliers'!$L$3:$N$6,3,FALSE)))</f>
        <v/>
      </c>
      <c r="M66" s="281" t="str">
        <f>IF(OR(D66="",H66=""),"",(INDEX('G-6 Hedgerow Data'!$E$3:$I$15,MATCH(D66,'G-6 Hedgerow Data'!$B$3:$B$15,0),MATCH(H66,'G-6 Hedgerow Data'!$E$2:$I$2,0))))</f>
        <v/>
      </c>
      <c r="N66" s="137"/>
      <c r="O66" s="137"/>
      <c r="P66" s="289" t="str">
        <f t="shared" si="1"/>
        <v/>
      </c>
      <c r="Q66" s="302" t="str">
        <f t="shared" si="2"/>
        <v/>
      </c>
      <c r="R66" s="303" t="str">
        <f t="shared" si="0"/>
        <v/>
      </c>
      <c r="S66" s="317" t="str">
        <f>IF(D66="","",VLOOKUP(D66,'G-6 Hedgerow Data'!$B$3:$AG$15,31,FALSE))</f>
        <v/>
      </c>
      <c r="T66" s="289" t="str">
        <f t="shared" si="3"/>
        <v/>
      </c>
      <c r="U66" s="289" t="str">
        <f t="shared" si="4"/>
        <v/>
      </c>
      <c r="V66" s="305" t="str">
        <f>IF(D66="","",VLOOKUP(S66,'G-3 Multipliers'!$P$3:$Q$6,2,FALSE))</f>
        <v/>
      </c>
      <c r="W66" s="309" t="str">
        <f t="shared" si="5"/>
        <v/>
      </c>
      <c r="X66" s="105"/>
      <c r="Y66" s="119"/>
      <c r="Z66" s="108"/>
      <c r="AG66" s="30" t="str">
        <f>IFERROR(INDEX('G-6 Hedgerow Data'!$BJ$3:$BJ$15,MATCH(D66,'G-6 Hedgerow Data'!$B$3:$B$15,0)),"")</f>
        <v/>
      </c>
    </row>
    <row r="67" spans="2:33" ht="13.8" x14ac:dyDescent="0.25">
      <c r="B67" s="101">
        <v>56</v>
      </c>
      <c r="C67" s="144"/>
      <c r="D67" s="137"/>
      <c r="E67" s="119"/>
      <c r="F67" s="329" t="str">
        <f>IF(D67="","",VLOOKUP(D67,'G-6 Hedgerow Data'!$B$2:$AG$15,2,FALSE))</f>
        <v/>
      </c>
      <c r="G67" s="282" t="str">
        <f>IF(D67="","",VLOOKUP(D67,'G-6 Hedgerow Data'!$B$2:$AG$15,3,FALSE))</f>
        <v/>
      </c>
      <c r="H67" s="105"/>
      <c r="I67" s="282" t="str">
        <f>IFERROR(IF(H67="","",IF(AND(D67="Non-native and ornamental hedgerow", H67&lt;&gt;"Poor"),"Not possible ▲", (VLOOKUP(H67,'G-1 All Habitats'!$Z$2:$AA$9,2,FALSE)))),"")</f>
        <v/>
      </c>
      <c r="J67" s="105"/>
      <c r="K67" s="301" t="str">
        <f>IF(J67="","",IF(VLOOKUP(J67,'G-3 Multipliers'!$L$3:$N$6,2,FALSE)=0,"Spatial Data Missing ⚠",VLOOKUP(J67,'G-3 Multipliers'!$L$3:$N$6,2,FALSE)))</f>
        <v/>
      </c>
      <c r="L67" s="287" t="str">
        <f>IF(J67="","",IF(VLOOKUP(J67,'G-3 Multipliers'!$L$3:$N$6,3,FALSE)=0,"Spatial Data Missing ⚠",VLOOKUP(J67,'G-3 Multipliers'!$L$3:$N$6,3,FALSE)))</f>
        <v/>
      </c>
      <c r="M67" s="281" t="str">
        <f>IF(OR(D67="",H67=""),"",(INDEX('G-6 Hedgerow Data'!$E$3:$I$15,MATCH(D67,'G-6 Hedgerow Data'!$B$3:$B$15,0),MATCH(H67,'G-6 Hedgerow Data'!$E$2:$I$2,0))))</f>
        <v/>
      </c>
      <c r="N67" s="137"/>
      <c r="O67" s="137"/>
      <c r="P67" s="289" t="str">
        <f t="shared" si="1"/>
        <v/>
      </c>
      <c r="Q67" s="302" t="str">
        <f t="shared" si="2"/>
        <v/>
      </c>
      <c r="R67" s="303" t="str">
        <f t="shared" si="0"/>
        <v/>
      </c>
      <c r="S67" s="317" t="str">
        <f>IF(D67="","",VLOOKUP(D67,'G-6 Hedgerow Data'!$B$3:$AG$15,31,FALSE))</f>
        <v/>
      </c>
      <c r="T67" s="289" t="str">
        <f t="shared" si="3"/>
        <v/>
      </c>
      <c r="U67" s="289" t="str">
        <f t="shared" si="4"/>
        <v/>
      </c>
      <c r="V67" s="305" t="str">
        <f>IF(D67="","",VLOOKUP(S67,'G-3 Multipliers'!$P$3:$Q$6,2,FALSE))</f>
        <v/>
      </c>
      <c r="W67" s="309" t="str">
        <f t="shared" si="5"/>
        <v/>
      </c>
      <c r="X67" s="105"/>
      <c r="Y67" s="119"/>
      <c r="Z67" s="108"/>
      <c r="AG67" s="30" t="str">
        <f>IFERROR(INDEX('G-6 Hedgerow Data'!$BJ$3:$BJ$15,MATCH(D67,'G-6 Hedgerow Data'!$B$3:$B$15,0)),"")</f>
        <v/>
      </c>
    </row>
    <row r="68" spans="2:33" ht="13.8" x14ac:dyDescent="0.25">
      <c r="B68" s="101">
        <v>57</v>
      </c>
      <c r="C68" s="144"/>
      <c r="D68" s="137"/>
      <c r="E68" s="119"/>
      <c r="F68" s="329" t="str">
        <f>IF(D68="","",VLOOKUP(D68,'G-6 Hedgerow Data'!$B$2:$AG$15,2,FALSE))</f>
        <v/>
      </c>
      <c r="G68" s="282" t="str">
        <f>IF(D68="","",VLOOKUP(D68,'G-6 Hedgerow Data'!$B$2:$AG$15,3,FALSE))</f>
        <v/>
      </c>
      <c r="H68" s="105"/>
      <c r="I68" s="282" t="str">
        <f>IFERROR(IF(H68="","",IF(AND(D68="Non-native and ornamental hedgerow", H68&lt;&gt;"Poor"),"Not possible ▲", (VLOOKUP(H68,'G-1 All Habitats'!$Z$2:$AA$9,2,FALSE)))),"")</f>
        <v/>
      </c>
      <c r="J68" s="105"/>
      <c r="K68" s="301" t="str">
        <f>IF(J68="","",IF(VLOOKUP(J68,'G-3 Multipliers'!$L$3:$N$6,2,FALSE)=0,"Spatial Data Missing ⚠",VLOOKUP(J68,'G-3 Multipliers'!$L$3:$N$6,2,FALSE)))</f>
        <v/>
      </c>
      <c r="L68" s="287" t="str">
        <f>IF(J68="","",IF(VLOOKUP(J68,'G-3 Multipliers'!$L$3:$N$6,3,FALSE)=0,"Spatial Data Missing ⚠",VLOOKUP(J68,'G-3 Multipliers'!$L$3:$N$6,3,FALSE)))</f>
        <v/>
      </c>
      <c r="M68" s="281" t="str">
        <f>IF(OR(D68="",H68=""),"",(INDEX('G-6 Hedgerow Data'!$E$3:$I$15,MATCH(D68,'G-6 Hedgerow Data'!$B$3:$B$15,0),MATCH(H68,'G-6 Hedgerow Data'!$E$2:$I$2,0))))</f>
        <v/>
      </c>
      <c r="N68" s="137"/>
      <c r="O68" s="137"/>
      <c r="P68" s="289" t="str">
        <f t="shared" si="1"/>
        <v/>
      </c>
      <c r="Q68" s="302" t="str">
        <f t="shared" si="2"/>
        <v/>
      </c>
      <c r="R68" s="303" t="str">
        <f t="shared" si="0"/>
        <v/>
      </c>
      <c r="S68" s="317" t="str">
        <f>IF(D68="","",VLOOKUP(D68,'G-6 Hedgerow Data'!$B$3:$AG$15,31,FALSE))</f>
        <v/>
      </c>
      <c r="T68" s="289" t="str">
        <f t="shared" si="3"/>
        <v/>
      </c>
      <c r="U68" s="289" t="str">
        <f t="shared" si="4"/>
        <v/>
      </c>
      <c r="V68" s="305" t="str">
        <f>IF(D68="","",VLOOKUP(S68,'G-3 Multipliers'!$P$3:$Q$6,2,FALSE))</f>
        <v/>
      </c>
      <c r="W68" s="309" t="str">
        <f t="shared" si="5"/>
        <v/>
      </c>
      <c r="X68" s="105"/>
      <c r="Y68" s="119"/>
      <c r="Z68" s="108"/>
      <c r="AG68" s="30" t="str">
        <f>IFERROR(INDEX('G-6 Hedgerow Data'!$BJ$3:$BJ$15,MATCH(D68,'G-6 Hedgerow Data'!$B$3:$B$15,0)),"")</f>
        <v/>
      </c>
    </row>
    <row r="69" spans="2:33" ht="13.8" x14ac:dyDescent="0.25">
      <c r="B69" s="101">
        <v>58</v>
      </c>
      <c r="C69" s="144"/>
      <c r="D69" s="137"/>
      <c r="E69" s="119"/>
      <c r="F69" s="329" t="str">
        <f>IF(D69="","",VLOOKUP(D69,'G-6 Hedgerow Data'!$B$2:$AG$15,2,FALSE))</f>
        <v/>
      </c>
      <c r="G69" s="282" t="str">
        <f>IF(D69="","",VLOOKUP(D69,'G-6 Hedgerow Data'!$B$2:$AG$15,3,FALSE))</f>
        <v/>
      </c>
      <c r="H69" s="105"/>
      <c r="I69" s="282" t="str">
        <f>IFERROR(IF(H69="","",IF(AND(D69="Non-native and ornamental hedgerow", H69&lt;&gt;"Poor"),"Not possible ▲", (VLOOKUP(H69,'G-1 All Habitats'!$Z$2:$AA$9,2,FALSE)))),"")</f>
        <v/>
      </c>
      <c r="J69" s="105"/>
      <c r="K69" s="301" t="str">
        <f>IF(J69="","",IF(VLOOKUP(J69,'G-3 Multipliers'!$L$3:$N$6,2,FALSE)=0,"Spatial Data Missing ⚠",VLOOKUP(J69,'G-3 Multipliers'!$L$3:$N$6,2,FALSE)))</f>
        <v/>
      </c>
      <c r="L69" s="287" t="str">
        <f>IF(J69="","",IF(VLOOKUP(J69,'G-3 Multipliers'!$L$3:$N$6,3,FALSE)=0,"Spatial Data Missing ⚠",VLOOKUP(J69,'G-3 Multipliers'!$L$3:$N$6,3,FALSE)))</f>
        <v/>
      </c>
      <c r="M69" s="281" t="str">
        <f>IF(OR(D69="",H69=""),"",(INDEX('G-6 Hedgerow Data'!$E$3:$I$15,MATCH(D69,'G-6 Hedgerow Data'!$B$3:$B$15,0),MATCH(H69,'G-6 Hedgerow Data'!$E$2:$I$2,0))))</f>
        <v/>
      </c>
      <c r="N69" s="137"/>
      <c r="O69" s="137"/>
      <c r="P69" s="289" t="str">
        <f t="shared" si="1"/>
        <v/>
      </c>
      <c r="Q69" s="302" t="str">
        <f t="shared" si="2"/>
        <v/>
      </c>
      <c r="R69" s="303" t="str">
        <f t="shared" si="0"/>
        <v/>
      </c>
      <c r="S69" s="317" t="str">
        <f>IF(D69="","",VLOOKUP(D69,'G-6 Hedgerow Data'!$B$3:$AG$15,31,FALSE))</f>
        <v/>
      </c>
      <c r="T69" s="289" t="str">
        <f t="shared" si="3"/>
        <v/>
      </c>
      <c r="U69" s="289" t="str">
        <f t="shared" si="4"/>
        <v/>
      </c>
      <c r="V69" s="305" t="str">
        <f>IF(D69="","",VLOOKUP(S69,'G-3 Multipliers'!$P$3:$Q$6,2,FALSE))</f>
        <v/>
      </c>
      <c r="W69" s="309" t="str">
        <f t="shared" si="5"/>
        <v/>
      </c>
      <c r="X69" s="105"/>
      <c r="Y69" s="119"/>
      <c r="Z69" s="108"/>
      <c r="AG69" s="30" t="str">
        <f>IFERROR(INDEX('G-6 Hedgerow Data'!$BJ$3:$BJ$15,MATCH(D69,'G-6 Hedgerow Data'!$B$3:$B$15,0)),"")</f>
        <v/>
      </c>
    </row>
    <row r="70" spans="2:33" ht="13.8" x14ac:dyDescent="0.25">
      <c r="B70" s="101">
        <v>59</v>
      </c>
      <c r="C70" s="144"/>
      <c r="D70" s="137"/>
      <c r="E70" s="119"/>
      <c r="F70" s="329" t="str">
        <f>IF(D70="","",VLOOKUP(D70,'G-6 Hedgerow Data'!$B$2:$AG$15,2,FALSE))</f>
        <v/>
      </c>
      <c r="G70" s="282" t="str">
        <f>IF(D70="","",VLOOKUP(D70,'G-6 Hedgerow Data'!$B$2:$AG$15,3,FALSE))</f>
        <v/>
      </c>
      <c r="H70" s="105"/>
      <c r="I70" s="282" t="str">
        <f>IFERROR(IF(H70="","",IF(AND(D70="Non-native and ornamental hedgerow", H70&lt;&gt;"Poor"),"Not possible ▲", (VLOOKUP(H70,'G-1 All Habitats'!$Z$2:$AA$9,2,FALSE)))),"")</f>
        <v/>
      </c>
      <c r="J70" s="105"/>
      <c r="K70" s="301" t="str">
        <f>IF(J70="","",IF(VLOOKUP(J70,'G-3 Multipliers'!$L$3:$N$6,2,FALSE)=0,"Spatial Data Missing ⚠",VLOOKUP(J70,'G-3 Multipliers'!$L$3:$N$6,2,FALSE)))</f>
        <v/>
      </c>
      <c r="L70" s="287" t="str">
        <f>IF(J70="","",IF(VLOOKUP(J70,'G-3 Multipliers'!$L$3:$N$6,3,FALSE)=0,"Spatial Data Missing ⚠",VLOOKUP(J70,'G-3 Multipliers'!$L$3:$N$6,3,FALSE)))</f>
        <v/>
      </c>
      <c r="M70" s="281" t="str">
        <f>IF(OR(D70="",H70=""),"",(INDEX('G-6 Hedgerow Data'!$E$3:$I$15,MATCH(D70,'G-6 Hedgerow Data'!$B$3:$B$15,0),MATCH(H70,'G-6 Hedgerow Data'!$E$2:$I$2,0))))</f>
        <v/>
      </c>
      <c r="N70" s="137"/>
      <c r="O70" s="137"/>
      <c r="P70" s="289" t="str">
        <f t="shared" si="1"/>
        <v/>
      </c>
      <c r="Q70" s="302" t="str">
        <f t="shared" si="2"/>
        <v/>
      </c>
      <c r="R70" s="303" t="str">
        <f t="shared" si="0"/>
        <v/>
      </c>
      <c r="S70" s="317" t="str">
        <f>IF(D70="","",VLOOKUP(D70,'G-6 Hedgerow Data'!$B$3:$AG$15,31,FALSE))</f>
        <v/>
      </c>
      <c r="T70" s="289" t="str">
        <f t="shared" si="3"/>
        <v/>
      </c>
      <c r="U70" s="289" t="str">
        <f t="shared" si="4"/>
        <v/>
      </c>
      <c r="V70" s="305" t="str">
        <f>IF(D70="","",VLOOKUP(S70,'G-3 Multipliers'!$P$3:$Q$6,2,FALSE))</f>
        <v/>
      </c>
      <c r="W70" s="309" t="str">
        <f t="shared" si="5"/>
        <v/>
      </c>
      <c r="X70" s="105"/>
      <c r="Y70" s="119"/>
      <c r="Z70" s="108"/>
      <c r="AG70" s="30" t="str">
        <f>IFERROR(INDEX('G-6 Hedgerow Data'!$BJ$3:$BJ$15,MATCH(D70,'G-6 Hedgerow Data'!$B$3:$B$15,0)),"")</f>
        <v/>
      </c>
    </row>
    <row r="71" spans="2:33" ht="13.8" x14ac:dyDescent="0.25">
      <c r="B71" s="101">
        <v>60</v>
      </c>
      <c r="C71" s="144"/>
      <c r="D71" s="137"/>
      <c r="E71" s="119"/>
      <c r="F71" s="329" t="str">
        <f>IF(D71="","",VLOOKUP(D71,'G-6 Hedgerow Data'!$B$2:$AG$15,2,FALSE))</f>
        <v/>
      </c>
      <c r="G71" s="282" t="str">
        <f>IF(D71="","",VLOOKUP(D71,'G-6 Hedgerow Data'!$B$2:$AG$15,3,FALSE))</f>
        <v/>
      </c>
      <c r="H71" s="105"/>
      <c r="I71" s="282" t="str">
        <f>IFERROR(IF(H71="","",IF(AND(D71="Non-native and ornamental hedgerow", H71&lt;&gt;"Poor"),"Not possible ▲", (VLOOKUP(H71,'G-1 All Habitats'!$Z$2:$AA$9,2,FALSE)))),"")</f>
        <v/>
      </c>
      <c r="J71" s="105"/>
      <c r="K71" s="301" t="str">
        <f>IF(J71="","",IF(VLOOKUP(J71,'G-3 Multipliers'!$L$3:$N$6,2,FALSE)=0,"Spatial Data Missing ⚠",VLOOKUP(J71,'G-3 Multipliers'!$L$3:$N$6,2,FALSE)))</f>
        <v/>
      </c>
      <c r="L71" s="287" t="str">
        <f>IF(J71="","",IF(VLOOKUP(J71,'G-3 Multipliers'!$L$3:$N$6,3,FALSE)=0,"Spatial Data Missing ⚠",VLOOKUP(J71,'G-3 Multipliers'!$L$3:$N$6,3,FALSE)))</f>
        <v/>
      </c>
      <c r="M71" s="281" t="str">
        <f>IF(OR(D71="",H71=""),"",(INDEX('G-6 Hedgerow Data'!$E$3:$I$15,MATCH(D71,'G-6 Hedgerow Data'!$B$3:$B$15,0),MATCH(H71,'G-6 Hedgerow Data'!$E$2:$I$2,0))))</f>
        <v/>
      </c>
      <c r="N71" s="137"/>
      <c r="O71" s="137"/>
      <c r="P71" s="289" t="str">
        <f t="shared" si="1"/>
        <v/>
      </c>
      <c r="Q71" s="302" t="str">
        <f t="shared" si="2"/>
        <v/>
      </c>
      <c r="R71" s="303" t="str">
        <f t="shared" si="0"/>
        <v/>
      </c>
      <c r="S71" s="317" t="str">
        <f>IF(D71="","",VLOOKUP(D71,'G-6 Hedgerow Data'!$B$3:$AG$15,31,FALSE))</f>
        <v/>
      </c>
      <c r="T71" s="289" t="str">
        <f t="shared" si="3"/>
        <v/>
      </c>
      <c r="U71" s="289" t="str">
        <f t="shared" si="4"/>
        <v/>
      </c>
      <c r="V71" s="305" t="str">
        <f>IF(D71="","",VLOOKUP(S71,'G-3 Multipliers'!$P$3:$Q$6,2,FALSE))</f>
        <v/>
      </c>
      <c r="W71" s="309" t="str">
        <f t="shared" si="5"/>
        <v/>
      </c>
      <c r="X71" s="105"/>
      <c r="Y71" s="119"/>
      <c r="Z71" s="108"/>
      <c r="AG71" s="30" t="str">
        <f>IFERROR(INDEX('G-6 Hedgerow Data'!$BJ$3:$BJ$15,MATCH(D71,'G-6 Hedgerow Data'!$B$3:$B$15,0)),"")</f>
        <v/>
      </c>
    </row>
    <row r="72" spans="2:33" ht="13.8" x14ac:dyDescent="0.25">
      <c r="B72" s="101">
        <v>61</v>
      </c>
      <c r="C72" s="144"/>
      <c r="D72" s="137"/>
      <c r="E72" s="119"/>
      <c r="F72" s="329" t="str">
        <f>IF(D72="","",VLOOKUP(D72,'G-6 Hedgerow Data'!$B$2:$AG$15,2,FALSE))</f>
        <v/>
      </c>
      <c r="G72" s="282" t="str">
        <f>IF(D72="","",VLOOKUP(D72,'G-6 Hedgerow Data'!$B$2:$AG$15,3,FALSE))</f>
        <v/>
      </c>
      <c r="H72" s="105"/>
      <c r="I72" s="282" t="str">
        <f>IFERROR(IF(H72="","",IF(AND(D72="Non-native and ornamental hedgerow", H72&lt;&gt;"Poor"),"Not possible ▲", (VLOOKUP(H72,'G-1 All Habitats'!$Z$2:$AA$9,2,FALSE)))),"")</f>
        <v/>
      </c>
      <c r="J72" s="105"/>
      <c r="K72" s="301" t="str">
        <f>IF(J72="","",IF(VLOOKUP(J72,'G-3 Multipliers'!$L$3:$N$6,2,FALSE)=0,"Spatial Data Missing ⚠",VLOOKUP(J72,'G-3 Multipliers'!$L$3:$N$6,2,FALSE)))</f>
        <v/>
      </c>
      <c r="L72" s="287" t="str">
        <f>IF(J72="","",IF(VLOOKUP(J72,'G-3 Multipliers'!$L$3:$N$6,3,FALSE)=0,"Spatial Data Missing ⚠",VLOOKUP(J72,'G-3 Multipliers'!$L$3:$N$6,3,FALSE)))</f>
        <v/>
      </c>
      <c r="M72" s="281" t="str">
        <f>IF(OR(D72="",H72=""),"",(INDEX('G-6 Hedgerow Data'!$E$3:$I$15,MATCH(D72,'G-6 Hedgerow Data'!$B$3:$B$15,0),MATCH(H72,'G-6 Hedgerow Data'!$E$2:$I$2,0))))</f>
        <v/>
      </c>
      <c r="N72" s="137"/>
      <c r="O72" s="137"/>
      <c r="P72" s="289" t="str">
        <f t="shared" si="1"/>
        <v/>
      </c>
      <c r="Q72" s="302" t="str">
        <f t="shared" si="2"/>
        <v/>
      </c>
      <c r="R72" s="303" t="str">
        <f t="shared" si="0"/>
        <v/>
      </c>
      <c r="S72" s="317" t="str">
        <f>IF(D72="","",VLOOKUP(D72,'G-6 Hedgerow Data'!$B$3:$AG$15,31,FALSE))</f>
        <v/>
      </c>
      <c r="T72" s="289" t="str">
        <f t="shared" si="3"/>
        <v/>
      </c>
      <c r="U72" s="289" t="str">
        <f t="shared" si="4"/>
        <v/>
      </c>
      <c r="V72" s="305" t="str">
        <f>IF(D72="","",VLOOKUP(S72,'G-3 Multipliers'!$P$3:$Q$6,2,FALSE))</f>
        <v/>
      </c>
      <c r="W72" s="309" t="str">
        <f t="shared" si="5"/>
        <v/>
      </c>
      <c r="X72" s="105"/>
      <c r="Y72" s="119"/>
      <c r="Z72" s="108"/>
      <c r="AG72" s="30" t="str">
        <f>IFERROR(INDEX('G-6 Hedgerow Data'!$BJ$3:$BJ$15,MATCH(D72,'G-6 Hedgerow Data'!$B$3:$B$15,0)),"")</f>
        <v/>
      </c>
    </row>
    <row r="73" spans="2:33" ht="13.8" x14ac:dyDescent="0.25">
      <c r="B73" s="101">
        <v>62</v>
      </c>
      <c r="C73" s="144"/>
      <c r="D73" s="137"/>
      <c r="E73" s="119"/>
      <c r="F73" s="329" t="str">
        <f>IF(D73="","",VLOOKUP(D73,'G-6 Hedgerow Data'!$B$2:$AG$15,2,FALSE))</f>
        <v/>
      </c>
      <c r="G73" s="282" t="str">
        <f>IF(D73="","",VLOOKUP(D73,'G-6 Hedgerow Data'!$B$2:$AG$15,3,FALSE))</f>
        <v/>
      </c>
      <c r="H73" s="105"/>
      <c r="I73" s="282" t="str">
        <f>IFERROR(IF(H73="","",IF(AND(D73="Non-native and ornamental hedgerow", H73&lt;&gt;"Poor"),"Not possible ▲", (VLOOKUP(H73,'G-1 All Habitats'!$Z$2:$AA$9,2,FALSE)))),"")</f>
        <v/>
      </c>
      <c r="J73" s="105"/>
      <c r="K73" s="301" t="str">
        <f>IF(J73="","",IF(VLOOKUP(J73,'G-3 Multipliers'!$L$3:$N$6,2,FALSE)=0,"Spatial Data Missing ⚠",VLOOKUP(J73,'G-3 Multipliers'!$L$3:$N$6,2,FALSE)))</f>
        <v/>
      </c>
      <c r="L73" s="287" t="str">
        <f>IF(J73="","",IF(VLOOKUP(J73,'G-3 Multipliers'!$L$3:$N$6,3,FALSE)=0,"Spatial Data Missing ⚠",VLOOKUP(J73,'G-3 Multipliers'!$L$3:$N$6,3,FALSE)))</f>
        <v/>
      </c>
      <c r="M73" s="281" t="str">
        <f>IF(OR(D73="",H73=""),"",(INDEX('G-6 Hedgerow Data'!$E$3:$I$15,MATCH(D73,'G-6 Hedgerow Data'!$B$3:$B$15,0),MATCH(H73,'G-6 Hedgerow Data'!$E$2:$I$2,0))))</f>
        <v/>
      </c>
      <c r="N73" s="137"/>
      <c r="O73" s="137"/>
      <c r="P73" s="289" t="str">
        <f t="shared" si="1"/>
        <v/>
      </c>
      <c r="Q73" s="302" t="str">
        <f t="shared" si="2"/>
        <v/>
      </c>
      <c r="R73" s="303" t="str">
        <f t="shared" si="0"/>
        <v/>
      </c>
      <c r="S73" s="317" t="str">
        <f>IF(D73="","",VLOOKUP(D73,'G-6 Hedgerow Data'!$B$3:$AG$15,31,FALSE))</f>
        <v/>
      </c>
      <c r="T73" s="289" t="str">
        <f t="shared" si="3"/>
        <v/>
      </c>
      <c r="U73" s="289" t="str">
        <f t="shared" si="4"/>
        <v/>
      </c>
      <c r="V73" s="305" t="str">
        <f>IF(D73="","",VLOOKUP(S73,'G-3 Multipliers'!$P$3:$Q$6,2,FALSE))</f>
        <v/>
      </c>
      <c r="W73" s="309" t="str">
        <f t="shared" si="5"/>
        <v/>
      </c>
      <c r="X73" s="105"/>
      <c r="Y73" s="119"/>
      <c r="Z73" s="108"/>
      <c r="AG73" s="30" t="str">
        <f>IFERROR(INDEX('G-6 Hedgerow Data'!$BJ$3:$BJ$15,MATCH(D73,'G-6 Hedgerow Data'!$B$3:$B$15,0)),"")</f>
        <v/>
      </c>
    </row>
    <row r="74" spans="2:33" ht="13.8" x14ac:dyDescent="0.25">
      <c r="B74" s="101">
        <v>63</v>
      </c>
      <c r="C74" s="144"/>
      <c r="D74" s="137"/>
      <c r="E74" s="119"/>
      <c r="F74" s="329" t="str">
        <f>IF(D74="","",VLOOKUP(D74,'G-6 Hedgerow Data'!$B$2:$AG$15,2,FALSE))</f>
        <v/>
      </c>
      <c r="G74" s="282" t="str">
        <f>IF(D74="","",VLOOKUP(D74,'G-6 Hedgerow Data'!$B$2:$AG$15,3,FALSE))</f>
        <v/>
      </c>
      <c r="H74" s="105"/>
      <c r="I74" s="282" t="str">
        <f>IFERROR(IF(H74="","",IF(AND(D74="Non-native and ornamental hedgerow", H74&lt;&gt;"Poor"),"Not possible ▲", (VLOOKUP(H74,'G-1 All Habitats'!$Z$2:$AA$9,2,FALSE)))),"")</f>
        <v/>
      </c>
      <c r="J74" s="105"/>
      <c r="K74" s="301" t="str">
        <f>IF(J74="","",IF(VLOOKUP(J74,'G-3 Multipliers'!$L$3:$N$6,2,FALSE)=0,"Spatial Data Missing ⚠",VLOOKUP(J74,'G-3 Multipliers'!$L$3:$N$6,2,FALSE)))</f>
        <v/>
      </c>
      <c r="L74" s="287" t="str">
        <f>IF(J74="","",IF(VLOOKUP(J74,'G-3 Multipliers'!$L$3:$N$6,3,FALSE)=0,"Spatial Data Missing ⚠",VLOOKUP(J74,'G-3 Multipliers'!$L$3:$N$6,3,FALSE)))</f>
        <v/>
      </c>
      <c r="M74" s="281" t="str">
        <f>IF(OR(D74="",H74=""),"",(INDEX('G-6 Hedgerow Data'!$E$3:$I$15,MATCH(D74,'G-6 Hedgerow Data'!$B$3:$B$15,0),MATCH(H74,'G-6 Hedgerow Data'!$E$2:$I$2,0))))</f>
        <v/>
      </c>
      <c r="N74" s="137"/>
      <c r="O74" s="137"/>
      <c r="P74" s="289" t="str">
        <f t="shared" si="1"/>
        <v/>
      </c>
      <c r="Q74" s="302" t="str">
        <f t="shared" si="2"/>
        <v/>
      </c>
      <c r="R74" s="303" t="str">
        <f t="shared" si="0"/>
        <v/>
      </c>
      <c r="S74" s="317" t="str">
        <f>IF(D74="","",VLOOKUP(D74,'G-6 Hedgerow Data'!$B$3:$AG$15,31,FALSE))</f>
        <v/>
      </c>
      <c r="T74" s="289" t="str">
        <f t="shared" si="3"/>
        <v/>
      </c>
      <c r="U74" s="289" t="str">
        <f t="shared" si="4"/>
        <v/>
      </c>
      <c r="V74" s="305" t="str">
        <f>IF(D74="","",VLOOKUP(S74,'G-3 Multipliers'!$P$3:$Q$6,2,FALSE))</f>
        <v/>
      </c>
      <c r="W74" s="309" t="str">
        <f t="shared" si="5"/>
        <v/>
      </c>
      <c r="X74" s="105"/>
      <c r="Y74" s="119"/>
      <c r="Z74" s="108"/>
      <c r="AG74" s="30" t="str">
        <f>IFERROR(INDEX('G-6 Hedgerow Data'!$BJ$3:$BJ$15,MATCH(D74,'G-6 Hedgerow Data'!$B$3:$B$15,0)),"")</f>
        <v/>
      </c>
    </row>
    <row r="75" spans="2:33" ht="13.8" x14ac:dyDescent="0.25">
      <c r="B75" s="101">
        <v>64</v>
      </c>
      <c r="C75" s="144"/>
      <c r="D75" s="137"/>
      <c r="E75" s="119"/>
      <c r="F75" s="329" t="str">
        <f>IF(D75="","",VLOOKUP(D75,'G-6 Hedgerow Data'!$B$2:$AG$15,2,FALSE))</f>
        <v/>
      </c>
      <c r="G75" s="282" t="str">
        <f>IF(D75="","",VLOOKUP(D75,'G-6 Hedgerow Data'!$B$2:$AG$15,3,FALSE))</f>
        <v/>
      </c>
      <c r="H75" s="105"/>
      <c r="I75" s="282" t="str">
        <f>IFERROR(IF(H75="","",IF(AND(D75="Non-native and ornamental hedgerow", H75&lt;&gt;"Poor"),"Not possible ▲", (VLOOKUP(H75,'G-1 All Habitats'!$Z$2:$AA$9,2,FALSE)))),"")</f>
        <v/>
      </c>
      <c r="J75" s="105"/>
      <c r="K75" s="301" t="str">
        <f>IF(J75="","",IF(VLOOKUP(J75,'G-3 Multipliers'!$L$3:$N$6,2,FALSE)=0,"Spatial Data Missing ⚠",VLOOKUP(J75,'G-3 Multipliers'!$L$3:$N$6,2,FALSE)))</f>
        <v/>
      </c>
      <c r="L75" s="287" t="str">
        <f>IF(J75="","",IF(VLOOKUP(J75,'G-3 Multipliers'!$L$3:$N$6,3,FALSE)=0,"Spatial Data Missing ⚠",VLOOKUP(J75,'G-3 Multipliers'!$L$3:$N$6,3,FALSE)))</f>
        <v/>
      </c>
      <c r="M75" s="281" t="str">
        <f>IF(OR(D75="",H75=""),"",(INDEX('G-6 Hedgerow Data'!$E$3:$I$15,MATCH(D75,'G-6 Hedgerow Data'!$B$3:$B$15,0),MATCH(H75,'G-6 Hedgerow Data'!$E$2:$I$2,0))))</f>
        <v/>
      </c>
      <c r="N75" s="137"/>
      <c r="O75" s="137"/>
      <c r="P75" s="289" t="str">
        <f t="shared" si="1"/>
        <v/>
      </c>
      <c r="Q75" s="302" t="str">
        <f t="shared" si="2"/>
        <v/>
      </c>
      <c r="R75" s="303" t="str">
        <f t="shared" si="0"/>
        <v/>
      </c>
      <c r="S75" s="317" t="str">
        <f>IF(D75="","",VLOOKUP(D75,'G-6 Hedgerow Data'!$B$3:$AG$15,31,FALSE))</f>
        <v/>
      </c>
      <c r="T75" s="289" t="str">
        <f t="shared" si="3"/>
        <v/>
      </c>
      <c r="U75" s="289" t="str">
        <f t="shared" si="4"/>
        <v/>
      </c>
      <c r="V75" s="305" t="str">
        <f>IF(D75="","",VLOOKUP(S75,'G-3 Multipliers'!$P$3:$Q$6,2,FALSE))</f>
        <v/>
      </c>
      <c r="W75" s="309" t="str">
        <f t="shared" si="5"/>
        <v/>
      </c>
      <c r="X75" s="105"/>
      <c r="Y75" s="119"/>
      <c r="Z75" s="108"/>
      <c r="AG75" s="30" t="str">
        <f>IFERROR(INDEX('G-6 Hedgerow Data'!$BJ$3:$BJ$15,MATCH(D75,'G-6 Hedgerow Data'!$B$3:$B$15,0)),"")</f>
        <v/>
      </c>
    </row>
    <row r="76" spans="2:33" ht="13.8" x14ac:dyDescent="0.25">
      <c r="B76" s="101">
        <v>65</v>
      </c>
      <c r="C76" s="144"/>
      <c r="D76" s="137"/>
      <c r="E76" s="119"/>
      <c r="F76" s="329" t="str">
        <f>IF(D76="","",VLOOKUP(D76,'G-6 Hedgerow Data'!$B$2:$AG$15,2,FALSE))</f>
        <v/>
      </c>
      <c r="G76" s="282" t="str">
        <f>IF(D76="","",VLOOKUP(D76,'G-6 Hedgerow Data'!$B$2:$AG$15,3,FALSE))</f>
        <v/>
      </c>
      <c r="H76" s="105"/>
      <c r="I76" s="282" t="str">
        <f>IFERROR(IF(H76="","",IF(AND(D76="Non-native and ornamental hedgerow", H76&lt;&gt;"Poor"),"Not possible ▲", (VLOOKUP(H76,'G-1 All Habitats'!$Z$2:$AA$9,2,FALSE)))),"")</f>
        <v/>
      </c>
      <c r="J76" s="105"/>
      <c r="K76" s="301" t="str">
        <f>IF(J76="","",IF(VLOOKUP(J76,'G-3 Multipliers'!$L$3:$N$6,2,FALSE)=0,"Spatial Data Missing ⚠",VLOOKUP(J76,'G-3 Multipliers'!$L$3:$N$6,2,FALSE)))</f>
        <v/>
      </c>
      <c r="L76" s="287" t="str">
        <f>IF(J76="","",IF(VLOOKUP(J76,'G-3 Multipliers'!$L$3:$N$6,3,FALSE)=0,"Spatial Data Missing ⚠",VLOOKUP(J76,'G-3 Multipliers'!$L$3:$N$6,3,FALSE)))</f>
        <v/>
      </c>
      <c r="M76" s="281" t="str">
        <f>IF(OR(D76="",H76=""),"",(INDEX('G-6 Hedgerow Data'!$E$3:$I$15,MATCH(D76,'G-6 Hedgerow Data'!$B$3:$B$15,0),MATCH(H76,'G-6 Hedgerow Data'!$E$2:$I$2,0))))</f>
        <v/>
      </c>
      <c r="N76" s="137"/>
      <c r="O76" s="137"/>
      <c r="P76" s="289" t="str">
        <f t="shared" si="1"/>
        <v/>
      </c>
      <c r="Q76" s="302" t="str">
        <f t="shared" si="2"/>
        <v/>
      </c>
      <c r="R76" s="303" t="str">
        <f t="shared" ref="R76:R139" si="6">IF(M76="","",IF(Q76="Check Data ⚠","Check Data ⚠",VLOOKUP(Q76,TemporalMultipliers,3,FALSE)))</f>
        <v/>
      </c>
      <c r="S76" s="317" t="str">
        <f>IF(D76="","",VLOOKUP(D76,'G-6 Hedgerow Data'!$B$3:$AG$15,31,FALSE))</f>
        <v/>
      </c>
      <c r="T76" s="289" t="str">
        <f t="shared" si="3"/>
        <v/>
      </c>
      <c r="U76" s="289" t="str">
        <f t="shared" si="4"/>
        <v/>
      </c>
      <c r="V76" s="305" t="str">
        <f>IF(D76="","",VLOOKUP(S76,'G-3 Multipliers'!$P$3:$Q$6,2,FALSE))</f>
        <v/>
      </c>
      <c r="W76" s="309" t="str">
        <f t="shared" si="5"/>
        <v/>
      </c>
      <c r="X76" s="105"/>
      <c r="Y76" s="119"/>
      <c r="Z76" s="108"/>
      <c r="AG76" s="30" t="str">
        <f>IFERROR(INDEX('G-6 Hedgerow Data'!$BJ$3:$BJ$15,MATCH(D76,'G-6 Hedgerow Data'!$B$3:$B$15,0)),"")</f>
        <v/>
      </c>
    </row>
    <row r="77" spans="2:33" ht="13.8" x14ac:dyDescent="0.25">
      <c r="B77" s="101">
        <v>66</v>
      </c>
      <c r="C77" s="144"/>
      <c r="D77" s="137"/>
      <c r="E77" s="119"/>
      <c r="F77" s="329" t="str">
        <f>IF(D77="","",VLOOKUP(D77,'G-6 Hedgerow Data'!$B$2:$AG$15,2,FALSE))</f>
        <v/>
      </c>
      <c r="G77" s="282" t="str">
        <f>IF(D77="","",VLOOKUP(D77,'G-6 Hedgerow Data'!$B$2:$AG$15,3,FALSE))</f>
        <v/>
      </c>
      <c r="H77" s="105"/>
      <c r="I77" s="282" t="str">
        <f>IFERROR(IF(H77="","",IF(AND(D77="Non-native and ornamental hedgerow", H77&lt;&gt;"Poor"),"Not possible ▲", (VLOOKUP(H77,'G-1 All Habitats'!$Z$2:$AA$9,2,FALSE)))),"")</f>
        <v/>
      </c>
      <c r="J77" s="105"/>
      <c r="K77" s="301" t="str">
        <f>IF(J77="","",IF(VLOOKUP(J77,'G-3 Multipliers'!$L$3:$N$6,2,FALSE)=0,"Spatial Data Missing ⚠",VLOOKUP(J77,'G-3 Multipliers'!$L$3:$N$6,2,FALSE)))</f>
        <v/>
      </c>
      <c r="L77" s="287" t="str">
        <f>IF(J77="","",IF(VLOOKUP(J77,'G-3 Multipliers'!$L$3:$N$6,3,FALSE)=0,"Spatial Data Missing ⚠",VLOOKUP(J77,'G-3 Multipliers'!$L$3:$N$6,3,FALSE)))</f>
        <v/>
      </c>
      <c r="M77" s="281" t="str">
        <f>IF(OR(D77="",H77=""),"",(INDEX('G-6 Hedgerow Data'!$E$3:$I$15,MATCH(D77,'G-6 Hedgerow Data'!$B$3:$B$15,0),MATCH(H77,'G-6 Hedgerow Data'!$E$2:$I$2,0))))</f>
        <v/>
      </c>
      <c r="N77" s="137"/>
      <c r="O77" s="137"/>
      <c r="P77" s="289"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02" t="str">
        <f t="shared" ref="Q77:Q140" si="8">IF(M77="","",IF(P77="Error -both advance and delayed habitat creation ▲","Check Data ⚠", IF(M77="Not possible ▲", "Check Data ⚠", IF(OR(N77="30+",N77="Habitat already in target condition"),0,IF(O77="30+","30+",IF(AND(M77="30+",OR(N77="",N77=0)),"30+",IF(AND(M77="30+",N77&gt;0),30-N77,IF(M77+O77&gt;30,"30+",IF(M77+O77-N77&gt;0,M77+O77-N77,IF(M77-N77&lt;0,0,M77+O77-N77))))))))))</f>
        <v/>
      </c>
      <c r="R77" s="303" t="str">
        <f t="shared" si="6"/>
        <v/>
      </c>
      <c r="S77" s="317" t="str">
        <f>IF(D77="","",VLOOKUP(D77,'G-6 Hedgerow Data'!$B$3:$AG$15,31,FALSE))</f>
        <v/>
      </c>
      <c r="T77" s="289" t="str">
        <f t="shared" ref="T77:T140" si="9">IF(D77="","",IF(Q77="Check Data ⚠","Check Data ⚠",IF(H77="","",IF($P77="Check details - Is there evidence that habitat has reached target condition? ⚠","Low Difficulty - only applicable if all habitat created before losses ⚠","Standard difficulty applied"))))</f>
        <v/>
      </c>
      <c r="U77" s="289" t="str">
        <f t="shared" ref="U77:U140" si="10">(IF(AND(T77="Standard difficulty applied",M77&gt;N77),S77,IF(Q77="Check data ⚠", "Check data ⚠", IF(AND(T77="Low Difficulty - only applicable if all habitat created before losses ⚠",Q77&lt;=0),"Low",S77))))</f>
        <v/>
      </c>
      <c r="V77" s="305" t="str">
        <f>IF(D77="","",VLOOKUP(S77,'G-3 Multipliers'!$P$3:$Q$6,2,FALSE))</f>
        <v/>
      </c>
      <c r="W77" s="309" t="str">
        <f t="shared" ref="W77:W140" si="11">IFERROR(E77*G77*I77*L77*R77*V77,"")</f>
        <v/>
      </c>
      <c r="X77" s="105"/>
      <c r="Y77" s="119"/>
      <c r="Z77" s="108"/>
      <c r="AG77" s="30" t="str">
        <f>IFERROR(INDEX('G-6 Hedgerow Data'!$BJ$3:$BJ$15,MATCH(D77,'G-6 Hedgerow Data'!$B$3:$B$15,0)),"")</f>
        <v/>
      </c>
    </row>
    <row r="78" spans="2:33" ht="13.8" x14ac:dyDescent="0.25">
      <c r="B78" s="101">
        <v>67</v>
      </c>
      <c r="C78" s="144"/>
      <c r="D78" s="137"/>
      <c r="E78" s="119"/>
      <c r="F78" s="329" t="str">
        <f>IF(D78="","",VLOOKUP(D78,'G-6 Hedgerow Data'!$B$2:$AG$15,2,FALSE))</f>
        <v/>
      </c>
      <c r="G78" s="282" t="str">
        <f>IF(D78="","",VLOOKUP(D78,'G-6 Hedgerow Data'!$B$2:$AG$15,3,FALSE))</f>
        <v/>
      </c>
      <c r="H78" s="105"/>
      <c r="I78" s="282" t="str">
        <f>IFERROR(IF(H78="","",IF(AND(D78="Non-native and ornamental hedgerow", H78&lt;&gt;"Poor"),"Not possible ▲", (VLOOKUP(H78,'G-1 All Habitats'!$Z$2:$AA$9,2,FALSE)))),"")</f>
        <v/>
      </c>
      <c r="J78" s="105"/>
      <c r="K78" s="301" t="str">
        <f>IF(J78="","",IF(VLOOKUP(J78,'G-3 Multipliers'!$L$3:$N$6,2,FALSE)=0,"Spatial Data Missing ⚠",VLOOKUP(J78,'G-3 Multipliers'!$L$3:$N$6,2,FALSE)))</f>
        <v/>
      </c>
      <c r="L78" s="287" t="str">
        <f>IF(J78="","",IF(VLOOKUP(J78,'G-3 Multipliers'!$L$3:$N$6,3,FALSE)=0,"Spatial Data Missing ⚠",VLOOKUP(J78,'G-3 Multipliers'!$L$3:$N$6,3,FALSE)))</f>
        <v/>
      </c>
      <c r="M78" s="281" t="str">
        <f>IF(OR(D78="",H78=""),"",(INDEX('G-6 Hedgerow Data'!$E$3:$I$15,MATCH(D78,'G-6 Hedgerow Data'!$B$3:$B$15,0),MATCH(H78,'G-6 Hedgerow Data'!$E$2:$I$2,0))))</f>
        <v/>
      </c>
      <c r="N78" s="137"/>
      <c r="O78" s="137"/>
      <c r="P78" s="289" t="str">
        <f t="shared" si="7"/>
        <v/>
      </c>
      <c r="Q78" s="302" t="str">
        <f t="shared" si="8"/>
        <v/>
      </c>
      <c r="R78" s="303" t="str">
        <f t="shared" si="6"/>
        <v/>
      </c>
      <c r="S78" s="317" t="str">
        <f>IF(D78="","",VLOOKUP(D78,'G-6 Hedgerow Data'!$B$3:$AG$15,31,FALSE))</f>
        <v/>
      </c>
      <c r="T78" s="289" t="str">
        <f t="shared" si="9"/>
        <v/>
      </c>
      <c r="U78" s="289" t="str">
        <f t="shared" si="10"/>
        <v/>
      </c>
      <c r="V78" s="305" t="str">
        <f>IF(D78="","",VLOOKUP(S78,'G-3 Multipliers'!$P$3:$Q$6,2,FALSE))</f>
        <v/>
      </c>
      <c r="W78" s="309" t="str">
        <f t="shared" si="11"/>
        <v/>
      </c>
      <c r="X78" s="105"/>
      <c r="Y78" s="119"/>
      <c r="Z78" s="108"/>
      <c r="AG78" s="30" t="str">
        <f>IFERROR(INDEX('G-6 Hedgerow Data'!$BJ$3:$BJ$15,MATCH(D78,'G-6 Hedgerow Data'!$B$3:$B$15,0)),"")</f>
        <v/>
      </c>
    </row>
    <row r="79" spans="2:33" ht="13.8" x14ac:dyDescent="0.25">
      <c r="B79" s="101">
        <v>68</v>
      </c>
      <c r="C79" s="144"/>
      <c r="D79" s="137"/>
      <c r="E79" s="119"/>
      <c r="F79" s="329" t="str">
        <f>IF(D79="","",VLOOKUP(D79,'G-6 Hedgerow Data'!$B$2:$AG$15,2,FALSE))</f>
        <v/>
      </c>
      <c r="G79" s="282" t="str">
        <f>IF(D79="","",VLOOKUP(D79,'G-6 Hedgerow Data'!$B$2:$AG$15,3,FALSE))</f>
        <v/>
      </c>
      <c r="H79" s="105"/>
      <c r="I79" s="282" t="str">
        <f>IFERROR(IF(H79="","",IF(AND(D79="Non-native and ornamental hedgerow", H79&lt;&gt;"Poor"),"Not possible ▲", (VLOOKUP(H79,'G-1 All Habitats'!$Z$2:$AA$9,2,FALSE)))),"")</f>
        <v/>
      </c>
      <c r="J79" s="105"/>
      <c r="K79" s="301" t="str">
        <f>IF(J79="","",IF(VLOOKUP(J79,'G-3 Multipliers'!$L$3:$N$6,2,FALSE)=0,"Spatial Data Missing ⚠",VLOOKUP(J79,'G-3 Multipliers'!$L$3:$N$6,2,FALSE)))</f>
        <v/>
      </c>
      <c r="L79" s="287" t="str">
        <f>IF(J79="","",IF(VLOOKUP(J79,'G-3 Multipliers'!$L$3:$N$6,3,FALSE)=0,"Spatial Data Missing ⚠",VLOOKUP(J79,'G-3 Multipliers'!$L$3:$N$6,3,FALSE)))</f>
        <v/>
      </c>
      <c r="M79" s="281" t="str">
        <f>IF(OR(D79="",H79=""),"",(INDEX('G-6 Hedgerow Data'!$E$3:$I$15,MATCH(D79,'G-6 Hedgerow Data'!$B$3:$B$15,0),MATCH(H79,'G-6 Hedgerow Data'!$E$2:$I$2,0))))</f>
        <v/>
      </c>
      <c r="N79" s="137"/>
      <c r="O79" s="137"/>
      <c r="P79" s="289" t="str">
        <f t="shared" si="7"/>
        <v/>
      </c>
      <c r="Q79" s="302" t="str">
        <f t="shared" si="8"/>
        <v/>
      </c>
      <c r="R79" s="303" t="str">
        <f t="shared" si="6"/>
        <v/>
      </c>
      <c r="S79" s="317" t="str">
        <f>IF(D79="","",VLOOKUP(D79,'G-6 Hedgerow Data'!$B$3:$AG$15,31,FALSE))</f>
        <v/>
      </c>
      <c r="T79" s="289" t="str">
        <f t="shared" si="9"/>
        <v/>
      </c>
      <c r="U79" s="289" t="str">
        <f t="shared" si="10"/>
        <v/>
      </c>
      <c r="V79" s="305" t="str">
        <f>IF(D79="","",VLOOKUP(S79,'G-3 Multipliers'!$P$3:$Q$6,2,FALSE))</f>
        <v/>
      </c>
      <c r="W79" s="309" t="str">
        <f t="shared" si="11"/>
        <v/>
      </c>
      <c r="X79" s="105"/>
      <c r="Y79" s="119"/>
      <c r="Z79" s="108"/>
      <c r="AG79" s="30" t="str">
        <f>IFERROR(INDEX('G-6 Hedgerow Data'!$BJ$3:$BJ$15,MATCH(D79,'G-6 Hedgerow Data'!$B$3:$B$15,0)),"")</f>
        <v/>
      </c>
    </row>
    <row r="80" spans="2:33" ht="13.8" x14ac:dyDescent="0.25">
      <c r="B80" s="101">
        <v>69</v>
      </c>
      <c r="C80" s="144"/>
      <c r="D80" s="137"/>
      <c r="E80" s="119"/>
      <c r="F80" s="329" t="str">
        <f>IF(D80="","",VLOOKUP(D80,'G-6 Hedgerow Data'!$B$2:$AG$15,2,FALSE))</f>
        <v/>
      </c>
      <c r="G80" s="282" t="str">
        <f>IF(D80="","",VLOOKUP(D80,'G-6 Hedgerow Data'!$B$2:$AG$15,3,FALSE))</f>
        <v/>
      </c>
      <c r="H80" s="105"/>
      <c r="I80" s="282" t="str">
        <f>IFERROR(IF(H80="","",IF(AND(D80="Non-native and ornamental hedgerow", H80&lt;&gt;"Poor"),"Not possible ▲", (VLOOKUP(H80,'G-1 All Habitats'!$Z$2:$AA$9,2,FALSE)))),"")</f>
        <v/>
      </c>
      <c r="J80" s="105"/>
      <c r="K80" s="301" t="str">
        <f>IF(J80="","",IF(VLOOKUP(J80,'G-3 Multipliers'!$L$3:$N$6,2,FALSE)=0,"Spatial Data Missing ⚠",VLOOKUP(J80,'G-3 Multipliers'!$L$3:$N$6,2,FALSE)))</f>
        <v/>
      </c>
      <c r="L80" s="287" t="str">
        <f>IF(J80="","",IF(VLOOKUP(J80,'G-3 Multipliers'!$L$3:$N$6,3,FALSE)=0,"Spatial Data Missing ⚠",VLOOKUP(J80,'G-3 Multipliers'!$L$3:$N$6,3,FALSE)))</f>
        <v/>
      </c>
      <c r="M80" s="281" t="str">
        <f>IF(OR(D80="",H80=""),"",(INDEX('G-6 Hedgerow Data'!$E$3:$I$15,MATCH(D80,'G-6 Hedgerow Data'!$B$3:$B$15,0),MATCH(H80,'G-6 Hedgerow Data'!$E$2:$I$2,0))))</f>
        <v/>
      </c>
      <c r="N80" s="137"/>
      <c r="O80" s="137"/>
      <c r="P80" s="289" t="str">
        <f t="shared" si="7"/>
        <v/>
      </c>
      <c r="Q80" s="302" t="str">
        <f t="shared" si="8"/>
        <v/>
      </c>
      <c r="R80" s="303" t="str">
        <f t="shared" si="6"/>
        <v/>
      </c>
      <c r="S80" s="317" t="str">
        <f>IF(D80="","",VLOOKUP(D80,'G-6 Hedgerow Data'!$B$3:$AG$15,31,FALSE))</f>
        <v/>
      </c>
      <c r="T80" s="289" t="str">
        <f t="shared" si="9"/>
        <v/>
      </c>
      <c r="U80" s="289" t="str">
        <f t="shared" si="10"/>
        <v/>
      </c>
      <c r="V80" s="305" t="str">
        <f>IF(D80="","",VLOOKUP(S80,'G-3 Multipliers'!$P$3:$Q$6,2,FALSE))</f>
        <v/>
      </c>
      <c r="W80" s="309" t="str">
        <f t="shared" si="11"/>
        <v/>
      </c>
      <c r="X80" s="105"/>
      <c r="Y80" s="119"/>
      <c r="Z80" s="108"/>
      <c r="AG80" s="30" t="str">
        <f>IFERROR(INDEX('G-6 Hedgerow Data'!$BJ$3:$BJ$15,MATCH(D80,'G-6 Hedgerow Data'!$B$3:$B$15,0)),"")</f>
        <v/>
      </c>
    </row>
    <row r="81" spans="2:33" ht="13.8" x14ac:dyDescent="0.25">
      <c r="B81" s="101">
        <v>70</v>
      </c>
      <c r="C81" s="144"/>
      <c r="D81" s="137"/>
      <c r="E81" s="119"/>
      <c r="F81" s="329" t="str">
        <f>IF(D81="","",VLOOKUP(D81,'G-6 Hedgerow Data'!$B$2:$AG$15,2,FALSE))</f>
        <v/>
      </c>
      <c r="G81" s="282" t="str">
        <f>IF(D81="","",VLOOKUP(D81,'G-6 Hedgerow Data'!$B$2:$AG$15,3,FALSE))</f>
        <v/>
      </c>
      <c r="H81" s="105"/>
      <c r="I81" s="282" t="str">
        <f>IFERROR(IF(H81="","",IF(AND(D81="Non-native and ornamental hedgerow", H81&lt;&gt;"Poor"),"Not possible ▲", (VLOOKUP(H81,'G-1 All Habitats'!$Z$2:$AA$9,2,FALSE)))),"")</f>
        <v/>
      </c>
      <c r="J81" s="105"/>
      <c r="K81" s="301" t="str">
        <f>IF(J81="","",IF(VLOOKUP(J81,'G-3 Multipliers'!$L$3:$N$6,2,FALSE)=0,"Spatial Data Missing ⚠",VLOOKUP(J81,'G-3 Multipliers'!$L$3:$N$6,2,FALSE)))</f>
        <v/>
      </c>
      <c r="L81" s="287" t="str">
        <f>IF(J81="","",IF(VLOOKUP(J81,'G-3 Multipliers'!$L$3:$N$6,3,FALSE)=0,"Spatial Data Missing ⚠",VLOOKUP(J81,'G-3 Multipliers'!$L$3:$N$6,3,FALSE)))</f>
        <v/>
      </c>
      <c r="M81" s="281" t="str">
        <f>IF(OR(D81="",H81=""),"",(INDEX('G-6 Hedgerow Data'!$E$3:$I$15,MATCH(D81,'G-6 Hedgerow Data'!$B$3:$B$15,0),MATCH(H81,'G-6 Hedgerow Data'!$E$2:$I$2,0))))</f>
        <v/>
      </c>
      <c r="N81" s="137"/>
      <c r="O81" s="137"/>
      <c r="P81" s="289" t="str">
        <f t="shared" si="7"/>
        <v/>
      </c>
      <c r="Q81" s="302" t="str">
        <f t="shared" si="8"/>
        <v/>
      </c>
      <c r="R81" s="303" t="str">
        <f t="shared" si="6"/>
        <v/>
      </c>
      <c r="S81" s="317" t="str">
        <f>IF(D81="","",VLOOKUP(D81,'G-6 Hedgerow Data'!$B$3:$AG$15,31,FALSE))</f>
        <v/>
      </c>
      <c r="T81" s="289" t="str">
        <f t="shared" si="9"/>
        <v/>
      </c>
      <c r="U81" s="289" t="str">
        <f t="shared" si="10"/>
        <v/>
      </c>
      <c r="V81" s="305" t="str">
        <f>IF(D81="","",VLOOKUP(S81,'G-3 Multipliers'!$P$3:$Q$6,2,FALSE))</f>
        <v/>
      </c>
      <c r="W81" s="309" t="str">
        <f t="shared" si="11"/>
        <v/>
      </c>
      <c r="X81" s="105"/>
      <c r="Y81" s="119"/>
      <c r="Z81" s="108"/>
      <c r="AG81" s="30" t="str">
        <f>IFERROR(INDEX('G-6 Hedgerow Data'!$BJ$3:$BJ$15,MATCH(D81,'G-6 Hedgerow Data'!$B$3:$B$15,0)),"")</f>
        <v/>
      </c>
    </row>
    <row r="82" spans="2:33" ht="13.8" x14ac:dyDescent="0.25">
      <c r="B82" s="101">
        <v>71</v>
      </c>
      <c r="C82" s="144"/>
      <c r="D82" s="137"/>
      <c r="E82" s="119"/>
      <c r="F82" s="329" t="str">
        <f>IF(D82="","",VLOOKUP(D82,'G-6 Hedgerow Data'!$B$2:$AG$15,2,FALSE))</f>
        <v/>
      </c>
      <c r="G82" s="282" t="str">
        <f>IF(D82="","",VLOOKUP(D82,'G-6 Hedgerow Data'!$B$2:$AG$15,3,FALSE))</f>
        <v/>
      </c>
      <c r="H82" s="105"/>
      <c r="I82" s="282" t="str">
        <f>IFERROR(IF(H82="","",IF(AND(D82="Non-native and ornamental hedgerow", H82&lt;&gt;"Poor"),"Not possible ▲", (VLOOKUP(H82,'G-1 All Habitats'!$Z$2:$AA$9,2,FALSE)))),"")</f>
        <v/>
      </c>
      <c r="J82" s="105"/>
      <c r="K82" s="301" t="str">
        <f>IF(J82="","",IF(VLOOKUP(J82,'G-3 Multipliers'!$L$3:$N$6,2,FALSE)=0,"Spatial Data Missing ⚠",VLOOKUP(J82,'G-3 Multipliers'!$L$3:$N$6,2,FALSE)))</f>
        <v/>
      </c>
      <c r="L82" s="287" t="str">
        <f>IF(J82="","",IF(VLOOKUP(J82,'G-3 Multipliers'!$L$3:$N$6,3,FALSE)=0,"Spatial Data Missing ⚠",VLOOKUP(J82,'G-3 Multipliers'!$L$3:$N$6,3,FALSE)))</f>
        <v/>
      </c>
      <c r="M82" s="281" t="str">
        <f>IF(OR(D82="",H82=""),"",(INDEX('G-6 Hedgerow Data'!$E$3:$I$15,MATCH(D82,'G-6 Hedgerow Data'!$B$3:$B$15,0),MATCH(H82,'G-6 Hedgerow Data'!$E$2:$I$2,0))))</f>
        <v/>
      </c>
      <c r="N82" s="137"/>
      <c r="O82" s="137"/>
      <c r="P82" s="289" t="str">
        <f t="shared" si="7"/>
        <v/>
      </c>
      <c r="Q82" s="302" t="str">
        <f t="shared" si="8"/>
        <v/>
      </c>
      <c r="R82" s="303" t="str">
        <f t="shared" si="6"/>
        <v/>
      </c>
      <c r="S82" s="317" t="str">
        <f>IF(D82="","",VLOOKUP(D82,'G-6 Hedgerow Data'!$B$3:$AG$15,31,FALSE))</f>
        <v/>
      </c>
      <c r="T82" s="289" t="str">
        <f t="shared" si="9"/>
        <v/>
      </c>
      <c r="U82" s="289" t="str">
        <f t="shared" si="10"/>
        <v/>
      </c>
      <c r="V82" s="305" t="str">
        <f>IF(D82="","",VLOOKUP(S82,'G-3 Multipliers'!$P$3:$Q$6,2,FALSE))</f>
        <v/>
      </c>
      <c r="W82" s="309" t="str">
        <f t="shared" si="11"/>
        <v/>
      </c>
      <c r="X82" s="105"/>
      <c r="Y82" s="119"/>
      <c r="Z82" s="108"/>
      <c r="AG82" s="30" t="str">
        <f>IFERROR(INDEX('G-6 Hedgerow Data'!$BJ$3:$BJ$15,MATCH(D82,'G-6 Hedgerow Data'!$B$3:$B$15,0)),"")</f>
        <v/>
      </c>
    </row>
    <row r="83" spans="2:33" ht="13.8" x14ac:dyDescent="0.25">
      <c r="B83" s="101">
        <v>72</v>
      </c>
      <c r="C83" s="144"/>
      <c r="D83" s="137"/>
      <c r="E83" s="119"/>
      <c r="F83" s="329" t="str">
        <f>IF(D83="","",VLOOKUP(D83,'G-6 Hedgerow Data'!$B$2:$AG$15,2,FALSE))</f>
        <v/>
      </c>
      <c r="G83" s="282" t="str">
        <f>IF(D83="","",VLOOKUP(D83,'G-6 Hedgerow Data'!$B$2:$AG$15,3,FALSE))</f>
        <v/>
      </c>
      <c r="H83" s="105"/>
      <c r="I83" s="282" t="str">
        <f>IFERROR(IF(H83="","",IF(AND(D83="Non-native and ornamental hedgerow", H83&lt;&gt;"Poor"),"Not possible ▲", (VLOOKUP(H83,'G-1 All Habitats'!$Z$2:$AA$9,2,FALSE)))),"")</f>
        <v/>
      </c>
      <c r="J83" s="105"/>
      <c r="K83" s="301" t="str">
        <f>IF(J83="","",IF(VLOOKUP(J83,'G-3 Multipliers'!$L$3:$N$6,2,FALSE)=0,"Spatial Data Missing ⚠",VLOOKUP(J83,'G-3 Multipliers'!$L$3:$N$6,2,FALSE)))</f>
        <v/>
      </c>
      <c r="L83" s="287" t="str">
        <f>IF(J83="","",IF(VLOOKUP(J83,'G-3 Multipliers'!$L$3:$N$6,3,FALSE)=0,"Spatial Data Missing ⚠",VLOOKUP(J83,'G-3 Multipliers'!$L$3:$N$6,3,FALSE)))</f>
        <v/>
      </c>
      <c r="M83" s="281" t="str">
        <f>IF(OR(D83="",H83=""),"",(INDEX('G-6 Hedgerow Data'!$E$3:$I$15,MATCH(D83,'G-6 Hedgerow Data'!$B$3:$B$15,0),MATCH(H83,'G-6 Hedgerow Data'!$E$2:$I$2,0))))</f>
        <v/>
      </c>
      <c r="N83" s="137"/>
      <c r="O83" s="137"/>
      <c r="P83" s="289" t="str">
        <f t="shared" si="7"/>
        <v/>
      </c>
      <c r="Q83" s="302" t="str">
        <f t="shared" si="8"/>
        <v/>
      </c>
      <c r="R83" s="303" t="str">
        <f t="shared" si="6"/>
        <v/>
      </c>
      <c r="S83" s="317" t="str">
        <f>IF(D83="","",VLOOKUP(D83,'G-6 Hedgerow Data'!$B$3:$AG$15,31,FALSE))</f>
        <v/>
      </c>
      <c r="T83" s="289" t="str">
        <f t="shared" si="9"/>
        <v/>
      </c>
      <c r="U83" s="289" t="str">
        <f t="shared" si="10"/>
        <v/>
      </c>
      <c r="V83" s="305" t="str">
        <f>IF(D83="","",VLOOKUP(S83,'G-3 Multipliers'!$P$3:$Q$6,2,FALSE))</f>
        <v/>
      </c>
      <c r="W83" s="309" t="str">
        <f t="shared" si="11"/>
        <v/>
      </c>
      <c r="X83" s="105"/>
      <c r="Y83" s="119"/>
      <c r="Z83" s="108"/>
      <c r="AG83" s="30" t="str">
        <f>IFERROR(INDEX('G-6 Hedgerow Data'!$BJ$3:$BJ$15,MATCH(D83,'G-6 Hedgerow Data'!$B$3:$B$15,0)),"")</f>
        <v/>
      </c>
    </row>
    <row r="84" spans="2:33" ht="13.8" x14ac:dyDescent="0.25">
      <c r="B84" s="101">
        <v>73</v>
      </c>
      <c r="C84" s="144"/>
      <c r="D84" s="137"/>
      <c r="E84" s="119"/>
      <c r="F84" s="329" t="str">
        <f>IF(D84="","",VLOOKUP(D84,'G-6 Hedgerow Data'!$B$2:$AG$15,2,FALSE))</f>
        <v/>
      </c>
      <c r="G84" s="282" t="str">
        <f>IF(D84="","",VLOOKUP(D84,'G-6 Hedgerow Data'!$B$2:$AG$15,3,FALSE))</f>
        <v/>
      </c>
      <c r="H84" s="105"/>
      <c r="I84" s="282" t="str">
        <f>IFERROR(IF(H84="","",IF(AND(D84="Non-native and ornamental hedgerow", H84&lt;&gt;"Poor"),"Not possible ▲", (VLOOKUP(H84,'G-1 All Habitats'!$Z$2:$AA$9,2,FALSE)))),"")</f>
        <v/>
      </c>
      <c r="J84" s="105"/>
      <c r="K84" s="301" t="str">
        <f>IF(J84="","",IF(VLOOKUP(J84,'G-3 Multipliers'!$L$3:$N$6,2,FALSE)=0,"Spatial Data Missing ⚠",VLOOKUP(J84,'G-3 Multipliers'!$L$3:$N$6,2,FALSE)))</f>
        <v/>
      </c>
      <c r="L84" s="287" t="str">
        <f>IF(J84="","",IF(VLOOKUP(J84,'G-3 Multipliers'!$L$3:$N$6,3,FALSE)=0,"Spatial Data Missing ⚠",VLOOKUP(J84,'G-3 Multipliers'!$L$3:$N$6,3,FALSE)))</f>
        <v/>
      </c>
      <c r="M84" s="281" t="str">
        <f>IF(OR(D84="",H84=""),"",(INDEX('G-6 Hedgerow Data'!$E$3:$I$15,MATCH(D84,'G-6 Hedgerow Data'!$B$3:$B$15,0),MATCH(H84,'G-6 Hedgerow Data'!$E$2:$I$2,0))))</f>
        <v/>
      </c>
      <c r="N84" s="137"/>
      <c r="O84" s="137"/>
      <c r="P84" s="289" t="str">
        <f t="shared" si="7"/>
        <v/>
      </c>
      <c r="Q84" s="302" t="str">
        <f t="shared" si="8"/>
        <v/>
      </c>
      <c r="R84" s="303" t="str">
        <f t="shared" si="6"/>
        <v/>
      </c>
      <c r="S84" s="317" t="str">
        <f>IF(D84="","",VLOOKUP(D84,'G-6 Hedgerow Data'!$B$3:$AG$15,31,FALSE))</f>
        <v/>
      </c>
      <c r="T84" s="289" t="str">
        <f t="shared" si="9"/>
        <v/>
      </c>
      <c r="U84" s="289" t="str">
        <f t="shared" si="10"/>
        <v/>
      </c>
      <c r="V84" s="305" t="str">
        <f>IF(D84="","",VLOOKUP(S84,'G-3 Multipliers'!$P$3:$Q$6,2,FALSE))</f>
        <v/>
      </c>
      <c r="W84" s="309" t="str">
        <f t="shared" si="11"/>
        <v/>
      </c>
      <c r="X84" s="105"/>
      <c r="Y84" s="119"/>
      <c r="Z84" s="108"/>
      <c r="AG84" s="30" t="str">
        <f>IFERROR(INDEX('G-6 Hedgerow Data'!$BJ$3:$BJ$15,MATCH(D84,'G-6 Hedgerow Data'!$B$3:$B$15,0)),"")</f>
        <v/>
      </c>
    </row>
    <row r="85" spans="2:33" ht="13.8" x14ac:dyDescent="0.25">
      <c r="B85" s="101">
        <v>74</v>
      </c>
      <c r="C85" s="144"/>
      <c r="D85" s="137"/>
      <c r="E85" s="119"/>
      <c r="F85" s="329" t="str">
        <f>IF(D85="","",VLOOKUP(D85,'G-6 Hedgerow Data'!$B$2:$AG$15,2,FALSE))</f>
        <v/>
      </c>
      <c r="G85" s="282" t="str">
        <f>IF(D85="","",VLOOKUP(D85,'G-6 Hedgerow Data'!$B$2:$AG$15,3,FALSE))</f>
        <v/>
      </c>
      <c r="H85" s="105"/>
      <c r="I85" s="282" t="str">
        <f>IFERROR(IF(H85="","",IF(AND(D85="Non-native and ornamental hedgerow", H85&lt;&gt;"Poor"),"Not possible ▲", (VLOOKUP(H85,'G-1 All Habitats'!$Z$2:$AA$9,2,FALSE)))),"")</f>
        <v/>
      </c>
      <c r="J85" s="105"/>
      <c r="K85" s="301" t="str">
        <f>IF(J85="","",IF(VLOOKUP(J85,'G-3 Multipliers'!$L$3:$N$6,2,FALSE)=0,"Spatial Data Missing ⚠",VLOOKUP(J85,'G-3 Multipliers'!$L$3:$N$6,2,FALSE)))</f>
        <v/>
      </c>
      <c r="L85" s="287" t="str">
        <f>IF(J85="","",IF(VLOOKUP(J85,'G-3 Multipliers'!$L$3:$N$6,3,FALSE)=0,"Spatial Data Missing ⚠",VLOOKUP(J85,'G-3 Multipliers'!$L$3:$N$6,3,FALSE)))</f>
        <v/>
      </c>
      <c r="M85" s="281" t="str">
        <f>IF(OR(D85="",H85=""),"",(INDEX('G-6 Hedgerow Data'!$E$3:$I$15,MATCH(D85,'G-6 Hedgerow Data'!$B$3:$B$15,0),MATCH(H85,'G-6 Hedgerow Data'!$E$2:$I$2,0))))</f>
        <v/>
      </c>
      <c r="N85" s="137"/>
      <c r="O85" s="137"/>
      <c r="P85" s="289" t="str">
        <f t="shared" si="7"/>
        <v/>
      </c>
      <c r="Q85" s="302" t="str">
        <f t="shared" si="8"/>
        <v/>
      </c>
      <c r="R85" s="303" t="str">
        <f t="shared" si="6"/>
        <v/>
      </c>
      <c r="S85" s="317" t="str">
        <f>IF(D85="","",VLOOKUP(D85,'G-6 Hedgerow Data'!$B$3:$AG$15,31,FALSE))</f>
        <v/>
      </c>
      <c r="T85" s="289" t="str">
        <f t="shared" si="9"/>
        <v/>
      </c>
      <c r="U85" s="289" t="str">
        <f t="shared" si="10"/>
        <v/>
      </c>
      <c r="V85" s="305" t="str">
        <f>IF(D85="","",VLOOKUP(S85,'G-3 Multipliers'!$P$3:$Q$6,2,FALSE))</f>
        <v/>
      </c>
      <c r="W85" s="309" t="str">
        <f t="shared" si="11"/>
        <v/>
      </c>
      <c r="X85" s="105"/>
      <c r="Y85" s="119"/>
      <c r="Z85" s="108"/>
      <c r="AG85" s="30" t="str">
        <f>IFERROR(INDEX('G-6 Hedgerow Data'!$BJ$3:$BJ$15,MATCH(D85,'G-6 Hedgerow Data'!$B$3:$B$15,0)),"")</f>
        <v/>
      </c>
    </row>
    <row r="86" spans="2:33" ht="13.8" x14ac:dyDescent="0.25">
      <c r="B86" s="101">
        <v>75</v>
      </c>
      <c r="C86" s="144"/>
      <c r="D86" s="137"/>
      <c r="E86" s="119"/>
      <c r="F86" s="329" t="str">
        <f>IF(D86="","",VLOOKUP(D86,'G-6 Hedgerow Data'!$B$2:$AG$15,2,FALSE))</f>
        <v/>
      </c>
      <c r="G86" s="282" t="str">
        <f>IF(D86="","",VLOOKUP(D86,'G-6 Hedgerow Data'!$B$2:$AG$15,3,FALSE))</f>
        <v/>
      </c>
      <c r="H86" s="105"/>
      <c r="I86" s="282" t="str">
        <f>IFERROR(IF(H86="","",IF(AND(D86="Non-native and ornamental hedgerow", H86&lt;&gt;"Poor"),"Not possible ▲", (VLOOKUP(H86,'G-1 All Habitats'!$Z$2:$AA$9,2,FALSE)))),"")</f>
        <v/>
      </c>
      <c r="J86" s="105"/>
      <c r="K86" s="301" t="str">
        <f>IF(J86="","",IF(VLOOKUP(J86,'G-3 Multipliers'!$L$3:$N$6,2,FALSE)=0,"Spatial Data Missing ⚠",VLOOKUP(J86,'G-3 Multipliers'!$L$3:$N$6,2,FALSE)))</f>
        <v/>
      </c>
      <c r="L86" s="287" t="str">
        <f>IF(J86="","",IF(VLOOKUP(J86,'G-3 Multipliers'!$L$3:$N$6,3,FALSE)=0,"Spatial Data Missing ⚠",VLOOKUP(J86,'G-3 Multipliers'!$L$3:$N$6,3,FALSE)))</f>
        <v/>
      </c>
      <c r="M86" s="281" t="str">
        <f>IF(OR(D86="",H86=""),"",(INDEX('G-6 Hedgerow Data'!$E$3:$I$15,MATCH(D86,'G-6 Hedgerow Data'!$B$3:$B$15,0),MATCH(H86,'G-6 Hedgerow Data'!$E$2:$I$2,0))))</f>
        <v/>
      </c>
      <c r="N86" s="137"/>
      <c r="O86" s="137"/>
      <c r="P86" s="289" t="str">
        <f t="shared" si="7"/>
        <v/>
      </c>
      <c r="Q86" s="302" t="str">
        <f t="shared" si="8"/>
        <v/>
      </c>
      <c r="R86" s="303" t="str">
        <f t="shared" si="6"/>
        <v/>
      </c>
      <c r="S86" s="317" t="str">
        <f>IF(D86="","",VLOOKUP(D86,'G-6 Hedgerow Data'!$B$3:$AG$15,31,FALSE))</f>
        <v/>
      </c>
      <c r="T86" s="289" t="str">
        <f t="shared" si="9"/>
        <v/>
      </c>
      <c r="U86" s="289" t="str">
        <f t="shared" si="10"/>
        <v/>
      </c>
      <c r="V86" s="305" t="str">
        <f>IF(D86="","",VLOOKUP(S86,'G-3 Multipliers'!$P$3:$Q$6,2,FALSE))</f>
        <v/>
      </c>
      <c r="W86" s="309" t="str">
        <f t="shared" si="11"/>
        <v/>
      </c>
      <c r="X86" s="105"/>
      <c r="Y86" s="119"/>
      <c r="Z86" s="108"/>
      <c r="AG86" s="30" t="str">
        <f>IFERROR(INDEX('G-6 Hedgerow Data'!$BJ$3:$BJ$15,MATCH(D86,'G-6 Hedgerow Data'!$B$3:$B$15,0)),"")</f>
        <v/>
      </c>
    </row>
    <row r="87" spans="2:33" ht="13.8" x14ac:dyDescent="0.25">
      <c r="B87" s="101">
        <v>76</v>
      </c>
      <c r="C87" s="144"/>
      <c r="D87" s="137"/>
      <c r="E87" s="119"/>
      <c r="F87" s="329" t="str">
        <f>IF(D87="","",VLOOKUP(D87,'G-6 Hedgerow Data'!$B$2:$AG$15,2,FALSE))</f>
        <v/>
      </c>
      <c r="G87" s="282" t="str">
        <f>IF(D87="","",VLOOKUP(D87,'G-6 Hedgerow Data'!$B$2:$AG$15,3,FALSE))</f>
        <v/>
      </c>
      <c r="H87" s="105"/>
      <c r="I87" s="282" t="str">
        <f>IFERROR(IF(H87="","",IF(AND(D87="Non-native and ornamental hedgerow", H87&lt;&gt;"Poor"),"Not possible ▲", (VLOOKUP(H87,'G-1 All Habitats'!$Z$2:$AA$9,2,FALSE)))),"")</f>
        <v/>
      </c>
      <c r="J87" s="105"/>
      <c r="K87" s="301" t="str">
        <f>IF(J87="","",IF(VLOOKUP(J87,'G-3 Multipliers'!$L$3:$N$6,2,FALSE)=0,"Spatial Data Missing ⚠",VLOOKUP(J87,'G-3 Multipliers'!$L$3:$N$6,2,FALSE)))</f>
        <v/>
      </c>
      <c r="L87" s="287" t="str">
        <f>IF(J87="","",IF(VLOOKUP(J87,'G-3 Multipliers'!$L$3:$N$6,3,FALSE)=0,"Spatial Data Missing ⚠",VLOOKUP(J87,'G-3 Multipliers'!$L$3:$N$6,3,FALSE)))</f>
        <v/>
      </c>
      <c r="M87" s="281" t="str">
        <f>IF(OR(D87="",H87=""),"",(INDEX('G-6 Hedgerow Data'!$E$3:$I$15,MATCH(D87,'G-6 Hedgerow Data'!$B$3:$B$15,0),MATCH(H87,'G-6 Hedgerow Data'!$E$2:$I$2,0))))</f>
        <v/>
      </c>
      <c r="N87" s="137"/>
      <c r="O87" s="137"/>
      <c r="P87" s="289" t="str">
        <f t="shared" si="7"/>
        <v/>
      </c>
      <c r="Q87" s="302" t="str">
        <f t="shared" si="8"/>
        <v/>
      </c>
      <c r="R87" s="303" t="str">
        <f t="shared" si="6"/>
        <v/>
      </c>
      <c r="S87" s="317" t="str">
        <f>IF(D87="","",VLOOKUP(D87,'G-6 Hedgerow Data'!$B$3:$AG$15,31,FALSE))</f>
        <v/>
      </c>
      <c r="T87" s="289" t="str">
        <f t="shared" si="9"/>
        <v/>
      </c>
      <c r="U87" s="289" t="str">
        <f t="shared" si="10"/>
        <v/>
      </c>
      <c r="V87" s="305" t="str">
        <f>IF(D87="","",VLOOKUP(S87,'G-3 Multipliers'!$P$3:$Q$6,2,FALSE))</f>
        <v/>
      </c>
      <c r="W87" s="309" t="str">
        <f t="shared" si="11"/>
        <v/>
      </c>
      <c r="X87" s="105"/>
      <c r="Y87" s="119"/>
      <c r="Z87" s="108"/>
      <c r="AG87" s="30" t="str">
        <f>IFERROR(INDEX('G-6 Hedgerow Data'!$BJ$3:$BJ$15,MATCH(D87,'G-6 Hedgerow Data'!$B$3:$B$15,0)),"")</f>
        <v/>
      </c>
    </row>
    <row r="88" spans="2:33" ht="13.8" x14ac:dyDescent="0.25">
      <c r="B88" s="101">
        <v>77</v>
      </c>
      <c r="C88" s="144"/>
      <c r="D88" s="137"/>
      <c r="E88" s="119"/>
      <c r="F88" s="329" t="str">
        <f>IF(D88="","",VLOOKUP(D88,'G-6 Hedgerow Data'!$B$2:$AG$15,2,FALSE))</f>
        <v/>
      </c>
      <c r="G88" s="282" t="str">
        <f>IF(D88="","",VLOOKUP(D88,'G-6 Hedgerow Data'!$B$2:$AG$15,3,FALSE))</f>
        <v/>
      </c>
      <c r="H88" s="105"/>
      <c r="I88" s="282" t="str">
        <f>IFERROR(IF(H88="","",IF(AND(D88="Non-native and ornamental hedgerow", H88&lt;&gt;"Poor"),"Not possible ▲", (VLOOKUP(H88,'G-1 All Habitats'!$Z$2:$AA$9,2,FALSE)))),"")</f>
        <v/>
      </c>
      <c r="J88" s="105"/>
      <c r="K88" s="301" t="str">
        <f>IF(J88="","",IF(VLOOKUP(J88,'G-3 Multipliers'!$L$3:$N$6,2,FALSE)=0,"Spatial Data Missing ⚠",VLOOKUP(J88,'G-3 Multipliers'!$L$3:$N$6,2,FALSE)))</f>
        <v/>
      </c>
      <c r="L88" s="287" t="str">
        <f>IF(J88="","",IF(VLOOKUP(J88,'G-3 Multipliers'!$L$3:$N$6,3,FALSE)=0,"Spatial Data Missing ⚠",VLOOKUP(J88,'G-3 Multipliers'!$L$3:$N$6,3,FALSE)))</f>
        <v/>
      </c>
      <c r="M88" s="281" t="str">
        <f>IF(OR(D88="",H88=""),"",(INDEX('G-6 Hedgerow Data'!$E$3:$I$15,MATCH(D88,'G-6 Hedgerow Data'!$B$3:$B$15,0),MATCH(H88,'G-6 Hedgerow Data'!$E$2:$I$2,0))))</f>
        <v/>
      </c>
      <c r="N88" s="137"/>
      <c r="O88" s="137"/>
      <c r="P88" s="289" t="str">
        <f t="shared" si="7"/>
        <v/>
      </c>
      <c r="Q88" s="302" t="str">
        <f t="shared" si="8"/>
        <v/>
      </c>
      <c r="R88" s="303" t="str">
        <f t="shared" si="6"/>
        <v/>
      </c>
      <c r="S88" s="317" t="str">
        <f>IF(D88="","",VLOOKUP(D88,'G-6 Hedgerow Data'!$B$3:$AG$15,31,FALSE))</f>
        <v/>
      </c>
      <c r="T88" s="289" t="str">
        <f t="shared" si="9"/>
        <v/>
      </c>
      <c r="U88" s="289" t="str">
        <f t="shared" si="10"/>
        <v/>
      </c>
      <c r="V88" s="305" t="str">
        <f>IF(D88="","",VLOOKUP(S88,'G-3 Multipliers'!$P$3:$Q$6,2,FALSE))</f>
        <v/>
      </c>
      <c r="W88" s="309" t="str">
        <f t="shared" si="11"/>
        <v/>
      </c>
      <c r="X88" s="105"/>
      <c r="Y88" s="119"/>
      <c r="Z88" s="108"/>
      <c r="AG88" s="30" t="str">
        <f>IFERROR(INDEX('G-6 Hedgerow Data'!$BJ$3:$BJ$15,MATCH(D88,'G-6 Hedgerow Data'!$B$3:$B$15,0)),"")</f>
        <v/>
      </c>
    </row>
    <row r="89" spans="2:33" ht="13.8" x14ac:dyDescent="0.25">
      <c r="B89" s="101">
        <v>78</v>
      </c>
      <c r="C89" s="144"/>
      <c r="D89" s="137"/>
      <c r="E89" s="119"/>
      <c r="F89" s="329" t="str">
        <f>IF(D89="","",VLOOKUP(D89,'G-6 Hedgerow Data'!$B$2:$AG$15,2,FALSE))</f>
        <v/>
      </c>
      <c r="G89" s="282" t="str">
        <f>IF(D89="","",VLOOKUP(D89,'G-6 Hedgerow Data'!$B$2:$AG$15,3,FALSE))</f>
        <v/>
      </c>
      <c r="H89" s="105"/>
      <c r="I89" s="282" t="str">
        <f>IFERROR(IF(H89="","",IF(AND(D89="Non-native and ornamental hedgerow", H89&lt;&gt;"Poor"),"Not possible ▲", (VLOOKUP(H89,'G-1 All Habitats'!$Z$2:$AA$9,2,FALSE)))),"")</f>
        <v/>
      </c>
      <c r="J89" s="105"/>
      <c r="K89" s="301" t="str">
        <f>IF(J89="","",IF(VLOOKUP(J89,'G-3 Multipliers'!$L$3:$N$6,2,FALSE)=0,"Spatial Data Missing ⚠",VLOOKUP(J89,'G-3 Multipliers'!$L$3:$N$6,2,FALSE)))</f>
        <v/>
      </c>
      <c r="L89" s="287" t="str">
        <f>IF(J89="","",IF(VLOOKUP(J89,'G-3 Multipliers'!$L$3:$N$6,3,FALSE)=0,"Spatial Data Missing ⚠",VLOOKUP(J89,'G-3 Multipliers'!$L$3:$N$6,3,FALSE)))</f>
        <v/>
      </c>
      <c r="M89" s="281" t="str">
        <f>IF(OR(D89="",H89=""),"",(INDEX('G-6 Hedgerow Data'!$E$3:$I$15,MATCH(D89,'G-6 Hedgerow Data'!$B$3:$B$15,0),MATCH(H89,'G-6 Hedgerow Data'!$E$2:$I$2,0))))</f>
        <v/>
      </c>
      <c r="N89" s="137"/>
      <c r="O89" s="137"/>
      <c r="P89" s="289" t="str">
        <f t="shared" si="7"/>
        <v/>
      </c>
      <c r="Q89" s="302" t="str">
        <f t="shared" si="8"/>
        <v/>
      </c>
      <c r="R89" s="303" t="str">
        <f t="shared" si="6"/>
        <v/>
      </c>
      <c r="S89" s="317" t="str">
        <f>IF(D89="","",VLOOKUP(D89,'G-6 Hedgerow Data'!$B$3:$AG$15,31,FALSE))</f>
        <v/>
      </c>
      <c r="T89" s="289" t="str">
        <f t="shared" si="9"/>
        <v/>
      </c>
      <c r="U89" s="289" t="str">
        <f t="shared" si="10"/>
        <v/>
      </c>
      <c r="V89" s="305" t="str">
        <f>IF(D89="","",VLOOKUP(S89,'G-3 Multipliers'!$P$3:$Q$6,2,FALSE))</f>
        <v/>
      </c>
      <c r="W89" s="309" t="str">
        <f t="shared" si="11"/>
        <v/>
      </c>
      <c r="X89" s="105"/>
      <c r="Y89" s="119"/>
      <c r="Z89" s="108"/>
      <c r="AG89" s="30" t="str">
        <f>IFERROR(INDEX('G-6 Hedgerow Data'!$BJ$3:$BJ$15,MATCH(D89,'G-6 Hedgerow Data'!$B$3:$B$15,0)),"")</f>
        <v/>
      </c>
    </row>
    <row r="90" spans="2:33" ht="13.8" x14ac:dyDescent="0.25">
      <c r="B90" s="101">
        <v>79</v>
      </c>
      <c r="C90" s="144"/>
      <c r="D90" s="137"/>
      <c r="E90" s="119"/>
      <c r="F90" s="329" t="str">
        <f>IF(D90="","",VLOOKUP(D90,'G-6 Hedgerow Data'!$B$2:$AG$15,2,FALSE))</f>
        <v/>
      </c>
      <c r="G90" s="282" t="str">
        <f>IF(D90="","",VLOOKUP(D90,'G-6 Hedgerow Data'!$B$2:$AG$15,3,FALSE))</f>
        <v/>
      </c>
      <c r="H90" s="105"/>
      <c r="I90" s="282" t="str">
        <f>IFERROR(IF(H90="","",IF(AND(D90="Non-native and ornamental hedgerow", H90&lt;&gt;"Poor"),"Not possible ▲", (VLOOKUP(H90,'G-1 All Habitats'!$Z$2:$AA$9,2,FALSE)))),"")</f>
        <v/>
      </c>
      <c r="J90" s="105"/>
      <c r="K90" s="301" t="str">
        <f>IF(J90="","",IF(VLOOKUP(J90,'G-3 Multipliers'!$L$3:$N$6,2,FALSE)=0,"Spatial Data Missing ⚠",VLOOKUP(J90,'G-3 Multipliers'!$L$3:$N$6,2,FALSE)))</f>
        <v/>
      </c>
      <c r="L90" s="287" t="str">
        <f>IF(J90="","",IF(VLOOKUP(J90,'G-3 Multipliers'!$L$3:$N$6,3,FALSE)=0,"Spatial Data Missing ⚠",VLOOKUP(J90,'G-3 Multipliers'!$L$3:$N$6,3,FALSE)))</f>
        <v/>
      </c>
      <c r="M90" s="281" t="str">
        <f>IF(OR(D90="",H90=""),"",(INDEX('G-6 Hedgerow Data'!$E$3:$I$15,MATCH(D90,'G-6 Hedgerow Data'!$B$3:$B$15,0),MATCH(H90,'G-6 Hedgerow Data'!$E$2:$I$2,0))))</f>
        <v/>
      </c>
      <c r="N90" s="137"/>
      <c r="O90" s="137"/>
      <c r="P90" s="289" t="str">
        <f t="shared" si="7"/>
        <v/>
      </c>
      <c r="Q90" s="302" t="str">
        <f t="shared" si="8"/>
        <v/>
      </c>
      <c r="R90" s="303" t="str">
        <f t="shared" si="6"/>
        <v/>
      </c>
      <c r="S90" s="317" t="str">
        <f>IF(D90="","",VLOOKUP(D90,'G-6 Hedgerow Data'!$B$3:$AG$15,31,FALSE))</f>
        <v/>
      </c>
      <c r="T90" s="289" t="str">
        <f t="shared" si="9"/>
        <v/>
      </c>
      <c r="U90" s="289" t="str">
        <f t="shared" si="10"/>
        <v/>
      </c>
      <c r="V90" s="305" t="str">
        <f>IF(D90="","",VLOOKUP(S90,'G-3 Multipliers'!$P$3:$Q$6,2,FALSE))</f>
        <v/>
      </c>
      <c r="W90" s="309" t="str">
        <f t="shared" si="11"/>
        <v/>
      </c>
      <c r="X90" s="105"/>
      <c r="Y90" s="119"/>
      <c r="Z90" s="108"/>
      <c r="AG90" s="30" t="str">
        <f>IFERROR(INDEX('G-6 Hedgerow Data'!$BJ$3:$BJ$15,MATCH(D90,'G-6 Hedgerow Data'!$B$3:$B$15,0)),"")</f>
        <v/>
      </c>
    </row>
    <row r="91" spans="2:33" ht="13.8" x14ac:dyDescent="0.25">
      <c r="B91" s="101">
        <v>80</v>
      </c>
      <c r="C91" s="144"/>
      <c r="D91" s="137"/>
      <c r="E91" s="119"/>
      <c r="F91" s="329" t="str">
        <f>IF(D91="","",VLOOKUP(D91,'G-6 Hedgerow Data'!$B$2:$AG$15,2,FALSE))</f>
        <v/>
      </c>
      <c r="G91" s="282" t="str">
        <f>IF(D91="","",VLOOKUP(D91,'G-6 Hedgerow Data'!$B$2:$AG$15,3,FALSE))</f>
        <v/>
      </c>
      <c r="H91" s="105"/>
      <c r="I91" s="282" t="str">
        <f>IFERROR(IF(H91="","",IF(AND(D91="Non-native and ornamental hedgerow", H91&lt;&gt;"Poor"),"Not possible ▲", (VLOOKUP(H91,'G-1 All Habitats'!$Z$2:$AA$9,2,FALSE)))),"")</f>
        <v/>
      </c>
      <c r="J91" s="105"/>
      <c r="K91" s="301" t="str">
        <f>IF(J91="","",IF(VLOOKUP(J91,'G-3 Multipliers'!$L$3:$N$6,2,FALSE)=0,"Spatial Data Missing ⚠",VLOOKUP(J91,'G-3 Multipliers'!$L$3:$N$6,2,FALSE)))</f>
        <v/>
      </c>
      <c r="L91" s="287" t="str">
        <f>IF(J91="","",IF(VLOOKUP(J91,'G-3 Multipliers'!$L$3:$N$6,3,FALSE)=0,"Spatial Data Missing ⚠",VLOOKUP(J91,'G-3 Multipliers'!$L$3:$N$6,3,FALSE)))</f>
        <v/>
      </c>
      <c r="M91" s="281" t="str">
        <f>IF(OR(D91="",H91=""),"",(INDEX('G-6 Hedgerow Data'!$E$3:$I$15,MATCH(D91,'G-6 Hedgerow Data'!$B$3:$B$15,0),MATCH(H91,'G-6 Hedgerow Data'!$E$2:$I$2,0))))</f>
        <v/>
      </c>
      <c r="N91" s="137"/>
      <c r="O91" s="137"/>
      <c r="P91" s="289" t="str">
        <f t="shared" si="7"/>
        <v/>
      </c>
      <c r="Q91" s="302" t="str">
        <f t="shared" si="8"/>
        <v/>
      </c>
      <c r="R91" s="303" t="str">
        <f t="shared" si="6"/>
        <v/>
      </c>
      <c r="S91" s="317" t="str">
        <f>IF(D91="","",VLOOKUP(D91,'G-6 Hedgerow Data'!$B$3:$AG$15,31,FALSE))</f>
        <v/>
      </c>
      <c r="T91" s="289" t="str">
        <f t="shared" si="9"/>
        <v/>
      </c>
      <c r="U91" s="289" t="str">
        <f t="shared" si="10"/>
        <v/>
      </c>
      <c r="V91" s="305" t="str">
        <f>IF(D91="","",VLOOKUP(S91,'G-3 Multipliers'!$P$3:$Q$6,2,FALSE))</f>
        <v/>
      </c>
      <c r="W91" s="309" t="str">
        <f t="shared" si="11"/>
        <v/>
      </c>
      <c r="X91" s="105"/>
      <c r="Y91" s="119"/>
      <c r="Z91" s="108"/>
      <c r="AG91" s="30" t="str">
        <f>IFERROR(INDEX('G-6 Hedgerow Data'!$BJ$3:$BJ$15,MATCH(D91,'G-6 Hedgerow Data'!$B$3:$B$15,0)),"")</f>
        <v/>
      </c>
    </row>
    <row r="92" spans="2:33" ht="13.8" x14ac:dyDescent="0.25">
      <c r="B92" s="101">
        <v>81</v>
      </c>
      <c r="C92" s="144"/>
      <c r="D92" s="137"/>
      <c r="E92" s="119"/>
      <c r="F92" s="329" t="str">
        <f>IF(D92="","",VLOOKUP(D92,'G-6 Hedgerow Data'!$B$2:$AG$15,2,FALSE))</f>
        <v/>
      </c>
      <c r="G92" s="282" t="str">
        <f>IF(D92="","",VLOOKUP(D92,'G-6 Hedgerow Data'!$B$2:$AG$15,3,FALSE))</f>
        <v/>
      </c>
      <c r="H92" s="105"/>
      <c r="I92" s="282" t="str">
        <f>IFERROR(IF(H92="","",IF(AND(D92="Non-native and ornamental hedgerow", H92&lt;&gt;"Poor"),"Not possible ▲", (VLOOKUP(H92,'G-1 All Habitats'!$Z$2:$AA$9,2,FALSE)))),"")</f>
        <v/>
      </c>
      <c r="J92" s="105"/>
      <c r="K92" s="301" t="str">
        <f>IF(J92="","",IF(VLOOKUP(J92,'G-3 Multipliers'!$L$3:$N$6,2,FALSE)=0,"Spatial Data Missing ⚠",VLOOKUP(J92,'G-3 Multipliers'!$L$3:$N$6,2,FALSE)))</f>
        <v/>
      </c>
      <c r="L92" s="287" t="str">
        <f>IF(J92="","",IF(VLOOKUP(J92,'G-3 Multipliers'!$L$3:$N$6,3,FALSE)=0,"Spatial Data Missing ⚠",VLOOKUP(J92,'G-3 Multipliers'!$L$3:$N$6,3,FALSE)))</f>
        <v/>
      </c>
      <c r="M92" s="281" t="str">
        <f>IF(OR(D92="",H92=""),"",(INDEX('G-6 Hedgerow Data'!$E$3:$I$15,MATCH(D92,'G-6 Hedgerow Data'!$B$3:$B$15,0),MATCH(H92,'G-6 Hedgerow Data'!$E$2:$I$2,0))))</f>
        <v/>
      </c>
      <c r="N92" s="137"/>
      <c r="O92" s="137"/>
      <c r="P92" s="289" t="str">
        <f t="shared" si="7"/>
        <v/>
      </c>
      <c r="Q92" s="302" t="str">
        <f t="shared" si="8"/>
        <v/>
      </c>
      <c r="R92" s="303" t="str">
        <f t="shared" si="6"/>
        <v/>
      </c>
      <c r="S92" s="317" t="str">
        <f>IF(D92="","",VLOOKUP(D92,'G-6 Hedgerow Data'!$B$3:$AG$15,31,FALSE))</f>
        <v/>
      </c>
      <c r="T92" s="289" t="str">
        <f t="shared" si="9"/>
        <v/>
      </c>
      <c r="U92" s="289" t="str">
        <f t="shared" si="10"/>
        <v/>
      </c>
      <c r="V92" s="305" t="str">
        <f>IF(D92="","",VLOOKUP(S92,'G-3 Multipliers'!$P$3:$Q$6,2,FALSE))</f>
        <v/>
      </c>
      <c r="W92" s="309" t="str">
        <f t="shared" si="11"/>
        <v/>
      </c>
      <c r="X92" s="105"/>
      <c r="Y92" s="119"/>
      <c r="Z92" s="108"/>
      <c r="AG92" s="30" t="str">
        <f>IFERROR(INDEX('G-6 Hedgerow Data'!$BJ$3:$BJ$15,MATCH(D92,'G-6 Hedgerow Data'!$B$3:$B$15,0)),"")</f>
        <v/>
      </c>
    </row>
    <row r="93" spans="2:33" ht="13.8" x14ac:dyDescent="0.25">
      <c r="B93" s="101">
        <v>82</v>
      </c>
      <c r="C93" s="144"/>
      <c r="D93" s="137"/>
      <c r="E93" s="119"/>
      <c r="F93" s="329" t="str">
        <f>IF(D93="","",VLOOKUP(D93,'G-6 Hedgerow Data'!$B$2:$AG$15,2,FALSE))</f>
        <v/>
      </c>
      <c r="G93" s="282" t="str">
        <f>IF(D93="","",VLOOKUP(D93,'G-6 Hedgerow Data'!$B$2:$AG$15,3,FALSE))</f>
        <v/>
      </c>
      <c r="H93" s="105"/>
      <c r="I93" s="282" t="str">
        <f>IFERROR(IF(H93="","",IF(AND(D93="Non-native and ornamental hedgerow", H93&lt;&gt;"Poor"),"Not possible ▲", (VLOOKUP(H93,'G-1 All Habitats'!$Z$2:$AA$9,2,FALSE)))),"")</f>
        <v/>
      </c>
      <c r="J93" s="105"/>
      <c r="K93" s="301" t="str">
        <f>IF(J93="","",IF(VLOOKUP(J93,'G-3 Multipliers'!$L$3:$N$6,2,FALSE)=0,"Spatial Data Missing ⚠",VLOOKUP(J93,'G-3 Multipliers'!$L$3:$N$6,2,FALSE)))</f>
        <v/>
      </c>
      <c r="L93" s="287" t="str">
        <f>IF(J93="","",IF(VLOOKUP(J93,'G-3 Multipliers'!$L$3:$N$6,3,FALSE)=0,"Spatial Data Missing ⚠",VLOOKUP(J93,'G-3 Multipliers'!$L$3:$N$6,3,FALSE)))</f>
        <v/>
      </c>
      <c r="M93" s="281" t="str">
        <f>IF(OR(D93="",H93=""),"",(INDEX('G-6 Hedgerow Data'!$E$3:$I$15,MATCH(D93,'G-6 Hedgerow Data'!$B$3:$B$15,0),MATCH(H93,'G-6 Hedgerow Data'!$E$2:$I$2,0))))</f>
        <v/>
      </c>
      <c r="N93" s="137"/>
      <c r="O93" s="137"/>
      <c r="P93" s="289" t="str">
        <f t="shared" si="7"/>
        <v/>
      </c>
      <c r="Q93" s="302" t="str">
        <f t="shared" si="8"/>
        <v/>
      </c>
      <c r="R93" s="303" t="str">
        <f t="shared" si="6"/>
        <v/>
      </c>
      <c r="S93" s="317" t="str">
        <f>IF(D93="","",VLOOKUP(D93,'G-6 Hedgerow Data'!$B$3:$AG$15,31,FALSE))</f>
        <v/>
      </c>
      <c r="T93" s="289" t="str">
        <f t="shared" si="9"/>
        <v/>
      </c>
      <c r="U93" s="289" t="str">
        <f t="shared" si="10"/>
        <v/>
      </c>
      <c r="V93" s="305" t="str">
        <f>IF(D93="","",VLOOKUP(S93,'G-3 Multipliers'!$P$3:$Q$6,2,FALSE))</f>
        <v/>
      </c>
      <c r="W93" s="309" t="str">
        <f t="shared" si="11"/>
        <v/>
      </c>
      <c r="X93" s="105"/>
      <c r="Y93" s="119"/>
      <c r="Z93" s="108"/>
      <c r="AG93" s="30" t="str">
        <f>IFERROR(INDEX('G-6 Hedgerow Data'!$BJ$3:$BJ$15,MATCH(D93,'G-6 Hedgerow Data'!$B$3:$B$15,0)),"")</f>
        <v/>
      </c>
    </row>
    <row r="94" spans="2:33" ht="13.8" x14ac:dyDescent="0.25">
      <c r="B94" s="101">
        <v>83</v>
      </c>
      <c r="C94" s="144"/>
      <c r="D94" s="137"/>
      <c r="E94" s="119"/>
      <c r="F94" s="329" t="str">
        <f>IF(D94="","",VLOOKUP(D94,'G-6 Hedgerow Data'!$B$2:$AG$15,2,FALSE))</f>
        <v/>
      </c>
      <c r="G94" s="282" t="str">
        <f>IF(D94="","",VLOOKUP(D94,'G-6 Hedgerow Data'!$B$2:$AG$15,3,FALSE))</f>
        <v/>
      </c>
      <c r="H94" s="105"/>
      <c r="I94" s="282" t="str">
        <f>IFERROR(IF(H94="","",IF(AND(D94="Non-native and ornamental hedgerow", H94&lt;&gt;"Poor"),"Not possible ▲", (VLOOKUP(H94,'G-1 All Habitats'!$Z$2:$AA$9,2,FALSE)))),"")</f>
        <v/>
      </c>
      <c r="J94" s="105"/>
      <c r="K94" s="301" t="str">
        <f>IF(J94="","",IF(VLOOKUP(J94,'G-3 Multipliers'!$L$3:$N$6,2,FALSE)=0,"Spatial Data Missing ⚠",VLOOKUP(J94,'G-3 Multipliers'!$L$3:$N$6,2,FALSE)))</f>
        <v/>
      </c>
      <c r="L94" s="287" t="str">
        <f>IF(J94="","",IF(VLOOKUP(J94,'G-3 Multipliers'!$L$3:$N$6,3,FALSE)=0,"Spatial Data Missing ⚠",VLOOKUP(J94,'G-3 Multipliers'!$L$3:$N$6,3,FALSE)))</f>
        <v/>
      </c>
      <c r="M94" s="281" t="str">
        <f>IF(OR(D94="",H94=""),"",(INDEX('G-6 Hedgerow Data'!$E$3:$I$15,MATCH(D94,'G-6 Hedgerow Data'!$B$3:$B$15,0),MATCH(H94,'G-6 Hedgerow Data'!$E$2:$I$2,0))))</f>
        <v/>
      </c>
      <c r="N94" s="137"/>
      <c r="O94" s="137"/>
      <c r="P94" s="289" t="str">
        <f t="shared" si="7"/>
        <v/>
      </c>
      <c r="Q94" s="302" t="str">
        <f t="shared" si="8"/>
        <v/>
      </c>
      <c r="R94" s="303" t="str">
        <f t="shared" si="6"/>
        <v/>
      </c>
      <c r="S94" s="317" t="str">
        <f>IF(D94="","",VLOOKUP(D94,'G-6 Hedgerow Data'!$B$3:$AG$15,31,FALSE))</f>
        <v/>
      </c>
      <c r="T94" s="289" t="str">
        <f t="shared" si="9"/>
        <v/>
      </c>
      <c r="U94" s="289" t="str">
        <f t="shared" si="10"/>
        <v/>
      </c>
      <c r="V94" s="305" t="str">
        <f>IF(D94="","",VLOOKUP(S94,'G-3 Multipliers'!$P$3:$Q$6,2,FALSE))</f>
        <v/>
      </c>
      <c r="W94" s="309" t="str">
        <f t="shared" si="11"/>
        <v/>
      </c>
      <c r="X94" s="105"/>
      <c r="Y94" s="119"/>
      <c r="Z94" s="108"/>
      <c r="AG94" s="30" t="str">
        <f>IFERROR(INDEX('G-6 Hedgerow Data'!$BJ$3:$BJ$15,MATCH(D94,'G-6 Hedgerow Data'!$B$3:$B$15,0)),"")</f>
        <v/>
      </c>
    </row>
    <row r="95" spans="2:33" ht="13.8" x14ac:dyDescent="0.25">
      <c r="B95" s="101">
        <v>84</v>
      </c>
      <c r="C95" s="144"/>
      <c r="D95" s="137"/>
      <c r="E95" s="119"/>
      <c r="F95" s="329" t="str">
        <f>IF(D95="","",VLOOKUP(D95,'G-6 Hedgerow Data'!$B$2:$AG$15,2,FALSE))</f>
        <v/>
      </c>
      <c r="G95" s="282" t="str">
        <f>IF(D95="","",VLOOKUP(D95,'G-6 Hedgerow Data'!$B$2:$AG$15,3,FALSE))</f>
        <v/>
      </c>
      <c r="H95" s="105"/>
      <c r="I95" s="282" t="str">
        <f>IFERROR(IF(H95="","",IF(AND(D95="Non-native and ornamental hedgerow", H95&lt;&gt;"Poor"),"Not possible ▲", (VLOOKUP(H95,'G-1 All Habitats'!$Z$2:$AA$9,2,FALSE)))),"")</f>
        <v/>
      </c>
      <c r="J95" s="105"/>
      <c r="K95" s="301" t="str">
        <f>IF(J95="","",IF(VLOOKUP(J95,'G-3 Multipliers'!$L$3:$N$6,2,FALSE)=0,"Spatial Data Missing ⚠",VLOOKUP(J95,'G-3 Multipliers'!$L$3:$N$6,2,FALSE)))</f>
        <v/>
      </c>
      <c r="L95" s="287" t="str">
        <f>IF(J95="","",IF(VLOOKUP(J95,'G-3 Multipliers'!$L$3:$N$6,3,FALSE)=0,"Spatial Data Missing ⚠",VLOOKUP(J95,'G-3 Multipliers'!$L$3:$N$6,3,FALSE)))</f>
        <v/>
      </c>
      <c r="M95" s="281" t="str">
        <f>IF(OR(D95="",H95=""),"",(INDEX('G-6 Hedgerow Data'!$E$3:$I$15,MATCH(D95,'G-6 Hedgerow Data'!$B$3:$B$15,0),MATCH(H95,'G-6 Hedgerow Data'!$E$2:$I$2,0))))</f>
        <v/>
      </c>
      <c r="N95" s="137"/>
      <c r="O95" s="137"/>
      <c r="P95" s="289" t="str">
        <f t="shared" si="7"/>
        <v/>
      </c>
      <c r="Q95" s="302" t="str">
        <f t="shared" si="8"/>
        <v/>
      </c>
      <c r="R95" s="303" t="str">
        <f t="shared" si="6"/>
        <v/>
      </c>
      <c r="S95" s="317" t="str">
        <f>IF(D95="","",VLOOKUP(D95,'G-6 Hedgerow Data'!$B$3:$AG$15,31,FALSE))</f>
        <v/>
      </c>
      <c r="T95" s="289" t="str">
        <f t="shared" si="9"/>
        <v/>
      </c>
      <c r="U95" s="289" t="str">
        <f t="shared" si="10"/>
        <v/>
      </c>
      <c r="V95" s="305" t="str">
        <f>IF(D95="","",VLOOKUP(S95,'G-3 Multipliers'!$P$3:$Q$6,2,FALSE))</f>
        <v/>
      </c>
      <c r="W95" s="309" t="str">
        <f t="shared" si="11"/>
        <v/>
      </c>
      <c r="X95" s="105"/>
      <c r="Y95" s="119"/>
      <c r="Z95" s="108"/>
      <c r="AG95" s="30" t="str">
        <f>IFERROR(INDEX('G-6 Hedgerow Data'!$BJ$3:$BJ$15,MATCH(D95,'G-6 Hedgerow Data'!$B$3:$B$15,0)),"")</f>
        <v/>
      </c>
    </row>
    <row r="96" spans="2:33" ht="13.8" x14ac:dyDescent="0.25">
      <c r="B96" s="101">
        <v>85</v>
      </c>
      <c r="C96" s="144"/>
      <c r="D96" s="137"/>
      <c r="E96" s="119"/>
      <c r="F96" s="329" t="str">
        <f>IF(D96="","",VLOOKUP(D96,'G-6 Hedgerow Data'!$B$2:$AG$15,2,FALSE))</f>
        <v/>
      </c>
      <c r="G96" s="282" t="str">
        <f>IF(D96="","",VLOOKUP(D96,'G-6 Hedgerow Data'!$B$2:$AG$15,3,FALSE))</f>
        <v/>
      </c>
      <c r="H96" s="105"/>
      <c r="I96" s="282" t="str">
        <f>IFERROR(IF(H96="","",IF(AND(D96="Non-native and ornamental hedgerow", H96&lt;&gt;"Poor"),"Not possible ▲", (VLOOKUP(H96,'G-1 All Habitats'!$Z$2:$AA$9,2,FALSE)))),"")</f>
        <v/>
      </c>
      <c r="J96" s="105"/>
      <c r="K96" s="301" t="str">
        <f>IF(J96="","",IF(VLOOKUP(J96,'G-3 Multipliers'!$L$3:$N$6,2,FALSE)=0,"Spatial Data Missing ⚠",VLOOKUP(J96,'G-3 Multipliers'!$L$3:$N$6,2,FALSE)))</f>
        <v/>
      </c>
      <c r="L96" s="287" t="str">
        <f>IF(J96="","",IF(VLOOKUP(J96,'G-3 Multipliers'!$L$3:$N$6,3,FALSE)=0,"Spatial Data Missing ⚠",VLOOKUP(J96,'G-3 Multipliers'!$L$3:$N$6,3,FALSE)))</f>
        <v/>
      </c>
      <c r="M96" s="281" t="str">
        <f>IF(OR(D96="",H96=""),"",(INDEX('G-6 Hedgerow Data'!$E$3:$I$15,MATCH(D96,'G-6 Hedgerow Data'!$B$3:$B$15,0),MATCH(H96,'G-6 Hedgerow Data'!$E$2:$I$2,0))))</f>
        <v/>
      </c>
      <c r="N96" s="137"/>
      <c r="O96" s="137"/>
      <c r="P96" s="289" t="str">
        <f t="shared" si="7"/>
        <v/>
      </c>
      <c r="Q96" s="302" t="str">
        <f t="shared" si="8"/>
        <v/>
      </c>
      <c r="R96" s="303" t="str">
        <f t="shared" si="6"/>
        <v/>
      </c>
      <c r="S96" s="317" t="str">
        <f>IF(D96="","",VLOOKUP(D96,'G-6 Hedgerow Data'!$B$3:$AG$15,31,FALSE))</f>
        <v/>
      </c>
      <c r="T96" s="289" t="str">
        <f t="shared" si="9"/>
        <v/>
      </c>
      <c r="U96" s="289" t="str">
        <f t="shared" si="10"/>
        <v/>
      </c>
      <c r="V96" s="305" t="str">
        <f>IF(D96="","",VLOOKUP(S96,'G-3 Multipliers'!$P$3:$Q$6,2,FALSE))</f>
        <v/>
      </c>
      <c r="W96" s="309" t="str">
        <f t="shared" si="11"/>
        <v/>
      </c>
      <c r="X96" s="105"/>
      <c r="Y96" s="119"/>
      <c r="Z96" s="108"/>
      <c r="AG96" s="30" t="str">
        <f>IFERROR(INDEX('G-6 Hedgerow Data'!$BJ$3:$BJ$15,MATCH(D96,'G-6 Hedgerow Data'!$B$3:$B$15,0)),"")</f>
        <v/>
      </c>
    </row>
    <row r="97" spans="2:33" ht="13.8" x14ac:dyDescent="0.25">
      <c r="B97" s="101">
        <v>86</v>
      </c>
      <c r="C97" s="144"/>
      <c r="D97" s="137"/>
      <c r="E97" s="119"/>
      <c r="F97" s="329" t="str">
        <f>IF(D97="","",VLOOKUP(D97,'G-6 Hedgerow Data'!$B$2:$AG$15,2,FALSE))</f>
        <v/>
      </c>
      <c r="G97" s="282" t="str">
        <f>IF(D97="","",VLOOKUP(D97,'G-6 Hedgerow Data'!$B$2:$AG$15,3,FALSE))</f>
        <v/>
      </c>
      <c r="H97" s="105"/>
      <c r="I97" s="282" t="str">
        <f>IFERROR(IF(H97="","",IF(AND(D97="Non-native and ornamental hedgerow", H97&lt;&gt;"Poor"),"Not possible ▲", (VLOOKUP(H97,'G-1 All Habitats'!$Z$2:$AA$9,2,FALSE)))),"")</f>
        <v/>
      </c>
      <c r="J97" s="105"/>
      <c r="K97" s="301" t="str">
        <f>IF(J97="","",IF(VLOOKUP(J97,'G-3 Multipliers'!$L$3:$N$6,2,FALSE)=0,"Spatial Data Missing ⚠",VLOOKUP(J97,'G-3 Multipliers'!$L$3:$N$6,2,FALSE)))</f>
        <v/>
      </c>
      <c r="L97" s="287" t="str">
        <f>IF(J97="","",IF(VLOOKUP(J97,'G-3 Multipliers'!$L$3:$N$6,3,FALSE)=0,"Spatial Data Missing ⚠",VLOOKUP(J97,'G-3 Multipliers'!$L$3:$N$6,3,FALSE)))</f>
        <v/>
      </c>
      <c r="M97" s="281" t="str">
        <f>IF(OR(D97="",H97=""),"",(INDEX('G-6 Hedgerow Data'!$E$3:$I$15,MATCH(D97,'G-6 Hedgerow Data'!$B$3:$B$15,0),MATCH(H97,'G-6 Hedgerow Data'!$E$2:$I$2,0))))</f>
        <v/>
      </c>
      <c r="N97" s="137"/>
      <c r="O97" s="137"/>
      <c r="P97" s="289" t="str">
        <f t="shared" si="7"/>
        <v/>
      </c>
      <c r="Q97" s="302" t="str">
        <f t="shared" si="8"/>
        <v/>
      </c>
      <c r="R97" s="303" t="str">
        <f t="shared" si="6"/>
        <v/>
      </c>
      <c r="S97" s="317" t="str">
        <f>IF(D97="","",VLOOKUP(D97,'G-6 Hedgerow Data'!$B$3:$AG$15,31,FALSE))</f>
        <v/>
      </c>
      <c r="T97" s="289" t="str">
        <f t="shared" si="9"/>
        <v/>
      </c>
      <c r="U97" s="289" t="str">
        <f t="shared" si="10"/>
        <v/>
      </c>
      <c r="V97" s="305" t="str">
        <f>IF(D97="","",VLOOKUP(S97,'G-3 Multipliers'!$P$3:$Q$6,2,FALSE))</f>
        <v/>
      </c>
      <c r="W97" s="309" t="str">
        <f t="shared" si="11"/>
        <v/>
      </c>
      <c r="X97" s="105"/>
      <c r="Y97" s="119"/>
      <c r="Z97" s="108"/>
      <c r="AG97" s="30" t="str">
        <f>IFERROR(INDEX('G-6 Hedgerow Data'!$BJ$3:$BJ$15,MATCH(D97,'G-6 Hedgerow Data'!$B$3:$B$15,0)),"")</f>
        <v/>
      </c>
    </row>
    <row r="98" spans="2:33" ht="13.8" x14ac:dyDescent="0.25">
      <c r="B98" s="101">
        <v>87</v>
      </c>
      <c r="C98" s="144"/>
      <c r="D98" s="137"/>
      <c r="E98" s="119"/>
      <c r="F98" s="329" t="str">
        <f>IF(D98="","",VLOOKUP(D98,'G-6 Hedgerow Data'!$B$2:$AG$15,2,FALSE))</f>
        <v/>
      </c>
      <c r="G98" s="282" t="str">
        <f>IF(D98="","",VLOOKUP(D98,'G-6 Hedgerow Data'!$B$2:$AG$15,3,FALSE))</f>
        <v/>
      </c>
      <c r="H98" s="105"/>
      <c r="I98" s="282" t="str">
        <f>IFERROR(IF(H98="","",IF(AND(D98="Non-native and ornamental hedgerow", H98&lt;&gt;"Poor"),"Not possible ▲", (VLOOKUP(H98,'G-1 All Habitats'!$Z$2:$AA$9,2,FALSE)))),"")</f>
        <v/>
      </c>
      <c r="J98" s="105"/>
      <c r="K98" s="301" t="str">
        <f>IF(J98="","",IF(VLOOKUP(J98,'G-3 Multipliers'!$L$3:$N$6,2,FALSE)=0,"Spatial Data Missing ⚠",VLOOKUP(J98,'G-3 Multipliers'!$L$3:$N$6,2,FALSE)))</f>
        <v/>
      </c>
      <c r="L98" s="287" t="str">
        <f>IF(J98="","",IF(VLOOKUP(J98,'G-3 Multipliers'!$L$3:$N$6,3,FALSE)=0,"Spatial Data Missing ⚠",VLOOKUP(J98,'G-3 Multipliers'!$L$3:$N$6,3,FALSE)))</f>
        <v/>
      </c>
      <c r="M98" s="281" t="str">
        <f>IF(OR(D98="",H98=""),"",(INDEX('G-6 Hedgerow Data'!$E$3:$I$15,MATCH(D98,'G-6 Hedgerow Data'!$B$3:$B$15,0),MATCH(H98,'G-6 Hedgerow Data'!$E$2:$I$2,0))))</f>
        <v/>
      </c>
      <c r="N98" s="137"/>
      <c r="O98" s="137"/>
      <c r="P98" s="289" t="str">
        <f t="shared" si="7"/>
        <v/>
      </c>
      <c r="Q98" s="302" t="str">
        <f t="shared" si="8"/>
        <v/>
      </c>
      <c r="R98" s="303" t="str">
        <f t="shared" si="6"/>
        <v/>
      </c>
      <c r="S98" s="317" t="str">
        <f>IF(D98="","",VLOOKUP(D98,'G-6 Hedgerow Data'!$B$3:$AG$15,31,FALSE))</f>
        <v/>
      </c>
      <c r="T98" s="289" t="str">
        <f t="shared" si="9"/>
        <v/>
      </c>
      <c r="U98" s="289" t="str">
        <f t="shared" si="10"/>
        <v/>
      </c>
      <c r="V98" s="305" t="str">
        <f>IF(D98="","",VLOOKUP(S98,'G-3 Multipliers'!$P$3:$Q$6,2,FALSE))</f>
        <v/>
      </c>
      <c r="W98" s="309" t="str">
        <f t="shared" si="11"/>
        <v/>
      </c>
      <c r="X98" s="105"/>
      <c r="Y98" s="119"/>
      <c r="Z98" s="108"/>
      <c r="AG98" s="30" t="str">
        <f>IFERROR(INDEX('G-6 Hedgerow Data'!$BJ$3:$BJ$15,MATCH(D98,'G-6 Hedgerow Data'!$B$3:$B$15,0)),"")</f>
        <v/>
      </c>
    </row>
    <row r="99" spans="2:33" ht="13.8" x14ac:dyDescent="0.25">
      <c r="B99" s="101">
        <v>88</v>
      </c>
      <c r="C99" s="144"/>
      <c r="D99" s="137"/>
      <c r="E99" s="119"/>
      <c r="F99" s="329" t="str">
        <f>IF(D99="","",VLOOKUP(D99,'G-6 Hedgerow Data'!$B$2:$AG$15,2,FALSE))</f>
        <v/>
      </c>
      <c r="G99" s="282" t="str">
        <f>IF(D99="","",VLOOKUP(D99,'G-6 Hedgerow Data'!$B$2:$AG$15,3,FALSE))</f>
        <v/>
      </c>
      <c r="H99" s="105"/>
      <c r="I99" s="282" t="str">
        <f>IFERROR(IF(H99="","",IF(AND(D99="Non-native and ornamental hedgerow", H99&lt;&gt;"Poor"),"Not possible ▲", (VLOOKUP(H99,'G-1 All Habitats'!$Z$2:$AA$9,2,FALSE)))),"")</f>
        <v/>
      </c>
      <c r="J99" s="105"/>
      <c r="K99" s="301" t="str">
        <f>IF(J99="","",IF(VLOOKUP(J99,'G-3 Multipliers'!$L$3:$N$6,2,FALSE)=0,"Spatial Data Missing ⚠",VLOOKUP(J99,'G-3 Multipliers'!$L$3:$N$6,2,FALSE)))</f>
        <v/>
      </c>
      <c r="L99" s="287" t="str">
        <f>IF(J99="","",IF(VLOOKUP(J99,'G-3 Multipliers'!$L$3:$N$6,3,FALSE)=0,"Spatial Data Missing ⚠",VLOOKUP(J99,'G-3 Multipliers'!$L$3:$N$6,3,FALSE)))</f>
        <v/>
      </c>
      <c r="M99" s="281" t="str">
        <f>IF(OR(D99="",H99=""),"",(INDEX('G-6 Hedgerow Data'!$E$3:$I$15,MATCH(D99,'G-6 Hedgerow Data'!$B$3:$B$15,0),MATCH(H99,'G-6 Hedgerow Data'!$E$2:$I$2,0))))</f>
        <v/>
      </c>
      <c r="N99" s="137"/>
      <c r="O99" s="137"/>
      <c r="P99" s="289" t="str">
        <f t="shared" si="7"/>
        <v/>
      </c>
      <c r="Q99" s="302" t="str">
        <f t="shared" si="8"/>
        <v/>
      </c>
      <c r="R99" s="303" t="str">
        <f t="shared" si="6"/>
        <v/>
      </c>
      <c r="S99" s="317" t="str">
        <f>IF(D99="","",VLOOKUP(D99,'G-6 Hedgerow Data'!$B$3:$AG$15,31,FALSE))</f>
        <v/>
      </c>
      <c r="T99" s="289" t="str">
        <f t="shared" si="9"/>
        <v/>
      </c>
      <c r="U99" s="289" t="str">
        <f t="shared" si="10"/>
        <v/>
      </c>
      <c r="V99" s="305" t="str">
        <f>IF(D99="","",VLOOKUP(S99,'G-3 Multipliers'!$P$3:$Q$6,2,FALSE))</f>
        <v/>
      </c>
      <c r="W99" s="309" t="str">
        <f t="shared" si="11"/>
        <v/>
      </c>
      <c r="X99" s="105"/>
      <c r="Y99" s="119"/>
      <c r="Z99" s="108"/>
      <c r="AG99" s="30" t="str">
        <f>IFERROR(INDEX('G-6 Hedgerow Data'!$BJ$3:$BJ$15,MATCH(D99,'G-6 Hedgerow Data'!$B$3:$B$15,0)),"")</f>
        <v/>
      </c>
    </row>
    <row r="100" spans="2:33" ht="13.8" x14ac:dyDescent="0.25">
      <c r="B100" s="101">
        <v>89</v>
      </c>
      <c r="C100" s="144"/>
      <c r="D100" s="137"/>
      <c r="E100" s="119"/>
      <c r="F100" s="329" t="str">
        <f>IF(D100="","",VLOOKUP(D100,'G-6 Hedgerow Data'!$B$2:$AG$15,2,FALSE))</f>
        <v/>
      </c>
      <c r="G100" s="282" t="str">
        <f>IF(D100="","",VLOOKUP(D100,'G-6 Hedgerow Data'!$B$2:$AG$15,3,FALSE))</f>
        <v/>
      </c>
      <c r="H100" s="105"/>
      <c r="I100" s="282" t="str">
        <f>IFERROR(IF(H100="","",IF(AND(D100="Non-native and ornamental hedgerow", H100&lt;&gt;"Poor"),"Not possible ▲", (VLOOKUP(H100,'G-1 All Habitats'!$Z$2:$AA$9,2,FALSE)))),"")</f>
        <v/>
      </c>
      <c r="J100" s="105"/>
      <c r="K100" s="301" t="str">
        <f>IF(J100="","",IF(VLOOKUP(J100,'G-3 Multipliers'!$L$3:$N$6,2,FALSE)=0,"Spatial Data Missing ⚠",VLOOKUP(J100,'G-3 Multipliers'!$L$3:$N$6,2,FALSE)))</f>
        <v/>
      </c>
      <c r="L100" s="287" t="str">
        <f>IF(J100="","",IF(VLOOKUP(J100,'G-3 Multipliers'!$L$3:$N$6,3,FALSE)=0,"Spatial Data Missing ⚠",VLOOKUP(J100,'G-3 Multipliers'!$L$3:$N$6,3,FALSE)))</f>
        <v/>
      </c>
      <c r="M100" s="281" t="str">
        <f>IF(OR(D100="",H100=""),"",(INDEX('G-6 Hedgerow Data'!$E$3:$I$15,MATCH(D100,'G-6 Hedgerow Data'!$B$3:$B$15,0),MATCH(H100,'G-6 Hedgerow Data'!$E$2:$I$2,0))))</f>
        <v/>
      </c>
      <c r="N100" s="137"/>
      <c r="O100" s="137"/>
      <c r="P100" s="289" t="str">
        <f t="shared" si="7"/>
        <v/>
      </c>
      <c r="Q100" s="302" t="str">
        <f t="shared" si="8"/>
        <v/>
      </c>
      <c r="R100" s="303" t="str">
        <f t="shared" si="6"/>
        <v/>
      </c>
      <c r="S100" s="317" t="str">
        <f>IF(D100="","",VLOOKUP(D100,'G-6 Hedgerow Data'!$B$3:$AG$15,31,FALSE))</f>
        <v/>
      </c>
      <c r="T100" s="289" t="str">
        <f t="shared" si="9"/>
        <v/>
      </c>
      <c r="U100" s="289" t="str">
        <f t="shared" si="10"/>
        <v/>
      </c>
      <c r="V100" s="305" t="str">
        <f>IF(D100="","",VLOOKUP(S100,'G-3 Multipliers'!$P$3:$Q$6,2,FALSE))</f>
        <v/>
      </c>
      <c r="W100" s="309" t="str">
        <f t="shared" si="11"/>
        <v/>
      </c>
      <c r="X100" s="105"/>
      <c r="Y100" s="119"/>
      <c r="Z100" s="108"/>
      <c r="AG100" s="30" t="str">
        <f>IFERROR(INDEX('G-6 Hedgerow Data'!$BJ$3:$BJ$15,MATCH(D100,'G-6 Hedgerow Data'!$B$3:$B$15,0)),"")</f>
        <v/>
      </c>
    </row>
    <row r="101" spans="2:33" ht="13.8" x14ac:dyDescent="0.25">
      <c r="B101" s="101">
        <v>90</v>
      </c>
      <c r="C101" s="144"/>
      <c r="D101" s="137"/>
      <c r="E101" s="119"/>
      <c r="F101" s="329" t="str">
        <f>IF(D101="","",VLOOKUP(D101,'G-6 Hedgerow Data'!$B$2:$AG$15,2,FALSE))</f>
        <v/>
      </c>
      <c r="G101" s="282" t="str">
        <f>IF(D101="","",VLOOKUP(D101,'G-6 Hedgerow Data'!$B$2:$AG$15,3,FALSE))</f>
        <v/>
      </c>
      <c r="H101" s="105"/>
      <c r="I101" s="282" t="str">
        <f>IFERROR(IF(H101="","",IF(AND(D101="Non-native and ornamental hedgerow", H101&lt;&gt;"Poor"),"Not possible ▲", (VLOOKUP(H101,'G-1 All Habitats'!$Z$2:$AA$9,2,FALSE)))),"")</f>
        <v/>
      </c>
      <c r="J101" s="105"/>
      <c r="K101" s="301" t="str">
        <f>IF(J101="","",IF(VLOOKUP(J101,'G-3 Multipliers'!$L$3:$N$6,2,FALSE)=0,"Spatial Data Missing ⚠",VLOOKUP(J101,'G-3 Multipliers'!$L$3:$N$6,2,FALSE)))</f>
        <v/>
      </c>
      <c r="L101" s="287" t="str">
        <f>IF(J101="","",IF(VLOOKUP(J101,'G-3 Multipliers'!$L$3:$N$6,3,FALSE)=0,"Spatial Data Missing ⚠",VLOOKUP(J101,'G-3 Multipliers'!$L$3:$N$6,3,FALSE)))</f>
        <v/>
      </c>
      <c r="M101" s="281" t="str">
        <f>IF(OR(D101="",H101=""),"",(INDEX('G-6 Hedgerow Data'!$E$3:$I$15,MATCH(D101,'G-6 Hedgerow Data'!$B$3:$B$15,0),MATCH(H101,'G-6 Hedgerow Data'!$E$2:$I$2,0))))</f>
        <v/>
      </c>
      <c r="N101" s="137"/>
      <c r="O101" s="137"/>
      <c r="P101" s="289" t="str">
        <f t="shared" si="7"/>
        <v/>
      </c>
      <c r="Q101" s="302" t="str">
        <f t="shared" si="8"/>
        <v/>
      </c>
      <c r="R101" s="303" t="str">
        <f t="shared" si="6"/>
        <v/>
      </c>
      <c r="S101" s="317" t="str">
        <f>IF(D101="","",VLOOKUP(D101,'G-6 Hedgerow Data'!$B$3:$AG$15,31,FALSE))</f>
        <v/>
      </c>
      <c r="T101" s="289" t="str">
        <f t="shared" si="9"/>
        <v/>
      </c>
      <c r="U101" s="289" t="str">
        <f t="shared" si="10"/>
        <v/>
      </c>
      <c r="V101" s="305" t="str">
        <f>IF(D101="","",VLOOKUP(S101,'G-3 Multipliers'!$P$3:$Q$6,2,FALSE))</f>
        <v/>
      </c>
      <c r="W101" s="309" t="str">
        <f t="shared" si="11"/>
        <v/>
      </c>
      <c r="X101" s="105"/>
      <c r="Y101" s="119"/>
      <c r="Z101" s="108"/>
      <c r="AG101" s="30" t="str">
        <f>IFERROR(INDEX('G-6 Hedgerow Data'!$BJ$3:$BJ$15,MATCH(D101,'G-6 Hedgerow Data'!$B$3:$B$15,0)),"")</f>
        <v/>
      </c>
    </row>
    <row r="102" spans="2:33" ht="13.8" x14ac:dyDescent="0.25">
      <c r="B102" s="101">
        <v>91</v>
      </c>
      <c r="C102" s="144"/>
      <c r="D102" s="137"/>
      <c r="E102" s="119"/>
      <c r="F102" s="329" t="str">
        <f>IF(D102="","",VLOOKUP(D102,'G-6 Hedgerow Data'!$B$2:$AG$15,2,FALSE))</f>
        <v/>
      </c>
      <c r="G102" s="282" t="str">
        <f>IF(D102="","",VLOOKUP(D102,'G-6 Hedgerow Data'!$B$2:$AG$15,3,FALSE))</f>
        <v/>
      </c>
      <c r="H102" s="105"/>
      <c r="I102" s="282" t="str">
        <f>IFERROR(IF(H102="","",IF(AND(D102="Non-native and ornamental hedgerow", H102&lt;&gt;"Poor"),"Not possible ▲", (VLOOKUP(H102,'G-1 All Habitats'!$Z$2:$AA$9,2,FALSE)))),"")</f>
        <v/>
      </c>
      <c r="J102" s="105"/>
      <c r="K102" s="301" t="str">
        <f>IF(J102="","",IF(VLOOKUP(J102,'G-3 Multipliers'!$L$3:$N$6,2,FALSE)=0,"Spatial Data Missing ⚠",VLOOKUP(J102,'G-3 Multipliers'!$L$3:$N$6,2,FALSE)))</f>
        <v/>
      </c>
      <c r="L102" s="287" t="str">
        <f>IF(J102="","",IF(VLOOKUP(J102,'G-3 Multipliers'!$L$3:$N$6,3,FALSE)=0,"Spatial Data Missing ⚠",VLOOKUP(J102,'G-3 Multipliers'!$L$3:$N$6,3,FALSE)))</f>
        <v/>
      </c>
      <c r="M102" s="281" t="str">
        <f>IF(OR(D102="",H102=""),"",(INDEX('G-6 Hedgerow Data'!$E$3:$I$15,MATCH(D102,'G-6 Hedgerow Data'!$B$3:$B$15,0),MATCH(H102,'G-6 Hedgerow Data'!$E$2:$I$2,0))))</f>
        <v/>
      </c>
      <c r="N102" s="137"/>
      <c r="O102" s="137"/>
      <c r="P102" s="289" t="str">
        <f t="shared" si="7"/>
        <v/>
      </c>
      <c r="Q102" s="302" t="str">
        <f t="shared" si="8"/>
        <v/>
      </c>
      <c r="R102" s="303" t="str">
        <f t="shared" si="6"/>
        <v/>
      </c>
      <c r="S102" s="317" t="str">
        <f>IF(D102="","",VLOOKUP(D102,'G-6 Hedgerow Data'!$B$3:$AG$15,31,FALSE))</f>
        <v/>
      </c>
      <c r="T102" s="289" t="str">
        <f t="shared" si="9"/>
        <v/>
      </c>
      <c r="U102" s="289" t="str">
        <f t="shared" si="10"/>
        <v/>
      </c>
      <c r="V102" s="305" t="str">
        <f>IF(D102="","",VLOOKUP(S102,'G-3 Multipliers'!$P$3:$Q$6,2,FALSE))</f>
        <v/>
      </c>
      <c r="W102" s="309" t="str">
        <f t="shared" si="11"/>
        <v/>
      </c>
      <c r="X102" s="105"/>
      <c r="Y102" s="119"/>
      <c r="Z102" s="108"/>
      <c r="AG102" s="30" t="str">
        <f>IFERROR(INDEX('G-6 Hedgerow Data'!$BJ$3:$BJ$15,MATCH(D102,'G-6 Hedgerow Data'!$B$3:$B$15,0)),"")</f>
        <v/>
      </c>
    </row>
    <row r="103" spans="2:33" ht="13.8" x14ac:dyDescent="0.25">
      <c r="B103" s="101">
        <v>92</v>
      </c>
      <c r="C103" s="144"/>
      <c r="D103" s="137"/>
      <c r="E103" s="119"/>
      <c r="F103" s="329" t="str">
        <f>IF(D103="","",VLOOKUP(D103,'G-6 Hedgerow Data'!$B$2:$AG$15,2,FALSE))</f>
        <v/>
      </c>
      <c r="G103" s="282" t="str">
        <f>IF(D103="","",VLOOKUP(D103,'G-6 Hedgerow Data'!$B$2:$AG$15,3,FALSE))</f>
        <v/>
      </c>
      <c r="H103" s="105"/>
      <c r="I103" s="282" t="str">
        <f>IFERROR(IF(H103="","",IF(AND(D103="Non-native and ornamental hedgerow", H103&lt;&gt;"Poor"),"Not possible ▲", (VLOOKUP(H103,'G-1 All Habitats'!$Z$2:$AA$9,2,FALSE)))),"")</f>
        <v/>
      </c>
      <c r="J103" s="105"/>
      <c r="K103" s="301" t="str">
        <f>IF(J103="","",IF(VLOOKUP(J103,'G-3 Multipliers'!$L$3:$N$6,2,FALSE)=0,"Spatial Data Missing ⚠",VLOOKUP(J103,'G-3 Multipliers'!$L$3:$N$6,2,FALSE)))</f>
        <v/>
      </c>
      <c r="L103" s="287" t="str">
        <f>IF(J103="","",IF(VLOOKUP(J103,'G-3 Multipliers'!$L$3:$N$6,3,FALSE)=0,"Spatial Data Missing ⚠",VLOOKUP(J103,'G-3 Multipliers'!$L$3:$N$6,3,FALSE)))</f>
        <v/>
      </c>
      <c r="M103" s="281" t="str">
        <f>IF(OR(D103="",H103=""),"",(INDEX('G-6 Hedgerow Data'!$E$3:$I$15,MATCH(D103,'G-6 Hedgerow Data'!$B$3:$B$15,0),MATCH(H103,'G-6 Hedgerow Data'!$E$2:$I$2,0))))</f>
        <v/>
      </c>
      <c r="N103" s="137"/>
      <c r="O103" s="137"/>
      <c r="P103" s="289" t="str">
        <f t="shared" si="7"/>
        <v/>
      </c>
      <c r="Q103" s="302" t="str">
        <f t="shared" si="8"/>
        <v/>
      </c>
      <c r="R103" s="303" t="str">
        <f t="shared" si="6"/>
        <v/>
      </c>
      <c r="S103" s="317" t="str">
        <f>IF(D103="","",VLOOKUP(D103,'G-6 Hedgerow Data'!$B$3:$AG$15,31,FALSE))</f>
        <v/>
      </c>
      <c r="T103" s="289" t="str">
        <f t="shared" si="9"/>
        <v/>
      </c>
      <c r="U103" s="289" t="str">
        <f t="shared" si="10"/>
        <v/>
      </c>
      <c r="V103" s="305" t="str">
        <f>IF(D103="","",VLOOKUP(S103,'G-3 Multipliers'!$P$3:$Q$6,2,FALSE))</f>
        <v/>
      </c>
      <c r="W103" s="309" t="str">
        <f t="shared" si="11"/>
        <v/>
      </c>
      <c r="X103" s="105"/>
      <c r="Y103" s="119"/>
      <c r="Z103" s="108"/>
      <c r="AG103" s="30" t="str">
        <f>IFERROR(INDEX('G-6 Hedgerow Data'!$BJ$3:$BJ$15,MATCH(D103,'G-6 Hedgerow Data'!$B$3:$B$15,0)),"")</f>
        <v/>
      </c>
    </row>
    <row r="104" spans="2:33" ht="13.8" x14ac:dyDescent="0.25">
      <c r="B104" s="101">
        <v>93</v>
      </c>
      <c r="C104" s="144"/>
      <c r="D104" s="137"/>
      <c r="E104" s="119"/>
      <c r="F104" s="329" t="str">
        <f>IF(D104="","",VLOOKUP(D104,'G-6 Hedgerow Data'!$B$2:$AG$15,2,FALSE))</f>
        <v/>
      </c>
      <c r="G104" s="282" t="str">
        <f>IF(D104="","",VLOOKUP(D104,'G-6 Hedgerow Data'!$B$2:$AG$15,3,FALSE))</f>
        <v/>
      </c>
      <c r="H104" s="105"/>
      <c r="I104" s="282" t="str">
        <f>IFERROR(IF(H104="","",IF(AND(D104="Non-native and ornamental hedgerow", H104&lt;&gt;"Poor"),"Not possible ▲", (VLOOKUP(H104,'G-1 All Habitats'!$Z$2:$AA$9,2,FALSE)))),"")</f>
        <v/>
      </c>
      <c r="J104" s="105"/>
      <c r="K104" s="301" t="str">
        <f>IF(J104="","",IF(VLOOKUP(J104,'G-3 Multipliers'!$L$3:$N$6,2,FALSE)=0,"Spatial Data Missing ⚠",VLOOKUP(J104,'G-3 Multipliers'!$L$3:$N$6,2,FALSE)))</f>
        <v/>
      </c>
      <c r="L104" s="287" t="str">
        <f>IF(J104="","",IF(VLOOKUP(J104,'G-3 Multipliers'!$L$3:$N$6,3,FALSE)=0,"Spatial Data Missing ⚠",VLOOKUP(J104,'G-3 Multipliers'!$L$3:$N$6,3,FALSE)))</f>
        <v/>
      </c>
      <c r="M104" s="281" t="str">
        <f>IF(OR(D104="",H104=""),"",(INDEX('G-6 Hedgerow Data'!$E$3:$I$15,MATCH(D104,'G-6 Hedgerow Data'!$B$3:$B$15,0),MATCH(H104,'G-6 Hedgerow Data'!$E$2:$I$2,0))))</f>
        <v/>
      </c>
      <c r="N104" s="137"/>
      <c r="O104" s="137"/>
      <c r="P104" s="289" t="str">
        <f t="shared" si="7"/>
        <v/>
      </c>
      <c r="Q104" s="302" t="str">
        <f t="shared" si="8"/>
        <v/>
      </c>
      <c r="R104" s="303" t="str">
        <f t="shared" si="6"/>
        <v/>
      </c>
      <c r="S104" s="317" t="str">
        <f>IF(D104="","",VLOOKUP(D104,'G-6 Hedgerow Data'!$B$3:$AG$15,31,FALSE))</f>
        <v/>
      </c>
      <c r="T104" s="289" t="str">
        <f t="shared" si="9"/>
        <v/>
      </c>
      <c r="U104" s="289" t="str">
        <f t="shared" si="10"/>
        <v/>
      </c>
      <c r="V104" s="305" t="str">
        <f>IF(D104="","",VLOOKUP(S104,'G-3 Multipliers'!$P$3:$Q$6,2,FALSE))</f>
        <v/>
      </c>
      <c r="W104" s="309" t="str">
        <f t="shared" si="11"/>
        <v/>
      </c>
      <c r="X104" s="105"/>
      <c r="Y104" s="119"/>
      <c r="Z104" s="108"/>
      <c r="AG104" s="30" t="str">
        <f>IFERROR(INDEX('G-6 Hedgerow Data'!$BJ$3:$BJ$15,MATCH(D104,'G-6 Hedgerow Data'!$B$3:$B$15,0)),"")</f>
        <v/>
      </c>
    </row>
    <row r="105" spans="2:33" ht="13.8" x14ac:dyDescent="0.25">
      <c r="B105" s="101">
        <v>94</v>
      </c>
      <c r="C105" s="144"/>
      <c r="D105" s="137"/>
      <c r="E105" s="119"/>
      <c r="F105" s="329" t="str">
        <f>IF(D105="","",VLOOKUP(D105,'G-6 Hedgerow Data'!$B$2:$AG$15,2,FALSE))</f>
        <v/>
      </c>
      <c r="G105" s="282" t="str">
        <f>IF(D105="","",VLOOKUP(D105,'G-6 Hedgerow Data'!$B$2:$AG$15,3,FALSE))</f>
        <v/>
      </c>
      <c r="H105" s="105"/>
      <c r="I105" s="282" t="str">
        <f>IFERROR(IF(H105="","",IF(AND(D105="Non-native and ornamental hedgerow", H105&lt;&gt;"Poor"),"Not possible ▲", (VLOOKUP(H105,'G-1 All Habitats'!$Z$2:$AA$9,2,FALSE)))),"")</f>
        <v/>
      </c>
      <c r="J105" s="105"/>
      <c r="K105" s="301" t="str">
        <f>IF(J105="","",IF(VLOOKUP(J105,'G-3 Multipliers'!$L$3:$N$6,2,FALSE)=0,"Spatial Data Missing ⚠",VLOOKUP(J105,'G-3 Multipliers'!$L$3:$N$6,2,FALSE)))</f>
        <v/>
      </c>
      <c r="L105" s="287" t="str">
        <f>IF(J105="","",IF(VLOOKUP(J105,'G-3 Multipliers'!$L$3:$N$6,3,FALSE)=0,"Spatial Data Missing ⚠",VLOOKUP(J105,'G-3 Multipliers'!$L$3:$N$6,3,FALSE)))</f>
        <v/>
      </c>
      <c r="M105" s="281" t="str">
        <f>IF(OR(D105="",H105=""),"",(INDEX('G-6 Hedgerow Data'!$E$3:$I$15,MATCH(D105,'G-6 Hedgerow Data'!$B$3:$B$15,0),MATCH(H105,'G-6 Hedgerow Data'!$E$2:$I$2,0))))</f>
        <v/>
      </c>
      <c r="N105" s="137"/>
      <c r="O105" s="137"/>
      <c r="P105" s="289" t="str">
        <f t="shared" si="7"/>
        <v/>
      </c>
      <c r="Q105" s="302" t="str">
        <f t="shared" si="8"/>
        <v/>
      </c>
      <c r="R105" s="303" t="str">
        <f t="shared" si="6"/>
        <v/>
      </c>
      <c r="S105" s="317" t="str">
        <f>IF(D105="","",VLOOKUP(D105,'G-6 Hedgerow Data'!$B$3:$AG$15,31,FALSE))</f>
        <v/>
      </c>
      <c r="T105" s="289" t="str">
        <f t="shared" si="9"/>
        <v/>
      </c>
      <c r="U105" s="289" t="str">
        <f t="shared" si="10"/>
        <v/>
      </c>
      <c r="V105" s="305" t="str">
        <f>IF(D105="","",VLOOKUP(S105,'G-3 Multipliers'!$P$3:$Q$6,2,FALSE))</f>
        <v/>
      </c>
      <c r="W105" s="309" t="str">
        <f t="shared" si="11"/>
        <v/>
      </c>
      <c r="X105" s="105"/>
      <c r="Y105" s="119"/>
      <c r="Z105" s="108"/>
      <c r="AG105" s="30" t="str">
        <f>IFERROR(INDEX('G-6 Hedgerow Data'!$BJ$3:$BJ$15,MATCH(D105,'G-6 Hedgerow Data'!$B$3:$B$15,0)),"")</f>
        <v/>
      </c>
    </row>
    <row r="106" spans="2:33" ht="13.8" x14ac:dyDescent="0.25">
      <c r="B106" s="101">
        <v>95</v>
      </c>
      <c r="C106" s="144"/>
      <c r="D106" s="137"/>
      <c r="E106" s="119"/>
      <c r="F106" s="329" t="str">
        <f>IF(D106="","",VLOOKUP(D106,'G-6 Hedgerow Data'!$B$2:$AG$15,2,FALSE))</f>
        <v/>
      </c>
      <c r="G106" s="282" t="str">
        <f>IF(D106="","",VLOOKUP(D106,'G-6 Hedgerow Data'!$B$2:$AG$15,3,FALSE))</f>
        <v/>
      </c>
      <c r="H106" s="105"/>
      <c r="I106" s="282" t="str">
        <f>IFERROR(IF(H106="","",IF(AND(D106="Non-native and ornamental hedgerow", H106&lt;&gt;"Poor"),"Not possible ▲", (VLOOKUP(H106,'G-1 All Habitats'!$Z$2:$AA$9,2,FALSE)))),"")</f>
        <v/>
      </c>
      <c r="J106" s="105"/>
      <c r="K106" s="301" t="str">
        <f>IF(J106="","",IF(VLOOKUP(J106,'G-3 Multipliers'!$L$3:$N$6,2,FALSE)=0,"Spatial Data Missing ⚠",VLOOKUP(J106,'G-3 Multipliers'!$L$3:$N$6,2,FALSE)))</f>
        <v/>
      </c>
      <c r="L106" s="287" t="str">
        <f>IF(J106="","",IF(VLOOKUP(J106,'G-3 Multipliers'!$L$3:$N$6,3,FALSE)=0,"Spatial Data Missing ⚠",VLOOKUP(J106,'G-3 Multipliers'!$L$3:$N$6,3,FALSE)))</f>
        <v/>
      </c>
      <c r="M106" s="281" t="str">
        <f>IF(OR(D106="",H106=""),"",(INDEX('G-6 Hedgerow Data'!$E$3:$I$15,MATCH(D106,'G-6 Hedgerow Data'!$B$3:$B$15,0),MATCH(H106,'G-6 Hedgerow Data'!$E$2:$I$2,0))))</f>
        <v/>
      </c>
      <c r="N106" s="137"/>
      <c r="O106" s="137"/>
      <c r="P106" s="289" t="str">
        <f t="shared" si="7"/>
        <v/>
      </c>
      <c r="Q106" s="302" t="str">
        <f t="shared" si="8"/>
        <v/>
      </c>
      <c r="R106" s="303" t="str">
        <f t="shared" si="6"/>
        <v/>
      </c>
      <c r="S106" s="317" t="str">
        <f>IF(D106="","",VLOOKUP(D106,'G-6 Hedgerow Data'!$B$3:$AG$15,31,FALSE))</f>
        <v/>
      </c>
      <c r="T106" s="289" t="str">
        <f t="shared" si="9"/>
        <v/>
      </c>
      <c r="U106" s="289" t="str">
        <f t="shared" si="10"/>
        <v/>
      </c>
      <c r="V106" s="305" t="str">
        <f>IF(D106="","",VLOOKUP(S106,'G-3 Multipliers'!$P$3:$Q$6,2,FALSE))</f>
        <v/>
      </c>
      <c r="W106" s="309" t="str">
        <f t="shared" si="11"/>
        <v/>
      </c>
      <c r="X106" s="105"/>
      <c r="Y106" s="119"/>
      <c r="Z106" s="108"/>
      <c r="AG106" s="30" t="str">
        <f>IFERROR(INDEX('G-6 Hedgerow Data'!$BJ$3:$BJ$15,MATCH(D106,'G-6 Hedgerow Data'!$B$3:$B$15,0)),"")</f>
        <v/>
      </c>
    </row>
    <row r="107" spans="2:33" ht="13.8" x14ac:dyDescent="0.25">
      <c r="B107" s="101">
        <v>96</v>
      </c>
      <c r="C107" s="144"/>
      <c r="D107" s="137"/>
      <c r="E107" s="119"/>
      <c r="F107" s="329" t="str">
        <f>IF(D107="","",VLOOKUP(D107,'G-6 Hedgerow Data'!$B$2:$AG$15,2,FALSE))</f>
        <v/>
      </c>
      <c r="G107" s="282" t="str">
        <f>IF(D107="","",VLOOKUP(D107,'G-6 Hedgerow Data'!$B$2:$AG$15,3,FALSE))</f>
        <v/>
      </c>
      <c r="H107" s="105"/>
      <c r="I107" s="282" t="str">
        <f>IFERROR(IF(H107="","",IF(AND(D107="Non-native and ornamental hedgerow", H107&lt;&gt;"Poor"),"Not possible ▲", (VLOOKUP(H107,'G-1 All Habitats'!$Z$2:$AA$9,2,FALSE)))),"")</f>
        <v/>
      </c>
      <c r="J107" s="105"/>
      <c r="K107" s="301" t="str">
        <f>IF(J107="","",IF(VLOOKUP(J107,'G-3 Multipliers'!$L$3:$N$6,2,FALSE)=0,"Spatial Data Missing ⚠",VLOOKUP(J107,'G-3 Multipliers'!$L$3:$N$6,2,FALSE)))</f>
        <v/>
      </c>
      <c r="L107" s="287" t="str">
        <f>IF(J107="","",IF(VLOOKUP(J107,'G-3 Multipliers'!$L$3:$N$6,3,FALSE)=0,"Spatial Data Missing ⚠",VLOOKUP(J107,'G-3 Multipliers'!$L$3:$N$6,3,FALSE)))</f>
        <v/>
      </c>
      <c r="M107" s="281" t="str">
        <f>IF(OR(D107="",H107=""),"",(INDEX('G-6 Hedgerow Data'!$E$3:$I$15,MATCH(D107,'G-6 Hedgerow Data'!$B$3:$B$15,0),MATCH(H107,'G-6 Hedgerow Data'!$E$2:$I$2,0))))</f>
        <v/>
      </c>
      <c r="N107" s="137"/>
      <c r="O107" s="137"/>
      <c r="P107" s="289" t="str">
        <f t="shared" si="7"/>
        <v/>
      </c>
      <c r="Q107" s="302" t="str">
        <f t="shared" si="8"/>
        <v/>
      </c>
      <c r="R107" s="303" t="str">
        <f t="shared" si="6"/>
        <v/>
      </c>
      <c r="S107" s="317" t="str">
        <f>IF(D107="","",VLOOKUP(D107,'G-6 Hedgerow Data'!$B$3:$AG$15,31,FALSE))</f>
        <v/>
      </c>
      <c r="T107" s="289" t="str">
        <f t="shared" si="9"/>
        <v/>
      </c>
      <c r="U107" s="289" t="str">
        <f t="shared" si="10"/>
        <v/>
      </c>
      <c r="V107" s="305" t="str">
        <f>IF(D107="","",VLOOKUP(S107,'G-3 Multipliers'!$P$3:$Q$6,2,FALSE))</f>
        <v/>
      </c>
      <c r="W107" s="309" t="str">
        <f t="shared" si="11"/>
        <v/>
      </c>
      <c r="X107" s="105"/>
      <c r="Y107" s="119"/>
      <c r="Z107" s="108"/>
      <c r="AG107" s="30" t="str">
        <f>IFERROR(INDEX('G-6 Hedgerow Data'!$BJ$3:$BJ$15,MATCH(D107,'G-6 Hedgerow Data'!$B$3:$B$15,0)),"")</f>
        <v/>
      </c>
    </row>
    <row r="108" spans="2:33" ht="13.8" x14ac:dyDescent="0.25">
      <c r="B108" s="101">
        <v>97</v>
      </c>
      <c r="C108" s="144"/>
      <c r="D108" s="137"/>
      <c r="E108" s="119"/>
      <c r="F108" s="329" t="str">
        <f>IF(D108="","",VLOOKUP(D108,'G-6 Hedgerow Data'!$B$2:$AG$15,2,FALSE))</f>
        <v/>
      </c>
      <c r="G108" s="282" t="str">
        <f>IF(D108="","",VLOOKUP(D108,'G-6 Hedgerow Data'!$B$2:$AG$15,3,FALSE))</f>
        <v/>
      </c>
      <c r="H108" s="105"/>
      <c r="I108" s="282" t="str">
        <f>IFERROR(IF(H108="","",IF(AND(D108="Non-native and ornamental hedgerow", H108&lt;&gt;"Poor"),"Not possible ▲", (VLOOKUP(H108,'G-1 All Habitats'!$Z$2:$AA$9,2,FALSE)))),"")</f>
        <v/>
      </c>
      <c r="J108" s="105"/>
      <c r="K108" s="301" t="str">
        <f>IF(J108="","",IF(VLOOKUP(J108,'G-3 Multipliers'!$L$3:$N$6,2,FALSE)=0,"Spatial Data Missing ⚠",VLOOKUP(J108,'G-3 Multipliers'!$L$3:$N$6,2,FALSE)))</f>
        <v/>
      </c>
      <c r="L108" s="287" t="str">
        <f>IF(J108="","",IF(VLOOKUP(J108,'G-3 Multipliers'!$L$3:$N$6,3,FALSE)=0,"Spatial Data Missing ⚠",VLOOKUP(J108,'G-3 Multipliers'!$L$3:$N$6,3,FALSE)))</f>
        <v/>
      </c>
      <c r="M108" s="281" t="str">
        <f>IF(OR(D108="",H108=""),"",(INDEX('G-6 Hedgerow Data'!$E$3:$I$15,MATCH(D108,'G-6 Hedgerow Data'!$B$3:$B$15,0),MATCH(H108,'G-6 Hedgerow Data'!$E$2:$I$2,0))))</f>
        <v/>
      </c>
      <c r="N108" s="137"/>
      <c r="O108" s="137"/>
      <c r="P108" s="289" t="str">
        <f t="shared" si="7"/>
        <v/>
      </c>
      <c r="Q108" s="302" t="str">
        <f t="shared" si="8"/>
        <v/>
      </c>
      <c r="R108" s="303" t="str">
        <f t="shared" si="6"/>
        <v/>
      </c>
      <c r="S108" s="317" t="str">
        <f>IF(D108="","",VLOOKUP(D108,'G-6 Hedgerow Data'!$B$3:$AG$15,31,FALSE))</f>
        <v/>
      </c>
      <c r="T108" s="289" t="str">
        <f t="shared" si="9"/>
        <v/>
      </c>
      <c r="U108" s="289" t="str">
        <f t="shared" si="10"/>
        <v/>
      </c>
      <c r="V108" s="305" t="str">
        <f>IF(D108="","",VLOOKUP(S108,'G-3 Multipliers'!$P$3:$Q$6,2,FALSE))</f>
        <v/>
      </c>
      <c r="W108" s="309" t="str">
        <f t="shared" si="11"/>
        <v/>
      </c>
      <c r="X108" s="105"/>
      <c r="Y108" s="119"/>
      <c r="Z108" s="108"/>
      <c r="AG108" s="30" t="str">
        <f>IFERROR(INDEX('G-6 Hedgerow Data'!$BJ$3:$BJ$15,MATCH(D108,'G-6 Hedgerow Data'!$B$3:$B$15,0)),"")</f>
        <v/>
      </c>
    </row>
    <row r="109" spans="2:33" ht="13.8" x14ac:dyDescent="0.25">
      <c r="B109" s="101">
        <v>98</v>
      </c>
      <c r="C109" s="144"/>
      <c r="D109" s="137"/>
      <c r="E109" s="119"/>
      <c r="F109" s="329" t="str">
        <f>IF(D109="","",VLOOKUP(D109,'G-6 Hedgerow Data'!$B$2:$AG$15,2,FALSE))</f>
        <v/>
      </c>
      <c r="G109" s="282" t="str">
        <f>IF(D109="","",VLOOKUP(D109,'G-6 Hedgerow Data'!$B$2:$AG$15,3,FALSE))</f>
        <v/>
      </c>
      <c r="H109" s="105"/>
      <c r="I109" s="282" t="str">
        <f>IFERROR(IF(H109="","",IF(AND(D109="Non-native and ornamental hedgerow", H109&lt;&gt;"Poor"),"Not possible ▲", (VLOOKUP(H109,'G-1 All Habitats'!$Z$2:$AA$9,2,FALSE)))),"")</f>
        <v/>
      </c>
      <c r="J109" s="105"/>
      <c r="K109" s="301" t="str">
        <f>IF(J109="","",IF(VLOOKUP(J109,'G-3 Multipliers'!$L$3:$N$6,2,FALSE)=0,"Spatial Data Missing ⚠",VLOOKUP(J109,'G-3 Multipliers'!$L$3:$N$6,2,FALSE)))</f>
        <v/>
      </c>
      <c r="L109" s="287" t="str">
        <f>IF(J109="","",IF(VLOOKUP(J109,'G-3 Multipliers'!$L$3:$N$6,3,FALSE)=0,"Spatial Data Missing ⚠",VLOOKUP(J109,'G-3 Multipliers'!$L$3:$N$6,3,FALSE)))</f>
        <v/>
      </c>
      <c r="M109" s="281" t="str">
        <f>IF(OR(D109="",H109=""),"",(INDEX('G-6 Hedgerow Data'!$E$3:$I$15,MATCH(D109,'G-6 Hedgerow Data'!$B$3:$B$15,0),MATCH(H109,'G-6 Hedgerow Data'!$E$2:$I$2,0))))</f>
        <v/>
      </c>
      <c r="N109" s="137"/>
      <c r="O109" s="137"/>
      <c r="P109" s="289" t="str">
        <f t="shared" si="7"/>
        <v/>
      </c>
      <c r="Q109" s="302" t="str">
        <f t="shared" si="8"/>
        <v/>
      </c>
      <c r="R109" s="303" t="str">
        <f t="shared" si="6"/>
        <v/>
      </c>
      <c r="S109" s="317" t="str">
        <f>IF(D109="","",VLOOKUP(D109,'G-6 Hedgerow Data'!$B$3:$AG$15,31,FALSE))</f>
        <v/>
      </c>
      <c r="T109" s="289" t="str">
        <f t="shared" si="9"/>
        <v/>
      </c>
      <c r="U109" s="289" t="str">
        <f t="shared" si="10"/>
        <v/>
      </c>
      <c r="V109" s="305" t="str">
        <f>IF(D109="","",VLOOKUP(S109,'G-3 Multipliers'!$P$3:$Q$6,2,FALSE))</f>
        <v/>
      </c>
      <c r="W109" s="309" t="str">
        <f t="shared" si="11"/>
        <v/>
      </c>
      <c r="X109" s="105"/>
      <c r="Y109" s="119"/>
      <c r="Z109" s="108"/>
      <c r="AG109" s="30" t="str">
        <f>IFERROR(INDEX('G-6 Hedgerow Data'!$BJ$3:$BJ$15,MATCH(D109,'G-6 Hedgerow Data'!$B$3:$B$15,0)),"")</f>
        <v/>
      </c>
    </row>
    <row r="110" spans="2:33" ht="13.8" x14ac:dyDescent="0.25">
      <c r="B110" s="101">
        <v>99</v>
      </c>
      <c r="C110" s="144"/>
      <c r="D110" s="137"/>
      <c r="E110" s="119"/>
      <c r="F110" s="329" t="str">
        <f>IF(D110="","",VLOOKUP(D110,'G-6 Hedgerow Data'!$B$2:$AG$15,2,FALSE))</f>
        <v/>
      </c>
      <c r="G110" s="282" t="str">
        <f>IF(D110="","",VLOOKUP(D110,'G-6 Hedgerow Data'!$B$2:$AG$15,3,FALSE))</f>
        <v/>
      </c>
      <c r="H110" s="105"/>
      <c r="I110" s="282" t="str">
        <f>IFERROR(IF(H110="","",IF(AND(D110="Non-native and ornamental hedgerow", H110&lt;&gt;"Poor"),"Not possible ▲", (VLOOKUP(H110,'G-1 All Habitats'!$Z$2:$AA$9,2,FALSE)))),"")</f>
        <v/>
      </c>
      <c r="J110" s="105"/>
      <c r="K110" s="301" t="str">
        <f>IF(J110="","",IF(VLOOKUP(J110,'G-3 Multipliers'!$L$3:$N$6,2,FALSE)=0,"Spatial Data Missing ⚠",VLOOKUP(J110,'G-3 Multipliers'!$L$3:$N$6,2,FALSE)))</f>
        <v/>
      </c>
      <c r="L110" s="287" t="str">
        <f>IF(J110="","",IF(VLOOKUP(J110,'G-3 Multipliers'!$L$3:$N$6,3,FALSE)=0,"Spatial Data Missing ⚠",VLOOKUP(J110,'G-3 Multipliers'!$L$3:$N$6,3,FALSE)))</f>
        <v/>
      </c>
      <c r="M110" s="281" t="str">
        <f>IF(OR(D110="",H110=""),"",(INDEX('G-6 Hedgerow Data'!$E$3:$I$15,MATCH(D110,'G-6 Hedgerow Data'!$B$3:$B$15,0),MATCH(H110,'G-6 Hedgerow Data'!$E$2:$I$2,0))))</f>
        <v/>
      </c>
      <c r="N110" s="137"/>
      <c r="O110" s="137"/>
      <c r="P110" s="289" t="str">
        <f t="shared" si="7"/>
        <v/>
      </c>
      <c r="Q110" s="302" t="str">
        <f t="shared" si="8"/>
        <v/>
      </c>
      <c r="R110" s="303" t="str">
        <f t="shared" si="6"/>
        <v/>
      </c>
      <c r="S110" s="317" t="str">
        <f>IF(D110="","",VLOOKUP(D110,'G-6 Hedgerow Data'!$B$3:$AG$15,31,FALSE))</f>
        <v/>
      </c>
      <c r="T110" s="289" t="str">
        <f t="shared" si="9"/>
        <v/>
      </c>
      <c r="U110" s="289" t="str">
        <f t="shared" si="10"/>
        <v/>
      </c>
      <c r="V110" s="305" t="str">
        <f>IF(D110="","",VLOOKUP(S110,'G-3 Multipliers'!$P$3:$Q$6,2,FALSE))</f>
        <v/>
      </c>
      <c r="W110" s="309" t="str">
        <f t="shared" si="11"/>
        <v/>
      </c>
      <c r="X110" s="105"/>
      <c r="Y110" s="119"/>
      <c r="Z110" s="108"/>
      <c r="AG110" s="30" t="str">
        <f>IFERROR(INDEX('G-6 Hedgerow Data'!$BJ$3:$BJ$15,MATCH(D110,'G-6 Hedgerow Data'!$B$3:$B$15,0)),"")</f>
        <v/>
      </c>
    </row>
    <row r="111" spans="2:33" ht="13.8" x14ac:dyDescent="0.25">
      <c r="B111" s="101">
        <v>100</v>
      </c>
      <c r="C111" s="144"/>
      <c r="D111" s="137"/>
      <c r="E111" s="119"/>
      <c r="F111" s="329" t="str">
        <f>IF(D111="","",VLOOKUP(D111,'G-6 Hedgerow Data'!$B$2:$AG$15,2,FALSE))</f>
        <v/>
      </c>
      <c r="G111" s="282" t="str">
        <f>IF(D111="","",VLOOKUP(D111,'G-6 Hedgerow Data'!$B$2:$AG$15,3,FALSE))</f>
        <v/>
      </c>
      <c r="H111" s="105"/>
      <c r="I111" s="282" t="str">
        <f>IFERROR(IF(H111="","",IF(AND(D111="Non-native and ornamental hedgerow", H111&lt;&gt;"Poor"),"Not possible ▲", (VLOOKUP(H111,'G-1 All Habitats'!$Z$2:$AA$9,2,FALSE)))),"")</f>
        <v/>
      </c>
      <c r="J111" s="105"/>
      <c r="K111" s="301" t="str">
        <f>IF(J111="","",IF(VLOOKUP(J111,'G-3 Multipliers'!$L$3:$N$6,2,FALSE)=0,"Spatial Data Missing ⚠",VLOOKUP(J111,'G-3 Multipliers'!$L$3:$N$6,2,FALSE)))</f>
        <v/>
      </c>
      <c r="L111" s="287" t="str">
        <f>IF(J111="","",IF(VLOOKUP(J111,'G-3 Multipliers'!$L$3:$N$6,3,FALSE)=0,"Spatial Data Missing ⚠",VLOOKUP(J111,'G-3 Multipliers'!$L$3:$N$6,3,FALSE)))</f>
        <v/>
      </c>
      <c r="M111" s="281" t="str">
        <f>IF(OR(D111="",H111=""),"",(INDEX('G-6 Hedgerow Data'!$E$3:$I$15,MATCH(D111,'G-6 Hedgerow Data'!$B$3:$B$15,0),MATCH(H111,'G-6 Hedgerow Data'!$E$2:$I$2,0))))</f>
        <v/>
      </c>
      <c r="N111" s="137"/>
      <c r="O111" s="137"/>
      <c r="P111" s="289" t="str">
        <f t="shared" si="7"/>
        <v/>
      </c>
      <c r="Q111" s="302" t="str">
        <f t="shared" si="8"/>
        <v/>
      </c>
      <c r="R111" s="303" t="str">
        <f t="shared" si="6"/>
        <v/>
      </c>
      <c r="S111" s="317" t="str">
        <f>IF(D111="","",VLOOKUP(D111,'G-6 Hedgerow Data'!$B$3:$AG$15,31,FALSE))</f>
        <v/>
      </c>
      <c r="T111" s="289" t="str">
        <f t="shared" si="9"/>
        <v/>
      </c>
      <c r="U111" s="289" t="str">
        <f t="shared" si="10"/>
        <v/>
      </c>
      <c r="V111" s="305" t="str">
        <f>IF(D111="","",VLOOKUP(S111,'G-3 Multipliers'!$P$3:$Q$6,2,FALSE))</f>
        <v/>
      </c>
      <c r="W111" s="309" t="str">
        <f t="shared" si="11"/>
        <v/>
      </c>
      <c r="X111" s="105"/>
      <c r="Y111" s="119"/>
      <c r="Z111" s="108"/>
      <c r="AG111" s="30" t="str">
        <f>IFERROR(INDEX('G-6 Hedgerow Data'!$BJ$3:$BJ$15,MATCH(D111,'G-6 Hedgerow Data'!$B$3:$B$15,0)),"")</f>
        <v/>
      </c>
    </row>
    <row r="112" spans="2:33" ht="13.8" x14ac:dyDescent="0.25">
      <c r="B112" s="101">
        <v>101</v>
      </c>
      <c r="C112" s="144"/>
      <c r="D112" s="137"/>
      <c r="E112" s="119"/>
      <c r="F112" s="329" t="str">
        <f>IF(D112="","",VLOOKUP(D112,'G-6 Hedgerow Data'!$B$2:$AG$15,2,FALSE))</f>
        <v/>
      </c>
      <c r="G112" s="282" t="str">
        <f>IF(D112="","",VLOOKUP(D112,'G-6 Hedgerow Data'!$B$2:$AG$15,3,FALSE))</f>
        <v/>
      </c>
      <c r="H112" s="105"/>
      <c r="I112" s="282" t="str">
        <f>IFERROR(IF(H112="","",IF(AND(D112="Non-native and ornamental hedgerow", H112&lt;&gt;"Poor"),"Not possible ▲", (VLOOKUP(H112,'G-1 All Habitats'!$Z$2:$AA$9,2,FALSE)))),"")</f>
        <v/>
      </c>
      <c r="J112" s="105"/>
      <c r="K112" s="301" t="str">
        <f>IF(J112="","",IF(VLOOKUP(J112,'G-3 Multipliers'!$L$3:$N$6,2,FALSE)=0,"Spatial Data Missing ⚠",VLOOKUP(J112,'G-3 Multipliers'!$L$3:$N$6,2,FALSE)))</f>
        <v/>
      </c>
      <c r="L112" s="287" t="str">
        <f>IF(J112="","",IF(VLOOKUP(J112,'G-3 Multipliers'!$L$3:$N$6,3,FALSE)=0,"Spatial Data Missing ⚠",VLOOKUP(J112,'G-3 Multipliers'!$L$3:$N$6,3,FALSE)))</f>
        <v/>
      </c>
      <c r="M112" s="281" t="str">
        <f>IF(OR(D112="",H112=""),"",(INDEX('G-6 Hedgerow Data'!$E$3:$I$15,MATCH(D112,'G-6 Hedgerow Data'!$B$3:$B$15,0),MATCH(H112,'G-6 Hedgerow Data'!$E$2:$I$2,0))))</f>
        <v/>
      </c>
      <c r="N112" s="137"/>
      <c r="O112" s="137"/>
      <c r="P112" s="289" t="str">
        <f t="shared" si="7"/>
        <v/>
      </c>
      <c r="Q112" s="302" t="str">
        <f t="shared" si="8"/>
        <v/>
      </c>
      <c r="R112" s="303" t="str">
        <f t="shared" si="6"/>
        <v/>
      </c>
      <c r="S112" s="317" t="str">
        <f>IF(D112="","",VLOOKUP(D112,'G-6 Hedgerow Data'!$B$3:$AG$15,31,FALSE))</f>
        <v/>
      </c>
      <c r="T112" s="289" t="str">
        <f t="shared" si="9"/>
        <v/>
      </c>
      <c r="U112" s="289" t="str">
        <f t="shared" si="10"/>
        <v/>
      </c>
      <c r="V112" s="305" t="str">
        <f>IF(D112="","",VLOOKUP(S112,'G-3 Multipliers'!$P$3:$Q$6,2,FALSE))</f>
        <v/>
      </c>
      <c r="W112" s="309" t="str">
        <f t="shared" si="11"/>
        <v/>
      </c>
      <c r="X112" s="105"/>
      <c r="Y112" s="119"/>
      <c r="Z112" s="108"/>
      <c r="AG112" s="30" t="str">
        <f>IFERROR(INDEX('G-6 Hedgerow Data'!$BJ$3:$BJ$15,MATCH(D112,'G-6 Hedgerow Data'!$B$3:$B$15,0)),"")</f>
        <v/>
      </c>
    </row>
    <row r="113" spans="2:33" ht="13.8" x14ac:dyDescent="0.25">
      <c r="B113" s="101">
        <v>102</v>
      </c>
      <c r="C113" s="144"/>
      <c r="D113" s="137"/>
      <c r="E113" s="119"/>
      <c r="F113" s="329" t="str">
        <f>IF(D113="","",VLOOKUP(D113,'G-6 Hedgerow Data'!$B$2:$AG$15,2,FALSE))</f>
        <v/>
      </c>
      <c r="G113" s="282" t="str">
        <f>IF(D113="","",VLOOKUP(D113,'G-6 Hedgerow Data'!$B$2:$AG$15,3,FALSE))</f>
        <v/>
      </c>
      <c r="H113" s="105"/>
      <c r="I113" s="282" t="str">
        <f>IFERROR(IF(H113="","",IF(AND(D113="Non-native and ornamental hedgerow", H113&lt;&gt;"Poor"),"Not possible ▲", (VLOOKUP(H113,'G-1 All Habitats'!$Z$2:$AA$9,2,FALSE)))),"")</f>
        <v/>
      </c>
      <c r="J113" s="105"/>
      <c r="K113" s="301" t="str">
        <f>IF(J113="","",IF(VLOOKUP(J113,'G-3 Multipliers'!$L$3:$N$6,2,FALSE)=0,"Spatial Data Missing ⚠",VLOOKUP(J113,'G-3 Multipliers'!$L$3:$N$6,2,FALSE)))</f>
        <v/>
      </c>
      <c r="L113" s="287" t="str">
        <f>IF(J113="","",IF(VLOOKUP(J113,'G-3 Multipliers'!$L$3:$N$6,3,FALSE)=0,"Spatial Data Missing ⚠",VLOOKUP(J113,'G-3 Multipliers'!$L$3:$N$6,3,FALSE)))</f>
        <v/>
      </c>
      <c r="M113" s="281" t="str">
        <f>IF(OR(D113="",H113=""),"",(INDEX('G-6 Hedgerow Data'!$E$3:$I$15,MATCH(D113,'G-6 Hedgerow Data'!$B$3:$B$15,0),MATCH(H113,'G-6 Hedgerow Data'!$E$2:$I$2,0))))</f>
        <v/>
      </c>
      <c r="N113" s="137"/>
      <c r="O113" s="137"/>
      <c r="P113" s="289" t="str">
        <f t="shared" si="7"/>
        <v/>
      </c>
      <c r="Q113" s="302" t="str">
        <f t="shared" si="8"/>
        <v/>
      </c>
      <c r="R113" s="303" t="str">
        <f t="shared" si="6"/>
        <v/>
      </c>
      <c r="S113" s="317" t="str">
        <f>IF(D113="","",VLOOKUP(D113,'G-6 Hedgerow Data'!$B$3:$AG$15,31,FALSE))</f>
        <v/>
      </c>
      <c r="T113" s="289" t="str">
        <f t="shared" si="9"/>
        <v/>
      </c>
      <c r="U113" s="289" t="str">
        <f t="shared" si="10"/>
        <v/>
      </c>
      <c r="V113" s="305" t="str">
        <f>IF(D113="","",VLOOKUP(S113,'G-3 Multipliers'!$P$3:$Q$6,2,FALSE))</f>
        <v/>
      </c>
      <c r="W113" s="309" t="str">
        <f t="shared" si="11"/>
        <v/>
      </c>
      <c r="X113" s="105"/>
      <c r="Y113" s="119"/>
      <c r="Z113" s="108"/>
      <c r="AG113" s="30" t="str">
        <f>IFERROR(INDEX('G-6 Hedgerow Data'!$BJ$3:$BJ$15,MATCH(D113,'G-6 Hedgerow Data'!$B$3:$B$15,0)),"")</f>
        <v/>
      </c>
    </row>
    <row r="114" spans="2:33" ht="13.8" x14ac:dyDescent="0.25">
      <c r="B114" s="101">
        <v>103</v>
      </c>
      <c r="C114" s="144"/>
      <c r="D114" s="137"/>
      <c r="E114" s="119"/>
      <c r="F114" s="329" t="str">
        <f>IF(D114="","",VLOOKUP(D114,'G-6 Hedgerow Data'!$B$2:$AG$15,2,FALSE))</f>
        <v/>
      </c>
      <c r="G114" s="282" t="str">
        <f>IF(D114="","",VLOOKUP(D114,'G-6 Hedgerow Data'!$B$2:$AG$15,3,FALSE))</f>
        <v/>
      </c>
      <c r="H114" s="105"/>
      <c r="I114" s="282" t="str">
        <f>IFERROR(IF(H114="","",IF(AND(D114="Non-native and ornamental hedgerow", H114&lt;&gt;"Poor"),"Not possible ▲", (VLOOKUP(H114,'G-1 All Habitats'!$Z$2:$AA$9,2,FALSE)))),"")</f>
        <v/>
      </c>
      <c r="J114" s="105"/>
      <c r="K114" s="301" t="str">
        <f>IF(J114="","",IF(VLOOKUP(J114,'G-3 Multipliers'!$L$3:$N$6,2,FALSE)=0,"Spatial Data Missing ⚠",VLOOKUP(J114,'G-3 Multipliers'!$L$3:$N$6,2,FALSE)))</f>
        <v/>
      </c>
      <c r="L114" s="287" t="str">
        <f>IF(J114="","",IF(VLOOKUP(J114,'G-3 Multipliers'!$L$3:$N$6,3,FALSE)=0,"Spatial Data Missing ⚠",VLOOKUP(J114,'G-3 Multipliers'!$L$3:$N$6,3,FALSE)))</f>
        <v/>
      </c>
      <c r="M114" s="281" t="str">
        <f>IF(OR(D114="",H114=""),"",(INDEX('G-6 Hedgerow Data'!$E$3:$I$15,MATCH(D114,'G-6 Hedgerow Data'!$B$3:$B$15,0),MATCH(H114,'G-6 Hedgerow Data'!$E$2:$I$2,0))))</f>
        <v/>
      </c>
      <c r="N114" s="137"/>
      <c r="O114" s="137"/>
      <c r="P114" s="289" t="str">
        <f t="shared" si="7"/>
        <v/>
      </c>
      <c r="Q114" s="302" t="str">
        <f t="shared" si="8"/>
        <v/>
      </c>
      <c r="R114" s="303" t="str">
        <f t="shared" si="6"/>
        <v/>
      </c>
      <c r="S114" s="317" t="str">
        <f>IF(D114="","",VLOOKUP(D114,'G-6 Hedgerow Data'!$B$3:$AG$15,31,FALSE))</f>
        <v/>
      </c>
      <c r="T114" s="289" t="str">
        <f t="shared" si="9"/>
        <v/>
      </c>
      <c r="U114" s="289" t="str">
        <f t="shared" si="10"/>
        <v/>
      </c>
      <c r="V114" s="305" t="str">
        <f>IF(D114="","",VLOOKUP(S114,'G-3 Multipliers'!$P$3:$Q$6,2,FALSE))</f>
        <v/>
      </c>
      <c r="W114" s="309" t="str">
        <f t="shared" si="11"/>
        <v/>
      </c>
      <c r="X114" s="105"/>
      <c r="Y114" s="119"/>
      <c r="Z114" s="108"/>
      <c r="AG114" s="30" t="str">
        <f>IFERROR(INDEX('G-6 Hedgerow Data'!$BJ$3:$BJ$15,MATCH(D114,'G-6 Hedgerow Data'!$B$3:$B$15,0)),"")</f>
        <v/>
      </c>
    </row>
    <row r="115" spans="2:33" ht="13.8" x14ac:dyDescent="0.25">
      <c r="B115" s="101">
        <v>104</v>
      </c>
      <c r="C115" s="144"/>
      <c r="D115" s="137"/>
      <c r="E115" s="119"/>
      <c r="F115" s="329" t="str">
        <f>IF(D115="","",VLOOKUP(D115,'G-6 Hedgerow Data'!$B$2:$AG$15,2,FALSE))</f>
        <v/>
      </c>
      <c r="G115" s="282" t="str">
        <f>IF(D115="","",VLOOKUP(D115,'G-6 Hedgerow Data'!$B$2:$AG$15,3,FALSE))</f>
        <v/>
      </c>
      <c r="H115" s="105"/>
      <c r="I115" s="282" t="str">
        <f>IFERROR(IF(H115="","",IF(AND(D115="Non-native and ornamental hedgerow", H115&lt;&gt;"Poor"),"Not possible ▲", (VLOOKUP(H115,'G-1 All Habitats'!$Z$2:$AA$9,2,FALSE)))),"")</f>
        <v/>
      </c>
      <c r="J115" s="105"/>
      <c r="K115" s="301" t="str">
        <f>IF(J115="","",IF(VLOOKUP(J115,'G-3 Multipliers'!$L$3:$N$6,2,FALSE)=0,"Spatial Data Missing ⚠",VLOOKUP(J115,'G-3 Multipliers'!$L$3:$N$6,2,FALSE)))</f>
        <v/>
      </c>
      <c r="L115" s="287" t="str">
        <f>IF(J115="","",IF(VLOOKUP(J115,'G-3 Multipliers'!$L$3:$N$6,3,FALSE)=0,"Spatial Data Missing ⚠",VLOOKUP(J115,'G-3 Multipliers'!$L$3:$N$6,3,FALSE)))</f>
        <v/>
      </c>
      <c r="M115" s="281" t="str">
        <f>IF(OR(D115="",H115=""),"",(INDEX('G-6 Hedgerow Data'!$E$3:$I$15,MATCH(D115,'G-6 Hedgerow Data'!$B$3:$B$15,0),MATCH(H115,'G-6 Hedgerow Data'!$E$2:$I$2,0))))</f>
        <v/>
      </c>
      <c r="N115" s="137"/>
      <c r="O115" s="137"/>
      <c r="P115" s="289" t="str">
        <f t="shared" si="7"/>
        <v/>
      </c>
      <c r="Q115" s="302" t="str">
        <f t="shared" si="8"/>
        <v/>
      </c>
      <c r="R115" s="303" t="str">
        <f t="shared" si="6"/>
        <v/>
      </c>
      <c r="S115" s="317" t="str">
        <f>IF(D115="","",VLOOKUP(D115,'G-6 Hedgerow Data'!$B$3:$AG$15,31,FALSE))</f>
        <v/>
      </c>
      <c r="T115" s="289" t="str">
        <f t="shared" si="9"/>
        <v/>
      </c>
      <c r="U115" s="289" t="str">
        <f t="shared" si="10"/>
        <v/>
      </c>
      <c r="V115" s="305" t="str">
        <f>IF(D115="","",VLOOKUP(S115,'G-3 Multipliers'!$P$3:$Q$6,2,FALSE))</f>
        <v/>
      </c>
      <c r="W115" s="309" t="str">
        <f t="shared" si="11"/>
        <v/>
      </c>
      <c r="X115" s="105"/>
      <c r="Y115" s="119"/>
      <c r="Z115" s="108"/>
      <c r="AG115" s="30" t="str">
        <f>IFERROR(INDEX('G-6 Hedgerow Data'!$BJ$3:$BJ$15,MATCH(D115,'G-6 Hedgerow Data'!$B$3:$B$15,0)),"")</f>
        <v/>
      </c>
    </row>
    <row r="116" spans="2:33" ht="13.8" x14ac:dyDescent="0.25">
      <c r="B116" s="101">
        <v>105</v>
      </c>
      <c r="C116" s="144"/>
      <c r="D116" s="137"/>
      <c r="E116" s="119"/>
      <c r="F116" s="329" t="str">
        <f>IF(D116="","",VLOOKUP(D116,'G-6 Hedgerow Data'!$B$2:$AG$15,2,FALSE))</f>
        <v/>
      </c>
      <c r="G116" s="282" t="str">
        <f>IF(D116="","",VLOOKUP(D116,'G-6 Hedgerow Data'!$B$2:$AG$15,3,FALSE))</f>
        <v/>
      </c>
      <c r="H116" s="105"/>
      <c r="I116" s="282" t="str">
        <f>IFERROR(IF(H116="","",IF(AND(D116="Non-native and ornamental hedgerow", H116&lt;&gt;"Poor"),"Not possible ▲", (VLOOKUP(H116,'G-1 All Habitats'!$Z$2:$AA$9,2,FALSE)))),"")</f>
        <v/>
      </c>
      <c r="J116" s="105"/>
      <c r="K116" s="301" t="str">
        <f>IF(J116="","",IF(VLOOKUP(J116,'G-3 Multipliers'!$L$3:$N$6,2,FALSE)=0,"Spatial Data Missing ⚠",VLOOKUP(J116,'G-3 Multipliers'!$L$3:$N$6,2,FALSE)))</f>
        <v/>
      </c>
      <c r="L116" s="287" t="str">
        <f>IF(J116="","",IF(VLOOKUP(J116,'G-3 Multipliers'!$L$3:$N$6,3,FALSE)=0,"Spatial Data Missing ⚠",VLOOKUP(J116,'G-3 Multipliers'!$L$3:$N$6,3,FALSE)))</f>
        <v/>
      </c>
      <c r="M116" s="281" t="str">
        <f>IF(OR(D116="",H116=""),"",(INDEX('G-6 Hedgerow Data'!$E$3:$I$15,MATCH(D116,'G-6 Hedgerow Data'!$B$3:$B$15,0),MATCH(H116,'G-6 Hedgerow Data'!$E$2:$I$2,0))))</f>
        <v/>
      </c>
      <c r="N116" s="137"/>
      <c r="O116" s="137"/>
      <c r="P116" s="289" t="str">
        <f t="shared" si="7"/>
        <v/>
      </c>
      <c r="Q116" s="302" t="str">
        <f t="shared" si="8"/>
        <v/>
      </c>
      <c r="R116" s="303" t="str">
        <f t="shared" si="6"/>
        <v/>
      </c>
      <c r="S116" s="317" t="str">
        <f>IF(D116="","",VLOOKUP(D116,'G-6 Hedgerow Data'!$B$3:$AG$15,31,FALSE))</f>
        <v/>
      </c>
      <c r="T116" s="289" t="str">
        <f t="shared" si="9"/>
        <v/>
      </c>
      <c r="U116" s="289" t="str">
        <f t="shared" si="10"/>
        <v/>
      </c>
      <c r="V116" s="305" t="str">
        <f>IF(D116="","",VLOOKUP(S116,'G-3 Multipliers'!$P$3:$Q$6,2,FALSE))</f>
        <v/>
      </c>
      <c r="W116" s="309" t="str">
        <f t="shared" si="11"/>
        <v/>
      </c>
      <c r="X116" s="105"/>
      <c r="Y116" s="119"/>
      <c r="Z116" s="108"/>
      <c r="AG116" s="30" t="str">
        <f>IFERROR(INDEX('G-6 Hedgerow Data'!$BJ$3:$BJ$15,MATCH(D116,'G-6 Hedgerow Data'!$B$3:$B$15,0)),"")</f>
        <v/>
      </c>
    </row>
    <row r="117" spans="2:33" ht="13.8" x14ac:dyDescent="0.25">
      <c r="B117" s="101">
        <v>106</v>
      </c>
      <c r="C117" s="144"/>
      <c r="D117" s="137"/>
      <c r="E117" s="119"/>
      <c r="F117" s="329" t="str">
        <f>IF(D117="","",VLOOKUP(D117,'G-6 Hedgerow Data'!$B$2:$AG$15,2,FALSE))</f>
        <v/>
      </c>
      <c r="G117" s="282" t="str">
        <f>IF(D117="","",VLOOKUP(D117,'G-6 Hedgerow Data'!$B$2:$AG$15,3,FALSE))</f>
        <v/>
      </c>
      <c r="H117" s="105"/>
      <c r="I117" s="282" t="str">
        <f>IFERROR(IF(H117="","",IF(AND(D117="Non-native and ornamental hedgerow", H117&lt;&gt;"Poor"),"Not possible ▲", (VLOOKUP(H117,'G-1 All Habitats'!$Z$2:$AA$9,2,FALSE)))),"")</f>
        <v/>
      </c>
      <c r="J117" s="105"/>
      <c r="K117" s="301" t="str">
        <f>IF(J117="","",IF(VLOOKUP(J117,'G-3 Multipliers'!$L$3:$N$6,2,FALSE)=0,"Spatial Data Missing ⚠",VLOOKUP(J117,'G-3 Multipliers'!$L$3:$N$6,2,FALSE)))</f>
        <v/>
      </c>
      <c r="L117" s="287" t="str">
        <f>IF(J117="","",IF(VLOOKUP(J117,'G-3 Multipliers'!$L$3:$N$6,3,FALSE)=0,"Spatial Data Missing ⚠",VLOOKUP(J117,'G-3 Multipliers'!$L$3:$N$6,3,FALSE)))</f>
        <v/>
      </c>
      <c r="M117" s="281" t="str">
        <f>IF(OR(D117="",H117=""),"",(INDEX('G-6 Hedgerow Data'!$E$3:$I$15,MATCH(D117,'G-6 Hedgerow Data'!$B$3:$B$15,0),MATCH(H117,'G-6 Hedgerow Data'!$E$2:$I$2,0))))</f>
        <v/>
      </c>
      <c r="N117" s="137"/>
      <c r="O117" s="137"/>
      <c r="P117" s="289" t="str">
        <f t="shared" si="7"/>
        <v/>
      </c>
      <c r="Q117" s="302" t="str">
        <f t="shared" si="8"/>
        <v/>
      </c>
      <c r="R117" s="303" t="str">
        <f t="shared" si="6"/>
        <v/>
      </c>
      <c r="S117" s="317" t="str">
        <f>IF(D117="","",VLOOKUP(D117,'G-6 Hedgerow Data'!$B$3:$AG$15,31,FALSE))</f>
        <v/>
      </c>
      <c r="T117" s="289" t="str">
        <f t="shared" si="9"/>
        <v/>
      </c>
      <c r="U117" s="289" t="str">
        <f t="shared" si="10"/>
        <v/>
      </c>
      <c r="V117" s="305" t="str">
        <f>IF(D117="","",VLOOKUP(S117,'G-3 Multipliers'!$P$3:$Q$6,2,FALSE))</f>
        <v/>
      </c>
      <c r="W117" s="309" t="str">
        <f t="shared" si="11"/>
        <v/>
      </c>
      <c r="X117" s="105"/>
      <c r="Y117" s="119"/>
      <c r="Z117" s="108"/>
      <c r="AG117" s="30" t="str">
        <f>IFERROR(INDEX('G-6 Hedgerow Data'!$BJ$3:$BJ$15,MATCH(D117,'G-6 Hedgerow Data'!$B$3:$B$15,0)),"")</f>
        <v/>
      </c>
    </row>
    <row r="118" spans="2:33" ht="13.8" x14ac:dyDescent="0.25">
      <c r="B118" s="101">
        <v>107</v>
      </c>
      <c r="C118" s="144"/>
      <c r="D118" s="137"/>
      <c r="E118" s="119"/>
      <c r="F118" s="329" t="str">
        <f>IF(D118="","",VLOOKUP(D118,'G-6 Hedgerow Data'!$B$2:$AG$15,2,FALSE))</f>
        <v/>
      </c>
      <c r="G118" s="282" t="str">
        <f>IF(D118="","",VLOOKUP(D118,'G-6 Hedgerow Data'!$B$2:$AG$15,3,FALSE))</f>
        <v/>
      </c>
      <c r="H118" s="105"/>
      <c r="I118" s="282" t="str">
        <f>IFERROR(IF(H118="","",IF(AND(D118="Non-native and ornamental hedgerow", H118&lt;&gt;"Poor"),"Not possible ▲", (VLOOKUP(H118,'G-1 All Habitats'!$Z$2:$AA$9,2,FALSE)))),"")</f>
        <v/>
      </c>
      <c r="J118" s="105"/>
      <c r="K118" s="301" t="str">
        <f>IF(J118="","",IF(VLOOKUP(J118,'G-3 Multipliers'!$L$3:$N$6,2,FALSE)=0,"Spatial Data Missing ⚠",VLOOKUP(J118,'G-3 Multipliers'!$L$3:$N$6,2,FALSE)))</f>
        <v/>
      </c>
      <c r="L118" s="287" t="str">
        <f>IF(J118="","",IF(VLOOKUP(J118,'G-3 Multipliers'!$L$3:$N$6,3,FALSE)=0,"Spatial Data Missing ⚠",VLOOKUP(J118,'G-3 Multipliers'!$L$3:$N$6,3,FALSE)))</f>
        <v/>
      </c>
      <c r="M118" s="281" t="str">
        <f>IF(OR(D118="",H118=""),"",(INDEX('G-6 Hedgerow Data'!$E$3:$I$15,MATCH(D118,'G-6 Hedgerow Data'!$B$3:$B$15,0),MATCH(H118,'G-6 Hedgerow Data'!$E$2:$I$2,0))))</f>
        <v/>
      </c>
      <c r="N118" s="137"/>
      <c r="O118" s="137"/>
      <c r="P118" s="289" t="str">
        <f t="shared" si="7"/>
        <v/>
      </c>
      <c r="Q118" s="302" t="str">
        <f t="shared" si="8"/>
        <v/>
      </c>
      <c r="R118" s="303" t="str">
        <f t="shared" si="6"/>
        <v/>
      </c>
      <c r="S118" s="317" t="str">
        <f>IF(D118="","",VLOOKUP(D118,'G-6 Hedgerow Data'!$B$3:$AG$15,31,FALSE))</f>
        <v/>
      </c>
      <c r="T118" s="289" t="str">
        <f t="shared" si="9"/>
        <v/>
      </c>
      <c r="U118" s="289" t="str">
        <f t="shared" si="10"/>
        <v/>
      </c>
      <c r="V118" s="305" t="str">
        <f>IF(D118="","",VLOOKUP(S118,'G-3 Multipliers'!$P$3:$Q$6,2,FALSE))</f>
        <v/>
      </c>
      <c r="W118" s="309" t="str">
        <f t="shared" si="11"/>
        <v/>
      </c>
      <c r="X118" s="105"/>
      <c r="Y118" s="119"/>
      <c r="Z118" s="108"/>
      <c r="AG118" s="30" t="str">
        <f>IFERROR(INDEX('G-6 Hedgerow Data'!$BJ$3:$BJ$15,MATCH(D118,'G-6 Hedgerow Data'!$B$3:$B$15,0)),"")</f>
        <v/>
      </c>
    </row>
    <row r="119" spans="2:33" ht="13.8" x14ac:dyDescent="0.25">
      <c r="B119" s="101">
        <v>108</v>
      </c>
      <c r="C119" s="144"/>
      <c r="D119" s="137"/>
      <c r="E119" s="119"/>
      <c r="F119" s="329" t="str">
        <f>IF(D119="","",VLOOKUP(D119,'G-6 Hedgerow Data'!$B$2:$AG$15,2,FALSE))</f>
        <v/>
      </c>
      <c r="G119" s="282" t="str">
        <f>IF(D119="","",VLOOKUP(D119,'G-6 Hedgerow Data'!$B$2:$AG$15,3,FALSE))</f>
        <v/>
      </c>
      <c r="H119" s="105"/>
      <c r="I119" s="282" t="str">
        <f>IFERROR(IF(H119="","",IF(AND(D119="Non-native and ornamental hedgerow", H119&lt;&gt;"Poor"),"Not possible ▲", (VLOOKUP(H119,'G-1 All Habitats'!$Z$2:$AA$9,2,FALSE)))),"")</f>
        <v/>
      </c>
      <c r="J119" s="105"/>
      <c r="K119" s="301" t="str">
        <f>IF(J119="","",IF(VLOOKUP(J119,'G-3 Multipliers'!$L$3:$N$6,2,FALSE)=0,"Spatial Data Missing ⚠",VLOOKUP(J119,'G-3 Multipliers'!$L$3:$N$6,2,FALSE)))</f>
        <v/>
      </c>
      <c r="L119" s="287" t="str">
        <f>IF(J119="","",IF(VLOOKUP(J119,'G-3 Multipliers'!$L$3:$N$6,3,FALSE)=0,"Spatial Data Missing ⚠",VLOOKUP(J119,'G-3 Multipliers'!$L$3:$N$6,3,FALSE)))</f>
        <v/>
      </c>
      <c r="M119" s="281" t="str">
        <f>IF(OR(D119="",H119=""),"",(INDEX('G-6 Hedgerow Data'!$E$3:$I$15,MATCH(D119,'G-6 Hedgerow Data'!$B$3:$B$15,0),MATCH(H119,'G-6 Hedgerow Data'!$E$2:$I$2,0))))</f>
        <v/>
      </c>
      <c r="N119" s="137"/>
      <c r="O119" s="137"/>
      <c r="P119" s="289" t="str">
        <f t="shared" si="7"/>
        <v/>
      </c>
      <c r="Q119" s="302" t="str">
        <f t="shared" si="8"/>
        <v/>
      </c>
      <c r="R119" s="303" t="str">
        <f t="shared" si="6"/>
        <v/>
      </c>
      <c r="S119" s="317" t="str">
        <f>IF(D119="","",VLOOKUP(D119,'G-6 Hedgerow Data'!$B$3:$AG$15,31,FALSE))</f>
        <v/>
      </c>
      <c r="T119" s="289" t="str">
        <f t="shared" si="9"/>
        <v/>
      </c>
      <c r="U119" s="289" t="str">
        <f t="shared" si="10"/>
        <v/>
      </c>
      <c r="V119" s="305" t="str">
        <f>IF(D119="","",VLOOKUP(S119,'G-3 Multipliers'!$P$3:$Q$6,2,FALSE))</f>
        <v/>
      </c>
      <c r="W119" s="309" t="str">
        <f t="shared" si="11"/>
        <v/>
      </c>
      <c r="X119" s="105"/>
      <c r="Y119" s="119"/>
      <c r="Z119" s="108"/>
      <c r="AG119" s="30" t="str">
        <f>IFERROR(INDEX('G-6 Hedgerow Data'!$BJ$3:$BJ$15,MATCH(D119,'G-6 Hedgerow Data'!$B$3:$B$15,0)),"")</f>
        <v/>
      </c>
    </row>
    <row r="120" spans="2:33" ht="13.8" x14ac:dyDescent="0.25">
      <c r="B120" s="101">
        <v>109</v>
      </c>
      <c r="C120" s="144"/>
      <c r="D120" s="137"/>
      <c r="E120" s="119"/>
      <c r="F120" s="329" t="str">
        <f>IF(D120="","",VLOOKUP(D120,'G-6 Hedgerow Data'!$B$2:$AG$15,2,FALSE))</f>
        <v/>
      </c>
      <c r="G120" s="282" t="str">
        <f>IF(D120="","",VLOOKUP(D120,'G-6 Hedgerow Data'!$B$2:$AG$15,3,FALSE))</f>
        <v/>
      </c>
      <c r="H120" s="105"/>
      <c r="I120" s="282" t="str">
        <f>IFERROR(IF(H120="","",IF(AND(D120="Non-native and ornamental hedgerow", H120&lt;&gt;"Poor"),"Not possible ▲", (VLOOKUP(H120,'G-1 All Habitats'!$Z$2:$AA$9,2,FALSE)))),"")</f>
        <v/>
      </c>
      <c r="J120" s="105"/>
      <c r="K120" s="301" t="str">
        <f>IF(J120="","",IF(VLOOKUP(J120,'G-3 Multipliers'!$L$3:$N$6,2,FALSE)=0,"Spatial Data Missing ⚠",VLOOKUP(J120,'G-3 Multipliers'!$L$3:$N$6,2,FALSE)))</f>
        <v/>
      </c>
      <c r="L120" s="287" t="str">
        <f>IF(J120="","",IF(VLOOKUP(J120,'G-3 Multipliers'!$L$3:$N$6,3,FALSE)=0,"Spatial Data Missing ⚠",VLOOKUP(J120,'G-3 Multipliers'!$L$3:$N$6,3,FALSE)))</f>
        <v/>
      </c>
      <c r="M120" s="281" t="str">
        <f>IF(OR(D120="",H120=""),"",(INDEX('G-6 Hedgerow Data'!$E$3:$I$15,MATCH(D120,'G-6 Hedgerow Data'!$B$3:$B$15,0),MATCH(H120,'G-6 Hedgerow Data'!$E$2:$I$2,0))))</f>
        <v/>
      </c>
      <c r="N120" s="137"/>
      <c r="O120" s="137"/>
      <c r="P120" s="289" t="str">
        <f t="shared" si="7"/>
        <v/>
      </c>
      <c r="Q120" s="302" t="str">
        <f t="shared" si="8"/>
        <v/>
      </c>
      <c r="R120" s="303" t="str">
        <f t="shared" si="6"/>
        <v/>
      </c>
      <c r="S120" s="317" t="str">
        <f>IF(D120="","",VLOOKUP(D120,'G-6 Hedgerow Data'!$B$3:$AG$15,31,FALSE))</f>
        <v/>
      </c>
      <c r="T120" s="289" t="str">
        <f t="shared" si="9"/>
        <v/>
      </c>
      <c r="U120" s="289" t="str">
        <f t="shared" si="10"/>
        <v/>
      </c>
      <c r="V120" s="305" t="str">
        <f>IF(D120="","",VLOOKUP(S120,'G-3 Multipliers'!$P$3:$Q$6,2,FALSE))</f>
        <v/>
      </c>
      <c r="W120" s="309" t="str">
        <f t="shared" si="11"/>
        <v/>
      </c>
      <c r="X120" s="105"/>
      <c r="Y120" s="119"/>
      <c r="Z120" s="108"/>
      <c r="AG120" s="30" t="str">
        <f>IFERROR(INDEX('G-6 Hedgerow Data'!$BJ$3:$BJ$15,MATCH(D120,'G-6 Hedgerow Data'!$B$3:$B$15,0)),"")</f>
        <v/>
      </c>
    </row>
    <row r="121" spans="2:33" ht="13.8" x14ac:dyDescent="0.25">
      <c r="B121" s="101">
        <v>110</v>
      </c>
      <c r="C121" s="144"/>
      <c r="D121" s="137"/>
      <c r="E121" s="119"/>
      <c r="F121" s="329" t="str">
        <f>IF(D121="","",VLOOKUP(D121,'G-6 Hedgerow Data'!$B$2:$AG$15,2,FALSE))</f>
        <v/>
      </c>
      <c r="G121" s="282" t="str">
        <f>IF(D121="","",VLOOKUP(D121,'G-6 Hedgerow Data'!$B$2:$AG$15,3,FALSE))</f>
        <v/>
      </c>
      <c r="H121" s="105"/>
      <c r="I121" s="282" t="str">
        <f>IFERROR(IF(H121="","",IF(AND(D121="Non-native and ornamental hedgerow", H121&lt;&gt;"Poor"),"Not possible ▲", (VLOOKUP(H121,'G-1 All Habitats'!$Z$2:$AA$9,2,FALSE)))),"")</f>
        <v/>
      </c>
      <c r="J121" s="105"/>
      <c r="K121" s="301" t="str">
        <f>IF(J121="","",IF(VLOOKUP(J121,'G-3 Multipliers'!$L$3:$N$6,2,FALSE)=0,"Spatial Data Missing ⚠",VLOOKUP(J121,'G-3 Multipliers'!$L$3:$N$6,2,FALSE)))</f>
        <v/>
      </c>
      <c r="L121" s="287" t="str">
        <f>IF(J121="","",IF(VLOOKUP(J121,'G-3 Multipliers'!$L$3:$N$6,3,FALSE)=0,"Spatial Data Missing ⚠",VLOOKUP(J121,'G-3 Multipliers'!$L$3:$N$6,3,FALSE)))</f>
        <v/>
      </c>
      <c r="M121" s="281" t="str">
        <f>IF(OR(D121="",H121=""),"",(INDEX('G-6 Hedgerow Data'!$E$3:$I$15,MATCH(D121,'G-6 Hedgerow Data'!$B$3:$B$15,0),MATCH(H121,'G-6 Hedgerow Data'!$E$2:$I$2,0))))</f>
        <v/>
      </c>
      <c r="N121" s="137"/>
      <c r="O121" s="137"/>
      <c r="P121" s="289" t="str">
        <f t="shared" si="7"/>
        <v/>
      </c>
      <c r="Q121" s="302" t="str">
        <f t="shared" si="8"/>
        <v/>
      </c>
      <c r="R121" s="303" t="str">
        <f t="shared" si="6"/>
        <v/>
      </c>
      <c r="S121" s="317" t="str">
        <f>IF(D121="","",VLOOKUP(D121,'G-6 Hedgerow Data'!$B$3:$AG$15,31,FALSE))</f>
        <v/>
      </c>
      <c r="T121" s="289" t="str">
        <f t="shared" si="9"/>
        <v/>
      </c>
      <c r="U121" s="289" t="str">
        <f t="shared" si="10"/>
        <v/>
      </c>
      <c r="V121" s="305" t="str">
        <f>IF(D121="","",VLOOKUP(S121,'G-3 Multipliers'!$P$3:$Q$6,2,FALSE))</f>
        <v/>
      </c>
      <c r="W121" s="309" t="str">
        <f t="shared" si="11"/>
        <v/>
      </c>
      <c r="X121" s="105"/>
      <c r="Y121" s="119"/>
      <c r="Z121" s="108"/>
      <c r="AG121" s="30" t="str">
        <f>IFERROR(INDEX('G-6 Hedgerow Data'!$BJ$3:$BJ$15,MATCH(D121,'G-6 Hedgerow Data'!$B$3:$B$15,0)),"")</f>
        <v/>
      </c>
    </row>
    <row r="122" spans="2:33" ht="13.8" x14ac:dyDescent="0.25">
      <c r="B122" s="101">
        <v>111</v>
      </c>
      <c r="C122" s="144"/>
      <c r="D122" s="137"/>
      <c r="E122" s="119"/>
      <c r="F122" s="329" t="str">
        <f>IF(D122="","",VLOOKUP(D122,'G-6 Hedgerow Data'!$B$2:$AG$15,2,FALSE))</f>
        <v/>
      </c>
      <c r="G122" s="282" t="str">
        <f>IF(D122="","",VLOOKUP(D122,'G-6 Hedgerow Data'!$B$2:$AG$15,3,FALSE))</f>
        <v/>
      </c>
      <c r="H122" s="105"/>
      <c r="I122" s="282" t="str">
        <f>IFERROR(IF(H122="","",IF(AND(D122="Non-native and ornamental hedgerow", H122&lt;&gt;"Poor"),"Not possible ▲", (VLOOKUP(H122,'G-1 All Habitats'!$Z$2:$AA$9,2,FALSE)))),"")</f>
        <v/>
      </c>
      <c r="J122" s="105"/>
      <c r="K122" s="301" t="str">
        <f>IF(J122="","",IF(VLOOKUP(J122,'G-3 Multipliers'!$L$3:$N$6,2,FALSE)=0,"Spatial Data Missing ⚠",VLOOKUP(J122,'G-3 Multipliers'!$L$3:$N$6,2,FALSE)))</f>
        <v/>
      </c>
      <c r="L122" s="287" t="str">
        <f>IF(J122="","",IF(VLOOKUP(J122,'G-3 Multipliers'!$L$3:$N$6,3,FALSE)=0,"Spatial Data Missing ⚠",VLOOKUP(J122,'G-3 Multipliers'!$L$3:$N$6,3,FALSE)))</f>
        <v/>
      </c>
      <c r="M122" s="281" t="str">
        <f>IF(OR(D122="",H122=""),"",(INDEX('G-6 Hedgerow Data'!$E$3:$I$15,MATCH(D122,'G-6 Hedgerow Data'!$B$3:$B$15,0),MATCH(H122,'G-6 Hedgerow Data'!$E$2:$I$2,0))))</f>
        <v/>
      </c>
      <c r="N122" s="137"/>
      <c r="O122" s="137"/>
      <c r="P122" s="289" t="str">
        <f t="shared" si="7"/>
        <v/>
      </c>
      <c r="Q122" s="302" t="str">
        <f t="shared" si="8"/>
        <v/>
      </c>
      <c r="R122" s="303" t="str">
        <f t="shared" si="6"/>
        <v/>
      </c>
      <c r="S122" s="317" t="str">
        <f>IF(D122="","",VLOOKUP(D122,'G-6 Hedgerow Data'!$B$3:$AG$15,31,FALSE))</f>
        <v/>
      </c>
      <c r="T122" s="289" t="str">
        <f t="shared" si="9"/>
        <v/>
      </c>
      <c r="U122" s="289" t="str">
        <f t="shared" si="10"/>
        <v/>
      </c>
      <c r="V122" s="305" t="str">
        <f>IF(D122="","",VLOOKUP(S122,'G-3 Multipliers'!$P$3:$Q$6,2,FALSE))</f>
        <v/>
      </c>
      <c r="W122" s="309" t="str">
        <f t="shared" si="11"/>
        <v/>
      </c>
      <c r="X122" s="105"/>
      <c r="Y122" s="119"/>
      <c r="Z122" s="108"/>
      <c r="AG122" s="30" t="str">
        <f>IFERROR(INDEX('G-6 Hedgerow Data'!$BJ$3:$BJ$15,MATCH(D122,'G-6 Hedgerow Data'!$B$3:$B$15,0)),"")</f>
        <v/>
      </c>
    </row>
    <row r="123" spans="2:33" ht="13.8" x14ac:dyDescent="0.25">
      <c r="B123" s="101">
        <v>112</v>
      </c>
      <c r="C123" s="144"/>
      <c r="D123" s="137"/>
      <c r="E123" s="119"/>
      <c r="F123" s="329" t="str">
        <f>IF(D123="","",VLOOKUP(D123,'G-6 Hedgerow Data'!$B$2:$AG$15,2,FALSE))</f>
        <v/>
      </c>
      <c r="G123" s="282" t="str">
        <f>IF(D123="","",VLOOKUP(D123,'G-6 Hedgerow Data'!$B$2:$AG$15,3,FALSE))</f>
        <v/>
      </c>
      <c r="H123" s="105"/>
      <c r="I123" s="282" t="str">
        <f>IFERROR(IF(H123="","",IF(AND(D123="Non-native and ornamental hedgerow", H123&lt;&gt;"Poor"),"Not possible ▲", (VLOOKUP(H123,'G-1 All Habitats'!$Z$2:$AA$9,2,FALSE)))),"")</f>
        <v/>
      </c>
      <c r="J123" s="105"/>
      <c r="K123" s="301" t="str">
        <f>IF(J123="","",IF(VLOOKUP(J123,'G-3 Multipliers'!$L$3:$N$6,2,FALSE)=0,"Spatial Data Missing ⚠",VLOOKUP(J123,'G-3 Multipliers'!$L$3:$N$6,2,FALSE)))</f>
        <v/>
      </c>
      <c r="L123" s="287" t="str">
        <f>IF(J123="","",IF(VLOOKUP(J123,'G-3 Multipliers'!$L$3:$N$6,3,FALSE)=0,"Spatial Data Missing ⚠",VLOOKUP(J123,'G-3 Multipliers'!$L$3:$N$6,3,FALSE)))</f>
        <v/>
      </c>
      <c r="M123" s="281" t="str">
        <f>IF(OR(D123="",H123=""),"",(INDEX('G-6 Hedgerow Data'!$E$3:$I$15,MATCH(D123,'G-6 Hedgerow Data'!$B$3:$B$15,0),MATCH(H123,'G-6 Hedgerow Data'!$E$2:$I$2,0))))</f>
        <v/>
      </c>
      <c r="N123" s="137"/>
      <c r="O123" s="137"/>
      <c r="P123" s="289" t="str">
        <f t="shared" si="7"/>
        <v/>
      </c>
      <c r="Q123" s="302" t="str">
        <f t="shared" si="8"/>
        <v/>
      </c>
      <c r="R123" s="303" t="str">
        <f t="shared" si="6"/>
        <v/>
      </c>
      <c r="S123" s="317" t="str">
        <f>IF(D123="","",VLOOKUP(D123,'G-6 Hedgerow Data'!$B$3:$AG$15,31,FALSE))</f>
        <v/>
      </c>
      <c r="T123" s="289" t="str">
        <f t="shared" si="9"/>
        <v/>
      </c>
      <c r="U123" s="289" t="str">
        <f t="shared" si="10"/>
        <v/>
      </c>
      <c r="V123" s="305" t="str">
        <f>IF(D123="","",VLOOKUP(S123,'G-3 Multipliers'!$P$3:$Q$6,2,FALSE))</f>
        <v/>
      </c>
      <c r="W123" s="309" t="str">
        <f t="shared" si="11"/>
        <v/>
      </c>
      <c r="X123" s="105"/>
      <c r="Y123" s="119"/>
      <c r="Z123" s="108"/>
      <c r="AG123" s="30" t="str">
        <f>IFERROR(INDEX('G-6 Hedgerow Data'!$BJ$3:$BJ$15,MATCH(D123,'G-6 Hedgerow Data'!$B$3:$B$15,0)),"")</f>
        <v/>
      </c>
    </row>
    <row r="124" spans="2:33" ht="13.8" x14ac:dyDescent="0.25">
      <c r="B124" s="101">
        <v>113</v>
      </c>
      <c r="C124" s="144"/>
      <c r="D124" s="137"/>
      <c r="E124" s="119"/>
      <c r="F124" s="329" t="str">
        <f>IF(D124="","",VLOOKUP(D124,'G-6 Hedgerow Data'!$B$2:$AG$15,2,FALSE))</f>
        <v/>
      </c>
      <c r="G124" s="282" t="str">
        <f>IF(D124="","",VLOOKUP(D124,'G-6 Hedgerow Data'!$B$2:$AG$15,3,FALSE))</f>
        <v/>
      </c>
      <c r="H124" s="105"/>
      <c r="I124" s="282" t="str">
        <f>IFERROR(IF(H124="","",IF(AND(D124="Non-native and ornamental hedgerow", H124&lt;&gt;"Poor"),"Not possible ▲", (VLOOKUP(H124,'G-1 All Habitats'!$Z$2:$AA$9,2,FALSE)))),"")</f>
        <v/>
      </c>
      <c r="J124" s="105"/>
      <c r="K124" s="301" t="str">
        <f>IF(J124="","",IF(VLOOKUP(J124,'G-3 Multipliers'!$L$3:$N$6,2,FALSE)=0,"Spatial Data Missing ⚠",VLOOKUP(J124,'G-3 Multipliers'!$L$3:$N$6,2,FALSE)))</f>
        <v/>
      </c>
      <c r="L124" s="287" t="str">
        <f>IF(J124="","",IF(VLOOKUP(J124,'G-3 Multipliers'!$L$3:$N$6,3,FALSE)=0,"Spatial Data Missing ⚠",VLOOKUP(J124,'G-3 Multipliers'!$L$3:$N$6,3,FALSE)))</f>
        <v/>
      </c>
      <c r="M124" s="281" t="str">
        <f>IF(OR(D124="",H124=""),"",(INDEX('G-6 Hedgerow Data'!$E$3:$I$15,MATCH(D124,'G-6 Hedgerow Data'!$B$3:$B$15,0),MATCH(H124,'G-6 Hedgerow Data'!$E$2:$I$2,0))))</f>
        <v/>
      </c>
      <c r="N124" s="137"/>
      <c r="O124" s="137"/>
      <c r="P124" s="289" t="str">
        <f t="shared" si="7"/>
        <v/>
      </c>
      <c r="Q124" s="302" t="str">
        <f t="shared" si="8"/>
        <v/>
      </c>
      <c r="R124" s="303" t="str">
        <f t="shared" si="6"/>
        <v/>
      </c>
      <c r="S124" s="317" t="str">
        <f>IF(D124="","",VLOOKUP(D124,'G-6 Hedgerow Data'!$B$3:$AG$15,31,FALSE))</f>
        <v/>
      </c>
      <c r="T124" s="289" t="str">
        <f t="shared" si="9"/>
        <v/>
      </c>
      <c r="U124" s="289" t="str">
        <f t="shared" si="10"/>
        <v/>
      </c>
      <c r="V124" s="305" t="str">
        <f>IF(D124="","",VLOOKUP(S124,'G-3 Multipliers'!$P$3:$Q$6,2,FALSE))</f>
        <v/>
      </c>
      <c r="W124" s="309" t="str">
        <f t="shared" si="11"/>
        <v/>
      </c>
      <c r="X124" s="105"/>
      <c r="Y124" s="119"/>
      <c r="Z124" s="108"/>
      <c r="AG124" s="30" t="str">
        <f>IFERROR(INDEX('G-6 Hedgerow Data'!$BJ$3:$BJ$15,MATCH(D124,'G-6 Hedgerow Data'!$B$3:$B$15,0)),"")</f>
        <v/>
      </c>
    </row>
    <row r="125" spans="2:33" ht="13.8" x14ac:dyDescent="0.25">
      <c r="B125" s="101">
        <v>114</v>
      </c>
      <c r="C125" s="144"/>
      <c r="D125" s="137"/>
      <c r="E125" s="119"/>
      <c r="F125" s="329" t="str">
        <f>IF(D125="","",VLOOKUP(D125,'G-6 Hedgerow Data'!$B$2:$AG$15,2,FALSE))</f>
        <v/>
      </c>
      <c r="G125" s="282" t="str">
        <f>IF(D125="","",VLOOKUP(D125,'G-6 Hedgerow Data'!$B$2:$AG$15,3,FALSE))</f>
        <v/>
      </c>
      <c r="H125" s="105"/>
      <c r="I125" s="282" t="str">
        <f>IFERROR(IF(H125="","",IF(AND(D125="Non-native and ornamental hedgerow", H125&lt;&gt;"Poor"),"Not possible ▲", (VLOOKUP(H125,'G-1 All Habitats'!$Z$2:$AA$9,2,FALSE)))),"")</f>
        <v/>
      </c>
      <c r="J125" s="105"/>
      <c r="K125" s="301" t="str">
        <f>IF(J125="","",IF(VLOOKUP(J125,'G-3 Multipliers'!$L$3:$N$6,2,FALSE)=0,"Spatial Data Missing ⚠",VLOOKUP(J125,'G-3 Multipliers'!$L$3:$N$6,2,FALSE)))</f>
        <v/>
      </c>
      <c r="L125" s="287" t="str">
        <f>IF(J125="","",IF(VLOOKUP(J125,'G-3 Multipliers'!$L$3:$N$6,3,FALSE)=0,"Spatial Data Missing ⚠",VLOOKUP(J125,'G-3 Multipliers'!$L$3:$N$6,3,FALSE)))</f>
        <v/>
      </c>
      <c r="M125" s="281" t="str">
        <f>IF(OR(D125="",H125=""),"",(INDEX('G-6 Hedgerow Data'!$E$3:$I$15,MATCH(D125,'G-6 Hedgerow Data'!$B$3:$B$15,0),MATCH(H125,'G-6 Hedgerow Data'!$E$2:$I$2,0))))</f>
        <v/>
      </c>
      <c r="N125" s="137"/>
      <c r="O125" s="137"/>
      <c r="P125" s="289" t="str">
        <f t="shared" si="7"/>
        <v/>
      </c>
      <c r="Q125" s="302" t="str">
        <f t="shared" si="8"/>
        <v/>
      </c>
      <c r="R125" s="303" t="str">
        <f t="shared" si="6"/>
        <v/>
      </c>
      <c r="S125" s="317" t="str">
        <f>IF(D125="","",VLOOKUP(D125,'G-6 Hedgerow Data'!$B$3:$AG$15,31,FALSE))</f>
        <v/>
      </c>
      <c r="T125" s="289" t="str">
        <f t="shared" si="9"/>
        <v/>
      </c>
      <c r="U125" s="289" t="str">
        <f t="shared" si="10"/>
        <v/>
      </c>
      <c r="V125" s="305" t="str">
        <f>IF(D125="","",VLOOKUP(S125,'G-3 Multipliers'!$P$3:$Q$6,2,FALSE))</f>
        <v/>
      </c>
      <c r="W125" s="309" t="str">
        <f t="shared" si="11"/>
        <v/>
      </c>
      <c r="X125" s="105"/>
      <c r="Y125" s="119"/>
      <c r="Z125" s="108"/>
      <c r="AG125" s="30" t="str">
        <f>IFERROR(INDEX('G-6 Hedgerow Data'!$BJ$3:$BJ$15,MATCH(D125,'G-6 Hedgerow Data'!$B$3:$B$15,0)),"")</f>
        <v/>
      </c>
    </row>
    <row r="126" spans="2:33" ht="13.8" x14ac:dyDescent="0.25">
      <c r="B126" s="101">
        <v>115</v>
      </c>
      <c r="C126" s="144"/>
      <c r="D126" s="137"/>
      <c r="E126" s="119"/>
      <c r="F126" s="329" t="str">
        <f>IF(D126="","",VLOOKUP(D126,'G-6 Hedgerow Data'!$B$2:$AG$15,2,FALSE))</f>
        <v/>
      </c>
      <c r="G126" s="282" t="str">
        <f>IF(D126="","",VLOOKUP(D126,'G-6 Hedgerow Data'!$B$2:$AG$15,3,FALSE))</f>
        <v/>
      </c>
      <c r="H126" s="105"/>
      <c r="I126" s="282" t="str">
        <f>IFERROR(IF(H126="","",IF(AND(D126="Non-native and ornamental hedgerow", H126&lt;&gt;"Poor"),"Not possible ▲", (VLOOKUP(H126,'G-1 All Habitats'!$Z$2:$AA$9,2,FALSE)))),"")</f>
        <v/>
      </c>
      <c r="J126" s="105"/>
      <c r="K126" s="301" t="str">
        <f>IF(J126="","",IF(VLOOKUP(J126,'G-3 Multipliers'!$L$3:$N$6,2,FALSE)=0,"Spatial Data Missing ⚠",VLOOKUP(J126,'G-3 Multipliers'!$L$3:$N$6,2,FALSE)))</f>
        <v/>
      </c>
      <c r="L126" s="287" t="str">
        <f>IF(J126="","",IF(VLOOKUP(J126,'G-3 Multipliers'!$L$3:$N$6,3,FALSE)=0,"Spatial Data Missing ⚠",VLOOKUP(J126,'G-3 Multipliers'!$L$3:$N$6,3,FALSE)))</f>
        <v/>
      </c>
      <c r="M126" s="281" t="str">
        <f>IF(OR(D126="",H126=""),"",(INDEX('G-6 Hedgerow Data'!$E$3:$I$15,MATCH(D126,'G-6 Hedgerow Data'!$B$3:$B$15,0),MATCH(H126,'G-6 Hedgerow Data'!$E$2:$I$2,0))))</f>
        <v/>
      </c>
      <c r="N126" s="137"/>
      <c r="O126" s="137"/>
      <c r="P126" s="289" t="str">
        <f t="shared" si="7"/>
        <v/>
      </c>
      <c r="Q126" s="302" t="str">
        <f t="shared" si="8"/>
        <v/>
      </c>
      <c r="R126" s="303" t="str">
        <f t="shared" si="6"/>
        <v/>
      </c>
      <c r="S126" s="317" t="str">
        <f>IF(D126="","",VLOOKUP(D126,'G-6 Hedgerow Data'!$B$3:$AG$15,31,FALSE))</f>
        <v/>
      </c>
      <c r="T126" s="289" t="str">
        <f t="shared" si="9"/>
        <v/>
      </c>
      <c r="U126" s="289" t="str">
        <f t="shared" si="10"/>
        <v/>
      </c>
      <c r="V126" s="305" t="str">
        <f>IF(D126="","",VLOOKUP(S126,'G-3 Multipliers'!$P$3:$Q$6,2,FALSE))</f>
        <v/>
      </c>
      <c r="W126" s="309" t="str">
        <f t="shared" si="11"/>
        <v/>
      </c>
      <c r="X126" s="105"/>
      <c r="Y126" s="119"/>
      <c r="Z126" s="108"/>
      <c r="AG126" s="30" t="str">
        <f>IFERROR(INDEX('G-6 Hedgerow Data'!$BJ$3:$BJ$15,MATCH(D126,'G-6 Hedgerow Data'!$B$3:$B$15,0)),"")</f>
        <v/>
      </c>
    </row>
    <row r="127" spans="2:33" ht="13.8" x14ac:dyDescent="0.25">
      <c r="B127" s="101">
        <v>116</v>
      </c>
      <c r="C127" s="144"/>
      <c r="D127" s="137"/>
      <c r="E127" s="119"/>
      <c r="F127" s="329" t="str">
        <f>IF(D127="","",VLOOKUP(D127,'G-6 Hedgerow Data'!$B$2:$AG$15,2,FALSE))</f>
        <v/>
      </c>
      <c r="G127" s="282" t="str">
        <f>IF(D127="","",VLOOKUP(D127,'G-6 Hedgerow Data'!$B$2:$AG$15,3,FALSE))</f>
        <v/>
      </c>
      <c r="H127" s="105"/>
      <c r="I127" s="282" t="str">
        <f>IFERROR(IF(H127="","",IF(AND(D127="Non-native and ornamental hedgerow", H127&lt;&gt;"Poor"),"Not possible ▲", (VLOOKUP(H127,'G-1 All Habitats'!$Z$2:$AA$9,2,FALSE)))),"")</f>
        <v/>
      </c>
      <c r="J127" s="105"/>
      <c r="K127" s="301" t="str">
        <f>IF(J127="","",IF(VLOOKUP(J127,'G-3 Multipliers'!$L$3:$N$6,2,FALSE)=0,"Spatial Data Missing ⚠",VLOOKUP(J127,'G-3 Multipliers'!$L$3:$N$6,2,FALSE)))</f>
        <v/>
      </c>
      <c r="L127" s="287" t="str">
        <f>IF(J127="","",IF(VLOOKUP(J127,'G-3 Multipliers'!$L$3:$N$6,3,FALSE)=0,"Spatial Data Missing ⚠",VLOOKUP(J127,'G-3 Multipliers'!$L$3:$N$6,3,FALSE)))</f>
        <v/>
      </c>
      <c r="M127" s="281" t="str">
        <f>IF(OR(D127="",H127=""),"",(INDEX('G-6 Hedgerow Data'!$E$3:$I$15,MATCH(D127,'G-6 Hedgerow Data'!$B$3:$B$15,0),MATCH(H127,'G-6 Hedgerow Data'!$E$2:$I$2,0))))</f>
        <v/>
      </c>
      <c r="N127" s="137"/>
      <c r="O127" s="137"/>
      <c r="P127" s="289" t="str">
        <f t="shared" si="7"/>
        <v/>
      </c>
      <c r="Q127" s="302" t="str">
        <f t="shared" si="8"/>
        <v/>
      </c>
      <c r="R127" s="303" t="str">
        <f t="shared" si="6"/>
        <v/>
      </c>
      <c r="S127" s="317" t="str">
        <f>IF(D127="","",VLOOKUP(D127,'G-6 Hedgerow Data'!$B$3:$AG$15,31,FALSE))</f>
        <v/>
      </c>
      <c r="T127" s="289" t="str">
        <f t="shared" si="9"/>
        <v/>
      </c>
      <c r="U127" s="289" t="str">
        <f t="shared" si="10"/>
        <v/>
      </c>
      <c r="V127" s="305" t="str">
        <f>IF(D127="","",VLOOKUP(S127,'G-3 Multipliers'!$P$3:$Q$6,2,FALSE))</f>
        <v/>
      </c>
      <c r="W127" s="309" t="str">
        <f t="shared" si="11"/>
        <v/>
      </c>
      <c r="X127" s="105"/>
      <c r="Y127" s="119"/>
      <c r="Z127" s="108"/>
      <c r="AG127" s="30" t="str">
        <f>IFERROR(INDEX('G-6 Hedgerow Data'!$BJ$3:$BJ$15,MATCH(D127,'G-6 Hedgerow Data'!$B$3:$B$15,0)),"")</f>
        <v/>
      </c>
    </row>
    <row r="128" spans="2:33" ht="13.8" x14ac:dyDescent="0.25">
      <c r="B128" s="101">
        <v>117</v>
      </c>
      <c r="C128" s="144"/>
      <c r="D128" s="137"/>
      <c r="E128" s="119"/>
      <c r="F128" s="329" t="str">
        <f>IF(D128="","",VLOOKUP(D128,'G-6 Hedgerow Data'!$B$2:$AG$15,2,FALSE))</f>
        <v/>
      </c>
      <c r="G128" s="282" t="str">
        <f>IF(D128="","",VLOOKUP(D128,'G-6 Hedgerow Data'!$B$2:$AG$15,3,FALSE))</f>
        <v/>
      </c>
      <c r="H128" s="105"/>
      <c r="I128" s="282" t="str">
        <f>IFERROR(IF(H128="","",IF(AND(D128="Non-native and ornamental hedgerow", H128&lt;&gt;"Poor"),"Not possible ▲", (VLOOKUP(H128,'G-1 All Habitats'!$Z$2:$AA$9,2,FALSE)))),"")</f>
        <v/>
      </c>
      <c r="J128" s="105"/>
      <c r="K128" s="301" t="str">
        <f>IF(J128="","",IF(VLOOKUP(J128,'G-3 Multipliers'!$L$3:$N$6,2,FALSE)=0,"Spatial Data Missing ⚠",VLOOKUP(J128,'G-3 Multipliers'!$L$3:$N$6,2,FALSE)))</f>
        <v/>
      </c>
      <c r="L128" s="287" t="str">
        <f>IF(J128="","",IF(VLOOKUP(J128,'G-3 Multipliers'!$L$3:$N$6,3,FALSE)=0,"Spatial Data Missing ⚠",VLOOKUP(J128,'G-3 Multipliers'!$L$3:$N$6,3,FALSE)))</f>
        <v/>
      </c>
      <c r="M128" s="281" t="str">
        <f>IF(OR(D128="",H128=""),"",(INDEX('G-6 Hedgerow Data'!$E$3:$I$15,MATCH(D128,'G-6 Hedgerow Data'!$B$3:$B$15,0),MATCH(H128,'G-6 Hedgerow Data'!$E$2:$I$2,0))))</f>
        <v/>
      </c>
      <c r="N128" s="137"/>
      <c r="O128" s="137"/>
      <c r="P128" s="289" t="str">
        <f t="shared" si="7"/>
        <v/>
      </c>
      <c r="Q128" s="302" t="str">
        <f t="shared" si="8"/>
        <v/>
      </c>
      <c r="R128" s="303" t="str">
        <f t="shared" si="6"/>
        <v/>
      </c>
      <c r="S128" s="317" t="str">
        <f>IF(D128="","",VLOOKUP(D128,'G-6 Hedgerow Data'!$B$3:$AG$15,31,FALSE))</f>
        <v/>
      </c>
      <c r="T128" s="289" t="str">
        <f t="shared" si="9"/>
        <v/>
      </c>
      <c r="U128" s="289" t="str">
        <f t="shared" si="10"/>
        <v/>
      </c>
      <c r="V128" s="305" t="str">
        <f>IF(D128="","",VLOOKUP(S128,'G-3 Multipliers'!$P$3:$Q$6,2,FALSE))</f>
        <v/>
      </c>
      <c r="W128" s="309" t="str">
        <f t="shared" si="11"/>
        <v/>
      </c>
      <c r="X128" s="105"/>
      <c r="Y128" s="119"/>
      <c r="Z128" s="108"/>
      <c r="AG128" s="30" t="str">
        <f>IFERROR(INDEX('G-6 Hedgerow Data'!$BJ$3:$BJ$15,MATCH(D128,'G-6 Hedgerow Data'!$B$3:$B$15,0)),"")</f>
        <v/>
      </c>
    </row>
    <row r="129" spans="2:33" ht="13.8" x14ac:dyDescent="0.25">
      <c r="B129" s="101">
        <v>118</v>
      </c>
      <c r="C129" s="144"/>
      <c r="D129" s="137"/>
      <c r="E129" s="119"/>
      <c r="F129" s="329" t="str">
        <f>IF(D129="","",VLOOKUP(D129,'G-6 Hedgerow Data'!$B$2:$AG$15,2,FALSE))</f>
        <v/>
      </c>
      <c r="G129" s="282" t="str">
        <f>IF(D129="","",VLOOKUP(D129,'G-6 Hedgerow Data'!$B$2:$AG$15,3,FALSE))</f>
        <v/>
      </c>
      <c r="H129" s="105"/>
      <c r="I129" s="282" t="str">
        <f>IFERROR(IF(H129="","",IF(AND(D129="Non-native and ornamental hedgerow", H129&lt;&gt;"Poor"),"Not possible ▲", (VLOOKUP(H129,'G-1 All Habitats'!$Z$2:$AA$9,2,FALSE)))),"")</f>
        <v/>
      </c>
      <c r="J129" s="105"/>
      <c r="K129" s="301" t="str">
        <f>IF(J129="","",IF(VLOOKUP(J129,'G-3 Multipliers'!$L$3:$N$6,2,FALSE)=0,"Spatial Data Missing ⚠",VLOOKUP(J129,'G-3 Multipliers'!$L$3:$N$6,2,FALSE)))</f>
        <v/>
      </c>
      <c r="L129" s="287" t="str">
        <f>IF(J129="","",IF(VLOOKUP(J129,'G-3 Multipliers'!$L$3:$N$6,3,FALSE)=0,"Spatial Data Missing ⚠",VLOOKUP(J129,'G-3 Multipliers'!$L$3:$N$6,3,FALSE)))</f>
        <v/>
      </c>
      <c r="M129" s="281" t="str">
        <f>IF(OR(D129="",H129=""),"",(INDEX('G-6 Hedgerow Data'!$E$3:$I$15,MATCH(D129,'G-6 Hedgerow Data'!$B$3:$B$15,0),MATCH(H129,'G-6 Hedgerow Data'!$E$2:$I$2,0))))</f>
        <v/>
      </c>
      <c r="N129" s="137"/>
      <c r="O129" s="137"/>
      <c r="P129" s="289" t="str">
        <f t="shared" si="7"/>
        <v/>
      </c>
      <c r="Q129" s="302" t="str">
        <f t="shared" si="8"/>
        <v/>
      </c>
      <c r="R129" s="303" t="str">
        <f t="shared" si="6"/>
        <v/>
      </c>
      <c r="S129" s="317" t="str">
        <f>IF(D129="","",VLOOKUP(D129,'G-6 Hedgerow Data'!$B$3:$AG$15,31,FALSE))</f>
        <v/>
      </c>
      <c r="T129" s="289" t="str">
        <f t="shared" si="9"/>
        <v/>
      </c>
      <c r="U129" s="289" t="str">
        <f t="shared" si="10"/>
        <v/>
      </c>
      <c r="V129" s="305" t="str">
        <f>IF(D129="","",VLOOKUP(S129,'G-3 Multipliers'!$P$3:$Q$6,2,FALSE))</f>
        <v/>
      </c>
      <c r="W129" s="309" t="str">
        <f t="shared" si="11"/>
        <v/>
      </c>
      <c r="X129" s="105"/>
      <c r="Y129" s="119"/>
      <c r="Z129" s="108"/>
      <c r="AG129" s="30" t="str">
        <f>IFERROR(INDEX('G-6 Hedgerow Data'!$BJ$3:$BJ$15,MATCH(D129,'G-6 Hedgerow Data'!$B$3:$B$15,0)),"")</f>
        <v/>
      </c>
    </row>
    <row r="130" spans="2:33" ht="13.8" x14ac:dyDescent="0.25">
      <c r="B130" s="101">
        <v>119</v>
      </c>
      <c r="C130" s="144"/>
      <c r="D130" s="137"/>
      <c r="E130" s="119"/>
      <c r="F130" s="329" t="str">
        <f>IF(D130="","",VLOOKUP(D130,'G-6 Hedgerow Data'!$B$2:$AG$15,2,FALSE))</f>
        <v/>
      </c>
      <c r="G130" s="282" t="str">
        <f>IF(D130="","",VLOOKUP(D130,'G-6 Hedgerow Data'!$B$2:$AG$15,3,FALSE))</f>
        <v/>
      </c>
      <c r="H130" s="105"/>
      <c r="I130" s="282" t="str">
        <f>IFERROR(IF(H130="","",IF(AND(D130="Non-native and ornamental hedgerow", H130&lt;&gt;"Poor"),"Not possible ▲", (VLOOKUP(H130,'G-1 All Habitats'!$Z$2:$AA$9,2,FALSE)))),"")</f>
        <v/>
      </c>
      <c r="J130" s="105"/>
      <c r="K130" s="301" t="str">
        <f>IF(J130="","",IF(VLOOKUP(J130,'G-3 Multipliers'!$L$3:$N$6,2,FALSE)=0,"Spatial Data Missing ⚠",VLOOKUP(J130,'G-3 Multipliers'!$L$3:$N$6,2,FALSE)))</f>
        <v/>
      </c>
      <c r="L130" s="287" t="str">
        <f>IF(J130="","",IF(VLOOKUP(J130,'G-3 Multipliers'!$L$3:$N$6,3,FALSE)=0,"Spatial Data Missing ⚠",VLOOKUP(J130,'G-3 Multipliers'!$L$3:$N$6,3,FALSE)))</f>
        <v/>
      </c>
      <c r="M130" s="281" t="str">
        <f>IF(OR(D130="",H130=""),"",(INDEX('G-6 Hedgerow Data'!$E$3:$I$15,MATCH(D130,'G-6 Hedgerow Data'!$B$3:$B$15,0),MATCH(H130,'G-6 Hedgerow Data'!$E$2:$I$2,0))))</f>
        <v/>
      </c>
      <c r="N130" s="137"/>
      <c r="O130" s="137"/>
      <c r="P130" s="289" t="str">
        <f t="shared" si="7"/>
        <v/>
      </c>
      <c r="Q130" s="302" t="str">
        <f t="shared" si="8"/>
        <v/>
      </c>
      <c r="R130" s="303" t="str">
        <f t="shared" si="6"/>
        <v/>
      </c>
      <c r="S130" s="317" t="str">
        <f>IF(D130="","",VLOOKUP(D130,'G-6 Hedgerow Data'!$B$3:$AG$15,31,FALSE))</f>
        <v/>
      </c>
      <c r="T130" s="289" t="str">
        <f t="shared" si="9"/>
        <v/>
      </c>
      <c r="U130" s="289" t="str">
        <f t="shared" si="10"/>
        <v/>
      </c>
      <c r="V130" s="305" t="str">
        <f>IF(D130="","",VLOOKUP(S130,'G-3 Multipliers'!$P$3:$Q$6,2,FALSE))</f>
        <v/>
      </c>
      <c r="W130" s="309" t="str">
        <f t="shared" si="11"/>
        <v/>
      </c>
      <c r="X130" s="105"/>
      <c r="Y130" s="119"/>
      <c r="Z130" s="108"/>
      <c r="AG130" s="30" t="str">
        <f>IFERROR(INDEX('G-6 Hedgerow Data'!$BJ$3:$BJ$15,MATCH(D130,'G-6 Hedgerow Data'!$B$3:$B$15,0)),"")</f>
        <v/>
      </c>
    </row>
    <row r="131" spans="2:33" ht="13.8" x14ac:dyDescent="0.25">
      <c r="B131" s="101">
        <v>120</v>
      </c>
      <c r="C131" s="144"/>
      <c r="D131" s="137"/>
      <c r="E131" s="119"/>
      <c r="F131" s="329" t="str">
        <f>IF(D131="","",VLOOKUP(D131,'G-6 Hedgerow Data'!$B$2:$AG$15,2,FALSE))</f>
        <v/>
      </c>
      <c r="G131" s="282" t="str">
        <f>IF(D131="","",VLOOKUP(D131,'G-6 Hedgerow Data'!$B$2:$AG$15,3,FALSE))</f>
        <v/>
      </c>
      <c r="H131" s="105"/>
      <c r="I131" s="282" t="str">
        <f>IFERROR(IF(H131="","",IF(AND(D131="Non-native and ornamental hedgerow", H131&lt;&gt;"Poor"),"Not possible ▲", (VLOOKUP(H131,'G-1 All Habitats'!$Z$2:$AA$9,2,FALSE)))),"")</f>
        <v/>
      </c>
      <c r="J131" s="105"/>
      <c r="K131" s="301" t="str">
        <f>IF(J131="","",IF(VLOOKUP(J131,'G-3 Multipliers'!$L$3:$N$6,2,FALSE)=0,"Spatial Data Missing ⚠",VLOOKUP(J131,'G-3 Multipliers'!$L$3:$N$6,2,FALSE)))</f>
        <v/>
      </c>
      <c r="L131" s="287" t="str">
        <f>IF(J131="","",IF(VLOOKUP(J131,'G-3 Multipliers'!$L$3:$N$6,3,FALSE)=0,"Spatial Data Missing ⚠",VLOOKUP(J131,'G-3 Multipliers'!$L$3:$N$6,3,FALSE)))</f>
        <v/>
      </c>
      <c r="M131" s="281" t="str">
        <f>IF(OR(D131="",H131=""),"",(INDEX('G-6 Hedgerow Data'!$E$3:$I$15,MATCH(D131,'G-6 Hedgerow Data'!$B$3:$B$15,0),MATCH(H131,'G-6 Hedgerow Data'!$E$2:$I$2,0))))</f>
        <v/>
      </c>
      <c r="N131" s="137"/>
      <c r="O131" s="137"/>
      <c r="P131" s="289" t="str">
        <f t="shared" si="7"/>
        <v/>
      </c>
      <c r="Q131" s="302" t="str">
        <f t="shared" si="8"/>
        <v/>
      </c>
      <c r="R131" s="303" t="str">
        <f t="shared" si="6"/>
        <v/>
      </c>
      <c r="S131" s="317" t="str">
        <f>IF(D131="","",VLOOKUP(D131,'G-6 Hedgerow Data'!$B$3:$AG$15,31,FALSE))</f>
        <v/>
      </c>
      <c r="T131" s="289" t="str">
        <f t="shared" si="9"/>
        <v/>
      </c>
      <c r="U131" s="289" t="str">
        <f t="shared" si="10"/>
        <v/>
      </c>
      <c r="V131" s="305" t="str">
        <f>IF(D131="","",VLOOKUP(S131,'G-3 Multipliers'!$P$3:$Q$6,2,FALSE))</f>
        <v/>
      </c>
      <c r="W131" s="309" t="str">
        <f t="shared" si="11"/>
        <v/>
      </c>
      <c r="X131" s="105"/>
      <c r="Y131" s="119"/>
      <c r="Z131" s="108"/>
      <c r="AG131" s="30" t="str">
        <f>IFERROR(INDEX('G-6 Hedgerow Data'!$BJ$3:$BJ$15,MATCH(D131,'G-6 Hedgerow Data'!$B$3:$B$15,0)),"")</f>
        <v/>
      </c>
    </row>
    <row r="132" spans="2:33" ht="13.8" x14ac:dyDescent="0.25">
      <c r="B132" s="101">
        <v>121</v>
      </c>
      <c r="C132" s="144"/>
      <c r="D132" s="137"/>
      <c r="E132" s="119"/>
      <c r="F132" s="329" t="str">
        <f>IF(D132="","",VLOOKUP(D132,'G-6 Hedgerow Data'!$B$2:$AG$15,2,FALSE))</f>
        <v/>
      </c>
      <c r="G132" s="282" t="str">
        <f>IF(D132="","",VLOOKUP(D132,'G-6 Hedgerow Data'!$B$2:$AG$15,3,FALSE))</f>
        <v/>
      </c>
      <c r="H132" s="105"/>
      <c r="I132" s="282" t="str">
        <f>IFERROR(IF(H132="","",IF(AND(D132="Non-native and ornamental hedgerow", H132&lt;&gt;"Poor"),"Not possible ▲", (VLOOKUP(H132,'G-1 All Habitats'!$Z$2:$AA$9,2,FALSE)))),"")</f>
        <v/>
      </c>
      <c r="J132" s="105"/>
      <c r="K132" s="301" t="str">
        <f>IF(J132="","",IF(VLOOKUP(J132,'G-3 Multipliers'!$L$3:$N$6,2,FALSE)=0,"Spatial Data Missing ⚠",VLOOKUP(J132,'G-3 Multipliers'!$L$3:$N$6,2,FALSE)))</f>
        <v/>
      </c>
      <c r="L132" s="287" t="str">
        <f>IF(J132="","",IF(VLOOKUP(J132,'G-3 Multipliers'!$L$3:$N$6,3,FALSE)=0,"Spatial Data Missing ⚠",VLOOKUP(J132,'G-3 Multipliers'!$L$3:$N$6,3,FALSE)))</f>
        <v/>
      </c>
      <c r="M132" s="281" t="str">
        <f>IF(OR(D132="",H132=""),"",(INDEX('G-6 Hedgerow Data'!$E$3:$I$15,MATCH(D132,'G-6 Hedgerow Data'!$B$3:$B$15,0),MATCH(H132,'G-6 Hedgerow Data'!$E$2:$I$2,0))))</f>
        <v/>
      </c>
      <c r="N132" s="137"/>
      <c r="O132" s="137"/>
      <c r="P132" s="289" t="str">
        <f t="shared" si="7"/>
        <v/>
      </c>
      <c r="Q132" s="302" t="str">
        <f t="shared" si="8"/>
        <v/>
      </c>
      <c r="R132" s="303" t="str">
        <f t="shared" si="6"/>
        <v/>
      </c>
      <c r="S132" s="317" t="str">
        <f>IF(D132="","",VLOOKUP(D132,'G-6 Hedgerow Data'!$B$3:$AG$15,31,FALSE))</f>
        <v/>
      </c>
      <c r="T132" s="289" t="str">
        <f t="shared" si="9"/>
        <v/>
      </c>
      <c r="U132" s="289" t="str">
        <f t="shared" si="10"/>
        <v/>
      </c>
      <c r="V132" s="305" t="str">
        <f>IF(D132="","",VLOOKUP(S132,'G-3 Multipliers'!$P$3:$Q$6,2,FALSE))</f>
        <v/>
      </c>
      <c r="W132" s="309" t="str">
        <f t="shared" si="11"/>
        <v/>
      </c>
      <c r="X132" s="105"/>
      <c r="Y132" s="119"/>
      <c r="Z132" s="108"/>
      <c r="AG132" s="30" t="str">
        <f>IFERROR(INDEX('G-6 Hedgerow Data'!$BJ$3:$BJ$15,MATCH(D132,'G-6 Hedgerow Data'!$B$3:$B$15,0)),"")</f>
        <v/>
      </c>
    </row>
    <row r="133" spans="2:33" ht="13.8" x14ac:dyDescent="0.25">
      <c r="B133" s="101">
        <v>122</v>
      </c>
      <c r="C133" s="144"/>
      <c r="D133" s="137"/>
      <c r="E133" s="119"/>
      <c r="F133" s="329" t="str">
        <f>IF(D133="","",VLOOKUP(D133,'G-6 Hedgerow Data'!$B$2:$AG$15,2,FALSE))</f>
        <v/>
      </c>
      <c r="G133" s="282" t="str">
        <f>IF(D133="","",VLOOKUP(D133,'G-6 Hedgerow Data'!$B$2:$AG$15,3,FALSE))</f>
        <v/>
      </c>
      <c r="H133" s="105"/>
      <c r="I133" s="282" t="str">
        <f>IFERROR(IF(H133="","",IF(AND(D133="Non-native and ornamental hedgerow", H133&lt;&gt;"Poor"),"Not possible ▲", (VLOOKUP(H133,'G-1 All Habitats'!$Z$2:$AA$9,2,FALSE)))),"")</f>
        <v/>
      </c>
      <c r="J133" s="105"/>
      <c r="K133" s="301" t="str">
        <f>IF(J133="","",IF(VLOOKUP(J133,'G-3 Multipliers'!$L$3:$N$6,2,FALSE)=0,"Spatial Data Missing ⚠",VLOOKUP(J133,'G-3 Multipliers'!$L$3:$N$6,2,FALSE)))</f>
        <v/>
      </c>
      <c r="L133" s="287" t="str">
        <f>IF(J133="","",IF(VLOOKUP(J133,'G-3 Multipliers'!$L$3:$N$6,3,FALSE)=0,"Spatial Data Missing ⚠",VLOOKUP(J133,'G-3 Multipliers'!$L$3:$N$6,3,FALSE)))</f>
        <v/>
      </c>
      <c r="M133" s="281" t="str">
        <f>IF(OR(D133="",H133=""),"",(INDEX('G-6 Hedgerow Data'!$E$3:$I$15,MATCH(D133,'G-6 Hedgerow Data'!$B$3:$B$15,0),MATCH(H133,'G-6 Hedgerow Data'!$E$2:$I$2,0))))</f>
        <v/>
      </c>
      <c r="N133" s="137"/>
      <c r="O133" s="137"/>
      <c r="P133" s="289" t="str">
        <f t="shared" si="7"/>
        <v/>
      </c>
      <c r="Q133" s="302" t="str">
        <f t="shared" si="8"/>
        <v/>
      </c>
      <c r="R133" s="303" t="str">
        <f t="shared" si="6"/>
        <v/>
      </c>
      <c r="S133" s="317" t="str">
        <f>IF(D133="","",VLOOKUP(D133,'G-6 Hedgerow Data'!$B$3:$AG$15,31,FALSE))</f>
        <v/>
      </c>
      <c r="T133" s="289" t="str">
        <f t="shared" si="9"/>
        <v/>
      </c>
      <c r="U133" s="289" t="str">
        <f t="shared" si="10"/>
        <v/>
      </c>
      <c r="V133" s="305" t="str">
        <f>IF(D133="","",VLOOKUP(S133,'G-3 Multipliers'!$P$3:$Q$6,2,FALSE))</f>
        <v/>
      </c>
      <c r="W133" s="309" t="str">
        <f t="shared" si="11"/>
        <v/>
      </c>
      <c r="X133" s="105"/>
      <c r="Y133" s="119"/>
      <c r="Z133" s="108"/>
      <c r="AG133" s="30" t="str">
        <f>IFERROR(INDEX('G-6 Hedgerow Data'!$BJ$3:$BJ$15,MATCH(D133,'G-6 Hedgerow Data'!$B$3:$B$15,0)),"")</f>
        <v/>
      </c>
    </row>
    <row r="134" spans="2:33" ht="13.8" x14ac:dyDescent="0.25">
      <c r="B134" s="101">
        <v>123</v>
      </c>
      <c r="C134" s="144"/>
      <c r="D134" s="137"/>
      <c r="E134" s="119"/>
      <c r="F134" s="329" t="str">
        <f>IF(D134="","",VLOOKUP(D134,'G-6 Hedgerow Data'!$B$2:$AG$15,2,FALSE))</f>
        <v/>
      </c>
      <c r="G134" s="282" t="str">
        <f>IF(D134="","",VLOOKUP(D134,'G-6 Hedgerow Data'!$B$2:$AG$15,3,FALSE))</f>
        <v/>
      </c>
      <c r="H134" s="105"/>
      <c r="I134" s="282" t="str">
        <f>IFERROR(IF(H134="","",IF(AND(D134="Non-native and ornamental hedgerow", H134&lt;&gt;"Poor"),"Not possible ▲", (VLOOKUP(H134,'G-1 All Habitats'!$Z$2:$AA$9,2,FALSE)))),"")</f>
        <v/>
      </c>
      <c r="J134" s="105"/>
      <c r="K134" s="301" t="str">
        <f>IF(J134="","",IF(VLOOKUP(J134,'G-3 Multipliers'!$L$3:$N$6,2,FALSE)=0,"Spatial Data Missing ⚠",VLOOKUP(J134,'G-3 Multipliers'!$L$3:$N$6,2,FALSE)))</f>
        <v/>
      </c>
      <c r="L134" s="287" t="str">
        <f>IF(J134="","",IF(VLOOKUP(J134,'G-3 Multipliers'!$L$3:$N$6,3,FALSE)=0,"Spatial Data Missing ⚠",VLOOKUP(J134,'G-3 Multipliers'!$L$3:$N$6,3,FALSE)))</f>
        <v/>
      </c>
      <c r="M134" s="281" t="str">
        <f>IF(OR(D134="",H134=""),"",(INDEX('G-6 Hedgerow Data'!$E$3:$I$15,MATCH(D134,'G-6 Hedgerow Data'!$B$3:$B$15,0),MATCH(H134,'G-6 Hedgerow Data'!$E$2:$I$2,0))))</f>
        <v/>
      </c>
      <c r="N134" s="137"/>
      <c r="O134" s="137"/>
      <c r="P134" s="289" t="str">
        <f t="shared" si="7"/>
        <v/>
      </c>
      <c r="Q134" s="302" t="str">
        <f t="shared" si="8"/>
        <v/>
      </c>
      <c r="R134" s="303" t="str">
        <f t="shared" si="6"/>
        <v/>
      </c>
      <c r="S134" s="317" t="str">
        <f>IF(D134="","",VLOOKUP(D134,'G-6 Hedgerow Data'!$B$3:$AG$15,31,FALSE))</f>
        <v/>
      </c>
      <c r="T134" s="289" t="str">
        <f t="shared" si="9"/>
        <v/>
      </c>
      <c r="U134" s="289" t="str">
        <f t="shared" si="10"/>
        <v/>
      </c>
      <c r="V134" s="305" t="str">
        <f>IF(D134="","",VLOOKUP(S134,'G-3 Multipliers'!$P$3:$Q$6,2,FALSE))</f>
        <v/>
      </c>
      <c r="W134" s="309" t="str">
        <f t="shared" si="11"/>
        <v/>
      </c>
      <c r="X134" s="105"/>
      <c r="Y134" s="119"/>
      <c r="Z134" s="108"/>
      <c r="AG134" s="30" t="str">
        <f>IFERROR(INDEX('G-6 Hedgerow Data'!$BJ$3:$BJ$15,MATCH(D134,'G-6 Hedgerow Data'!$B$3:$B$15,0)),"")</f>
        <v/>
      </c>
    </row>
    <row r="135" spans="2:33" ht="13.8" x14ac:dyDescent="0.25">
      <c r="B135" s="101">
        <v>124</v>
      </c>
      <c r="C135" s="144"/>
      <c r="D135" s="137"/>
      <c r="E135" s="119"/>
      <c r="F135" s="329" t="str">
        <f>IF(D135="","",VLOOKUP(D135,'G-6 Hedgerow Data'!$B$2:$AG$15,2,FALSE))</f>
        <v/>
      </c>
      <c r="G135" s="282" t="str">
        <f>IF(D135="","",VLOOKUP(D135,'G-6 Hedgerow Data'!$B$2:$AG$15,3,FALSE))</f>
        <v/>
      </c>
      <c r="H135" s="105"/>
      <c r="I135" s="282" t="str">
        <f>IFERROR(IF(H135="","",IF(AND(D135="Non-native and ornamental hedgerow", H135&lt;&gt;"Poor"),"Not possible ▲", (VLOOKUP(H135,'G-1 All Habitats'!$Z$2:$AA$9,2,FALSE)))),"")</f>
        <v/>
      </c>
      <c r="J135" s="105"/>
      <c r="K135" s="301" t="str">
        <f>IF(J135="","",IF(VLOOKUP(J135,'G-3 Multipliers'!$L$3:$N$6,2,FALSE)=0,"Spatial Data Missing ⚠",VLOOKUP(J135,'G-3 Multipliers'!$L$3:$N$6,2,FALSE)))</f>
        <v/>
      </c>
      <c r="L135" s="287" t="str">
        <f>IF(J135="","",IF(VLOOKUP(J135,'G-3 Multipliers'!$L$3:$N$6,3,FALSE)=0,"Spatial Data Missing ⚠",VLOOKUP(J135,'G-3 Multipliers'!$L$3:$N$6,3,FALSE)))</f>
        <v/>
      </c>
      <c r="M135" s="281" t="str">
        <f>IF(OR(D135="",H135=""),"",(INDEX('G-6 Hedgerow Data'!$E$3:$I$15,MATCH(D135,'G-6 Hedgerow Data'!$B$3:$B$15,0),MATCH(H135,'G-6 Hedgerow Data'!$E$2:$I$2,0))))</f>
        <v/>
      </c>
      <c r="N135" s="137"/>
      <c r="O135" s="137"/>
      <c r="P135" s="289" t="str">
        <f t="shared" si="7"/>
        <v/>
      </c>
      <c r="Q135" s="302" t="str">
        <f t="shared" si="8"/>
        <v/>
      </c>
      <c r="R135" s="303" t="str">
        <f t="shared" si="6"/>
        <v/>
      </c>
      <c r="S135" s="317" t="str">
        <f>IF(D135="","",VLOOKUP(D135,'G-6 Hedgerow Data'!$B$3:$AG$15,31,FALSE))</f>
        <v/>
      </c>
      <c r="T135" s="289" t="str">
        <f t="shared" si="9"/>
        <v/>
      </c>
      <c r="U135" s="289" t="str">
        <f t="shared" si="10"/>
        <v/>
      </c>
      <c r="V135" s="305" t="str">
        <f>IF(D135="","",VLOOKUP(S135,'G-3 Multipliers'!$P$3:$Q$6,2,FALSE))</f>
        <v/>
      </c>
      <c r="W135" s="309" t="str">
        <f t="shared" si="11"/>
        <v/>
      </c>
      <c r="X135" s="105"/>
      <c r="Y135" s="119"/>
      <c r="Z135" s="108"/>
      <c r="AG135" s="30" t="str">
        <f>IFERROR(INDEX('G-6 Hedgerow Data'!$BJ$3:$BJ$15,MATCH(D135,'G-6 Hedgerow Data'!$B$3:$B$15,0)),"")</f>
        <v/>
      </c>
    </row>
    <row r="136" spans="2:33" ht="13.8" x14ac:dyDescent="0.25">
      <c r="B136" s="101">
        <v>125</v>
      </c>
      <c r="C136" s="144"/>
      <c r="D136" s="137"/>
      <c r="E136" s="119"/>
      <c r="F136" s="329" t="str">
        <f>IF(D136="","",VLOOKUP(D136,'G-6 Hedgerow Data'!$B$2:$AG$15,2,FALSE))</f>
        <v/>
      </c>
      <c r="G136" s="282" t="str">
        <f>IF(D136="","",VLOOKUP(D136,'G-6 Hedgerow Data'!$B$2:$AG$15,3,FALSE))</f>
        <v/>
      </c>
      <c r="H136" s="105"/>
      <c r="I136" s="282" t="str">
        <f>IFERROR(IF(H136="","",IF(AND(D136="Non-native and ornamental hedgerow", H136&lt;&gt;"Poor"),"Not possible ▲", (VLOOKUP(H136,'G-1 All Habitats'!$Z$2:$AA$9,2,FALSE)))),"")</f>
        <v/>
      </c>
      <c r="J136" s="105"/>
      <c r="K136" s="301" t="str">
        <f>IF(J136="","",IF(VLOOKUP(J136,'G-3 Multipliers'!$L$3:$N$6,2,FALSE)=0,"Spatial Data Missing ⚠",VLOOKUP(J136,'G-3 Multipliers'!$L$3:$N$6,2,FALSE)))</f>
        <v/>
      </c>
      <c r="L136" s="287" t="str">
        <f>IF(J136="","",IF(VLOOKUP(J136,'G-3 Multipliers'!$L$3:$N$6,3,FALSE)=0,"Spatial Data Missing ⚠",VLOOKUP(J136,'G-3 Multipliers'!$L$3:$N$6,3,FALSE)))</f>
        <v/>
      </c>
      <c r="M136" s="281" t="str">
        <f>IF(OR(D136="",H136=""),"",(INDEX('G-6 Hedgerow Data'!$E$3:$I$15,MATCH(D136,'G-6 Hedgerow Data'!$B$3:$B$15,0),MATCH(H136,'G-6 Hedgerow Data'!$E$2:$I$2,0))))</f>
        <v/>
      </c>
      <c r="N136" s="137"/>
      <c r="O136" s="137"/>
      <c r="P136" s="289" t="str">
        <f t="shared" si="7"/>
        <v/>
      </c>
      <c r="Q136" s="302" t="str">
        <f t="shared" si="8"/>
        <v/>
      </c>
      <c r="R136" s="303" t="str">
        <f t="shared" si="6"/>
        <v/>
      </c>
      <c r="S136" s="317" t="str">
        <f>IF(D136="","",VLOOKUP(D136,'G-6 Hedgerow Data'!$B$3:$AG$15,31,FALSE))</f>
        <v/>
      </c>
      <c r="T136" s="289" t="str">
        <f t="shared" si="9"/>
        <v/>
      </c>
      <c r="U136" s="289" t="str">
        <f t="shared" si="10"/>
        <v/>
      </c>
      <c r="V136" s="305" t="str">
        <f>IF(D136="","",VLOOKUP(S136,'G-3 Multipliers'!$P$3:$Q$6,2,FALSE))</f>
        <v/>
      </c>
      <c r="W136" s="309" t="str">
        <f t="shared" si="11"/>
        <v/>
      </c>
      <c r="X136" s="105"/>
      <c r="Y136" s="119"/>
      <c r="Z136" s="108"/>
      <c r="AG136" s="30" t="str">
        <f>IFERROR(INDEX('G-6 Hedgerow Data'!$BJ$3:$BJ$15,MATCH(D136,'G-6 Hedgerow Data'!$B$3:$B$15,0)),"")</f>
        <v/>
      </c>
    </row>
    <row r="137" spans="2:33" ht="13.8" x14ac:dyDescent="0.25">
      <c r="B137" s="101">
        <v>126</v>
      </c>
      <c r="C137" s="144"/>
      <c r="D137" s="137"/>
      <c r="E137" s="119"/>
      <c r="F137" s="329" t="str">
        <f>IF(D137="","",VLOOKUP(D137,'G-6 Hedgerow Data'!$B$2:$AG$15,2,FALSE))</f>
        <v/>
      </c>
      <c r="G137" s="282" t="str">
        <f>IF(D137="","",VLOOKUP(D137,'G-6 Hedgerow Data'!$B$2:$AG$15,3,FALSE))</f>
        <v/>
      </c>
      <c r="H137" s="105"/>
      <c r="I137" s="282" t="str">
        <f>IFERROR(IF(H137="","",IF(AND(D137="Non-native and ornamental hedgerow", H137&lt;&gt;"Poor"),"Not possible ▲", (VLOOKUP(H137,'G-1 All Habitats'!$Z$2:$AA$9,2,FALSE)))),"")</f>
        <v/>
      </c>
      <c r="J137" s="105"/>
      <c r="K137" s="301" t="str">
        <f>IF(J137="","",IF(VLOOKUP(J137,'G-3 Multipliers'!$L$3:$N$6,2,FALSE)=0,"Spatial Data Missing ⚠",VLOOKUP(J137,'G-3 Multipliers'!$L$3:$N$6,2,FALSE)))</f>
        <v/>
      </c>
      <c r="L137" s="287" t="str">
        <f>IF(J137="","",IF(VLOOKUP(J137,'G-3 Multipliers'!$L$3:$N$6,3,FALSE)=0,"Spatial Data Missing ⚠",VLOOKUP(J137,'G-3 Multipliers'!$L$3:$N$6,3,FALSE)))</f>
        <v/>
      </c>
      <c r="M137" s="281" t="str">
        <f>IF(OR(D137="",H137=""),"",(INDEX('G-6 Hedgerow Data'!$E$3:$I$15,MATCH(D137,'G-6 Hedgerow Data'!$B$3:$B$15,0),MATCH(H137,'G-6 Hedgerow Data'!$E$2:$I$2,0))))</f>
        <v/>
      </c>
      <c r="N137" s="137"/>
      <c r="O137" s="137"/>
      <c r="P137" s="289" t="str">
        <f t="shared" si="7"/>
        <v/>
      </c>
      <c r="Q137" s="302" t="str">
        <f t="shared" si="8"/>
        <v/>
      </c>
      <c r="R137" s="303" t="str">
        <f t="shared" si="6"/>
        <v/>
      </c>
      <c r="S137" s="317" t="str">
        <f>IF(D137="","",VLOOKUP(D137,'G-6 Hedgerow Data'!$B$3:$AG$15,31,FALSE))</f>
        <v/>
      </c>
      <c r="T137" s="289" t="str">
        <f t="shared" si="9"/>
        <v/>
      </c>
      <c r="U137" s="289" t="str">
        <f t="shared" si="10"/>
        <v/>
      </c>
      <c r="V137" s="305" t="str">
        <f>IF(D137="","",VLOOKUP(S137,'G-3 Multipliers'!$P$3:$Q$6,2,FALSE))</f>
        <v/>
      </c>
      <c r="W137" s="309" t="str">
        <f t="shared" si="11"/>
        <v/>
      </c>
      <c r="X137" s="105"/>
      <c r="Y137" s="119"/>
      <c r="Z137" s="108"/>
      <c r="AG137" s="30" t="str">
        <f>IFERROR(INDEX('G-6 Hedgerow Data'!$BJ$3:$BJ$15,MATCH(D137,'G-6 Hedgerow Data'!$B$3:$B$15,0)),"")</f>
        <v/>
      </c>
    </row>
    <row r="138" spans="2:33" ht="13.8" x14ac:dyDescent="0.25">
      <c r="B138" s="101">
        <v>127</v>
      </c>
      <c r="C138" s="144"/>
      <c r="D138" s="137"/>
      <c r="E138" s="119"/>
      <c r="F138" s="329" t="str">
        <f>IF(D138="","",VLOOKUP(D138,'G-6 Hedgerow Data'!$B$2:$AG$15,2,FALSE))</f>
        <v/>
      </c>
      <c r="G138" s="282" t="str">
        <f>IF(D138="","",VLOOKUP(D138,'G-6 Hedgerow Data'!$B$2:$AG$15,3,FALSE))</f>
        <v/>
      </c>
      <c r="H138" s="105"/>
      <c r="I138" s="282" t="str">
        <f>IFERROR(IF(H138="","",IF(AND(D138="Non-native and ornamental hedgerow", H138&lt;&gt;"Poor"),"Not possible ▲", (VLOOKUP(H138,'G-1 All Habitats'!$Z$2:$AA$9,2,FALSE)))),"")</f>
        <v/>
      </c>
      <c r="J138" s="105"/>
      <c r="K138" s="301" t="str">
        <f>IF(J138="","",IF(VLOOKUP(J138,'G-3 Multipliers'!$L$3:$N$6,2,FALSE)=0,"Spatial Data Missing ⚠",VLOOKUP(J138,'G-3 Multipliers'!$L$3:$N$6,2,FALSE)))</f>
        <v/>
      </c>
      <c r="L138" s="287" t="str">
        <f>IF(J138="","",IF(VLOOKUP(J138,'G-3 Multipliers'!$L$3:$N$6,3,FALSE)=0,"Spatial Data Missing ⚠",VLOOKUP(J138,'G-3 Multipliers'!$L$3:$N$6,3,FALSE)))</f>
        <v/>
      </c>
      <c r="M138" s="281" t="str">
        <f>IF(OR(D138="",H138=""),"",(INDEX('G-6 Hedgerow Data'!$E$3:$I$15,MATCH(D138,'G-6 Hedgerow Data'!$B$3:$B$15,0),MATCH(H138,'G-6 Hedgerow Data'!$E$2:$I$2,0))))</f>
        <v/>
      </c>
      <c r="N138" s="137"/>
      <c r="O138" s="137"/>
      <c r="P138" s="289" t="str">
        <f t="shared" si="7"/>
        <v/>
      </c>
      <c r="Q138" s="302" t="str">
        <f t="shared" si="8"/>
        <v/>
      </c>
      <c r="R138" s="303" t="str">
        <f t="shared" si="6"/>
        <v/>
      </c>
      <c r="S138" s="317" t="str">
        <f>IF(D138="","",VLOOKUP(D138,'G-6 Hedgerow Data'!$B$3:$AG$15,31,FALSE))</f>
        <v/>
      </c>
      <c r="T138" s="289" t="str">
        <f t="shared" si="9"/>
        <v/>
      </c>
      <c r="U138" s="289" t="str">
        <f t="shared" si="10"/>
        <v/>
      </c>
      <c r="V138" s="305" t="str">
        <f>IF(D138="","",VLOOKUP(S138,'G-3 Multipliers'!$P$3:$Q$6,2,FALSE))</f>
        <v/>
      </c>
      <c r="W138" s="309" t="str">
        <f t="shared" si="11"/>
        <v/>
      </c>
      <c r="X138" s="105"/>
      <c r="Y138" s="119"/>
      <c r="Z138" s="108"/>
      <c r="AG138" s="30" t="str">
        <f>IFERROR(INDEX('G-6 Hedgerow Data'!$BJ$3:$BJ$15,MATCH(D138,'G-6 Hedgerow Data'!$B$3:$B$15,0)),"")</f>
        <v/>
      </c>
    </row>
    <row r="139" spans="2:33" ht="13.8" x14ac:dyDescent="0.25">
      <c r="B139" s="101">
        <v>128</v>
      </c>
      <c r="C139" s="144"/>
      <c r="D139" s="137"/>
      <c r="E139" s="119"/>
      <c r="F139" s="329" t="str">
        <f>IF(D139="","",VLOOKUP(D139,'G-6 Hedgerow Data'!$B$2:$AG$15,2,FALSE))</f>
        <v/>
      </c>
      <c r="G139" s="282" t="str">
        <f>IF(D139="","",VLOOKUP(D139,'G-6 Hedgerow Data'!$B$2:$AG$15,3,FALSE))</f>
        <v/>
      </c>
      <c r="H139" s="105"/>
      <c r="I139" s="282" t="str">
        <f>IFERROR(IF(H139="","",IF(AND(D139="Non-native and ornamental hedgerow", H139&lt;&gt;"Poor"),"Not possible ▲", (VLOOKUP(H139,'G-1 All Habitats'!$Z$2:$AA$9,2,FALSE)))),"")</f>
        <v/>
      </c>
      <c r="J139" s="105"/>
      <c r="K139" s="301" t="str">
        <f>IF(J139="","",IF(VLOOKUP(J139,'G-3 Multipliers'!$L$3:$N$6,2,FALSE)=0,"Spatial Data Missing ⚠",VLOOKUP(J139,'G-3 Multipliers'!$L$3:$N$6,2,FALSE)))</f>
        <v/>
      </c>
      <c r="L139" s="287" t="str">
        <f>IF(J139="","",IF(VLOOKUP(J139,'G-3 Multipliers'!$L$3:$N$6,3,FALSE)=0,"Spatial Data Missing ⚠",VLOOKUP(J139,'G-3 Multipliers'!$L$3:$N$6,3,FALSE)))</f>
        <v/>
      </c>
      <c r="M139" s="281" t="str">
        <f>IF(OR(D139="",H139=""),"",(INDEX('G-6 Hedgerow Data'!$E$3:$I$15,MATCH(D139,'G-6 Hedgerow Data'!$B$3:$B$15,0),MATCH(H139,'G-6 Hedgerow Data'!$E$2:$I$2,0))))</f>
        <v/>
      </c>
      <c r="N139" s="137"/>
      <c r="O139" s="137"/>
      <c r="P139" s="289" t="str">
        <f t="shared" si="7"/>
        <v/>
      </c>
      <c r="Q139" s="302" t="str">
        <f t="shared" si="8"/>
        <v/>
      </c>
      <c r="R139" s="303" t="str">
        <f t="shared" si="6"/>
        <v/>
      </c>
      <c r="S139" s="317" t="str">
        <f>IF(D139="","",VLOOKUP(D139,'G-6 Hedgerow Data'!$B$3:$AG$15,31,FALSE))</f>
        <v/>
      </c>
      <c r="T139" s="289" t="str">
        <f t="shared" si="9"/>
        <v/>
      </c>
      <c r="U139" s="289" t="str">
        <f t="shared" si="10"/>
        <v/>
      </c>
      <c r="V139" s="305" t="str">
        <f>IF(D139="","",VLOOKUP(S139,'G-3 Multipliers'!$P$3:$Q$6,2,FALSE))</f>
        <v/>
      </c>
      <c r="W139" s="309" t="str">
        <f t="shared" si="11"/>
        <v/>
      </c>
      <c r="X139" s="105"/>
      <c r="Y139" s="119"/>
      <c r="Z139" s="108"/>
      <c r="AG139" s="30" t="str">
        <f>IFERROR(INDEX('G-6 Hedgerow Data'!$BJ$3:$BJ$15,MATCH(D139,'G-6 Hedgerow Data'!$B$3:$B$15,0)),"")</f>
        <v/>
      </c>
    </row>
    <row r="140" spans="2:33" ht="13.8" x14ac:dyDescent="0.25">
      <c r="B140" s="101">
        <v>129</v>
      </c>
      <c r="C140" s="144"/>
      <c r="D140" s="137"/>
      <c r="E140" s="119"/>
      <c r="F140" s="329" t="str">
        <f>IF(D140="","",VLOOKUP(D140,'G-6 Hedgerow Data'!$B$2:$AG$15,2,FALSE))</f>
        <v/>
      </c>
      <c r="G140" s="282" t="str">
        <f>IF(D140="","",VLOOKUP(D140,'G-6 Hedgerow Data'!$B$2:$AG$15,3,FALSE))</f>
        <v/>
      </c>
      <c r="H140" s="105"/>
      <c r="I140" s="282" t="str">
        <f>IFERROR(IF(H140="","",IF(AND(D140="Non-native and ornamental hedgerow", H140&lt;&gt;"Poor"),"Not possible ▲", (VLOOKUP(H140,'G-1 All Habitats'!$Z$2:$AA$9,2,FALSE)))),"")</f>
        <v/>
      </c>
      <c r="J140" s="105"/>
      <c r="K140" s="301" t="str">
        <f>IF(J140="","",IF(VLOOKUP(J140,'G-3 Multipliers'!$L$3:$N$6,2,FALSE)=0,"Spatial Data Missing ⚠",VLOOKUP(J140,'G-3 Multipliers'!$L$3:$N$6,2,FALSE)))</f>
        <v/>
      </c>
      <c r="L140" s="287" t="str">
        <f>IF(J140="","",IF(VLOOKUP(J140,'G-3 Multipliers'!$L$3:$N$6,3,FALSE)=0,"Spatial Data Missing ⚠",VLOOKUP(J140,'G-3 Multipliers'!$L$3:$N$6,3,FALSE)))</f>
        <v/>
      </c>
      <c r="M140" s="281" t="str">
        <f>IF(OR(D140="",H140=""),"",(INDEX('G-6 Hedgerow Data'!$E$3:$I$15,MATCH(D140,'G-6 Hedgerow Data'!$B$3:$B$15,0),MATCH(H140,'G-6 Hedgerow Data'!$E$2:$I$2,0))))</f>
        <v/>
      </c>
      <c r="N140" s="137"/>
      <c r="O140" s="137"/>
      <c r="P140" s="289" t="str">
        <f t="shared" si="7"/>
        <v/>
      </c>
      <c r="Q140" s="302" t="str">
        <f t="shared" si="8"/>
        <v/>
      </c>
      <c r="R140" s="303" t="str">
        <f t="shared" ref="R140:R203" si="12">IF(M140="","",IF(Q140="Check Data ⚠","Check Data ⚠",VLOOKUP(Q140,TemporalMultipliers,3,FALSE)))</f>
        <v/>
      </c>
      <c r="S140" s="317" t="str">
        <f>IF(D140="","",VLOOKUP(D140,'G-6 Hedgerow Data'!$B$3:$AG$15,31,FALSE))</f>
        <v/>
      </c>
      <c r="T140" s="289" t="str">
        <f t="shared" si="9"/>
        <v/>
      </c>
      <c r="U140" s="289" t="str">
        <f t="shared" si="10"/>
        <v/>
      </c>
      <c r="V140" s="305" t="str">
        <f>IF(D140="","",VLOOKUP(S140,'G-3 Multipliers'!$P$3:$Q$6,2,FALSE))</f>
        <v/>
      </c>
      <c r="W140" s="309" t="str">
        <f t="shared" si="11"/>
        <v/>
      </c>
      <c r="X140" s="105"/>
      <c r="Y140" s="119"/>
      <c r="Z140" s="108"/>
      <c r="AG140" s="30" t="str">
        <f>IFERROR(INDEX('G-6 Hedgerow Data'!$BJ$3:$BJ$15,MATCH(D140,'G-6 Hedgerow Data'!$B$3:$B$15,0)),"")</f>
        <v/>
      </c>
    </row>
    <row r="141" spans="2:33" ht="13.8" x14ac:dyDescent="0.25">
      <c r="B141" s="101">
        <v>130</v>
      </c>
      <c r="C141" s="144"/>
      <c r="D141" s="137"/>
      <c r="E141" s="119"/>
      <c r="F141" s="329" t="str">
        <f>IF(D141="","",VLOOKUP(D141,'G-6 Hedgerow Data'!$B$2:$AG$15,2,FALSE))</f>
        <v/>
      </c>
      <c r="G141" s="282" t="str">
        <f>IF(D141="","",VLOOKUP(D141,'G-6 Hedgerow Data'!$B$2:$AG$15,3,FALSE))</f>
        <v/>
      </c>
      <c r="H141" s="105"/>
      <c r="I141" s="282" t="str">
        <f>IFERROR(IF(H141="","",IF(AND(D141="Non-native and ornamental hedgerow", H141&lt;&gt;"Poor"),"Not possible ▲", (VLOOKUP(H141,'G-1 All Habitats'!$Z$2:$AA$9,2,FALSE)))),"")</f>
        <v/>
      </c>
      <c r="J141" s="105"/>
      <c r="K141" s="301" t="str">
        <f>IF(J141="","",IF(VLOOKUP(J141,'G-3 Multipliers'!$L$3:$N$6,2,FALSE)=0,"Spatial Data Missing ⚠",VLOOKUP(J141,'G-3 Multipliers'!$L$3:$N$6,2,FALSE)))</f>
        <v/>
      </c>
      <c r="L141" s="287" t="str">
        <f>IF(J141="","",IF(VLOOKUP(J141,'G-3 Multipliers'!$L$3:$N$6,3,FALSE)=0,"Spatial Data Missing ⚠",VLOOKUP(J141,'G-3 Multipliers'!$L$3:$N$6,3,FALSE)))</f>
        <v/>
      </c>
      <c r="M141" s="281" t="str">
        <f>IF(OR(D141="",H141=""),"",(INDEX('G-6 Hedgerow Data'!$E$3:$I$15,MATCH(D141,'G-6 Hedgerow Data'!$B$3:$B$15,0),MATCH(H141,'G-6 Hedgerow Data'!$E$2:$I$2,0))))</f>
        <v/>
      </c>
      <c r="N141" s="137"/>
      <c r="O141" s="137"/>
      <c r="P141" s="289"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02" t="str">
        <f t="shared" ref="Q141:Q204" si="14">IF(M141="","",IF(P141="Error -both advance and delayed habitat creation ▲","Check Data ⚠", IF(M141="Not possible ▲", "Check Data ⚠", IF(OR(N141="30+",N141="Habitat already in target condition"),0,IF(O141="30+","30+",IF(AND(M141="30+",OR(N141="",N141=0)),"30+",IF(AND(M141="30+",N141&gt;0),30-N141,IF(M141+O141&gt;30,"30+",IF(M141+O141-N141&gt;0,M141+O141-N141,IF(M141-N141&lt;0,0,M141+O141-N141))))))))))</f>
        <v/>
      </c>
      <c r="R141" s="303" t="str">
        <f t="shared" si="12"/>
        <v/>
      </c>
      <c r="S141" s="317" t="str">
        <f>IF(D141="","",VLOOKUP(D141,'G-6 Hedgerow Data'!$B$3:$AG$15,31,FALSE))</f>
        <v/>
      </c>
      <c r="T141" s="289" t="str">
        <f t="shared" ref="T141:T204" si="15">IF(D141="","",IF(Q141="Check Data ⚠","Check Data ⚠",IF(H141="","",IF($P141="Check details - Is there evidence that habitat has reached target condition? ⚠","Low Difficulty - only applicable if all habitat created before losses ⚠","Standard difficulty applied"))))</f>
        <v/>
      </c>
      <c r="U141" s="289" t="str">
        <f t="shared" ref="U141:U204" si="16">(IF(AND(T141="Standard difficulty applied",M141&gt;N141),S141,IF(Q141="Check data ⚠", "Check data ⚠", IF(AND(T141="Low Difficulty - only applicable if all habitat created before losses ⚠",Q141&lt;=0),"Low",S141))))</f>
        <v/>
      </c>
      <c r="V141" s="305" t="str">
        <f>IF(D141="","",VLOOKUP(S141,'G-3 Multipliers'!$P$3:$Q$6,2,FALSE))</f>
        <v/>
      </c>
      <c r="W141" s="309" t="str">
        <f t="shared" ref="W141:W204" si="17">IFERROR(E141*G141*I141*L141*R141*V141,"")</f>
        <v/>
      </c>
      <c r="X141" s="105"/>
      <c r="Y141" s="119"/>
      <c r="Z141" s="108"/>
      <c r="AG141" s="30" t="str">
        <f>IFERROR(INDEX('G-6 Hedgerow Data'!$BJ$3:$BJ$15,MATCH(D141,'G-6 Hedgerow Data'!$B$3:$B$15,0)),"")</f>
        <v/>
      </c>
    </row>
    <row r="142" spans="2:33" ht="13.8" x14ac:dyDescent="0.25">
      <c r="B142" s="101">
        <v>131</v>
      </c>
      <c r="C142" s="144"/>
      <c r="D142" s="137"/>
      <c r="E142" s="119"/>
      <c r="F142" s="329" t="str">
        <f>IF(D142="","",VLOOKUP(D142,'G-6 Hedgerow Data'!$B$2:$AG$15,2,FALSE))</f>
        <v/>
      </c>
      <c r="G142" s="282" t="str">
        <f>IF(D142="","",VLOOKUP(D142,'G-6 Hedgerow Data'!$B$2:$AG$15,3,FALSE))</f>
        <v/>
      </c>
      <c r="H142" s="105"/>
      <c r="I142" s="282" t="str">
        <f>IFERROR(IF(H142="","",IF(AND(D142="Non-native and ornamental hedgerow", H142&lt;&gt;"Poor"),"Not possible ▲", (VLOOKUP(H142,'G-1 All Habitats'!$Z$2:$AA$9,2,FALSE)))),"")</f>
        <v/>
      </c>
      <c r="J142" s="105"/>
      <c r="K142" s="301" t="str">
        <f>IF(J142="","",IF(VLOOKUP(J142,'G-3 Multipliers'!$L$3:$N$6,2,FALSE)=0,"Spatial Data Missing ⚠",VLOOKUP(J142,'G-3 Multipliers'!$L$3:$N$6,2,FALSE)))</f>
        <v/>
      </c>
      <c r="L142" s="287" t="str">
        <f>IF(J142="","",IF(VLOOKUP(J142,'G-3 Multipliers'!$L$3:$N$6,3,FALSE)=0,"Spatial Data Missing ⚠",VLOOKUP(J142,'G-3 Multipliers'!$L$3:$N$6,3,FALSE)))</f>
        <v/>
      </c>
      <c r="M142" s="281" t="str">
        <f>IF(OR(D142="",H142=""),"",(INDEX('G-6 Hedgerow Data'!$E$3:$I$15,MATCH(D142,'G-6 Hedgerow Data'!$B$3:$B$15,0),MATCH(H142,'G-6 Hedgerow Data'!$E$2:$I$2,0))))</f>
        <v/>
      </c>
      <c r="N142" s="137"/>
      <c r="O142" s="137"/>
      <c r="P142" s="289" t="str">
        <f t="shared" si="13"/>
        <v/>
      </c>
      <c r="Q142" s="302" t="str">
        <f t="shared" si="14"/>
        <v/>
      </c>
      <c r="R142" s="303" t="str">
        <f t="shared" si="12"/>
        <v/>
      </c>
      <c r="S142" s="317" t="str">
        <f>IF(D142="","",VLOOKUP(D142,'G-6 Hedgerow Data'!$B$3:$AG$15,31,FALSE))</f>
        <v/>
      </c>
      <c r="T142" s="289" t="str">
        <f t="shared" si="15"/>
        <v/>
      </c>
      <c r="U142" s="289" t="str">
        <f t="shared" si="16"/>
        <v/>
      </c>
      <c r="V142" s="305" t="str">
        <f>IF(D142="","",VLOOKUP(S142,'G-3 Multipliers'!$P$3:$Q$6,2,FALSE))</f>
        <v/>
      </c>
      <c r="W142" s="309" t="str">
        <f t="shared" si="17"/>
        <v/>
      </c>
      <c r="X142" s="105"/>
      <c r="Y142" s="119"/>
      <c r="Z142" s="108"/>
      <c r="AG142" s="30" t="str">
        <f>IFERROR(INDEX('G-6 Hedgerow Data'!$BJ$3:$BJ$15,MATCH(D142,'G-6 Hedgerow Data'!$B$3:$B$15,0)),"")</f>
        <v/>
      </c>
    </row>
    <row r="143" spans="2:33" ht="13.8" x14ac:dyDescent="0.25">
      <c r="B143" s="101">
        <v>132</v>
      </c>
      <c r="C143" s="144"/>
      <c r="D143" s="137"/>
      <c r="E143" s="119"/>
      <c r="F143" s="329" t="str">
        <f>IF(D143="","",VLOOKUP(D143,'G-6 Hedgerow Data'!$B$2:$AG$15,2,FALSE))</f>
        <v/>
      </c>
      <c r="G143" s="282" t="str">
        <f>IF(D143="","",VLOOKUP(D143,'G-6 Hedgerow Data'!$B$2:$AG$15,3,FALSE))</f>
        <v/>
      </c>
      <c r="H143" s="105"/>
      <c r="I143" s="282" t="str">
        <f>IFERROR(IF(H143="","",IF(AND(D143="Non-native and ornamental hedgerow", H143&lt;&gt;"Poor"),"Not possible ▲", (VLOOKUP(H143,'G-1 All Habitats'!$Z$2:$AA$9,2,FALSE)))),"")</f>
        <v/>
      </c>
      <c r="J143" s="105"/>
      <c r="K143" s="301" t="str">
        <f>IF(J143="","",IF(VLOOKUP(J143,'G-3 Multipliers'!$L$3:$N$6,2,FALSE)=0,"Spatial Data Missing ⚠",VLOOKUP(J143,'G-3 Multipliers'!$L$3:$N$6,2,FALSE)))</f>
        <v/>
      </c>
      <c r="L143" s="287" t="str">
        <f>IF(J143="","",IF(VLOOKUP(J143,'G-3 Multipliers'!$L$3:$N$6,3,FALSE)=0,"Spatial Data Missing ⚠",VLOOKUP(J143,'G-3 Multipliers'!$L$3:$N$6,3,FALSE)))</f>
        <v/>
      </c>
      <c r="M143" s="281" t="str">
        <f>IF(OR(D143="",H143=""),"",(INDEX('G-6 Hedgerow Data'!$E$3:$I$15,MATCH(D143,'G-6 Hedgerow Data'!$B$3:$B$15,0),MATCH(H143,'G-6 Hedgerow Data'!$E$2:$I$2,0))))</f>
        <v/>
      </c>
      <c r="N143" s="137"/>
      <c r="O143" s="137"/>
      <c r="P143" s="289" t="str">
        <f t="shared" si="13"/>
        <v/>
      </c>
      <c r="Q143" s="302" t="str">
        <f t="shared" si="14"/>
        <v/>
      </c>
      <c r="R143" s="303" t="str">
        <f t="shared" si="12"/>
        <v/>
      </c>
      <c r="S143" s="317" t="str">
        <f>IF(D143="","",VLOOKUP(D143,'G-6 Hedgerow Data'!$B$3:$AG$15,31,FALSE))</f>
        <v/>
      </c>
      <c r="T143" s="289" t="str">
        <f t="shared" si="15"/>
        <v/>
      </c>
      <c r="U143" s="289" t="str">
        <f t="shared" si="16"/>
        <v/>
      </c>
      <c r="V143" s="305" t="str">
        <f>IF(D143="","",VLOOKUP(S143,'G-3 Multipliers'!$P$3:$Q$6,2,FALSE))</f>
        <v/>
      </c>
      <c r="W143" s="309" t="str">
        <f t="shared" si="17"/>
        <v/>
      </c>
      <c r="X143" s="105"/>
      <c r="Y143" s="119"/>
      <c r="Z143" s="108"/>
      <c r="AG143" s="30" t="str">
        <f>IFERROR(INDEX('G-6 Hedgerow Data'!$BJ$3:$BJ$15,MATCH(D143,'G-6 Hedgerow Data'!$B$3:$B$15,0)),"")</f>
        <v/>
      </c>
    </row>
    <row r="144" spans="2:33" ht="13.8" x14ac:dyDescent="0.25">
      <c r="B144" s="101">
        <v>133</v>
      </c>
      <c r="C144" s="144"/>
      <c r="D144" s="137"/>
      <c r="E144" s="119"/>
      <c r="F144" s="329" t="str">
        <f>IF(D144="","",VLOOKUP(D144,'G-6 Hedgerow Data'!$B$2:$AG$15,2,FALSE))</f>
        <v/>
      </c>
      <c r="G144" s="282" t="str">
        <f>IF(D144="","",VLOOKUP(D144,'G-6 Hedgerow Data'!$B$2:$AG$15,3,FALSE))</f>
        <v/>
      </c>
      <c r="H144" s="105"/>
      <c r="I144" s="282" t="str">
        <f>IFERROR(IF(H144="","",IF(AND(D144="Non-native and ornamental hedgerow", H144&lt;&gt;"Poor"),"Not possible ▲", (VLOOKUP(H144,'G-1 All Habitats'!$Z$2:$AA$9,2,FALSE)))),"")</f>
        <v/>
      </c>
      <c r="J144" s="105"/>
      <c r="K144" s="301" t="str">
        <f>IF(J144="","",IF(VLOOKUP(J144,'G-3 Multipliers'!$L$3:$N$6,2,FALSE)=0,"Spatial Data Missing ⚠",VLOOKUP(J144,'G-3 Multipliers'!$L$3:$N$6,2,FALSE)))</f>
        <v/>
      </c>
      <c r="L144" s="287" t="str">
        <f>IF(J144="","",IF(VLOOKUP(J144,'G-3 Multipliers'!$L$3:$N$6,3,FALSE)=0,"Spatial Data Missing ⚠",VLOOKUP(J144,'G-3 Multipliers'!$L$3:$N$6,3,FALSE)))</f>
        <v/>
      </c>
      <c r="M144" s="281" t="str">
        <f>IF(OR(D144="",H144=""),"",(INDEX('G-6 Hedgerow Data'!$E$3:$I$15,MATCH(D144,'G-6 Hedgerow Data'!$B$3:$B$15,0),MATCH(H144,'G-6 Hedgerow Data'!$E$2:$I$2,0))))</f>
        <v/>
      </c>
      <c r="N144" s="137"/>
      <c r="O144" s="137"/>
      <c r="P144" s="289" t="str">
        <f t="shared" si="13"/>
        <v/>
      </c>
      <c r="Q144" s="302" t="str">
        <f t="shared" si="14"/>
        <v/>
      </c>
      <c r="R144" s="303" t="str">
        <f t="shared" si="12"/>
        <v/>
      </c>
      <c r="S144" s="317" t="str">
        <f>IF(D144="","",VLOOKUP(D144,'G-6 Hedgerow Data'!$B$3:$AG$15,31,FALSE))</f>
        <v/>
      </c>
      <c r="T144" s="289" t="str">
        <f t="shared" si="15"/>
        <v/>
      </c>
      <c r="U144" s="289" t="str">
        <f t="shared" si="16"/>
        <v/>
      </c>
      <c r="V144" s="305" t="str">
        <f>IF(D144="","",VLOOKUP(S144,'G-3 Multipliers'!$P$3:$Q$6,2,FALSE))</f>
        <v/>
      </c>
      <c r="W144" s="309" t="str">
        <f t="shared" si="17"/>
        <v/>
      </c>
      <c r="X144" s="105"/>
      <c r="Y144" s="119"/>
      <c r="Z144" s="108"/>
      <c r="AG144" s="30" t="str">
        <f>IFERROR(INDEX('G-6 Hedgerow Data'!$BJ$3:$BJ$15,MATCH(D144,'G-6 Hedgerow Data'!$B$3:$B$15,0)),"")</f>
        <v/>
      </c>
    </row>
    <row r="145" spans="2:33" ht="13.8" x14ac:dyDescent="0.25">
      <c r="B145" s="101">
        <v>134</v>
      </c>
      <c r="C145" s="144"/>
      <c r="D145" s="137"/>
      <c r="E145" s="119"/>
      <c r="F145" s="329" t="str">
        <f>IF(D145="","",VLOOKUP(D145,'G-6 Hedgerow Data'!$B$2:$AG$15,2,FALSE))</f>
        <v/>
      </c>
      <c r="G145" s="282" t="str">
        <f>IF(D145="","",VLOOKUP(D145,'G-6 Hedgerow Data'!$B$2:$AG$15,3,FALSE))</f>
        <v/>
      </c>
      <c r="H145" s="105"/>
      <c r="I145" s="282" t="str">
        <f>IFERROR(IF(H145="","",IF(AND(D145="Non-native and ornamental hedgerow", H145&lt;&gt;"Poor"),"Not possible ▲", (VLOOKUP(H145,'G-1 All Habitats'!$Z$2:$AA$9,2,FALSE)))),"")</f>
        <v/>
      </c>
      <c r="J145" s="105"/>
      <c r="K145" s="301" t="str">
        <f>IF(J145="","",IF(VLOOKUP(J145,'G-3 Multipliers'!$L$3:$N$6,2,FALSE)=0,"Spatial Data Missing ⚠",VLOOKUP(J145,'G-3 Multipliers'!$L$3:$N$6,2,FALSE)))</f>
        <v/>
      </c>
      <c r="L145" s="287" t="str">
        <f>IF(J145="","",IF(VLOOKUP(J145,'G-3 Multipliers'!$L$3:$N$6,3,FALSE)=0,"Spatial Data Missing ⚠",VLOOKUP(J145,'G-3 Multipliers'!$L$3:$N$6,3,FALSE)))</f>
        <v/>
      </c>
      <c r="M145" s="281" t="str">
        <f>IF(OR(D145="",H145=""),"",(INDEX('G-6 Hedgerow Data'!$E$3:$I$15,MATCH(D145,'G-6 Hedgerow Data'!$B$3:$B$15,0),MATCH(H145,'G-6 Hedgerow Data'!$E$2:$I$2,0))))</f>
        <v/>
      </c>
      <c r="N145" s="137"/>
      <c r="O145" s="137"/>
      <c r="P145" s="289" t="str">
        <f t="shared" si="13"/>
        <v/>
      </c>
      <c r="Q145" s="302" t="str">
        <f t="shared" si="14"/>
        <v/>
      </c>
      <c r="R145" s="303" t="str">
        <f t="shared" si="12"/>
        <v/>
      </c>
      <c r="S145" s="317" t="str">
        <f>IF(D145="","",VLOOKUP(D145,'G-6 Hedgerow Data'!$B$3:$AG$15,31,FALSE))</f>
        <v/>
      </c>
      <c r="T145" s="289" t="str">
        <f t="shared" si="15"/>
        <v/>
      </c>
      <c r="U145" s="289" t="str">
        <f t="shared" si="16"/>
        <v/>
      </c>
      <c r="V145" s="305" t="str">
        <f>IF(D145="","",VLOOKUP(S145,'G-3 Multipliers'!$P$3:$Q$6,2,FALSE))</f>
        <v/>
      </c>
      <c r="W145" s="309" t="str">
        <f t="shared" si="17"/>
        <v/>
      </c>
      <c r="X145" s="105"/>
      <c r="Y145" s="119"/>
      <c r="Z145" s="108"/>
      <c r="AG145" s="30" t="str">
        <f>IFERROR(INDEX('G-6 Hedgerow Data'!$BJ$3:$BJ$15,MATCH(D145,'G-6 Hedgerow Data'!$B$3:$B$15,0)),"")</f>
        <v/>
      </c>
    </row>
    <row r="146" spans="2:33" ht="13.8" x14ac:dyDescent="0.25">
      <c r="B146" s="101">
        <v>135</v>
      </c>
      <c r="C146" s="144"/>
      <c r="D146" s="137"/>
      <c r="E146" s="119"/>
      <c r="F146" s="329" t="str">
        <f>IF(D146="","",VLOOKUP(D146,'G-6 Hedgerow Data'!$B$2:$AG$15,2,FALSE))</f>
        <v/>
      </c>
      <c r="G146" s="282" t="str">
        <f>IF(D146="","",VLOOKUP(D146,'G-6 Hedgerow Data'!$B$2:$AG$15,3,FALSE))</f>
        <v/>
      </c>
      <c r="H146" s="105"/>
      <c r="I146" s="282" t="str">
        <f>IFERROR(IF(H146="","",IF(AND(D146="Non-native and ornamental hedgerow", H146&lt;&gt;"Poor"),"Not possible ▲", (VLOOKUP(H146,'G-1 All Habitats'!$Z$2:$AA$9,2,FALSE)))),"")</f>
        <v/>
      </c>
      <c r="J146" s="105"/>
      <c r="K146" s="301" t="str">
        <f>IF(J146="","",IF(VLOOKUP(J146,'G-3 Multipliers'!$L$3:$N$6,2,FALSE)=0,"Spatial Data Missing ⚠",VLOOKUP(J146,'G-3 Multipliers'!$L$3:$N$6,2,FALSE)))</f>
        <v/>
      </c>
      <c r="L146" s="287" t="str">
        <f>IF(J146="","",IF(VLOOKUP(J146,'G-3 Multipliers'!$L$3:$N$6,3,FALSE)=0,"Spatial Data Missing ⚠",VLOOKUP(J146,'G-3 Multipliers'!$L$3:$N$6,3,FALSE)))</f>
        <v/>
      </c>
      <c r="M146" s="281" t="str">
        <f>IF(OR(D146="",H146=""),"",(INDEX('G-6 Hedgerow Data'!$E$3:$I$15,MATCH(D146,'G-6 Hedgerow Data'!$B$3:$B$15,0),MATCH(H146,'G-6 Hedgerow Data'!$E$2:$I$2,0))))</f>
        <v/>
      </c>
      <c r="N146" s="137"/>
      <c r="O146" s="137"/>
      <c r="P146" s="289" t="str">
        <f t="shared" si="13"/>
        <v/>
      </c>
      <c r="Q146" s="302" t="str">
        <f t="shared" si="14"/>
        <v/>
      </c>
      <c r="R146" s="303" t="str">
        <f t="shared" si="12"/>
        <v/>
      </c>
      <c r="S146" s="317" t="str">
        <f>IF(D146="","",VLOOKUP(D146,'G-6 Hedgerow Data'!$B$3:$AG$15,31,FALSE))</f>
        <v/>
      </c>
      <c r="T146" s="289" t="str">
        <f t="shared" si="15"/>
        <v/>
      </c>
      <c r="U146" s="289" t="str">
        <f t="shared" si="16"/>
        <v/>
      </c>
      <c r="V146" s="305" t="str">
        <f>IF(D146="","",VLOOKUP(S146,'G-3 Multipliers'!$P$3:$Q$6,2,FALSE))</f>
        <v/>
      </c>
      <c r="W146" s="309" t="str">
        <f t="shared" si="17"/>
        <v/>
      </c>
      <c r="X146" s="105"/>
      <c r="Y146" s="119"/>
      <c r="Z146" s="108"/>
      <c r="AG146" s="30" t="str">
        <f>IFERROR(INDEX('G-6 Hedgerow Data'!$BJ$3:$BJ$15,MATCH(D146,'G-6 Hedgerow Data'!$B$3:$B$15,0)),"")</f>
        <v/>
      </c>
    </row>
    <row r="147" spans="2:33" ht="13.8" x14ac:dyDescent="0.25">
      <c r="B147" s="101">
        <v>136</v>
      </c>
      <c r="C147" s="144"/>
      <c r="D147" s="137"/>
      <c r="E147" s="119"/>
      <c r="F147" s="329" t="str">
        <f>IF(D147="","",VLOOKUP(D147,'G-6 Hedgerow Data'!$B$2:$AG$15,2,FALSE))</f>
        <v/>
      </c>
      <c r="G147" s="282" t="str">
        <f>IF(D147="","",VLOOKUP(D147,'G-6 Hedgerow Data'!$B$2:$AG$15,3,FALSE))</f>
        <v/>
      </c>
      <c r="H147" s="105"/>
      <c r="I147" s="282" t="str">
        <f>IFERROR(IF(H147="","",IF(AND(D147="Non-native and ornamental hedgerow", H147&lt;&gt;"Poor"),"Not possible ▲", (VLOOKUP(H147,'G-1 All Habitats'!$Z$2:$AA$9,2,FALSE)))),"")</f>
        <v/>
      </c>
      <c r="J147" s="105"/>
      <c r="K147" s="301" t="str">
        <f>IF(J147="","",IF(VLOOKUP(J147,'G-3 Multipliers'!$L$3:$N$6,2,FALSE)=0,"Spatial Data Missing ⚠",VLOOKUP(J147,'G-3 Multipliers'!$L$3:$N$6,2,FALSE)))</f>
        <v/>
      </c>
      <c r="L147" s="287" t="str">
        <f>IF(J147="","",IF(VLOOKUP(J147,'G-3 Multipliers'!$L$3:$N$6,3,FALSE)=0,"Spatial Data Missing ⚠",VLOOKUP(J147,'G-3 Multipliers'!$L$3:$N$6,3,FALSE)))</f>
        <v/>
      </c>
      <c r="M147" s="281" t="str">
        <f>IF(OR(D147="",H147=""),"",(INDEX('G-6 Hedgerow Data'!$E$3:$I$15,MATCH(D147,'G-6 Hedgerow Data'!$B$3:$B$15,0),MATCH(H147,'G-6 Hedgerow Data'!$E$2:$I$2,0))))</f>
        <v/>
      </c>
      <c r="N147" s="137"/>
      <c r="O147" s="137"/>
      <c r="P147" s="289" t="str">
        <f t="shared" si="13"/>
        <v/>
      </c>
      <c r="Q147" s="302" t="str">
        <f t="shared" si="14"/>
        <v/>
      </c>
      <c r="R147" s="303" t="str">
        <f t="shared" si="12"/>
        <v/>
      </c>
      <c r="S147" s="317" t="str">
        <f>IF(D147="","",VLOOKUP(D147,'G-6 Hedgerow Data'!$B$3:$AG$15,31,FALSE))</f>
        <v/>
      </c>
      <c r="T147" s="289" t="str">
        <f t="shared" si="15"/>
        <v/>
      </c>
      <c r="U147" s="289" t="str">
        <f t="shared" si="16"/>
        <v/>
      </c>
      <c r="V147" s="305" t="str">
        <f>IF(D147="","",VLOOKUP(S147,'G-3 Multipliers'!$P$3:$Q$6,2,FALSE))</f>
        <v/>
      </c>
      <c r="W147" s="309" t="str">
        <f t="shared" si="17"/>
        <v/>
      </c>
      <c r="X147" s="105"/>
      <c r="Y147" s="119"/>
      <c r="Z147" s="108"/>
      <c r="AG147" s="30" t="str">
        <f>IFERROR(INDEX('G-6 Hedgerow Data'!$BJ$3:$BJ$15,MATCH(D147,'G-6 Hedgerow Data'!$B$3:$B$15,0)),"")</f>
        <v/>
      </c>
    </row>
    <row r="148" spans="2:33" ht="13.8" x14ac:dyDescent="0.25">
      <c r="B148" s="101">
        <v>137</v>
      </c>
      <c r="C148" s="144"/>
      <c r="D148" s="137"/>
      <c r="E148" s="119"/>
      <c r="F148" s="329" t="str">
        <f>IF(D148="","",VLOOKUP(D148,'G-6 Hedgerow Data'!$B$2:$AG$15,2,FALSE))</f>
        <v/>
      </c>
      <c r="G148" s="282" t="str">
        <f>IF(D148="","",VLOOKUP(D148,'G-6 Hedgerow Data'!$B$2:$AG$15,3,FALSE))</f>
        <v/>
      </c>
      <c r="H148" s="105"/>
      <c r="I148" s="282" t="str">
        <f>IFERROR(IF(H148="","",IF(AND(D148="Non-native and ornamental hedgerow", H148&lt;&gt;"Poor"),"Not possible ▲", (VLOOKUP(H148,'G-1 All Habitats'!$Z$2:$AA$9,2,FALSE)))),"")</f>
        <v/>
      </c>
      <c r="J148" s="105"/>
      <c r="K148" s="301" t="str">
        <f>IF(J148="","",IF(VLOOKUP(J148,'G-3 Multipliers'!$L$3:$N$6,2,FALSE)=0,"Spatial Data Missing ⚠",VLOOKUP(J148,'G-3 Multipliers'!$L$3:$N$6,2,FALSE)))</f>
        <v/>
      </c>
      <c r="L148" s="287" t="str">
        <f>IF(J148="","",IF(VLOOKUP(J148,'G-3 Multipliers'!$L$3:$N$6,3,FALSE)=0,"Spatial Data Missing ⚠",VLOOKUP(J148,'G-3 Multipliers'!$L$3:$N$6,3,FALSE)))</f>
        <v/>
      </c>
      <c r="M148" s="281" t="str">
        <f>IF(OR(D148="",H148=""),"",(INDEX('G-6 Hedgerow Data'!$E$3:$I$15,MATCH(D148,'G-6 Hedgerow Data'!$B$3:$B$15,0),MATCH(H148,'G-6 Hedgerow Data'!$E$2:$I$2,0))))</f>
        <v/>
      </c>
      <c r="N148" s="137"/>
      <c r="O148" s="137"/>
      <c r="P148" s="289" t="str">
        <f t="shared" si="13"/>
        <v/>
      </c>
      <c r="Q148" s="302" t="str">
        <f t="shared" si="14"/>
        <v/>
      </c>
      <c r="R148" s="303" t="str">
        <f t="shared" si="12"/>
        <v/>
      </c>
      <c r="S148" s="317" t="str">
        <f>IF(D148="","",VLOOKUP(D148,'G-6 Hedgerow Data'!$B$3:$AG$15,31,FALSE))</f>
        <v/>
      </c>
      <c r="T148" s="289" t="str">
        <f t="shared" si="15"/>
        <v/>
      </c>
      <c r="U148" s="289" t="str">
        <f t="shared" si="16"/>
        <v/>
      </c>
      <c r="V148" s="305" t="str">
        <f>IF(D148="","",VLOOKUP(S148,'G-3 Multipliers'!$P$3:$Q$6,2,FALSE))</f>
        <v/>
      </c>
      <c r="W148" s="309" t="str">
        <f t="shared" si="17"/>
        <v/>
      </c>
      <c r="X148" s="105"/>
      <c r="Y148" s="119"/>
      <c r="Z148" s="108"/>
      <c r="AG148" s="30" t="str">
        <f>IFERROR(INDEX('G-6 Hedgerow Data'!$BJ$3:$BJ$15,MATCH(D148,'G-6 Hedgerow Data'!$B$3:$B$15,0)),"")</f>
        <v/>
      </c>
    </row>
    <row r="149" spans="2:33" ht="13.8" x14ac:dyDescent="0.25">
      <c r="B149" s="101">
        <v>138</v>
      </c>
      <c r="C149" s="144"/>
      <c r="D149" s="137"/>
      <c r="E149" s="119"/>
      <c r="F149" s="329" t="str">
        <f>IF(D149="","",VLOOKUP(D149,'G-6 Hedgerow Data'!$B$2:$AG$15,2,FALSE))</f>
        <v/>
      </c>
      <c r="G149" s="282" t="str">
        <f>IF(D149="","",VLOOKUP(D149,'G-6 Hedgerow Data'!$B$2:$AG$15,3,FALSE))</f>
        <v/>
      </c>
      <c r="H149" s="105"/>
      <c r="I149" s="282" t="str">
        <f>IFERROR(IF(H149="","",IF(AND(D149="Non-native and ornamental hedgerow", H149&lt;&gt;"Poor"),"Not possible ▲", (VLOOKUP(H149,'G-1 All Habitats'!$Z$2:$AA$9,2,FALSE)))),"")</f>
        <v/>
      </c>
      <c r="J149" s="105"/>
      <c r="K149" s="301" t="str">
        <f>IF(J149="","",IF(VLOOKUP(J149,'G-3 Multipliers'!$L$3:$N$6,2,FALSE)=0,"Spatial Data Missing ⚠",VLOOKUP(J149,'G-3 Multipliers'!$L$3:$N$6,2,FALSE)))</f>
        <v/>
      </c>
      <c r="L149" s="287" t="str">
        <f>IF(J149="","",IF(VLOOKUP(J149,'G-3 Multipliers'!$L$3:$N$6,3,FALSE)=0,"Spatial Data Missing ⚠",VLOOKUP(J149,'G-3 Multipliers'!$L$3:$N$6,3,FALSE)))</f>
        <v/>
      </c>
      <c r="M149" s="281" t="str">
        <f>IF(OR(D149="",H149=""),"",(INDEX('G-6 Hedgerow Data'!$E$3:$I$15,MATCH(D149,'G-6 Hedgerow Data'!$B$3:$B$15,0),MATCH(H149,'G-6 Hedgerow Data'!$E$2:$I$2,0))))</f>
        <v/>
      </c>
      <c r="N149" s="137"/>
      <c r="O149" s="137"/>
      <c r="P149" s="289" t="str">
        <f t="shared" si="13"/>
        <v/>
      </c>
      <c r="Q149" s="302" t="str">
        <f t="shared" si="14"/>
        <v/>
      </c>
      <c r="R149" s="303" t="str">
        <f t="shared" si="12"/>
        <v/>
      </c>
      <c r="S149" s="317" t="str">
        <f>IF(D149="","",VLOOKUP(D149,'G-6 Hedgerow Data'!$B$3:$AG$15,31,FALSE))</f>
        <v/>
      </c>
      <c r="T149" s="289" t="str">
        <f t="shared" si="15"/>
        <v/>
      </c>
      <c r="U149" s="289" t="str">
        <f t="shared" si="16"/>
        <v/>
      </c>
      <c r="V149" s="305" t="str">
        <f>IF(D149="","",VLOOKUP(S149,'G-3 Multipliers'!$P$3:$Q$6,2,FALSE))</f>
        <v/>
      </c>
      <c r="W149" s="309" t="str">
        <f t="shared" si="17"/>
        <v/>
      </c>
      <c r="X149" s="105"/>
      <c r="Y149" s="119"/>
      <c r="Z149" s="108"/>
      <c r="AG149" s="30" t="str">
        <f>IFERROR(INDEX('G-6 Hedgerow Data'!$BJ$3:$BJ$15,MATCH(D149,'G-6 Hedgerow Data'!$B$3:$B$15,0)),"")</f>
        <v/>
      </c>
    </row>
    <row r="150" spans="2:33" ht="13.8" x14ac:dyDescent="0.25">
      <c r="B150" s="101">
        <v>139</v>
      </c>
      <c r="C150" s="144"/>
      <c r="D150" s="137"/>
      <c r="E150" s="119"/>
      <c r="F150" s="329" t="str">
        <f>IF(D150="","",VLOOKUP(D150,'G-6 Hedgerow Data'!$B$2:$AG$15,2,FALSE))</f>
        <v/>
      </c>
      <c r="G150" s="282" t="str">
        <f>IF(D150="","",VLOOKUP(D150,'G-6 Hedgerow Data'!$B$2:$AG$15,3,FALSE))</f>
        <v/>
      </c>
      <c r="H150" s="105"/>
      <c r="I150" s="282" t="str">
        <f>IFERROR(IF(H150="","",IF(AND(D150="Non-native and ornamental hedgerow", H150&lt;&gt;"Poor"),"Not possible ▲", (VLOOKUP(H150,'G-1 All Habitats'!$Z$2:$AA$9,2,FALSE)))),"")</f>
        <v/>
      </c>
      <c r="J150" s="105"/>
      <c r="K150" s="301" t="str">
        <f>IF(J150="","",IF(VLOOKUP(J150,'G-3 Multipliers'!$L$3:$N$6,2,FALSE)=0,"Spatial Data Missing ⚠",VLOOKUP(J150,'G-3 Multipliers'!$L$3:$N$6,2,FALSE)))</f>
        <v/>
      </c>
      <c r="L150" s="287" t="str">
        <f>IF(J150="","",IF(VLOOKUP(J150,'G-3 Multipliers'!$L$3:$N$6,3,FALSE)=0,"Spatial Data Missing ⚠",VLOOKUP(J150,'G-3 Multipliers'!$L$3:$N$6,3,FALSE)))</f>
        <v/>
      </c>
      <c r="M150" s="281" t="str">
        <f>IF(OR(D150="",H150=""),"",(INDEX('G-6 Hedgerow Data'!$E$3:$I$15,MATCH(D150,'G-6 Hedgerow Data'!$B$3:$B$15,0),MATCH(H150,'G-6 Hedgerow Data'!$E$2:$I$2,0))))</f>
        <v/>
      </c>
      <c r="N150" s="137"/>
      <c r="O150" s="137"/>
      <c r="P150" s="289" t="str">
        <f t="shared" si="13"/>
        <v/>
      </c>
      <c r="Q150" s="302" t="str">
        <f t="shared" si="14"/>
        <v/>
      </c>
      <c r="R150" s="303" t="str">
        <f t="shared" si="12"/>
        <v/>
      </c>
      <c r="S150" s="317" t="str">
        <f>IF(D150="","",VLOOKUP(D150,'G-6 Hedgerow Data'!$B$3:$AG$15,31,FALSE))</f>
        <v/>
      </c>
      <c r="T150" s="289" t="str">
        <f t="shared" si="15"/>
        <v/>
      </c>
      <c r="U150" s="289" t="str">
        <f t="shared" si="16"/>
        <v/>
      </c>
      <c r="V150" s="305" t="str">
        <f>IF(D150="","",VLOOKUP(S150,'G-3 Multipliers'!$P$3:$Q$6,2,FALSE))</f>
        <v/>
      </c>
      <c r="W150" s="309" t="str">
        <f t="shared" si="17"/>
        <v/>
      </c>
      <c r="X150" s="105"/>
      <c r="Y150" s="119"/>
      <c r="Z150" s="108"/>
      <c r="AG150" s="30" t="str">
        <f>IFERROR(INDEX('G-6 Hedgerow Data'!$BJ$3:$BJ$15,MATCH(D150,'G-6 Hedgerow Data'!$B$3:$B$15,0)),"")</f>
        <v/>
      </c>
    </row>
    <row r="151" spans="2:33" ht="13.8" x14ac:dyDescent="0.25">
      <c r="B151" s="101">
        <v>140</v>
      </c>
      <c r="C151" s="144"/>
      <c r="D151" s="137"/>
      <c r="E151" s="119"/>
      <c r="F151" s="329" t="str">
        <f>IF(D151="","",VLOOKUP(D151,'G-6 Hedgerow Data'!$B$2:$AG$15,2,FALSE))</f>
        <v/>
      </c>
      <c r="G151" s="282" t="str">
        <f>IF(D151="","",VLOOKUP(D151,'G-6 Hedgerow Data'!$B$2:$AG$15,3,FALSE))</f>
        <v/>
      </c>
      <c r="H151" s="105"/>
      <c r="I151" s="282" t="str">
        <f>IFERROR(IF(H151="","",IF(AND(D151="Non-native and ornamental hedgerow", H151&lt;&gt;"Poor"),"Not possible ▲", (VLOOKUP(H151,'G-1 All Habitats'!$Z$2:$AA$9,2,FALSE)))),"")</f>
        <v/>
      </c>
      <c r="J151" s="105"/>
      <c r="K151" s="301" t="str">
        <f>IF(J151="","",IF(VLOOKUP(J151,'G-3 Multipliers'!$L$3:$N$6,2,FALSE)=0,"Spatial Data Missing ⚠",VLOOKUP(J151,'G-3 Multipliers'!$L$3:$N$6,2,FALSE)))</f>
        <v/>
      </c>
      <c r="L151" s="287" t="str">
        <f>IF(J151="","",IF(VLOOKUP(J151,'G-3 Multipliers'!$L$3:$N$6,3,FALSE)=0,"Spatial Data Missing ⚠",VLOOKUP(J151,'G-3 Multipliers'!$L$3:$N$6,3,FALSE)))</f>
        <v/>
      </c>
      <c r="M151" s="281" t="str">
        <f>IF(OR(D151="",H151=""),"",(INDEX('G-6 Hedgerow Data'!$E$3:$I$15,MATCH(D151,'G-6 Hedgerow Data'!$B$3:$B$15,0),MATCH(H151,'G-6 Hedgerow Data'!$E$2:$I$2,0))))</f>
        <v/>
      </c>
      <c r="N151" s="137"/>
      <c r="O151" s="137"/>
      <c r="P151" s="289" t="str">
        <f t="shared" si="13"/>
        <v/>
      </c>
      <c r="Q151" s="302" t="str">
        <f t="shared" si="14"/>
        <v/>
      </c>
      <c r="R151" s="303" t="str">
        <f t="shared" si="12"/>
        <v/>
      </c>
      <c r="S151" s="317" t="str">
        <f>IF(D151="","",VLOOKUP(D151,'G-6 Hedgerow Data'!$B$3:$AG$15,31,FALSE))</f>
        <v/>
      </c>
      <c r="T151" s="289" t="str">
        <f t="shared" si="15"/>
        <v/>
      </c>
      <c r="U151" s="289" t="str">
        <f t="shared" si="16"/>
        <v/>
      </c>
      <c r="V151" s="305" t="str">
        <f>IF(D151="","",VLOOKUP(S151,'G-3 Multipliers'!$P$3:$Q$6,2,FALSE))</f>
        <v/>
      </c>
      <c r="W151" s="309" t="str">
        <f t="shared" si="17"/>
        <v/>
      </c>
      <c r="X151" s="105"/>
      <c r="Y151" s="119"/>
      <c r="Z151" s="108"/>
      <c r="AG151" s="30" t="str">
        <f>IFERROR(INDEX('G-6 Hedgerow Data'!$BJ$3:$BJ$15,MATCH(D151,'G-6 Hedgerow Data'!$B$3:$B$15,0)),"")</f>
        <v/>
      </c>
    </row>
    <row r="152" spans="2:33" ht="13.8" x14ac:dyDescent="0.25">
      <c r="B152" s="101">
        <v>141</v>
      </c>
      <c r="C152" s="144"/>
      <c r="D152" s="137"/>
      <c r="E152" s="119"/>
      <c r="F152" s="329" t="str">
        <f>IF(D152="","",VLOOKUP(D152,'G-6 Hedgerow Data'!$B$2:$AG$15,2,FALSE))</f>
        <v/>
      </c>
      <c r="G152" s="282" t="str">
        <f>IF(D152="","",VLOOKUP(D152,'G-6 Hedgerow Data'!$B$2:$AG$15,3,FALSE))</f>
        <v/>
      </c>
      <c r="H152" s="105"/>
      <c r="I152" s="282" t="str">
        <f>IFERROR(IF(H152="","",IF(AND(D152="Non-native and ornamental hedgerow", H152&lt;&gt;"Poor"),"Not possible ▲", (VLOOKUP(H152,'G-1 All Habitats'!$Z$2:$AA$9,2,FALSE)))),"")</f>
        <v/>
      </c>
      <c r="J152" s="105"/>
      <c r="K152" s="301" t="str">
        <f>IF(J152="","",IF(VLOOKUP(J152,'G-3 Multipliers'!$L$3:$N$6,2,FALSE)=0,"Spatial Data Missing ⚠",VLOOKUP(J152,'G-3 Multipliers'!$L$3:$N$6,2,FALSE)))</f>
        <v/>
      </c>
      <c r="L152" s="287" t="str">
        <f>IF(J152="","",IF(VLOOKUP(J152,'G-3 Multipliers'!$L$3:$N$6,3,FALSE)=0,"Spatial Data Missing ⚠",VLOOKUP(J152,'G-3 Multipliers'!$L$3:$N$6,3,FALSE)))</f>
        <v/>
      </c>
      <c r="M152" s="281" t="str">
        <f>IF(OR(D152="",H152=""),"",(INDEX('G-6 Hedgerow Data'!$E$3:$I$15,MATCH(D152,'G-6 Hedgerow Data'!$B$3:$B$15,0),MATCH(H152,'G-6 Hedgerow Data'!$E$2:$I$2,0))))</f>
        <v/>
      </c>
      <c r="N152" s="137"/>
      <c r="O152" s="137"/>
      <c r="P152" s="289" t="str">
        <f t="shared" si="13"/>
        <v/>
      </c>
      <c r="Q152" s="302" t="str">
        <f t="shared" si="14"/>
        <v/>
      </c>
      <c r="R152" s="303" t="str">
        <f t="shared" si="12"/>
        <v/>
      </c>
      <c r="S152" s="317" t="str">
        <f>IF(D152="","",VLOOKUP(D152,'G-6 Hedgerow Data'!$B$3:$AG$15,31,FALSE))</f>
        <v/>
      </c>
      <c r="T152" s="289" t="str">
        <f t="shared" si="15"/>
        <v/>
      </c>
      <c r="U152" s="289" t="str">
        <f t="shared" si="16"/>
        <v/>
      </c>
      <c r="V152" s="305" t="str">
        <f>IF(D152="","",VLOOKUP(S152,'G-3 Multipliers'!$P$3:$Q$6,2,FALSE))</f>
        <v/>
      </c>
      <c r="W152" s="309" t="str">
        <f t="shared" si="17"/>
        <v/>
      </c>
      <c r="X152" s="105"/>
      <c r="Y152" s="119"/>
      <c r="Z152" s="108"/>
      <c r="AG152" s="30" t="str">
        <f>IFERROR(INDEX('G-6 Hedgerow Data'!$BJ$3:$BJ$15,MATCH(D152,'G-6 Hedgerow Data'!$B$3:$B$15,0)),"")</f>
        <v/>
      </c>
    </row>
    <row r="153" spans="2:33" ht="13.8" x14ac:dyDescent="0.25">
      <c r="B153" s="101">
        <v>142</v>
      </c>
      <c r="C153" s="144"/>
      <c r="D153" s="137"/>
      <c r="E153" s="119"/>
      <c r="F153" s="329" t="str">
        <f>IF(D153="","",VLOOKUP(D153,'G-6 Hedgerow Data'!$B$2:$AG$15,2,FALSE))</f>
        <v/>
      </c>
      <c r="G153" s="282" t="str">
        <f>IF(D153="","",VLOOKUP(D153,'G-6 Hedgerow Data'!$B$2:$AG$15,3,FALSE))</f>
        <v/>
      </c>
      <c r="H153" s="105"/>
      <c r="I153" s="282" t="str">
        <f>IFERROR(IF(H153="","",IF(AND(D153="Non-native and ornamental hedgerow", H153&lt;&gt;"Poor"),"Not possible ▲", (VLOOKUP(H153,'G-1 All Habitats'!$Z$2:$AA$9,2,FALSE)))),"")</f>
        <v/>
      </c>
      <c r="J153" s="105"/>
      <c r="K153" s="301" t="str">
        <f>IF(J153="","",IF(VLOOKUP(J153,'G-3 Multipliers'!$L$3:$N$6,2,FALSE)=0,"Spatial Data Missing ⚠",VLOOKUP(J153,'G-3 Multipliers'!$L$3:$N$6,2,FALSE)))</f>
        <v/>
      </c>
      <c r="L153" s="287" t="str">
        <f>IF(J153="","",IF(VLOOKUP(J153,'G-3 Multipliers'!$L$3:$N$6,3,FALSE)=0,"Spatial Data Missing ⚠",VLOOKUP(J153,'G-3 Multipliers'!$L$3:$N$6,3,FALSE)))</f>
        <v/>
      </c>
      <c r="M153" s="281" t="str">
        <f>IF(OR(D153="",H153=""),"",(INDEX('G-6 Hedgerow Data'!$E$3:$I$15,MATCH(D153,'G-6 Hedgerow Data'!$B$3:$B$15,0),MATCH(H153,'G-6 Hedgerow Data'!$E$2:$I$2,0))))</f>
        <v/>
      </c>
      <c r="N153" s="137"/>
      <c r="O153" s="137"/>
      <c r="P153" s="289" t="str">
        <f t="shared" si="13"/>
        <v/>
      </c>
      <c r="Q153" s="302" t="str">
        <f t="shared" si="14"/>
        <v/>
      </c>
      <c r="R153" s="303" t="str">
        <f t="shared" si="12"/>
        <v/>
      </c>
      <c r="S153" s="317" t="str">
        <f>IF(D153="","",VLOOKUP(D153,'G-6 Hedgerow Data'!$B$3:$AG$15,31,FALSE))</f>
        <v/>
      </c>
      <c r="T153" s="289" t="str">
        <f t="shared" si="15"/>
        <v/>
      </c>
      <c r="U153" s="289" t="str">
        <f t="shared" si="16"/>
        <v/>
      </c>
      <c r="V153" s="305" t="str">
        <f>IF(D153="","",VLOOKUP(S153,'G-3 Multipliers'!$P$3:$Q$6,2,FALSE))</f>
        <v/>
      </c>
      <c r="W153" s="309" t="str">
        <f t="shared" si="17"/>
        <v/>
      </c>
      <c r="X153" s="105"/>
      <c r="Y153" s="119"/>
      <c r="Z153" s="108"/>
      <c r="AG153" s="30" t="str">
        <f>IFERROR(INDEX('G-6 Hedgerow Data'!$BJ$3:$BJ$15,MATCH(D153,'G-6 Hedgerow Data'!$B$3:$B$15,0)),"")</f>
        <v/>
      </c>
    </row>
    <row r="154" spans="2:33" ht="13.8" x14ac:dyDescent="0.25">
      <c r="B154" s="101">
        <v>143</v>
      </c>
      <c r="C154" s="144"/>
      <c r="D154" s="137"/>
      <c r="E154" s="119"/>
      <c r="F154" s="329" t="str">
        <f>IF(D154="","",VLOOKUP(D154,'G-6 Hedgerow Data'!$B$2:$AG$15,2,FALSE))</f>
        <v/>
      </c>
      <c r="G154" s="282" t="str">
        <f>IF(D154="","",VLOOKUP(D154,'G-6 Hedgerow Data'!$B$2:$AG$15,3,FALSE))</f>
        <v/>
      </c>
      <c r="H154" s="105"/>
      <c r="I154" s="282" t="str">
        <f>IFERROR(IF(H154="","",IF(AND(D154="Non-native and ornamental hedgerow", H154&lt;&gt;"Poor"),"Not possible ▲", (VLOOKUP(H154,'G-1 All Habitats'!$Z$2:$AA$9,2,FALSE)))),"")</f>
        <v/>
      </c>
      <c r="J154" s="105"/>
      <c r="K154" s="301" t="str">
        <f>IF(J154="","",IF(VLOOKUP(J154,'G-3 Multipliers'!$L$3:$N$6,2,FALSE)=0,"Spatial Data Missing ⚠",VLOOKUP(J154,'G-3 Multipliers'!$L$3:$N$6,2,FALSE)))</f>
        <v/>
      </c>
      <c r="L154" s="287" t="str">
        <f>IF(J154="","",IF(VLOOKUP(J154,'G-3 Multipliers'!$L$3:$N$6,3,FALSE)=0,"Spatial Data Missing ⚠",VLOOKUP(J154,'G-3 Multipliers'!$L$3:$N$6,3,FALSE)))</f>
        <v/>
      </c>
      <c r="M154" s="281" t="str">
        <f>IF(OR(D154="",H154=""),"",(INDEX('G-6 Hedgerow Data'!$E$3:$I$15,MATCH(D154,'G-6 Hedgerow Data'!$B$3:$B$15,0),MATCH(H154,'G-6 Hedgerow Data'!$E$2:$I$2,0))))</f>
        <v/>
      </c>
      <c r="N154" s="137"/>
      <c r="O154" s="137"/>
      <c r="P154" s="289" t="str">
        <f t="shared" si="13"/>
        <v/>
      </c>
      <c r="Q154" s="302" t="str">
        <f t="shared" si="14"/>
        <v/>
      </c>
      <c r="R154" s="303" t="str">
        <f t="shared" si="12"/>
        <v/>
      </c>
      <c r="S154" s="317" t="str">
        <f>IF(D154="","",VLOOKUP(D154,'G-6 Hedgerow Data'!$B$3:$AG$15,31,FALSE))</f>
        <v/>
      </c>
      <c r="T154" s="289" t="str">
        <f t="shared" si="15"/>
        <v/>
      </c>
      <c r="U154" s="289" t="str">
        <f t="shared" si="16"/>
        <v/>
      </c>
      <c r="V154" s="305" t="str">
        <f>IF(D154="","",VLOOKUP(S154,'G-3 Multipliers'!$P$3:$Q$6,2,FALSE))</f>
        <v/>
      </c>
      <c r="W154" s="309" t="str">
        <f t="shared" si="17"/>
        <v/>
      </c>
      <c r="X154" s="105"/>
      <c r="Y154" s="119"/>
      <c r="Z154" s="108"/>
      <c r="AG154" s="30" t="str">
        <f>IFERROR(INDEX('G-6 Hedgerow Data'!$BJ$3:$BJ$15,MATCH(D154,'G-6 Hedgerow Data'!$B$3:$B$15,0)),"")</f>
        <v/>
      </c>
    </row>
    <row r="155" spans="2:33" ht="13.8" x14ac:dyDescent="0.25">
      <c r="B155" s="101">
        <v>144</v>
      </c>
      <c r="C155" s="144"/>
      <c r="D155" s="137"/>
      <c r="E155" s="119"/>
      <c r="F155" s="329" t="str">
        <f>IF(D155="","",VLOOKUP(D155,'G-6 Hedgerow Data'!$B$2:$AG$15,2,FALSE))</f>
        <v/>
      </c>
      <c r="G155" s="282" t="str">
        <f>IF(D155="","",VLOOKUP(D155,'G-6 Hedgerow Data'!$B$2:$AG$15,3,FALSE))</f>
        <v/>
      </c>
      <c r="H155" s="105"/>
      <c r="I155" s="282" t="str">
        <f>IFERROR(IF(H155="","",IF(AND(D155="Non-native and ornamental hedgerow", H155&lt;&gt;"Poor"),"Not possible ▲", (VLOOKUP(H155,'G-1 All Habitats'!$Z$2:$AA$9,2,FALSE)))),"")</f>
        <v/>
      </c>
      <c r="J155" s="105"/>
      <c r="K155" s="301" t="str">
        <f>IF(J155="","",IF(VLOOKUP(J155,'G-3 Multipliers'!$L$3:$N$6,2,FALSE)=0,"Spatial Data Missing ⚠",VLOOKUP(J155,'G-3 Multipliers'!$L$3:$N$6,2,FALSE)))</f>
        <v/>
      </c>
      <c r="L155" s="287" t="str">
        <f>IF(J155="","",IF(VLOOKUP(J155,'G-3 Multipliers'!$L$3:$N$6,3,FALSE)=0,"Spatial Data Missing ⚠",VLOOKUP(J155,'G-3 Multipliers'!$L$3:$N$6,3,FALSE)))</f>
        <v/>
      </c>
      <c r="M155" s="281" t="str">
        <f>IF(OR(D155="",H155=""),"",(INDEX('G-6 Hedgerow Data'!$E$3:$I$15,MATCH(D155,'G-6 Hedgerow Data'!$B$3:$B$15,0),MATCH(H155,'G-6 Hedgerow Data'!$E$2:$I$2,0))))</f>
        <v/>
      </c>
      <c r="N155" s="137"/>
      <c r="O155" s="137"/>
      <c r="P155" s="289" t="str">
        <f t="shared" si="13"/>
        <v/>
      </c>
      <c r="Q155" s="302" t="str">
        <f t="shared" si="14"/>
        <v/>
      </c>
      <c r="R155" s="303" t="str">
        <f t="shared" si="12"/>
        <v/>
      </c>
      <c r="S155" s="317" t="str">
        <f>IF(D155="","",VLOOKUP(D155,'G-6 Hedgerow Data'!$B$3:$AG$15,31,FALSE))</f>
        <v/>
      </c>
      <c r="T155" s="289" t="str">
        <f t="shared" si="15"/>
        <v/>
      </c>
      <c r="U155" s="289" t="str">
        <f t="shared" si="16"/>
        <v/>
      </c>
      <c r="V155" s="305" t="str">
        <f>IF(D155="","",VLOOKUP(S155,'G-3 Multipliers'!$P$3:$Q$6,2,FALSE))</f>
        <v/>
      </c>
      <c r="W155" s="309" t="str">
        <f t="shared" si="17"/>
        <v/>
      </c>
      <c r="X155" s="105"/>
      <c r="Y155" s="119"/>
      <c r="Z155" s="108"/>
      <c r="AG155" s="30" t="str">
        <f>IFERROR(INDEX('G-6 Hedgerow Data'!$BJ$3:$BJ$15,MATCH(D155,'G-6 Hedgerow Data'!$B$3:$B$15,0)),"")</f>
        <v/>
      </c>
    </row>
    <row r="156" spans="2:33" ht="13.8" x14ac:dyDescent="0.25">
      <c r="B156" s="101">
        <v>145</v>
      </c>
      <c r="C156" s="144"/>
      <c r="D156" s="137"/>
      <c r="E156" s="119"/>
      <c r="F156" s="329" t="str">
        <f>IF(D156="","",VLOOKUP(D156,'G-6 Hedgerow Data'!$B$2:$AG$15,2,FALSE))</f>
        <v/>
      </c>
      <c r="G156" s="282" t="str">
        <f>IF(D156="","",VLOOKUP(D156,'G-6 Hedgerow Data'!$B$2:$AG$15,3,FALSE))</f>
        <v/>
      </c>
      <c r="H156" s="105"/>
      <c r="I156" s="282" t="str">
        <f>IFERROR(IF(H156="","",IF(AND(D156="Non-native and ornamental hedgerow", H156&lt;&gt;"Poor"),"Not possible ▲", (VLOOKUP(H156,'G-1 All Habitats'!$Z$2:$AA$9,2,FALSE)))),"")</f>
        <v/>
      </c>
      <c r="J156" s="105"/>
      <c r="K156" s="301" t="str">
        <f>IF(J156="","",IF(VLOOKUP(J156,'G-3 Multipliers'!$L$3:$N$6,2,FALSE)=0,"Spatial Data Missing ⚠",VLOOKUP(J156,'G-3 Multipliers'!$L$3:$N$6,2,FALSE)))</f>
        <v/>
      </c>
      <c r="L156" s="287" t="str">
        <f>IF(J156="","",IF(VLOOKUP(J156,'G-3 Multipliers'!$L$3:$N$6,3,FALSE)=0,"Spatial Data Missing ⚠",VLOOKUP(J156,'G-3 Multipliers'!$L$3:$N$6,3,FALSE)))</f>
        <v/>
      </c>
      <c r="M156" s="281" t="str">
        <f>IF(OR(D156="",H156=""),"",(INDEX('G-6 Hedgerow Data'!$E$3:$I$15,MATCH(D156,'G-6 Hedgerow Data'!$B$3:$B$15,0),MATCH(H156,'G-6 Hedgerow Data'!$E$2:$I$2,0))))</f>
        <v/>
      </c>
      <c r="N156" s="137"/>
      <c r="O156" s="137"/>
      <c r="P156" s="289" t="str">
        <f t="shared" si="13"/>
        <v/>
      </c>
      <c r="Q156" s="302" t="str">
        <f t="shared" si="14"/>
        <v/>
      </c>
      <c r="R156" s="303" t="str">
        <f t="shared" si="12"/>
        <v/>
      </c>
      <c r="S156" s="317" t="str">
        <f>IF(D156="","",VLOOKUP(D156,'G-6 Hedgerow Data'!$B$3:$AG$15,31,FALSE))</f>
        <v/>
      </c>
      <c r="T156" s="289" t="str">
        <f t="shared" si="15"/>
        <v/>
      </c>
      <c r="U156" s="289" t="str">
        <f t="shared" si="16"/>
        <v/>
      </c>
      <c r="V156" s="305" t="str">
        <f>IF(D156="","",VLOOKUP(S156,'G-3 Multipliers'!$P$3:$Q$6,2,FALSE))</f>
        <v/>
      </c>
      <c r="W156" s="309" t="str">
        <f t="shared" si="17"/>
        <v/>
      </c>
      <c r="X156" s="105"/>
      <c r="Y156" s="119"/>
      <c r="Z156" s="108"/>
      <c r="AG156" s="30" t="str">
        <f>IFERROR(INDEX('G-6 Hedgerow Data'!$BJ$3:$BJ$15,MATCH(D156,'G-6 Hedgerow Data'!$B$3:$B$15,0)),"")</f>
        <v/>
      </c>
    </row>
    <row r="157" spans="2:33" ht="13.8" x14ac:dyDescent="0.25">
      <c r="B157" s="101">
        <v>146</v>
      </c>
      <c r="C157" s="144"/>
      <c r="D157" s="137"/>
      <c r="E157" s="119"/>
      <c r="F157" s="329" t="str">
        <f>IF(D157="","",VLOOKUP(D157,'G-6 Hedgerow Data'!$B$2:$AG$15,2,FALSE))</f>
        <v/>
      </c>
      <c r="G157" s="282" t="str">
        <f>IF(D157="","",VLOOKUP(D157,'G-6 Hedgerow Data'!$B$2:$AG$15,3,FALSE))</f>
        <v/>
      </c>
      <c r="H157" s="105"/>
      <c r="I157" s="282" t="str">
        <f>IFERROR(IF(H157="","",IF(AND(D157="Non-native and ornamental hedgerow", H157&lt;&gt;"Poor"),"Not possible ▲", (VLOOKUP(H157,'G-1 All Habitats'!$Z$2:$AA$9,2,FALSE)))),"")</f>
        <v/>
      </c>
      <c r="J157" s="105"/>
      <c r="K157" s="301" t="str">
        <f>IF(J157="","",IF(VLOOKUP(J157,'G-3 Multipliers'!$L$3:$N$6,2,FALSE)=0,"Spatial Data Missing ⚠",VLOOKUP(J157,'G-3 Multipliers'!$L$3:$N$6,2,FALSE)))</f>
        <v/>
      </c>
      <c r="L157" s="287" t="str">
        <f>IF(J157="","",IF(VLOOKUP(J157,'G-3 Multipliers'!$L$3:$N$6,3,FALSE)=0,"Spatial Data Missing ⚠",VLOOKUP(J157,'G-3 Multipliers'!$L$3:$N$6,3,FALSE)))</f>
        <v/>
      </c>
      <c r="M157" s="281" t="str">
        <f>IF(OR(D157="",H157=""),"",(INDEX('G-6 Hedgerow Data'!$E$3:$I$15,MATCH(D157,'G-6 Hedgerow Data'!$B$3:$B$15,0),MATCH(H157,'G-6 Hedgerow Data'!$E$2:$I$2,0))))</f>
        <v/>
      </c>
      <c r="N157" s="137"/>
      <c r="O157" s="137"/>
      <c r="P157" s="289" t="str">
        <f t="shared" si="13"/>
        <v/>
      </c>
      <c r="Q157" s="302" t="str">
        <f t="shared" si="14"/>
        <v/>
      </c>
      <c r="R157" s="303" t="str">
        <f t="shared" si="12"/>
        <v/>
      </c>
      <c r="S157" s="317" t="str">
        <f>IF(D157="","",VLOOKUP(D157,'G-6 Hedgerow Data'!$B$3:$AG$15,31,FALSE))</f>
        <v/>
      </c>
      <c r="T157" s="289" t="str">
        <f t="shared" si="15"/>
        <v/>
      </c>
      <c r="U157" s="289" t="str">
        <f t="shared" si="16"/>
        <v/>
      </c>
      <c r="V157" s="305" t="str">
        <f>IF(D157="","",VLOOKUP(S157,'G-3 Multipliers'!$P$3:$Q$6,2,FALSE))</f>
        <v/>
      </c>
      <c r="W157" s="309" t="str">
        <f t="shared" si="17"/>
        <v/>
      </c>
      <c r="X157" s="105"/>
      <c r="Y157" s="119"/>
      <c r="Z157" s="108"/>
      <c r="AG157" s="30" t="str">
        <f>IFERROR(INDEX('G-6 Hedgerow Data'!$BJ$3:$BJ$15,MATCH(D157,'G-6 Hedgerow Data'!$B$3:$B$15,0)),"")</f>
        <v/>
      </c>
    </row>
    <row r="158" spans="2:33" ht="13.8" x14ac:dyDescent="0.25">
      <c r="B158" s="101">
        <v>147</v>
      </c>
      <c r="C158" s="144"/>
      <c r="D158" s="137"/>
      <c r="E158" s="119"/>
      <c r="F158" s="329" t="str">
        <f>IF(D158="","",VLOOKUP(D158,'G-6 Hedgerow Data'!$B$2:$AG$15,2,FALSE))</f>
        <v/>
      </c>
      <c r="G158" s="282" t="str">
        <f>IF(D158="","",VLOOKUP(D158,'G-6 Hedgerow Data'!$B$2:$AG$15,3,FALSE))</f>
        <v/>
      </c>
      <c r="H158" s="105"/>
      <c r="I158" s="282" t="str">
        <f>IFERROR(IF(H158="","",IF(AND(D158="Non-native and ornamental hedgerow", H158&lt;&gt;"Poor"),"Not possible ▲", (VLOOKUP(H158,'G-1 All Habitats'!$Z$2:$AA$9,2,FALSE)))),"")</f>
        <v/>
      </c>
      <c r="J158" s="105"/>
      <c r="K158" s="301" t="str">
        <f>IF(J158="","",IF(VLOOKUP(J158,'G-3 Multipliers'!$L$3:$N$6,2,FALSE)=0,"Spatial Data Missing ⚠",VLOOKUP(J158,'G-3 Multipliers'!$L$3:$N$6,2,FALSE)))</f>
        <v/>
      </c>
      <c r="L158" s="287" t="str">
        <f>IF(J158="","",IF(VLOOKUP(J158,'G-3 Multipliers'!$L$3:$N$6,3,FALSE)=0,"Spatial Data Missing ⚠",VLOOKUP(J158,'G-3 Multipliers'!$L$3:$N$6,3,FALSE)))</f>
        <v/>
      </c>
      <c r="M158" s="281" t="str">
        <f>IF(OR(D158="",H158=""),"",(INDEX('G-6 Hedgerow Data'!$E$3:$I$15,MATCH(D158,'G-6 Hedgerow Data'!$B$3:$B$15,0),MATCH(H158,'G-6 Hedgerow Data'!$E$2:$I$2,0))))</f>
        <v/>
      </c>
      <c r="N158" s="137"/>
      <c r="O158" s="137"/>
      <c r="P158" s="289" t="str">
        <f t="shared" si="13"/>
        <v/>
      </c>
      <c r="Q158" s="302" t="str">
        <f t="shared" si="14"/>
        <v/>
      </c>
      <c r="R158" s="303" t="str">
        <f t="shared" si="12"/>
        <v/>
      </c>
      <c r="S158" s="317" t="str">
        <f>IF(D158="","",VLOOKUP(D158,'G-6 Hedgerow Data'!$B$3:$AG$15,31,FALSE))</f>
        <v/>
      </c>
      <c r="T158" s="289" t="str">
        <f t="shared" si="15"/>
        <v/>
      </c>
      <c r="U158" s="289" t="str">
        <f t="shared" si="16"/>
        <v/>
      </c>
      <c r="V158" s="305" t="str">
        <f>IF(D158="","",VLOOKUP(S158,'G-3 Multipliers'!$P$3:$Q$6,2,FALSE))</f>
        <v/>
      </c>
      <c r="W158" s="309" t="str">
        <f t="shared" si="17"/>
        <v/>
      </c>
      <c r="X158" s="105"/>
      <c r="Y158" s="119"/>
      <c r="Z158" s="108"/>
      <c r="AG158" s="30" t="str">
        <f>IFERROR(INDEX('G-6 Hedgerow Data'!$BJ$3:$BJ$15,MATCH(D158,'G-6 Hedgerow Data'!$B$3:$B$15,0)),"")</f>
        <v/>
      </c>
    </row>
    <row r="159" spans="2:33" ht="13.8" x14ac:dyDescent="0.25">
      <c r="B159" s="101">
        <v>148</v>
      </c>
      <c r="C159" s="144"/>
      <c r="D159" s="137"/>
      <c r="E159" s="119"/>
      <c r="F159" s="329" t="str">
        <f>IF(D159="","",VLOOKUP(D159,'G-6 Hedgerow Data'!$B$2:$AG$15,2,FALSE))</f>
        <v/>
      </c>
      <c r="G159" s="282" t="str">
        <f>IF(D159="","",VLOOKUP(D159,'G-6 Hedgerow Data'!$B$2:$AG$15,3,FALSE))</f>
        <v/>
      </c>
      <c r="H159" s="105"/>
      <c r="I159" s="282" t="str">
        <f>IFERROR(IF(H159="","",IF(AND(D159="Non-native and ornamental hedgerow", H159&lt;&gt;"Poor"),"Not possible ▲", (VLOOKUP(H159,'G-1 All Habitats'!$Z$2:$AA$9,2,FALSE)))),"")</f>
        <v/>
      </c>
      <c r="J159" s="105"/>
      <c r="K159" s="301" t="str">
        <f>IF(J159="","",IF(VLOOKUP(J159,'G-3 Multipliers'!$L$3:$N$6,2,FALSE)=0,"Spatial Data Missing ⚠",VLOOKUP(J159,'G-3 Multipliers'!$L$3:$N$6,2,FALSE)))</f>
        <v/>
      </c>
      <c r="L159" s="287" t="str">
        <f>IF(J159="","",IF(VLOOKUP(J159,'G-3 Multipliers'!$L$3:$N$6,3,FALSE)=0,"Spatial Data Missing ⚠",VLOOKUP(J159,'G-3 Multipliers'!$L$3:$N$6,3,FALSE)))</f>
        <v/>
      </c>
      <c r="M159" s="281" t="str">
        <f>IF(OR(D159="",H159=""),"",(INDEX('G-6 Hedgerow Data'!$E$3:$I$15,MATCH(D159,'G-6 Hedgerow Data'!$B$3:$B$15,0),MATCH(H159,'G-6 Hedgerow Data'!$E$2:$I$2,0))))</f>
        <v/>
      </c>
      <c r="N159" s="137"/>
      <c r="O159" s="137"/>
      <c r="P159" s="289" t="str">
        <f t="shared" si="13"/>
        <v/>
      </c>
      <c r="Q159" s="302" t="str">
        <f t="shared" si="14"/>
        <v/>
      </c>
      <c r="R159" s="303" t="str">
        <f t="shared" si="12"/>
        <v/>
      </c>
      <c r="S159" s="317" t="str">
        <f>IF(D159="","",VLOOKUP(D159,'G-6 Hedgerow Data'!$B$3:$AG$15,31,FALSE))</f>
        <v/>
      </c>
      <c r="T159" s="289" t="str">
        <f t="shared" si="15"/>
        <v/>
      </c>
      <c r="U159" s="289" t="str">
        <f t="shared" si="16"/>
        <v/>
      </c>
      <c r="V159" s="305" t="str">
        <f>IF(D159="","",VLOOKUP(S159,'G-3 Multipliers'!$P$3:$Q$6,2,FALSE))</f>
        <v/>
      </c>
      <c r="W159" s="309" t="str">
        <f t="shared" si="17"/>
        <v/>
      </c>
      <c r="X159" s="105"/>
      <c r="Y159" s="119"/>
      <c r="Z159" s="108"/>
      <c r="AG159" s="30" t="str">
        <f>IFERROR(INDEX('G-6 Hedgerow Data'!$BJ$3:$BJ$15,MATCH(D159,'G-6 Hedgerow Data'!$B$3:$B$15,0)),"")</f>
        <v/>
      </c>
    </row>
    <row r="160" spans="2:33" ht="13.8" x14ac:dyDescent="0.25">
      <c r="B160" s="101">
        <v>149</v>
      </c>
      <c r="C160" s="144"/>
      <c r="D160" s="137"/>
      <c r="E160" s="119"/>
      <c r="F160" s="329" t="str">
        <f>IF(D160="","",VLOOKUP(D160,'G-6 Hedgerow Data'!$B$2:$AG$15,2,FALSE))</f>
        <v/>
      </c>
      <c r="G160" s="282" t="str">
        <f>IF(D160="","",VLOOKUP(D160,'G-6 Hedgerow Data'!$B$2:$AG$15,3,FALSE))</f>
        <v/>
      </c>
      <c r="H160" s="105"/>
      <c r="I160" s="282" t="str">
        <f>IFERROR(IF(H160="","",IF(AND(D160="Non-native and ornamental hedgerow", H160&lt;&gt;"Poor"),"Not possible ▲", (VLOOKUP(H160,'G-1 All Habitats'!$Z$2:$AA$9,2,FALSE)))),"")</f>
        <v/>
      </c>
      <c r="J160" s="105"/>
      <c r="K160" s="301" t="str">
        <f>IF(J160="","",IF(VLOOKUP(J160,'G-3 Multipliers'!$L$3:$N$6,2,FALSE)=0,"Spatial Data Missing ⚠",VLOOKUP(J160,'G-3 Multipliers'!$L$3:$N$6,2,FALSE)))</f>
        <v/>
      </c>
      <c r="L160" s="287" t="str">
        <f>IF(J160="","",IF(VLOOKUP(J160,'G-3 Multipliers'!$L$3:$N$6,3,FALSE)=0,"Spatial Data Missing ⚠",VLOOKUP(J160,'G-3 Multipliers'!$L$3:$N$6,3,FALSE)))</f>
        <v/>
      </c>
      <c r="M160" s="281" t="str">
        <f>IF(OR(D160="",H160=""),"",(INDEX('G-6 Hedgerow Data'!$E$3:$I$15,MATCH(D160,'G-6 Hedgerow Data'!$B$3:$B$15,0),MATCH(H160,'G-6 Hedgerow Data'!$E$2:$I$2,0))))</f>
        <v/>
      </c>
      <c r="N160" s="137"/>
      <c r="O160" s="137"/>
      <c r="P160" s="289" t="str">
        <f t="shared" si="13"/>
        <v/>
      </c>
      <c r="Q160" s="302" t="str">
        <f t="shared" si="14"/>
        <v/>
      </c>
      <c r="R160" s="303" t="str">
        <f t="shared" si="12"/>
        <v/>
      </c>
      <c r="S160" s="317" t="str">
        <f>IF(D160="","",VLOOKUP(D160,'G-6 Hedgerow Data'!$B$3:$AG$15,31,FALSE))</f>
        <v/>
      </c>
      <c r="T160" s="289" t="str">
        <f t="shared" si="15"/>
        <v/>
      </c>
      <c r="U160" s="289" t="str">
        <f t="shared" si="16"/>
        <v/>
      </c>
      <c r="V160" s="305" t="str">
        <f>IF(D160="","",VLOOKUP(S160,'G-3 Multipliers'!$P$3:$Q$6,2,FALSE))</f>
        <v/>
      </c>
      <c r="W160" s="309" t="str">
        <f t="shared" si="17"/>
        <v/>
      </c>
      <c r="X160" s="105"/>
      <c r="Y160" s="119"/>
      <c r="Z160" s="108"/>
      <c r="AG160" s="30" t="str">
        <f>IFERROR(INDEX('G-6 Hedgerow Data'!$BJ$3:$BJ$15,MATCH(D160,'G-6 Hedgerow Data'!$B$3:$B$15,0)),"")</f>
        <v/>
      </c>
    </row>
    <row r="161" spans="2:33" ht="13.8" x14ac:dyDescent="0.25">
      <c r="B161" s="101">
        <v>150</v>
      </c>
      <c r="C161" s="144"/>
      <c r="D161" s="137"/>
      <c r="E161" s="119"/>
      <c r="F161" s="329" t="str">
        <f>IF(D161="","",VLOOKUP(D161,'G-6 Hedgerow Data'!$B$2:$AG$15,2,FALSE))</f>
        <v/>
      </c>
      <c r="G161" s="282" t="str">
        <f>IF(D161="","",VLOOKUP(D161,'G-6 Hedgerow Data'!$B$2:$AG$15,3,FALSE))</f>
        <v/>
      </c>
      <c r="H161" s="105"/>
      <c r="I161" s="282" t="str">
        <f>IFERROR(IF(H161="","",IF(AND(D161="Non-native and ornamental hedgerow", H161&lt;&gt;"Poor"),"Not possible ▲", (VLOOKUP(H161,'G-1 All Habitats'!$Z$2:$AA$9,2,FALSE)))),"")</f>
        <v/>
      </c>
      <c r="J161" s="105"/>
      <c r="K161" s="301" t="str">
        <f>IF(J161="","",IF(VLOOKUP(J161,'G-3 Multipliers'!$L$3:$N$6,2,FALSE)=0,"Spatial Data Missing ⚠",VLOOKUP(J161,'G-3 Multipliers'!$L$3:$N$6,2,FALSE)))</f>
        <v/>
      </c>
      <c r="L161" s="287" t="str">
        <f>IF(J161="","",IF(VLOOKUP(J161,'G-3 Multipliers'!$L$3:$N$6,3,FALSE)=0,"Spatial Data Missing ⚠",VLOOKUP(J161,'G-3 Multipliers'!$L$3:$N$6,3,FALSE)))</f>
        <v/>
      </c>
      <c r="M161" s="281" t="str">
        <f>IF(OR(D161="",H161=""),"",(INDEX('G-6 Hedgerow Data'!$E$3:$I$15,MATCH(D161,'G-6 Hedgerow Data'!$B$3:$B$15,0),MATCH(H161,'G-6 Hedgerow Data'!$E$2:$I$2,0))))</f>
        <v/>
      </c>
      <c r="N161" s="137"/>
      <c r="O161" s="137"/>
      <c r="P161" s="289" t="str">
        <f t="shared" si="13"/>
        <v/>
      </c>
      <c r="Q161" s="302" t="str">
        <f t="shared" si="14"/>
        <v/>
      </c>
      <c r="R161" s="303" t="str">
        <f t="shared" si="12"/>
        <v/>
      </c>
      <c r="S161" s="317" t="str">
        <f>IF(D161="","",VLOOKUP(D161,'G-6 Hedgerow Data'!$B$3:$AG$15,31,FALSE))</f>
        <v/>
      </c>
      <c r="T161" s="289" t="str">
        <f t="shared" si="15"/>
        <v/>
      </c>
      <c r="U161" s="289" t="str">
        <f t="shared" si="16"/>
        <v/>
      </c>
      <c r="V161" s="305" t="str">
        <f>IF(D161="","",VLOOKUP(S161,'G-3 Multipliers'!$P$3:$Q$6,2,FALSE))</f>
        <v/>
      </c>
      <c r="W161" s="309" t="str">
        <f t="shared" si="17"/>
        <v/>
      </c>
      <c r="X161" s="105"/>
      <c r="Y161" s="119"/>
      <c r="Z161" s="108"/>
      <c r="AG161" s="30" t="str">
        <f>IFERROR(INDEX('G-6 Hedgerow Data'!$BJ$3:$BJ$15,MATCH(D161,'G-6 Hedgerow Data'!$B$3:$B$15,0)),"")</f>
        <v/>
      </c>
    </row>
    <row r="162" spans="2:33" ht="13.8" x14ac:dyDescent="0.25">
      <c r="B162" s="101">
        <v>151</v>
      </c>
      <c r="C162" s="144"/>
      <c r="D162" s="137"/>
      <c r="E162" s="119"/>
      <c r="F162" s="329" t="str">
        <f>IF(D162="","",VLOOKUP(D162,'G-6 Hedgerow Data'!$B$2:$AG$15,2,FALSE))</f>
        <v/>
      </c>
      <c r="G162" s="282" t="str">
        <f>IF(D162="","",VLOOKUP(D162,'G-6 Hedgerow Data'!$B$2:$AG$15,3,FALSE))</f>
        <v/>
      </c>
      <c r="H162" s="105"/>
      <c r="I162" s="282" t="str">
        <f>IFERROR(IF(H162="","",IF(AND(D162="Non-native and ornamental hedgerow", H162&lt;&gt;"Poor"),"Not possible ▲", (VLOOKUP(H162,'G-1 All Habitats'!$Z$2:$AA$9,2,FALSE)))),"")</f>
        <v/>
      </c>
      <c r="J162" s="105"/>
      <c r="K162" s="301" t="str">
        <f>IF(J162="","",IF(VLOOKUP(J162,'G-3 Multipliers'!$L$3:$N$6,2,FALSE)=0,"Spatial Data Missing ⚠",VLOOKUP(J162,'G-3 Multipliers'!$L$3:$N$6,2,FALSE)))</f>
        <v/>
      </c>
      <c r="L162" s="287" t="str">
        <f>IF(J162="","",IF(VLOOKUP(J162,'G-3 Multipliers'!$L$3:$N$6,3,FALSE)=0,"Spatial Data Missing ⚠",VLOOKUP(J162,'G-3 Multipliers'!$L$3:$N$6,3,FALSE)))</f>
        <v/>
      </c>
      <c r="M162" s="281" t="str">
        <f>IF(OR(D162="",H162=""),"",(INDEX('G-6 Hedgerow Data'!$E$3:$I$15,MATCH(D162,'G-6 Hedgerow Data'!$B$3:$B$15,0),MATCH(H162,'G-6 Hedgerow Data'!$E$2:$I$2,0))))</f>
        <v/>
      </c>
      <c r="N162" s="137"/>
      <c r="O162" s="137"/>
      <c r="P162" s="289" t="str">
        <f t="shared" si="13"/>
        <v/>
      </c>
      <c r="Q162" s="302" t="str">
        <f t="shared" si="14"/>
        <v/>
      </c>
      <c r="R162" s="303" t="str">
        <f t="shared" si="12"/>
        <v/>
      </c>
      <c r="S162" s="317" t="str">
        <f>IF(D162="","",VLOOKUP(D162,'G-6 Hedgerow Data'!$B$3:$AG$15,31,FALSE))</f>
        <v/>
      </c>
      <c r="T162" s="289" t="str">
        <f t="shared" si="15"/>
        <v/>
      </c>
      <c r="U162" s="289" t="str">
        <f t="shared" si="16"/>
        <v/>
      </c>
      <c r="V162" s="305" t="str">
        <f>IF(D162="","",VLOOKUP(S162,'G-3 Multipliers'!$P$3:$Q$6,2,FALSE))</f>
        <v/>
      </c>
      <c r="W162" s="309" t="str">
        <f t="shared" si="17"/>
        <v/>
      </c>
      <c r="X162" s="105"/>
      <c r="Y162" s="119"/>
      <c r="Z162" s="108"/>
      <c r="AG162" s="30" t="str">
        <f>IFERROR(INDEX('G-6 Hedgerow Data'!$BJ$3:$BJ$15,MATCH(D162,'G-6 Hedgerow Data'!$B$3:$B$15,0)),"")</f>
        <v/>
      </c>
    </row>
    <row r="163" spans="2:33" ht="13.8" x14ac:dyDescent="0.25">
      <c r="B163" s="101">
        <v>152</v>
      </c>
      <c r="C163" s="144"/>
      <c r="D163" s="137"/>
      <c r="E163" s="119"/>
      <c r="F163" s="329" t="str">
        <f>IF(D163="","",VLOOKUP(D163,'G-6 Hedgerow Data'!$B$2:$AG$15,2,FALSE))</f>
        <v/>
      </c>
      <c r="G163" s="282" t="str">
        <f>IF(D163="","",VLOOKUP(D163,'G-6 Hedgerow Data'!$B$2:$AG$15,3,FALSE))</f>
        <v/>
      </c>
      <c r="H163" s="105"/>
      <c r="I163" s="282" t="str">
        <f>IFERROR(IF(H163="","",IF(AND(D163="Non-native and ornamental hedgerow", H163&lt;&gt;"Poor"),"Not possible ▲", (VLOOKUP(H163,'G-1 All Habitats'!$Z$2:$AA$9,2,FALSE)))),"")</f>
        <v/>
      </c>
      <c r="J163" s="105"/>
      <c r="K163" s="301" t="str">
        <f>IF(J163="","",IF(VLOOKUP(J163,'G-3 Multipliers'!$L$3:$N$6,2,FALSE)=0,"Spatial Data Missing ⚠",VLOOKUP(J163,'G-3 Multipliers'!$L$3:$N$6,2,FALSE)))</f>
        <v/>
      </c>
      <c r="L163" s="287" t="str">
        <f>IF(J163="","",IF(VLOOKUP(J163,'G-3 Multipliers'!$L$3:$N$6,3,FALSE)=0,"Spatial Data Missing ⚠",VLOOKUP(J163,'G-3 Multipliers'!$L$3:$N$6,3,FALSE)))</f>
        <v/>
      </c>
      <c r="M163" s="281" t="str">
        <f>IF(OR(D163="",H163=""),"",(INDEX('G-6 Hedgerow Data'!$E$3:$I$15,MATCH(D163,'G-6 Hedgerow Data'!$B$3:$B$15,0),MATCH(H163,'G-6 Hedgerow Data'!$E$2:$I$2,0))))</f>
        <v/>
      </c>
      <c r="N163" s="137"/>
      <c r="O163" s="137"/>
      <c r="P163" s="289" t="str">
        <f t="shared" si="13"/>
        <v/>
      </c>
      <c r="Q163" s="302" t="str">
        <f t="shared" si="14"/>
        <v/>
      </c>
      <c r="R163" s="303" t="str">
        <f t="shared" si="12"/>
        <v/>
      </c>
      <c r="S163" s="317" t="str">
        <f>IF(D163="","",VLOOKUP(D163,'G-6 Hedgerow Data'!$B$3:$AG$15,31,FALSE))</f>
        <v/>
      </c>
      <c r="T163" s="289" t="str">
        <f t="shared" si="15"/>
        <v/>
      </c>
      <c r="U163" s="289" t="str">
        <f t="shared" si="16"/>
        <v/>
      </c>
      <c r="V163" s="305" t="str">
        <f>IF(D163="","",VLOOKUP(S163,'G-3 Multipliers'!$P$3:$Q$6,2,FALSE))</f>
        <v/>
      </c>
      <c r="W163" s="309" t="str">
        <f t="shared" si="17"/>
        <v/>
      </c>
      <c r="X163" s="105"/>
      <c r="Y163" s="119"/>
      <c r="Z163" s="108"/>
      <c r="AG163" s="30" t="str">
        <f>IFERROR(INDEX('G-6 Hedgerow Data'!$BJ$3:$BJ$15,MATCH(D163,'G-6 Hedgerow Data'!$B$3:$B$15,0)),"")</f>
        <v/>
      </c>
    </row>
    <row r="164" spans="2:33" ht="13.8" x14ac:dyDescent="0.25">
      <c r="B164" s="101">
        <v>153</v>
      </c>
      <c r="C164" s="144"/>
      <c r="D164" s="137"/>
      <c r="E164" s="119"/>
      <c r="F164" s="329" t="str">
        <f>IF(D164="","",VLOOKUP(D164,'G-6 Hedgerow Data'!$B$2:$AG$15,2,FALSE))</f>
        <v/>
      </c>
      <c r="G164" s="282" t="str">
        <f>IF(D164="","",VLOOKUP(D164,'G-6 Hedgerow Data'!$B$2:$AG$15,3,FALSE))</f>
        <v/>
      </c>
      <c r="H164" s="105"/>
      <c r="I164" s="282" t="str">
        <f>IFERROR(IF(H164="","",IF(AND(D164="Non-native and ornamental hedgerow", H164&lt;&gt;"Poor"),"Not possible ▲", (VLOOKUP(H164,'G-1 All Habitats'!$Z$2:$AA$9,2,FALSE)))),"")</f>
        <v/>
      </c>
      <c r="J164" s="105"/>
      <c r="K164" s="301" t="str">
        <f>IF(J164="","",IF(VLOOKUP(J164,'G-3 Multipliers'!$L$3:$N$6,2,FALSE)=0,"Spatial Data Missing ⚠",VLOOKUP(J164,'G-3 Multipliers'!$L$3:$N$6,2,FALSE)))</f>
        <v/>
      </c>
      <c r="L164" s="287" t="str">
        <f>IF(J164="","",IF(VLOOKUP(J164,'G-3 Multipliers'!$L$3:$N$6,3,FALSE)=0,"Spatial Data Missing ⚠",VLOOKUP(J164,'G-3 Multipliers'!$L$3:$N$6,3,FALSE)))</f>
        <v/>
      </c>
      <c r="M164" s="281" t="str">
        <f>IF(OR(D164="",H164=""),"",(INDEX('G-6 Hedgerow Data'!$E$3:$I$15,MATCH(D164,'G-6 Hedgerow Data'!$B$3:$B$15,0),MATCH(H164,'G-6 Hedgerow Data'!$E$2:$I$2,0))))</f>
        <v/>
      </c>
      <c r="N164" s="137"/>
      <c r="O164" s="137"/>
      <c r="P164" s="289" t="str">
        <f t="shared" si="13"/>
        <v/>
      </c>
      <c r="Q164" s="302" t="str">
        <f t="shared" si="14"/>
        <v/>
      </c>
      <c r="R164" s="303" t="str">
        <f t="shared" si="12"/>
        <v/>
      </c>
      <c r="S164" s="317" t="str">
        <f>IF(D164="","",VLOOKUP(D164,'G-6 Hedgerow Data'!$B$3:$AG$15,31,FALSE))</f>
        <v/>
      </c>
      <c r="T164" s="289" t="str">
        <f t="shared" si="15"/>
        <v/>
      </c>
      <c r="U164" s="289" t="str">
        <f t="shared" si="16"/>
        <v/>
      </c>
      <c r="V164" s="305" t="str">
        <f>IF(D164="","",VLOOKUP(S164,'G-3 Multipliers'!$P$3:$Q$6,2,FALSE))</f>
        <v/>
      </c>
      <c r="W164" s="309" t="str">
        <f t="shared" si="17"/>
        <v/>
      </c>
      <c r="X164" s="105"/>
      <c r="Y164" s="119"/>
      <c r="Z164" s="108"/>
      <c r="AG164" s="30" t="str">
        <f>IFERROR(INDEX('G-6 Hedgerow Data'!$BJ$3:$BJ$15,MATCH(D164,'G-6 Hedgerow Data'!$B$3:$B$15,0)),"")</f>
        <v/>
      </c>
    </row>
    <row r="165" spans="2:33" ht="13.8" x14ac:dyDescent="0.25">
      <c r="B165" s="101">
        <v>154</v>
      </c>
      <c r="C165" s="144"/>
      <c r="D165" s="137"/>
      <c r="E165" s="119"/>
      <c r="F165" s="329" t="str">
        <f>IF(D165="","",VLOOKUP(D165,'G-6 Hedgerow Data'!$B$2:$AG$15,2,FALSE))</f>
        <v/>
      </c>
      <c r="G165" s="282" t="str">
        <f>IF(D165="","",VLOOKUP(D165,'G-6 Hedgerow Data'!$B$2:$AG$15,3,FALSE))</f>
        <v/>
      </c>
      <c r="H165" s="105"/>
      <c r="I165" s="282" t="str">
        <f>IFERROR(IF(H165="","",IF(AND(D165="Non-native and ornamental hedgerow", H165&lt;&gt;"Poor"),"Not possible ▲", (VLOOKUP(H165,'G-1 All Habitats'!$Z$2:$AA$9,2,FALSE)))),"")</f>
        <v/>
      </c>
      <c r="J165" s="105"/>
      <c r="K165" s="301" t="str">
        <f>IF(J165="","",IF(VLOOKUP(J165,'G-3 Multipliers'!$L$3:$N$6,2,FALSE)=0,"Spatial Data Missing ⚠",VLOOKUP(J165,'G-3 Multipliers'!$L$3:$N$6,2,FALSE)))</f>
        <v/>
      </c>
      <c r="L165" s="287" t="str">
        <f>IF(J165="","",IF(VLOOKUP(J165,'G-3 Multipliers'!$L$3:$N$6,3,FALSE)=0,"Spatial Data Missing ⚠",VLOOKUP(J165,'G-3 Multipliers'!$L$3:$N$6,3,FALSE)))</f>
        <v/>
      </c>
      <c r="M165" s="281" t="str">
        <f>IF(OR(D165="",H165=""),"",(INDEX('G-6 Hedgerow Data'!$E$3:$I$15,MATCH(D165,'G-6 Hedgerow Data'!$B$3:$B$15,0),MATCH(H165,'G-6 Hedgerow Data'!$E$2:$I$2,0))))</f>
        <v/>
      </c>
      <c r="N165" s="137"/>
      <c r="O165" s="137"/>
      <c r="P165" s="289" t="str">
        <f t="shared" si="13"/>
        <v/>
      </c>
      <c r="Q165" s="302" t="str">
        <f t="shared" si="14"/>
        <v/>
      </c>
      <c r="R165" s="303" t="str">
        <f t="shared" si="12"/>
        <v/>
      </c>
      <c r="S165" s="317" t="str">
        <f>IF(D165="","",VLOOKUP(D165,'G-6 Hedgerow Data'!$B$3:$AG$15,31,FALSE))</f>
        <v/>
      </c>
      <c r="T165" s="289" t="str">
        <f t="shared" si="15"/>
        <v/>
      </c>
      <c r="U165" s="289" t="str">
        <f t="shared" si="16"/>
        <v/>
      </c>
      <c r="V165" s="305" t="str">
        <f>IF(D165="","",VLOOKUP(S165,'G-3 Multipliers'!$P$3:$Q$6,2,FALSE))</f>
        <v/>
      </c>
      <c r="W165" s="309" t="str">
        <f t="shared" si="17"/>
        <v/>
      </c>
      <c r="X165" s="105"/>
      <c r="Y165" s="119"/>
      <c r="Z165" s="108"/>
      <c r="AG165" s="30" t="str">
        <f>IFERROR(INDEX('G-6 Hedgerow Data'!$BJ$3:$BJ$15,MATCH(D165,'G-6 Hedgerow Data'!$B$3:$B$15,0)),"")</f>
        <v/>
      </c>
    </row>
    <row r="166" spans="2:33" ht="13.8" x14ac:dyDescent="0.25">
      <c r="B166" s="101">
        <v>155</v>
      </c>
      <c r="C166" s="144"/>
      <c r="D166" s="137"/>
      <c r="E166" s="119"/>
      <c r="F166" s="329" t="str">
        <f>IF(D166="","",VLOOKUP(D166,'G-6 Hedgerow Data'!$B$2:$AG$15,2,FALSE))</f>
        <v/>
      </c>
      <c r="G166" s="282" t="str">
        <f>IF(D166="","",VLOOKUP(D166,'G-6 Hedgerow Data'!$B$2:$AG$15,3,FALSE))</f>
        <v/>
      </c>
      <c r="H166" s="105"/>
      <c r="I166" s="282" t="str">
        <f>IFERROR(IF(H166="","",IF(AND(D166="Non-native and ornamental hedgerow", H166&lt;&gt;"Poor"),"Not possible ▲", (VLOOKUP(H166,'G-1 All Habitats'!$Z$2:$AA$9,2,FALSE)))),"")</f>
        <v/>
      </c>
      <c r="J166" s="105"/>
      <c r="K166" s="301" t="str">
        <f>IF(J166="","",IF(VLOOKUP(J166,'G-3 Multipliers'!$L$3:$N$6,2,FALSE)=0,"Spatial Data Missing ⚠",VLOOKUP(J166,'G-3 Multipliers'!$L$3:$N$6,2,FALSE)))</f>
        <v/>
      </c>
      <c r="L166" s="287" t="str">
        <f>IF(J166="","",IF(VLOOKUP(J166,'G-3 Multipliers'!$L$3:$N$6,3,FALSE)=0,"Spatial Data Missing ⚠",VLOOKUP(J166,'G-3 Multipliers'!$L$3:$N$6,3,FALSE)))</f>
        <v/>
      </c>
      <c r="M166" s="281" t="str">
        <f>IF(OR(D166="",H166=""),"",(INDEX('G-6 Hedgerow Data'!$E$3:$I$15,MATCH(D166,'G-6 Hedgerow Data'!$B$3:$B$15,0),MATCH(H166,'G-6 Hedgerow Data'!$E$2:$I$2,0))))</f>
        <v/>
      </c>
      <c r="N166" s="137"/>
      <c r="O166" s="137"/>
      <c r="P166" s="289" t="str">
        <f t="shared" si="13"/>
        <v/>
      </c>
      <c r="Q166" s="302" t="str">
        <f t="shared" si="14"/>
        <v/>
      </c>
      <c r="R166" s="303" t="str">
        <f t="shared" si="12"/>
        <v/>
      </c>
      <c r="S166" s="317" t="str">
        <f>IF(D166="","",VLOOKUP(D166,'G-6 Hedgerow Data'!$B$3:$AG$15,31,FALSE))</f>
        <v/>
      </c>
      <c r="T166" s="289" t="str">
        <f t="shared" si="15"/>
        <v/>
      </c>
      <c r="U166" s="289" t="str">
        <f t="shared" si="16"/>
        <v/>
      </c>
      <c r="V166" s="305" t="str">
        <f>IF(D166="","",VLOOKUP(S166,'G-3 Multipliers'!$P$3:$Q$6,2,FALSE))</f>
        <v/>
      </c>
      <c r="W166" s="309" t="str">
        <f t="shared" si="17"/>
        <v/>
      </c>
      <c r="X166" s="105"/>
      <c r="Y166" s="119"/>
      <c r="Z166" s="108"/>
      <c r="AG166" s="30" t="str">
        <f>IFERROR(INDEX('G-6 Hedgerow Data'!$BJ$3:$BJ$15,MATCH(D166,'G-6 Hedgerow Data'!$B$3:$B$15,0)),"")</f>
        <v/>
      </c>
    </row>
    <row r="167" spans="2:33" ht="13.8" x14ac:dyDescent="0.25">
      <c r="B167" s="101">
        <v>156</v>
      </c>
      <c r="C167" s="144"/>
      <c r="D167" s="137"/>
      <c r="E167" s="119"/>
      <c r="F167" s="329" t="str">
        <f>IF(D167="","",VLOOKUP(D167,'G-6 Hedgerow Data'!$B$2:$AG$15,2,FALSE))</f>
        <v/>
      </c>
      <c r="G167" s="282" t="str">
        <f>IF(D167="","",VLOOKUP(D167,'G-6 Hedgerow Data'!$B$2:$AG$15,3,FALSE))</f>
        <v/>
      </c>
      <c r="H167" s="105"/>
      <c r="I167" s="282" t="str">
        <f>IFERROR(IF(H167="","",IF(AND(D167="Non-native and ornamental hedgerow", H167&lt;&gt;"Poor"),"Not possible ▲", (VLOOKUP(H167,'G-1 All Habitats'!$Z$2:$AA$9,2,FALSE)))),"")</f>
        <v/>
      </c>
      <c r="J167" s="105"/>
      <c r="K167" s="301" t="str">
        <f>IF(J167="","",IF(VLOOKUP(J167,'G-3 Multipliers'!$L$3:$N$6,2,FALSE)=0,"Spatial Data Missing ⚠",VLOOKUP(J167,'G-3 Multipliers'!$L$3:$N$6,2,FALSE)))</f>
        <v/>
      </c>
      <c r="L167" s="287" t="str">
        <f>IF(J167="","",IF(VLOOKUP(J167,'G-3 Multipliers'!$L$3:$N$6,3,FALSE)=0,"Spatial Data Missing ⚠",VLOOKUP(J167,'G-3 Multipliers'!$L$3:$N$6,3,FALSE)))</f>
        <v/>
      </c>
      <c r="M167" s="281" t="str">
        <f>IF(OR(D167="",H167=""),"",(INDEX('G-6 Hedgerow Data'!$E$3:$I$15,MATCH(D167,'G-6 Hedgerow Data'!$B$3:$B$15,0),MATCH(H167,'G-6 Hedgerow Data'!$E$2:$I$2,0))))</f>
        <v/>
      </c>
      <c r="N167" s="137"/>
      <c r="O167" s="137"/>
      <c r="P167" s="289" t="str">
        <f t="shared" si="13"/>
        <v/>
      </c>
      <c r="Q167" s="302" t="str">
        <f t="shared" si="14"/>
        <v/>
      </c>
      <c r="R167" s="303" t="str">
        <f t="shared" si="12"/>
        <v/>
      </c>
      <c r="S167" s="317" t="str">
        <f>IF(D167="","",VLOOKUP(D167,'G-6 Hedgerow Data'!$B$3:$AG$15,31,FALSE))</f>
        <v/>
      </c>
      <c r="T167" s="289" t="str">
        <f t="shared" si="15"/>
        <v/>
      </c>
      <c r="U167" s="289" t="str">
        <f t="shared" si="16"/>
        <v/>
      </c>
      <c r="V167" s="305" t="str">
        <f>IF(D167="","",VLOOKUP(S167,'G-3 Multipliers'!$P$3:$Q$6,2,FALSE))</f>
        <v/>
      </c>
      <c r="W167" s="309" t="str">
        <f t="shared" si="17"/>
        <v/>
      </c>
      <c r="X167" s="105"/>
      <c r="Y167" s="119"/>
      <c r="Z167" s="108"/>
      <c r="AG167" s="30" t="str">
        <f>IFERROR(INDEX('G-6 Hedgerow Data'!$BJ$3:$BJ$15,MATCH(D167,'G-6 Hedgerow Data'!$B$3:$B$15,0)),"")</f>
        <v/>
      </c>
    </row>
    <row r="168" spans="2:33" ht="13.8" x14ac:dyDescent="0.25">
      <c r="B168" s="101">
        <v>157</v>
      </c>
      <c r="C168" s="144"/>
      <c r="D168" s="137"/>
      <c r="E168" s="119"/>
      <c r="F168" s="329" t="str">
        <f>IF(D168="","",VLOOKUP(D168,'G-6 Hedgerow Data'!$B$2:$AG$15,2,FALSE))</f>
        <v/>
      </c>
      <c r="G168" s="282" t="str">
        <f>IF(D168="","",VLOOKUP(D168,'G-6 Hedgerow Data'!$B$2:$AG$15,3,FALSE))</f>
        <v/>
      </c>
      <c r="H168" s="105"/>
      <c r="I168" s="282" t="str">
        <f>IFERROR(IF(H168="","",IF(AND(D168="Non-native and ornamental hedgerow", H168&lt;&gt;"Poor"),"Not possible ▲", (VLOOKUP(H168,'G-1 All Habitats'!$Z$2:$AA$9,2,FALSE)))),"")</f>
        <v/>
      </c>
      <c r="J168" s="105"/>
      <c r="K168" s="301" t="str">
        <f>IF(J168="","",IF(VLOOKUP(J168,'G-3 Multipliers'!$L$3:$N$6,2,FALSE)=0,"Spatial Data Missing ⚠",VLOOKUP(J168,'G-3 Multipliers'!$L$3:$N$6,2,FALSE)))</f>
        <v/>
      </c>
      <c r="L168" s="287" t="str">
        <f>IF(J168="","",IF(VLOOKUP(J168,'G-3 Multipliers'!$L$3:$N$6,3,FALSE)=0,"Spatial Data Missing ⚠",VLOOKUP(J168,'G-3 Multipliers'!$L$3:$N$6,3,FALSE)))</f>
        <v/>
      </c>
      <c r="M168" s="281" t="str">
        <f>IF(OR(D168="",H168=""),"",(INDEX('G-6 Hedgerow Data'!$E$3:$I$15,MATCH(D168,'G-6 Hedgerow Data'!$B$3:$B$15,0),MATCH(H168,'G-6 Hedgerow Data'!$E$2:$I$2,0))))</f>
        <v/>
      </c>
      <c r="N168" s="137"/>
      <c r="O168" s="137"/>
      <c r="P168" s="289" t="str">
        <f t="shared" si="13"/>
        <v/>
      </c>
      <c r="Q168" s="302" t="str">
        <f t="shared" si="14"/>
        <v/>
      </c>
      <c r="R168" s="303" t="str">
        <f t="shared" si="12"/>
        <v/>
      </c>
      <c r="S168" s="317" t="str">
        <f>IF(D168="","",VLOOKUP(D168,'G-6 Hedgerow Data'!$B$3:$AG$15,31,FALSE))</f>
        <v/>
      </c>
      <c r="T168" s="289" t="str">
        <f t="shared" si="15"/>
        <v/>
      </c>
      <c r="U168" s="289" t="str">
        <f t="shared" si="16"/>
        <v/>
      </c>
      <c r="V168" s="305" t="str">
        <f>IF(D168="","",VLOOKUP(S168,'G-3 Multipliers'!$P$3:$Q$6,2,FALSE))</f>
        <v/>
      </c>
      <c r="W168" s="309" t="str">
        <f t="shared" si="17"/>
        <v/>
      </c>
      <c r="X168" s="105"/>
      <c r="Y168" s="119"/>
      <c r="Z168" s="108"/>
      <c r="AG168" s="30" t="str">
        <f>IFERROR(INDEX('G-6 Hedgerow Data'!$BJ$3:$BJ$15,MATCH(D168,'G-6 Hedgerow Data'!$B$3:$B$15,0)),"")</f>
        <v/>
      </c>
    </row>
    <row r="169" spans="2:33" ht="13.8" x14ac:dyDescent="0.25">
      <c r="B169" s="101">
        <v>158</v>
      </c>
      <c r="C169" s="144"/>
      <c r="D169" s="137"/>
      <c r="E169" s="119"/>
      <c r="F169" s="329" t="str">
        <f>IF(D169="","",VLOOKUP(D169,'G-6 Hedgerow Data'!$B$2:$AG$15,2,FALSE))</f>
        <v/>
      </c>
      <c r="G169" s="282" t="str">
        <f>IF(D169="","",VLOOKUP(D169,'G-6 Hedgerow Data'!$B$2:$AG$15,3,FALSE))</f>
        <v/>
      </c>
      <c r="H169" s="105"/>
      <c r="I169" s="282" t="str">
        <f>IFERROR(IF(H169="","",IF(AND(D169="Non-native and ornamental hedgerow", H169&lt;&gt;"Poor"),"Not possible ▲", (VLOOKUP(H169,'G-1 All Habitats'!$Z$2:$AA$9,2,FALSE)))),"")</f>
        <v/>
      </c>
      <c r="J169" s="105"/>
      <c r="K169" s="301" t="str">
        <f>IF(J169="","",IF(VLOOKUP(J169,'G-3 Multipliers'!$L$3:$N$6,2,FALSE)=0,"Spatial Data Missing ⚠",VLOOKUP(J169,'G-3 Multipliers'!$L$3:$N$6,2,FALSE)))</f>
        <v/>
      </c>
      <c r="L169" s="287" t="str">
        <f>IF(J169="","",IF(VLOOKUP(J169,'G-3 Multipliers'!$L$3:$N$6,3,FALSE)=0,"Spatial Data Missing ⚠",VLOOKUP(J169,'G-3 Multipliers'!$L$3:$N$6,3,FALSE)))</f>
        <v/>
      </c>
      <c r="M169" s="281" t="str">
        <f>IF(OR(D169="",H169=""),"",(INDEX('G-6 Hedgerow Data'!$E$3:$I$15,MATCH(D169,'G-6 Hedgerow Data'!$B$3:$B$15,0),MATCH(H169,'G-6 Hedgerow Data'!$E$2:$I$2,0))))</f>
        <v/>
      </c>
      <c r="N169" s="137"/>
      <c r="O169" s="137"/>
      <c r="P169" s="289" t="str">
        <f t="shared" si="13"/>
        <v/>
      </c>
      <c r="Q169" s="302" t="str">
        <f t="shared" si="14"/>
        <v/>
      </c>
      <c r="R169" s="303" t="str">
        <f t="shared" si="12"/>
        <v/>
      </c>
      <c r="S169" s="317" t="str">
        <f>IF(D169="","",VLOOKUP(D169,'G-6 Hedgerow Data'!$B$3:$AG$15,31,FALSE))</f>
        <v/>
      </c>
      <c r="T169" s="289" t="str">
        <f t="shared" si="15"/>
        <v/>
      </c>
      <c r="U169" s="289" t="str">
        <f t="shared" si="16"/>
        <v/>
      </c>
      <c r="V169" s="305" t="str">
        <f>IF(D169="","",VLOOKUP(S169,'G-3 Multipliers'!$P$3:$Q$6,2,FALSE))</f>
        <v/>
      </c>
      <c r="W169" s="309" t="str">
        <f t="shared" si="17"/>
        <v/>
      </c>
      <c r="X169" s="105"/>
      <c r="Y169" s="119"/>
      <c r="Z169" s="108"/>
      <c r="AG169" s="30" t="str">
        <f>IFERROR(INDEX('G-6 Hedgerow Data'!$BJ$3:$BJ$15,MATCH(D169,'G-6 Hedgerow Data'!$B$3:$B$15,0)),"")</f>
        <v/>
      </c>
    </row>
    <row r="170" spans="2:33" ht="13.8" x14ac:dyDescent="0.25">
      <c r="B170" s="101">
        <v>159</v>
      </c>
      <c r="C170" s="144"/>
      <c r="D170" s="137"/>
      <c r="E170" s="119"/>
      <c r="F170" s="329" t="str">
        <f>IF(D170="","",VLOOKUP(D170,'G-6 Hedgerow Data'!$B$2:$AG$15,2,FALSE))</f>
        <v/>
      </c>
      <c r="G170" s="282" t="str">
        <f>IF(D170="","",VLOOKUP(D170,'G-6 Hedgerow Data'!$B$2:$AG$15,3,FALSE))</f>
        <v/>
      </c>
      <c r="H170" s="105"/>
      <c r="I170" s="282" t="str">
        <f>IFERROR(IF(H170="","",IF(AND(D170="Non-native and ornamental hedgerow", H170&lt;&gt;"Poor"),"Not possible ▲", (VLOOKUP(H170,'G-1 All Habitats'!$Z$2:$AA$9,2,FALSE)))),"")</f>
        <v/>
      </c>
      <c r="J170" s="105"/>
      <c r="K170" s="301" t="str">
        <f>IF(J170="","",IF(VLOOKUP(J170,'G-3 Multipliers'!$L$3:$N$6,2,FALSE)=0,"Spatial Data Missing ⚠",VLOOKUP(J170,'G-3 Multipliers'!$L$3:$N$6,2,FALSE)))</f>
        <v/>
      </c>
      <c r="L170" s="287" t="str">
        <f>IF(J170="","",IF(VLOOKUP(J170,'G-3 Multipliers'!$L$3:$N$6,3,FALSE)=0,"Spatial Data Missing ⚠",VLOOKUP(J170,'G-3 Multipliers'!$L$3:$N$6,3,FALSE)))</f>
        <v/>
      </c>
      <c r="M170" s="281" t="str">
        <f>IF(OR(D170="",H170=""),"",(INDEX('G-6 Hedgerow Data'!$E$3:$I$15,MATCH(D170,'G-6 Hedgerow Data'!$B$3:$B$15,0),MATCH(H170,'G-6 Hedgerow Data'!$E$2:$I$2,0))))</f>
        <v/>
      </c>
      <c r="N170" s="137"/>
      <c r="O170" s="137"/>
      <c r="P170" s="289" t="str">
        <f t="shared" si="13"/>
        <v/>
      </c>
      <c r="Q170" s="302" t="str">
        <f t="shared" si="14"/>
        <v/>
      </c>
      <c r="R170" s="303" t="str">
        <f t="shared" si="12"/>
        <v/>
      </c>
      <c r="S170" s="317" t="str">
        <f>IF(D170="","",VLOOKUP(D170,'G-6 Hedgerow Data'!$B$3:$AG$15,31,FALSE))</f>
        <v/>
      </c>
      <c r="T170" s="289" t="str">
        <f t="shared" si="15"/>
        <v/>
      </c>
      <c r="U170" s="289" t="str">
        <f t="shared" si="16"/>
        <v/>
      </c>
      <c r="V170" s="305" t="str">
        <f>IF(D170="","",VLOOKUP(S170,'G-3 Multipliers'!$P$3:$Q$6,2,FALSE))</f>
        <v/>
      </c>
      <c r="W170" s="309" t="str">
        <f t="shared" si="17"/>
        <v/>
      </c>
      <c r="X170" s="105"/>
      <c r="Y170" s="119"/>
      <c r="Z170" s="108"/>
      <c r="AG170" s="30" t="str">
        <f>IFERROR(INDEX('G-6 Hedgerow Data'!$BJ$3:$BJ$15,MATCH(D170,'G-6 Hedgerow Data'!$B$3:$B$15,0)),"")</f>
        <v/>
      </c>
    </row>
    <row r="171" spans="2:33" ht="13.8" x14ac:dyDescent="0.25">
      <c r="B171" s="101">
        <v>160</v>
      </c>
      <c r="C171" s="144"/>
      <c r="D171" s="137"/>
      <c r="E171" s="119"/>
      <c r="F171" s="329" t="str">
        <f>IF(D171="","",VLOOKUP(D171,'G-6 Hedgerow Data'!$B$2:$AG$15,2,FALSE))</f>
        <v/>
      </c>
      <c r="G171" s="282" t="str">
        <f>IF(D171="","",VLOOKUP(D171,'G-6 Hedgerow Data'!$B$2:$AG$15,3,FALSE))</f>
        <v/>
      </c>
      <c r="H171" s="105"/>
      <c r="I171" s="282" t="str">
        <f>IFERROR(IF(H171="","",IF(AND(D171="Non-native and ornamental hedgerow", H171&lt;&gt;"Poor"),"Not possible ▲", (VLOOKUP(H171,'G-1 All Habitats'!$Z$2:$AA$9,2,FALSE)))),"")</f>
        <v/>
      </c>
      <c r="J171" s="105"/>
      <c r="K171" s="301" t="str">
        <f>IF(J171="","",IF(VLOOKUP(J171,'G-3 Multipliers'!$L$3:$N$6,2,FALSE)=0,"Spatial Data Missing ⚠",VLOOKUP(J171,'G-3 Multipliers'!$L$3:$N$6,2,FALSE)))</f>
        <v/>
      </c>
      <c r="L171" s="287" t="str">
        <f>IF(J171="","",IF(VLOOKUP(J171,'G-3 Multipliers'!$L$3:$N$6,3,FALSE)=0,"Spatial Data Missing ⚠",VLOOKUP(J171,'G-3 Multipliers'!$L$3:$N$6,3,FALSE)))</f>
        <v/>
      </c>
      <c r="M171" s="281" t="str">
        <f>IF(OR(D171="",H171=""),"",(INDEX('G-6 Hedgerow Data'!$E$3:$I$15,MATCH(D171,'G-6 Hedgerow Data'!$B$3:$B$15,0),MATCH(H171,'G-6 Hedgerow Data'!$E$2:$I$2,0))))</f>
        <v/>
      </c>
      <c r="N171" s="137"/>
      <c r="O171" s="137"/>
      <c r="P171" s="289" t="str">
        <f t="shared" si="13"/>
        <v/>
      </c>
      <c r="Q171" s="302" t="str">
        <f t="shared" si="14"/>
        <v/>
      </c>
      <c r="R171" s="303" t="str">
        <f t="shared" si="12"/>
        <v/>
      </c>
      <c r="S171" s="317" t="str">
        <f>IF(D171="","",VLOOKUP(D171,'G-6 Hedgerow Data'!$B$3:$AG$15,31,FALSE))</f>
        <v/>
      </c>
      <c r="T171" s="289" t="str">
        <f t="shared" si="15"/>
        <v/>
      </c>
      <c r="U171" s="289" t="str">
        <f t="shared" si="16"/>
        <v/>
      </c>
      <c r="V171" s="305" t="str">
        <f>IF(D171="","",VLOOKUP(S171,'G-3 Multipliers'!$P$3:$Q$6,2,FALSE))</f>
        <v/>
      </c>
      <c r="W171" s="309" t="str">
        <f t="shared" si="17"/>
        <v/>
      </c>
      <c r="X171" s="105"/>
      <c r="Y171" s="119"/>
      <c r="Z171" s="108"/>
      <c r="AG171" s="30" t="str">
        <f>IFERROR(INDEX('G-6 Hedgerow Data'!$BJ$3:$BJ$15,MATCH(D171,'G-6 Hedgerow Data'!$B$3:$B$15,0)),"")</f>
        <v/>
      </c>
    </row>
    <row r="172" spans="2:33" ht="13.8" x14ac:dyDescent="0.25">
      <c r="B172" s="101">
        <v>161</v>
      </c>
      <c r="C172" s="144"/>
      <c r="D172" s="137"/>
      <c r="E172" s="119"/>
      <c r="F172" s="329" t="str">
        <f>IF(D172="","",VLOOKUP(D172,'G-6 Hedgerow Data'!$B$2:$AG$15,2,FALSE))</f>
        <v/>
      </c>
      <c r="G172" s="282" t="str">
        <f>IF(D172="","",VLOOKUP(D172,'G-6 Hedgerow Data'!$B$2:$AG$15,3,FALSE))</f>
        <v/>
      </c>
      <c r="H172" s="105"/>
      <c r="I172" s="282" t="str">
        <f>IFERROR(IF(H172="","",IF(AND(D172="Non-native and ornamental hedgerow", H172&lt;&gt;"Poor"),"Not possible ▲", (VLOOKUP(H172,'G-1 All Habitats'!$Z$2:$AA$9,2,FALSE)))),"")</f>
        <v/>
      </c>
      <c r="J172" s="105"/>
      <c r="K172" s="301" t="str">
        <f>IF(J172="","",IF(VLOOKUP(J172,'G-3 Multipliers'!$L$3:$N$6,2,FALSE)=0,"Spatial Data Missing ⚠",VLOOKUP(J172,'G-3 Multipliers'!$L$3:$N$6,2,FALSE)))</f>
        <v/>
      </c>
      <c r="L172" s="287" t="str">
        <f>IF(J172="","",IF(VLOOKUP(J172,'G-3 Multipliers'!$L$3:$N$6,3,FALSE)=0,"Spatial Data Missing ⚠",VLOOKUP(J172,'G-3 Multipliers'!$L$3:$N$6,3,FALSE)))</f>
        <v/>
      </c>
      <c r="M172" s="281" t="str">
        <f>IF(OR(D172="",H172=""),"",(INDEX('G-6 Hedgerow Data'!$E$3:$I$15,MATCH(D172,'G-6 Hedgerow Data'!$B$3:$B$15,0),MATCH(H172,'G-6 Hedgerow Data'!$E$2:$I$2,0))))</f>
        <v/>
      </c>
      <c r="N172" s="137"/>
      <c r="O172" s="137"/>
      <c r="P172" s="289" t="str">
        <f t="shared" si="13"/>
        <v/>
      </c>
      <c r="Q172" s="302" t="str">
        <f t="shared" si="14"/>
        <v/>
      </c>
      <c r="R172" s="303" t="str">
        <f t="shared" si="12"/>
        <v/>
      </c>
      <c r="S172" s="317" t="str">
        <f>IF(D172="","",VLOOKUP(D172,'G-6 Hedgerow Data'!$B$3:$AG$15,31,FALSE))</f>
        <v/>
      </c>
      <c r="T172" s="289" t="str">
        <f t="shared" si="15"/>
        <v/>
      </c>
      <c r="U172" s="289" t="str">
        <f t="shared" si="16"/>
        <v/>
      </c>
      <c r="V172" s="305" t="str">
        <f>IF(D172="","",VLOOKUP(S172,'G-3 Multipliers'!$P$3:$Q$6,2,FALSE))</f>
        <v/>
      </c>
      <c r="W172" s="309" t="str">
        <f t="shared" si="17"/>
        <v/>
      </c>
      <c r="X172" s="105"/>
      <c r="Y172" s="119"/>
      <c r="Z172" s="108"/>
      <c r="AG172" s="30" t="str">
        <f>IFERROR(INDEX('G-6 Hedgerow Data'!$BJ$3:$BJ$15,MATCH(D172,'G-6 Hedgerow Data'!$B$3:$B$15,0)),"")</f>
        <v/>
      </c>
    </row>
    <row r="173" spans="2:33" ht="13.8" x14ac:dyDescent="0.25">
      <c r="B173" s="101">
        <v>162</v>
      </c>
      <c r="C173" s="144"/>
      <c r="D173" s="137"/>
      <c r="E173" s="119"/>
      <c r="F173" s="329" t="str">
        <f>IF(D173="","",VLOOKUP(D173,'G-6 Hedgerow Data'!$B$2:$AG$15,2,FALSE))</f>
        <v/>
      </c>
      <c r="G173" s="282" t="str">
        <f>IF(D173="","",VLOOKUP(D173,'G-6 Hedgerow Data'!$B$2:$AG$15,3,FALSE))</f>
        <v/>
      </c>
      <c r="H173" s="105"/>
      <c r="I173" s="282" t="str">
        <f>IFERROR(IF(H173="","",IF(AND(D173="Non-native and ornamental hedgerow", H173&lt;&gt;"Poor"),"Not possible ▲", (VLOOKUP(H173,'G-1 All Habitats'!$Z$2:$AA$9,2,FALSE)))),"")</f>
        <v/>
      </c>
      <c r="J173" s="105"/>
      <c r="K173" s="301" t="str">
        <f>IF(J173="","",IF(VLOOKUP(J173,'G-3 Multipliers'!$L$3:$N$6,2,FALSE)=0,"Spatial Data Missing ⚠",VLOOKUP(J173,'G-3 Multipliers'!$L$3:$N$6,2,FALSE)))</f>
        <v/>
      </c>
      <c r="L173" s="287" t="str">
        <f>IF(J173="","",IF(VLOOKUP(J173,'G-3 Multipliers'!$L$3:$N$6,3,FALSE)=0,"Spatial Data Missing ⚠",VLOOKUP(J173,'G-3 Multipliers'!$L$3:$N$6,3,FALSE)))</f>
        <v/>
      </c>
      <c r="M173" s="281" t="str">
        <f>IF(OR(D173="",H173=""),"",(INDEX('G-6 Hedgerow Data'!$E$3:$I$15,MATCH(D173,'G-6 Hedgerow Data'!$B$3:$B$15,0),MATCH(H173,'G-6 Hedgerow Data'!$E$2:$I$2,0))))</f>
        <v/>
      </c>
      <c r="N173" s="137"/>
      <c r="O173" s="137"/>
      <c r="P173" s="289" t="str">
        <f t="shared" si="13"/>
        <v/>
      </c>
      <c r="Q173" s="302" t="str">
        <f t="shared" si="14"/>
        <v/>
      </c>
      <c r="R173" s="303" t="str">
        <f t="shared" si="12"/>
        <v/>
      </c>
      <c r="S173" s="317" t="str">
        <f>IF(D173="","",VLOOKUP(D173,'G-6 Hedgerow Data'!$B$3:$AG$15,31,FALSE))</f>
        <v/>
      </c>
      <c r="T173" s="289" t="str">
        <f t="shared" si="15"/>
        <v/>
      </c>
      <c r="U173" s="289" t="str">
        <f t="shared" si="16"/>
        <v/>
      </c>
      <c r="V173" s="305" t="str">
        <f>IF(D173="","",VLOOKUP(S173,'G-3 Multipliers'!$P$3:$Q$6,2,FALSE))</f>
        <v/>
      </c>
      <c r="W173" s="309" t="str">
        <f t="shared" si="17"/>
        <v/>
      </c>
      <c r="X173" s="105"/>
      <c r="Y173" s="119"/>
      <c r="Z173" s="108"/>
      <c r="AG173" s="30" t="str">
        <f>IFERROR(INDEX('G-6 Hedgerow Data'!$BJ$3:$BJ$15,MATCH(D173,'G-6 Hedgerow Data'!$B$3:$B$15,0)),"")</f>
        <v/>
      </c>
    </row>
    <row r="174" spans="2:33" ht="13.8" x14ac:dyDescent="0.25">
      <c r="B174" s="101">
        <v>163</v>
      </c>
      <c r="C174" s="144"/>
      <c r="D174" s="137"/>
      <c r="E174" s="119"/>
      <c r="F174" s="329" t="str">
        <f>IF(D174="","",VLOOKUP(D174,'G-6 Hedgerow Data'!$B$2:$AG$15,2,FALSE))</f>
        <v/>
      </c>
      <c r="G174" s="282" t="str">
        <f>IF(D174="","",VLOOKUP(D174,'G-6 Hedgerow Data'!$B$2:$AG$15,3,FALSE))</f>
        <v/>
      </c>
      <c r="H174" s="105"/>
      <c r="I174" s="282" t="str">
        <f>IFERROR(IF(H174="","",IF(AND(D174="Non-native and ornamental hedgerow", H174&lt;&gt;"Poor"),"Not possible ▲", (VLOOKUP(H174,'G-1 All Habitats'!$Z$2:$AA$9,2,FALSE)))),"")</f>
        <v/>
      </c>
      <c r="J174" s="105"/>
      <c r="K174" s="301" t="str">
        <f>IF(J174="","",IF(VLOOKUP(J174,'G-3 Multipliers'!$L$3:$N$6,2,FALSE)=0,"Spatial Data Missing ⚠",VLOOKUP(J174,'G-3 Multipliers'!$L$3:$N$6,2,FALSE)))</f>
        <v/>
      </c>
      <c r="L174" s="287" t="str">
        <f>IF(J174="","",IF(VLOOKUP(J174,'G-3 Multipliers'!$L$3:$N$6,3,FALSE)=0,"Spatial Data Missing ⚠",VLOOKUP(J174,'G-3 Multipliers'!$L$3:$N$6,3,FALSE)))</f>
        <v/>
      </c>
      <c r="M174" s="281" t="str">
        <f>IF(OR(D174="",H174=""),"",(INDEX('G-6 Hedgerow Data'!$E$3:$I$15,MATCH(D174,'G-6 Hedgerow Data'!$B$3:$B$15,0),MATCH(H174,'G-6 Hedgerow Data'!$E$2:$I$2,0))))</f>
        <v/>
      </c>
      <c r="N174" s="137"/>
      <c r="O174" s="137"/>
      <c r="P174" s="289" t="str">
        <f t="shared" si="13"/>
        <v/>
      </c>
      <c r="Q174" s="302" t="str">
        <f t="shared" si="14"/>
        <v/>
      </c>
      <c r="R174" s="303" t="str">
        <f t="shared" si="12"/>
        <v/>
      </c>
      <c r="S174" s="317" t="str">
        <f>IF(D174="","",VLOOKUP(D174,'G-6 Hedgerow Data'!$B$3:$AG$15,31,FALSE))</f>
        <v/>
      </c>
      <c r="T174" s="289" t="str">
        <f t="shared" si="15"/>
        <v/>
      </c>
      <c r="U174" s="289" t="str">
        <f t="shared" si="16"/>
        <v/>
      </c>
      <c r="V174" s="305" t="str">
        <f>IF(D174="","",VLOOKUP(S174,'G-3 Multipliers'!$P$3:$Q$6,2,FALSE))</f>
        <v/>
      </c>
      <c r="W174" s="309" t="str">
        <f t="shared" si="17"/>
        <v/>
      </c>
      <c r="X174" s="105"/>
      <c r="Y174" s="119"/>
      <c r="Z174" s="108"/>
      <c r="AG174" s="30" t="str">
        <f>IFERROR(INDEX('G-6 Hedgerow Data'!$BJ$3:$BJ$15,MATCH(D174,'G-6 Hedgerow Data'!$B$3:$B$15,0)),"")</f>
        <v/>
      </c>
    </row>
    <row r="175" spans="2:33" ht="13.8" x14ac:dyDescent="0.25">
      <c r="B175" s="101">
        <v>164</v>
      </c>
      <c r="C175" s="144"/>
      <c r="D175" s="137"/>
      <c r="E175" s="119"/>
      <c r="F175" s="329" t="str">
        <f>IF(D175="","",VLOOKUP(D175,'G-6 Hedgerow Data'!$B$2:$AG$15,2,FALSE))</f>
        <v/>
      </c>
      <c r="G175" s="282" t="str">
        <f>IF(D175="","",VLOOKUP(D175,'G-6 Hedgerow Data'!$B$2:$AG$15,3,FALSE))</f>
        <v/>
      </c>
      <c r="H175" s="105"/>
      <c r="I175" s="282" t="str">
        <f>IFERROR(IF(H175="","",IF(AND(D175="Non-native and ornamental hedgerow", H175&lt;&gt;"Poor"),"Not possible ▲", (VLOOKUP(H175,'G-1 All Habitats'!$Z$2:$AA$9,2,FALSE)))),"")</f>
        <v/>
      </c>
      <c r="J175" s="105"/>
      <c r="K175" s="301" t="str">
        <f>IF(J175="","",IF(VLOOKUP(J175,'G-3 Multipliers'!$L$3:$N$6,2,FALSE)=0,"Spatial Data Missing ⚠",VLOOKUP(J175,'G-3 Multipliers'!$L$3:$N$6,2,FALSE)))</f>
        <v/>
      </c>
      <c r="L175" s="287" t="str">
        <f>IF(J175="","",IF(VLOOKUP(J175,'G-3 Multipliers'!$L$3:$N$6,3,FALSE)=0,"Spatial Data Missing ⚠",VLOOKUP(J175,'G-3 Multipliers'!$L$3:$N$6,3,FALSE)))</f>
        <v/>
      </c>
      <c r="M175" s="281" t="str">
        <f>IF(OR(D175="",H175=""),"",(INDEX('G-6 Hedgerow Data'!$E$3:$I$15,MATCH(D175,'G-6 Hedgerow Data'!$B$3:$B$15,0),MATCH(H175,'G-6 Hedgerow Data'!$E$2:$I$2,0))))</f>
        <v/>
      </c>
      <c r="N175" s="137"/>
      <c r="O175" s="137"/>
      <c r="P175" s="289" t="str">
        <f t="shared" si="13"/>
        <v/>
      </c>
      <c r="Q175" s="302" t="str">
        <f t="shared" si="14"/>
        <v/>
      </c>
      <c r="R175" s="303" t="str">
        <f t="shared" si="12"/>
        <v/>
      </c>
      <c r="S175" s="317" t="str">
        <f>IF(D175="","",VLOOKUP(D175,'G-6 Hedgerow Data'!$B$3:$AG$15,31,FALSE))</f>
        <v/>
      </c>
      <c r="T175" s="289" t="str">
        <f t="shared" si="15"/>
        <v/>
      </c>
      <c r="U175" s="289" t="str">
        <f t="shared" si="16"/>
        <v/>
      </c>
      <c r="V175" s="305" t="str">
        <f>IF(D175="","",VLOOKUP(S175,'G-3 Multipliers'!$P$3:$Q$6,2,FALSE))</f>
        <v/>
      </c>
      <c r="W175" s="309" t="str">
        <f t="shared" si="17"/>
        <v/>
      </c>
      <c r="X175" s="105"/>
      <c r="Y175" s="119"/>
      <c r="Z175" s="108"/>
      <c r="AG175" s="30" t="str">
        <f>IFERROR(INDEX('G-6 Hedgerow Data'!$BJ$3:$BJ$15,MATCH(D175,'G-6 Hedgerow Data'!$B$3:$B$15,0)),"")</f>
        <v/>
      </c>
    </row>
    <row r="176" spans="2:33" ht="13.8" x14ac:dyDescent="0.25">
      <c r="B176" s="101">
        <v>165</v>
      </c>
      <c r="C176" s="144"/>
      <c r="D176" s="137"/>
      <c r="E176" s="119"/>
      <c r="F176" s="329" t="str">
        <f>IF(D176="","",VLOOKUP(D176,'G-6 Hedgerow Data'!$B$2:$AG$15,2,FALSE))</f>
        <v/>
      </c>
      <c r="G176" s="282" t="str">
        <f>IF(D176="","",VLOOKUP(D176,'G-6 Hedgerow Data'!$B$2:$AG$15,3,FALSE))</f>
        <v/>
      </c>
      <c r="H176" s="105"/>
      <c r="I176" s="282" t="str">
        <f>IFERROR(IF(H176="","",IF(AND(D176="Non-native and ornamental hedgerow", H176&lt;&gt;"Poor"),"Not possible ▲", (VLOOKUP(H176,'G-1 All Habitats'!$Z$2:$AA$9,2,FALSE)))),"")</f>
        <v/>
      </c>
      <c r="J176" s="105"/>
      <c r="K176" s="301" t="str">
        <f>IF(J176="","",IF(VLOOKUP(J176,'G-3 Multipliers'!$L$3:$N$6,2,FALSE)=0,"Spatial Data Missing ⚠",VLOOKUP(J176,'G-3 Multipliers'!$L$3:$N$6,2,FALSE)))</f>
        <v/>
      </c>
      <c r="L176" s="287" t="str">
        <f>IF(J176="","",IF(VLOOKUP(J176,'G-3 Multipliers'!$L$3:$N$6,3,FALSE)=0,"Spatial Data Missing ⚠",VLOOKUP(J176,'G-3 Multipliers'!$L$3:$N$6,3,FALSE)))</f>
        <v/>
      </c>
      <c r="M176" s="281" t="str">
        <f>IF(OR(D176="",H176=""),"",(INDEX('G-6 Hedgerow Data'!$E$3:$I$15,MATCH(D176,'G-6 Hedgerow Data'!$B$3:$B$15,0),MATCH(H176,'G-6 Hedgerow Data'!$E$2:$I$2,0))))</f>
        <v/>
      </c>
      <c r="N176" s="137"/>
      <c r="O176" s="137"/>
      <c r="P176" s="289" t="str">
        <f t="shared" si="13"/>
        <v/>
      </c>
      <c r="Q176" s="302" t="str">
        <f t="shared" si="14"/>
        <v/>
      </c>
      <c r="R176" s="303" t="str">
        <f t="shared" si="12"/>
        <v/>
      </c>
      <c r="S176" s="317" t="str">
        <f>IF(D176="","",VLOOKUP(D176,'G-6 Hedgerow Data'!$B$3:$AG$15,31,FALSE))</f>
        <v/>
      </c>
      <c r="T176" s="289" t="str">
        <f t="shared" si="15"/>
        <v/>
      </c>
      <c r="U176" s="289" t="str">
        <f t="shared" si="16"/>
        <v/>
      </c>
      <c r="V176" s="305" t="str">
        <f>IF(D176="","",VLOOKUP(S176,'G-3 Multipliers'!$P$3:$Q$6,2,FALSE))</f>
        <v/>
      </c>
      <c r="W176" s="309" t="str">
        <f t="shared" si="17"/>
        <v/>
      </c>
      <c r="X176" s="105"/>
      <c r="Y176" s="119"/>
      <c r="Z176" s="108"/>
      <c r="AG176" s="30" t="str">
        <f>IFERROR(INDEX('G-6 Hedgerow Data'!$BJ$3:$BJ$15,MATCH(D176,'G-6 Hedgerow Data'!$B$3:$B$15,0)),"")</f>
        <v/>
      </c>
    </row>
    <row r="177" spans="2:33" ht="13.8" x14ac:dyDescent="0.25">
      <c r="B177" s="101">
        <v>166</v>
      </c>
      <c r="C177" s="144"/>
      <c r="D177" s="137"/>
      <c r="E177" s="119"/>
      <c r="F177" s="329" t="str">
        <f>IF(D177="","",VLOOKUP(D177,'G-6 Hedgerow Data'!$B$2:$AG$15,2,FALSE))</f>
        <v/>
      </c>
      <c r="G177" s="282" t="str">
        <f>IF(D177="","",VLOOKUP(D177,'G-6 Hedgerow Data'!$B$2:$AG$15,3,FALSE))</f>
        <v/>
      </c>
      <c r="H177" s="105"/>
      <c r="I177" s="282" t="str">
        <f>IFERROR(IF(H177="","",IF(AND(D177="Non-native and ornamental hedgerow", H177&lt;&gt;"Poor"),"Not possible ▲", (VLOOKUP(H177,'G-1 All Habitats'!$Z$2:$AA$9,2,FALSE)))),"")</f>
        <v/>
      </c>
      <c r="J177" s="105"/>
      <c r="K177" s="301" t="str">
        <f>IF(J177="","",IF(VLOOKUP(J177,'G-3 Multipliers'!$L$3:$N$6,2,FALSE)=0,"Spatial Data Missing ⚠",VLOOKUP(J177,'G-3 Multipliers'!$L$3:$N$6,2,FALSE)))</f>
        <v/>
      </c>
      <c r="L177" s="287" t="str">
        <f>IF(J177="","",IF(VLOOKUP(J177,'G-3 Multipliers'!$L$3:$N$6,3,FALSE)=0,"Spatial Data Missing ⚠",VLOOKUP(J177,'G-3 Multipliers'!$L$3:$N$6,3,FALSE)))</f>
        <v/>
      </c>
      <c r="M177" s="281" t="str">
        <f>IF(OR(D177="",H177=""),"",(INDEX('G-6 Hedgerow Data'!$E$3:$I$15,MATCH(D177,'G-6 Hedgerow Data'!$B$3:$B$15,0),MATCH(H177,'G-6 Hedgerow Data'!$E$2:$I$2,0))))</f>
        <v/>
      </c>
      <c r="N177" s="137"/>
      <c r="O177" s="137"/>
      <c r="P177" s="289" t="str">
        <f t="shared" si="13"/>
        <v/>
      </c>
      <c r="Q177" s="302" t="str">
        <f t="shared" si="14"/>
        <v/>
      </c>
      <c r="R177" s="303" t="str">
        <f t="shared" si="12"/>
        <v/>
      </c>
      <c r="S177" s="317" t="str">
        <f>IF(D177="","",VLOOKUP(D177,'G-6 Hedgerow Data'!$B$3:$AG$15,31,FALSE))</f>
        <v/>
      </c>
      <c r="T177" s="289" t="str">
        <f t="shared" si="15"/>
        <v/>
      </c>
      <c r="U177" s="289" t="str">
        <f t="shared" si="16"/>
        <v/>
      </c>
      <c r="V177" s="305" t="str">
        <f>IF(D177="","",VLOOKUP(S177,'G-3 Multipliers'!$P$3:$Q$6,2,FALSE))</f>
        <v/>
      </c>
      <c r="W177" s="309" t="str">
        <f t="shared" si="17"/>
        <v/>
      </c>
      <c r="X177" s="105"/>
      <c r="Y177" s="119"/>
      <c r="Z177" s="108"/>
      <c r="AG177" s="30" t="str">
        <f>IFERROR(INDEX('G-6 Hedgerow Data'!$BJ$3:$BJ$15,MATCH(D177,'G-6 Hedgerow Data'!$B$3:$B$15,0)),"")</f>
        <v/>
      </c>
    </row>
    <row r="178" spans="2:33" ht="13.8" x14ac:dyDescent="0.25">
      <c r="B178" s="101">
        <v>167</v>
      </c>
      <c r="C178" s="144"/>
      <c r="D178" s="137"/>
      <c r="E178" s="119"/>
      <c r="F178" s="329" t="str">
        <f>IF(D178="","",VLOOKUP(D178,'G-6 Hedgerow Data'!$B$2:$AG$15,2,FALSE))</f>
        <v/>
      </c>
      <c r="G178" s="282" t="str">
        <f>IF(D178="","",VLOOKUP(D178,'G-6 Hedgerow Data'!$B$2:$AG$15,3,FALSE))</f>
        <v/>
      </c>
      <c r="H178" s="105"/>
      <c r="I178" s="282" t="str">
        <f>IFERROR(IF(H178="","",IF(AND(D178="Non-native and ornamental hedgerow", H178&lt;&gt;"Poor"),"Not possible ▲", (VLOOKUP(H178,'G-1 All Habitats'!$Z$2:$AA$9,2,FALSE)))),"")</f>
        <v/>
      </c>
      <c r="J178" s="105"/>
      <c r="K178" s="301" t="str">
        <f>IF(J178="","",IF(VLOOKUP(J178,'G-3 Multipliers'!$L$3:$N$6,2,FALSE)=0,"Spatial Data Missing ⚠",VLOOKUP(J178,'G-3 Multipliers'!$L$3:$N$6,2,FALSE)))</f>
        <v/>
      </c>
      <c r="L178" s="287" t="str">
        <f>IF(J178="","",IF(VLOOKUP(J178,'G-3 Multipliers'!$L$3:$N$6,3,FALSE)=0,"Spatial Data Missing ⚠",VLOOKUP(J178,'G-3 Multipliers'!$L$3:$N$6,3,FALSE)))</f>
        <v/>
      </c>
      <c r="M178" s="281" t="str">
        <f>IF(OR(D178="",H178=""),"",(INDEX('G-6 Hedgerow Data'!$E$3:$I$15,MATCH(D178,'G-6 Hedgerow Data'!$B$3:$B$15,0),MATCH(H178,'G-6 Hedgerow Data'!$E$2:$I$2,0))))</f>
        <v/>
      </c>
      <c r="N178" s="137"/>
      <c r="O178" s="137"/>
      <c r="P178" s="289" t="str">
        <f t="shared" si="13"/>
        <v/>
      </c>
      <c r="Q178" s="302" t="str">
        <f t="shared" si="14"/>
        <v/>
      </c>
      <c r="R178" s="303" t="str">
        <f t="shared" si="12"/>
        <v/>
      </c>
      <c r="S178" s="317" t="str">
        <f>IF(D178="","",VLOOKUP(D178,'G-6 Hedgerow Data'!$B$3:$AG$15,31,FALSE))</f>
        <v/>
      </c>
      <c r="T178" s="289" t="str">
        <f t="shared" si="15"/>
        <v/>
      </c>
      <c r="U178" s="289" t="str">
        <f t="shared" si="16"/>
        <v/>
      </c>
      <c r="V178" s="305" t="str">
        <f>IF(D178="","",VLOOKUP(S178,'G-3 Multipliers'!$P$3:$Q$6,2,FALSE))</f>
        <v/>
      </c>
      <c r="W178" s="309" t="str">
        <f t="shared" si="17"/>
        <v/>
      </c>
      <c r="X178" s="105"/>
      <c r="Y178" s="119"/>
      <c r="Z178" s="108"/>
      <c r="AG178" s="30" t="str">
        <f>IFERROR(INDEX('G-6 Hedgerow Data'!$BJ$3:$BJ$15,MATCH(D178,'G-6 Hedgerow Data'!$B$3:$B$15,0)),"")</f>
        <v/>
      </c>
    </row>
    <row r="179" spans="2:33" ht="13.8" x14ac:dyDescent="0.25">
      <c r="B179" s="101">
        <v>168</v>
      </c>
      <c r="C179" s="144"/>
      <c r="D179" s="137"/>
      <c r="E179" s="119"/>
      <c r="F179" s="329" t="str">
        <f>IF(D179="","",VLOOKUP(D179,'G-6 Hedgerow Data'!$B$2:$AG$15,2,FALSE))</f>
        <v/>
      </c>
      <c r="G179" s="282" t="str">
        <f>IF(D179="","",VLOOKUP(D179,'G-6 Hedgerow Data'!$B$2:$AG$15,3,FALSE))</f>
        <v/>
      </c>
      <c r="H179" s="105"/>
      <c r="I179" s="282" t="str">
        <f>IFERROR(IF(H179="","",IF(AND(D179="Non-native and ornamental hedgerow", H179&lt;&gt;"Poor"),"Not possible ▲", (VLOOKUP(H179,'G-1 All Habitats'!$Z$2:$AA$9,2,FALSE)))),"")</f>
        <v/>
      </c>
      <c r="J179" s="105"/>
      <c r="K179" s="301" t="str">
        <f>IF(J179="","",IF(VLOOKUP(J179,'G-3 Multipliers'!$L$3:$N$6,2,FALSE)=0,"Spatial Data Missing ⚠",VLOOKUP(J179,'G-3 Multipliers'!$L$3:$N$6,2,FALSE)))</f>
        <v/>
      </c>
      <c r="L179" s="287" t="str">
        <f>IF(J179="","",IF(VLOOKUP(J179,'G-3 Multipliers'!$L$3:$N$6,3,FALSE)=0,"Spatial Data Missing ⚠",VLOOKUP(J179,'G-3 Multipliers'!$L$3:$N$6,3,FALSE)))</f>
        <v/>
      </c>
      <c r="M179" s="281" t="str">
        <f>IF(OR(D179="",H179=""),"",(INDEX('G-6 Hedgerow Data'!$E$3:$I$15,MATCH(D179,'G-6 Hedgerow Data'!$B$3:$B$15,0),MATCH(H179,'G-6 Hedgerow Data'!$E$2:$I$2,0))))</f>
        <v/>
      </c>
      <c r="N179" s="137"/>
      <c r="O179" s="137"/>
      <c r="P179" s="289" t="str">
        <f t="shared" si="13"/>
        <v/>
      </c>
      <c r="Q179" s="302" t="str">
        <f t="shared" si="14"/>
        <v/>
      </c>
      <c r="R179" s="303" t="str">
        <f t="shared" si="12"/>
        <v/>
      </c>
      <c r="S179" s="317" t="str">
        <f>IF(D179="","",VLOOKUP(D179,'G-6 Hedgerow Data'!$B$3:$AG$15,31,FALSE))</f>
        <v/>
      </c>
      <c r="T179" s="289" t="str">
        <f t="shared" si="15"/>
        <v/>
      </c>
      <c r="U179" s="289" t="str">
        <f t="shared" si="16"/>
        <v/>
      </c>
      <c r="V179" s="305" t="str">
        <f>IF(D179="","",VLOOKUP(S179,'G-3 Multipliers'!$P$3:$Q$6,2,FALSE))</f>
        <v/>
      </c>
      <c r="W179" s="309" t="str">
        <f t="shared" si="17"/>
        <v/>
      </c>
      <c r="X179" s="105"/>
      <c r="Y179" s="119"/>
      <c r="Z179" s="108"/>
      <c r="AG179" s="30" t="str">
        <f>IFERROR(INDEX('G-6 Hedgerow Data'!$BJ$3:$BJ$15,MATCH(D179,'G-6 Hedgerow Data'!$B$3:$B$15,0)),"")</f>
        <v/>
      </c>
    </row>
    <row r="180" spans="2:33" ht="13.8" x14ac:dyDescent="0.25">
      <c r="B180" s="101">
        <v>169</v>
      </c>
      <c r="C180" s="144"/>
      <c r="D180" s="137"/>
      <c r="E180" s="119"/>
      <c r="F180" s="329" t="str">
        <f>IF(D180="","",VLOOKUP(D180,'G-6 Hedgerow Data'!$B$2:$AG$15,2,FALSE))</f>
        <v/>
      </c>
      <c r="G180" s="282" t="str">
        <f>IF(D180="","",VLOOKUP(D180,'G-6 Hedgerow Data'!$B$2:$AG$15,3,FALSE))</f>
        <v/>
      </c>
      <c r="H180" s="105"/>
      <c r="I180" s="282" t="str">
        <f>IFERROR(IF(H180="","",IF(AND(D180="Non-native and ornamental hedgerow", H180&lt;&gt;"Poor"),"Not possible ▲", (VLOOKUP(H180,'G-1 All Habitats'!$Z$2:$AA$9,2,FALSE)))),"")</f>
        <v/>
      </c>
      <c r="J180" s="105"/>
      <c r="K180" s="301" t="str">
        <f>IF(J180="","",IF(VLOOKUP(J180,'G-3 Multipliers'!$L$3:$N$6,2,FALSE)=0,"Spatial Data Missing ⚠",VLOOKUP(J180,'G-3 Multipliers'!$L$3:$N$6,2,FALSE)))</f>
        <v/>
      </c>
      <c r="L180" s="287" t="str">
        <f>IF(J180="","",IF(VLOOKUP(J180,'G-3 Multipliers'!$L$3:$N$6,3,FALSE)=0,"Spatial Data Missing ⚠",VLOOKUP(J180,'G-3 Multipliers'!$L$3:$N$6,3,FALSE)))</f>
        <v/>
      </c>
      <c r="M180" s="281" t="str">
        <f>IF(OR(D180="",H180=""),"",(INDEX('G-6 Hedgerow Data'!$E$3:$I$15,MATCH(D180,'G-6 Hedgerow Data'!$B$3:$B$15,0),MATCH(H180,'G-6 Hedgerow Data'!$E$2:$I$2,0))))</f>
        <v/>
      </c>
      <c r="N180" s="137"/>
      <c r="O180" s="137"/>
      <c r="P180" s="289" t="str">
        <f t="shared" si="13"/>
        <v/>
      </c>
      <c r="Q180" s="302" t="str">
        <f t="shared" si="14"/>
        <v/>
      </c>
      <c r="R180" s="303" t="str">
        <f t="shared" si="12"/>
        <v/>
      </c>
      <c r="S180" s="317" t="str">
        <f>IF(D180="","",VLOOKUP(D180,'G-6 Hedgerow Data'!$B$3:$AG$15,31,FALSE))</f>
        <v/>
      </c>
      <c r="T180" s="289" t="str">
        <f t="shared" si="15"/>
        <v/>
      </c>
      <c r="U180" s="289" t="str">
        <f t="shared" si="16"/>
        <v/>
      </c>
      <c r="V180" s="305" t="str">
        <f>IF(D180="","",VLOOKUP(S180,'G-3 Multipliers'!$P$3:$Q$6,2,FALSE))</f>
        <v/>
      </c>
      <c r="W180" s="309" t="str">
        <f t="shared" si="17"/>
        <v/>
      </c>
      <c r="X180" s="105"/>
      <c r="Y180" s="119"/>
      <c r="Z180" s="108"/>
      <c r="AG180" s="30" t="str">
        <f>IFERROR(INDEX('G-6 Hedgerow Data'!$BJ$3:$BJ$15,MATCH(D180,'G-6 Hedgerow Data'!$B$3:$B$15,0)),"")</f>
        <v/>
      </c>
    </row>
    <row r="181" spans="2:33" ht="13.8" x14ac:dyDescent="0.25">
      <c r="B181" s="101">
        <v>170</v>
      </c>
      <c r="C181" s="144"/>
      <c r="D181" s="137"/>
      <c r="E181" s="119"/>
      <c r="F181" s="329" t="str">
        <f>IF(D181="","",VLOOKUP(D181,'G-6 Hedgerow Data'!$B$2:$AG$15,2,FALSE))</f>
        <v/>
      </c>
      <c r="G181" s="282" t="str">
        <f>IF(D181="","",VLOOKUP(D181,'G-6 Hedgerow Data'!$B$2:$AG$15,3,FALSE))</f>
        <v/>
      </c>
      <c r="H181" s="105"/>
      <c r="I181" s="282" t="str">
        <f>IFERROR(IF(H181="","",IF(AND(D181="Non-native and ornamental hedgerow", H181&lt;&gt;"Poor"),"Not possible ▲", (VLOOKUP(H181,'G-1 All Habitats'!$Z$2:$AA$9,2,FALSE)))),"")</f>
        <v/>
      </c>
      <c r="J181" s="105"/>
      <c r="K181" s="301" t="str">
        <f>IF(J181="","",IF(VLOOKUP(J181,'G-3 Multipliers'!$L$3:$N$6,2,FALSE)=0,"Spatial Data Missing ⚠",VLOOKUP(J181,'G-3 Multipliers'!$L$3:$N$6,2,FALSE)))</f>
        <v/>
      </c>
      <c r="L181" s="287" t="str">
        <f>IF(J181="","",IF(VLOOKUP(J181,'G-3 Multipliers'!$L$3:$N$6,3,FALSE)=0,"Spatial Data Missing ⚠",VLOOKUP(J181,'G-3 Multipliers'!$L$3:$N$6,3,FALSE)))</f>
        <v/>
      </c>
      <c r="M181" s="281" t="str">
        <f>IF(OR(D181="",H181=""),"",(INDEX('G-6 Hedgerow Data'!$E$3:$I$15,MATCH(D181,'G-6 Hedgerow Data'!$B$3:$B$15,0),MATCH(H181,'G-6 Hedgerow Data'!$E$2:$I$2,0))))</f>
        <v/>
      </c>
      <c r="N181" s="137"/>
      <c r="O181" s="137"/>
      <c r="P181" s="289" t="str">
        <f t="shared" si="13"/>
        <v/>
      </c>
      <c r="Q181" s="302" t="str">
        <f t="shared" si="14"/>
        <v/>
      </c>
      <c r="R181" s="303" t="str">
        <f t="shared" si="12"/>
        <v/>
      </c>
      <c r="S181" s="317" t="str">
        <f>IF(D181="","",VLOOKUP(D181,'G-6 Hedgerow Data'!$B$3:$AG$15,31,FALSE))</f>
        <v/>
      </c>
      <c r="T181" s="289" t="str">
        <f t="shared" si="15"/>
        <v/>
      </c>
      <c r="U181" s="289" t="str">
        <f t="shared" si="16"/>
        <v/>
      </c>
      <c r="V181" s="305" t="str">
        <f>IF(D181="","",VLOOKUP(S181,'G-3 Multipliers'!$P$3:$Q$6,2,FALSE))</f>
        <v/>
      </c>
      <c r="W181" s="309" t="str">
        <f t="shared" si="17"/>
        <v/>
      </c>
      <c r="X181" s="105"/>
      <c r="Y181" s="119"/>
      <c r="Z181" s="108"/>
      <c r="AG181" s="30" t="str">
        <f>IFERROR(INDEX('G-6 Hedgerow Data'!$BJ$3:$BJ$15,MATCH(D181,'G-6 Hedgerow Data'!$B$3:$B$15,0)),"")</f>
        <v/>
      </c>
    </row>
    <row r="182" spans="2:33" ht="13.8" x14ac:dyDescent="0.25">
      <c r="B182" s="101">
        <v>171</v>
      </c>
      <c r="C182" s="144"/>
      <c r="D182" s="137"/>
      <c r="E182" s="119"/>
      <c r="F182" s="329" t="str">
        <f>IF(D182="","",VLOOKUP(D182,'G-6 Hedgerow Data'!$B$2:$AG$15,2,FALSE))</f>
        <v/>
      </c>
      <c r="G182" s="282" t="str">
        <f>IF(D182="","",VLOOKUP(D182,'G-6 Hedgerow Data'!$B$2:$AG$15,3,FALSE))</f>
        <v/>
      </c>
      <c r="H182" s="105"/>
      <c r="I182" s="282" t="str">
        <f>IFERROR(IF(H182="","",IF(AND(D182="Non-native and ornamental hedgerow", H182&lt;&gt;"Poor"),"Not possible ▲", (VLOOKUP(H182,'G-1 All Habitats'!$Z$2:$AA$9,2,FALSE)))),"")</f>
        <v/>
      </c>
      <c r="J182" s="105"/>
      <c r="K182" s="301" t="str">
        <f>IF(J182="","",IF(VLOOKUP(J182,'G-3 Multipliers'!$L$3:$N$6,2,FALSE)=0,"Spatial Data Missing ⚠",VLOOKUP(J182,'G-3 Multipliers'!$L$3:$N$6,2,FALSE)))</f>
        <v/>
      </c>
      <c r="L182" s="287" t="str">
        <f>IF(J182="","",IF(VLOOKUP(J182,'G-3 Multipliers'!$L$3:$N$6,3,FALSE)=0,"Spatial Data Missing ⚠",VLOOKUP(J182,'G-3 Multipliers'!$L$3:$N$6,3,FALSE)))</f>
        <v/>
      </c>
      <c r="M182" s="281" t="str">
        <f>IF(OR(D182="",H182=""),"",(INDEX('G-6 Hedgerow Data'!$E$3:$I$15,MATCH(D182,'G-6 Hedgerow Data'!$B$3:$B$15,0),MATCH(H182,'G-6 Hedgerow Data'!$E$2:$I$2,0))))</f>
        <v/>
      </c>
      <c r="N182" s="137"/>
      <c r="O182" s="137"/>
      <c r="P182" s="289" t="str">
        <f t="shared" si="13"/>
        <v/>
      </c>
      <c r="Q182" s="302" t="str">
        <f t="shared" si="14"/>
        <v/>
      </c>
      <c r="R182" s="303" t="str">
        <f t="shared" si="12"/>
        <v/>
      </c>
      <c r="S182" s="317" t="str">
        <f>IF(D182="","",VLOOKUP(D182,'G-6 Hedgerow Data'!$B$3:$AG$15,31,FALSE))</f>
        <v/>
      </c>
      <c r="T182" s="289" t="str">
        <f t="shared" si="15"/>
        <v/>
      </c>
      <c r="U182" s="289" t="str">
        <f t="shared" si="16"/>
        <v/>
      </c>
      <c r="V182" s="305" t="str">
        <f>IF(D182="","",VLOOKUP(S182,'G-3 Multipliers'!$P$3:$Q$6,2,FALSE))</f>
        <v/>
      </c>
      <c r="W182" s="309" t="str">
        <f t="shared" si="17"/>
        <v/>
      </c>
      <c r="X182" s="105"/>
      <c r="Y182" s="119"/>
      <c r="Z182" s="108"/>
      <c r="AG182" s="30" t="str">
        <f>IFERROR(INDEX('G-6 Hedgerow Data'!$BJ$3:$BJ$15,MATCH(D182,'G-6 Hedgerow Data'!$B$3:$B$15,0)),"")</f>
        <v/>
      </c>
    </row>
    <row r="183" spans="2:33" ht="13.8" x14ac:dyDescent="0.25">
      <c r="B183" s="101">
        <v>172</v>
      </c>
      <c r="C183" s="144"/>
      <c r="D183" s="137"/>
      <c r="E183" s="119"/>
      <c r="F183" s="329" t="str">
        <f>IF(D183="","",VLOOKUP(D183,'G-6 Hedgerow Data'!$B$2:$AG$15,2,FALSE))</f>
        <v/>
      </c>
      <c r="G183" s="282" t="str">
        <f>IF(D183="","",VLOOKUP(D183,'G-6 Hedgerow Data'!$B$2:$AG$15,3,FALSE))</f>
        <v/>
      </c>
      <c r="H183" s="105"/>
      <c r="I183" s="282" t="str">
        <f>IFERROR(IF(H183="","",IF(AND(D183="Non-native and ornamental hedgerow", H183&lt;&gt;"Poor"),"Not possible ▲", (VLOOKUP(H183,'G-1 All Habitats'!$Z$2:$AA$9,2,FALSE)))),"")</f>
        <v/>
      </c>
      <c r="J183" s="105"/>
      <c r="K183" s="301" t="str">
        <f>IF(J183="","",IF(VLOOKUP(J183,'G-3 Multipliers'!$L$3:$N$6,2,FALSE)=0,"Spatial Data Missing ⚠",VLOOKUP(J183,'G-3 Multipliers'!$L$3:$N$6,2,FALSE)))</f>
        <v/>
      </c>
      <c r="L183" s="287" t="str">
        <f>IF(J183="","",IF(VLOOKUP(J183,'G-3 Multipliers'!$L$3:$N$6,3,FALSE)=0,"Spatial Data Missing ⚠",VLOOKUP(J183,'G-3 Multipliers'!$L$3:$N$6,3,FALSE)))</f>
        <v/>
      </c>
      <c r="M183" s="281" t="str">
        <f>IF(OR(D183="",H183=""),"",(INDEX('G-6 Hedgerow Data'!$E$3:$I$15,MATCH(D183,'G-6 Hedgerow Data'!$B$3:$B$15,0),MATCH(H183,'G-6 Hedgerow Data'!$E$2:$I$2,0))))</f>
        <v/>
      </c>
      <c r="N183" s="137"/>
      <c r="O183" s="137"/>
      <c r="P183" s="289" t="str">
        <f t="shared" si="13"/>
        <v/>
      </c>
      <c r="Q183" s="302" t="str">
        <f t="shared" si="14"/>
        <v/>
      </c>
      <c r="R183" s="303" t="str">
        <f t="shared" si="12"/>
        <v/>
      </c>
      <c r="S183" s="317" t="str">
        <f>IF(D183="","",VLOOKUP(D183,'G-6 Hedgerow Data'!$B$3:$AG$15,31,FALSE))</f>
        <v/>
      </c>
      <c r="T183" s="289" t="str">
        <f t="shared" si="15"/>
        <v/>
      </c>
      <c r="U183" s="289" t="str">
        <f t="shared" si="16"/>
        <v/>
      </c>
      <c r="V183" s="305" t="str">
        <f>IF(D183="","",VLOOKUP(S183,'G-3 Multipliers'!$P$3:$Q$6,2,FALSE))</f>
        <v/>
      </c>
      <c r="W183" s="309" t="str">
        <f t="shared" si="17"/>
        <v/>
      </c>
      <c r="X183" s="105"/>
      <c r="Y183" s="119"/>
      <c r="Z183" s="108"/>
      <c r="AG183" s="30" t="str">
        <f>IFERROR(INDEX('G-6 Hedgerow Data'!$BJ$3:$BJ$15,MATCH(D183,'G-6 Hedgerow Data'!$B$3:$B$15,0)),"")</f>
        <v/>
      </c>
    </row>
    <row r="184" spans="2:33" ht="13.8" x14ac:dyDescent="0.25">
      <c r="B184" s="101">
        <v>173</v>
      </c>
      <c r="C184" s="144"/>
      <c r="D184" s="137"/>
      <c r="E184" s="119"/>
      <c r="F184" s="329" t="str">
        <f>IF(D184="","",VLOOKUP(D184,'G-6 Hedgerow Data'!$B$2:$AG$15,2,FALSE))</f>
        <v/>
      </c>
      <c r="G184" s="282" t="str">
        <f>IF(D184="","",VLOOKUP(D184,'G-6 Hedgerow Data'!$B$2:$AG$15,3,FALSE))</f>
        <v/>
      </c>
      <c r="H184" s="105"/>
      <c r="I184" s="282" t="str">
        <f>IFERROR(IF(H184="","",IF(AND(D184="Non-native and ornamental hedgerow", H184&lt;&gt;"Poor"),"Not possible ▲", (VLOOKUP(H184,'G-1 All Habitats'!$Z$2:$AA$9,2,FALSE)))),"")</f>
        <v/>
      </c>
      <c r="J184" s="105"/>
      <c r="K184" s="301" t="str">
        <f>IF(J184="","",IF(VLOOKUP(J184,'G-3 Multipliers'!$L$3:$N$6,2,FALSE)=0,"Spatial Data Missing ⚠",VLOOKUP(J184,'G-3 Multipliers'!$L$3:$N$6,2,FALSE)))</f>
        <v/>
      </c>
      <c r="L184" s="287" t="str">
        <f>IF(J184="","",IF(VLOOKUP(J184,'G-3 Multipliers'!$L$3:$N$6,3,FALSE)=0,"Spatial Data Missing ⚠",VLOOKUP(J184,'G-3 Multipliers'!$L$3:$N$6,3,FALSE)))</f>
        <v/>
      </c>
      <c r="M184" s="281" t="str">
        <f>IF(OR(D184="",H184=""),"",(INDEX('G-6 Hedgerow Data'!$E$3:$I$15,MATCH(D184,'G-6 Hedgerow Data'!$B$3:$B$15,0),MATCH(H184,'G-6 Hedgerow Data'!$E$2:$I$2,0))))</f>
        <v/>
      </c>
      <c r="N184" s="137"/>
      <c r="O184" s="137"/>
      <c r="P184" s="289" t="str">
        <f t="shared" si="13"/>
        <v/>
      </c>
      <c r="Q184" s="302" t="str">
        <f t="shared" si="14"/>
        <v/>
      </c>
      <c r="R184" s="303" t="str">
        <f t="shared" si="12"/>
        <v/>
      </c>
      <c r="S184" s="317" t="str">
        <f>IF(D184="","",VLOOKUP(D184,'G-6 Hedgerow Data'!$B$3:$AG$15,31,FALSE))</f>
        <v/>
      </c>
      <c r="T184" s="289" t="str">
        <f t="shared" si="15"/>
        <v/>
      </c>
      <c r="U184" s="289" t="str">
        <f t="shared" si="16"/>
        <v/>
      </c>
      <c r="V184" s="305" t="str">
        <f>IF(D184="","",VLOOKUP(S184,'G-3 Multipliers'!$P$3:$Q$6,2,FALSE))</f>
        <v/>
      </c>
      <c r="W184" s="309" t="str">
        <f t="shared" si="17"/>
        <v/>
      </c>
      <c r="X184" s="105"/>
      <c r="Y184" s="119"/>
      <c r="Z184" s="108"/>
      <c r="AG184" s="30" t="str">
        <f>IFERROR(INDEX('G-6 Hedgerow Data'!$BJ$3:$BJ$15,MATCH(D184,'G-6 Hedgerow Data'!$B$3:$B$15,0)),"")</f>
        <v/>
      </c>
    </row>
    <row r="185" spans="2:33" ht="13.8" x14ac:dyDescent="0.25">
      <c r="B185" s="101">
        <v>174</v>
      </c>
      <c r="C185" s="144"/>
      <c r="D185" s="137"/>
      <c r="E185" s="119"/>
      <c r="F185" s="329" t="str">
        <f>IF(D185="","",VLOOKUP(D185,'G-6 Hedgerow Data'!$B$2:$AG$15,2,FALSE))</f>
        <v/>
      </c>
      <c r="G185" s="282" t="str">
        <f>IF(D185="","",VLOOKUP(D185,'G-6 Hedgerow Data'!$B$2:$AG$15,3,FALSE))</f>
        <v/>
      </c>
      <c r="H185" s="105"/>
      <c r="I185" s="282" t="str">
        <f>IFERROR(IF(H185="","",IF(AND(D185="Non-native and ornamental hedgerow", H185&lt;&gt;"Poor"),"Not possible ▲", (VLOOKUP(H185,'G-1 All Habitats'!$Z$2:$AA$9,2,FALSE)))),"")</f>
        <v/>
      </c>
      <c r="J185" s="105"/>
      <c r="K185" s="301" t="str">
        <f>IF(J185="","",IF(VLOOKUP(J185,'G-3 Multipliers'!$L$3:$N$6,2,FALSE)=0,"Spatial Data Missing ⚠",VLOOKUP(J185,'G-3 Multipliers'!$L$3:$N$6,2,FALSE)))</f>
        <v/>
      </c>
      <c r="L185" s="287" t="str">
        <f>IF(J185="","",IF(VLOOKUP(J185,'G-3 Multipliers'!$L$3:$N$6,3,FALSE)=0,"Spatial Data Missing ⚠",VLOOKUP(J185,'G-3 Multipliers'!$L$3:$N$6,3,FALSE)))</f>
        <v/>
      </c>
      <c r="M185" s="281" t="str">
        <f>IF(OR(D185="",H185=""),"",(INDEX('G-6 Hedgerow Data'!$E$3:$I$15,MATCH(D185,'G-6 Hedgerow Data'!$B$3:$B$15,0),MATCH(H185,'G-6 Hedgerow Data'!$E$2:$I$2,0))))</f>
        <v/>
      </c>
      <c r="N185" s="137"/>
      <c r="O185" s="137"/>
      <c r="P185" s="289" t="str">
        <f t="shared" si="13"/>
        <v/>
      </c>
      <c r="Q185" s="302" t="str">
        <f t="shared" si="14"/>
        <v/>
      </c>
      <c r="R185" s="303" t="str">
        <f t="shared" si="12"/>
        <v/>
      </c>
      <c r="S185" s="317" t="str">
        <f>IF(D185="","",VLOOKUP(D185,'G-6 Hedgerow Data'!$B$3:$AG$15,31,FALSE))</f>
        <v/>
      </c>
      <c r="T185" s="289" t="str">
        <f t="shared" si="15"/>
        <v/>
      </c>
      <c r="U185" s="289" t="str">
        <f t="shared" si="16"/>
        <v/>
      </c>
      <c r="V185" s="305" t="str">
        <f>IF(D185="","",VLOOKUP(S185,'G-3 Multipliers'!$P$3:$Q$6,2,FALSE))</f>
        <v/>
      </c>
      <c r="W185" s="309" t="str">
        <f t="shared" si="17"/>
        <v/>
      </c>
      <c r="X185" s="105"/>
      <c r="Y185" s="119"/>
      <c r="Z185" s="108"/>
      <c r="AG185" s="30" t="str">
        <f>IFERROR(INDEX('G-6 Hedgerow Data'!$BJ$3:$BJ$15,MATCH(D185,'G-6 Hedgerow Data'!$B$3:$B$15,0)),"")</f>
        <v/>
      </c>
    </row>
    <row r="186" spans="2:33" ht="13.8" x14ac:dyDescent="0.25">
      <c r="B186" s="101">
        <v>175</v>
      </c>
      <c r="C186" s="144"/>
      <c r="D186" s="137"/>
      <c r="E186" s="119"/>
      <c r="F186" s="329" t="str">
        <f>IF(D186="","",VLOOKUP(D186,'G-6 Hedgerow Data'!$B$2:$AG$15,2,FALSE))</f>
        <v/>
      </c>
      <c r="G186" s="282" t="str">
        <f>IF(D186="","",VLOOKUP(D186,'G-6 Hedgerow Data'!$B$2:$AG$15,3,FALSE))</f>
        <v/>
      </c>
      <c r="H186" s="105"/>
      <c r="I186" s="282" t="str">
        <f>IFERROR(IF(H186="","",IF(AND(D186="Non-native and ornamental hedgerow", H186&lt;&gt;"Poor"),"Not possible ▲", (VLOOKUP(H186,'G-1 All Habitats'!$Z$2:$AA$9,2,FALSE)))),"")</f>
        <v/>
      </c>
      <c r="J186" s="105"/>
      <c r="K186" s="301" t="str">
        <f>IF(J186="","",IF(VLOOKUP(J186,'G-3 Multipliers'!$L$3:$N$6,2,FALSE)=0,"Spatial Data Missing ⚠",VLOOKUP(J186,'G-3 Multipliers'!$L$3:$N$6,2,FALSE)))</f>
        <v/>
      </c>
      <c r="L186" s="287" t="str">
        <f>IF(J186="","",IF(VLOOKUP(J186,'G-3 Multipliers'!$L$3:$N$6,3,FALSE)=0,"Spatial Data Missing ⚠",VLOOKUP(J186,'G-3 Multipliers'!$L$3:$N$6,3,FALSE)))</f>
        <v/>
      </c>
      <c r="M186" s="281" t="str">
        <f>IF(OR(D186="",H186=""),"",(INDEX('G-6 Hedgerow Data'!$E$3:$I$15,MATCH(D186,'G-6 Hedgerow Data'!$B$3:$B$15,0),MATCH(H186,'G-6 Hedgerow Data'!$E$2:$I$2,0))))</f>
        <v/>
      </c>
      <c r="N186" s="137"/>
      <c r="O186" s="137"/>
      <c r="P186" s="289" t="str">
        <f t="shared" si="13"/>
        <v/>
      </c>
      <c r="Q186" s="302" t="str">
        <f t="shared" si="14"/>
        <v/>
      </c>
      <c r="R186" s="303" t="str">
        <f t="shared" si="12"/>
        <v/>
      </c>
      <c r="S186" s="317" t="str">
        <f>IF(D186="","",VLOOKUP(D186,'G-6 Hedgerow Data'!$B$3:$AG$15,31,FALSE))</f>
        <v/>
      </c>
      <c r="T186" s="289" t="str">
        <f t="shared" si="15"/>
        <v/>
      </c>
      <c r="U186" s="289" t="str">
        <f t="shared" si="16"/>
        <v/>
      </c>
      <c r="V186" s="305" t="str">
        <f>IF(D186="","",VLOOKUP(S186,'G-3 Multipliers'!$P$3:$Q$6,2,FALSE))</f>
        <v/>
      </c>
      <c r="W186" s="309" t="str">
        <f t="shared" si="17"/>
        <v/>
      </c>
      <c r="X186" s="105"/>
      <c r="Y186" s="119"/>
      <c r="Z186" s="108"/>
      <c r="AG186" s="30" t="str">
        <f>IFERROR(INDEX('G-6 Hedgerow Data'!$BJ$3:$BJ$15,MATCH(D186,'G-6 Hedgerow Data'!$B$3:$B$15,0)),"")</f>
        <v/>
      </c>
    </row>
    <row r="187" spans="2:33" ht="13.8" x14ac:dyDescent="0.25">
      <c r="B187" s="101">
        <v>176</v>
      </c>
      <c r="C187" s="144"/>
      <c r="D187" s="137"/>
      <c r="E187" s="119"/>
      <c r="F187" s="329" t="str">
        <f>IF(D187="","",VLOOKUP(D187,'G-6 Hedgerow Data'!$B$2:$AG$15,2,FALSE))</f>
        <v/>
      </c>
      <c r="G187" s="282" t="str">
        <f>IF(D187="","",VLOOKUP(D187,'G-6 Hedgerow Data'!$B$2:$AG$15,3,FALSE))</f>
        <v/>
      </c>
      <c r="H187" s="105"/>
      <c r="I187" s="282" t="str">
        <f>IFERROR(IF(H187="","",IF(AND(D187="Non-native and ornamental hedgerow", H187&lt;&gt;"Poor"),"Not possible ▲", (VLOOKUP(H187,'G-1 All Habitats'!$Z$2:$AA$9,2,FALSE)))),"")</f>
        <v/>
      </c>
      <c r="J187" s="105"/>
      <c r="K187" s="301" t="str">
        <f>IF(J187="","",IF(VLOOKUP(J187,'G-3 Multipliers'!$L$3:$N$6,2,FALSE)=0,"Spatial Data Missing ⚠",VLOOKUP(J187,'G-3 Multipliers'!$L$3:$N$6,2,FALSE)))</f>
        <v/>
      </c>
      <c r="L187" s="287" t="str">
        <f>IF(J187="","",IF(VLOOKUP(J187,'G-3 Multipliers'!$L$3:$N$6,3,FALSE)=0,"Spatial Data Missing ⚠",VLOOKUP(J187,'G-3 Multipliers'!$L$3:$N$6,3,FALSE)))</f>
        <v/>
      </c>
      <c r="M187" s="281" t="str">
        <f>IF(OR(D187="",H187=""),"",(INDEX('G-6 Hedgerow Data'!$E$3:$I$15,MATCH(D187,'G-6 Hedgerow Data'!$B$3:$B$15,0),MATCH(H187,'G-6 Hedgerow Data'!$E$2:$I$2,0))))</f>
        <v/>
      </c>
      <c r="N187" s="137"/>
      <c r="O187" s="137"/>
      <c r="P187" s="289" t="str">
        <f t="shared" si="13"/>
        <v/>
      </c>
      <c r="Q187" s="302" t="str">
        <f t="shared" si="14"/>
        <v/>
      </c>
      <c r="R187" s="303" t="str">
        <f t="shared" si="12"/>
        <v/>
      </c>
      <c r="S187" s="317" t="str">
        <f>IF(D187="","",VLOOKUP(D187,'G-6 Hedgerow Data'!$B$3:$AG$15,31,FALSE))</f>
        <v/>
      </c>
      <c r="T187" s="289" t="str">
        <f t="shared" si="15"/>
        <v/>
      </c>
      <c r="U187" s="289" t="str">
        <f t="shared" si="16"/>
        <v/>
      </c>
      <c r="V187" s="305" t="str">
        <f>IF(D187="","",VLOOKUP(S187,'G-3 Multipliers'!$P$3:$Q$6,2,FALSE))</f>
        <v/>
      </c>
      <c r="W187" s="309" t="str">
        <f t="shared" si="17"/>
        <v/>
      </c>
      <c r="X187" s="105"/>
      <c r="Y187" s="119"/>
      <c r="Z187" s="108"/>
      <c r="AG187" s="30" t="str">
        <f>IFERROR(INDEX('G-6 Hedgerow Data'!$BJ$3:$BJ$15,MATCH(D187,'G-6 Hedgerow Data'!$B$3:$B$15,0)),"")</f>
        <v/>
      </c>
    </row>
    <row r="188" spans="2:33" ht="13.8" x14ac:dyDescent="0.25">
      <c r="B188" s="101">
        <v>177</v>
      </c>
      <c r="C188" s="144"/>
      <c r="D188" s="137"/>
      <c r="E188" s="119"/>
      <c r="F188" s="329" t="str">
        <f>IF(D188="","",VLOOKUP(D188,'G-6 Hedgerow Data'!$B$2:$AG$15,2,FALSE))</f>
        <v/>
      </c>
      <c r="G188" s="282" t="str">
        <f>IF(D188="","",VLOOKUP(D188,'G-6 Hedgerow Data'!$B$2:$AG$15,3,FALSE))</f>
        <v/>
      </c>
      <c r="H188" s="105"/>
      <c r="I188" s="282" t="str">
        <f>IFERROR(IF(H188="","",IF(AND(D188="Non-native and ornamental hedgerow", H188&lt;&gt;"Poor"),"Not possible ▲", (VLOOKUP(H188,'G-1 All Habitats'!$Z$2:$AA$9,2,FALSE)))),"")</f>
        <v/>
      </c>
      <c r="J188" s="105"/>
      <c r="K188" s="301" t="str">
        <f>IF(J188="","",IF(VLOOKUP(J188,'G-3 Multipliers'!$L$3:$N$6,2,FALSE)=0,"Spatial Data Missing ⚠",VLOOKUP(J188,'G-3 Multipliers'!$L$3:$N$6,2,FALSE)))</f>
        <v/>
      </c>
      <c r="L188" s="287" t="str">
        <f>IF(J188="","",IF(VLOOKUP(J188,'G-3 Multipliers'!$L$3:$N$6,3,FALSE)=0,"Spatial Data Missing ⚠",VLOOKUP(J188,'G-3 Multipliers'!$L$3:$N$6,3,FALSE)))</f>
        <v/>
      </c>
      <c r="M188" s="281" t="str">
        <f>IF(OR(D188="",H188=""),"",(INDEX('G-6 Hedgerow Data'!$E$3:$I$15,MATCH(D188,'G-6 Hedgerow Data'!$B$3:$B$15,0),MATCH(H188,'G-6 Hedgerow Data'!$E$2:$I$2,0))))</f>
        <v/>
      </c>
      <c r="N188" s="137"/>
      <c r="O188" s="137"/>
      <c r="P188" s="289" t="str">
        <f t="shared" si="13"/>
        <v/>
      </c>
      <c r="Q188" s="302" t="str">
        <f t="shared" si="14"/>
        <v/>
      </c>
      <c r="R188" s="303" t="str">
        <f t="shared" si="12"/>
        <v/>
      </c>
      <c r="S188" s="317" t="str">
        <f>IF(D188="","",VLOOKUP(D188,'G-6 Hedgerow Data'!$B$3:$AG$15,31,FALSE))</f>
        <v/>
      </c>
      <c r="T188" s="289" t="str">
        <f t="shared" si="15"/>
        <v/>
      </c>
      <c r="U188" s="289" t="str">
        <f t="shared" si="16"/>
        <v/>
      </c>
      <c r="V188" s="305" t="str">
        <f>IF(D188="","",VLOOKUP(S188,'G-3 Multipliers'!$P$3:$Q$6,2,FALSE))</f>
        <v/>
      </c>
      <c r="W188" s="309" t="str">
        <f t="shared" si="17"/>
        <v/>
      </c>
      <c r="X188" s="105"/>
      <c r="Y188" s="119"/>
      <c r="Z188" s="108"/>
      <c r="AG188" s="30" t="str">
        <f>IFERROR(INDEX('G-6 Hedgerow Data'!$BJ$3:$BJ$15,MATCH(D188,'G-6 Hedgerow Data'!$B$3:$B$15,0)),"")</f>
        <v/>
      </c>
    </row>
    <row r="189" spans="2:33" ht="13.8" x14ac:dyDescent="0.25">
      <c r="B189" s="101">
        <v>178</v>
      </c>
      <c r="C189" s="144"/>
      <c r="D189" s="137"/>
      <c r="E189" s="119"/>
      <c r="F189" s="329" t="str">
        <f>IF(D189="","",VLOOKUP(D189,'G-6 Hedgerow Data'!$B$2:$AG$15,2,FALSE))</f>
        <v/>
      </c>
      <c r="G189" s="282" t="str">
        <f>IF(D189="","",VLOOKUP(D189,'G-6 Hedgerow Data'!$B$2:$AG$15,3,FALSE))</f>
        <v/>
      </c>
      <c r="H189" s="105"/>
      <c r="I189" s="282" t="str">
        <f>IFERROR(IF(H189="","",IF(AND(D189="Non-native and ornamental hedgerow", H189&lt;&gt;"Poor"),"Not possible ▲", (VLOOKUP(H189,'G-1 All Habitats'!$Z$2:$AA$9,2,FALSE)))),"")</f>
        <v/>
      </c>
      <c r="J189" s="105"/>
      <c r="K189" s="301" t="str">
        <f>IF(J189="","",IF(VLOOKUP(J189,'G-3 Multipliers'!$L$3:$N$6,2,FALSE)=0,"Spatial Data Missing ⚠",VLOOKUP(J189,'G-3 Multipliers'!$L$3:$N$6,2,FALSE)))</f>
        <v/>
      </c>
      <c r="L189" s="287" t="str">
        <f>IF(J189="","",IF(VLOOKUP(J189,'G-3 Multipliers'!$L$3:$N$6,3,FALSE)=0,"Spatial Data Missing ⚠",VLOOKUP(J189,'G-3 Multipliers'!$L$3:$N$6,3,FALSE)))</f>
        <v/>
      </c>
      <c r="M189" s="281" t="str">
        <f>IF(OR(D189="",H189=""),"",(INDEX('G-6 Hedgerow Data'!$E$3:$I$15,MATCH(D189,'G-6 Hedgerow Data'!$B$3:$B$15,0),MATCH(H189,'G-6 Hedgerow Data'!$E$2:$I$2,0))))</f>
        <v/>
      </c>
      <c r="N189" s="137"/>
      <c r="O189" s="137"/>
      <c r="P189" s="289" t="str">
        <f t="shared" si="13"/>
        <v/>
      </c>
      <c r="Q189" s="302" t="str">
        <f t="shared" si="14"/>
        <v/>
      </c>
      <c r="R189" s="303" t="str">
        <f t="shared" si="12"/>
        <v/>
      </c>
      <c r="S189" s="317" t="str">
        <f>IF(D189="","",VLOOKUP(D189,'G-6 Hedgerow Data'!$B$3:$AG$15,31,FALSE))</f>
        <v/>
      </c>
      <c r="T189" s="289" t="str">
        <f t="shared" si="15"/>
        <v/>
      </c>
      <c r="U189" s="289" t="str">
        <f t="shared" si="16"/>
        <v/>
      </c>
      <c r="V189" s="305" t="str">
        <f>IF(D189="","",VLOOKUP(S189,'G-3 Multipliers'!$P$3:$Q$6,2,FALSE))</f>
        <v/>
      </c>
      <c r="W189" s="309" t="str">
        <f t="shared" si="17"/>
        <v/>
      </c>
      <c r="X189" s="105"/>
      <c r="Y189" s="119"/>
      <c r="Z189" s="108"/>
      <c r="AG189" s="30" t="str">
        <f>IFERROR(INDEX('G-6 Hedgerow Data'!$BJ$3:$BJ$15,MATCH(D189,'G-6 Hedgerow Data'!$B$3:$B$15,0)),"")</f>
        <v/>
      </c>
    </row>
    <row r="190" spans="2:33" ht="13.8" x14ac:dyDescent="0.25">
      <c r="B190" s="101">
        <v>179</v>
      </c>
      <c r="C190" s="144"/>
      <c r="D190" s="137"/>
      <c r="E190" s="119"/>
      <c r="F190" s="329" t="str">
        <f>IF(D190="","",VLOOKUP(D190,'G-6 Hedgerow Data'!$B$2:$AG$15,2,FALSE))</f>
        <v/>
      </c>
      <c r="G190" s="282" t="str">
        <f>IF(D190="","",VLOOKUP(D190,'G-6 Hedgerow Data'!$B$2:$AG$15,3,FALSE))</f>
        <v/>
      </c>
      <c r="H190" s="105"/>
      <c r="I190" s="282" t="str">
        <f>IFERROR(IF(H190="","",IF(AND(D190="Non-native and ornamental hedgerow", H190&lt;&gt;"Poor"),"Not possible ▲", (VLOOKUP(H190,'G-1 All Habitats'!$Z$2:$AA$9,2,FALSE)))),"")</f>
        <v/>
      </c>
      <c r="J190" s="105"/>
      <c r="K190" s="301" t="str">
        <f>IF(J190="","",IF(VLOOKUP(J190,'G-3 Multipliers'!$L$3:$N$6,2,FALSE)=0,"Spatial Data Missing ⚠",VLOOKUP(J190,'G-3 Multipliers'!$L$3:$N$6,2,FALSE)))</f>
        <v/>
      </c>
      <c r="L190" s="287" t="str">
        <f>IF(J190="","",IF(VLOOKUP(J190,'G-3 Multipliers'!$L$3:$N$6,3,FALSE)=0,"Spatial Data Missing ⚠",VLOOKUP(J190,'G-3 Multipliers'!$L$3:$N$6,3,FALSE)))</f>
        <v/>
      </c>
      <c r="M190" s="281" t="str">
        <f>IF(OR(D190="",H190=""),"",(INDEX('G-6 Hedgerow Data'!$E$3:$I$15,MATCH(D190,'G-6 Hedgerow Data'!$B$3:$B$15,0),MATCH(H190,'G-6 Hedgerow Data'!$E$2:$I$2,0))))</f>
        <v/>
      </c>
      <c r="N190" s="137"/>
      <c r="O190" s="137"/>
      <c r="P190" s="289" t="str">
        <f t="shared" si="13"/>
        <v/>
      </c>
      <c r="Q190" s="302" t="str">
        <f t="shared" si="14"/>
        <v/>
      </c>
      <c r="R190" s="303" t="str">
        <f t="shared" si="12"/>
        <v/>
      </c>
      <c r="S190" s="317" t="str">
        <f>IF(D190="","",VLOOKUP(D190,'G-6 Hedgerow Data'!$B$3:$AG$15,31,FALSE))</f>
        <v/>
      </c>
      <c r="T190" s="289" t="str">
        <f t="shared" si="15"/>
        <v/>
      </c>
      <c r="U190" s="289" t="str">
        <f t="shared" si="16"/>
        <v/>
      </c>
      <c r="V190" s="305" t="str">
        <f>IF(D190="","",VLOOKUP(S190,'G-3 Multipliers'!$P$3:$Q$6,2,FALSE))</f>
        <v/>
      </c>
      <c r="W190" s="309" t="str">
        <f t="shared" si="17"/>
        <v/>
      </c>
      <c r="X190" s="105"/>
      <c r="Y190" s="119"/>
      <c r="Z190" s="108"/>
      <c r="AG190" s="30" t="str">
        <f>IFERROR(INDEX('G-6 Hedgerow Data'!$BJ$3:$BJ$15,MATCH(D190,'G-6 Hedgerow Data'!$B$3:$B$15,0)),"")</f>
        <v/>
      </c>
    </row>
    <row r="191" spans="2:33" ht="13.8" x14ac:dyDescent="0.25">
      <c r="B191" s="101">
        <v>180</v>
      </c>
      <c r="C191" s="144"/>
      <c r="D191" s="137"/>
      <c r="E191" s="119"/>
      <c r="F191" s="329" t="str">
        <f>IF(D191="","",VLOOKUP(D191,'G-6 Hedgerow Data'!$B$2:$AG$15,2,FALSE))</f>
        <v/>
      </c>
      <c r="G191" s="282" t="str">
        <f>IF(D191="","",VLOOKUP(D191,'G-6 Hedgerow Data'!$B$2:$AG$15,3,FALSE))</f>
        <v/>
      </c>
      <c r="H191" s="105"/>
      <c r="I191" s="282" t="str">
        <f>IFERROR(IF(H191="","",IF(AND(D191="Non-native and ornamental hedgerow", H191&lt;&gt;"Poor"),"Not possible ▲", (VLOOKUP(H191,'G-1 All Habitats'!$Z$2:$AA$9,2,FALSE)))),"")</f>
        <v/>
      </c>
      <c r="J191" s="105"/>
      <c r="K191" s="301" t="str">
        <f>IF(J191="","",IF(VLOOKUP(J191,'G-3 Multipliers'!$L$3:$N$6,2,FALSE)=0,"Spatial Data Missing ⚠",VLOOKUP(J191,'G-3 Multipliers'!$L$3:$N$6,2,FALSE)))</f>
        <v/>
      </c>
      <c r="L191" s="287" t="str">
        <f>IF(J191="","",IF(VLOOKUP(J191,'G-3 Multipliers'!$L$3:$N$6,3,FALSE)=0,"Spatial Data Missing ⚠",VLOOKUP(J191,'G-3 Multipliers'!$L$3:$N$6,3,FALSE)))</f>
        <v/>
      </c>
      <c r="M191" s="281" t="str">
        <f>IF(OR(D191="",H191=""),"",(INDEX('G-6 Hedgerow Data'!$E$3:$I$15,MATCH(D191,'G-6 Hedgerow Data'!$B$3:$B$15,0),MATCH(H191,'G-6 Hedgerow Data'!$E$2:$I$2,0))))</f>
        <v/>
      </c>
      <c r="N191" s="137"/>
      <c r="O191" s="137"/>
      <c r="P191" s="289" t="str">
        <f t="shared" si="13"/>
        <v/>
      </c>
      <c r="Q191" s="302" t="str">
        <f t="shared" si="14"/>
        <v/>
      </c>
      <c r="R191" s="303" t="str">
        <f t="shared" si="12"/>
        <v/>
      </c>
      <c r="S191" s="317" t="str">
        <f>IF(D191="","",VLOOKUP(D191,'G-6 Hedgerow Data'!$B$3:$AG$15,31,FALSE))</f>
        <v/>
      </c>
      <c r="T191" s="289" t="str">
        <f t="shared" si="15"/>
        <v/>
      </c>
      <c r="U191" s="289" t="str">
        <f t="shared" si="16"/>
        <v/>
      </c>
      <c r="V191" s="305" t="str">
        <f>IF(D191="","",VLOOKUP(S191,'G-3 Multipliers'!$P$3:$Q$6,2,FALSE))</f>
        <v/>
      </c>
      <c r="W191" s="309" t="str">
        <f t="shared" si="17"/>
        <v/>
      </c>
      <c r="X191" s="105"/>
      <c r="Y191" s="119"/>
      <c r="Z191" s="108"/>
      <c r="AG191" s="30" t="str">
        <f>IFERROR(INDEX('G-6 Hedgerow Data'!$BJ$3:$BJ$15,MATCH(D191,'G-6 Hedgerow Data'!$B$3:$B$15,0)),"")</f>
        <v/>
      </c>
    </row>
    <row r="192" spans="2:33" ht="13.8" x14ac:dyDescent="0.25">
      <c r="B192" s="101">
        <v>181</v>
      </c>
      <c r="C192" s="144"/>
      <c r="D192" s="137"/>
      <c r="E192" s="119"/>
      <c r="F192" s="329" t="str">
        <f>IF(D192="","",VLOOKUP(D192,'G-6 Hedgerow Data'!$B$2:$AG$15,2,FALSE))</f>
        <v/>
      </c>
      <c r="G192" s="282" t="str">
        <f>IF(D192="","",VLOOKUP(D192,'G-6 Hedgerow Data'!$B$2:$AG$15,3,FALSE))</f>
        <v/>
      </c>
      <c r="H192" s="105"/>
      <c r="I192" s="282" t="str">
        <f>IFERROR(IF(H192="","",IF(AND(D192="Non-native and ornamental hedgerow", H192&lt;&gt;"Poor"),"Not possible ▲", (VLOOKUP(H192,'G-1 All Habitats'!$Z$2:$AA$9,2,FALSE)))),"")</f>
        <v/>
      </c>
      <c r="J192" s="105"/>
      <c r="K192" s="301" t="str">
        <f>IF(J192="","",IF(VLOOKUP(J192,'G-3 Multipliers'!$L$3:$N$6,2,FALSE)=0,"Spatial Data Missing ⚠",VLOOKUP(J192,'G-3 Multipliers'!$L$3:$N$6,2,FALSE)))</f>
        <v/>
      </c>
      <c r="L192" s="287" t="str">
        <f>IF(J192="","",IF(VLOOKUP(J192,'G-3 Multipliers'!$L$3:$N$6,3,FALSE)=0,"Spatial Data Missing ⚠",VLOOKUP(J192,'G-3 Multipliers'!$L$3:$N$6,3,FALSE)))</f>
        <v/>
      </c>
      <c r="M192" s="281" t="str">
        <f>IF(OR(D192="",H192=""),"",(INDEX('G-6 Hedgerow Data'!$E$3:$I$15,MATCH(D192,'G-6 Hedgerow Data'!$B$3:$B$15,0),MATCH(H192,'G-6 Hedgerow Data'!$E$2:$I$2,0))))</f>
        <v/>
      </c>
      <c r="N192" s="137"/>
      <c r="O192" s="137"/>
      <c r="P192" s="289" t="str">
        <f t="shared" si="13"/>
        <v/>
      </c>
      <c r="Q192" s="302" t="str">
        <f t="shared" si="14"/>
        <v/>
      </c>
      <c r="R192" s="303" t="str">
        <f t="shared" si="12"/>
        <v/>
      </c>
      <c r="S192" s="317" t="str">
        <f>IF(D192="","",VLOOKUP(D192,'G-6 Hedgerow Data'!$B$3:$AG$15,31,FALSE))</f>
        <v/>
      </c>
      <c r="T192" s="289" t="str">
        <f t="shared" si="15"/>
        <v/>
      </c>
      <c r="U192" s="289" t="str">
        <f t="shared" si="16"/>
        <v/>
      </c>
      <c r="V192" s="305" t="str">
        <f>IF(D192="","",VLOOKUP(S192,'G-3 Multipliers'!$P$3:$Q$6,2,FALSE))</f>
        <v/>
      </c>
      <c r="W192" s="309" t="str">
        <f t="shared" si="17"/>
        <v/>
      </c>
      <c r="X192" s="105"/>
      <c r="Y192" s="119"/>
      <c r="Z192" s="108"/>
      <c r="AG192" s="30" t="str">
        <f>IFERROR(INDEX('G-6 Hedgerow Data'!$BJ$3:$BJ$15,MATCH(D192,'G-6 Hedgerow Data'!$B$3:$B$15,0)),"")</f>
        <v/>
      </c>
    </row>
    <row r="193" spans="2:33" ht="13.8" x14ac:dyDescent="0.25">
      <c r="B193" s="101">
        <v>182</v>
      </c>
      <c r="C193" s="144"/>
      <c r="D193" s="137"/>
      <c r="E193" s="119"/>
      <c r="F193" s="329" t="str">
        <f>IF(D193="","",VLOOKUP(D193,'G-6 Hedgerow Data'!$B$2:$AG$15,2,FALSE))</f>
        <v/>
      </c>
      <c r="G193" s="282" t="str">
        <f>IF(D193="","",VLOOKUP(D193,'G-6 Hedgerow Data'!$B$2:$AG$15,3,FALSE))</f>
        <v/>
      </c>
      <c r="H193" s="105"/>
      <c r="I193" s="282" t="str">
        <f>IFERROR(IF(H193="","",IF(AND(D193="Non-native and ornamental hedgerow", H193&lt;&gt;"Poor"),"Not possible ▲", (VLOOKUP(H193,'G-1 All Habitats'!$Z$2:$AA$9,2,FALSE)))),"")</f>
        <v/>
      </c>
      <c r="J193" s="105"/>
      <c r="K193" s="301" t="str">
        <f>IF(J193="","",IF(VLOOKUP(J193,'G-3 Multipliers'!$L$3:$N$6,2,FALSE)=0,"Spatial Data Missing ⚠",VLOOKUP(J193,'G-3 Multipliers'!$L$3:$N$6,2,FALSE)))</f>
        <v/>
      </c>
      <c r="L193" s="287" t="str">
        <f>IF(J193="","",IF(VLOOKUP(J193,'G-3 Multipliers'!$L$3:$N$6,3,FALSE)=0,"Spatial Data Missing ⚠",VLOOKUP(J193,'G-3 Multipliers'!$L$3:$N$6,3,FALSE)))</f>
        <v/>
      </c>
      <c r="M193" s="281" t="str">
        <f>IF(OR(D193="",H193=""),"",(INDEX('G-6 Hedgerow Data'!$E$3:$I$15,MATCH(D193,'G-6 Hedgerow Data'!$B$3:$B$15,0),MATCH(H193,'G-6 Hedgerow Data'!$E$2:$I$2,0))))</f>
        <v/>
      </c>
      <c r="N193" s="137"/>
      <c r="O193" s="137"/>
      <c r="P193" s="289" t="str">
        <f t="shared" si="13"/>
        <v/>
      </c>
      <c r="Q193" s="302" t="str">
        <f t="shared" si="14"/>
        <v/>
      </c>
      <c r="R193" s="303" t="str">
        <f t="shared" si="12"/>
        <v/>
      </c>
      <c r="S193" s="317" t="str">
        <f>IF(D193="","",VLOOKUP(D193,'G-6 Hedgerow Data'!$B$3:$AG$15,31,FALSE))</f>
        <v/>
      </c>
      <c r="T193" s="289" t="str">
        <f t="shared" si="15"/>
        <v/>
      </c>
      <c r="U193" s="289" t="str">
        <f t="shared" si="16"/>
        <v/>
      </c>
      <c r="V193" s="305" t="str">
        <f>IF(D193="","",VLOOKUP(S193,'G-3 Multipliers'!$P$3:$Q$6,2,FALSE))</f>
        <v/>
      </c>
      <c r="W193" s="309" t="str">
        <f t="shared" si="17"/>
        <v/>
      </c>
      <c r="X193" s="105"/>
      <c r="Y193" s="119"/>
      <c r="Z193" s="108"/>
      <c r="AG193" s="30" t="str">
        <f>IFERROR(INDEX('G-6 Hedgerow Data'!$BJ$3:$BJ$15,MATCH(D193,'G-6 Hedgerow Data'!$B$3:$B$15,0)),"")</f>
        <v/>
      </c>
    </row>
    <row r="194" spans="2:33" ht="13.8" x14ac:dyDescent="0.25">
      <c r="B194" s="101">
        <v>183</v>
      </c>
      <c r="C194" s="144"/>
      <c r="D194" s="137"/>
      <c r="E194" s="119"/>
      <c r="F194" s="329" t="str">
        <f>IF(D194="","",VLOOKUP(D194,'G-6 Hedgerow Data'!$B$2:$AG$15,2,FALSE))</f>
        <v/>
      </c>
      <c r="G194" s="282" t="str">
        <f>IF(D194="","",VLOOKUP(D194,'G-6 Hedgerow Data'!$B$2:$AG$15,3,FALSE))</f>
        <v/>
      </c>
      <c r="H194" s="105"/>
      <c r="I194" s="282" t="str">
        <f>IFERROR(IF(H194="","",IF(AND(D194="Non-native and ornamental hedgerow", H194&lt;&gt;"Poor"),"Not possible ▲", (VLOOKUP(H194,'G-1 All Habitats'!$Z$2:$AA$9,2,FALSE)))),"")</f>
        <v/>
      </c>
      <c r="J194" s="105"/>
      <c r="K194" s="301" t="str">
        <f>IF(J194="","",IF(VLOOKUP(J194,'G-3 Multipliers'!$L$3:$N$6,2,FALSE)=0,"Spatial Data Missing ⚠",VLOOKUP(J194,'G-3 Multipliers'!$L$3:$N$6,2,FALSE)))</f>
        <v/>
      </c>
      <c r="L194" s="287" t="str">
        <f>IF(J194="","",IF(VLOOKUP(J194,'G-3 Multipliers'!$L$3:$N$6,3,FALSE)=0,"Spatial Data Missing ⚠",VLOOKUP(J194,'G-3 Multipliers'!$L$3:$N$6,3,FALSE)))</f>
        <v/>
      </c>
      <c r="M194" s="281" t="str">
        <f>IF(OR(D194="",H194=""),"",(INDEX('G-6 Hedgerow Data'!$E$3:$I$15,MATCH(D194,'G-6 Hedgerow Data'!$B$3:$B$15,0),MATCH(H194,'G-6 Hedgerow Data'!$E$2:$I$2,0))))</f>
        <v/>
      </c>
      <c r="N194" s="137"/>
      <c r="O194" s="137"/>
      <c r="P194" s="289" t="str">
        <f t="shared" si="13"/>
        <v/>
      </c>
      <c r="Q194" s="302" t="str">
        <f t="shared" si="14"/>
        <v/>
      </c>
      <c r="R194" s="303" t="str">
        <f t="shared" si="12"/>
        <v/>
      </c>
      <c r="S194" s="317" t="str">
        <f>IF(D194="","",VLOOKUP(D194,'G-6 Hedgerow Data'!$B$3:$AG$15,31,FALSE))</f>
        <v/>
      </c>
      <c r="T194" s="289" t="str">
        <f t="shared" si="15"/>
        <v/>
      </c>
      <c r="U194" s="289" t="str">
        <f t="shared" si="16"/>
        <v/>
      </c>
      <c r="V194" s="305" t="str">
        <f>IF(D194="","",VLOOKUP(S194,'G-3 Multipliers'!$P$3:$Q$6,2,FALSE))</f>
        <v/>
      </c>
      <c r="W194" s="309" t="str">
        <f t="shared" si="17"/>
        <v/>
      </c>
      <c r="X194" s="105"/>
      <c r="Y194" s="119"/>
      <c r="Z194" s="108"/>
      <c r="AG194" s="30" t="str">
        <f>IFERROR(INDEX('G-6 Hedgerow Data'!$BJ$3:$BJ$15,MATCH(D194,'G-6 Hedgerow Data'!$B$3:$B$15,0)),"")</f>
        <v/>
      </c>
    </row>
    <row r="195" spans="2:33" ht="13.8" x14ac:dyDescent="0.25">
      <c r="B195" s="101">
        <v>184</v>
      </c>
      <c r="C195" s="144"/>
      <c r="D195" s="137"/>
      <c r="E195" s="119"/>
      <c r="F195" s="329" t="str">
        <f>IF(D195="","",VLOOKUP(D195,'G-6 Hedgerow Data'!$B$2:$AG$15,2,FALSE))</f>
        <v/>
      </c>
      <c r="G195" s="282" t="str">
        <f>IF(D195="","",VLOOKUP(D195,'G-6 Hedgerow Data'!$B$2:$AG$15,3,FALSE))</f>
        <v/>
      </c>
      <c r="H195" s="105"/>
      <c r="I195" s="282" t="str">
        <f>IFERROR(IF(H195="","",IF(AND(D195="Non-native and ornamental hedgerow", H195&lt;&gt;"Poor"),"Not possible ▲", (VLOOKUP(H195,'G-1 All Habitats'!$Z$2:$AA$9,2,FALSE)))),"")</f>
        <v/>
      </c>
      <c r="J195" s="105"/>
      <c r="K195" s="301" t="str">
        <f>IF(J195="","",IF(VLOOKUP(J195,'G-3 Multipliers'!$L$3:$N$6,2,FALSE)=0,"Spatial Data Missing ⚠",VLOOKUP(J195,'G-3 Multipliers'!$L$3:$N$6,2,FALSE)))</f>
        <v/>
      </c>
      <c r="L195" s="287" t="str">
        <f>IF(J195="","",IF(VLOOKUP(J195,'G-3 Multipliers'!$L$3:$N$6,3,FALSE)=0,"Spatial Data Missing ⚠",VLOOKUP(J195,'G-3 Multipliers'!$L$3:$N$6,3,FALSE)))</f>
        <v/>
      </c>
      <c r="M195" s="281" t="str">
        <f>IF(OR(D195="",H195=""),"",(INDEX('G-6 Hedgerow Data'!$E$3:$I$15,MATCH(D195,'G-6 Hedgerow Data'!$B$3:$B$15,0),MATCH(H195,'G-6 Hedgerow Data'!$E$2:$I$2,0))))</f>
        <v/>
      </c>
      <c r="N195" s="137"/>
      <c r="O195" s="137"/>
      <c r="P195" s="289" t="str">
        <f t="shared" si="13"/>
        <v/>
      </c>
      <c r="Q195" s="302" t="str">
        <f t="shared" si="14"/>
        <v/>
      </c>
      <c r="R195" s="303" t="str">
        <f t="shared" si="12"/>
        <v/>
      </c>
      <c r="S195" s="317" t="str">
        <f>IF(D195="","",VLOOKUP(D195,'G-6 Hedgerow Data'!$B$3:$AG$15,31,FALSE))</f>
        <v/>
      </c>
      <c r="T195" s="289" t="str">
        <f t="shared" si="15"/>
        <v/>
      </c>
      <c r="U195" s="289" t="str">
        <f t="shared" si="16"/>
        <v/>
      </c>
      <c r="V195" s="305" t="str">
        <f>IF(D195="","",VLOOKUP(S195,'G-3 Multipliers'!$P$3:$Q$6,2,FALSE))</f>
        <v/>
      </c>
      <c r="W195" s="309" t="str">
        <f t="shared" si="17"/>
        <v/>
      </c>
      <c r="X195" s="105"/>
      <c r="Y195" s="119"/>
      <c r="Z195" s="108"/>
      <c r="AG195" s="30" t="str">
        <f>IFERROR(INDEX('G-6 Hedgerow Data'!$BJ$3:$BJ$15,MATCH(D195,'G-6 Hedgerow Data'!$B$3:$B$15,0)),"")</f>
        <v/>
      </c>
    </row>
    <row r="196" spans="2:33" ht="13.8" x14ac:dyDescent="0.25">
      <c r="B196" s="101">
        <v>185</v>
      </c>
      <c r="C196" s="144"/>
      <c r="D196" s="137"/>
      <c r="E196" s="119"/>
      <c r="F196" s="329" t="str">
        <f>IF(D196="","",VLOOKUP(D196,'G-6 Hedgerow Data'!$B$2:$AG$15,2,FALSE))</f>
        <v/>
      </c>
      <c r="G196" s="282" t="str">
        <f>IF(D196="","",VLOOKUP(D196,'G-6 Hedgerow Data'!$B$2:$AG$15,3,FALSE))</f>
        <v/>
      </c>
      <c r="H196" s="105"/>
      <c r="I196" s="282" t="str">
        <f>IFERROR(IF(H196="","",IF(AND(D196="Non-native and ornamental hedgerow", H196&lt;&gt;"Poor"),"Not possible ▲", (VLOOKUP(H196,'G-1 All Habitats'!$Z$2:$AA$9,2,FALSE)))),"")</f>
        <v/>
      </c>
      <c r="J196" s="105"/>
      <c r="K196" s="301" t="str">
        <f>IF(J196="","",IF(VLOOKUP(J196,'G-3 Multipliers'!$L$3:$N$6,2,FALSE)=0,"Spatial Data Missing ⚠",VLOOKUP(J196,'G-3 Multipliers'!$L$3:$N$6,2,FALSE)))</f>
        <v/>
      </c>
      <c r="L196" s="287" t="str">
        <f>IF(J196="","",IF(VLOOKUP(J196,'G-3 Multipliers'!$L$3:$N$6,3,FALSE)=0,"Spatial Data Missing ⚠",VLOOKUP(J196,'G-3 Multipliers'!$L$3:$N$6,3,FALSE)))</f>
        <v/>
      </c>
      <c r="M196" s="281" t="str">
        <f>IF(OR(D196="",H196=""),"",(INDEX('G-6 Hedgerow Data'!$E$3:$I$15,MATCH(D196,'G-6 Hedgerow Data'!$B$3:$B$15,0),MATCH(H196,'G-6 Hedgerow Data'!$E$2:$I$2,0))))</f>
        <v/>
      </c>
      <c r="N196" s="137"/>
      <c r="O196" s="137"/>
      <c r="P196" s="289" t="str">
        <f t="shared" si="13"/>
        <v/>
      </c>
      <c r="Q196" s="302" t="str">
        <f t="shared" si="14"/>
        <v/>
      </c>
      <c r="R196" s="303" t="str">
        <f t="shared" si="12"/>
        <v/>
      </c>
      <c r="S196" s="317" t="str">
        <f>IF(D196="","",VLOOKUP(D196,'G-6 Hedgerow Data'!$B$3:$AG$15,31,FALSE))</f>
        <v/>
      </c>
      <c r="T196" s="289" t="str">
        <f t="shared" si="15"/>
        <v/>
      </c>
      <c r="U196" s="289" t="str">
        <f t="shared" si="16"/>
        <v/>
      </c>
      <c r="V196" s="305" t="str">
        <f>IF(D196="","",VLOOKUP(S196,'G-3 Multipliers'!$P$3:$Q$6,2,FALSE))</f>
        <v/>
      </c>
      <c r="W196" s="309" t="str">
        <f t="shared" si="17"/>
        <v/>
      </c>
      <c r="X196" s="105"/>
      <c r="Y196" s="119"/>
      <c r="Z196" s="108"/>
      <c r="AG196" s="30" t="str">
        <f>IFERROR(INDEX('G-6 Hedgerow Data'!$BJ$3:$BJ$15,MATCH(D196,'G-6 Hedgerow Data'!$B$3:$B$15,0)),"")</f>
        <v/>
      </c>
    </row>
    <row r="197" spans="2:33" ht="13.8" x14ac:dyDescent="0.25">
      <c r="B197" s="101">
        <v>186</v>
      </c>
      <c r="C197" s="144"/>
      <c r="D197" s="137"/>
      <c r="E197" s="119"/>
      <c r="F197" s="329" t="str">
        <f>IF(D197="","",VLOOKUP(D197,'G-6 Hedgerow Data'!$B$2:$AG$15,2,FALSE))</f>
        <v/>
      </c>
      <c r="G197" s="282" t="str">
        <f>IF(D197="","",VLOOKUP(D197,'G-6 Hedgerow Data'!$B$2:$AG$15,3,FALSE))</f>
        <v/>
      </c>
      <c r="H197" s="105"/>
      <c r="I197" s="282" t="str">
        <f>IFERROR(IF(H197="","",IF(AND(D197="Non-native and ornamental hedgerow", H197&lt;&gt;"Poor"),"Not possible ▲", (VLOOKUP(H197,'G-1 All Habitats'!$Z$2:$AA$9,2,FALSE)))),"")</f>
        <v/>
      </c>
      <c r="J197" s="105"/>
      <c r="K197" s="301" t="str">
        <f>IF(J197="","",IF(VLOOKUP(J197,'G-3 Multipliers'!$L$3:$N$6,2,FALSE)=0,"Spatial Data Missing ⚠",VLOOKUP(J197,'G-3 Multipliers'!$L$3:$N$6,2,FALSE)))</f>
        <v/>
      </c>
      <c r="L197" s="287" t="str">
        <f>IF(J197="","",IF(VLOOKUP(J197,'G-3 Multipliers'!$L$3:$N$6,3,FALSE)=0,"Spatial Data Missing ⚠",VLOOKUP(J197,'G-3 Multipliers'!$L$3:$N$6,3,FALSE)))</f>
        <v/>
      </c>
      <c r="M197" s="281" t="str">
        <f>IF(OR(D197="",H197=""),"",(INDEX('G-6 Hedgerow Data'!$E$3:$I$15,MATCH(D197,'G-6 Hedgerow Data'!$B$3:$B$15,0),MATCH(H197,'G-6 Hedgerow Data'!$E$2:$I$2,0))))</f>
        <v/>
      </c>
      <c r="N197" s="137"/>
      <c r="O197" s="137"/>
      <c r="P197" s="289" t="str">
        <f t="shared" si="13"/>
        <v/>
      </c>
      <c r="Q197" s="302" t="str">
        <f t="shared" si="14"/>
        <v/>
      </c>
      <c r="R197" s="303" t="str">
        <f t="shared" si="12"/>
        <v/>
      </c>
      <c r="S197" s="317" t="str">
        <f>IF(D197="","",VLOOKUP(D197,'G-6 Hedgerow Data'!$B$3:$AG$15,31,FALSE))</f>
        <v/>
      </c>
      <c r="T197" s="289" t="str">
        <f t="shared" si="15"/>
        <v/>
      </c>
      <c r="U197" s="289" t="str">
        <f t="shared" si="16"/>
        <v/>
      </c>
      <c r="V197" s="305" t="str">
        <f>IF(D197="","",VLOOKUP(S197,'G-3 Multipliers'!$P$3:$Q$6,2,FALSE))</f>
        <v/>
      </c>
      <c r="W197" s="309" t="str">
        <f t="shared" si="17"/>
        <v/>
      </c>
      <c r="X197" s="105"/>
      <c r="Y197" s="119"/>
      <c r="Z197" s="108"/>
      <c r="AG197" s="30" t="str">
        <f>IFERROR(INDEX('G-6 Hedgerow Data'!$BJ$3:$BJ$15,MATCH(D197,'G-6 Hedgerow Data'!$B$3:$B$15,0)),"")</f>
        <v/>
      </c>
    </row>
    <row r="198" spans="2:33" ht="13.8" x14ac:dyDescent="0.25">
      <c r="B198" s="101">
        <v>187</v>
      </c>
      <c r="C198" s="144"/>
      <c r="D198" s="137"/>
      <c r="E198" s="119"/>
      <c r="F198" s="329" t="str">
        <f>IF(D198="","",VLOOKUP(D198,'G-6 Hedgerow Data'!$B$2:$AG$15,2,FALSE))</f>
        <v/>
      </c>
      <c r="G198" s="282" t="str">
        <f>IF(D198="","",VLOOKUP(D198,'G-6 Hedgerow Data'!$B$2:$AG$15,3,FALSE))</f>
        <v/>
      </c>
      <c r="H198" s="105"/>
      <c r="I198" s="282" t="str">
        <f>IFERROR(IF(H198="","",IF(AND(D198="Non-native and ornamental hedgerow", H198&lt;&gt;"Poor"),"Not possible ▲", (VLOOKUP(H198,'G-1 All Habitats'!$Z$2:$AA$9,2,FALSE)))),"")</f>
        <v/>
      </c>
      <c r="J198" s="105"/>
      <c r="K198" s="301" t="str">
        <f>IF(J198="","",IF(VLOOKUP(J198,'G-3 Multipliers'!$L$3:$N$6,2,FALSE)=0,"Spatial Data Missing ⚠",VLOOKUP(J198,'G-3 Multipliers'!$L$3:$N$6,2,FALSE)))</f>
        <v/>
      </c>
      <c r="L198" s="287" t="str">
        <f>IF(J198="","",IF(VLOOKUP(J198,'G-3 Multipliers'!$L$3:$N$6,3,FALSE)=0,"Spatial Data Missing ⚠",VLOOKUP(J198,'G-3 Multipliers'!$L$3:$N$6,3,FALSE)))</f>
        <v/>
      </c>
      <c r="M198" s="281" t="str">
        <f>IF(OR(D198="",H198=""),"",(INDEX('G-6 Hedgerow Data'!$E$3:$I$15,MATCH(D198,'G-6 Hedgerow Data'!$B$3:$B$15,0),MATCH(H198,'G-6 Hedgerow Data'!$E$2:$I$2,0))))</f>
        <v/>
      </c>
      <c r="N198" s="137"/>
      <c r="O198" s="137"/>
      <c r="P198" s="289" t="str">
        <f t="shared" si="13"/>
        <v/>
      </c>
      <c r="Q198" s="302" t="str">
        <f t="shared" si="14"/>
        <v/>
      </c>
      <c r="R198" s="303" t="str">
        <f t="shared" si="12"/>
        <v/>
      </c>
      <c r="S198" s="317" t="str">
        <f>IF(D198="","",VLOOKUP(D198,'G-6 Hedgerow Data'!$B$3:$AG$15,31,FALSE))</f>
        <v/>
      </c>
      <c r="T198" s="289" t="str">
        <f t="shared" si="15"/>
        <v/>
      </c>
      <c r="U198" s="289" t="str">
        <f t="shared" si="16"/>
        <v/>
      </c>
      <c r="V198" s="305" t="str">
        <f>IF(D198="","",VLOOKUP(S198,'G-3 Multipliers'!$P$3:$Q$6,2,FALSE))</f>
        <v/>
      </c>
      <c r="W198" s="309" t="str">
        <f t="shared" si="17"/>
        <v/>
      </c>
      <c r="X198" s="105"/>
      <c r="Y198" s="119"/>
      <c r="Z198" s="108"/>
      <c r="AG198" s="30" t="str">
        <f>IFERROR(INDEX('G-6 Hedgerow Data'!$BJ$3:$BJ$15,MATCH(D198,'G-6 Hedgerow Data'!$B$3:$B$15,0)),"")</f>
        <v/>
      </c>
    </row>
    <row r="199" spans="2:33" ht="13.8" x14ac:dyDescent="0.25">
      <c r="B199" s="101">
        <v>188</v>
      </c>
      <c r="C199" s="144"/>
      <c r="D199" s="137"/>
      <c r="E199" s="119"/>
      <c r="F199" s="329" t="str">
        <f>IF(D199="","",VLOOKUP(D199,'G-6 Hedgerow Data'!$B$2:$AG$15,2,FALSE))</f>
        <v/>
      </c>
      <c r="G199" s="282" t="str">
        <f>IF(D199="","",VLOOKUP(D199,'G-6 Hedgerow Data'!$B$2:$AG$15,3,FALSE))</f>
        <v/>
      </c>
      <c r="H199" s="105"/>
      <c r="I199" s="282" t="str">
        <f>IFERROR(IF(H199="","",IF(AND(D199="Non-native and ornamental hedgerow", H199&lt;&gt;"Poor"),"Not possible ▲", (VLOOKUP(H199,'G-1 All Habitats'!$Z$2:$AA$9,2,FALSE)))),"")</f>
        <v/>
      </c>
      <c r="J199" s="105"/>
      <c r="K199" s="301" t="str">
        <f>IF(J199="","",IF(VLOOKUP(J199,'G-3 Multipliers'!$L$3:$N$6,2,FALSE)=0,"Spatial Data Missing ⚠",VLOOKUP(J199,'G-3 Multipliers'!$L$3:$N$6,2,FALSE)))</f>
        <v/>
      </c>
      <c r="L199" s="287" t="str">
        <f>IF(J199="","",IF(VLOOKUP(J199,'G-3 Multipliers'!$L$3:$N$6,3,FALSE)=0,"Spatial Data Missing ⚠",VLOOKUP(J199,'G-3 Multipliers'!$L$3:$N$6,3,FALSE)))</f>
        <v/>
      </c>
      <c r="M199" s="281" t="str">
        <f>IF(OR(D199="",H199=""),"",(INDEX('G-6 Hedgerow Data'!$E$3:$I$15,MATCH(D199,'G-6 Hedgerow Data'!$B$3:$B$15,0),MATCH(H199,'G-6 Hedgerow Data'!$E$2:$I$2,0))))</f>
        <v/>
      </c>
      <c r="N199" s="137"/>
      <c r="O199" s="137"/>
      <c r="P199" s="289" t="str">
        <f t="shared" si="13"/>
        <v/>
      </c>
      <c r="Q199" s="302" t="str">
        <f t="shared" si="14"/>
        <v/>
      </c>
      <c r="R199" s="303" t="str">
        <f t="shared" si="12"/>
        <v/>
      </c>
      <c r="S199" s="317" t="str">
        <f>IF(D199="","",VLOOKUP(D199,'G-6 Hedgerow Data'!$B$3:$AG$15,31,FALSE))</f>
        <v/>
      </c>
      <c r="T199" s="289" t="str">
        <f t="shared" si="15"/>
        <v/>
      </c>
      <c r="U199" s="289" t="str">
        <f t="shared" si="16"/>
        <v/>
      </c>
      <c r="V199" s="305" t="str">
        <f>IF(D199="","",VLOOKUP(S199,'G-3 Multipliers'!$P$3:$Q$6,2,FALSE))</f>
        <v/>
      </c>
      <c r="W199" s="309" t="str">
        <f t="shared" si="17"/>
        <v/>
      </c>
      <c r="X199" s="105"/>
      <c r="Y199" s="119"/>
      <c r="Z199" s="108"/>
      <c r="AG199" s="30" t="str">
        <f>IFERROR(INDEX('G-6 Hedgerow Data'!$BJ$3:$BJ$15,MATCH(D199,'G-6 Hedgerow Data'!$B$3:$B$15,0)),"")</f>
        <v/>
      </c>
    </row>
    <row r="200" spans="2:33" ht="13.8" x14ac:dyDescent="0.25">
      <c r="B200" s="101">
        <v>189</v>
      </c>
      <c r="C200" s="144"/>
      <c r="D200" s="137"/>
      <c r="E200" s="119"/>
      <c r="F200" s="329" t="str">
        <f>IF(D200="","",VLOOKUP(D200,'G-6 Hedgerow Data'!$B$2:$AG$15,2,FALSE))</f>
        <v/>
      </c>
      <c r="G200" s="282" t="str">
        <f>IF(D200="","",VLOOKUP(D200,'G-6 Hedgerow Data'!$B$2:$AG$15,3,FALSE))</f>
        <v/>
      </c>
      <c r="H200" s="105"/>
      <c r="I200" s="282" t="str">
        <f>IFERROR(IF(H200="","",IF(AND(D200="Non-native and ornamental hedgerow", H200&lt;&gt;"Poor"),"Not possible ▲", (VLOOKUP(H200,'G-1 All Habitats'!$Z$2:$AA$9,2,FALSE)))),"")</f>
        <v/>
      </c>
      <c r="J200" s="105"/>
      <c r="K200" s="301" t="str">
        <f>IF(J200="","",IF(VLOOKUP(J200,'G-3 Multipliers'!$L$3:$N$6,2,FALSE)=0,"Spatial Data Missing ⚠",VLOOKUP(J200,'G-3 Multipliers'!$L$3:$N$6,2,FALSE)))</f>
        <v/>
      </c>
      <c r="L200" s="287" t="str">
        <f>IF(J200="","",IF(VLOOKUP(J200,'G-3 Multipliers'!$L$3:$N$6,3,FALSE)=0,"Spatial Data Missing ⚠",VLOOKUP(J200,'G-3 Multipliers'!$L$3:$N$6,3,FALSE)))</f>
        <v/>
      </c>
      <c r="M200" s="281" t="str">
        <f>IF(OR(D200="",H200=""),"",(INDEX('G-6 Hedgerow Data'!$E$3:$I$15,MATCH(D200,'G-6 Hedgerow Data'!$B$3:$B$15,0),MATCH(H200,'G-6 Hedgerow Data'!$E$2:$I$2,0))))</f>
        <v/>
      </c>
      <c r="N200" s="137"/>
      <c r="O200" s="137"/>
      <c r="P200" s="289" t="str">
        <f t="shared" si="13"/>
        <v/>
      </c>
      <c r="Q200" s="302" t="str">
        <f t="shared" si="14"/>
        <v/>
      </c>
      <c r="R200" s="303" t="str">
        <f t="shared" si="12"/>
        <v/>
      </c>
      <c r="S200" s="317" t="str">
        <f>IF(D200="","",VLOOKUP(D200,'G-6 Hedgerow Data'!$B$3:$AG$15,31,FALSE))</f>
        <v/>
      </c>
      <c r="T200" s="289" t="str">
        <f t="shared" si="15"/>
        <v/>
      </c>
      <c r="U200" s="289" t="str">
        <f t="shared" si="16"/>
        <v/>
      </c>
      <c r="V200" s="305" t="str">
        <f>IF(D200="","",VLOOKUP(S200,'G-3 Multipliers'!$P$3:$Q$6,2,FALSE))</f>
        <v/>
      </c>
      <c r="W200" s="309" t="str">
        <f t="shared" si="17"/>
        <v/>
      </c>
      <c r="X200" s="105"/>
      <c r="Y200" s="119"/>
      <c r="Z200" s="108"/>
      <c r="AG200" s="30" t="str">
        <f>IFERROR(INDEX('G-6 Hedgerow Data'!$BJ$3:$BJ$15,MATCH(D200,'G-6 Hedgerow Data'!$B$3:$B$15,0)),"")</f>
        <v/>
      </c>
    </row>
    <row r="201" spans="2:33" ht="13.8" x14ac:dyDescent="0.25">
      <c r="B201" s="101">
        <v>190</v>
      </c>
      <c r="C201" s="144"/>
      <c r="D201" s="137"/>
      <c r="E201" s="119"/>
      <c r="F201" s="329" t="str">
        <f>IF(D201="","",VLOOKUP(D201,'G-6 Hedgerow Data'!$B$2:$AG$15,2,FALSE))</f>
        <v/>
      </c>
      <c r="G201" s="282" t="str">
        <f>IF(D201="","",VLOOKUP(D201,'G-6 Hedgerow Data'!$B$2:$AG$15,3,FALSE))</f>
        <v/>
      </c>
      <c r="H201" s="105"/>
      <c r="I201" s="282" t="str">
        <f>IFERROR(IF(H201="","",IF(AND(D201="Non-native and ornamental hedgerow", H201&lt;&gt;"Poor"),"Not possible ▲", (VLOOKUP(H201,'G-1 All Habitats'!$Z$2:$AA$9,2,FALSE)))),"")</f>
        <v/>
      </c>
      <c r="J201" s="105"/>
      <c r="K201" s="301" t="str">
        <f>IF(J201="","",IF(VLOOKUP(J201,'G-3 Multipliers'!$L$3:$N$6,2,FALSE)=0,"Spatial Data Missing ⚠",VLOOKUP(J201,'G-3 Multipliers'!$L$3:$N$6,2,FALSE)))</f>
        <v/>
      </c>
      <c r="L201" s="287" t="str">
        <f>IF(J201="","",IF(VLOOKUP(J201,'G-3 Multipliers'!$L$3:$N$6,3,FALSE)=0,"Spatial Data Missing ⚠",VLOOKUP(J201,'G-3 Multipliers'!$L$3:$N$6,3,FALSE)))</f>
        <v/>
      </c>
      <c r="M201" s="281" t="str">
        <f>IF(OR(D201="",H201=""),"",(INDEX('G-6 Hedgerow Data'!$E$3:$I$15,MATCH(D201,'G-6 Hedgerow Data'!$B$3:$B$15,0),MATCH(H201,'G-6 Hedgerow Data'!$E$2:$I$2,0))))</f>
        <v/>
      </c>
      <c r="N201" s="137"/>
      <c r="O201" s="137"/>
      <c r="P201" s="289" t="str">
        <f t="shared" si="13"/>
        <v/>
      </c>
      <c r="Q201" s="302" t="str">
        <f t="shared" si="14"/>
        <v/>
      </c>
      <c r="R201" s="303" t="str">
        <f t="shared" si="12"/>
        <v/>
      </c>
      <c r="S201" s="317" t="str">
        <f>IF(D201="","",VLOOKUP(D201,'G-6 Hedgerow Data'!$B$3:$AG$15,31,FALSE))</f>
        <v/>
      </c>
      <c r="T201" s="289" t="str">
        <f t="shared" si="15"/>
        <v/>
      </c>
      <c r="U201" s="289" t="str">
        <f t="shared" si="16"/>
        <v/>
      </c>
      <c r="V201" s="305" t="str">
        <f>IF(D201="","",VLOOKUP(S201,'G-3 Multipliers'!$P$3:$Q$6,2,FALSE))</f>
        <v/>
      </c>
      <c r="W201" s="309" t="str">
        <f t="shared" si="17"/>
        <v/>
      </c>
      <c r="X201" s="105"/>
      <c r="Y201" s="119"/>
      <c r="Z201" s="108"/>
      <c r="AG201" s="30" t="str">
        <f>IFERROR(INDEX('G-6 Hedgerow Data'!$BJ$3:$BJ$15,MATCH(D201,'G-6 Hedgerow Data'!$B$3:$B$15,0)),"")</f>
        <v/>
      </c>
    </row>
    <row r="202" spans="2:33" ht="13.8" x14ac:dyDescent="0.25">
      <c r="B202" s="101">
        <v>191</v>
      </c>
      <c r="C202" s="144"/>
      <c r="D202" s="137"/>
      <c r="E202" s="119"/>
      <c r="F202" s="329" t="str">
        <f>IF(D202="","",VLOOKUP(D202,'G-6 Hedgerow Data'!$B$2:$AG$15,2,FALSE))</f>
        <v/>
      </c>
      <c r="G202" s="282" t="str">
        <f>IF(D202="","",VLOOKUP(D202,'G-6 Hedgerow Data'!$B$2:$AG$15,3,FALSE))</f>
        <v/>
      </c>
      <c r="H202" s="105"/>
      <c r="I202" s="282" t="str">
        <f>IFERROR(IF(H202="","",IF(AND(D202="Non-native and ornamental hedgerow", H202&lt;&gt;"Poor"),"Not possible ▲", (VLOOKUP(H202,'G-1 All Habitats'!$Z$2:$AA$9,2,FALSE)))),"")</f>
        <v/>
      </c>
      <c r="J202" s="105"/>
      <c r="K202" s="301" t="str">
        <f>IF(J202="","",IF(VLOOKUP(J202,'G-3 Multipliers'!$L$3:$N$6,2,FALSE)=0,"Spatial Data Missing ⚠",VLOOKUP(J202,'G-3 Multipliers'!$L$3:$N$6,2,FALSE)))</f>
        <v/>
      </c>
      <c r="L202" s="287" t="str">
        <f>IF(J202="","",IF(VLOOKUP(J202,'G-3 Multipliers'!$L$3:$N$6,3,FALSE)=0,"Spatial Data Missing ⚠",VLOOKUP(J202,'G-3 Multipliers'!$L$3:$N$6,3,FALSE)))</f>
        <v/>
      </c>
      <c r="M202" s="281" t="str">
        <f>IF(OR(D202="",H202=""),"",(INDEX('G-6 Hedgerow Data'!$E$3:$I$15,MATCH(D202,'G-6 Hedgerow Data'!$B$3:$B$15,0),MATCH(H202,'G-6 Hedgerow Data'!$E$2:$I$2,0))))</f>
        <v/>
      </c>
      <c r="N202" s="137"/>
      <c r="O202" s="137"/>
      <c r="P202" s="289" t="str">
        <f t="shared" si="13"/>
        <v/>
      </c>
      <c r="Q202" s="302" t="str">
        <f t="shared" si="14"/>
        <v/>
      </c>
      <c r="R202" s="303" t="str">
        <f t="shared" si="12"/>
        <v/>
      </c>
      <c r="S202" s="317" t="str">
        <f>IF(D202="","",VLOOKUP(D202,'G-6 Hedgerow Data'!$B$3:$AG$15,31,FALSE))</f>
        <v/>
      </c>
      <c r="T202" s="289" t="str">
        <f t="shared" si="15"/>
        <v/>
      </c>
      <c r="U202" s="289" t="str">
        <f t="shared" si="16"/>
        <v/>
      </c>
      <c r="V202" s="305" t="str">
        <f>IF(D202="","",VLOOKUP(S202,'G-3 Multipliers'!$P$3:$Q$6,2,FALSE))</f>
        <v/>
      </c>
      <c r="W202" s="309" t="str">
        <f t="shared" si="17"/>
        <v/>
      </c>
      <c r="X202" s="105"/>
      <c r="Y202" s="119"/>
      <c r="Z202" s="108"/>
      <c r="AG202" s="30" t="str">
        <f>IFERROR(INDEX('G-6 Hedgerow Data'!$BJ$3:$BJ$15,MATCH(D202,'G-6 Hedgerow Data'!$B$3:$B$15,0)),"")</f>
        <v/>
      </c>
    </row>
    <row r="203" spans="2:33" ht="13.8" x14ac:dyDescent="0.25">
      <c r="B203" s="101">
        <v>192</v>
      </c>
      <c r="C203" s="144"/>
      <c r="D203" s="137"/>
      <c r="E203" s="119"/>
      <c r="F203" s="329" t="str">
        <f>IF(D203="","",VLOOKUP(D203,'G-6 Hedgerow Data'!$B$2:$AG$15,2,FALSE))</f>
        <v/>
      </c>
      <c r="G203" s="282" t="str">
        <f>IF(D203="","",VLOOKUP(D203,'G-6 Hedgerow Data'!$B$2:$AG$15,3,FALSE))</f>
        <v/>
      </c>
      <c r="H203" s="105"/>
      <c r="I203" s="282" t="str">
        <f>IFERROR(IF(H203="","",IF(AND(D203="Non-native and ornamental hedgerow", H203&lt;&gt;"Poor"),"Not possible ▲", (VLOOKUP(H203,'G-1 All Habitats'!$Z$2:$AA$9,2,FALSE)))),"")</f>
        <v/>
      </c>
      <c r="J203" s="105"/>
      <c r="K203" s="301" t="str">
        <f>IF(J203="","",IF(VLOOKUP(J203,'G-3 Multipliers'!$L$3:$N$6,2,FALSE)=0,"Spatial Data Missing ⚠",VLOOKUP(J203,'G-3 Multipliers'!$L$3:$N$6,2,FALSE)))</f>
        <v/>
      </c>
      <c r="L203" s="287" t="str">
        <f>IF(J203="","",IF(VLOOKUP(J203,'G-3 Multipliers'!$L$3:$N$6,3,FALSE)=0,"Spatial Data Missing ⚠",VLOOKUP(J203,'G-3 Multipliers'!$L$3:$N$6,3,FALSE)))</f>
        <v/>
      </c>
      <c r="M203" s="281" t="str">
        <f>IF(OR(D203="",H203=""),"",(INDEX('G-6 Hedgerow Data'!$E$3:$I$15,MATCH(D203,'G-6 Hedgerow Data'!$B$3:$B$15,0),MATCH(H203,'G-6 Hedgerow Data'!$E$2:$I$2,0))))</f>
        <v/>
      </c>
      <c r="N203" s="137"/>
      <c r="O203" s="137"/>
      <c r="P203" s="289" t="str">
        <f t="shared" si="13"/>
        <v/>
      </c>
      <c r="Q203" s="302" t="str">
        <f t="shared" si="14"/>
        <v/>
      </c>
      <c r="R203" s="303" t="str">
        <f t="shared" si="12"/>
        <v/>
      </c>
      <c r="S203" s="317" t="str">
        <f>IF(D203="","",VLOOKUP(D203,'G-6 Hedgerow Data'!$B$3:$AG$15,31,FALSE))</f>
        <v/>
      </c>
      <c r="T203" s="289" t="str">
        <f t="shared" si="15"/>
        <v/>
      </c>
      <c r="U203" s="289" t="str">
        <f t="shared" si="16"/>
        <v/>
      </c>
      <c r="V203" s="305" t="str">
        <f>IF(D203="","",VLOOKUP(S203,'G-3 Multipliers'!$P$3:$Q$6,2,FALSE))</f>
        <v/>
      </c>
      <c r="W203" s="309" t="str">
        <f t="shared" si="17"/>
        <v/>
      </c>
      <c r="X203" s="105"/>
      <c r="Y203" s="119"/>
      <c r="Z203" s="108"/>
      <c r="AG203" s="30" t="str">
        <f>IFERROR(INDEX('G-6 Hedgerow Data'!$BJ$3:$BJ$15,MATCH(D203,'G-6 Hedgerow Data'!$B$3:$B$15,0)),"")</f>
        <v/>
      </c>
    </row>
    <row r="204" spans="2:33" ht="13.8" x14ac:dyDescent="0.25">
      <c r="B204" s="101">
        <v>193</v>
      </c>
      <c r="C204" s="144"/>
      <c r="D204" s="137"/>
      <c r="E204" s="119"/>
      <c r="F204" s="329" t="str">
        <f>IF(D204="","",VLOOKUP(D204,'G-6 Hedgerow Data'!$B$2:$AG$15,2,FALSE))</f>
        <v/>
      </c>
      <c r="G204" s="282" t="str">
        <f>IF(D204="","",VLOOKUP(D204,'G-6 Hedgerow Data'!$B$2:$AG$15,3,FALSE))</f>
        <v/>
      </c>
      <c r="H204" s="105"/>
      <c r="I204" s="282" t="str">
        <f>IFERROR(IF(H204="","",IF(AND(D204="Non-native and ornamental hedgerow", H204&lt;&gt;"Poor"),"Not possible ▲", (VLOOKUP(H204,'G-1 All Habitats'!$Z$2:$AA$9,2,FALSE)))),"")</f>
        <v/>
      </c>
      <c r="J204" s="105"/>
      <c r="K204" s="301" t="str">
        <f>IF(J204="","",IF(VLOOKUP(J204,'G-3 Multipliers'!$L$3:$N$6,2,FALSE)=0,"Spatial Data Missing ⚠",VLOOKUP(J204,'G-3 Multipliers'!$L$3:$N$6,2,FALSE)))</f>
        <v/>
      </c>
      <c r="L204" s="287" t="str">
        <f>IF(J204="","",IF(VLOOKUP(J204,'G-3 Multipliers'!$L$3:$N$6,3,FALSE)=0,"Spatial Data Missing ⚠",VLOOKUP(J204,'G-3 Multipliers'!$L$3:$N$6,3,FALSE)))</f>
        <v/>
      </c>
      <c r="M204" s="281" t="str">
        <f>IF(OR(D204="",H204=""),"",(INDEX('G-6 Hedgerow Data'!$E$3:$I$15,MATCH(D204,'G-6 Hedgerow Data'!$B$3:$B$15,0),MATCH(H204,'G-6 Hedgerow Data'!$E$2:$I$2,0))))</f>
        <v/>
      </c>
      <c r="N204" s="137"/>
      <c r="O204" s="137"/>
      <c r="P204" s="289" t="str">
        <f t="shared" si="13"/>
        <v/>
      </c>
      <c r="Q204" s="302" t="str">
        <f t="shared" si="14"/>
        <v/>
      </c>
      <c r="R204" s="303" t="str">
        <f t="shared" ref="R204:R259" si="18">IF(M204="","",IF(Q204="Check Data ⚠","Check Data ⚠",VLOOKUP(Q204,TemporalMultipliers,3,FALSE)))</f>
        <v/>
      </c>
      <c r="S204" s="317" t="str">
        <f>IF(D204="","",VLOOKUP(D204,'G-6 Hedgerow Data'!$B$3:$AG$15,31,FALSE))</f>
        <v/>
      </c>
      <c r="T204" s="289" t="str">
        <f t="shared" si="15"/>
        <v/>
      </c>
      <c r="U204" s="289" t="str">
        <f t="shared" si="16"/>
        <v/>
      </c>
      <c r="V204" s="305" t="str">
        <f>IF(D204="","",VLOOKUP(S204,'G-3 Multipliers'!$P$3:$Q$6,2,FALSE))</f>
        <v/>
      </c>
      <c r="W204" s="309" t="str">
        <f t="shared" si="17"/>
        <v/>
      </c>
      <c r="X204" s="105"/>
      <c r="Y204" s="119"/>
      <c r="Z204" s="108"/>
      <c r="AG204" s="30" t="str">
        <f>IFERROR(INDEX('G-6 Hedgerow Data'!$BJ$3:$BJ$15,MATCH(D204,'G-6 Hedgerow Data'!$B$3:$B$15,0)),"")</f>
        <v/>
      </c>
    </row>
    <row r="205" spans="2:33" ht="13.8" x14ac:dyDescent="0.25">
      <c r="B205" s="101">
        <v>194</v>
      </c>
      <c r="C205" s="144"/>
      <c r="D205" s="137"/>
      <c r="E205" s="119"/>
      <c r="F205" s="329" t="str">
        <f>IF(D205="","",VLOOKUP(D205,'G-6 Hedgerow Data'!$B$2:$AG$15,2,FALSE))</f>
        <v/>
      </c>
      <c r="G205" s="282" t="str">
        <f>IF(D205="","",VLOOKUP(D205,'G-6 Hedgerow Data'!$B$2:$AG$15,3,FALSE))</f>
        <v/>
      </c>
      <c r="H205" s="105"/>
      <c r="I205" s="282" t="str">
        <f>IFERROR(IF(H205="","",IF(AND(D205="Non-native and ornamental hedgerow", H205&lt;&gt;"Poor"),"Not possible ▲", (VLOOKUP(H205,'G-1 All Habitats'!$Z$2:$AA$9,2,FALSE)))),"")</f>
        <v/>
      </c>
      <c r="J205" s="105"/>
      <c r="K205" s="301" t="str">
        <f>IF(J205="","",IF(VLOOKUP(J205,'G-3 Multipliers'!$L$3:$N$6,2,FALSE)=0,"Spatial Data Missing ⚠",VLOOKUP(J205,'G-3 Multipliers'!$L$3:$N$6,2,FALSE)))</f>
        <v/>
      </c>
      <c r="L205" s="287" t="str">
        <f>IF(J205="","",IF(VLOOKUP(J205,'G-3 Multipliers'!$L$3:$N$6,3,FALSE)=0,"Spatial Data Missing ⚠",VLOOKUP(J205,'G-3 Multipliers'!$L$3:$N$6,3,FALSE)))</f>
        <v/>
      </c>
      <c r="M205" s="281" t="str">
        <f>IF(OR(D205="",H205=""),"",(INDEX('G-6 Hedgerow Data'!$E$3:$I$15,MATCH(D205,'G-6 Hedgerow Data'!$B$3:$B$15,0),MATCH(H205,'G-6 Hedgerow Data'!$E$2:$I$2,0))))</f>
        <v/>
      </c>
      <c r="N205" s="137"/>
      <c r="O205" s="137"/>
      <c r="P205" s="289"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02" t="str">
        <f t="shared" ref="Q205:Q259" si="20">IF(M205="","",IF(P205="Error -both advance and delayed habitat creation ▲","Check Data ⚠", IF(M205="Not possible ▲", "Check Data ⚠", IF(OR(N205="30+",N205="Habitat already in target condition"),0,IF(O205="30+","30+",IF(AND(M205="30+",OR(N205="",N205=0)),"30+",IF(AND(M205="30+",N205&gt;0),30-N205,IF(M205+O205&gt;30,"30+",IF(M205+O205-N205&gt;0,M205+O205-N205,IF(M205-N205&lt;0,0,M205+O205-N205))))))))))</f>
        <v/>
      </c>
      <c r="R205" s="303" t="str">
        <f t="shared" si="18"/>
        <v/>
      </c>
      <c r="S205" s="317" t="str">
        <f>IF(D205="","",VLOOKUP(D205,'G-6 Hedgerow Data'!$B$3:$AG$15,31,FALSE))</f>
        <v/>
      </c>
      <c r="T205" s="289" t="str">
        <f t="shared" ref="T205:T259" si="21">IF(D205="","",IF(Q205="Check Data ⚠","Check Data ⚠",IF(H205="","",IF($P205="Check details - Is there evidence that habitat has reached target condition? ⚠","Low Difficulty - only applicable if all habitat created before losses ⚠","Standard difficulty applied"))))</f>
        <v/>
      </c>
      <c r="U205" s="289" t="str">
        <f t="shared" ref="U205:U259" si="22">(IF(AND(T205="Standard difficulty applied",M205&gt;N205),S205,IF(Q205="Check data ⚠", "Check data ⚠", IF(AND(T205="Low Difficulty - only applicable if all habitat created before losses ⚠",Q205&lt;=0),"Low",S205))))</f>
        <v/>
      </c>
      <c r="V205" s="305" t="str">
        <f>IF(D205="","",VLOOKUP(S205,'G-3 Multipliers'!$P$3:$Q$6,2,FALSE))</f>
        <v/>
      </c>
      <c r="W205" s="309" t="str">
        <f t="shared" ref="W205:W259" si="23">IFERROR(E205*G205*I205*L205*R205*V205,"")</f>
        <v/>
      </c>
      <c r="X205" s="105"/>
      <c r="Y205" s="119"/>
      <c r="Z205" s="108"/>
      <c r="AG205" s="30" t="str">
        <f>IFERROR(INDEX('G-6 Hedgerow Data'!$BJ$3:$BJ$15,MATCH(D205,'G-6 Hedgerow Data'!$B$3:$B$15,0)),"")</f>
        <v/>
      </c>
    </row>
    <row r="206" spans="2:33" ht="13.8" x14ac:dyDescent="0.25">
      <c r="B206" s="101">
        <v>195</v>
      </c>
      <c r="C206" s="144"/>
      <c r="D206" s="137"/>
      <c r="E206" s="119"/>
      <c r="F206" s="329" t="str">
        <f>IF(D206="","",VLOOKUP(D206,'G-6 Hedgerow Data'!$B$2:$AG$15,2,FALSE))</f>
        <v/>
      </c>
      <c r="G206" s="282" t="str">
        <f>IF(D206="","",VLOOKUP(D206,'G-6 Hedgerow Data'!$B$2:$AG$15,3,FALSE))</f>
        <v/>
      </c>
      <c r="H206" s="105"/>
      <c r="I206" s="282" t="str">
        <f>IFERROR(IF(H206="","",IF(AND(D206="Non-native and ornamental hedgerow", H206&lt;&gt;"Poor"),"Not possible ▲", (VLOOKUP(H206,'G-1 All Habitats'!$Z$2:$AA$9,2,FALSE)))),"")</f>
        <v/>
      </c>
      <c r="J206" s="105"/>
      <c r="K206" s="301" t="str">
        <f>IF(J206="","",IF(VLOOKUP(J206,'G-3 Multipliers'!$L$3:$N$6,2,FALSE)=0,"Spatial Data Missing ⚠",VLOOKUP(J206,'G-3 Multipliers'!$L$3:$N$6,2,FALSE)))</f>
        <v/>
      </c>
      <c r="L206" s="287" t="str">
        <f>IF(J206="","",IF(VLOOKUP(J206,'G-3 Multipliers'!$L$3:$N$6,3,FALSE)=0,"Spatial Data Missing ⚠",VLOOKUP(J206,'G-3 Multipliers'!$L$3:$N$6,3,FALSE)))</f>
        <v/>
      </c>
      <c r="M206" s="281" t="str">
        <f>IF(OR(D206="",H206=""),"",(INDEX('G-6 Hedgerow Data'!$E$3:$I$15,MATCH(D206,'G-6 Hedgerow Data'!$B$3:$B$15,0),MATCH(H206,'G-6 Hedgerow Data'!$E$2:$I$2,0))))</f>
        <v/>
      </c>
      <c r="N206" s="137"/>
      <c r="O206" s="137"/>
      <c r="P206" s="289" t="str">
        <f t="shared" si="19"/>
        <v/>
      </c>
      <c r="Q206" s="302" t="str">
        <f t="shared" si="20"/>
        <v/>
      </c>
      <c r="R206" s="303" t="str">
        <f t="shared" si="18"/>
        <v/>
      </c>
      <c r="S206" s="317" t="str">
        <f>IF(D206="","",VLOOKUP(D206,'G-6 Hedgerow Data'!$B$3:$AG$15,31,FALSE))</f>
        <v/>
      </c>
      <c r="T206" s="289" t="str">
        <f t="shared" si="21"/>
        <v/>
      </c>
      <c r="U206" s="289" t="str">
        <f t="shared" si="22"/>
        <v/>
      </c>
      <c r="V206" s="305" t="str">
        <f>IF(D206="","",VLOOKUP(S206,'G-3 Multipliers'!$P$3:$Q$6,2,FALSE))</f>
        <v/>
      </c>
      <c r="W206" s="309" t="str">
        <f t="shared" si="23"/>
        <v/>
      </c>
      <c r="X206" s="105"/>
      <c r="Y206" s="119"/>
      <c r="Z206" s="108"/>
      <c r="AG206" s="30" t="str">
        <f>IFERROR(INDEX('G-6 Hedgerow Data'!$BJ$3:$BJ$15,MATCH(D206,'G-6 Hedgerow Data'!$B$3:$B$15,0)),"")</f>
        <v/>
      </c>
    </row>
    <row r="207" spans="2:33" ht="13.8" x14ac:dyDescent="0.25">
      <c r="B207" s="101">
        <v>196</v>
      </c>
      <c r="C207" s="144"/>
      <c r="D207" s="137"/>
      <c r="E207" s="119"/>
      <c r="F207" s="329" t="str">
        <f>IF(D207="","",VLOOKUP(D207,'G-6 Hedgerow Data'!$B$2:$AG$15,2,FALSE))</f>
        <v/>
      </c>
      <c r="G207" s="282" t="str">
        <f>IF(D207="","",VLOOKUP(D207,'G-6 Hedgerow Data'!$B$2:$AG$15,3,FALSE))</f>
        <v/>
      </c>
      <c r="H207" s="105"/>
      <c r="I207" s="282" t="str">
        <f>IFERROR(IF(H207="","",IF(AND(D207="Non-native and ornamental hedgerow", H207&lt;&gt;"Poor"),"Not possible ▲", (VLOOKUP(H207,'G-1 All Habitats'!$Z$2:$AA$9,2,FALSE)))),"")</f>
        <v/>
      </c>
      <c r="J207" s="105"/>
      <c r="K207" s="301" t="str">
        <f>IF(J207="","",IF(VLOOKUP(J207,'G-3 Multipliers'!$L$3:$N$6,2,FALSE)=0,"Spatial Data Missing ⚠",VLOOKUP(J207,'G-3 Multipliers'!$L$3:$N$6,2,FALSE)))</f>
        <v/>
      </c>
      <c r="L207" s="287" t="str">
        <f>IF(J207="","",IF(VLOOKUP(J207,'G-3 Multipliers'!$L$3:$N$6,3,FALSE)=0,"Spatial Data Missing ⚠",VLOOKUP(J207,'G-3 Multipliers'!$L$3:$N$6,3,FALSE)))</f>
        <v/>
      </c>
      <c r="M207" s="281" t="str">
        <f>IF(OR(D207="",H207=""),"",(INDEX('G-6 Hedgerow Data'!$E$3:$I$15,MATCH(D207,'G-6 Hedgerow Data'!$B$3:$B$15,0),MATCH(H207,'G-6 Hedgerow Data'!$E$2:$I$2,0))))</f>
        <v/>
      </c>
      <c r="N207" s="137"/>
      <c r="O207" s="137"/>
      <c r="P207" s="289" t="str">
        <f t="shared" si="19"/>
        <v/>
      </c>
      <c r="Q207" s="302" t="str">
        <f t="shared" si="20"/>
        <v/>
      </c>
      <c r="R207" s="303" t="str">
        <f t="shared" si="18"/>
        <v/>
      </c>
      <c r="S207" s="317" t="str">
        <f>IF(D207="","",VLOOKUP(D207,'G-6 Hedgerow Data'!$B$3:$AG$15,31,FALSE))</f>
        <v/>
      </c>
      <c r="T207" s="289" t="str">
        <f t="shared" si="21"/>
        <v/>
      </c>
      <c r="U207" s="289" t="str">
        <f t="shared" si="22"/>
        <v/>
      </c>
      <c r="V207" s="305" t="str">
        <f>IF(D207="","",VLOOKUP(S207,'G-3 Multipliers'!$P$3:$Q$6,2,FALSE))</f>
        <v/>
      </c>
      <c r="W207" s="309" t="str">
        <f t="shared" si="23"/>
        <v/>
      </c>
      <c r="X207" s="105"/>
      <c r="Y207" s="119"/>
      <c r="Z207" s="108"/>
      <c r="AG207" s="30" t="str">
        <f>IFERROR(INDEX('G-6 Hedgerow Data'!$BJ$3:$BJ$15,MATCH(D207,'G-6 Hedgerow Data'!$B$3:$B$15,0)),"")</f>
        <v/>
      </c>
    </row>
    <row r="208" spans="2:33" ht="13.8" x14ac:dyDescent="0.25">
      <c r="B208" s="101">
        <v>197</v>
      </c>
      <c r="C208" s="144"/>
      <c r="D208" s="137"/>
      <c r="E208" s="119"/>
      <c r="F208" s="329" t="str">
        <f>IF(D208="","",VLOOKUP(D208,'G-6 Hedgerow Data'!$B$2:$AG$15,2,FALSE))</f>
        <v/>
      </c>
      <c r="G208" s="282" t="str">
        <f>IF(D208="","",VLOOKUP(D208,'G-6 Hedgerow Data'!$B$2:$AG$15,3,FALSE))</f>
        <v/>
      </c>
      <c r="H208" s="105"/>
      <c r="I208" s="282" t="str">
        <f>IFERROR(IF(H208="","",IF(AND(D208="Non-native and ornamental hedgerow", H208&lt;&gt;"Poor"),"Not possible ▲", (VLOOKUP(H208,'G-1 All Habitats'!$Z$2:$AA$9,2,FALSE)))),"")</f>
        <v/>
      </c>
      <c r="J208" s="105"/>
      <c r="K208" s="301" t="str">
        <f>IF(J208="","",IF(VLOOKUP(J208,'G-3 Multipliers'!$L$3:$N$6,2,FALSE)=0,"Spatial Data Missing ⚠",VLOOKUP(J208,'G-3 Multipliers'!$L$3:$N$6,2,FALSE)))</f>
        <v/>
      </c>
      <c r="L208" s="287" t="str">
        <f>IF(J208="","",IF(VLOOKUP(J208,'G-3 Multipliers'!$L$3:$N$6,3,FALSE)=0,"Spatial Data Missing ⚠",VLOOKUP(J208,'G-3 Multipliers'!$L$3:$N$6,3,FALSE)))</f>
        <v/>
      </c>
      <c r="M208" s="281" t="str">
        <f>IF(OR(D208="",H208=""),"",(INDEX('G-6 Hedgerow Data'!$E$3:$I$15,MATCH(D208,'G-6 Hedgerow Data'!$B$3:$B$15,0),MATCH(H208,'G-6 Hedgerow Data'!$E$2:$I$2,0))))</f>
        <v/>
      </c>
      <c r="N208" s="137"/>
      <c r="O208" s="137"/>
      <c r="P208" s="289" t="str">
        <f t="shared" si="19"/>
        <v/>
      </c>
      <c r="Q208" s="302" t="str">
        <f t="shared" si="20"/>
        <v/>
      </c>
      <c r="R208" s="303" t="str">
        <f t="shared" si="18"/>
        <v/>
      </c>
      <c r="S208" s="317" t="str">
        <f>IF(D208="","",VLOOKUP(D208,'G-6 Hedgerow Data'!$B$3:$AG$15,31,FALSE))</f>
        <v/>
      </c>
      <c r="T208" s="289" t="str">
        <f t="shared" si="21"/>
        <v/>
      </c>
      <c r="U208" s="289" t="str">
        <f t="shared" si="22"/>
        <v/>
      </c>
      <c r="V208" s="305" t="str">
        <f>IF(D208="","",VLOOKUP(S208,'G-3 Multipliers'!$P$3:$Q$6,2,FALSE))</f>
        <v/>
      </c>
      <c r="W208" s="309" t="str">
        <f t="shared" si="23"/>
        <v/>
      </c>
      <c r="X208" s="105"/>
      <c r="Y208" s="119"/>
      <c r="Z208" s="108"/>
      <c r="AG208" s="30" t="str">
        <f>IFERROR(INDEX('G-6 Hedgerow Data'!$BJ$3:$BJ$15,MATCH(D208,'G-6 Hedgerow Data'!$B$3:$B$15,0)),"")</f>
        <v/>
      </c>
    </row>
    <row r="209" spans="2:33" ht="13.8" x14ac:dyDescent="0.25">
      <c r="B209" s="101">
        <v>198</v>
      </c>
      <c r="C209" s="144"/>
      <c r="D209" s="137"/>
      <c r="E209" s="119"/>
      <c r="F209" s="329" t="str">
        <f>IF(D209="","",VLOOKUP(D209,'G-6 Hedgerow Data'!$B$2:$AG$15,2,FALSE))</f>
        <v/>
      </c>
      <c r="G209" s="282" t="str">
        <f>IF(D209="","",VLOOKUP(D209,'G-6 Hedgerow Data'!$B$2:$AG$15,3,FALSE))</f>
        <v/>
      </c>
      <c r="H209" s="105"/>
      <c r="I209" s="282" t="str">
        <f>IFERROR(IF(H209="","",IF(AND(D209="Non-native and ornamental hedgerow", H209&lt;&gt;"Poor"),"Not possible ▲", (VLOOKUP(H209,'G-1 All Habitats'!$Z$2:$AA$9,2,FALSE)))),"")</f>
        <v/>
      </c>
      <c r="J209" s="105"/>
      <c r="K209" s="301" t="str">
        <f>IF(J209="","",IF(VLOOKUP(J209,'G-3 Multipliers'!$L$3:$N$6,2,FALSE)=0,"Spatial Data Missing ⚠",VLOOKUP(J209,'G-3 Multipliers'!$L$3:$N$6,2,FALSE)))</f>
        <v/>
      </c>
      <c r="L209" s="287" t="str">
        <f>IF(J209="","",IF(VLOOKUP(J209,'G-3 Multipliers'!$L$3:$N$6,3,FALSE)=0,"Spatial Data Missing ⚠",VLOOKUP(J209,'G-3 Multipliers'!$L$3:$N$6,3,FALSE)))</f>
        <v/>
      </c>
      <c r="M209" s="281" t="str">
        <f>IF(OR(D209="",H209=""),"",(INDEX('G-6 Hedgerow Data'!$E$3:$I$15,MATCH(D209,'G-6 Hedgerow Data'!$B$3:$B$15,0),MATCH(H209,'G-6 Hedgerow Data'!$E$2:$I$2,0))))</f>
        <v/>
      </c>
      <c r="N209" s="137"/>
      <c r="O209" s="137"/>
      <c r="P209" s="289" t="str">
        <f t="shared" si="19"/>
        <v/>
      </c>
      <c r="Q209" s="302" t="str">
        <f t="shared" si="20"/>
        <v/>
      </c>
      <c r="R209" s="303" t="str">
        <f t="shared" si="18"/>
        <v/>
      </c>
      <c r="S209" s="317" t="str">
        <f>IF(D209="","",VLOOKUP(D209,'G-6 Hedgerow Data'!$B$3:$AG$15,31,FALSE))</f>
        <v/>
      </c>
      <c r="T209" s="289" t="str">
        <f t="shared" si="21"/>
        <v/>
      </c>
      <c r="U209" s="289" t="str">
        <f t="shared" si="22"/>
        <v/>
      </c>
      <c r="V209" s="305" t="str">
        <f>IF(D209="","",VLOOKUP(S209,'G-3 Multipliers'!$P$3:$Q$6,2,FALSE))</f>
        <v/>
      </c>
      <c r="W209" s="309" t="str">
        <f t="shared" si="23"/>
        <v/>
      </c>
      <c r="X209" s="105"/>
      <c r="Y209" s="119"/>
      <c r="Z209" s="108"/>
      <c r="AG209" s="30" t="str">
        <f>IFERROR(INDEX('G-6 Hedgerow Data'!$BJ$3:$BJ$15,MATCH(D209,'G-6 Hedgerow Data'!$B$3:$B$15,0)),"")</f>
        <v/>
      </c>
    </row>
    <row r="210" spans="2:33" ht="13.8" x14ac:dyDescent="0.25">
      <c r="B210" s="101">
        <v>199</v>
      </c>
      <c r="C210" s="144"/>
      <c r="D210" s="137"/>
      <c r="E210" s="119"/>
      <c r="F210" s="329" t="str">
        <f>IF(D210="","",VLOOKUP(D210,'G-6 Hedgerow Data'!$B$2:$AG$15,2,FALSE))</f>
        <v/>
      </c>
      <c r="G210" s="282" t="str">
        <f>IF(D210="","",VLOOKUP(D210,'G-6 Hedgerow Data'!$B$2:$AG$15,3,FALSE))</f>
        <v/>
      </c>
      <c r="H210" s="105"/>
      <c r="I210" s="282" t="str">
        <f>IFERROR(IF(H210="","",IF(AND(D210="Non-native and ornamental hedgerow", H210&lt;&gt;"Poor"),"Not possible ▲", (VLOOKUP(H210,'G-1 All Habitats'!$Z$2:$AA$9,2,FALSE)))),"")</f>
        <v/>
      </c>
      <c r="J210" s="105"/>
      <c r="K210" s="301" t="str">
        <f>IF(J210="","",IF(VLOOKUP(J210,'G-3 Multipliers'!$L$3:$N$6,2,FALSE)=0,"Spatial Data Missing ⚠",VLOOKUP(J210,'G-3 Multipliers'!$L$3:$N$6,2,FALSE)))</f>
        <v/>
      </c>
      <c r="L210" s="287" t="str">
        <f>IF(J210="","",IF(VLOOKUP(J210,'G-3 Multipliers'!$L$3:$N$6,3,FALSE)=0,"Spatial Data Missing ⚠",VLOOKUP(J210,'G-3 Multipliers'!$L$3:$N$6,3,FALSE)))</f>
        <v/>
      </c>
      <c r="M210" s="281" t="str">
        <f>IF(OR(D210="",H210=""),"",(INDEX('G-6 Hedgerow Data'!$E$3:$I$15,MATCH(D210,'G-6 Hedgerow Data'!$B$3:$B$15,0),MATCH(H210,'G-6 Hedgerow Data'!$E$2:$I$2,0))))</f>
        <v/>
      </c>
      <c r="N210" s="137"/>
      <c r="O210" s="137"/>
      <c r="P210" s="289" t="str">
        <f t="shared" si="19"/>
        <v/>
      </c>
      <c r="Q210" s="302" t="str">
        <f t="shared" si="20"/>
        <v/>
      </c>
      <c r="R210" s="303" t="str">
        <f t="shared" si="18"/>
        <v/>
      </c>
      <c r="S210" s="317" t="str">
        <f>IF(D210="","",VLOOKUP(D210,'G-6 Hedgerow Data'!$B$3:$AG$15,31,FALSE))</f>
        <v/>
      </c>
      <c r="T210" s="289" t="str">
        <f t="shared" si="21"/>
        <v/>
      </c>
      <c r="U210" s="289" t="str">
        <f t="shared" si="22"/>
        <v/>
      </c>
      <c r="V210" s="305" t="str">
        <f>IF(D210="","",VLOOKUP(S210,'G-3 Multipliers'!$P$3:$Q$6,2,FALSE))</f>
        <v/>
      </c>
      <c r="W210" s="309" t="str">
        <f t="shared" si="23"/>
        <v/>
      </c>
      <c r="X210" s="105"/>
      <c r="Y210" s="119"/>
      <c r="Z210" s="108"/>
      <c r="AG210" s="30" t="str">
        <f>IFERROR(INDEX('G-6 Hedgerow Data'!$BJ$3:$BJ$15,MATCH(D210,'G-6 Hedgerow Data'!$B$3:$B$15,0)),"")</f>
        <v/>
      </c>
    </row>
    <row r="211" spans="2:33" ht="13.8" x14ac:dyDescent="0.25">
      <c r="B211" s="101">
        <v>200</v>
      </c>
      <c r="C211" s="144"/>
      <c r="D211" s="137"/>
      <c r="E211" s="119"/>
      <c r="F211" s="329" t="str">
        <f>IF(D211="","",VLOOKUP(D211,'G-6 Hedgerow Data'!$B$2:$AG$15,2,FALSE))</f>
        <v/>
      </c>
      <c r="G211" s="282" t="str">
        <f>IF(D211="","",VLOOKUP(D211,'G-6 Hedgerow Data'!$B$2:$AG$15,3,FALSE))</f>
        <v/>
      </c>
      <c r="H211" s="105"/>
      <c r="I211" s="282" t="str">
        <f>IFERROR(IF(H211="","",IF(AND(D211="Non-native and ornamental hedgerow", H211&lt;&gt;"Poor"),"Not possible ▲", (VLOOKUP(H211,'G-1 All Habitats'!$Z$2:$AA$9,2,FALSE)))),"")</f>
        <v/>
      </c>
      <c r="J211" s="105"/>
      <c r="K211" s="301" t="str">
        <f>IF(J211="","",IF(VLOOKUP(J211,'G-3 Multipliers'!$L$3:$N$6,2,FALSE)=0,"Spatial Data Missing ⚠",VLOOKUP(J211,'G-3 Multipliers'!$L$3:$N$6,2,FALSE)))</f>
        <v/>
      </c>
      <c r="L211" s="287" t="str">
        <f>IF(J211="","",IF(VLOOKUP(J211,'G-3 Multipliers'!$L$3:$N$6,3,FALSE)=0,"Spatial Data Missing ⚠",VLOOKUP(J211,'G-3 Multipliers'!$L$3:$N$6,3,FALSE)))</f>
        <v/>
      </c>
      <c r="M211" s="281" t="str">
        <f>IF(OR(D211="",H211=""),"",(INDEX('G-6 Hedgerow Data'!$E$3:$I$15,MATCH(D211,'G-6 Hedgerow Data'!$B$3:$B$15,0),MATCH(H211,'G-6 Hedgerow Data'!$E$2:$I$2,0))))</f>
        <v/>
      </c>
      <c r="N211" s="137"/>
      <c r="O211" s="137"/>
      <c r="P211" s="289" t="str">
        <f t="shared" si="19"/>
        <v/>
      </c>
      <c r="Q211" s="302" t="str">
        <f t="shared" si="20"/>
        <v/>
      </c>
      <c r="R211" s="303" t="str">
        <f t="shared" si="18"/>
        <v/>
      </c>
      <c r="S211" s="317" t="str">
        <f>IF(D211="","",VLOOKUP(D211,'G-6 Hedgerow Data'!$B$3:$AG$15,31,FALSE))</f>
        <v/>
      </c>
      <c r="T211" s="289" t="str">
        <f t="shared" si="21"/>
        <v/>
      </c>
      <c r="U211" s="289" t="str">
        <f t="shared" si="22"/>
        <v/>
      </c>
      <c r="V211" s="305" t="str">
        <f>IF(D211="","",VLOOKUP(S211,'G-3 Multipliers'!$P$3:$Q$6,2,FALSE))</f>
        <v/>
      </c>
      <c r="W211" s="309" t="str">
        <f t="shared" si="23"/>
        <v/>
      </c>
      <c r="X211" s="105"/>
      <c r="Y211" s="119"/>
      <c r="Z211" s="108"/>
      <c r="AG211" s="30" t="str">
        <f>IFERROR(INDEX('G-6 Hedgerow Data'!$BJ$3:$BJ$15,MATCH(D211,'G-6 Hedgerow Data'!$B$3:$B$15,0)),"")</f>
        <v/>
      </c>
    </row>
    <row r="212" spans="2:33" ht="13.8" x14ac:dyDescent="0.25">
      <c r="B212" s="101">
        <v>201</v>
      </c>
      <c r="C212" s="144"/>
      <c r="D212" s="137"/>
      <c r="E212" s="119"/>
      <c r="F212" s="329" t="str">
        <f>IF(D212="","",VLOOKUP(D212,'G-6 Hedgerow Data'!$B$2:$AG$15,2,FALSE))</f>
        <v/>
      </c>
      <c r="G212" s="282" t="str">
        <f>IF(D212="","",VLOOKUP(D212,'G-6 Hedgerow Data'!$B$2:$AG$15,3,FALSE))</f>
        <v/>
      </c>
      <c r="H212" s="105"/>
      <c r="I212" s="282" t="str">
        <f>IFERROR(IF(H212="","",IF(AND(D212="Non-native and ornamental hedgerow", H212&lt;&gt;"Poor"),"Not possible ▲", (VLOOKUP(H212,'G-1 All Habitats'!$Z$2:$AA$9,2,FALSE)))),"")</f>
        <v/>
      </c>
      <c r="J212" s="105"/>
      <c r="K212" s="301" t="str">
        <f>IF(J212="","",IF(VLOOKUP(J212,'G-3 Multipliers'!$L$3:$N$6,2,FALSE)=0,"Spatial Data Missing ⚠",VLOOKUP(J212,'G-3 Multipliers'!$L$3:$N$6,2,FALSE)))</f>
        <v/>
      </c>
      <c r="L212" s="287" t="str">
        <f>IF(J212="","",IF(VLOOKUP(J212,'G-3 Multipliers'!$L$3:$N$6,3,FALSE)=0,"Spatial Data Missing ⚠",VLOOKUP(J212,'G-3 Multipliers'!$L$3:$N$6,3,FALSE)))</f>
        <v/>
      </c>
      <c r="M212" s="281" t="str">
        <f>IF(OR(D212="",H212=""),"",(INDEX('G-6 Hedgerow Data'!$E$3:$I$15,MATCH(D212,'G-6 Hedgerow Data'!$B$3:$B$15,0),MATCH(H212,'G-6 Hedgerow Data'!$E$2:$I$2,0))))</f>
        <v/>
      </c>
      <c r="N212" s="137"/>
      <c r="O212" s="137"/>
      <c r="P212" s="289" t="str">
        <f t="shared" si="19"/>
        <v/>
      </c>
      <c r="Q212" s="302" t="str">
        <f t="shared" si="20"/>
        <v/>
      </c>
      <c r="R212" s="303" t="str">
        <f t="shared" si="18"/>
        <v/>
      </c>
      <c r="S212" s="317" t="str">
        <f>IF(D212="","",VLOOKUP(D212,'G-6 Hedgerow Data'!$B$3:$AG$15,31,FALSE))</f>
        <v/>
      </c>
      <c r="T212" s="289" t="str">
        <f t="shared" si="21"/>
        <v/>
      </c>
      <c r="U212" s="289" t="str">
        <f t="shared" si="22"/>
        <v/>
      </c>
      <c r="V212" s="305" t="str">
        <f>IF(D212="","",VLOOKUP(S212,'G-3 Multipliers'!$P$3:$Q$6,2,FALSE))</f>
        <v/>
      </c>
      <c r="W212" s="309" t="str">
        <f t="shared" si="23"/>
        <v/>
      </c>
      <c r="X212" s="105"/>
      <c r="Y212" s="119"/>
      <c r="Z212" s="108"/>
      <c r="AG212" s="30" t="str">
        <f>IFERROR(INDEX('G-6 Hedgerow Data'!$BJ$3:$BJ$15,MATCH(D212,'G-6 Hedgerow Data'!$B$3:$B$15,0)),"")</f>
        <v/>
      </c>
    </row>
    <row r="213" spans="2:33" ht="13.8" x14ac:dyDescent="0.25">
      <c r="B213" s="101">
        <v>202</v>
      </c>
      <c r="C213" s="144"/>
      <c r="D213" s="137"/>
      <c r="E213" s="119"/>
      <c r="F213" s="329" t="str">
        <f>IF(D213="","",VLOOKUP(D213,'G-6 Hedgerow Data'!$B$2:$AG$15,2,FALSE))</f>
        <v/>
      </c>
      <c r="G213" s="282" t="str">
        <f>IF(D213="","",VLOOKUP(D213,'G-6 Hedgerow Data'!$B$2:$AG$15,3,FALSE))</f>
        <v/>
      </c>
      <c r="H213" s="105"/>
      <c r="I213" s="282" t="str">
        <f>IFERROR(IF(H213="","",IF(AND(D213="Non-native and ornamental hedgerow", H213&lt;&gt;"Poor"),"Not possible ▲", (VLOOKUP(H213,'G-1 All Habitats'!$Z$2:$AA$9,2,FALSE)))),"")</f>
        <v/>
      </c>
      <c r="J213" s="105"/>
      <c r="K213" s="301" t="str">
        <f>IF(J213="","",IF(VLOOKUP(J213,'G-3 Multipliers'!$L$3:$N$6,2,FALSE)=0,"Spatial Data Missing ⚠",VLOOKUP(J213,'G-3 Multipliers'!$L$3:$N$6,2,FALSE)))</f>
        <v/>
      </c>
      <c r="L213" s="287" t="str">
        <f>IF(J213="","",IF(VLOOKUP(J213,'G-3 Multipliers'!$L$3:$N$6,3,FALSE)=0,"Spatial Data Missing ⚠",VLOOKUP(J213,'G-3 Multipliers'!$L$3:$N$6,3,FALSE)))</f>
        <v/>
      </c>
      <c r="M213" s="281" t="str">
        <f>IF(OR(D213="",H213=""),"",(INDEX('G-6 Hedgerow Data'!$E$3:$I$15,MATCH(D213,'G-6 Hedgerow Data'!$B$3:$B$15,0),MATCH(H213,'G-6 Hedgerow Data'!$E$2:$I$2,0))))</f>
        <v/>
      </c>
      <c r="N213" s="137"/>
      <c r="O213" s="137"/>
      <c r="P213" s="289" t="str">
        <f t="shared" si="19"/>
        <v/>
      </c>
      <c r="Q213" s="302" t="str">
        <f t="shared" si="20"/>
        <v/>
      </c>
      <c r="R213" s="303" t="str">
        <f t="shared" si="18"/>
        <v/>
      </c>
      <c r="S213" s="317" t="str">
        <f>IF(D213="","",VLOOKUP(D213,'G-6 Hedgerow Data'!$B$3:$AG$15,31,FALSE))</f>
        <v/>
      </c>
      <c r="T213" s="289" t="str">
        <f t="shared" si="21"/>
        <v/>
      </c>
      <c r="U213" s="289" t="str">
        <f t="shared" si="22"/>
        <v/>
      </c>
      <c r="V213" s="305" t="str">
        <f>IF(D213="","",VLOOKUP(S213,'G-3 Multipliers'!$P$3:$Q$6,2,FALSE))</f>
        <v/>
      </c>
      <c r="W213" s="309" t="str">
        <f t="shared" si="23"/>
        <v/>
      </c>
      <c r="X213" s="105"/>
      <c r="Y213" s="119"/>
      <c r="Z213" s="108"/>
      <c r="AG213" s="30" t="str">
        <f>IFERROR(INDEX('G-6 Hedgerow Data'!$BJ$3:$BJ$15,MATCH(D213,'G-6 Hedgerow Data'!$B$3:$B$15,0)),"")</f>
        <v/>
      </c>
    </row>
    <row r="214" spans="2:33" ht="13.8" x14ac:dyDescent="0.25">
      <c r="B214" s="101">
        <v>203</v>
      </c>
      <c r="C214" s="144"/>
      <c r="D214" s="137"/>
      <c r="E214" s="119"/>
      <c r="F214" s="329" t="str">
        <f>IF(D214="","",VLOOKUP(D214,'G-6 Hedgerow Data'!$B$2:$AG$15,2,FALSE))</f>
        <v/>
      </c>
      <c r="G214" s="282" t="str">
        <f>IF(D214="","",VLOOKUP(D214,'G-6 Hedgerow Data'!$B$2:$AG$15,3,FALSE))</f>
        <v/>
      </c>
      <c r="H214" s="105"/>
      <c r="I214" s="282" t="str">
        <f>IFERROR(IF(H214="","",IF(AND(D214="Non-native and ornamental hedgerow", H214&lt;&gt;"Poor"),"Not possible ▲", (VLOOKUP(H214,'G-1 All Habitats'!$Z$2:$AA$9,2,FALSE)))),"")</f>
        <v/>
      </c>
      <c r="J214" s="105"/>
      <c r="K214" s="301" t="str">
        <f>IF(J214="","",IF(VLOOKUP(J214,'G-3 Multipliers'!$L$3:$N$6,2,FALSE)=0,"Spatial Data Missing ⚠",VLOOKUP(J214,'G-3 Multipliers'!$L$3:$N$6,2,FALSE)))</f>
        <v/>
      </c>
      <c r="L214" s="287" t="str">
        <f>IF(J214="","",IF(VLOOKUP(J214,'G-3 Multipliers'!$L$3:$N$6,3,FALSE)=0,"Spatial Data Missing ⚠",VLOOKUP(J214,'G-3 Multipliers'!$L$3:$N$6,3,FALSE)))</f>
        <v/>
      </c>
      <c r="M214" s="281" t="str">
        <f>IF(OR(D214="",H214=""),"",(INDEX('G-6 Hedgerow Data'!$E$3:$I$15,MATCH(D214,'G-6 Hedgerow Data'!$B$3:$B$15,0),MATCH(H214,'G-6 Hedgerow Data'!$E$2:$I$2,0))))</f>
        <v/>
      </c>
      <c r="N214" s="137"/>
      <c r="O214" s="137"/>
      <c r="P214" s="289" t="str">
        <f t="shared" si="19"/>
        <v/>
      </c>
      <c r="Q214" s="302" t="str">
        <f t="shared" si="20"/>
        <v/>
      </c>
      <c r="R214" s="303" t="str">
        <f t="shared" si="18"/>
        <v/>
      </c>
      <c r="S214" s="317" t="str">
        <f>IF(D214="","",VLOOKUP(D214,'G-6 Hedgerow Data'!$B$3:$AG$15,31,FALSE))</f>
        <v/>
      </c>
      <c r="T214" s="289" t="str">
        <f t="shared" si="21"/>
        <v/>
      </c>
      <c r="U214" s="289" t="str">
        <f t="shared" si="22"/>
        <v/>
      </c>
      <c r="V214" s="305" t="str">
        <f>IF(D214="","",VLOOKUP(S214,'G-3 Multipliers'!$P$3:$Q$6,2,FALSE))</f>
        <v/>
      </c>
      <c r="W214" s="309" t="str">
        <f t="shared" si="23"/>
        <v/>
      </c>
      <c r="X214" s="105"/>
      <c r="Y214" s="119"/>
      <c r="Z214" s="108"/>
      <c r="AG214" s="30" t="str">
        <f>IFERROR(INDEX('G-6 Hedgerow Data'!$BJ$3:$BJ$15,MATCH(D214,'G-6 Hedgerow Data'!$B$3:$B$15,0)),"")</f>
        <v/>
      </c>
    </row>
    <row r="215" spans="2:33" ht="13.8" x14ac:dyDescent="0.25">
      <c r="B215" s="101">
        <v>204</v>
      </c>
      <c r="C215" s="144"/>
      <c r="D215" s="137"/>
      <c r="E215" s="119"/>
      <c r="F215" s="329" t="str">
        <f>IF(D215="","",VLOOKUP(D215,'G-6 Hedgerow Data'!$B$2:$AG$15,2,FALSE))</f>
        <v/>
      </c>
      <c r="G215" s="282" t="str">
        <f>IF(D215="","",VLOOKUP(D215,'G-6 Hedgerow Data'!$B$2:$AG$15,3,FALSE))</f>
        <v/>
      </c>
      <c r="H215" s="105"/>
      <c r="I215" s="282" t="str">
        <f>IFERROR(IF(H215="","",IF(AND(D215="Non-native and ornamental hedgerow", H215&lt;&gt;"Poor"),"Not possible ▲", (VLOOKUP(H215,'G-1 All Habitats'!$Z$2:$AA$9,2,FALSE)))),"")</f>
        <v/>
      </c>
      <c r="J215" s="105"/>
      <c r="K215" s="301" t="str">
        <f>IF(J215="","",IF(VLOOKUP(J215,'G-3 Multipliers'!$L$3:$N$6,2,FALSE)=0,"Spatial Data Missing ⚠",VLOOKUP(J215,'G-3 Multipliers'!$L$3:$N$6,2,FALSE)))</f>
        <v/>
      </c>
      <c r="L215" s="287" t="str">
        <f>IF(J215="","",IF(VLOOKUP(J215,'G-3 Multipliers'!$L$3:$N$6,3,FALSE)=0,"Spatial Data Missing ⚠",VLOOKUP(J215,'G-3 Multipliers'!$L$3:$N$6,3,FALSE)))</f>
        <v/>
      </c>
      <c r="M215" s="281" t="str">
        <f>IF(OR(D215="",H215=""),"",(INDEX('G-6 Hedgerow Data'!$E$3:$I$15,MATCH(D215,'G-6 Hedgerow Data'!$B$3:$B$15,0),MATCH(H215,'G-6 Hedgerow Data'!$E$2:$I$2,0))))</f>
        <v/>
      </c>
      <c r="N215" s="137"/>
      <c r="O215" s="137"/>
      <c r="P215" s="289" t="str">
        <f t="shared" si="19"/>
        <v/>
      </c>
      <c r="Q215" s="302" t="str">
        <f t="shared" si="20"/>
        <v/>
      </c>
      <c r="R215" s="303" t="str">
        <f t="shared" si="18"/>
        <v/>
      </c>
      <c r="S215" s="317" t="str">
        <f>IF(D215="","",VLOOKUP(D215,'G-6 Hedgerow Data'!$B$3:$AG$15,31,FALSE))</f>
        <v/>
      </c>
      <c r="T215" s="289" t="str">
        <f t="shared" si="21"/>
        <v/>
      </c>
      <c r="U215" s="289" t="str">
        <f t="shared" si="22"/>
        <v/>
      </c>
      <c r="V215" s="305" t="str">
        <f>IF(D215="","",VLOOKUP(S215,'G-3 Multipliers'!$P$3:$Q$6,2,FALSE))</f>
        <v/>
      </c>
      <c r="W215" s="309" t="str">
        <f t="shared" si="23"/>
        <v/>
      </c>
      <c r="X215" s="105"/>
      <c r="Y215" s="119"/>
      <c r="Z215" s="108"/>
      <c r="AG215" s="30" t="str">
        <f>IFERROR(INDEX('G-6 Hedgerow Data'!$BJ$3:$BJ$15,MATCH(D215,'G-6 Hedgerow Data'!$B$3:$B$15,0)),"")</f>
        <v/>
      </c>
    </row>
    <row r="216" spans="2:33" ht="13.8" x14ac:dyDescent="0.25">
      <c r="B216" s="101">
        <v>205</v>
      </c>
      <c r="C216" s="144"/>
      <c r="D216" s="137"/>
      <c r="E216" s="119"/>
      <c r="F216" s="329" t="str">
        <f>IF(D216="","",VLOOKUP(D216,'G-6 Hedgerow Data'!$B$2:$AG$15,2,FALSE))</f>
        <v/>
      </c>
      <c r="G216" s="282" t="str">
        <f>IF(D216="","",VLOOKUP(D216,'G-6 Hedgerow Data'!$B$2:$AG$15,3,FALSE))</f>
        <v/>
      </c>
      <c r="H216" s="105"/>
      <c r="I216" s="282" t="str">
        <f>IFERROR(IF(H216="","",IF(AND(D216="Non-native and ornamental hedgerow", H216&lt;&gt;"Poor"),"Not possible ▲", (VLOOKUP(H216,'G-1 All Habitats'!$Z$2:$AA$9,2,FALSE)))),"")</f>
        <v/>
      </c>
      <c r="J216" s="105"/>
      <c r="K216" s="301" t="str">
        <f>IF(J216="","",IF(VLOOKUP(J216,'G-3 Multipliers'!$L$3:$N$6,2,FALSE)=0,"Spatial Data Missing ⚠",VLOOKUP(J216,'G-3 Multipliers'!$L$3:$N$6,2,FALSE)))</f>
        <v/>
      </c>
      <c r="L216" s="287" t="str">
        <f>IF(J216="","",IF(VLOOKUP(J216,'G-3 Multipliers'!$L$3:$N$6,3,FALSE)=0,"Spatial Data Missing ⚠",VLOOKUP(J216,'G-3 Multipliers'!$L$3:$N$6,3,FALSE)))</f>
        <v/>
      </c>
      <c r="M216" s="281" t="str">
        <f>IF(OR(D216="",H216=""),"",(INDEX('G-6 Hedgerow Data'!$E$3:$I$15,MATCH(D216,'G-6 Hedgerow Data'!$B$3:$B$15,0),MATCH(H216,'G-6 Hedgerow Data'!$E$2:$I$2,0))))</f>
        <v/>
      </c>
      <c r="N216" s="137"/>
      <c r="O216" s="137"/>
      <c r="P216" s="289" t="str">
        <f t="shared" si="19"/>
        <v/>
      </c>
      <c r="Q216" s="302" t="str">
        <f t="shared" si="20"/>
        <v/>
      </c>
      <c r="R216" s="303" t="str">
        <f t="shared" si="18"/>
        <v/>
      </c>
      <c r="S216" s="317" t="str">
        <f>IF(D216="","",VLOOKUP(D216,'G-6 Hedgerow Data'!$B$3:$AG$15,31,FALSE))</f>
        <v/>
      </c>
      <c r="T216" s="289" t="str">
        <f t="shared" si="21"/>
        <v/>
      </c>
      <c r="U216" s="289" t="str">
        <f t="shared" si="22"/>
        <v/>
      </c>
      <c r="V216" s="305" t="str">
        <f>IF(D216="","",VLOOKUP(S216,'G-3 Multipliers'!$P$3:$Q$6,2,FALSE))</f>
        <v/>
      </c>
      <c r="W216" s="309" t="str">
        <f t="shared" si="23"/>
        <v/>
      </c>
      <c r="X216" s="105"/>
      <c r="Y216" s="119"/>
      <c r="Z216" s="108"/>
      <c r="AG216" s="30" t="str">
        <f>IFERROR(INDEX('G-6 Hedgerow Data'!$BJ$3:$BJ$15,MATCH(D216,'G-6 Hedgerow Data'!$B$3:$B$15,0)),"")</f>
        <v/>
      </c>
    </row>
    <row r="217" spans="2:33" ht="13.8" x14ac:dyDescent="0.25">
      <c r="B217" s="101">
        <v>206</v>
      </c>
      <c r="C217" s="144"/>
      <c r="D217" s="137"/>
      <c r="E217" s="119"/>
      <c r="F217" s="329" t="str">
        <f>IF(D217="","",VLOOKUP(D217,'G-6 Hedgerow Data'!$B$2:$AG$15,2,FALSE))</f>
        <v/>
      </c>
      <c r="G217" s="282" t="str">
        <f>IF(D217="","",VLOOKUP(D217,'G-6 Hedgerow Data'!$B$2:$AG$15,3,FALSE))</f>
        <v/>
      </c>
      <c r="H217" s="105"/>
      <c r="I217" s="282" t="str">
        <f>IFERROR(IF(H217="","",IF(AND(D217="Non-native and ornamental hedgerow", H217&lt;&gt;"Poor"),"Not possible ▲", (VLOOKUP(H217,'G-1 All Habitats'!$Z$2:$AA$9,2,FALSE)))),"")</f>
        <v/>
      </c>
      <c r="J217" s="105"/>
      <c r="K217" s="301" t="str">
        <f>IF(J217="","",IF(VLOOKUP(J217,'G-3 Multipliers'!$L$3:$N$6,2,FALSE)=0,"Spatial Data Missing ⚠",VLOOKUP(J217,'G-3 Multipliers'!$L$3:$N$6,2,FALSE)))</f>
        <v/>
      </c>
      <c r="L217" s="287" t="str">
        <f>IF(J217="","",IF(VLOOKUP(J217,'G-3 Multipliers'!$L$3:$N$6,3,FALSE)=0,"Spatial Data Missing ⚠",VLOOKUP(J217,'G-3 Multipliers'!$L$3:$N$6,3,FALSE)))</f>
        <v/>
      </c>
      <c r="M217" s="281" t="str">
        <f>IF(OR(D217="",H217=""),"",(INDEX('G-6 Hedgerow Data'!$E$3:$I$15,MATCH(D217,'G-6 Hedgerow Data'!$B$3:$B$15,0),MATCH(H217,'G-6 Hedgerow Data'!$E$2:$I$2,0))))</f>
        <v/>
      </c>
      <c r="N217" s="137"/>
      <c r="O217" s="137"/>
      <c r="P217" s="289" t="str">
        <f t="shared" si="19"/>
        <v/>
      </c>
      <c r="Q217" s="302" t="str">
        <f t="shared" si="20"/>
        <v/>
      </c>
      <c r="R217" s="303" t="str">
        <f t="shared" si="18"/>
        <v/>
      </c>
      <c r="S217" s="317" t="str">
        <f>IF(D217="","",VLOOKUP(D217,'G-6 Hedgerow Data'!$B$3:$AG$15,31,FALSE))</f>
        <v/>
      </c>
      <c r="T217" s="289" t="str">
        <f t="shared" si="21"/>
        <v/>
      </c>
      <c r="U217" s="289" t="str">
        <f t="shared" si="22"/>
        <v/>
      </c>
      <c r="V217" s="305" t="str">
        <f>IF(D217="","",VLOOKUP(S217,'G-3 Multipliers'!$P$3:$Q$6,2,FALSE))</f>
        <v/>
      </c>
      <c r="W217" s="309" t="str">
        <f t="shared" si="23"/>
        <v/>
      </c>
      <c r="X217" s="105"/>
      <c r="Y217" s="119"/>
      <c r="Z217" s="108"/>
      <c r="AG217" s="30" t="str">
        <f>IFERROR(INDEX('G-6 Hedgerow Data'!$BJ$3:$BJ$15,MATCH(D217,'G-6 Hedgerow Data'!$B$3:$B$15,0)),"")</f>
        <v/>
      </c>
    </row>
    <row r="218" spans="2:33" ht="13.8" x14ac:dyDescent="0.25">
      <c r="B218" s="101">
        <v>207</v>
      </c>
      <c r="C218" s="144"/>
      <c r="D218" s="137"/>
      <c r="E218" s="119"/>
      <c r="F218" s="329" t="str">
        <f>IF(D218="","",VLOOKUP(D218,'G-6 Hedgerow Data'!$B$2:$AG$15,2,FALSE))</f>
        <v/>
      </c>
      <c r="G218" s="282" t="str">
        <f>IF(D218="","",VLOOKUP(D218,'G-6 Hedgerow Data'!$B$2:$AG$15,3,FALSE))</f>
        <v/>
      </c>
      <c r="H218" s="105"/>
      <c r="I218" s="282" t="str">
        <f>IFERROR(IF(H218="","",IF(AND(D218="Non-native and ornamental hedgerow", H218&lt;&gt;"Poor"),"Not possible ▲", (VLOOKUP(H218,'G-1 All Habitats'!$Z$2:$AA$9,2,FALSE)))),"")</f>
        <v/>
      </c>
      <c r="J218" s="105"/>
      <c r="K218" s="301" t="str">
        <f>IF(J218="","",IF(VLOOKUP(J218,'G-3 Multipliers'!$L$3:$N$6,2,FALSE)=0,"Spatial Data Missing ⚠",VLOOKUP(J218,'G-3 Multipliers'!$L$3:$N$6,2,FALSE)))</f>
        <v/>
      </c>
      <c r="L218" s="287" t="str">
        <f>IF(J218="","",IF(VLOOKUP(J218,'G-3 Multipliers'!$L$3:$N$6,3,FALSE)=0,"Spatial Data Missing ⚠",VLOOKUP(J218,'G-3 Multipliers'!$L$3:$N$6,3,FALSE)))</f>
        <v/>
      </c>
      <c r="M218" s="281" t="str">
        <f>IF(OR(D218="",H218=""),"",(INDEX('G-6 Hedgerow Data'!$E$3:$I$15,MATCH(D218,'G-6 Hedgerow Data'!$B$3:$B$15,0),MATCH(H218,'G-6 Hedgerow Data'!$E$2:$I$2,0))))</f>
        <v/>
      </c>
      <c r="N218" s="137"/>
      <c r="O218" s="137"/>
      <c r="P218" s="289" t="str">
        <f t="shared" si="19"/>
        <v/>
      </c>
      <c r="Q218" s="302" t="str">
        <f t="shared" si="20"/>
        <v/>
      </c>
      <c r="R218" s="303" t="str">
        <f t="shared" si="18"/>
        <v/>
      </c>
      <c r="S218" s="317" t="str">
        <f>IF(D218="","",VLOOKUP(D218,'G-6 Hedgerow Data'!$B$3:$AG$15,31,FALSE))</f>
        <v/>
      </c>
      <c r="T218" s="289" t="str">
        <f t="shared" si="21"/>
        <v/>
      </c>
      <c r="U218" s="289" t="str">
        <f t="shared" si="22"/>
        <v/>
      </c>
      <c r="V218" s="305" t="str">
        <f>IF(D218="","",VLOOKUP(S218,'G-3 Multipliers'!$P$3:$Q$6,2,FALSE))</f>
        <v/>
      </c>
      <c r="W218" s="309" t="str">
        <f t="shared" si="23"/>
        <v/>
      </c>
      <c r="X218" s="105"/>
      <c r="Y218" s="119"/>
      <c r="Z218" s="108"/>
      <c r="AG218" s="30" t="str">
        <f>IFERROR(INDEX('G-6 Hedgerow Data'!$BJ$3:$BJ$15,MATCH(D218,'G-6 Hedgerow Data'!$B$3:$B$15,0)),"")</f>
        <v/>
      </c>
    </row>
    <row r="219" spans="2:33" ht="13.8" x14ac:dyDescent="0.25">
      <c r="B219" s="101">
        <v>208</v>
      </c>
      <c r="C219" s="144"/>
      <c r="D219" s="137"/>
      <c r="E219" s="119"/>
      <c r="F219" s="329" t="str">
        <f>IF(D219="","",VLOOKUP(D219,'G-6 Hedgerow Data'!$B$2:$AG$15,2,FALSE))</f>
        <v/>
      </c>
      <c r="G219" s="282" t="str">
        <f>IF(D219="","",VLOOKUP(D219,'G-6 Hedgerow Data'!$B$2:$AG$15,3,FALSE))</f>
        <v/>
      </c>
      <c r="H219" s="105"/>
      <c r="I219" s="282" t="str">
        <f>IFERROR(IF(H219="","",IF(AND(D219="Non-native and ornamental hedgerow", H219&lt;&gt;"Poor"),"Not possible ▲", (VLOOKUP(H219,'G-1 All Habitats'!$Z$2:$AA$9,2,FALSE)))),"")</f>
        <v/>
      </c>
      <c r="J219" s="105"/>
      <c r="K219" s="301" t="str">
        <f>IF(J219="","",IF(VLOOKUP(J219,'G-3 Multipliers'!$L$3:$N$6,2,FALSE)=0,"Spatial Data Missing ⚠",VLOOKUP(J219,'G-3 Multipliers'!$L$3:$N$6,2,FALSE)))</f>
        <v/>
      </c>
      <c r="L219" s="287" t="str">
        <f>IF(J219="","",IF(VLOOKUP(J219,'G-3 Multipliers'!$L$3:$N$6,3,FALSE)=0,"Spatial Data Missing ⚠",VLOOKUP(J219,'G-3 Multipliers'!$L$3:$N$6,3,FALSE)))</f>
        <v/>
      </c>
      <c r="M219" s="281" t="str">
        <f>IF(OR(D219="",H219=""),"",(INDEX('G-6 Hedgerow Data'!$E$3:$I$15,MATCH(D219,'G-6 Hedgerow Data'!$B$3:$B$15,0),MATCH(H219,'G-6 Hedgerow Data'!$E$2:$I$2,0))))</f>
        <v/>
      </c>
      <c r="N219" s="137"/>
      <c r="O219" s="137"/>
      <c r="P219" s="289" t="str">
        <f t="shared" si="19"/>
        <v/>
      </c>
      <c r="Q219" s="302" t="str">
        <f t="shared" si="20"/>
        <v/>
      </c>
      <c r="R219" s="303" t="str">
        <f t="shared" si="18"/>
        <v/>
      </c>
      <c r="S219" s="317" t="str">
        <f>IF(D219="","",VLOOKUP(D219,'G-6 Hedgerow Data'!$B$3:$AG$15,31,FALSE))</f>
        <v/>
      </c>
      <c r="T219" s="289" t="str">
        <f t="shared" si="21"/>
        <v/>
      </c>
      <c r="U219" s="289" t="str">
        <f t="shared" si="22"/>
        <v/>
      </c>
      <c r="V219" s="305" t="str">
        <f>IF(D219="","",VLOOKUP(S219,'G-3 Multipliers'!$P$3:$Q$6,2,FALSE))</f>
        <v/>
      </c>
      <c r="W219" s="309" t="str">
        <f t="shared" si="23"/>
        <v/>
      </c>
      <c r="X219" s="105"/>
      <c r="Y219" s="119"/>
      <c r="Z219" s="108"/>
      <c r="AG219" s="30" t="str">
        <f>IFERROR(INDEX('G-6 Hedgerow Data'!$BJ$3:$BJ$15,MATCH(D219,'G-6 Hedgerow Data'!$B$3:$B$15,0)),"")</f>
        <v/>
      </c>
    </row>
    <row r="220" spans="2:33" ht="13.8" x14ac:dyDescent="0.25">
      <c r="B220" s="101">
        <v>209</v>
      </c>
      <c r="C220" s="144"/>
      <c r="D220" s="137"/>
      <c r="E220" s="119"/>
      <c r="F220" s="329" t="str">
        <f>IF(D220="","",VLOOKUP(D220,'G-6 Hedgerow Data'!$B$2:$AG$15,2,FALSE))</f>
        <v/>
      </c>
      <c r="G220" s="282" t="str">
        <f>IF(D220="","",VLOOKUP(D220,'G-6 Hedgerow Data'!$B$2:$AG$15,3,FALSE))</f>
        <v/>
      </c>
      <c r="H220" s="105"/>
      <c r="I220" s="282" t="str">
        <f>IFERROR(IF(H220="","",IF(AND(D220="Non-native and ornamental hedgerow", H220&lt;&gt;"Poor"),"Not possible ▲", (VLOOKUP(H220,'G-1 All Habitats'!$Z$2:$AA$9,2,FALSE)))),"")</f>
        <v/>
      </c>
      <c r="J220" s="105"/>
      <c r="K220" s="301" t="str">
        <f>IF(J220="","",IF(VLOOKUP(J220,'G-3 Multipliers'!$L$3:$N$6,2,FALSE)=0,"Spatial Data Missing ⚠",VLOOKUP(J220,'G-3 Multipliers'!$L$3:$N$6,2,FALSE)))</f>
        <v/>
      </c>
      <c r="L220" s="287" t="str">
        <f>IF(J220="","",IF(VLOOKUP(J220,'G-3 Multipliers'!$L$3:$N$6,3,FALSE)=0,"Spatial Data Missing ⚠",VLOOKUP(J220,'G-3 Multipliers'!$L$3:$N$6,3,FALSE)))</f>
        <v/>
      </c>
      <c r="M220" s="281" t="str">
        <f>IF(OR(D220="",H220=""),"",(INDEX('G-6 Hedgerow Data'!$E$3:$I$15,MATCH(D220,'G-6 Hedgerow Data'!$B$3:$B$15,0),MATCH(H220,'G-6 Hedgerow Data'!$E$2:$I$2,0))))</f>
        <v/>
      </c>
      <c r="N220" s="137"/>
      <c r="O220" s="137"/>
      <c r="P220" s="289" t="str">
        <f t="shared" si="19"/>
        <v/>
      </c>
      <c r="Q220" s="302" t="str">
        <f t="shared" si="20"/>
        <v/>
      </c>
      <c r="R220" s="303" t="str">
        <f t="shared" si="18"/>
        <v/>
      </c>
      <c r="S220" s="317" t="str">
        <f>IF(D220="","",VLOOKUP(D220,'G-6 Hedgerow Data'!$B$3:$AG$15,31,FALSE))</f>
        <v/>
      </c>
      <c r="T220" s="289" t="str">
        <f t="shared" si="21"/>
        <v/>
      </c>
      <c r="U220" s="289" t="str">
        <f t="shared" si="22"/>
        <v/>
      </c>
      <c r="V220" s="305" t="str">
        <f>IF(D220="","",VLOOKUP(S220,'G-3 Multipliers'!$P$3:$Q$6,2,FALSE))</f>
        <v/>
      </c>
      <c r="W220" s="309" t="str">
        <f t="shared" si="23"/>
        <v/>
      </c>
      <c r="X220" s="105"/>
      <c r="Y220" s="119"/>
      <c r="Z220" s="108"/>
      <c r="AG220" s="30" t="str">
        <f>IFERROR(INDEX('G-6 Hedgerow Data'!$BJ$3:$BJ$15,MATCH(D220,'G-6 Hedgerow Data'!$B$3:$B$15,0)),"")</f>
        <v/>
      </c>
    </row>
    <row r="221" spans="2:33" ht="13.8" x14ac:dyDescent="0.25">
      <c r="B221" s="101">
        <v>210</v>
      </c>
      <c r="C221" s="144"/>
      <c r="D221" s="137"/>
      <c r="E221" s="119"/>
      <c r="F221" s="329" t="str">
        <f>IF(D221="","",VLOOKUP(D221,'G-6 Hedgerow Data'!$B$2:$AG$15,2,FALSE))</f>
        <v/>
      </c>
      <c r="G221" s="282" t="str">
        <f>IF(D221="","",VLOOKUP(D221,'G-6 Hedgerow Data'!$B$2:$AG$15,3,FALSE))</f>
        <v/>
      </c>
      <c r="H221" s="105"/>
      <c r="I221" s="282" t="str">
        <f>IFERROR(IF(H221="","",IF(AND(D221="Non-native and ornamental hedgerow", H221&lt;&gt;"Poor"),"Not possible ▲", (VLOOKUP(H221,'G-1 All Habitats'!$Z$2:$AA$9,2,FALSE)))),"")</f>
        <v/>
      </c>
      <c r="J221" s="105"/>
      <c r="K221" s="301" t="str">
        <f>IF(J221="","",IF(VLOOKUP(J221,'G-3 Multipliers'!$L$3:$N$6,2,FALSE)=0,"Spatial Data Missing ⚠",VLOOKUP(J221,'G-3 Multipliers'!$L$3:$N$6,2,FALSE)))</f>
        <v/>
      </c>
      <c r="L221" s="287" t="str">
        <f>IF(J221="","",IF(VLOOKUP(J221,'G-3 Multipliers'!$L$3:$N$6,3,FALSE)=0,"Spatial Data Missing ⚠",VLOOKUP(J221,'G-3 Multipliers'!$L$3:$N$6,3,FALSE)))</f>
        <v/>
      </c>
      <c r="M221" s="281" t="str">
        <f>IF(OR(D221="",H221=""),"",(INDEX('G-6 Hedgerow Data'!$E$3:$I$15,MATCH(D221,'G-6 Hedgerow Data'!$B$3:$B$15,0),MATCH(H221,'G-6 Hedgerow Data'!$E$2:$I$2,0))))</f>
        <v/>
      </c>
      <c r="N221" s="137"/>
      <c r="O221" s="137"/>
      <c r="P221" s="289" t="str">
        <f t="shared" si="19"/>
        <v/>
      </c>
      <c r="Q221" s="302" t="str">
        <f t="shared" si="20"/>
        <v/>
      </c>
      <c r="R221" s="303" t="str">
        <f t="shared" si="18"/>
        <v/>
      </c>
      <c r="S221" s="317" t="str">
        <f>IF(D221="","",VLOOKUP(D221,'G-6 Hedgerow Data'!$B$3:$AG$15,31,FALSE))</f>
        <v/>
      </c>
      <c r="T221" s="289" t="str">
        <f t="shared" si="21"/>
        <v/>
      </c>
      <c r="U221" s="289" t="str">
        <f t="shared" si="22"/>
        <v/>
      </c>
      <c r="V221" s="305" t="str">
        <f>IF(D221="","",VLOOKUP(S221,'G-3 Multipliers'!$P$3:$Q$6,2,FALSE))</f>
        <v/>
      </c>
      <c r="W221" s="309" t="str">
        <f t="shared" si="23"/>
        <v/>
      </c>
      <c r="X221" s="105"/>
      <c r="Y221" s="119"/>
      <c r="Z221" s="108"/>
      <c r="AG221" s="30" t="str">
        <f>IFERROR(INDEX('G-6 Hedgerow Data'!$BJ$3:$BJ$15,MATCH(D221,'G-6 Hedgerow Data'!$B$3:$B$15,0)),"")</f>
        <v/>
      </c>
    </row>
    <row r="222" spans="2:33" ht="13.8" x14ac:dyDescent="0.25">
      <c r="B222" s="101">
        <v>211</v>
      </c>
      <c r="C222" s="144"/>
      <c r="D222" s="137"/>
      <c r="E222" s="119"/>
      <c r="F222" s="329" t="str">
        <f>IF(D222="","",VLOOKUP(D222,'G-6 Hedgerow Data'!$B$2:$AG$15,2,FALSE))</f>
        <v/>
      </c>
      <c r="G222" s="282" t="str">
        <f>IF(D222="","",VLOOKUP(D222,'G-6 Hedgerow Data'!$B$2:$AG$15,3,FALSE))</f>
        <v/>
      </c>
      <c r="H222" s="105"/>
      <c r="I222" s="282" t="str">
        <f>IFERROR(IF(H222="","",IF(AND(D222="Non-native and ornamental hedgerow", H222&lt;&gt;"Poor"),"Not possible ▲", (VLOOKUP(H222,'G-1 All Habitats'!$Z$2:$AA$9,2,FALSE)))),"")</f>
        <v/>
      </c>
      <c r="J222" s="105"/>
      <c r="K222" s="301" t="str">
        <f>IF(J222="","",IF(VLOOKUP(J222,'G-3 Multipliers'!$L$3:$N$6,2,FALSE)=0,"Spatial Data Missing ⚠",VLOOKUP(J222,'G-3 Multipliers'!$L$3:$N$6,2,FALSE)))</f>
        <v/>
      </c>
      <c r="L222" s="287" t="str">
        <f>IF(J222="","",IF(VLOOKUP(J222,'G-3 Multipliers'!$L$3:$N$6,3,FALSE)=0,"Spatial Data Missing ⚠",VLOOKUP(J222,'G-3 Multipliers'!$L$3:$N$6,3,FALSE)))</f>
        <v/>
      </c>
      <c r="M222" s="281" t="str">
        <f>IF(OR(D222="",H222=""),"",(INDEX('G-6 Hedgerow Data'!$E$3:$I$15,MATCH(D222,'G-6 Hedgerow Data'!$B$3:$B$15,0),MATCH(H222,'G-6 Hedgerow Data'!$E$2:$I$2,0))))</f>
        <v/>
      </c>
      <c r="N222" s="137"/>
      <c r="O222" s="137"/>
      <c r="P222" s="289" t="str">
        <f t="shared" si="19"/>
        <v/>
      </c>
      <c r="Q222" s="302" t="str">
        <f t="shared" si="20"/>
        <v/>
      </c>
      <c r="R222" s="303" t="str">
        <f t="shared" si="18"/>
        <v/>
      </c>
      <c r="S222" s="317" t="str">
        <f>IF(D222="","",VLOOKUP(D222,'G-6 Hedgerow Data'!$B$3:$AG$15,31,FALSE))</f>
        <v/>
      </c>
      <c r="T222" s="289" t="str">
        <f t="shared" si="21"/>
        <v/>
      </c>
      <c r="U222" s="289" t="str">
        <f t="shared" si="22"/>
        <v/>
      </c>
      <c r="V222" s="305" t="str">
        <f>IF(D222="","",VLOOKUP(S222,'G-3 Multipliers'!$P$3:$Q$6,2,FALSE))</f>
        <v/>
      </c>
      <c r="W222" s="309" t="str">
        <f t="shared" si="23"/>
        <v/>
      </c>
      <c r="X222" s="105"/>
      <c r="Y222" s="119"/>
      <c r="Z222" s="108"/>
      <c r="AG222" s="30" t="str">
        <f>IFERROR(INDEX('G-6 Hedgerow Data'!$BJ$3:$BJ$15,MATCH(D222,'G-6 Hedgerow Data'!$B$3:$B$15,0)),"")</f>
        <v/>
      </c>
    </row>
    <row r="223" spans="2:33" ht="13.8" x14ac:dyDescent="0.25">
      <c r="B223" s="101">
        <v>212</v>
      </c>
      <c r="C223" s="144"/>
      <c r="D223" s="137"/>
      <c r="E223" s="119"/>
      <c r="F223" s="329" t="str">
        <f>IF(D223="","",VLOOKUP(D223,'G-6 Hedgerow Data'!$B$2:$AG$15,2,FALSE))</f>
        <v/>
      </c>
      <c r="G223" s="282" t="str">
        <f>IF(D223="","",VLOOKUP(D223,'G-6 Hedgerow Data'!$B$2:$AG$15,3,FALSE))</f>
        <v/>
      </c>
      <c r="H223" s="105"/>
      <c r="I223" s="282" t="str">
        <f>IFERROR(IF(H223="","",IF(AND(D223="Non-native and ornamental hedgerow", H223&lt;&gt;"Poor"),"Not possible ▲", (VLOOKUP(H223,'G-1 All Habitats'!$Z$2:$AA$9,2,FALSE)))),"")</f>
        <v/>
      </c>
      <c r="J223" s="105"/>
      <c r="K223" s="301" t="str">
        <f>IF(J223="","",IF(VLOOKUP(J223,'G-3 Multipliers'!$L$3:$N$6,2,FALSE)=0,"Spatial Data Missing ⚠",VLOOKUP(J223,'G-3 Multipliers'!$L$3:$N$6,2,FALSE)))</f>
        <v/>
      </c>
      <c r="L223" s="287" t="str">
        <f>IF(J223="","",IF(VLOOKUP(J223,'G-3 Multipliers'!$L$3:$N$6,3,FALSE)=0,"Spatial Data Missing ⚠",VLOOKUP(J223,'G-3 Multipliers'!$L$3:$N$6,3,FALSE)))</f>
        <v/>
      </c>
      <c r="M223" s="281" t="str">
        <f>IF(OR(D223="",H223=""),"",(INDEX('G-6 Hedgerow Data'!$E$3:$I$15,MATCH(D223,'G-6 Hedgerow Data'!$B$3:$B$15,0),MATCH(H223,'G-6 Hedgerow Data'!$E$2:$I$2,0))))</f>
        <v/>
      </c>
      <c r="N223" s="137"/>
      <c r="O223" s="137"/>
      <c r="P223" s="289" t="str">
        <f t="shared" si="19"/>
        <v/>
      </c>
      <c r="Q223" s="302" t="str">
        <f t="shared" si="20"/>
        <v/>
      </c>
      <c r="R223" s="303" t="str">
        <f t="shared" si="18"/>
        <v/>
      </c>
      <c r="S223" s="317" t="str">
        <f>IF(D223="","",VLOOKUP(D223,'G-6 Hedgerow Data'!$B$3:$AG$15,31,FALSE))</f>
        <v/>
      </c>
      <c r="T223" s="289" t="str">
        <f t="shared" si="21"/>
        <v/>
      </c>
      <c r="U223" s="289" t="str">
        <f t="shared" si="22"/>
        <v/>
      </c>
      <c r="V223" s="305" t="str">
        <f>IF(D223="","",VLOOKUP(S223,'G-3 Multipliers'!$P$3:$Q$6,2,FALSE))</f>
        <v/>
      </c>
      <c r="W223" s="309" t="str">
        <f t="shared" si="23"/>
        <v/>
      </c>
      <c r="X223" s="105"/>
      <c r="Y223" s="119"/>
      <c r="Z223" s="108"/>
      <c r="AG223" s="30" t="str">
        <f>IFERROR(INDEX('G-6 Hedgerow Data'!$BJ$3:$BJ$15,MATCH(D223,'G-6 Hedgerow Data'!$B$3:$B$15,0)),"")</f>
        <v/>
      </c>
    </row>
    <row r="224" spans="2:33" ht="13.8" x14ac:dyDescent="0.25">
      <c r="B224" s="101">
        <v>213</v>
      </c>
      <c r="C224" s="144"/>
      <c r="D224" s="137"/>
      <c r="E224" s="119"/>
      <c r="F224" s="329" t="str">
        <f>IF(D224="","",VLOOKUP(D224,'G-6 Hedgerow Data'!$B$2:$AG$15,2,FALSE))</f>
        <v/>
      </c>
      <c r="G224" s="282" t="str">
        <f>IF(D224="","",VLOOKUP(D224,'G-6 Hedgerow Data'!$B$2:$AG$15,3,FALSE))</f>
        <v/>
      </c>
      <c r="H224" s="105"/>
      <c r="I224" s="282" t="str">
        <f>IFERROR(IF(H224="","",IF(AND(D224="Non-native and ornamental hedgerow", H224&lt;&gt;"Poor"),"Not possible ▲", (VLOOKUP(H224,'G-1 All Habitats'!$Z$2:$AA$9,2,FALSE)))),"")</f>
        <v/>
      </c>
      <c r="J224" s="105"/>
      <c r="K224" s="301" t="str">
        <f>IF(J224="","",IF(VLOOKUP(J224,'G-3 Multipliers'!$L$3:$N$6,2,FALSE)=0,"Spatial Data Missing ⚠",VLOOKUP(J224,'G-3 Multipliers'!$L$3:$N$6,2,FALSE)))</f>
        <v/>
      </c>
      <c r="L224" s="287" t="str">
        <f>IF(J224="","",IF(VLOOKUP(J224,'G-3 Multipliers'!$L$3:$N$6,3,FALSE)=0,"Spatial Data Missing ⚠",VLOOKUP(J224,'G-3 Multipliers'!$L$3:$N$6,3,FALSE)))</f>
        <v/>
      </c>
      <c r="M224" s="281" t="str">
        <f>IF(OR(D224="",H224=""),"",(INDEX('G-6 Hedgerow Data'!$E$3:$I$15,MATCH(D224,'G-6 Hedgerow Data'!$B$3:$B$15,0),MATCH(H224,'G-6 Hedgerow Data'!$E$2:$I$2,0))))</f>
        <v/>
      </c>
      <c r="N224" s="137"/>
      <c r="O224" s="137"/>
      <c r="P224" s="289" t="str">
        <f t="shared" si="19"/>
        <v/>
      </c>
      <c r="Q224" s="302" t="str">
        <f t="shared" si="20"/>
        <v/>
      </c>
      <c r="R224" s="303" t="str">
        <f t="shared" si="18"/>
        <v/>
      </c>
      <c r="S224" s="317" t="str">
        <f>IF(D224="","",VLOOKUP(D224,'G-6 Hedgerow Data'!$B$3:$AG$15,31,FALSE))</f>
        <v/>
      </c>
      <c r="T224" s="289" t="str">
        <f t="shared" si="21"/>
        <v/>
      </c>
      <c r="U224" s="289" t="str">
        <f t="shared" si="22"/>
        <v/>
      </c>
      <c r="V224" s="305" t="str">
        <f>IF(D224="","",VLOOKUP(S224,'G-3 Multipliers'!$P$3:$Q$6,2,FALSE))</f>
        <v/>
      </c>
      <c r="W224" s="309" t="str">
        <f t="shared" si="23"/>
        <v/>
      </c>
      <c r="X224" s="105"/>
      <c r="Y224" s="119"/>
      <c r="Z224" s="108"/>
      <c r="AG224" s="30" t="str">
        <f>IFERROR(INDEX('G-6 Hedgerow Data'!$BJ$3:$BJ$15,MATCH(D224,'G-6 Hedgerow Data'!$B$3:$B$15,0)),"")</f>
        <v/>
      </c>
    </row>
    <row r="225" spans="2:33" ht="13.8" x14ac:dyDescent="0.25">
      <c r="B225" s="101">
        <v>214</v>
      </c>
      <c r="C225" s="144"/>
      <c r="D225" s="137"/>
      <c r="E225" s="119"/>
      <c r="F225" s="329" t="str">
        <f>IF(D225="","",VLOOKUP(D225,'G-6 Hedgerow Data'!$B$2:$AG$15,2,FALSE))</f>
        <v/>
      </c>
      <c r="G225" s="282" t="str">
        <f>IF(D225="","",VLOOKUP(D225,'G-6 Hedgerow Data'!$B$2:$AG$15,3,FALSE))</f>
        <v/>
      </c>
      <c r="H225" s="105"/>
      <c r="I225" s="282" t="str">
        <f>IFERROR(IF(H225="","",IF(AND(D225="Non-native and ornamental hedgerow", H225&lt;&gt;"Poor"),"Not possible ▲", (VLOOKUP(H225,'G-1 All Habitats'!$Z$2:$AA$9,2,FALSE)))),"")</f>
        <v/>
      </c>
      <c r="J225" s="105"/>
      <c r="K225" s="301" t="str">
        <f>IF(J225="","",IF(VLOOKUP(J225,'G-3 Multipliers'!$L$3:$N$6,2,FALSE)=0,"Spatial Data Missing ⚠",VLOOKUP(J225,'G-3 Multipliers'!$L$3:$N$6,2,FALSE)))</f>
        <v/>
      </c>
      <c r="L225" s="287" t="str">
        <f>IF(J225="","",IF(VLOOKUP(J225,'G-3 Multipliers'!$L$3:$N$6,3,FALSE)=0,"Spatial Data Missing ⚠",VLOOKUP(J225,'G-3 Multipliers'!$L$3:$N$6,3,FALSE)))</f>
        <v/>
      </c>
      <c r="M225" s="281" t="str">
        <f>IF(OR(D225="",H225=""),"",(INDEX('G-6 Hedgerow Data'!$E$3:$I$15,MATCH(D225,'G-6 Hedgerow Data'!$B$3:$B$15,0),MATCH(H225,'G-6 Hedgerow Data'!$E$2:$I$2,0))))</f>
        <v/>
      </c>
      <c r="N225" s="137"/>
      <c r="O225" s="137"/>
      <c r="P225" s="289" t="str">
        <f t="shared" si="19"/>
        <v/>
      </c>
      <c r="Q225" s="302" t="str">
        <f t="shared" si="20"/>
        <v/>
      </c>
      <c r="R225" s="303" t="str">
        <f t="shared" si="18"/>
        <v/>
      </c>
      <c r="S225" s="317" t="str">
        <f>IF(D225="","",VLOOKUP(D225,'G-6 Hedgerow Data'!$B$3:$AG$15,31,FALSE))</f>
        <v/>
      </c>
      <c r="T225" s="289" t="str">
        <f t="shared" si="21"/>
        <v/>
      </c>
      <c r="U225" s="289" t="str">
        <f t="shared" si="22"/>
        <v/>
      </c>
      <c r="V225" s="305" t="str">
        <f>IF(D225="","",VLOOKUP(S225,'G-3 Multipliers'!$P$3:$Q$6,2,FALSE))</f>
        <v/>
      </c>
      <c r="W225" s="309" t="str">
        <f t="shared" si="23"/>
        <v/>
      </c>
      <c r="X225" s="105"/>
      <c r="Y225" s="119"/>
      <c r="Z225" s="108"/>
      <c r="AG225" s="30" t="str">
        <f>IFERROR(INDEX('G-6 Hedgerow Data'!$BJ$3:$BJ$15,MATCH(D225,'G-6 Hedgerow Data'!$B$3:$B$15,0)),"")</f>
        <v/>
      </c>
    </row>
    <row r="226" spans="2:33" ht="13.8" x14ac:dyDescent="0.25">
      <c r="B226" s="101">
        <v>215</v>
      </c>
      <c r="C226" s="144"/>
      <c r="D226" s="137"/>
      <c r="E226" s="119"/>
      <c r="F226" s="329" t="str">
        <f>IF(D226="","",VLOOKUP(D226,'G-6 Hedgerow Data'!$B$2:$AG$15,2,FALSE))</f>
        <v/>
      </c>
      <c r="G226" s="282" t="str">
        <f>IF(D226="","",VLOOKUP(D226,'G-6 Hedgerow Data'!$B$2:$AG$15,3,FALSE))</f>
        <v/>
      </c>
      <c r="H226" s="105"/>
      <c r="I226" s="282" t="str">
        <f>IFERROR(IF(H226="","",IF(AND(D226="Non-native and ornamental hedgerow", H226&lt;&gt;"Poor"),"Not possible ▲", (VLOOKUP(H226,'G-1 All Habitats'!$Z$2:$AA$9,2,FALSE)))),"")</f>
        <v/>
      </c>
      <c r="J226" s="105"/>
      <c r="K226" s="301" t="str">
        <f>IF(J226="","",IF(VLOOKUP(J226,'G-3 Multipliers'!$L$3:$N$6,2,FALSE)=0,"Spatial Data Missing ⚠",VLOOKUP(J226,'G-3 Multipliers'!$L$3:$N$6,2,FALSE)))</f>
        <v/>
      </c>
      <c r="L226" s="287" t="str">
        <f>IF(J226="","",IF(VLOOKUP(J226,'G-3 Multipliers'!$L$3:$N$6,3,FALSE)=0,"Spatial Data Missing ⚠",VLOOKUP(J226,'G-3 Multipliers'!$L$3:$N$6,3,FALSE)))</f>
        <v/>
      </c>
      <c r="M226" s="281" t="str">
        <f>IF(OR(D226="",H226=""),"",(INDEX('G-6 Hedgerow Data'!$E$3:$I$15,MATCH(D226,'G-6 Hedgerow Data'!$B$3:$B$15,0),MATCH(H226,'G-6 Hedgerow Data'!$E$2:$I$2,0))))</f>
        <v/>
      </c>
      <c r="N226" s="137"/>
      <c r="O226" s="137"/>
      <c r="P226" s="289" t="str">
        <f t="shared" si="19"/>
        <v/>
      </c>
      <c r="Q226" s="302" t="str">
        <f t="shared" si="20"/>
        <v/>
      </c>
      <c r="R226" s="303" t="str">
        <f t="shared" si="18"/>
        <v/>
      </c>
      <c r="S226" s="317" t="str">
        <f>IF(D226="","",VLOOKUP(D226,'G-6 Hedgerow Data'!$B$3:$AG$15,31,FALSE))</f>
        <v/>
      </c>
      <c r="T226" s="289" t="str">
        <f t="shared" si="21"/>
        <v/>
      </c>
      <c r="U226" s="289" t="str">
        <f t="shared" si="22"/>
        <v/>
      </c>
      <c r="V226" s="305" t="str">
        <f>IF(D226="","",VLOOKUP(S226,'G-3 Multipliers'!$P$3:$Q$6,2,FALSE))</f>
        <v/>
      </c>
      <c r="W226" s="309" t="str">
        <f t="shared" si="23"/>
        <v/>
      </c>
      <c r="X226" s="105"/>
      <c r="Y226" s="119"/>
      <c r="Z226" s="108"/>
      <c r="AG226" s="30" t="str">
        <f>IFERROR(INDEX('G-6 Hedgerow Data'!$BJ$3:$BJ$15,MATCH(D226,'G-6 Hedgerow Data'!$B$3:$B$15,0)),"")</f>
        <v/>
      </c>
    </row>
    <row r="227" spans="2:33" ht="13.8" x14ac:dyDescent="0.25">
      <c r="B227" s="101">
        <v>216</v>
      </c>
      <c r="C227" s="144"/>
      <c r="D227" s="137"/>
      <c r="E227" s="119"/>
      <c r="F227" s="329" t="str">
        <f>IF(D227="","",VLOOKUP(D227,'G-6 Hedgerow Data'!$B$2:$AG$15,2,FALSE))</f>
        <v/>
      </c>
      <c r="G227" s="282" t="str">
        <f>IF(D227="","",VLOOKUP(D227,'G-6 Hedgerow Data'!$B$2:$AG$15,3,FALSE))</f>
        <v/>
      </c>
      <c r="H227" s="105"/>
      <c r="I227" s="282" t="str">
        <f>IFERROR(IF(H227="","",IF(AND(D227="Non-native and ornamental hedgerow", H227&lt;&gt;"Poor"),"Not possible ▲", (VLOOKUP(H227,'G-1 All Habitats'!$Z$2:$AA$9,2,FALSE)))),"")</f>
        <v/>
      </c>
      <c r="J227" s="105"/>
      <c r="K227" s="301" t="str">
        <f>IF(J227="","",IF(VLOOKUP(J227,'G-3 Multipliers'!$L$3:$N$6,2,FALSE)=0,"Spatial Data Missing ⚠",VLOOKUP(J227,'G-3 Multipliers'!$L$3:$N$6,2,FALSE)))</f>
        <v/>
      </c>
      <c r="L227" s="287" t="str">
        <f>IF(J227="","",IF(VLOOKUP(J227,'G-3 Multipliers'!$L$3:$N$6,3,FALSE)=0,"Spatial Data Missing ⚠",VLOOKUP(J227,'G-3 Multipliers'!$L$3:$N$6,3,FALSE)))</f>
        <v/>
      </c>
      <c r="M227" s="281" t="str">
        <f>IF(OR(D227="",H227=""),"",(INDEX('G-6 Hedgerow Data'!$E$3:$I$15,MATCH(D227,'G-6 Hedgerow Data'!$B$3:$B$15,0),MATCH(H227,'G-6 Hedgerow Data'!$E$2:$I$2,0))))</f>
        <v/>
      </c>
      <c r="N227" s="137"/>
      <c r="O227" s="137"/>
      <c r="P227" s="289" t="str">
        <f t="shared" si="19"/>
        <v/>
      </c>
      <c r="Q227" s="302" t="str">
        <f t="shared" si="20"/>
        <v/>
      </c>
      <c r="R227" s="303" t="str">
        <f t="shared" si="18"/>
        <v/>
      </c>
      <c r="S227" s="317" t="str">
        <f>IF(D227="","",VLOOKUP(D227,'G-6 Hedgerow Data'!$B$3:$AG$15,31,FALSE))</f>
        <v/>
      </c>
      <c r="T227" s="289" t="str">
        <f t="shared" si="21"/>
        <v/>
      </c>
      <c r="U227" s="289" t="str">
        <f t="shared" si="22"/>
        <v/>
      </c>
      <c r="V227" s="305" t="str">
        <f>IF(D227="","",VLOOKUP(S227,'G-3 Multipliers'!$P$3:$Q$6,2,FALSE))</f>
        <v/>
      </c>
      <c r="W227" s="309" t="str">
        <f t="shared" si="23"/>
        <v/>
      </c>
      <c r="X227" s="105"/>
      <c r="Y227" s="119"/>
      <c r="Z227" s="108"/>
      <c r="AG227" s="30" t="str">
        <f>IFERROR(INDEX('G-6 Hedgerow Data'!$BJ$3:$BJ$15,MATCH(D227,'G-6 Hedgerow Data'!$B$3:$B$15,0)),"")</f>
        <v/>
      </c>
    </row>
    <row r="228" spans="2:33" ht="13.8" x14ac:dyDescent="0.25">
      <c r="B228" s="101">
        <v>217</v>
      </c>
      <c r="C228" s="144"/>
      <c r="D228" s="137"/>
      <c r="E228" s="119"/>
      <c r="F228" s="329" t="str">
        <f>IF(D228="","",VLOOKUP(D228,'G-6 Hedgerow Data'!$B$2:$AG$15,2,FALSE))</f>
        <v/>
      </c>
      <c r="G228" s="282" t="str">
        <f>IF(D228="","",VLOOKUP(D228,'G-6 Hedgerow Data'!$B$2:$AG$15,3,FALSE))</f>
        <v/>
      </c>
      <c r="H228" s="105"/>
      <c r="I228" s="282" t="str">
        <f>IFERROR(IF(H228="","",IF(AND(D228="Non-native and ornamental hedgerow", H228&lt;&gt;"Poor"),"Not possible ▲", (VLOOKUP(H228,'G-1 All Habitats'!$Z$2:$AA$9,2,FALSE)))),"")</f>
        <v/>
      </c>
      <c r="J228" s="105"/>
      <c r="K228" s="301" t="str">
        <f>IF(J228="","",IF(VLOOKUP(J228,'G-3 Multipliers'!$L$3:$N$6,2,FALSE)=0,"Spatial Data Missing ⚠",VLOOKUP(J228,'G-3 Multipliers'!$L$3:$N$6,2,FALSE)))</f>
        <v/>
      </c>
      <c r="L228" s="287" t="str">
        <f>IF(J228="","",IF(VLOOKUP(J228,'G-3 Multipliers'!$L$3:$N$6,3,FALSE)=0,"Spatial Data Missing ⚠",VLOOKUP(J228,'G-3 Multipliers'!$L$3:$N$6,3,FALSE)))</f>
        <v/>
      </c>
      <c r="M228" s="281" t="str">
        <f>IF(OR(D228="",H228=""),"",(INDEX('G-6 Hedgerow Data'!$E$3:$I$15,MATCH(D228,'G-6 Hedgerow Data'!$B$3:$B$15,0),MATCH(H228,'G-6 Hedgerow Data'!$E$2:$I$2,0))))</f>
        <v/>
      </c>
      <c r="N228" s="137"/>
      <c r="O228" s="137"/>
      <c r="P228" s="289" t="str">
        <f t="shared" si="19"/>
        <v/>
      </c>
      <c r="Q228" s="302" t="str">
        <f t="shared" si="20"/>
        <v/>
      </c>
      <c r="R228" s="303" t="str">
        <f t="shared" si="18"/>
        <v/>
      </c>
      <c r="S228" s="317" t="str">
        <f>IF(D228="","",VLOOKUP(D228,'G-6 Hedgerow Data'!$B$3:$AG$15,31,FALSE))</f>
        <v/>
      </c>
      <c r="T228" s="289" t="str">
        <f t="shared" si="21"/>
        <v/>
      </c>
      <c r="U228" s="289" t="str">
        <f t="shared" si="22"/>
        <v/>
      </c>
      <c r="V228" s="305" t="str">
        <f>IF(D228="","",VLOOKUP(S228,'G-3 Multipliers'!$P$3:$Q$6,2,FALSE))</f>
        <v/>
      </c>
      <c r="W228" s="309" t="str">
        <f t="shared" si="23"/>
        <v/>
      </c>
      <c r="X228" s="105"/>
      <c r="Y228" s="119"/>
      <c r="Z228" s="108"/>
      <c r="AG228" s="30" t="str">
        <f>IFERROR(INDEX('G-6 Hedgerow Data'!$BJ$3:$BJ$15,MATCH(D228,'G-6 Hedgerow Data'!$B$3:$B$15,0)),"")</f>
        <v/>
      </c>
    </row>
    <row r="229" spans="2:33" ht="13.8" x14ac:dyDescent="0.25">
      <c r="B229" s="101">
        <v>218</v>
      </c>
      <c r="C229" s="144"/>
      <c r="D229" s="137"/>
      <c r="E229" s="119"/>
      <c r="F229" s="329" t="str">
        <f>IF(D229="","",VLOOKUP(D229,'G-6 Hedgerow Data'!$B$2:$AG$15,2,FALSE))</f>
        <v/>
      </c>
      <c r="G229" s="282" t="str">
        <f>IF(D229="","",VLOOKUP(D229,'G-6 Hedgerow Data'!$B$2:$AG$15,3,FALSE))</f>
        <v/>
      </c>
      <c r="H229" s="105"/>
      <c r="I229" s="282" t="str">
        <f>IFERROR(IF(H229="","",IF(AND(D229="Non-native and ornamental hedgerow", H229&lt;&gt;"Poor"),"Not possible ▲", (VLOOKUP(H229,'G-1 All Habitats'!$Z$2:$AA$9,2,FALSE)))),"")</f>
        <v/>
      </c>
      <c r="J229" s="105"/>
      <c r="K229" s="301" t="str">
        <f>IF(J229="","",IF(VLOOKUP(J229,'G-3 Multipliers'!$L$3:$N$6,2,FALSE)=0,"Spatial Data Missing ⚠",VLOOKUP(J229,'G-3 Multipliers'!$L$3:$N$6,2,FALSE)))</f>
        <v/>
      </c>
      <c r="L229" s="287" t="str">
        <f>IF(J229="","",IF(VLOOKUP(J229,'G-3 Multipliers'!$L$3:$N$6,3,FALSE)=0,"Spatial Data Missing ⚠",VLOOKUP(J229,'G-3 Multipliers'!$L$3:$N$6,3,FALSE)))</f>
        <v/>
      </c>
      <c r="M229" s="281" t="str">
        <f>IF(OR(D229="",H229=""),"",(INDEX('G-6 Hedgerow Data'!$E$3:$I$15,MATCH(D229,'G-6 Hedgerow Data'!$B$3:$B$15,0),MATCH(H229,'G-6 Hedgerow Data'!$E$2:$I$2,0))))</f>
        <v/>
      </c>
      <c r="N229" s="137"/>
      <c r="O229" s="137"/>
      <c r="P229" s="289" t="str">
        <f t="shared" si="19"/>
        <v/>
      </c>
      <c r="Q229" s="302" t="str">
        <f t="shared" si="20"/>
        <v/>
      </c>
      <c r="R229" s="303" t="str">
        <f t="shared" si="18"/>
        <v/>
      </c>
      <c r="S229" s="317" t="str">
        <f>IF(D229="","",VLOOKUP(D229,'G-6 Hedgerow Data'!$B$3:$AG$15,31,FALSE))</f>
        <v/>
      </c>
      <c r="T229" s="289" t="str">
        <f t="shared" si="21"/>
        <v/>
      </c>
      <c r="U229" s="289" t="str">
        <f t="shared" si="22"/>
        <v/>
      </c>
      <c r="V229" s="305" t="str">
        <f>IF(D229="","",VLOOKUP(S229,'G-3 Multipliers'!$P$3:$Q$6,2,FALSE))</f>
        <v/>
      </c>
      <c r="W229" s="309" t="str">
        <f t="shared" si="23"/>
        <v/>
      </c>
      <c r="X229" s="105"/>
      <c r="Y229" s="119"/>
      <c r="Z229" s="108"/>
      <c r="AG229" s="30" t="str">
        <f>IFERROR(INDEX('G-6 Hedgerow Data'!$BJ$3:$BJ$15,MATCH(D229,'G-6 Hedgerow Data'!$B$3:$B$15,0)),"")</f>
        <v/>
      </c>
    </row>
    <row r="230" spans="2:33" ht="13.8" x14ac:dyDescent="0.25">
      <c r="B230" s="101">
        <v>219</v>
      </c>
      <c r="C230" s="144"/>
      <c r="D230" s="137"/>
      <c r="E230" s="119"/>
      <c r="F230" s="329" t="str">
        <f>IF(D230="","",VLOOKUP(D230,'G-6 Hedgerow Data'!$B$2:$AG$15,2,FALSE))</f>
        <v/>
      </c>
      <c r="G230" s="282" t="str">
        <f>IF(D230="","",VLOOKUP(D230,'G-6 Hedgerow Data'!$B$2:$AG$15,3,FALSE))</f>
        <v/>
      </c>
      <c r="H230" s="105"/>
      <c r="I230" s="282" t="str">
        <f>IFERROR(IF(H230="","",IF(AND(D230="Non-native and ornamental hedgerow", H230&lt;&gt;"Poor"),"Not possible ▲", (VLOOKUP(H230,'G-1 All Habitats'!$Z$2:$AA$9,2,FALSE)))),"")</f>
        <v/>
      </c>
      <c r="J230" s="105"/>
      <c r="K230" s="301" t="str">
        <f>IF(J230="","",IF(VLOOKUP(J230,'G-3 Multipliers'!$L$3:$N$6,2,FALSE)=0,"Spatial Data Missing ⚠",VLOOKUP(J230,'G-3 Multipliers'!$L$3:$N$6,2,FALSE)))</f>
        <v/>
      </c>
      <c r="L230" s="287" t="str">
        <f>IF(J230="","",IF(VLOOKUP(J230,'G-3 Multipliers'!$L$3:$N$6,3,FALSE)=0,"Spatial Data Missing ⚠",VLOOKUP(J230,'G-3 Multipliers'!$L$3:$N$6,3,FALSE)))</f>
        <v/>
      </c>
      <c r="M230" s="281" t="str">
        <f>IF(OR(D230="",H230=""),"",(INDEX('G-6 Hedgerow Data'!$E$3:$I$15,MATCH(D230,'G-6 Hedgerow Data'!$B$3:$B$15,0),MATCH(H230,'G-6 Hedgerow Data'!$E$2:$I$2,0))))</f>
        <v/>
      </c>
      <c r="N230" s="137"/>
      <c r="O230" s="137"/>
      <c r="P230" s="289" t="str">
        <f t="shared" si="19"/>
        <v/>
      </c>
      <c r="Q230" s="302" t="str">
        <f t="shared" si="20"/>
        <v/>
      </c>
      <c r="R230" s="303" t="str">
        <f t="shared" si="18"/>
        <v/>
      </c>
      <c r="S230" s="317" t="str">
        <f>IF(D230="","",VLOOKUP(D230,'G-6 Hedgerow Data'!$B$3:$AG$15,31,FALSE))</f>
        <v/>
      </c>
      <c r="T230" s="289" t="str">
        <f t="shared" si="21"/>
        <v/>
      </c>
      <c r="U230" s="289" t="str">
        <f t="shared" si="22"/>
        <v/>
      </c>
      <c r="V230" s="305" t="str">
        <f>IF(D230="","",VLOOKUP(S230,'G-3 Multipliers'!$P$3:$Q$6,2,FALSE))</f>
        <v/>
      </c>
      <c r="W230" s="309" t="str">
        <f t="shared" si="23"/>
        <v/>
      </c>
      <c r="X230" s="105"/>
      <c r="Y230" s="119"/>
      <c r="Z230" s="108"/>
      <c r="AG230" s="30" t="str">
        <f>IFERROR(INDEX('G-6 Hedgerow Data'!$BJ$3:$BJ$15,MATCH(D230,'G-6 Hedgerow Data'!$B$3:$B$15,0)),"")</f>
        <v/>
      </c>
    </row>
    <row r="231" spans="2:33" ht="13.8" x14ac:dyDescent="0.25">
      <c r="B231" s="101">
        <v>220</v>
      </c>
      <c r="C231" s="144"/>
      <c r="D231" s="137"/>
      <c r="E231" s="119"/>
      <c r="F231" s="329" t="str">
        <f>IF(D231="","",VLOOKUP(D231,'G-6 Hedgerow Data'!$B$2:$AG$15,2,FALSE))</f>
        <v/>
      </c>
      <c r="G231" s="282" t="str">
        <f>IF(D231="","",VLOOKUP(D231,'G-6 Hedgerow Data'!$B$2:$AG$15,3,FALSE))</f>
        <v/>
      </c>
      <c r="H231" s="105"/>
      <c r="I231" s="282" t="str">
        <f>IFERROR(IF(H231="","",IF(AND(D231="Non-native and ornamental hedgerow", H231&lt;&gt;"Poor"),"Not possible ▲", (VLOOKUP(H231,'G-1 All Habitats'!$Z$2:$AA$9,2,FALSE)))),"")</f>
        <v/>
      </c>
      <c r="J231" s="105"/>
      <c r="K231" s="301" t="str">
        <f>IF(J231="","",IF(VLOOKUP(J231,'G-3 Multipliers'!$L$3:$N$6,2,FALSE)=0,"Spatial Data Missing ⚠",VLOOKUP(J231,'G-3 Multipliers'!$L$3:$N$6,2,FALSE)))</f>
        <v/>
      </c>
      <c r="L231" s="287" t="str">
        <f>IF(J231="","",IF(VLOOKUP(J231,'G-3 Multipliers'!$L$3:$N$6,3,FALSE)=0,"Spatial Data Missing ⚠",VLOOKUP(J231,'G-3 Multipliers'!$L$3:$N$6,3,FALSE)))</f>
        <v/>
      </c>
      <c r="M231" s="281" t="str">
        <f>IF(OR(D231="",H231=""),"",(INDEX('G-6 Hedgerow Data'!$E$3:$I$15,MATCH(D231,'G-6 Hedgerow Data'!$B$3:$B$15,0),MATCH(H231,'G-6 Hedgerow Data'!$E$2:$I$2,0))))</f>
        <v/>
      </c>
      <c r="N231" s="137"/>
      <c r="O231" s="137"/>
      <c r="P231" s="289" t="str">
        <f t="shared" si="19"/>
        <v/>
      </c>
      <c r="Q231" s="302" t="str">
        <f t="shared" si="20"/>
        <v/>
      </c>
      <c r="R231" s="303" t="str">
        <f t="shared" si="18"/>
        <v/>
      </c>
      <c r="S231" s="317" t="str">
        <f>IF(D231="","",VLOOKUP(D231,'G-6 Hedgerow Data'!$B$3:$AG$15,31,FALSE))</f>
        <v/>
      </c>
      <c r="T231" s="289" t="str">
        <f t="shared" si="21"/>
        <v/>
      </c>
      <c r="U231" s="289" t="str">
        <f t="shared" si="22"/>
        <v/>
      </c>
      <c r="V231" s="305" t="str">
        <f>IF(D231="","",VLOOKUP(S231,'G-3 Multipliers'!$P$3:$Q$6,2,FALSE))</f>
        <v/>
      </c>
      <c r="W231" s="309" t="str">
        <f t="shared" si="23"/>
        <v/>
      </c>
      <c r="X231" s="105"/>
      <c r="Y231" s="119"/>
      <c r="Z231" s="108"/>
      <c r="AG231" s="30" t="str">
        <f>IFERROR(INDEX('G-6 Hedgerow Data'!$BJ$3:$BJ$15,MATCH(D231,'G-6 Hedgerow Data'!$B$3:$B$15,0)),"")</f>
        <v/>
      </c>
    </row>
    <row r="232" spans="2:33" ht="13.8" x14ac:dyDescent="0.25">
      <c r="B232" s="101">
        <v>221</v>
      </c>
      <c r="C232" s="144"/>
      <c r="D232" s="137"/>
      <c r="E232" s="119"/>
      <c r="F232" s="329" t="str">
        <f>IF(D232="","",VLOOKUP(D232,'G-6 Hedgerow Data'!$B$2:$AG$15,2,FALSE))</f>
        <v/>
      </c>
      <c r="G232" s="282" t="str">
        <f>IF(D232="","",VLOOKUP(D232,'G-6 Hedgerow Data'!$B$2:$AG$15,3,FALSE))</f>
        <v/>
      </c>
      <c r="H232" s="105"/>
      <c r="I232" s="282" t="str">
        <f>IFERROR(IF(H232="","",IF(AND(D232="Non-native and ornamental hedgerow", H232&lt;&gt;"Poor"),"Not possible ▲", (VLOOKUP(H232,'G-1 All Habitats'!$Z$2:$AA$9,2,FALSE)))),"")</f>
        <v/>
      </c>
      <c r="J232" s="105"/>
      <c r="K232" s="301" t="str">
        <f>IF(J232="","",IF(VLOOKUP(J232,'G-3 Multipliers'!$L$3:$N$6,2,FALSE)=0,"Spatial Data Missing ⚠",VLOOKUP(J232,'G-3 Multipliers'!$L$3:$N$6,2,FALSE)))</f>
        <v/>
      </c>
      <c r="L232" s="287" t="str">
        <f>IF(J232="","",IF(VLOOKUP(J232,'G-3 Multipliers'!$L$3:$N$6,3,FALSE)=0,"Spatial Data Missing ⚠",VLOOKUP(J232,'G-3 Multipliers'!$L$3:$N$6,3,FALSE)))</f>
        <v/>
      </c>
      <c r="M232" s="281" t="str">
        <f>IF(OR(D232="",H232=""),"",(INDEX('G-6 Hedgerow Data'!$E$3:$I$15,MATCH(D232,'G-6 Hedgerow Data'!$B$3:$B$15,0),MATCH(H232,'G-6 Hedgerow Data'!$E$2:$I$2,0))))</f>
        <v/>
      </c>
      <c r="N232" s="137"/>
      <c r="O232" s="137"/>
      <c r="P232" s="289" t="str">
        <f t="shared" si="19"/>
        <v/>
      </c>
      <c r="Q232" s="302" t="str">
        <f t="shared" si="20"/>
        <v/>
      </c>
      <c r="R232" s="303" t="str">
        <f t="shared" si="18"/>
        <v/>
      </c>
      <c r="S232" s="317" t="str">
        <f>IF(D232="","",VLOOKUP(D232,'G-6 Hedgerow Data'!$B$3:$AG$15,31,FALSE))</f>
        <v/>
      </c>
      <c r="T232" s="289" t="str">
        <f t="shared" si="21"/>
        <v/>
      </c>
      <c r="U232" s="289" t="str">
        <f t="shared" si="22"/>
        <v/>
      </c>
      <c r="V232" s="305" t="str">
        <f>IF(D232="","",VLOOKUP(S232,'G-3 Multipliers'!$P$3:$Q$6,2,FALSE))</f>
        <v/>
      </c>
      <c r="W232" s="309" t="str">
        <f t="shared" si="23"/>
        <v/>
      </c>
      <c r="X232" s="105"/>
      <c r="Y232" s="119"/>
      <c r="Z232" s="108"/>
      <c r="AG232" s="30" t="str">
        <f>IFERROR(INDEX('G-6 Hedgerow Data'!$BJ$3:$BJ$15,MATCH(D232,'G-6 Hedgerow Data'!$B$3:$B$15,0)),"")</f>
        <v/>
      </c>
    </row>
    <row r="233" spans="2:33" ht="13.8" x14ac:dyDescent="0.25">
      <c r="B233" s="101">
        <v>222</v>
      </c>
      <c r="C233" s="144"/>
      <c r="D233" s="137"/>
      <c r="E233" s="119"/>
      <c r="F233" s="329" t="str">
        <f>IF(D233="","",VLOOKUP(D233,'G-6 Hedgerow Data'!$B$2:$AG$15,2,FALSE))</f>
        <v/>
      </c>
      <c r="G233" s="282" t="str">
        <f>IF(D233="","",VLOOKUP(D233,'G-6 Hedgerow Data'!$B$2:$AG$15,3,FALSE))</f>
        <v/>
      </c>
      <c r="H233" s="105"/>
      <c r="I233" s="282" t="str">
        <f>IFERROR(IF(H233="","",IF(AND(D233="Non-native and ornamental hedgerow", H233&lt;&gt;"Poor"),"Not possible ▲", (VLOOKUP(H233,'G-1 All Habitats'!$Z$2:$AA$9,2,FALSE)))),"")</f>
        <v/>
      </c>
      <c r="J233" s="105"/>
      <c r="K233" s="301" t="str">
        <f>IF(J233="","",IF(VLOOKUP(J233,'G-3 Multipliers'!$L$3:$N$6,2,FALSE)=0,"Spatial Data Missing ⚠",VLOOKUP(J233,'G-3 Multipliers'!$L$3:$N$6,2,FALSE)))</f>
        <v/>
      </c>
      <c r="L233" s="287" t="str">
        <f>IF(J233="","",IF(VLOOKUP(J233,'G-3 Multipliers'!$L$3:$N$6,3,FALSE)=0,"Spatial Data Missing ⚠",VLOOKUP(J233,'G-3 Multipliers'!$L$3:$N$6,3,FALSE)))</f>
        <v/>
      </c>
      <c r="M233" s="281" t="str">
        <f>IF(OR(D233="",H233=""),"",(INDEX('G-6 Hedgerow Data'!$E$3:$I$15,MATCH(D233,'G-6 Hedgerow Data'!$B$3:$B$15,0),MATCH(H233,'G-6 Hedgerow Data'!$E$2:$I$2,0))))</f>
        <v/>
      </c>
      <c r="N233" s="137"/>
      <c r="O233" s="137"/>
      <c r="P233" s="289" t="str">
        <f t="shared" si="19"/>
        <v/>
      </c>
      <c r="Q233" s="302" t="str">
        <f t="shared" si="20"/>
        <v/>
      </c>
      <c r="R233" s="303" t="str">
        <f t="shared" si="18"/>
        <v/>
      </c>
      <c r="S233" s="317" t="str">
        <f>IF(D233="","",VLOOKUP(D233,'G-6 Hedgerow Data'!$B$3:$AG$15,31,FALSE))</f>
        <v/>
      </c>
      <c r="T233" s="289" t="str">
        <f t="shared" si="21"/>
        <v/>
      </c>
      <c r="U233" s="289" t="str">
        <f t="shared" si="22"/>
        <v/>
      </c>
      <c r="V233" s="305" t="str">
        <f>IF(D233="","",VLOOKUP(S233,'G-3 Multipliers'!$P$3:$Q$6,2,FALSE))</f>
        <v/>
      </c>
      <c r="W233" s="309" t="str">
        <f t="shared" si="23"/>
        <v/>
      </c>
      <c r="X233" s="105"/>
      <c r="Y233" s="119"/>
      <c r="Z233" s="108"/>
      <c r="AG233" s="30" t="str">
        <f>IFERROR(INDEX('G-6 Hedgerow Data'!$BJ$3:$BJ$15,MATCH(D233,'G-6 Hedgerow Data'!$B$3:$B$15,0)),"")</f>
        <v/>
      </c>
    </row>
    <row r="234" spans="2:33" ht="13.8" x14ac:dyDescent="0.25">
      <c r="B234" s="101">
        <v>223</v>
      </c>
      <c r="C234" s="144"/>
      <c r="D234" s="137"/>
      <c r="E234" s="119"/>
      <c r="F234" s="329" t="str">
        <f>IF(D234="","",VLOOKUP(D234,'G-6 Hedgerow Data'!$B$2:$AG$15,2,FALSE))</f>
        <v/>
      </c>
      <c r="G234" s="282" t="str">
        <f>IF(D234="","",VLOOKUP(D234,'G-6 Hedgerow Data'!$B$2:$AG$15,3,FALSE))</f>
        <v/>
      </c>
      <c r="H234" s="105"/>
      <c r="I234" s="282" t="str">
        <f>IFERROR(IF(H234="","",IF(AND(D234="Non-native and ornamental hedgerow", H234&lt;&gt;"Poor"),"Not possible ▲", (VLOOKUP(H234,'G-1 All Habitats'!$Z$2:$AA$9,2,FALSE)))),"")</f>
        <v/>
      </c>
      <c r="J234" s="105"/>
      <c r="K234" s="301" t="str">
        <f>IF(J234="","",IF(VLOOKUP(J234,'G-3 Multipliers'!$L$3:$N$6,2,FALSE)=0,"Spatial Data Missing ⚠",VLOOKUP(J234,'G-3 Multipliers'!$L$3:$N$6,2,FALSE)))</f>
        <v/>
      </c>
      <c r="L234" s="287" t="str">
        <f>IF(J234="","",IF(VLOOKUP(J234,'G-3 Multipliers'!$L$3:$N$6,3,FALSE)=0,"Spatial Data Missing ⚠",VLOOKUP(J234,'G-3 Multipliers'!$L$3:$N$6,3,FALSE)))</f>
        <v/>
      </c>
      <c r="M234" s="281" t="str">
        <f>IF(OR(D234="",H234=""),"",(INDEX('G-6 Hedgerow Data'!$E$3:$I$15,MATCH(D234,'G-6 Hedgerow Data'!$B$3:$B$15,0),MATCH(H234,'G-6 Hedgerow Data'!$E$2:$I$2,0))))</f>
        <v/>
      </c>
      <c r="N234" s="137"/>
      <c r="O234" s="137"/>
      <c r="P234" s="289" t="str">
        <f t="shared" si="19"/>
        <v/>
      </c>
      <c r="Q234" s="302" t="str">
        <f t="shared" si="20"/>
        <v/>
      </c>
      <c r="R234" s="303" t="str">
        <f t="shared" si="18"/>
        <v/>
      </c>
      <c r="S234" s="317" t="str">
        <f>IF(D234="","",VLOOKUP(D234,'G-6 Hedgerow Data'!$B$3:$AG$15,31,FALSE))</f>
        <v/>
      </c>
      <c r="T234" s="289" t="str">
        <f t="shared" si="21"/>
        <v/>
      </c>
      <c r="U234" s="289" t="str">
        <f t="shared" si="22"/>
        <v/>
      </c>
      <c r="V234" s="305" t="str">
        <f>IF(D234="","",VLOOKUP(S234,'G-3 Multipliers'!$P$3:$Q$6,2,FALSE))</f>
        <v/>
      </c>
      <c r="W234" s="309" t="str">
        <f t="shared" si="23"/>
        <v/>
      </c>
      <c r="X234" s="105"/>
      <c r="Y234" s="119"/>
      <c r="Z234" s="108"/>
      <c r="AG234" s="30" t="str">
        <f>IFERROR(INDEX('G-6 Hedgerow Data'!$BJ$3:$BJ$15,MATCH(D234,'G-6 Hedgerow Data'!$B$3:$B$15,0)),"")</f>
        <v/>
      </c>
    </row>
    <row r="235" spans="2:33" ht="13.8" x14ac:dyDescent="0.25">
      <c r="B235" s="101">
        <v>224</v>
      </c>
      <c r="C235" s="144"/>
      <c r="D235" s="137"/>
      <c r="E235" s="119"/>
      <c r="F235" s="329" t="str">
        <f>IF(D235="","",VLOOKUP(D235,'G-6 Hedgerow Data'!$B$2:$AG$15,2,FALSE))</f>
        <v/>
      </c>
      <c r="G235" s="282" t="str">
        <f>IF(D235="","",VLOOKUP(D235,'G-6 Hedgerow Data'!$B$2:$AG$15,3,FALSE))</f>
        <v/>
      </c>
      <c r="H235" s="105"/>
      <c r="I235" s="282" t="str">
        <f>IFERROR(IF(H235="","",IF(AND(D235="Non-native and ornamental hedgerow", H235&lt;&gt;"Poor"),"Not possible ▲", (VLOOKUP(H235,'G-1 All Habitats'!$Z$2:$AA$9,2,FALSE)))),"")</f>
        <v/>
      </c>
      <c r="J235" s="105"/>
      <c r="K235" s="301" t="str">
        <f>IF(J235="","",IF(VLOOKUP(J235,'G-3 Multipliers'!$L$3:$N$6,2,FALSE)=0,"Spatial Data Missing ⚠",VLOOKUP(J235,'G-3 Multipliers'!$L$3:$N$6,2,FALSE)))</f>
        <v/>
      </c>
      <c r="L235" s="287" t="str">
        <f>IF(J235="","",IF(VLOOKUP(J235,'G-3 Multipliers'!$L$3:$N$6,3,FALSE)=0,"Spatial Data Missing ⚠",VLOOKUP(J235,'G-3 Multipliers'!$L$3:$N$6,3,FALSE)))</f>
        <v/>
      </c>
      <c r="M235" s="281" t="str">
        <f>IF(OR(D235="",H235=""),"",(INDEX('G-6 Hedgerow Data'!$E$3:$I$15,MATCH(D235,'G-6 Hedgerow Data'!$B$3:$B$15,0),MATCH(H235,'G-6 Hedgerow Data'!$E$2:$I$2,0))))</f>
        <v/>
      </c>
      <c r="N235" s="137"/>
      <c r="O235" s="137"/>
      <c r="P235" s="289" t="str">
        <f t="shared" si="19"/>
        <v/>
      </c>
      <c r="Q235" s="302" t="str">
        <f t="shared" si="20"/>
        <v/>
      </c>
      <c r="R235" s="303" t="str">
        <f t="shared" si="18"/>
        <v/>
      </c>
      <c r="S235" s="317" t="str">
        <f>IF(D235="","",VLOOKUP(D235,'G-6 Hedgerow Data'!$B$3:$AG$15,31,FALSE))</f>
        <v/>
      </c>
      <c r="T235" s="289" t="str">
        <f t="shared" si="21"/>
        <v/>
      </c>
      <c r="U235" s="289" t="str">
        <f t="shared" si="22"/>
        <v/>
      </c>
      <c r="V235" s="305" t="str">
        <f>IF(D235="","",VLOOKUP(S235,'G-3 Multipliers'!$P$3:$Q$6,2,FALSE))</f>
        <v/>
      </c>
      <c r="W235" s="309" t="str">
        <f t="shared" si="23"/>
        <v/>
      </c>
      <c r="X235" s="105"/>
      <c r="Y235" s="119"/>
      <c r="Z235" s="108"/>
      <c r="AG235" s="30" t="str">
        <f>IFERROR(INDEX('G-6 Hedgerow Data'!$BJ$3:$BJ$15,MATCH(D235,'G-6 Hedgerow Data'!$B$3:$B$15,0)),"")</f>
        <v/>
      </c>
    </row>
    <row r="236" spans="2:33" ht="13.8" x14ac:dyDescent="0.25">
      <c r="B236" s="101">
        <v>225</v>
      </c>
      <c r="C236" s="144"/>
      <c r="D236" s="137"/>
      <c r="E236" s="119"/>
      <c r="F236" s="329" t="str">
        <f>IF(D236="","",VLOOKUP(D236,'G-6 Hedgerow Data'!$B$2:$AG$15,2,FALSE))</f>
        <v/>
      </c>
      <c r="G236" s="282" t="str">
        <f>IF(D236="","",VLOOKUP(D236,'G-6 Hedgerow Data'!$B$2:$AG$15,3,FALSE))</f>
        <v/>
      </c>
      <c r="H236" s="105"/>
      <c r="I236" s="282" t="str">
        <f>IFERROR(IF(H236="","",IF(AND(D236="Non-native and ornamental hedgerow", H236&lt;&gt;"Poor"),"Not possible ▲", (VLOOKUP(H236,'G-1 All Habitats'!$Z$2:$AA$9,2,FALSE)))),"")</f>
        <v/>
      </c>
      <c r="J236" s="105"/>
      <c r="K236" s="301" t="str">
        <f>IF(J236="","",IF(VLOOKUP(J236,'G-3 Multipliers'!$L$3:$N$6,2,FALSE)=0,"Spatial Data Missing ⚠",VLOOKUP(J236,'G-3 Multipliers'!$L$3:$N$6,2,FALSE)))</f>
        <v/>
      </c>
      <c r="L236" s="287" t="str">
        <f>IF(J236="","",IF(VLOOKUP(J236,'G-3 Multipliers'!$L$3:$N$6,3,FALSE)=0,"Spatial Data Missing ⚠",VLOOKUP(J236,'G-3 Multipliers'!$L$3:$N$6,3,FALSE)))</f>
        <v/>
      </c>
      <c r="M236" s="281" t="str">
        <f>IF(OR(D236="",H236=""),"",(INDEX('G-6 Hedgerow Data'!$E$3:$I$15,MATCH(D236,'G-6 Hedgerow Data'!$B$3:$B$15,0),MATCH(H236,'G-6 Hedgerow Data'!$E$2:$I$2,0))))</f>
        <v/>
      </c>
      <c r="N236" s="137"/>
      <c r="O236" s="137"/>
      <c r="P236" s="289" t="str">
        <f t="shared" si="19"/>
        <v/>
      </c>
      <c r="Q236" s="302" t="str">
        <f t="shared" si="20"/>
        <v/>
      </c>
      <c r="R236" s="303" t="str">
        <f t="shared" si="18"/>
        <v/>
      </c>
      <c r="S236" s="317" t="str">
        <f>IF(D236="","",VLOOKUP(D236,'G-6 Hedgerow Data'!$B$3:$AG$15,31,FALSE))</f>
        <v/>
      </c>
      <c r="T236" s="289" t="str">
        <f t="shared" si="21"/>
        <v/>
      </c>
      <c r="U236" s="289" t="str">
        <f t="shared" si="22"/>
        <v/>
      </c>
      <c r="V236" s="305" t="str">
        <f>IF(D236="","",VLOOKUP(S236,'G-3 Multipliers'!$P$3:$Q$6,2,FALSE))</f>
        <v/>
      </c>
      <c r="W236" s="309" t="str">
        <f t="shared" si="23"/>
        <v/>
      </c>
      <c r="X236" s="105"/>
      <c r="Y236" s="119"/>
      <c r="Z236" s="108"/>
      <c r="AG236" s="30" t="str">
        <f>IFERROR(INDEX('G-6 Hedgerow Data'!$BJ$3:$BJ$15,MATCH(D236,'G-6 Hedgerow Data'!$B$3:$B$15,0)),"")</f>
        <v/>
      </c>
    </row>
    <row r="237" spans="2:33" ht="13.8" x14ac:dyDescent="0.25">
      <c r="B237" s="101">
        <v>226</v>
      </c>
      <c r="C237" s="144"/>
      <c r="D237" s="137"/>
      <c r="E237" s="119"/>
      <c r="F237" s="329" t="str">
        <f>IF(D237="","",VLOOKUP(D237,'G-6 Hedgerow Data'!$B$2:$AG$15,2,FALSE))</f>
        <v/>
      </c>
      <c r="G237" s="282" t="str">
        <f>IF(D237="","",VLOOKUP(D237,'G-6 Hedgerow Data'!$B$2:$AG$15,3,FALSE))</f>
        <v/>
      </c>
      <c r="H237" s="105"/>
      <c r="I237" s="282" t="str">
        <f>IFERROR(IF(H237="","",IF(AND(D237="Non-native and ornamental hedgerow", H237&lt;&gt;"Poor"),"Not possible ▲", (VLOOKUP(H237,'G-1 All Habitats'!$Z$2:$AA$9,2,FALSE)))),"")</f>
        <v/>
      </c>
      <c r="J237" s="105"/>
      <c r="K237" s="301" t="str">
        <f>IF(J237="","",IF(VLOOKUP(J237,'G-3 Multipliers'!$L$3:$N$6,2,FALSE)=0,"Spatial Data Missing ⚠",VLOOKUP(J237,'G-3 Multipliers'!$L$3:$N$6,2,FALSE)))</f>
        <v/>
      </c>
      <c r="L237" s="287" t="str">
        <f>IF(J237="","",IF(VLOOKUP(J237,'G-3 Multipliers'!$L$3:$N$6,3,FALSE)=0,"Spatial Data Missing ⚠",VLOOKUP(J237,'G-3 Multipliers'!$L$3:$N$6,3,FALSE)))</f>
        <v/>
      </c>
      <c r="M237" s="281" t="str">
        <f>IF(OR(D237="",H237=""),"",(INDEX('G-6 Hedgerow Data'!$E$3:$I$15,MATCH(D237,'G-6 Hedgerow Data'!$B$3:$B$15,0),MATCH(H237,'G-6 Hedgerow Data'!$E$2:$I$2,0))))</f>
        <v/>
      </c>
      <c r="N237" s="137"/>
      <c r="O237" s="137"/>
      <c r="P237" s="289" t="str">
        <f t="shared" si="19"/>
        <v/>
      </c>
      <c r="Q237" s="302" t="str">
        <f t="shared" si="20"/>
        <v/>
      </c>
      <c r="R237" s="303" t="str">
        <f t="shared" si="18"/>
        <v/>
      </c>
      <c r="S237" s="317" t="str">
        <f>IF(D237="","",VLOOKUP(D237,'G-6 Hedgerow Data'!$B$3:$AG$15,31,FALSE))</f>
        <v/>
      </c>
      <c r="T237" s="289" t="str">
        <f t="shared" si="21"/>
        <v/>
      </c>
      <c r="U237" s="289" t="str">
        <f t="shared" si="22"/>
        <v/>
      </c>
      <c r="V237" s="305" t="str">
        <f>IF(D237="","",VLOOKUP(S237,'G-3 Multipliers'!$P$3:$Q$6,2,FALSE))</f>
        <v/>
      </c>
      <c r="W237" s="309" t="str">
        <f t="shared" si="23"/>
        <v/>
      </c>
      <c r="X237" s="105"/>
      <c r="Y237" s="119"/>
      <c r="Z237" s="108"/>
      <c r="AG237" s="30" t="str">
        <f>IFERROR(INDEX('G-6 Hedgerow Data'!$BJ$3:$BJ$15,MATCH(D237,'G-6 Hedgerow Data'!$B$3:$B$15,0)),"")</f>
        <v/>
      </c>
    </row>
    <row r="238" spans="2:33" ht="13.8" x14ac:dyDescent="0.25">
      <c r="B238" s="101">
        <v>227</v>
      </c>
      <c r="C238" s="144"/>
      <c r="D238" s="137"/>
      <c r="E238" s="119"/>
      <c r="F238" s="329" t="str">
        <f>IF(D238="","",VLOOKUP(D238,'G-6 Hedgerow Data'!$B$2:$AG$15,2,FALSE))</f>
        <v/>
      </c>
      <c r="G238" s="282" t="str">
        <f>IF(D238="","",VLOOKUP(D238,'G-6 Hedgerow Data'!$B$2:$AG$15,3,FALSE))</f>
        <v/>
      </c>
      <c r="H238" s="105"/>
      <c r="I238" s="282" t="str">
        <f>IFERROR(IF(H238="","",IF(AND(D238="Non-native and ornamental hedgerow", H238&lt;&gt;"Poor"),"Not possible ▲", (VLOOKUP(H238,'G-1 All Habitats'!$Z$2:$AA$9,2,FALSE)))),"")</f>
        <v/>
      </c>
      <c r="J238" s="105"/>
      <c r="K238" s="301" t="str">
        <f>IF(J238="","",IF(VLOOKUP(J238,'G-3 Multipliers'!$L$3:$N$6,2,FALSE)=0,"Spatial Data Missing ⚠",VLOOKUP(J238,'G-3 Multipliers'!$L$3:$N$6,2,FALSE)))</f>
        <v/>
      </c>
      <c r="L238" s="287" t="str">
        <f>IF(J238="","",IF(VLOOKUP(J238,'G-3 Multipliers'!$L$3:$N$6,3,FALSE)=0,"Spatial Data Missing ⚠",VLOOKUP(J238,'G-3 Multipliers'!$L$3:$N$6,3,FALSE)))</f>
        <v/>
      </c>
      <c r="M238" s="281" t="str">
        <f>IF(OR(D238="",H238=""),"",(INDEX('G-6 Hedgerow Data'!$E$3:$I$15,MATCH(D238,'G-6 Hedgerow Data'!$B$3:$B$15,0),MATCH(H238,'G-6 Hedgerow Data'!$E$2:$I$2,0))))</f>
        <v/>
      </c>
      <c r="N238" s="137"/>
      <c r="O238" s="137"/>
      <c r="P238" s="289" t="str">
        <f t="shared" si="19"/>
        <v/>
      </c>
      <c r="Q238" s="302" t="str">
        <f t="shared" si="20"/>
        <v/>
      </c>
      <c r="R238" s="303" t="str">
        <f t="shared" si="18"/>
        <v/>
      </c>
      <c r="S238" s="317" t="str">
        <f>IF(D238="","",VLOOKUP(D238,'G-6 Hedgerow Data'!$B$3:$AG$15,31,FALSE))</f>
        <v/>
      </c>
      <c r="T238" s="289" t="str">
        <f t="shared" si="21"/>
        <v/>
      </c>
      <c r="U238" s="289" t="str">
        <f t="shared" si="22"/>
        <v/>
      </c>
      <c r="V238" s="305" t="str">
        <f>IF(D238="","",VLOOKUP(S238,'G-3 Multipliers'!$P$3:$Q$6,2,FALSE))</f>
        <v/>
      </c>
      <c r="W238" s="309" t="str">
        <f t="shared" si="23"/>
        <v/>
      </c>
      <c r="X238" s="105"/>
      <c r="Y238" s="119"/>
      <c r="Z238" s="108"/>
      <c r="AG238" s="30" t="str">
        <f>IFERROR(INDEX('G-6 Hedgerow Data'!$BJ$3:$BJ$15,MATCH(D238,'G-6 Hedgerow Data'!$B$3:$B$15,0)),"")</f>
        <v/>
      </c>
    </row>
    <row r="239" spans="2:33" ht="13.8" x14ac:dyDescent="0.25">
      <c r="B239" s="101">
        <v>228</v>
      </c>
      <c r="C239" s="144"/>
      <c r="D239" s="137"/>
      <c r="E239" s="119"/>
      <c r="F239" s="329" t="str">
        <f>IF(D239="","",VLOOKUP(D239,'G-6 Hedgerow Data'!$B$2:$AG$15,2,FALSE))</f>
        <v/>
      </c>
      <c r="G239" s="282" t="str">
        <f>IF(D239="","",VLOOKUP(D239,'G-6 Hedgerow Data'!$B$2:$AG$15,3,FALSE))</f>
        <v/>
      </c>
      <c r="H239" s="105"/>
      <c r="I239" s="282" t="str">
        <f>IFERROR(IF(H239="","",IF(AND(D239="Non-native and ornamental hedgerow", H239&lt;&gt;"Poor"),"Not possible ▲", (VLOOKUP(H239,'G-1 All Habitats'!$Z$2:$AA$9,2,FALSE)))),"")</f>
        <v/>
      </c>
      <c r="J239" s="105"/>
      <c r="K239" s="301" t="str">
        <f>IF(J239="","",IF(VLOOKUP(J239,'G-3 Multipliers'!$L$3:$N$6,2,FALSE)=0,"Spatial Data Missing ⚠",VLOOKUP(J239,'G-3 Multipliers'!$L$3:$N$6,2,FALSE)))</f>
        <v/>
      </c>
      <c r="L239" s="287" t="str">
        <f>IF(J239="","",IF(VLOOKUP(J239,'G-3 Multipliers'!$L$3:$N$6,3,FALSE)=0,"Spatial Data Missing ⚠",VLOOKUP(J239,'G-3 Multipliers'!$L$3:$N$6,3,FALSE)))</f>
        <v/>
      </c>
      <c r="M239" s="281" t="str">
        <f>IF(OR(D239="",H239=""),"",(INDEX('G-6 Hedgerow Data'!$E$3:$I$15,MATCH(D239,'G-6 Hedgerow Data'!$B$3:$B$15,0),MATCH(H239,'G-6 Hedgerow Data'!$E$2:$I$2,0))))</f>
        <v/>
      </c>
      <c r="N239" s="137"/>
      <c r="O239" s="137"/>
      <c r="P239" s="289" t="str">
        <f t="shared" si="19"/>
        <v/>
      </c>
      <c r="Q239" s="302" t="str">
        <f t="shared" si="20"/>
        <v/>
      </c>
      <c r="R239" s="303" t="str">
        <f t="shared" si="18"/>
        <v/>
      </c>
      <c r="S239" s="317" t="str">
        <f>IF(D239="","",VLOOKUP(D239,'G-6 Hedgerow Data'!$B$3:$AG$15,31,FALSE))</f>
        <v/>
      </c>
      <c r="T239" s="289" t="str">
        <f t="shared" si="21"/>
        <v/>
      </c>
      <c r="U239" s="289" t="str">
        <f t="shared" si="22"/>
        <v/>
      </c>
      <c r="V239" s="305" t="str">
        <f>IF(D239="","",VLOOKUP(S239,'G-3 Multipliers'!$P$3:$Q$6,2,FALSE))</f>
        <v/>
      </c>
      <c r="W239" s="309" t="str">
        <f t="shared" si="23"/>
        <v/>
      </c>
      <c r="X239" s="105"/>
      <c r="Y239" s="119"/>
      <c r="Z239" s="108"/>
      <c r="AG239" s="30" t="str">
        <f>IFERROR(INDEX('G-6 Hedgerow Data'!$BJ$3:$BJ$15,MATCH(D239,'G-6 Hedgerow Data'!$B$3:$B$15,0)),"")</f>
        <v/>
      </c>
    </row>
    <row r="240" spans="2:33" ht="13.8" x14ac:dyDescent="0.25">
      <c r="B240" s="101">
        <v>229</v>
      </c>
      <c r="C240" s="144"/>
      <c r="D240" s="137"/>
      <c r="E240" s="119"/>
      <c r="F240" s="329" t="str">
        <f>IF(D240="","",VLOOKUP(D240,'G-6 Hedgerow Data'!$B$2:$AG$15,2,FALSE))</f>
        <v/>
      </c>
      <c r="G240" s="282" t="str">
        <f>IF(D240="","",VLOOKUP(D240,'G-6 Hedgerow Data'!$B$2:$AG$15,3,FALSE))</f>
        <v/>
      </c>
      <c r="H240" s="105"/>
      <c r="I240" s="282" t="str">
        <f>IFERROR(IF(H240="","",IF(AND(D240="Non-native and ornamental hedgerow", H240&lt;&gt;"Poor"),"Not possible ▲", (VLOOKUP(H240,'G-1 All Habitats'!$Z$2:$AA$9,2,FALSE)))),"")</f>
        <v/>
      </c>
      <c r="J240" s="105"/>
      <c r="K240" s="301" t="str">
        <f>IF(J240="","",IF(VLOOKUP(J240,'G-3 Multipliers'!$L$3:$N$6,2,FALSE)=0,"Spatial Data Missing ⚠",VLOOKUP(J240,'G-3 Multipliers'!$L$3:$N$6,2,FALSE)))</f>
        <v/>
      </c>
      <c r="L240" s="287" t="str">
        <f>IF(J240="","",IF(VLOOKUP(J240,'G-3 Multipliers'!$L$3:$N$6,3,FALSE)=0,"Spatial Data Missing ⚠",VLOOKUP(J240,'G-3 Multipliers'!$L$3:$N$6,3,FALSE)))</f>
        <v/>
      </c>
      <c r="M240" s="281" t="str">
        <f>IF(OR(D240="",H240=""),"",(INDEX('G-6 Hedgerow Data'!$E$3:$I$15,MATCH(D240,'G-6 Hedgerow Data'!$B$3:$B$15,0),MATCH(H240,'G-6 Hedgerow Data'!$E$2:$I$2,0))))</f>
        <v/>
      </c>
      <c r="N240" s="137"/>
      <c r="O240" s="137"/>
      <c r="P240" s="289" t="str">
        <f t="shared" si="19"/>
        <v/>
      </c>
      <c r="Q240" s="302" t="str">
        <f t="shared" si="20"/>
        <v/>
      </c>
      <c r="R240" s="303" t="str">
        <f t="shared" si="18"/>
        <v/>
      </c>
      <c r="S240" s="317" t="str">
        <f>IF(D240="","",VLOOKUP(D240,'G-6 Hedgerow Data'!$B$3:$AG$15,31,FALSE))</f>
        <v/>
      </c>
      <c r="T240" s="289" t="str">
        <f t="shared" si="21"/>
        <v/>
      </c>
      <c r="U240" s="289" t="str">
        <f t="shared" si="22"/>
        <v/>
      </c>
      <c r="V240" s="305" t="str">
        <f>IF(D240="","",VLOOKUP(S240,'G-3 Multipliers'!$P$3:$Q$6,2,FALSE))</f>
        <v/>
      </c>
      <c r="W240" s="309" t="str">
        <f t="shared" si="23"/>
        <v/>
      </c>
      <c r="X240" s="105"/>
      <c r="Y240" s="119"/>
      <c r="Z240" s="108"/>
      <c r="AG240" s="30" t="str">
        <f>IFERROR(INDEX('G-6 Hedgerow Data'!$BJ$3:$BJ$15,MATCH(D240,'G-6 Hedgerow Data'!$B$3:$B$15,0)),"")</f>
        <v/>
      </c>
    </row>
    <row r="241" spans="2:33" ht="13.8" x14ac:dyDescent="0.25">
      <c r="B241" s="101">
        <v>230</v>
      </c>
      <c r="C241" s="144"/>
      <c r="D241" s="137"/>
      <c r="E241" s="119"/>
      <c r="F241" s="329" t="str">
        <f>IF(D241="","",VLOOKUP(D241,'G-6 Hedgerow Data'!$B$2:$AG$15,2,FALSE))</f>
        <v/>
      </c>
      <c r="G241" s="282" t="str">
        <f>IF(D241="","",VLOOKUP(D241,'G-6 Hedgerow Data'!$B$2:$AG$15,3,FALSE))</f>
        <v/>
      </c>
      <c r="H241" s="105"/>
      <c r="I241" s="282" t="str">
        <f>IFERROR(IF(H241="","",IF(AND(D241="Non-native and ornamental hedgerow", H241&lt;&gt;"Poor"),"Not possible ▲", (VLOOKUP(H241,'G-1 All Habitats'!$Z$2:$AA$9,2,FALSE)))),"")</f>
        <v/>
      </c>
      <c r="J241" s="105"/>
      <c r="K241" s="301" t="str">
        <f>IF(J241="","",IF(VLOOKUP(J241,'G-3 Multipliers'!$L$3:$N$6,2,FALSE)=0,"Spatial Data Missing ⚠",VLOOKUP(J241,'G-3 Multipliers'!$L$3:$N$6,2,FALSE)))</f>
        <v/>
      </c>
      <c r="L241" s="287" t="str">
        <f>IF(J241="","",IF(VLOOKUP(J241,'G-3 Multipliers'!$L$3:$N$6,3,FALSE)=0,"Spatial Data Missing ⚠",VLOOKUP(J241,'G-3 Multipliers'!$L$3:$N$6,3,FALSE)))</f>
        <v/>
      </c>
      <c r="M241" s="281" t="str">
        <f>IF(OR(D241="",H241=""),"",(INDEX('G-6 Hedgerow Data'!$E$3:$I$15,MATCH(D241,'G-6 Hedgerow Data'!$B$3:$B$15,0),MATCH(H241,'G-6 Hedgerow Data'!$E$2:$I$2,0))))</f>
        <v/>
      </c>
      <c r="N241" s="137"/>
      <c r="O241" s="137"/>
      <c r="P241" s="289" t="str">
        <f t="shared" si="19"/>
        <v/>
      </c>
      <c r="Q241" s="302" t="str">
        <f t="shared" si="20"/>
        <v/>
      </c>
      <c r="R241" s="303" t="str">
        <f t="shared" si="18"/>
        <v/>
      </c>
      <c r="S241" s="317" t="str">
        <f>IF(D241="","",VLOOKUP(D241,'G-6 Hedgerow Data'!$B$3:$AG$15,31,FALSE))</f>
        <v/>
      </c>
      <c r="T241" s="289" t="str">
        <f t="shared" si="21"/>
        <v/>
      </c>
      <c r="U241" s="289" t="str">
        <f t="shared" si="22"/>
        <v/>
      </c>
      <c r="V241" s="305" t="str">
        <f>IF(D241="","",VLOOKUP(S241,'G-3 Multipliers'!$P$3:$Q$6,2,FALSE))</f>
        <v/>
      </c>
      <c r="W241" s="309" t="str">
        <f t="shared" si="23"/>
        <v/>
      </c>
      <c r="X241" s="105"/>
      <c r="Y241" s="119"/>
      <c r="Z241" s="108"/>
      <c r="AG241" s="30" t="str">
        <f>IFERROR(INDEX('G-6 Hedgerow Data'!$BJ$3:$BJ$15,MATCH(D241,'G-6 Hedgerow Data'!$B$3:$B$15,0)),"")</f>
        <v/>
      </c>
    </row>
    <row r="242" spans="2:33" ht="13.8" x14ac:dyDescent="0.25">
      <c r="B242" s="101">
        <v>231</v>
      </c>
      <c r="C242" s="144"/>
      <c r="D242" s="137"/>
      <c r="E242" s="119"/>
      <c r="F242" s="329" t="str">
        <f>IF(D242="","",VLOOKUP(D242,'G-6 Hedgerow Data'!$B$2:$AG$15,2,FALSE))</f>
        <v/>
      </c>
      <c r="G242" s="282" t="str">
        <f>IF(D242="","",VLOOKUP(D242,'G-6 Hedgerow Data'!$B$2:$AG$15,3,FALSE))</f>
        <v/>
      </c>
      <c r="H242" s="105"/>
      <c r="I242" s="282" t="str">
        <f>IFERROR(IF(H242="","",IF(AND(D242="Non-native and ornamental hedgerow", H242&lt;&gt;"Poor"),"Not possible ▲", (VLOOKUP(H242,'G-1 All Habitats'!$Z$2:$AA$9,2,FALSE)))),"")</f>
        <v/>
      </c>
      <c r="J242" s="105"/>
      <c r="K242" s="301" t="str">
        <f>IF(J242="","",IF(VLOOKUP(J242,'G-3 Multipliers'!$L$3:$N$6,2,FALSE)=0,"Spatial Data Missing ⚠",VLOOKUP(J242,'G-3 Multipliers'!$L$3:$N$6,2,FALSE)))</f>
        <v/>
      </c>
      <c r="L242" s="287" t="str">
        <f>IF(J242="","",IF(VLOOKUP(J242,'G-3 Multipliers'!$L$3:$N$6,3,FALSE)=0,"Spatial Data Missing ⚠",VLOOKUP(J242,'G-3 Multipliers'!$L$3:$N$6,3,FALSE)))</f>
        <v/>
      </c>
      <c r="M242" s="281" t="str">
        <f>IF(OR(D242="",H242=""),"",(INDEX('G-6 Hedgerow Data'!$E$3:$I$15,MATCH(D242,'G-6 Hedgerow Data'!$B$3:$B$15,0),MATCH(H242,'G-6 Hedgerow Data'!$E$2:$I$2,0))))</f>
        <v/>
      </c>
      <c r="N242" s="137"/>
      <c r="O242" s="137"/>
      <c r="P242" s="289" t="str">
        <f t="shared" si="19"/>
        <v/>
      </c>
      <c r="Q242" s="302" t="str">
        <f t="shared" si="20"/>
        <v/>
      </c>
      <c r="R242" s="303" t="str">
        <f t="shared" si="18"/>
        <v/>
      </c>
      <c r="S242" s="317" t="str">
        <f>IF(D242="","",VLOOKUP(D242,'G-6 Hedgerow Data'!$B$3:$AG$15,31,FALSE))</f>
        <v/>
      </c>
      <c r="T242" s="289" t="str">
        <f t="shared" si="21"/>
        <v/>
      </c>
      <c r="U242" s="289" t="str">
        <f t="shared" si="22"/>
        <v/>
      </c>
      <c r="V242" s="305" t="str">
        <f>IF(D242="","",VLOOKUP(S242,'G-3 Multipliers'!$P$3:$Q$6,2,FALSE))</f>
        <v/>
      </c>
      <c r="W242" s="309" t="str">
        <f t="shared" si="23"/>
        <v/>
      </c>
      <c r="X242" s="105"/>
      <c r="Y242" s="119"/>
      <c r="Z242" s="108"/>
      <c r="AG242" s="30" t="str">
        <f>IFERROR(INDEX('G-6 Hedgerow Data'!$BJ$3:$BJ$15,MATCH(D242,'G-6 Hedgerow Data'!$B$3:$B$15,0)),"")</f>
        <v/>
      </c>
    </row>
    <row r="243" spans="2:33" ht="13.8" x14ac:dyDescent="0.25">
      <c r="B243" s="101">
        <v>232</v>
      </c>
      <c r="C243" s="144"/>
      <c r="D243" s="137"/>
      <c r="E243" s="119"/>
      <c r="F243" s="329" t="str">
        <f>IF(D243="","",VLOOKUP(D243,'G-6 Hedgerow Data'!$B$2:$AG$15,2,FALSE))</f>
        <v/>
      </c>
      <c r="G243" s="282" t="str">
        <f>IF(D243="","",VLOOKUP(D243,'G-6 Hedgerow Data'!$B$2:$AG$15,3,FALSE))</f>
        <v/>
      </c>
      <c r="H243" s="105"/>
      <c r="I243" s="282" t="str">
        <f>IFERROR(IF(H243="","",IF(AND(D243="Non-native and ornamental hedgerow", H243&lt;&gt;"Poor"),"Not possible ▲", (VLOOKUP(H243,'G-1 All Habitats'!$Z$2:$AA$9,2,FALSE)))),"")</f>
        <v/>
      </c>
      <c r="J243" s="105"/>
      <c r="K243" s="301" t="str">
        <f>IF(J243="","",IF(VLOOKUP(J243,'G-3 Multipliers'!$L$3:$N$6,2,FALSE)=0,"Spatial Data Missing ⚠",VLOOKUP(J243,'G-3 Multipliers'!$L$3:$N$6,2,FALSE)))</f>
        <v/>
      </c>
      <c r="L243" s="287" t="str">
        <f>IF(J243="","",IF(VLOOKUP(J243,'G-3 Multipliers'!$L$3:$N$6,3,FALSE)=0,"Spatial Data Missing ⚠",VLOOKUP(J243,'G-3 Multipliers'!$L$3:$N$6,3,FALSE)))</f>
        <v/>
      </c>
      <c r="M243" s="281" t="str">
        <f>IF(OR(D243="",H243=""),"",(INDEX('G-6 Hedgerow Data'!$E$3:$I$15,MATCH(D243,'G-6 Hedgerow Data'!$B$3:$B$15,0),MATCH(H243,'G-6 Hedgerow Data'!$E$2:$I$2,0))))</f>
        <v/>
      </c>
      <c r="N243" s="137"/>
      <c r="O243" s="137"/>
      <c r="P243" s="289" t="str">
        <f t="shared" si="19"/>
        <v/>
      </c>
      <c r="Q243" s="302" t="str">
        <f t="shared" si="20"/>
        <v/>
      </c>
      <c r="R243" s="303" t="str">
        <f t="shared" si="18"/>
        <v/>
      </c>
      <c r="S243" s="317" t="str">
        <f>IF(D243="","",VLOOKUP(D243,'G-6 Hedgerow Data'!$B$3:$AG$15,31,FALSE))</f>
        <v/>
      </c>
      <c r="T243" s="289" t="str">
        <f t="shared" si="21"/>
        <v/>
      </c>
      <c r="U243" s="289" t="str">
        <f t="shared" si="22"/>
        <v/>
      </c>
      <c r="V243" s="305" t="str">
        <f>IF(D243="","",VLOOKUP(S243,'G-3 Multipliers'!$P$3:$Q$6,2,FALSE))</f>
        <v/>
      </c>
      <c r="W243" s="309" t="str">
        <f t="shared" si="23"/>
        <v/>
      </c>
      <c r="X243" s="105"/>
      <c r="Y243" s="119"/>
      <c r="Z243" s="108"/>
      <c r="AG243" s="30" t="str">
        <f>IFERROR(INDEX('G-6 Hedgerow Data'!$BJ$3:$BJ$15,MATCH(D243,'G-6 Hedgerow Data'!$B$3:$B$15,0)),"")</f>
        <v/>
      </c>
    </row>
    <row r="244" spans="2:33" ht="13.8" x14ac:dyDescent="0.25">
      <c r="B244" s="101">
        <v>233</v>
      </c>
      <c r="C244" s="144"/>
      <c r="D244" s="137"/>
      <c r="E244" s="119"/>
      <c r="F244" s="329" t="str">
        <f>IF(D244="","",VLOOKUP(D244,'G-6 Hedgerow Data'!$B$2:$AG$15,2,FALSE))</f>
        <v/>
      </c>
      <c r="G244" s="282" t="str">
        <f>IF(D244="","",VLOOKUP(D244,'G-6 Hedgerow Data'!$B$2:$AG$15,3,FALSE))</f>
        <v/>
      </c>
      <c r="H244" s="105"/>
      <c r="I244" s="282" t="str">
        <f>IFERROR(IF(H244="","",IF(AND(D244="Non-native and ornamental hedgerow", H244&lt;&gt;"Poor"),"Not possible ▲", (VLOOKUP(H244,'G-1 All Habitats'!$Z$2:$AA$9,2,FALSE)))),"")</f>
        <v/>
      </c>
      <c r="J244" s="105"/>
      <c r="K244" s="301" t="str">
        <f>IF(J244="","",IF(VLOOKUP(J244,'G-3 Multipliers'!$L$3:$N$6,2,FALSE)=0,"Spatial Data Missing ⚠",VLOOKUP(J244,'G-3 Multipliers'!$L$3:$N$6,2,FALSE)))</f>
        <v/>
      </c>
      <c r="L244" s="287" t="str">
        <f>IF(J244="","",IF(VLOOKUP(J244,'G-3 Multipliers'!$L$3:$N$6,3,FALSE)=0,"Spatial Data Missing ⚠",VLOOKUP(J244,'G-3 Multipliers'!$L$3:$N$6,3,FALSE)))</f>
        <v/>
      </c>
      <c r="M244" s="281" t="str">
        <f>IF(OR(D244="",H244=""),"",(INDEX('G-6 Hedgerow Data'!$E$3:$I$15,MATCH(D244,'G-6 Hedgerow Data'!$B$3:$B$15,0),MATCH(H244,'G-6 Hedgerow Data'!$E$2:$I$2,0))))</f>
        <v/>
      </c>
      <c r="N244" s="137"/>
      <c r="O244" s="137"/>
      <c r="P244" s="289" t="str">
        <f t="shared" si="19"/>
        <v/>
      </c>
      <c r="Q244" s="302" t="str">
        <f t="shared" si="20"/>
        <v/>
      </c>
      <c r="R244" s="303" t="str">
        <f t="shared" si="18"/>
        <v/>
      </c>
      <c r="S244" s="317" t="str">
        <f>IF(D244="","",VLOOKUP(D244,'G-6 Hedgerow Data'!$B$3:$AG$15,31,FALSE))</f>
        <v/>
      </c>
      <c r="T244" s="289" t="str">
        <f t="shared" si="21"/>
        <v/>
      </c>
      <c r="U244" s="289" t="str">
        <f t="shared" si="22"/>
        <v/>
      </c>
      <c r="V244" s="305" t="str">
        <f>IF(D244="","",VLOOKUP(S244,'G-3 Multipliers'!$P$3:$Q$6,2,FALSE))</f>
        <v/>
      </c>
      <c r="W244" s="309" t="str">
        <f t="shared" si="23"/>
        <v/>
      </c>
      <c r="X244" s="105"/>
      <c r="Y244" s="119"/>
      <c r="Z244" s="108"/>
      <c r="AG244" s="30" t="str">
        <f>IFERROR(INDEX('G-6 Hedgerow Data'!$BJ$3:$BJ$15,MATCH(D244,'G-6 Hedgerow Data'!$B$3:$B$15,0)),"")</f>
        <v/>
      </c>
    </row>
    <row r="245" spans="2:33" ht="13.8" x14ac:dyDescent="0.25">
      <c r="B245" s="101">
        <v>234</v>
      </c>
      <c r="C245" s="144"/>
      <c r="D245" s="137"/>
      <c r="E245" s="119"/>
      <c r="F245" s="329" t="str">
        <f>IF(D245="","",VLOOKUP(D245,'G-6 Hedgerow Data'!$B$2:$AG$15,2,FALSE))</f>
        <v/>
      </c>
      <c r="G245" s="282" t="str">
        <f>IF(D245="","",VLOOKUP(D245,'G-6 Hedgerow Data'!$B$2:$AG$15,3,FALSE))</f>
        <v/>
      </c>
      <c r="H245" s="105"/>
      <c r="I245" s="282" t="str">
        <f>IFERROR(IF(H245="","",IF(AND(D245="Non-native and ornamental hedgerow", H245&lt;&gt;"Poor"),"Not possible ▲", (VLOOKUP(H245,'G-1 All Habitats'!$Z$2:$AA$9,2,FALSE)))),"")</f>
        <v/>
      </c>
      <c r="J245" s="105"/>
      <c r="K245" s="301" t="str">
        <f>IF(J245="","",IF(VLOOKUP(J245,'G-3 Multipliers'!$L$3:$N$6,2,FALSE)=0,"Spatial Data Missing ⚠",VLOOKUP(J245,'G-3 Multipliers'!$L$3:$N$6,2,FALSE)))</f>
        <v/>
      </c>
      <c r="L245" s="287" t="str">
        <f>IF(J245="","",IF(VLOOKUP(J245,'G-3 Multipliers'!$L$3:$N$6,3,FALSE)=0,"Spatial Data Missing ⚠",VLOOKUP(J245,'G-3 Multipliers'!$L$3:$N$6,3,FALSE)))</f>
        <v/>
      </c>
      <c r="M245" s="281" t="str">
        <f>IF(OR(D245="",H245=""),"",(INDEX('G-6 Hedgerow Data'!$E$3:$I$15,MATCH(D245,'G-6 Hedgerow Data'!$B$3:$B$15,0),MATCH(H245,'G-6 Hedgerow Data'!$E$2:$I$2,0))))</f>
        <v/>
      </c>
      <c r="N245" s="137"/>
      <c r="O245" s="137"/>
      <c r="P245" s="289" t="str">
        <f t="shared" si="19"/>
        <v/>
      </c>
      <c r="Q245" s="302" t="str">
        <f t="shared" si="20"/>
        <v/>
      </c>
      <c r="R245" s="303" t="str">
        <f t="shared" si="18"/>
        <v/>
      </c>
      <c r="S245" s="317" t="str">
        <f>IF(D245="","",VLOOKUP(D245,'G-6 Hedgerow Data'!$B$3:$AG$15,31,FALSE))</f>
        <v/>
      </c>
      <c r="T245" s="289" t="str">
        <f t="shared" si="21"/>
        <v/>
      </c>
      <c r="U245" s="289" t="str">
        <f t="shared" si="22"/>
        <v/>
      </c>
      <c r="V245" s="305" t="str">
        <f>IF(D245="","",VLOOKUP(S245,'G-3 Multipliers'!$P$3:$Q$6,2,FALSE))</f>
        <v/>
      </c>
      <c r="W245" s="309" t="str">
        <f t="shared" si="23"/>
        <v/>
      </c>
      <c r="X245" s="105"/>
      <c r="Y245" s="119"/>
      <c r="Z245" s="108"/>
      <c r="AG245" s="30" t="str">
        <f>IFERROR(INDEX('G-6 Hedgerow Data'!$BJ$3:$BJ$15,MATCH(D245,'G-6 Hedgerow Data'!$B$3:$B$15,0)),"")</f>
        <v/>
      </c>
    </row>
    <row r="246" spans="2:33" ht="13.8" x14ac:dyDescent="0.25">
      <c r="B246" s="101">
        <v>235</v>
      </c>
      <c r="C246" s="144"/>
      <c r="D246" s="137"/>
      <c r="E246" s="119"/>
      <c r="F246" s="329" t="str">
        <f>IF(D246="","",VLOOKUP(D246,'G-6 Hedgerow Data'!$B$2:$AG$15,2,FALSE))</f>
        <v/>
      </c>
      <c r="G246" s="282" t="str">
        <f>IF(D246="","",VLOOKUP(D246,'G-6 Hedgerow Data'!$B$2:$AG$15,3,FALSE))</f>
        <v/>
      </c>
      <c r="H246" s="105"/>
      <c r="I246" s="282" t="str">
        <f>IFERROR(IF(H246="","",IF(AND(D246="Non-native and ornamental hedgerow", H246&lt;&gt;"Poor"),"Not possible ▲", (VLOOKUP(H246,'G-1 All Habitats'!$Z$2:$AA$9,2,FALSE)))),"")</f>
        <v/>
      </c>
      <c r="J246" s="105"/>
      <c r="K246" s="301" t="str">
        <f>IF(J246="","",IF(VLOOKUP(J246,'G-3 Multipliers'!$L$3:$N$6,2,FALSE)=0,"Spatial Data Missing ⚠",VLOOKUP(J246,'G-3 Multipliers'!$L$3:$N$6,2,FALSE)))</f>
        <v/>
      </c>
      <c r="L246" s="287" t="str">
        <f>IF(J246="","",IF(VLOOKUP(J246,'G-3 Multipliers'!$L$3:$N$6,3,FALSE)=0,"Spatial Data Missing ⚠",VLOOKUP(J246,'G-3 Multipliers'!$L$3:$N$6,3,FALSE)))</f>
        <v/>
      </c>
      <c r="M246" s="281" t="str">
        <f>IF(OR(D246="",H246=""),"",(INDEX('G-6 Hedgerow Data'!$E$3:$I$15,MATCH(D246,'G-6 Hedgerow Data'!$B$3:$B$15,0),MATCH(H246,'G-6 Hedgerow Data'!$E$2:$I$2,0))))</f>
        <v/>
      </c>
      <c r="N246" s="137"/>
      <c r="O246" s="137"/>
      <c r="P246" s="289" t="str">
        <f t="shared" si="19"/>
        <v/>
      </c>
      <c r="Q246" s="302" t="str">
        <f t="shared" si="20"/>
        <v/>
      </c>
      <c r="R246" s="303" t="str">
        <f t="shared" si="18"/>
        <v/>
      </c>
      <c r="S246" s="317" t="str">
        <f>IF(D246="","",VLOOKUP(D246,'G-6 Hedgerow Data'!$B$3:$AG$15,31,FALSE))</f>
        <v/>
      </c>
      <c r="T246" s="289" t="str">
        <f t="shared" si="21"/>
        <v/>
      </c>
      <c r="U246" s="289" t="str">
        <f t="shared" si="22"/>
        <v/>
      </c>
      <c r="V246" s="305" t="str">
        <f>IF(D246="","",VLOOKUP(S246,'G-3 Multipliers'!$P$3:$Q$6,2,FALSE))</f>
        <v/>
      </c>
      <c r="W246" s="309" t="str">
        <f t="shared" si="23"/>
        <v/>
      </c>
      <c r="X246" s="105"/>
      <c r="Y246" s="119"/>
      <c r="Z246" s="108"/>
      <c r="AG246" s="30" t="str">
        <f>IFERROR(INDEX('G-6 Hedgerow Data'!$BJ$3:$BJ$15,MATCH(D246,'G-6 Hedgerow Data'!$B$3:$B$15,0)),"")</f>
        <v/>
      </c>
    </row>
    <row r="247" spans="2:33" ht="13.8" x14ac:dyDescent="0.25">
      <c r="B247" s="101">
        <v>236</v>
      </c>
      <c r="C247" s="144"/>
      <c r="D247" s="137"/>
      <c r="E247" s="119"/>
      <c r="F247" s="329" t="str">
        <f>IF(D247="","",VLOOKUP(D247,'G-6 Hedgerow Data'!$B$2:$AG$15,2,FALSE))</f>
        <v/>
      </c>
      <c r="G247" s="282" t="str">
        <f>IF(D247="","",VLOOKUP(D247,'G-6 Hedgerow Data'!$B$2:$AG$15,3,FALSE))</f>
        <v/>
      </c>
      <c r="H247" s="105"/>
      <c r="I247" s="282" t="str">
        <f>IFERROR(IF(H247="","",IF(AND(D247="Non-native and ornamental hedgerow", H247&lt;&gt;"Poor"),"Not possible ▲", (VLOOKUP(H247,'G-1 All Habitats'!$Z$2:$AA$9,2,FALSE)))),"")</f>
        <v/>
      </c>
      <c r="J247" s="105"/>
      <c r="K247" s="301" t="str">
        <f>IF(J247="","",IF(VLOOKUP(J247,'G-3 Multipliers'!$L$3:$N$6,2,FALSE)=0,"Spatial Data Missing ⚠",VLOOKUP(J247,'G-3 Multipliers'!$L$3:$N$6,2,FALSE)))</f>
        <v/>
      </c>
      <c r="L247" s="287" t="str">
        <f>IF(J247="","",IF(VLOOKUP(J247,'G-3 Multipliers'!$L$3:$N$6,3,FALSE)=0,"Spatial Data Missing ⚠",VLOOKUP(J247,'G-3 Multipliers'!$L$3:$N$6,3,FALSE)))</f>
        <v/>
      </c>
      <c r="M247" s="281" t="str">
        <f>IF(OR(D247="",H247=""),"",(INDEX('G-6 Hedgerow Data'!$E$3:$I$15,MATCH(D247,'G-6 Hedgerow Data'!$B$3:$B$15,0),MATCH(H247,'G-6 Hedgerow Data'!$E$2:$I$2,0))))</f>
        <v/>
      </c>
      <c r="N247" s="137"/>
      <c r="O247" s="137"/>
      <c r="P247" s="289" t="str">
        <f t="shared" si="19"/>
        <v/>
      </c>
      <c r="Q247" s="302" t="str">
        <f t="shared" si="20"/>
        <v/>
      </c>
      <c r="R247" s="303" t="str">
        <f t="shared" si="18"/>
        <v/>
      </c>
      <c r="S247" s="317" t="str">
        <f>IF(D247="","",VLOOKUP(D247,'G-6 Hedgerow Data'!$B$3:$AG$15,31,FALSE))</f>
        <v/>
      </c>
      <c r="T247" s="289" t="str">
        <f t="shared" si="21"/>
        <v/>
      </c>
      <c r="U247" s="289" t="str">
        <f t="shared" si="22"/>
        <v/>
      </c>
      <c r="V247" s="305" t="str">
        <f>IF(D247="","",VLOOKUP(S247,'G-3 Multipliers'!$P$3:$Q$6,2,FALSE))</f>
        <v/>
      </c>
      <c r="W247" s="309" t="str">
        <f t="shared" si="23"/>
        <v/>
      </c>
      <c r="X247" s="105"/>
      <c r="Y247" s="119"/>
      <c r="Z247" s="108"/>
      <c r="AG247" s="30" t="str">
        <f>IFERROR(INDEX('G-6 Hedgerow Data'!$BJ$3:$BJ$15,MATCH(D247,'G-6 Hedgerow Data'!$B$3:$B$15,0)),"")</f>
        <v/>
      </c>
    </row>
    <row r="248" spans="2:33" ht="13.8" x14ac:dyDescent="0.25">
      <c r="B248" s="101">
        <v>237</v>
      </c>
      <c r="C248" s="144"/>
      <c r="D248" s="137"/>
      <c r="E248" s="119"/>
      <c r="F248" s="329" t="str">
        <f>IF(D248="","",VLOOKUP(D248,'G-6 Hedgerow Data'!$B$2:$AG$15,2,FALSE))</f>
        <v/>
      </c>
      <c r="G248" s="282" t="str">
        <f>IF(D248="","",VLOOKUP(D248,'G-6 Hedgerow Data'!$B$2:$AG$15,3,FALSE))</f>
        <v/>
      </c>
      <c r="H248" s="105"/>
      <c r="I248" s="282" t="str">
        <f>IFERROR(IF(H248="","",IF(AND(D248="Non-native and ornamental hedgerow", H248&lt;&gt;"Poor"),"Not possible ▲", (VLOOKUP(H248,'G-1 All Habitats'!$Z$2:$AA$9,2,FALSE)))),"")</f>
        <v/>
      </c>
      <c r="J248" s="105"/>
      <c r="K248" s="301" t="str">
        <f>IF(J248="","",IF(VLOOKUP(J248,'G-3 Multipliers'!$L$3:$N$6,2,FALSE)=0,"Spatial Data Missing ⚠",VLOOKUP(J248,'G-3 Multipliers'!$L$3:$N$6,2,FALSE)))</f>
        <v/>
      </c>
      <c r="L248" s="287" t="str">
        <f>IF(J248="","",IF(VLOOKUP(J248,'G-3 Multipliers'!$L$3:$N$6,3,FALSE)=0,"Spatial Data Missing ⚠",VLOOKUP(J248,'G-3 Multipliers'!$L$3:$N$6,3,FALSE)))</f>
        <v/>
      </c>
      <c r="M248" s="281" t="str">
        <f>IF(OR(D248="",H248=""),"",(INDEX('G-6 Hedgerow Data'!$E$3:$I$15,MATCH(D248,'G-6 Hedgerow Data'!$B$3:$B$15,0),MATCH(H248,'G-6 Hedgerow Data'!$E$2:$I$2,0))))</f>
        <v/>
      </c>
      <c r="N248" s="137"/>
      <c r="O248" s="137"/>
      <c r="P248" s="289" t="str">
        <f t="shared" si="19"/>
        <v/>
      </c>
      <c r="Q248" s="302" t="str">
        <f t="shared" si="20"/>
        <v/>
      </c>
      <c r="R248" s="303" t="str">
        <f t="shared" si="18"/>
        <v/>
      </c>
      <c r="S248" s="317" t="str">
        <f>IF(D248="","",VLOOKUP(D248,'G-6 Hedgerow Data'!$B$3:$AG$15,31,FALSE))</f>
        <v/>
      </c>
      <c r="T248" s="289" t="str">
        <f t="shared" si="21"/>
        <v/>
      </c>
      <c r="U248" s="289" t="str">
        <f t="shared" si="22"/>
        <v/>
      </c>
      <c r="V248" s="305" t="str">
        <f>IF(D248="","",VLOOKUP(S248,'G-3 Multipliers'!$P$3:$Q$6,2,FALSE))</f>
        <v/>
      </c>
      <c r="W248" s="309" t="str">
        <f t="shared" si="23"/>
        <v/>
      </c>
      <c r="X248" s="105"/>
      <c r="Y248" s="119"/>
      <c r="Z248" s="108"/>
      <c r="AG248" s="30" t="str">
        <f>IFERROR(INDEX('G-6 Hedgerow Data'!$BJ$3:$BJ$15,MATCH(D248,'G-6 Hedgerow Data'!$B$3:$B$15,0)),"")</f>
        <v/>
      </c>
    </row>
    <row r="249" spans="2:33" ht="13.8" x14ac:dyDescent="0.25">
      <c r="B249" s="101">
        <v>238</v>
      </c>
      <c r="C249" s="144"/>
      <c r="D249" s="137"/>
      <c r="E249" s="119"/>
      <c r="F249" s="329" t="str">
        <f>IF(D249="","",VLOOKUP(D249,'G-6 Hedgerow Data'!$B$2:$AG$15,2,FALSE))</f>
        <v/>
      </c>
      <c r="G249" s="282" t="str">
        <f>IF(D249="","",VLOOKUP(D249,'G-6 Hedgerow Data'!$B$2:$AG$15,3,FALSE))</f>
        <v/>
      </c>
      <c r="H249" s="105"/>
      <c r="I249" s="282" t="str">
        <f>IFERROR(IF(H249="","",IF(AND(D249="Non-native and ornamental hedgerow", H249&lt;&gt;"Poor"),"Not possible ▲", (VLOOKUP(H249,'G-1 All Habitats'!$Z$2:$AA$9,2,FALSE)))),"")</f>
        <v/>
      </c>
      <c r="J249" s="105"/>
      <c r="K249" s="301" t="str">
        <f>IF(J249="","",IF(VLOOKUP(J249,'G-3 Multipliers'!$L$3:$N$6,2,FALSE)=0,"Spatial Data Missing ⚠",VLOOKUP(J249,'G-3 Multipliers'!$L$3:$N$6,2,FALSE)))</f>
        <v/>
      </c>
      <c r="L249" s="287" t="str">
        <f>IF(J249="","",IF(VLOOKUP(J249,'G-3 Multipliers'!$L$3:$N$6,3,FALSE)=0,"Spatial Data Missing ⚠",VLOOKUP(J249,'G-3 Multipliers'!$L$3:$N$6,3,FALSE)))</f>
        <v/>
      </c>
      <c r="M249" s="281" t="str">
        <f>IF(OR(D249="",H249=""),"",(INDEX('G-6 Hedgerow Data'!$E$3:$I$15,MATCH(D249,'G-6 Hedgerow Data'!$B$3:$B$15,0),MATCH(H249,'G-6 Hedgerow Data'!$E$2:$I$2,0))))</f>
        <v/>
      </c>
      <c r="N249" s="137"/>
      <c r="O249" s="137"/>
      <c r="P249" s="289" t="str">
        <f t="shared" si="19"/>
        <v/>
      </c>
      <c r="Q249" s="302" t="str">
        <f t="shared" si="20"/>
        <v/>
      </c>
      <c r="R249" s="303" t="str">
        <f t="shared" si="18"/>
        <v/>
      </c>
      <c r="S249" s="317" t="str">
        <f>IF(D249="","",VLOOKUP(D249,'G-6 Hedgerow Data'!$B$3:$AG$15,31,FALSE))</f>
        <v/>
      </c>
      <c r="T249" s="289" t="str">
        <f t="shared" si="21"/>
        <v/>
      </c>
      <c r="U249" s="289" t="str">
        <f t="shared" si="22"/>
        <v/>
      </c>
      <c r="V249" s="305" t="str">
        <f>IF(D249="","",VLOOKUP(S249,'G-3 Multipliers'!$P$3:$Q$6,2,FALSE))</f>
        <v/>
      </c>
      <c r="W249" s="309" t="str">
        <f t="shared" si="23"/>
        <v/>
      </c>
      <c r="X249" s="105"/>
      <c r="Y249" s="119"/>
      <c r="Z249" s="108"/>
      <c r="AG249" s="30" t="str">
        <f>IFERROR(INDEX('G-6 Hedgerow Data'!$BJ$3:$BJ$15,MATCH(D249,'G-6 Hedgerow Data'!$B$3:$B$15,0)),"")</f>
        <v/>
      </c>
    </row>
    <row r="250" spans="2:33" ht="13.8" x14ac:dyDescent="0.25">
      <c r="B250" s="101">
        <v>239</v>
      </c>
      <c r="C250" s="144"/>
      <c r="D250" s="137"/>
      <c r="E250" s="119"/>
      <c r="F250" s="329" t="str">
        <f>IF(D250="","",VLOOKUP(D250,'G-6 Hedgerow Data'!$B$2:$AG$15,2,FALSE))</f>
        <v/>
      </c>
      <c r="G250" s="282" t="str">
        <f>IF(D250="","",VLOOKUP(D250,'G-6 Hedgerow Data'!$B$2:$AG$15,3,FALSE))</f>
        <v/>
      </c>
      <c r="H250" s="105"/>
      <c r="I250" s="282" t="str">
        <f>IFERROR(IF(H250="","",IF(AND(D250="Non-native and ornamental hedgerow", H250&lt;&gt;"Poor"),"Not possible ▲", (VLOOKUP(H250,'G-1 All Habitats'!$Z$2:$AA$9,2,FALSE)))),"")</f>
        <v/>
      </c>
      <c r="J250" s="105"/>
      <c r="K250" s="301" t="str">
        <f>IF(J250="","",IF(VLOOKUP(J250,'G-3 Multipliers'!$L$3:$N$6,2,FALSE)=0,"Spatial Data Missing ⚠",VLOOKUP(J250,'G-3 Multipliers'!$L$3:$N$6,2,FALSE)))</f>
        <v/>
      </c>
      <c r="L250" s="287" t="str">
        <f>IF(J250="","",IF(VLOOKUP(J250,'G-3 Multipliers'!$L$3:$N$6,3,FALSE)=0,"Spatial Data Missing ⚠",VLOOKUP(J250,'G-3 Multipliers'!$L$3:$N$6,3,FALSE)))</f>
        <v/>
      </c>
      <c r="M250" s="281" t="str">
        <f>IF(OR(D250="",H250=""),"",(INDEX('G-6 Hedgerow Data'!$E$3:$I$15,MATCH(D250,'G-6 Hedgerow Data'!$B$3:$B$15,0),MATCH(H250,'G-6 Hedgerow Data'!$E$2:$I$2,0))))</f>
        <v/>
      </c>
      <c r="N250" s="137"/>
      <c r="O250" s="137"/>
      <c r="P250" s="289" t="str">
        <f t="shared" si="19"/>
        <v/>
      </c>
      <c r="Q250" s="302" t="str">
        <f t="shared" si="20"/>
        <v/>
      </c>
      <c r="R250" s="303" t="str">
        <f t="shared" si="18"/>
        <v/>
      </c>
      <c r="S250" s="317" t="str">
        <f>IF(D250="","",VLOOKUP(D250,'G-6 Hedgerow Data'!$B$3:$AG$15,31,FALSE))</f>
        <v/>
      </c>
      <c r="T250" s="289" t="str">
        <f t="shared" si="21"/>
        <v/>
      </c>
      <c r="U250" s="289" t="str">
        <f t="shared" si="22"/>
        <v/>
      </c>
      <c r="V250" s="305" t="str">
        <f>IF(D250="","",VLOOKUP(S250,'G-3 Multipliers'!$P$3:$Q$6,2,FALSE))</f>
        <v/>
      </c>
      <c r="W250" s="309" t="str">
        <f t="shared" si="23"/>
        <v/>
      </c>
      <c r="X250" s="105"/>
      <c r="Y250" s="119"/>
      <c r="Z250" s="108"/>
      <c r="AG250" s="30" t="str">
        <f>IFERROR(INDEX('G-6 Hedgerow Data'!$BJ$3:$BJ$15,MATCH(D250,'G-6 Hedgerow Data'!$B$3:$B$15,0)),"")</f>
        <v/>
      </c>
    </row>
    <row r="251" spans="2:33" ht="13.8" x14ac:dyDescent="0.25">
      <c r="B251" s="101">
        <v>240</v>
      </c>
      <c r="C251" s="144"/>
      <c r="D251" s="137"/>
      <c r="E251" s="119"/>
      <c r="F251" s="329" t="str">
        <f>IF(D251="","",VLOOKUP(D251,'G-6 Hedgerow Data'!$B$2:$AG$15,2,FALSE))</f>
        <v/>
      </c>
      <c r="G251" s="282" t="str">
        <f>IF(D251="","",VLOOKUP(D251,'G-6 Hedgerow Data'!$B$2:$AG$15,3,FALSE))</f>
        <v/>
      </c>
      <c r="H251" s="105"/>
      <c r="I251" s="282" t="str">
        <f>IFERROR(IF(H251="","",IF(AND(D251="Non-native and ornamental hedgerow", H251&lt;&gt;"Poor"),"Not possible ▲", (VLOOKUP(H251,'G-1 All Habitats'!$Z$2:$AA$9,2,FALSE)))),"")</f>
        <v/>
      </c>
      <c r="J251" s="105"/>
      <c r="K251" s="301" t="str">
        <f>IF(J251="","",IF(VLOOKUP(J251,'G-3 Multipliers'!$L$3:$N$6,2,FALSE)=0,"Spatial Data Missing ⚠",VLOOKUP(J251,'G-3 Multipliers'!$L$3:$N$6,2,FALSE)))</f>
        <v/>
      </c>
      <c r="L251" s="287" t="str">
        <f>IF(J251="","",IF(VLOOKUP(J251,'G-3 Multipliers'!$L$3:$N$6,3,FALSE)=0,"Spatial Data Missing ⚠",VLOOKUP(J251,'G-3 Multipliers'!$L$3:$N$6,3,FALSE)))</f>
        <v/>
      </c>
      <c r="M251" s="281" t="str">
        <f>IF(OR(D251="",H251=""),"",(INDEX('G-6 Hedgerow Data'!$E$3:$I$15,MATCH(D251,'G-6 Hedgerow Data'!$B$3:$B$15,0),MATCH(H251,'G-6 Hedgerow Data'!$E$2:$I$2,0))))</f>
        <v/>
      </c>
      <c r="N251" s="137"/>
      <c r="O251" s="137"/>
      <c r="P251" s="289" t="str">
        <f t="shared" si="19"/>
        <v/>
      </c>
      <c r="Q251" s="302" t="str">
        <f t="shared" si="20"/>
        <v/>
      </c>
      <c r="R251" s="303" t="str">
        <f t="shared" si="18"/>
        <v/>
      </c>
      <c r="S251" s="317" t="str">
        <f>IF(D251="","",VLOOKUP(D251,'G-6 Hedgerow Data'!$B$3:$AG$15,31,FALSE))</f>
        <v/>
      </c>
      <c r="T251" s="289" t="str">
        <f t="shared" si="21"/>
        <v/>
      </c>
      <c r="U251" s="289" t="str">
        <f t="shared" si="22"/>
        <v/>
      </c>
      <c r="V251" s="305" t="str">
        <f>IF(D251="","",VLOOKUP(S251,'G-3 Multipliers'!$P$3:$Q$6,2,FALSE))</f>
        <v/>
      </c>
      <c r="W251" s="309" t="str">
        <f t="shared" si="23"/>
        <v/>
      </c>
      <c r="X251" s="105"/>
      <c r="Y251" s="119"/>
      <c r="Z251" s="108"/>
      <c r="AG251" s="30" t="str">
        <f>IFERROR(INDEX('G-6 Hedgerow Data'!$BJ$3:$BJ$15,MATCH(D251,'G-6 Hedgerow Data'!$B$3:$B$15,0)),"")</f>
        <v/>
      </c>
    </row>
    <row r="252" spans="2:33" ht="13.8" x14ac:dyDescent="0.25">
      <c r="B252" s="101">
        <v>241</v>
      </c>
      <c r="C252" s="144"/>
      <c r="D252" s="137"/>
      <c r="E252" s="119"/>
      <c r="F252" s="329" t="str">
        <f>IF(D252="","",VLOOKUP(D252,'G-6 Hedgerow Data'!$B$2:$AG$15,2,FALSE))</f>
        <v/>
      </c>
      <c r="G252" s="282" t="str">
        <f>IF(D252="","",VLOOKUP(D252,'G-6 Hedgerow Data'!$B$2:$AG$15,3,FALSE))</f>
        <v/>
      </c>
      <c r="H252" s="105"/>
      <c r="I252" s="282" t="str">
        <f>IFERROR(IF(H252="","",IF(AND(D252="Non-native and ornamental hedgerow", H252&lt;&gt;"Poor"),"Not possible ▲", (VLOOKUP(H252,'G-1 All Habitats'!$Z$2:$AA$9,2,FALSE)))),"")</f>
        <v/>
      </c>
      <c r="J252" s="105"/>
      <c r="K252" s="301" t="str">
        <f>IF(J252="","",IF(VLOOKUP(J252,'G-3 Multipliers'!$L$3:$N$6,2,FALSE)=0,"Spatial Data Missing ⚠",VLOOKUP(J252,'G-3 Multipliers'!$L$3:$N$6,2,FALSE)))</f>
        <v/>
      </c>
      <c r="L252" s="287" t="str">
        <f>IF(J252="","",IF(VLOOKUP(J252,'G-3 Multipliers'!$L$3:$N$6,3,FALSE)=0,"Spatial Data Missing ⚠",VLOOKUP(J252,'G-3 Multipliers'!$L$3:$N$6,3,FALSE)))</f>
        <v/>
      </c>
      <c r="M252" s="281" t="str">
        <f>IF(OR(D252="",H252=""),"",(INDEX('G-6 Hedgerow Data'!$E$3:$I$15,MATCH(D252,'G-6 Hedgerow Data'!$B$3:$B$15,0),MATCH(H252,'G-6 Hedgerow Data'!$E$2:$I$2,0))))</f>
        <v/>
      </c>
      <c r="N252" s="137"/>
      <c r="O252" s="137"/>
      <c r="P252" s="289" t="str">
        <f t="shared" si="19"/>
        <v/>
      </c>
      <c r="Q252" s="302" t="str">
        <f t="shared" si="20"/>
        <v/>
      </c>
      <c r="R252" s="303" t="str">
        <f t="shared" si="18"/>
        <v/>
      </c>
      <c r="S252" s="317" t="str">
        <f>IF(D252="","",VLOOKUP(D252,'G-6 Hedgerow Data'!$B$3:$AG$15,31,FALSE))</f>
        <v/>
      </c>
      <c r="T252" s="289" t="str">
        <f t="shared" si="21"/>
        <v/>
      </c>
      <c r="U252" s="289" t="str">
        <f t="shared" si="22"/>
        <v/>
      </c>
      <c r="V252" s="305" t="str">
        <f>IF(D252="","",VLOOKUP(S252,'G-3 Multipliers'!$P$3:$Q$6,2,FALSE))</f>
        <v/>
      </c>
      <c r="W252" s="309" t="str">
        <f t="shared" si="23"/>
        <v/>
      </c>
      <c r="X252" s="105"/>
      <c r="Y252" s="119"/>
      <c r="Z252" s="108"/>
      <c r="AG252" s="30" t="str">
        <f>IFERROR(INDEX('G-6 Hedgerow Data'!$BJ$3:$BJ$15,MATCH(D252,'G-6 Hedgerow Data'!$B$3:$B$15,0)),"")</f>
        <v/>
      </c>
    </row>
    <row r="253" spans="2:33" ht="13.8" x14ac:dyDescent="0.25">
      <c r="B253" s="101">
        <v>242</v>
      </c>
      <c r="C253" s="144"/>
      <c r="D253" s="137"/>
      <c r="E253" s="119"/>
      <c r="F253" s="329" t="str">
        <f>IF(D253="","",VLOOKUP(D253,'G-6 Hedgerow Data'!$B$2:$AG$15,2,FALSE))</f>
        <v/>
      </c>
      <c r="G253" s="282" t="str">
        <f>IF(D253="","",VLOOKUP(D253,'G-6 Hedgerow Data'!$B$2:$AG$15,3,FALSE))</f>
        <v/>
      </c>
      <c r="H253" s="105"/>
      <c r="I253" s="282" t="str">
        <f>IFERROR(IF(H253="","",IF(AND(D253="Non-native and ornamental hedgerow", H253&lt;&gt;"Poor"),"Not possible ▲", (VLOOKUP(H253,'G-1 All Habitats'!$Z$2:$AA$9,2,FALSE)))),"")</f>
        <v/>
      </c>
      <c r="J253" s="105"/>
      <c r="K253" s="301" t="str">
        <f>IF(J253="","",IF(VLOOKUP(J253,'G-3 Multipliers'!$L$3:$N$6,2,FALSE)=0,"Spatial Data Missing ⚠",VLOOKUP(J253,'G-3 Multipliers'!$L$3:$N$6,2,FALSE)))</f>
        <v/>
      </c>
      <c r="L253" s="287" t="str">
        <f>IF(J253="","",IF(VLOOKUP(J253,'G-3 Multipliers'!$L$3:$N$6,3,FALSE)=0,"Spatial Data Missing ⚠",VLOOKUP(J253,'G-3 Multipliers'!$L$3:$N$6,3,FALSE)))</f>
        <v/>
      </c>
      <c r="M253" s="281" t="str">
        <f>IF(OR(D253="",H253=""),"",(INDEX('G-6 Hedgerow Data'!$E$3:$I$15,MATCH(D253,'G-6 Hedgerow Data'!$B$3:$B$15,0),MATCH(H253,'G-6 Hedgerow Data'!$E$2:$I$2,0))))</f>
        <v/>
      </c>
      <c r="N253" s="137"/>
      <c r="O253" s="137"/>
      <c r="P253" s="289" t="str">
        <f t="shared" si="19"/>
        <v/>
      </c>
      <c r="Q253" s="302" t="str">
        <f t="shared" si="20"/>
        <v/>
      </c>
      <c r="R253" s="303" t="str">
        <f t="shared" si="18"/>
        <v/>
      </c>
      <c r="S253" s="317" t="str">
        <f>IF(D253="","",VLOOKUP(D253,'G-6 Hedgerow Data'!$B$3:$AG$15,31,FALSE))</f>
        <v/>
      </c>
      <c r="T253" s="289" t="str">
        <f t="shared" si="21"/>
        <v/>
      </c>
      <c r="U253" s="289" t="str">
        <f t="shared" si="22"/>
        <v/>
      </c>
      <c r="V253" s="305" t="str">
        <f>IF(D253="","",VLOOKUP(S253,'G-3 Multipliers'!$P$3:$Q$6,2,FALSE))</f>
        <v/>
      </c>
      <c r="W253" s="309" t="str">
        <f t="shared" si="23"/>
        <v/>
      </c>
      <c r="X253" s="105"/>
      <c r="Y253" s="119"/>
      <c r="Z253" s="108"/>
      <c r="AG253" s="30" t="str">
        <f>IFERROR(INDEX('G-6 Hedgerow Data'!$BJ$3:$BJ$15,MATCH(D253,'G-6 Hedgerow Data'!$B$3:$B$15,0)),"")</f>
        <v/>
      </c>
    </row>
    <row r="254" spans="2:33" ht="13.8" x14ac:dyDescent="0.25">
      <c r="B254" s="101">
        <v>243</v>
      </c>
      <c r="C254" s="144"/>
      <c r="D254" s="137"/>
      <c r="E254" s="119"/>
      <c r="F254" s="329" t="str">
        <f>IF(D254="","",VLOOKUP(D254,'G-6 Hedgerow Data'!$B$2:$AG$15,2,FALSE))</f>
        <v/>
      </c>
      <c r="G254" s="282" t="str">
        <f>IF(D254="","",VLOOKUP(D254,'G-6 Hedgerow Data'!$B$2:$AG$15,3,FALSE))</f>
        <v/>
      </c>
      <c r="H254" s="105"/>
      <c r="I254" s="282" t="str">
        <f>IFERROR(IF(H254="","",IF(AND(D254="Non-native and ornamental hedgerow", H254&lt;&gt;"Poor"),"Not possible ▲", (VLOOKUP(H254,'G-1 All Habitats'!$Z$2:$AA$9,2,FALSE)))),"")</f>
        <v/>
      </c>
      <c r="J254" s="105"/>
      <c r="K254" s="301" t="str">
        <f>IF(J254="","",IF(VLOOKUP(J254,'G-3 Multipliers'!$L$3:$N$6,2,FALSE)=0,"Spatial Data Missing ⚠",VLOOKUP(J254,'G-3 Multipliers'!$L$3:$N$6,2,FALSE)))</f>
        <v/>
      </c>
      <c r="L254" s="287" t="str">
        <f>IF(J254="","",IF(VLOOKUP(J254,'G-3 Multipliers'!$L$3:$N$6,3,FALSE)=0,"Spatial Data Missing ⚠",VLOOKUP(J254,'G-3 Multipliers'!$L$3:$N$6,3,FALSE)))</f>
        <v/>
      </c>
      <c r="M254" s="281" t="str">
        <f>IF(OR(D254="",H254=""),"",(INDEX('G-6 Hedgerow Data'!$E$3:$I$15,MATCH(D254,'G-6 Hedgerow Data'!$B$3:$B$15,0),MATCH(H254,'G-6 Hedgerow Data'!$E$2:$I$2,0))))</f>
        <v/>
      </c>
      <c r="N254" s="137"/>
      <c r="O254" s="137"/>
      <c r="P254" s="289" t="str">
        <f t="shared" si="19"/>
        <v/>
      </c>
      <c r="Q254" s="302" t="str">
        <f t="shared" si="20"/>
        <v/>
      </c>
      <c r="R254" s="303" t="str">
        <f t="shared" si="18"/>
        <v/>
      </c>
      <c r="S254" s="317" t="str">
        <f>IF(D254="","",VLOOKUP(D254,'G-6 Hedgerow Data'!$B$3:$AG$15,31,FALSE))</f>
        <v/>
      </c>
      <c r="T254" s="289" t="str">
        <f t="shared" si="21"/>
        <v/>
      </c>
      <c r="U254" s="289" t="str">
        <f t="shared" si="22"/>
        <v/>
      </c>
      <c r="V254" s="305" t="str">
        <f>IF(D254="","",VLOOKUP(S254,'G-3 Multipliers'!$P$3:$Q$6,2,FALSE))</f>
        <v/>
      </c>
      <c r="W254" s="309" t="str">
        <f t="shared" si="23"/>
        <v/>
      </c>
      <c r="X254" s="105"/>
      <c r="Y254" s="119"/>
      <c r="Z254" s="108"/>
      <c r="AG254" s="30" t="str">
        <f>IFERROR(INDEX('G-6 Hedgerow Data'!$BJ$3:$BJ$15,MATCH(D254,'G-6 Hedgerow Data'!$B$3:$B$15,0)),"")</f>
        <v/>
      </c>
    </row>
    <row r="255" spans="2:33" ht="13.8" x14ac:dyDescent="0.25">
      <c r="B255" s="101">
        <v>244</v>
      </c>
      <c r="C255" s="144"/>
      <c r="D255" s="137"/>
      <c r="E255" s="119"/>
      <c r="F255" s="329" t="str">
        <f>IF(D255="","",VLOOKUP(D255,'G-6 Hedgerow Data'!$B$2:$AG$15,2,FALSE))</f>
        <v/>
      </c>
      <c r="G255" s="282" t="str">
        <f>IF(D255="","",VLOOKUP(D255,'G-6 Hedgerow Data'!$B$2:$AG$15,3,FALSE))</f>
        <v/>
      </c>
      <c r="H255" s="105"/>
      <c r="I255" s="282" t="str">
        <f>IFERROR(IF(H255="","",IF(AND(D255="Non-native and ornamental hedgerow", H255&lt;&gt;"Poor"),"Not possible ▲", (VLOOKUP(H255,'G-1 All Habitats'!$Z$2:$AA$9,2,FALSE)))),"")</f>
        <v/>
      </c>
      <c r="J255" s="105"/>
      <c r="K255" s="301" t="str">
        <f>IF(J255="","",IF(VLOOKUP(J255,'G-3 Multipliers'!$L$3:$N$6,2,FALSE)=0,"Spatial Data Missing ⚠",VLOOKUP(J255,'G-3 Multipliers'!$L$3:$N$6,2,FALSE)))</f>
        <v/>
      </c>
      <c r="L255" s="287" t="str">
        <f>IF(J255="","",IF(VLOOKUP(J255,'G-3 Multipliers'!$L$3:$N$6,3,FALSE)=0,"Spatial Data Missing ⚠",VLOOKUP(J255,'G-3 Multipliers'!$L$3:$N$6,3,FALSE)))</f>
        <v/>
      </c>
      <c r="M255" s="281" t="str">
        <f>IF(OR(D255="",H255=""),"",(INDEX('G-6 Hedgerow Data'!$E$3:$I$15,MATCH(D255,'G-6 Hedgerow Data'!$B$3:$B$15,0),MATCH(H255,'G-6 Hedgerow Data'!$E$2:$I$2,0))))</f>
        <v/>
      </c>
      <c r="N255" s="137"/>
      <c r="O255" s="137"/>
      <c r="P255" s="289" t="str">
        <f t="shared" si="19"/>
        <v/>
      </c>
      <c r="Q255" s="302" t="str">
        <f t="shared" si="20"/>
        <v/>
      </c>
      <c r="R255" s="303" t="str">
        <f t="shared" si="18"/>
        <v/>
      </c>
      <c r="S255" s="317" t="str">
        <f>IF(D255="","",VLOOKUP(D255,'G-6 Hedgerow Data'!$B$3:$AG$15,31,FALSE))</f>
        <v/>
      </c>
      <c r="T255" s="289" t="str">
        <f t="shared" si="21"/>
        <v/>
      </c>
      <c r="U255" s="289" t="str">
        <f t="shared" si="22"/>
        <v/>
      </c>
      <c r="V255" s="305" t="str">
        <f>IF(D255="","",VLOOKUP(S255,'G-3 Multipliers'!$P$3:$Q$6,2,FALSE))</f>
        <v/>
      </c>
      <c r="W255" s="309" t="str">
        <f t="shared" si="23"/>
        <v/>
      </c>
      <c r="X255" s="105"/>
      <c r="Y255" s="119"/>
      <c r="Z255" s="108"/>
      <c r="AG255" s="30" t="str">
        <f>IFERROR(INDEX('G-6 Hedgerow Data'!$BJ$3:$BJ$15,MATCH(D255,'G-6 Hedgerow Data'!$B$3:$B$15,0)),"")</f>
        <v/>
      </c>
    </row>
    <row r="256" spans="2:33" ht="13.8" x14ac:dyDescent="0.25">
      <c r="B256" s="101">
        <v>245</v>
      </c>
      <c r="C256" s="144"/>
      <c r="D256" s="137"/>
      <c r="E256" s="119"/>
      <c r="F256" s="329" t="str">
        <f>IF(D256="","",VLOOKUP(D256,'G-6 Hedgerow Data'!$B$2:$AG$15,2,FALSE))</f>
        <v/>
      </c>
      <c r="G256" s="282" t="str">
        <f>IF(D256="","",VLOOKUP(D256,'G-6 Hedgerow Data'!$B$2:$AG$15,3,FALSE))</f>
        <v/>
      </c>
      <c r="H256" s="105"/>
      <c r="I256" s="282" t="str">
        <f>IFERROR(IF(H256="","",IF(AND(D256="Non-native and ornamental hedgerow", H256&lt;&gt;"Poor"),"Not possible ▲", (VLOOKUP(H256,'G-1 All Habitats'!$Z$2:$AA$9,2,FALSE)))),"")</f>
        <v/>
      </c>
      <c r="J256" s="105"/>
      <c r="K256" s="301" t="str">
        <f>IF(J256="","",IF(VLOOKUP(J256,'G-3 Multipliers'!$L$3:$N$6,2,FALSE)=0,"Spatial Data Missing ⚠",VLOOKUP(J256,'G-3 Multipliers'!$L$3:$N$6,2,FALSE)))</f>
        <v/>
      </c>
      <c r="L256" s="287" t="str">
        <f>IF(J256="","",IF(VLOOKUP(J256,'G-3 Multipliers'!$L$3:$N$6,3,FALSE)=0,"Spatial Data Missing ⚠",VLOOKUP(J256,'G-3 Multipliers'!$L$3:$N$6,3,FALSE)))</f>
        <v/>
      </c>
      <c r="M256" s="281" t="str">
        <f>IF(OR(D256="",H256=""),"",(INDEX('G-6 Hedgerow Data'!$E$3:$I$15,MATCH(D256,'G-6 Hedgerow Data'!$B$3:$B$15,0),MATCH(H256,'G-6 Hedgerow Data'!$E$2:$I$2,0))))</f>
        <v/>
      </c>
      <c r="N256" s="137"/>
      <c r="O256" s="137"/>
      <c r="P256" s="289" t="str">
        <f t="shared" si="19"/>
        <v/>
      </c>
      <c r="Q256" s="302" t="str">
        <f t="shared" si="20"/>
        <v/>
      </c>
      <c r="R256" s="303" t="str">
        <f t="shared" si="18"/>
        <v/>
      </c>
      <c r="S256" s="317" t="str">
        <f>IF(D256="","",VLOOKUP(D256,'G-6 Hedgerow Data'!$B$3:$AG$15,31,FALSE))</f>
        <v/>
      </c>
      <c r="T256" s="289" t="str">
        <f t="shared" si="21"/>
        <v/>
      </c>
      <c r="U256" s="289" t="str">
        <f t="shared" si="22"/>
        <v/>
      </c>
      <c r="V256" s="305" t="str">
        <f>IF(D256="","",VLOOKUP(S256,'G-3 Multipliers'!$P$3:$Q$6,2,FALSE))</f>
        <v/>
      </c>
      <c r="W256" s="309" t="str">
        <f t="shared" si="23"/>
        <v/>
      </c>
      <c r="X256" s="105"/>
      <c r="Y256" s="119"/>
      <c r="Z256" s="108"/>
      <c r="AG256" s="30" t="str">
        <f>IFERROR(INDEX('G-6 Hedgerow Data'!$BJ$3:$BJ$15,MATCH(D256,'G-6 Hedgerow Data'!$B$3:$B$15,0)),"")</f>
        <v/>
      </c>
    </row>
    <row r="257" spans="2:33" ht="13.8" x14ac:dyDescent="0.25">
      <c r="B257" s="101">
        <v>246</v>
      </c>
      <c r="C257" s="144"/>
      <c r="D257" s="137"/>
      <c r="E257" s="119"/>
      <c r="F257" s="329" t="str">
        <f>IF(D257="","",VLOOKUP(D257,'G-6 Hedgerow Data'!$B$2:$AG$15,2,FALSE))</f>
        <v/>
      </c>
      <c r="G257" s="282" t="str">
        <f>IF(D257="","",VLOOKUP(D257,'G-6 Hedgerow Data'!$B$2:$AG$15,3,FALSE))</f>
        <v/>
      </c>
      <c r="H257" s="105"/>
      <c r="I257" s="282" t="str">
        <f>IFERROR(IF(H257="","",IF(AND(D257="Non-native and ornamental hedgerow", H257&lt;&gt;"Poor"),"Not possible ▲", (VLOOKUP(H257,'G-1 All Habitats'!$Z$2:$AA$9,2,FALSE)))),"")</f>
        <v/>
      </c>
      <c r="J257" s="105"/>
      <c r="K257" s="301" t="str">
        <f>IF(J257="","",IF(VLOOKUP(J257,'G-3 Multipliers'!$L$3:$N$6,2,FALSE)=0,"Spatial Data Missing ⚠",VLOOKUP(J257,'G-3 Multipliers'!$L$3:$N$6,2,FALSE)))</f>
        <v/>
      </c>
      <c r="L257" s="287" t="str">
        <f>IF(J257="","",IF(VLOOKUP(J257,'G-3 Multipliers'!$L$3:$N$6,3,FALSE)=0,"Spatial Data Missing ⚠",VLOOKUP(J257,'G-3 Multipliers'!$L$3:$N$6,3,FALSE)))</f>
        <v/>
      </c>
      <c r="M257" s="281" t="str">
        <f>IF(OR(D257="",H257=""),"",(INDEX('G-6 Hedgerow Data'!$E$3:$I$15,MATCH(D257,'G-6 Hedgerow Data'!$B$3:$B$15,0),MATCH(H257,'G-6 Hedgerow Data'!$E$2:$I$2,0))))</f>
        <v/>
      </c>
      <c r="N257" s="137"/>
      <c r="O257" s="137"/>
      <c r="P257" s="289" t="str">
        <f t="shared" si="19"/>
        <v/>
      </c>
      <c r="Q257" s="302" t="str">
        <f t="shared" si="20"/>
        <v/>
      </c>
      <c r="R257" s="303" t="str">
        <f t="shared" si="18"/>
        <v/>
      </c>
      <c r="S257" s="317" t="str">
        <f>IF(D257="","",VLOOKUP(D257,'G-6 Hedgerow Data'!$B$3:$AG$15,31,FALSE))</f>
        <v/>
      </c>
      <c r="T257" s="289" t="str">
        <f t="shared" si="21"/>
        <v/>
      </c>
      <c r="U257" s="289" t="str">
        <f t="shared" si="22"/>
        <v/>
      </c>
      <c r="V257" s="305" t="str">
        <f>IF(D257="","",VLOOKUP(S257,'G-3 Multipliers'!$P$3:$Q$6,2,FALSE))</f>
        <v/>
      </c>
      <c r="W257" s="309" t="str">
        <f t="shared" si="23"/>
        <v/>
      </c>
      <c r="X257" s="105"/>
      <c r="Y257" s="119"/>
      <c r="Z257" s="108"/>
      <c r="AG257" s="30" t="str">
        <f>IFERROR(INDEX('G-6 Hedgerow Data'!$BJ$3:$BJ$15,MATCH(D257,'G-6 Hedgerow Data'!$B$3:$B$15,0)),"")</f>
        <v/>
      </c>
    </row>
    <row r="258" spans="2:33" ht="13.8" x14ac:dyDescent="0.25">
      <c r="B258" s="101">
        <v>247</v>
      </c>
      <c r="C258" s="144"/>
      <c r="D258" s="137"/>
      <c r="E258" s="119"/>
      <c r="F258" s="329" t="str">
        <f>IF(D258="","",VLOOKUP(D258,'G-6 Hedgerow Data'!$B$2:$AG$15,2,FALSE))</f>
        <v/>
      </c>
      <c r="G258" s="282" t="str">
        <f>IF(D258="","",VLOOKUP(D258,'G-6 Hedgerow Data'!$B$2:$AG$15,3,FALSE))</f>
        <v/>
      </c>
      <c r="H258" s="105"/>
      <c r="I258" s="282" t="str">
        <f>IFERROR(IF(H258="","",IF(AND(D258="Non-native and ornamental hedgerow", H258&lt;&gt;"Poor"),"Not possible ▲", (VLOOKUP(H258,'G-1 All Habitats'!$Z$2:$AA$9,2,FALSE)))),"")</f>
        <v/>
      </c>
      <c r="J258" s="105"/>
      <c r="K258" s="301" t="str">
        <f>IF(J258="","",IF(VLOOKUP(J258,'G-3 Multipliers'!$L$3:$N$6,2,FALSE)=0,"Spatial Data Missing ⚠",VLOOKUP(J258,'G-3 Multipliers'!$L$3:$N$6,2,FALSE)))</f>
        <v/>
      </c>
      <c r="L258" s="287" t="str">
        <f>IF(J258="","",IF(VLOOKUP(J258,'G-3 Multipliers'!$L$3:$N$6,3,FALSE)=0,"Spatial Data Missing ⚠",VLOOKUP(J258,'G-3 Multipliers'!$L$3:$N$6,3,FALSE)))</f>
        <v/>
      </c>
      <c r="M258" s="281" t="str">
        <f>IF(OR(D258="",H258=""),"",(INDEX('G-6 Hedgerow Data'!$E$3:$I$15,MATCH(D258,'G-6 Hedgerow Data'!$B$3:$B$15,0),MATCH(H258,'G-6 Hedgerow Data'!$E$2:$I$2,0))))</f>
        <v/>
      </c>
      <c r="N258" s="137"/>
      <c r="O258" s="137"/>
      <c r="P258" s="289" t="str">
        <f t="shared" si="19"/>
        <v/>
      </c>
      <c r="Q258" s="302" t="str">
        <f t="shared" si="20"/>
        <v/>
      </c>
      <c r="R258" s="303" t="str">
        <f t="shared" si="18"/>
        <v/>
      </c>
      <c r="S258" s="317" t="str">
        <f>IF(D258="","",VLOOKUP(D258,'G-6 Hedgerow Data'!$B$3:$AG$15,31,FALSE))</f>
        <v/>
      </c>
      <c r="T258" s="289" t="str">
        <f t="shared" si="21"/>
        <v/>
      </c>
      <c r="U258" s="289" t="str">
        <f t="shared" si="22"/>
        <v/>
      </c>
      <c r="V258" s="305" t="str">
        <f>IF(D258="","",VLOOKUP(S258,'G-3 Multipliers'!$P$3:$Q$6,2,FALSE))</f>
        <v/>
      </c>
      <c r="W258" s="309" t="str">
        <f t="shared" si="23"/>
        <v/>
      </c>
      <c r="X258" s="105"/>
      <c r="Y258" s="119"/>
      <c r="Z258" s="108"/>
      <c r="AG258" s="30" t="str">
        <f>IFERROR(INDEX('G-6 Hedgerow Data'!$BJ$3:$BJ$15,MATCH(D258,'G-6 Hedgerow Data'!$B$3:$B$15,0)),"")</f>
        <v/>
      </c>
    </row>
    <row r="259" spans="2:33" ht="14.4" thickBot="1" x14ac:dyDescent="0.3">
      <c r="B259" s="113">
        <v>248</v>
      </c>
      <c r="C259" s="207"/>
      <c r="D259" s="145"/>
      <c r="E259" s="114"/>
      <c r="F259" s="308" t="str">
        <f>IF(D259="","",VLOOKUP(D259,'G-6 Hedgerow Data'!$B$2:$AG$15,2,FALSE))</f>
        <v/>
      </c>
      <c r="G259" s="282" t="str">
        <f>IF(D259="","",VLOOKUP(D259,'G-6 Hedgerow Data'!$B$2:$AG$15,3,FALSE))</f>
        <v/>
      </c>
      <c r="H259" s="115"/>
      <c r="I259" s="282" t="str">
        <f>IFERROR(IF(H259="","",IF(AND(D259="Non-native and ornamental hedgerow", H259&lt;&gt;"Poor"),"Not possible ▲", (VLOOKUP(H259,'G-1 All Habitats'!$Z$2:$AA$9,2,FALSE)))),"")</f>
        <v/>
      </c>
      <c r="J259" s="115"/>
      <c r="K259" s="290" t="str">
        <f>IF(J259="","",IF(VLOOKUP(J259,'G-3 Multipliers'!$L$3:$N$6,2,FALSE)=0,"Spatial Data Missing ⚠",VLOOKUP(J259,'G-3 Multipliers'!$L$3:$N$6,2,FALSE)))</f>
        <v/>
      </c>
      <c r="L259" s="291" t="str">
        <f>IF(J259="","",IF(VLOOKUP(J259,'G-3 Multipliers'!$L$3:$N$6,3,FALSE)=0,"Spatial Data Missing ⚠",VLOOKUP(J259,'G-3 Multipliers'!$L$3:$N$6,3,FALSE)))</f>
        <v/>
      </c>
      <c r="M259" s="283" t="str">
        <f>IF(OR(D259="",H259=""),"",(INDEX('G-6 Hedgerow Data'!$E$3:$I$15,MATCH(D259,'G-6 Hedgerow Data'!$B$3:$B$15,0),MATCH(H259,'G-6 Hedgerow Data'!$E$2:$I$2,0))))</f>
        <v/>
      </c>
      <c r="N259" s="137"/>
      <c r="O259" s="145"/>
      <c r="P259" s="289" t="str">
        <f t="shared" si="19"/>
        <v/>
      </c>
      <c r="Q259" s="302" t="str">
        <f t="shared" si="20"/>
        <v/>
      </c>
      <c r="R259" s="303" t="str">
        <f t="shared" si="18"/>
        <v/>
      </c>
      <c r="S259" s="283" t="str">
        <f>IF(D259="","",VLOOKUP(D259,'G-6 Hedgerow Data'!$B$3:$AG$15,31,FALSE))</f>
        <v/>
      </c>
      <c r="T259" s="289" t="str">
        <f t="shared" si="21"/>
        <v/>
      </c>
      <c r="U259" s="289" t="str">
        <f t="shared" si="22"/>
        <v/>
      </c>
      <c r="V259" s="284" t="str">
        <f>IF(D259="","",VLOOKUP(S259,'G-3 Multipliers'!$P$3:$Q$6,2,FALSE))</f>
        <v/>
      </c>
      <c r="W259" s="309" t="str">
        <f t="shared" si="23"/>
        <v/>
      </c>
      <c r="X259" s="115"/>
      <c r="Y259" s="114"/>
      <c r="Z259" s="114"/>
      <c r="AG259" s="30" t="str">
        <f>IFERROR(INDEX('G-6 Hedgerow Data'!$BJ$3:$BJ$15,MATCH(D259,'G-6 Hedgerow Data'!$B$3:$B$15,0)),"")</f>
        <v/>
      </c>
    </row>
    <row r="260" spans="2:33" ht="15.75" customHeight="1" thickBot="1" x14ac:dyDescent="0.3">
      <c r="B260" s="34"/>
      <c r="C260" s="34"/>
      <c r="D260" s="182"/>
      <c r="E260" s="285">
        <f>SUM(E12:E259)</f>
        <v>3.6999999999999998E-2</v>
      </c>
      <c r="F260" s="34"/>
      <c r="G260" s="34"/>
      <c r="H260" s="34"/>
      <c r="I260" s="34"/>
      <c r="J260" s="34"/>
      <c r="K260" s="34"/>
      <c r="L260" s="34"/>
      <c r="M260" s="34"/>
      <c r="N260" s="34"/>
      <c r="O260" s="34"/>
      <c r="P260" s="34"/>
      <c r="Q260" s="34"/>
      <c r="R260" s="34"/>
      <c r="S260" s="34"/>
      <c r="T260" s="34"/>
      <c r="U260" s="1755"/>
      <c r="V260" s="1756"/>
      <c r="W260" s="285">
        <f>SUM(W12:W259)</f>
        <v>4.1060749999999993E-2</v>
      </c>
      <c r="X260" s="34"/>
      <c r="Y260" s="34"/>
    </row>
    <row r="261" spans="2:33" ht="29.1" customHeight="1" x14ac:dyDescent="0.25">
      <c r="E261" s="1757"/>
      <c r="F261" s="1757"/>
      <c r="G261" s="1757"/>
      <c r="H261" s="1757"/>
      <c r="I261" s="1757"/>
      <c r="J261" s="1757"/>
    </row>
    <row r="262" spans="2:33" ht="27" customHeight="1" x14ac:dyDescent="0.25"/>
    <row r="263" spans="2:33" ht="13.8" x14ac:dyDescent="0.25"/>
    <row r="264" spans="2:33" ht="13.8" x14ac:dyDescent="0.25"/>
    <row r="265" spans="2:33" ht="13.8" x14ac:dyDescent="0.25"/>
    <row r="266" spans="2:33" ht="13.8" x14ac:dyDescent="0.25"/>
    <row r="267" spans="2:33" ht="13.8" hidden="1" x14ac:dyDescent="0.25"/>
  </sheetData>
  <sheetProtection algorithmName="SHA-512" hashValue="Eo/lRuVaEOaLG0RPx9XRJQQMntSKzAuIbeXkzFhBVyq/ZLfIujDrb6QuTUCPa8UVag3zFVfblXvD9kktzEJQrA==" saltValue="J2V6/c+TFpe/6rDIX3D6w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X10:Z10"/>
    <mergeCell ref="U260:V260"/>
    <mergeCell ref="M3:R5"/>
    <mergeCell ref="I3:J3"/>
    <mergeCell ref="W10:W11"/>
    <mergeCell ref="S10:V10"/>
    <mergeCell ref="M10:R10"/>
  </mergeCells>
  <conditionalFormatting sqref="W12:W259">
    <cfRule type="containsText" dxfId="643" priority="30" operator="containsText" text="Existing Value Not Required">
      <formula>NOT(ISERROR(SEARCH("Existing Value Not Required",W12)))</formula>
    </cfRule>
    <cfRule type="containsText" dxfId="642" priority="31" operator="containsText" text="Existing Value Required">
      <formula>NOT(ISERROR(SEARCH("Existing Value Required",W12)))</formula>
    </cfRule>
  </conditionalFormatting>
  <conditionalFormatting sqref="K12:K259">
    <cfRule type="containsText" dxfId="641" priority="29" operator="containsText" text="Spatial">
      <formula>NOT(ISERROR(SEARCH("Spatial",K12)))</formula>
    </cfRule>
  </conditionalFormatting>
  <conditionalFormatting sqref="L12:L259">
    <cfRule type="containsText" dxfId="640" priority="28" operator="containsText" text="Spatial">
      <formula>NOT(ISERROR(SEARCH("Spatial",L12)))</formula>
    </cfRule>
  </conditionalFormatting>
  <conditionalFormatting sqref="M6:Q7 M3">
    <cfRule type="containsText" dxfId="639" priority="27" operator="containsText" text="Note">
      <formula>NOT(ISERROR(SEARCH("Note",M3)))</formula>
    </cfRule>
  </conditionalFormatting>
  <conditionalFormatting sqref="P12:P259">
    <cfRule type="containsText" dxfId="638" priority="25" operator="containsText" text="Check">
      <formula>NOT(ISERROR(SEARCH("Check",P12)))</formula>
    </cfRule>
    <cfRule type="containsText" dxfId="637" priority="26" operator="containsText" text="Error">
      <formula>NOT(ISERROR(SEARCH("Error",P12)))</formula>
    </cfRule>
  </conditionalFormatting>
  <conditionalFormatting sqref="Q12:Q259">
    <cfRule type="containsText" dxfId="636" priority="24" operator="containsText" text="Check">
      <formula>NOT(ISERROR(SEARCH("Check",Q12)))</formula>
    </cfRule>
  </conditionalFormatting>
  <conditionalFormatting sqref="R12:R259">
    <cfRule type="containsText" dxfId="635" priority="23" operator="containsText" text="Check">
      <formula>NOT(ISERROR(SEARCH("Check",R12)))</formula>
    </cfRule>
  </conditionalFormatting>
  <conditionalFormatting sqref="T12:T259">
    <cfRule type="containsText" dxfId="634" priority="21" operator="containsText" text="No - Low Difficulty">
      <formula>NOT(ISERROR(SEARCH("No - Low Difficulty",T12)))</formula>
    </cfRule>
    <cfRule type="containsText" dxfId="633" priority="22" operator="containsText" text="Check">
      <formula>NOT(ISERROR(SEARCH("Check",T12)))</formula>
    </cfRule>
  </conditionalFormatting>
  <conditionalFormatting sqref="E261:J261">
    <cfRule type="containsText" dxfId="632" priority="20" operator="containsText" text="Check">
      <formula>NOT(ISERROR(SEARCH("Check",E261)))</formula>
    </cfRule>
  </conditionalFormatting>
  <conditionalFormatting sqref="Q12:Q259">
    <cfRule type="containsText" dxfId="631" priority="19" operator="containsText" text="30+">
      <formula>NOT(ISERROR(SEARCH("30+",Q12)))</formula>
    </cfRule>
  </conditionalFormatting>
  <conditionalFormatting sqref="I3">
    <cfRule type="containsText" dxfId="630" priority="17" operator="containsText" text="Error">
      <formula>NOT(ISERROR(SEARCH("Error",I3)))</formula>
    </cfRule>
    <cfRule type="containsText" dxfId="629" priority="18" operator="containsText" text="Check">
      <formula>NOT(ISERROR(SEARCH("Check",I3)))</formula>
    </cfRule>
  </conditionalFormatting>
  <conditionalFormatting sqref="I4">
    <cfRule type="containsText" dxfId="628" priority="4" operator="containsText" text="Error">
      <formula>NOT(ISERROR(SEARCH("Error",I4)))</formula>
    </cfRule>
    <cfRule type="containsText" dxfId="627" priority="9" operator="containsText" text="Check">
      <formula>NOT(ISERROR(SEARCH("Check",I4)))</formula>
    </cfRule>
  </conditionalFormatting>
  <conditionalFormatting sqref="I5">
    <cfRule type="containsText" dxfId="626" priority="11" operator="containsText" text="No">
      <formula>NOT(ISERROR(SEARCH("No",I5)))</formula>
    </cfRule>
    <cfRule type="containsText" dxfId="625" priority="12" operator="containsText" text="Yes">
      <formula>NOT(ISERROR(SEARCH("Yes",I5)))</formula>
    </cfRule>
  </conditionalFormatting>
  <conditionalFormatting sqref="I12:I259">
    <cfRule type="containsText" dxfId="624" priority="10" operator="containsText" text="Not possible">
      <formula>NOT(ISERROR(SEARCH("Not possible",I12)))</formula>
    </cfRule>
  </conditionalFormatting>
  <conditionalFormatting sqref="I4:J4">
    <cfRule type="cellIs" dxfId="623" priority="8" operator="equal">
      <formula>0</formula>
    </cfRule>
    <cfRule type="cellIs" dxfId="622" priority="440" operator="lessThan">
      <formula>0</formula>
    </cfRule>
  </conditionalFormatting>
  <conditionalFormatting sqref="I3:J5">
    <cfRule type="containsText" dxfId="621" priority="7" operator="containsText" text="N/A">
      <formula>NOT(ISERROR(SEARCH("N/A",I3)))</formula>
    </cfRule>
  </conditionalFormatting>
  <conditionalFormatting sqref="T1:T1048576">
    <cfRule type="containsText" dxfId="620" priority="3" operator="containsText" text="⚠">
      <formula>NOT(ISERROR(SEARCH("⚠",T1)))</formula>
    </cfRule>
  </conditionalFormatting>
  <conditionalFormatting sqref="U1:U1048576">
    <cfRule type="containsText" dxfId="619" priority="2" operator="containsText" text="⚠">
      <formula>NOT(ISERROR(SEARCH("⚠",U1)))</formula>
    </cfRule>
  </conditionalFormatting>
  <conditionalFormatting sqref="M1:M1048576">
    <cfRule type="containsText" dxfId="618" priority="1" operator="containsText" text="▲">
      <formula>NOT(ISERROR(SEARCH("▲",M1)))</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5" id="{0D0773DD-E195-4EFE-93EC-DEAE45F36D11}">
            <xm:f>'Headline Results'!$H$9:$I$9=0</xm:f>
            <x14:dxf>
              <font>
                <color auto="1"/>
              </font>
              <fill>
                <patternFill>
                  <bgColor rgb="FFE0DCD3"/>
                </patternFill>
              </fill>
            </x14:dxf>
          </x14:cfRule>
          <xm:sqref>I4:J4</xm:sqref>
        </x14:conditionalFormatting>
        <x14:conditionalFormatting xmlns:xm="http://schemas.microsoft.com/office/excel/2006/main">
          <x14:cfRule type="cellIs" priority="6" operator="lessThan" id="{96391D0B-65D4-461C-B97E-32341A4ADCD7}">
            <xm:f>Start!$F$22</xm:f>
            <x14:dxf>
              <font>
                <color rgb="FF383745"/>
              </font>
              <fill>
                <patternFill>
                  <bgColor rgb="FFFFC000"/>
                </patternFill>
              </fill>
            </x14:dxf>
          </x14:cfRule>
          <x14:cfRule type="cellIs" priority="441"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B1:AT265"/>
  <sheetViews>
    <sheetView topLeftCell="J1" zoomScale="80" zoomScaleNormal="80" workbookViewId="0">
      <pane ySplit="11" topLeftCell="A12" activePane="bottomLeft" state="frozen"/>
      <selection pane="bottomLeft"/>
    </sheetView>
  </sheetViews>
  <sheetFormatPr defaultColWidth="17.33203125" defaultRowHeight="30" customHeight="1" zeroHeight="1" x14ac:dyDescent="0.25"/>
  <cols>
    <col min="1" max="1" width="2.6640625" style="30" customWidth="1"/>
    <col min="2" max="2" width="12.33203125" style="30" customWidth="1"/>
    <col min="3" max="3" width="53.33203125" style="30" customWidth="1"/>
    <col min="4" max="4" width="9" style="30" customWidth="1"/>
    <col min="5" max="5" width="18.6640625" style="30" customWidth="1"/>
    <col min="6" max="6" width="17.5546875" style="30" customWidth="1"/>
    <col min="7" max="7" width="18.33203125" style="30" customWidth="1"/>
    <col min="8" max="11" width="19.33203125" style="30" customWidth="1"/>
    <col min="12" max="12" width="33.44140625" style="30" customWidth="1"/>
    <col min="13" max="13" width="68.6640625" style="30" customWidth="1"/>
    <col min="14" max="15" width="34.33203125" style="30" customWidth="1"/>
    <col min="16" max="16" width="10.33203125" style="30" customWidth="1"/>
    <col min="17" max="17" width="17.5546875" style="30" customWidth="1"/>
    <col min="18" max="18" width="13.33203125" style="30" customWidth="1"/>
    <col min="19" max="19" width="12.5546875" style="30" bestFit="1" customWidth="1"/>
    <col min="20" max="20" width="12.5546875" style="30" customWidth="1"/>
    <col min="21" max="21" width="41.6640625" style="30" customWidth="1"/>
    <col min="22" max="22" width="15.44140625" style="30" customWidth="1"/>
    <col min="23" max="23" width="13.6640625" style="30" customWidth="1"/>
    <col min="24" max="24" width="18.6640625" style="30" customWidth="1"/>
    <col min="25" max="25" width="21.6640625" style="30" customWidth="1"/>
    <col min="26" max="26" width="22.6640625" style="30" customWidth="1"/>
    <col min="27" max="27" width="33.5546875" style="30" customWidth="1"/>
    <col min="28" max="28" width="18.6640625" style="30" customWidth="1"/>
    <col min="29" max="29" width="15.33203125" style="30" customWidth="1"/>
    <col min="30" max="30" width="15.6640625" style="30" customWidth="1"/>
    <col min="31" max="31" width="24" style="30" customWidth="1"/>
    <col min="32" max="32" width="22.33203125" style="30" customWidth="1"/>
    <col min="33" max="33" width="13.44140625" style="30" customWidth="1"/>
    <col min="34" max="34" width="12.6640625" style="30" customWidth="1"/>
    <col min="35" max="36" width="34.6640625" style="30" customWidth="1"/>
    <col min="37" max="37" width="13.5546875" style="30" customWidth="1"/>
    <col min="38" max="38" width="17.33203125" style="30" customWidth="1"/>
    <col min="39" max="39" width="17.33203125" style="30" hidden="1" customWidth="1"/>
    <col min="40" max="16380" width="0" style="30" hidden="1" customWidth="1"/>
    <col min="16381" max="16384" width="17.33203125" style="30"/>
  </cols>
  <sheetData>
    <row r="1" spans="2:46" ht="15.75" customHeight="1" thickBot="1" x14ac:dyDescent="0.3"/>
    <row r="2" spans="2:46" ht="20.100000000000001" customHeight="1" thickBot="1" x14ac:dyDescent="0.3">
      <c r="B2" s="1740" t="str">
        <f>CONCATENATE("Project Name:", " ", Start!F12, "     ", "Map Reference:", " ", Start!K55)</f>
        <v xml:space="preserve">Project Name: Chickenhall Lane     Map Reference: </v>
      </c>
      <c r="C2" s="1741"/>
      <c r="D2" s="1742"/>
      <c r="M2" s="392"/>
      <c r="N2" s="1713" t="s">
        <v>502</v>
      </c>
      <c r="O2" s="1714"/>
      <c r="P2" s="1715"/>
      <c r="X2" s="1653" t="str">
        <f ca="1">IF(OR(COUNTIF($X$12:X257,"*30+*")&gt;0,COUNTIF($AB$12:AB257,"*30+*")&gt;0),"Note; Habitat selected has a time to target condition greater than 30 years. Non standard agreement may be required ⚠ ","")</f>
        <v/>
      </c>
      <c r="Y2" s="1653"/>
      <c r="Z2" s="1653"/>
      <c r="AA2" s="1653"/>
      <c r="AB2" s="1653"/>
      <c r="AC2" s="1653"/>
    </row>
    <row r="3" spans="2:46" ht="21" customHeight="1" x14ac:dyDescent="0.25">
      <c r="B3" s="1236" t="str">
        <f ca="1">MID(CELL("filename",A1),FIND("]",CELL("filename",A1))+1,256)</f>
        <v>B-3 On-Site Hedge Enhancement</v>
      </c>
      <c r="C3" s="1237"/>
      <c r="D3" s="1238"/>
      <c r="N3" s="413" t="s">
        <v>389</v>
      </c>
      <c r="O3" s="1676">
        <f ca="1">'Headline Results'!H48</f>
        <v>0.28841467762499995</v>
      </c>
      <c r="P3" s="1677"/>
      <c r="X3" s="1653"/>
      <c r="Y3" s="1653"/>
      <c r="Z3" s="1653"/>
      <c r="AA3" s="1653"/>
      <c r="AB3" s="1653"/>
      <c r="AC3" s="1653"/>
    </row>
    <row r="4" spans="2:46" ht="15.75" customHeight="1" thickBot="1" x14ac:dyDescent="0.35">
      <c r="B4" s="1239"/>
      <c r="C4" s="1240"/>
      <c r="D4" s="1241"/>
      <c r="N4" s="395" t="s">
        <v>391</v>
      </c>
      <c r="O4" s="1678">
        <f ca="1">'Headline Results'!H52</f>
        <v>1.2378312344420599</v>
      </c>
      <c r="P4" s="1679"/>
      <c r="V4" s="31"/>
      <c r="W4" s="136"/>
      <c r="X4" s="1653"/>
      <c r="Y4" s="1653"/>
      <c r="Z4" s="1653"/>
      <c r="AA4" s="1653"/>
      <c r="AB4" s="1653"/>
      <c r="AC4" s="1653"/>
      <c r="AD4" s="136"/>
      <c r="AE4" s="136"/>
      <c r="AF4" s="136"/>
      <c r="AG4" s="136"/>
      <c r="AH4" s="136"/>
      <c r="AI4" s="136"/>
      <c r="AJ4" s="136"/>
    </row>
    <row r="5" spans="2:46" ht="15.75" customHeight="1" thickBot="1" x14ac:dyDescent="0.3">
      <c r="N5" s="414" t="s">
        <v>393</v>
      </c>
      <c r="O5" s="1729" t="str" cm="1">
        <f t="array" aca="1" ref="O5" ca="1">IF(OR('Trading Summary Hedgerows'!F5:H9="No ▲"), "No - check trading summary ▲", "Yes ✓")</f>
        <v>Yes ✓</v>
      </c>
      <c r="P5" s="1730"/>
      <c r="Q5" s="398"/>
      <c r="X5" s="247"/>
      <c r="Y5" s="247"/>
      <c r="Z5" s="247"/>
      <c r="AA5" s="247"/>
      <c r="AB5" s="247"/>
    </row>
    <row r="6" spans="2:46" ht="15.75" customHeight="1" x14ac:dyDescent="0.25">
      <c r="X6" s="247"/>
      <c r="Y6" s="247"/>
      <c r="Z6" s="247"/>
      <c r="AA6" s="247"/>
      <c r="AB6" s="247"/>
    </row>
    <row r="7" spans="2:46" ht="13.8" x14ac:dyDescent="0.25">
      <c r="B7" s="93"/>
      <c r="C7" s="93"/>
      <c r="M7" s="92"/>
    </row>
    <row r="8" spans="2:46" ht="20.100000000000001" customHeight="1" thickBot="1" x14ac:dyDescent="0.3"/>
    <row r="9" spans="2:46" ht="14.4" thickBot="1" x14ac:dyDescent="0.3">
      <c r="C9" s="92"/>
      <c r="D9" s="92"/>
      <c r="E9" s="92"/>
      <c r="F9" s="92"/>
      <c r="G9" s="92"/>
      <c r="H9" s="92"/>
      <c r="I9" s="92"/>
      <c r="J9" s="92"/>
      <c r="K9" s="92"/>
      <c r="L9" s="92"/>
      <c r="M9" s="1743" t="s">
        <v>437</v>
      </c>
      <c r="N9" s="1745"/>
      <c r="O9" s="1745"/>
      <c r="P9" s="1745"/>
      <c r="Q9" s="1745"/>
      <c r="R9" s="1745"/>
      <c r="S9" s="1745"/>
      <c r="T9" s="1745"/>
      <c r="U9" s="1745"/>
      <c r="V9" s="1745"/>
      <c r="W9" s="1745"/>
      <c r="X9" s="1745"/>
      <c r="Y9" s="1745"/>
      <c r="Z9" s="1745"/>
      <c r="AA9" s="1745"/>
      <c r="AB9" s="1745"/>
      <c r="AC9" s="1745"/>
      <c r="AD9" s="1745"/>
      <c r="AE9" s="1745"/>
      <c r="AF9" s="1745"/>
      <c r="AG9" s="1746"/>
    </row>
    <row r="10" spans="2:46" ht="28.35" customHeight="1" thickBot="1" x14ac:dyDescent="0.3">
      <c r="B10" s="139"/>
      <c r="C10" s="1712" t="s">
        <v>517</v>
      </c>
      <c r="D10" s="1712"/>
      <c r="E10" s="1712"/>
      <c r="F10" s="1712"/>
      <c r="G10" s="1712"/>
      <c r="H10" s="1712"/>
      <c r="I10" s="1712"/>
      <c r="J10" s="1712"/>
      <c r="K10" s="1712"/>
      <c r="L10" s="1712"/>
      <c r="M10" s="1685" t="s">
        <v>439</v>
      </c>
      <c r="N10" s="1687" t="s">
        <v>459</v>
      </c>
      <c r="O10" s="1687"/>
      <c r="P10" s="1685" t="s">
        <v>505</v>
      </c>
      <c r="Q10" s="1417" t="s">
        <v>395</v>
      </c>
      <c r="R10" s="1443"/>
      <c r="S10" s="1726" t="s">
        <v>396</v>
      </c>
      <c r="T10" s="1443"/>
      <c r="U10" s="1687" t="s">
        <v>397</v>
      </c>
      <c r="V10" s="1687"/>
      <c r="W10" s="1687"/>
      <c r="X10" s="1734" t="s">
        <v>440</v>
      </c>
      <c r="Y10" s="1735"/>
      <c r="Z10" s="1735"/>
      <c r="AA10" s="1735"/>
      <c r="AB10" s="1735"/>
      <c r="AC10" s="1736"/>
      <c r="AD10" s="1716" t="s">
        <v>462</v>
      </c>
      <c r="AE10" s="1716"/>
      <c r="AF10" s="1716"/>
      <c r="AG10" s="1716"/>
      <c r="AH10" s="1716" t="s">
        <v>513</v>
      </c>
      <c r="AI10" s="1722" t="s">
        <v>401</v>
      </c>
      <c r="AJ10" s="1723"/>
      <c r="AK10" s="1724"/>
    </row>
    <row r="11" spans="2:46" ht="61.5" customHeight="1" thickBot="1" x14ac:dyDescent="0.3">
      <c r="B11" s="522" t="s">
        <v>463</v>
      </c>
      <c r="C11" s="979" t="s">
        <v>464</v>
      </c>
      <c r="D11" s="125" t="s">
        <v>505</v>
      </c>
      <c r="E11" s="125" t="s">
        <v>466</v>
      </c>
      <c r="F11" s="125" t="s">
        <v>467</v>
      </c>
      <c r="G11" s="125" t="s">
        <v>468</v>
      </c>
      <c r="H11" s="125" t="s">
        <v>469</v>
      </c>
      <c r="I11" s="125" t="s">
        <v>470</v>
      </c>
      <c r="J11" s="125" t="s">
        <v>471</v>
      </c>
      <c r="K11" s="125" t="s">
        <v>472</v>
      </c>
      <c r="L11" s="124" t="s">
        <v>398</v>
      </c>
      <c r="M11" s="1685"/>
      <c r="N11" s="116" t="s">
        <v>518</v>
      </c>
      <c r="O11" s="546" t="s">
        <v>519</v>
      </c>
      <c r="P11" s="1685"/>
      <c r="Q11" s="113" t="s">
        <v>395</v>
      </c>
      <c r="R11" s="624" t="s">
        <v>411</v>
      </c>
      <c r="S11" s="628" t="s">
        <v>396</v>
      </c>
      <c r="T11" s="624" t="s">
        <v>411</v>
      </c>
      <c r="U11" s="116" t="s">
        <v>397</v>
      </c>
      <c r="V11" s="580" t="s">
        <v>397</v>
      </c>
      <c r="W11" s="546" t="s">
        <v>412</v>
      </c>
      <c r="X11" s="116" t="s">
        <v>515</v>
      </c>
      <c r="Y11" s="580" t="s">
        <v>499</v>
      </c>
      <c r="Z11" s="580" t="s">
        <v>478</v>
      </c>
      <c r="AA11" s="580" t="s">
        <v>446</v>
      </c>
      <c r="AB11" s="580" t="s">
        <v>447</v>
      </c>
      <c r="AC11" s="546" t="s">
        <v>520</v>
      </c>
      <c r="AD11" s="116" t="s">
        <v>521</v>
      </c>
      <c r="AE11" s="580" t="s">
        <v>516</v>
      </c>
      <c r="AF11" s="580" t="s">
        <v>522</v>
      </c>
      <c r="AG11" s="546" t="s">
        <v>452</v>
      </c>
      <c r="AH11" s="1758"/>
      <c r="AI11" s="625" t="s">
        <v>385</v>
      </c>
      <c r="AJ11" s="546" t="s">
        <v>362</v>
      </c>
      <c r="AK11" s="633" t="s">
        <v>363</v>
      </c>
      <c r="AT11" s="92" t="s">
        <v>405</v>
      </c>
    </row>
    <row r="12" spans="2:46" ht="27.6" x14ac:dyDescent="0.25">
      <c r="B12" s="626">
        <f>'B-1 On-Site Hedge Baseline'!AK10</f>
        <v>1</v>
      </c>
      <c r="C12" s="289" t="str">
        <f ca="1">IF(B12="","",IF(ISNA(VLOOKUP($B12,'B-1 On-Site Hedge Baseline'!$B$1:$L$257,3,FALSE)),"",(VLOOKUP($B12,'B-1 On-Site Hedge Baseline'!$B$1:$L$257,3,FALSE))))</f>
        <v>Native hedgerow</v>
      </c>
      <c r="D12" s="289">
        <f ca="1">IF(B12="","",IF(ISNA(VLOOKUP($B12,'B-1 On-Site Hedge Baseline'!$B$1:$L$257,4,FALSE)),"",(VLOOKUP($B12,'B-1 On-Site Hedge Baseline'!$B$1:$L$257,4,FALSE))))</f>
        <v>6.6000000000000003E-2</v>
      </c>
      <c r="E12" s="289" t="str">
        <f ca="1">IF(B12="","",IF(ISNA(VLOOKUP($B12,'B-1 On-Site Hedge Baseline'!$B$1:$L$257,5,FALSE)),"",(VLOOKUP($B12,'B-1 On-Site Hedge Baseline'!$B$1:$L$257,5,FALSE))))</f>
        <v>Low</v>
      </c>
      <c r="F12" s="289">
        <f ca="1">IF(B12="","",IF(ISNA(VLOOKUP($B12,'B-1 On-Site Hedge Baseline'!$B$1:$L$257,6,FALSE)),"",(VLOOKUP($B12,'B-1 On-Site Hedge Baseline'!$B$1:$L$257,6,FALSE))))</f>
        <v>2</v>
      </c>
      <c r="G12" s="289" t="str">
        <f ca="1">IF(B12="","",IF(ISNA(VLOOKUP($B12,'B-1 On-Site Hedge Baseline'!$B$1:$L$257,7,FALSE)),"",(VLOOKUP($B12,'B-1 On-Site Hedge Baseline'!$B$1:$L$257,7,FALSE))))</f>
        <v>Poor</v>
      </c>
      <c r="H12" s="289">
        <f ca="1">IF(B12="","",IF(ISNA(VLOOKUP($B12,'B-1 On-Site Hedge Baseline'!$B$1:$L$257,8,FALSE)),"",(VLOOKUP($B12,'B-1 On-Site Hedge Baseline'!$B$1:$L$257,8,FALSE))))</f>
        <v>1</v>
      </c>
      <c r="I12" s="289" t="str">
        <f ca="1">IF(B12="","",IF(ISNA(VLOOKUP($B12,'B-1 On-Site Hedge Baseline'!$B$1:$L$257,10,FALSE)),"",(VLOOKUP($B12,'B-1 On-Site Hedge Baseline'!$B$1:$L$257,10,FALSE))))</f>
        <v>Low Strategic Significance</v>
      </c>
      <c r="J12" s="289">
        <f ca="1">IF(B12="","",IF(ISNA(VLOOKUP($B12,'B-1 On-Site Hedge Baseline'!$B$1:$L$257,11,FALSE)),"",(VLOOKUP($B12,'B-1 On-Site Hedge Baseline'!$B$1:$L$257,11,FALSE))))</f>
        <v>1</v>
      </c>
      <c r="K12" s="289">
        <f ca="1">IF(B12="","",IF(ISNA(VLOOKUP($B12,'B-1 On-Site Hedge Baseline'!$B$1:$U$257,13,FALSE)),"",(VLOOKUP($B12,'B-1 On-Site Hedge Baseline'!$B$1:$U$257,13,FALSE))))</f>
        <v>0.13200000000000001</v>
      </c>
      <c r="L12" s="282" t="str">
        <f ca="1">IF(B12="","",IF(ISNA(VLOOKUP($B12,'B-1 On-Site Hedge Baseline'!$B$1:$U$257,12,FALSE)),"",(VLOOKUP($B12,'B-1 On-Site Hedge Baseline'!$B$1:$U$257,12,FALSE))))</f>
        <v>Same distinctiveness band or better</v>
      </c>
      <c r="M12" s="627" t="s">
        <v>255</v>
      </c>
      <c r="N12" s="281" t="str">
        <f ca="1">IFERROR(IF(B12="","",INDEX('G-6 Hedgerow Data'!$AN$3:$AZ$15,MATCH(C12,'G-6 Hedgerow Data'!$AM$3:$AM$15,0),MATCH(M12,'G-6 Hedgerow Data'!$AN$2:$AZ$2,0))),"")</f>
        <v>Low - Low</v>
      </c>
      <c r="O12" s="282" t="str">
        <f ca="1">IFERROR(IF(B12="","",IF(AND(LEFT(C12,55)&lt;&gt;LEFT(M12,55),N12="High - High"),"Error - Not like for like ▲",IF(H12&gt;T12,"Error - Can not reduce condition ▲",IF(AND(F12=R12,H12=T12),"Error - No enhancement ▲",IF(AND(C12&lt;&gt;M12,F12&lt;R12),"Lower Distinctiveness Habitat"&amp;" - "&amp;S12,G12&amp;" - "&amp;S12))))),"")</f>
        <v>Poor - Moderate</v>
      </c>
      <c r="P12" s="335">
        <f>IF(B12="","",VLOOKUP(B12,'B-1 On-Site Hedge Baseline'!$B$10:T257,16,FALSE))</f>
        <v>6.6000000000000003E-2</v>
      </c>
      <c r="Q12" s="281" t="str">
        <f>IF(M12="","",VLOOKUP(M12,'G-6 Hedgerow Data'!$B$2:$AG$15,2,FALSE))</f>
        <v>Low</v>
      </c>
      <c r="R12" s="282">
        <f>IF(M12="","",VLOOKUP(M12,'G-6 Hedgerow Data'!$B$2:$AG$15,3,FALSE))</f>
        <v>2</v>
      </c>
      <c r="S12" s="105" t="s">
        <v>37</v>
      </c>
      <c r="T12" s="320">
        <f>IFERROR(IF(S12="","",IF(AND(M12="Non-native and ornamental hedgerow", S12&lt;&gt;"Poor"),"Not possible ▲", (VLOOKUP(S12,'G-1 All Habitats'!$Z$2:$AA$9,2,FALSE)))),"")</f>
        <v>2</v>
      </c>
      <c r="U12" s="105" t="s">
        <v>1119</v>
      </c>
      <c r="V12" s="289" t="str">
        <f>IF(U12="","",IF(VLOOKUP(U12,'G-3 Multipliers'!$L$3:$N$6,2,FALSE)=0,"Spatial Data Missing ⚠",VLOOKUP(U12,'G-3 Multipliers'!$L$3:$N$6,2,FALSE)))</f>
        <v xml:space="preserve">High strategic significance </v>
      </c>
      <c r="W12" s="282">
        <f>IF(U12="","",IF(VLOOKUP(U12,'G-3 Multipliers'!$L$3:$N$6,3,FALSE)=0,"Spatial Data Missing ⚠",VLOOKUP(U12,'G-3 Multipliers'!$L$3:$N$6,3,FALSE)))</f>
        <v>1.1499999999999999</v>
      </c>
      <c r="X12" s="281">
        <f ca="1">IFERROR(IF(OR(LEFT(O12,5)="Error",LEFT(N12,5)="Error",T12="Error"),"Check Data ⚠",IF(F12&lt;R12,INDEX('G-6 Hedgerow Data'!$S$3:$AE$14,MATCH(C12,'G-6 Hedgerow Data'!$B$3:$B$14,0),MATCH(M12,'G-6 Hedgerow Data'!$S$2:$AE$2,0)),INDEX('G-6 Hedgerow Data'!$K$3:$Q$14,MATCH(M12,'G-6 Hedgerow Data'!$B$3:$B$14,0),MATCH(O12,'G-6 Hedgerow Data'!$K$2:$Q$2,0)))),"")</f>
        <v>3</v>
      </c>
      <c r="Y12" s="137">
        <v>0</v>
      </c>
      <c r="Z12" s="137">
        <v>0</v>
      </c>
      <c r="AA12" s="289" t="str">
        <f ca="1">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Standard time to target condition applied</v>
      </c>
      <c r="AB12" s="302">
        <f ca="1">IF(X12="","",IF(AA12="Check Data ⚠","Check Data ⚠",IF(Y12="30+",0, IF(X12="Not possible ▲", "Check Data ⚠", IF(Z12="30+","30+",IF(X12+Z12&gt;30,"30+",IF(AA12="Error -both advance and delayed habitat creation ▲","Check Data ⚠",IF(X12+Z12-Y12&gt;0,X12+Z12-Y12,IF(X12-Y12&lt;=0,0,)))))))))</f>
        <v>3</v>
      </c>
      <c r="AC12" s="303">
        <f t="shared" ref="AC12:AC75" ca="1" si="0">IF(OR(S12="",M12=""),"",IF(LEFT(AB12,5)="Error ▲","Check Data ⚠",IF(AB12="Check Data ⚠","Check Data ⚠",VLOOKUP(AB12,TemporalMultipliers,3,FALSE))))</f>
        <v>0.898632125</v>
      </c>
      <c r="AD12" s="281" t="str">
        <f>IF(M12="","",VLOOKUP(M12,'G-6 Hedgerow Data'!$B$3:$AG$15,31,FALSE))</f>
        <v>Low</v>
      </c>
      <c r="AE12" s="289" t="str">
        <f ca="1">IF(M12="","",IF(OR(LEFT(AA12,5)="Error ▲",AA12="Check Data ⚠"),"Check Data ⚠",IF(X12="","",IF($AA12="Check details - Is there evidence that habitat has reached target condition? ⚠","Low Difficulty - only applicable if all habitat created before losses ⚠","Standard difficulty applied"))))</f>
        <v>Standard difficulty applied</v>
      </c>
      <c r="AF12" s="289" t="str">
        <f ca="1">(IF(AND(AE12="Standard difficulty applied",X12&gt;Y12),AD12, IF(AB12="Check data ⚠", "Check data ⚠", IF(AND(AE12="Low Difficulty - only applicable if all habitat created before losses ⚠",Y12&gt;=X12),"Low",AD12))))</f>
        <v>Low</v>
      </c>
      <c r="AG12" s="282">
        <f ca="1">IFERROR(IF(O12="","",VLOOKUP(AD12,'G-3 Multipliers'!$P$3:$Q$6,2,FALSE)),"")</f>
        <v>1</v>
      </c>
      <c r="AH12" s="295">
        <f ca="1">IFERROR(IF(K12="Check data ⚠", "Check data ⚠", (IF(OR(M12="",S12="",U12=""),"",(((((P12*R12*T12)-(P12*F12*H12))*(AG12*AC12))+(P12*F12*H12))*(W12))))),"")</f>
        <v>0.28821235657499999</v>
      </c>
      <c r="AI12" s="53"/>
      <c r="AJ12" s="51"/>
      <c r="AK12" s="119"/>
      <c r="AT12" s="30" t="str">
        <f>IFERROR(INDEX('G-6 Hedgerow Data'!$BJ$3:$BJ$15,MATCH(M12,'G-6 Hedgerow Data'!$B$3:$B$15,0)),"")</f>
        <v>Hedgecond1</v>
      </c>
    </row>
    <row r="13" spans="2:46" ht="27.6" x14ac:dyDescent="0.25">
      <c r="B13" s="311">
        <f>'B-1 On-Site Hedge Baseline'!AK11</f>
        <v>2</v>
      </c>
      <c r="C13" s="301" t="str">
        <f ca="1">IF(B13="","",IF(ISNA(VLOOKUP($B13,'B-1 On-Site Hedge Baseline'!$B$1:$L$257,3,FALSE)),"",(VLOOKUP($B13,'B-1 On-Site Hedge Baseline'!$B$1:$L$257,3,FALSE))))</f>
        <v>Native hedgerow</v>
      </c>
      <c r="D13" s="301">
        <f ca="1">IF(B13="","",IF(ISNA(VLOOKUP($B13,'B-1 On-Site Hedge Baseline'!$B$1:$L$257,4,FALSE)),"",(VLOOKUP($B13,'B-1 On-Site Hedge Baseline'!$B$1:$L$257,4,FALSE))))</f>
        <v>4.3999999999999997E-2</v>
      </c>
      <c r="E13" s="301" t="str">
        <f ca="1">IF(B13="","",IF(ISNA(VLOOKUP($B13,'B-1 On-Site Hedge Baseline'!$B$1:$L$257,5,FALSE)),"",(VLOOKUP($B13,'B-1 On-Site Hedge Baseline'!$B$1:$L$257,5,FALSE))))</f>
        <v>Low</v>
      </c>
      <c r="F13" s="301">
        <f ca="1">IF(B13="","",IF(ISNA(VLOOKUP($B13,'B-1 On-Site Hedge Baseline'!$B$1:$L$257,6,FALSE)),"",(VLOOKUP($B13,'B-1 On-Site Hedge Baseline'!$B$1:$L$257,6,FALSE))))</f>
        <v>2</v>
      </c>
      <c r="G13" s="301" t="str">
        <f ca="1">IF(B13="","",IF(ISNA(VLOOKUP($B13,'B-1 On-Site Hedge Baseline'!$B$1:$L$257,7,FALSE)),"",(VLOOKUP($B13,'B-1 On-Site Hedge Baseline'!$B$1:$L$257,7,FALSE))))</f>
        <v>Poor</v>
      </c>
      <c r="H13" s="301">
        <f ca="1">IF(B13="","",IF(ISNA(VLOOKUP($B13,'B-1 On-Site Hedge Baseline'!$B$1:$L$257,8,FALSE)),"",(VLOOKUP($B13,'B-1 On-Site Hedge Baseline'!$B$1:$L$257,8,FALSE))))</f>
        <v>1</v>
      </c>
      <c r="I13" s="301" t="str">
        <f ca="1">IF(B13="","",IF(ISNA(VLOOKUP($B13,'B-1 On-Site Hedge Baseline'!$B$1:$L$257,10,FALSE)),"",(VLOOKUP($B13,'B-1 On-Site Hedge Baseline'!$B$1:$L$257,10,FALSE))))</f>
        <v>Low Strategic Significance</v>
      </c>
      <c r="J13" s="301">
        <f ca="1">IF(B13="","",IF(ISNA(VLOOKUP($B13,'B-1 On-Site Hedge Baseline'!$B$1:$L$257,11,FALSE)),"",(VLOOKUP($B13,'B-1 On-Site Hedge Baseline'!$B$1:$L$257,11,FALSE))))</f>
        <v>1</v>
      </c>
      <c r="K13" s="301">
        <f ca="1">IF(B13="","",IF(ISNA(VLOOKUP($B13,'B-1 On-Site Hedge Baseline'!$B$1:$U$257,13,FALSE)),"",(VLOOKUP($B13,'B-1 On-Site Hedge Baseline'!$B$1:$U$257,13,FALSE))))</f>
        <v>8.7999999999999995E-2</v>
      </c>
      <c r="L13" s="305" t="str">
        <f ca="1">IF(B13="","",IF(ISNA(VLOOKUP($B13,'B-1 On-Site Hedge Baseline'!$B$1:$U$257,12,FALSE)),"",(VLOOKUP($B13,'B-1 On-Site Hedge Baseline'!$B$1:$U$257,12,FALSE))))</f>
        <v>Same distinctiveness band or better</v>
      </c>
      <c r="M13" s="627" t="s">
        <v>255</v>
      </c>
      <c r="N13" s="281" t="str">
        <f ca="1">IFERROR(IF(B13="","",INDEX('G-6 Hedgerow Data'!$AN$3:$AZ$15,MATCH(C13,'G-6 Hedgerow Data'!$AM$3:$AM$15,0),MATCH(M13,'G-6 Hedgerow Data'!$AN$2:$AZ$2,0))),"")</f>
        <v>Low - Low</v>
      </c>
      <c r="O13" s="282" t="str">
        <f t="shared" ref="O13:O76" ca="1" si="1">IFERROR(IF(B13="","",IF(AND(LEFT(C13,55)&lt;&gt;LEFT(M13,55),N13="High - High"),"Error - Not like for like ▲",IF(H13&gt;T13,"Error - Can not reduce condition ▲",IF(AND(F13=R13,H13=T13),"Error - No enhancement ▲",IF(AND(C13&lt;&gt;M13,F13&lt;R13),"Lower Distinctiveness Habitat"&amp;" - "&amp;S13,G13&amp;" - "&amp;S13))))),"")</f>
        <v>Poor - Moderate</v>
      </c>
      <c r="P13" s="335">
        <f>IF(B13="","",VLOOKUP(B13,'B-1 On-Site Hedge Baseline'!$B$10:T258,16,FALSE))</f>
        <v>4.3999999999999997E-2</v>
      </c>
      <c r="Q13" s="281" t="str">
        <f>IF(M13="","",VLOOKUP(M13,'G-6 Hedgerow Data'!$B$2:$AG$15,2,FALSE))</f>
        <v>Low</v>
      </c>
      <c r="R13" s="282">
        <f>IF(M13="","",VLOOKUP(M13,'G-6 Hedgerow Data'!$B$2:$AG$15,3,FALSE))</f>
        <v>2</v>
      </c>
      <c r="S13" s="105" t="s">
        <v>37</v>
      </c>
      <c r="T13" s="320">
        <f>IFERROR(IF(S13="","",IF(AND(M13="Non-native and ornamental hedgerow", S13&lt;&gt;"Poor"),"Not possible ▲", (VLOOKUP(S13,'G-1 All Habitats'!$Z$2:$AA$9,2,FALSE)))),"")</f>
        <v>2</v>
      </c>
      <c r="U13" s="105" t="s">
        <v>1119</v>
      </c>
      <c r="V13" s="301" t="str">
        <f>IF(U13="","",IF(VLOOKUP(U13,'G-3 Multipliers'!$L$3:$N$6,2,FALSE)=0,"Spatial Data Missing ⚠",VLOOKUP(U13,'G-3 Multipliers'!$L$3:$N$6,2,FALSE)))</f>
        <v xml:space="preserve">High strategic significance </v>
      </c>
      <c r="W13" s="305">
        <f>IF(U13="","",IF(VLOOKUP(U13,'G-3 Multipliers'!$L$3:$N$6,3,FALSE)=0,"Spatial Data Missing ⚠",VLOOKUP(U13,'G-3 Multipliers'!$L$3:$N$6,3,FALSE)))</f>
        <v>1.1499999999999999</v>
      </c>
      <c r="X13" s="281">
        <f ca="1">IFERROR(IF(OR(LEFT(O13,5)="Error",LEFT(N13,5)="Error",T13="Error"),"Check Data ⚠",IF(F13&lt;R13,INDEX('G-6 Hedgerow Data'!$S$3:$AE$14,MATCH(C13,'G-6 Hedgerow Data'!$B$3:$B$14,0),MATCH(M13,'G-6 Hedgerow Data'!$S$2:$AE$2,0)),INDEX('G-6 Hedgerow Data'!$K$3:$Q$14,MATCH(M13,'G-6 Hedgerow Data'!$B$3:$B$14,0),MATCH(O13,'G-6 Hedgerow Data'!$K$2:$Q$2,0)))),"")</f>
        <v>3</v>
      </c>
      <c r="Y13" s="137">
        <v>0</v>
      </c>
      <c r="Z13" s="137">
        <v>0</v>
      </c>
      <c r="AA13" s="289" t="str">
        <f t="shared" ref="AA13:AA76" ca="1" si="2">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Standard time to target condition applied</v>
      </c>
      <c r="AB13" s="302">
        <f t="shared" ref="AB13:AB76" ca="1" si="3">IF(X13="","",IF(AA13="Check Data ⚠","Check Data ⚠",IF(Y13="30+",0, IF(X13="Not possible ▲", "Check Data ⚠", IF(Z13="30+","30+",IF(X13+Z13&gt;30,"30+",IF(AA13="Error -both advance and delayed habitat creation ▲","Check Data ⚠",IF(X13+Z13-Y13&gt;0,X13+Z13-Y13,IF(X13-Y13&lt;=0,0,)))))))))</f>
        <v>3</v>
      </c>
      <c r="AC13" s="303">
        <f t="shared" ca="1" si="0"/>
        <v>0.898632125</v>
      </c>
      <c r="AD13" s="317" t="str">
        <f>IF(M13="","",VLOOKUP(M13,'G-6 Hedgerow Data'!$B$3:$AG$15,31,FALSE))</f>
        <v>Low</v>
      </c>
      <c r="AE13" s="289" t="str">
        <f t="shared" ref="AE13:AE76" ca="1" si="4">IF(M13="","",IF(OR(LEFT(AA13,5)="Error ▲",AA13="Check Data ⚠"),"Check Data ⚠",IF(X13="","",IF($AA13="Check details - Is there evidence that habitat has reached target condition? ⚠","Low Difficulty - only applicable if all habitat created before losses ⚠","Standard difficulty applied"))))</f>
        <v>Standard difficulty applied</v>
      </c>
      <c r="AF13" s="289" t="str">
        <f t="shared" ref="AF13:AF76" ca="1" si="5">(IF(AND(AE13="Standard difficulty applied",X13&gt;Y13),AD13, IF(AB13="Check data ⚠", "Check data ⚠", IF(AND(AE13="Low Difficulty - only applicable if all habitat created before losses ⚠",Y13&gt;=X13),"Low",AD13))))</f>
        <v>Low</v>
      </c>
      <c r="AG13" s="305">
        <f ca="1">IFERROR(IF(O13="","",VLOOKUP(AD13,'G-3 Multipliers'!$P$3:$Q$6,2,FALSE)),"")</f>
        <v>1</v>
      </c>
      <c r="AH13" s="295">
        <f t="shared" ref="AH13:AH76" ca="1" si="6">IFERROR(IF(K13="Check data ⚠", "Check data ⚠", (IF(OR(M13="",S13="",U13=""),"",(((((P13*R13*T13)-(P13*F13*H13))*(AG13*AC13))+(P13*F13*H13))*(W13))))),"")</f>
        <v>0.19214157104999999</v>
      </c>
      <c r="AI13" s="53"/>
      <c r="AJ13" s="51"/>
      <c r="AK13" s="108"/>
      <c r="AT13" s="30" t="str">
        <f>IFERROR(INDEX('G-6 Hedgerow Data'!$BJ$3:$BJ$15,MATCH(M13,'G-6 Hedgerow Data'!$B$3:$B$15,0)),"")</f>
        <v>Hedgecond1</v>
      </c>
    </row>
    <row r="14" spans="2:46" ht="13.8" x14ac:dyDescent="0.25">
      <c r="B14" s="311" t="str">
        <f>'B-1 On-Site Hedge Baseline'!AK12</f>
        <v/>
      </c>
      <c r="C14" s="301" t="str">
        <f>IF(B14="","",IF(ISNA(VLOOKUP($B14,'B-1 On-Site Hedge Baseline'!$B$1:$L$257,3,FALSE)),"",(VLOOKUP($B14,'B-1 On-Site Hedge Baseline'!$B$1:$L$257,3,FALSE))))</f>
        <v/>
      </c>
      <c r="D14" s="301" t="str">
        <f>IF(B14="","",IF(ISNA(VLOOKUP($B14,'B-1 On-Site Hedge Baseline'!$B$1:$L$257,4,FALSE)),"",(VLOOKUP($B14,'B-1 On-Site Hedge Baseline'!$B$1:$L$257,4,FALSE))))</f>
        <v/>
      </c>
      <c r="E14" s="301" t="str">
        <f>IF(B14="","",IF(ISNA(VLOOKUP($B14,'B-1 On-Site Hedge Baseline'!$B$1:$L$257,5,FALSE)),"",(VLOOKUP($B14,'B-1 On-Site Hedge Baseline'!$B$1:$L$257,5,FALSE))))</f>
        <v/>
      </c>
      <c r="F14" s="301" t="str">
        <f>IF(B14="","",IF(ISNA(VLOOKUP($B14,'B-1 On-Site Hedge Baseline'!$B$1:$L$257,6,FALSE)),"",(VLOOKUP($B14,'B-1 On-Site Hedge Baseline'!$B$1:$L$257,6,FALSE))))</f>
        <v/>
      </c>
      <c r="G14" s="301" t="str">
        <f>IF(B14="","",IF(ISNA(VLOOKUP($B14,'B-1 On-Site Hedge Baseline'!$B$1:$L$257,7,FALSE)),"",(VLOOKUP($B14,'B-1 On-Site Hedge Baseline'!$B$1:$L$257,7,FALSE))))</f>
        <v/>
      </c>
      <c r="H14" s="301" t="str">
        <f>IF(B14="","",IF(ISNA(VLOOKUP($B14,'B-1 On-Site Hedge Baseline'!$B$1:$L$257,8,FALSE)),"",(VLOOKUP($B14,'B-1 On-Site Hedge Baseline'!$B$1:$L$257,8,FALSE))))</f>
        <v/>
      </c>
      <c r="I14" s="301" t="str">
        <f>IF(B14="","",IF(ISNA(VLOOKUP($B14,'B-1 On-Site Hedge Baseline'!$B$1:$L$257,10,FALSE)),"",(VLOOKUP($B14,'B-1 On-Site Hedge Baseline'!$B$1:$L$257,10,FALSE))))</f>
        <v/>
      </c>
      <c r="J14" s="301" t="str">
        <f>IF(B14="","",IF(ISNA(VLOOKUP($B14,'B-1 On-Site Hedge Baseline'!$B$1:$L$257,11,FALSE)),"",(VLOOKUP($B14,'B-1 On-Site Hedge Baseline'!$B$1:$L$257,11,FALSE))))</f>
        <v/>
      </c>
      <c r="K14" s="301" t="str">
        <f>IF(B14="","",IF(ISNA(VLOOKUP($B14,'B-1 On-Site Hedge Baseline'!$B$1:$U$257,13,FALSE)),"",(VLOOKUP($B14,'B-1 On-Site Hedge Baseline'!$B$1:$U$257,13,FALSE))))</f>
        <v/>
      </c>
      <c r="L14" s="305" t="str">
        <f>IF(B14="","",IF(ISNA(VLOOKUP($B14,'B-1 On-Site Hedge Baseline'!$B$1:$U$257,12,FALSE)),"",(VLOOKUP($B14,'B-1 On-Site Hedge Baseline'!$B$1:$U$257,12,FALSE))))</f>
        <v/>
      </c>
      <c r="M14" s="627"/>
      <c r="N14" s="281" t="str">
        <f>IFERROR(IF(B14="","",INDEX('G-6 Hedgerow Data'!$AN$3:$AZ$15,MATCH(C14,'G-6 Hedgerow Data'!$AM$3:$AM$15,0),MATCH(M14,'G-6 Hedgerow Data'!$AN$2:$AZ$2,0))),"")</f>
        <v/>
      </c>
      <c r="O14" s="282" t="str">
        <f t="shared" si="1"/>
        <v/>
      </c>
      <c r="P14" s="335" t="str">
        <f>IF(B14="","",VLOOKUP(B14,'B-1 On-Site Hedge Baseline'!$B$10:T259,16,FALSE))</f>
        <v/>
      </c>
      <c r="Q14" s="281" t="str">
        <f>IF(M14="","",VLOOKUP(M14,'G-6 Hedgerow Data'!$B$2:$AG$15,2,FALSE))</f>
        <v/>
      </c>
      <c r="R14" s="282" t="str">
        <f>IF(M14="","",VLOOKUP(M14,'G-6 Hedgerow Data'!$B$2:$AG$15,3,FALSE))</f>
        <v/>
      </c>
      <c r="S14" s="105"/>
      <c r="T14" s="320" t="str">
        <f>IFERROR(IF(S14="","",IF(AND(M14="Non-native and ornamental hedgerow", S14&lt;&gt;"Poor"),"Not possible ▲", (VLOOKUP(S14,'G-1 All Habitats'!$Z$2:$AA$9,2,FALSE)))),"")</f>
        <v/>
      </c>
      <c r="U14" s="105"/>
      <c r="V14" s="301" t="str">
        <f>IF(U14="","",IF(VLOOKUP(U14,'G-3 Multipliers'!$L$3:$N$6,2,FALSE)=0,"Spatial Data Missing ⚠",VLOOKUP(U14,'G-3 Multipliers'!$L$3:$N$6,2,FALSE)))</f>
        <v/>
      </c>
      <c r="W14" s="305" t="str">
        <f>IF(U14="","",IF(VLOOKUP(U14,'G-3 Multipliers'!$L$3:$N$6,3,FALSE)=0,"Spatial Data Missing ⚠",VLOOKUP(U14,'G-3 Multipliers'!$L$3:$N$6,3,FALSE)))</f>
        <v/>
      </c>
      <c r="X14" s="281" t="str">
        <f>IFERROR(IF(OR(LEFT(O14,5)="Error",LEFT(N14,5)="Error",T14="Error"),"Check Data ⚠",IF(F14&lt;R14,INDEX('G-6 Hedgerow Data'!$S$3:$AE$14,MATCH(C14,'G-6 Hedgerow Data'!$B$3:$B$14,0),MATCH(M14,'G-6 Hedgerow Data'!$S$2:$AE$2,0)),INDEX('G-6 Hedgerow Data'!$K$3:$Q$14,MATCH(M14,'G-6 Hedgerow Data'!$B$3:$B$14,0),MATCH(O14,'G-6 Hedgerow Data'!$K$2:$Q$2,0)))),"")</f>
        <v/>
      </c>
      <c r="Y14" s="137"/>
      <c r="Z14" s="137"/>
      <c r="AA14" s="289" t="str">
        <f t="shared" si="2"/>
        <v/>
      </c>
      <c r="AB14" s="302" t="str">
        <f t="shared" si="3"/>
        <v/>
      </c>
      <c r="AC14" s="303" t="str">
        <f t="shared" si="0"/>
        <v/>
      </c>
      <c r="AD14" s="317" t="str">
        <f>IF(M14="","",VLOOKUP(M14,'G-6 Hedgerow Data'!$B$3:$AG$15,31,FALSE))</f>
        <v/>
      </c>
      <c r="AE14" s="289" t="str">
        <f t="shared" si="4"/>
        <v/>
      </c>
      <c r="AF14" s="289" t="str">
        <f t="shared" si="5"/>
        <v/>
      </c>
      <c r="AG14" s="305" t="str">
        <f>IFERROR(IF(O14="","",VLOOKUP(AD14,'G-3 Multipliers'!$P$3:$Q$6,2,FALSE)),"")</f>
        <v/>
      </c>
      <c r="AH14" s="295" t="str">
        <f t="shared" si="6"/>
        <v/>
      </c>
      <c r="AI14" s="53"/>
      <c r="AJ14" s="51"/>
      <c r="AK14" s="108"/>
      <c r="AT14" s="30" t="str">
        <f>IFERROR(INDEX('G-6 Hedgerow Data'!$BJ$3:$BJ$15,MATCH(M14,'G-6 Hedgerow Data'!$B$3:$B$15,0)),"")</f>
        <v/>
      </c>
    </row>
    <row r="15" spans="2:46" ht="13.8" x14ac:dyDescent="0.25">
      <c r="B15" s="311" t="str">
        <f>'B-1 On-Site Hedge Baseline'!AK13</f>
        <v/>
      </c>
      <c r="C15" s="301" t="str">
        <f>IF(B15="","",IF(ISNA(VLOOKUP($B15,'B-1 On-Site Hedge Baseline'!$B$1:$L$257,3,FALSE)),"",(VLOOKUP($B15,'B-1 On-Site Hedge Baseline'!$B$1:$L$257,3,FALSE))))</f>
        <v/>
      </c>
      <c r="D15" s="301" t="str">
        <f>IF(B15="","",IF(ISNA(VLOOKUP($B15,'B-1 On-Site Hedge Baseline'!$B$1:$L$257,4,FALSE)),"",(VLOOKUP($B15,'B-1 On-Site Hedge Baseline'!$B$1:$L$257,4,FALSE))))</f>
        <v/>
      </c>
      <c r="E15" s="301" t="str">
        <f>IF(B15="","",IF(ISNA(VLOOKUP($B15,'B-1 On-Site Hedge Baseline'!$B$1:$L$257,5,FALSE)),"",(VLOOKUP($B15,'B-1 On-Site Hedge Baseline'!$B$1:$L$257,5,FALSE))))</f>
        <v/>
      </c>
      <c r="F15" s="301" t="str">
        <f>IF(B15="","",IF(ISNA(VLOOKUP($B15,'B-1 On-Site Hedge Baseline'!$B$1:$L$257,6,FALSE)),"",(VLOOKUP($B15,'B-1 On-Site Hedge Baseline'!$B$1:$L$257,6,FALSE))))</f>
        <v/>
      </c>
      <c r="G15" s="301" t="str">
        <f>IF(B15="","",IF(ISNA(VLOOKUP($B15,'B-1 On-Site Hedge Baseline'!$B$1:$L$257,7,FALSE)),"",(VLOOKUP($B15,'B-1 On-Site Hedge Baseline'!$B$1:$L$257,7,FALSE))))</f>
        <v/>
      </c>
      <c r="H15" s="301" t="str">
        <f>IF(B15="","",IF(ISNA(VLOOKUP($B15,'B-1 On-Site Hedge Baseline'!$B$1:$L$257,8,FALSE)),"",(VLOOKUP($B15,'B-1 On-Site Hedge Baseline'!$B$1:$L$257,8,FALSE))))</f>
        <v/>
      </c>
      <c r="I15" s="301" t="str">
        <f>IF(B15="","",IF(ISNA(VLOOKUP($B15,'B-1 On-Site Hedge Baseline'!$B$1:$L$257,10,FALSE)),"",(VLOOKUP($B15,'B-1 On-Site Hedge Baseline'!$B$1:$L$257,10,FALSE))))</f>
        <v/>
      </c>
      <c r="J15" s="301" t="str">
        <f>IF(B15="","",IF(ISNA(VLOOKUP($B15,'B-1 On-Site Hedge Baseline'!$B$1:$L$257,11,FALSE)),"",(VLOOKUP($B15,'B-1 On-Site Hedge Baseline'!$B$1:$L$257,11,FALSE))))</f>
        <v/>
      </c>
      <c r="K15" s="301" t="str">
        <f>IF(B15="","",IF(ISNA(VLOOKUP($B15,'B-1 On-Site Hedge Baseline'!$B$1:$U$257,13,FALSE)),"",(VLOOKUP($B15,'B-1 On-Site Hedge Baseline'!$B$1:$U$257,13,FALSE))))</f>
        <v/>
      </c>
      <c r="L15" s="305" t="str">
        <f>IF(B15="","",IF(ISNA(VLOOKUP($B15,'B-1 On-Site Hedge Baseline'!$B$1:$U$257,12,FALSE)),"",(VLOOKUP($B15,'B-1 On-Site Hedge Baseline'!$B$1:$U$257,12,FALSE))))</f>
        <v/>
      </c>
      <c r="M15" s="627"/>
      <c r="N15" s="281" t="str">
        <f>IFERROR(IF(B15="","",INDEX('G-6 Hedgerow Data'!$AN$3:$AZ$15,MATCH(C15,'G-6 Hedgerow Data'!$AM$3:$AM$15,0),MATCH(M15,'G-6 Hedgerow Data'!$AN$2:$AZ$2,0))),"")</f>
        <v/>
      </c>
      <c r="O15" s="282" t="str">
        <f t="shared" si="1"/>
        <v/>
      </c>
      <c r="P15" s="335" t="str">
        <f>IF(B15="","",VLOOKUP(B15,'B-1 On-Site Hedge Baseline'!$B$10:T260,16,FALSE))</f>
        <v/>
      </c>
      <c r="Q15" s="281" t="str">
        <f>IF(M15="","",VLOOKUP(M15,'G-6 Hedgerow Data'!$B$2:$AG$15,2,FALSE))</f>
        <v/>
      </c>
      <c r="R15" s="282" t="str">
        <f>IF(M15="","",VLOOKUP(M15,'G-6 Hedgerow Data'!$B$2:$AG$15,3,FALSE))</f>
        <v/>
      </c>
      <c r="S15" s="105"/>
      <c r="T15" s="320" t="str">
        <f>IFERROR(IF(S15="","",IF(AND(M15="Non-native and ornamental hedgerow", S15&lt;&gt;"Poor"),"Not possible ▲", (VLOOKUP(S15,'G-1 All Habitats'!$Z$2:$AA$9,2,FALSE)))),"")</f>
        <v/>
      </c>
      <c r="U15" s="105"/>
      <c r="V15" s="301" t="str">
        <f>IF(U15="","",IF(VLOOKUP(U15,'G-3 Multipliers'!$L$3:$N$6,2,FALSE)=0,"Spatial Data Missing ⚠",VLOOKUP(U15,'G-3 Multipliers'!$L$3:$N$6,2,FALSE)))</f>
        <v/>
      </c>
      <c r="W15" s="305" t="str">
        <f>IF(U15="","",IF(VLOOKUP(U15,'G-3 Multipliers'!$L$3:$N$6,3,FALSE)=0,"Spatial Data Missing ⚠",VLOOKUP(U15,'G-3 Multipliers'!$L$3:$N$6,3,FALSE)))</f>
        <v/>
      </c>
      <c r="X15" s="281" t="str">
        <f>IFERROR(IF(OR(LEFT(O15,5)="Error",LEFT(N15,5)="Error",T15="Error"),"Check Data ⚠",IF(F15&lt;R15,INDEX('G-6 Hedgerow Data'!$S$3:$AE$14,MATCH(C15,'G-6 Hedgerow Data'!$B$3:$B$14,0),MATCH(M15,'G-6 Hedgerow Data'!$S$2:$AE$2,0)),INDEX('G-6 Hedgerow Data'!$K$3:$Q$14,MATCH(M15,'G-6 Hedgerow Data'!$B$3:$B$14,0),MATCH(O15,'G-6 Hedgerow Data'!$K$2:$Q$2,0)))),"")</f>
        <v/>
      </c>
      <c r="Y15" s="137"/>
      <c r="Z15" s="137"/>
      <c r="AA15" s="289" t="str">
        <f t="shared" si="2"/>
        <v/>
      </c>
      <c r="AB15" s="302" t="str">
        <f t="shared" si="3"/>
        <v/>
      </c>
      <c r="AC15" s="303" t="str">
        <f t="shared" si="0"/>
        <v/>
      </c>
      <c r="AD15" s="317" t="str">
        <f>IF(M15="","",VLOOKUP(M15,'G-6 Hedgerow Data'!$B$3:$AG$15,31,FALSE))</f>
        <v/>
      </c>
      <c r="AE15" s="289" t="str">
        <f t="shared" si="4"/>
        <v/>
      </c>
      <c r="AF15" s="289" t="str">
        <f t="shared" si="5"/>
        <v/>
      </c>
      <c r="AG15" s="305" t="str">
        <f>IFERROR(IF(O15="","",VLOOKUP(AD15,'G-3 Multipliers'!$P$3:$Q$6,2,FALSE)),"")</f>
        <v/>
      </c>
      <c r="AH15" s="295" t="str">
        <f t="shared" si="6"/>
        <v/>
      </c>
      <c r="AI15" s="53"/>
      <c r="AJ15" s="51"/>
      <c r="AK15" s="108"/>
      <c r="AT15" s="30" t="str">
        <f>IFERROR(INDEX('G-6 Hedgerow Data'!$BJ$3:$BJ$15,MATCH(M15,'G-6 Hedgerow Data'!$B$3:$B$15,0)),"")</f>
        <v/>
      </c>
    </row>
    <row r="16" spans="2:46" ht="13.8" x14ac:dyDescent="0.25">
      <c r="B16" s="311" t="str">
        <f>'B-1 On-Site Hedge Baseline'!AK14</f>
        <v/>
      </c>
      <c r="C16" s="301" t="str">
        <f>IF(B16="","",IF(ISNA(VLOOKUP($B16,'B-1 On-Site Hedge Baseline'!$B$1:$L$257,3,FALSE)),"",(VLOOKUP($B16,'B-1 On-Site Hedge Baseline'!$B$1:$L$257,3,FALSE))))</f>
        <v/>
      </c>
      <c r="D16" s="301" t="str">
        <f>IF(B16="","",IF(ISNA(VLOOKUP($B16,'B-1 On-Site Hedge Baseline'!$B$1:$L$257,4,FALSE)),"",(VLOOKUP($B16,'B-1 On-Site Hedge Baseline'!$B$1:$L$257,4,FALSE))))</f>
        <v/>
      </c>
      <c r="E16" s="301" t="str">
        <f>IF(B16="","",IF(ISNA(VLOOKUP($B16,'B-1 On-Site Hedge Baseline'!$B$1:$L$257,5,FALSE)),"",(VLOOKUP($B16,'B-1 On-Site Hedge Baseline'!$B$1:$L$257,5,FALSE))))</f>
        <v/>
      </c>
      <c r="F16" s="301" t="str">
        <f>IF(B16="","",IF(ISNA(VLOOKUP($B16,'B-1 On-Site Hedge Baseline'!$B$1:$L$257,6,FALSE)),"",(VLOOKUP($B16,'B-1 On-Site Hedge Baseline'!$B$1:$L$257,6,FALSE))))</f>
        <v/>
      </c>
      <c r="G16" s="301" t="str">
        <f>IF(B16="","",IF(ISNA(VLOOKUP($B16,'B-1 On-Site Hedge Baseline'!$B$1:$L$257,7,FALSE)),"",(VLOOKUP($B16,'B-1 On-Site Hedge Baseline'!$B$1:$L$257,7,FALSE))))</f>
        <v/>
      </c>
      <c r="H16" s="301" t="str">
        <f>IF(B16="","",IF(ISNA(VLOOKUP($B16,'B-1 On-Site Hedge Baseline'!$B$1:$L$257,8,FALSE)),"",(VLOOKUP($B16,'B-1 On-Site Hedge Baseline'!$B$1:$L$257,8,FALSE))))</f>
        <v/>
      </c>
      <c r="I16" s="301" t="str">
        <f>IF(B16="","",IF(ISNA(VLOOKUP($B16,'B-1 On-Site Hedge Baseline'!$B$1:$L$257,10,FALSE)),"",(VLOOKUP($B16,'B-1 On-Site Hedge Baseline'!$B$1:$L$257,10,FALSE))))</f>
        <v/>
      </c>
      <c r="J16" s="301" t="str">
        <f>IF(B16="","",IF(ISNA(VLOOKUP($B16,'B-1 On-Site Hedge Baseline'!$B$1:$L$257,11,FALSE)),"",(VLOOKUP($B16,'B-1 On-Site Hedge Baseline'!$B$1:$L$257,11,FALSE))))</f>
        <v/>
      </c>
      <c r="K16" s="301" t="str">
        <f>IF(B16="","",IF(ISNA(VLOOKUP($B16,'B-1 On-Site Hedge Baseline'!$B$1:$U$257,13,FALSE)),"",(VLOOKUP($B16,'B-1 On-Site Hedge Baseline'!$B$1:$U$257,13,FALSE))))</f>
        <v/>
      </c>
      <c r="L16" s="305" t="str">
        <f>IF(B16="","",IF(ISNA(VLOOKUP($B16,'B-1 On-Site Hedge Baseline'!$B$1:$U$257,12,FALSE)),"",(VLOOKUP($B16,'B-1 On-Site Hedge Baseline'!$B$1:$U$257,12,FALSE))))</f>
        <v/>
      </c>
      <c r="M16" s="627"/>
      <c r="N16" s="281" t="str">
        <f>IFERROR(IF(B16="","",INDEX('G-6 Hedgerow Data'!$AN$3:$AZ$15,MATCH(C16,'G-6 Hedgerow Data'!$AM$3:$AM$15,0),MATCH(M16,'G-6 Hedgerow Data'!$AN$2:$AZ$2,0))),"")</f>
        <v/>
      </c>
      <c r="O16" s="282" t="str">
        <f t="shared" si="1"/>
        <v/>
      </c>
      <c r="P16" s="335" t="str">
        <f>IF(B16="","",VLOOKUP(B16,'B-1 On-Site Hedge Baseline'!$B$10:T261,16,FALSE))</f>
        <v/>
      </c>
      <c r="Q16" s="281" t="str">
        <f>IF(M16="","",VLOOKUP(M16,'G-6 Hedgerow Data'!$B$2:$AG$15,2,FALSE))</f>
        <v/>
      </c>
      <c r="R16" s="282" t="str">
        <f>IF(M16="","",VLOOKUP(M16,'G-6 Hedgerow Data'!$B$2:$AG$15,3,FALSE))</f>
        <v/>
      </c>
      <c r="S16" s="105"/>
      <c r="T16" s="320" t="str">
        <f>IFERROR(IF(S16="","",IF(AND(M16="Non-native and ornamental hedgerow", S16&lt;&gt;"Poor"),"Not possible ▲", (VLOOKUP(S16,'G-1 All Habitats'!$Z$2:$AA$9,2,FALSE)))),"")</f>
        <v/>
      </c>
      <c r="U16" s="105"/>
      <c r="V16" s="301" t="str">
        <f>IF(U16="","",IF(VLOOKUP(U16,'G-3 Multipliers'!$L$3:$N$6,2,FALSE)=0,"Spatial Data Missing ⚠",VLOOKUP(U16,'G-3 Multipliers'!$L$3:$N$6,2,FALSE)))</f>
        <v/>
      </c>
      <c r="W16" s="305" t="str">
        <f>IF(U16="","",IF(VLOOKUP(U16,'G-3 Multipliers'!$L$3:$N$6,3,FALSE)=0,"Spatial Data Missing ⚠",VLOOKUP(U16,'G-3 Multipliers'!$L$3:$N$6,3,FALSE)))</f>
        <v/>
      </c>
      <c r="X16" s="281" t="str">
        <f>IFERROR(IF(OR(LEFT(O16,5)="Error",LEFT(N16,5)="Error",T16="Error"),"Check Data ⚠",IF(F16&lt;R16,INDEX('G-6 Hedgerow Data'!$S$3:$AE$14,MATCH(C16,'G-6 Hedgerow Data'!$B$3:$B$14,0),MATCH(M16,'G-6 Hedgerow Data'!$S$2:$AE$2,0)),INDEX('G-6 Hedgerow Data'!$K$3:$Q$14,MATCH(M16,'G-6 Hedgerow Data'!$B$3:$B$14,0),MATCH(O16,'G-6 Hedgerow Data'!$K$2:$Q$2,0)))),"")</f>
        <v/>
      </c>
      <c r="Y16" s="137"/>
      <c r="Z16" s="137"/>
      <c r="AA16" s="289" t="str">
        <f t="shared" si="2"/>
        <v/>
      </c>
      <c r="AB16" s="302" t="str">
        <f t="shared" si="3"/>
        <v/>
      </c>
      <c r="AC16" s="303" t="str">
        <f t="shared" si="0"/>
        <v/>
      </c>
      <c r="AD16" s="317" t="str">
        <f>IF(M16="","",VLOOKUP(M16,'G-6 Hedgerow Data'!$B$3:$AG$15,31,FALSE))</f>
        <v/>
      </c>
      <c r="AE16" s="289" t="str">
        <f t="shared" si="4"/>
        <v/>
      </c>
      <c r="AF16" s="289" t="str">
        <f t="shared" si="5"/>
        <v/>
      </c>
      <c r="AG16" s="305" t="str">
        <f>IFERROR(IF(O16="","",VLOOKUP(AD16,'G-3 Multipliers'!$P$3:$Q$6,2,FALSE)),"")</f>
        <v/>
      </c>
      <c r="AH16" s="295" t="str">
        <f t="shared" si="6"/>
        <v/>
      </c>
      <c r="AI16" s="112"/>
      <c r="AJ16" s="119"/>
      <c r="AK16" s="108"/>
      <c r="AT16" s="30" t="str">
        <f>IFERROR(INDEX('G-6 Hedgerow Data'!$BJ$3:$BJ$15,MATCH(M16,'G-6 Hedgerow Data'!$B$3:$B$15,0)),"")</f>
        <v/>
      </c>
    </row>
    <row r="17" spans="2:46" ht="13.8" x14ac:dyDescent="0.25">
      <c r="B17" s="311" t="str">
        <f>'B-1 On-Site Hedge Baseline'!AK15</f>
        <v/>
      </c>
      <c r="C17" s="301" t="str">
        <f>IF(B17="","",IF(ISNA(VLOOKUP($B17,'B-1 On-Site Hedge Baseline'!$B$1:$L$257,3,FALSE)),"",(VLOOKUP($B17,'B-1 On-Site Hedge Baseline'!$B$1:$L$257,3,FALSE))))</f>
        <v/>
      </c>
      <c r="D17" s="301" t="str">
        <f>IF(B17="","",IF(ISNA(VLOOKUP($B17,'B-1 On-Site Hedge Baseline'!$B$1:$L$257,4,FALSE)),"",(VLOOKUP($B17,'B-1 On-Site Hedge Baseline'!$B$1:$L$257,4,FALSE))))</f>
        <v/>
      </c>
      <c r="E17" s="301" t="str">
        <f>IF(B17="","",IF(ISNA(VLOOKUP($B17,'B-1 On-Site Hedge Baseline'!$B$1:$L$257,5,FALSE)),"",(VLOOKUP($B17,'B-1 On-Site Hedge Baseline'!$B$1:$L$257,5,FALSE))))</f>
        <v/>
      </c>
      <c r="F17" s="301" t="str">
        <f>IF(B17="","",IF(ISNA(VLOOKUP($B17,'B-1 On-Site Hedge Baseline'!$B$1:$L$257,6,FALSE)),"",(VLOOKUP($B17,'B-1 On-Site Hedge Baseline'!$B$1:$L$257,6,FALSE))))</f>
        <v/>
      </c>
      <c r="G17" s="301" t="str">
        <f>IF(B17="","",IF(ISNA(VLOOKUP($B17,'B-1 On-Site Hedge Baseline'!$B$1:$L$257,7,FALSE)),"",(VLOOKUP($B17,'B-1 On-Site Hedge Baseline'!$B$1:$L$257,7,FALSE))))</f>
        <v/>
      </c>
      <c r="H17" s="301" t="str">
        <f>IF(B17="","",IF(ISNA(VLOOKUP($B17,'B-1 On-Site Hedge Baseline'!$B$1:$L$257,8,FALSE)),"",(VLOOKUP($B17,'B-1 On-Site Hedge Baseline'!$B$1:$L$257,8,FALSE))))</f>
        <v/>
      </c>
      <c r="I17" s="301" t="str">
        <f>IF(B17="","",IF(ISNA(VLOOKUP($B17,'B-1 On-Site Hedge Baseline'!$B$1:$L$257,10,FALSE)),"",(VLOOKUP($B17,'B-1 On-Site Hedge Baseline'!$B$1:$L$257,10,FALSE))))</f>
        <v/>
      </c>
      <c r="J17" s="301" t="str">
        <f>IF(B17="","",IF(ISNA(VLOOKUP($B17,'B-1 On-Site Hedge Baseline'!$B$1:$L$257,11,FALSE)),"",(VLOOKUP($B17,'B-1 On-Site Hedge Baseline'!$B$1:$L$257,11,FALSE))))</f>
        <v/>
      </c>
      <c r="K17" s="301" t="str">
        <f>IF(B17="","",IF(ISNA(VLOOKUP($B17,'B-1 On-Site Hedge Baseline'!$B$1:$U$257,13,FALSE)),"",(VLOOKUP($B17,'B-1 On-Site Hedge Baseline'!$B$1:$U$257,13,FALSE))))</f>
        <v/>
      </c>
      <c r="L17" s="305" t="str">
        <f>IF(B17="","",IF(ISNA(VLOOKUP($B17,'B-1 On-Site Hedge Baseline'!$B$1:$U$257,12,FALSE)),"",(VLOOKUP($B17,'B-1 On-Site Hedge Baseline'!$B$1:$U$257,12,FALSE))))</f>
        <v/>
      </c>
      <c r="M17" s="627"/>
      <c r="N17" s="281" t="str">
        <f>IFERROR(IF(B17="","",INDEX('G-6 Hedgerow Data'!$AN$3:$AZ$15,MATCH(C17,'G-6 Hedgerow Data'!$AM$3:$AM$15,0),MATCH(M17,'G-6 Hedgerow Data'!$AN$2:$AZ$2,0))),"")</f>
        <v/>
      </c>
      <c r="O17" s="282" t="str">
        <f t="shared" si="1"/>
        <v/>
      </c>
      <c r="P17" s="335" t="str">
        <f>IF(B17="","",VLOOKUP(B17,'B-1 On-Site Hedge Baseline'!$B$10:T262,16,FALSE))</f>
        <v/>
      </c>
      <c r="Q17" s="281" t="str">
        <f>IF(M17="","",VLOOKUP(M17,'G-6 Hedgerow Data'!$B$2:$AG$15,2,FALSE))</f>
        <v/>
      </c>
      <c r="R17" s="282" t="str">
        <f>IF(M17="","",VLOOKUP(M17,'G-6 Hedgerow Data'!$B$2:$AG$15,3,FALSE))</f>
        <v/>
      </c>
      <c r="S17" s="53"/>
      <c r="T17" s="320" t="str">
        <f>IFERROR(IF(S17="","",IF(AND(M17="Non-native and ornamental hedgerow", S17&lt;&gt;"Poor"),"Not possible ▲", (VLOOKUP(S17,'G-1 All Habitats'!$Z$2:$AA$9,2,FALSE)))),"")</f>
        <v/>
      </c>
      <c r="U17" s="105"/>
      <c r="V17" s="301" t="str">
        <f>IF(U17="","",IF(VLOOKUP(U17,'G-3 Multipliers'!$L$3:$N$6,2,FALSE)=0,"Spatial Data Missing ⚠",VLOOKUP(U17,'G-3 Multipliers'!$L$3:$N$6,2,FALSE)))</f>
        <v/>
      </c>
      <c r="W17" s="305" t="str">
        <f>IF(U17="","",IF(VLOOKUP(U17,'G-3 Multipliers'!$L$3:$N$6,3,FALSE)=0,"Spatial Data Missing ⚠",VLOOKUP(U17,'G-3 Multipliers'!$L$3:$N$6,3,FALSE)))</f>
        <v/>
      </c>
      <c r="X17" s="281" t="str">
        <f>IFERROR(IF(OR(LEFT(O17,5)="Error",LEFT(N17,5)="Error",T17="Error"),"Check Data ⚠",IF(F17&lt;R17,INDEX('G-6 Hedgerow Data'!$S$3:$AE$14,MATCH(C17,'G-6 Hedgerow Data'!$B$3:$B$14,0),MATCH(M17,'G-6 Hedgerow Data'!$S$2:$AE$2,0)),INDEX('G-6 Hedgerow Data'!$K$3:$Q$14,MATCH(M17,'G-6 Hedgerow Data'!$B$3:$B$14,0),MATCH(O17,'G-6 Hedgerow Data'!$K$2:$Q$2,0)))),"")</f>
        <v/>
      </c>
      <c r="Y17" s="137"/>
      <c r="Z17" s="137"/>
      <c r="AA17" s="289" t="str">
        <f t="shared" si="2"/>
        <v/>
      </c>
      <c r="AB17" s="302" t="str">
        <f t="shared" si="3"/>
        <v/>
      </c>
      <c r="AC17" s="303" t="str">
        <f t="shared" si="0"/>
        <v/>
      </c>
      <c r="AD17" s="317" t="str">
        <f>IF(M17="","",VLOOKUP(M17,'G-6 Hedgerow Data'!$B$3:$AG$15,31,FALSE))</f>
        <v/>
      </c>
      <c r="AE17" s="289" t="str">
        <f t="shared" si="4"/>
        <v/>
      </c>
      <c r="AF17" s="289" t="str">
        <f t="shared" si="5"/>
        <v/>
      </c>
      <c r="AG17" s="305" t="str">
        <f>IFERROR(IF(O17="","",VLOOKUP(AD17,'G-3 Multipliers'!$P$3:$Q$6,2,FALSE)),"")</f>
        <v/>
      </c>
      <c r="AH17" s="295" t="str">
        <f t="shared" si="6"/>
        <v/>
      </c>
      <c r="AI17" s="112"/>
      <c r="AJ17" s="119"/>
      <c r="AK17" s="108"/>
      <c r="AT17" s="30" t="str">
        <f>IFERROR(INDEX('G-6 Hedgerow Data'!$BJ$3:$BJ$15,MATCH(M17,'G-6 Hedgerow Data'!$B$3:$B$15,0)),"")</f>
        <v/>
      </c>
    </row>
    <row r="18" spans="2:46" ht="13.8" x14ac:dyDescent="0.25">
      <c r="B18" s="311" t="str">
        <f>'B-1 On-Site Hedge Baseline'!AK16</f>
        <v/>
      </c>
      <c r="C18" s="301" t="str">
        <f>IF(B18="","",IF(ISNA(VLOOKUP($B18,'B-1 On-Site Hedge Baseline'!$B$1:$L$257,3,FALSE)),"",(VLOOKUP($B18,'B-1 On-Site Hedge Baseline'!$B$1:$L$257,3,FALSE))))</f>
        <v/>
      </c>
      <c r="D18" s="301" t="str">
        <f>IF(B18="","",IF(ISNA(VLOOKUP($B18,'B-1 On-Site Hedge Baseline'!$B$1:$L$257,4,FALSE)),"",(VLOOKUP($B18,'B-1 On-Site Hedge Baseline'!$B$1:$L$257,4,FALSE))))</f>
        <v/>
      </c>
      <c r="E18" s="301" t="str">
        <f>IF(B18="","",IF(ISNA(VLOOKUP($B18,'B-1 On-Site Hedge Baseline'!$B$1:$L$257,5,FALSE)),"",(VLOOKUP($B18,'B-1 On-Site Hedge Baseline'!$B$1:$L$257,5,FALSE))))</f>
        <v/>
      </c>
      <c r="F18" s="301" t="str">
        <f>IF(B18="","",IF(ISNA(VLOOKUP($B18,'B-1 On-Site Hedge Baseline'!$B$1:$L$257,6,FALSE)),"",(VLOOKUP($B18,'B-1 On-Site Hedge Baseline'!$B$1:$L$257,6,FALSE))))</f>
        <v/>
      </c>
      <c r="G18" s="301" t="str">
        <f>IF(B18="","",IF(ISNA(VLOOKUP($B18,'B-1 On-Site Hedge Baseline'!$B$1:$L$257,7,FALSE)),"",(VLOOKUP($B18,'B-1 On-Site Hedge Baseline'!$B$1:$L$257,7,FALSE))))</f>
        <v/>
      </c>
      <c r="H18" s="301" t="str">
        <f>IF(B18="","",IF(ISNA(VLOOKUP($B18,'B-1 On-Site Hedge Baseline'!$B$1:$L$257,8,FALSE)),"",(VLOOKUP($B18,'B-1 On-Site Hedge Baseline'!$B$1:$L$257,8,FALSE))))</f>
        <v/>
      </c>
      <c r="I18" s="301" t="str">
        <f>IF(B18="","",IF(ISNA(VLOOKUP($B18,'B-1 On-Site Hedge Baseline'!$B$1:$L$257,10,FALSE)),"",(VLOOKUP($B18,'B-1 On-Site Hedge Baseline'!$B$1:$L$257,10,FALSE))))</f>
        <v/>
      </c>
      <c r="J18" s="301" t="str">
        <f>IF(B18="","",IF(ISNA(VLOOKUP($B18,'B-1 On-Site Hedge Baseline'!$B$1:$L$257,11,FALSE)),"",(VLOOKUP($B18,'B-1 On-Site Hedge Baseline'!$B$1:$L$257,11,FALSE))))</f>
        <v/>
      </c>
      <c r="K18" s="301" t="str">
        <f>IF(B18="","",IF(ISNA(VLOOKUP($B18,'B-1 On-Site Hedge Baseline'!$B$1:$U$257,13,FALSE)),"",(VLOOKUP($B18,'B-1 On-Site Hedge Baseline'!$B$1:$U$257,13,FALSE))))</f>
        <v/>
      </c>
      <c r="L18" s="305" t="str">
        <f>IF(B18="","",IF(ISNA(VLOOKUP($B18,'B-1 On-Site Hedge Baseline'!$B$1:$U$257,12,FALSE)),"",(VLOOKUP($B18,'B-1 On-Site Hedge Baseline'!$B$1:$U$257,12,FALSE))))</f>
        <v/>
      </c>
      <c r="M18" s="627"/>
      <c r="N18" s="281" t="str">
        <f>IFERROR(IF(B18="","",INDEX('G-6 Hedgerow Data'!$AN$3:$AZ$15,MATCH(C18,'G-6 Hedgerow Data'!$AM$3:$AM$15,0),MATCH(M18,'G-6 Hedgerow Data'!$AN$2:$AZ$2,0))),"")</f>
        <v/>
      </c>
      <c r="O18" s="282" t="str">
        <f t="shared" si="1"/>
        <v/>
      </c>
      <c r="P18" s="335" t="str">
        <f>IF(B18="","",VLOOKUP(B18,'B-1 On-Site Hedge Baseline'!$B$10:T263,16,FALSE))</f>
        <v/>
      </c>
      <c r="Q18" s="281" t="str">
        <f>IF(M18="","",VLOOKUP(M18,'G-6 Hedgerow Data'!$B$2:$AG$15,2,FALSE))</f>
        <v/>
      </c>
      <c r="R18" s="282" t="str">
        <f>IF(M18="","",VLOOKUP(M18,'G-6 Hedgerow Data'!$B$2:$AG$15,3,FALSE))</f>
        <v/>
      </c>
      <c r="S18" s="53"/>
      <c r="T18" s="320" t="str">
        <f>IFERROR(IF(S18="","",IF(AND(M18="Non-native and ornamental hedgerow", S18&lt;&gt;"Poor"),"Not possible ▲", (VLOOKUP(S18,'G-1 All Habitats'!$Z$2:$AA$9,2,FALSE)))),"")</f>
        <v/>
      </c>
      <c r="U18" s="105"/>
      <c r="V18" s="301" t="str">
        <f>IF(U18="","",IF(VLOOKUP(U18,'G-3 Multipliers'!$L$3:$N$6,2,FALSE)=0,"Spatial Data Missing ⚠",VLOOKUP(U18,'G-3 Multipliers'!$L$3:$N$6,2,FALSE)))</f>
        <v/>
      </c>
      <c r="W18" s="305" t="str">
        <f>IF(U18="","",IF(VLOOKUP(U18,'G-3 Multipliers'!$L$3:$N$6,3,FALSE)=0,"Spatial Data Missing ⚠",VLOOKUP(U18,'G-3 Multipliers'!$L$3:$N$6,3,FALSE)))</f>
        <v/>
      </c>
      <c r="X18" s="281" t="str">
        <f>IFERROR(IF(OR(LEFT(O18,5)="Error",LEFT(N18,5)="Error",T18="Error"),"Check Data ⚠",IF(F18&lt;R18,INDEX('G-6 Hedgerow Data'!$S$3:$AE$14,MATCH(C18,'G-6 Hedgerow Data'!$B$3:$B$14,0),MATCH(M18,'G-6 Hedgerow Data'!$S$2:$AE$2,0)),INDEX('G-6 Hedgerow Data'!$K$3:$Q$14,MATCH(M18,'G-6 Hedgerow Data'!$B$3:$B$14,0),MATCH(O18,'G-6 Hedgerow Data'!$K$2:$Q$2,0)))),"")</f>
        <v/>
      </c>
      <c r="Y18" s="137"/>
      <c r="Z18" s="137"/>
      <c r="AA18" s="289" t="str">
        <f t="shared" si="2"/>
        <v/>
      </c>
      <c r="AB18" s="302" t="str">
        <f t="shared" si="3"/>
        <v/>
      </c>
      <c r="AC18" s="303" t="str">
        <f t="shared" si="0"/>
        <v/>
      </c>
      <c r="AD18" s="317" t="str">
        <f>IF(M18="","",VLOOKUP(M18,'G-6 Hedgerow Data'!$B$3:$AG$15,31,FALSE))</f>
        <v/>
      </c>
      <c r="AE18" s="289" t="str">
        <f t="shared" si="4"/>
        <v/>
      </c>
      <c r="AF18" s="289" t="str">
        <f t="shared" si="5"/>
        <v/>
      </c>
      <c r="AG18" s="305" t="str">
        <f>IFERROR(IF(O18="","",VLOOKUP(AD18,'G-3 Multipliers'!$P$3:$Q$6,2,FALSE)),"")</f>
        <v/>
      </c>
      <c r="AH18" s="295" t="str">
        <f t="shared" si="6"/>
        <v/>
      </c>
      <c r="AI18" s="112"/>
      <c r="AJ18" s="119"/>
      <c r="AK18" s="108"/>
      <c r="AT18" s="30" t="str">
        <f>IFERROR(INDEX('G-6 Hedgerow Data'!$BJ$3:$BJ$15,MATCH(M18,'G-6 Hedgerow Data'!$B$3:$B$15,0)),"")</f>
        <v/>
      </c>
    </row>
    <row r="19" spans="2:46" ht="13.8" x14ac:dyDescent="0.25">
      <c r="B19" s="311" t="str">
        <f>'B-1 On-Site Hedge Baseline'!AK17</f>
        <v/>
      </c>
      <c r="C19" s="301" t="str">
        <f>IF(B19="","",IF(ISNA(VLOOKUP($B19,'B-1 On-Site Hedge Baseline'!$B$1:$L$257,3,FALSE)),"",(VLOOKUP($B19,'B-1 On-Site Hedge Baseline'!$B$1:$L$257,3,FALSE))))</f>
        <v/>
      </c>
      <c r="D19" s="301" t="str">
        <f>IF(B19="","",IF(ISNA(VLOOKUP($B19,'B-1 On-Site Hedge Baseline'!$B$1:$L$257,4,FALSE)),"",(VLOOKUP($B19,'B-1 On-Site Hedge Baseline'!$B$1:$L$257,4,FALSE))))</f>
        <v/>
      </c>
      <c r="E19" s="301" t="str">
        <f>IF(B19="","",IF(ISNA(VLOOKUP($B19,'B-1 On-Site Hedge Baseline'!$B$1:$L$257,5,FALSE)),"",(VLOOKUP($B19,'B-1 On-Site Hedge Baseline'!$B$1:$L$257,5,FALSE))))</f>
        <v/>
      </c>
      <c r="F19" s="301" t="str">
        <f>IF(B19="","",IF(ISNA(VLOOKUP($B19,'B-1 On-Site Hedge Baseline'!$B$1:$L$257,6,FALSE)),"",(VLOOKUP($B19,'B-1 On-Site Hedge Baseline'!$B$1:$L$257,6,FALSE))))</f>
        <v/>
      </c>
      <c r="G19" s="301" t="str">
        <f>IF(B19="","",IF(ISNA(VLOOKUP($B19,'B-1 On-Site Hedge Baseline'!$B$1:$L$257,7,FALSE)),"",(VLOOKUP($B19,'B-1 On-Site Hedge Baseline'!$B$1:$L$257,7,FALSE))))</f>
        <v/>
      </c>
      <c r="H19" s="301" t="str">
        <f>IF(B19="","",IF(ISNA(VLOOKUP($B19,'B-1 On-Site Hedge Baseline'!$B$1:$L$257,8,FALSE)),"",(VLOOKUP($B19,'B-1 On-Site Hedge Baseline'!$B$1:$L$257,8,FALSE))))</f>
        <v/>
      </c>
      <c r="I19" s="301" t="str">
        <f>IF(B19="","",IF(ISNA(VLOOKUP($B19,'B-1 On-Site Hedge Baseline'!$B$1:$L$257,10,FALSE)),"",(VLOOKUP($B19,'B-1 On-Site Hedge Baseline'!$B$1:$L$257,10,FALSE))))</f>
        <v/>
      </c>
      <c r="J19" s="301" t="str">
        <f>IF(B19="","",IF(ISNA(VLOOKUP($B19,'B-1 On-Site Hedge Baseline'!$B$1:$L$257,11,FALSE)),"",(VLOOKUP($B19,'B-1 On-Site Hedge Baseline'!$B$1:$L$257,11,FALSE))))</f>
        <v/>
      </c>
      <c r="K19" s="301" t="str">
        <f>IF(B19="","",IF(ISNA(VLOOKUP($B19,'B-1 On-Site Hedge Baseline'!$B$1:$U$257,13,FALSE)),"",(VLOOKUP($B19,'B-1 On-Site Hedge Baseline'!$B$1:$U$257,13,FALSE))))</f>
        <v/>
      </c>
      <c r="L19" s="305" t="str">
        <f>IF(B19="","",IF(ISNA(VLOOKUP($B19,'B-1 On-Site Hedge Baseline'!$B$1:$U$257,12,FALSE)),"",(VLOOKUP($B19,'B-1 On-Site Hedge Baseline'!$B$1:$U$257,12,FALSE))))</f>
        <v/>
      </c>
      <c r="M19" s="627"/>
      <c r="N19" s="281" t="str">
        <f>IFERROR(IF(B19="","",INDEX('G-6 Hedgerow Data'!$AN$3:$AZ$15,MATCH(C19,'G-6 Hedgerow Data'!$AM$3:$AM$15,0),MATCH(M19,'G-6 Hedgerow Data'!$AN$2:$AZ$2,0))),"")</f>
        <v/>
      </c>
      <c r="O19" s="282" t="str">
        <f t="shared" si="1"/>
        <v/>
      </c>
      <c r="P19" s="335" t="str">
        <f>IF(B19="","",VLOOKUP(B19,'B-1 On-Site Hedge Baseline'!$B$10:T264,16,FALSE))</f>
        <v/>
      </c>
      <c r="Q19" s="281" t="str">
        <f>IF(M19="","",VLOOKUP(M19,'G-6 Hedgerow Data'!$B$2:$AG$15,2,FALSE))</f>
        <v/>
      </c>
      <c r="R19" s="282" t="str">
        <f>IF(M19="","",VLOOKUP(M19,'G-6 Hedgerow Data'!$B$2:$AG$15,3,FALSE))</f>
        <v/>
      </c>
      <c r="S19" s="53"/>
      <c r="T19" s="320" t="str">
        <f>IFERROR(IF(S19="","",IF(AND(M19="Non-native and ornamental hedgerow", S19&lt;&gt;"Poor"),"Not possible ▲", (VLOOKUP(S19,'G-1 All Habitats'!$Z$2:$AA$9,2,FALSE)))),"")</f>
        <v/>
      </c>
      <c r="U19" s="105"/>
      <c r="V19" s="301" t="str">
        <f>IF(U19="","",IF(VLOOKUP(U19,'G-3 Multipliers'!$L$3:$N$6,2,FALSE)=0,"Spatial Data Missing ⚠",VLOOKUP(U19,'G-3 Multipliers'!$L$3:$N$6,2,FALSE)))</f>
        <v/>
      </c>
      <c r="W19" s="305" t="str">
        <f>IF(U19="","",IF(VLOOKUP(U19,'G-3 Multipliers'!$L$3:$N$6,3,FALSE)=0,"Spatial Data Missing ⚠",VLOOKUP(U19,'G-3 Multipliers'!$L$3:$N$6,3,FALSE)))</f>
        <v/>
      </c>
      <c r="X19" s="281" t="str">
        <f>IFERROR(IF(OR(LEFT(O19,5)="Error",LEFT(N19,5)="Error",T19="Error"),"Check Data ⚠",IF(F19&lt;R19,INDEX('G-6 Hedgerow Data'!$S$3:$AE$14,MATCH(C19,'G-6 Hedgerow Data'!$B$3:$B$14,0),MATCH(M19,'G-6 Hedgerow Data'!$S$2:$AE$2,0)),INDEX('G-6 Hedgerow Data'!$K$3:$Q$14,MATCH(M19,'G-6 Hedgerow Data'!$B$3:$B$14,0),MATCH(O19,'G-6 Hedgerow Data'!$K$2:$Q$2,0)))),"")</f>
        <v/>
      </c>
      <c r="Y19" s="137"/>
      <c r="Z19" s="137"/>
      <c r="AA19" s="289" t="str">
        <f t="shared" si="2"/>
        <v/>
      </c>
      <c r="AB19" s="302" t="str">
        <f t="shared" si="3"/>
        <v/>
      </c>
      <c r="AC19" s="303" t="str">
        <f t="shared" si="0"/>
        <v/>
      </c>
      <c r="AD19" s="317" t="str">
        <f>IF(M19="","",VLOOKUP(M19,'G-6 Hedgerow Data'!$B$3:$AG$15,31,FALSE))</f>
        <v/>
      </c>
      <c r="AE19" s="289" t="str">
        <f t="shared" si="4"/>
        <v/>
      </c>
      <c r="AF19" s="289" t="str">
        <f t="shared" si="5"/>
        <v/>
      </c>
      <c r="AG19" s="305" t="str">
        <f>IFERROR(IF(O19="","",VLOOKUP(AD19,'G-3 Multipliers'!$P$3:$Q$6,2,FALSE)),"")</f>
        <v/>
      </c>
      <c r="AH19" s="295" t="str">
        <f t="shared" si="6"/>
        <v/>
      </c>
      <c r="AI19" s="112"/>
      <c r="AJ19" s="119"/>
      <c r="AK19" s="108"/>
      <c r="AT19" s="30" t="str">
        <f>IFERROR(INDEX('G-6 Hedgerow Data'!$BJ$3:$BJ$15,MATCH(M19,'G-6 Hedgerow Data'!$B$3:$B$15,0)),"")</f>
        <v/>
      </c>
    </row>
    <row r="20" spans="2:46" ht="13.8" x14ac:dyDescent="0.25">
      <c r="B20" s="311" t="str">
        <f>'B-1 On-Site Hedge Baseline'!AK18</f>
        <v/>
      </c>
      <c r="C20" s="301" t="str">
        <f>IF(B20="","",IF(ISNA(VLOOKUP($B20,'B-1 On-Site Hedge Baseline'!$B$1:$L$257,3,FALSE)),"",(VLOOKUP($B20,'B-1 On-Site Hedge Baseline'!$B$1:$L$257,3,FALSE))))</f>
        <v/>
      </c>
      <c r="D20" s="301" t="str">
        <f>IF(B20="","",IF(ISNA(VLOOKUP($B20,'B-1 On-Site Hedge Baseline'!$B$1:$L$257,4,FALSE)),"",(VLOOKUP($B20,'B-1 On-Site Hedge Baseline'!$B$1:$L$257,4,FALSE))))</f>
        <v/>
      </c>
      <c r="E20" s="301" t="str">
        <f>IF(B20="","",IF(ISNA(VLOOKUP($B20,'B-1 On-Site Hedge Baseline'!$B$1:$L$257,5,FALSE)),"",(VLOOKUP($B20,'B-1 On-Site Hedge Baseline'!$B$1:$L$257,5,FALSE))))</f>
        <v/>
      </c>
      <c r="F20" s="301" t="str">
        <f>IF(B20="","",IF(ISNA(VLOOKUP($B20,'B-1 On-Site Hedge Baseline'!$B$1:$L$257,6,FALSE)),"",(VLOOKUP($B20,'B-1 On-Site Hedge Baseline'!$B$1:$L$257,6,FALSE))))</f>
        <v/>
      </c>
      <c r="G20" s="301" t="str">
        <f>IF(B20="","",IF(ISNA(VLOOKUP($B20,'B-1 On-Site Hedge Baseline'!$B$1:$L$257,7,FALSE)),"",(VLOOKUP($B20,'B-1 On-Site Hedge Baseline'!$B$1:$L$257,7,FALSE))))</f>
        <v/>
      </c>
      <c r="H20" s="301" t="str">
        <f>IF(B20="","",IF(ISNA(VLOOKUP($B20,'B-1 On-Site Hedge Baseline'!$B$1:$L$257,8,FALSE)),"",(VLOOKUP($B20,'B-1 On-Site Hedge Baseline'!$B$1:$L$257,8,FALSE))))</f>
        <v/>
      </c>
      <c r="I20" s="301" t="str">
        <f>IF(B20="","",IF(ISNA(VLOOKUP($B20,'B-1 On-Site Hedge Baseline'!$B$1:$L$257,10,FALSE)),"",(VLOOKUP($B20,'B-1 On-Site Hedge Baseline'!$B$1:$L$257,10,FALSE))))</f>
        <v/>
      </c>
      <c r="J20" s="301" t="str">
        <f>IF(B20="","",IF(ISNA(VLOOKUP($B20,'B-1 On-Site Hedge Baseline'!$B$1:$L$257,11,FALSE)),"",(VLOOKUP($B20,'B-1 On-Site Hedge Baseline'!$B$1:$L$257,11,FALSE))))</f>
        <v/>
      </c>
      <c r="K20" s="301" t="str">
        <f>IF(B20="","",IF(ISNA(VLOOKUP($B20,'B-1 On-Site Hedge Baseline'!$B$1:$U$257,13,FALSE)),"",(VLOOKUP($B20,'B-1 On-Site Hedge Baseline'!$B$1:$U$257,13,FALSE))))</f>
        <v/>
      </c>
      <c r="L20" s="305" t="str">
        <f>IF(B20="","",IF(ISNA(VLOOKUP($B20,'B-1 On-Site Hedge Baseline'!$B$1:$U$257,12,FALSE)),"",(VLOOKUP($B20,'B-1 On-Site Hedge Baseline'!$B$1:$U$257,12,FALSE))))</f>
        <v/>
      </c>
      <c r="M20" s="627"/>
      <c r="N20" s="281" t="str">
        <f>IFERROR(IF(B20="","",INDEX('G-6 Hedgerow Data'!$AN$3:$AZ$15,MATCH(C20,'G-6 Hedgerow Data'!$AM$3:$AM$15,0),MATCH(M20,'G-6 Hedgerow Data'!$AN$2:$AZ$2,0))),"")</f>
        <v/>
      </c>
      <c r="O20" s="282" t="str">
        <f t="shared" si="1"/>
        <v/>
      </c>
      <c r="P20" s="335" t="str">
        <f>IF(B20="","",VLOOKUP(B20,'B-1 On-Site Hedge Baseline'!$B$10:T265,16,FALSE))</f>
        <v/>
      </c>
      <c r="Q20" s="281" t="str">
        <f>IF(M20="","",VLOOKUP(M20,'G-6 Hedgerow Data'!$B$2:$AG$15,2,FALSE))</f>
        <v/>
      </c>
      <c r="R20" s="282" t="str">
        <f>IF(M20="","",VLOOKUP(M20,'G-6 Hedgerow Data'!$B$2:$AG$15,3,FALSE))</f>
        <v/>
      </c>
      <c r="S20" s="53"/>
      <c r="T20" s="320" t="str">
        <f>IFERROR(IF(S20="","",IF(AND(M20="Non-native and ornamental hedgerow", S20&lt;&gt;"Poor"),"Not possible ▲", (VLOOKUP(S20,'G-1 All Habitats'!$Z$2:$AA$9,2,FALSE)))),"")</f>
        <v/>
      </c>
      <c r="U20" s="105"/>
      <c r="V20" s="301" t="str">
        <f>IF(U20="","",IF(VLOOKUP(U20,'G-3 Multipliers'!$L$3:$N$6,2,FALSE)=0,"Spatial Data Missing ⚠",VLOOKUP(U20,'G-3 Multipliers'!$L$3:$N$6,2,FALSE)))</f>
        <v/>
      </c>
      <c r="W20" s="305" t="str">
        <f>IF(U20="","",IF(VLOOKUP(U20,'G-3 Multipliers'!$L$3:$N$6,3,FALSE)=0,"Spatial Data Missing ⚠",VLOOKUP(U20,'G-3 Multipliers'!$L$3:$N$6,3,FALSE)))</f>
        <v/>
      </c>
      <c r="X20" s="281" t="str">
        <f>IFERROR(IF(OR(LEFT(O20,5)="Error",LEFT(N20,5)="Error",T20="Error"),"Check Data ⚠",IF(F20&lt;R20,INDEX('G-6 Hedgerow Data'!$S$3:$AE$14,MATCH(C20,'G-6 Hedgerow Data'!$B$3:$B$14,0),MATCH(M20,'G-6 Hedgerow Data'!$S$2:$AE$2,0)),INDEX('G-6 Hedgerow Data'!$K$3:$Q$14,MATCH(M20,'G-6 Hedgerow Data'!$B$3:$B$14,0),MATCH(O20,'G-6 Hedgerow Data'!$K$2:$Q$2,0)))),"")</f>
        <v/>
      </c>
      <c r="Y20" s="137"/>
      <c r="Z20" s="137"/>
      <c r="AA20" s="289" t="str">
        <f t="shared" si="2"/>
        <v/>
      </c>
      <c r="AB20" s="302" t="str">
        <f t="shared" si="3"/>
        <v/>
      </c>
      <c r="AC20" s="303" t="str">
        <f t="shared" si="0"/>
        <v/>
      </c>
      <c r="AD20" s="317" t="str">
        <f>IF(M20="","",VLOOKUP(M20,'G-6 Hedgerow Data'!$B$3:$AG$15,31,FALSE))</f>
        <v/>
      </c>
      <c r="AE20" s="289" t="str">
        <f t="shared" si="4"/>
        <v/>
      </c>
      <c r="AF20" s="289" t="str">
        <f t="shared" si="5"/>
        <v/>
      </c>
      <c r="AG20" s="305" t="str">
        <f>IFERROR(IF(O20="","",VLOOKUP(AD20,'G-3 Multipliers'!$P$3:$Q$6,2,FALSE)),"")</f>
        <v/>
      </c>
      <c r="AH20" s="295" t="str">
        <f t="shared" si="6"/>
        <v/>
      </c>
      <c r="AI20" s="112"/>
      <c r="AJ20" s="119"/>
      <c r="AK20" s="108"/>
      <c r="AT20" s="30" t="str">
        <f>IFERROR(INDEX('G-6 Hedgerow Data'!$BJ$3:$BJ$15,MATCH(M20,'G-6 Hedgerow Data'!$B$3:$B$15,0)),"")</f>
        <v/>
      </c>
    </row>
    <row r="21" spans="2:46" ht="13.8" x14ac:dyDescent="0.25">
      <c r="B21" s="311" t="str">
        <f>'B-1 On-Site Hedge Baseline'!AK19</f>
        <v/>
      </c>
      <c r="C21" s="301" t="str">
        <f>IF(B21="","",IF(ISNA(VLOOKUP($B21,'B-1 On-Site Hedge Baseline'!$B$1:$L$257,3,FALSE)),"",(VLOOKUP($B21,'B-1 On-Site Hedge Baseline'!$B$1:$L$257,3,FALSE))))</f>
        <v/>
      </c>
      <c r="D21" s="301" t="str">
        <f>IF(B21="","",IF(ISNA(VLOOKUP($B21,'B-1 On-Site Hedge Baseline'!$B$1:$L$257,4,FALSE)),"",(VLOOKUP($B21,'B-1 On-Site Hedge Baseline'!$B$1:$L$257,4,FALSE))))</f>
        <v/>
      </c>
      <c r="E21" s="301" t="str">
        <f>IF(B21="","",IF(ISNA(VLOOKUP($B21,'B-1 On-Site Hedge Baseline'!$B$1:$L$257,5,FALSE)),"",(VLOOKUP($B21,'B-1 On-Site Hedge Baseline'!$B$1:$L$257,5,FALSE))))</f>
        <v/>
      </c>
      <c r="F21" s="301" t="str">
        <f>IF(B21="","",IF(ISNA(VLOOKUP($B21,'B-1 On-Site Hedge Baseline'!$B$1:$L$257,6,FALSE)),"",(VLOOKUP($B21,'B-1 On-Site Hedge Baseline'!$B$1:$L$257,6,FALSE))))</f>
        <v/>
      </c>
      <c r="G21" s="301" t="str">
        <f>IF(B21="","",IF(ISNA(VLOOKUP($B21,'B-1 On-Site Hedge Baseline'!$B$1:$L$257,7,FALSE)),"",(VLOOKUP($B21,'B-1 On-Site Hedge Baseline'!$B$1:$L$257,7,FALSE))))</f>
        <v/>
      </c>
      <c r="H21" s="301" t="str">
        <f>IF(B21="","",IF(ISNA(VLOOKUP($B21,'B-1 On-Site Hedge Baseline'!$B$1:$L$257,8,FALSE)),"",(VLOOKUP($B21,'B-1 On-Site Hedge Baseline'!$B$1:$L$257,8,FALSE))))</f>
        <v/>
      </c>
      <c r="I21" s="301" t="str">
        <f>IF(B21="","",IF(ISNA(VLOOKUP($B21,'B-1 On-Site Hedge Baseline'!$B$1:$L$257,10,FALSE)),"",(VLOOKUP($B21,'B-1 On-Site Hedge Baseline'!$B$1:$L$257,10,FALSE))))</f>
        <v/>
      </c>
      <c r="J21" s="301" t="str">
        <f>IF(B21="","",IF(ISNA(VLOOKUP($B21,'B-1 On-Site Hedge Baseline'!$B$1:$L$257,11,FALSE)),"",(VLOOKUP($B21,'B-1 On-Site Hedge Baseline'!$B$1:$L$257,11,FALSE))))</f>
        <v/>
      </c>
      <c r="K21" s="301" t="str">
        <f>IF(B21="","",IF(ISNA(VLOOKUP($B21,'B-1 On-Site Hedge Baseline'!$B$1:$U$257,13,FALSE)),"",(VLOOKUP($B21,'B-1 On-Site Hedge Baseline'!$B$1:$U$257,13,FALSE))))</f>
        <v/>
      </c>
      <c r="L21" s="305" t="str">
        <f>IF(B21="","",IF(ISNA(VLOOKUP($B21,'B-1 On-Site Hedge Baseline'!$B$1:$U$257,12,FALSE)),"",(VLOOKUP($B21,'B-1 On-Site Hedge Baseline'!$B$1:$U$257,12,FALSE))))</f>
        <v/>
      </c>
      <c r="M21" s="627"/>
      <c r="N21" s="281" t="str">
        <f>IFERROR(IF(B21="","",INDEX('G-6 Hedgerow Data'!$AN$3:$AZ$15,MATCH(C21,'G-6 Hedgerow Data'!$AM$3:$AM$15,0),MATCH(M21,'G-6 Hedgerow Data'!$AN$2:$AZ$2,0))),"")</f>
        <v/>
      </c>
      <c r="O21" s="282" t="str">
        <f t="shared" si="1"/>
        <v/>
      </c>
      <c r="P21" s="335" t="str">
        <f>IF(B21="","",VLOOKUP(B21,'B-1 On-Site Hedge Baseline'!$B$10:T266,16,FALSE))</f>
        <v/>
      </c>
      <c r="Q21" s="281" t="str">
        <f>IF(M21="","",VLOOKUP(M21,'G-6 Hedgerow Data'!$B$2:$AG$15,2,FALSE))</f>
        <v/>
      </c>
      <c r="R21" s="282" t="str">
        <f>IF(M21="","",VLOOKUP(M21,'G-6 Hedgerow Data'!$B$2:$AG$15,3,FALSE))</f>
        <v/>
      </c>
      <c r="S21" s="53"/>
      <c r="T21" s="320" t="str">
        <f>IFERROR(IF(S21="","",IF(AND(M21="Non-native and ornamental hedgerow", S21&lt;&gt;"Poor"),"Not possible ▲", (VLOOKUP(S21,'G-1 All Habitats'!$Z$2:$AA$9,2,FALSE)))),"")</f>
        <v/>
      </c>
      <c r="U21" s="105"/>
      <c r="V21" s="301" t="str">
        <f>IF(U21="","",IF(VLOOKUP(U21,'G-3 Multipliers'!$L$3:$N$6,2,FALSE)=0,"Spatial Data Missing ⚠",VLOOKUP(U21,'G-3 Multipliers'!$L$3:$N$6,2,FALSE)))</f>
        <v/>
      </c>
      <c r="W21" s="305" t="str">
        <f>IF(U21="","",IF(VLOOKUP(U21,'G-3 Multipliers'!$L$3:$N$6,3,FALSE)=0,"Spatial Data Missing ⚠",VLOOKUP(U21,'G-3 Multipliers'!$L$3:$N$6,3,FALSE)))</f>
        <v/>
      </c>
      <c r="X21" s="281" t="str">
        <f>IFERROR(IF(OR(LEFT(O21,5)="Error",LEFT(N21,5)="Error",T21="Error"),"Check Data ⚠",IF(F21&lt;R21,INDEX('G-6 Hedgerow Data'!$S$3:$AE$14,MATCH(C21,'G-6 Hedgerow Data'!$B$3:$B$14,0),MATCH(M21,'G-6 Hedgerow Data'!$S$2:$AE$2,0)),INDEX('G-6 Hedgerow Data'!$K$3:$Q$14,MATCH(M21,'G-6 Hedgerow Data'!$B$3:$B$14,0),MATCH(O21,'G-6 Hedgerow Data'!$K$2:$Q$2,0)))),"")</f>
        <v/>
      </c>
      <c r="Y21" s="137"/>
      <c r="Z21" s="137"/>
      <c r="AA21" s="289" t="str">
        <f t="shared" si="2"/>
        <v/>
      </c>
      <c r="AB21" s="302" t="str">
        <f t="shared" si="3"/>
        <v/>
      </c>
      <c r="AC21" s="303" t="str">
        <f t="shared" si="0"/>
        <v/>
      </c>
      <c r="AD21" s="317" t="str">
        <f>IF(M21="","",VLOOKUP(M21,'G-6 Hedgerow Data'!$B$3:$AG$15,31,FALSE))</f>
        <v/>
      </c>
      <c r="AE21" s="289" t="str">
        <f t="shared" si="4"/>
        <v/>
      </c>
      <c r="AF21" s="289" t="str">
        <f t="shared" si="5"/>
        <v/>
      </c>
      <c r="AG21" s="305" t="str">
        <f>IFERROR(IF(O21="","",VLOOKUP(AD21,'G-3 Multipliers'!$P$3:$Q$6,2,FALSE)),"")</f>
        <v/>
      </c>
      <c r="AH21" s="295" t="str">
        <f t="shared" si="6"/>
        <v/>
      </c>
      <c r="AI21" s="112"/>
      <c r="AJ21" s="119"/>
      <c r="AK21" s="108"/>
      <c r="AT21" s="30" t="str">
        <f>IFERROR(INDEX('G-6 Hedgerow Data'!$BJ$3:$BJ$15,MATCH(M21,'G-6 Hedgerow Data'!$B$3:$B$15,0)),"")</f>
        <v/>
      </c>
    </row>
    <row r="22" spans="2:46" ht="13.8" x14ac:dyDescent="0.25">
      <c r="B22" s="311" t="str">
        <f>'B-1 On-Site Hedge Baseline'!AK20</f>
        <v/>
      </c>
      <c r="C22" s="301" t="str">
        <f>IF(B22="","",IF(ISNA(VLOOKUP($B22,'B-1 On-Site Hedge Baseline'!$B$1:$L$257,3,FALSE)),"",(VLOOKUP($B22,'B-1 On-Site Hedge Baseline'!$B$1:$L$257,3,FALSE))))</f>
        <v/>
      </c>
      <c r="D22" s="301" t="str">
        <f>IF(B22="","",IF(ISNA(VLOOKUP($B22,'B-1 On-Site Hedge Baseline'!$B$1:$L$257,4,FALSE)),"",(VLOOKUP($B22,'B-1 On-Site Hedge Baseline'!$B$1:$L$257,4,FALSE))))</f>
        <v/>
      </c>
      <c r="E22" s="301" t="str">
        <f>IF(B22="","",IF(ISNA(VLOOKUP($B22,'B-1 On-Site Hedge Baseline'!$B$1:$L$257,5,FALSE)),"",(VLOOKUP($B22,'B-1 On-Site Hedge Baseline'!$B$1:$L$257,5,FALSE))))</f>
        <v/>
      </c>
      <c r="F22" s="301" t="str">
        <f>IF(B22="","",IF(ISNA(VLOOKUP($B22,'B-1 On-Site Hedge Baseline'!$B$1:$L$257,6,FALSE)),"",(VLOOKUP($B22,'B-1 On-Site Hedge Baseline'!$B$1:$L$257,6,FALSE))))</f>
        <v/>
      </c>
      <c r="G22" s="301" t="str">
        <f>IF(B22="","",IF(ISNA(VLOOKUP($B22,'B-1 On-Site Hedge Baseline'!$B$1:$L$257,7,FALSE)),"",(VLOOKUP($B22,'B-1 On-Site Hedge Baseline'!$B$1:$L$257,7,FALSE))))</f>
        <v/>
      </c>
      <c r="H22" s="301" t="str">
        <f>IF(B22="","",IF(ISNA(VLOOKUP($B22,'B-1 On-Site Hedge Baseline'!$B$1:$L$257,8,FALSE)),"",(VLOOKUP($B22,'B-1 On-Site Hedge Baseline'!$B$1:$L$257,8,FALSE))))</f>
        <v/>
      </c>
      <c r="I22" s="301" t="str">
        <f>IF(B22="","",IF(ISNA(VLOOKUP($B22,'B-1 On-Site Hedge Baseline'!$B$1:$L$257,10,FALSE)),"",(VLOOKUP($B22,'B-1 On-Site Hedge Baseline'!$B$1:$L$257,10,FALSE))))</f>
        <v/>
      </c>
      <c r="J22" s="301" t="str">
        <f>IF(B22="","",IF(ISNA(VLOOKUP($B22,'B-1 On-Site Hedge Baseline'!$B$1:$L$257,11,FALSE)),"",(VLOOKUP($B22,'B-1 On-Site Hedge Baseline'!$B$1:$L$257,11,FALSE))))</f>
        <v/>
      </c>
      <c r="K22" s="301" t="str">
        <f>IF(B22="","",IF(ISNA(VLOOKUP($B22,'B-1 On-Site Hedge Baseline'!$B$1:$U$257,13,FALSE)),"",(VLOOKUP($B22,'B-1 On-Site Hedge Baseline'!$B$1:$U$257,13,FALSE))))</f>
        <v/>
      </c>
      <c r="L22" s="305" t="str">
        <f>IF(B22="","",IF(ISNA(VLOOKUP($B22,'B-1 On-Site Hedge Baseline'!$B$1:$U$257,12,FALSE)),"",(VLOOKUP($B22,'B-1 On-Site Hedge Baseline'!$B$1:$U$257,12,FALSE))))</f>
        <v/>
      </c>
      <c r="M22" s="627"/>
      <c r="N22" s="281" t="str">
        <f>IFERROR(IF(B22="","",INDEX('G-6 Hedgerow Data'!$AN$3:$AZ$15,MATCH(C22,'G-6 Hedgerow Data'!$AM$3:$AM$15,0),MATCH(M22,'G-6 Hedgerow Data'!$AN$2:$AZ$2,0))),"")</f>
        <v/>
      </c>
      <c r="O22" s="282" t="str">
        <f t="shared" si="1"/>
        <v/>
      </c>
      <c r="P22" s="335" t="str">
        <f>IF(B22="","",VLOOKUP(B22,'B-1 On-Site Hedge Baseline'!$B$10:T267,16,FALSE))</f>
        <v/>
      </c>
      <c r="Q22" s="281" t="str">
        <f>IF(M22="","",VLOOKUP(M22,'G-6 Hedgerow Data'!$B$2:$AG$15,2,FALSE))</f>
        <v/>
      </c>
      <c r="R22" s="282" t="str">
        <f>IF(M22="","",VLOOKUP(M22,'G-6 Hedgerow Data'!$B$2:$AG$15,3,FALSE))</f>
        <v/>
      </c>
      <c r="S22" s="53"/>
      <c r="T22" s="320" t="str">
        <f>IFERROR(IF(S22="","",IF(AND(M22="Non-native and ornamental hedgerow", S22&lt;&gt;"Poor"),"Not possible ▲", (VLOOKUP(S22,'G-1 All Habitats'!$Z$2:$AA$9,2,FALSE)))),"")</f>
        <v/>
      </c>
      <c r="U22" s="105"/>
      <c r="V22" s="301" t="str">
        <f>IF(U22="","",IF(VLOOKUP(U22,'G-3 Multipliers'!$L$3:$N$6,2,FALSE)=0,"Spatial Data Missing ⚠",VLOOKUP(U22,'G-3 Multipliers'!$L$3:$N$6,2,FALSE)))</f>
        <v/>
      </c>
      <c r="W22" s="305" t="str">
        <f>IF(U22="","",IF(VLOOKUP(U22,'G-3 Multipliers'!$L$3:$N$6,3,FALSE)=0,"Spatial Data Missing ⚠",VLOOKUP(U22,'G-3 Multipliers'!$L$3:$N$6,3,FALSE)))</f>
        <v/>
      </c>
      <c r="X22" s="281" t="str">
        <f>IFERROR(IF(OR(LEFT(O22,5)="Error",LEFT(N22,5)="Error",T22="Error"),"Check Data ⚠",IF(F22&lt;R22,INDEX('G-6 Hedgerow Data'!$S$3:$AE$14,MATCH(C22,'G-6 Hedgerow Data'!$B$3:$B$14,0),MATCH(M22,'G-6 Hedgerow Data'!$S$2:$AE$2,0)),INDEX('G-6 Hedgerow Data'!$K$3:$Q$14,MATCH(M22,'G-6 Hedgerow Data'!$B$3:$B$14,0),MATCH(O22,'G-6 Hedgerow Data'!$K$2:$Q$2,0)))),"")</f>
        <v/>
      </c>
      <c r="Y22" s="137"/>
      <c r="Z22" s="137"/>
      <c r="AA22" s="289" t="str">
        <f t="shared" si="2"/>
        <v/>
      </c>
      <c r="AB22" s="302" t="str">
        <f t="shared" si="3"/>
        <v/>
      </c>
      <c r="AC22" s="303" t="str">
        <f t="shared" si="0"/>
        <v/>
      </c>
      <c r="AD22" s="317" t="str">
        <f>IF(M22="","",VLOOKUP(M22,'G-6 Hedgerow Data'!$B$3:$AG$15,31,FALSE))</f>
        <v/>
      </c>
      <c r="AE22" s="289" t="str">
        <f t="shared" si="4"/>
        <v/>
      </c>
      <c r="AF22" s="289" t="str">
        <f t="shared" si="5"/>
        <v/>
      </c>
      <c r="AG22" s="305" t="str">
        <f>IFERROR(IF(O22="","",VLOOKUP(AD22,'G-3 Multipliers'!$P$3:$Q$6,2,FALSE)),"")</f>
        <v/>
      </c>
      <c r="AH22" s="295" t="str">
        <f t="shared" si="6"/>
        <v/>
      </c>
      <c r="AI22" s="112"/>
      <c r="AJ22" s="119"/>
      <c r="AK22" s="108"/>
      <c r="AT22" s="30" t="str">
        <f>IFERROR(INDEX('G-6 Hedgerow Data'!$BJ$3:$BJ$15,MATCH(M22,'G-6 Hedgerow Data'!$B$3:$B$15,0)),"")</f>
        <v/>
      </c>
    </row>
    <row r="23" spans="2:46" ht="13.8" x14ac:dyDescent="0.25">
      <c r="B23" s="311" t="str">
        <f>'B-1 On-Site Hedge Baseline'!AK21</f>
        <v/>
      </c>
      <c r="C23" s="301" t="str">
        <f>IF(B23="","",IF(ISNA(VLOOKUP($B23,'B-1 On-Site Hedge Baseline'!$B$1:$L$257,3,FALSE)),"",(VLOOKUP($B23,'B-1 On-Site Hedge Baseline'!$B$1:$L$257,3,FALSE))))</f>
        <v/>
      </c>
      <c r="D23" s="301" t="str">
        <f>IF(B23="","",IF(ISNA(VLOOKUP($B23,'B-1 On-Site Hedge Baseline'!$B$1:$L$257,4,FALSE)),"",(VLOOKUP($B23,'B-1 On-Site Hedge Baseline'!$B$1:$L$257,4,FALSE))))</f>
        <v/>
      </c>
      <c r="E23" s="301" t="str">
        <f>IF(B23="","",IF(ISNA(VLOOKUP($B23,'B-1 On-Site Hedge Baseline'!$B$1:$L$257,5,FALSE)),"",(VLOOKUP($B23,'B-1 On-Site Hedge Baseline'!$B$1:$L$257,5,FALSE))))</f>
        <v/>
      </c>
      <c r="F23" s="301" t="str">
        <f>IF(B23="","",IF(ISNA(VLOOKUP($B23,'B-1 On-Site Hedge Baseline'!$B$1:$L$257,6,FALSE)),"",(VLOOKUP($B23,'B-1 On-Site Hedge Baseline'!$B$1:$L$257,6,FALSE))))</f>
        <v/>
      </c>
      <c r="G23" s="301" t="str">
        <f>IF(B23="","",IF(ISNA(VLOOKUP($B23,'B-1 On-Site Hedge Baseline'!$B$1:$L$257,7,FALSE)),"",(VLOOKUP($B23,'B-1 On-Site Hedge Baseline'!$B$1:$L$257,7,FALSE))))</f>
        <v/>
      </c>
      <c r="H23" s="301" t="str">
        <f>IF(B23="","",IF(ISNA(VLOOKUP($B23,'B-1 On-Site Hedge Baseline'!$B$1:$L$257,8,FALSE)),"",(VLOOKUP($B23,'B-1 On-Site Hedge Baseline'!$B$1:$L$257,8,FALSE))))</f>
        <v/>
      </c>
      <c r="I23" s="301" t="str">
        <f>IF(B23="","",IF(ISNA(VLOOKUP($B23,'B-1 On-Site Hedge Baseline'!$B$1:$L$257,10,FALSE)),"",(VLOOKUP($B23,'B-1 On-Site Hedge Baseline'!$B$1:$L$257,10,FALSE))))</f>
        <v/>
      </c>
      <c r="J23" s="301" t="str">
        <f>IF(B23="","",IF(ISNA(VLOOKUP($B23,'B-1 On-Site Hedge Baseline'!$B$1:$L$257,11,FALSE)),"",(VLOOKUP($B23,'B-1 On-Site Hedge Baseline'!$B$1:$L$257,11,FALSE))))</f>
        <v/>
      </c>
      <c r="K23" s="301" t="str">
        <f>IF(B23="","",IF(ISNA(VLOOKUP($B23,'B-1 On-Site Hedge Baseline'!$B$1:$U$257,13,FALSE)),"",(VLOOKUP($B23,'B-1 On-Site Hedge Baseline'!$B$1:$U$257,13,FALSE))))</f>
        <v/>
      </c>
      <c r="L23" s="305" t="str">
        <f>IF(B23="","",IF(ISNA(VLOOKUP($B23,'B-1 On-Site Hedge Baseline'!$B$1:$U$257,12,FALSE)),"",(VLOOKUP($B23,'B-1 On-Site Hedge Baseline'!$B$1:$U$257,12,FALSE))))</f>
        <v/>
      </c>
      <c r="M23" s="627"/>
      <c r="N23" s="281" t="str">
        <f>IFERROR(IF(B23="","",INDEX('G-6 Hedgerow Data'!$AN$3:$AZ$15,MATCH(C23,'G-6 Hedgerow Data'!$AM$3:$AM$15,0),MATCH(M23,'G-6 Hedgerow Data'!$AN$2:$AZ$2,0))),"")</f>
        <v/>
      </c>
      <c r="O23" s="282" t="str">
        <f t="shared" si="1"/>
        <v/>
      </c>
      <c r="P23" s="335" t="str">
        <f>IF(B23="","",VLOOKUP(B23,'B-1 On-Site Hedge Baseline'!$B$10:T268,16,FALSE))</f>
        <v/>
      </c>
      <c r="Q23" s="281" t="str">
        <f>IF(M23="","",VLOOKUP(M23,'G-6 Hedgerow Data'!$B$2:$AG$15,2,FALSE))</f>
        <v/>
      </c>
      <c r="R23" s="282" t="str">
        <f>IF(M23="","",VLOOKUP(M23,'G-6 Hedgerow Data'!$B$2:$AG$15,3,FALSE))</f>
        <v/>
      </c>
      <c r="S23" s="53"/>
      <c r="T23" s="320" t="str">
        <f>IFERROR(IF(S23="","",IF(AND(M23="Non-native and ornamental hedgerow", S23&lt;&gt;"Poor"),"Not possible ▲", (VLOOKUP(S23,'G-1 All Habitats'!$Z$2:$AA$9,2,FALSE)))),"")</f>
        <v/>
      </c>
      <c r="U23" s="105"/>
      <c r="V23" s="301" t="str">
        <f>IF(U23="","",IF(VLOOKUP(U23,'G-3 Multipliers'!$L$3:$N$6,2,FALSE)=0,"Spatial Data Missing ⚠",VLOOKUP(U23,'G-3 Multipliers'!$L$3:$N$6,2,FALSE)))</f>
        <v/>
      </c>
      <c r="W23" s="305" t="str">
        <f>IF(U23="","",IF(VLOOKUP(U23,'G-3 Multipliers'!$L$3:$N$6,3,FALSE)=0,"Spatial Data Missing ⚠",VLOOKUP(U23,'G-3 Multipliers'!$L$3:$N$6,3,FALSE)))</f>
        <v/>
      </c>
      <c r="X23" s="281" t="str">
        <f>IFERROR(IF(OR(LEFT(O23,5)="Error",LEFT(N23,5)="Error",T23="Error"),"Check Data ⚠",IF(F23&lt;R23,INDEX('G-6 Hedgerow Data'!$S$3:$AE$14,MATCH(C23,'G-6 Hedgerow Data'!$B$3:$B$14,0),MATCH(M23,'G-6 Hedgerow Data'!$S$2:$AE$2,0)),INDEX('G-6 Hedgerow Data'!$K$3:$Q$14,MATCH(M23,'G-6 Hedgerow Data'!$B$3:$B$14,0),MATCH(O23,'G-6 Hedgerow Data'!$K$2:$Q$2,0)))),"")</f>
        <v/>
      </c>
      <c r="Y23" s="137"/>
      <c r="Z23" s="137"/>
      <c r="AA23" s="289" t="str">
        <f t="shared" si="2"/>
        <v/>
      </c>
      <c r="AB23" s="302" t="str">
        <f t="shared" si="3"/>
        <v/>
      </c>
      <c r="AC23" s="303" t="str">
        <f t="shared" si="0"/>
        <v/>
      </c>
      <c r="AD23" s="317" t="str">
        <f>IF(M23="","",VLOOKUP(M23,'G-6 Hedgerow Data'!$B$3:$AG$15,31,FALSE))</f>
        <v/>
      </c>
      <c r="AE23" s="289" t="str">
        <f t="shared" si="4"/>
        <v/>
      </c>
      <c r="AF23" s="289" t="str">
        <f t="shared" si="5"/>
        <v/>
      </c>
      <c r="AG23" s="305" t="str">
        <f>IFERROR(IF(O23="","",VLOOKUP(AD23,'G-3 Multipliers'!$P$3:$Q$6,2,FALSE)),"")</f>
        <v/>
      </c>
      <c r="AH23" s="295" t="str">
        <f t="shared" si="6"/>
        <v/>
      </c>
      <c r="AI23" s="112"/>
      <c r="AJ23" s="119"/>
      <c r="AK23" s="108"/>
      <c r="AT23" s="30" t="str">
        <f>IFERROR(INDEX('G-6 Hedgerow Data'!$BJ$3:$BJ$15,MATCH(M23,'G-6 Hedgerow Data'!$B$3:$B$15,0)),"")</f>
        <v/>
      </c>
    </row>
    <row r="24" spans="2:46" ht="13.8" x14ac:dyDescent="0.25">
      <c r="B24" s="311" t="str">
        <f>'B-1 On-Site Hedge Baseline'!AK22</f>
        <v/>
      </c>
      <c r="C24" s="301" t="str">
        <f>IF(B24="","",IF(ISNA(VLOOKUP($B24,'B-1 On-Site Hedge Baseline'!$B$1:$L$257,3,FALSE)),"",(VLOOKUP($B24,'B-1 On-Site Hedge Baseline'!$B$1:$L$257,3,FALSE))))</f>
        <v/>
      </c>
      <c r="D24" s="301" t="str">
        <f>IF(B24="","",IF(ISNA(VLOOKUP($B24,'B-1 On-Site Hedge Baseline'!$B$1:$L$257,4,FALSE)),"",(VLOOKUP($B24,'B-1 On-Site Hedge Baseline'!$B$1:$L$257,4,FALSE))))</f>
        <v/>
      </c>
      <c r="E24" s="301" t="str">
        <f>IF(B24="","",IF(ISNA(VLOOKUP($B24,'B-1 On-Site Hedge Baseline'!$B$1:$L$257,5,FALSE)),"",(VLOOKUP($B24,'B-1 On-Site Hedge Baseline'!$B$1:$L$257,5,FALSE))))</f>
        <v/>
      </c>
      <c r="F24" s="301" t="str">
        <f>IF(B24="","",IF(ISNA(VLOOKUP($B24,'B-1 On-Site Hedge Baseline'!$B$1:$L$257,6,FALSE)),"",(VLOOKUP($B24,'B-1 On-Site Hedge Baseline'!$B$1:$L$257,6,FALSE))))</f>
        <v/>
      </c>
      <c r="G24" s="301" t="str">
        <f>IF(B24="","",IF(ISNA(VLOOKUP($B24,'B-1 On-Site Hedge Baseline'!$B$1:$L$257,7,FALSE)),"",(VLOOKUP($B24,'B-1 On-Site Hedge Baseline'!$B$1:$L$257,7,FALSE))))</f>
        <v/>
      </c>
      <c r="H24" s="301" t="str">
        <f>IF(B24="","",IF(ISNA(VLOOKUP($B24,'B-1 On-Site Hedge Baseline'!$B$1:$L$257,8,FALSE)),"",(VLOOKUP($B24,'B-1 On-Site Hedge Baseline'!$B$1:$L$257,8,FALSE))))</f>
        <v/>
      </c>
      <c r="I24" s="301" t="str">
        <f>IF(B24="","",IF(ISNA(VLOOKUP($B24,'B-1 On-Site Hedge Baseline'!$B$1:$L$257,10,FALSE)),"",(VLOOKUP($B24,'B-1 On-Site Hedge Baseline'!$B$1:$L$257,10,FALSE))))</f>
        <v/>
      </c>
      <c r="J24" s="301" t="str">
        <f>IF(B24="","",IF(ISNA(VLOOKUP($B24,'B-1 On-Site Hedge Baseline'!$B$1:$L$257,11,FALSE)),"",(VLOOKUP($B24,'B-1 On-Site Hedge Baseline'!$B$1:$L$257,11,FALSE))))</f>
        <v/>
      </c>
      <c r="K24" s="301" t="str">
        <f>IF(B24="","",IF(ISNA(VLOOKUP($B24,'B-1 On-Site Hedge Baseline'!$B$1:$U$257,13,FALSE)),"",(VLOOKUP($B24,'B-1 On-Site Hedge Baseline'!$B$1:$U$257,13,FALSE))))</f>
        <v/>
      </c>
      <c r="L24" s="305" t="str">
        <f>IF(B24="","",IF(ISNA(VLOOKUP($B24,'B-1 On-Site Hedge Baseline'!$B$1:$U$257,12,FALSE)),"",(VLOOKUP($B24,'B-1 On-Site Hedge Baseline'!$B$1:$U$257,12,FALSE))))</f>
        <v/>
      </c>
      <c r="M24" s="627"/>
      <c r="N24" s="281" t="str">
        <f>IFERROR(IF(B24="","",INDEX('G-6 Hedgerow Data'!$AN$3:$AZ$15,MATCH(C24,'G-6 Hedgerow Data'!$AM$3:$AM$15,0),MATCH(M24,'G-6 Hedgerow Data'!$AN$2:$AZ$2,0))),"")</f>
        <v/>
      </c>
      <c r="O24" s="282" t="str">
        <f t="shared" si="1"/>
        <v/>
      </c>
      <c r="P24" s="335" t="str">
        <f>IF(B24="","",VLOOKUP(B24,'B-1 On-Site Hedge Baseline'!$B$10:T269,16,FALSE))</f>
        <v/>
      </c>
      <c r="Q24" s="281" t="str">
        <f>IF(M24="","",VLOOKUP(M24,'G-6 Hedgerow Data'!$B$2:$AG$15,2,FALSE))</f>
        <v/>
      </c>
      <c r="R24" s="282" t="str">
        <f>IF(M24="","",VLOOKUP(M24,'G-6 Hedgerow Data'!$B$2:$AG$15,3,FALSE))</f>
        <v/>
      </c>
      <c r="S24" s="105"/>
      <c r="T24" s="320" t="str">
        <f>IFERROR(IF(S24="","",IF(AND(M24="Non-native and ornamental hedgerow", S24&lt;&gt;"Poor"),"Not possible ▲", (VLOOKUP(S24,'G-1 All Habitats'!$Z$2:$AA$9,2,FALSE)))),"")</f>
        <v/>
      </c>
      <c r="U24" s="105"/>
      <c r="V24" s="301" t="str">
        <f>IF(U24="","",IF(VLOOKUP(U24,'G-3 Multipliers'!$L$3:$N$6,2,FALSE)=0,"Spatial Data Missing ⚠",VLOOKUP(U24,'G-3 Multipliers'!$L$3:$N$6,2,FALSE)))</f>
        <v/>
      </c>
      <c r="W24" s="305" t="str">
        <f>IF(U24="","",IF(VLOOKUP(U24,'G-3 Multipliers'!$L$3:$N$6,3,FALSE)=0,"Spatial Data Missing ⚠",VLOOKUP(U24,'G-3 Multipliers'!$L$3:$N$6,3,FALSE)))</f>
        <v/>
      </c>
      <c r="X24" s="281" t="str">
        <f>IFERROR(IF(OR(LEFT(O24,5)="Error",LEFT(N24,5)="Error",T24="Error"),"Check Data ⚠",IF(F24&lt;R24,INDEX('G-6 Hedgerow Data'!$S$3:$AE$14,MATCH(C24,'G-6 Hedgerow Data'!$B$3:$B$14,0),MATCH(M24,'G-6 Hedgerow Data'!$S$2:$AE$2,0)),INDEX('G-6 Hedgerow Data'!$K$3:$Q$14,MATCH(M24,'G-6 Hedgerow Data'!$B$3:$B$14,0),MATCH(O24,'G-6 Hedgerow Data'!$K$2:$Q$2,0)))),"")</f>
        <v/>
      </c>
      <c r="Y24" s="137"/>
      <c r="Z24" s="137"/>
      <c r="AA24" s="289" t="str">
        <f t="shared" si="2"/>
        <v/>
      </c>
      <c r="AB24" s="302" t="str">
        <f t="shared" si="3"/>
        <v/>
      </c>
      <c r="AC24" s="303" t="str">
        <f t="shared" si="0"/>
        <v/>
      </c>
      <c r="AD24" s="317" t="str">
        <f>IF(M24="","",VLOOKUP(M24,'G-6 Hedgerow Data'!$B$3:$AG$15,31,FALSE))</f>
        <v/>
      </c>
      <c r="AE24" s="289" t="str">
        <f t="shared" si="4"/>
        <v/>
      </c>
      <c r="AF24" s="289" t="str">
        <f t="shared" si="5"/>
        <v/>
      </c>
      <c r="AG24" s="305" t="str">
        <f>IFERROR(IF(O24="","",VLOOKUP(AD24,'G-3 Multipliers'!$P$3:$Q$6,2,FALSE)),"")</f>
        <v/>
      </c>
      <c r="AH24" s="295" t="str">
        <f t="shared" si="6"/>
        <v/>
      </c>
      <c r="AI24" s="112"/>
      <c r="AJ24" s="119"/>
      <c r="AK24" s="108"/>
      <c r="AT24" s="30" t="str">
        <f>IFERROR(INDEX('G-6 Hedgerow Data'!$BJ$3:$BJ$15,MATCH(M24,'G-6 Hedgerow Data'!$B$3:$B$15,0)),"")</f>
        <v/>
      </c>
    </row>
    <row r="25" spans="2:46" ht="13.8" x14ac:dyDescent="0.25">
      <c r="B25" s="311" t="str">
        <f>'B-1 On-Site Hedge Baseline'!AK23</f>
        <v/>
      </c>
      <c r="C25" s="301" t="str">
        <f>IF(B25="","",IF(ISNA(VLOOKUP($B25,'B-1 On-Site Hedge Baseline'!$B$1:$L$257,3,FALSE)),"",(VLOOKUP($B25,'B-1 On-Site Hedge Baseline'!$B$1:$L$257,3,FALSE))))</f>
        <v/>
      </c>
      <c r="D25" s="301" t="str">
        <f>IF(B25="","",IF(ISNA(VLOOKUP($B25,'B-1 On-Site Hedge Baseline'!$B$1:$L$257,4,FALSE)),"",(VLOOKUP($B25,'B-1 On-Site Hedge Baseline'!$B$1:$L$257,4,FALSE))))</f>
        <v/>
      </c>
      <c r="E25" s="301" t="str">
        <f>IF(B25="","",IF(ISNA(VLOOKUP($B25,'B-1 On-Site Hedge Baseline'!$B$1:$L$257,5,FALSE)),"",(VLOOKUP($B25,'B-1 On-Site Hedge Baseline'!$B$1:$L$257,5,FALSE))))</f>
        <v/>
      </c>
      <c r="F25" s="301" t="str">
        <f>IF(B25="","",IF(ISNA(VLOOKUP($B25,'B-1 On-Site Hedge Baseline'!$B$1:$L$257,6,FALSE)),"",(VLOOKUP($B25,'B-1 On-Site Hedge Baseline'!$B$1:$L$257,6,FALSE))))</f>
        <v/>
      </c>
      <c r="G25" s="301" t="str">
        <f>IF(B25="","",IF(ISNA(VLOOKUP($B25,'B-1 On-Site Hedge Baseline'!$B$1:$L$257,7,FALSE)),"",(VLOOKUP($B25,'B-1 On-Site Hedge Baseline'!$B$1:$L$257,7,FALSE))))</f>
        <v/>
      </c>
      <c r="H25" s="301" t="str">
        <f>IF(B25="","",IF(ISNA(VLOOKUP($B25,'B-1 On-Site Hedge Baseline'!$B$1:$L$257,8,FALSE)),"",(VLOOKUP($B25,'B-1 On-Site Hedge Baseline'!$B$1:$L$257,8,FALSE))))</f>
        <v/>
      </c>
      <c r="I25" s="301" t="str">
        <f>IF(B25="","",IF(ISNA(VLOOKUP($B25,'B-1 On-Site Hedge Baseline'!$B$1:$L$257,10,FALSE)),"",(VLOOKUP($B25,'B-1 On-Site Hedge Baseline'!$B$1:$L$257,10,FALSE))))</f>
        <v/>
      </c>
      <c r="J25" s="301" t="str">
        <f>IF(B25="","",IF(ISNA(VLOOKUP($B25,'B-1 On-Site Hedge Baseline'!$B$1:$L$257,11,FALSE)),"",(VLOOKUP($B25,'B-1 On-Site Hedge Baseline'!$B$1:$L$257,11,FALSE))))</f>
        <v/>
      </c>
      <c r="K25" s="301" t="str">
        <f>IF(B25="","",IF(ISNA(VLOOKUP($B25,'B-1 On-Site Hedge Baseline'!$B$1:$U$257,13,FALSE)),"",(VLOOKUP($B25,'B-1 On-Site Hedge Baseline'!$B$1:$U$257,13,FALSE))))</f>
        <v/>
      </c>
      <c r="L25" s="305" t="str">
        <f>IF(B25="","",IF(ISNA(VLOOKUP($B25,'B-1 On-Site Hedge Baseline'!$B$1:$U$257,12,FALSE)),"",(VLOOKUP($B25,'B-1 On-Site Hedge Baseline'!$B$1:$U$257,12,FALSE))))</f>
        <v/>
      </c>
      <c r="M25" s="627"/>
      <c r="N25" s="281" t="str">
        <f>IFERROR(IF(B25="","",INDEX('G-6 Hedgerow Data'!$AN$3:$AZ$15,MATCH(C25,'G-6 Hedgerow Data'!$AM$3:$AM$15,0),MATCH(M25,'G-6 Hedgerow Data'!$AN$2:$AZ$2,0))),"")</f>
        <v/>
      </c>
      <c r="O25" s="282" t="str">
        <f t="shared" si="1"/>
        <v/>
      </c>
      <c r="P25" s="335" t="str">
        <f>IF(B25="","",VLOOKUP(B25,'B-1 On-Site Hedge Baseline'!$B$10:T270,16,FALSE))</f>
        <v/>
      </c>
      <c r="Q25" s="281" t="str">
        <f>IF(M25="","",VLOOKUP(M25,'G-6 Hedgerow Data'!$B$2:$AG$15,2,FALSE))</f>
        <v/>
      </c>
      <c r="R25" s="282" t="str">
        <f>IF(M25="","",VLOOKUP(M25,'G-6 Hedgerow Data'!$B$2:$AG$15,3,FALSE))</f>
        <v/>
      </c>
      <c r="S25" s="105"/>
      <c r="T25" s="320" t="str">
        <f>IFERROR(IF(S25="","",IF(AND(M25="Non-native and ornamental hedgerow", S25&lt;&gt;"Poor"),"Not possible ▲", (VLOOKUP(S25,'G-1 All Habitats'!$Z$2:$AA$9,2,FALSE)))),"")</f>
        <v/>
      </c>
      <c r="U25" s="105"/>
      <c r="V25" s="301" t="str">
        <f>IF(U25="","",IF(VLOOKUP(U25,'G-3 Multipliers'!$L$3:$N$6,2,FALSE)=0,"Spatial Data Missing ⚠",VLOOKUP(U25,'G-3 Multipliers'!$L$3:$N$6,2,FALSE)))</f>
        <v/>
      </c>
      <c r="W25" s="305" t="str">
        <f>IF(U25="","",IF(VLOOKUP(U25,'G-3 Multipliers'!$L$3:$N$6,3,FALSE)=0,"Spatial Data Missing ⚠",VLOOKUP(U25,'G-3 Multipliers'!$L$3:$N$6,3,FALSE)))</f>
        <v/>
      </c>
      <c r="X25" s="281" t="str">
        <f>IFERROR(IF(OR(LEFT(O25,5)="Error",LEFT(N25,5)="Error",T25="Error"),"Check Data ⚠",IF(F25&lt;R25,INDEX('G-6 Hedgerow Data'!$S$3:$AE$14,MATCH(C25,'G-6 Hedgerow Data'!$B$3:$B$14,0),MATCH(M25,'G-6 Hedgerow Data'!$S$2:$AE$2,0)),INDEX('G-6 Hedgerow Data'!$K$3:$Q$14,MATCH(M25,'G-6 Hedgerow Data'!$B$3:$B$14,0),MATCH(O25,'G-6 Hedgerow Data'!$K$2:$Q$2,0)))),"")</f>
        <v/>
      </c>
      <c r="Y25" s="137"/>
      <c r="Z25" s="137"/>
      <c r="AA25" s="289" t="str">
        <f t="shared" si="2"/>
        <v/>
      </c>
      <c r="AB25" s="302" t="str">
        <f t="shared" si="3"/>
        <v/>
      </c>
      <c r="AC25" s="303" t="str">
        <f t="shared" si="0"/>
        <v/>
      </c>
      <c r="AD25" s="317" t="str">
        <f>IF(M25="","",VLOOKUP(M25,'G-6 Hedgerow Data'!$B$3:$AG$15,31,FALSE))</f>
        <v/>
      </c>
      <c r="AE25" s="289" t="str">
        <f t="shared" si="4"/>
        <v/>
      </c>
      <c r="AF25" s="289" t="str">
        <f t="shared" si="5"/>
        <v/>
      </c>
      <c r="AG25" s="305" t="str">
        <f>IFERROR(IF(O25="","",VLOOKUP(AD25,'G-3 Multipliers'!$P$3:$Q$6,2,FALSE)),"")</f>
        <v/>
      </c>
      <c r="AH25" s="295" t="str">
        <f t="shared" si="6"/>
        <v/>
      </c>
      <c r="AI25" s="112"/>
      <c r="AJ25" s="119"/>
      <c r="AK25" s="108"/>
      <c r="AT25" s="30" t="str">
        <f>IFERROR(INDEX('G-6 Hedgerow Data'!$BJ$3:$BJ$15,MATCH(M25,'G-6 Hedgerow Data'!$B$3:$B$15,0)),"")</f>
        <v/>
      </c>
    </row>
    <row r="26" spans="2:46" ht="13.8" x14ac:dyDescent="0.25">
      <c r="B26" s="311" t="str">
        <f>'B-1 On-Site Hedge Baseline'!AK24</f>
        <v/>
      </c>
      <c r="C26" s="301" t="str">
        <f>IF(B26="","",IF(ISNA(VLOOKUP($B26,'B-1 On-Site Hedge Baseline'!$B$1:$L$257,3,FALSE)),"",(VLOOKUP($B26,'B-1 On-Site Hedge Baseline'!$B$1:$L$257,3,FALSE))))</f>
        <v/>
      </c>
      <c r="D26" s="301" t="str">
        <f>IF(B26="","",IF(ISNA(VLOOKUP($B26,'B-1 On-Site Hedge Baseline'!$B$1:$L$257,4,FALSE)),"",(VLOOKUP($B26,'B-1 On-Site Hedge Baseline'!$B$1:$L$257,4,FALSE))))</f>
        <v/>
      </c>
      <c r="E26" s="301" t="str">
        <f>IF(B26="","",IF(ISNA(VLOOKUP($B26,'B-1 On-Site Hedge Baseline'!$B$1:$L$257,5,FALSE)),"",(VLOOKUP($B26,'B-1 On-Site Hedge Baseline'!$B$1:$L$257,5,FALSE))))</f>
        <v/>
      </c>
      <c r="F26" s="301" t="str">
        <f>IF(B26="","",IF(ISNA(VLOOKUP($B26,'B-1 On-Site Hedge Baseline'!$B$1:$L$257,6,FALSE)),"",(VLOOKUP($B26,'B-1 On-Site Hedge Baseline'!$B$1:$L$257,6,FALSE))))</f>
        <v/>
      </c>
      <c r="G26" s="301" t="str">
        <f>IF(B26="","",IF(ISNA(VLOOKUP($B26,'B-1 On-Site Hedge Baseline'!$B$1:$L$257,7,FALSE)),"",(VLOOKUP($B26,'B-1 On-Site Hedge Baseline'!$B$1:$L$257,7,FALSE))))</f>
        <v/>
      </c>
      <c r="H26" s="301" t="str">
        <f>IF(B26="","",IF(ISNA(VLOOKUP($B26,'B-1 On-Site Hedge Baseline'!$B$1:$L$257,8,FALSE)),"",(VLOOKUP($B26,'B-1 On-Site Hedge Baseline'!$B$1:$L$257,8,FALSE))))</f>
        <v/>
      </c>
      <c r="I26" s="301" t="str">
        <f>IF(B26="","",IF(ISNA(VLOOKUP($B26,'B-1 On-Site Hedge Baseline'!$B$1:$L$257,10,FALSE)),"",(VLOOKUP($B26,'B-1 On-Site Hedge Baseline'!$B$1:$L$257,10,FALSE))))</f>
        <v/>
      </c>
      <c r="J26" s="301" t="str">
        <f>IF(B26="","",IF(ISNA(VLOOKUP($B26,'B-1 On-Site Hedge Baseline'!$B$1:$L$257,11,FALSE)),"",(VLOOKUP($B26,'B-1 On-Site Hedge Baseline'!$B$1:$L$257,11,FALSE))))</f>
        <v/>
      </c>
      <c r="K26" s="301" t="str">
        <f>IF(B26="","",IF(ISNA(VLOOKUP($B26,'B-1 On-Site Hedge Baseline'!$B$1:$U$257,13,FALSE)),"",(VLOOKUP($B26,'B-1 On-Site Hedge Baseline'!$B$1:$U$257,13,FALSE))))</f>
        <v/>
      </c>
      <c r="L26" s="305" t="str">
        <f>IF(B26="","",IF(ISNA(VLOOKUP($B26,'B-1 On-Site Hedge Baseline'!$B$1:$U$257,12,FALSE)),"",(VLOOKUP($B26,'B-1 On-Site Hedge Baseline'!$B$1:$U$257,12,FALSE))))</f>
        <v/>
      </c>
      <c r="M26" s="627"/>
      <c r="N26" s="281" t="str">
        <f>IFERROR(IF(B26="","",INDEX('G-6 Hedgerow Data'!$AN$3:$AZ$15,MATCH(C26,'G-6 Hedgerow Data'!$AM$3:$AM$15,0),MATCH(M26,'G-6 Hedgerow Data'!$AN$2:$AZ$2,0))),"")</f>
        <v/>
      </c>
      <c r="O26" s="282" t="str">
        <f t="shared" si="1"/>
        <v/>
      </c>
      <c r="P26" s="335" t="str">
        <f>IF(B26="","",VLOOKUP(B26,'B-1 On-Site Hedge Baseline'!$B$10:T271,16,FALSE))</f>
        <v/>
      </c>
      <c r="Q26" s="281" t="str">
        <f>IF(M26="","",VLOOKUP(M26,'G-6 Hedgerow Data'!$B$2:$AG$15,2,FALSE))</f>
        <v/>
      </c>
      <c r="R26" s="282" t="str">
        <f>IF(M26="","",VLOOKUP(M26,'G-6 Hedgerow Data'!$B$2:$AG$15,3,FALSE))</f>
        <v/>
      </c>
      <c r="S26" s="105"/>
      <c r="T26" s="320" t="str">
        <f>IFERROR(IF(S26="","",IF(AND(M26="Non-native and ornamental hedgerow", S26&lt;&gt;"Poor"),"Not possible ▲", (VLOOKUP(S26,'G-1 All Habitats'!$Z$2:$AA$9,2,FALSE)))),"")</f>
        <v/>
      </c>
      <c r="U26" s="105"/>
      <c r="V26" s="301" t="str">
        <f>IF(U26="","",IF(VLOOKUP(U26,'G-3 Multipliers'!$L$3:$N$6,2,FALSE)=0,"Spatial Data Missing ⚠",VLOOKUP(U26,'G-3 Multipliers'!$L$3:$N$6,2,FALSE)))</f>
        <v/>
      </c>
      <c r="W26" s="305" t="str">
        <f>IF(U26="","",IF(VLOOKUP(U26,'G-3 Multipliers'!$L$3:$N$6,3,FALSE)=0,"Spatial Data Missing ⚠",VLOOKUP(U26,'G-3 Multipliers'!$L$3:$N$6,3,FALSE)))</f>
        <v/>
      </c>
      <c r="X26" s="281" t="str">
        <f>IFERROR(IF(OR(LEFT(O26,5)="Error",LEFT(N26,5)="Error",T26="Error"),"Check Data ⚠",IF(F26&lt;R26,INDEX('G-6 Hedgerow Data'!$S$3:$AE$14,MATCH(C26,'G-6 Hedgerow Data'!$B$3:$B$14,0),MATCH(M26,'G-6 Hedgerow Data'!$S$2:$AE$2,0)),INDEX('G-6 Hedgerow Data'!$K$3:$Q$14,MATCH(M26,'G-6 Hedgerow Data'!$B$3:$B$14,0),MATCH(O26,'G-6 Hedgerow Data'!$K$2:$Q$2,0)))),"")</f>
        <v/>
      </c>
      <c r="Y26" s="137"/>
      <c r="Z26" s="137"/>
      <c r="AA26" s="289" t="str">
        <f t="shared" si="2"/>
        <v/>
      </c>
      <c r="AB26" s="302" t="str">
        <f t="shared" si="3"/>
        <v/>
      </c>
      <c r="AC26" s="303" t="str">
        <f t="shared" si="0"/>
        <v/>
      </c>
      <c r="AD26" s="317" t="str">
        <f>IF(M26="","",VLOOKUP(M26,'G-6 Hedgerow Data'!$B$3:$AG$15,31,FALSE))</f>
        <v/>
      </c>
      <c r="AE26" s="289" t="str">
        <f t="shared" si="4"/>
        <v/>
      </c>
      <c r="AF26" s="289" t="str">
        <f t="shared" si="5"/>
        <v/>
      </c>
      <c r="AG26" s="305" t="str">
        <f>IFERROR(IF(O26="","",VLOOKUP(AD26,'G-3 Multipliers'!$P$3:$Q$6,2,FALSE)),"")</f>
        <v/>
      </c>
      <c r="AH26" s="295" t="str">
        <f t="shared" si="6"/>
        <v/>
      </c>
      <c r="AI26" s="112"/>
      <c r="AJ26" s="119"/>
      <c r="AK26" s="108"/>
      <c r="AT26" s="30" t="str">
        <f>IFERROR(INDEX('G-6 Hedgerow Data'!$BJ$3:$BJ$15,MATCH(M26,'G-6 Hedgerow Data'!$B$3:$B$15,0)),"")</f>
        <v/>
      </c>
    </row>
    <row r="27" spans="2:46" ht="13.8" x14ac:dyDescent="0.25">
      <c r="B27" s="311" t="str">
        <f>'B-1 On-Site Hedge Baseline'!AK25</f>
        <v/>
      </c>
      <c r="C27" s="301" t="str">
        <f>IF(B27="","",IF(ISNA(VLOOKUP($B27,'B-1 On-Site Hedge Baseline'!$B$1:$L$257,3,FALSE)),"",(VLOOKUP($B27,'B-1 On-Site Hedge Baseline'!$B$1:$L$257,3,FALSE))))</f>
        <v/>
      </c>
      <c r="D27" s="301" t="str">
        <f>IF(B27="","",IF(ISNA(VLOOKUP($B27,'B-1 On-Site Hedge Baseline'!$B$1:$L$257,4,FALSE)),"",(VLOOKUP($B27,'B-1 On-Site Hedge Baseline'!$B$1:$L$257,4,FALSE))))</f>
        <v/>
      </c>
      <c r="E27" s="301" t="str">
        <f>IF(B27="","",IF(ISNA(VLOOKUP($B27,'B-1 On-Site Hedge Baseline'!$B$1:$L$257,5,FALSE)),"",(VLOOKUP($B27,'B-1 On-Site Hedge Baseline'!$B$1:$L$257,5,FALSE))))</f>
        <v/>
      </c>
      <c r="F27" s="301" t="str">
        <f>IF(B27="","",IF(ISNA(VLOOKUP($B27,'B-1 On-Site Hedge Baseline'!$B$1:$L$257,6,FALSE)),"",(VLOOKUP($B27,'B-1 On-Site Hedge Baseline'!$B$1:$L$257,6,FALSE))))</f>
        <v/>
      </c>
      <c r="G27" s="301" t="str">
        <f>IF(B27="","",IF(ISNA(VLOOKUP($B27,'B-1 On-Site Hedge Baseline'!$B$1:$L$257,7,FALSE)),"",(VLOOKUP($B27,'B-1 On-Site Hedge Baseline'!$B$1:$L$257,7,FALSE))))</f>
        <v/>
      </c>
      <c r="H27" s="301" t="str">
        <f>IF(B27="","",IF(ISNA(VLOOKUP($B27,'B-1 On-Site Hedge Baseline'!$B$1:$L$257,8,FALSE)),"",(VLOOKUP($B27,'B-1 On-Site Hedge Baseline'!$B$1:$L$257,8,FALSE))))</f>
        <v/>
      </c>
      <c r="I27" s="301" t="str">
        <f>IF(B27="","",IF(ISNA(VLOOKUP($B27,'B-1 On-Site Hedge Baseline'!$B$1:$L$257,10,FALSE)),"",(VLOOKUP($B27,'B-1 On-Site Hedge Baseline'!$B$1:$L$257,10,FALSE))))</f>
        <v/>
      </c>
      <c r="J27" s="301" t="str">
        <f>IF(B27="","",IF(ISNA(VLOOKUP($B27,'B-1 On-Site Hedge Baseline'!$B$1:$L$257,11,FALSE)),"",(VLOOKUP($B27,'B-1 On-Site Hedge Baseline'!$B$1:$L$257,11,FALSE))))</f>
        <v/>
      </c>
      <c r="K27" s="301" t="str">
        <f>IF(B27="","",IF(ISNA(VLOOKUP($B27,'B-1 On-Site Hedge Baseline'!$B$1:$U$257,13,FALSE)),"",(VLOOKUP($B27,'B-1 On-Site Hedge Baseline'!$B$1:$U$257,13,FALSE))))</f>
        <v/>
      </c>
      <c r="L27" s="305" t="str">
        <f>IF(B27="","",IF(ISNA(VLOOKUP($B27,'B-1 On-Site Hedge Baseline'!$B$1:$U$257,12,FALSE)),"",(VLOOKUP($B27,'B-1 On-Site Hedge Baseline'!$B$1:$U$257,12,FALSE))))</f>
        <v/>
      </c>
      <c r="M27" s="627"/>
      <c r="N27" s="281" t="str">
        <f>IFERROR(IF(B27="","",INDEX('G-6 Hedgerow Data'!$AN$3:$AZ$15,MATCH(C27,'G-6 Hedgerow Data'!$AM$3:$AM$15,0),MATCH(M27,'G-6 Hedgerow Data'!$AN$2:$AZ$2,0))),"")</f>
        <v/>
      </c>
      <c r="O27" s="282" t="str">
        <f t="shared" si="1"/>
        <v/>
      </c>
      <c r="P27" s="335" t="str">
        <f>IF(B27="","",VLOOKUP(B27,'B-1 On-Site Hedge Baseline'!$B$10:T272,16,FALSE))</f>
        <v/>
      </c>
      <c r="Q27" s="281" t="str">
        <f>IF(M27="","",VLOOKUP(M27,'G-6 Hedgerow Data'!$B$2:$AG$15,2,FALSE))</f>
        <v/>
      </c>
      <c r="R27" s="282" t="str">
        <f>IF(M27="","",VLOOKUP(M27,'G-6 Hedgerow Data'!$B$2:$AG$15,3,FALSE))</f>
        <v/>
      </c>
      <c r="S27" s="105"/>
      <c r="T27" s="320" t="str">
        <f>IFERROR(IF(S27="","",IF(AND(M27="Non-native and ornamental hedgerow", S27&lt;&gt;"Poor"),"Not possible ▲", (VLOOKUP(S27,'G-1 All Habitats'!$Z$2:$AA$9,2,FALSE)))),"")</f>
        <v/>
      </c>
      <c r="U27" s="105"/>
      <c r="V27" s="301" t="str">
        <f>IF(U27="","",IF(VLOOKUP(U27,'G-3 Multipliers'!$L$3:$N$6,2,FALSE)=0,"Spatial Data Missing ⚠",VLOOKUP(U27,'G-3 Multipliers'!$L$3:$N$6,2,FALSE)))</f>
        <v/>
      </c>
      <c r="W27" s="305" t="str">
        <f>IF(U27="","",IF(VLOOKUP(U27,'G-3 Multipliers'!$L$3:$N$6,3,FALSE)=0,"Spatial Data Missing ⚠",VLOOKUP(U27,'G-3 Multipliers'!$L$3:$N$6,3,FALSE)))</f>
        <v/>
      </c>
      <c r="X27" s="281" t="str">
        <f>IFERROR(IF(OR(LEFT(O27,5)="Error",LEFT(N27,5)="Error",T27="Error"),"Check Data ⚠",IF(F27&lt;R27,INDEX('G-6 Hedgerow Data'!$S$3:$AE$14,MATCH(C27,'G-6 Hedgerow Data'!$B$3:$B$14,0),MATCH(M27,'G-6 Hedgerow Data'!$S$2:$AE$2,0)),INDEX('G-6 Hedgerow Data'!$K$3:$Q$14,MATCH(M27,'G-6 Hedgerow Data'!$B$3:$B$14,0),MATCH(O27,'G-6 Hedgerow Data'!$K$2:$Q$2,0)))),"")</f>
        <v/>
      </c>
      <c r="Y27" s="137"/>
      <c r="Z27" s="137"/>
      <c r="AA27" s="289" t="str">
        <f t="shared" si="2"/>
        <v/>
      </c>
      <c r="AB27" s="302" t="str">
        <f t="shared" si="3"/>
        <v/>
      </c>
      <c r="AC27" s="303" t="str">
        <f t="shared" si="0"/>
        <v/>
      </c>
      <c r="AD27" s="317" t="str">
        <f>IF(M27="","",VLOOKUP(M27,'G-6 Hedgerow Data'!$B$3:$AG$15,31,FALSE))</f>
        <v/>
      </c>
      <c r="AE27" s="289" t="str">
        <f t="shared" si="4"/>
        <v/>
      </c>
      <c r="AF27" s="289" t="str">
        <f t="shared" si="5"/>
        <v/>
      </c>
      <c r="AG27" s="305" t="str">
        <f>IFERROR(IF(O27="","",VLOOKUP(AD27,'G-3 Multipliers'!$P$3:$Q$6,2,FALSE)),"")</f>
        <v/>
      </c>
      <c r="AH27" s="295" t="str">
        <f t="shared" si="6"/>
        <v/>
      </c>
      <c r="AI27" s="112"/>
      <c r="AJ27" s="119"/>
      <c r="AK27" s="108"/>
      <c r="AT27" s="30" t="str">
        <f>IFERROR(INDEX('G-6 Hedgerow Data'!$BJ$3:$BJ$15,MATCH(M27,'G-6 Hedgerow Data'!$B$3:$B$15,0)),"")</f>
        <v/>
      </c>
    </row>
    <row r="28" spans="2:46" ht="13.8" x14ac:dyDescent="0.25">
      <c r="B28" s="311" t="str">
        <f>'B-1 On-Site Hedge Baseline'!AK26</f>
        <v/>
      </c>
      <c r="C28" s="301" t="str">
        <f>IF(B28="","",IF(ISNA(VLOOKUP($B28,'B-1 On-Site Hedge Baseline'!$B$1:$L$257,3,FALSE)),"",(VLOOKUP($B28,'B-1 On-Site Hedge Baseline'!$B$1:$L$257,3,FALSE))))</f>
        <v/>
      </c>
      <c r="D28" s="301" t="str">
        <f>IF(B28="","",IF(ISNA(VLOOKUP($B28,'B-1 On-Site Hedge Baseline'!$B$1:$L$257,4,FALSE)),"",(VLOOKUP($B28,'B-1 On-Site Hedge Baseline'!$B$1:$L$257,4,FALSE))))</f>
        <v/>
      </c>
      <c r="E28" s="301" t="str">
        <f>IF(B28="","",IF(ISNA(VLOOKUP($B28,'B-1 On-Site Hedge Baseline'!$B$1:$L$257,5,FALSE)),"",(VLOOKUP($B28,'B-1 On-Site Hedge Baseline'!$B$1:$L$257,5,FALSE))))</f>
        <v/>
      </c>
      <c r="F28" s="301" t="str">
        <f>IF(B28="","",IF(ISNA(VLOOKUP($B28,'B-1 On-Site Hedge Baseline'!$B$1:$L$257,6,FALSE)),"",(VLOOKUP($B28,'B-1 On-Site Hedge Baseline'!$B$1:$L$257,6,FALSE))))</f>
        <v/>
      </c>
      <c r="G28" s="301" t="str">
        <f>IF(B28="","",IF(ISNA(VLOOKUP($B28,'B-1 On-Site Hedge Baseline'!$B$1:$L$257,7,FALSE)),"",(VLOOKUP($B28,'B-1 On-Site Hedge Baseline'!$B$1:$L$257,7,FALSE))))</f>
        <v/>
      </c>
      <c r="H28" s="301" t="str">
        <f>IF(B28="","",IF(ISNA(VLOOKUP($B28,'B-1 On-Site Hedge Baseline'!$B$1:$L$257,8,FALSE)),"",(VLOOKUP($B28,'B-1 On-Site Hedge Baseline'!$B$1:$L$257,8,FALSE))))</f>
        <v/>
      </c>
      <c r="I28" s="301" t="str">
        <f>IF(B28="","",IF(ISNA(VLOOKUP($B28,'B-1 On-Site Hedge Baseline'!$B$1:$L$257,10,FALSE)),"",(VLOOKUP($B28,'B-1 On-Site Hedge Baseline'!$B$1:$L$257,10,FALSE))))</f>
        <v/>
      </c>
      <c r="J28" s="301" t="str">
        <f>IF(B28="","",IF(ISNA(VLOOKUP($B28,'B-1 On-Site Hedge Baseline'!$B$1:$L$257,11,FALSE)),"",(VLOOKUP($B28,'B-1 On-Site Hedge Baseline'!$B$1:$L$257,11,FALSE))))</f>
        <v/>
      </c>
      <c r="K28" s="301" t="str">
        <f>IF(B28="","",IF(ISNA(VLOOKUP($B28,'B-1 On-Site Hedge Baseline'!$B$1:$U$257,13,FALSE)),"",(VLOOKUP($B28,'B-1 On-Site Hedge Baseline'!$B$1:$U$257,13,FALSE))))</f>
        <v/>
      </c>
      <c r="L28" s="305" t="str">
        <f>IF(B28="","",IF(ISNA(VLOOKUP($B28,'B-1 On-Site Hedge Baseline'!$B$1:$U$257,12,FALSE)),"",(VLOOKUP($B28,'B-1 On-Site Hedge Baseline'!$B$1:$U$257,12,FALSE))))</f>
        <v/>
      </c>
      <c r="M28" s="627"/>
      <c r="N28" s="281" t="str">
        <f>IFERROR(IF(B28="","",INDEX('G-6 Hedgerow Data'!$AN$3:$AZ$15,MATCH(C28,'G-6 Hedgerow Data'!$AM$3:$AM$15,0),MATCH(M28,'G-6 Hedgerow Data'!$AN$2:$AZ$2,0))),"")</f>
        <v/>
      </c>
      <c r="O28" s="282" t="str">
        <f t="shared" si="1"/>
        <v/>
      </c>
      <c r="P28" s="335" t="str">
        <f>IF(B28="","",VLOOKUP(B28,'B-1 On-Site Hedge Baseline'!$B$10:T273,16,FALSE))</f>
        <v/>
      </c>
      <c r="Q28" s="281" t="str">
        <f>IF(M28="","",VLOOKUP(M28,'G-6 Hedgerow Data'!$B$2:$AG$15,2,FALSE))</f>
        <v/>
      </c>
      <c r="R28" s="282" t="str">
        <f>IF(M28="","",VLOOKUP(M28,'G-6 Hedgerow Data'!$B$2:$AG$15,3,FALSE))</f>
        <v/>
      </c>
      <c r="S28" s="105"/>
      <c r="T28" s="320" t="str">
        <f>IFERROR(IF(S28="","",IF(AND(M28="Non-native and ornamental hedgerow", S28&lt;&gt;"Poor"),"Not possible ▲", (VLOOKUP(S28,'G-1 All Habitats'!$Z$2:$AA$9,2,FALSE)))),"")</f>
        <v/>
      </c>
      <c r="U28" s="105"/>
      <c r="V28" s="301" t="str">
        <f>IF(U28="","",IF(VLOOKUP(U28,'G-3 Multipliers'!$L$3:$N$6,2,FALSE)=0,"Spatial Data Missing ⚠",VLOOKUP(U28,'G-3 Multipliers'!$L$3:$N$6,2,FALSE)))</f>
        <v/>
      </c>
      <c r="W28" s="305" t="str">
        <f>IF(U28="","",IF(VLOOKUP(U28,'G-3 Multipliers'!$L$3:$N$6,3,FALSE)=0,"Spatial Data Missing ⚠",VLOOKUP(U28,'G-3 Multipliers'!$L$3:$N$6,3,FALSE)))</f>
        <v/>
      </c>
      <c r="X28" s="281" t="str">
        <f>IFERROR(IF(OR(LEFT(O28,5)="Error",LEFT(N28,5)="Error",T28="Error"),"Check Data ⚠",IF(F28&lt;R28,INDEX('G-6 Hedgerow Data'!$S$3:$AE$14,MATCH(C28,'G-6 Hedgerow Data'!$B$3:$B$14,0),MATCH(M28,'G-6 Hedgerow Data'!$S$2:$AE$2,0)),INDEX('G-6 Hedgerow Data'!$K$3:$Q$14,MATCH(M28,'G-6 Hedgerow Data'!$B$3:$B$14,0),MATCH(O28,'G-6 Hedgerow Data'!$K$2:$Q$2,0)))),"")</f>
        <v/>
      </c>
      <c r="Y28" s="137"/>
      <c r="Z28" s="137"/>
      <c r="AA28" s="289" t="str">
        <f t="shared" si="2"/>
        <v/>
      </c>
      <c r="AB28" s="302" t="str">
        <f t="shared" si="3"/>
        <v/>
      </c>
      <c r="AC28" s="303" t="str">
        <f t="shared" si="0"/>
        <v/>
      </c>
      <c r="AD28" s="317" t="str">
        <f>IF(M28="","",VLOOKUP(M28,'G-6 Hedgerow Data'!$B$3:$AG$15,31,FALSE))</f>
        <v/>
      </c>
      <c r="AE28" s="289" t="str">
        <f t="shared" si="4"/>
        <v/>
      </c>
      <c r="AF28" s="289" t="str">
        <f t="shared" si="5"/>
        <v/>
      </c>
      <c r="AG28" s="305" t="str">
        <f>IFERROR(IF(O28="","",VLOOKUP(AD28,'G-3 Multipliers'!$P$3:$Q$6,2,FALSE)),"")</f>
        <v/>
      </c>
      <c r="AH28" s="295" t="str">
        <f t="shared" si="6"/>
        <v/>
      </c>
      <c r="AI28" s="112"/>
      <c r="AJ28" s="119"/>
      <c r="AK28" s="108"/>
      <c r="AT28" s="30" t="str">
        <f>IFERROR(INDEX('G-6 Hedgerow Data'!$BJ$3:$BJ$15,MATCH(M28,'G-6 Hedgerow Data'!$B$3:$B$15,0)),"")</f>
        <v/>
      </c>
    </row>
    <row r="29" spans="2:46" ht="13.8" x14ac:dyDescent="0.25">
      <c r="B29" s="311" t="str">
        <f>'B-1 On-Site Hedge Baseline'!AK27</f>
        <v/>
      </c>
      <c r="C29" s="301" t="str">
        <f>IF(B29="","",IF(ISNA(VLOOKUP($B29,'B-1 On-Site Hedge Baseline'!$B$1:$L$257,3,FALSE)),"",(VLOOKUP($B29,'B-1 On-Site Hedge Baseline'!$B$1:$L$257,3,FALSE))))</f>
        <v/>
      </c>
      <c r="D29" s="301" t="str">
        <f>IF(B29="","",IF(ISNA(VLOOKUP($B29,'B-1 On-Site Hedge Baseline'!$B$1:$L$257,4,FALSE)),"",(VLOOKUP($B29,'B-1 On-Site Hedge Baseline'!$B$1:$L$257,4,FALSE))))</f>
        <v/>
      </c>
      <c r="E29" s="301" t="str">
        <f>IF(B29="","",IF(ISNA(VLOOKUP($B29,'B-1 On-Site Hedge Baseline'!$B$1:$L$257,5,FALSE)),"",(VLOOKUP($B29,'B-1 On-Site Hedge Baseline'!$B$1:$L$257,5,FALSE))))</f>
        <v/>
      </c>
      <c r="F29" s="301" t="str">
        <f>IF(B29="","",IF(ISNA(VLOOKUP($B29,'B-1 On-Site Hedge Baseline'!$B$1:$L$257,6,FALSE)),"",(VLOOKUP($B29,'B-1 On-Site Hedge Baseline'!$B$1:$L$257,6,FALSE))))</f>
        <v/>
      </c>
      <c r="G29" s="301" t="str">
        <f>IF(B29="","",IF(ISNA(VLOOKUP($B29,'B-1 On-Site Hedge Baseline'!$B$1:$L$257,7,FALSE)),"",(VLOOKUP($B29,'B-1 On-Site Hedge Baseline'!$B$1:$L$257,7,FALSE))))</f>
        <v/>
      </c>
      <c r="H29" s="301" t="str">
        <f>IF(B29="","",IF(ISNA(VLOOKUP($B29,'B-1 On-Site Hedge Baseline'!$B$1:$L$257,8,FALSE)),"",(VLOOKUP($B29,'B-1 On-Site Hedge Baseline'!$B$1:$L$257,8,FALSE))))</f>
        <v/>
      </c>
      <c r="I29" s="301" t="str">
        <f>IF(B29="","",IF(ISNA(VLOOKUP($B29,'B-1 On-Site Hedge Baseline'!$B$1:$L$257,10,FALSE)),"",(VLOOKUP($B29,'B-1 On-Site Hedge Baseline'!$B$1:$L$257,10,FALSE))))</f>
        <v/>
      </c>
      <c r="J29" s="301" t="str">
        <f>IF(B29="","",IF(ISNA(VLOOKUP($B29,'B-1 On-Site Hedge Baseline'!$B$1:$L$257,11,FALSE)),"",(VLOOKUP($B29,'B-1 On-Site Hedge Baseline'!$B$1:$L$257,11,FALSE))))</f>
        <v/>
      </c>
      <c r="K29" s="301" t="str">
        <f>IF(B29="","",IF(ISNA(VLOOKUP($B29,'B-1 On-Site Hedge Baseline'!$B$1:$U$257,13,FALSE)),"",(VLOOKUP($B29,'B-1 On-Site Hedge Baseline'!$B$1:$U$257,13,FALSE))))</f>
        <v/>
      </c>
      <c r="L29" s="305" t="str">
        <f>IF(B29="","",IF(ISNA(VLOOKUP($B29,'B-1 On-Site Hedge Baseline'!$B$1:$U$257,12,FALSE)),"",(VLOOKUP($B29,'B-1 On-Site Hedge Baseline'!$B$1:$U$257,12,FALSE))))</f>
        <v/>
      </c>
      <c r="M29" s="627"/>
      <c r="N29" s="281" t="str">
        <f>IFERROR(IF(B29="","",INDEX('G-6 Hedgerow Data'!$AN$3:$AZ$15,MATCH(C29,'G-6 Hedgerow Data'!$AM$3:$AM$15,0),MATCH(M29,'G-6 Hedgerow Data'!$AN$2:$AZ$2,0))),"")</f>
        <v/>
      </c>
      <c r="O29" s="282" t="str">
        <f t="shared" si="1"/>
        <v/>
      </c>
      <c r="P29" s="335" t="str">
        <f>IF(B29="","",VLOOKUP(B29,'B-1 On-Site Hedge Baseline'!$B$10:T274,16,FALSE))</f>
        <v/>
      </c>
      <c r="Q29" s="281" t="str">
        <f>IF(M29="","",VLOOKUP(M29,'G-6 Hedgerow Data'!$B$2:$AG$15,2,FALSE))</f>
        <v/>
      </c>
      <c r="R29" s="282" t="str">
        <f>IF(M29="","",VLOOKUP(M29,'G-6 Hedgerow Data'!$B$2:$AG$15,3,FALSE))</f>
        <v/>
      </c>
      <c r="S29" s="105"/>
      <c r="T29" s="320" t="str">
        <f>IFERROR(IF(S29="","",IF(AND(M29="Non-native and ornamental hedgerow", S29&lt;&gt;"Poor"),"Not possible ▲", (VLOOKUP(S29,'G-1 All Habitats'!$Z$2:$AA$9,2,FALSE)))),"")</f>
        <v/>
      </c>
      <c r="U29" s="105"/>
      <c r="V29" s="301" t="str">
        <f>IF(U29="","",IF(VLOOKUP(U29,'G-3 Multipliers'!$L$3:$N$6,2,FALSE)=0,"Spatial Data Missing ⚠",VLOOKUP(U29,'G-3 Multipliers'!$L$3:$N$6,2,FALSE)))</f>
        <v/>
      </c>
      <c r="W29" s="305" t="str">
        <f>IF(U29="","",IF(VLOOKUP(U29,'G-3 Multipliers'!$L$3:$N$6,3,FALSE)=0,"Spatial Data Missing ⚠",VLOOKUP(U29,'G-3 Multipliers'!$L$3:$N$6,3,FALSE)))</f>
        <v/>
      </c>
      <c r="X29" s="281" t="str">
        <f>IFERROR(IF(OR(LEFT(O29,5)="Error",LEFT(N29,5)="Error",T29="Error"),"Check Data ⚠",IF(F29&lt;R29,INDEX('G-6 Hedgerow Data'!$S$3:$AE$14,MATCH(C29,'G-6 Hedgerow Data'!$B$3:$B$14,0),MATCH(M29,'G-6 Hedgerow Data'!$S$2:$AE$2,0)),INDEX('G-6 Hedgerow Data'!$K$3:$Q$14,MATCH(M29,'G-6 Hedgerow Data'!$B$3:$B$14,0),MATCH(O29,'G-6 Hedgerow Data'!$K$2:$Q$2,0)))),"")</f>
        <v/>
      </c>
      <c r="Y29" s="137"/>
      <c r="Z29" s="137"/>
      <c r="AA29" s="289" t="str">
        <f t="shared" si="2"/>
        <v/>
      </c>
      <c r="AB29" s="302" t="str">
        <f t="shared" si="3"/>
        <v/>
      </c>
      <c r="AC29" s="303" t="str">
        <f t="shared" si="0"/>
        <v/>
      </c>
      <c r="AD29" s="317" t="str">
        <f>IF(M29="","",VLOOKUP(M29,'G-6 Hedgerow Data'!$B$3:$AG$15,31,FALSE))</f>
        <v/>
      </c>
      <c r="AE29" s="289" t="str">
        <f t="shared" si="4"/>
        <v/>
      </c>
      <c r="AF29" s="289" t="str">
        <f t="shared" si="5"/>
        <v/>
      </c>
      <c r="AG29" s="305" t="str">
        <f>IFERROR(IF(O29="","",VLOOKUP(AD29,'G-3 Multipliers'!$P$3:$Q$6,2,FALSE)),"")</f>
        <v/>
      </c>
      <c r="AH29" s="295" t="str">
        <f t="shared" si="6"/>
        <v/>
      </c>
      <c r="AI29" s="112"/>
      <c r="AJ29" s="119"/>
      <c r="AK29" s="108"/>
      <c r="AT29" s="30" t="str">
        <f>IFERROR(INDEX('G-6 Hedgerow Data'!$BJ$3:$BJ$15,MATCH(M29,'G-6 Hedgerow Data'!$B$3:$B$15,0)),"")</f>
        <v/>
      </c>
    </row>
    <row r="30" spans="2:46" ht="13.8" x14ac:dyDescent="0.25">
      <c r="B30" s="311" t="str">
        <f>'B-1 On-Site Hedge Baseline'!AK28</f>
        <v/>
      </c>
      <c r="C30" s="301" t="str">
        <f>IF(B30="","",IF(ISNA(VLOOKUP($B30,'B-1 On-Site Hedge Baseline'!$B$1:$L$257,3,FALSE)),"",(VLOOKUP($B30,'B-1 On-Site Hedge Baseline'!$B$1:$L$257,3,FALSE))))</f>
        <v/>
      </c>
      <c r="D30" s="301" t="str">
        <f>IF(B30="","",IF(ISNA(VLOOKUP($B30,'B-1 On-Site Hedge Baseline'!$B$1:$L$257,4,FALSE)),"",(VLOOKUP($B30,'B-1 On-Site Hedge Baseline'!$B$1:$L$257,4,FALSE))))</f>
        <v/>
      </c>
      <c r="E30" s="301" t="str">
        <f>IF(B30="","",IF(ISNA(VLOOKUP($B30,'B-1 On-Site Hedge Baseline'!$B$1:$L$257,5,FALSE)),"",(VLOOKUP($B30,'B-1 On-Site Hedge Baseline'!$B$1:$L$257,5,FALSE))))</f>
        <v/>
      </c>
      <c r="F30" s="301" t="str">
        <f>IF(B30="","",IF(ISNA(VLOOKUP($B30,'B-1 On-Site Hedge Baseline'!$B$1:$L$257,6,FALSE)),"",(VLOOKUP($B30,'B-1 On-Site Hedge Baseline'!$B$1:$L$257,6,FALSE))))</f>
        <v/>
      </c>
      <c r="G30" s="301" t="str">
        <f>IF(B30="","",IF(ISNA(VLOOKUP($B30,'B-1 On-Site Hedge Baseline'!$B$1:$L$257,7,FALSE)),"",(VLOOKUP($B30,'B-1 On-Site Hedge Baseline'!$B$1:$L$257,7,FALSE))))</f>
        <v/>
      </c>
      <c r="H30" s="301" t="str">
        <f>IF(B30="","",IF(ISNA(VLOOKUP($B30,'B-1 On-Site Hedge Baseline'!$B$1:$L$257,8,FALSE)),"",(VLOOKUP($B30,'B-1 On-Site Hedge Baseline'!$B$1:$L$257,8,FALSE))))</f>
        <v/>
      </c>
      <c r="I30" s="301" t="str">
        <f>IF(B30="","",IF(ISNA(VLOOKUP($B30,'B-1 On-Site Hedge Baseline'!$B$1:$L$257,10,FALSE)),"",(VLOOKUP($B30,'B-1 On-Site Hedge Baseline'!$B$1:$L$257,10,FALSE))))</f>
        <v/>
      </c>
      <c r="J30" s="301" t="str">
        <f>IF(B30="","",IF(ISNA(VLOOKUP($B30,'B-1 On-Site Hedge Baseline'!$B$1:$L$257,11,FALSE)),"",(VLOOKUP($B30,'B-1 On-Site Hedge Baseline'!$B$1:$L$257,11,FALSE))))</f>
        <v/>
      </c>
      <c r="K30" s="301" t="str">
        <f>IF(B30="","",IF(ISNA(VLOOKUP($B30,'B-1 On-Site Hedge Baseline'!$B$1:$U$257,13,FALSE)),"",(VLOOKUP($B30,'B-1 On-Site Hedge Baseline'!$B$1:$U$257,13,FALSE))))</f>
        <v/>
      </c>
      <c r="L30" s="305" t="str">
        <f>IF(B30="","",IF(ISNA(VLOOKUP($B30,'B-1 On-Site Hedge Baseline'!$B$1:$U$257,12,FALSE)),"",(VLOOKUP($B30,'B-1 On-Site Hedge Baseline'!$B$1:$U$257,12,FALSE))))</f>
        <v/>
      </c>
      <c r="M30" s="627"/>
      <c r="N30" s="281" t="str">
        <f>IFERROR(IF(B30="","",INDEX('G-6 Hedgerow Data'!$AN$3:$AZ$15,MATCH(C30,'G-6 Hedgerow Data'!$AM$3:$AM$15,0),MATCH(M30,'G-6 Hedgerow Data'!$AN$2:$AZ$2,0))),"")</f>
        <v/>
      </c>
      <c r="O30" s="282" t="str">
        <f t="shared" si="1"/>
        <v/>
      </c>
      <c r="P30" s="335" t="str">
        <f>IF(B30="","",VLOOKUP(B30,'B-1 On-Site Hedge Baseline'!$B$10:T275,16,FALSE))</f>
        <v/>
      </c>
      <c r="Q30" s="281" t="str">
        <f>IF(M30="","",VLOOKUP(M30,'G-6 Hedgerow Data'!$B$2:$AG$15,2,FALSE))</f>
        <v/>
      </c>
      <c r="R30" s="282" t="str">
        <f>IF(M30="","",VLOOKUP(M30,'G-6 Hedgerow Data'!$B$2:$AG$15,3,FALSE))</f>
        <v/>
      </c>
      <c r="S30" s="53"/>
      <c r="T30" s="320" t="str">
        <f>IFERROR(IF(S30="","",IF(AND(M30="Non-native and ornamental hedgerow", S30&lt;&gt;"Poor"),"Not possible ▲", (VLOOKUP(S30,'G-1 All Habitats'!$Z$2:$AA$9,2,FALSE)))),"")</f>
        <v/>
      </c>
      <c r="U30" s="105"/>
      <c r="V30" s="301" t="str">
        <f>IF(U30="","",IF(VLOOKUP(U30,'G-3 Multipliers'!$L$3:$N$6,2,FALSE)=0,"Spatial Data Missing ⚠",VLOOKUP(U30,'G-3 Multipliers'!$L$3:$N$6,2,FALSE)))</f>
        <v/>
      </c>
      <c r="W30" s="305" t="str">
        <f>IF(U30="","",IF(VLOOKUP(U30,'G-3 Multipliers'!$L$3:$N$6,3,FALSE)=0,"Spatial Data Missing ⚠",VLOOKUP(U30,'G-3 Multipliers'!$L$3:$N$6,3,FALSE)))</f>
        <v/>
      </c>
      <c r="X30" s="281" t="str">
        <f>IFERROR(IF(OR(LEFT(O30,5)="Error",LEFT(N30,5)="Error",T30="Error"),"Check Data ⚠",IF(F30&lt;R30,INDEX('G-6 Hedgerow Data'!$S$3:$AE$14,MATCH(C30,'G-6 Hedgerow Data'!$B$3:$B$14,0),MATCH(M30,'G-6 Hedgerow Data'!$S$2:$AE$2,0)),INDEX('G-6 Hedgerow Data'!$K$3:$Q$14,MATCH(M30,'G-6 Hedgerow Data'!$B$3:$B$14,0),MATCH(O30,'G-6 Hedgerow Data'!$K$2:$Q$2,0)))),"")</f>
        <v/>
      </c>
      <c r="Y30" s="137"/>
      <c r="Z30" s="137"/>
      <c r="AA30" s="289" t="str">
        <f t="shared" si="2"/>
        <v/>
      </c>
      <c r="AB30" s="302" t="str">
        <f t="shared" si="3"/>
        <v/>
      </c>
      <c r="AC30" s="303" t="str">
        <f t="shared" si="0"/>
        <v/>
      </c>
      <c r="AD30" s="317" t="str">
        <f>IF(M30="","",VLOOKUP(M30,'G-6 Hedgerow Data'!$B$3:$AG$15,31,FALSE))</f>
        <v/>
      </c>
      <c r="AE30" s="289" t="str">
        <f t="shared" si="4"/>
        <v/>
      </c>
      <c r="AF30" s="289" t="str">
        <f t="shared" si="5"/>
        <v/>
      </c>
      <c r="AG30" s="305" t="str">
        <f>IFERROR(IF(O30="","",VLOOKUP(AD30,'G-3 Multipliers'!$P$3:$Q$6,2,FALSE)),"")</f>
        <v/>
      </c>
      <c r="AH30" s="295" t="str">
        <f t="shared" si="6"/>
        <v/>
      </c>
      <c r="AI30" s="112"/>
      <c r="AJ30" s="119"/>
      <c r="AK30" s="108"/>
      <c r="AT30" s="30" t="str">
        <f>IFERROR(INDEX('G-6 Hedgerow Data'!$BJ$3:$BJ$15,MATCH(M30,'G-6 Hedgerow Data'!$B$3:$B$15,0)),"")</f>
        <v/>
      </c>
    </row>
    <row r="31" spans="2:46" ht="13.8" x14ac:dyDescent="0.25">
      <c r="B31" s="311" t="str">
        <f>'B-1 On-Site Hedge Baseline'!AK29</f>
        <v/>
      </c>
      <c r="C31" s="301" t="str">
        <f>IF(B31="","",IF(ISNA(VLOOKUP($B31,'B-1 On-Site Hedge Baseline'!$B$1:$L$257,3,FALSE)),"",(VLOOKUP($B31,'B-1 On-Site Hedge Baseline'!$B$1:$L$257,3,FALSE))))</f>
        <v/>
      </c>
      <c r="D31" s="301" t="str">
        <f>IF(B31="","",IF(ISNA(VLOOKUP($B31,'B-1 On-Site Hedge Baseline'!$B$1:$L$257,4,FALSE)),"",(VLOOKUP($B31,'B-1 On-Site Hedge Baseline'!$B$1:$L$257,4,FALSE))))</f>
        <v/>
      </c>
      <c r="E31" s="301" t="str">
        <f>IF(B31="","",IF(ISNA(VLOOKUP($B31,'B-1 On-Site Hedge Baseline'!$B$1:$L$257,5,FALSE)),"",(VLOOKUP($B31,'B-1 On-Site Hedge Baseline'!$B$1:$L$257,5,FALSE))))</f>
        <v/>
      </c>
      <c r="F31" s="301" t="str">
        <f>IF(B31="","",IF(ISNA(VLOOKUP($B31,'B-1 On-Site Hedge Baseline'!$B$1:$L$257,6,FALSE)),"",(VLOOKUP($B31,'B-1 On-Site Hedge Baseline'!$B$1:$L$257,6,FALSE))))</f>
        <v/>
      </c>
      <c r="G31" s="301" t="str">
        <f>IF(B31="","",IF(ISNA(VLOOKUP($B31,'B-1 On-Site Hedge Baseline'!$B$1:$L$257,7,FALSE)),"",(VLOOKUP($B31,'B-1 On-Site Hedge Baseline'!$B$1:$L$257,7,FALSE))))</f>
        <v/>
      </c>
      <c r="H31" s="301" t="str">
        <f>IF(B31="","",IF(ISNA(VLOOKUP($B31,'B-1 On-Site Hedge Baseline'!$B$1:$L$257,8,FALSE)),"",(VLOOKUP($B31,'B-1 On-Site Hedge Baseline'!$B$1:$L$257,8,FALSE))))</f>
        <v/>
      </c>
      <c r="I31" s="301" t="str">
        <f>IF(B31="","",IF(ISNA(VLOOKUP($B31,'B-1 On-Site Hedge Baseline'!$B$1:$L$257,10,FALSE)),"",(VLOOKUP($B31,'B-1 On-Site Hedge Baseline'!$B$1:$L$257,10,FALSE))))</f>
        <v/>
      </c>
      <c r="J31" s="301" t="str">
        <f>IF(B31="","",IF(ISNA(VLOOKUP($B31,'B-1 On-Site Hedge Baseline'!$B$1:$L$257,11,FALSE)),"",(VLOOKUP($B31,'B-1 On-Site Hedge Baseline'!$B$1:$L$257,11,FALSE))))</f>
        <v/>
      </c>
      <c r="K31" s="301" t="str">
        <f>IF(B31="","",IF(ISNA(VLOOKUP($B31,'B-1 On-Site Hedge Baseline'!$B$1:$U$257,13,FALSE)),"",(VLOOKUP($B31,'B-1 On-Site Hedge Baseline'!$B$1:$U$257,13,FALSE))))</f>
        <v/>
      </c>
      <c r="L31" s="305" t="str">
        <f>IF(B31="","",IF(ISNA(VLOOKUP($B31,'B-1 On-Site Hedge Baseline'!$B$1:$U$257,12,FALSE)),"",(VLOOKUP($B31,'B-1 On-Site Hedge Baseline'!$B$1:$U$257,12,FALSE))))</f>
        <v/>
      </c>
      <c r="M31" s="627"/>
      <c r="N31" s="281" t="str">
        <f>IFERROR(IF(B31="","",INDEX('G-6 Hedgerow Data'!$AN$3:$AZ$15,MATCH(C31,'G-6 Hedgerow Data'!$AM$3:$AM$15,0),MATCH(M31,'G-6 Hedgerow Data'!$AN$2:$AZ$2,0))),"")</f>
        <v/>
      </c>
      <c r="O31" s="282" t="str">
        <f t="shared" si="1"/>
        <v/>
      </c>
      <c r="P31" s="335" t="str">
        <f>IF(B31="","",VLOOKUP(B31,'B-1 On-Site Hedge Baseline'!$B$10:T276,16,FALSE))</f>
        <v/>
      </c>
      <c r="Q31" s="281" t="str">
        <f>IF(M31="","",VLOOKUP(M31,'G-6 Hedgerow Data'!$B$2:$AG$15,2,FALSE))</f>
        <v/>
      </c>
      <c r="R31" s="282" t="str">
        <f>IF(M31="","",VLOOKUP(M31,'G-6 Hedgerow Data'!$B$2:$AG$15,3,FALSE))</f>
        <v/>
      </c>
      <c r="S31" s="53"/>
      <c r="T31" s="320" t="str">
        <f>IFERROR(IF(S31="","",IF(AND(M31="Non-native and ornamental hedgerow", S31&lt;&gt;"Poor"),"Not possible ▲", (VLOOKUP(S31,'G-1 All Habitats'!$Z$2:$AA$9,2,FALSE)))),"")</f>
        <v/>
      </c>
      <c r="U31" s="105"/>
      <c r="V31" s="301" t="str">
        <f>IF(U31="","",IF(VLOOKUP(U31,'G-3 Multipliers'!$L$3:$N$6,2,FALSE)=0,"Spatial Data Missing ⚠",VLOOKUP(U31,'G-3 Multipliers'!$L$3:$N$6,2,FALSE)))</f>
        <v/>
      </c>
      <c r="W31" s="305" t="str">
        <f>IF(U31="","",IF(VLOOKUP(U31,'G-3 Multipliers'!$L$3:$N$6,3,FALSE)=0,"Spatial Data Missing ⚠",VLOOKUP(U31,'G-3 Multipliers'!$L$3:$N$6,3,FALSE)))</f>
        <v/>
      </c>
      <c r="X31" s="281" t="str">
        <f>IFERROR(IF(OR(LEFT(O31,5)="Error",LEFT(N31,5)="Error",T31="Error"),"Check Data ⚠",IF(F31&lt;R31,INDEX('G-6 Hedgerow Data'!$S$3:$AE$14,MATCH(C31,'G-6 Hedgerow Data'!$B$3:$B$14,0),MATCH(M31,'G-6 Hedgerow Data'!$S$2:$AE$2,0)),INDEX('G-6 Hedgerow Data'!$K$3:$Q$14,MATCH(M31,'G-6 Hedgerow Data'!$B$3:$B$14,0),MATCH(O31,'G-6 Hedgerow Data'!$K$2:$Q$2,0)))),"")</f>
        <v/>
      </c>
      <c r="Y31" s="137"/>
      <c r="Z31" s="137"/>
      <c r="AA31" s="289" t="str">
        <f t="shared" si="2"/>
        <v/>
      </c>
      <c r="AB31" s="302" t="str">
        <f t="shared" si="3"/>
        <v/>
      </c>
      <c r="AC31" s="303" t="str">
        <f t="shared" si="0"/>
        <v/>
      </c>
      <c r="AD31" s="317" t="str">
        <f>IF(M31="","",VLOOKUP(M31,'G-6 Hedgerow Data'!$B$3:$AG$15,31,FALSE))</f>
        <v/>
      </c>
      <c r="AE31" s="289" t="str">
        <f t="shared" si="4"/>
        <v/>
      </c>
      <c r="AF31" s="289" t="str">
        <f t="shared" si="5"/>
        <v/>
      </c>
      <c r="AG31" s="305" t="str">
        <f>IFERROR(IF(O31="","",VLOOKUP(AD31,'G-3 Multipliers'!$P$3:$Q$6,2,FALSE)),"")</f>
        <v/>
      </c>
      <c r="AH31" s="295" t="str">
        <f t="shared" si="6"/>
        <v/>
      </c>
      <c r="AI31" s="112"/>
      <c r="AJ31" s="119"/>
      <c r="AK31" s="108"/>
      <c r="AT31" s="30" t="str">
        <f>IFERROR(INDEX('G-6 Hedgerow Data'!$BJ$3:$BJ$15,MATCH(M31,'G-6 Hedgerow Data'!$B$3:$B$15,0)),"")</f>
        <v/>
      </c>
    </row>
    <row r="32" spans="2:46" ht="13.8" x14ac:dyDescent="0.25">
      <c r="B32" s="311" t="str">
        <f>'B-1 On-Site Hedge Baseline'!AK30</f>
        <v/>
      </c>
      <c r="C32" s="301" t="str">
        <f>IF(B32="","",IF(ISNA(VLOOKUP($B32,'B-1 On-Site Hedge Baseline'!$B$1:$L$257,3,FALSE)),"",(VLOOKUP($B32,'B-1 On-Site Hedge Baseline'!$B$1:$L$257,3,FALSE))))</f>
        <v/>
      </c>
      <c r="D32" s="301" t="str">
        <f>IF(B32="","",IF(ISNA(VLOOKUP($B32,'B-1 On-Site Hedge Baseline'!$B$1:$L$257,4,FALSE)),"",(VLOOKUP($B32,'B-1 On-Site Hedge Baseline'!$B$1:$L$257,4,FALSE))))</f>
        <v/>
      </c>
      <c r="E32" s="301" t="str">
        <f>IF(B32="","",IF(ISNA(VLOOKUP($B32,'B-1 On-Site Hedge Baseline'!$B$1:$L$257,5,FALSE)),"",(VLOOKUP($B32,'B-1 On-Site Hedge Baseline'!$B$1:$L$257,5,FALSE))))</f>
        <v/>
      </c>
      <c r="F32" s="301" t="str">
        <f>IF(B32="","",IF(ISNA(VLOOKUP($B32,'B-1 On-Site Hedge Baseline'!$B$1:$L$257,6,FALSE)),"",(VLOOKUP($B32,'B-1 On-Site Hedge Baseline'!$B$1:$L$257,6,FALSE))))</f>
        <v/>
      </c>
      <c r="G32" s="301" t="str">
        <f>IF(B32="","",IF(ISNA(VLOOKUP($B32,'B-1 On-Site Hedge Baseline'!$B$1:$L$257,7,FALSE)),"",(VLOOKUP($B32,'B-1 On-Site Hedge Baseline'!$B$1:$L$257,7,FALSE))))</f>
        <v/>
      </c>
      <c r="H32" s="301" t="str">
        <f>IF(B32="","",IF(ISNA(VLOOKUP($B32,'B-1 On-Site Hedge Baseline'!$B$1:$L$257,8,FALSE)),"",(VLOOKUP($B32,'B-1 On-Site Hedge Baseline'!$B$1:$L$257,8,FALSE))))</f>
        <v/>
      </c>
      <c r="I32" s="301" t="str">
        <f>IF(B32="","",IF(ISNA(VLOOKUP($B32,'B-1 On-Site Hedge Baseline'!$B$1:$L$257,10,FALSE)),"",(VLOOKUP($B32,'B-1 On-Site Hedge Baseline'!$B$1:$L$257,10,FALSE))))</f>
        <v/>
      </c>
      <c r="J32" s="301" t="str">
        <f>IF(B32="","",IF(ISNA(VLOOKUP($B32,'B-1 On-Site Hedge Baseline'!$B$1:$L$257,11,FALSE)),"",(VLOOKUP($B32,'B-1 On-Site Hedge Baseline'!$B$1:$L$257,11,FALSE))))</f>
        <v/>
      </c>
      <c r="K32" s="301" t="str">
        <f>IF(B32="","",IF(ISNA(VLOOKUP($B32,'B-1 On-Site Hedge Baseline'!$B$1:$U$257,13,FALSE)),"",(VLOOKUP($B32,'B-1 On-Site Hedge Baseline'!$B$1:$U$257,13,FALSE))))</f>
        <v/>
      </c>
      <c r="L32" s="305" t="str">
        <f>IF(B32="","",IF(ISNA(VLOOKUP($B32,'B-1 On-Site Hedge Baseline'!$B$1:$U$257,12,FALSE)),"",(VLOOKUP($B32,'B-1 On-Site Hedge Baseline'!$B$1:$U$257,12,FALSE))))</f>
        <v/>
      </c>
      <c r="M32" s="627"/>
      <c r="N32" s="281" t="str">
        <f>IFERROR(IF(B32="","",INDEX('G-6 Hedgerow Data'!$AN$3:$AZ$15,MATCH(C32,'G-6 Hedgerow Data'!$AM$3:$AM$15,0),MATCH(M32,'G-6 Hedgerow Data'!$AN$2:$AZ$2,0))),"")</f>
        <v/>
      </c>
      <c r="O32" s="282" t="str">
        <f t="shared" si="1"/>
        <v/>
      </c>
      <c r="P32" s="335" t="str">
        <f>IF(B32="","",VLOOKUP(B32,'B-1 On-Site Hedge Baseline'!$B$10:T277,16,FALSE))</f>
        <v/>
      </c>
      <c r="Q32" s="281" t="str">
        <f>IF(M32="","",VLOOKUP(M32,'G-6 Hedgerow Data'!$B$2:$AG$15,2,FALSE))</f>
        <v/>
      </c>
      <c r="R32" s="282" t="str">
        <f>IF(M32="","",VLOOKUP(M32,'G-6 Hedgerow Data'!$B$2:$AG$15,3,FALSE))</f>
        <v/>
      </c>
      <c r="S32" s="53"/>
      <c r="T32" s="320" t="str">
        <f>IFERROR(IF(S32="","",IF(AND(M32="Non-native and ornamental hedgerow", S32&lt;&gt;"Poor"),"Not possible ▲", (VLOOKUP(S32,'G-1 All Habitats'!$Z$2:$AA$9,2,FALSE)))),"")</f>
        <v/>
      </c>
      <c r="U32" s="105"/>
      <c r="V32" s="301" t="str">
        <f>IF(U32="","",IF(VLOOKUP(U32,'G-3 Multipliers'!$L$3:$N$6,2,FALSE)=0,"Spatial Data Missing ⚠",VLOOKUP(U32,'G-3 Multipliers'!$L$3:$N$6,2,FALSE)))</f>
        <v/>
      </c>
      <c r="W32" s="305" t="str">
        <f>IF(U32="","",IF(VLOOKUP(U32,'G-3 Multipliers'!$L$3:$N$6,3,FALSE)=0,"Spatial Data Missing ⚠",VLOOKUP(U32,'G-3 Multipliers'!$L$3:$N$6,3,FALSE)))</f>
        <v/>
      </c>
      <c r="X32" s="281" t="str">
        <f>IFERROR(IF(OR(LEFT(O32,5)="Error",LEFT(N32,5)="Error",T32="Error"),"Check Data ⚠",IF(F32&lt;R32,INDEX('G-6 Hedgerow Data'!$S$3:$AE$14,MATCH(C32,'G-6 Hedgerow Data'!$B$3:$B$14,0),MATCH(M32,'G-6 Hedgerow Data'!$S$2:$AE$2,0)),INDEX('G-6 Hedgerow Data'!$K$3:$Q$14,MATCH(M32,'G-6 Hedgerow Data'!$B$3:$B$14,0),MATCH(O32,'G-6 Hedgerow Data'!$K$2:$Q$2,0)))),"")</f>
        <v/>
      </c>
      <c r="Y32" s="137"/>
      <c r="Z32" s="137"/>
      <c r="AA32" s="289" t="str">
        <f t="shared" si="2"/>
        <v/>
      </c>
      <c r="AB32" s="302" t="str">
        <f t="shared" si="3"/>
        <v/>
      </c>
      <c r="AC32" s="303" t="str">
        <f t="shared" si="0"/>
        <v/>
      </c>
      <c r="AD32" s="317" t="str">
        <f>IF(M32="","",VLOOKUP(M32,'G-6 Hedgerow Data'!$B$3:$AG$15,31,FALSE))</f>
        <v/>
      </c>
      <c r="AE32" s="289" t="str">
        <f t="shared" si="4"/>
        <v/>
      </c>
      <c r="AF32" s="289" t="str">
        <f t="shared" si="5"/>
        <v/>
      </c>
      <c r="AG32" s="305" t="str">
        <f>IFERROR(IF(O32="","",VLOOKUP(AD32,'G-3 Multipliers'!$P$3:$Q$6,2,FALSE)),"")</f>
        <v/>
      </c>
      <c r="AH32" s="295" t="str">
        <f t="shared" si="6"/>
        <v/>
      </c>
      <c r="AI32" s="112"/>
      <c r="AJ32" s="119"/>
      <c r="AK32" s="108"/>
      <c r="AT32" s="30" t="str">
        <f>IFERROR(INDEX('G-6 Hedgerow Data'!$BJ$3:$BJ$15,MATCH(M32,'G-6 Hedgerow Data'!$B$3:$B$15,0)),"")</f>
        <v/>
      </c>
    </row>
    <row r="33" spans="2:46" ht="13.8" x14ac:dyDescent="0.25">
      <c r="B33" s="311" t="str">
        <f>'B-1 On-Site Hedge Baseline'!AK31</f>
        <v/>
      </c>
      <c r="C33" s="301" t="str">
        <f>IF(B33="","",IF(ISNA(VLOOKUP($B33,'B-1 On-Site Hedge Baseline'!$B$1:$L$257,3,FALSE)),"",(VLOOKUP($B33,'B-1 On-Site Hedge Baseline'!$B$1:$L$257,3,FALSE))))</f>
        <v/>
      </c>
      <c r="D33" s="301" t="str">
        <f>IF(B33="","",IF(ISNA(VLOOKUP($B33,'B-1 On-Site Hedge Baseline'!$B$1:$L$257,4,FALSE)),"",(VLOOKUP($B33,'B-1 On-Site Hedge Baseline'!$B$1:$L$257,4,FALSE))))</f>
        <v/>
      </c>
      <c r="E33" s="301" t="str">
        <f>IF(B33="","",IF(ISNA(VLOOKUP($B33,'B-1 On-Site Hedge Baseline'!$B$1:$L$257,5,FALSE)),"",(VLOOKUP($B33,'B-1 On-Site Hedge Baseline'!$B$1:$L$257,5,FALSE))))</f>
        <v/>
      </c>
      <c r="F33" s="301" t="str">
        <f>IF(B33="","",IF(ISNA(VLOOKUP($B33,'B-1 On-Site Hedge Baseline'!$B$1:$L$257,6,FALSE)),"",(VLOOKUP($B33,'B-1 On-Site Hedge Baseline'!$B$1:$L$257,6,FALSE))))</f>
        <v/>
      </c>
      <c r="G33" s="301" t="str">
        <f>IF(B33="","",IF(ISNA(VLOOKUP($B33,'B-1 On-Site Hedge Baseline'!$B$1:$L$257,7,FALSE)),"",(VLOOKUP($B33,'B-1 On-Site Hedge Baseline'!$B$1:$L$257,7,FALSE))))</f>
        <v/>
      </c>
      <c r="H33" s="301" t="str">
        <f>IF(B33="","",IF(ISNA(VLOOKUP($B33,'B-1 On-Site Hedge Baseline'!$B$1:$L$257,8,FALSE)),"",(VLOOKUP($B33,'B-1 On-Site Hedge Baseline'!$B$1:$L$257,8,FALSE))))</f>
        <v/>
      </c>
      <c r="I33" s="301" t="str">
        <f>IF(B33="","",IF(ISNA(VLOOKUP($B33,'B-1 On-Site Hedge Baseline'!$B$1:$L$257,10,FALSE)),"",(VLOOKUP($B33,'B-1 On-Site Hedge Baseline'!$B$1:$L$257,10,FALSE))))</f>
        <v/>
      </c>
      <c r="J33" s="301" t="str">
        <f>IF(B33="","",IF(ISNA(VLOOKUP($B33,'B-1 On-Site Hedge Baseline'!$B$1:$L$257,11,FALSE)),"",(VLOOKUP($B33,'B-1 On-Site Hedge Baseline'!$B$1:$L$257,11,FALSE))))</f>
        <v/>
      </c>
      <c r="K33" s="301" t="str">
        <f>IF(B33="","",IF(ISNA(VLOOKUP($B33,'B-1 On-Site Hedge Baseline'!$B$1:$U$257,13,FALSE)),"",(VLOOKUP($B33,'B-1 On-Site Hedge Baseline'!$B$1:$U$257,13,FALSE))))</f>
        <v/>
      </c>
      <c r="L33" s="305" t="str">
        <f>IF(B33="","",IF(ISNA(VLOOKUP($B33,'B-1 On-Site Hedge Baseline'!$B$1:$U$257,12,FALSE)),"",(VLOOKUP($B33,'B-1 On-Site Hedge Baseline'!$B$1:$U$257,12,FALSE))))</f>
        <v/>
      </c>
      <c r="M33" s="627"/>
      <c r="N33" s="281" t="str">
        <f>IFERROR(IF(B33="","",INDEX('G-6 Hedgerow Data'!$AN$3:$AZ$15,MATCH(C33,'G-6 Hedgerow Data'!$AM$3:$AM$15,0),MATCH(M33,'G-6 Hedgerow Data'!$AN$2:$AZ$2,0))),"")</f>
        <v/>
      </c>
      <c r="O33" s="282" t="str">
        <f t="shared" si="1"/>
        <v/>
      </c>
      <c r="P33" s="335" t="str">
        <f>IF(B33="","",VLOOKUP(B33,'B-1 On-Site Hedge Baseline'!$B$10:T278,16,FALSE))</f>
        <v/>
      </c>
      <c r="Q33" s="281" t="str">
        <f>IF(M33="","",VLOOKUP(M33,'G-6 Hedgerow Data'!$B$2:$AG$15,2,FALSE))</f>
        <v/>
      </c>
      <c r="R33" s="282" t="str">
        <f>IF(M33="","",VLOOKUP(M33,'G-6 Hedgerow Data'!$B$2:$AG$15,3,FALSE))</f>
        <v/>
      </c>
      <c r="S33" s="53"/>
      <c r="T33" s="320" t="str">
        <f>IFERROR(IF(S33="","",IF(AND(M33="Non-native and ornamental hedgerow", S33&lt;&gt;"Poor"),"Not possible ▲", (VLOOKUP(S33,'G-1 All Habitats'!$Z$2:$AA$9,2,FALSE)))),"")</f>
        <v/>
      </c>
      <c r="U33" s="105"/>
      <c r="V33" s="301" t="str">
        <f>IF(U33="","",IF(VLOOKUP(U33,'G-3 Multipliers'!$L$3:$N$6,2,FALSE)=0,"Spatial Data Missing ⚠",VLOOKUP(U33,'G-3 Multipliers'!$L$3:$N$6,2,FALSE)))</f>
        <v/>
      </c>
      <c r="W33" s="305" t="str">
        <f>IF(U33="","",IF(VLOOKUP(U33,'G-3 Multipliers'!$L$3:$N$6,3,FALSE)=0,"Spatial Data Missing ⚠",VLOOKUP(U33,'G-3 Multipliers'!$L$3:$N$6,3,FALSE)))</f>
        <v/>
      </c>
      <c r="X33" s="281" t="str">
        <f>IFERROR(IF(OR(LEFT(O33,5)="Error",LEFT(N33,5)="Error",T33="Error"),"Check Data ⚠",IF(F33&lt;R33,INDEX('G-6 Hedgerow Data'!$S$3:$AE$14,MATCH(C33,'G-6 Hedgerow Data'!$B$3:$B$14,0),MATCH(M33,'G-6 Hedgerow Data'!$S$2:$AE$2,0)),INDEX('G-6 Hedgerow Data'!$K$3:$Q$14,MATCH(M33,'G-6 Hedgerow Data'!$B$3:$B$14,0),MATCH(O33,'G-6 Hedgerow Data'!$K$2:$Q$2,0)))),"")</f>
        <v/>
      </c>
      <c r="Y33" s="137"/>
      <c r="Z33" s="137"/>
      <c r="AA33" s="289" t="str">
        <f t="shared" si="2"/>
        <v/>
      </c>
      <c r="AB33" s="302" t="str">
        <f t="shared" si="3"/>
        <v/>
      </c>
      <c r="AC33" s="303" t="str">
        <f t="shared" si="0"/>
        <v/>
      </c>
      <c r="AD33" s="317" t="str">
        <f>IF(M33="","",VLOOKUP(M33,'G-6 Hedgerow Data'!$B$3:$AG$15,31,FALSE))</f>
        <v/>
      </c>
      <c r="AE33" s="289" t="str">
        <f t="shared" si="4"/>
        <v/>
      </c>
      <c r="AF33" s="289" t="str">
        <f t="shared" si="5"/>
        <v/>
      </c>
      <c r="AG33" s="305" t="str">
        <f>IFERROR(IF(O33="","",VLOOKUP(AD33,'G-3 Multipliers'!$P$3:$Q$6,2,FALSE)),"")</f>
        <v/>
      </c>
      <c r="AH33" s="295" t="str">
        <f t="shared" si="6"/>
        <v/>
      </c>
      <c r="AI33" s="112"/>
      <c r="AJ33" s="119"/>
      <c r="AK33" s="108"/>
      <c r="AT33" s="30" t="str">
        <f>IFERROR(INDEX('G-6 Hedgerow Data'!$BJ$3:$BJ$15,MATCH(M33,'G-6 Hedgerow Data'!$B$3:$B$15,0)),"")</f>
        <v/>
      </c>
    </row>
    <row r="34" spans="2:46" ht="13.8" x14ac:dyDescent="0.25">
      <c r="B34" s="311" t="str">
        <f>'B-1 On-Site Hedge Baseline'!AK32</f>
        <v/>
      </c>
      <c r="C34" s="301" t="str">
        <f>IF(B34="","",IF(ISNA(VLOOKUP($B34,'B-1 On-Site Hedge Baseline'!$B$1:$L$257,3,FALSE)),"",(VLOOKUP($B34,'B-1 On-Site Hedge Baseline'!$B$1:$L$257,3,FALSE))))</f>
        <v/>
      </c>
      <c r="D34" s="301" t="str">
        <f>IF(B34="","",IF(ISNA(VLOOKUP($B34,'B-1 On-Site Hedge Baseline'!$B$1:$L$257,4,FALSE)),"",(VLOOKUP($B34,'B-1 On-Site Hedge Baseline'!$B$1:$L$257,4,FALSE))))</f>
        <v/>
      </c>
      <c r="E34" s="301" t="str">
        <f>IF(B34="","",IF(ISNA(VLOOKUP($B34,'B-1 On-Site Hedge Baseline'!$B$1:$L$257,5,FALSE)),"",(VLOOKUP($B34,'B-1 On-Site Hedge Baseline'!$B$1:$L$257,5,FALSE))))</f>
        <v/>
      </c>
      <c r="F34" s="301" t="str">
        <f>IF(B34="","",IF(ISNA(VLOOKUP($B34,'B-1 On-Site Hedge Baseline'!$B$1:$L$257,6,FALSE)),"",(VLOOKUP($B34,'B-1 On-Site Hedge Baseline'!$B$1:$L$257,6,FALSE))))</f>
        <v/>
      </c>
      <c r="G34" s="301" t="str">
        <f>IF(B34="","",IF(ISNA(VLOOKUP($B34,'B-1 On-Site Hedge Baseline'!$B$1:$L$257,7,FALSE)),"",(VLOOKUP($B34,'B-1 On-Site Hedge Baseline'!$B$1:$L$257,7,FALSE))))</f>
        <v/>
      </c>
      <c r="H34" s="301" t="str">
        <f>IF(B34="","",IF(ISNA(VLOOKUP($B34,'B-1 On-Site Hedge Baseline'!$B$1:$L$257,8,FALSE)),"",(VLOOKUP($B34,'B-1 On-Site Hedge Baseline'!$B$1:$L$257,8,FALSE))))</f>
        <v/>
      </c>
      <c r="I34" s="301" t="str">
        <f>IF(B34="","",IF(ISNA(VLOOKUP($B34,'B-1 On-Site Hedge Baseline'!$B$1:$L$257,10,FALSE)),"",(VLOOKUP($B34,'B-1 On-Site Hedge Baseline'!$B$1:$L$257,10,FALSE))))</f>
        <v/>
      </c>
      <c r="J34" s="301" t="str">
        <f>IF(B34="","",IF(ISNA(VLOOKUP($B34,'B-1 On-Site Hedge Baseline'!$B$1:$L$257,11,FALSE)),"",(VLOOKUP($B34,'B-1 On-Site Hedge Baseline'!$B$1:$L$257,11,FALSE))))</f>
        <v/>
      </c>
      <c r="K34" s="301" t="str">
        <f>IF(B34="","",IF(ISNA(VLOOKUP($B34,'B-1 On-Site Hedge Baseline'!$B$1:$U$257,13,FALSE)),"",(VLOOKUP($B34,'B-1 On-Site Hedge Baseline'!$B$1:$U$257,13,FALSE))))</f>
        <v/>
      </c>
      <c r="L34" s="305" t="str">
        <f>IF(B34="","",IF(ISNA(VLOOKUP($B34,'B-1 On-Site Hedge Baseline'!$B$1:$U$257,12,FALSE)),"",(VLOOKUP($B34,'B-1 On-Site Hedge Baseline'!$B$1:$U$257,12,FALSE))))</f>
        <v/>
      </c>
      <c r="M34" s="627"/>
      <c r="N34" s="281" t="str">
        <f>IFERROR(IF(B34="","",INDEX('G-6 Hedgerow Data'!$AN$3:$AZ$15,MATCH(C34,'G-6 Hedgerow Data'!$AM$3:$AM$15,0),MATCH(M34,'G-6 Hedgerow Data'!$AN$2:$AZ$2,0))),"")</f>
        <v/>
      </c>
      <c r="O34" s="282" t="str">
        <f t="shared" si="1"/>
        <v/>
      </c>
      <c r="P34" s="335" t="str">
        <f>IF(B34="","",VLOOKUP(B34,'B-1 On-Site Hedge Baseline'!$B$10:T279,16,FALSE))</f>
        <v/>
      </c>
      <c r="Q34" s="281" t="str">
        <f>IF(M34="","",VLOOKUP(M34,'G-6 Hedgerow Data'!$B$2:$AG$15,2,FALSE))</f>
        <v/>
      </c>
      <c r="R34" s="282" t="str">
        <f>IF(M34="","",VLOOKUP(M34,'G-6 Hedgerow Data'!$B$2:$AG$15,3,FALSE))</f>
        <v/>
      </c>
      <c r="S34" s="53"/>
      <c r="T34" s="320" t="str">
        <f>IFERROR(IF(S34="","",IF(AND(M34="Non-native and ornamental hedgerow", S34&lt;&gt;"Poor"),"Not possible ▲", (VLOOKUP(S34,'G-1 All Habitats'!$Z$2:$AA$9,2,FALSE)))),"")</f>
        <v/>
      </c>
      <c r="U34" s="105"/>
      <c r="V34" s="301" t="str">
        <f>IF(U34="","",IF(VLOOKUP(U34,'G-3 Multipliers'!$L$3:$N$6,2,FALSE)=0,"Spatial Data Missing ⚠",VLOOKUP(U34,'G-3 Multipliers'!$L$3:$N$6,2,FALSE)))</f>
        <v/>
      </c>
      <c r="W34" s="305" t="str">
        <f>IF(U34="","",IF(VLOOKUP(U34,'G-3 Multipliers'!$L$3:$N$6,3,FALSE)=0,"Spatial Data Missing ⚠",VLOOKUP(U34,'G-3 Multipliers'!$L$3:$N$6,3,FALSE)))</f>
        <v/>
      </c>
      <c r="X34" s="281" t="str">
        <f>IFERROR(IF(OR(LEFT(O34,5)="Error",LEFT(N34,5)="Error",T34="Error"),"Check Data ⚠",IF(F34&lt;R34,INDEX('G-6 Hedgerow Data'!$S$3:$AE$14,MATCH(C34,'G-6 Hedgerow Data'!$B$3:$B$14,0),MATCH(M34,'G-6 Hedgerow Data'!$S$2:$AE$2,0)),INDEX('G-6 Hedgerow Data'!$K$3:$Q$14,MATCH(M34,'G-6 Hedgerow Data'!$B$3:$B$14,0),MATCH(O34,'G-6 Hedgerow Data'!$K$2:$Q$2,0)))),"")</f>
        <v/>
      </c>
      <c r="Y34" s="137"/>
      <c r="Z34" s="137"/>
      <c r="AA34" s="289" t="str">
        <f t="shared" si="2"/>
        <v/>
      </c>
      <c r="AB34" s="302" t="str">
        <f t="shared" si="3"/>
        <v/>
      </c>
      <c r="AC34" s="303" t="str">
        <f t="shared" si="0"/>
        <v/>
      </c>
      <c r="AD34" s="317" t="str">
        <f>IF(M34="","",VLOOKUP(M34,'G-6 Hedgerow Data'!$B$3:$AG$15,31,FALSE))</f>
        <v/>
      </c>
      <c r="AE34" s="289" t="str">
        <f t="shared" si="4"/>
        <v/>
      </c>
      <c r="AF34" s="289" t="str">
        <f t="shared" si="5"/>
        <v/>
      </c>
      <c r="AG34" s="305" t="str">
        <f>IFERROR(IF(O34="","",VLOOKUP(AD34,'G-3 Multipliers'!$P$3:$Q$6,2,FALSE)),"")</f>
        <v/>
      </c>
      <c r="AH34" s="295" t="str">
        <f t="shared" si="6"/>
        <v/>
      </c>
      <c r="AI34" s="112"/>
      <c r="AJ34" s="119"/>
      <c r="AK34" s="108"/>
      <c r="AT34" s="30" t="str">
        <f>IFERROR(INDEX('G-6 Hedgerow Data'!$BJ$3:$BJ$15,MATCH(M34,'G-6 Hedgerow Data'!$B$3:$B$15,0)),"")</f>
        <v/>
      </c>
    </row>
    <row r="35" spans="2:46" ht="13.8" x14ac:dyDescent="0.25">
      <c r="B35" s="311" t="str">
        <f>'B-1 On-Site Hedge Baseline'!AK33</f>
        <v/>
      </c>
      <c r="C35" s="301" t="str">
        <f>IF(B35="","",IF(ISNA(VLOOKUP($B35,'B-1 On-Site Hedge Baseline'!$B$1:$L$257,3,FALSE)),"",(VLOOKUP($B35,'B-1 On-Site Hedge Baseline'!$B$1:$L$257,3,FALSE))))</f>
        <v/>
      </c>
      <c r="D35" s="301" t="str">
        <f>IF(B35="","",IF(ISNA(VLOOKUP($B35,'B-1 On-Site Hedge Baseline'!$B$1:$L$257,4,FALSE)),"",(VLOOKUP($B35,'B-1 On-Site Hedge Baseline'!$B$1:$L$257,4,FALSE))))</f>
        <v/>
      </c>
      <c r="E35" s="301" t="str">
        <f>IF(B35="","",IF(ISNA(VLOOKUP($B35,'B-1 On-Site Hedge Baseline'!$B$1:$L$257,5,FALSE)),"",(VLOOKUP($B35,'B-1 On-Site Hedge Baseline'!$B$1:$L$257,5,FALSE))))</f>
        <v/>
      </c>
      <c r="F35" s="301" t="str">
        <f>IF(B35="","",IF(ISNA(VLOOKUP($B35,'B-1 On-Site Hedge Baseline'!$B$1:$L$257,6,FALSE)),"",(VLOOKUP($B35,'B-1 On-Site Hedge Baseline'!$B$1:$L$257,6,FALSE))))</f>
        <v/>
      </c>
      <c r="G35" s="301" t="str">
        <f>IF(B35="","",IF(ISNA(VLOOKUP($B35,'B-1 On-Site Hedge Baseline'!$B$1:$L$257,7,FALSE)),"",(VLOOKUP($B35,'B-1 On-Site Hedge Baseline'!$B$1:$L$257,7,FALSE))))</f>
        <v/>
      </c>
      <c r="H35" s="301" t="str">
        <f>IF(B35="","",IF(ISNA(VLOOKUP($B35,'B-1 On-Site Hedge Baseline'!$B$1:$L$257,8,FALSE)),"",(VLOOKUP($B35,'B-1 On-Site Hedge Baseline'!$B$1:$L$257,8,FALSE))))</f>
        <v/>
      </c>
      <c r="I35" s="301" t="str">
        <f>IF(B35="","",IF(ISNA(VLOOKUP($B35,'B-1 On-Site Hedge Baseline'!$B$1:$L$257,10,FALSE)),"",(VLOOKUP($B35,'B-1 On-Site Hedge Baseline'!$B$1:$L$257,10,FALSE))))</f>
        <v/>
      </c>
      <c r="J35" s="301" t="str">
        <f>IF(B35="","",IF(ISNA(VLOOKUP($B35,'B-1 On-Site Hedge Baseline'!$B$1:$L$257,11,FALSE)),"",(VLOOKUP($B35,'B-1 On-Site Hedge Baseline'!$B$1:$L$257,11,FALSE))))</f>
        <v/>
      </c>
      <c r="K35" s="301" t="str">
        <f>IF(B35="","",IF(ISNA(VLOOKUP($B35,'B-1 On-Site Hedge Baseline'!$B$1:$U$257,13,FALSE)),"",(VLOOKUP($B35,'B-1 On-Site Hedge Baseline'!$B$1:$U$257,13,FALSE))))</f>
        <v/>
      </c>
      <c r="L35" s="305" t="str">
        <f>IF(B35="","",IF(ISNA(VLOOKUP($B35,'B-1 On-Site Hedge Baseline'!$B$1:$U$257,12,FALSE)),"",(VLOOKUP($B35,'B-1 On-Site Hedge Baseline'!$B$1:$U$257,12,FALSE))))</f>
        <v/>
      </c>
      <c r="M35" s="627"/>
      <c r="N35" s="281" t="str">
        <f>IFERROR(IF(B35="","",INDEX('G-6 Hedgerow Data'!$AN$3:$AZ$15,MATCH(C35,'G-6 Hedgerow Data'!$AM$3:$AM$15,0),MATCH(M35,'G-6 Hedgerow Data'!$AN$2:$AZ$2,0))),"")</f>
        <v/>
      </c>
      <c r="O35" s="282" t="str">
        <f t="shared" si="1"/>
        <v/>
      </c>
      <c r="P35" s="335" t="str">
        <f>IF(B35="","",VLOOKUP(B35,'B-1 On-Site Hedge Baseline'!$B$10:T280,16,FALSE))</f>
        <v/>
      </c>
      <c r="Q35" s="281" t="str">
        <f>IF(M35="","",VLOOKUP(M35,'G-6 Hedgerow Data'!$B$2:$AG$15,2,FALSE))</f>
        <v/>
      </c>
      <c r="R35" s="282" t="str">
        <f>IF(M35="","",VLOOKUP(M35,'G-6 Hedgerow Data'!$B$2:$AG$15,3,FALSE))</f>
        <v/>
      </c>
      <c r="S35" s="53"/>
      <c r="T35" s="320" t="str">
        <f>IFERROR(IF(S35="","",IF(AND(M35="Non-native and ornamental hedgerow", S35&lt;&gt;"Poor"),"Not possible ▲", (VLOOKUP(S35,'G-1 All Habitats'!$Z$2:$AA$9,2,FALSE)))),"")</f>
        <v/>
      </c>
      <c r="U35" s="105"/>
      <c r="V35" s="301" t="str">
        <f>IF(U35="","",IF(VLOOKUP(U35,'G-3 Multipliers'!$L$3:$N$6,2,FALSE)=0,"Spatial Data Missing ⚠",VLOOKUP(U35,'G-3 Multipliers'!$L$3:$N$6,2,FALSE)))</f>
        <v/>
      </c>
      <c r="W35" s="305" t="str">
        <f>IF(U35="","",IF(VLOOKUP(U35,'G-3 Multipliers'!$L$3:$N$6,3,FALSE)=0,"Spatial Data Missing ⚠",VLOOKUP(U35,'G-3 Multipliers'!$L$3:$N$6,3,FALSE)))</f>
        <v/>
      </c>
      <c r="X35" s="281" t="str">
        <f>IFERROR(IF(OR(LEFT(O35,5)="Error",LEFT(N35,5)="Error",T35="Error"),"Check Data ⚠",IF(F35&lt;R35,INDEX('G-6 Hedgerow Data'!$S$3:$AE$14,MATCH(C35,'G-6 Hedgerow Data'!$B$3:$B$14,0),MATCH(M35,'G-6 Hedgerow Data'!$S$2:$AE$2,0)),INDEX('G-6 Hedgerow Data'!$K$3:$Q$14,MATCH(M35,'G-6 Hedgerow Data'!$B$3:$B$14,0),MATCH(O35,'G-6 Hedgerow Data'!$K$2:$Q$2,0)))),"")</f>
        <v/>
      </c>
      <c r="Y35" s="137"/>
      <c r="Z35" s="137"/>
      <c r="AA35" s="289" t="str">
        <f t="shared" si="2"/>
        <v/>
      </c>
      <c r="AB35" s="302" t="str">
        <f t="shared" si="3"/>
        <v/>
      </c>
      <c r="AC35" s="303" t="str">
        <f t="shared" si="0"/>
        <v/>
      </c>
      <c r="AD35" s="317" t="str">
        <f>IF(M35="","",VLOOKUP(M35,'G-6 Hedgerow Data'!$B$3:$AG$15,31,FALSE))</f>
        <v/>
      </c>
      <c r="AE35" s="289" t="str">
        <f t="shared" si="4"/>
        <v/>
      </c>
      <c r="AF35" s="289" t="str">
        <f t="shared" si="5"/>
        <v/>
      </c>
      <c r="AG35" s="305" t="str">
        <f>IFERROR(IF(O35="","",VLOOKUP(AD35,'G-3 Multipliers'!$P$3:$Q$6,2,FALSE)),"")</f>
        <v/>
      </c>
      <c r="AH35" s="295" t="str">
        <f t="shared" si="6"/>
        <v/>
      </c>
      <c r="AI35" s="112"/>
      <c r="AJ35" s="119"/>
      <c r="AK35" s="108"/>
      <c r="AT35" s="30" t="str">
        <f>IFERROR(INDEX('G-6 Hedgerow Data'!$BJ$3:$BJ$15,MATCH(M35,'G-6 Hedgerow Data'!$B$3:$B$15,0)),"")</f>
        <v/>
      </c>
    </row>
    <row r="36" spans="2:46" ht="13.8" x14ac:dyDescent="0.25">
      <c r="B36" s="311" t="str">
        <f>'B-1 On-Site Hedge Baseline'!AK34</f>
        <v/>
      </c>
      <c r="C36" s="301" t="str">
        <f>IF(B36="","",IF(ISNA(VLOOKUP($B36,'B-1 On-Site Hedge Baseline'!$B$1:$L$257,3,FALSE)),"",(VLOOKUP($B36,'B-1 On-Site Hedge Baseline'!$B$1:$L$257,3,FALSE))))</f>
        <v/>
      </c>
      <c r="D36" s="301" t="str">
        <f>IF(B36="","",IF(ISNA(VLOOKUP($B36,'B-1 On-Site Hedge Baseline'!$B$1:$L$257,4,FALSE)),"",(VLOOKUP($B36,'B-1 On-Site Hedge Baseline'!$B$1:$L$257,4,FALSE))))</f>
        <v/>
      </c>
      <c r="E36" s="301" t="str">
        <f>IF(B36="","",IF(ISNA(VLOOKUP($B36,'B-1 On-Site Hedge Baseline'!$B$1:$L$257,5,FALSE)),"",(VLOOKUP($B36,'B-1 On-Site Hedge Baseline'!$B$1:$L$257,5,FALSE))))</f>
        <v/>
      </c>
      <c r="F36" s="301" t="str">
        <f>IF(B36="","",IF(ISNA(VLOOKUP($B36,'B-1 On-Site Hedge Baseline'!$B$1:$L$257,6,FALSE)),"",(VLOOKUP($B36,'B-1 On-Site Hedge Baseline'!$B$1:$L$257,6,FALSE))))</f>
        <v/>
      </c>
      <c r="G36" s="301" t="str">
        <f>IF(B36="","",IF(ISNA(VLOOKUP($B36,'B-1 On-Site Hedge Baseline'!$B$1:$L$257,7,FALSE)),"",(VLOOKUP($B36,'B-1 On-Site Hedge Baseline'!$B$1:$L$257,7,FALSE))))</f>
        <v/>
      </c>
      <c r="H36" s="301" t="str">
        <f>IF(B36="","",IF(ISNA(VLOOKUP($B36,'B-1 On-Site Hedge Baseline'!$B$1:$L$257,8,FALSE)),"",(VLOOKUP($B36,'B-1 On-Site Hedge Baseline'!$B$1:$L$257,8,FALSE))))</f>
        <v/>
      </c>
      <c r="I36" s="301" t="str">
        <f>IF(B36="","",IF(ISNA(VLOOKUP($B36,'B-1 On-Site Hedge Baseline'!$B$1:$L$257,10,FALSE)),"",(VLOOKUP($B36,'B-1 On-Site Hedge Baseline'!$B$1:$L$257,10,FALSE))))</f>
        <v/>
      </c>
      <c r="J36" s="301" t="str">
        <f>IF(B36="","",IF(ISNA(VLOOKUP($B36,'B-1 On-Site Hedge Baseline'!$B$1:$L$257,11,FALSE)),"",(VLOOKUP($B36,'B-1 On-Site Hedge Baseline'!$B$1:$L$257,11,FALSE))))</f>
        <v/>
      </c>
      <c r="K36" s="301" t="str">
        <f>IF(B36="","",IF(ISNA(VLOOKUP($B36,'B-1 On-Site Hedge Baseline'!$B$1:$U$257,13,FALSE)),"",(VLOOKUP($B36,'B-1 On-Site Hedge Baseline'!$B$1:$U$257,13,FALSE))))</f>
        <v/>
      </c>
      <c r="L36" s="305" t="str">
        <f>IF(B36="","",IF(ISNA(VLOOKUP($B36,'B-1 On-Site Hedge Baseline'!$B$1:$U$257,12,FALSE)),"",(VLOOKUP($B36,'B-1 On-Site Hedge Baseline'!$B$1:$U$257,12,FALSE))))</f>
        <v/>
      </c>
      <c r="M36" s="627"/>
      <c r="N36" s="281" t="str">
        <f>IFERROR(IF(B36="","",INDEX('G-6 Hedgerow Data'!$AN$3:$AZ$15,MATCH(C36,'G-6 Hedgerow Data'!$AM$3:$AM$15,0),MATCH(M36,'G-6 Hedgerow Data'!$AN$2:$AZ$2,0))),"")</f>
        <v/>
      </c>
      <c r="O36" s="282" t="str">
        <f t="shared" si="1"/>
        <v/>
      </c>
      <c r="P36" s="335" t="str">
        <f>IF(B36="","",VLOOKUP(B36,'B-1 On-Site Hedge Baseline'!$B$10:T281,16,FALSE))</f>
        <v/>
      </c>
      <c r="Q36" s="281" t="str">
        <f>IF(M36="","",VLOOKUP(M36,'G-6 Hedgerow Data'!$B$2:$AG$15,2,FALSE))</f>
        <v/>
      </c>
      <c r="R36" s="282" t="str">
        <f>IF(M36="","",VLOOKUP(M36,'G-6 Hedgerow Data'!$B$2:$AG$15,3,FALSE))</f>
        <v/>
      </c>
      <c r="S36" s="53"/>
      <c r="T36" s="320" t="str">
        <f>IFERROR(IF(S36="","",IF(AND(M36="Non-native and ornamental hedgerow", S36&lt;&gt;"Poor"),"Not possible ▲", (VLOOKUP(S36,'G-1 All Habitats'!$Z$2:$AA$9,2,FALSE)))),"")</f>
        <v/>
      </c>
      <c r="U36" s="105"/>
      <c r="V36" s="301" t="str">
        <f>IF(U36="","",IF(VLOOKUP(U36,'G-3 Multipliers'!$L$3:$N$6,2,FALSE)=0,"Spatial Data Missing ⚠",VLOOKUP(U36,'G-3 Multipliers'!$L$3:$N$6,2,FALSE)))</f>
        <v/>
      </c>
      <c r="W36" s="305" t="str">
        <f>IF(U36="","",IF(VLOOKUP(U36,'G-3 Multipliers'!$L$3:$N$6,3,FALSE)=0,"Spatial Data Missing ⚠",VLOOKUP(U36,'G-3 Multipliers'!$L$3:$N$6,3,FALSE)))</f>
        <v/>
      </c>
      <c r="X36" s="281" t="str">
        <f>IFERROR(IF(OR(LEFT(O36,5)="Error",LEFT(N36,5)="Error",T36="Error"),"Check Data ⚠",IF(F36&lt;R36,INDEX('G-6 Hedgerow Data'!$S$3:$AE$14,MATCH(C36,'G-6 Hedgerow Data'!$B$3:$B$14,0),MATCH(M36,'G-6 Hedgerow Data'!$S$2:$AE$2,0)),INDEX('G-6 Hedgerow Data'!$K$3:$Q$14,MATCH(M36,'G-6 Hedgerow Data'!$B$3:$B$14,0),MATCH(O36,'G-6 Hedgerow Data'!$K$2:$Q$2,0)))),"")</f>
        <v/>
      </c>
      <c r="Y36" s="137"/>
      <c r="Z36" s="137"/>
      <c r="AA36" s="289" t="str">
        <f t="shared" si="2"/>
        <v/>
      </c>
      <c r="AB36" s="302" t="str">
        <f t="shared" si="3"/>
        <v/>
      </c>
      <c r="AC36" s="303" t="str">
        <f t="shared" si="0"/>
        <v/>
      </c>
      <c r="AD36" s="317" t="str">
        <f>IF(M36="","",VLOOKUP(M36,'G-6 Hedgerow Data'!$B$3:$AG$15,31,FALSE))</f>
        <v/>
      </c>
      <c r="AE36" s="289" t="str">
        <f t="shared" si="4"/>
        <v/>
      </c>
      <c r="AF36" s="289" t="str">
        <f t="shared" si="5"/>
        <v/>
      </c>
      <c r="AG36" s="305" t="str">
        <f>IFERROR(IF(O36="","",VLOOKUP(AD36,'G-3 Multipliers'!$P$3:$Q$6,2,FALSE)),"")</f>
        <v/>
      </c>
      <c r="AH36" s="295" t="str">
        <f t="shared" si="6"/>
        <v/>
      </c>
      <c r="AI36" s="112"/>
      <c r="AJ36" s="119"/>
      <c r="AK36" s="108"/>
      <c r="AT36" s="30" t="str">
        <f>IFERROR(INDEX('G-6 Hedgerow Data'!$BJ$3:$BJ$15,MATCH(M36,'G-6 Hedgerow Data'!$B$3:$B$15,0)),"")</f>
        <v/>
      </c>
    </row>
    <row r="37" spans="2:46" ht="13.8" x14ac:dyDescent="0.25">
      <c r="B37" s="311" t="str">
        <f>'B-1 On-Site Hedge Baseline'!AK35</f>
        <v/>
      </c>
      <c r="C37" s="301" t="str">
        <f>IF(B37="","",IF(ISNA(VLOOKUP($B37,'B-1 On-Site Hedge Baseline'!$B$1:$L$257,3,FALSE)),"",(VLOOKUP($B37,'B-1 On-Site Hedge Baseline'!$B$1:$L$257,3,FALSE))))</f>
        <v/>
      </c>
      <c r="D37" s="301" t="str">
        <f>IF(B37="","",IF(ISNA(VLOOKUP($B37,'B-1 On-Site Hedge Baseline'!$B$1:$L$257,4,FALSE)),"",(VLOOKUP($B37,'B-1 On-Site Hedge Baseline'!$B$1:$L$257,4,FALSE))))</f>
        <v/>
      </c>
      <c r="E37" s="301" t="str">
        <f>IF(B37="","",IF(ISNA(VLOOKUP($B37,'B-1 On-Site Hedge Baseline'!$B$1:$L$257,5,FALSE)),"",(VLOOKUP($B37,'B-1 On-Site Hedge Baseline'!$B$1:$L$257,5,FALSE))))</f>
        <v/>
      </c>
      <c r="F37" s="301" t="str">
        <f>IF(B37="","",IF(ISNA(VLOOKUP($B37,'B-1 On-Site Hedge Baseline'!$B$1:$L$257,6,FALSE)),"",(VLOOKUP($B37,'B-1 On-Site Hedge Baseline'!$B$1:$L$257,6,FALSE))))</f>
        <v/>
      </c>
      <c r="G37" s="301" t="str">
        <f>IF(B37="","",IF(ISNA(VLOOKUP($B37,'B-1 On-Site Hedge Baseline'!$B$1:$L$257,7,FALSE)),"",(VLOOKUP($B37,'B-1 On-Site Hedge Baseline'!$B$1:$L$257,7,FALSE))))</f>
        <v/>
      </c>
      <c r="H37" s="301" t="str">
        <f>IF(B37="","",IF(ISNA(VLOOKUP($B37,'B-1 On-Site Hedge Baseline'!$B$1:$L$257,8,FALSE)),"",(VLOOKUP($B37,'B-1 On-Site Hedge Baseline'!$B$1:$L$257,8,FALSE))))</f>
        <v/>
      </c>
      <c r="I37" s="301" t="str">
        <f>IF(B37="","",IF(ISNA(VLOOKUP($B37,'B-1 On-Site Hedge Baseline'!$B$1:$L$257,10,FALSE)),"",(VLOOKUP($B37,'B-1 On-Site Hedge Baseline'!$B$1:$L$257,10,FALSE))))</f>
        <v/>
      </c>
      <c r="J37" s="301" t="str">
        <f>IF(B37="","",IF(ISNA(VLOOKUP($B37,'B-1 On-Site Hedge Baseline'!$B$1:$L$257,11,FALSE)),"",(VLOOKUP($B37,'B-1 On-Site Hedge Baseline'!$B$1:$L$257,11,FALSE))))</f>
        <v/>
      </c>
      <c r="K37" s="301" t="str">
        <f>IF(B37="","",IF(ISNA(VLOOKUP($B37,'B-1 On-Site Hedge Baseline'!$B$1:$U$257,13,FALSE)),"",(VLOOKUP($B37,'B-1 On-Site Hedge Baseline'!$B$1:$U$257,13,FALSE))))</f>
        <v/>
      </c>
      <c r="L37" s="305" t="str">
        <f>IF(B37="","",IF(ISNA(VLOOKUP($B37,'B-1 On-Site Hedge Baseline'!$B$1:$U$257,12,FALSE)),"",(VLOOKUP($B37,'B-1 On-Site Hedge Baseline'!$B$1:$U$257,12,FALSE))))</f>
        <v/>
      </c>
      <c r="M37" s="627"/>
      <c r="N37" s="281" t="str">
        <f>IFERROR(IF(B37="","",INDEX('G-6 Hedgerow Data'!$AN$3:$AZ$15,MATCH(C37,'G-6 Hedgerow Data'!$AM$3:$AM$15,0),MATCH(M37,'G-6 Hedgerow Data'!$AN$2:$AZ$2,0))),"")</f>
        <v/>
      </c>
      <c r="O37" s="282" t="str">
        <f t="shared" si="1"/>
        <v/>
      </c>
      <c r="P37" s="335" t="str">
        <f>IF(B37="","",VLOOKUP(B37,'B-1 On-Site Hedge Baseline'!$B$10:T282,16,FALSE))</f>
        <v/>
      </c>
      <c r="Q37" s="281" t="str">
        <f>IF(M37="","",VLOOKUP(M37,'G-6 Hedgerow Data'!$B$2:$AG$15,2,FALSE))</f>
        <v/>
      </c>
      <c r="R37" s="282" t="str">
        <f>IF(M37="","",VLOOKUP(M37,'G-6 Hedgerow Data'!$B$2:$AG$15,3,FALSE))</f>
        <v/>
      </c>
      <c r="S37" s="105"/>
      <c r="T37" s="320" t="str">
        <f>IFERROR(IF(S37="","",IF(AND(M37="Non-native and ornamental hedgerow", S37&lt;&gt;"Poor"),"Not possible ▲", (VLOOKUP(S37,'G-1 All Habitats'!$Z$2:$AA$9,2,FALSE)))),"")</f>
        <v/>
      </c>
      <c r="U37" s="105"/>
      <c r="V37" s="301" t="str">
        <f>IF(U37="","",IF(VLOOKUP(U37,'G-3 Multipliers'!$L$3:$N$6,2,FALSE)=0,"Spatial Data Missing ⚠",VLOOKUP(U37,'G-3 Multipliers'!$L$3:$N$6,2,FALSE)))</f>
        <v/>
      </c>
      <c r="W37" s="305" t="str">
        <f>IF(U37="","",IF(VLOOKUP(U37,'G-3 Multipliers'!$L$3:$N$6,3,FALSE)=0,"Spatial Data Missing ⚠",VLOOKUP(U37,'G-3 Multipliers'!$L$3:$N$6,3,FALSE)))</f>
        <v/>
      </c>
      <c r="X37" s="281" t="str">
        <f>IFERROR(IF(OR(LEFT(O37,5)="Error",LEFT(N37,5)="Error",T37="Error"),"Check Data ⚠",IF(F37&lt;R37,INDEX('G-6 Hedgerow Data'!$S$3:$AE$14,MATCH(C37,'G-6 Hedgerow Data'!$B$3:$B$14,0),MATCH(M37,'G-6 Hedgerow Data'!$S$2:$AE$2,0)),INDEX('G-6 Hedgerow Data'!$K$3:$Q$14,MATCH(M37,'G-6 Hedgerow Data'!$B$3:$B$14,0),MATCH(O37,'G-6 Hedgerow Data'!$K$2:$Q$2,0)))),"")</f>
        <v/>
      </c>
      <c r="Y37" s="137"/>
      <c r="Z37" s="137"/>
      <c r="AA37" s="289" t="str">
        <f t="shared" si="2"/>
        <v/>
      </c>
      <c r="AB37" s="302" t="str">
        <f t="shared" si="3"/>
        <v/>
      </c>
      <c r="AC37" s="303" t="str">
        <f t="shared" si="0"/>
        <v/>
      </c>
      <c r="AD37" s="317" t="str">
        <f>IF(M37="","",VLOOKUP(M37,'G-6 Hedgerow Data'!$B$3:$AG$15,31,FALSE))</f>
        <v/>
      </c>
      <c r="AE37" s="289" t="str">
        <f t="shared" si="4"/>
        <v/>
      </c>
      <c r="AF37" s="289" t="str">
        <f t="shared" si="5"/>
        <v/>
      </c>
      <c r="AG37" s="305" t="str">
        <f>IFERROR(IF(O37="","",VLOOKUP(AD37,'G-3 Multipliers'!$P$3:$Q$6,2,FALSE)),"")</f>
        <v/>
      </c>
      <c r="AH37" s="295" t="str">
        <f t="shared" si="6"/>
        <v/>
      </c>
      <c r="AI37" s="112"/>
      <c r="AJ37" s="119"/>
      <c r="AK37" s="108"/>
      <c r="AT37" s="30" t="str">
        <f>IFERROR(INDEX('G-6 Hedgerow Data'!$BJ$3:$BJ$15,MATCH(M37,'G-6 Hedgerow Data'!$B$3:$B$15,0)),"")</f>
        <v/>
      </c>
    </row>
    <row r="38" spans="2:46" ht="13.8" x14ac:dyDescent="0.25">
      <c r="B38" s="311" t="str">
        <f>'B-1 On-Site Hedge Baseline'!AK36</f>
        <v/>
      </c>
      <c r="C38" s="301" t="str">
        <f>IF(B38="","",IF(ISNA(VLOOKUP($B38,'B-1 On-Site Hedge Baseline'!$B$1:$L$257,3,FALSE)),"",(VLOOKUP($B38,'B-1 On-Site Hedge Baseline'!$B$1:$L$257,3,FALSE))))</f>
        <v/>
      </c>
      <c r="D38" s="301" t="str">
        <f>IF(B38="","",IF(ISNA(VLOOKUP($B38,'B-1 On-Site Hedge Baseline'!$B$1:$L$257,4,FALSE)),"",(VLOOKUP($B38,'B-1 On-Site Hedge Baseline'!$B$1:$L$257,4,FALSE))))</f>
        <v/>
      </c>
      <c r="E38" s="301" t="str">
        <f>IF(B38="","",IF(ISNA(VLOOKUP($B38,'B-1 On-Site Hedge Baseline'!$B$1:$L$257,5,FALSE)),"",(VLOOKUP($B38,'B-1 On-Site Hedge Baseline'!$B$1:$L$257,5,FALSE))))</f>
        <v/>
      </c>
      <c r="F38" s="301" t="str">
        <f>IF(B38="","",IF(ISNA(VLOOKUP($B38,'B-1 On-Site Hedge Baseline'!$B$1:$L$257,6,FALSE)),"",(VLOOKUP($B38,'B-1 On-Site Hedge Baseline'!$B$1:$L$257,6,FALSE))))</f>
        <v/>
      </c>
      <c r="G38" s="301" t="str">
        <f>IF(B38="","",IF(ISNA(VLOOKUP($B38,'B-1 On-Site Hedge Baseline'!$B$1:$L$257,7,FALSE)),"",(VLOOKUP($B38,'B-1 On-Site Hedge Baseline'!$B$1:$L$257,7,FALSE))))</f>
        <v/>
      </c>
      <c r="H38" s="301" t="str">
        <f>IF(B38="","",IF(ISNA(VLOOKUP($B38,'B-1 On-Site Hedge Baseline'!$B$1:$L$257,8,FALSE)),"",(VLOOKUP($B38,'B-1 On-Site Hedge Baseline'!$B$1:$L$257,8,FALSE))))</f>
        <v/>
      </c>
      <c r="I38" s="301" t="str">
        <f>IF(B38="","",IF(ISNA(VLOOKUP($B38,'B-1 On-Site Hedge Baseline'!$B$1:$L$257,10,FALSE)),"",(VLOOKUP($B38,'B-1 On-Site Hedge Baseline'!$B$1:$L$257,10,FALSE))))</f>
        <v/>
      </c>
      <c r="J38" s="301" t="str">
        <f>IF(B38="","",IF(ISNA(VLOOKUP($B38,'B-1 On-Site Hedge Baseline'!$B$1:$L$257,11,FALSE)),"",(VLOOKUP($B38,'B-1 On-Site Hedge Baseline'!$B$1:$L$257,11,FALSE))))</f>
        <v/>
      </c>
      <c r="K38" s="301" t="str">
        <f>IF(B38="","",IF(ISNA(VLOOKUP($B38,'B-1 On-Site Hedge Baseline'!$B$1:$U$257,13,FALSE)),"",(VLOOKUP($B38,'B-1 On-Site Hedge Baseline'!$B$1:$U$257,13,FALSE))))</f>
        <v/>
      </c>
      <c r="L38" s="305" t="str">
        <f>IF(B38="","",IF(ISNA(VLOOKUP($B38,'B-1 On-Site Hedge Baseline'!$B$1:$U$257,12,FALSE)),"",(VLOOKUP($B38,'B-1 On-Site Hedge Baseline'!$B$1:$U$257,12,FALSE))))</f>
        <v/>
      </c>
      <c r="M38" s="627"/>
      <c r="N38" s="281" t="str">
        <f>IFERROR(IF(B38="","",INDEX('G-6 Hedgerow Data'!$AN$3:$AZ$15,MATCH(C38,'G-6 Hedgerow Data'!$AM$3:$AM$15,0),MATCH(M38,'G-6 Hedgerow Data'!$AN$2:$AZ$2,0))),"")</f>
        <v/>
      </c>
      <c r="O38" s="282" t="str">
        <f t="shared" si="1"/>
        <v/>
      </c>
      <c r="P38" s="335" t="str">
        <f>IF(B38="","",VLOOKUP(B38,'B-1 On-Site Hedge Baseline'!$B$10:T283,16,FALSE))</f>
        <v/>
      </c>
      <c r="Q38" s="281" t="str">
        <f>IF(M38="","",VLOOKUP(M38,'G-6 Hedgerow Data'!$B$2:$AG$15,2,FALSE))</f>
        <v/>
      </c>
      <c r="R38" s="282" t="str">
        <f>IF(M38="","",VLOOKUP(M38,'G-6 Hedgerow Data'!$B$2:$AG$15,3,FALSE))</f>
        <v/>
      </c>
      <c r="S38" s="112"/>
      <c r="T38" s="320" t="str">
        <f>IFERROR(IF(S38="","",IF(AND(M38="Non-native and ornamental hedgerow", S38&lt;&gt;"Poor"),"Not possible ▲", (VLOOKUP(S38,'G-1 All Habitats'!$Z$2:$AA$9,2,FALSE)))),"")</f>
        <v/>
      </c>
      <c r="U38" s="109"/>
      <c r="V38" s="301" t="str">
        <f>IF(U38="","",IF(VLOOKUP(U38,'G-3 Multipliers'!$L$3:$N$6,2,FALSE)=0,"Spatial Data Missing ⚠",VLOOKUP(U38,'G-3 Multipliers'!$L$3:$N$6,2,FALSE)))</f>
        <v/>
      </c>
      <c r="W38" s="305" t="str">
        <f>IF(U38="","",IF(VLOOKUP(U38,'G-3 Multipliers'!$L$3:$N$6,3,FALSE)=0,"Spatial Data Missing ⚠",VLOOKUP(U38,'G-3 Multipliers'!$L$3:$N$6,3,FALSE)))</f>
        <v/>
      </c>
      <c r="X38" s="281" t="str">
        <f>IFERROR(IF(OR(LEFT(O38,5)="Error",LEFT(N38,5)="Error",T38="Error"),"Check Data ⚠",IF(F38&lt;R38,INDEX('G-6 Hedgerow Data'!$S$3:$AE$14,MATCH(C38,'G-6 Hedgerow Data'!$B$3:$B$14,0),MATCH(M38,'G-6 Hedgerow Data'!$S$2:$AE$2,0)),INDEX('G-6 Hedgerow Data'!$K$3:$Q$14,MATCH(M38,'G-6 Hedgerow Data'!$B$3:$B$14,0),MATCH(O38,'G-6 Hedgerow Data'!$K$2:$Q$2,0)))),"")</f>
        <v/>
      </c>
      <c r="Y38" s="137"/>
      <c r="Z38" s="137"/>
      <c r="AA38" s="289" t="str">
        <f t="shared" si="2"/>
        <v/>
      </c>
      <c r="AB38" s="302" t="str">
        <f t="shared" si="3"/>
        <v/>
      </c>
      <c r="AC38" s="303" t="str">
        <f t="shared" si="0"/>
        <v/>
      </c>
      <c r="AD38" s="317" t="str">
        <f>IF(M38="","",VLOOKUP(M38,'G-6 Hedgerow Data'!$B$3:$AG$15,31,FALSE))</f>
        <v/>
      </c>
      <c r="AE38" s="289" t="str">
        <f t="shared" si="4"/>
        <v/>
      </c>
      <c r="AF38" s="289" t="str">
        <f t="shared" si="5"/>
        <v/>
      </c>
      <c r="AG38" s="305" t="str">
        <f>IFERROR(IF(O38="","",VLOOKUP(AD38,'G-3 Multipliers'!$P$3:$Q$6,2,FALSE)),"")</f>
        <v/>
      </c>
      <c r="AH38" s="295" t="str">
        <f t="shared" si="6"/>
        <v/>
      </c>
      <c r="AI38" s="112"/>
      <c r="AJ38" s="119"/>
      <c r="AK38" s="108"/>
      <c r="AT38" s="30" t="str">
        <f>IFERROR(INDEX('G-6 Hedgerow Data'!$BJ$3:$BJ$15,MATCH(M38,'G-6 Hedgerow Data'!$B$3:$B$15,0)),"")</f>
        <v/>
      </c>
    </row>
    <row r="39" spans="2:46" ht="13.8" x14ac:dyDescent="0.25">
      <c r="B39" s="311" t="str">
        <f>'B-1 On-Site Hedge Baseline'!AK37</f>
        <v/>
      </c>
      <c r="C39" s="301" t="str">
        <f>IF(B39="","",IF(ISNA(VLOOKUP($B39,'B-1 On-Site Hedge Baseline'!$B$1:$L$257,3,FALSE)),"",(VLOOKUP($B39,'B-1 On-Site Hedge Baseline'!$B$1:$L$257,3,FALSE))))</f>
        <v/>
      </c>
      <c r="D39" s="301" t="str">
        <f>IF(B39="","",IF(ISNA(VLOOKUP($B39,'B-1 On-Site Hedge Baseline'!$B$1:$L$257,4,FALSE)),"",(VLOOKUP($B39,'B-1 On-Site Hedge Baseline'!$B$1:$L$257,4,FALSE))))</f>
        <v/>
      </c>
      <c r="E39" s="301" t="str">
        <f>IF(B39="","",IF(ISNA(VLOOKUP($B39,'B-1 On-Site Hedge Baseline'!$B$1:$L$257,5,FALSE)),"",(VLOOKUP($B39,'B-1 On-Site Hedge Baseline'!$B$1:$L$257,5,FALSE))))</f>
        <v/>
      </c>
      <c r="F39" s="301" t="str">
        <f>IF(B39="","",IF(ISNA(VLOOKUP($B39,'B-1 On-Site Hedge Baseline'!$B$1:$L$257,6,FALSE)),"",(VLOOKUP($B39,'B-1 On-Site Hedge Baseline'!$B$1:$L$257,6,FALSE))))</f>
        <v/>
      </c>
      <c r="G39" s="301" t="str">
        <f>IF(B39="","",IF(ISNA(VLOOKUP($B39,'B-1 On-Site Hedge Baseline'!$B$1:$L$257,7,FALSE)),"",(VLOOKUP($B39,'B-1 On-Site Hedge Baseline'!$B$1:$L$257,7,FALSE))))</f>
        <v/>
      </c>
      <c r="H39" s="301" t="str">
        <f>IF(B39="","",IF(ISNA(VLOOKUP($B39,'B-1 On-Site Hedge Baseline'!$B$1:$L$257,8,FALSE)),"",(VLOOKUP($B39,'B-1 On-Site Hedge Baseline'!$B$1:$L$257,8,FALSE))))</f>
        <v/>
      </c>
      <c r="I39" s="301" t="str">
        <f>IF(B39="","",IF(ISNA(VLOOKUP($B39,'B-1 On-Site Hedge Baseline'!$B$1:$L$257,10,FALSE)),"",(VLOOKUP($B39,'B-1 On-Site Hedge Baseline'!$B$1:$L$257,10,FALSE))))</f>
        <v/>
      </c>
      <c r="J39" s="301" t="str">
        <f>IF(B39="","",IF(ISNA(VLOOKUP($B39,'B-1 On-Site Hedge Baseline'!$B$1:$L$257,11,FALSE)),"",(VLOOKUP($B39,'B-1 On-Site Hedge Baseline'!$B$1:$L$257,11,FALSE))))</f>
        <v/>
      </c>
      <c r="K39" s="301" t="str">
        <f>IF(B39="","",IF(ISNA(VLOOKUP($B39,'B-1 On-Site Hedge Baseline'!$B$1:$U$257,13,FALSE)),"",(VLOOKUP($B39,'B-1 On-Site Hedge Baseline'!$B$1:$U$257,13,FALSE))))</f>
        <v/>
      </c>
      <c r="L39" s="305" t="str">
        <f>IF(B39="","",IF(ISNA(VLOOKUP($B39,'B-1 On-Site Hedge Baseline'!$B$1:$U$257,12,FALSE)),"",(VLOOKUP($B39,'B-1 On-Site Hedge Baseline'!$B$1:$U$257,12,FALSE))))</f>
        <v/>
      </c>
      <c r="M39" s="627"/>
      <c r="N39" s="281" t="str">
        <f>IFERROR(IF(B39="","",INDEX('G-6 Hedgerow Data'!$AN$3:$AZ$15,MATCH(C39,'G-6 Hedgerow Data'!$AM$3:$AM$15,0),MATCH(M39,'G-6 Hedgerow Data'!$AN$2:$AZ$2,0))),"")</f>
        <v/>
      </c>
      <c r="O39" s="282" t="str">
        <f t="shared" si="1"/>
        <v/>
      </c>
      <c r="P39" s="335" t="str">
        <f>IF(B39="","",VLOOKUP(B39,'B-1 On-Site Hedge Baseline'!$B$10:T284,16,FALSE))</f>
        <v/>
      </c>
      <c r="Q39" s="281" t="str">
        <f>IF(M39="","",VLOOKUP(M39,'G-6 Hedgerow Data'!$B$2:$AG$15,2,FALSE))</f>
        <v/>
      </c>
      <c r="R39" s="282" t="str">
        <f>IF(M39="","",VLOOKUP(M39,'G-6 Hedgerow Data'!$B$2:$AG$15,3,FALSE))</f>
        <v/>
      </c>
      <c r="S39" s="112"/>
      <c r="T39" s="320" t="str">
        <f>IFERROR(IF(S39="","",IF(AND(M39="Non-native and ornamental hedgerow", S39&lt;&gt;"Poor"),"Not possible ▲", (VLOOKUP(S39,'G-1 All Habitats'!$Z$2:$AA$9,2,FALSE)))),"")</f>
        <v/>
      </c>
      <c r="U39" s="109"/>
      <c r="V39" s="301" t="str">
        <f>IF(U39="","",IF(VLOOKUP(U39,'G-3 Multipliers'!$L$3:$N$6,2,FALSE)=0,"Spatial Data Missing ⚠",VLOOKUP(U39,'G-3 Multipliers'!$L$3:$N$6,2,FALSE)))</f>
        <v/>
      </c>
      <c r="W39" s="305" t="str">
        <f>IF(U39="","",IF(VLOOKUP(U39,'G-3 Multipliers'!$L$3:$N$6,3,FALSE)=0,"Spatial Data Missing ⚠",VLOOKUP(U39,'G-3 Multipliers'!$L$3:$N$6,3,FALSE)))</f>
        <v/>
      </c>
      <c r="X39" s="281" t="str">
        <f>IFERROR(IF(OR(LEFT(O39,5)="Error",LEFT(N39,5)="Error",T39="Error"),"Check Data ⚠",IF(F39&lt;R39,INDEX('G-6 Hedgerow Data'!$S$3:$AE$14,MATCH(C39,'G-6 Hedgerow Data'!$B$3:$B$14,0),MATCH(M39,'G-6 Hedgerow Data'!$S$2:$AE$2,0)),INDEX('G-6 Hedgerow Data'!$K$3:$Q$14,MATCH(M39,'G-6 Hedgerow Data'!$B$3:$B$14,0),MATCH(O39,'G-6 Hedgerow Data'!$K$2:$Q$2,0)))),"")</f>
        <v/>
      </c>
      <c r="Y39" s="137"/>
      <c r="Z39" s="137"/>
      <c r="AA39" s="289" t="str">
        <f t="shared" si="2"/>
        <v/>
      </c>
      <c r="AB39" s="302" t="str">
        <f t="shared" si="3"/>
        <v/>
      </c>
      <c r="AC39" s="303" t="str">
        <f t="shared" si="0"/>
        <v/>
      </c>
      <c r="AD39" s="317" t="str">
        <f>IF(M39="","",VLOOKUP(M39,'G-6 Hedgerow Data'!$B$3:$AG$15,31,FALSE))</f>
        <v/>
      </c>
      <c r="AE39" s="289" t="str">
        <f t="shared" si="4"/>
        <v/>
      </c>
      <c r="AF39" s="289" t="str">
        <f t="shared" si="5"/>
        <v/>
      </c>
      <c r="AG39" s="305" t="str">
        <f>IFERROR(IF(O39="","",VLOOKUP(AD39,'G-3 Multipliers'!$P$3:$Q$6,2,FALSE)),"")</f>
        <v/>
      </c>
      <c r="AH39" s="295" t="str">
        <f t="shared" si="6"/>
        <v/>
      </c>
      <c r="AI39" s="112"/>
      <c r="AJ39" s="119"/>
      <c r="AK39" s="108"/>
      <c r="AT39" s="30" t="str">
        <f>IFERROR(INDEX('G-6 Hedgerow Data'!$BJ$3:$BJ$15,MATCH(M39,'G-6 Hedgerow Data'!$B$3:$B$15,0)),"")</f>
        <v/>
      </c>
    </row>
    <row r="40" spans="2:46" ht="13.8" x14ac:dyDescent="0.25">
      <c r="B40" s="311" t="str">
        <f>'B-1 On-Site Hedge Baseline'!AK38</f>
        <v/>
      </c>
      <c r="C40" s="301" t="str">
        <f>IF(B40="","",IF(ISNA(VLOOKUP($B40,'B-1 On-Site Hedge Baseline'!$B$1:$L$257,3,FALSE)),"",(VLOOKUP($B40,'B-1 On-Site Hedge Baseline'!$B$1:$L$257,3,FALSE))))</f>
        <v/>
      </c>
      <c r="D40" s="301" t="str">
        <f>IF(B40="","",IF(ISNA(VLOOKUP($B40,'B-1 On-Site Hedge Baseline'!$B$1:$L$257,4,FALSE)),"",(VLOOKUP($B40,'B-1 On-Site Hedge Baseline'!$B$1:$L$257,4,FALSE))))</f>
        <v/>
      </c>
      <c r="E40" s="301" t="str">
        <f>IF(B40="","",IF(ISNA(VLOOKUP($B40,'B-1 On-Site Hedge Baseline'!$B$1:$L$257,5,FALSE)),"",(VLOOKUP($B40,'B-1 On-Site Hedge Baseline'!$B$1:$L$257,5,FALSE))))</f>
        <v/>
      </c>
      <c r="F40" s="301" t="str">
        <f>IF(B40="","",IF(ISNA(VLOOKUP($B40,'B-1 On-Site Hedge Baseline'!$B$1:$L$257,6,FALSE)),"",(VLOOKUP($B40,'B-1 On-Site Hedge Baseline'!$B$1:$L$257,6,FALSE))))</f>
        <v/>
      </c>
      <c r="G40" s="301" t="str">
        <f>IF(B40="","",IF(ISNA(VLOOKUP($B40,'B-1 On-Site Hedge Baseline'!$B$1:$L$257,7,FALSE)),"",(VLOOKUP($B40,'B-1 On-Site Hedge Baseline'!$B$1:$L$257,7,FALSE))))</f>
        <v/>
      </c>
      <c r="H40" s="301" t="str">
        <f>IF(B40="","",IF(ISNA(VLOOKUP($B40,'B-1 On-Site Hedge Baseline'!$B$1:$L$257,8,FALSE)),"",(VLOOKUP($B40,'B-1 On-Site Hedge Baseline'!$B$1:$L$257,8,FALSE))))</f>
        <v/>
      </c>
      <c r="I40" s="301" t="str">
        <f>IF(B40="","",IF(ISNA(VLOOKUP($B40,'B-1 On-Site Hedge Baseline'!$B$1:$L$257,10,FALSE)),"",(VLOOKUP($B40,'B-1 On-Site Hedge Baseline'!$B$1:$L$257,10,FALSE))))</f>
        <v/>
      </c>
      <c r="J40" s="301" t="str">
        <f>IF(B40="","",IF(ISNA(VLOOKUP($B40,'B-1 On-Site Hedge Baseline'!$B$1:$L$257,11,FALSE)),"",(VLOOKUP($B40,'B-1 On-Site Hedge Baseline'!$B$1:$L$257,11,FALSE))))</f>
        <v/>
      </c>
      <c r="K40" s="301" t="str">
        <f>IF(B40="","",IF(ISNA(VLOOKUP($B40,'B-1 On-Site Hedge Baseline'!$B$1:$U$257,13,FALSE)),"",(VLOOKUP($B40,'B-1 On-Site Hedge Baseline'!$B$1:$U$257,13,FALSE))))</f>
        <v/>
      </c>
      <c r="L40" s="305" t="str">
        <f>IF(B40="","",IF(ISNA(VLOOKUP($B40,'B-1 On-Site Hedge Baseline'!$B$1:$U$257,12,FALSE)),"",(VLOOKUP($B40,'B-1 On-Site Hedge Baseline'!$B$1:$U$257,12,FALSE))))</f>
        <v/>
      </c>
      <c r="M40" s="627"/>
      <c r="N40" s="281" t="str">
        <f>IFERROR(IF(B40="","",INDEX('G-6 Hedgerow Data'!$AN$3:$AZ$15,MATCH(C40,'G-6 Hedgerow Data'!$AM$3:$AM$15,0),MATCH(M40,'G-6 Hedgerow Data'!$AN$2:$AZ$2,0))),"")</f>
        <v/>
      </c>
      <c r="O40" s="282" t="str">
        <f t="shared" si="1"/>
        <v/>
      </c>
      <c r="P40" s="335" t="str">
        <f>IF(B40="","",VLOOKUP(B40,'B-1 On-Site Hedge Baseline'!$B$10:T285,16,FALSE))</f>
        <v/>
      </c>
      <c r="Q40" s="281" t="str">
        <f>IF(M40="","",VLOOKUP(M40,'G-6 Hedgerow Data'!$B$2:$AG$15,2,FALSE))</f>
        <v/>
      </c>
      <c r="R40" s="282" t="str">
        <f>IF(M40="","",VLOOKUP(M40,'G-6 Hedgerow Data'!$B$2:$AG$15,3,FALSE))</f>
        <v/>
      </c>
      <c r="S40" s="112"/>
      <c r="T40" s="320" t="str">
        <f>IFERROR(IF(S40="","",IF(AND(M40="Non-native and ornamental hedgerow", S40&lt;&gt;"Poor"),"Not possible ▲", (VLOOKUP(S40,'G-1 All Habitats'!$Z$2:$AA$9,2,FALSE)))),"")</f>
        <v/>
      </c>
      <c r="U40" s="109"/>
      <c r="V40" s="301" t="str">
        <f>IF(U40="","",IF(VLOOKUP(U40,'G-3 Multipliers'!$L$3:$N$6,2,FALSE)=0,"Spatial Data Missing ⚠",VLOOKUP(U40,'G-3 Multipliers'!$L$3:$N$6,2,FALSE)))</f>
        <v/>
      </c>
      <c r="W40" s="305" t="str">
        <f>IF(U40="","",IF(VLOOKUP(U40,'G-3 Multipliers'!$L$3:$N$6,3,FALSE)=0,"Spatial Data Missing ⚠",VLOOKUP(U40,'G-3 Multipliers'!$L$3:$N$6,3,FALSE)))</f>
        <v/>
      </c>
      <c r="X40" s="281" t="str">
        <f>IFERROR(IF(OR(LEFT(O40,5)="Error",LEFT(N40,5)="Error",T40="Error"),"Check Data ⚠",IF(F40&lt;R40,INDEX('G-6 Hedgerow Data'!$S$3:$AE$14,MATCH(C40,'G-6 Hedgerow Data'!$B$3:$B$14,0),MATCH(M40,'G-6 Hedgerow Data'!$S$2:$AE$2,0)),INDEX('G-6 Hedgerow Data'!$K$3:$Q$14,MATCH(M40,'G-6 Hedgerow Data'!$B$3:$B$14,0),MATCH(O40,'G-6 Hedgerow Data'!$K$2:$Q$2,0)))),"")</f>
        <v/>
      </c>
      <c r="Y40" s="137"/>
      <c r="Z40" s="137"/>
      <c r="AA40" s="289" t="str">
        <f t="shared" si="2"/>
        <v/>
      </c>
      <c r="AB40" s="302" t="str">
        <f t="shared" si="3"/>
        <v/>
      </c>
      <c r="AC40" s="303" t="str">
        <f t="shared" si="0"/>
        <v/>
      </c>
      <c r="AD40" s="317" t="str">
        <f>IF(M40="","",VLOOKUP(M40,'G-6 Hedgerow Data'!$B$3:$AG$15,31,FALSE))</f>
        <v/>
      </c>
      <c r="AE40" s="289" t="str">
        <f t="shared" si="4"/>
        <v/>
      </c>
      <c r="AF40" s="289" t="str">
        <f t="shared" si="5"/>
        <v/>
      </c>
      <c r="AG40" s="305" t="str">
        <f>IFERROR(IF(O40="","",VLOOKUP(AD40,'G-3 Multipliers'!$P$3:$Q$6,2,FALSE)),"")</f>
        <v/>
      </c>
      <c r="AH40" s="295" t="str">
        <f t="shared" si="6"/>
        <v/>
      </c>
      <c r="AI40" s="112"/>
      <c r="AJ40" s="119"/>
      <c r="AK40" s="108"/>
      <c r="AT40" s="30" t="str">
        <f>IFERROR(INDEX('G-6 Hedgerow Data'!$BJ$3:$BJ$15,MATCH(M40,'G-6 Hedgerow Data'!$B$3:$B$15,0)),"")</f>
        <v/>
      </c>
    </row>
    <row r="41" spans="2:46" ht="13.8" x14ac:dyDescent="0.25">
      <c r="B41" s="311" t="str">
        <f>'B-1 On-Site Hedge Baseline'!AK39</f>
        <v/>
      </c>
      <c r="C41" s="301" t="str">
        <f>IF(B41="","",IF(ISNA(VLOOKUP($B41,'B-1 On-Site Hedge Baseline'!$B$1:$L$257,3,FALSE)),"",(VLOOKUP($B41,'B-1 On-Site Hedge Baseline'!$B$1:$L$257,3,FALSE))))</f>
        <v/>
      </c>
      <c r="D41" s="301" t="str">
        <f>IF(B41="","",IF(ISNA(VLOOKUP($B41,'B-1 On-Site Hedge Baseline'!$B$1:$L$257,4,FALSE)),"",(VLOOKUP($B41,'B-1 On-Site Hedge Baseline'!$B$1:$L$257,4,FALSE))))</f>
        <v/>
      </c>
      <c r="E41" s="301" t="str">
        <f>IF(B41="","",IF(ISNA(VLOOKUP($B41,'B-1 On-Site Hedge Baseline'!$B$1:$L$257,5,FALSE)),"",(VLOOKUP($B41,'B-1 On-Site Hedge Baseline'!$B$1:$L$257,5,FALSE))))</f>
        <v/>
      </c>
      <c r="F41" s="301" t="str">
        <f>IF(B41="","",IF(ISNA(VLOOKUP($B41,'B-1 On-Site Hedge Baseline'!$B$1:$L$257,6,FALSE)),"",(VLOOKUP($B41,'B-1 On-Site Hedge Baseline'!$B$1:$L$257,6,FALSE))))</f>
        <v/>
      </c>
      <c r="G41" s="301" t="str">
        <f>IF(B41="","",IF(ISNA(VLOOKUP($B41,'B-1 On-Site Hedge Baseline'!$B$1:$L$257,7,FALSE)),"",(VLOOKUP($B41,'B-1 On-Site Hedge Baseline'!$B$1:$L$257,7,FALSE))))</f>
        <v/>
      </c>
      <c r="H41" s="301" t="str">
        <f>IF(B41="","",IF(ISNA(VLOOKUP($B41,'B-1 On-Site Hedge Baseline'!$B$1:$L$257,8,FALSE)),"",(VLOOKUP($B41,'B-1 On-Site Hedge Baseline'!$B$1:$L$257,8,FALSE))))</f>
        <v/>
      </c>
      <c r="I41" s="301" t="str">
        <f>IF(B41="","",IF(ISNA(VLOOKUP($B41,'B-1 On-Site Hedge Baseline'!$B$1:$L$257,10,FALSE)),"",(VLOOKUP($B41,'B-1 On-Site Hedge Baseline'!$B$1:$L$257,10,FALSE))))</f>
        <v/>
      </c>
      <c r="J41" s="301" t="str">
        <f>IF(B41="","",IF(ISNA(VLOOKUP($B41,'B-1 On-Site Hedge Baseline'!$B$1:$L$257,11,FALSE)),"",(VLOOKUP($B41,'B-1 On-Site Hedge Baseline'!$B$1:$L$257,11,FALSE))))</f>
        <v/>
      </c>
      <c r="K41" s="301" t="str">
        <f>IF(B41="","",IF(ISNA(VLOOKUP($B41,'B-1 On-Site Hedge Baseline'!$B$1:$U$257,13,FALSE)),"",(VLOOKUP($B41,'B-1 On-Site Hedge Baseline'!$B$1:$U$257,13,FALSE))))</f>
        <v/>
      </c>
      <c r="L41" s="305" t="str">
        <f>IF(B41="","",IF(ISNA(VLOOKUP($B41,'B-1 On-Site Hedge Baseline'!$B$1:$U$257,12,FALSE)),"",(VLOOKUP($B41,'B-1 On-Site Hedge Baseline'!$B$1:$U$257,12,FALSE))))</f>
        <v/>
      </c>
      <c r="M41" s="627"/>
      <c r="N41" s="281" t="str">
        <f>IFERROR(IF(B41="","",INDEX('G-6 Hedgerow Data'!$AN$3:$AZ$15,MATCH(C41,'G-6 Hedgerow Data'!$AM$3:$AM$15,0),MATCH(M41,'G-6 Hedgerow Data'!$AN$2:$AZ$2,0))),"")</f>
        <v/>
      </c>
      <c r="O41" s="282" t="str">
        <f t="shared" si="1"/>
        <v/>
      </c>
      <c r="P41" s="335" t="str">
        <f>IF(B41="","",VLOOKUP(B41,'B-1 On-Site Hedge Baseline'!$B$10:T286,16,FALSE))</f>
        <v/>
      </c>
      <c r="Q41" s="281" t="str">
        <f>IF(M41="","",VLOOKUP(M41,'G-6 Hedgerow Data'!$B$2:$AG$15,2,FALSE))</f>
        <v/>
      </c>
      <c r="R41" s="282" t="str">
        <f>IF(M41="","",VLOOKUP(M41,'G-6 Hedgerow Data'!$B$2:$AG$15,3,FALSE))</f>
        <v/>
      </c>
      <c r="S41" s="112"/>
      <c r="T41" s="320" t="str">
        <f>IFERROR(IF(S41="","",IF(AND(M41="Non-native and ornamental hedgerow", S41&lt;&gt;"Poor"),"Not possible ▲", (VLOOKUP(S41,'G-1 All Habitats'!$Z$2:$AA$9,2,FALSE)))),"")</f>
        <v/>
      </c>
      <c r="U41" s="109"/>
      <c r="V41" s="301" t="str">
        <f>IF(U41="","",IF(VLOOKUP(U41,'G-3 Multipliers'!$L$3:$N$6,2,FALSE)=0,"Spatial Data Missing ⚠",VLOOKUP(U41,'G-3 Multipliers'!$L$3:$N$6,2,FALSE)))</f>
        <v/>
      </c>
      <c r="W41" s="305" t="str">
        <f>IF(U41="","",IF(VLOOKUP(U41,'G-3 Multipliers'!$L$3:$N$6,3,FALSE)=0,"Spatial Data Missing ⚠",VLOOKUP(U41,'G-3 Multipliers'!$L$3:$N$6,3,FALSE)))</f>
        <v/>
      </c>
      <c r="X41" s="281" t="str">
        <f>IFERROR(IF(OR(LEFT(O41,5)="Error",LEFT(N41,5)="Error",T41="Error"),"Check Data ⚠",IF(F41&lt;R41,INDEX('G-6 Hedgerow Data'!$S$3:$AE$14,MATCH(C41,'G-6 Hedgerow Data'!$B$3:$B$14,0),MATCH(M41,'G-6 Hedgerow Data'!$S$2:$AE$2,0)),INDEX('G-6 Hedgerow Data'!$K$3:$Q$14,MATCH(M41,'G-6 Hedgerow Data'!$B$3:$B$14,0),MATCH(O41,'G-6 Hedgerow Data'!$K$2:$Q$2,0)))),"")</f>
        <v/>
      </c>
      <c r="Y41" s="137"/>
      <c r="Z41" s="137"/>
      <c r="AA41" s="289" t="str">
        <f t="shared" si="2"/>
        <v/>
      </c>
      <c r="AB41" s="302" t="str">
        <f t="shared" si="3"/>
        <v/>
      </c>
      <c r="AC41" s="303" t="str">
        <f t="shared" si="0"/>
        <v/>
      </c>
      <c r="AD41" s="317" t="str">
        <f>IF(M41="","",VLOOKUP(M41,'G-6 Hedgerow Data'!$B$3:$AG$15,31,FALSE))</f>
        <v/>
      </c>
      <c r="AE41" s="289" t="str">
        <f t="shared" si="4"/>
        <v/>
      </c>
      <c r="AF41" s="289" t="str">
        <f t="shared" si="5"/>
        <v/>
      </c>
      <c r="AG41" s="305" t="str">
        <f>IFERROR(IF(O41="","",VLOOKUP(AD41,'G-3 Multipliers'!$P$3:$Q$6,2,FALSE)),"")</f>
        <v/>
      </c>
      <c r="AH41" s="295" t="str">
        <f t="shared" si="6"/>
        <v/>
      </c>
      <c r="AI41" s="112"/>
      <c r="AJ41" s="119"/>
      <c r="AK41" s="108"/>
      <c r="AT41" s="30" t="str">
        <f>IFERROR(INDEX('G-6 Hedgerow Data'!$BJ$3:$BJ$15,MATCH(M41,'G-6 Hedgerow Data'!$B$3:$B$15,0)),"")</f>
        <v/>
      </c>
    </row>
    <row r="42" spans="2:46" ht="13.8" x14ac:dyDescent="0.25">
      <c r="B42" s="311" t="str">
        <f>'B-1 On-Site Hedge Baseline'!AK40</f>
        <v/>
      </c>
      <c r="C42" s="301" t="str">
        <f>IF(B42="","",IF(ISNA(VLOOKUP($B42,'B-1 On-Site Hedge Baseline'!$B$1:$L$257,3,FALSE)),"",(VLOOKUP($B42,'B-1 On-Site Hedge Baseline'!$B$1:$L$257,3,FALSE))))</f>
        <v/>
      </c>
      <c r="D42" s="301" t="str">
        <f>IF(B42="","",IF(ISNA(VLOOKUP($B42,'B-1 On-Site Hedge Baseline'!$B$1:$L$257,4,FALSE)),"",(VLOOKUP($B42,'B-1 On-Site Hedge Baseline'!$B$1:$L$257,4,FALSE))))</f>
        <v/>
      </c>
      <c r="E42" s="301" t="str">
        <f>IF(B42="","",IF(ISNA(VLOOKUP($B42,'B-1 On-Site Hedge Baseline'!$B$1:$L$257,5,FALSE)),"",(VLOOKUP($B42,'B-1 On-Site Hedge Baseline'!$B$1:$L$257,5,FALSE))))</f>
        <v/>
      </c>
      <c r="F42" s="301" t="str">
        <f>IF(B42="","",IF(ISNA(VLOOKUP($B42,'B-1 On-Site Hedge Baseline'!$B$1:$L$257,6,FALSE)),"",(VLOOKUP($B42,'B-1 On-Site Hedge Baseline'!$B$1:$L$257,6,FALSE))))</f>
        <v/>
      </c>
      <c r="G42" s="301" t="str">
        <f>IF(B42="","",IF(ISNA(VLOOKUP($B42,'B-1 On-Site Hedge Baseline'!$B$1:$L$257,7,FALSE)),"",(VLOOKUP($B42,'B-1 On-Site Hedge Baseline'!$B$1:$L$257,7,FALSE))))</f>
        <v/>
      </c>
      <c r="H42" s="301" t="str">
        <f>IF(B42="","",IF(ISNA(VLOOKUP($B42,'B-1 On-Site Hedge Baseline'!$B$1:$L$257,8,FALSE)),"",(VLOOKUP($B42,'B-1 On-Site Hedge Baseline'!$B$1:$L$257,8,FALSE))))</f>
        <v/>
      </c>
      <c r="I42" s="301" t="str">
        <f>IF(B42="","",IF(ISNA(VLOOKUP($B42,'B-1 On-Site Hedge Baseline'!$B$1:$L$257,10,FALSE)),"",(VLOOKUP($B42,'B-1 On-Site Hedge Baseline'!$B$1:$L$257,10,FALSE))))</f>
        <v/>
      </c>
      <c r="J42" s="301" t="str">
        <f>IF(B42="","",IF(ISNA(VLOOKUP($B42,'B-1 On-Site Hedge Baseline'!$B$1:$L$257,11,FALSE)),"",(VLOOKUP($B42,'B-1 On-Site Hedge Baseline'!$B$1:$L$257,11,FALSE))))</f>
        <v/>
      </c>
      <c r="K42" s="301" t="str">
        <f>IF(B42="","",IF(ISNA(VLOOKUP($B42,'B-1 On-Site Hedge Baseline'!$B$1:$U$257,13,FALSE)),"",(VLOOKUP($B42,'B-1 On-Site Hedge Baseline'!$B$1:$U$257,13,FALSE))))</f>
        <v/>
      </c>
      <c r="L42" s="305" t="str">
        <f>IF(B42="","",IF(ISNA(VLOOKUP($B42,'B-1 On-Site Hedge Baseline'!$B$1:$U$257,12,FALSE)),"",(VLOOKUP($B42,'B-1 On-Site Hedge Baseline'!$B$1:$U$257,12,FALSE))))</f>
        <v/>
      </c>
      <c r="M42" s="627"/>
      <c r="N42" s="281" t="str">
        <f>IFERROR(IF(B42="","",INDEX('G-6 Hedgerow Data'!$AN$3:$AZ$15,MATCH(C42,'G-6 Hedgerow Data'!$AM$3:$AM$15,0),MATCH(M42,'G-6 Hedgerow Data'!$AN$2:$AZ$2,0))),"")</f>
        <v/>
      </c>
      <c r="O42" s="282" t="str">
        <f t="shared" si="1"/>
        <v/>
      </c>
      <c r="P42" s="335" t="str">
        <f>IF(B42="","",VLOOKUP(B42,'B-1 On-Site Hedge Baseline'!$B$10:T287,16,FALSE))</f>
        <v/>
      </c>
      <c r="Q42" s="281" t="str">
        <f>IF(M42="","",VLOOKUP(M42,'G-6 Hedgerow Data'!$B$2:$AG$15,2,FALSE))</f>
        <v/>
      </c>
      <c r="R42" s="282" t="str">
        <f>IF(M42="","",VLOOKUP(M42,'G-6 Hedgerow Data'!$B$2:$AG$15,3,FALSE))</f>
        <v/>
      </c>
      <c r="S42" s="112"/>
      <c r="T42" s="320" t="str">
        <f>IFERROR(IF(S42="","",IF(AND(M42="Non-native and ornamental hedgerow", S42&lt;&gt;"Poor"),"Not possible ▲", (VLOOKUP(S42,'G-1 All Habitats'!$Z$2:$AA$9,2,FALSE)))),"")</f>
        <v/>
      </c>
      <c r="U42" s="109"/>
      <c r="V42" s="301" t="str">
        <f>IF(U42="","",IF(VLOOKUP(U42,'G-3 Multipliers'!$L$3:$N$6,2,FALSE)=0,"Spatial Data Missing ⚠",VLOOKUP(U42,'G-3 Multipliers'!$L$3:$N$6,2,FALSE)))</f>
        <v/>
      </c>
      <c r="W42" s="305" t="str">
        <f>IF(U42="","",IF(VLOOKUP(U42,'G-3 Multipliers'!$L$3:$N$6,3,FALSE)=0,"Spatial Data Missing ⚠",VLOOKUP(U42,'G-3 Multipliers'!$L$3:$N$6,3,FALSE)))</f>
        <v/>
      </c>
      <c r="X42" s="281" t="str">
        <f>IFERROR(IF(OR(LEFT(O42,5)="Error",LEFT(N42,5)="Error",T42="Error"),"Check Data ⚠",IF(F42&lt;R42,INDEX('G-6 Hedgerow Data'!$S$3:$AE$14,MATCH(C42,'G-6 Hedgerow Data'!$B$3:$B$14,0),MATCH(M42,'G-6 Hedgerow Data'!$S$2:$AE$2,0)),INDEX('G-6 Hedgerow Data'!$K$3:$Q$14,MATCH(M42,'G-6 Hedgerow Data'!$B$3:$B$14,0),MATCH(O42,'G-6 Hedgerow Data'!$K$2:$Q$2,0)))),"")</f>
        <v/>
      </c>
      <c r="Y42" s="137"/>
      <c r="Z42" s="137"/>
      <c r="AA42" s="289" t="str">
        <f t="shared" si="2"/>
        <v/>
      </c>
      <c r="AB42" s="302" t="str">
        <f t="shared" si="3"/>
        <v/>
      </c>
      <c r="AC42" s="303" t="str">
        <f t="shared" si="0"/>
        <v/>
      </c>
      <c r="AD42" s="317" t="str">
        <f>IF(M42="","",VLOOKUP(M42,'G-6 Hedgerow Data'!$B$3:$AG$15,31,FALSE))</f>
        <v/>
      </c>
      <c r="AE42" s="289" t="str">
        <f t="shared" si="4"/>
        <v/>
      </c>
      <c r="AF42" s="289" t="str">
        <f t="shared" si="5"/>
        <v/>
      </c>
      <c r="AG42" s="305" t="str">
        <f>IFERROR(IF(O42="","",VLOOKUP(AD42,'G-3 Multipliers'!$P$3:$Q$6,2,FALSE)),"")</f>
        <v/>
      </c>
      <c r="AH42" s="295" t="str">
        <f t="shared" si="6"/>
        <v/>
      </c>
      <c r="AI42" s="112"/>
      <c r="AJ42" s="119"/>
      <c r="AK42" s="108"/>
      <c r="AT42" s="30" t="str">
        <f>IFERROR(INDEX('G-6 Hedgerow Data'!$BJ$3:$BJ$15,MATCH(M42,'G-6 Hedgerow Data'!$B$3:$B$15,0)),"")</f>
        <v/>
      </c>
    </row>
    <row r="43" spans="2:46" ht="13.8" x14ac:dyDescent="0.25">
      <c r="B43" s="311" t="str">
        <f>'B-1 On-Site Hedge Baseline'!AK41</f>
        <v/>
      </c>
      <c r="C43" s="301" t="str">
        <f>IF(B43="","",IF(ISNA(VLOOKUP($B43,'B-1 On-Site Hedge Baseline'!$B$1:$L$257,3,FALSE)),"",(VLOOKUP($B43,'B-1 On-Site Hedge Baseline'!$B$1:$L$257,3,FALSE))))</f>
        <v/>
      </c>
      <c r="D43" s="301" t="str">
        <f>IF(B43="","",IF(ISNA(VLOOKUP($B43,'B-1 On-Site Hedge Baseline'!$B$1:$L$257,4,FALSE)),"",(VLOOKUP($B43,'B-1 On-Site Hedge Baseline'!$B$1:$L$257,4,FALSE))))</f>
        <v/>
      </c>
      <c r="E43" s="301" t="str">
        <f>IF(B43="","",IF(ISNA(VLOOKUP($B43,'B-1 On-Site Hedge Baseline'!$B$1:$L$257,5,FALSE)),"",(VLOOKUP($B43,'B-1 On-Site Hedge Baseline'!$B$1:$L$257,5,FALSE))))</f>
        <v/>
      </c>
      <c r="F43" s="301" t="str">
        <f>IF(B43="","",IF(ISNA(VLOOKUP($B43,'B-1 On-Site Hedge Baseline'!$B$1:$L$257,6,FALSE)),"",(VLOOKUP($B43,'B-1 On-Site Hedge Baseline'!$B$1:$L$257,6,FALSE))))</f>
        <v/>
      </c>
      <c r="G43" s="301" t="str">
        <f>IF(B43="","",IF(ISNA(VLOOKUP($B43,'B-1 On-Site Hedge Baseline'!$B$1:$L$257,7,FALSE)),"",(VLOOKUP($B43,'B-1 On-Site Hedge Baseline'!$B$1:$L$257,7,FALSE))))</f>
        <v/>
      </c>
      <c r="H43" s="301" t="str">
        <f>IF(B43="","",IF(ISNA(VLOOKUP($B43,'B-1 On-Site Hedge Baseline'!$B$1:$L$257,8,FALSE)),"",(VLOOKUP($B43,'B-1 On-Site Hedge Baseline'!$B$1:$L$257,8,FALSE))))</f>
        <v/>
      </c>
      <c r="I43" s="301" t="str">
        <f>IF(B43="","",IF(ISNA(VLOOKUP($B43,'B-1 On-Site Hedge Baseline'!$B$1:$L$257,10,FALSE)),"",(VLOOKUP($B43,'B-1 On-Site Hedge Baseline'!$B$1:$L$257,10,FALSE))))</f>
        <v/>
      </c>
      <c r="J43" s="301" t="str">
        <f>IF(B43="","",IF(ISNA(VLOOKUP($B43,'B-1 On-Site Hedge Baseline'!$B$1:$L$257,11,FALSE)),"",(VLOOKUP($B43,'B-1 On-Site Hedge Baseline'!$B$1:$L$257,11,FALSE))))</f>
        <v/>
      </c>
      <c r="K43" s="301" t="str">
        <f>IF(B43="","",IF(ISNA(VLOOKUP($B43,'B-1 On-Site Hedge Baseline'!$B$1:$U$257,13,FALSE)),"",(VLOOKUP($B43,'B-1 On-Site Hedge Baseline'!$B$1:$U$257,13,FALSE))))</f>
        <v/>
      </c>
      <c r="L43" s="305" t="str">
        <f>IF(B43="","",IF(ISNA(VLOOKUP($B43,'B-1 On-Site Hedge Baseline'!$B$1:$U$257,12,FALSE)),"",(VLOOKUP($B43,'B-1 On-Site Hedge Baseline'!$B$1:$U$257,12,FALSE))))</f>
        <v/>
      </c>
      <c r="M43" s="627"/>
      <c r="N43" s="281" t="str">
        <f>IFERROR(IF(B43="","",INDEX('G-6 Hedgerow Data'!$AN$3:$AZ$15,MATCH(C43,'G-6 Hedgerow Data'!$AM$3:$AM$15,0),MATCH(M43,'G-6 Hedgerow Data'!$AN$2:$AZ$2,0))),"")</f>
        <v/>
      </c>
      <c r="O43" s="282" t="str">
        <f t="shared" si="1"/>
        <v/>
      </c>
      <c r="P43" s="335" t="str">
        <f>IF(B43="","",VLOOKUP(B43,'B-1 On-Site Hedge Baseline'!$B$10:T288,16,FALSE))</f>
        <v/>
      </c>
      <c r="Q43" s="281" t="str">
        <f>IF(M43="","",VLOOKUP(M43,'G-6 Hedgerow Data'!$B$2:$AG$15,2,FALSE))</f>
        <v/>
      </c>
      <c r="R43" s="282" t="str">
        <f>IF(M43="","",VLOOKUP(M43,'G-6 Hedgerow Data'!$B$2:$AG$15,3,FALSE))</f>
        <v/>
      </c>
      <c r="S43" s="112"/>
      <c r="T43" s="320" t="str">
        <f>IFERROR(IF(S43="","",IF(AND(M43="Non-native and ornamental hedgerow", S43&lt;&gt;"Poor"),"Not possible ▲", (VLOOKUP(S43,'G-1 All Habitats'!$Z$2:$AA$9,2,FALSE)))),"")</f>
        <v/>
      </c>
      <c r="U43" s="109"/>
      <c r="V43" s="301" t="str">
        <f>IF(U43="","",IF(VLOOKUP(U43,'G-3 Multipliers'!$L$3:$N$6,2,FALSE)=0,"Spatial Data Missing ⚠",VLOOKUP(U43,'G-3 Multipliers'!$L$3:$N$6,2,FALSE)))</f>
        <v/>
      </c>
      <c r="W43" s="305" t="str">
        <f>IF(U43="","",IF(VLOOKUP(U43,'G-3 Multipliers'!$L$3:$N$6,3,FALSE)=0,"Spatial Data Missing ⚠",VLOOKUP(U43,'G-3 Multipliers'!$L$3:$N$6,3,FALSE)))</f>
        <v/>
      </c>
      <c r="X43" s="281" t="str">
        <f>IFERROR(IF(OR(LEFT(O43,5)="Error",LEFT(N43,5)="Error",T43="Error"),"Check Data ⚠",IF(F43&lt;R43,INDEX('G-6 Hedgerow Data'!$S$3:$AE$14,MATCH(C43,'G-6 Hedgerow Data'!$B$3:$B$14,0),MATCH(M43,'G-6 Hedgerow Data'!$S$2:$AE$2,0)),INDEX('G-6 Hedgerow Data'!$K$3:$Q$14,MATCH(M43,'G-6 Hedgerow Data'!$B$3:$B$14,0),MATCH(O43,'G-6 Hedgerow Data'!$K$2:$Q$2,0)))),"")</f>
        <v/>
      </c>
      <c r="Y43" s="137"/>
      <c r="Z43" s="137"/>
      <c r="AA43" s="289" t="str">
        <f t="shared" si="2"/>
        <v/>
      </c>
      <c r="AB43" s="302" t="str">
        <f t="shared" si="3"/>
        <v/>
      </c>
      <c r="AC43" s="303" t="str">
        <f t="shared" si="0"/>
        <v/>
      </c>
      <c r="AD43" s="317" t="str">
        <f>IF(M43="","",VLOOKUP(M43,'G-6 Hedgerow Data'!$B$3:$AG$15,31,FALSE))</f>
        <v/>
      </c>
      <c r="AE43" s="289" t="str">
        <f t="shared" si="4"/>
        <v/>
      </c>
      <c r="AF43" s="289" t="str">
        <f t="shared" si="5"/>
        <v/>
      </c>
      <c r="AG43" s="305" t="str">
        <f>IFERROR(IF(O43="","",VLOOKUP(AD43,'G-3 Multipliers'!$P$3:$Q$6,2,FALSE)),"")</f>
        <v/>
      </c>
      <c r="AH43" s="295" t="str">
        <f t="shared" si="6"/>
        <v/>
      </c>
      <c r="AI43" s="112"/>
      <c r="AJ43" s="119"/>
      <c r="AK43" s="108"/>
      <c r="AT43" s="30" t="str">
        <f>IFERROR(INDEX('G-6 Hedgerow Data'!$BJ$3:$BJ$15,MATCH(M43,'G-6 Hedgerow Data'!$B$3:$B$15,0)),"")</f>
        <v/>
      </c>
    </row>
    <row r="44" spans="2:46" ht="13.8" x14ac:dyDescent="0.25">
      <c r="B44" s="311" t="str">
        <f>'B-1 On-Site Hedge Baseline'!AK42</f>
        <v/>
      </c>
      <c r="C44" s="301" t="str">
        <f>IF(B44="","",IF(ISNA(VLOOKUP($B44,'B-1 On-Site Hedge Baseline'!$B$1:$L$257,3,FALSE)),"",(VLOOKUP($B44,'B-1 On-Site Hedge Baseline'!$B$1:$L$257,3,FALSE))))</f>
        <v/>
      </c>
      <c r="D44" s="301" t="str">
        <f>IF(B44="","",IF(ISNA(VLOOKUP($B44,'B-1 On-Site Hedge Baseline'!$B$1:$L$257,4,FALSE)),"",(VLOOKUP($B44,'B-1 On-Site Hedge Baseline'!$B$1:$L$257,4,FALSE))))</f>
        <v/>
      </c>
      <c r="E44" s="301" t="str">
        <f>IF(B44="","",IF(ISNA(VLOOKUP($B44,'B-1 On-Site Hedge Baseline'!$B$1:$L$257,5,FALSE)),"",(VLOOKUP($B44,'B-1 On-Site Hedge Baseline'!$B$1:$L$257,5,FALSE))))</f>
        <v/>
      </c>
      <c r="F44" s="301" t="str">
        <f>IF(B44="","",IF(ISNA(VLOOKUP($B44,'B-1 On-Site Hedge Baseline'!$B$1:$L$257,6,FALSE)),"",(VLOOKUP($B44,'B-1 On-Site Hedge Baseline'!$B$1:$L$257,6,FALSE))))</f>
        <v/>
      </c>
      <c r="G44" s="301" t="str">
        <f>IF(B44="","",IF(ISNA(VLOOKUP($B44,'B-1 On-Site Hedge Baseline'!$B$1:$L$257,7,FALSE)),"",(VLOOKUP($B44,'B-1 On-Site Hedge Baseline'!$B$1:$L$257,7,FALSE))))</f>
        <v/>
      </c>
      <c r="H44" s="301" t="str">
        <f>IF(B44="","",IF(ISNA(VLOOKUP($B44,'B-1 On-Site Hedge Baseline'!$B$1:$L$257,8,FALSE)),"",(VLOOKUP($B44,'B-1 On-Site Hedge Baseline'!$B$1:$L$257,8,FALSE))))</f>
        <v/>
      </c>
      <c r="I44" s="301" t="str">
        <f>IF(B44="","",IF(ISNA(VLOOKUP($B44,'B-1 On-Site Hedge Baseline'!$B$1:$L$257,10,FALSE)),"",(VLOOKUP($B44,'B-1 On-Site Hedge Baseline'!$B$1:$L$257,10,FALSE))))</f>
        <v/>
      </c>
      <c r="J44" s="301" t="str">
        <f>IF(B44="","",IF(ISNA(VLOOKUP($B44,'B-1 On-Site Hedge Baseline'!$B$1:$L$257,11,FALSE)),"",(VLOOKUP($B44,'B-1 On-Site Hedge Baseline'!$B$1:$L$257,11,FALSE))))</f>
        <v/>
      </c>
      <c r="K44" s="301" t="str">
        <f>IF(B44="","",IF(ISNA(VLOOKUP($B44,'B-1 On-Site Hedge Baseline'!$B$1:$U$257,13,FALSE)),"",(VLOOKUP($B44,'B-1 On-Site Hedge Baseline'!$B$1:$U$257,13,FALSE))))</f>
        <v/>
      </c>
      <c r="L44" s="305" t="str">
        <f>IF(B44="","",IF(ISNA(VLOOKUP($B44,'B-1 On-Site Hedge Baseline'!$B$1:$U$257,12,FALSE)),"",(VLOOKUP($B44,'B-1 On-Site Hedge Baseline'!$B$1:$U$257,12,FALSE))))</f>
        <v/>
      </c>
      <c r="M44" s="627"/>
      <c r="N44" s="281" t="str">
        <f>IFERROR(IF(B44="","",INDEX('G-6 Hedgerow Data'!$AN$3:$AZ$15,MATCH(C44,'G-6 Hedgerow Data'!$AM$3:$AM$15,0),MATCH(M44,'G-6 Hedgerow Data'!$AN$2:$AZ$2,0))),"")</f>
        <v/>
      </c>
      <c r="O44" s="282" t="str">
        <f t="shared" si="1"/>
        <v/>
      </c>
      <c r="P44" s="335" t="str">
        <f>IF(B44="","",VLOOKUP(B44,'B-1 On-Site Hedge Baseline'!$B$10:T289,16,FALSE))</f>
        <v/>
      </c>
      <c r="Q44" s="281" t="str">
        <f>IF(M44="","",VLOOKUP(M44,'G-6 Hedgerow Data'!$B$2:$AG$15,2,FALSE))</f>
        <v/>
      </c>
      <c r="R44" s="282" t="str">
        <f>IF(M44="","",VLOOKUP(M44,'G-6 Hedgerow Data'!$B$2:$AG$15,3,FALSE))</f>
        <v/>
      </c>
      <c r="S44" s="112"/>
      <c r="T44" s="320" t="str">
        <f>IFERROR(IF(S44="","",IF(AND(M44="Non-native and ornamental hedgerow", S44&lt;&gt;"Poor"),"Not possible ▲", (VLOOKUP(S44,'G-1 All Habitats'!$Z$2:$AA$9,2,FALSE)))),"")</f>
        <v/>
      </c>
      <c r="U44" s="109"/>
      <c r="V44" s="301" t="str">
        <f>IF(U44="","",IF(VLOOKUP(U44,'G-3 Multipliers'!$L$3:$N$6,2,FALSE)=0,"Spatial Data Missing ⚠",VLOOKUP(U44,'G-3 Multipliers'!$L$3:$N$6,2,FALSE)))</f>
        <v/>
      </c>
      <c r="W44" s="305" t="str">
        <f>IF(U44="","",IF(VLOOKUP(U44,'G-3 Multipliers'!$L$3:$N$6,3,FALSE)=0,"Spatial Data Missing ⚠",VLOOKUP(U44,'G-3 Multipliers'!$L$3:$N$6,3,FALSE)))</f>
        <v/>
      </c>
      <c r="X44" s="281" t="str">
        <f>IFERROR(IF(OR(LEFT(O44,5)="Error",LEFT(N44,5)="Error",T44="Error"),"Check Data ⚠",IF(F44&lt;R44,INDEX('G-6 Hedgerow Data'!$S$3:$AE$14,MATCH(C44,'G-6 Hedgerow Data'!$B$3:$B$14,0),MATCH(M44,'G-6 Hedgerow Data'!$S$2:$AE$2,0)),INDEX('G-6 Hedgerow Data'!$K$3:$Q$14,MATCH(M44,'G-6 Hedgerow Data'!$B$3:$B$14,0),MATCH(O44,'G-6 Hedgerow Data'!$K$2:$Q$2,0)))),"")</f>
        <v/>
      </c>
      <c r="Y44" s="137"/>
      <c r="Z44" s="137"/>
      <c r="AA44" s="289" t="str">
        <f t="shared" si="2"/>
        <v/>
      </c>
      <c r="AB44" s="302" t="str">
        <f t="shared" si="3"/>
        <v/>
      </c>
      <c r="AC44" s="303" t="str">
        <f t="shared" si="0"/>
        <v/>
      </c>
      <c r="AD44" s="317" t="str">
        <f>IF(M44="","",VLOOKUP(M44,'G-6 Hedgerow Data'!$B$3:$AG$15,31,FALSE))</f>
        <v/>
      </c>
      <c r="AE44" s="289" t="str">
        <f t="shared" si="4"/>
        <v/>
      </c>
      <c r="AF44" s="289" t="str">
        <f t="shared" si="5"/>
        <v/>
      </c>
      <c r="AG44" s="305" t="str">
        <f>IFERROR(IF(O44="","",VLOOKUP(AD44,'G-3 Multipliers'!$P$3:$Q$6,2,FALSE)),"")</f>
        <v/>
      </c>
      <c r="AH44" s="295" t="str">
        <f t="shared" si="6"/>
        <v/>
      </c>
      <c r="AI44" s="112"/>
      <c r="AJ44" s="119"/>
      <c r="AK44" s="108"/>
      <c r="AT44" s="30" t="str">
        <f>IFERROR(INDEX('G-6 Hedgerow Data'!$BJ$3:$BJ$15,MATCH(M44,'G-6 Hedgerow Data'!$B$3:$B$15,0)),"")</f>
        <v/>
      </c>
    </row>
    <row r="45" spans="2:46" ht="13.8" x14ac:dyDescent="0.25">
      <c r="B45" s="311" t="str">
        <f>'B-1 On-Site Hedge Baseline'!AK43</f>
        <v/>
      </c>
      <c r="C45" s="301" t="str">
        <f>IF(B45="","",IF(ISNA(VLOOKUP($B45,'B-1 On-Site Hedge Baseline'!$B$1:$L$257,3,FALSE)),"",(VLOOKUP($B45,'B-1 On-Site Hedge Baseline'!$B$1:$L$257,3,FALSE))))</f>
        <v/>
      </c>
      <c r="D45" s="301" t="str">
        <f>IF(B45="","",IF(ISNA(VLOOKUP($B45,'B-1 On-Site Hedge Baseline'!$B$1:$L$257,4,FALSE)),"",(VLOOKUP($B45,'B-1 On-Site Hedge Baseline'!$B$1:$L$257,4,FALSE))))</f>
        <v/>
      </c>
      <c r="E45" s="301" t="str">
        <f>IF(B45="","",IF(ISNA(VLOOKUP($B45,'B-1 On-Site Hedge Baseline'!$B$1:$L$257,5,FALSE)),"",(VLOOKUP($B45,'B-1 On-Site Hedge Baseline'!$B$1:$L$257,5,FALSE))))</f>
        <v/>
      </c>
      <c r="F45" s="301" t="str">
        <f>IF(B45="","",IF(ISNA(VLOOKUP($B45,'B-1 On-Site Hedge Baseline'!$B$1:$L$257,6,FALSE)),"",(VLOOKUP($B45,'B-1 On-Site Hedge Baseline'!$B$1:$L$257,6,FALSE))))</f>
        <v/>
      </c>
      <c r="G45" s="301" t="str">
        <f>IF(B45="","",IF(ISNA(VLOOKUP($B45,'B-1 On-Site Hedge Baseline'!$B$1:$L$257,7,FALSE)),"",(VLOOKUP($B45,'B-1 On-Site Hedge Baseline'!$B$1:$L$257,7,FALSE))))</f>
        <v/>
      </c>
      <c r="H45" s="301" t="str">
        <f>IF(B45="","",IF(ISNA(VLOOKUP($B45,'B-1 On-Site Hedge Baseline'!$B$1:$L$257,8,FALSE)),"",(VLOOKUP($B45,'B-1 On-Site Hedge Baseline'!$B$1:$L$257,8,FALSE))))</f>
        <v/>
      </c>
      <c r="I45" s="301" t="str">
        <f>IF(B45="","",IF(ISNA(VLOOKUP($B45,'B-1 On-Site Hedge Baseline'!$B$1:$L$257,10,FALSE)),"",(VLOOKUP($B45,'B-1 On-Site Hedge Baseline'!$B$1:$L$257,10,FALSE))))</f>
        <v/>
      </c>
      <c r="J45" s="301" t="str">
        <f>IF(B45="","",IF(ISNA(VLOOKUP($B45,'B-1 On-Site Hedge Baseline'!$B$1:$L$257,11,FALSE)),"",(VLOOKUP($B45,'B-1 On-Site Hedge Baseline'!$B$1:$L$257,11,FALSE))))</f>
        <v/>
      </c>
      <c r="K45" s="301" t="str">
        <f>IF(B45="","",IF(ISNA(VLOOKUP($B45,'B-1 On-Site Hedge Baseline'!$B$1:$U$257,13,FALSE)),"",(VLOOKUP($B45,'B-1 On-Site Hedge Baseline'!$B$1:$U$257,13,FALSE))))</f>
        <v/>
      </c>
      <c r="L45" s="305" t="str">
        <f>IF(B45="","",IF(ISNA(VLOOKUP($B45,'B-1 On-Site Hedge Baseline'!$B$1:$U$257,12,FALSE)),"",(VLOOKUP($B45,'B-1 On-Site Hedge Baseline'!$B$1:$U$257,12,FALSE))))</f>
        <v/>
      </c>
      <c r="M45" s="627"/>
      <c r="N45" s="281" t="str">
        <f>IFERROR(IF(B45="","",INDEX('G-6 Hedgerow Data'!$AN$3:$AZ$15,MATCH(C45,'G-6 Hedgerow Data'!$AM$3:$AM$15,0),MATCH(M45,'G-6 Hedgerow Data'!$AN$2:$AZ$2,0))),"")</f>
        <v/>
      </c>
      <c r="O45" s="282" t="str">
        <f t="shared" si="1"/>
        <v/>
      </c>
      <c r="P45" s="335" t="str">
        <f>IF(B45="","",VLOOKUP(B45,'B-1 On-Site Hedge Baseline'!$B$10:T290,16,FALSE))</f>
        <v/>
      </c>
      <c r="Q45" s="281" t="str">
        <f>IF(M45="","",VLOOKUP(M45,'G-6 Hedgerow Data'!$B$2:$AG$15,2,FALSE))</f>
        <v/>
      </c>
      <c r="R45" s="282" t="str">
        <f>IF(M45="","",VLOOKUP(M45,'G-6 Hedgerow Data'!$B$2:$AG$15,3,FALSE))</f>
        <v/>
      </c>
      <c r="S45" s="112"/>
      <c r="T45" s="320" t="str">
        <f>IFERROR(IF(S45="","",IF(AND(M45="Non-native and ornamental hedgerow", S45&lt;&gt;"Poor"),"Not possible ▲", (VLOOKUP(S45,'G-1 All Habitats'!$Z$2:$AA$9,2,FALSE)))),"")</f>
        <v/>
      </c>
      <c r="U45" s="109"/>
      <c r="V45" s="301" t="str">
        <f>IF(U45="","",IF(VLOOKUP(U45,'G-3 Multipliers'!$L$3:$N$6,2,FALSE)=0,"Spatial Data Missing ⚠",VLOOKUP(U45,'G-3 Multipliers'!$L$3:$N$6,2,FALSE)))</f>
        <v/>
      </c>
      <c r="W45" s="305" t="str">
        <f>IF(U45="","",IF(VLOOKUP(U45,'G-3 Multipliers'!$L$3:$N$6,3,FALSE)=0,"Spatial Data Missing ⚠",VLOOKUP(U45,'G-3 Multipliers'!$L$3:$N$6,3,FALSE)))</f>
        <v/>
      </c>
      <c r="X45" s="281" t="str">
        <f>IFERROR(IF(OR(LEFT(O45,5)="Error",LEFT(N45,5)="Error",T45="Error"),"Check Data ⚠",IF(F45&lt;R45,INDEX('G-6 Hedgerow Data'!$S$3:$AE$14,MATCH(C45,'G-6 Hedgerow Data'!$B$3:$B$14,0),MATCH(M45,'G-6 Hedgerow Data'!$S$2:$AE$2,0)),INDEX('G-6 Hedgerow Data'!$K$3:$Q$14,MATCH(M45,'G-6 Hedgerow Data'!$B$3:$B$14,0),MATCH(O45,'G-6 Hedgerow Data'!$K$2:$Q$2,0)))),"")</f>
        <v/>
      </c>
      <c r="Y45" s="137"/>
      <c r="Z45" s="137"/>
      <c r="AA45" s="289" t="str">
        <f t="shared" si="2"/>
        <v/>
      </c>
      <c r="AB45" s="302" t="str">
        <f t="shared" si="3"/>
        <v/>
      </c>
      <c r="AC45" s="303" t="str">
        <f t="shared" si="0"/>
        <v/>
      </c>
      <c r="AD45" s="317" t="str">
        <f>IF(M45="","",VLOOKUP(M45,'G-6 Hedgerow Data'!$B$3:$AG$15,31,FALSE))</f>
        <v/>
      </c>
      <c r="AE45" s="289" t="str">
        <f t="shared" si="4"/>
        <v/>
      </c>
      <c r="AF45" s="289" t="str">
        <f t="shared" si="5"/>
        <v/>
      </c>
      <c r="AG45" s="305" t="str">
        <f>IFERROR(IF(O45="","",VLOOKUP(AD45,'G-3 Multipliers'!$P$3:$Q$6,2,FALSE)),"")</f>
        <v/>
      </c>
      <c r="AH45" s="295" t="str">
        <f t="shared" si="6"/>
        <v/>
      </c>
      <c r="AI45" s="112"/>
      <c r="AJ45" s="119"/>
      <c r="AK45" s="108"/>
      <c r="AT45" s="30" t="str">
        <f>IFERROR(INDEX('G-6 Hedgerow Data'!$BJ$3:$BJ$15,MATCH(M45,'G-6 Hedgerow Data'!$B$3:$B$15,0)),"")</f>
        <v/>
      </c>
    </row>
    <row r="46" spans="2:46" ht="13.8" x14ac:dyDescent="0.25">
      <c r="B46" s="311" t="str">
        <f>'B-1 On-Site Hedge Baseline'!AK44</f>
        <v/>
      </c>
      <c r="C46" s="301" t="str">
        <f>IF(B46="","",IF(ISNA(VLOOKUP($B46,'B-1 On-Site Hedge Baseline'!$B$1:$L$257,3,FALSE)),"",(VLOOKUP($B46,'B-1 On-Site Hedge Baseline'!$B$1:$L$257,3,FALSE))))</f>
        <v/>
      </c>
      <c r="D46" s="301" t="str">
        <f>IF(B46="","",IF(ISNA(VLOOKUP($B46,'B-1 On-Site Hedge Baseline'!$B$1:$L$257,4,FALSE)),"",(VLOOKUP($B46,'B-1 On-Site Hedge Baseline'!$B$1:$L$257,4,FALSE))))</f>
        <v/>
      </c>
      <c r="E46" s="301" t="str">
        <f>IF(B46="","",IF(ISNA(VLOOKUP($B46,'B-1 On-Site Hedge Baseline'!$B$1:$L$257,5,FALSE)),"",(VLOOKUP($B46,'B-1 On-Site Hedge Baseline'!$B$1:$L$257,5,FALSE))))</f>
        <v/>
      </c>
      <c r="F46" s="301" t="str">
        <f>IF(B46="","",IF(ISNA(VLOOKUP($B46,'B-1 On-Site Hedge Baseline'!$B$1:$L$257,6,FALSE)),"",(VLOOKUP($B46,'B-1 On-Site Hedge Baseline'!$B$1:$L$257,6,FALSE))))</f>
        <v/>
      </c>
      <c r="G46" s="301" t="str">
        <f>IF(B46="","",IF(ISNA(VLOOKUP($B46,'B-1 On-Site Hedge Baseline'!$B$1:$L$257,7,FALSE)),"",(VLOOKUP($B46,'B-1 On-Site Hedge Baseline'!$B$1:$L$257,7,FALSE))))</f>
        <v/>
      </c>
      <c r="H46" s="301" t="str">
        <f>IF(B46="","",IF(ISNA(VLOOKUP($B46,'B-1 On-Site Hedge Baseline'!$B$1:$L$257,8,FALSE)),"",(VLOOKUP($B46,'B-1 On-Site Hedge Baseline'!$B$1:$L$257,8,FALSE))))</f>
        <v/>
      </c>
      <c r="I46" s="301" t="str">
        <f>IF(B46="","",IF(ISNA(VLOOKUP($B46,'B-1 On-Site Hedge Baseline'!$B$1:$L$257,10,FALSE)),"",(VLOOKUP($B46,'B-1 On-Site Hedge Baseline'!$B$1:$L$257,10,FALSE))))</f>
        <v/>
      </c>
      <c r="J46" s="301" t="str">
        <f>IF(B46="","",IF(ISNA(VLOOKUP($B46,'B-1 On-Site Hedge Baseline'!$B$1:$L$257,11,FALSE)),"",(VLOOKUP($B46,'B-1 On-Site Hedge Baseline'!$B$1:$L$257,11,FALSE))))</f>
        <v/>
      </c>
      <c r="K46" s="301" t="str">
        <f>IF(B46="","",IF(ISNA(VLOOKUP($B46,'B-1 On-Site Hedge Baseline'!$B$1:$U$257,13,FALSE)),"",(VLOOKUP($B46,'B-1 On-Site Hedge Baseline'!$B$1:$U$257,13,FALSE))))</f>
        <v/>
      </c>
      <c r="L46" s="305" t="str">
        <f>IF(B46="","",IF(ISNA(VLOOKUP($B46,'B-1 On-Site Hedge Baseline'!$B$1:$U$257,12,FALSE)),"",(VLOOKUP($B46,'B-1 On-Site Hedge Baseline'!$B$1:$U$257,12,FALSE))))</f>
        <v/>
      </c>
      <c r="M46" s="627"/>
      <c r="N46" s="281" t="str">
        <f>IFERROR(IF(B46="","",INDEX('G-6 Hedgerow Data'!$AN$3:$AZ$15,MATCH(C46,'G-6 Hedgerow Data'!$AM$3:$AM$15,0),MATCH(M46,'G-6 Hedgerow Data'!$AN$2:$AZ$2,0))),"")</f>
        <v/>
      </c>
      <c r="O46" s="282" t="str">
        <f t="shared" si="1"/>
        <v/>
      </c>
      <c r="P46" s="335" t="str">
        <f>IF(B46="","",VLOOKUP(B46,'B-1 On-Site Hedge Baseline'!$B$10:T291,16,FALSE))</f>
        <v/>
      </c>
      <c r="Q46" s="281" t="str">
        <f>IF(M46="","",VLOOKUP(M46,'G-6 Hedgerow Data'!$B$2:$AG$15,2,FALSE))</f>
        <v/>
      </c>
      <c r="R46" s="282" t="str">
        <f>IF(M46="","",VLOOKUP(M46,'G-6 Hedgerow Data'!$B$2:$AG$15,3,FALSE))</f>
        <v/>
      </c>
      <c r="S46" s="112"/>
      <c r="T46" s="320" t="str">
        <f>IFERROR(IF(S46="","",IF(AND(M46="Non-native and ornamental hedgerow", S46&lt;&gt;"Poor"),"Not possible ▲", (VLOOKUP(S46,'G-1 All Habitats'!$Z$2:$AA$9,2,FALSE)))),"")</f>
        <v/>
      </c>
      <c r="U46" s="109"/>
      <c r="V46" s="301" t="str">
        <f>IF(U46="","",IF(VLOOKUP(U46,'G-3 Multipliers'!$L$3:$N$6,2,FALSE)=0,"Spatial Data Missing ⚠",VLOOKUP(U46,'G-3 Multipliers'!$L$3:$N$6,2,FALSE)))</f>
        <v/>
      </c>
      <c r="W46" s="305" t="str">
        <f>IF(U46="","",IF(VLOOKUP(U46,'G-3 Multipliers'!$L$3:$N$6,3,FALSE)=0,"Spatial Data Missing ⚠",VLOOKUP(U46,'G-3 Multipliers'!$L$3:$N$6,3,FALSE)))</f>
        <v/>
      </c>
      <c r="X46" s="281" t="str">
        <f>IFERROR(IF(OR(LEFT(O46,5)="Error",LEFT(N46,5)="Error",T46="Error"),"Check Data ⚠",IF(F46&lt;R46,INDEX('G-6 Hedgerow Data'!$S$3:$AE$14,MATCH(C46,'G-6 Hedgerow Data'!$B$3:$B$14,0),MATCH(M46,'G-6 Hedgerow Data'!$S$2:$AE$2,0)),INDEX('G-6 Hedgerow Data'!$K$3:$Q$14,MATCH(M46,'G-6 Hedgerow Data'!$B$3:$B$14,0),MATCH(O46,'G-6 Hedgerow Data'!$K$2:$Q$2,0)))),"")</f>
        <v/>
      </c>
      <c r="Y46" s="137"/>
      <c r="Z46" s="137"/>
      <c r="AA46" s="289" t="str">
        <f t="shared" si="2"/>
        <v/>
      </c>
      <c r="AB46" s="302" t="str">
        <f t="shared" si="3"/>
        <v/>
      </c>
      <c r="AC46" s="303" t="str">
        <f t="shared" si="0"/>
        <v/>
      </c>
      <c r="AD46" s="317" t="str">
        <f>IF(M46="","",VLOOKUP(M46,'G-6 Hedgerow Data'!$B$3:$AG$15,31,FALSE))</f>
        <v/>
      </c>
      <c r="AE46" s="289" t="str">
        <f t="shared" si="4"/>
        <v/>
      </c>
      <c r="AF46" s="289" t="str">
        <f t="shared" si="5"/>
        <v/>
      </c>
      <c r="AG46" s="305" t="str">
        <f>IFERROR(IF(O46="","",VLOOKUP(AD46,'G-3 Multipliers'!$P$3:$Q$6,2,FALSE)),"")</f>
        <v/>
      </c>
      <c r="AH46" s="295" t="str">
        <f t="shared" si="6"/>
        <v/>
      </c>
      <c r="AI46" s="112"/>
      <c r="AJ46" s="119"/>
      <c r="AK46" s="108"/>
      <c r="AT46" s="30" t="str">
        <f>IFERROR(INDEX('G-6 Hedgerow Data'!$BJ$3:$BJ$15,MATCH(M46,'G-6 Hedgerow Data'!$B$3:$B$15,0)),"")</f>
        <v/>
      </c>
    </row>
    <row r="47" spans="2:46" ht="13.8" x14ac:dyDescent="0.25">
      <c r="B47" s="311" t="str">
        <f>'B-1 On-Site Hedge Baseline'!AK45</f>
        <v/>
      </c>
      <c r="C47" s="301" t="str">
        <f>IF(B47="","",IF(ISNA(VLOOKUP($B47,'B-1 On-Site Hedge Baseline'!$B$1:$L$257,3,FALSE)),"",(VLOOKUP($B47,'B-1 On-Site Hedge Baseline'!$B$1:$L$257,3,FALSE))))</f>
        <v/>
      </c>
      <c r="D47" s="301" t="str">
        <f>IF(B47="","",IF(ISNA(VLOOKUP($B47,'B-1 On-Site Hedge Baseline'!$B$1:$L$257,4,FALSE)),"",(VLOOKUP($B47,'B-1 On-Site Hedge Baseline'!$B$1:$L$257,4,FALSE))))</f>
        <v/>
      </c>
      <c r="E47" s="301" t="str">
        <f>IF(B47="","",IF(ISNA(VLOOKUP($B47,'B-1 On-Site Hedge Baseline'!$B$1:$L$257,5,FALSE)),"",(VLOOKUP($B47,'B-1 On-Site Hedge Baseline'!$B$1:$L$257,5,FALSE))))</f>
        <v/>
      </c>
      <c r="F47" s="301" t="str">
        <f>IF(B47="","",IF(ISNA(VLOOKUP($B47,'B-1 On-Site Hedge Baseline'!$B$1:$L$257,6,FALSE)),"",(VLOOKUP($B47,'B-1 On-Site Hedge Baseline'!$B$1:$L$257,6,FALSE))))</f>
        <v/>
      </c>
      <c r="G47" s="301" t="str">
        <f>IF(B47="","",IF(ISNA(VLOOKUP($B47,'B-1 On-Site Hedge Baseline'!$B$1:$L$257,7,FALSE)),"",(VLOOKUP($B47,'B-1 On-Site Hedge Baseline'!$B$1:$L$257,7,FALSE))))</f>
        <v/>
      </c>
      <c r="H47" s="301" t="str">
        <f>IF(B47="","",IF(ISNA(VLOOKUP($B47,'B-1 On-Site Hedge Baseline'!$B$1:$L$257,8,FALSE)),"",(VLOOKUP($B47,'B-1 On-Site Hedge Baseline'!$B$1:$L$257,8,FALSE))))</f>
        <v/>
      </c>
      <c r="I47" s="301" t="str">
        <f>IF(B47="","",IF(ISNA(VLOOKUP($B47,'B-1 On-Site Hedge Baseline'!$B$1:$L$257,10,FALSE)),"",(VLOOKUP($B47,'B-1 On-Site Hedge Baseline'!$B$1:$L$257,10,FALSE))))</f>
        <v/>
      </c>
      <c r="J47" s="301" t="str">
        <f>IF(B47="","",IF(ISNA(VLOOKUP($B47,'B-1 On-Site Hedge Baseline'!$B$1:$L$257,11,FALSE)),"",(VLOOKUP($B47,'B-1 On-Site Hedge Baseline'!$B$1:$L$257,11,FALSE))))</f>
        <v/>
      </c>
      <c r="K47" s="301" t="str">
        <f>IF(B47="","",IF(ISNA(VLOOKUP($B47,'B-1 On-Site Hedge Baseline'!$B$1:$U$257,13,FALSE)),"",(VLOOKUP($B47,'B-1 On-Site Hedge Baseline'!$B$1:$U$257,13,FALSE))))</f>
        <v/>
      </c>
      <c r="L47" s="305" t="str">
        <f>IF(B47="","",IF(ISNA(VLOOKUP($B47,'B-1 On-Site Hedge Baseline'!$B$1:$U$257,12,FALSE)),"",(VLOOKUP($B47,'B-1 On-Site Hedge Baseline'!$B$1:$U$257,12,FALSE))))</f>
        <v/>
      </c>
      <c r="M47" s="627"/>
      <c r="N47" s="281" t="str">
        <f>IFERROR(IF(B47="","",INDEX('G-6 Hedgerow Data'!$AN$3:$AZ$15,MATCH(C47,'G-6 Hedgerow Data'!$AM$3:$AM$15,0),MATCH(M47,'G-6 Hedgerow Data'!$AN$2:$AZ$2,0))),"")</f>
        <v/>
      </c>
      <c r="O47" s="282" t="str">
        <f t="shared" si="1"/>
        <v/>
      </c>
      <c r="P47" s="335" t="str">
        <f>IF(B47="","",VLOOKUP(B47,'B-1 On-Site Hedge Baseline'!$B$10:T292,16,FALSE))</f>
        <v/>
      </c>
      <c r="Q47" s="281" t="str">
        <f>IF(M47="","",VLOOKUP(M47,'G-6 Hedgerow Data'!$B$2:$AG$15,2,FALSE))</f>
        <v/>
      </c>
      <c r="R47" s="282" t="str">
        <f>IF(M47="","",VLOOKUP(M47,'G-6 Hedgerow Data'!$B$2:$AG$15,3,FALSE))</f>
        <v/>
      </c>
      <c r="S47" s="112"/>
      <c r="T47" s="320" t="str">
        <f>IFERROR(IF(S47="","",IF(AND(M47="Non-native and ornamental hedgerow", S47&lt;&gt;"Poor"),"Not possible ▲", (VLOOKUP(S47,'G-1 All Habitats'!$Z$2:$AA$9,2,FALSE)))),"")</f>
        <v/>
      </c>
      <c r="U47" s="109"/>
      <c r="V47" s="301" t="str">
        <f>IF(U47="","",IF(VLOOKUP(U47,'G-3 Multipliers'!$L$3:$N$6,2,FALSE)=0,"Spatial Data Missing ⚠",VLOOKUP(U47,'G-3 Multipliers'!$L$3:$N$6,2,FALSE)))</f>
        <v/>
      </c>
      <c r="W47" s="305" t="str">
        <f>IF(U47="","",IF(VLOOKUP(U47,'G-3 Multipliers'!$L$3:$N$6,3,FALSE)=0,"Spatial Data Missing ⚠",VLOOKUP(U47,'G-3 Multipliers'!$L$3:$N$6,3,FALSE)))</f>
        <v/>
      </c>
      <c r="X47" s="281" t="str">
        <f>IFERROR(IF(OR(LEFT(O47,5)="Error",LEFT(N47,5)="Error",T47="Error"),"Check Data ⚠",IF(F47&lt;R47,INDEX('G-6 Hedgerow Data'!$S$3:$AE$14,MATCH(C47,'G-6 Hedgerow Data'!$B$3:$B$14,0),MATCH(M47,'G-6 Hedgerow Data'!$S$2:$AE$2,0)),INDEX('G-6 Hedgerow Data'!$K$3:$Q$14,MATCH(M47,'G-6 Hedgerow Data'!$B$3:$B$14,0),MATCH(O47,'G-6 Hedgerow Data'!$K$2:$Q$2,0)))),"")</f>
        <v/>
      </c>
      <c r="Y47" s="137"/>
      <c r="Z47" s="137"/>
      <c r="AA47" s="289" t="str">
        <f t="shared" si="2"/>
        <v/>
      </c>
      <c r="AB47" s="302" t="str">
        <f t="shared" si="3"/>
        <v/>
      </c>
      <c r="AC47" s="303" t="str">
        <f t="shared" si="0"/>
        <v/>
      </c>
      <c r="AD47" s="317" t="str">
        <f>IF(M47="","",VLOOKUP(M47,'G-6 Hedgerow Data'!$B$3:$AG$15,31,FALSE))</f>
        <v/>
      </c>
      <c r="AE47" s="289" t="str">
        <f t="shared" si="4"/>
        <v/>
      </c>
      <c r="AF47" s="289" t="str">
        <f t="shared" si="5"/>
        <v/>
      </c>
      <c r="AG47" s="305" t="str">
        <f>IFERROR(IF(O47="","",VLOOKUP(AD47,'G-3 Multipliers'!$P$3:$Q$6,2,FALSE)),"")</f>
        <v/>
      </c>
      <c r="AH47" s="295" t="str">
        <f t="shared" si="6"/>
        <v/>
      </c>
      <c r="AI47" s="112"/>
      <c r="AJ47" s="119"/>
      <c r="AK47" s="108"/>
      <c r="AT47" s="30" t="str">
        <f>IFERROR(INDEX('G-6 Hedgerow Data'!$BJ$3:$BJ$15,MATCH(M47,'G-6 Hedgerow Data'!$B$3:$B$15,0)),"")</f>
        <v/>
      </c>
    </row>
    <row r="48" spans="2:46" ht="13.8" x14ac:dyDescent="0.25">
      <c r="B48" s="311" t="str">
        <f>'B-1 On-Site Hedge Baseline'!AK46</f>
        <v/>
      </c>
      <c r="C48" s="301" t="str">
        <f>IF(B48="","",IF(ISNA(VLOOKUP($B48,'B-1 On-Site Hedge Baseline'!$B$1:$L$257,3,FALSE)),"",(VLOOKUP($B48,'B-1 On-Site Hedge Baseline'!$B$1:$L$257,3,FALSE))))</f>
        <v/>
      </c>
      <c r="D48" s="301" t="str">
        <f>IF(B48="","",IF(ISNA(VLOOKUP($B48,'B-1 On-Site Hedge Baseline'!$B$1:$L$257,4,FALSE)),"",(VLOOKUP($B48,'B-1 On-Site Hedge Baseline'!$B$1:$L$257,4,FALSE))))</f>
        <v/>
      </c>
      <c r="E48" s="301" t="str">
        <f>IF(B48="","",IF(ISNA(VLOOKUP($B48,'B-1 On-Site Hedge Baseline'!$B$1:$L$257,5,FALSE)),"",(VLOOKUP($B48,'B-1 On-Site Hedge Baseline'!$B$1:$L$257,5,FALSE))))</f>
        <v/>
      </c>
      <c r="F48" s="301" t="str">
        <f>IF(B48="","",IF(ISNA(VLOOKUP($B48,'B-1 On-Site Hedge Baseline'!$B$1:$L$257,6,FALSE)),"",(VLOOKUP($B48,'B-1 On-Site Hedge Baseline'!$B$1:$L$257,6,FALSE))))</f>
        <v/>
      </c>
      <c r="G48" s="301" t="str">
        <f>IF(B48="","",IF(ISNA(VLOOKUP($B48,'B-1 On-Site Hedge Baseline'!$B$1:$L$257,7,FALSE)),"",(VLOOKUP($B48,'B-1 On-Site Hedge Baseline'!$B$1:$L$257,7,FALSE))))</f>
        <v/>
      </c>
      <c r="H48" s="301" t="str">
        <f>IF(B48="","",IF(ISNA(VLOOKUP($B48,'B-1 On-Site Hedge Baseline'!$B$1:$L$257,8,FALSE)),"",(VLOOKUP($B48,'B-1 On-Site Hedge Baseline'!$B$1:$L$257,8,FALSE))))</f>
        <v/>
      </c>
      <c r="I48" s="301" t="str">
        <f>IF(B48="","",IF(ISNA(VLOOKUP($B48,'B-1 On-Site Hedge Baseline'!$B$1:$L$257,10,FALSE)),"",(VLOOKUP($B48,'B-1 On-Site Hedge Baseline'!$B$1:$L$257,10,FALSE))))</f>
        <v/>
      </c>
      <c r="J48" s="301" t="str">
        <f>IF(B48="","",IF(ISNA(VLOOKUP($B48,'B-1 On-Site Hedge Baseline'!$B$1:$L$257,11,FALSE)),"",(VLOOKUP($B48,'B-1 On-Site Hedge Baseline'!$B$1:$L$257,11,FALSE))))</f>
        <v/>
      </c>
      <c r="K48" s="301" t="str">
        <f>IF(B48="","",IF(ISNA(VLOOKUP($B48,'B-1 On-Site Hedge Baseline'!$B$1:$U$257,13,FALSE)),"",(VLOOKUP($B48,'B-1 On-Site Hedge Baseline'!$B$1:$U$257,13,FALSE))))</f>
        <v/>
      </c>
      <c r="L48" s="305" t="str">
        <f>IF(B48="","",IF(ISNA(VLOOKUP($B48,'B-1 On-Site Hedge Baseline'!$B$1:$U$257,12,FALSE)),"",(VLOOKUP($B48,'B-1 On-Site Hedge Baseline'!$B$1:$U$257,12,FALSE))))</f>
        <v/>
      </c>
      <c r="M48" s="627"/>
      <c r="N48" s="281" t="str">
        <f>IFERROR(IF(B48="","",INDEX('G-6 Hedgerow Data'!$AN$3:$AZ$15,MATCH(C48,'G-6 Hedgerow Data'!$AM$3:$AM$15,0),MATCH(M48,'G-6 Hedgerow Data'!$AN$2:$AZ$2,0))),"")</f>
        <v/>
      </c>
      <c r="O48" s="282" t="str">
        <f t="shared" si="1"/>
        <v/>
      </c>
      <c r="P48" s="335" t="str">
        <f>IF(B48="","",VLOOKUP(B48,'B-1 On-Site Hedge Baseline'!$B$10:T293,16,FALSE))</f>
        <v/>
      </c>
      <c r="Q48" s="281" t="str">
        <f>IF(M48="","",VLOOKUP(M48,'G-6 Hedgerow Data'!$B$2:$AG$15,2,FALSE))</f>
        <v/>
      </c>
      <c r="R48" s="282" t="str">
        <f>IF(M48="","",VLOOKUP(M48,'G-6 Hedgerow Data'!$B$2:$AG$15,3,FALSE))</f>
        <v/>
      </c>
      <c r="S48" s="112"/>
      <c r="T48" s="320" t="str">
        <f>IFERROR(IF(S48="","",IF(AND(M48="Non-native and ornamental hedgerow", S48&lt;&gt;"Poor"),"Not possible ▲", (VLOOKUP(S48,'G-1 All Habitats'!$Z$2:$AA$9,2,FALSE)))),"")</f>
        <v/>
      </c>
      <c r="U48" s="109"/>
      <c r="V48" s="301" t="str">
        <f>IF(U48="","",IF(VLOOKUP(U48,'G-3 Multipliers'!$L$3:$N$6,2,FALSE)=0,"Spatial Data Missing ⚠",VLOOKUP(U48,'G-3 Multipliers'!$L$3:$N$6,2,FALSE)))</f>
        <v/>
      </c>
      <c r="W48" s="305" t="str">
        <f>IF(U48="","",IF(VLOOKUP(U48,'G-3 Multipliers'!$L$3:$N$6,3,FALSE)=0,"Spatial Data Missing ⚠",VLOOKUP(U48,'G-3 Multipliers'!$L$3:$N$6,3,FALSE)))</f>
        <v/>
      </c>
      <c r="X48" s="281" t="str">
        <f>IFERROR(IF(OR(LEFT(O48,5)="Error",LEFT(N48,5)="Error",T48="Error"),"Check Data ⚠",IF(F48&lt;R48,INDEX('G-6 Hedgerow Data'!$S$3:$AE$14,MATCH(C48,'G-6 Hedgerow Data'!$B$3:$B$14,0),MATCH(M48,'G-6 Hedgerow Data'!$S$2:$AE$2,0)),INDEX('G-6 Hedgerow Data'!$K$3:$Q$14,MATCH(M48,'G-6 Hedgerow Data'!$B$3:$B$14,0),MATCH(O48,'G-6 Hedgerow Data'!$K$2:$Q$2,0)))),"")</f>
        <v/>
      </c>
      <c r="Y48" s="137"/>
      <c r="Z48" s="137"/>
      <c r="AA48" s="289" t="str">
        <f t="shared" si="2"/>
        <v/>
      </c>
      <c r="AB48" s="302" t="str">
        <f t="shared" si="3"/>
        <v/>
      </c>
      <c r="AC48" s="303" t="str">
        <f t="shared" si="0"/>
        <v/>
      </c>
      <c r="AD48" s="317" t="str">
        <f>IF(M48="","",VLOOKUP(M48,'G-6 Hedgerow Data'!$B$3:$AG$15,31,FALSE))</f>
        <v/>
      </c>
      <c r="AE48" s="289" t="str">
        <f t="shared" si="4"/>
        <v/>
      </c>
      <c r="AF48" s="289" t="str">
        <f t="shared" si="5"/>
        <v/>
      </c>
      <c r="AG48" s="305" t="str">
        <f>IFERROR(IF(O48="","",VLOOKUP(AD48,'G-3 Multipliers'!$P$3:$Q$6,2,FALSE)),"")</f>
        <v/>
      </c>
      <c r="AH48" s="295" t="str">
        <f t="shared" si="6"/>
        <v/>
      </c>
      <c r="AI48" s="112"/>
      <c r="AJ48" s="119"/>
      <c r="AK48" s="108"/>
      <c r="AT48" s="30" t="str">
        <f>IFERROR(INDEX('G-6 Hedgerow Data'!$BJ$3:$BJ$15,MATCH(M48,'G-6 Hedgerow Data'!$B$3:$B$15,0)),"")</f>
        <v/>
      </c>
    </row>
    <row r="49" spans="2:46" ht="13.8" x14ac:dyDescent="0.25">
      <c r="B49" s="311" t="str">
        <f>'B-1 On-Site Hedge Baseline'!AK47</f>
        <v/>
      </c>
      <c r="C49" s="301" t="str">
        <f>IF(B49="","",IF(ISNA(VLOOKUP($B49,'B-1 On-Site Hedge Baseline'!$B$1:$L$257,3,FALSE)),"",(VLOOKUP($B49,'B-1 On-Site Hedge Baseline'!$B$1:$L$257,3,FALSE))))</f>
        <v/>
      </c>
      <c r="D49" s="301" t="str">
        <f>IF(B49="","",IF(ISNA(VLOOKUP($B49,'B-1 On-Site Hedge Baseline'!$B$1:$L$257,4,FALSE)),"",(VLOOKUP($B49,'B-1 On-Site Hedge Baseline'!$B$1:$L$257,4,FALSE))))</f>
        <v/>
      </c>
      <c r="E49" s="301" t="str">
        <f>IF(B49="","",IF(ISNA(VLOOKUP($B49,'B-1 On-Site Hedge Baseline'!$B$1:$L$257,5,FALSE)),"",(VLOOKUP($B49,'B-1 On-Site Hedge Baseline'!$B$1:$L$257,5,FALSE))))</f>
        <v/>
      </c>
      <c r="F49" s="301" t="str">
        <f>IF(B49="","",IF(ISNA(VLOOKUP($B49,'B-1 On-Site Hedge Baseline'!$B$1:$L$257,6,FALSE)),"",(VLOOKUP($B49,'B-1 On-Site Hedge Baseline'!$B$1:$L$257,6,FALSE))))</f>
        <v/>
      </c>
      <c r="G49" s="301" t="str">
        <f>IF(B49="","",IF(ISNA(VLOOKUP($B49,'B-1 On-Site Hedge Baseline'!$B$1:$L$257,7,FALSE)),"",(VLOOKUP($B49,'B-1 On-Site Hedge Baseline'!$B$1:$L$257,7,FALSE))))</f>
        <v/>
      </c>
      <c r="H49" s="301" t="str">
        <f>IF(B49="","",IF(ISNA(VLOOKUP($B49,'B-1 On-Site Hedge Baseline'!$B$1:$L$257,8,FALSE)),"",(VLOOKUP($B49,'B-1 On-Site Hedge Baseline'!$B$1:$L$257,8,FALSE))))</f>
        <v/>
      </c>
      <c r="I49" s="301" t="str">
        <f>IF(B49="","",IF(ISNA(VLOOKUP($B49,'B-1 On-Site Hedge Baseline'!$B$1:$L$257,10,FALSE)),"",(VLOOKUP($B49,'B-1 On-Site Hedge Baseline'!$B$1:$L$257,10,FALSE))))</f>
        <v/>
      </c>
      <c r="J49" s="301" t="str">
        <f>IF(B49="","",IF(ISNA(VLOOKUP($B49,'B-1 On-Site Hedge Baseline'!$B$1:$L$257,11,FALSE)),"",(VLOOKUP($B49,'B-1 On-Site Hedge Baseline'!$B$1:$L$257,11,FALSE))))</f>
        <v/>
      </c>
      <c r="K49" s="301" t="str">
        <f>IF(B49="","",IF(ISNA(VLOOKUP($B49,'B-1 On-Site Hedge Baseline'!$B$1:$U$257,13,FALSE)),"",(VLOOKUP($B49,'B-1 On-Site Hedge Baseline'!$B$1:$U$257,13,FALSE))))</f>
        <v/>
      </c>
      <c r="L49" s="305" t="str">
        <f>IF(B49="","",IF(ISNA(VLOOKUP($B49,'B-1 On-Site Hedge Baseline'!$B$1:$U$257,12,FALSE)),"",(VLOOKUP($B49,'B-1 On-Site Hedge Baseline'!$B$1:$U$257,12,FALSE))))</f>
        <v/>
      </c>
      <c r="M49" s="627"/>
      <c r="N49" s="281" t="str">
        <f>IFERROR(IF(B49="","",INDEX('G-6 Hedgerow Data'!$AN$3:$AZ$15,MATCH(C49,'G-6 Hedgerow Data'!$AM$3:$AM$15,0),MATCH(M49,'G-6 Hedgerow Data'!$AN$2:$AZ$2,0))),"")</f>
        <v/>
      </c>
      <c r="O49" s="282" t="str">
        <f t="shared" si="1"/>
        <v/>
      </c>
      <c r="P49" s="335" t="str">
        <f>IF(B49="","",VLOOKUP(B49,'B-1 On-Site Hedge Baseline'!$B$10:T294,16,FALSE))</f>
        <v/>
      </c>
      <c r="Q49" s="281" t="str">
        <f>IF(M49="","",VLOOKUP(M49,'G-6 Hedgerow Data'!$B$2:$AG$15,2,FALSE))</f>
        <v/>
      </c>
      <c r="R49" s="282" t="str">
        <f>IF(M49="","",VLOOKUP(M49,'G-6 Hedgerow Data'!$B$2:$AG$15,3,FALSE))</f>
        <v/>
      </c>
      <c r="S49" s="112"/>
      <c r="T49" s="320" t="str">
        <f>IFERROR(IF(S49="","",IF(AND(M49="Non-native and ornamental hedgerow", S49&lt;&gt;"Poor"),"Not possible ▲", (VLOOKUP(S49,'G-1 All Habitats'!$Z$2:$AA$9,2,FALSE)))),"")</f>
        <v/>
      </c>
      <c r="U49" s="109"/>
      <c r="V49" s="301" t="str">
        <f>IF(U49="","",IF(VLOOKUP(U49,'G-3 Multipliers'!$L$3:$N$6,2,FALSE)=0,"Spatial Data Missing ⚠",VLOOKUP(U49,'G-3 Multipliers'!$L$3:$N$6,2,FALSE)))</f>
        <v/>
      </c>
      <c r="W49" s="305" t="str">
        <f>IF(U49="","",IF(VLOOKUP(U49,'G-3 Multipliers'!$L$3:$N$6,3,FALSE)=0,"Spatial Data Missing ⚠",VLOOKUP(U49,'G-3 Multipliers'!$L$3:$N$6,3,FALSE)))</f>
        <v/>
      </c>
      <c r="X49" s="281" t="str">
        <f>IFERROR(IF(OR(LEFT(O49,5)="Error",LEFT(N49,5)="Error",T49="Error"),"Check Data ⚠",IF(F49&lt;R49,INDEX('G-6 Hedgerow Data'!$S$3:$AE$14,MATCH(C49,'G-6 Hedgerow Data'!$B$3:$B$14,0),MATCH(M49,'G-6 Hedgerow Data'!$S$2:$AE$2,0)),INDEX('G-6 Hedgerow Data'!$K$3:$Q$14,MATCH(M49,'G-6 Hedgerow Data'!$B$3:$B$14,0),MATCH(O49,'G-6 Hedgerow Data'!$K$2:$Q$2,0)))),"")</f>
        <v/>
      </c>
      <c r="Y49" s="137"/>
      <c r="Z49" s="137"/>
      <c r="AA49" s="289" t="str">
        <f t="shared" si="2"/>
        <v/>
      </c>
      <c r="AB49" s="302" t="str">
        <f t="shared" si="3"/>
        <v/>
      </c>
      <c r="AC49" s="303" t="str">
        <f t="shared" si="0"/>
        <v/>
      </c>
      <c r="AD49" s="317" t="str">
        <f>IF(M49="","",VLOOKUP(M49,'G-6 Hedgerow Data'!$B$3:$AG$15,31,FALSE))</f>
        <v/>
      </c>
      <c r="AE49" s="289" t="str">
        <f t="shared" si="4"/>
        <v/>
      </c>
      <c r="AF49" s="289" t="str">
        <f t="shared" si="5"/>
        <v/>
      </c>
      <c r="AG49" s="305" t="str">
        <f>IFERROR(IF(O49="","",VLOOKUP(AD49,'G-3 Multipliers'!$P$3:$Q$6,2,FALSE)),"")</f>
        <v/>
      </c>
      <c r="AH49" s="295" t="str">
        <f t="shared" si="6"/>
        <v/>
      </c>
      <c r="AI49" s="112"/>
      <c r="AJ49" s="119"/>
      <c r="AK49" s="108"/>
      <c r="AT49" s="30" t="str">
        <f>IFERROR(INDEX('G-6 Hedgerow Data'!$BJ$3:$BJ$15,MATCH(M49,'G-6 Hedgerow Data'!$B$3:$B$15,0)),"")</f>
        <v/>
      </c>
    </row>
    <row r="50" spans="2:46" ht="13.8" x14ac:dyDescent="0.25">
      <c r="B50" s="311" t="str">
        <f>'B-1 On-Site Hedge Baseline'!AK48</f>
        <v/>
      </c>
      <c r="C50" s="301" t="str">
        <f>IF(B50="","",IF(ISNA(VLOOKUP($B50,'B-1 On-Site Hedge Baseline'!$B$1:$L$257,3,FALSE)),"",(VLOOKUP($B50,'B-1 On-Site Hedge Baseline'!$B$1:$L$257,3,FALSE))))</f>
        <v/>
      </c>
      <c r="D50" s="301" t="str">
        <f>IF(B50="","",IF(ISNA(VLOOKUP($B50,'B-1 On-Site Hedge Baseline'!$B$1:$L$257,4,FALSE)),"",(VLOOKUP($B50,'B-1 On-Site Hedge Baseline'!$B$1:$L$257,4,FALSE))))</f>
        <v/>
      </c>
      <c r="E50" s="301" t="str">
        <f>IF(B50="","",IF(ISNA(VLOOKUP($B50,'B-1 On-Site Hedge Baseline'!$B$1:$L$257,5,FALSE)),"",(VLOOKUP($B50,'B-1 On-Site Hedge Baseline'!$B$1:$L$257,5,FALSE))))</f>
        <v/>
      </c>
      <c r="F50" s="301" t="str">
        <f>IF(B50="","",IF(ISNA(VLOOKUP($B50,'B-1 On-Site Hedge Baseline'!$B$1:$L$257,6,FALSE)),"",(VLOOKUP($B50,'B-1 On-Site Hedge Baseline'!$B$1:$L$257,6,FALSE))))</f>
        <v/>
      </c>
      <c r="G50" s="301" t="str">
        <f>IF(B50="","",IF(ISNA(VLOOKUP($B50,'B-1 On-Site Hedge Baseline'!$B$1:$L$257,7,FALSE)),"",(VLOOKUP($B50,'B-1 On-Site Hedge Baseline'!$B$1:$L$257,7,FALSE))))</f>
        <v/>
      </c>
      <c r="H50" s="301" t="str">
        <f>IF(B50="","",IF(ISNA(VLOOKUP($B50,'B-1 On-Site Hedge Baseline'!$B$1:$L$257,8,FALSE)),"",(VLOOKUP($B50,'B-1 On-Site Hedge Baseline'!$B$1:$L$257,8,FALSE))))</f>
        <v/>
      </c>
      <c r="I50" s="301" t="str">
        <f>IF(B50="","",IF(ISNA(VLOOKUP($B50,'B-1 On-Site Hedge Baseline'!$B$1:$L$257,10,FALSE)),"",(VLOOKUP($B50,'B-1 On-Site Hedge Baseline'!$B$1:$L$257,10,FALSE))))</f>
        <v/>
      </c>
      <c r="J50" s="301" t="str">
        <f>IF(B50="","",IF(ISNA(VLOOKUP($B50,'B-1 On-Site Hedge Baseline'!$B$1:$L$257,11,FALSE)),"",(VLOOKUP($B50,'B-1 On-Site Hedge Baseline'!$B$1:$L$257,11,FALSE))))</f>
        <v/>
      </c>
      <c r="K50" s="301" t="str">
        <f>IF(B50="","",IF(ISNA(VLOOKUP($B50,'B-1 On-Site Hedge Baseline'!$B$1:$U$257,13,FALSE)),"",(VLOOKUP($B50,'B-1 On-Site Hedge Baseline'!$B$1:$U$257,13,FALSE))))</f>
        <v/>
      </c>
      <c r="L50" s="305" t="str">
        <f>IF(B50="","",IF(ISNA(VLOOKUP($B50,'B-1 On-Site Hedge Baseline'!$B$1:$U$257,12,FALSE)),"",(VLOOKUP($B50,'B-1 On-Site Hedge Baseline'!$B$1:$U$257,12,FALSE))))</f>
        <v/>
      </c>
      <c r="M50" s="627"/>
      <c r="N50" s="281" t="str">
        <f>IFERROR(IF(B50="","",INDEX('G-6 Hedgerow Data'!$AN$3:$AZ$15,MATCH(C50,'G-6 Hedgerow Data'!$AM$3:$AM$15,0),MATCH(M50,'G-6 Hedgerow Data'!$AN$2:$AZ$2,0))),"")</f>
        <v/>
      </c>
      <c r="O50" s="282" t="str">
        <f t="shared" si="1"/>
        <v/>
      </c>
      <c r="P50" s="335" t="str">
        <f>IF(B50="","",VLOOKUP(B50,'B-1 On-Site Hedge Baseline'!$B$10:T295,16,FALSE))</f>
        <v/>
      </c>
      <c r="Q50" s="281" t="str">
        <f>IF(M50="","",VLOOKUP(M50,'G-6 Hedgerow Data'!$B$2:$AG$15,2,FALSE))</f>
        <v/>
      </c>
      <c r="R50" s="282" t="str">
        <f>IF(M50="","",VLOOKUP(M50,'G-6 Hedgerow Data'!$B$2:$AG$15,3,FALSE))</f>
        <v/>
      </c>
      <c r="S50" s="112"/>
      <c r="T50" s="320" t="str">
        <f>IFERROR(IF(S50="","",IF(AND(M50="Non-native and ornamental hedgerow", S50&lt;&gt;"Poor"),"Not possible ▲", (VLOOKUP(S50,'G-1 All Habitats'!$Z$2:$AA$9,2,FALSE)))),"")</f>
        <v/>
      </c>
      <c r="U50" s="109"/>
      <c r="V50" s="301" t="str">
        <f>IF(U50="","",IF(VLOOKUP(U50,'G-3 Multipliers'!$L$3:$N$6,2,FALSE)=0,"Spatial Data Missing ⚠",VLOOKUP(U50,'G-3 Multipliers'!$L$3:$N$6,2,FALSE)))</f>
        <v/>
      </c>
      <c r="W50" s="305" t="str">
        <f>IF(U50="","",IF(VLOOKUP(U50,'G-3 Multipliers'!$L$3:$N$6,3,FALSE)=0,"Spatial Data Missing ⚠",VLOOKUP(U50,'G-3 Multipliers'!$L$3:$N$6,3,FALSE)))</f>
        <v/>
      </c>
      <c r="X50" s="281" t="str">
        <f>IFERROR(IF(OR(LEFT(O50,5)="Error",LEFT(N50,5)="Error",T50="Error"),"Check Data ⚠",IF(F50&lt;R50,INDEX('G-6 Hedgerow Data'!$S$3:$AE$14,MATCH(C50,'G-6 Hedgerow Data'!$B$3:$B$14,0),MATCH(M50,'G-6 Hedgerow Data'!$S$2:$AE$2,0)),INDEX('G-6 Hedgerow Data'!$K$3:$Q$14,MATCH(M50,'G-6 Hedgerow Data'!$B$3:$B$14,0),MATCH(O50,'G-6 Hedgerow Data'!$K$2:$Q$2,0)))),"")</f>
        <v/>
      </c>
      <c r="Y50" s="137"/>
      <c r="Z50" s="137"/>
      <c r="AA50" s="289" t="str">
        <f t="shared" si="2"/>
        <v/>
      </c>
      <c r="AB50" s="302" t="str">
        <f t="shared" si="3"/>
        <v/>
      </c>
      <c r="AC50" s="303" t="str">
        <f t="shared" si="0"/>
        <v/>
      </c>
      <c r="AD50" s="317" t="str">
        <f>IF(M50="","",VLOOKUP(M50,'G-6 Hedgerow Data'!$B$3:$AG$15,31,FALSE))</f>
        <v/>
      </c>
      <c r="AE50" s="289" t="str">
        <f t="shared" si="4"/>
        <v/>
      </c>
      <c r="AF50" s="289" t="str">
        <f t="shared" si="5"/>
        <v/>
      </c>
      <c r="AG50" s="305" t="str">
        <f>IFERROR(IF(O50="","",VLOOKUP(AD50,'G-3 Multipliers'!$P$3:$Q$6,2,FALSE)),"")</f>
        <v/>
      </c>
      <c r="AH50" s="295" t="str">
        <f t="shared" si="6"/>
        <v/>
      </c>
      <c r="AI50" s="112"/>
      <c r="AJ50" s="119"/>
      <c r="AK50" s="108"/>
      <c r="AT50" s="30" t="str">
        <f>IFERROR(INDEX('G-6 Hedgerow Data'!$BJ$3:$BJ$15,MATCH(M50,'G-6 Hedgerow Data'!$B$3:$B$15,0)),"")</f>
        <v/>
      </c>
    </row>
    <row r="51" spans="2:46" ht="13.8" x14ac:dyDescent="0.25">
      <c r="B51" s="311" t="str">
        <f>'B-1 On-Site Hedge Baseline'!AK49</f>
        <v/>
      </c>
      <c r="C51" s="301" t="str">
        <f>IF(B51="","",IF(ISNA(VLOOKUP($B51,'B-1 On-Site Hedge Baseline'!$B$1:$L$257,3,FALSE)),"",(VLOOKUP($B51,'B-1 On-Site Hedge Baseline'!$B$1:$L$257,3,FALSE))))</f>
        <v/>
      </c>
      <c r="D51" s="301" t="str">
        <f>IF(B51="","",IF(ISNA(VLOOKUP($B51,'B-1 On-Site Hedge Baseline'!$B$1:$L$257,4,FALSE)),"",(VLOOKUP($B51,'B-1 On-Site Hedge Baseline'!$B$1:$L$257,4,FALSE))))</f>
        <v/>
      </c>
      <c r="E51" s="301" t="str">
        <f>IF(B51="","",IF(ISNA(VLOOKUP($B51,'B-1 On-Site Hedge Baseline'!$B$1:$L$257,5,FALSE)),"",(VLOOKUP($B51,'B-1 On-Site Hedge Baseline'!$B$1:$L$257,5,FALSE))))</f>
        <v/>
      </c>
      <c r="F51" s="301" t="str">
        <f>IF(B51="","",IF(ISNA(VLOOKUP($B51,'B-1 On-Site Hedge Baseline'!$B$1:$L$257,6,FALSE)),"",(VLOOKUP($B51,'B-1 On-Site Hedge Baseline'!$B$1:$L$257,6,FALSE))))</f>
        <v/>
      </c>
      <c r="G51" s="301" t="str">
        <f>IF(B51="","",IF(ISNA(VLOOKUP($B51,'B-1 On-Site Hedge Baseline'!$B$1:$L$257,7,FALSE)),"",(VLOOKUP($B51,'B-1 On-Site Hedge Baseline'!$B$1:$L$257,7,FALSE))))</f>
        <v/>
      </c>
      <c r="H51" s="301" t="str">
        <f>IF(B51="","",IF(ISNA(VLOOKUP($B51,'B-1 On-Site Hedge Baseline'!$B$1:$L$257,8,FALSE)),"",(VLOOKUP($B51,'B-1 On-Site Hedge Baseline'!$B$1:$L$257,8,FALSE))))</f>
        <v/>
      </c>
      <c r="I51" s="301" t="str">
        <f>IF(B51="","",IF(ISNA(VLOOKUP($B51,'B-1 On-Site Hedge Baseline'!$B$1:$L$257,10,FALSE)),"",(VLOOKUP($B51,'B-1 On-Site Hedge Baseline'!$B$1:$L$257,10,FALSE))))</f>
        <v/>
      </c>
      <c r="J51" s="301" t="str">
        <f>IF(B51="","",IF(ISNA(VLOOKUP($B51,'B-1 On-Site Hedge Baseline'!$B$1:$L$257,11,FALSE)),"",(VLOOKUP($B51,'B-1 On-Site Hedge Baseline'!$B$1:$L$257,11,FALSE))))</f>
        <v/>
      </c>
      <c r="K51" s="301" t="str">
        <f>IF(B51="","",IF(ISNA(VLOOKUP($B51,'B-1 On-Site Hedge Baseline'!$B$1:$U$257,13,FALSE)),"",(VLOOKUP($B51,'B-1 On-Site Hedge Baseline'!$B$1:$U$257,13,FALSE))))</f>
        <v/>
      </c>
      <c r="L51" s="305" t="str">
        <f>IF(B51="","",IF(ISNA(VLOOKUP($B51,'B-1 On-Site Hedge Baseline'!$B$1:$U$257,12,FALSE)),"",(VLOOKUP($B51,'B-1 On-Site Hedge Baseline'!$B$1:$U$257,12,FALSE))))</f>
        <v/>
      </c>
      <c r="M51" s="627"/>
      <c r="N51" s="281" t="str">
        <f>IFERROR(IF(B51="","",INDEX('G-6 Hedgerow Data'!$AN$3:$AZ$15,MATCH(C51,'G-6 Hedgerow Data'!$AM$3:$AM$15,0),MATCH(M51,'G-6 Hedgerow Data'!$AN$2:$AZ$2,0))),"")</f>
        <v/>
      </c>
      <c r="O51" s="282" t="str">
        <f t="shared" si="1"/>
        <v/>
      </c>
      <c r="P51" s="335" t="str">
        <f>IF(B51="","",VLOOKUP(B51,'B-1 On-Site Hedge Baseline'!$B$10:T296,16,FALSE))</f>
        <v/>
      </c>
      <c r="Q51" s="281" t="str">
        <f>IF(M51="","",VLOOKUP(M51,'G-6 Hedgerow Data'!$B$2:$AG$15,2,FALSE))</f>
        <v/>
      </c>
      <c r="R51" s="282" t="str">
        <f>IF(M51="","",VLOOKUP(M51,'G-6 Hedgerow Data'!$B$2:$AG$15,3,FALSE))</f>
        <v/>
      </c>
      <c r="S51" s="112"/>
      <c r="T51" s="320" t="str">
        <f>IFERROR(IF(S51="","",IF(AND(M51="Non-native and ornamental hedgerow", S51&lt;&gt;"Poor"),"Not possible ▲", (VLOOKUP(S51,'G-1 All Habitats'!$Z$2:$AA$9,2,FALSE)))),"")</f>
        <v/>
      </c>
      <c r="U51" s="109"/>
      <c r="V51" s="301" t="str">
        <f>IF(U51="","",IF(VLOOKUP(U51,'G-3 Multipliers'!$L$3:$N$6,2,FALSE)=0,"Spatial Data Missing ⚠",VLOOKUP(U51,'G-3 Multipliers'!$L$3:$N$6,2,FALSE)))</f>
        <v/>
      </c>
      <c r="W51" s="305" t="str">
        <f>IF(U51="","",IF(VLOOKUP(U51,'G-3 Multipliers'!$L$3:$N$6,3,FALSE)=0,"Spatial Data Missing ⚠",VLOOKUP(U51,'G-3 Multipliers'!$L$3:$N$6,3,FALSE)))</f>
        <v/>
      </c>
      <c r="X51" s="281" t="str">
        <f>IFERROR(IF(OR(LEFT(O51,5)="Error",LEFT(N51,5)="Error",T51="Error"),"Check Data ⚠",IF(F51&lt;R51,INDEX('G-6 Hedgerow Data'!$S$3:$AE$14,MATCH(C51,'G-6 Hedgerow Data'!$B$3:$B$14,0),MATCH(M51,'G-6 Hedgerow Data'!$S$2:$AE$2,0)),INDEX('G-6 Hedgerow Data'!$K$3:$Q$14,MATCH(M51,'G-6 Hedgerow Data'!$B$3:$B$14,0),MATCH(O51,'G-6 Hedgerow Data'!$K$2:$Q$2,0)))),"")</f>
        <v/>
      </c>
      <c r="Y51" s="137"/>
      <c r="Z51" s="137"/>
      <c r="AA51" s="289" t="str">
        <f t="shared" si="2"/>
        <v/>
      </c>
      <c r="AB51" s="302" t="str">
        <f t="shared" si="3"/>
        <v/>
      </c>
      <c r="AC51" s="303" t="str">
        <f t="shared" si="0"/>
        <v/>
      </c>
      <c r="AD51" s="317" t="str">
        <f>IF(M51="","",VLOOKUP(M51,'G-6 Hedgerow Data'!$B$3:$AG$15,31,FALSE))</f>
        <v/>
      </c>
      <c r="AE51" s="289" t="str">
        <f t="shared" si="4"/>
        <v/>
      </c>
      <c r="AF51" s="289" t="str">
        <f t="shared" si="5"/>
        <v/>
      </c>
      <c r="AG51" s="305" t="str">
        <f>IFERROR(IF(O51="","",VLOOKUP(AD51,'G-3 Multipliers'!$P$3:$Q$6,2,FALSE)),"")</f>
        <v/>
      </c>
      <c r="AH51" s="295" t="str">
        <f t="shared" si="6"/>
        <v/>
      </c>
      <c r="AI51" s="112"/>
      <c r="AJ51" s="119"/>
      <c r="AK51" s="108"/>
      <c r="AT51" s="30" t="str">
        <f>IFERROR(INDEX('G-6 Hedgerow Data'!$BJ$3:$BJ$15,MATCH(M51,'G-6 Hedgerow Data'!$B$3:$B$15,0)),"")</f>
        <v/>
      </c>
    </row>
    <row r="52" spans="2:46" ht="13.8" x14ac:dyDescent="0.25">
      <c r="B52" s="311" t="str">
        <f>'B-1 On-Site Hedge Baseline'!AK50</f>
        <v/>
      </c>
      <c r="C52" s="301" t="str">
        <f>IF(B52="","",IF(ISNA(VLOOKUP($B52,'B-1 On-Site Hedge Baseline'!$B$1:$L$257,3,FALSE)),"",(VLOOKUP($B52,'B-1 On-Site Hedge Baseline'!$B$1:$L$257,3,FALSE))))</f>
        <v/>
      </c>
      <c r="D52" s="301" t="str">
        <f>IF(B52="","",IF(ISNA(VLOOKUP($B52,'B-1 On-Site Hedge Baseline'!$B$1:$L$257,4,FALSE)),"",(VLOOKUP($B52,'B-1 On-Site Hedge Baseline'!$B$1:$L$257,4,FALSE))))</f>
        <v/>
      </c>
      <c r="E52" s="301" t="str">
        <f>IF(B52="","",IF(ISNA(VLOOKUP($B52,'B-1 On-Site Hedge Baseline'!$B$1:$L$257,5,FALSE)),"",(VLOOKUP($B52,'B-1 On-Site Hedge Baseline'!$B$1:$L$257,5,FALSE))))</f>
        <v/>
      </c>
      <c r="F52" s="301" t="str">
        <f>IF(B52="","",IF(ISNA(VLOOKUP($B52,'B-1 On-Site Hedge Baseline'!$B$1:$L$257,6,FALSE)),"",(VLOOKUP($B52,'B-1 On-Site Hedge Baseline'!$B$1:$L$257,6,FALSE))))</f>
        <v/>
      </c>
      <c r="G52" s="301" t="str">
        <f>IF(B52="","",IF(ISNA(VLOOKUP($B52,'B-1 On-Site Hedge Baseline'!$B$1:$L$257,7,FALSE)),"",(VLOOKUP($B52,'B-1 On-Site Hedge Baseline'!$B$1:$L$257,7,FALSE))))</f>
        <v/>
      </c>
      <c r="H52" s="301" t="str">
        <f>IF(B52="","",IF(ISNA(VLOOKUP($B52,'B-1 On-Site Hedge Baseline'!$B$1:$L$257,8,FALSE)),"",(VLOOKUP($B52,'B-1 On-Site Hedge Baseline'!$B$1:$L$257,8,FALSE))))</f>
        <v/>
      </c>
      <c r="I52" s="301" t="str">
        <f>IF(B52="","",IF(ISNA(VLOOKUP($B52,'B-1 On-Site Hedge Baseline'!$B$1:$L$257,10,FALSE)),"",(VLOOKUP($B52,'B-1 On-Site Hedge Baseline'!$B$1:$L$257,10,FALSE))))</f>
        <v/>
      </c>
      <c r="J52" s="301" t="str">
        <f>IF(B52="","",IF(ISNA(VLOOKUP($B52,'B-1 On-Site Hedge Baseline'!$B$1:$L$257,11,FALSE)),"",(VLOOKUP($B52,'B-1 On-Site Hedge Baseline'!$B$1:$L$257,11,FALSE))))</f>
        <v/>
      </c>
      <c r="K52" s="301" t="str">
        <f>IF(B52="","",IF(ISNA(VLOOKUP($B52,'B-1 On-Site Hedge Baseline'!$B$1:$U$257,13,FALSE)),"",(VLOOKUP($B52,'B-1 On-Site Hedge Baseline'!$B$1:$U$257,13,FALSE))))</f>
        <v/>
      </c>
      <c r="L52" s="305" t="str">
        <f>IF(B52="","",IF(ISNA(VLOOKUP($B52,'B-1 On-Site Hedge Baseline'!$B$1:$U$257,12,FALSE)),"",(VLOOKUP($B52,'B-1 On-Site Hedge Baseline'!$B$1:$U$257,12,FALSE))))</f>
        <v/>
      </c>
      <c r="M52" s="627"/>
      <c r="N52" s="281" t="str">
        <f>IFERROR(IF(B52="","",INDEX('G-6 Hedgerow Data'!$AN$3:$AZ$15,MATCH(C52,'G-6 Hedgerow Data'!$AM$3:$AM$15,0),MATCH(M52,'G-6 Hedgerow Data'!$AN$2:$AZ$2,0))),"")</f>
        <v/>
      </c>
      <c r="O52" s="282" t="str">
        <f t="shared" si="1"/>
        <v/>
      </c>
      <c r="P52" s="335" t="str">
        <f>IF(B52="","",VLOOKUP(B52,'B-1 On-Site Hedge Baseline'!$B$10:T297,16,FALSE))</f>
        <v/>
      </c>
      <c r="Q52" s="281" t="str">
        <f>IF(M52="","",VLOOKUP(M52,'G-6 Hedgerow Data'!$B$2:$AG$15,2,FALSE))</f>
        <v/>
      </c>
      <c r="R52" s="282" t="str">
        <f>IF(M52="","",VLOOKUP(M52,'G-6 Hedgerow Data'!$B$2:$AG$15,3,FALSE))</f>
        <v/>
      </c>
      <c r="S52" s="112"/>
      <c r="T52" s="320" t="str">
        <f>IFERROR(IF(S52="","",IF(AND(M52="Non-native and ornamental hedgerow", S52&lt;&gt;"Poor"),"Not possible ▲", (VLOOKUP(S52,'G-1 All Habitats'!$Z$2:$AA$9,2,FALSE)))),"")</f>
        <v/>
      </c>
      <c r="U52" s="109"/>
      <c r="V52" s="301" t="str">
        <f>IF(U52="","",IF(VLOOKUP(U52,'G-3 Multipliers'!$L$3:$N$6,2,FALSE)=0,"Spatial Data Missing ⚠",VLOOKUP(U52,'G-3 Multipliers'!$L$3:$N$6,2,FALSE)))</f>
        <v/>
      </c>
      <c r="W52" s="305" t="str">
        <f>IF(U52="","",IF(VLOOKUP(U52,'G-3 Multipliers'!$L$3:$N$6,3,FALSE)=0,"Spatial Data Missing ⚠",VLOOKUP(U52,'G-3 Multipliers'!$L$3:$N$6,3,FALSE)))</f>
        <v/>
      </c>
      <c r="X52" s="281" t="str">
        <f>IFERROR(IF(OR(LEFT(O52,5)="Error",LEFT(N52,5)="Error",T52="Error"),"Check Data ⚠",IF(F52&lt;R52,INDEX('G-6 Hedgerow Data'!$S$3:$AE$14,MATCH(C52,'G-6 Hedgerow Data'!$B$3:$B$14,0),MATCH(M52,'G-6 Hedgerow Data'!$S$2:$AE$2,0)),INDEX('G-6 Hedgerow Data'!$K$3:$Q$14,MATCH(M52,'G-6 Hedgerow Data'!$B$3:$B$14,0),MATCH(O52,'G-6 Hedgerow Data'!$K$2:$Q$2,0)))),"")</f>
        <v/>
      </c>
      <c r="Y52" s="137"/>
      <c r="Z52" s="137"/>
      <c r="AA52" s="289" t="str">
        <f t="shared" si="2"/>
        <v/>
      </c>
      <c r="AB52" s="302" t="str">
        <f t="shared" si="3"/>
        <v/>
      </c>
      <c r="AC52" s="303" t="str">
        <f t="shared" si="0"/>
        <v/>
      </c>
      <c r="AD52" s="317" t="str">
        <f>IF(M52="","",VLOOKUP(M52,'G-6 Hedgerow Data'!$B$3:$AG$15,31,FALSE))</f>
        <v/>
      </c>
      <c r="AE52" s="289" t="str">
        <f t="shared" si="4"/>
        <v/>
      </c>
      <c r="AF52" s="289" t="str">
        <f t="shared" si="5"/>
        <v/>
      </c>
      <c r="AG52" s="305" t="str">
        <f>IFERROR(IF(O52="","",VLOOKUP(AD52,'G-3 Multipliers'!$P$3:$Q$6,2,FALSE)),"")</f>
        <v/>
      </c>
      <c r="AH52" s="295" t="str">
        <f t="shared" si="6"/>
        <v/>
      </c>
      <c r="AI52" s="112"/>
      <c r="AJ52" s="119"/>
      <c r="AK52" s="108"/>
      <c r="AT52" s="30" t="str">
        <f>IFERROR(INDEX('G-6 Hedgerow Data'!$BJ$3:$BJ$15,MATCH(M52,'G-6 Hedgerow Data'!$B$3:$B$15,0)),"")</f>
        <v/>
      </c>
    </row>
    <row r="53" spans="2:46" ht="13.8" x14ac:dyDescent="0.25">
      <c r="B53" s="311" t="str">
        <f>'B-1 On-Site Hedge Baseline'!AK51</f>
        <v/>
      </c>
      <c r="C53" s="301" t="str">
        <f>IF(B53="","",IF(ISNA(VLOOKUP($B53,'B-1 On-Site Hedge Baseline'!$B$1:$L$257,3,FALSE)),"",(VLOOKUP($B53,'B-1 On-Site Hedge Baseline'!$B$1:$L$257,3,FALSE))))</f>
        <v/>
      </c>
      <c r="D53" s="301" t="str">
        <f>IF(B53="","",IF(ISNA(VLOOKUP($B53,'B-1 On-Site Hedge Baseline'!$B$1:$L$257,4,FALSE)),"",(VLOOKUP($B53,'B-1 On-Site Hedge Baseline'!$B$1:$L$257,4,FALSE))))</f>
        <v/>
      </c>
      <c r="E53" s="301" t="str">
        <f>IF(B53="","",IF(ISNA(VLOOKUP($B53,'B-1 On-Site Hedge Baseline'!$B$1:$L$257,5,FALSE)),"",(VLOOKUP($B53,'B-1 On-Site Hedge Baseline'!$B$1:$L$257,5,FALSE))))</f>
        <v/>
      </c>
      <c r="F53" s="301" t="str">
        <f>IF(B53="","",IF(ISNA(VLOOKUP($B53,'B-1 On-Site Hedge Baseline'!$B$1:$L$257,6,FALSE)),"",(VLOOKUP($B53,'B-1 On-Site Hedge Baseline'!$B$1:$L$257,6,FALSE))))</f>
        <v/>
      </c>
      <c r="G53" s="301" t="str">
        <f>IF(B53="","",IF(ISNA(VLOOKUP($B53,'B-1 On-Site Hedge Baseline'!$B$1:$L$257,7,FALSE)),"",(VLOOKUP($B53,'B-1 On-Site Hedge Baseline'!$B$1:$L$257,7,FALSE))))</f>
        <v/>
      </c>
      <c r="H53" s="301" t="str">
        <f>IF(B53="","",IF(ISNA(VLOOKUP($B53,'B-1 On-Site Hedge Baseline'!$B$1:$L$257,8,FALSE)),"",(VLOOKUP($B53,'B-1 On-Site Hedge Baseline'!$B$1:$L$257,8,FALSE))))</f>
        <v/>
      </c>
      <c r="I53" s="301" t="str">
        <f>IF(B53="","",IF(ISNA(VLOOKUP($B53,'B-1 On-Site Hedge Baseline'!$B$1:$L$257,10,FALSE)),"",(VLOOKUP($B53,'B-1 On-Site Hedge Baseline'!$B$1:$L$257,10,FALSE))))</f>
        <v/>
      </c>
      <c r="J53" s="301" t="str">
        <f>IF(B53="","",IF(ISNA(VLOOKUP($B53,'B-1 On-Site Hedge Baseline'!$B$1:$L$257,11,FALSE)),"",(VLOOKUP($B53,'B-1 On-Site Hedge Baseline'!$B$1:$L$257,11,FALSE))))</f>
        <v/>
      </c>
      <c r="K53" s="301" t="str">
        <f>IF(B53="","",IF(ISNA(VLOOKUP($B53,'B-1 On-Site Hedge Baseline'!$B$1:$U$257,13,FALSE)),"",(VLOOKUP($B53,'B-1 On-Site Hedge Baseline'!$B$1:$U$257,13,FALSE))))</f>
        <v/>
      </c>
      <c r="L53" s="305" t="str">
        <f>IF(B53="","",IF(ISNA(VLOOKUP($B53,'B-1 On-Site Hedge Baseline'!$B$1:$U$257,12,FALSE)),"",(VLOOKUP($B53,'B-1 On-Site Hedge Baseline'!$B$1:$U$257,12,FALSE))))</f>
        <v/>
      </c>
      <c r="M53" s="627"/>
      <c r="N53" s="281" t="str">
        <f>IFERROR(IF(B53="","",INDEX('G-6 Hedgerow Data'!$AN$3:$AZ$15,MATCH(C53,'G-6 Hedgerow Data'!$AM$3:$AM$15,0),MATCH(M53,'G-6 Hedgerow Data'!$AN$2:$AZ$2,0))),"")</f>
        <v/>
      </c>
      <c r="O53" s="282" t="str">
        <f t="shared" si="1"/>
        <v/>
      </c>
      <c r="P53" s="335" t="str">
        <f>IF(B53="","",VLOOKUP(B53,'B-1 On-Site Hedge Baseline'!$B$10:T298,16,FALSE))</f>
        <v/>
      </c>
      <c r="Q53" s="281" t="str">
        <f>IF(M53="","",VLOOKUP(M53,'G-6 Hedgerow Data'!$B$2:$AG$15,2,FALSE))</f>
        <v/>
      </c>
      <c r="R53" s="282" t="str">
        <f>IF(M53="","",VLOOKUP(M53,'G-6 Hedgerow Data'!$B$2:$AG$15,3,FALSE))</f>
        <v/>
      </c>
      <c r="S53" s="112"/>
      <c r="T53" s="320" t="str">
        <f>IFERROR(IF(S53="","",IF(AND(M53="Non-native and ornamental hedgerow", S53&lt;&gt;"Poor"),"Not possible ▲", (VLOOKUP(S53,'G-1 All Habitats'!$Z$2:$AA$9,2,FALSE)))),"")</f>
        <v/>
      </c>
      <c r="U53" s="109"/>
      <c r="V53" s="301" t="str">
        <f>IF(U53="","",IF(VLOOKUP(U53,'G-3 Multipliers'!$L$3:$N$6,2,FALSE)=0,"Spatial Data Missing ⚠",VLOOKUP(U53,'G-3 Multipliers'!$L$3:$N$6,2,FALSE)))</f>
        <v/>
      </c>
      <c r="W53" s="305" t="str">
        <f>IF(U53="","",IF(VLOOKUP(U53,'G-3 Multipliers'!$L$3:$N$6,3,FALSE)=0,"Spatial Data Missing ⚠",VLOOKUP(U53,'G-3 Multipliers'!$L$3:$N$6,3,FALSE)))</f>
        <v/>
      </c>
      <c r="X53" s="281" t="str">
        <f>IFERROR(IF(OR(LEFT(O53,5)="Error",LEFT(N53,5)="Error",T53="Error"),"Check Data ⚠",IF(F53&lt;R53,INDEX('G-6 Hedgerow Data'!$S$3:$AE$14,MATCH(C53,'G-6 Hedgerow Data'!$B$3:$B$14,0),MATCH(M53,'G-6 Hedgerow Data'!$S$2:$AE$2,0)),INDEX('G-6 Hedgerow Data'!$K$3:$Q$14,MATCH(M53,'G-6 Hedgerow Data'!$B$3:$B$14,0),MATCH(O53,'G-6 Hedgerow Data'!$K$2:$Q$2,0)))),"")</f>
        <v/>
      </c>
      <c r="Y53" s="137"/>
      <c r="Z53" s="137"/>
      <c r="AA53" s="289" t="str">
        <f t="shared" si="2"/>
        <v/>
      </c>
      <c r="AB53" s="302" t="str">
        <f t="shared" si="3"/>
        <v/>
      </c>
      <c r="AC53" s="303" t="str">
        <f t="shared" si="0"/>
        <v/>
      </c>
      <c r="AD53" s="317" t="str">
        <f>IF(M53="","",VLOOKUP(M53,'G-6 Hedgerow Data'!$B$3:$AG$15,31,FALSE))</f>
        <v/>
      </c>
      <c r="AE53" s="289" t="str">
        <f t="shared" si="4"/>
        <v/>
      </c>
      <c r="AF53" s="289" t="str">
        <f t="shared" si="5"/>
        <v/>
      </c>
      <c r="AG53" s="305" t="str">
        <f>IFERROR(IF(O53="","",VLOOKUP(AD53,'G-3 Multipliers'!$P$3:$Q$6,2,FALSE)),"")</f>
        <v/>
      </c>
      <c r="AH53" s="295" t="str">
        <f t="shared" si="6"/>
        <v/>
      </c>
      <c r="AI53" s="112"/>
      <c r="AJ53" s="119"/>
      <c r="AK53" s="108"/>
      <c r="AT53" s="30" t="str">
        <f>IFERROR(INDEX('G-6 Hedgerow Data'!$BJ$3:$BJ$15,MATCH(M53,'G-6 Hedgerow Data'!$B$3:$B$15,0)),"")</f>
        <v/>
      </c>
    </row>
    <row r="54" spans="2:46" ht="13.8" x14ac:dyDescent="0.25">
      <c r="B54" s="311" t="str">
        <f>'B-1 On-Site Hedge Baseline'!AK52</f>
        <v/>
      </c>
      <c r="C54" s="301" t="str">
        <f>IF(B54="","",IF(ISNA(VLOOKUP($B54,'B-1 On-Site Hedge Baseline'!$B$1:$L$257,3,FALSE)),"",(VLOOKUP($B54,'B-1 On-Site Hedge Baseline'!$B$1:$L$257,3,FALSE))))</f>
        <v/>
      </c>
      <c r="D54" s="301" t="str">
        <f>IF(B54="","",IF(ISNA(VLOOKUP($B54,'B-1 On-Site Hedge Baseline'!$B$1:$L$257,4,FALSE)),"",(VLOOKUP($B54,'B-1 On-Site Hedge Baseline'!$B$1:$L$257,4,FALSE))))</f>
        <v/>
      </c>
      <c r="E54" s="301" t="str">
        <f>IF(B54="","",IF(ISNA(VLOOKUP($B54,'B-1 On-Site Hedge Baseline'!$B$1:$L$257,5,FALSE)),"",(VLOOKUP($B54,'B-1 On-Site Hedge Baseline'!$B$1:$L$257,5,FALSE))))</f>
        <v/>
      </c>
      <c r="F54" s="301" t="str">
        <f>IF(B54="","",IF(ISNA(VLOOKUP($B54,'B-1 On-Site Hedge Baseline'!$B$1:$L$257,6,FALSE)),"",(VLOOKUP($B54,'B-1 On-Site Hedge Baseline'!$B$1:$L$257,6,FALSE))))</f>
        <v/>
      </c>
      <c r="G54" s="301" t="str">
        <f>IF(B54="","",IF(ISNA(VLOOKUP($B54,'B-1 On-Site Hedge Baseline'!$B$1:$L$257,7,FALSE)),"",(VLOOKUP($B54,'B-1 On-Site Hedge Baseline'!$B$1:$L$257,7,FALSE))))</f>
        <v/>
      </c>
      <c r="H54" s="301" t="str">
        <f>IF(B54="","",IF(ISNA(VLOOKUP($B54,'B-1 On-Site Hedge Baseline'!$B$1:$L$257,8,FALSE)),"",(VLOOKUP($B54,'B-1 On-Site Hedge Baseline'!$B$1:$L$257,8,FALSE))))</f>
        <v/>
      </c>
      <c r="I54" s="301" t="str">
        <f>IF(B54="","",IF(ISNA(VLOOKUP($B54,'B-1 On-Site Hedge Baseline'!$B$1:$L$257,10,FALSE)),"",(VLOOKUP($B54,'B-1 On-Site Hedge Baseline'!$B$1:$L$257,10,FALSE))))</f>
        <v/>
      </c>
      <c r="J54" s="301" t="str">
        <f>IF(B54="","",IF(ISNA(VLOOKUP($B54,'B-1 On-Site Hedge Baseline'!$B$1:$L$257,11,FALSE)),"",(VLOOKUP($B54,'B-1 On-Site Hedge Baseline'!$B$1:$L$257,11,FALSE))))</f>
        <v/>
      </c>
      <c r="K54" s="301" t="str">
        <f>IF(B54="","",IF(ISNA(VLOOKUP($B54,'B-1 On-Site Hedge Baseline'!$B$1:$U$257,13,FALSE)),"",(VLOOKUP($B54,'B-1 On-Site Hedge Baseline'!$B$1:$U$257,13,FALSE))))</f>
        <v/>
      </c>
      <c r="L54" s="305" t="str">
        <f>IF(B54="","",IF(ISNA(VLOOKUP($B54,'B-1 On-Site Hedge Baseline'!$B$1:$U$257,12,FALSE)),"",(VLOOKUP($B54,'B-1 On-Site Hedge Baseline'!$B$1:$U$257,12,FALSE))))</f>
        <v/>
      </c>
      <c r="M54" s="627"/>
      <c r="N54" s="281" t="str">
        <f>IFERROR(IF(B54="","",INDEX('G-6 Hedgerow Data'!$AN$3:$AZ$15,MATCH(C54,'G-6 Hedgerow Data'!$AM$3:$AM$15,0),MATCH(M54,'G-6 Hedgerow Data'!$AN$2:$AZ$2,0))),"")</f>
        <v/>
      </c>
      <c r="O54" s="282" t="str">
        <f t="shared" si="1"/>
        <v/>
      </c>
      <c r="P54" s="335" t="str">
        <f>IF(B54="","",VLOOKUP(B54,'B-1 On-Site Hedge Baseline'!$B$10:T299,16,FALSE))</f>
        <v/>
      </c>
      <c r="Q54" s="281" t="str">
        <f>IF(M54="","",VLOOKUP(M54,'G-6 Hedgerow Data'!$B$2:$AG$15,2,FALSE))</f>
        <v/>
      </c>
      <c r="R54" s="282" t="str">
        <f>IF(M54="","",VLOOKUP(M54,'G-6 Hedgerow Data'!$B$2:$AG$15,3,FALSE))</f>
        <v/>
      </c>
      <c r="S54" s="112"/>
      <c r="T54" s="320" t="str">
        <f>IFERROR(IF(S54="","",IF(AND(M54="Non-native and ornamental hedgerow", S54&lt;&gt;"Poor"),"Not possible ▲", (VLOOKUP(S54,'G-1 All Habitats'!$Z$2:$AA$9,2,FALSE)))),"")</f>
        <v/>
      </c>
      <c r="U54" s="109"/>
      <c r="V54" s="301" t="str">
        <f>IF(U54="","",IF(VLOOKUP(U54,'G-3 Multipliers'!$L$3:$N$6,2,FALSE)=0,"Spatial Data Missing ⚠",VLOOKUP(U54,'G-3 Multipliers'!$L$3:$N$6,2,FALSE)))</f>
        <v/>
      </c>
      <c r="W54" s="305" t="str">
        <f>IF(U54="","",IF(VLOOKUP(U54,'G-3 Multipliers'!$L$3:$N$6,3,FALSE)=0,"Spatial Data Missing ⚠",VLOOKUP(U54,'G-3 Multipliers'!$L$3:$N$6,3,FALSE)))</f>
        <v/>
      </c>
      <c r="X54" s="281" t="str">
        <f>IFERROR(IF(OR(LEFT(O54,5)="Error",LEFT(N54,5)="Error",T54="Error"),"Check Data ⚠",IF(F54&lt;R54,INDEX('G-6 Hedgerow Data'!$S$3:$AE$14,MATCH(C54,'G-6 Hedgerow Data'!$B$3:$B$14,0),MATCH(M54,'G-6 Hedgerow Data'!$S$2:$AE$2,0)),INDEX('G-6 Hedgerow Data'!$K$3:$Q$14,MATCH(M54,'G-6 Hedgerow Data'!$B$3:$B$14,0),MATCH(O54,'G-6 Hedgerow Data'!$K$2:$Q$2,0)))),"")</f>
        <v/>
      </c>
      <c r="Y54" s="137"/>
      <c r="Z54" s="137"/>
      <c r="AA54" s="289" t="str">
        <f t="shared" si="2"/>
        <v/>
      </c>
      <c r="AB54" s="302" t="str">
        <f t="shared" si="3"/>
        <v/>
      </c>
      <c r="AC54" s="303" t="str">
        <f t="shared" si="0"/>
        <v/>
      </c>
      <c r="AD54" s="317" t="str">
        <f>IF(M54="","",VLOOKUP(M54,'G-6 Hedgerow Data'!$B$3:$AG$15,31,FALSE))</f>
        <v/>
      </c>
      <c r="AE54" s="289" t="str">
        <f t="shared" si="4"/>
        <v/>
      </c>
      <c r="AF54" s="289" t="str">
        <f t="shared" si="5"/>
        <v/>
      </c>
      <c r="AG54" s="305" t="str">
        <f>IFERROR(IF(O54="","",VLOOKUP(AD54,'G-3 Multipliers'!$P$3:$Q$6,2,FALSE)),"")</f>
        <v/>
      </c>
      <c r="AH54" s="295" t="str">
        <f t="shared" si="6"/>
        <v/>
      </c>
      <c r="AI54" s="112"/>
      <c r="AJ54" s="119"/>
      <c r="AK54" s="108"/>
      <c r="AT54" s="30" t="str">
        <f>IFERROR(INDEX('G-6 Hedgerow Data'!$BJ$3:$BJ$15,MATCH(M54,'G-6 Hedgerow Data'!$B$3:$B$15,0)),"")</f>
        <v/>
      </c>
    </row>
    <row r="55" spans="2:46" ht="13.8" x14ac:dyDescent="0.25">
      <c r="B55" s="311" t="str">
        <f>'B-1 On-Site Hedge Baseline'!AK53</f>
        <v/>
      </c>
      <c r="C55" s="301" t="str">
        <f>IF(B55="","",IF(ISNA(VLOOKUP($B55,'B-1 On-Site Hedge Baseline'!$B$1:$L$257,3,FALSE)),"",(VLOOKUP($B55,'B-1 On-Site Hedge Baseline'!$B$1:$L$257,3,FALSE))))</f>
        <v/>
      </c>
      <c r="D55" s="301" t="str">
        <f>IF(B55="","",IF(ISNA(VLOOKUP($B55,'B-1 On-Site Hedge Baseline'!$B$1:$L$257,4,FALSE)),"",(VLOOKUP($B55,'B-1 On-Site Hedge Baseline'!$B$1:$L$257,4,FALSE))))</f>
        <v/>
      </c>
      <c r="E55" s="301" t="str">
        <f>IF(B55="","",IF(ISNA(VLOOKUP($B55,'B-1 On-Site Hedge Baseline'!$B$1:$L$257,5,FALSE)),"",(VLOOKUP($B55,'B-1 On-Site Hedge Baseline'!$B$1:$L$257,5,FALSE))))</f>
        <v/>
      </c>
      <c r="F55" s="301" t="str">
        <f>IF(B55="","",IF(ISNA(VLOOKUP($B55,'B-1 On-Site Hedge Baseline'!$B$1:$L$257,6,FALSE)),"",(VLOOKUP($B55,'B-1 On-Site Hedge Baseline'!$B$1:$L$257,6,FALSE))))</f>
        <v/>
      </c>
      <c r="G55" s="301" t="str">
        <f>IF(B55="","",IF(ISNA(VLOOKUP($B55,'B-1 On-Site Hedge Baseline'!$B$1:$L$257,7,FALSE)),"",(VLOOKUP($B55,'B-1 On-Site Hedge Baseline'!$B$1:$L$257,7,FALSE))))</f>
        <v/>
      </c>
      <c r="H55" s="301" t="str">
        <f>IF(B55="","",IF(ISNA(VLOOKUP($B55,'B-1 On-Site Hedge Baseline'!$B$1:$L$257,8,FALSE)),"",(VLOOKUP($B55,'B-1 On-Site Hedge Baseline'!$B$1:$L$257,8,FALSE))))</f>
        <v/>
      </c>
      <c r="I55" s="301" t="str">
        <f>IF(B55="","",IF(ISNA(VLOOKUP($B55,'B-1 On-Site Hedge Baseline'!$B$1:$L$257,10,FALSE)),"",(VLOOKUP($B55,'B-1 On-Site Hedge Baseline'!$B$1:$L$257,10,FALSE))))</f>
        <v/>
      </c>
      <c r="J55" s="301" t="str">
        <f>IF(B55="","",IF(ISNA(VLOOKUP($B55,'B-1 On-Site Hedge Baseline'!$B$1:$L$257,11,FALSE)),"",(VLOOKUP($B55,'B-1 On-Site Hedge Baseline'!$B$1:$L$257,11,FALSE))))</f>
        <v/>
      </c>
      <c r="K55" s="301" t="str">
        <f>IF(B55="","",IF(ISNA(VLOOKUP($B55,'B-1 On-Site Hedge Baseline'!$B$1:$U$257,13,FALSE)),"",(VLOOKUP($B55,'B-1 On-Site Hedge Baseline'!$B$1:$U$257,13,FALSE))))</f>
        <v/>
      </c>
      <c r="L55" s="305" t="str">
        <f>IF(B55="","",IF(ISNA(VLOOKUP($B55,'B-1 On-Site Hedge Baseline'!$B$1:$U$257,12,FALSE)),"",(VLOOKUP($B55,'B-1 On-Site Hedge Baseline'!$B$1:$U$257,12,FALSE))))</f>
        <v/>
      </c>
      <c r="M55" s="627"/>
      <c r="N55" s="281" t="str">
        <f>IFERROR(IF(B55="","",INDEX('G-6 Hedgerow Data'!$AN$3:$AZ$15,MATCH(C55,'G-6 Hedgerow Data'!$AM$3:$AM$15,0),MATCH(M55,'G-6 Hedgerow Data'!$AN$2:$AZ$2,0))),"")</f>
        <v/>
      </c>
      <c r="O55" s="282" t="str">
        <f t="shared" si="1"/>
        <v/>
      </c>
      <c r="P55" s="335" t="str">
        <f>IF(B55="","",VLOOKUP(B55,'B-1 On-Site Hedge Baseline'!$B$10:T300,16,FALSE))</f>
        <v/>
      </c>
      <c r="Q55" s="281" t="str">
        <f>IF(M55="","",VLOOKUP(M55,'G-6 Hedgerow Data'!$B$2:$AG$15,2,FALSE))</f>
        <v/>
      </c>
      <c r="R55" s="282" t="str">
        <f>IF(M55="","",VLOOKUP(M55,'G-6 Hedgerow Data'!$B$2:$AG$15,3,FALSE))</f>
        <v/>
      </c>
      <c r="S55" s="112"/>
      <c r="T55" s="320" t="str">
        <f>IFERROR(IF(S55="","",IF(AND(M55="Non-native and ornamental hedgerow", S55&lt;&gt;"Poor"),"Not possible ▲", (VLOOKUP(S55,'G-1 All Habitats'!$Z$2:$AA$9,2,FALSE)))),"")</f>
        <v/>
      </c>
      <c r="U55" s="109"/>
      <c r="V55" s="301" t="str">
        <f>IF(U55="","",IF(VLOOKUP(U55,'G-3 Multipliers'!$L$3:$N$6,2,FALSE)=0,"Spatial Data Missing ⚠",VLOOKUP(U55,'G-3 Multipliers'!$L$3:$N$6,2,FALSE)))</f>
        <v/>
      </c>
      <c r="W55" s="305" t="str">
        <f>IF(U55="","",IF(VLOOKUP(U55,'G-3 Multipliers'!$L$3:$N$6,3,FALSE)=0,"Spatial Data Missing ⚠",VLOOKUP(U55,'G-3 Multipliers'!$L$3:$N$6,3,FALSE)))</f>
        <v/>
      </c>
      <c r="X55" s="281" t="str">
        <f>IFERROR(IF(OR(LEFT(O55,5)="Error",LEFT(N55,5)="Error",T55="Error"),"Check Data ⚠",IF(F55&lt;R55,INDEX('G-6 Hedgerow Data'!$S$3:$AE$14,MATCH(C55,'G-6 Hedgerow Data'!$B$3:$B$14,0),MATCH(M55,'G-6 Hedgerow Data'!$S$2:$AE$2,0)),INDEX('G-6 Hedgerow Data'!$K$3:$Q$14,MATCH(M55,'G-6 Hedgerow Data'!$B$3:$B$14,0),MATCH(O55,'G-6 Hedgerow Data'!$K$2:$Q$2,0)))),"")</f>
        <v/>
      </c>
      <c r="Y55" s="137"/>
      <c r="Z55" s="137"/>
      <c r="AA55" s="289" t="str">
        <f t="shared" si="2"/>
        <v/>
      </c>
      <c r="AB55" s="302" t="str">
        <f t="shared" si="3"/>
        <v/>
      </c>
      <c r="AC55" s="303" t="str">
        <f t="shared" si="0"/>
        <v/>
      </c>
      <c r="AD55" s="317" t="str">
        <f>IF(M55="","",VLOOKUP(M55,'G-6 Hedgerow Data'!$B$3:$AG$15,31,FALSE))</f>
        <v/>
      </c>
      <c r="AE55" s="289" t="str">
        <f t="shared" si="4"/>
        <v/>
      </c>
      <c r="AF55" s="289" t="str">
        <f t="shared" si="5"/>
        <v/>
      </c>
      <c r="AG55" s="305" t="str">
        <f>IFERROR(IF(O55="","",VLOOKUP(AD55,'G-3 Multipliers'!$P$3:$Q$6,2,FALSE)),"")</f>
        <v/>
      </c>
      <c r="AH55" s="295" t="str">
        <f t="shared" si="6"/>
        <v/>
      </c>
      <c r="AI55" s="112"/>
      <c r="AJ55" s="119"/>
      <c r="AK55" s="108"/>
      <c r="AT55" s="30" t="str">
        <f>IFERROR(INDEX('G-6 Hedgerow Data'!$BJ$3:$BJ$15,MATCH(M55,'G-6 Hedgerow Data'!$B$3:$B$15,0)),"")</f>
        <v/>
      </c>
    </row>
    <row r="56" spans="2:46" ht="13.8" x14ac:dyDescent="0.25">
      <c r="B56" s="311" t="str">
        <f>'B-1 On-Site Hedge Baseline'!AK54</f>
        <v/>
      </c>
      <c r="C56" s="301" t="str">
        <f>IF(B56="","",IF(ISNA(VLOOKUP($B56,'B-1 On-Site Hedge Baseline'!$B$1:$L$257,3,FALSE)),"",(VLOOKUP($B56,'B-1 On-Site Hedge Baseline'!$B$1:$L$257,3,FALSE))))</f>
        <v/>
      </c>
      <c r="D56" s="301" t="str">
        <f>IF(B56="","",IF(ISNA(VLOOKUP($B56,'B-1 On-Site Hedge Baseline'!$B$1:$L$257,4,FALSE)),"",(VLOOKUP($B56,'B-1 On-Site Hedge Baseline'!$B$1:$L$257,4,FALSE))))</f>
        <v/>
      </c>
      <c r="E56" s="301" t="str">
        <f>IF(B56="","",IF(ISNA(VLOOKUP($B56,'B-1 On-Site Hedge Baseline'!$B$1:$L$257,5,FALSE)),"",(VLOOKUP($B56,'B-1 On-Site Hedge Baseline'!$B$1:$L$257,5,FALSE))))</f>
        <v/>
      </c>
      <c r="F56" s="301" t="str">
        <f>IF(B56="","",IF(ISNA(VLOOKUP($B56,'B-1 On-Site Hedge Baseline'!$B$1:$L$257,6,FALSE)),"",(VLOOKUP($B56,'B-1 On-Site Hedge Baseline'!$B$1:$L$257,6,FALSE))))</f>
        <v/>
      </c>
      <c r="G56" s="301" t="str">
        <f>IF(B56="","",IF(ISNA(VLOOKUP($B56,'B-1 On-Site Hedge Baseline'!$B$1:$L$257,7,FALSE)),"",(VLOOKUP($B56,'B-1 On-Site Hedge Baseline'!$B$1:$L$257,7,FALSE))))</f>
        <v/>
      </c>
      <c r="H56" s="301" t="str">
        <f>IF(B56="","",IF(ISNA(VLOOKUP($B56,'B-1 On-Site Hedge Baseline'!$B$1:$L$257,8,FALSE)),"",(VLOOKUP($B56,'B-1 On-Site Hedge Baseline'!$B$1:$L$257,8,FALSE))))</f>
        <v/>
      </c>
      <c r="I56" s="301" t="str">
        <f>IF(B56="","",IF(ISNA(VLOOKUP($B56,'B-1 On-Site Hedge Baseline'!$B$1:$L$257,10,FALSE)),"",(VLOOKUP($B56,'B-1 On-Site Hedge Baseline'!$B$1:$L$257,10,FALSE))))</f>
        <v/>
      </c>
      <c r="J56" s="301" t="str">
        <f>IF(B56="","",IF(ISNA(VLOOKUP($B56,'B-1 On-Site Hedge Baseline'!$B$1:$L$257,11,FALSE)),"",(VLOOKUP($B56,'B-1 On-Site Hedge Baseline'!$B$1:$L$257,11,FALSE))))</f>
        <v/>
      </c>
      <c r="K56" s="301" t="str">
        <f>IF(B56="","",IF(ISNA(VLOOKUP($B56,'B-1 On-Site Hedge Baseline'!$B$1:$U$257,13,FALSE)),"",(VLOOKUP($B56,'B-1 On-Site Hedge Baseline'!$B$1:$U$257,13,FALSE))))</f>
        <v/>
      </c>
      <c r="L56" s="305" t="str">
        <f>IF(B56="","",IF(ISNA(VLOOKUP($B56,'B-1 On-Site Hedge Baseline'!$B$1:$U$257,12,FALSE)),"",(VLOOKUP($B56,'B-1 On-Site Hedge Baseline'!$B$1:$U$257,12,FALSE))))</f>
        <v/>
      </c>
      <c r="M56" s="627"/>
      <c r="N56" s="281" t="str">
        <f>IFERROR(IF(B56="","",INDEX('G-6 Hedgerow Data'!$AN$3:$AZ$15,MATCH(C56,'G-6 Hedgerow Data'!$AM$3:$AM$15,0),MATCH(M56,'G-6 Hedgerow Data'!$AN$2:$AZ$2,0))),"")</f>
        <v/>
      </c>
      <c r="O56" s="282" t="str">
        <f t="shared" si="1"/>
        <v/>
      </c>
      <c r="P56" s="335" t="str">
        <f>IF(B56="","",VLOOKUP(B56,'B-1 On-Site Hedge Baseline'!$B$10:T301,16,FALSE))</f>
        <v/>
      </c>
      <c r="Q56" s="281" t="str">
        <f>IF(M56="","",VLOOKUP(M56,'G-6 Hedgerow Data'!$B$2:$AG$15,2,FALSE))</f>
        <v/>
      </c>
      <c r="R56" s="282" t="str">
        <f>IF(M56="","",VLOOKUP(M56,'G-6 Hedgerow Data'!$B$2:$AG$15,3,FALSE))</f>
        <v/>
      </c>
      <c r="S56" s="112"/>
      <c r="T56" s="320" t="str">
        <f>IFERROR(IF(S56="","",IF(AND(M56="Non-native and ornamental hedgerow", S56&lt;&gt;"Poor"),"Not possible ▲", (VLOOKUP(S56,'G-1 All Habitats'!$Z$2:$AA$9,2,FALSE)))),"")</f>
        <v/>
      </c>
      <c r="U56" s="109"/>
      <c r="V56" s="301" t="str">
        <f>IF(U56="","",IF(VLOOKUP(U56,'G-3 Multipliers'!$L$3:$N$6,2,FALSE)=0,"Spatial Data Missing ⚠",VLOOKUP(U56,'G-3 Multipliers'!$L$3:$N$6,2,FALSE)))</f>
        <v/>
      </c>
      <c r="W56" s="305" t="str">
        <f>IF(U56="","",IF(VLOOKUP(U56,'G-3 Multipliers'!$L$3:$N$6,3,FALSE)=0,"Spatial Data Missing ⚠",VLOOKUP(U56,'G-3 Multipliers'!$L$3:$N$6,3,FALSE)))</f>
        <v/>
      </c>
      <c r="X56" s="281" t="str">
        <f>IFERROR(IF(OR(LEFT(O56,5)="Error",LEFT(N56,5)="Error",T56="Error"),"Check Data ⚠",IF(F56&lt;R56,INDEX('G-6 Hedgerow Data'!$S$3:$AE$14,MATCH(C56,'G-6 Hedgerow Data'!$B$3:$B$14,0),MATCH(M56,'G-6 Hedgerow Data'!$S$2:$AE$2,0)),INDEX('G-6 Hedgerow Data'!$K$3:$Q$14,MATCH(M56,'G-6 Hedgerow Data'!$B$3:$B$14,0),MATCH(O56,'G-6 Hedgerow Data'!$K$2:$Q$2,0)))),"")</f>
        <v/>
      </c>
      <c r="Y56" s="137"/>
      <c r="Z56" s="137"/>
      <c r="AA56" s="289" t="str">
        <f t="shared" si="2"/>
        <v/>
      </c>
      <c r="AB56" s="302" t="str">
        <f t="shared" si="3"/>
        <v/>
      </c>
      <c r="AC56" s="303" t="str">
        <f t="shared" si="0"/>
        <v/>
      </c>
      <c r="AD56" s="317" t="str">
        <f>IF(M56="","",VLOOKUP(M56,'G-6 Hedgerow Data'!$B$3:$AG$15,31,FALSE))</f>
        <v/>
      </c>
      <c r="AE56" s="289" t="str">
        <f t="shared" si="4"/>
        <v/>
      </c>
      <c r="AF56" s="289" t="str">
        <f t="shared" si="5"/>
        <v/>
      </c>
      <c r="AG56" s="305" t="str">
        <f>IFERROR(IF(O56="","",VLOOKUP(AD56,'G-3 Multipliers'!$P$3:$Q$6,2,FALSE)),"")</f>
        <v/>
      </c>
      <c r="AH56" s="295" t="str">
        <f t="shared" si="6"/>
        <v/>
      </c>
      <c r="AI56" s="112"/>
      <c r="AJ56" s="119"/>
      <c r="AK56" s="108"/>
      <c r="AT56" s="30" t="str">
        <f>IFERROR(INDEX('G-6 Hedgerow Data'!$BJ$3:$BJ$15,MATCH(M56,'G-6 Hedgerow Data'!$B$3:$B$15,0)),"")</f>
        <v/>
      </c>
    </row>
    <row r="57" spans="2:46" ht="13.8" x14ac:dyDescent="0.25">
      <c r="B57" s="311" t="str">
        <f>'B-1 On-Site Hedge Baseline'!AK55</f>
        <v/>
      </c>
      <c r="C57" s="301" t="str">
        <f>IF(B57="","",IF(ISNA(VLOOKUP($B57,'B-1 On-Site Hedge Baseline'!$B$1:$L$257,3,FALSE)),"",(VLOOKUP($B57,'B-1 On-Site Hedge Baseline'!$B$1:$L$257,3,FALSE))))</f>
        <v/>
      </c>
      <c r="D57" s="301" t="str">
        <f>IF(B57="","",IF(ISNA(VLOOKUP($B57,'B-1 On-Site Hedge Baseline'!$B$1:$L$257,4,FALSE)),"",(VLOOKUP($B57,'B-1 On-Site Hedge Baseline'!$B$1:$L$257,4,FALSE))))</f>
        <v/>
      </c>
      <c r="E57" s="301" t="str">
        <f>IF(B57="","",IF(ISNA(VLOOKUP($B57,'B-1 On-Site Hedge Baseline'!$B$1:$L$257,5,FALSE)),"",(VLOOKUP($B57,'B-1 On-Site Hedge Baseline'!$B$1:$L$257,5,FALSE))))</f>
        <v/>
      </c>
      <c r="F57" s="301" t="str">
        <f>IF(B57="","",IF(ISNA(VLOOKUP($B57,'B-1 On-Site Hedge Baseline'!$B$1:$L$257,6,FALSE)),"",(VLOOKUP($B57,'B-1 On-Site Hedge Baseline'!$B$1:$L$257,6,FALSE))))</f>
        <v/>
      </c>
      <c r="G57" s="301" t="str">
        <f>IF(B57="","",IF(ISNA(VLOOKUP($B57,'B-1 On-Site Hedge Baseline'!$B$1:$L$257,7,FALSE)),"",(VLOOKUP($B57,'B-1 On-Site Hedge Baseline'!$B$1:$L$257,7,FALSE))))</f>
        <v/>
      </c>
      <c r="H57" s="301" t="str">
        <f>IF(B57="","",IF(ISNA(VLOOKUP($B57,'B-1 On-Site Hedge Baseline'!$B$1:$L$257,8,FALSE)),"",(VLOOKUP($B57,'B-1 On-Site Hedge Baseline'!$B$1:$L$257,8,FALSE))))</f>
        <v/>
      </c>
      <c r="I57" s="301" t="str">
        <f>IF(B57="","",IF(ISNA(VLOOKUP($B57,'B-1 On-Site Hedge Baseline'!$B$1:$L$257,10,FALSE)),"",(VLOOKUP($B57,'B-1 On-Site Hedge Baseline'!$B$1:$L$257,10,FALSE))))</f>
        <v/>
      </c>
      <c r="J57" s="301" t="str">
        <f>IF(B57="","",IF(ISNA(VLOOKUP($B57,'B-1 On-Site Hedge Baseline'!$B$1:$L$257,11,FALSE)),"",(VLOOKUP($B57,'B-1 On-Site Hedge Baseline'!$B$1:$L$257,11,FALSE))))</f>
        <v/>
      </c>
      <c r="K57" s="301" t="str">
        <f>IF(B57="","",IF(ISNA(VLOOKUP($B57,'B-1 On-Site Hedge Baseline'!$B$1:$U$257,13,FALSE)),"",(VLOOKUP($B57,'B-1 On-Site Hedge Baseline'!$B$1:$U$257,13,FALSE))))</f>
        <v/>
      </c>
      <c r="L57" s="305" t="str">
        <f>IF(B57="","",IF(ISNA(VLOOKUP($B57,'B-1 On-Site Hedge Baseline'!$B$1:$U$257,12,FALSE)),"",(VLOOKUP($B57,'B-1 On-Site Hedge Baseline'!$B$1:$U$257,12,FALSE))))</f>
        <v/>
      </c>
      <c r="M57" s="627"/>
      <c r="N57" s="281" t="str">
        <f>IFERROR(IF(B57="","",INDEX('G-6 Hedgerow Data'!$AN$3:$AZ$15,MATCH(C57,'G-6 Hedgerow Data'!$AM$3:$AM$15,0),MATCH(M57,'G-6 Hedgerow Data'!$AN$2:$AZ$2,0))),"")</f>
        <v/>
      </c>
      <c r="O57" s="282" t="str">
        <f t="shared" si="1"/>
        <v/>
      </c>
      <c r="P57" s="335" t="str">
        <f>IF(B57="","",VLOOKUP(B57,'B-1 On-Site Hedge Baseline'!$B$10:T302,16,FALSE))</f>
        <v/>
      </c>
      <c r="Q57" s="281" t="str">
        <f>IF(M57="","",VLOOKUP(M57,'G-6 Hedgerow Data'!$B$2:$AG$15,2,FALSE))</f>
        <v/>
      </c>
      <c r="R57" s="282" t="str">
        <f>IF(M57="","",VLOOKUP(M57,'G-6 Hedgerow Data'!$B$2:$AG$15,3,FALSE))</f>
        <v/>
      </c>
      <c r="S57" s="112"/>
      <c r="T57" s="320" t="str">
        <f>IFERROR(IF(S57="","",IF(AND(M57="Non-native and ornamental hedgerow", S57&lt;&gt;"Poor"),"Not possible ▲", (VLOOKUP(S57,'G-1 All Habitats'!$Z$2:$AA$9,2,FALSE)))),"")</f>
        <v/>
      </c>
      <c r="U57" s="109"/>
      <c r="V57" s="301" t="str">
        <f>IF(U57="","",IF(VLOOKUP(U57,'G-3 Multipliers'!$L$3:$N$6,2,FALSE)=0,"Spatial Data Missing ⚠",VLOOKUP(U57,'G-3 Multipliers'!$L$3:$N$6,2,FALSE)))</f>
        <v/>
      </c>
      <c r="W57" s="305" t="str">
        <f>IF(U57="","",IF(VLOOKUP(U57,'G-3 Multipliers'!$L$3:$N$6,3,FALSE)=0,"Spatial Data Missing ⚠",VLOOKUP(U57,'G-3 Multipliers'!$L$3:$N$6,3,FALSE)))</f>
        <v/>
      </c>
      <c r="X57" s="281" t="str">
        <f>IFERROR(IF(OR(LEFT(O57,5)="Error",LEFT(N57,5)="Error",T57="Error"),"Check Data ⚠",IF(F57&lt;R57,INDEX('G-6 Hedgerow Data'!$S$3:$AE$14,MATCH(C57,'G-6 Hedgerow Data'!$B$3:$B$14,0),MATCH(M57,'G-6 Hedgerow Data'!$S$2:$AE$2,0)),INDEX('G-6 Hedgerow Data'!$K$3:$Q$14,MATCH(M57,'G-6 Hedgerow Data'!$B$3:$B$14,0),MATCH(O57,'G-6 Hedgerow Data'!$K$2:$Q$2,0)))),"")</f>
        <v/>
      </c>
      <c r="Y57" s="137"/>
      <c r="Z57" s="137"/>
      <c r="AA57" s="289" t="str">
        <f t="shared" si="2"/>
        <v/>
      </c>
      <c r="AB57" s="302" t="str">
        <f t="shared" si="3"/>
        <v/>
      </c>
      <c r="AC57" s="303" t="str">
        <f t="shared" si="0"/>
        <v/>
      </c>
      <c r="AD57" s="317" t="str">
        <f>IF(M57="","",VLOOKUP(M57,'G-6 Hedgerow Data'!$B$3:$AG$15,31,FALSE))</f>
        <v/>
      </c>
      <c r="AE57" s="289" t="str">
        <f t="shared" si="4"/>
        <v/>
      </c>
      <c r="AF57" s="289" t="str">
        <f t="shared" si="5"/>
        <v/>
      </c>
      <c r="AG57" s="305" t="str">
        <f>IFERROR(IF(O57="","",VLOOKUP(AD57,'G-3 Multipliers'!$P$3:$Q$6,2,FALSE)),"")</f>
        <v/>
      </c>
      <c r="AH57" s="295" t="str">
        <f t="shared" si="6"/>
        <v/>
      </c>
      <c r="AI57" s="112"/>
      <c r="AJ57" s="119"/>
      <c r="AK57" s="108"/>
      <c r="AT57" s="30" t="str">
        <f>IFERROR(INDEX('G-6 Hedgerow Data'!$BJ$3:$BJ$15,MATCH(M57,'G-6 Hedgerow Data'!$B$3:$B$15,0)),"")</f>
        <v/>
      </c>
    </row>
    <row r="58" spans="2:46" ht="13.8" x14ac:dyDescent="0.25">
      <c r="B58" s="311" t="str">
        <f>'B-1 On-Site Hedge Baseline'!AK56</f>
        <v/>
      </c>
      <c r="C58" s="301" t="str">
        <f>IF(B58="","",IF(ISNA(VLOOKUP($B58,'B-1 On-Site Hedge Baseline'!$B$1:$L$257,3,FALSE)),"",(VLOOKUP($B58,'B-1 On-Site Hedge Baseline'!$B$1:$L$257,3,FALSE))))</f>
        <v/>
      </c>
      <c r="D58" s="301" t="str">
        <f>IF(B58="","",IF(ISNA(VLOOKUP($B58,'B-1 On-Site Hedge Baseline'!$B$1:$L$257,4,FALSE)),"",(VLOOKUP($B58,'B-1 On-Site Hedge Baseline'!$B$1:$L$257,4,FALSE))))</f>
        <v/>
      </c>
      <c r="E58" s="301" t="str">
        <f>IF(B58="","",IF(ISNA(VLOOKUP($B58,'B-1 On-Site Hedge Baseline'!$B$1:$L$257,5,FALSE)),"",(VLOOKUP($B58,'B-1 On-Site Hedge Baseline'!$B$1:$L$257,5,FALSE))))</f>
        <v/>
      </c>
      <c r="F58" s="301" t="str">
        <f>IF(B58="","",IF(ISNA(VLOOKUP($B58,'B-1 On-Site Hedge Baseline'!$B$1:$L$257,6,FALSE)),"",(VLOOKUP($B58,'B-1 On-Site Hedge Baseline'!$B$1:$L$257,6,FALSE))))</f>
        <v/>
      </c>
      <c r="G58" s="301" t="str">
        <f>IF(B58="","",IF(ISNA(VLOOKUP($B58,'B-1 On-Site Hedge Baseline'!$B$1:$L$257,7,FALSE)),"",(VLOOKUP($B58,'B-1 On-Site Hedge Baseline'!$B$1:$L$257,7,FALSE))))</f>
        <v/>
      </c>
      <c r="H58" s="301" t="str">
        <f>IF(B58="","",IF(ISNA(VLOOKUP($B58,'B-1 On-Site Hedge Baseline'!$B$1:$L$257,8,FALSE)),"",(VLOOKUP($B58,'B-1 On-Site Hedge Baseline'!$B$1:$L$257,8,FALSE))))</f>
        <v/>
      </c>
      <c r="I58" s="301" t="str">
        <f>IF(B58="","",IF(ISNA(VLOOKUP($B58,'B-1 On-Site Hedge Baseline'!$B$1:$L$257,10,FALSE)),"",(VLOOKUP($B58,'B-1 On-Site Hedge Baseline'!$B$1:$L$257,10,FALSE))))</f>
        <v/>
      </c>
      <c r="J58" s="301" t="str">
        <f>IF(B58="","",IF(ISNA(VLOOKUP($B58,'B-1 On-Site Hedge Baseline'!$B$1:$L$257,11,FALSE)),"",(VLOOKUP($B58,'B-1 On-Site Hedge Baseline'!$B$1:$L$257,11,FALSE))))</f>
        <v/>
      </c>
      <c r="K58" s="301" t="str">
        <f>IF(B58="","",IF(ISNA(VLOOKUP($B58,'B-1 On-Site Hedge Baseline'!$B$1:$U$257,13,FALSE)),"",(VLOOKUP($B58,'B-1 On-Site Hedge Baseline'!$B$1:$U$257,13,FALSE))))</f>
        <v/>
      </c>
      <c r="L58" s="305" t="str">
        <f>IF(B58="","",IF(ISNA(VLOOKUP($B58,'B-1 On-Site Hedge Baseline'!$B$1:$U$257,12,FALSE)),"",(VLOOKUP($B58,'B-1 On-Site Hedge Baseline'!$B$1:$U$257,12,FALSE))))</f>
        <v/>
      </c>
      <c r="M58" s="627"/>
      <c r="N58" s="281" t="str">
        <f>IFERROR(IF(B58="","",INDEX('G-6 Hedgerow Data'!$AN$3:$AZ$15,MATCH(C58,'G-6 Hedgerow Data'!$AM$3:$AM$15,0),MATCH(M58,'G-6 Hedgerow Data'!$AN$2:$AZ$2,0))),"")</f>
        <v/>
      </c>
      <c r="O58" s="282" t="str">
        <f t="shared" si="1"/>
        <v/>
      </c>
      <c r="P58" s="335" t="str">
        <f>IF(B58="","",VLOOKUP(B58,'B-1 On-Site Hedge Baseline'!$B$10:T303,16,FALSE))</f>
        <v/>
      </c>
      <c r="Q58" s="281" t="str">
        <f>IF(M58="","",VLOOKUP(M58,'G-6 Hedgerow Data'!$B$2:$AG$15,2,FALSE))</f>
        <v/>
      </c>
      <c r="R58" s="282" t="str">
        <f>IF(M58="","",VLOOKUP(M58,'G-6 Hedgerow Data'!$B$2:$AG$15,3,FALSE))</f>
        <v/>
      </c>
      <c r="S58" s="112"/>
      <c r="T58" s="320" t="str">
        <f>IFERROR(IF(S58="","",IF(AND(M58="Non-native and ornamental hedgerow", S58&lt;&gt;"Poor"),"Not possible ▲", (VLOOKUP(S58,'G-1 All Habitats'!$Z$2:$AA$9,2,FALSE)))),"")</f>
        <v/>
      </c>
      <c r="U58" s="109"/>
      <c r="V58" s="301" t="str">
        <f>IF(U58="","",IF(VLOOKUP(U58,'G-3 Multipliers'!$L$3:$N$6,2,FALSE)=0,"Spatial Data Missing ⚠",VLOOKUP(U58,'G-3 Multipliers'!$L$3:$N$6,2,FALSE)))</f>
        <v/>
      </c>
      <c r="W58" s="305" t="str">
        <f>IF(U58="","",IF(VLOOKUP(U58,'G-3 Multipliers'!$L$3:$N$6,3,FALSE)=0,"Spatial Data Missing ⚠",VLOOKUP(U58,'G-3 Multipliers'!$L$3:$N$6,3,FALSE)))</f>
        <v/>
      </c>
      <c r="X58" s="281" t="str">
        <f>IFERROR(IF(OR(LEFT(O58,5)="Error",LEFT(N58,5)="Error",T58="Error"),"Check Data ⚠",IF(F58&lt;R58,INDEX('G-6 Hedgerow Data'!$S$3:$AE$14,MATCH(C58,'G-6 Hedgerow Data'!$B$3:$B$14,0),MATCH(M58,'G-6 Hedgerow Data'!$S$2:$AE$2,0)),INDEX('G-6 Hedgerow Data'!$K$3:$Q$14,MATCH(M58,'G-6 Hedgerow Data'!$B$3:$B$14,0),MATCH(O58,'G-6 Hedgerow Data'!$K$2:$Q$2,0)))),"")</f>
        <v/>
      </c>
      <c r="Y58" s="137"/>
      <c r="Z58" s="137"/>
      <c r="AA58" s="289" t="str">
        <f t="shared" si="2"/>
        <v/>
      </c>
      <c r="AB58" s="302" t="str">
        <f t="shared" si="3"/>
        <v/>
      </c>
      <c r="AC58" s="303" t="str">
        <f t="shared" si="0"/>
        <v/>
      </c>
      <c r="AD58" s="317" t="str">
        <f>IF(M58="","",VLOOKUP(M58,'G-6 Hedgerow Data'!$B$3:$AG$15,31,FALSE))</f>
        <v/>
      </c>
      <c r="AE58" s="289" t="str">
        <f t="shared" si="4"/>
        <v/>
      </c>
      <c r="AF58" s="289" t="str">
        <f t="shared" si="5"/>
        <v/>
      </c>
      <c r="AG58" s="305" t="str">
        <f>IFERROR(IF(O58="","",VLOOKUP(AD58,'G-3 Multipliers'!$P$3:$Q$6,2,FALSE)),"")</f>
        <v/>
      </c>
      <c r="AH58" s="295" t="str">
        <f t="shared" si="6"/>
        <v/>
      </c>
      <c r="AI58" s="112"/>
      <c r="AJ58" s="119"/>
      <c r="AK58" s="108"/>
      <c r="AT58" s="30" t="str">
        <f>IFERROR(INDEX('G-6 Hedgerow Data'!$BJ$3:$BJ$15,MATCH(M58,'G-6 Hedgerow Data'!$B$3:$B$15,0)),"")</f>
        <v/>
      </c>
    </row>
    <row r="59" spans="2:46" ht="13.8" x14ac:dyDescent="0.25">
      <c r="B59" s="311" t="str">
        <f>'B-1 On-Site Hedge Baseline'!AK57</f>
        <v/>
      </c>
      <c r="C59" s="301" t="str">
        <f>IF(B59="","",IF(ISNA(VLOOKUP($B59,'B-1 On-Site Hedge Baseline'!$B$1:$L$257,3,FALSE)),"",(VLOOKUP($B59,'B-1 On-Site Hedge Baseline'!$B$1:$L$257,3,FALSE))))</f>
        <v/>
      </c>
      <c r="D59" s="301" t="str">
        <f>IF(B59="","",IF(ISNA(VLOOKUP($B59,'B-1 On-Site Hedge Baseline'!$B$1:$L$257,4,FALSE)),"",(VLOOKUP($B59,'B-1 On-Site Hedge Baseline'!$B$1:$L$257,4,FALSE))))</f>
        <v/>
      </c>
      <c r="E59" s="301" t="str">
        <f>IF(B59="","",IF(ISNA(VLOOKUP($B59,'B-1 On-Site Hedge Baseline'!$B$1:$L$257,5,FALSE)),"",(VLOOKUP($B59,'B-1 On-Site Hedge Baseline'!$B$1:$L$257,5,FALSE))))</f>
        <v/>
      </c>
      <c r="F59" s="301" t="str">
        <f>IF(B59="","",IF(ISNA(VLOOKUP($B59,'B-1 On-Site Hedge Baseline'!$B$1:$L$257,6,FALSE)),"",(VLOOKUP($B59,'B-1 On-Site Hedge Baseline'!$B$1:$L$257,6,FALSE))))</f>
        <v/>
      </c>
      <c r="G59" s="301" t="str">
        <f>IF(B59="","",IF(ISNA(VLOOKUP($B59,'B-1 On-Site Hedge Baseline'!$B$1:$L$257,7,FALSE)),"",(VLOOKUP($B59,'B-1 On-Site Hedge Baseline'!$B$1:$L$257,7,FALSE))))</f>
        <v/>
      </c>
      <c r="H59" s="301" t="str">
        <f>IF(B59="","",IF(ISNA(VLOOKUP($B59,'B-1 On-Site Hedge Baseline'!$B$1:$L$257,8,FALSE)),"",(VLOOKUP($B59,'B-1 On-Site Hedge Baseline'!$B$1:$L$257,8,FALSE))))</f>
        <v/>
      </c>
      <c r="I59" s="301" t="str">
        <f>IF(B59="","",IF(ISNA(VLOOKUP($B59,'B-1 On-Site Hedge Baseline'!$B$1:$L$257,10,FALSE)),"",(VLOOKUP($B59,'B-1 On-Site Hedge Baseline'!$B$1:$L$257,10,FALSE))))</f>
        <v/>
      </c>
      <c r="J59" s="301" t="str">
        <f>IF(B59="","",IF(ISNA(VLOOKUP($B59,'B-1 On-Site Hedge Baseline'!$B$1:$L$257,11,FALSE)),"",(VLOOKUP($B59,'B-1 On-Site Hedge Baseline'!$B$1:$L$257,11,FALSE))))</f>
        <v/>
      </c>
      <c r="K59" s="301" t="str">
        <f>IF(B59="","",IF(ISNA(VLOOKUP($B59,'B-1 On-Site Hedge Baseline'!$B$1:$U$257,13,FALSE)),"",(VLOOKUP($B59,'B-1 On-Site Hedge Baseline'!$B$1:$U$257,13,FALSE))))</f>
        <v/>
      </c>
      <c r="L59" s="305" t="str">
        <f>IF(B59="","",IF(ISNA(VLOOKUP($B59,'B-1 On-Site Hedge Baseline'!$B$1:$U$257,12,FALSE)),"",(VLOOKUP($B59,'B-1 On-Site Hedge Baseline'!$B$1:$U$257,12,FALSE))))</f>
        <v/>
      </c>
      <c r="M59" s="627"/>
      <c r="N59" s="281" t="str">
        <f>IFERROR(IF(B59="","",INDEX('G-6 Hedgerow Data'!$AN$3:$AZ$15,MATCH(C59,'G-6 Hedgerow Data'!$AM$3:$AM$15,0),MATCH(M59,'G-6 Hedgerow Data'!$AN$2:$AZ$2,0))),"")</f>
        <v/>
      </c>
      <c r="O59" s="282" t="str">
        <f t="shared" si="1"/>
        <v/>
      </c>
      <c r="P59" s="335" t="str">
        <f>IF(B59="","",VLOOKUP(B59,'B-1 On-Site Hedge Baseline'!$B$10:T304,16,FALSE))</f>
        <v/>
      </c>
      <c r="Q59" s="281" t="str">
        <f>IF(M59="","",VLOOKUP(M59,'G-6 Hedgerow Data'!$B$2:$AG$15,2,FALSE))</f>
        <v/>
      </c>
      <c r="R59" s="282" t="str">
        <f>IF(M59="","",VLOOKUP(M59,'G-6 Hedgerow Data'!$B$2:$AG$15,3,FALSE))</f>
        <v/>
      </c>
      <c r="S59" s="112"/>
      <c r="T59" s="320" t="str">
        <f>IFERROR(IF(S59="","",IF(AND(M59="Non-native and ornamental hedgerow", S59&lt;&gt;"Poor"),"Not possible ▲", (VLOOKUP(S59,'G-1 All Habitats'!$Z$2:$AA$9,2,FALSE)))),"")</f>
        <v/>
      </c>
      <c r="U59" s="109"/>
      <c r="V59" s="301" t="str">
        <f>IF(U59="","",IF(VLOOKUP(U59,'G-3 Multipliers'!$L$3:$N$6,2,FALSE)=0,"Spatial Data Missing ⚠",VLOOKUP(U59,'G-3 Multipliers'!$L$3:$N$6,2,FALSE)))</f>
        <v/>
      </c>
      <c r="W59" s="305" t="str">
        <f>IF(U59="","",IF(VLOOKUP(U59,'G-3 Multipliers'!$L$3:$N$6,3,FALSE)=0,"Spatial Data Missing ⚠",VLOOKUP(U59,'G-3 Multipliers'!$L$3:$N$6,3,FALSE)))</f>
        <v/>
      </c>
      <c r="X59" s="281" t="str">
        <f>IFERROR(IF(OR(LEFT(O59,5)="Error",LEFT(N59,5)="Error",T59="Error"),"Check Data ⚠",IF(F59&lt;R59,INDEX('G-6 Hedgerow Data'!$S$3:$AE$14,MATCH(C59,'G-6 Hedgerow Data'!$B$3:$B$14,0),MATCH(M59,'G-6 Hedgerow Data'!$S$2:$AE$2,0)),INDEX('G-6 Hedgerow Data'!$K$3:$Q$14,MATCH(M59,'G-6 Hedgerow Data'!$B$3:$B$14,0),MATCH(O59,'G-6 Hedgerow Data'!$K$2:$Q$2,0)))),"")</f>
        <v/>
      </c>
      <c r="Y59" s="137"/>
      <c r="Z59" s="137"/>
      <c r="AA59" s="289" t="str">
        <f t="shared" si="2"/>
        <v/>
      </c>
      <c r="AB59" s="302" t="str">
        <f t="shared" si="3"/>
        <v/>
      </c>
      <c r="AC59" s="303" t="str">
        <f t="shared" si="0"/>
        <v/>
      </c>
      <c r="AD59" s="317" t="str">
        <f>IF(M59="","",VLOOKUP(M59,'G-6 Hedgerow Data'!$B$3:$AG$15,31,FALSE))</f>
        <v/>
      </c>
      <c r="AE59" s="289" t="str">
        <f t="shared" si="4"/>
        <v/>
      </c>
      <c r="AF59" s="289" t="str">
        <f t="shared" si="5"/>
        <v/>
      </c>
      <c r="AG59" s="305" t="str">
        <f>IFERROR(IF(O59="","",VLOOKUP(AD59,'G-3 Multipliers'!$P$3:$Q$6,2,FALSE)),"")</f>
        <v/>
      </c>
      <c r="AH59" s="295" t="str">
        <f t="shared" si="6"/>
        <v/>
      </c>
      <c r="AI59" s="112"/>
      <c r="AJ59" s="119"/>
      <c r="AK59" s="108"/>
      <c r="AT59" s="30" t="str">
        <f>IFERROR(INDEX('G-6 Hedgerow Data'!$BJ$3:$BJ$15,MATCH(M59,'G-6 Hedgerow Data'!$B$3:$B$15,0)),"")</f>
        <v/>
      </c>
    </row>
    <row r="60" spans="2:46" ht="13.8" x14ac:dyDescent="0.25">
      <c r="B60" s="311" t="str">
        <f>'B-1 On-Site Hedge Baseline'!AK58</f>
        <v/>
      </c>
      <c r="C60" s="301" t="str">
        <f>IF(B60="","",IF(ISNA(VLOOKUP($B60,'B-1 On-Site Hedge Baseline'!$B$1:$L$257,3,FALSE)),"",(VLOOKUP($B60,'B-1 On-Site Hedge Baseline'!$B$1:$L$257,3,FALSE))))</f>
        <v/>
      </c>
      <c r="D60" s="301" t="str">
        <f>IF(B60="","",IF(ISNA(VLOOKUP($B60,'B-1 On-Site Hedge Baseline'!$B$1:$L$257,4,FALSE)),"",(VLOOKUP($B60,'B-1 On-Site Hedge Baseline'!$B$1:$L$257,4,FALSE))))</f>
        <v/>
      </c>
      <c r="E60" s="301" t="str">
        <f>IF(B60="","",IF(ISNA(VLOOKUP($B60,'B-1 On-Site Hedge Baseline'!$B$1:$L$257,5,FALSE)),"",(VLOOKUP($B60,'B-1 On-Site Hedge Baseline'!$B$1:$L$257,5,FALSE))))</f>
        <v/>
      </c>
      <c r="F60" s="301" t="str">
        <f>IF(B60="","",IF(ISNA(VLOOKUP($B60,'B-1 On-Site Hedge Baseline'!$B$1:$L$257,6,FALSE)),"",(VLOOKUP($B60,'B-1 On-Site Hedge Baseline'!$B$1:$L$257,6,FALSE))))</f>
        <v/>
      </c>
      <c r="G60" s="301" t="str">
        <f>IF(B60="","",IF(ISNA(VLOOKUP($B60,'B-1 On-Site Hedge Baseline'!$B$1:$L$257,7,FALSE)),"",(VLOOKUP($B60,'B-1 On-Site Hedge Baseline'!$B$1:$L$257,7,FALSE))))</f>
        <v/>
      </c>
      <c r="H60" s="301" t="str">
        <f>IF(B60="","",IF(ISNA(VLOOKUP($B60,'B-1 On-Site Hedge Baseline'!$B$1:$L$257,8,FALSE)),"",(VLOOKUP($B60,'B-1 On-Site Hedge Baseline'!$B$1:$L$257,8,FALSE))))</f>
        <v/>
      </c>
      <c r="I60" s="301" t="str">
        <f>IF(B60="","",IF(ISNA(VLOOKUP($B60,'B-1 On-Site Hedge Baseline'!$B$1:$L$257,10,FALSE)),"",(VLOOKUP($B60,'B-1 On-Site Hedge Baseline'!$B$1:$L$257,10,FALSE))))</f>
        <v/>
      </c>
      <c r="J60" s="301" t="str">
        <f>IF(B60="","",IF(ISNA(VLOOKUP($B60,'B-1 On-Site Hedge Baseline'!$B$1:$L$257,11,FALSE)),"",(VLOOKUP($B60,'B-1 On-Site Hedge Baseline'!$B$1:$L$257,11,FALSE))))</f>
        <v/>
      </c>
      <c r="K60" s="301" t="str">
        <f>IF(B60="","",IF(ISNA(VLOOKUP($B60,'B-1 On-Site Hedge Baseline'!$B$1:$U$257,13,FALSE)),"",(VLOOKUP($B60,'B-1 On-Site Hedge Baseline'!$B$1:$U$257,13,FALSE))))</f>
        <v/>
      </c>
      <c r="L60" s="305" t="str">
        <f>IF(B60="","",IF(ISNA(VLOOKUP($B60,'B-1 On-Site Hedge Baseline'!$B$1:$U$257,12,FALSE)),"",(VLOOKUP($B60,'B-1 On-Site Hedge Baseline'!$B$1:$U$257,12,FALSE))))</f>
        <v/>
      </c>
      <c r="M60" s="627"/>
      <c r="N60" s="281" t="str">
        <f>IFERROR(IF(B60="","",INDEX('G-6 Hedgerow Data'!$AN$3:$AZ$15,MATCH(C60,'G-6 Hedgerow Data'!$AM$3:$AM$15,0),MATCH(M60,'G-6 Hedgerow Data'!$AN$2:$AZ$2,0))),"")</f>
        <v/>
      </c>
      <c r="O60" s="282" t="str">
        <f t="shared" si="1"/>
        <v/>
      </c>
      <c r="P60" s="335" t="str">
        <f>IF(B60="","",VLOOKUP(B60,'B-1 On-Site Hedge Baseline'!$B$10:T305,16,FALSE))</f>
        <v/>
      </c>
      <c r="Q60" s="281" t="str">
        <f>IF(M60="","",VLOOKUP(M60,'G-6 Hedgerow Data'!$B$2:$AG$15,2,FALSE))</f>
        <v/>
      </c>
      <c r="R60" s="282" t="str">
        <f>IF(M60="","",VLOOKUP(M60,'G-6 Hedgerow Data'!$B$2:$AG$15,3,FALSE))</f>
        <v/>
      </c>
      <c r="S60" s="112"/>
      <c r="T60" s="320" t="str">
        <f>IFERROR(IF(S60="","",IF(AND(M60="Non-native and ornamental hedgerow", S60&lt;&gt;"Poor"),"Not possible ▲", (VLOOKUP(S60,'G-1 All Habitats'!$Z$2:$AA$9,2,FALSE)))),"")</f>
        <v/>
      </c>
      <c r="U60" s="109"/>
      <c r="V60" s="301" t="str">
        <f>IF(U60="","",IF(VLOOKUP(U60,'G-3 Multipliers'!$L$3:$N$6,2,FALSE)=0,"Spatial Data Missing ⚠",VLOOKUP(U60,'G-3 Multipliers'!$L$3:$N$6,2,FALSE)))</f>
        <v/>
      </c>
      <c r="W60" s="305" t="str">
        <f>IF(U60="","",IF(VLOOKUP(U60,'G-3 Multipliers'!$L$3:$N$6,3,FALSE)=0,"Spatial Data Missing ⚠",VLOOKUP(U60,'G-3 Multipliers'!$L$3:$N$6,3,FALSE)))</f>
        <v/>
      </c>
      <c r="X60" s="281" t="str">
        <f>IFERROR(IF(OR(LEFT(O60,5)="Error",LEFT(N60,5)="Error",T60="Error"),"Check Data ⚠",IF(F60&lt;R60,INDEX('G-6 Hedgerow Data'!$S$3:$AE$14,MATCH(C60,'G-6 Hedgerow Data'!$B$3:$B$14,0),MATCH(M60,'G-6 Hedgerow Data'!$S$2:$AE$2,0)),INDEX('G-6 Hedgerow Data'!$K$3:$Q$14,MATCH(M60,'G-6 Hedgerow Data'!$B$3:$B$14,0),MATCH(O60,'G-6 Hedgerow Data'!$K$2:$Q$2,0)))),"")</f>
        <v/>
      </c>
      <c r="Y60" s="137"/>
      <c r="Z60" s="137"/>
      <c r="AA60" s="289" t="str">
        <f t="shared" si="2"/>
        <v/>
      </c>
      <c r="AB60" s="302" t="str">
        <f t="shared" si="3"/>
        <v/>
      </c>
      <c r="AC60" s="303" t="str">
        <f t="shared" si="0"/>
        <v/>
      </c>
      <c r="AD60" s="317" t="str">
        <f>IF(M60="","",VLOOKUP(M60,'G-6 Hedgerow Data'!$B$3:$AG$15,31,FALSE))</f>
        <v/>
      </c>
      <c r="AE60" s="289" t="str">
        <f t="shared" si="4"/>
        <v/>
      </c>
      <c r="AF60" s="289" t="str">
        <f t="shared" si="5"/>
        <v/>
      </c>
      <c r="AG60" s="305" t="str">
        <f>IFERROR(IF(O60="","",VLOOKUP(AD60,'G-3 Multipliers'!$P$3:$Q$6,2,FALSE)),"")</f>
        <v/>
      </c>
      <c r="AH60" s="295" t="str">
        <f t="shared" si="6"/>
        <v/>
      </c>
      <c r="AI60" s="112"/>
      <c r="AJ60" s="119"/>
      <c r="AK60" s="108"/>
      <c r="AT60" s="30" t="str">
        <f>IFERROR(INDEX('G-6 Hedgerow Data'!$BJ$3:$BJ$15,MATCH(M60,'G-6 Hedgerow Data'!$B$3:$B$15,0)),"")</f>
        <v/>
      </c>
    </row>
    <row r="61" spans="2:46" ht="13.8" x14ac:dyDescent="0.25">
      <c r="B61" s="311" t="str">
        <f>'B-1 On-Site Hedge Baseline'!AK59</f>
        <v/>
      </c>
      <c r="C61" s="301" t="str">
        <f>IF(B61="","",IF(ISNA(VLOOKUP($B61,'B-1 On-Site Hedge Baseline'!$B$1:$L$257,3,FALSE)),"",(VLOOKUP($B61,'B-1 On-Site Hedge Baseline'!$B$1:$L$257,3,FALSE))))</f>
        <v/>
      </c>
      <c r="D61" s="301" t="str">
        <f>IF(B61="","",IF(ISNA(VLOOKUP($B61,'B-1 On-Site Hedge Baseline'!$B$1:$L$257,4,FALSE)),"",(VLOOKUP($B61,'B-1 On-Site Hedge Baseline'!$B$1:$L$257,4,FALSE))))</f>
        <v/>
      </c>
      <c r="E61" s="301" t="str">
        <f>IF(B61="","",IF(ISNA(VLOOKUP($B61,'B-1 On-Site Hedge Baseline'!$B$1:$L$257,5,FALSE)),"",(VLOOKUP($B61,'B-1 On-Site Hedge Baseline'!$B$1:$L$257,5,FALSE))))</f>
        <v/>
      </c>
      <c r="F61" s="301" t="str">
        <f>IF(B61="","",IF(ISNA(VLOOKUP($B61,'B-1 On-Site Hedge Baseline'!$B$1:$L$257,6,FALSE)),"",(VLOOKUP($B61,'B-1 On-Site Hedge Baseline'!$B$1:$L$257,6,FALSE))))</f>
        <v/>
      </c>
      <c r="G61" s="301" t="str">
        <f>IF(B61="","",IF(ISNA(VLOOKUP($B61,'B-1 On-Site Hedge Baseline'!$B$1:$L$257,7,FALSE)),"",(VLOOKUP($B61,'B-1 On-Site Hedge Baseline'!$B$1:$L$257,7,FALSE))))</f>
        <v/>
      </c>
      <c r="H61" s="301" t="str">
        <f>IF(B61="","",IF(ISNA(VLOOKUP($B61,'B-1 On-Site Hedge Baseline'!$B$1:$L$257,8,FALSE)),"",(VLOOKUP($B61,'B-1 On-Site Hedge Baseline'!$B$1:$L$257,8,FALSE))))</f>
        <v/>
      </c>
      <c r="I61" s="301" t="str">
        <f>IF(B61="","",IF(ISNA(VLOOKUP($B61,'B-1 On-Site Hedge Baseline'!$B$1:$L$257,10,FALSE)),"",(VLOOKUP($B61,'B-1 On-Site Hedge Baseline'!$B$1:$L$257,10,FALSE))))</f>
        <v/>
      </c>
      <c r="J61" s="301" t="str">
        <f>IF(B61="","",IF(ISNA(VLOOKUP($B61,'B-1 On-Site Hedge Baseline'!$B$1:$L$257,11,FALSE)),"",(VLOOKUP($B61,'B-1 On-Site Hedge Baseline'!$B$1:$L$257,11,FALSE))))</f>
        <v/>
      </c>
      <c r="K61" s="301" t="str">
        <f>IF(B61="","",IF(ISNA(VLOOKUP($B61,'B-1 On-Site Hedge Baseline'!$B$1:$U$257,13,FALSE)),"",(VLOOKUP($B61,'B-1 On-Site Hedge Baseline'!$B$1:$U$257,13,FALSE))))</f>
        <v/>
      </c>
      <c r="L61" s="305" t="str">
        <f>IF(B61="","",IF(ISNA(VLOOKUP($B61,'B-1 On-Site Hedge Baseline'!$B$1:$U$257,12,FALSE)),"",(VLOOKUP($B61,'B-1 On-Site Hedge Baseline'!$B$1:$U$257,12,FALSE))))</f>
        <v/>
      </c>
      <c r="M61" s="627"/>
      <c r="N61" s="281" t="str">
        <f>IFERROR(IF(B61="","",INDEX('G-6 Hedgerow Data'!$AN$3:$AZ$15,MATCH(C61,'G-6 Hedgerow Data'!$AM$3:$AM$15,0),MATCH(M61,'G-6 Hedgerow Data'!$AN$2:$AZ$2,0))),"")</f>
        <v/>
      </c>
      <c r="O61" s="282" t="str">
        <f t="shared" si="1"/>
        <v/>
      </c>
      <c r="P61" s="335" t="str">
        <f>IF(B61="","",VLOOKUP(B61,'B-1 On-Site Hedge Baseline'!$B$10:T306,16,FALSE))</f>
        <v/>
      </c>
      <c r="Q61" s="281" t="str">
        <f>IF(M61="","",VLOOKUP(M61,'G-6 Hedgerow Data'!$B$2:$AG$15,2,FALSE))</f>
        <v/>
      </c>
      <c r="R61" s="282" t="str">
        <f>IF(M61="","",VLOOKUP(M61,'G-6 Hedgerow Data'!$B$2:$AG$15,3,FALSE))</f>
        <v/>
      </c>
      <c r="S61" s="112"/>
      <c r="T61" s="320" t="str">
        <f>IFERROR(IF(S61="","",IF(AND(M61="Non-native and ornamental hedgerow", S61&lt;&gt;"Poor"),"Not possible ▲", (VLOOKUP(S61,'G-1 All Habitats'!$Z$2:$AA$9,2,FALSE)))),"")</f>
        <v/>
      </c>
      <c r="U61" s="109"/>
      <c r="V61" s="301" t="str">
        <f>IF(U61="","",IF(VLOOKUP(U61,'G-3 Multipliers'!$L$3:$N$6,2,FALSE)=0,"Spatial Data Missing ⚠",VLOOKUP(U61,'G-3 Multipliers'!$L$3:$N$6,2,FALSE)))</f>
        <v/>
      </c>
      <c r="W61" s="305" t="str">
        <f>IF(U61="","",IF(VLOOKUP(U61,'G-3 Multipliers'!$L$3:$N$6,3,FALSE)=0,"Spatial Data Missing ⚠",VLOOKUP(U61,'G-3 Multipliers'!$L$3:$N$6,3,FALSE)))</f>
        <v/>
      </c>
      <c r="X61" s="281" t="str">
        <f>IFERROR(IF(OR(LEFT(O61,5)="Error",LEFT(N61,5)="Error",T61="Error"),"Check Data ⚠",IF(F61&lt;R61,INDEX('G-6 Hedgerow Data'!$S$3:$AE$14,MATCH(C61,'G-6 Hedgerow Data'!$B$3:$B$14,0),MATCH(M61,'G-6 Hedgerow Data'!$S$2:$AE$2,0)),INDEX('G-6 Hedgerow Data'!$K$3:$Q$14,MATCH(M61,'G-6 Hedgerow Data'!$B$3:$B$14,0),MATCH(O61,'G-6 Hedgerow Data'!$K$2:$Q$2,0)))),"")</f>
        <v/>
      </c>
      <c r="Y61" s="137"/>
      <c r="Z61" s="137"/>
      <c r="AA61" s="289" t="str">
        <f t="shared" si="2"/>
        <v/>
      </c>
      <c r="AB61" s="302" t="str">
        <f t="shared" si="3"/>
        <v/>
      </c>
      <c r="AC61" s="303" t="str">
        <f t="shared" si="0"/>
        <v/>
      </c>
      <c r="AD61" s="317" t="str">
        <f>IF(M61="","",VLOOKUP(M61,'G-6 Hedgerow Data'!$B$3:$AG$15,31,FALSE))</f>
        <v/>
      </c>
      <c r="AE61" s="289" t="str">
        <f t="shared" si="4"/>
        <v/>
      </c>
      <c r="AF61" s="289" t="str">
        <f t="shared" si="5"/>
        <v/>
      </c>
      <c r="AG61" s="305" t="str">
        <f>IFERROR(IF(O61="","",VLOOKUP(AD61,'G-3 Multipliers'!$P$3:$Q$6,2,FALSE)),"")</f>
        <v/>
      </c>
      <c r="AH61" s="295" t="str">
        <f t="shared" si="6"/>
        <v/>
      </c>
      <c r="AI61" s="112"/>
      <c r="AJ61" s="119"/>
      <c r="AK61" s="108"/>
      <c r="AT61" s="30" t="str">
        <f>IFERROR(INDEX('G-6 Hedgerow Data'!$BJ$3:$BJ$15,MATCH(M61,'G-6 Hedgerow Data'!$B$3:$B$15,0)),"")</f>
        <v/>
      </c>
    </row>
    <row r="62" spans="2:46" ht="13.8" x14ac:dyDescent="0.25">
      <c r="B62" s="311" t="str">
        <f>'B-1 On-Site Hedge Baseline'!AK60</f>
        <v/>
      </c>
      <c r="C62" s="301" t="str">
        <f>IF(B62="","",IF(ISNA(VLOOKUP($B62,'B-1 On-Site Hedge Baseline'!$B$1:$L$257,3,FALSE)),"",(VLOOKUP($B62,'B-1 On-Site Hedge Baseline'!$B$1:$L$257,3,FALSE))))</f>
        <v/>
      </c>
      <c r="D62" s="301" t="str">
        <f>IF(B62="","",IF(ISNA(VLOOKUP($B62,'B-1 On-Site Hedge Baseline'!$B$1:$L$257,4,FALSE)),"",(VLOOKUP($B62,'B-1 On-Site Hedge Baseline'!$B$1:$L$257,4,FALSE))))</f>
        <v/>
      </c>
      <c r="E62" s="301" t="str">
        <f>IF(B62="","",IF(ISNA(VLOOKUP($B62,'B-1 On-Site Hedge Baseline'!$B$1:$L$257,5,FALSE)),"",(VLOOKUP($B62,'B-1 On-Site Hedge Baseline'!$B$1:$L$257,5,FALSE))))</f>
        <v/>
      </c>
      <c r="F62" s="301" t="str">
        <f>IF(B62="","",IF(ISNA(VLOOKUP($B62,'B-1 On-Site Hedge Baseline'!$B$1:$L$257,6,FALSE)),"",(VLOOKUP($B62,'B-1 On-Site Hedge Baseline'!$B$1:$L$257,6,FALSE))))</f>
        <v/>
      </c>
      <c r="G62" s="301" t="str">
        <f>IF(B62="","",IF(ISNA(VLOOKUP($B62,'B-1 On-Site Hedge Baseline'!$B$1:$L$257,7,FALSE)),"",(VLOOKUP($B62,'B-1 On-Site Hedge Baseline'!$B$1:$L$257,7,FALSE))))</f>
        <v/>
      </c>
      <c r="H62" s="301" t="str">
        <f>IF(B62="","",IF(ISNA(VLOOKUP($B62,'B-1 On-Site Hedge Baseline'!$B$1:$L$257,8,FALSE)),"",(VLOOKUP($B62,'B-1 On-Site Hedge Baseline'!$B$1:$L$257,8,FALSE))))</f>
        <v/>
      </c>
      <c r="I62" s="301" t="str">
        <f>IF(B62="","",IF(ISNA(VLOOKUP($B62,'B-1 On-Site Hedge Baseline'!$B$1:$L$257,10,FALSE)),"",(VLOOKUP($B62,'B-1 On-Site Hedge Baseline'!$B$1:$L$257,10,FALSE))))</f>
        <v/>
      </c>
      <c r="J62" s="301" t="str">
        <f>IF(B62="","",IF(ISNA(VLOOKUP($B62,'B-1 On-Site Hedge Baseline'!$B$1:$L$257,11,FALSE)),"",(VLOOKUP($B62,'B-1 On-Site Hedge Baseline'!$B$1:$L$257,11,FALSE))))</f>
        <v/>
      </c>
      <c r="K62" s="301" t="str">
        <f>IF(B62="","",IF(ISNA(VLOOKUP($B62,'B-1 On-Site Hedge Baseline'!$B$1:$U$257,13,FALSE)),"",(VLOOKUP($B62,'B-1 On-Site Hedge Baseline'!$B$1:$U$257,13,FALSE))))</f>
        <v/>
      </c>
      <c r="L62" s="305" t="str">
        <f>IF(B62="","",IF(ISNA(VLOOKUP($B62,'B-1 On-Site Hedge Baseline'!$B$1:$U$257,12,FALSE)),"",(VLOOKUP($B62,'B-1 On-Site Hedge Baseline'!$B$1:$U$257,12,FALSE))))</f>
        <v/>
      </c>
      <c r="M62" s="627"/>
      <c r="N62" s="281" t="str">
        <f>IFERROR(IF(B62="","",INDEX('G-6 Hedgerow Data'!$AN$3:$AZ$15,MATCH(C62,'G-6 Hedgerow Data'!$AM$3:$AM$15,0),MATCH(M62,'G-6 Hedgerow Data'!$AN$2:$AZ$2,0))),"")</f>
        <v/>
      </c>
      <c r="O62" s="282" t="str">
        <f t="shared" si="1"/>
        <v/>
      </c>
      <c r="P62" s="335" t="str">
        <f>IF(B62="","",VLOOKUP(B62,'B-1 On-Site Hedge Baseline'!$B$10:T307,16,FALSE))</f>
        <v/>
      </c>
      <c r="Q62" s="281" t="str">
        <f>IF(M62="","",VLOOKUP(M62,'G-6 Hedgerow Data'!$B$2:$AG$15,2,FALSE))</f>
        <v/>
      </c>
      <c r="R62" s="282" t="str">
        <f>IF(M62="","",VLOOKUP(M62,'G-6 Hedgerow Data'!$B$2:$AG$15,3,FALSE))</f>
        <v/>
      </c>
      <c r="S62" s="112"/>
      <c r="T62" s="320" t="str">
        <f>IFERROR(IF(S62="","",IF(AND(M62="Non-native and ornamental hedgerow", S62&lt;&gt;"Poor"),"Not possible ▲", (VLOOKUP(S62,'G-1 All Habitats'!$Z$2:$AA$9,2,FALSE)))),"")</f>
        <v/>
      </c>
      <c r="U62" s="109"/>
      <c r="V62" s="301" t="str">
        <f>IF(U62="","",IF(VLOOKUP(U62,'G-3 Multipliers'!$L$3:$N$6,2,FALSE)=0,"Spatial Data Missing ⚠",VLOOKUP(U62,'G-3 Multipliers'!$L$3:$N$6,2,FALSE)))</f>
        <v/>
      </c>
      <c r="W62" s="305" t="str">
        <f>IF(U62="","",IF(VLOOKUP(U62,'G-3 Multipliers'!$L$3:$N$6,3,FALSE)=0,"Spatial Data Missing ⚠",VLOOKUP(U62,'G-3 Multipliers'!$L$3:$N$6,3,FALSE)))</f>
        <v/>
      </c>
      <c r="X62" s="281" t="str">
        <f>IFERROR(IF(OR(LEFT(O62,5)="Error",LEFT(N62,5)="Error",T62="Error"),"Check Data ⚠",IF(F62&lt;R62,INDEX('G-6 Hedgerow Data'!$S$3:$AE$14,MATCH(C62,'G-6 Hedgerow Data'!$B$3:$B$14,0),MATCH(M62,'G-6 Hedgerow Data'!$S$2:$AE$2,0)),INDEX('G-6 Hedgerow Data'!$K$3:$Q$14,MATCH(M62,'G-6 Hedgerow Data'!$B$3:$B$14,0),MATCH(O62,'G-6 Hedgerow Data'!$K$2:$Q$2,0)))),"")</f>
        <v/>
      </c>
      <c r="Y62" s="137"/>
      <c r="Z62" s="137"/>
      <c r="AA62" s="289" t="str">
        <f t="shared" si="2"/>
        <v/>
      </c>
      <c r="AB62" s="302" t="str">
        <f t="shared" si="3"/>
        <v/>
      </c>
      <c r="AC62" s="303" t="str">
        <f t="shared" si="0"/>
        <v/>
      </c>
      <c r="AD62" s="317" t="str">
        <f>IF(M62="","",VLOOKUP(M62,'G-6 Hedgerow Data'!$B$3:$AG$15,31,FALSE))</f>
        <v/>
      </c>
      <c r="AE62" s="289" t="str">
        <f t="shared" si="4"/>
        <v/>
      </c>
      <c r="AF62" s="289" t="str">
        <f t="shared" si="5"/>
        <v/>
      </c>
      <c r="AG62" s="305" t="str">
        <f>IFERROR(IF(O62="","",VLOOKUP(AD62,'G-3 Multipliers'!$P$3:$Q$6,2,FALSE)),"")</f>
        <v/>
      </c>
      <c r="AH62" s="295" t="str">
        <f t="shared" si="6"/>
        <v/>
      </c>
      <c r="AI62" s="112"/>
      <c r="AJ62" s="119"/>
      <c r="AK62" s="108"/>
      <c r="AT62" s="30" t="str">
        <f>IFERROR(INDEX('G-6 Hedgerow Data'!$BJ$3:$BJ$15,MATCH(M62,'G-6 Hedgerow Data'!$B$3:$B$15,0)),"")</f>
        <v/>
      </c>
    </row>
    <row r="63" spans="2:46" ht="13.8" x14ac:dyDescent="0.25">
      <c r="B63" s="311" t="str">
        <f>'B-1 On-Site Hedge Baseline'!AK61</f>
        <v/>
      </c>
      <c r="C63" s="301" t="str">
        <f>IF(B63="","",IF(ISNA(VLOOKUP($B63,'B-1 On-Site Hedge Baseline'!$B$1:$L$257,3,FALSE)),"",(VLOOKUP($B63,'B-1 On-Site Hedge Baseline'!$B$1:$L$257,3,FALSE))))</f>
        <v/>
      </c>
      <c r="D63" s="301" t="str">
        <f>IF(B63="","",IF(ISNA(VLOOKUP($B63,'B-1 On-Site Hedge Baseline'!$B$1:$L$257,4,FALSE)),"",(VLOOKUP($B63,'B-1 On-Site Hedge Baseline'!$B$1:$L$257,4,FALSE))))</f>
        <v/>
      </c>
      <c r="E63" s="301" t="str">
        <f>IF(B63="","",IF(ISNA(VLOOKUP($B63,'B-1 On-Site Hedge Baseline'!$B$1:$L$257,5,FALSE)),"",(VLOOKUP($B63,'B-1 On-Site Hedge Baseline'!$B$1:$L$257,5,FALSE))))</f>
        <v/>
      </c>
      <c r="F63" s="301" t="str">
        <f>IF(B63="","",IF(ISNA(VLOOKUP($B63,'B-1 On-Site Hedge Baseline'!$B$1:$L$257,6,FALSE)),"",(VLOOKUP($B63,'B-1 On-Site Hedge Baseline'!$B$1:$L$257,6,FALSE))))</f>
        <v/>
      </c>
      <c r="G63" s="301" t="str">
        <f>IF(B63="","",IF(ISNA(VLOOKUP($B63,'B-1 On-Site Hedge Baseline'!$B$1:$L$257,7,FALSE)),"",(VLOOKUP($B63,'B-1 On-Site Hedge Baseline'!$B$1:$L$257,7,FALSE))))</f>
        <v/>
      </c>
      <c r="H63" s="301" t="str">
        <f>IF(B63="","",IF(ISNA(VLOOKUP($B63,'B-1 On-Site Hedge Baseline'!$B$1:$L$257,8,FALSE)),"",(VLOOKUP($B63,'B-1 On-Site Hedge Baseline'!$B$1:$L$257,8,FALSE))))</f>
        <v/>
      </c>
      <c r="I63" s="301" t="str">
        <f>IF(B63="","",IF(ISNA(VLOOKUP($B63,'B-1 On-Site Hedge Baseline'!$B$1:$L$257,10,FALSE)),"",(VLOOKUP($B63,'B-1 On-Site Hedge Baseline'!$B$1:$L$257,10,FALSE))))</f>
        <v/>
      </c>
      <c r="J63" s="301" t="str">
        <f>IF(B63="","",IF(ISNA(VLOOKUP($B63,'B-1 On-Site Hedge Baseline'!$B$1:$L$257,11,FALSE)),"",(VLOOKUP($B63,'B-1 On-Site Hedge Baseline'!$B$1:$L$257,11,FALSE))))</f>
        <v/>
      </c>
      <c r="K63" s="301" t="str">
        <f>IF(B63="","",IF(ISNA(VLOOKUP($B63,'B-1 On-Site Hedge Baseline'!$B$1:$U$257,13,FALSE)),"",(VLOOKUP($B63,'B-1 On-Site Hedge Baseline'!$B$1:$U$257,13,FALSE))))</f>
        <v/>
      </c>
      <c r="L63" s="305" t="str">
        <f>IF(B63="","",IF(ISNA(VLOOKUP($B63,'B-1 On-Site Hedge Baseline'!$B$1:$U$257,12,FALSE)),"",(VLOOKUP($B63,'B-1 On-Site Hedge Baseline'!$B$1:$U$257,12,FALSE))))</f>
        <v/>
      </c>
      <c r="M63" s="627"/>
      <c r="N63" s="281" t="str">
        <f>IFERROR(IF(B63="","",INDEX('G-6 Hedgerow Data'!$AN$3:$AZ$15,MATCH(C63,'G-6 Hedgerow Data'!$AM$3:$AM$15,0),MATCH(M63,'G-6 Hedgerow Data'!$AN$2:$AZ$2,0))),"")</f>
        <v/>
      </c>
      <c r="O63" s="282" t="str">
        <f t="shared" si="1"/>
        <v/>
      </c>
      <c r="P63" s="335" t="str">
        <f>IF(B63="","",VLOOKUP(B63,'B-1 On-Site Hedge Baseline'!$B$10:T308,16,FALSE))</f>
        <v/>
      </c>
      <c r="Q63" s="281" t="str">
        <f>IF(M63="","",VLOOKUP(M63,'G-6 Hedgerow Data'!$B$2:$AG$15,2,FALSE))</f>
        <v/>
      </c>
      <c r="R63" s="282" t="str">
        <f>IF(M63="","",VLOOKUP(M63,'G-6 Hedgerow Data'!$B$2:$AG$15,3,FALSE))</f>
        <v/>
      </c>
      <c r="S63" s="112"/>
      <c r="T63" s="320" t="str">
        <f>IFERROR(IF(S63="","",IF(AND(M63="Non-native and ornamental hedgerow", S63&lt;&gt;"Poor"),"Not possible ▲", (VLOOKUP(S63,'G-1 All Habitats'!$Z$2:$AA$9,2,FALSE)))),"")</f>
        <v/>
      </c>
      <c r="U63" s="109"/>
      <c r="V63" s="301" t="str">
        <f>IF(U63="","",IF(VLOOKUP(U63,'G-3 Multipliers'!$L$3:$N$6,2,FALSE)=0,"Spatial Data Missing ⚠",VLOOKUP(U63,'G-3 Multipliers'!$L$3:$N$6,2,FALSE)))</f>
        <v/>
      </c>
      <c r="W63" s="305" t="str">
        <f>IF(U63="","",IF(VLOOKUP(U63,'G-3 Multipliers'!$L$3:$N$6,3,FALSE)=0,"Spatial Data Missing ⚠",VLOOKUP(U63,'G-3 Multipliers'!$L$3:$N$6,3,FALSE)))</f>
        <v/>
      </c>
      <c r="X63" s="281" t="str">
        <f>IFERROR(IF(OR(LEFT(O63,5)="Error",LEFT(N63,5)="Error",T63="Error"),"Check Data ⚠",IF(F63&lt;R63,INDEX('G-6 Hedgerow Data'!$S$3:$AE$14,MATCH(C63,'G-6 Hedgerow Data'!$B$3:$B$14,0),MATCH(M63,'G-6 Hedgerow Data'!$S$2:$AE$2,0)),INDEX('G-6 Hedgerow Data'!$K$3:$Q$14,MATCH(M63,'G-6 Hedgerow Data'!$B$3:$B$14,0),MATCH(O63,'G-6 Hedgerow Data'!$K$2:$Q$2,0)))),"")</f>
        <v/>
      </c>
      <c r="Y63" s="137"/>
      <c r="Z63" s="137"/>
      <c r="AA63" s="289" t="str">
        <f t="shared" si="2"/>
        <v/>
      </c>
      <c r="AB63" s="302" t="str">
        <f t="shared" si="3"/>
        <v/>
      </c>
      <c r="AC63" s="303" t="str">
        <f t="shared" si="0"/>
        <v/>
      </c>
      <c r="AD63" s="317" t="str">
        <f>IF(M63="","",VLOOKUP(M63,'G-6 Hedgerow Data'!$B$3:$AG$15,31,FALSE))</f>
        <v/>
      </c>
      <c r="AE63" s="289" t="str">
        <f t="shared" si="4"/>
        <v/>
      </c>
      <c r="AF63" s="289" t="str">
        <f t="shared" si="5"/>
        <v/>
      </c>
      <c r="AG63" s="305" t="str">
        <f>IFERROR(IF(O63="","",VLOOKUP(AD63,'G-3 Multipliers'!$P$3:$Q$6,2,FALSE)),"")</f>
        <v/>
      </c>
      <c r="AH63" s="295" t="str">
        <f t="shared" si="6"/>
        <v/>
      </c>
      <c r="AI63" s="112"/>
      <c r="AJ63" s="119"/>
      <c r="AK63" s="108"/>
      <c r="AT63" s="30" t="str">
        <f>IFERROR(INDEX('G-6 Hedgerow Data'!$BJ$3:$BJ$15,MATCH(M63,'G-6 Hedgerow Data'!$B$3:$B$15,0)),"")</f>
        <v/>
      </c>
    </row>
    <row r="64" spans="2:46" ht="13.8" x14ac:dyDescent="0.25">
      <c r="B64" s="311" t="str">
        <f>'B-1 On-Site Hedge Baseline'!AK62</f>
        <v/>
      </c>
      <c r="C64" s="301" t="str">
        <f>IF(B64="","",IF(ISNA(VLOOKUP($B64,'B-1 On-Site Hedge Baseline'!$B$1:$L$257,3,FALSE)),"",(VLOOKUP($B64,'B-1 On-Site Hedge Baseline'!$B$1:$L$257,3,FALSE))))</f>
        <v/>
      </c>
      <c r="D64" s="301" t="str">
        <f>IF(B64="","",IF(ISNA(VLOOKUP($B64,'B-1 On-Site Hedge Baseline'!$B$1:$L$257,4,FALSE)),"",(VLOOKUP($B64,'B-1 On-Site Hedge Baseline'!$B$1:$L$257,4,FALSE))))</f>
        <v/>
      </c>
      <c r="E64" s="301" t="str">
        <f>IF(B64="","",IF(ISNA(VLOOKUP($B64,'B-1 On-Site Hedge Baseline'!$B$1:$L$257,5,FALSE)),"",(VLOOKUP($B64,'B-1 On-Site Hedge Baseline'!$B$1:$L$257,5,FALSE))))</f>
        <v/>
      </c>
      <c r="F64" s="301" t="str">
        <f>IF(B64="","",IF(ISNA(VLOOKUP($B64,'B-1 On-Site Hedge Baseline'!$B$1:$L$257,6,FALSE)),"",(VLOOKUP($B64,'B-1 On-Site Hedge Baseline'!$B$1:$L$257,6,FALSE))))</f>
        <v/>
      </c>
      <c r="G64" s="301" t="str">
        <f>IF(B64="","",IF(ISNA(VLOOKUP($B64,'B-1 On-Site Hedge Baseline'!$B$1:$L$257,7,FALSE)),"",(VLOOKUP($B64,'B-1 On-Site Hedge Baseline'!$B$1:$L$257,7,FALSE))))</f>
        <v/>
      </c>
      <c r="H64" s="301" t="str">
        <f>IF(B64="","",IF(ISNA(VLOOKUP($B64,'B-1 On-Site Hedge Baseline'!$B$1:$L$257,8,FALSE)),"",(VLOOKUP($B64,'B-1 On-Site Hedge Baseline'!$B$1:$L$257,8,FALSE))))</f>
        <v/>
      </c>
      <c r="I64" s="301" t="str">
        <f>IF(B64="","",IF(ISNA(VLOOKUP($B64,'B-1 On-Site Hedge Baseline'!$B$1:$L$257,10,FALSE)),"",(VLOOKUP($B64,'B-1 On-Site Hedge Baseline'!$B$1:$L$257,10,FALSE))))</f>
        <v/>
      </c>
      <c r="J64" s="301" t="str">
        <f>IF(B64="","",IF(ISNA(VLOOKUP($B64,'B-1 On-Site Hedge Baseline'!$B$1:$L$257,11,FALSE)),"",(VLOOKUP($B64,'B-1 On-Site Hedge Baseline'!$B$1:$L$257,11,FALSE))))</f>
        <v/>
      </c>
      <c r="K64" s="301" t="str">
        <f>IF(B64="","",IF(ISNA(VLOOKUP($B64,'B-1 On-Site Hedge Baseline'!$B$1:$U$257,13,FALSE)),"",(VLOOKUP($B64,'B-1 On-Site Hedge Baseline'!$B$1:$U$257,13,FALSE))))</f>
        <v/>
      </c>
      <c r="L64" s="305" t="str">
        <f>IF(B64="","",IF(ISNA(VLOOKUP($B64,'B-1 On-Site Hedge Baseline'!$B$1:$U$257,12,FALSE)),"",(VLOOKUP($B64,'B-1 On-Site Hedge Baseline'!$B$1:$U$257,12,FALSE))))</f>
        <v/>
      </c>
      <c r="M64" s="627"/>
      <c r="N64" s="281" t="str">
        <f>IFERROR(IF(B64="","",INDEX('G-6 Hedgerow Data'!$AN$3:$AZ$15,MATCH(C64,'G-6 Hedgerow Data'!$AM$3:$AM$15,0),MATCH(M64,'G-6 Hedgerow Data'!$AN$2:$AZ$2,0))),"")</f>
        <v/>
      </c>
      <c r="O64" s="282" t="str">
        <f t="shared" si="1"/>
        <v/>
      </c>
      <c r="P64" s="335" t="str">
        <f>IF(B64="","",VLOOKUP(B64,'B-1 On-Site Hedge Baseline'!$B$10:T309,16,FALSE))</f>
        <v/>
      </c>
      <c r="Q64" s="281" t="str">
        <f>IF(M64="","",VLOOKUP(M64,'G-6 Hedgerow Data'!$B$2:$AG$15,2,FALSE))</f>
        <v/>
      </c>
      <c r="R64" s="282" t="str">
        <f>IF(M64="","",VLOOKUP(M64,'G-6 Hedgerow Data'!$B$2:$AG$15,3,FALSE))</f>
        <v/>
      </c>
      <c r="S64" s="112"/>
      <c r="T64" s="320" t="str">
        <f>IFERROR(IF(S64="","",IF(AND(M64="Non-native and ornamental hedgerow", S64&lt;&gt;"Poor"),"Not possible ▲", (VLOOKUP(S64,'G-1 All Habitats'!$Z$2:$AA$9,2,FALSE)))),"")</f>
        <v/>
      </c>
      <c r="U64" s="109"/>
      <c r="V64" s="301" t="str">
        <f>IF(U64="","",IF(VLOOKUP(U64,'G-3 Multipliers'!$L$3:$N$6,2,FALSE)=0,"Spatial Data Missing ⚠",VLOOKUP(U64,'G-3 Multipliers'!$L$3:$N$6,2,FALSE)))</f>
        <v/>
      </c>
      <c r="W64" s="305" t="str">
        <f>IF(U64="","",IF(VLOOKUP(U64,'G-3 Multipliers'!$L$3:$N$6,3,FALSE)=0,"Spatial Data Missing ⚠",VLOOKUP(U64,'G-3 Multipliers'!$L$3:$N$6,3,FALSE)))</f>
        <v/>
      </c>
      <c r="X64" s="281" t="str">
        <f>IFERROR(IF(OR(LEFT(O64,5)="Error",LEFT(N64,5)="Error",T64="Error"),"Check Data ⚠",IF(F64&lt;R64,INDEX('G-6 Hedgerow Data'!$S$3:$AE$14,MATCH(C64,'G-6 Hedgerow Data'!$B$3:$B$14,0),MATCH(M64,'G-6 Hedgerow Data'!$S$2:$AE$2,0)),INDEX('G-6 Hedgerow Data'!$K$3:$Q$14,MATCH(M64,'G-6 Hedgerow Data'!$B$3:$B$14,0),MATCH(O64,'G-6 Hedgerow Data'!$K$2:$Q$2,0)))),"")</f>
        <v/>
      </c>
      <c r="Y64" s="137"/>
      <c r="Z64" s="137"/>
      <c r="AA64" s="289" t="str">
        <f t="shared" si="2"/>
        <v/>
      </c>
      <c r="AB64" s="302" t="str">
        <f t="shared" si="3"/>
        <v/>
      </c>
      <c r="AC64" s="303" t="str">
        <f t="shared" si="0"/>
        <v/>
      </c>
      <c r="AD64" s="317" t="str">
        <f>IF(M64="","",VLOOKUP(M64,'G-6 Hedgerow Data'!$B$3:$AG$15,31,FALSE))</f>
        <v/>
      </c>
      <c r="AE64" s="289" t="str">
        <f t="shared" si="4"/>
        <v/>
      </c>
      <c r="AF64" s="289" t="str">
        <f t="shared" si="5"/>
        <v/>
      </c>
      <c r="AG64" s="305" t="str">
        <f>IFERROR(IF(O64="","",VLOOKUP(AD64,'G-3 Multipliers'!$P$3:$Q$6,2,FALSE)),"")</f>
        <v/>
      </c>
      <c r="AH64" s="295" t="str">
        <f t="shared" si="6"/>
        <v/>
      </c>
      <c r="AI64" s="112"/>
      <c r="AJ64" s="119"/>
      <c r="AK64" s="108"/>
      <c r="AT64" s="30" t="str">
        <f>IFERROR(INDEX('G-6 Hedgerow Data'!$BJ$3:$BJ$15,MATCH(M64,'G-6 Hedgerow Data'!$B$3:$B$15,0)),"")</f>
        <v/>
      </c>
    </row>
    <row r="65" spans="2:46" ht="13.8" x14ac:dyDescent="0.25">
      <c r="B65" s="311" t="str">
        <f>'B-1 On-Site Hedge Baseline'!AK63</f>
        <v/>
      </c>
      <c r="C65" s="301" t="str">
        <f>IF(B65="","",IF(ISNA(VLOOKUP($B65,'B-1 On-Site Hedge Baseline'!$B$1:$L$257,3,FALSE)),"",(VLOOKUP($B65,'B-1 On-Site Hedge Baseline'!$B$1:$L$257,3,FALSE))))</f>
        <v/>
      </c>
      <c r="D65" s="301" t="str">
        <f>IF(B65="","",IF(ISNA(VLOOKUP($B65,'B-1 On-Site Hedge Baseline'!$B$1:$L$257,4,FALSE)),"",(VLOOKUP($B65,'B-1 On-Site Hedge Baseline'!$B$1:$L$257,4,FALSE))))</f>
        <v/>
      </c>
      <c r="E65" s="301" t="str">
        <f>IF(B65="","",IF(ISNA(VLOOKUP($B65,'B-1 On-Site Hedge Baseline'!$B$1:$L$257,5,FALSE)),"",(VLOOKUP($B65,'B-1 On-Site Hedge Baseline'!$B$1:$L$257,5,FALSE))))</f>
        <v/>
      </c>
      <c r="F65" s="301" t="str">
        <f>IF(B65="","",IF(ISNA(VLOOKUP($B65,'B-1 On-Site Hedge Baseline'!$B$1:$L$257,6,FALSE)),"",(VLOOKUP($B65,'B-1 On-Site Hedge Baseline'!$B$1:$L$257,6,FALSE))))</f>
        <v/>
      </c>
      <c r="G65" s="301" t="str">
        <f>IF(B65="","",IF(ISNA(VLOOKUP($B65,'B-1 On-Site Hedge Baseline'!$B$1:$L$257,7,FALSE)),"",(VLOOKUP($B65,'B-1 On-Site Hedge Baseline'!$B$1:$L$257,7,FALSE))))</f>
        <v/>
      </c>
      <c r="H65" s="301" t="str">
        <f>IF(B65="","",IF(ISNA(VLOOKUP($B65,'B-1 On-Site Hedge Baseline'!$B$1:$L$257,8,FALSE)),"",(VLOOKUP($B65,'B-1 On-Site Hedge Baseline'!$B$1:$L$257,8,FALSE))))</f>
        <v/>
      </c>
      <c r="I65" s="301" t="str">
        <f>IF(B65="","",IF(ISNA(VLOOKUP($B65,'B-1 On-Site Hedge Baseline'!$B$1:$L$257,10,FALSE)),"",(VLOOKUP($B65,'B-1 On-Site Hedge Baseline'!$B$1:$L$257,10,FALSE))))</f>
        <v/>
      </c>
      <c r="J65" s="301" t="str">
        <f>IF(B65="","",IF(ISNA(VLOOKUP($B65,'B-1 On-Site Hedge Baseline'!$B$1:$L$257,11,FALSE)),"",(VLOOKUP($B65,'B-1 On-Site Hedge Baseline'!$B$1:$L$257,11,FALSE))))</f>
        <v/>
      </c>
      <c r="K65" s="301" t="str">
        <f>IF(B65="","",IF(ISNA(VLOOKUP($B65,'B-1 On-Site Hedge Baseline'!$B$1:$U$257,13,FALSE)),"",(VLOOKUP($B65,'B-1 On-Site Hedge Baseline'!$B$1:$U$257,13,FALSE))))</f>
        <v/>
      </c>
      <c r="L65" s="305" t="str">
        <f>IF(B65="","",IF(ISNA(VLOOKUP($B65,'B-1 On-Site Hedge Baseline'!$B$1:$U$257,12,FALSE)),"",(VLOOKUP($B65,'B-1 On-Site Hedge Baseline'!$B$1:$U$257,12,FALSE))))</f>
        <v/>
      </c>
      <c r="M65" s="627"/>
      <c r="N65" s="281" t="str">
        <f>IFERROR(IF(B65="","",INDEX('G-6 Hedgerow Data'!$AN$3:$AZ$15,MATCH(C65,'G-6 Hedgerow Data'!$AM$3:$AM$15,0),MATCH(M65,'G-6 Hedgerow Data'!$AN$2:$AZ$2,0))),"")</f>
        <v/>
      </c>
      <c r="O65" s="282" t="str">
        <f t="shared" si="1"/>
        <v/>
      </c>
      <c r="P65" s="335" t="str">
        <f>IF(B65="","",VLOOKUP(B65,'B-1 On-Site Hedge Baseline'!$B$10:T310,16,FALSE))</f>
        <v/>
      </c>
      <c r="Q65" s="281" t="str">
        <f>IF(M65="","",VLOOKUP(M65,'G-6 Hedgerow Data'!$B$2:$AG$15,2,FALSE))</f>
        <v/>
      </c>
      <c r="R65" s="282" t="str">
        <f>IF(M65="","",VLOOKUP(M65,'G-6 Hedgerow Data'!$B$2:$AG$15,3,FALSE))</f>
        <v/>
      </c>
      <c r="S65" s="112"/>
      <c r="T65" s="320" t="str">
        <f>IFERROR(IF(S65="","",IF(AND(M65="Non-native and ornamental hedgerow", S65&lt;&gt;"Poor"),"Not possible ▲", (VLOOKUP(S65,'G-1 All Habitats'!$Z$2:$AA$9,2,FALSE)))),"")</f>
        <v/>
      </c>
      <c r="U65" s="109"/>
      <c r="V65" s="301" t="str">
        <f>IF(U65="","",IF(VLOOKUP(U65,'G-3 Multipliers'!$L$3:$N$6,2,FALSE)=0,"Spatial Data Missing ⚠",VLOOKUP(U65,'G-3 Multipliers'!$L$3:$N$6,2,FALSE)))</f>
        <v/>
      </c>
      <c r="W65" s="305" t="str">
        <f>IF(U65="","",IF(VLOOKUP(U65,'G-3 Multipliers'!$L$3:$N$6,3,FALSE)=0,"Spatial Data Missing ⚠",VLOOKUP(U65,'G-3 Multipliers'!$L$3:$N$6,3,FALSE)))</f>
        <v/>
      </c>
      <c r="X65" s="281" t="str">
        <f>IFERROR(IF(OR(LEFT(O65,5)="Error",LEFT(N65,5)="Error",T65="Error"),"Check Data ⚠",IF(F65&lt;R65,INDEX('G-6 Hedgerow Data'!$S$3:$AE$14,MATCH(C65,'G-6 Hedgerow Data'!$B$3:$B$14,0),MATCH(M65,'G-6 Hedgerow Data'!$S$2:$AE$2,0)),INDEX('G-6 Hedgerow Data'!$K$3:$Q$14,MATCH(M65,'G-6 Hedgerow Data'!$B$3:$B$14,0),MATCH(O65,'G-6 Hedgerow Data'!$K$2:$Q$2,0)))),"")</f>
        <v/>
      </c>
      <c r="Y65" s="137"/>
      <c r="Z65" s="137"/>
      <c r="AA65" s="289" t="str">
        <f t="shared" si="2"/>
        <v/>
      </c>
      <c r="AB65" s="302" t="str">
        <f t="shared" si="3"/>
        <v/>
      </c>
      <c r="AC65" s="303" t="str">
        <f t="shared" si="0"/>
        <v/>
      </c>
      <c r="AD65" s="317" t="str">
        <f>IF(M65="","",VLOOKUP(M65,'G-6 Hedgerow Data'!$B$3:$AG$15,31,FALSE))</f>
        <v/>
      </c>
      <c r="AE65" s="289" t="str">
        <f t="shared" si="4"/>
        <v/>
      </c>
      <c r="AF65" s="289" t="str">
        <f t="shared" si="5"/>
        <v/>
      </c>
      <c r="AG65" s="305" t="str">
        <f>IFERROR(IF(O65="","",VLOOKUP(AD65,'G-3 Multipliers'!$P$3:$Q$6,2,FALSE)),"")</f>
        <v/>
      </c>
      <c r="AH65" s="295" t="str">
        <f t="shared" si="6"/>
        <v/>
      </c>
      <c r="AI65" s="112"/>
      <c r="AJ65" s="119"/>
      <c r="AK65" s="108"/>
      <c r="AT65" s="30" t="str">
        <f>IFERROR(INDEX('G-6 Hedgerow Data'!$BJ$3:$BJ$15,MATCH(M65,'G-6 Hedgerow Data'!$B$3:$B$15,0)),"")</f>
        <v/>
      </c>
    </row>
    <row r="66" spans="2:46" ht="13.8" x14ac:dyDescent="0.25">
      <c r="B66" s="311" t="str">
        <f>'B-1 On-Site Hedge Baseline'!AK64</f>
        <v/>
      </c>
      <c r="C66" s="301" t="str">
        <f>IF(B66="","",IF(ISNA(VLOOKUP($B66,'B-1 On-Site Hedge Baseline'!$B$1:$L$257,3,FALSE)),"",(VLOOKUP($B66,'B-1 On-Site Hedge Baseline'!$B$1:$L$257,3,FALSE))))</f>
        <v/>
      </c>
      <c r="D66" s="301" t="str">
        <f>IF(B66="","",IF(ISNA(VLOOKUP($B66,'B-1 On-Site Hedge Baseline'!$B$1:$L$257,4,FALSE)),"",(VLOOKUP($B66,'B-1 On-Site Hedge Baseline'!$B$1:$L$257,4,FALSE))))</f>
        <v/>
      </c>
      <c r="E66" s="301" t="str">
        <f>IF(B66="","",IF(ISNA(VLOOKUP($B66,'B-1 On-Site Hedge Baseline'!$B$1:$L$257,5,FALSE)),"",(VLOOKUP($B66,'B-1 On-Site Hedge Baseline'!$B$1:$L$257,5,FALSE))))</f>
        <v/>
      </c>
      <c r="F66" s="301" t="str">
        <f>IF(B66="","",IF(ISNA(VLOOKUP($B66,'B-1 On-Site Hedge Baseline'!$B$1:$L$257,6,FALSE)),"",(VLOOKUP($B66,'B-1 On-Site Hedge Baseline'!$B$1:$L$257,6,FALSE))))</f>
        <v/>
      </c>
      <c r="G66" s="301" t="str">
        <f>IF(B66="","",IF(ISNA(VLOOKUP($B66,'B-1 On-Site Hedge Baseline'!$B$1:$L$257,7,FALSE)),"",(VLOOKUP($B66,'B-1 On-Site Hedge Baseline'!$B$1:$L$257,7,FALSE))))</f>
        <v/>
      </c>
      <c r="H66" s="301" t="str">
        <f>IF(B66="","",IF(ISNA(VLOOKUP($B66,'B-1 On-Site Hedge Baseline'!$B$1:$L$257,8,FALSE)),"",(VLOOKUP($B66,'B-1 On-Site Hedge Baseline'!$B$1:$L$257,8,FALSE))))</f>
        <v/>
      </c>
      <c r="I66" s="301" t="str">
        <f>IF(B66="","",IF(ISNA(VLOOKUP($B66,'B-1 On-Site Hedge Baseline'!$B$1:$L$257,10,FALSE)),"",(VLOOKUP($B66,'B-1 On-Site Hedge Baseline'!$B$1:$L$257,10,FALSE))))</f>
        <v/>
      </c>
      <c r="J66" s="301" t="str">
        <f>IF(B66="","",IF(ISNA(VLOOKUP($B66,'B-1 On-Site Hedge Baseline'!$B$1:$L$257,11,FALSE)),"",(VLOOKUP($B66,'B-1 On-Site Hedge Baseline'!$B$1:$L$257,11,FALSE))))</f>
        <v/>
      </c>
      <c r="K66" s="301" t="str">
        <f>IF(B66="","",IF(ISNA(VLOOKUP($B66,'B-1 On-Site Hedge Baseline'!$B$1:$U$257,13,FALSE)),"",(VLOOKUP($B66,'B-1 On-Site Hedge Baseline'!$B$1:$U$257,13,FALSE))))</f>
        <v/>
      </c>
      <c r="L66" s="305" t="str">
        <f>IF(B66="","",IF(ISNA(VLOOKUP($B66,'B-1 On-Site Hedge Baseline'!$B$1:$U$257,12,FALSE)),"",(VLOOKUP($B66,'B-1 On-Site Hedge Baseline'!$B$1:$U$257,12,FALSE))))</f>
        <v/>
      </c>
      <c r="M66" s="627"/>
      <c r="N66" s="281" t="str">
        <f>IFERROR(IF(B66="","",INDEX('G-6 Hedgerow Data'!$AN$3:$AZ$15,MATCH(C66,'G-6 Hedgerow Data'!$AM$3:$AM$15,0),MATCH(M66,'G-6 Hedgerow Data'!$AN$2:$AZ$2,0))),"")</f>
        <v/>
      </c>
      <c r="O66" s="282" t="str">
        <f t="shared" si="1"/>
        <v/>
      </c>
      <c r="P66" s="335" t="str">
        <f>IF(B66="","",VLOOKUP(B66,'B-1 On-Site Hedge Baseline'!$B$10:T311,16,FALSE))</f>
        <v/>
      </c>
      <c r="Q66" s="281" t="str">
        <f>IF(M66="","",VLOOKUP(M66,'G-6 Hedgerow Data'!$B$2:$AG$15,2,FALSE))</f>
        <v/>
      </c>
      <c r="R66" s="282" t="str">
        <f>IF(M66="","",VLOOKUP(M66,'G-6 Hedgerow Data'!$B$2:$AG$15,3,FALSE))</f>
        <v/>
      </c>
      <c r="S66" s="112"/>
      <c r="T66" s="320" t="str">
        <f>IFERROR(IF(S66="","",IF(AND(M66="Non-native and ornamental hedgerow", S66&lt;&gt;"Poor"),"Not possible ▲", (VLOOKUP(S66,'G-1 All Habitats'!$Z$2:$AA$9,2,FALSE)))),"")</f>
        <v/>
      </c>
      <c r="U66" s="109"/>
      <c r="V66" s="301" t="str">
        <f>IF(U66="","",IF(VLOOKUP(U66,'G-3 Multipliers'!$L$3:$N$6,2,FALSE)=0,"Spatial Data Missing ⚠",VLOOKUP(U66,'G-3 Multipliers'!$L$3:$N$6,2,FALSE)))</f>
        <v/>
      </c>
      <c r="W66" s="305" t="str">
        <f>IF(U66="","",IF(VLOOKUP(U66,'G-3 Multipliers'!$L$3:$N$6,3,FALSE)=0,"Spatial Data Missing ⚠",VLOOKUP(U66,'G-3 Multipliers'!$L$3:$N$6,3,FALSE)))</f>
        <v/>
      </c>
      <c r="X66" s="281" t="str">
        <f>IFERROR(IF(OR(LEFT(O66,5)="Error",LEFT(N66,5)="Error",T66="Error"),"Check Data ⚠",IF(F66&lt;R66,INDEX('G-6 Hedgerow Data'!$S$3:$AE$14,MATCH(C66,'G-6 Hedgerow Data'!$B$3:$B$14,0),MATCH(M66,'G-6 Hedgerow Data'!$S$2:$AE$2,0)),INDEX('G-6 Hedgerow Data'!$K$3:$Q$14,MATCH(M66,'G-6 Hedgerow Data'!$B$3:$B$14,0),MATCH(O66,'G-6 Hedgerow Data'!$K$2:$Q$2,0)))),"")</f>
        <v/>
      </c>
      <c r="Y66" s="137"/>
      <c r="Z66" s="137"/>
      <c r="AA66" s="289" t="str">
        <f t="shared" si="2"/>
        <v/>
      </c>
      <c r="AB66" s="302" t="str">
        <f t="shared" si="3"/>
        <v/>
      </c>
      <c r="AC66" s="303" t="str">
        <f t="shared" si="0"/>
        <v/>
      </c>
      <c r="AD66" s="317" t="str">
        <f>IF(M66="","",VLOOKUP(M66,'G-6 Hedgerow Data'!$B$3:$AG$15,31,FALSE))</f>
        <v/>
      </c>
      <c r="AE66" s="289" t="str">
        <f t="shared" si="4"/>
        <v/>
      </c>
      <c r="AF66" s="289" t="str">
        <f t="shared" si="5"/>
        <v/>
      </c>
      <c r="AG66" s="305" t="str">
        <f>IFERROR(IF(O66="","",VLOOKUP(AD66,'G-3 Multipliers'!$P$3:$Q$6,2,FALSE)),"")</f>
        <v/>
      </c>
      <c r="AH66" s="295" t="str">
        <f t="shared" si="6"/>
        <v/>
      </c>
      <c r="AI66" s="112"/>
      <c r="AJ66" s="119"/>
      <c r="AK66" s="108"/>
      <c r="AT66" s="30" t="str">
        <f>IFERROR(INDEX('G-6 Hedgerow Data'!$BJ$3:$BJ$15,MATCH(M66,'G-6 Hedgerow Data'!$B$3:$B$15,0)),"")</f>
        <v/>
      </c>
    </row>
    <row r="67" spans="2:46" ht="13.8" x14ac:dyDescent="0.25">
      <c r="B67" s="311" t="str">
        <f>'B-1 On-Site Hedge Baseline'!AK65</f>
        <v/>
      </c>
      <c r="C67" s="301" t="str">
        <f>IF(B67="","",IF(ISNA(VLOOKUP($B67,'B-1 On-Site Hedge Baseline'!$B$1:$L$257,3,FALSE)),"",(VLOOKUP($B67,'B-1 On-Site Hedge Baseline'!$B$1:$L$257,3,FALSE))))</f>
        <v/>
      </c>
      <c r="D67" s="301" t="str">
        <f>IF(B67="","",IF(ISNA(VLOOKUP($B67,'B-1 On-Site Hedge Baseline'!$B$1:$L$257,4,FALSE)),"",(VLOOKUP($B67,'B-1 On-Site Hedge Baseline'!$B$1:$L$257,4,FALSE))))</f>
        <v/>
      </c>
      <c r="E67" s="301" t="str">
        <f>IF(B67="","",IF(ISNA(VLOOKUP($B67,'B-1 On-Site Hedge Baseline'!$B$1:$L$257,5,FALSE)),"",(VLOOKUP($B67,'B-1 On-Site Hedge Baseline'!$B$1:$L$257,5,FALSE))))</f>
        <v/>
      </c>
      <c r="F67" s="301" t="str">
        <f>IF(B67="","",IF(ISNA(VLOOKUP($B67,'B-1 On-Site Hedge Baseline'!$B$1:$L$257,6,FALSE)),"",(VLOOKUP($B67,'B-1 On-Site Hedge Baseline'!$B$1:$L$257,6,FALSE))))</f>
        <v/>
      </c>
      <c r="G67" s="301" t="str">
        <f>IF(B67="","",IF(ISNA(VLOOKUP($B67,'B-1 On-Site Hedge Baseline'!$B$1:$L$257,7,FALSE)),"",(VLOOKUP($B67,'B-1 On-Site Hedge Baseline'!$B$1:$L$257,7,FALSE))))</f>
        <v/>
      </c>
      <c r="H67" s="301" t="str">
        <f>IF(B67="","",IF(ISNA(VLOOKUP($B67,'B-1 On-Site Hedge Baseline'!$B$1:$L$257,8,FALSE)),"",(VLOOKUP($B67,'B-1 On-Site Hedge Baseline'!$B$1:$L$257,8,FALSE))))</f>
        <v/>
      </c>
      <c r="I67" s="301" t="str">
        <f>IF(B67="","",IF(ISNA(VLOOKUP($B67,'B-1 On-Site Hedge Baseline'!$B$1:$L$257,10,FALSE)),"",(VLOOKUP($B67,'B-1 On-Site Hedge Baseline'!$B$1:$L$257,10,FALSE))))</f>
        <v/>
      </c>
      <c r="J67" s="301" t="str">
        <f>IF(B67="","",IF(ISNA(VLOOKUP($B67,'B-1 On-Site Hedge Baseline'!$B$1:$L$257,11,FALSE)),"",(VLOOKUP($B67,'B-1 On-Site Hedge Baseline'!$B$1:$L$257,11,FALSE))))</f>
        <v/>
      </c>
      <c r="K67" s="301" t="str">
        <f>IF(B67="","",IF(ISNA(VLOOKUP($B67,'B-1 On-Site Hedge Baseline'!$B$1:$U$257,13,FALSE)),"",(VLOOKUP($B67,'B-1 On-Site Hedge Baseline'!$B$1:$U$257,13,FALSE))))</f>
        <v/>
      </c>
      <c r="L67" s="305" t="str">
        <f>IF(B67="","",IF(ISNA(VLOOKUP($B67,'B-1 On-Site Hedge Baseline'!$B$1:$U$257,12,FALSE)),"",(VLOOKUP($B67,'B-1 On-Site Hedge Baseline'!$B$1:$U$257,12,FALSE))))</f>
        <v/>
      </c>
      <c r="M67" s="627"/>
      <c r="N67" s="281" t="str">
        <f>IFERROR(IF(B67="","",INDEX('G-6 Hedgerow Data'!$AN$3:$AZ$15,MATCH(C67,'G-6 Hedgerow Data'!$AM$3:$AM$15,0),MATCH(M67,'G-6 Hedgerow Data'!$AN$2:$AZ$2,0))),"")</f>
        <v/>
      </c>
      <c r="O67" s="282" t="str">
        <f t="shared" si="1"/>
        <v/>
      </c>
      <c r="P67" s="335" t="str">
        <f>IF(B67="","",VLOOKUP(B67,'B-1 On-Site Hedge Baseline'!$B$10:T312,16,FALSE))</f>
        <v/>
      </c>
      <c r="Q67" s="281" t="str">
        <f>IF(M67="","",VLOOKUP(M67,'G-6 Hedgerow Data'!$B$2:$AG$15,2,FALSE))</f>
        <v/>
      </c>
      <c r="R67" s="282" t="str">
        <f>IF(M67="","",VLOOKUP(M67,'G-6 Hedgerow Data'!$B$2:$AG$15,3,FALSE))</f>
        <v/>
      </c>
      <c r="S67" s="112"/>
      <c r="T67" s="320" t="str">
        <f>IFERROR(IF(S67="","",IF(AND(M67="Non-native and ornamental hedgerow", S67&lt;&gt;"Poor"),"Not possible ▲", (VLOOKUP(S67,'G-1 All Habitats'!$Z$2:$AA$9,2,FALSE)))),"")</f>
        <v/>
      </c>
      <c r="U67" s="109"/>
      <c r="V67" s="301" t="str">
        <f>IF(U67="","",IF(VLOOKUP(U67,'G-3 Multipliers'!$L$3:$N$6,2,FALSE)=0,"Spatial Data Missing ⚠",VLOOKUP(U67,'G-3 Multipliers'!$L$3:$N$6,2,FALSE)))</f>
        <v/>
      </c>
      <c r="W67" s="305" t="str">
        <f>IF(U67="","",IF(VLOOKUP(U67,'G-3 Multipliers'!$L$3:$N$6,3,FALSE)=0,"Spatial Data Missing ⚠",VLOOKUP(U67,'G-3 Multipliers'!$L$3:$N$6,3,FALSE)))</f>
        <v/>
      </c>
      <c r="X67" s="281" t="str">
        <f>IFERROR(IF(OR(LEFT(O67,5)="Error",LEFT(N67,5)="Error",T67="Error"),"Check Data ⚠",IF(F67&lt;R67,INDEX('G-6 Hedgerow Data'!$S$3:$AE$14,MATCH(C67,'G-6 Hedgerow Data'!$B$3:$B$14,0),MATCH(M67,'G-6 Hedgerow Data'!$S$2:$AE$2,0)),INDEX('G-6 Hedgerow Data'!$K$3:$Q$14,MATCH(M67,'G-6 Hedgerow Data'!$B$3:$B$14,0),MATCH(O67,'G-6 Hedgerow Data'!$K$2:$Q$2,0)))),"")</f>
        <v/>
      </c>
      <c r="Y67" s="137"/>
      <c r="Z67" s="137"/>
      <c r="AA67" s="289" t="str">
        <f t="shared" si="2"/>
        <v/>
      </c>
      <c r="AB67" s="302" t="str">
        <f t="shared" si="3"/>
        <v/>
      </c>
      <c r="AC67" s="303" t="str">
        <f t="shared" si="0"/>
        <v/>
      </c>
      <c r="AD67" s="317" t="str">
        <f>IF(M67="","",VLOOKUP(M67,'G-6 Hedgerow Data'!$B$3:$AG$15,31,FALSE))</f>
        <v/>
      </c>
      <c r="AE67" s="289" t="str">
        <f t="shared" si="4"/>
        <v/>
      </c>
      <c r="AF67" s="289" t="str">
        <f t="shared" si="5"/>
        <v/>
      </c>
      <c r="AG67" s="305" t="str">
        <f>IFERROR(IF(O67="","",VLOOKUP(AD67,'G-3 Multipliers'!$P$3:$Q$6,2,FALSE)),"")</f>
        <v/>
      </c>
      <c r="AH67" s="295" t="str">
        <f t="shared" si="6"/>
        <v/>
      </c>
      <c r="AI67" s="112"/>
      <c r="AJ67" s="119"/>
      <c r="AK67" s="108"/>
      <c r="AT67" s="30" t="str">
        <f>IFERROR(INDEX('G-6 Hedgerow Data'!$BJ$3:$BJ$15,MATCH(M67,'G-6 Hedgerow Data'!$B$3:$B$15,0)),"")</f>
        <v/>
      </c>
    </row>
    <row r="68" spans="2:46" ht="13.8" x14ac:dyDescent="0.25">
      <c r="B68" s="311" t="str">
        <f>'B-1 On-Site Hedge Baseline'!AK66</f>
        <v/>
      </c>
      <c r="C68" s="301" t="str">
        <f>IF(B68="","",IF(ISNA(VLOOKUP($B68,'B-1 On-Site Hedge Baseline'!$B$1:$L$257,3,FALSE)),"",(VLOOKUP($B68,'B-1 On-Site Hedge Baseline'!$B$1:$L$257,3,FALSE))))</f>
        <v/>
      </c>
      <c r="D68" s="301" t="str">
        <f>IF(B68="","",IF(ISNA(VLOOKUP($B68,'B-1 On-Site Hedge Baseline'!$B$1:$L$257,4,FALSE)),"",(VLOOKUP($B68,'B-1 On-Site Hedge Baseline'!$B$1:$L$257,4,FALSE))))</f>
        <v/>
      </c>
      <c r="E68" s="301" t="str">
        <f>IF(B68="","",IF(ISNA(VLOOKUP($B68,'B-1 On-Site Hedge Baseline'!$B$1:$L$257,5,FALSE)),"",(VLOOKUP($B68,'B-1 On-Site Hedge Baseline'!$B$1:$L$257,5,FALSE))))</f>
        <v/>
      </c>
      <c r="F68" s="301" t="str">
        <f>IF(B68="","",IF(ISNA(VLOOKUP($B68,'B-1 On-Site Hedge Baseline'!$B$1:$L$257,6,FALSE)),"",(VLOOKUP($B68,'B-1 On-Site Hedge Baseline'!$B$1:$L$257,6,FALSE))))</f>
        <v/>
      </c>
      <c r="G68" s="301" t="str">
        <f>IF(B68="","",IF(ISNA(VLOOKUP($B68,'B-1 On-Site Hedge Baseline'!$B$1:$L$257,7,FALSE)),"",(VLOOKUP($B68,'B-1 On-Site Hedge Baseline'!$B$1:$L$257,7,FALSE))))</f>
        <v/>
      </c>
      <c r="H68" s="301" t="str">
        <f>IF(B68="","",IF(ISNA(VLOOKUP($B68,'B-1 On-Site Hedge Baseline'!$B$1:$L$257,8,FALSE)),"",(VLOOKUP($B68,'B-1 On-Site Hedge Baseline'!$B$1:$L$257,8,FALSE))))</f>
        <v/>
      </c>
      <c r="I68" s="301" t="str">
        <f>IF(B68="","",IF(ISNA(VLOOKUP($B68,'B-1 On-Site Hedge Baseline'!$B$1:$L$257,10,FALSE)),"",(VLOOKUP($B68,'B-1 On-Site Hedge Baseline'!$B$1:$L$257,10,FALSE))))</f>
        <v/>
      </c>
      <c r="J68" s="301" t="str">
        <f>IF(B68="","",IF(ISNA(VLOOKUP($B68,'B-1 On-Site Hedge Baseline'!$B$1:$L$257,11,FALSE)),"",(VLOOKUP($B68,'B-1 On-Site Hedge Baseline'!$B$1:$L$257,11,FALSE))))</f>
        <v/>
      </c>
      <c r="K68" s="301" t="str">
        <f>IF(B68="","",IF(ISNA(VLOOKUP($B68,'B-1 On-Site Hedge Baseline'!$B$1:$U$257,13,FALSE)),"",(VLOOKUP($B68,'B-1 On-Site Hedge Baseline'!$B$1:$U$257,13,FALSE))))</f>
        <v/>
      </c>
      <c r="L68" s="305" t="str">
        <f>IF(B68="","",IF(ISNA(VLOOKUP($B68,'B-1 On-Site Hedge Baseline'!$B$1:$U$257,12,FALSE)),"",(VLOOKUP($B68,'B-1 On-Site Hedge Baseline'!$B$1:$U$257,12,FALSE))))</f>
        <v/>
      </c>
      <c r="M68" s="627"/>
      <c r="N68" s="281" t="str">
        <f>IFERROR(IF(B68="","",INDEX('G-6 Hedgerow Data'!$AN$3:$AZ$15,MATCH(C68,'G-6 Hedgerow Data'!$AM$3:$AM$15,0),MATCH(M68,'G-6 Hedgerow Data'!$AN$2:$AZ$2,0))),"")</f>
        <v/>
      </c>
      <c r="O68" s="282" t="str">
        <f t="shared" si="1"/>
        <v/>
      </c>
      <c r="P68" s="335" t="str">
        <f>IF(B68="","",VLOOKUP(B68,'B-1 On-Site Hedge Baseline'!$B$10:T313,16,FALSE))</f>
        <v/>
      </c>
      <c r="Q68" s="281" t="str">
        <f>IF(M68="","",VLOOKUP(M68,'G-6 Hedgerow Data'!$B$2:$AG$15,2,FALSE))</f>
        <v/>
      </c>
      <c r="R68" s="282" t="str">
        <f>IF(M68="","",VLOOKUP(M68,'G-6 Hedgerow Data'!$B$2:$AG$15,3,FALSE))</f>
        <v/>
      </c>
      <c r="S68" s="112"/>
      <c r="T68" s="320" t="str">
        <f>IFERROR(IF(S68="","",IF(AND(M68="Non-native and ornamental hedgerow", S68&lt;&gt;"Poor"),"Not possible ▲", (VLOOKUP(S68,'G-1 All Habitats'!$Z$2:$AA$9,2,FALSE)))),"")</f>
        <v/>
      </c>
      <c r="U68" s="109"/>
      <c r="V68" s="301" t="str">
        <f>IF(U68="","",IF(VLOOKUP(U68,'G-3 Multipliers'!$L$3:$N$6,2,FALSE)=0,"Spatial Data Missing ⚠",VLOOKUP(U68,'G-3 Multipliers'!$L$3:$N$6,2,FALSE)))</f>
        <v/>
      </c>
      <c r="W68" s="305" t="str">
        <f>IF(U68="","",IF(VLOOKUP(U68,'G-3 Multipliers'!$L$3:$N$6,3,FALSE)=0,"Spatial Data Missing ⚠",VLOOKUP(U68,'G-3 Multipliers'!$L$3:$N$6,3,FALSE)))</f>
        <v/>
      </c>
      <c r="X68" s="281" t="str">
        <f>IFERROR(IF(OR(LEFT(O68,5)="Error",LEFT(N68,5)="Error",T68="Error"),"Check Data ⚠",IF(F68&lt;R68,INDEX('G-6 Hedgerow Data'!$S$3:$AE$14,MATCH(C68,'G-6 Hedgerow Data'!$B$3:$B$14,0),MATCH(M68,'G-6 Hedgerow Data'!$S$2:$AE$2,0)),INDEX('G-6 Hedgerow Data'!$K$3:$Q$14,MATCH(M68,'G-6 Hedgerow Data'!$B$3:$B$14,0),MATCH(O68,'G-6 Hedgerow Data'!$K$2:$Q$2,0)))),"")</f>
        <v/>
      </c>
      <c r="Y68" s="137"/>
      <c r="Z68" s="137"/>
      <c r="AA68" s="289" t="str">
        <f t="shared" si="2"/>
        <v/>
      </c>
      <c r="AB68" s="302" t="str">
        <f t="shared" si="3"/>
        <v/>
      </c>
      <c r="AC68" s="303" t="str">
        <f t="shared" si="0"/>
        <v/>
      </c>
      <c r="AD68" s="317" t="str">
        <f>IF(M68="","",VLOOKUP(M68,'G-6 Hedgerow Data'!$B$3:$AG$15,31,FALSE))</f>
        <v/>
      </c>
      <c r="AE68" s="289" t="str">
        <f t="shared" si="4"/>
        <v/>
      </c>
      <c r="AF68" s="289" t="str">
        <f t="shared" si="5"/>
        <v/>
      </c>
      <c r="AG68" s="305" t="str">
        <f>IFERROR(IF(O68="","",VLOOKUP(AD68,'G-3 Multipliers'!$P$3:$Q$6,2,FALSE)),"")</f>
        <v/>
      </c>
      <c r="AH68" s="295" t="str">
        <f t="shared" si="6"/>
        <v/>
      </c>
      <c r="AI68" s="112"/>
      <c r="AJ68" s="119"/>
      <c r="AK68" s="108"/>
      <c r="AT68" s="30" t="str">
        <f>IFERROR(INDEX('G-6 Hedgerow Data'!$BJ$3:$BJ$15,MATCH(M68,'G-6 Hedgerow Data'!$B$3:$B$15,0)),"")</f>
        <v/>
      </c>
    </row>
    <row r="69" spans="2:46" ht="13.8" x14ac:dyDescent="0.25">
      <c r="B69" s="311" t="str">
        <f>'B-1 On-Site Hedge Baseline'!AK67</f>
        <v/>
      </c>
      <c r="C69" s="301" t="str">
        <f>IF(B69="","",IF(ISNA(VLOOKUP($B69,'B-1 On-Site Hedge Baseline'!$B$1:$L$257,3,FALSE)),"",(VLOOKUP($B69,'B-1 On-Site Hedge Baseline'!$B$1:$L$257,3,FALSE))))</f>
        <v/>
      </c>
      <c r="D69" s="301" t="str">
        <f>IF(B69="","",IF(ISNA(VLOOKUP($B69,'B-1 On-Site Hedge Baseline'!$B$1:$L$257,4,FALSE)),"",(VLOOKUP($B69,'B-1 On-Site Hedge Baseline'!$B$1:$L$257,4,FALSE))))</f>
        <v/>
      </c>
      <c r="E69" s="301" t="str">
        <f>IF(B69="","",IF(ISNA(VLOOKUP($B69,'B-1 On-Site Hedge Baseline'!$B$1:$L$257,5,FALSE)),"",(VLOOKUP($B69,'B-1 On-Site Hedge Baseline'!$B$1:$L$257,5,FALSE))))</f>
        <v/>
      </c>
      <c r="F69" s="301" t="str">
        <f>IF(B69="","",IF(ISNA(VLOOKUP($B69,'B-1 On-Site Hedge Baseline'!$B$1:$L$257,6,FALSE)),"",(VLOOKUP($B69,'B-1 On-Site Hedge Baseline'!$B$1:$L$257,6,FALSE))))</f>
        <v/>
      </c>
      <c r="G69" s="301" t="str">
        <f>IF(B69="","",IF(ISNA(VLOOKUP($B69,'B-1 On-Site Hedge Baseline'!$B$1:$L$257,7,FALSE)),"",(VLOOKUP($B69,'B-1 On-Site Hedge Baseline'!$B$1:$L$257,7,FALSE))))</f>
        <v/>
      </c>
      <c r="H69" s="301" t="str">
        <f>IF(B69="","",IF(ISNA(VLOOKUP($B69,'B-1 On-Site Hedge Baseline'!$B$1:$L$257,8,FALSE)),"",(VLOOKUP($B69,'B-1 On-Site Hedge Baseline'!$B$1:$L$257,8,FALSE))))</f>
        <v/>
      </c>
      <c r="I69" s="301" t="str">
        <f>IF(B69="","",IF(ISNA(VLOOKUP($B69,'B-1 On-Site Hedge Baseline'!$B$1:$L$257,10,FALSE)),"",(VLOOKUP($B69,'B-1 On-Site Hedge Baseline'!$B$1:$L$257,10,FALSE))))</f>
        <v/>
      </c>
      <c r="J69" s="301" t="str">
        <f>IF(B69="","",IF(ISNA(VLOOKUP($B69,'B-1 On-Site Hedge Baseline'!$B$1:$L$257,11,FALSE)),"",(VLOOKUP($B69,'B-1 On-Site Hedge Baseline'!$B$1:$L$257,11,FALSE))))</f>
        <v/>
      </c>
      <c r="K69" s="301" t="str">
        <f>IF(B69="","",IF(ISNA(VLOOKUP($B69,'B-1 On-Site Hedge Baseline'!$B$1:$U$257,13,FALSE)),"",(VLOOKUP($B69,'B-1 On-Site Hedge Baseline'!$B$1:$U$257,13,FALSE))))</f>
        <v/>
      </c>
      <c r="L69" s="305" t="str">
        <f>IF(B69="","",IF(ISNA(VLOOKUP($B69,'B-1 On-Site Hedge Baseline'!$B$1:$U$257,12,FALSE)),"",(VLOOKUP($B69,'B-1 On-Site Hedge Baseline'!$B$1:$U$257,12,FALSE))))</f>
        <v/>
      </c>
      <c r="M69" s="627"/>
      <c r="N69" s="281" t="str">
        <f>IFERROR(IF(B69="","",INDEX('G-6 Hedgerow Data'!$AN$3:$AZ$15,MATCH(C69,'G-6 Hedgerow Data'!$AM$3:$AM$15,0),MATCH(M69,'G-6 Hedgerow Data'!$AN$2:$AZ$2,0))),"")</f>
        <v/>
      </c>
      <c r="O69" s="282" t="str">
        <f t="shared" si="1"/>
        <v/>
      </c>
      <c r="P69" s="335" t="str">
        <f>IF(B69="","",VLOOKUP(B69,'B-1 On-Site Hedge Baseline'!$B$10:T314,16,FALSE))</f>
        <v/>
      </c>
      <c r="Q69" s="281" t="str">
        <f>IF(M69="","",VLOOKUP(M69,'G-6 Hedgerow Data'!$B$2:$AG$15,2,FALSE))</f>
        <v/>
      </c>
      <c r="R69" s="282" t="str">
        <f>IF(M69="","",VLOOKUP(M69,'G-6 Hedgerow Data'!$B$2:$AG$15,3,FALSE))</f>
        <v/>
      </c>
      <c r="S69" s="112"/>
      <c r="T69" s="320" t="str">
        <f>IFERROR(IF(S69="","",IF(AND(M69="Non-native and ornamental hedgerow", S69&lt;&gt;"Poor"),"Not possible ▲", (VLOOKUP(S69,'G-1 All Habitats'!$Z$2:$AA$9,2,FALSE)))),"")</f>
        <v/>
      </c>
      <c r="U69" s="109"/>
      <c r="V69" s="301" t="str">
        <f>IF(U69="","",IF(VLOOKUP(U69,'G-3 Multipliers'!$L$3:$N$6,2,FALSE)=0,"Spatial Data Missing ⚠",VLOOKUP(U69,'G-3 Multipliers'!$L$3:$N$6,2,FALSE)))</f>
        <v/>
      </c>
      <c r="W69" s="305" t="str">
        <f>IF(U69="","",IF(VLOOKUP(U69,'G-3 Multipliers'!$L$3:$N$6,3,FALSE)=0,"Spatial Data Missing ⚠",VLOOKUP(U69,'G-3 Multipliers'!$L$3:$N$6,3,FALSE)))</f>
        <v/>
      </c>
      <c r="X69" s="281" t="str">
        <f>IFERROR(IF(OR(LEFT(O69,5)="Error",LEFT(N69,5)="Error",T69="Error"),"Check Data ⚠",IF(F69&lt;R69,INDEX('G-6 Hedgerow Data'!$S$3:$AE$14,MATCH(C69,'G-6 Hedgerow Data'!$B$3:$B$14,0),MATCH(M69,'G-6 Hedgerow Data'!$S$2:$AE$2,0)),INDEX('G-6 Hedgerow Data'!$K$3:$Q$14,MATCH(M69,'G-6 Hedgerow Data'!$B$3:$B$14,0),MATCH(O69,'G-6 Hedgerow Data'!$K$2:$Q$2,0)))),"")</f>
        <v/>
      </c>
      <c r="Y69" s="137"/>
      <c r="Z69" s="137"/>
      <c r="AA69" s="289" t="str">
        <f t="shared" si="2"/>
        <v/>
      </c>
      <c r="AB69" s="302" t="str">
        <f t="shared" si="3"/>
        <v/>
      </c>
      <c r="AC69" s="303" t="str">
        <f t="shared" si="0"/>
        <v/>
      </c>
      <c r="AD69" s="317" t="str">
        <f>IF(M69="","",VLOOKUP(M69,'G-6 Hedgerow Data'!$B$3:$AG$15,31,FALSE))</f>
        <v/>
      </c>
      <c r="AE69" s="289" t="str">
        <f t="shared" si="4"/>
        <v/>
      </c>
      <c r="AF69" s="289" t="str">
        <f t="shared" si="5"/>
        <v/>
      </c>
      <c r="AG69" s="305" t="str">
        <f>IFERROR(IF(O69="","",VLOOKUP(AD69,'G-3 Multipliers'!$P$3:$Q$6,2,FALSE)),"")</f>
        <v/>
      </c>
      <c r="AH69" s="295" t="str">
        <f t="shared" si="6"/>
        <v/>
      </c>
      <c r="AI69" s="112"/>
      <c r="AJ69" s="119"/>
      <c r="AK69" s="108"/>
      <c r="AT69" s="30" t="str">
        <f>IFERROR(INDEX('G-6 Hedgerow Data'!$BJ$3:$BJ$15,MATCH(M69,'G-6 Hedgerow Data'!$B$3:$B$15,0)),"")</f>
        <v/>
      </c>
    </row>
    <row r="70" spans="2:46" ht="13.8" x14ac:dyDescent="0.25">
      <c r="B70" s="311" t="str">
        <f>'B-1 On-Site Hedge Baseline'!AK68</f>
        <v/>
      </c>
      <c r="C70" s="301" t="str">
        <f>IF(B70="","",IF(ISNA(VLOOKUP($B70,'B-1 On-Site Hedge Baseline'!$B$1:$L$257,3,FALSE)),"",(VLOOKUP($B70,'B-1 On-Site Hedge Baseline'!$B$1:$L$257,3,FALSE))))</f>
        <v/>
      </c>
      <c r="D70" s="301" t="str">
        <f>IF(B70="","",IF(ISNA(VLOOKUP($B70,'B-1 On-Site Hedge Baseline'!$B$1:$L$257,4,FALSE)),"",(VLOOKUP($B70,'B-1 On-Site Hedge Baseline'!$B$1:$L$257,4,FALSE))))</f>
        <v/>
      </c>
      <c r="E70" s="301" t="str">
        <f>IF(B70="","",IF(ISNA(VLOOKUP($B70,'B-1 On-Site Hedge Baseline'!$B$1:$L$257,5,FALSE)),"",(VLOOKUP($B70,'B-1 On-Site Hedge Baseline'!$B$1:$L$257,5,FALSE))))</f>
        <v/>
      </c>
      <c r="F70" s="301" t="str">
        <f>IF(B70="","",IF(ISNA(VLOOKUP($B70,'B-1 On-Site Hedge Baseline'!$B$1:$L$257,6,FALSE)),"",(VLOOKUP($B70,'B-1 On-Site Hedge Baseline'!$B$1:$L$257,6,FALSE))))</f>
        <v/>
      </c>
      <c r="G70" s="301" t="str">
        <f>IF(B70="","",IF(ISNA(VLOOKUP($B70,'B-1 On-Site Hedge Baseline'!$B$1:$L$257,7,FALSE)),"",(VLOOKUP($B70,'B-1 On-Site Hedge Baseline'!$B$1:$L$257,7,FALSE))))</f>
        <v/>
      </c>
      <c r="H70" s="301" t="str">
        <f>IF(B70="","",IF(ISNA(VLOOKUP($B70,'B-1 On-Site Hedge Baseline'!$B$1:$L$257,8,FALSE)),"",(VLOOKUP($B70,'B-1 On-Site Hedge Baseline'!$B$1:$L$257,8,FALSE))))</f>
        <v/>
      </c>
      <c r="I70" s="301" t="str">
        <f>IF(B70="","",IF(ISNA(VLOOKUP($B70,'B-1 On-Site Hedge Baseline'!$B$1:$L$257,10,FALSE)),"",(VLOOKUP($B70,'B-1 On-Site Hedge Baseline'!$B$1:$L$257,10,FALSE))))</f>
        <v/>
      </c>
      <c r="J70" s="301" t="str">
        <f>IF(B70="","",IF(ISNA(VLOOKUP($B70,'B-1 On-Site Hedge Baseline'!$B$1:$L$257,11,FALSE)),"",(VLOOKUP($B70,'B-1 On-Site Hedge Baseline'!$B$1:$L$257,11,FALSE))))</f>
        <v/>
      </c>
      <c r="K70" s="301" t="str">
        <f>IF(B70="","",IF(ISNA(VLOOKUP($B70,'B-1 On-Site Hedge Baseline'!$B$1:$U$257,13,FALSE)),"",(VLOOKUP($B70,'B-1 On-Site Hedge Baseline'!$B$1:$U$257,13,FALSE))))</f>
        <v/>
      </c>
      <c r="L70" s="305" t="str">
        <f>IF(B70="","",IF(ISNA(VLOOKUP($B70,'B-1 On-Site Hedge Baseline'!$B$1:$U$257,12,FALSE)),"",(VLOOKUP($B70,'B-1 On-Site Hedge Baseline'!$B$1:$U$257,12,FALSE))))</f>
        <v/>
      </c>
      <c r="M70" s="627"/>
      <c r="N70" s="281" t="str">
        <f>IFERROR(IF(B70="","",INDEX('G-6 Hedgerow Data'!$AN$3:$AZ$15,MATCH(C70,'G-6 Hedgerow Data'!$AM$3:$AM$15,0),MATCH(M70,'G-6 Hedgerow Data'!$AN$2:$AZ$2,0))),"")</f>
        <v/>
      </c>
      <c r="O70" s="282" t="str">
        <f t="shared" si="1"/>
        <v/>
      </c>
      <c r="P70" s="335" t="str">
        <f>IF(B70="","",VLOOKUP(B70,'B-1 On-Site Hedge Baseline'!$B$10:T315,16,FALSE))</f>
        <v/>
      </c>
      <c r="Q70" s="281" t="str">
        <f>IF(M70="","",VLOOKUP(M70,'G-6 Hedgerow Data'!$B$2:$AG$15,2,FALSE))</f>
        <v/>
      </c>
      <c r="R70" s="282" t="str">
        <f>IF(M70="","",VLOOKUP(M70,'G-6 Hedgerow Data'!$B$2:$AG$15,3,FALSE))</f>
        <v/>
      </c>
      <c r="S70" s="112"/>
      <c r="T70" s="320" t="str">
        <f>IFERROR(IF(S70="","",IF(AND(M70="Non-native and ornamental hedgerow", S70&lt;&gt;"Poor"),"Not possible ▲", (VLOOKUP(S70,'G-1 All Habitats'!$Z$2:$AA$9,2,FALSE)))),"")</f>
        <v/>
      </c>
      <c r="U70" s="109"/>
      <c r="V70" s="301" t="str">
        <f>IF(U70="","",IF(VLOOKUP(U70,'G-3 Multipliers'!$L$3:$N$6,2,FALSE)=0,"Spatial Data Missing ⚠",VLOOKUP(U70,'G-3 Multipliers'!$L$3:$N$6,2,FALSE)))</f>
        <v/>
      </c>
      <c r="W70" s="305" t="str">
        <f>IF(U70="","",IF(VLOOKUP(U70,'G-3 Multipliers'!$L$3:$N$6,3,FALSE)=0,"Spatial Data Missing ⚠",VLOOKUP(U70,'G-3 Multipliers'!$L$3:$N$6,3,FALSE)))</f>
        <v/>
      </c>
      <c r="X70" s="281" t="str">
        <f>IFERROR(IF(OR(LEFT(O70,5)="Error",LEFT(N70,5)="Error",T70="Error"),"Check Data ⚠",IF(F70&lt;R70,INDEX('G-6 Hedgerow Data'!$S$3:$AE$14,MATCH(C70,'G-6 Hedgerow Data'!$B$3:$B$14,0),MATCH(M70,'G-6 Hedgerow Data'!$S$2:$AE$2,0)),INDEX('G-6 Hedgerow Data'!$K$3:$Q$14,MATCH(M70,'G-6 Hedgerow Data'!$B$3:$B$14,0),MATCH(O70,'G-6 Hedgerow Data'!$K$2:$Q$2,0)))),"")</f>
        <v/>
      </c>
      <c r="Y70" s="137"/>
      <c r="Z70" s="137"/>
      <c r="AA70" s="289" t="str">
        <f t="shared" si="2"/>
        <v/>
      </c>
      <c r="AB70" s="302" t="str">
        <f t="shared" si="3"/>
        <v/>
      </c>
      <c r="AC70" s="303" t="str">
        <f t="shared" si="0"/>
        <v/>
      </c>
      <c r="AD70" s="317" t="str">
        <f>IF(M70="","",VLOOKUP(M70,'G-6 Hedgerow Data'!$B$3:$AG$15,31,FALSE))</f>
        <v/>
      </c>
      <c r="AE70" s="289" t="str">
        <f t="shared" si="4"/>
        <v/>
      </c>
      <c r="AF70" s="289" t="str">
        <f t="shared" si="5"/>
        <v/>
      </c>
      <c r="AG70" s="305" t="str">
        <f>IFERROR(IF(O70="","",VLOOKUP(AD70,'G-3 Multipliers'!$P$3:$Q$6,2,FALSE)),"")</f>
        <v/>
      </c>
      <c r="AH70" s="295" t="str">
        <f t="shared" si="6"/>
        <v/>
      </c>
      <c r="AI70" s="112"/>
      <c r="AJ70" s="119"/>
      <c r="AK70" s="108"/>
      <c r="AT70" s="30" t="str">
        <f>IFERROR(INDEX('G-6 Hedgerow Data'!$BJ$3:$BJ$15,MATCH(M70,'G-6 Hedgerow Data'!$B$3:$B$15,0)),"")</f>
        <v/>
      </c>
    </row>
    <row r="71" spans="2:46" ht="13.8" x14ac:dyDescent="0.25">
      <c r="B71" s="311" t="str">
        <f>'B-1 On-Site Hedge Baseline'!AK69</f>
        <v/>
      </c>
      <c r="C71" s="301" t="str">
        <f>IF(B71="","",IF(ISNA(VLOOKUP($B71,'B-1 On-Site Hedge Baseline'!$B$1:$L$257,3,FALSE)),"",(VLOOKUP($B71,'B-1 On-Site Hedge Baseline'!$B$1:$L$257,3,FALSE))))</f>
        <v/>
      </c>
      <c r="D71" s="301" t="str">
        <f>IF(B71="","",IF(ISNA(VLOOKUP($B71,'B-1 On-Site Hedge Baseline'!$B$1:$L$257,4,FALSE)),"",(VLOOKUP($B71,'B-1 On-Site Hedge Baseline'!$B$1:$L$257,4,FALSE))))</f>
        <v/>
      </c>
      <c r="E71" s="301" t="str">
        <f>IF(B71="","",IF(ISNA(VLOOKUP($B71,'B-1 On-Site Hedge Baseline'!$B$1:$L$257,5,FALSE)),"",(VLOOKUP($B71,'B-1 On-Site Hedge Baseline'!$B$1:$L$257,5,FALSE))))</f>
        <v/>
      </c>
      <c r="F71" s="301" t="str">
        <f>IF(B71="","",IF(ISNA(VLOOKUP($B71,'B-1 On-Site Hedge Baseline'!$B$1:$L$257,6,FALSE)),"",(VLOOKUP($B71,'B-1 On-Site Hedge Baseline'!$B$1:$L$257,6,FALSE))))</f>
        <v/>
      </c>
      <c r="G71" s="301" t="str">
        <f>IF(B71="","",IF(ISNA(VLOOKUP($B71,'B-1 On-Site Hedge Baseline'!$B$1:$L$257,7,FALSE)),"",(VLOOKUP($B71,'B-1 On-Site Hedge Baseline'!$B$1:$L$257,7,FALSE))))</f>
        <v/>
      </c>
      <c r="H71" s="301" t="str">
        <f>IF(B71="","",IF(ISNA(VLOOKUP($B71,'B-1 On-Site Hedge Baseline'!$B$1:$L$257,8,FALSE)),"",(VLOOKUP($B71,'B-1 On-Site Hedge Baseline'!$B$1:$L$257,8,FALSE))))</f>
        <v/>
      </c>
      <c r="I71" s="301" t="str">
        <f>IF(B71="","",IF(ISNA(VLOOKUP($B71,'B-1 On-Site Hedge Baseline'!$B$1:$L$257,10,FALSE)),"",(VLOOKUP($B71,'B-1 On-Site Hedge Baseline'!$B$1:$L$257,10,FALSE))))</f>
        <v/>
      </c>
      <c r="J71" s="301" t="str">
        <f>IF(B71="","",IF(ISNA(VLOOKUP($B71,'B-1 On-Site Hedge Baseline'!$B$1:$L$257,11,FALSE)),"",(VLOOKUP($B71,'B-1 On-Site Hedge Baseline'!$B$1:$L$257,11,FALSE))))</f>
        <v/>
      </c>
      <c r="K71" s="301" t="str">
        <f>IF(B71="","",IF(ISNA(VLOOKUP($B71,'B-1 On-Site Hedge Baseline'!$B$1:$U$257,13,FALSE)),"",(VLOOKUP($B71,'B-1 On-Site Hedge Baseline'!$B$1:$U$257,13,FALSE))))</f>
        <v/>
      </c>
      <c r="L71" s="305" t="str">
        <f>IF(B71="","",IF(ISNA(VLOOKUP($B71,'B-1 On-Site Hedge Baseline'!$B$1:$U$257,12,FALSE)),"",(VLOOKUP($B71,'B-1 On-Site Hedge Baseline'!$B$1:$U$257,12,FALSE))))</f>
        <v/>
      </c>
      <c r="M71" s="627"/>
      <c r="N71" s="281" t="str">
        <f>IFERROR(IF(B71="","",INDEX('G-6 Hedgerow Data'!$AN$3:$AZ$15,MATCH(C71,'G-6 Hedgerow Data'!$AM$3:$AM$15,0),MATCH(M71,'G-6 Hedgerow Data'!$AN$2:$AZ$2,0))),"")</f>
        <v/>
      </c>
      <c r="O71" s="282" t="str">
        <f t="shared" si="1"/>
        <v/>
      </c>
      <c r="P71" s="335" t="str">
        <f>IF(B71="","",VLOOKUP(B71,'B-1 On-Site Hedge Baseline'!$B$10:T316,16,FALSE))</f>
        <v/>
      </c>
      <c r="Q71" s="281" t="str">
        <f>IF(M71="","",VLOOKUP(M71,'G-6 Hedgerow Data'!$B$2:$AG$15,2,FALSE))</f>
        <v/>
      </c>
      <c r="R71" s="282" t="str">
        <f>IF(M71="","",VLOOKUP(M71,'G-6 Hedgerow Data'!$B$2:$AG$15,3,FALSE))</f>
        <v/>
      </c>
      <c r="S71" s="112"/>
      <c r="T71" s="320" t="str">
        <f>IFERROR(IF(S71="","",IF(AND(M71="Non-native and ornamental hedgerow", S71&lt;&gt;"Poor"),"Not possible ▲", (VLOOKUP(S71,'G-1 All Habitats'!$Z$2:$AA$9,2,FALSE)))),"")</f>
        <v/>
      </c>
      <c r="U71" s="109"/>
      <c r="V71" s="301" t="str">
        <f>IF(U71="","",IF(VLOOKUP(U71,'G-3 Multipliers'!$L$3:$N$6,2,FALSE)=0,"Spatial Data Missing ⚠",VLOOKUP(U71,'G-3 Multipliers'!$L$3:$N$6,2,FALSE)))</f>
        <v/>
      </c>
      <c r="W71" s="305" t="str">
        <f>IF(U71="","",IF(VLOOKUP(U71,'G-3 Multipliers'!$L$3:$N$6,3,FALSE)=0,"Spatial Data Missing ⚠",VLOOKUP(U71,'G-3 Multipliers'!$L$3:$N$6,3,FALSE)))</f>
        <v/>
      </c>
      <c r="X71" s="281" t="str">
        <f>IFERROR(IF(OR(LEFT(O71,5)="Error",LEFT(N71,5)="Error",T71="Error"),"Check Data ⚠",IF(F71&lt;R71,INDEX('G-6 Hedgerow Data'!$S$3:$AE$14,MATCH(C71,'G-6 Hedgerow Data'!$B$3:$B$14,0),MATCH(M71,'G-6 Hedgerow Data'!$S$2:$AE$2,0)),INDEX('G-6 Hedgerow Data'!$K$3:$Q$14,MATCH(M71,'G-6 Hedgerow Data'!$B$3:$B$14,0),MATCH(O71,'G-6 Hedgerow Data'!$K$2:$Q$2,0)))),"")</f>
        <v/>
      </c>
      <c r="Y71" s="137"/>
      <c r="Z71" s="137"/>
      <c r="AA71" s="289" t="str">
        <f t="shared" si="2"/>
        <v/>
      </c>
      <c r="AB71" s="302" t="str">
        <f t="shared" si="3"/>
        <v/>
      </c>
      <c r="AC71" s="303" t="str">
        <f t="shared" si="0"/>
        <v/>
      </c>
      <c r="AD71" s="317" t="str">
        <f>IF(M71="","",VLOOKUP(M71,'G-6 Hedgerow Data'!$B$3:$AG$15,31,FALSE))</f>
        <v/>
      </c>
      <c r="AE71" s="289" t="str">
        <f t="shared" si="4"/>
        <v/>
      </c>
      <c r="AF71" s="289" t="str">
        <f t="shared" si="5"/>
        <v/>
      </c>
      <c r="AG71" s="305" t="str">
        <f>IFERROR(IF(O71="","",VLOOKUP(AD71,'G-3 Multipliers'!$P$3:$Q$6,2,FALSE)),"")</f>
        <v/>
      </c>
      <c r="AH71" s="295" t="str">
        <f t="shared" si="6"/>
        <v/>
      </c>
      <c r="AI71" s="112"/>
      <c r="AJ71" s="119"/>
      <c r="AK71" s="108"/>
      <c r="AT71" s="30" t="str">
        <f>IFERROR(INDEX('G-6 Hedgerow Data'!$BJ$3:$BJ$15,MATCH(M71,'G-6 Hedgerow Data'!$B$3:$B$15,0)),"")</f>
        <v/>
      </c>
    </row>
    <row r="72" spans="2:46" ht="13.8" x14ac:dyDescent="0.25">
      <c r="B72" s="311" t="str">
        <f>'B-1 On-Site Hedge Baseline'!AK70</f>
        <v/>
      </c>
      <c r="C72" s="301" t="str">
        <f>IF(B72="","",IF(ISNA(VLOOKUP($B72,'B-1 On-Site Hedge Baseline'!$B$1:$L$257,3,FALSE)),"",(VLOOKUP($B72,'B-1 On-Site Hedge Baseline'!$B$1:$L$257,3,FALSE))))</f>
        <v/>
      </c>
      <c r="D72" s="301" t="str">
        <f>IF(B72="","",IF(ISNA(VLOOKUP($B72,'B-1 On-Site Hedge Baseline'!$B$1:$L$257,4,FALSE)),"",(VLOOKUP($B72,'B-1 On-Site Hedge Baseline'!$B$1:$L$257,4,FALSE))))</f>
        <v/>
      </c>
      <c r="E72" s="301" t="str">
        <f>IF(B72="","",IF(ISNA(VLOOKUP($B72,'B-1 On-Site Hedge Baseline'!$B$1:$L$257,5,FALSE)),"",(VLOOKUP($B72,'B-1 On-Site Hedge Baseline'!$B$1:$L$257,5,FALSE))))</f>
        <v/>
      </c>
      <c r="F72" s="301" t="str">
        <f>IF(B72="","",IF(ISNA(VLOOKUP($B72,'B-1 On-Site Hedge Baseline'!$B$1:$L$257,6,FALSE)),"",(VLOOKUP($B72,'B-1 On-Site Hedge Baseline'!$B$1:$L$257,6,FALSE))))</f>
        <v/>
      </c>
      <c r="G72" s="301" t="str">
        <f>IF(B72="","",IF(ISNA(VLOOKUP($B72,'B-1 On-Site Hedge Baseline'!$B$1:$L$257,7,FALSE)),"",(VLOOKUP($B72,'B-1 On-Site Hedge Baseline'!$B$1:$L$257,7,FALSE))))</f>
        <v/>
      </c>
      <c r="H72" s="301" t="str">
        <f>IF(B72="","",IF(ISNA(VLOOKUP($B72,'B-1 On-Site Hedge Baseline'!$B$1:$L$257,8,FALSE)),"",(VLOOKUP($B72,'B-1 On-Site Hedge Baseline'!$B$1:$L$257,8,FALSE))))</f>
        <v/>
      </c>
      <c r="I72" s="301" t="str">
        <f>IF(B72="","",IF(ISNA(VLOOKUP($B72,'B-1 On-Site Hedge Baseline'!$B$1:$L$257,10,FALSE)),"",(VLOOKUP($B72,'B-1 On-Site Hedge Baseline'!$B$1:$L$257,10,FALSE))))</f>
        <v/>
      </c>
      <c r="J72" s="301" t="str">
        <f>IF(B72="","",IF(ISNA(VLOOKUP($B72,'B-1 On-Site Hedge Baseline'!$B$1:$L$257,11,FALSE)),"",(VLOOKUP($B72,'B-1 On-Site Hedge Baseline'!$B$1:$L$257,11,FALSE))))</f>
        <v/>
      </c>
      <c r="K72" s="301" t="str">
        <f>IF(B72="","",IF(ISNA(VLOOKUP($B72,'B-1 On-Site Hedge Baseline'!$B$1:$U$257,13,FALSE)),"",(VLOOKUP($B72,'B-1 On-Site Hedge Baseline'!$B$1:$U$257,13,FALSE))))</f>
        <v/>
      </c>
      <c r="L72" s="305" t="str">
        <f>IF(B72="","",IF(ISNA(VLOOKUP($B72,'B-1 On-Site Hedge Baseline'!$B$1:$U$257,12,FALSE)),"",(VLOOKUP($B72,'B-1 On-Site Hedge Baseline'!$B$1:$U$257,12,FALSE))))</f>
        <v/>
      </c>
      <c r="M72" s="627"/>
      <c r="N72" s="281" t="str">
        <f>IFERROR(IF(B72="","",INDEX('G-6 Hedgerow Data'!$AN$3:$AZ$15,MATCH(C72,'G-6 Hedgerow Data'!$AM$3:$AM$15,0),MATCH(M72,'G-6 Hedgerow Data'!$AN$2:$AZ$2,0))),"")</f>
        <v/>
      </c>
      <c r="O72" s="282" t="str">
        <f t="shared" si="1"/>
        <v/>
      </c>
      <c r="P72" s="335" t="str">
        <f>IF(B72="","",VLOOKUP(B72,'B-1 On-Site Hedge Baseline'!$B$10:T317,16,FALSE))</f>
        <v/>
      </c>
      <c r="Q72" s="281" t="str">
        <f>IF(M72="","",VLOOKUP(M72,'G-6 Hedgerow Data'!$B$2:$AG$15,2,FALSE))</f>
        <v/>
      </c>
      <c r="R72" s="282" t="str">
        <f>IF(M72="","",VLOOKUP(M72,'G-6 Hedgerow Data'!$B$2:$AG$15,3,FALSE))</f>
        <v/>
      </c>
      <c r="S72" s="112"/>
      <c r="T72" s="320" t="str">
        <f>IFERROR(IF(S72="","",IF(AND(M72="Non-native and ornamental hedgerow", S72&lt;&gt;"Poor"),"Not possible ▲", (VLOOKUP(S72,'G-1 All Habitats'!$Z$2:$AA$9,2,FALSE)))),"")</f>
        <v/>
      </c>
      <c r="U72" s="109"/>
      <c r="V72" s="301" t="str">
        <f>IF(U72="","",IF(VLOOKUP(U72,'G-3 Multipliers'!$L$3:$N$6,2,FALSE)=0,"Spatial Data Missing ⚠",VLOOKUP(U72,'G-3 Multipliers'!$L$3:$N$6,2,FALSE)))</f>
        <v/>
      </c>
      <c r="W72" s="305" t="str">
        <f>IF(U72="","",IF(VLOOKUP(U72,'G-3 Multipliers'!$L$3:$N$6,3,FALSE)=0,"Spatial Data Missing ⚠",VLOOKUP(U72,'G-3 Multipliers'!$L$3:$N$6,3,FALSE)))</f>
        <v/>
      </c>
      <c r="X72" s="281" t="str">
        <f>IFERROR(IF(OR(LEFT(O72,5)="Error",LEFT(N72,5)="Error",T72="Error"),"Check Data ⚠",IF(F72&lt;R72,INDEX('G-6 Hedgerow Data'!$S$3:$AE$14,MATCH(C72,'G-6 Hedgerow Data'!$B$3:$B$14,0),MATCH(M72,'G-6 Hedgerow Data'!$S$2:$AE$2,0)),INDEX('G-6 Hedgerow Data'!$K$3:$Q$14,MATCH(M72,'G-6 Hedgerow Data'!$B$3:$B$14,0),MATCH(O72,'G-6 Hedgerow Data'!$K$2:$Q$2,0)))),"")</f>
        <v/>
      </c>
      <c r="Y72" s="137"/>
      <c r="Z72" s="137"/>
      <c r="AA72" s="289" t="str">
        <f t="shared" si="2"/>
        <v/>
      </c>
      <c r="AB72" s="302" t="str">
        <f t="shared" si="3"/>
        <v/>
      </c>
      <c r="AC72" s="303" t="str">
        <f t="shared" si="0"/>
        <v/>
      </c>
      <c r="AD72" s="317" t="str">
        <f>IF(M72="","",VLOOKUP(M72,'G-6 Hedgerow Data'!$B$3:$AG$15,31,FALSE))</f>
        <v/>
      </c>
      <c r="AE72" s="289" t="str">
        <f t="shared" si="4"/>
        <v/>
      </c>
      <c r="AF72" s="289" t="str">
        <f t="shared" si="5"/>
        <v/>
      </c>
      <c r="AG72" s="305" t="str">
        <f>IFERROR(IF(O72="","",VLOOKUP(AD72,'G-3 Multipliers'!$P$3:$Q$6,2,FALSE)),"")</f>
        <v/>
      </c>
      <c r="AH72" s="295" t="str">
        <f t="shared" si="6"/>
        <v/>
      </c>
      <c r="AI72" s="112"/>
      <c r="AJ72" s="119"/>
      <c r="AK72" s="108"/>
      <c r="AT72" s="30" t="str">
        <f>IFERROR(INDEX('G-6 Hedgerow Data'!$BJ$3:$BJ$15,MATCH(M72,'G-6 Hedgerow Data'!$B$3:$B$15,0)),"")</f>
        <v/>
      </c>
    </row>
    <row r="73" spans="2:46" ht="13.8" x14ac:dyDescent="0.25">
      <c r="B73" s="311" t="str">
        <f>'B-1 On-Site Hedge Baseline'!AK71</f>
        <v/>
      </c>
      <c r="C73" s="301" t="str">
        <f>IF(B73="","",IF(ISNA(VLOOKUP($B73,'B-1 On-Site Hedge Baseline'!$B$1:$L$257,3,FALSE)),"",(VLOOKUP($B73,'B-1 On-Site Hedge Baseline'!$B$1:$L$257,3,FALSE))))</f>
        <v/>
      </c>
      <c r="D73" s="301" t="str">
        <f>IF(B73="","",IF(ISNA(VLOOKUP($B73,'B-1 On-Site Hedge Baseline'!$B$1:$L$257,4,FALSE)),"",(VLOOKUP($B73,'B-1 On-Site Hedge Baseline'!$B$1:$L$257,4,FALSE))))</f>
        <v/>
      </c>
      <c r="E73" s="301" t="str">
        <f>IF(B73="","",IF(ISNA(VLOOKUP($B73,'B-1 On-Site Hedge Baseline'!$B$1:$L$257,5,FALSE)),"",(VLOOKUP($B73,'B-1 On-Site Hedge Baseline'!$B$1:$L$257,5,FALSE))))</f>
        <v/>
      </c>
      <c r="F73" s="301" t="str">
        <f>IF(B73="","",IF(ISNA(VLOOKUP($B73,'B-1 On-Site Hedge Baseline'!$B$1:$L$257,6,FALSE)),"",(VLOOKUP($B73,'B-1 On-Site Hedge Baseline'!$B$1:$L$257,6,FALSE))))</f>
        <v/>
      </c>
      <c r="G73" s="301" t="str">
        <f>IF(B73="","",IF(ISNA(VLOOKUP($B73,'B-1 On-Site Hedge Baseline'!$B$1:$L$257,7,FALSE)),"",(VLOOKUP($B73,'B-1 On-Site Hedge Baseline'!$B$1:$L$257,7,FALSE))))</f>
        <v/>
      </c>
      <c r="H73" s="301" t="str">
        <f>IF(B73="","",IF(ISNA(VLOOKUP($B73,'B-1 On-Site Hedge Baseline'!$B$1:$L$257,8,FALSE)),"",(VLOOKUP($B73,'B-1 On-Site Hedge Baseline'!$B$1:$L$257,8,FALSE))))</f>
        <v/>
      </c>
      <c r="I73" s="301" t="str">
        <f>IF(B73="","",IF(ISNA(VLOOKUP($B73,'B-1 On-Site Hedge Baseline'!$B$1:$L$257,10,FALSE)),"",(VLOOKUP($B73,'B-1 On-Site Hedge Baseline'!$B$1:$L$257,10,FALSE))))</f>
        <v/>
      </c>
      <c r="J73" s="301" t="str">
        <f>IF(B73="","",IF(ISNA(VLOOKUP($B73,'B-1 On-Site Hedge Baseline'!$B$1:$L$257,11,FALSE)),"",(VLOOKUP($B73,'B-1 On-Site Hedge Baseline'!$B$1:$L$257,11,FALSE))))</f>
        <v/>
      </c>
      <c r="K73" s="301" t="str">
        <f>IF(B73="","",IF(ISNA(VLOOKUP($B73,'B-1 On-Site Hedge Baseline'!$B$1:$U$257,13,FALSE)),"",(VLOOKUP($B73,'B-1 On-Site Hedge Baseline'!$B$1:$U$257,13,FALSE))))</f>
        <v/>
      </c>
      <c r="L73" s="305" t="str">
        <f>IF(B73="","",IF(ISNA(VLOOKUP($B73,'B-1 On-Site Hedge Baseline'!$B$1:$U$257,12,FALSE)),"",(VLOOKUP($B73,'B-1 On-Site Hedge Baseline'!$B$1:$U$257,12,FALSE))))</f>
        <v/>
      </c>
      <c r="M73" s="627"/>
      <c r="N73" s="281" t="str">
        <f>IFERROR(IF(B73="","",INDEX('G-6 Hedgerow Data'!$AN$3:$AZ$15,MATCH(C73,'G-6 Hedgerow Data'!$AM$3:$AM$15,0),MATCH(M73,'G-6 Hedgerow Data'!$AN$2:$AZ$2,0))),"")</f>
        <v/>
      </c>
      <c r="O73" s="282" t="str">
        <f t="shared" si="1"/>
        <v/>
      </c>
      <c r="P73" s="335" t="str">
        <f>IF(B73="","",VLOOKUP(B73,'B-1 On-Site Hedge Baseline'!$B$10:T318,16,FALSE))</f>
        <v/>
      </c>
      <c r="Q73" s="281" t="str">
        <f>IF(M73="","",VLOOKUP(M73,'G-6 Hedgerow Data'!$B$2:$AG$15,2,FALSE))</f>
        <v/>
      </c>
      <c r="R73" s="282" t="str">
        <f>IF(M73="","",VLOOKUP(M73,'G-6 Hedgerow Data'!$B$2:$AG$15,3,FALSE))</f>
        <v/>
      </c>
      <c r="S73" s="112"/>
      <c r="T73" s="320" t="str">
        <f>IFERROR(IF(S73="","",IF(AND(M73="Non-native and ornamental hedgerow", S73&lt;&gt;"Poor"),"Not possible ▲", (VLOOKUP(S73,'G-1 All Habitats'!$Z$2:$AA$9,2,FALSE)))),"")</f>
        <v/>
      </c>
      <c r="U73" s="109"/>
      <c r="V73" s="301" t="str">
        <f>IF(U73="","",IF(VLOOKUP(U73,'G-3 Multipliers'!$L$3:$N$6,2,FALSE)=0,"Spatial Data Missing ⚠",VLOOKUP(U73,'G-3 Multipliers'!$L$3:$N$6,2,FALSE)))</f>
        <v/>
      </c>
      <c r="W73" s="305" t="str">
        <f>IF(U73="","",IF(VLOOKUP(U73,'G-3 Multipliers'!$L$3:$N$6,3,FALSE)=0,"Spatial Data Missing ⚠",VLOOKUP(U73,'G-3 Multipliers'!$L$3:$N$6,3,FALSE)))</f>
        <v/>
      </c>
      <c r="X73" s="281" t="str">
        <f>IFERROR(IF(OR(LEFT(O73,5)="Error",LEFT(N73,5)="Error",T73="Error"),"Check Data ⚠",IF(F73&lt;R73,INDEX('G-6 Hedgerow Data'!$S$3:$AE$14,MATCH(C73,'G-6 Hedgerow Data'!$B$3:$B$14,0),MATCH(M73,'G-6 Hedgerow Data'!$S$2:$AE$2,0)),INDEX('G-6 Hedgerow Data'!$K$3:$Q$14,MATCH(M73,'G-6 Hedgerow Data'!$B$3:$B$14,0),MATCH(O73,'G-6 Hedgerow Data'!$K$2:$Q$2,0)))),"")</f>
        <v/>
      </c>
      <c r="Y73" s="137"/>
      <c r="Z73" s="137"/>
      <c r="AA73" s="289" t="str">
        <f t="shared" si="2"/>
        <v/>
      </c>
      <c r="AB73" s="302" t="str">
        <f t="shared" si="3"/>
        <v/>
      </c>
      <c r="AC73" s="303" t="str">
        <f t="shared" si="0"/>
        <v/>
      </c>
      <c r="AD73" s="317" t="str">
        <f>IF(M73="","",VLOOKUP(M73,'G-6 Hedgerow Data'!$B$3:$AG$15,31,FALSE))</f>
        <v/>
      </c>
      <c r="AE73" s="289" t="str">
        <f t="shared" si="4"/>
        <v/>
      </c>
      <c r="AF73" s="289" t="str">
        <f t="shared" si="5"/>
        <v/>
      </c>
      <c r="AG73" s="305" t="str">
        <f>IFERROR(IF(O73="","",VLOOKUP(AD73,'G-3 Multipliers'!$P$3:$Q$6,2,FALSE)),"")</f>
        <v/>
      </c>
      <c r="AH73" s="295" t="str">
        <f t="shared" si="6"/>
        <v/>
      </c>
      <c r="AI73" s="112"/>
      <c r="AJ73" s="119"/>
      <c r="AK73" s="108"/>
      <c r="AT73" s="30" t="str">
        <f>IFERROR(INDEX('G-6 Hedgerow Data'!$BJ$3:$BJ$15,MATCH(M73,'G-6 Hedgerow Data'!$B$3:$B$15,0)),"")</f>
        <v/>
      </c>
    </row>
    <row r="74" spans="2:46" ht="13.8" x14ac:dyDescent="0.25">
      <c r="B74" s="311" t="str">
        <f>'B-1 On-Site Hedge Baseline'!AK72</f>
        <v/>
      </c>
      <c r="C74" s="301" t="str">
        <f>IF(B74="","",IF(ISNA(VLOOKUP($B74,'B-1 On-Site Hedge Baseline'!$B$1:$L$257,3,FALSE)),"",(VLOOKUP($B74,'B-1 On-Site Hedge Baseline'!$B$1:$L$257,3,FALSE))))</f>
        <v/>
      </c>
      <c r="D74" s="301" t="str">
        <f>IF(B74="","",IF(ISNA(VLOOKUP($B74,'B-1 On-Site Hedge Baseline'!$B$1:$L$257,4,FALSE)),"",(VLOOKUP($B74,'B-1 On-Site Hedge Baseline'!$B$1:$L$257,4,FALSE))))</f>
        <v/>
      </c>
      <c r="E74" s="301" t="str">
        <f>IF(B74="","",IF(ISNA(VLOOKUP($B74,'B-1 On-Site Hedge Baseline'!$B$1:$L$257,5,FALSE)),"",(VLOOKUP($B74,'B-1 On-Site Hedge Baseline'!$B$1:$L$257,5,FALSE))))</f>
        <v/>
      </c>
      <c r="F74" s="301" t="str">
        <f>IF(B74="","",IF(ISNA(VLOOKUP($B74,'B-1 On-Site Hedge Baseline'!$B$1:$L$257,6,FALSE)),"",(VLOOKUP($B74,'B-1 On-Site Hedge Baseline'!$B$1:$L$257,6,FALSE))))</f>
        <v/>
      </c>
      <c r="G74" s="301" t="str">
        <f>IF(B74="","",IF(ISNA(VLOOKUP($B74,'B-1 On-Site Hedge Baseline'!$B$1:$L$257,7,FALSE)),"",(VLOOKUP($B74,'B-1 On-Site Hedge Baseline'!$B$1:$L$257,7,FALSE))))</f>
        <v/>
      </c>
      <c r="H74" s="301" t="str">
        <f>IF(B74="","",IF(ISNA(VLOOKUP($B74,'B-1 On-Site Hedge Baseline'!$B$1:$L$257,8,FALSE)),"",(VLOOKUP($B74,'B-1 On-Site Hedge Baseline'!$B$1:$L$257,8,FALSE))))</f>
        <v/>
      </c>
      <c r="I74" s="301" t="str">
        <f>IF(B74="","",IF(ISNA(VLOOKUP($B74,'B-1 On-Site Hedge Baseline'!$B$1:$L$257,10,FALSE)),"",(VLOOKUP($B74,'B-1 On-Site Hedge Baseline'!$B$1:$L$257,10,FALSE))))</f>
        <v/>
      </c>
      <c r="J74" s="301" t="str">
        <f>IF(B74="","",IF(ISNA(VLOOKUP($B74,'B-1 On-Site Hedge Baseline'!$B$1:$L$257,11,FALSE)),"",(VLOOKUP($B74,'B-1 On-Site Hedge Baseline'!$B$1:$L$257,11,FALSE))))</f>
        <v/>
      </c>
      <c r="K74" s="301" t="str">
        <f>IF(B74="","",IF(ISNA(VLOOKUP($B74,'B-1 On-Site Hedge Baseline'!$B$1:$U$257,13,FALSE)),"",(VLOOKUP($B74,'B-1 On-Site Hedge Baseline'!$B$1:$U$257,13,FALSE))))</f>
        <v/>
      </c>
      <c r="L74" s="305" t="str">
        <f>IF(B74="","",IF(ISNA(VLOOKUP($B74,'B-1 On-Site Hedge Baseline'!$B$1:$U$257,12,FALSE)),"",(VLOOKUP($B74,'B-1 On-Site Hedge Baseline'!$B$1:$U$257,12,FALSE))))</f>
        <v/>
      </c>
      <c r="M74" s="627"/>
      <c r="N74" s="281" t="str">
        <f>IFERROR(IF(B74="","",INDEX('G-6 Hedgerow Data'!$AN$3:$AZ$15,MATCH(C74,'G-6 Hedgerow Data'!$AM$3:$AM$15,0),MATCH(M74,'G-6 Hedgerow Data'!$AN$2:$AZ$2,0))),"")</f>
        <v/>
      </c>
      <c r="O74" s="282" t="str">
        <f t="shared" si="1"/>
        <v/>
      </c>
      <c r="P74" s="335" t="str">
        <f>IF(B74="","",VLOOKUP(B74,'B-1 On-Site Hedge Baseline'!$B$10:T319,16,FALSE))</f>
        <v/>
      </c>
      <c r="Q74" s="281" t="str">
        <f>IF(M74="","",VLOOKUP(M74,'G-6 Hedgerow Data'!$B$2:$AG$15,2,FALSE))</f>
        <v/>
      </c>
      <c r="R74" s="282" t="str">
        <f>IF(M74="","",VLOOKUP(M74,'G-6 Hedgerow Data'!$B$2:$AG$15,3,FALSE))</f>
        <v/>
      </c>
      <c r="S74" s="112"/>
      <c r="T74" s="320" t="str">
        <f>IFERROR(IF(S74="","",IF(AND(M74="Non-native and ornamental hedgerow", S74&lt;&gt;"Poor"),"Not possible ▲", (VLOOKUP(S74,'G-1 All Habitats'!$Z$2:$AA$9,2,FALSE)))),"")</f>
        <v/>
      </c>
      <c r="U74" s="109"/>
      <c r="V74" s="301" t="str">
        <f>IF(U74="","",IF(VLOOKUP(U74,'G-3 Multipliers'!$L$3:$N$6,2,FALSE)=0,"Spatial Data Missing ⚠",VLOOKUP(U74,'G-3 Multipliers'!$L$3:$N$6,2,FALSE)))</f>
        <v/>
      </c>
      <c r="W74" s="305" t="str">
        <f>IF(U74="","",IF(VLOOKUP(U74,'G-3 Multipliers'!$L$3:$N$6,3,FALSE)=0,"Spatial Data Missing ⚠",VLOOKUP(U74,'G-3 Multipliers'!$L$3:$N$6,3,FALSE)))</f>
        <v/>
      </c>
      <c r="X74" s="281" t="str">
        <f>IFERROR(IF(OR(LEFT(O74,5)="Error",LEFT(N74,5)="Error",T74="Error"),"Check Data ⚠",IF(F74&lt;R74,INDEX('G-6 Hedgerow Data'!$S$3:$AE$14,MATCH(C74,'G-6 Hedgerow Data'!$B$3:$B$14,0),MATCH(M74,'G-6 Hedgerow Data'!$S$2:$AE$2,0)),INDEX('G-6 Hedgerow Data'!$K$3:$Q$14,MATCH(M74,'G-6 Hedgerow Data'!$B$3:$B$14,0),MATCH(O74,'G-6 Hedgerow Data'!$K$2:$Q$2,0)))),"")</f>
        <v/>
      </c>
      <c r="Y74" s="137"/>
      <c r="Z74" s="137"/>
      <c r="AA74" s="289" t="str">
        <f t="shared" si="2"/>
        <v/>
      </c>
      <c r="AB74" s="302" t="str">
        <f t="shared" si="3"/>
        <v/>
      </c>
      <c r="AC74" s="303" t="str">
        <f t="shared" si="0"/>
        <v/>
      </c>
      <c r="AD74" s="317" t="str">
        <f>IF(M74="","",VLOOKUP(M74,'G-6 Hedgerow Data'!$B$3:$AG$15,31,FALSE))</f>
        <v/>
      </c>
      <c r="AE74" s="289" t="str">
        <f t="shared" si="4"/>
        <v/>
      </c>
      <c r="AF74" s="289" t="str">
        <f t="shared" si="5"/>
        <v/>
      </c>
      <c r="AG74" s="305" t="str">
        <f>IFERROR(IF(O74="","",VLOOKUP(AD74,'G-3 Multipliers'!$P$3:$Q$6,2,FALSE)),"")</f>
        <v/>
      </c>
      <c r="AH74" s="295" t="str">
        <f t="shared" si="6"/>
        <v/>
      </c>
      <c r="AI74" s="112"/>
      <c r="AJ74" s="119"/>
      <c r="AK74" s="108"/>
      <c r="AT74" s="30" t="str">
        <f>IFERROR(INDEX('G-6 Hedgerow Data'!$BJ$3:$BJ$15,MATCH(M74,'G-6 Hedgerow Data'!$B$3:$B$15,0)),"")</f>
        <v/>
      </c>
    </row>
    <row r="75" spans="2:46" ht="13.8" x14ac:dyDescent="0.25">
      <c r="B75" s="311" t="str">
        <f>'B-1 On-Site Hedge Baseline'!AK73</f>
        <v/>
      </c>
      <c r="C75" s="301" t="str">
        <f>IF(B75="","",IF(ISNA(VLOOKUP($B75,'B-1 On-Site Hedge Baseline'!$B$1:$L$257,3,FALSE)),"",(VLOOKUP($B75,'B-1 On-Site Hedge Baseline'!$B$1:$L$257,3,FALSE))))</f>
        <v/>
      </c>
      <c r="D75" s="301" t="str">
        <f>IF(B75="","",IF(ISNA(VLOOKUP($B75,'B-1 On-Site Hedge Baseline'!$B$1:$L$257,4,FALSE)),"",(VLOOKUP($B75,'B-1 On-Site Hedge Baseline'!$B$1:$L$257,4,FALSE))))</f>
        <v/>
      </c>
      <c r="E75" s="301" t="str">
        <f>IF(B75="","",IF(ISNA(VLOOKUP($B75,'B-1 On-Site Hedge Baseline'!$B$1:$L$257,5,FALSE)),"",(VLOOKUP($B75,'B-1 On-Site Hedge Baseline'!$B$1:$L$257,5,FALSE))))</f>
        <v/>
      </c>
      <c r="F75" s="301" t="str">
        <f>IF(B75="","",IF(ISNA(VLOOKUP($B75,'B-1 On-Site Hedge Baseline'!$B$1:$L$257,6,FALSE)),"",(VLOOKUP($B75,'B-1 On-Site Hedge Baseline'!$B$1:$L$257,6,FALSE))))</f>
        <v/>
      </c>
      <c r="G75" s="301" t="str">
        <f>IF(B75="","",IF(ISNA(VLOOKUP($B75,'B-1 On-Site Hedge Baseline'!$B$1:$L$257,7,FALSE)),"",(VLOOKUP($B75,'B-1 On-Site Hedge Baseline'!$B$1:$L$257,7,FALSE))))</f>
        <v/>
      </c>
      <c r="H75" s="301" t="str">
        <f>IF(B75="","",IF(ISNA(VLOOKUP($B75,'B-1 On-Site Hedge Baseline'!$B$1:$L$257,8,FALSE)),"",(VLOOKUP($B75,'B-1 On-Site Hedge Baseline'!$B$1:$L$257,8,FALSE))))</f>
        <v/>
      </c>
      <c r="I75" s="301" t="str">
        <f>IF(B75="","",IF(ISNA(VLOOKUP($B75,'B-1 On-Site Hedge Baseline'!$B$1:$L$257,10,FALSE)),"",(VLOOKUP($B75,'B-1 On-Site Hedge Baseline'!$B$1:$L$257,10,FALSE))))</f>
        <v/>
      </c>
      <c r="J75" s="301" t="str">
        <f>IF(B75="","",IF(ISNA(VLOOKUP($B75,'B-1 On-Site Hedge Baseline'!$B$1:$L$257,11,FALSE)),"",(VLOOKUP($B75,'B-1 On-Site Hedge Baseline'!$B$1:$L$257,11,FALSE))))</f>
        <v/>
      </c>
      <c r="K75" s="301" t="str">
        <f>IF(B75="","",IF(ISNA(VLOOKUP($B75,'B-1 On-Site Hedge Baseline'!$B$1:$U$257,13,FALSE)),"",(VLOOKUP($B75,'B-1 On-Site Hedge Baseline'!$B$1:$U$257,13,FALSE))))</f>
        <v/>
      </c>
      <c r="L75" s="305" t="str">
        <f>IF(B75="","",IF(ISNA(VLOOKUP($B75,'B-1 On-Site Hedge Baseline'!$B$1:$U$257,12,FALSE)),"",(VLOOKUP($B75,'B-1 On-Site Hedge Baseline'!$B$1:$U$257,12,FALSE))))</f>
        <v/>
      </c>
      <c r="M75" s="627"/>
      <c r="N75" s="281" t="str">
        <f>IFERROR(IF(B75="","",INDEX('G-6 Hedgerow Data'!$AN$3:$AZ$15,MATCH(C75,'G-6 Hedgerow Data'!$AM$3:$AM$15,0),MATCH(M75,'G-6 Hedgerow Data'!$AN$2:$AZ$2,0))),"")</f>
        <v/>
      </c>
      <c r="O75" s="282" t="str">
        <f t="shared" si="1"/>
        <v/>
      </c>
      <c r="P75" s="335" t="str">
        <f>IF(B75="","",VLOOKUP(B75,'B-1 On-Site Hedge Baseline'!$B$10:T320,16,FALSE))</f>
        <v/>
      </c>
      <c r="Q75" s="281" t="str">
        <f>IF(M75="","",VLOOKUP(M75,'G-6 Hedgerow Data'!$B$2:$AG$15,2,FALSE))</f>
        <v/>
      </c>
      <c r="R75" s="282" t="str">
        <f>IF(M75="","",VLOOKUP(M75,'G-6 Hedgerow Data'!$B$2:$AG$15,3,FALSE))</f>
        <v/>
      </c>
      <c r="S75" s="112"/>
      <c r="T75" s="320" t="str">
        <f>IFERROR(IF(S75="","",IF(AND(M75="Non-native and ornamental hedgerow", S75&lt;&gt;"Poor"),"Not possible ▲", (VLOOKUP(S75,'G-1 All Habitats'!$Z$2:$AA$9,2,FALSE)))),"")</f>
        <v/>
      </c>
      <c r="U75" s="109"/>
      <c r="V75" s="301" t="str">
        <f>IF(U75="","",IF(VLOOKUP(U75,'G-3 Multipliers'!$L$3:$N$6,2,FALSE)=0,"Spatial Data Missing ⚠",VLOOKUP(U75,'G-3 Multipliers'!$L$3:$N$6,2,FALSE)))</f>
        <v/>
      </c>
      <c r="W75" s="305" t="str">
        <f>IF(U75="","",IF(VLOOKUP(U75,'G-3 Multipliers'!$L$3:$N$6,3,FALSE)=0,"Spatial Data Missing ⚠",VLOOKUP(U75,'G-3 Multipliers'!$L$3:$N$6,3,FALSE)))</f>
        <v/>
      </c>
      <c r="X75" s="281" t="str">
        <f>IFERROR(IF(OR(LEFT(O75,5)="Error",LEFT(N75,5)="Error",T75="Error"),"Check Data ⚠",IF(F75&lt;R75,INDEX('G-6 Hedgerow Data'!$S$3:$AE$14,MATCH(C75,'G-6 Hedgerow Data'!$B$3:$B$14,0),MATCH(M75,'G-6 Hedgerow Data'!$S$2:$AE$2,0)),INDEX('G-6 Hedgerow Data'!$K$3:$Q$14,MATCH(M75,'G-6 Hedgerow Data'!$B$3:$B$14,0),MATCH(O75,'G-6 Hedgerow Data'!$K$2:$Q$2,0)))),"")</f>
        <v/>
      </c>
      <c r="Y75" s="137"/>
      <c r="Z75" s="137"/>
      <c r="AA75" s="289" t="str">
        <f t="shared" si="2"/>
        <v/>
      </c>
      <c r="AB75" s="302" t="str">
        <f t="shared" si="3"/>
        <v/>
      </c>
      <c r="AC75" s="303" t="str">
        <f t="shared" si="0"/>
        <v/>
      </c>
      <c r="AD75" s="317" t="str">
        <f>IF(M75="","",VLOOKUP(M75,'G-6 Hedgerow Data'!$B$3:$AG$15,31,FALSE))</f>
        <v/>
      </c>
      <c r="AE75" s="289" t="str">
        <f t="shared" si="4"/>
        <v/>
      </c>
      <c r="AF75" s="289" t="str">
        <f t="shared" si="5"/>
        <v/>
      </c>
      <c r="AG75" s="305" t="str">
        <f>IFERROR(IF(O75="","",VLOOKUP(AD75,'G-3 Multipliers'!$P$3:$Q$6,2,FALSE)),"")</f>
        <v/>
      </c>
      <c r="AH75" s="295" t="str">
        <f t="shared" si="6"/>
        <v/>
      </c>
      <c r="AI75" s="112"/>
      <c r="AJ75" s="119"/>
      <c r="AK75" s="108"/>
      <c r="AT75" s="30" t="str">
        <f>IFERROR(INDEX('G-6 Hedgerow Data'!$BJ$3:$BJ$15,MATCH(M75,'G-6 Hedgerow Data'!$B$3:$B$15,0)),"")</f>
        <v/>
      </c>
    </row>
    <row r="76" spans="2:46" ht="13.8" x14ac:dyDescent="0.25">
      <c r="B76" s="311" t="str">
        <f>'B-1 On-Site Hedge Baseline'!AK74</f>
        <v/>
      </c>
      <c r="C76" s="301" t="str">
        <f>IF(B76="","",IF(ISNA(VLOOKUP($B76,'B-1 On-Site Hedge Baseline'!$B$1:$L$257,3,FALSE)),"",(VLOOKUP($B76,'B-1 On-Site Hedge Baseline'!$B$1:$L$257,3,FALSE))))</f>
        <v/>
      </c>
      <c r="D76" s="301" t="str">
        <f>IF(B76="","",IF(ISNA(VLOOKUP($B76,'B-1 On-Site Hedge Baseline'!$B$1:$L$257,4,FALSE)),"",(VLOOKUP($B76,'B-1 On-Site Hedge Baseline'!$B$1:$L$257,4,FALSE))))</f>
        <v/>
      </c>
      <c r="E76" s="301" t="str">
        <f>IF(B76="","",IF(ISNA(VLOOKUP($B76,'B-1 On-Site Hedge Baseline'!$B$1:$L$257,5,FALSE)),"",(VLOOKUP($B76,'B-1 On-Site Hedge Baseline'!$B$1:$L$257,5,FALSE))))</f>
        <v/>
      </c>
      <c r="F76" s="301" t="str">
        <f>IF(B76="","",IF(ISNA(VLOOKUP($B76,'B-1 On-Site Hedge Baseline'!$B$1:$L$257,6,FALSE)),"",(VLOOKUP($B76,'B-1 On-Site Hedge Baseline'!$B$1:$L$257,6,FALSE))))</f>
        <v/>
      </c>
      <c r="G76" s="301" t="str">
        <f>IF(B76="","",IF(ISNA(VLOOKUP($B76,'B-1 On-Site Hedge Baseline'!$B$1:$L$257,7,FALSE)),"",(VLOOKUP($B76,'B-1 On-Site Hedge Baseline'!$B$1:$L$257,7,FALSE))))</f>
        <v/>
      </c>
      <c r="H76" s="301" t="str">
        <f>IF(B76="","",IF(ISNA(VLOOKUP($B76,'B-1 On-Site Hedge Baseline'!$B$1:$L$257,8,FALSE)),"",(VLOOKUP($B76,'B-1 On-Site Hedge Baseline'!$B$1:$L$257,8,FALSE))))</f>
        <v/>
      </c>
      <c r="I76" s="301" t="str">
        <f>IF(B76="","",IF(ISNA(VLOOKUP($B76,'B-1 On-Site Hedge Baseline'!$B$1:$L$257,10,FALSE)),"",(VLOOKUP($B76,'B-1 On-Site Hedge Baseline'!$B$1:$L$257,10,FALSE))))</f>
        <v/>
      </c>
      <c r="J76" s="301" t="str">
        <f>IF(B76="","",IF(ISNA(VLOOKUP($B76,'B-1 On-Site Hedge Baseline'!$B$1:$L$257,11,FALSE)),"",(VLOOKUP($B76,'B-1 On-Site Hedge Baseline'!$B$1:$L$257,11,FALSE))))</f>
        <v/>
      </c>
      <c r="K76" s="301" t="str">
        <f>IF(B76="","",IF(ISNA(VLOOKUP($B76,'B-1 On-Site Hedge Baseline'!$B$1:$U$257,13,FALSE)),"",(VLOOKUP($B76,'B-1 On-Site Hedge Baseline'!$B$1:$U$257,13,FALSE))))</f>
        <v/>
      </c>
      <c r="L76" s="305" t="str">
        <f>IF(B76="","",IF(ISNA(VLOOKUP($B76,'B-1 On-Site Hedge Baseline'!$B$1:$U$257,12,FALSE)),"",(VLOOKUP($B76,'B-1 On-Site Hedge Baseline'!$B$1:$U$257,12,FALSE))))</f>
        <v/>
      </c>
      <c r="M76" s="627"/>
      <c r="N76" s="281" t="str">
        <f>IFERROR(IF(B76="","",INDEX('G-6 Hedgerow Data'!$AN$3:$AZ$15,MATCH(C76,'G-6 Hedgerow Data'!$AM$3:$AM$15,0),MATCH(M76,'G-6 Hedgerow Data'!$AN$2:$AZ$2,0))),"")</f>
        <v/>
      </c>
      <c r="O76" s="282" t="str">
        <f t="shared" si="1"/>
        <v/>
      </c>
      <c r="P76" s="335" t="str">
        <f>IF(B76="","",VLOOKUP(B76,'B-1 On-Site Hedge Baseline'!$B$10:T321,16,FALSE))</f>
        <v/>
      </c>
      <c r="Q76" s="281" t="str">
        <f>IF(M76="","",VLOOKUP(M76,'G-6 Hedgerow Data'!$B$2:$AG$15,2,FALSE))</f>
        <v/>
      </c>
      <c r="R76" s="282" t="str">
        <f>IF(M76="","",VLOOKUP(M76,'G-6 Hedgerow Data'!$B$2:$AG$15,3,FALSE))</f>
        <v/>
      </c>
      <c r="S76" s="112"/>
      <c r="T76" s="320" t="str">
        <f>IFERROR(IF(S76="","",IF(AND(M76="Non-native and ornamental hedgerow", S76&lt;&gt;"Poor"),"Not possible ▲", (VLOOKUP(S76,'G-1 All Habitats'!$Z$2:$AA$9,2,FALSE)))),"")</f>
        <v/>
      </c>
      <c r="U76" s="109"/>
      <c r="V76" s="301" t="str">
        <f>IF(U76="","",IF(VLOOKUP(U76,'G-3 Multipliers'!$L$3:$N$6,2,FALSE)=0,"Spatial Data Missing ⚠",VLOOKUP(U76,'G-3 Multipliers'!$L$3:$N$6,2,FALSE)))</f>
        <v/>
      </c>
      <c r="W76" s="305" t="str">
        <f>IF(U76="","",IF(VLOOKUP(U76,'G-3 Multipliers'!$L$3:$N$6,3,FALSE)=0,"Spatial Data Missing ⚠",VLOOKUP(U76,'G-3 Multipliers'!$L$3:$N$6,3,FALSE)))</f>
        <v/>
      </c>
      <c r="X76" s="281" t="str">
        <f>IFERROR(IF(OR(LEFT(O76,5)="Error",LEFT(N76,5)="Error",T76="Error"),"Check Data ⚠",IF(F76&lt;R76,INDEX('G-6 Hedgerow Data'!$S$3:$AE$14,MATCH(C76,'G-6 Hedgerow Data'!$B$3:$B$14,0),MATCH(M76,'G-6 Hedgerow Data'!$S$2:$AE$2,0)),INDEX('G-6 Hedgerow Data'!$K$3:$Q$14,MATCH(M76,'G-6 Hedgerow Data'!$B$3:$B$14,0),MATCH(O76,'G-6 Hedgerow Data'!$K$2:$Q$2,0)))),"")</f>
        <v/>
      </c>
      <c r="Y76" s="137"/>
      <c r="Z76" s="137"/>
      <c r="AA76" s="289" t="str">
        <f t="shared" si="2"/>
        <v/>
      </c>
      <c r="AB76" s="302" t="str">
        <f t="shared" si="3"/>
        <v/>
      </c>
      <c r="AC76" s="303" t="str">
        <f t="shared" ref="AC76:AC139" si="7">IF(OR(S76="",M76=""),"",IF(LEFT(AB76,5)="Error ▲","Check Data ⚠",IF(AB76="Check Data ⚠","Check Data ⚠",VLOOKUP(AB76,TemporalMultipliers,3,FALSE))))</f>
        <v/>
      </c>
      <c r="AD76" s="317" t="str">
        <f>IF(M76="","",VLOOKUP(M76,'G-6 Hedgerow Data'!$B$3:$AG$15,31,FALSE))</f>
        <v/>
      </c>
      <c r="AE76" s="289" t="str">
        <f t="shared" si="4"/>
        <v/>
      </c>
      <c r="AF76" s="289" t="str">
        <f t="shared" si="5"/>
        <v/>
      </c>
      <c r="AG76" s="305" t="str">
        <f>IFERROR(IF(O76="","",VLOOKUP(AD76,'G-3 Multipliers'!$P$3:$Q$6,2,FALSE)),"")</f>
        <v/>
      </c>
      <c r="AH76" s="295" t="str">
        <f t="shared" si="6"/>
        <v/>
      </c>
      <c r="AI76" s="112"/>
      <c r="AJ76" s="119"/>
      <c r="AK76" s="108"/>
      <c r="AT76" s="30" t="str">
        <f>IFERROR(INDEX('G-6 Hedgerow Data'!$BJ$3:$BJ$15,MATCH(M76,'G-6 Hedgerow Data'!$B$3:$B$15,0)),"")</f>
        <v/>
      </c>
    </row>
    <row r="77" spans="2:46" ht="13.8" x14ac:dyDescent="0.25">
      <c r="B77" s="311" t="str">
        <f>'B-1 On-Site Hedge Baseline'!AK75</f>
        <v/>
      </c>
      <c r="C77" s="301" t="str">
        <f>IF(B77="","",IF(ISNA(VLOOKUP($B77,'B-1 On-Site Hedge Baseline'!$B$1:$L$257,3,FALSE)),"",(VLOOKUP($B77,'B-1 On-Site Hedge Baseline'!$B$1:$L$257,3,FALSE))))</f>
        <v/>
      </c>
      <c r="D77" s="301" t="str">
        <f>IF(B77="","",IF(ISNA(VLOOKUP($B77,'B-1 On-Site Hedge Baseline'!$B$1:$L$257,4,FALSE)),"",(VLOOKUP($B77,'B-1 On-Site Hedge Baseline'!$B$1:$L$257,4,FALSE))))</f>
        <v/>
      </c>
      <c r="E77" s="301" t="str">
        <f>IF(B77="","",IF(ISNA(VLOOKUP($B77,'B-1 On-Site Hedge Baseline'!$B$1:$L$257,5,FALSE)),"",(VLOOKUP($B77,'B-1 On-Site Hedge Baseline'!$B$1:$L$257,5,FALSE))))</f>
        <v/>
      </c>
      <c r="F77" s="301" t="str">
        <f>IF(B77="","",IF(ISNA(VLOOKUP($B77,'B-1 On-Site Hedge Baseline'!$B$1:$L$257,6,FALSE)),"",(VLOOKUP($B77,'B-1 On-Site Hedge Baseline'!$B$1:$L$257,6,FALSE))))</f>
        <v/>
      </c>
      <c r="G77" s="301" t="str">
        <f>IF(B77="","",IF(ISNA(VLOOKUP($B77,'B-1 On-Site Hedge Baseline'!$B$1:$L$257,7,FALSE)),"",(VLOOKUP($B77,'B-1 On-Site Hedge Baseline'!$B$1:$L$257,7,FALSE))))</f>
        <v/>
      </c>
      <c r="H77" s="301" t="str">
        <f>IF(B77="","",IF(ISNA(VLOOKUP($B77,'B-1 On-Site Hedge Baseline'!$B$1:$L$257,8,FALSE)),"",(VLOOKUP($B77,'B-1 On-Site Hedge Baseline'!$B$1:$L$257,8,FALSE))))</f>
        <v/>
      </c>
      <c r="I77" s="301" t="str">
        <f>IF(B77="","",IF(ISNA(VLOOKUP($B77,'B-1 On-Site Hedge Baseline'!$B$1:$L$257,10,FALSE)),"",(VLOOKUP($B77,'B-1 On-Site Hedge Baseline'!$B$1:$L$257,10,FALSE))))</f>
        <v/>
      </c>
      <c r="J77" s="301" t="str">
        <f>IF(B77="","",IF(ISNA(VLOOKUP($B77,'B-1 On-Site Hedge Baseline'!$B$1:$L$257,11,FALSE)),"",(VLOOKUP($B77,'B-1 On-Site Hedge Baseline'!$B$1:$L$257,11,FALSE))))</f>
        <v/>
      </c>
      <c r="K77" s="301" t="str">
        <f>IF(B77="","",IF(ISNA(VLOOKUP($B77,'B-1 On-Site Hedge Baseline'!$B$1:$U$257,13,FALSE)),"",(VLOOKUP($B77,'B-1 On-Site Hedge Baseline'!$B$1:$U$257,13,FALSE))))</f>
        <v/>
      </c>
      <c r="L77" s="305" t="str">
        <f>IF(B77="","",IF(ISNA(VLOOKUP($B77,'B-1 On-Site Hedge Baseline'!$B$1:$U$257,12,FALSE)),"",(VLOOKUP($B77,'B-1 On-Site Hedge Baseline'!$B$1:$U$257,12,FALSE))))</f>
        <v/>
      </c>
      <c r="M77" s="627"/>
      <c r="N77" s="281" t="str">
        <f>IFERROR(IF(B77="","",INDEX('G-6 Hedgerow Data'!$AN$3:$AZ$15,MATCH(C77,'G-6 Hedgerow Data'!$AM$3:$AM$15,0),MATCH(M77,'G-6 Hedgerow Data'!$AN$2:$AZ$2,0))),"")</f>
        <v/>
      </c>
      <c r="O77" s="282" t="str">
        <f t="shared" ref="O77:O140" si="8">IFERROR(IF(B77="","",IF(AND(LEFT(C77,55)&lt;&gt;LEFT(M77,55),N77="High - High"),"Error - Not like for like ▲",IF(H77&gt;T77,"Error - Can not reduce condition ▲",IF(AND(F77=R77,H77=T77),"Error - No enhancement ▲",IF(AND(C77&lt;&gt;M77,F77&lt;R77),"Lower Distinctiveness Habitat"&amp;" - "&amp;S77,G77&amp;" - "&amp;S77))))),"")</f>
        <v/>
      </c>
      <c r="P77" s="335" t="str">
        <f>IF(B77="","",VLOOKUP(B77,'B-1 On-Site Hedge Baseline'!$B$10:T322,16,FALSE))</f>
        <v/>
      </c>
      <c r="Q77" s="281" t="str">
        <f>IF(M77="","",VLOOKUP(M77,'G-6 Hedgerow Data'!$B$2:$AG$15,2,FALSE))</f>
        <v/>
      </c>
      <c r="R77" s="282" t="str">
        <f>IF(M77="","",VLOOKUP(M77,'G-6 Hedgerow Data'!$B$2:$AG$15,3,FALSE))</f>
        <v/>
      </c>
      <c r="S77" s="112"/>
      <c r="T77" s="320" t="str">
        <f>IFERROR(IF(S77="","",IF(AND(M77="Non-native and ornamental hedgerow", S77&lt;&gt;"Poor"),"Not possible ▲", (VLOOKUP(S77,'G-1 All Habitats'!$Z$2:$AA$9,2,FALSE)))),"")</f>
        <v/>
      </c>
      <c r="U77" s="109"/>
      <c r="V77" s="301" t="str">
        <f>IF(U77="","",IF(VLOOKUP(U77,'G-3 Multipliers'!$L$3:$N$6,2,FALSE)=0,"Spatial Data Missing ⚠",VLOOKUP(U77,'G-3 Multipliers'!$L$3:$N$6,2,FALSE)))</f>
        <v/>
      </c>
      <c r="W77" s="305" t="str">
        <f>IF(U77="","",IF(VLOOKUP(U77,'G-3 Multipliers'!$L$3:$N$6,3,FALSE)=0,"Spatial Data Missing ⚠",VLOOKUP(U77,'G-3 Multipliers'!$L$3:$N$6,3,FALSE)))</f>
        <v/>
      </c>
      <c r="X77" s="281" t="str">
        <f>IFERROR(IF(OR(LEFT(O77,5)="Error",LEFT(N77,5)="Error",T77="Error"),"Check Data ⚠",IF(F77&lt;R77,INDEX('G-6 Hedgerow Data'!$S$3:$AE$14,MATCH(C77,'G-6 Hedgerow Data'!$B$3:$B$14,0),MATCH(M77,'G-6 Hedgerow Data'!$S$2:$AE$2,0)),INDEX('G-6 Hedgerow Data'!$K$3:$Q$14,MATCH(M77,'G-6 Hedgerow Data'!$B$3:$B$14,0),MATCH(O77,'G-6 Hedgerow Data'!$K$2:$Q$2,0)))),"")</f>
        <v/>
      </c>
      <c r="Y77" s="137"/>
      <c r="Z77" s="137"/>
      <c r="AA77" s="289" t="str">
        <f t="shared" ref="AA77:AA140" si="9">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02" t="str">
        <f t="shared" ref="AB77:AB140" si="10">IF(X77="","",IF(AA77="Check Data ⚠","Check Data ⚠",IF(Y77="30+",0, IF(X77="Not possible ▲", "Check Data ⚠", IF(Z77="30+","30+",IF(X77+Z77&gt;30,"30+",IF(AA77="Error -both advance and delayed habitat creation ▲","Check Data ⚠",IF(X77+Z77-Y77&gt;0,X77+Z77-Y77,IF(X77-Y77&lt;=0,0,)))))))))</f>
        <v/>
      </c>
      <c r="AC77" s="303" t="str">
        <f t="shared" si="7"/>
        <v/>
      </c>
      <c r="AD77" s="317" t="str">
        <f>IF(M77="","",VLOOKUP(M77,'G-6 Hedgerow Data'!$B$3:$AG$15,31,FALSE))</f>
        <v/>
      </c>
      <c r="AE77" s="289" t="str">
        <f t="shared" ref="AE77:AE140" si="11">IF(M77="","",IF(OR(LEFT(AA77,5)="Error ▲",AA77="Check Data ⚠"),"Check Data ⚠",IF(X77="","",IF($AA77="Check details - Is there evidence that habitat has reached target condition? ⚠","Low Difficulty - only applicable if all habitat created before losses ⚠","Standard difficulty applied"))))</f>
        <v/>
      </c>
      <c r="AF77" s="289" t="str">
        <f t="shared" ref="AF77:AF140" si="12">(IF(AND(AE77="Standard difficulty applied",X77&gt;Y77),AD77, IF(AB77="Check data ⚠", "Check data ⚠", IF(AND(AE77="Low Difficulty - only applicable if all habitat created before losses ⚠",Y77&gt;=X77),"Low",AD77))))</f>
        <v/>
      </c>
      <c r="AG77" s="305" t="str">
        <f>IFERROR(IF(O77="","",VLOOKUP(AD77,'G-3 Multipliers'!$P$3:$Q$6,2,FALSE)),"")</f>
        <v/>
      </c>
      <c r="AH77" s="295" t="str">
        <f t="shared" ref="AH77:AH140" si="13">IFERROR(IF(K77="Check data ⚠", "Check data ⚠", (IF(OR(M77="",S77="",U77=""),"",(((((P77*R77*T77)-(P77*F77*H77))*(AG77*AC77))+(P77*F77*H77))*(W77))))),"")</f>
        <v/>
      </c>
      <c r="AI77" s="112"/>
      <c r="AJ77" s="119"/>
      <c r="AK77" s="108"/>
      <c r="AT77" s="30" t="str">
        <f>IFERROR(INDEX('G-6 Hedgerow Data'!$BJ$3:$BJ$15,MATCH(M77,'G-6 Hedgerow Data'!$B$3:$B$15,0)),"")</f>
        <v/>
      </c>
    </row>
    <row r="78" spans="2:46" ht="13.8" x14ac:dyDescent="0.25">
      <c r="B78" s="311" t="str">
        <f>'B-1 On-Site Hedge Baseline'!AK76</f>
        <v/>
      </c>
      <c r="C78" s="301" t="str">
        <f>IF(B78="","",IF(ISNA(VLOOKUP($B78,'B-1 On-Site Hedge Baseline'!$B$1:$L$257,3,FALSE)),"",(VLOOKUP($B78,'B-1 On-Site Hedge Baseline'!$B$1:$L$257,3,FALSE))))</f>
        <v/>
      </c>
      <c r="D78" s="301" t="str">
        <f>IF(B78="","",IF(ISNA(VLOOKUP($B78,'B-1 On-Site Hedge Baseline'!$B$1:$L$257,4,FALSE)),"",(VLOOKUP($B78,'B-1 On-Site Hedge Baseline'!$B$1:$L$257,4,FALSE))))</f>
        <v/>
      </c>
      <c r="E78" s="301" t="str">
        <f>IF(B78="","",IF(ISNA(VLOOKUP($B78,'B-1 On-Site Hedge Baseline'!$B$1:$L$257,5,FALSE)),"",(VLOOKUP($B78,'B-1 On-Site Hedge Baseline'!$B$1:$L$257,5,FALSE))))</f>
        <v/>
      </c>
      <c r="F78" s="301" t="str">
        <f>IF(B78="","",IF(ISNA(VLOOKUP($B78,'B-1 On-Site Hedge Baseline'!$B$1:$L$257,6,FALSE)),"",(VLOOKUP($B78,'B-1 On-Site Hedge Baseline'!$B$1:$L$257,6,FALSE))))</f>
        <v/>
      </c>
      <c r="G78" s="301" t="str">
        <f>IF(B78="","",IF(ISNA(VLOOKUP($B78,'B-1 On-Site Hedge Baseline'!$B$1:$L$257,7,FALSE)),"",(VLOOKUP($B78,'B-1 On-Site Hedge Baseline'!$B$1:$L$257,7,FALSE))))</f>
        <v/>
      </c>
      <c r="H78" s="301" t="str">
        <f>IF(B78="","",IF(ISNA(VLOOKUP($B78,'B-1 On-Site Hedge Baseline'!$B$1:$L$257,8,FALSE)),"",(VLOOKUP($B78,'B-1 On-Site Hedge Baseline'!$B$1:$L$257,8,FALSE))))</f>
        <v/>
      </c>
      <c r="I78" s="301" t="str">
        <f>IF(B78="","",IF(ISNA(VLOOKUP($B78,'B-1 On-Site Hedge Baseline'!$B$1:$L$257,10,FALSE)),"",(VLOOKUP($B78,'B-1 On-Site Hedge Baseline'!$B$1:$L$257,10,FALSE))))</f>
        <v/>
      </c>
      <c r="J78" s="301" t="str">
        <f>IF(B78="","",IF(ISNA(VLOOKUP($B78,'B-1 On-Site Hedge Baseline'!$B$1:$L$257,11,FALSE)),"",(VLOOKUP($B78,'B-1 On-Site Hedge Baseline'!$B$1:$L$257,11,FALSE))))</f>
        <v/>
      </c>
      <c r="K78" s="301" t="str">
        <f>IF(B78="","",IF(ISNA(VLOOKUP($B78,'B-1 On-Site Hedge Baseline'!$B$1:$U$257,13,FALSE)),"",(VLOOKUP($B78,'B-1 On-Site Hedge Baseline'!$B$1:$U$257,13,FALSE))))</f>
        <v/>
      </c>
      <c r="L78" s="305" t="str">
        <f>IF(B78="","",IF(ISNA(VLOOKUP($B78,'B-1 On-Site Hedge Baseline'!$B$1:$U$257,12,FALSE)),"",(VLOOKUP($B78,'B-1 On-Site Hedge Baseline'!$B$1:$U$257,12,FALSE))))</f>
        <v/>
      </c>
      <c r="M78" s="627"/>
      <c r="N78" s="281" t="str">
        <f>IFERROR(IF(B78="","",INDEX('G-6 Hedgerow Data'!$AN$3:$AZ$15,MATCH(C78,'G-6 Hedgerow Data'!$AM$3:$AM$15,0),MATCH(M78,'G-6 Hedgerow Data'!$AN$2:$AZ$2,0))),"")</f>
        <v/>
      </c>
      <c r="O78" s="282" t="str">
        <f t="shared" si="8"/>
        <v/>
      </c>
      <c r="P78" s="335" t="str">
        <f>IF(B78="","",VLOOKUP(B78,'B-1 On-Site Hedge Baseline'!$B$10:T323,16,FALSE))</f>
        <v/>
      </c>
      <c r="Q78" s="281" t="str">
        <f>IF(M78="","",VLOOKUP(M78,'G-6 Hedgerow Data'!$B$2:$AG$15,2,FALSE))</f>
        <v/>
      </c>
      <c r="R78" s="282" t="str">
        <f>IF(M78="","",VLOOKUP(M78,'G-6 Hedgerow Data'!$B$2:$AG$15,3,FALSE))</f>
        <v/>
      </c>
      <c r="S78" s="112"/>
      <c r="T78" s="320" t="str">
        <f>IFERROR(IF(S78="","",IF(AND(M78="Non-native and ornamental hedgerow", S78&lt;&gt;"Poor"),"Not possible ▲", (VLOOKUP(S78,'G-1 All Habitats'!$Z$2:$AA$9,2,FALSE)))),"")</f>
        <v/>
      </c>
      <c r="U78" s="109"/>
      <c r="V78" s="301" t="str">
        <f>IF(U78="","",IF(VLOOKUP(U78,'G-3 Multipliers'!$L$3:$N$6,2,FALSE)=0,"Spatial Data Missing ⚠",VLOOKUP(U78,'G-3 Multipliers'!$L$3:$N$6,2,FALSE)))</f>
        <v/>
      </c>
      <c r="W78" s="305" t="str">
        <f>IF(U78="","",IF(VLOOKUP(U78,'G-3 Multipliers'!$L$3:$N$6,3,FALSE)=0,"Spatial Data Missing ⚠",VLOOKUP(U78,'G-3 Multipliers'!$L$3:$N$6,3,FALSE)))</f>
        <v/>
      </c>
      <c r="X78" s="281" t="str">
        <f>IFERROR(IF(OR(LEFT(O78,5)="Error",LEFT(N78,5)="Error",T78="Error"),"Check Data ⚠",IF(F78&lt;R78,INDEX('G-6 Hedgerow Data'!$S$3:$AE$14,MATCH(C78,'G-6 Hedgerow Data'!$B$3:$B$14,0),MATCH(M78,'G-6 Hedgerow Data'!$S$2:$AE$2,0)),INDEX('G-6 Hedgerow Data'!$K$3:$Q$14,MATCH(M78,'G-6 Hedgerow Data'!$B$3:$B$14,0),MATCH(O78,'G-6 Hedgerow Data'!$K$2:$Q$2,0)))),"")</f>
        <v/>
      </c>
      <c r="Y78" s="137"/>
      <c r="Z78" s="137"/>
      <c r="AA78" s="289" t="str">
        <f t="shared" si="9"/>
        <v/>
      </c>
      <c r="AB78" s="302" t="str">
        <f t="shared" si="10"/>
        <v/>
      </c>
      <c r="AC78" s="303" t="str">
        <f t="shared" si="7"/>
        <v/>
      </c>
      <c r="AD78" s="317" t="str">
        <f>IF(M78="","",VLOOKUP(M78,'G-6 Hedgerow Data'!$B$3:$AG$15,31,FALSE))</f>
        <v/>
      </c>
      <c r="AE78" s="289" t="str">
        <f t="shared" si="11"/>
        <v/>
      </c>
      <c r="AF78" s="289" t="str">
        <f t="shared" si="12"/>
        <v/>
      </c>
      <c r="AG78" s="305" t="str">
        <f>IFERROR(IF(O78="","",VLOOKUP(AD78,'G-3 Multipliers'!$P$3:$Q$6,2,FALSE)),"")</f>
        <v/>
      </c>
      <c r="AH78" s="295" t="str">
        <f t="shared" si="13"/>
        <v/>
      </c>
      <c r="AI78" s="112"/>
      <c r="AJ78" s="119"/>
      <c r="AK78" s="108"/>
      <c r="AT78" s="30" t="str">
        <f>IFERROR(INDEX('G-6 Hedgerow Data'!$BJ$3:$BJ$15,MATCH(M78,'G-6 Hedgerow Data'!$B$3:$B$15,0)),"")</f>
        <v/>
      </c>
    </row>
    <row r="79" spans="2:46" ht="13.8" x14ac:dyDescent="0.25">
      <c r="B79" s="311" t="str">
        <f>'B-1 On-Site Hedge Baseline'!AK77</f>
        <v/>
      </c>
      <c r="C79" s="301" t="str">
        <f>IF(B79="","",IF(ISNA(VLOOKUP($B79,'B-1 On-Site Hedge Baseline'!$B$1:$L$257,3,FALSE)),"",(VLOOKUP($B79,'B-1 On-Site Hedge Baseline'!$B$1:$L$257,3,FALSE))))</f>
        <v/>
      </c>
      <c r="D79" s="301" t="str">
        <f>IF(B79="","",IF(ISNA(VLOOKUP($B79,'B-1 On-Site Hedge Baseline'!$B$1:$L$257,4,FALSE)),"",(VLOOKUP($B79,'B-1 On-Site Hedge Baseline'!$B$1:$L$257,4,FALSE))))</f>
        <v/>
      </c>
      <c r="E79" s="301" t="str">
        <f>IF(B79="","",IF(ISNA(VLOOKUP($B79,'B-1 On-Site Hedge Baseline'!$B$1:$L$257,5,FALSE)),"",(VLOOKUP($B79,'B-1 On-Site Hedge Baseline'!$B$1:$L$257,5,FALSE))))</f>
        <v/>
      </c>
      <c r="F79" s="301" t="str">
        <f>IF(B79="","",IF(ISNA(VLOOKUP($B79,'B-1 On-Site Hedge Baseline'!$B$1:$L$257,6,FALSE)),"",(VLOOKUP($B79,'B-1 On-Site Hedge Baseline'!$B$1:$L$257,6,FALSE))))</f>
        <v/>
      </c>
      <c r="G79" s="301" t="str">
        <f>IF(B79="","",IF(ISNA(VLOOKUP($B79,'B-1 On-Site Hedge Baseline'!$B$1:$L$257,7,FALSE)),"",(VLOOKUP($B79,'B-1 On-Site Hedge Baseline'!$B$1:$L$257,7,FALSE))))</f>
        <v/>
      </c>
      <c r="H79" s="301" t="str">
        <f>IF(B79="","",IF(ISNA(VLOOKUP($B79,'B-1 On-Site Hedge Baseline'!$B$1:$L$257,8,FALSE)),"",(VLOOKUP($B79,'B-1 On-Site Hedge Baseline'!$B$1:$L$257,8,FALSE))))</f>
        <v/>
      </c>
      <c r="I79" s="301" t="str">
        <f>IF(B79="","",IF(ISNA(VLOOKUP($B79,'B-1 On-Site Hedge Baseline'!$B$1:$L$257,10,FALSE)),"",(VLOOKUP($B79,'B-1 On-Site Hedge Baseline'!$B$1:$L$257,10,FALSE))))</f>
        <v/>
      </c>
      <c r="J79" s="301" t="str">
        <f>IF(B79="","",IF(ISNA(VLOOKUP($B79,'B-1 On-Site Hedge Baseline'!$B$1:$L$257,11,FALSE)),"",(VLOOKUP($B79,'B-1 On-Site Hedge Baseline'!$B$1:$L$257,11,FALSE))))</f>
        <v/>
      </c>
      <c r="K79" s="301" t="str">
        <f>IF(B79="","",IF(ISNA(VLOOKUP($B79,'B-1 On-Site Hedge Baseline'!$B$1:$U$257,13,FALSE)),"",(VLOOKUP($B79,'B-1 On-Site Hedge Baseline'!$B$1:$U$257,13,FALSE))))</f>
        <v/>
      </c>
      <c r="L79" s="305" t="str">
        <f>IF(B79="","",IF(ISNA(VLOOKUP($B79,'B-1 On-Site Hedge Baseline'!$B$1:$U$257,12,FALSE)),"",(VLOOKUP($B79,'B-1 On-Site Hedge Baseline'!$B$1:$U$257,12,FALSE))))</f>
        <v/>
      </c>
      <c r="M79" s="627"/>
      <c r="N79" s="281" t="str">
        <f>IFERROR(IF(B79="","",INDEX('G-6 Hedgerow Data'!$AN$3:$AZ$15,MATCH(C79,'G-6 Hedgerow Data'!$AM$3:$AM$15,0),MATCH(M79,'G-6 Hedgerow Data'!$AN$2:$AZ$2,0))),"")</f>
        <v/>
      </c>
      <c r="O79" s="282" t="str">
        <f t="shared" si="8"/>
        <v/>
      </c>
      <c r="P79" s="335" t="str">
        <f>IF(B79="","",VLOOKUP(B79,'B-1 On-Site Hedge Baseline'!$B$10:T324,16,FALSE))</f>
        <v/>
      </c>
      <c r="Q79" s="281" t="str">
        <f>IF(M79="","",VLOOKUP(M79,'G-6 Hedgerow Data'!$B$2:$AG$15,2,FALSE))</f>
        <v/>
      </c>
      <c r="R79" s="282" t="str">
        <f>IF(M79="","",VLOOKUP(M79,'G-6 Hedgerow Data'!$B$2:$AG$15,3,FALSE))</f>
        <v/>
      </c>
      <c r="S79" s="112"/>
      <c r="T79" s="320" t="str">
        <f>IFERROR(IF(S79="","",IF(AND(M79="Non-native and ornamental hedgerow", S79&lt;&gt;"Poor"),"Not possible ▲", (VLOOKUP(S79,'G-1 All Habitats'!$Z$2:$AA$9,2,FALSE)))),"")</f>
        <v/>
      </c>
      <c r="U79" s="109"/>
      <c r="V79" s="301" t="str">
        <f>IF(U79="","",IF(VLOOKUP(U79,'G-3 Multipliers'!$L$3:$N$6,2,FALSE)=0,"Spatial Data Missing ⚠",VLOOKUP(U79,'G-3 Multipliers'!$L$3:$N$6,2,FALSE)))</f>
        <v/>
      </c>
      <c r="W79" s="305" t="str">
        <f>IF(U79="","",IF(VLOOKUP(U79,'G-3 Multipliers'!$L$3:$N$6,3,FALSE)=0,"Spatial Data Missing ⚠",VLOOKUP(U79,'G-3 Multipliers'!$L$3:$N$6,3,FALSE)))</f>
        <v/>
      </c>
      <c r="X79" s="281" t="str">
        <f>IFERROR(IF(OR(LEFT(O79,5)="Error",LEFT(N79,5)="Error",T79="Error"),"Check Data ⚠",IF(F79&lt;R79,INDEX('G-6 Hedgerow Data'!$S$3:$AE$14,MATCH(C79,'G-6 Hedgerow Data'!$B$3:$B$14,0),MATCH(M79,'G-6 Hedgerow Data'!$S$2:$AE$2,0)),INDEX('G-6 Hedgerow Data'!$K$3:$Q$14,MATCH(M79,'G-6 Hedgerow Data'!$B$3:$B$14,0),MATCH(O79,'G-6 Hedgerow Data'!$K$2:$Q$2,0)))),"")</f>
        <v/>
      </c>
      <c r="Y79" s="137"/>
      <c r="Z79" s="137"/>
      <c r="AA79" s="289" t="str">
        <f t="shared" si="9"/>
        <v/>
      </c>
      <c r="AB79" s="302" t="str">
        <f t="shared" si="10"/>
        <v/>
      </c>
      <c r="AC79" s="303" t="str">
        <f t="shared" si="7"/>
        <v/>
      </c>
      <c r="AD79" s="317" t="str">
        <f>IF(M79="","",VLOOKUP(M79,'G-6 Hedgerow Data'!$B$3:$AG$15,31,FALSE))</f>
        <v/>
      </c>
      <c r="AE79" s="289" t="str">
        <f t="shared" si="11"/>
        <v/>
      </c>
      <c r="AF79" s="289" t="str">
        <f t="shared" si="12"/>
        <v/>
      </c>
      <c r="AG79" s="305" t="str">
        <f>IFERROR(IF(O79="","",VLOOKUP(AD79,'G-3 Multipliers'!$P$3:$Q$6,2,FALSE)),"")</f>
        <v/>
      </c>
      <c r="AH79" s="295" t="str">
        <f t="shared" si="13"/>
        <v/>
      </c>
      <c r="AI79" s="112"/>
      <c r="AJ79" s="119"/>
      <c r="AK79" s="108"/>
      <c r="AT79" s="30" t="str">
        <f>IFERROR(INDEX('G-6 Hedgerow Data'!$BJ$3:$BJ$15,MATCH(M79,'G-6 Hedgerow Data'!$B$3:$B$15,0)),"")</f>
        <v/>
      </c>
    </row>
    <row r="80" spans="2:46" ht="13.8" x14ac:dyDescent="0.25">
      <c r="B80" s="311" t="str">
        <f>'B-1 On-Site Hedge Baseline'!AK78</f>
        <v/>
      </c>
      <c r="C80" s="301" t="str">
        <f>IF(B80="","",IF(ISNA(VLOOKUP($B80,'B-1 On-Site Hedge Baseline'!$B$1:$L$257,3,FALSE)),"",(VLOOKUP($B80,'B-1 On-Site Hedge Baseline'!$B$1:$L$257,3,FALSE))))</f>
        <v/>
      </c>
      <c r="D80" s="301" t="str">
        <f>IF(B80="","",IF(ISNA(VLOOKUP($B80,'B-1 On-Site Hedge Baseline'!$B$1:$L$257,4,FALSE)),"",(VLOOKUP($B80,'B-1 On-Site Hedge Baseline'!$B$1:$L$257,4,FALSE))))</f>
        <v/>
      </c>
      <c r="E80" s="301" t="str">
        <f>IF(B80="","",IF(ISNA(VLOOKUP($B80,'B-1 On-Site Hedge Baseline'!$B$1:$L$257,5,FALSE)),"",(VLOOKUP($B80,'B-1 On-Site Hedge Baseline'!$B$1:$L$257,5,FALSE))))</f>
        <v/>
      </c>
      <c r="F80" s="301" t="str">
        <f>IF(B80="","",IF(ISNA(VLOOKUP($B80,'B-1 On-Site Hedge Baseline'!$B$1:$L$257,6,FALSE)),"",(VLOOKUP($B80,'B-1 On-Site Hedge Baseline'!$B$1:$L$257,6,FALSE))))</f>
        <v/>
      </c>
      <c r="G80" s="301" t="str">
        <f>IF(B80="","",IF(ISNA(VLOOKUP($B80,'B-1 On-Site Hedge Baseline'!$B$1:$L$257,7,FALSE)),"",(VLOOKUP($B80,'B-1 On-Site Hedge Baseline'!$B$1:$L$257,7,FALSE))))</f>
        <v/>
      </c>
      <c r="H80" s="301" t="str">
        <f>IF(B80="","",IF(ISNA(VLOOKUP($B80,'B-1 On-Site Hedge Baseline'!$B$1:$L$257,8,FALSE)),"",(VLOOKUP($B80,'B-1 On-Site Hedge Baseline'!$B$1:$L$257,8,FALSE))))</f>
        <v/>
      </c>
      <c r="I80" s="301" t="str">
        <f>IF(B80="","",IF(ISNA(VLOOKUP($B80,'B-1 On-Site Hedge Baseline'!$B$1:$L$257,10,FALSE)),"",(VLOOKUP($B80,'B-1 On-Site Hedge Baseline'!$B$1:$L$257,10,FALSE))))</f>
        <v/>
      </c>
      <c r="J80" s="301" t="str">
        <f>IF(B80="","",IF(ISNA(VLOOKUP($B80,'B-1 On-Site Hedge Baseline'!$B$1:$L$257,11,FALSE)),"",(VLOOKUP($B80,'B-1 On-Site Hedge Baseline'!$B$1:$L$257,11,FALSE))))</f>
        <v/>
      </c>
      <c r="K80" s="301" t="str">
        <f>IF(B80="","",IF(ISNA(VLOOKUP($B80,'B-1 On-Site Hedge Baseline'!$B$1:$U$257,13,FALSE)),"",(VLOOKUP($B80,'B-1 On-Site Hedge Baseline'!$B$1:$U$257,13,FALSE))))</f>
        <v/>
      </c>
      <c r="L80" s="305" t="str">
        <f>IF(B80="","",IF(ISNA(VLOOKUP($B80,'B-1 On-Site Hedge Baseline'!$B$1:$U$257,12,FALSE)),"",(VLOOKUP($B80,'B-1 On-Site Hedge Baseline'!$B$1:$U$257,12,FALSE))))</f>
        <v/>
      </c>
      <c r="M80" s="627"/>
      <c r="N80" s="281" t="str">
        <f>IFERROR(IF(B80="","",INDEX('G-6 Hedgerow Data'!$AN$3:$AZ$15,MATCH(C80,'G-6 Hedgerow Data'!$AM$3:$AM$15,0),MATCH(M80,'G-6 Hedgerow Data'!$AN$2:$AZ$2,0))),"")</f>
        <v/>
      </c>
      <c r="O80" s="282" t="str">
        <f t="shared" si="8"/>
        <v/>
      </c>
      <c r="P80" s="335" t="str">
        <f>IF(B80="","",VLOOKUP(B80,'B-1 On-Site Hedge Baseline'!$B$10:T325,16,FALSE))</f>
        <v/>
      </c>
      <c r="Q80" s="281" t="str">
        <f>IF(M80="","",VLOOKUP(M80,'G-6 Hedgerow Data'!$B$2:$AG$15,2,FALSE))</f>
        <v/>
      </c>
      <c r="R80" s="282" t="str">
        <f>IF(M80="","",VLOOKUP(M80,'G-6 Hedgerow Data'!$B$2:$AG$15,3,FALSE))</f>
        <v/>
      </c>
      <c r="S80" s="112"/>
      <c r="T80" s="320" t="str">
        <f>IFERROR(IF(S80="","",IF(AND(M80="Non-native and ornamental hedgerow", S80&lt;&gt;"Poor"),"Not possible ▲", (VLOOKUP(S80,'G-1 All Habitats'!$Z$2:$AA$9,2,FALSE)))),"")</f>
        <v/>
      </c>
      <c r="U80" s="109"/>
      <c r="V80" s="301" t="str">
        <f>IF(U80="","",IF(VLOOKUP(U80,'G-3 Multipliers'!$L$3:$N$6,2,FALSE)=0,"Spatial Data Missing ⚠",VLOOKUP(U80,'G-3 Multipliers'!$L$3:$N$6,2,FALSE)))</f>
        <v/>
      </c>
      <c r="W80" s="305" t="str">
        <f>IF(U80="","",IF(VLOOKUP(U80,'G-3 Multipliers'!$L$3:$N$6,3,FALSE)=0,"Spatial Data Missing ⚠",VLOOKUP(U80,'G-3 Multipliers'!$L$3:$N$6,3,FALSE)))</f>
        <v/>
      </c>
      <c r="X80" s="281" t="str">
        <f>IFERROR(IF(OR(LEFT(O80,5)="Error",LEFT(N80,5)="Error",T80="Error"),"Check Data ⚠",IF(F80&lt;R80,INDEX('G-6 Hedgerow Data'!$S$3:$AE$14,MATCH(C80,'G-6 Hedgerow Data'!$B$3:$B$14,0),MATCH(M80,'G-6 Hedgerow Data'!$S$2:$AE$2,0)),INDEX('G-6 Hedgerow Data'!$K$3:$Q$14,MATCH(M80,'G-6 Hedgerow Data'!$B$3:$B$14,0),MATCH(O80,'G-6 Hedgerow Data'!$K$2:$Q$2,0)))),"")</f>
        <v/>
      </c>
      <c r="Y80" s="137"/>
      <c r="Z80" s="137"/>
      <c r="AA80" s="289" t="str">
        <f t="shared" si="9"/>
        <v/>
      </c>
      <c r="AB80" s="302" t="str">
        <f t="shared" si="10"/>
        <v/>
      </c>
      <c r="AC80" s="303" t="str">
        <f t="shared" si="7"/>
        <v/>
      </c>
      <c r="AD80" s="317" t="str">
        <f>IF(M80="","",VLOOKUP(M80,'G-6 Hedgerow Data'!$B$3:$AG$15,31,FALSE))</f>
        <v/>
      </c>
      <c r="AE80" s="289" t="str">
        <f t="shared" si="11"/>
        <v/>
      </c>
      <c r="AF80" s="289" t="str">
        <f t="shared" si="12"/>
        <v/>
      </c>
      <c r="AG80" s="305" t="str">
        <f>IFERROR(IF(O80="","",VLOOKUP(AD80,'G-3 Multipliers'!$P$3:$Q$6,2,FALSE)),"")</f>
        <v/>
      </c>
      <c r="AH80" s="295" t="str">
        <f t="shared" si="13"/>
        <v/>
      </c>
      <c r="AI80" s="112"/>
      <c r="AJ80" s="119"/>
      <c r="AK80" s="108"/>
      <c r="AT80" s="30" t="str">
        <f>IFERROR(INDEX('G-6 Hedgerow Data'!$BJ$3:$BJ$15,MATCH(M80,'G-6 Hedgerow Data'!$B$3:$B$15,0)),"")</f>
        <v/>
      </c>
    </row>
    <row r="81" spans="2:46" ht="13.8" x14ac:dyDescent="0.25">
      <c r="B81" s="311" t="str">
        <f>'B-1 On-Site Hedge Baseline'!AK79</f>
        <v/>
      </c>
      <c r="C81" s="301" t="str">
        <f>IF(B81="","",IF(ISNA(VLOOKUP($B81,'B-1 On-Site Hedge Baseline'!$B$1:$L$257,3,FALSE)),"",(VLOOKUP($B81,'B-1 On-Site Hedge Baseline'!$B$1:$L$257,3,FALSE))))</f>
        <v/>
      </c>
      <c r="D81" s="301" t="str">
        <f>IF(B81="","",IF(ISNA(VLOOKUP($B81,'B-1 On-Site Hedge Baseline'!$B$1:$L$257,4,FALSE)),"",(VLOOKUP($B81,'B-1 On-Site Hedge Baseline'!$B$1:$L$257,4,FALSE))))</f>
        <v/>
      </c>
      <c r="E81" s="301" t="str">
        <f>IF(B81="","",IF(ISNA(VLOOKUP($B81,'B-1 On-Site Hedge Baseline'!$B$1:$L$257,5,FALSE)),"",(VLOOKUP($B81,'B-1 On-Site Hedge Baseline'!$B$1:$L$257,5,FALSE))))</f>
        <v/>
      </c>
      <c r="F81" s="301" t="str">
        <f>IF(B81="","",IF(ISNA(VLOOKUP($B81,'B-1 On-Site Hedge Baseline'!$B$1:$L$257,6,FALSE)),"",(VLOOKUP($B81,'B-1 On-Site Hedge Baseline'!$B$1:$L$257,6,FALSE))))</f>
        <v/>
      </c>
      <c r="G81" s="301" t="str">
        <f>IF(B81="","",IF(ISNA(VLOOKUP($B81,'B-1 On-Site Hedge Baseline'!$B$1:$L$257,7,FALSE)),"",(VLOOKUP($B81,'B-1 On-Site Hedge Baseline'!$B$1:$L$257,7,FALSE))))</f>
        <v/>
      </c>
      <c r="H81" s="301" t="str">
        <f>IF(B81="","",IF(ISNA(VLOOKUP($B81,'B-1 On-Site Hedge Baseline'!$B$1:$L$257,8,FALSE)),"",(VLOOKUP($B81,'B-1 On-Site Hedge Baseline'!$B$1:$L$257,8,FALSE))))</f>
        <v/>
      </c>
      <c r="I81" s="301" t="str">
        <f>IF(B81="","",IF(ISNA(VLOOKUP($B81,'B-1 On-Site Hedge Baseline'!$B$1:$L$257,10,FALSE)),"",(VLOOKUP($B81,'B-1 On-Site Hedge Baseline'!$B$1:$L$257,10,FALSE))))</f>
        <v/>
      </c>
      <c r="J81" s="301" t="str">
        <f>IF(B81="","",IF(ISNA(VLOOKUP($B81,'B-1 On-Site Hedge Baseline'!$B$1:$L$257,11,FALSE)),"",(VLOOKUP($B81,'B-1 On-Site Hedge Baseline'!$B$1:$L$257,11,FALSE))))</f>
        <v/>
      </c>
      <c r="K81" s="301" t="str">
        <f>IF(B81="","",IF(ISNA(VLOOKUP($B81,'B-1 On-Site Hedge Baseline'!$B$1:$U$257,13,FALSE)),"",(VLOOKUP($B81,'B-1 On-Site Hedge Baseline'!$B$1:$U$257,13,FALSE))))</f>
        <v/>
      </c>
      <c r="L81" s="305" t="str">
        <f>IF(B81="","",IF(ISNA(VLOOKUP($B81,'B-1 On-Site Hedge Baseline'!$B$1:$U$257,12,FALSE)),"",(VLOOKUP($B81,'B-1 On-Site Hedge Baseline'!$B$1:$U$257,12,FALSE))))</f>
        <v/>
      </c>
      <c r="M81" s="627"/>
      <c r="N81" s="281" t="str">
        <f>IFERROR(IF(B81="","",INDEX('G-6 Hedgerow Data'!$AN$3:$AZ$15,MATCH(C81,'G-6 Hedgerow Data'!$AM$3:$AM$15,0),MATCH(M81,'G-6 Hedgerow Data'!$AN$2:$AZ$2,0))),"")</f>
        <v/>
      </c>
      <c r="O81" s="282" t="str">
        <f t="shared" si="8"/>
        <v/>
      </c>
      <c r="P81" s="335" t="str">
        <f>IF(B81="","",VLOOKUP(B81,'B-1 On-Site Hedge Baseline'!$B$10:T326,16,FALSE))</f>
        <v/>
      </c>
      <c r="Q81" s="281" t="str">
        <f>IF(M81="","",VLOOKUP(M81,'G-6 Hedgerow Data'!$B$2:$AG$15,2,FALSE))</f>
        <v/>
      </c>
      <c r="R81" s="282" t="str">
        <f>IF(M81="","",VLOOKUP(M81,'G-6 Hedgerow Data'!$B$2:$AG$15,3,FALSE))</f>
        <v/>
      </c>
      <c r="S81" s="112"/>
      <c r="T81" s="320" t="str">
        <f>IFERROR(IF(S81="","",IF(AND(M81="Non-native and ornamental hedgerow", S81&lt;&gt;"Poor"),"Not possible ▲", (VLOOKUP(S81,'G-1 All Habitats'!$Z$2:$AA$9,2,FALSE)))),"")</f>
        <v/>
      </c>
      <c r="U81" s="109"/>
      <c r="V81" s="301" t="str">
        <f>IF(U81="","",IF(VLOOKUP(U81,'G-3 Multipliers'!$L$3:$N$6,2,FALSE)=0,"Spatial Data Missing ⚠",VLOOKUP(U81,'G-3 Multipliers'!$L$3:$N$6,2,FALSE)))</f>
        <v/>
      </c>
      <c r="W81" s="305" t="str">
        <f>IF(U81="","",IF(VLOOKUP(U81,'G-3 Multipliers'!$L$3:$N$6,3,FALSE)=0,"Spatial Data Missing ⚠",VLOOKUP(U81,'G-3 Multipliers'!$L$3:$N$6,3,FALSE)))</f>
        <v/>
      </c>
      <c r="X81" s="281" t="str">
        <f>IFERROR(IF(OR(LEFT(O81,5)="Error",LEFT(N81,5)="Error",T81="Error"),"Check Data ⚠",IF(F81&lt;R81,INDEX('G-6 Hedgerow Data'!$S$3:$AE$14,MATCH(C81,'G-6 Hedgerow Data'!$B$3:$B$14,0),MATCH(M81,'G-6 Hedgerow Data'!$S$2:$AE$2,0)),INDEX('G-6 Hedgerow Data'!$K$3:$Q$14,MATCH(M81,'G-6 Hedgerow Data'!$B$3:$B$14,0),MATCH(O81,'G-6 Hedgerow Data'!$K$2:$Q$2,0)))),"")</f>
        <v/>
      </c>
      <c r="Y81" s="137"/>
      <c r="Z81" s="137"/>
      <c r="AA81" s="289" t="str">
        <f t="shared" si="9"/>
        <v/>
      </c>
      <c r="AB81" s="302" t="str">
        <f t="shared" si="10"/>
        <v/>
      </c>
      <c r="AC81" s="303" t="str">
        <f t="shared" si="7"/>
        <v/>
      </c>
      <c r="AD81" s="317" t="str">
        <f>IF(M81="","",VLOOKUP(M81,'G-6 Hedgerow Data'!$B$3:$AG$15,31,FALSE))</f>
        <v/>
      </c>
      <c r="AE81" s="289" t="str">
        <f t="shared" si="11"/>
        <v/>
      </c>
      <c r="AF81" s="289" t="str">
        <f t="shared" si="12"/>
        <v/>
      </c>
      <c r="AG81" s="305" t="str">
        <f>IFERROR(IF(O81="","",VLOOKUP(AD81,'G-3 Multipliers'!$P$3:$Q$6,2,FALSE)),"")</f>
        <v/>
      </c>
      <c r="AH81" s="295" t="str">
        <f t="shared" si="13"/>
        <v/>
      </c>
      <c r="AI81" s="112"/>
      <c r="AJ81" s="119"/>
      <c r="AK81" s="108"/>
      <c r="AT81" s="30" t="str">
        <f>IFERROR(INDEX('G-6 Hedgerow Data'!$BJ$3:$BJ$15,MATCH(M81,'G-6 Hedgerow Data'!$B$3:$B$15,0)),"")</f>
        <v/>
      </c>
    </row>
    <row r="82" spans="2:46" ht="13.8" x14ac:dyDescent="0.25">
      <c r="B82" s="311" t="str">
        <f>'B-1 On-Site Hedge Baseline'!AK80</f>
        <v/>
      </c>
      <c r="C82" s="301" t="str">
        <f>IF(B82="","",IF(ISNA(VLOOKUP($B82,'B-1 On-Site Hedge Baseline'!$B$1:$L$257,3,FALSE)),"",(VLOOKUP($B82,'B-1 On-Site Hedge Baseline'!$B$1:$L$257,3,FALSE))))</f>
        <v/>
      </c>
      <c r="D82" s="301" t="str">
        <f>IF(B82="","",IF(ISNA(VLOOKUP($B82,'B-1 On-Site Hedge Baseline'!$B$1:$L$257,4,FALSE)),"",(VLOOKUP($B82,'B-1 On-Site Hedge Baseline'!$B$1:$L$257,4,FALSE))))</f>
        <v/>
      </c>
      <c r="E82" s="301" t="str">
        <f>IF(B82="","",IF(ISNA(VLOOKUP($B82,'B-1 On-Site Hedge Baseline'!$B$1:$L$257,5,FALSE)),"",(VLOOKUP($B82,'B-1 On-Site Hedge Baseline'!$B$1:$L$257,5,FALSE))))</f>
        <v/>
      </c>
      <c r="F82" s="301" t="str">
        <f>IF(B82="","",IF(ISNA(VLOOKUP($B82,'B-1 On-Site Hedge Baseline'!$B$1:$L$257,6,FALSE)),"",(VLOOKUP($B82,'B-1 On-Site Hedge Baseline'!$B$1:$L$257,6,FALSE))))</f>
        <v/>
      </c>
      <c r="G82" s="301" t="str">
        <f>IF(B82="","",IF(ISNA(VLOOKUP($B82,'B-1 On-Site Hedge Baseline'!$B$1:$L$257,7,FALSE)),"",(VLOOKUP($B82,'B-1 On-Site Hedge Baseline'!$B$1:$L$257,7,FALSE))))</f>
        <v/>
      </c>
      <c r="H82" s="301" t="str">
        <f>IF(B82="","",IF(ISNA(VLOOKUP($B82,'B-1 On-Site Hedge Baseline'!$B$1:$L$257,8,FALSE)),"",(VLOOKUP($B82,'B-1 On-Site Hedge Baseline'!$B$1:$L$257,8,FALSE))))</f>
        <v/>
      </c>
      <c r="I82" s="301" t="str">
        <f>IF(B82="","",IF(ISNA(VLOOKUP($B82,'B-1 On-Site Hedge Baseline'!$B$1:$L$257,10,FALSE)),"",(VLOOKUP($B82,'B-1 On-Site Hedge Baseline'!$B$1:$L$257,10,FALSE))))</f>
        <v/>
      </c>
      <c r="J82" s="301" t="str">
        <f>IF(B82="","",IF(ISNA(VLOOKUP($B82,'B-1 On-Site Hedge Baseline'!$B$1:$L$257,11,FALSE)),"",(VLOOKUP($B82,'B-1 On-Site Hedge Baseline'!$B$1:$L$257,11,FALSE))))</f>
        <v/>
      </c>
      <c r="K82" s="301" t="str">
        <f>IF(B82="","",IF(ISNA(VLOOKUP($B82,'B-1 On-Site Hedge Baseline'!$B$1:$U$257,13,FALSE)),"",(VLOOKUP($B82,'B-1 On-Site Hedge Baseline'!$B$1:$U$257,13,FALSE))))</f>
        <v/>
      </c>
      <c r="L82" s="305" t="str">
        <f>IF(B82="","",IF(ISNA(VLOOKUP($B82,'B-1 On-Site Hedge Baseline'!$B$1:$U$257,12,FALSE)),"",(VLOOKUP($B82,'B-1 On-Site Hedge Baseline'!$B$1:$U$257,12,FALSE))))</f>
        <v/>
      </c>
      <c r="M82" s="627"/>
      <c r="N82" s="281" t="str">
        <f>IFERROR(IF(B82="","",INDEX('G-6 Hedgerow Data'!$AN$3:$AZ$15,MATCH(C82,'G-6 Hedgerow Data'!$AM$3:$AM$15,0),MATCH(M82,'G-6 Hedgerow Data'!$AN$2:$AZ$2,0))),"")</f>
        <v/>
      </c>
      <c r="O82" s="282" t="str">
        <f t="shared" si="8"/>
        <v/>
      </c>
      <c r="P82" s="335" t="str">
        <f>IF(B82="","",VLOOKUP(B82,'B-1 On-Site Hedge Baseline'!$B$10:T327,16,FALSE))</f>
        <v/>
      </c>
      <c r="Q82" s="281" t="str">
        <f>IF(M82="","",VLOOKUP(M82,'G-6 Hedgerow Data'!$B$2:$AG$15,2,FALSE))</f>
        <v/>
      </c>
      <c r="R82" s="282" t="str">
        <f>IF(M82="","",VLOOKUP(M82,'G-6 Hedgerow Data'!$B$2:$AG$15,3,FALSE))</f>
        <v/>
      </c>
      <c r="S82" s="112"/>
      <c r="T82" s="320" t="str">
        <f>IFERROR(IF(S82="","",IF(AND(M82="Non-native and ornamental hedgerow", S82&lt;&gt;"Poor"),"Not possible ▲", (VLOOKUP(S82,'G-1 All Habitats'!$Z$2:$AA$9,2,FALSE)))),"")</f>
        <v/>
      </c>
      <c r="U82" s="109"/>
      <c r="V82" s="301" t="str">
        <f>IF(U82="","",IF(VLOOKUP(U82,'G-3 Multipliers'!$L$3:$N$6,2,FALSE)=0,"Spatial Data Missing ⚠",VLOOKUP(U82,'G-3 Multipliers'!$L$3:$N$6,2,FALSE)))</f>
        <v/>
      </c>
      <c r="W82" s="305" t="str">
        <f>IF(U82="","",IF(VLOOKUP(U82,'G-3 Multipliers'!$L$3:$N$6,3,FALSE)=0,"Spatial Data Missing ⚠",VLOOKUP(U82,'G-3 Multipliers'!$L$3:$N$6,3,FALSE)))</f>
        <v/>
      </c>
      <c r="X82" s="281" t="str">
        <f>IFERROR(IF(OR(LEFT(O82,5)="Error",LEFT(N82,5)="Error",T82="Error"),"Check Data ⚠",IF(F82&lt;R82,INDEX('G-6 Hedgerow Data'!$S$3:$AE$14,MATCH(C82,'G-6 Hedgerow Data'!$B$3:$B$14,0),MATCH(M82,'G-6 Hedgerow Data'!$S$2:$AE$2,0)),INDEX('G-6 Hedgerow Data'!$K$3:$Q$14,MATCH(M82,'G-6 Hedgerow Data'!$B$3:$B$14,0),MATCH(O82,'G-6 Hedgerow Data'!$K$2:$Q$2,0)))),"")</f>
        <v/>
      </c>
      <c r="Y82" s="137"/>
      <c r="Z82" s="137"/>
      <c r="AA82" s="289" t="str">
        <f t="shared" si="9"/>
        <v/>
      </c>
      <c r="AB82" s="302" t="str">
        <f t="shared" si="10"/>
        <v/>
      </c>
      <c r="AC82" s="303" t="str">
        <f t="shared" si="7"/>
        <v/>
      </c>
      <c r="AD82" s="317" t="str">
        <f>IF(M82="","",VLOOKUP(M82,'G-6 Hedgerow Data'!$B$3:$AG$15,31,FALSE))</f>
        <v/>
      </c>
      <c r="AE82" s="289" t="str">
        <f t="shared" si="11"/>
        <v/>
      </c>
      <c r="AF82" s="289" t="str">
        <f t="shared" si="12"/>
        <v/>
      </c>
      <c r="AG82" s="305" t="str">
        <f>IFERROR(IF(O82="","",VLOOKUP(AD82,'G-3 Multipliers'!$P$3:$Q$6,2,FALSE)),"")</f>
        <v/>
      </c>
      <c r="AH82" s="295" t="str">
        <f t="shared" si="13"/>
        <v/>
      </c>
      <c r="AI82" s="112"/>
      <c r="AJ82" s="119"/>
      <c r="AK82" s="108"/>
      <c r="AT82" s="30" t="str">
        <f>IFERROR(INDEX('G-6 Hedgerow Data'!$BJ$3:$BJ$15,MATCH(M82,'G-6 Hedgerow Data'!$B$3:$B$15,0)),"")</f>
        <v/>
      </c>
    </row>
    <row r="83" spans="2:46" ht="13.8" x14ac:dyDescent="0.25">
      <c r="B83" s="311" t="str">
        <f>'B-1 On-Site Hedge Baseline'!AK81</f>
        <v/>
      </c>
      <c r="C83" s="301" t="str">
        <f>IF(B83="","",IF(ISNA(VLOOKUP($B83,'B-1 On-Site Hedge Baseline'!$B$1:$L$257,3,FALSE)),"",(VLOOKUP($B83,'B-1 On-Site Hedge Baseline'!$B$1:$L$257,3,FALSE))))</f>
        <v/>
      </c>
      <c r="D83" s="301" t="str">
        <f>IF(B83="","",IF(ISNA(VLOOKUP($B83,'B-1 On-Site Hedge Baseline'!$B$1:$L$257,4,FALSE)),"",(VLOOKUP($B83,'B-1 On-Site Hedge Baseline'!$B$1:$L$257,4,FALSE))))</f>
        <v/>
      </c>
      <c r="E83" s="301" t="str">
        <f>IF(B83="","",IF(ISNA(VLOOKUP($B83,'B-1 On-Site Hedge Baseline'!$B$1:$L$257,5,FALSE)),"",(VLOOKUP($B83,'B-1 On-Site Hedge Baseline'!$B$1:$L$257,5,FALSE))))</f>
        <v/>
      </c>
      <c r="F83" s="301" t="str">
        <f>IF(B83="","",IF(ISNA(VLOOKUP($B83,'B-1 On-Site Hedge Baseline'!$B$1:$L$257,6,FALSE)),"",(VLOOKUP($B83,'B-1 On-Site Hedge Baseline'!$B$1:$L$257,6,FALSE))))</f>
        <v/>
      </c>
      <c r="G83" s="301" t="str">
        <f>IF(B83="","",IF(ISNA(VLOOKUP($B83,'B-1 On-Site Hedge Baseline'!$B$1:$L$257,7,FALSE)),"",(VLOOKUP($B83,'B-1 On-Site Hedge Baseline'!$B$1:$L$257,7,FALSE))))</f>
        <v/>
      </c>
      <c r="H83" s="301" t="str">
        <f>IF(B83="","",IF(ISNA(VLOOKUP($B83,'B-1 On-Site Hedge Baseline'!$B$1:$L$257,8,FALSE)),"",(VLOOKUP($B83,'B-1 On-Site Hedge Baseline'!$B$1:$L$257,8,FALSE))))</f>
        <v/>
      </c>
      <c r="I83" s="301" t="str">
        <f>IF(B83="","",IF(ISNA(VLOOKUP($B83,'B-1 On-Site Hedge Baseline'!$B$1:$L$257,10,FALSE)),"",(VLOOKUP($B83,'B-1 On-Site Hedge Baseline'!$B$1:$L$257,10,FALSE))))</f>
        <v/>
      </c>
      <c r="J83" s="301" t="str">
        <f>IF(B83="","",IF(ISNA(VLOOKUP($B83,'B-1 On-Site Hedge Baseline'!$B$1:$L$257,11,FALSE)),"",(VLOOKUP($B83,'B-1 On-Site Hedge Baseline'!$B$1:$L$257,11,FALSE))))</f>
        <v/>
      </c>
      <c r="K83" s="301" t="str">
        <f>IF(B83="","",IF(ISNA(VLOOKUP($B83,'B-1 On-Site Hedge Baseline'!$B$1:$U$257,13,FALSE)),"",(VLOOKUP($B83,'B-1 On-Site Hedge Baseline'!$B$1:$U$257,13,FALSE))))</f>
        <v/>
      </c>
      <c r="L83" s="305" t="str">
        <f>IF(B83="","",IF(ISNA(VLOOKUP($B83,'B-1 On-Site Hedge Baseline'!$B$1:$U$257,12,FALSE)),"",(VLOOKUP($B83,'B-1 On-Site Hedge Baseline'!$B$1:$U$257,12,FALSE))))</f>
        <v/>
      </c>
      <c r="M83" s="627"/>
      <c r="N83" s="281" t="str">
        <f>IFERROR(IF(B83="","",INDEX('G-6 Hedgerow Data'!$AN$3:$AZ$15,MATCH(C83,'G-6 Hedgerow Data'!$AM$3:$AM$15,0),MATCH(M83,'G-6 Hedgerow Data'!$AN$2:$AZ$2,0))),"")</f>
        <v/>
      </c>
      <c r="O83" s="282" t="str">
        <f t="shared" si="8"/>
        <v/>
      </c>
      <c r="P83" s="335" t="str">
        <f>IF(B83="","",VLOOKUP(B83,'B-1 On-Site Hedge Baseline'!$B$10:T328,16,FALSE))</f>
        <v/>
      </c>
      <c r="Q83" s="281" t="str">
        <f>IF(M83="","",VLOOKUP(M83,'G-6 Hedgerow Data'!$B$2:$AG$15,2,FALSE))</f>
        <v/>
      </c>
      <c r="R83" s="282" t="str">
        <f>IF(M83="","",VLOOKUP(M83,'G-6 Hedgerow Data'!$B$2:$AG$15,3,FALSE))</f>
        <v/>
      </c>
      <c r="S83" s="112"/>
      <c r="T83" s="320" t="str">
        <f>IFERROR(IF(S83="","",IF(AND(M83="Non-native and ornamental hedgerow", S83&lt;&gt;"Poor"),"Not possible ▲", (VLOOKUP(S83,'G-1 All Habitats'!$Z$2:$AA$9,2,FALSE)))),"")</f>
        <v/>
      </c>
      <c r="U83" s="109"/>
      <c r="V83" s="301" t="str">
        <f>IF(U83="","",IF(VLOOKUP(U83,'G-3 Multipliers'!$L$3:$N$6,2,FALSE)=0,"Spatial Data Missing ⚠",VLOOKUP(U83,'G-3 Multipliers'!$L$3:$N$6,2,FALSE)))</f>
        <v/>
      </c>
      <c r="W83" s="305" t="str">
        <f>IF(U83="","",IF(VLOOKUP(U83,'G-3 Multipliers'!$L$3:$N$6,3,FALSE)=0,"Spatial Data Missing ⚠",VLOOKUP(U83,'G-3 Multipliers'!$L$3:$N$6,3,FALSE)))</f>
        <v/>
      </c>
      <c r="X83" s="281" t="str">
        <f>IFERROR(IF(OR(LEFT(O83,5)="Error",LEFT(N83,5)="Error",T83="Error"),"Check Data ⚠",IF(F83&lt;R83,INDEX('G-6 Hedgerow Data'!$S$3:$AE$14,MATCH(C83,'G-6 Hedgerow Data'!$B$3:$B$14,0),MATCH(M83,'G-6 Hedgerow Data'!$S$2:$AE$2,0)),INDEX('G-6 Hedgerow Data'!$K$3:$Q$14,MATCH(M83,'G-6 Hedgerow Data'!$B$3:$B$14,0),MATCH(O83,'G-6 Hedgerow Data'!$K$2:$Q$2,0)))),"")</f>
        <v/>
      </c>
      <c r="Y83" s="137"/>
      <c r="Z83" s="137"/>
      <c r="AA83" s="289" t="str">
        <f t="shared" si="9"/>
        <v/>
      </c>
      <c r="AB83" s="302" t="str">
        <f t="shared" si="10"/>
        <v/>
      </c>
      <c r="AC83" s="303" t="str">
        <f t="shared" si="7"/>
        <v/>
      </c>
      <c r="AD83" s="317" t="str">
        <f>IF(M83="","",VLOOKUP(M83,'G-6 Hedgerow Data'!$B$3:$AG$15,31,FALSE))</f>
        <v/>
      </c>
      <c r="AE83" s="289" t="str">
        <f t="shared" si="11"/>
        <v/>
      </c>
      <c r="AF83" s="289" t="str">
        <f t="shared" si="12"/>
        <v/>
      </c>
      <c r="AG83" s="305" t="str">
        <f>IFERROR(IF(O83="","",VLOOKUP(AD83,'G-3 Multipliers'!$P$3:$Q$6,2,FALSE)),"")</f>
        <v/>
      </c>
      <c r="AH83" s="295" t="str">
        <f t="shared" si="13"/>
        <v/>
      </c>
      <c r="AI83" s="112"/>
      <c r="AJ83" s="119"/>
      <c r="AK83" s="108"/>
      <c r="AT83" s="30" t="str">
        <f>IFERROR(INDEX('G-6 Hedgerow Data'!$BJ$3:$BJ$15,MATCH(M83,'G-6 Hedgerow Data'!$B$3:$B$15,0)),"")</f>
        <v/>
      </c>
    </row>
    <row r="84" spans="2:46" ht="13.8" x14ac:dyDescent="0.25">
      <c r="B84" s="311" t="str">
        <f>'B-1 On-Site Hedge Baseline'!AK82</f>
        <v/>
      </c>
      <c r="C84" s="301" t="str">
        <f>IF(B84="","",IF(ISNA(VLOOKUP($B84,'B-1 On-Site Hedge Baseline'!$B$1:$L$257,3,FALSE)),"",(VLOOKUP($B84,'B-1 On-Site Hedge Baseline'!$B$1:$L$257,3,FALSE))))</f>
        <v/>
      </c>
      <c r="D84" s="301" t="str">
        <f>IF(B84="","",IF(ISNA(VLOOKUP($B84,'B-1 On-Site Hedge Baseline'!$B$1:$L$257,4,FALSE)),"",(VLOOKUP($B84,'B-1 On-Site Hedge Baseline'!$B$1:$L$257,4,FALSE))))</f>
        <v/>
      </c>
      <c r="E84" s="301" t="str">
        <f>IF(B84="","",IF(ISNA(VLOOKUP($B84,'B-1 On-Site Hedge Baseline'!$B$1:$L$257,5,FALSE)),"",(VLOOKUP($B84,'B-1 On-Site Hedge Baseline'!$B$1:$L$257,5,FALSE))))</f>
        <v/>
      </c>
      <c r="F84" s="301" t="str">
        <f>IF(B84="","",IF(ISNA(VLOOKUP($B84,'B-1 On-Site Hedge Baseline'!$B$1:$L$257,6,FALSE)),"",(VLOOKUP($B84,'B-1 On-Site Hedge Baseline'!$B$1:$L$257,6,FALSE))))</f>
        <v/>
      </c>
      <c r="G84" s="301" t="str">
        <f>IF(B84="","",IF(ISNA(VLOOKUP($B84,'B-1 On-Site Hedge Baseline'!$B$1:$L$257,7,FALSE)),"",(VLOOKUP($B84,'B-1 On-Site Hedge Baseline'!$B$1:$L$257,7,FALSE))))</f>
        <v/>
      </c>
      <c r="H84" s="301" t="str">
        <f>IF(B84="","",IF(ISNA(VLOOKUP($B84,'B-1 On-Site Hedge Baseline'!$B$1:$L$257,8,FALSE)),"",(VLOOKUP($B84,'B-1 On-Site Hedge Baseline'!$B$1:$L$257,8,FALSE))))</f>
        <v/>
      </c>
      <c r="I84" s="301" t="str">
        <f>IF(B84="","",IF(ISNA(VLOOKUP($B84,'B-1 On-Site Hedge Baseline'!$B$1:$L$257,10,FALSE)),"",(VLOOKUP($B84,'B-1 On-Site Hedge Baseline'!$B$1:$L$257,10,FALSE))))</f>
        <v/>
      </c>
      <c r="J84" s="301" t="str">
        <f>IF(B84="","",IF(ISNA(VLOOKUP($B84,'B-1 On-Site Hedge Baseline'!$B$1:$L$257,11,FALSE)),"",(VLOOKUP($B84,'B-1 On-Site Hedge Baseline'!$B$1:$L$257,11,FALSE))))</f>
        <v/>
      </c>
      <c r="K84" s="301" t="str">
        <f>IF(B84="","",IF(ISNA(VLOOKUP($B84,'B-1 On-Site Hedge Baseline'!$B$1:$U$257,13,FALSE)),"",(VLOOKUP($B84,'B-1 On-Site Hedge Baseline'!$B$1:$U$257,13,FALSE))))</f>
        <v/>
      </c>
      <c r="L84" s="305" t="str">
        <f>IF(B84="","",IF(ISNA(VLOOKUP($B84,'B-1 On-Site Hedge Baseline'!$B$1:$U$257,12,FALSE)),"",(VLOOKUP($B84,'B-1 On-Site Hedge Baseline'!$B$1:$U$257,12,FALSE))))</f>
        <v/>
      </c>
      <c r="M84" s="627"/>
      <c r="N84" s="281" t="str">
        <f>IFERROR(IF(B84="","",INDEX('G-6 Hedgerow Data'!$AN$3:$AZ$15,MATCH(C84,'G-6 Hedgerow Data'!$AM$3:$AM$15,0),MATCH(M84,'G-6 Hedgerow Data'!$AN$2:$AZ$2,0))),"")</f>
        <v/>
      </c>
      <c r="O84" s="282" t="str">
        <f t="shared" si="8"/>
        <v/>
      </c>
      <c r="P84" s="335" t="str">
        <f>IF(B84="","",VLOOKUP(B84,'B-1 On-Site Hedge Baseline'!$B$10:T329,16,FALSE))</f>
        <v/>
      </c>
      <c r="Q84" s="281" t="str">
        <f>IF(M84="","",VLOOKUP(M84,'G-6 Hedgerow Data'!$B$2:$AG$15,2,FALSE))</f>
        <v/>
      </c>
      <c r="R84" s="282" t="str">
        <f>IF(M84="","",VLOOKUP(M84,'G-6 Hedgerow Data'!$B$2:$AG$15,3,FALSE))</f>
        <v/>
      </c>
      <c r="S84" s="112"/>
      <c r="T84" s="320" t="str">
        <f>IFERROR(IF(S84="","",IF(AND(M84="Non-native and ornamental hedgerow", S84&lt;&gt;"Poor"),"Not possible ▲", (VLOOKUP(S84,'G-1 All Habitats'!$Z$2:$AA$9,2,FALSE)))),"")</f>
        <v/>
      </c>
      <c r="U84" s="109"/>
      <c r="V84" s="301" t="str">
        <f>IF(U84="","",IF(VLOOKUP(U84,'G-3 Multipliers'!$L$3:$N$6,2,FALSE)=0,"Spatial Data Missing ⚠",VLOOKUP(U84,'G-3 Multipliers'!$L$3:$N$6,2,FALSE)))</f>
        <v/>
      </c>
      <c r="W84" s="305" t="str">
        <f>IF(U84="","",IF(VLOOKUP(U84,'G-3 Multipliers'!$L$3:$N$6,3,FALSE)=0,"Spatial Data Missing ⚠",VLOOKUP(U84,'G-3 Multipliers'!$L$3:$N$6,3,FALSE)))</f>
        <v/>
      </c>
      <c r="X84" s="281" t="str">
        <f>IFERROR(IF(OR(LEFT(O84,5)="Error",LEFT(N84,5)="Error",T84="Error"),"Check Data ⚠",IF(F84&lt;R84,INDEX('G-6 Hedgerow Data'!$S$3:$AE$14,MATCH(C84,'G-6 Hedgerow Data'!$B$3:$B$14,0),MATCH(M84,'G-6 Hedgerow Data'!$S$2:$AE$2,0)),INDEX('G-6 Hedgerow Data'!$K$3:$Q$14,MATCH(M84,'G-6 Hedgerow Data'!$B$3:$B$14,0),MATCH(O84,'G-6 Hedgerow Data'!$K$2:$Q$2,0)))),"")</f>
        <v/>
      </c>
      <c r="Y84" s="137"/>
      <c r="Z84" s="137"/>
      <c r="AA84" s="289" t="str">
        <f t="shared" si="9"/>
        <v/>
      </c>
      <c r="AB84" s="302" t="str">
        <f t="shared" si="10"/>
        <v/>
      </c>
      <c r="AC84" s="303" t="str">
        <f t="shared" si="7"/>
        <v/>
      </c>
      <c r="AD84" s="317" t="str">
        <f>IF(M84="","",VLOOKUP(M84,'G-6 Hedgerow Data'!$B$3:$AG$15,31,FALSE))</f>
        <v/>
      </c>
      <c r="AE84" s="289" t="str">
        <f t="shared" si="11"/>
        <v/>
      </c>
      <c r="AF84" s="289" t="str">
        <f t="shared" si="12"/>
        <v/>
      </c>
      <c r="AG84" s="305" t="str">
        <f>IFERROR(IF(O84="","",VLOOKUP(AD84,'G-3 Multipliers'!$P$3:$Q$6,2,FALSE)),"")</f>
        <v/>
      </c>
      <c r="AH84" s="295" t="str">
        <f t="shared" si="13"/>
        <v/>
      </c>
      <c r="AI84" s="112"/>
      <c r="AJ84" s="119"/>
      <c r="AK84" s="108"/>
      <c r="AT84" s="30" t="str">
        <f>IFERROR(INDEX('G-6 Hedgerow Data'!$BJ$3:$BJ$15,MATCH(M84,'G-6 Hedgerow Data'!$B$3:$B$15,0)),"")</f>
        <v/>
      </c>
    </row>
    <row r="85" spans="2:46" ht="13.8" x14ac:dyDescent="0.25">
      <c r="B85" s="311" t="str">
        <f>'B-1 On-Site Hedge Baseline'!AK83</f>
        <v/>
      </c>
      <c r="C85" s="301" t="str">
        <f>IF(B85="","",IF(ISNA(VLOOKUP($B85,'B-1 On-Site Hedge Baseline'!$B$1:$L$257,3,FALSE)),"",(VLOOKUP($B85,'B-1 On-Site Hedge Baseline'!$B$1:$L$257,3,FALSE))))</f>
        <v/>
      </c>
      <c r="D85" s="301" t="str">
        <f>IF(B85="","",IF(ISNA(VLOOKUP($B85,'B-1 On-Site Hedge Baseline'!$B$1:$L$257,4,FALSE)),"",(VLOOKUP($B85,'B-1 On-Site Hedge Baseline'!$B$1:$L$257,4,FALSE))))</f>
        <v/>
      </c>
      <c r="E85" s="301" t="str">
        <f>IF(B85="","",IF(ISNA(VLOOKUP($B85,'B-1 On-Site Hedge Baseline'!$B$1:$L$257,5,FALSE)),"",(VLOOKUP($B85,'B-1 On-Site Hedge Baseline'!$B$1:$L$257,5,FALSE))))</f>
        <v/>
      </c>
      <c r="F85" s="301" t="str">
        <f>IF(B85="","",IF(ISNA(VLOOKUP($B85,'B-1 On-Site Hedge Baseline'!$B$1:$L$257,6,FALSE)),"",(VLOOKUP($B85,'B-1 On-Site Hedge Baseline'!$B$1:$L$257,6,FALSE))))</f>
        <v/>
      </c>
      <c r="G85" s="301" t="str">
        <f>IF(B85="","",IF(ISNA(VLOOKUP($B85,'B-1 On-Site Hedge Baseline'!$B$1:$L$257,7,FALSE)),"",(VLOOKUP($B85,'B-1 On-Site Hedge Baseline'!$B$1:$L$257,7,FALSE))))</f>
        <v/>
      </c>
      <c r="H85" s="301" t="str">
        <f>IF(B85="","",IF(ISNA(VLOOKUP($B85,'B-1 On-Site Hedge Baseline'!$B$1:$L$257,8,FALSE)),"",(VLOOKUP($B85,'B-1 On-Site Hedge Baseline'!$B$1:$L$257,8,FALSE))))</f>
        <v/>
      </c>
      <c r="I85" s="301" t="str">
        <f>IF(B85="","",IF(ISNA(VLOOKUP($B85,'B-1 On-Site Hedge Baseline'!$B$1:$L$257,10,FALSE)),"",(VLOOKUP($B85,'B-1 On-Site Hedge Baseline'!$B$1:$L$257,10,FALSE))))</f>
        <v/>
      </c>
      <c r="J85" s="301" t="str">
        <f>IF(B85="","",IF(ISNA(VLOOKUP($B85,'B-1 On-Site Hedge Baseline'!$B$1:$L$257,11,FALSE)),"",(VLOOKUP($B85,'B-1 On-Site Hedge Baseline'!$B$1:$L$257,11,FALSE))))</f>
        <v/>
      </c>
      <c r="K85" s="301" t="str">
        <f>IF(B85="","",IF(ISNA(VLOOKUP($B85,'B-1 On-Site Hedge Baseline'!$B$1:$U$257,13,FALSE)),"",(VLOOKUP($B85,'B-1 On-Site Hedge Baseline'!$B$1:$U$257,13,FALSE))))</f>
        <v/>
      </c>
      <c r="L85" s="305" t="str">
        <f>IF(B85="","",IF(ISNA(VLOOKUP($B85,'B-1 On-Site Hedge Baseline'!$B$1:$U$257,12,FALSE)),"",(VLOOKUP($B85,'B-1 On-Site Hedge Baseline'!$B$1:$U$257,12,FALSE))))</f>
        <v/>
      </c>
      <c r="M85" s="627"/>
      <c r="N85" s="281" t="str">
        <f>IFERROR(IF(B85="","",INDEX('G-6 Hedgerow Data'!$AN$3:$AZ$15,MATCH(C85,'G-6 Hedgerow Data'!$AM$3:$AM$15,0),MATCH(M85,'G-6 Hedgerow Data'!$AN$2:$AZ$2,0))),"")</f>
        <v/>
      </c>
      <c r="O85" s="282" t="str">
        <f t="shared" si="8"/>
        <v/>
      </c>
      <c r="P85" s="335" t="str">
        <f>IF(B85="","",VLOOKUP(B85,'B-1 On-Site Hedge Baseline'!$B$10:T330,16,FALSE))</f>
        <v/>
      </c>
      <c r="Q85" s="281" t="str">
        <f>IF(M85="","",VLOOKUP(M85,'G-6 Hedgerow Data'!$B$2:$AG$15,2,FALSE))</f>
        <v/>
      </c>
      <c r="R85" s="282" t="str">
        <f>IF(M85="","",VLOOKUP(M85,'G-6 Hedgerow Data'!$B$2:$AG$15,3,FALSE))</f>
        <v/>
      </c>
      <c r="S85" s="112"/>
      <c r="T85" s="320" t="str">
        <f>IFERROR(IF(S85="","",IF(AND(M85="Non-native and ornamental hedgerow", S85&lt;&gt;"Poor"),"Not possible ▲", (VLOOKUP(S85,'G-1 All Habitats'!$Z$2:$AA$9,2,FALSE)))),"")</f>
        <v/>
      </c>
      <c r="U85" s="109"/>
      <c r="V85" s="301" t="str">
        <f>IF(U85="","",IF(VLOOKUP(U85,'G-3 Multipliers'!$L$3:$N$6,2,FALSE)=0,"Spatial Data Missing ⚠",VLOOKUP(U85,'G-3 Multipliers'!$L$3:$N$6,2,FALSE)))</f>
        <v/>
      </c>
      <c r="W85" s="305" t="str">
        <f>IF(U85="","",IF(VLOOKUP(U85,'G-3 Multipliers'!$L$3:$N$6,3,FALSE)=0,"Spatial Data Missing ⚠",VLOOKUP(U85,'G-3 Multipliers'!$L$3:$N$6,3,FALSE)))</f>
        <v/>
      </c>
      <c r="X85" s="281" t="str">
        <f>IFERROR(IF(OR(LEFT(O85,5)="Error",LEFT(N85,5)="Error",T85="Error"),"Check Data ⚠",IF(F85&lt;R85,INDEX('G-6 Hedgerow Data'!$S$3:$AE$14,MATCH(C85,'G-6 Hedgerow Data'!$B$3:$B$14,0),MATCH(M85,'G-6 Hedgerow Data'!$S$2:$AE$2,0)),INDEX('G-6 Hedgerow Data'!$K$3:$Q$14,MATCH(M85,'G-6 Hedgerow Data'!$B$3:$B$14,0),MATCH(O85,'G-6 Hedgerow Data'!$K$2:$Q$2,0)))),"")</f>
        <v/>
      </c>
      <c r="Y85" s="137"/>
      <c r="Z85" s="137"/>
      <c r="AA85" s="289" t="str">
        <f t="shared" si="9"/>
        <v/>
      </c>
      <c r="AB85" s="302" t="str">
        <f t="shared" si="10"/>
        <v/>
      </c>
      <c r="AC85" s="303" t="str">
        <f t="shared" si="7"/>
        <v/>
      </c>
      <c r="AD85" s="317" t="str">
        <f>IF(M85="","",VLOOKUP(M85,'G-6 Hedgerow Data'!$B$3:$AG$15,31,FALSE))</f>
        <v/>
      </c>
      <c r="AE85" s="289" t="str">
        <f t="shared" si="11"/>
        <v/>
      </c>
      <c r="AF85" s="289" t="str">
        <f t="shared" si="12"/>
        <v/>
      </c>
      <c r="AG85" s="305" t="str">
        <f>IFERROR(IF(O85="","",VLOOKUP(AD85,'G-3 Multipliers'!$P$3:$Q$6,2,FALSE)),"")</f>
        <v/>
      </c>
      <c r="AH85" s="295" t="str">
        <f t="shared" si="13"/>
        <v/>
      </c>
      <c r="AI85" s="112"/>
      <c r="AJ85" s="119"/>
      <c r="AK85" s="108"/>
      <c r="AT85" s="30" t="str">
        <f>IFERROR(INDEX('G-6 Hedgerow Data'!$BJ$3:$BJ$15,MATCH(M85,'G-6 Hedgerow Data'!$B$3:$B$15,0)),"")</f>
        <v/>
      </c>
    </row>
    <row r="86" spans="2:46" ht="13.8" x14ac:dyDescent="0.25">
      <c r="B86" s="311" t="str">
        <f>'B-1 On-Site Hedge Baseline'!AK84</f>
        <v/>
      </c>
      <c r="C86" s="301" t="str">
        <f>IF(B86="","",IF(ISNA(VLOOKUP($B86,'B-1 On-Site Hedge Baseline'!$B$1:$L$257,3,FALSE)),"",(VLOOKUP($B86,'B-1 On-Site Hedge Baseline'!$B$1:$L$257,3,FALSE))))</f>
        <v/>
      </c>
      <c r="D86" s="301" t="str">
        <f>IF(B86="","",IF(ISNA(VLOOKUP($B86,'B-1 On-Site Hedge Baseline'!$B$1:$L$257,4,FALSE)),"",(VLOOKUP($B86,'B-1 On-Site Hedge Baseline'!$B$1:$L$257,4,FALSE))))</f>
        <v/>
      </c>
      <c r="E86" s="301" t="str">
        <f>IF(B86="","",IF(ISNA(VLOOKUP($B86,'B-1 On-Site Hedge Baseline'!$B$1:$L$257,5,FALSE)),"",(VLOOKUP($B86,'B-1 On-Site Hedge Baseline'!$B$1:$L$257,5,FALSE))))</f>
        <v/>
      </c>
      <c r="F86" s="301" t="str">
        <f>IF(B86="","",IF(ISNA(VLOOKUP($B86,'B-1 On-Site Hedge Baseline'!$B$1:$L$257,6,FALSE)),"",(VLOOKUP($B86,'B-1 On-Site Hedge Baseline'!$B$1:$L$257,6,FALSE))))</f>
        <v/>
      </c>
      <c r="G86" s="301" t="str">
        <f>IF(B86="","",IF(ISNA(VLOOKUP($B86,'B-1 On-Site Hedge Baseline'!$B$1:$L$257,7,FALSE)),"",(VLOOKUP($B86,'B-1 On-Site Hedge Baseline'!$B$1:$L$257,7,FALSE))))</f>
        <v/>
      </c>
      <c r="H86" s="301" t="str">
        <f>IF(B86="","",IF(ISNA(VLOOKUP($B86,'B-1 On-Site Hedge Baseline'!$B$1:$L$257,8,FALSE)),"",(VLOOKUP($B86,'B-1 On-Site Hedge Baseline'!$B$1:$L$257,8,FALSE))))</f>
        <v/>
      </c>
      <c r="I86" s="301" t="str">
        <f>IF(B86="","",IF(ISNA(VLOOKUP($B86,'B-1 On-Site Hedge Baseline'!$B$1:$L$257,10,FALSE)),"",(VLOOKUP($B86,'B-1 On-Site Hedge Baseline'!$B$1:$L$257,10,FALSE))))</f>
        <v/>
      </c>
      <c r="J86" s="301" t="str">
        <f>IF(B86="","",IF(ISNA(VLOOKUP($B86,'B-1 On-Site Hedge Baseline'!$B$1:$L$257,11,FALSE)),"",(VLOOKUP($B86,'B-1 On-Site Hedge Baseline'!$B$1:$L$257,11,FALSE))))</f>
        <v/>
      </c>
      <c r="K86" s="301" t="str">
        <f>IF(B86="","",IF(ISNA(VLOOKUP($B86,'B-1 On-Site Hedge Baseline'!$B$1:$U$257,13,FALSE)),"",(VLOOKUP($B86,'B-1 On-Site Hedge Baseline'!$B$1:$U$257,13,FALSE))))</f>
        <v/>
      </c>
      <c r="L86" s="305" t="str">
        <f>IF(B86="","",IF(ISNA(VLOOKUP($B86,'B-1 On-Site Hedge Baseline'!$B$1:$U$257,12,FALSE)),"",(VLOOKUP($B86,'B-1 On-Site Hedge Baseline'!$B$1:$U$257,12,FALSE))))</f>
        <v/>
      </c>
      <c r="M86" s="627"/>
      <c r="N86" s="281" t="str">
        <f>IFERROR(IF(B86="","",INDEX('G-6 Hedgerow Data'!$AN$3:$AZ$15,MATCH(C86,'G-6 Hedgerow Data'!$AM$3:$AM$15,0),MATCH(M86,'G-6 Hedgerow Data'!$AN$2:$AZ$2,0))),"")</f>
        <v/>
      </c>
      <c r="O86" s="282" t="str">
        <f t="shared" si="8"/>
        <v/>
      </c>
      <c r="P86" s="335" t="str">
        <f>IF(B86="","",VLOOKUP(B86,'B-1 On-Site Hedge Baseline'!$B$10:T331,16,FALSE))</f>
        <v/>
      </c>
      <c r="Q86" s="281" t="str">
        <f>IF(M86="","",VLOOKUP(M86,'G-6 Hedgerow Data'!$B$2:$AG$15,2,FALSE))</f>
        <v/>
      </c>
      <c r="R86" s="282" t="str">
        <f>IF(M86="","",VLOOKUP(M86,'G-6 Hedgerow Data'!$B$2:$AG$15,3,FALSE))</f>
        <v/>
      </c>
      <c r="S86" s="112"/>
      <c r="T86" s="320" t="str">
        <f>IFERROR(IF(S86="","",IF(AND(M86="Non-native and ornamental hedgerow", S86&lt;&gt;"Poor"),"Not possible ▲", (VLOOKUP(S86,'G-1 All Habitats'!$Z$2:$AA$9,2,FALSE)))),"")</f>
        <v/>
      </c>
      <c r="U86" s="109"/>
      <c r="V86" s="301" t="str">
        <f>IF(U86="","",IF(VLOOKUP(U86,'G-3 Multipliers'!$L$3:$N$6,2,FALSE)=0,"Spatial Data Missing ⚠",VLOOKUP(U86,'G-3 Multipliers'!$L$3:$N$6,2,FALSE)))</f>
        <v/>
      </c>
      <c r="W86" s="305" t="str">
        <f>IF(U86="","",IF(VLOOKUP(U86,'G-3 Multipliers'!$L$3:$N$6,3,FALSE)=0,"Spatial Data Missing ⚠",VLOOKUP(U86,'G-3 Multipliers'!$L$3:$N$6,3,FALSE)))</f>
        <v/>
      </c>
      <c r="X86" s="281" t="str">
        <f>IFERROR(IF(OR(LEFT(O86,5)="Error",LEFT(N86,5)="Error",T86="Error"),"Check Data ⚠",IF(F86&lt;R86,INDEX('G-6 Hedgerow Data'!$S$3:$AE$14,MATCH(C86,'G-6 Hedgerow Data'!$B$3:$B$14,0),MATCH(M86,'G-6 Hedgerow Data'!$S$2:$AE$2,0)),INDEX('G-6 Hedgerow Data'!$K$3:$Q$14,MATCH(M86,'G-6 Hedgerow Data'!$B$3:$B$14,0),MATCH(O86,'G-6 Hedgerow Data'!$K$2:$Q$2,0)))),"")</f>
        <v/>
      </c>
      <c r="Y86" s="137"/>
      <c r="Z86" s="137"/>
      <c r="AA86" s="289" t="str">
        <f t="shared" si="9"/>
        <v/>
      </c>
      <c r="AB86" s="302" t="str">
        <f t="shared" si="10"/>
        <v/>
      </c>
      <c r="AC86" s="303" t="str">
        <f t="shared" si="7"/>
        <v/>
      </c>
      <c r="AD86" s="317" t="str">
        <f>IF(M86="","",VLOOKUP(M86,'G-6 Hedgerow Data'!$B$3:$AG$15,31,FALSE))</f>
        <v/>
      </c>
      <c r="AE86" s="289" t="str">
        <f t="shared" si="11"/>
        <v/>
      </c>
      <c r="AF86" s="289" t="str">
        <f t="shared" si="12"/>
        <v/>
      </c>
      <c r="AG86" s="305" t="str">
        <f>IFERROR(IF(O86="","",VLOOKUP(AD86,'G-3 Multipliers'!$P$3:$Q$6,2,FALSE)),"")</f>
        <v/>
      </c>
      <c r="AH86" s="295" t="str">
        <f t="shared" si="13"/>
        <v/>
      </c>
      <c r="AI86" s="112"/>
      <c r="AJ86" s="119"/>
      <c r="AK86" s="108"/>
      <c r="AT86" s="30" t="str">
        <f>IFERROR(INDEX('G-6 Hedgerow Data'!$BJ$3:$BJ$15,MATCH(M86,'G-6 Hedgerow Data'!$B$3:$B$15,0)),"")</f>
        <v/>
      </c>
    </row>
    <row r="87" spans="2:46" ht="13.8" x14ac:dyDescent="0.25">
      <c r="B87" s="311" t="str">
        <f>'B-1 On-Site Hedge Baseline'!AK85</f>
        <v/>
      </c>
      <c r="C87" s="301" t="str">
        <f>IF(B87="","",IF(ISNA(VLOOKUP($B87,'B-1 On-Site Hedge Baseline'!$B$1:$L$257,3,FALSE)),"",(VLOOKUP($B87,'B-1 On-Site Hedge Baseline'!$B$1:$L$257,3,FALSE))))</f>
        <v/>
      </c>
      <c r="D87" s="301" t="str">
        <f>IF(B87="","",IF(ISNA(VLOOKUP($B87,'B-1 On-Site Hedge Baseline'!$B$1:$L$257,4,FALSE)),"",(VLOOKUP($B87,'B-1 On-Site Hedge Baseline'!$B$1:$L$257,4,FALSE))))</f>
        <v/>
      </c>
      <c r="E87" s="301" t="str">
        <f>IF(B87="","",IF(ISNA(VLOOKUP($B87,'B-1 On-Site Hedge Baseline'!$B$1:$L$257,5,FALSE)),"",(VLOOKUP($B87,'B-1 On-Site Hedge Baseline'!$B$1:$L$257,5,FALSE))))</f>
        <v/>
      </c>
      <c r="F87" s="301" t="str">
        <f>IF(B87="","",IF(ISNA(VLOOKUP($B87,'B-1 On-Site Hedge Baseline'!$B$1:$L$257,6,FALSE)),"",(VLOOKUP($B87,'B-1 On-Site Hedge Baseline'!$B$1:$L$257,6,FALSE))))</f>
        <v/>
      </c>
      <c r="G87" s="301" t="str">
        <f>IF(B87="","",IF(ISNA(VLOOKUP($B87,'B-1 On-Site Hedge Baseline'!$B$1:$L$257,7,FALSE)),"",(VLOOKUP($B87,'B-1 On-Site Hedge Baseline'!$B$1:$L$257,7,FALSE))))</f>
        <v/>
      </c>
      <c r="H87" s="301" t="str">
        <f>IF(B87="","",IF(ISNA(VLOOKUP($B87,'B-1 On-Site Hedge Baseline'!$B$1:$L$257,8,FALSE)),"",(VLOOKUP($B87,'B-1 On-Site Hedge Baseline'!$B$1:$L$257,8,FALSE))))</f>
        <v/>
      </c>
      <c r="I87" s="301" t="str">
        <f>IF(B87="","",IF(ISNA(VLOOKUP($B87,'B-1 On-Site Hedge Baseline'!$B$1:$L$257,10,FALSE)),"",(VLOOKUP($B87,'B-1 On-Site Hedge Baseline'!$B$1:$L$257,10,FALSE))))</f>
        <v/>
      </c>
      <c r="J87" s="301" t="str">
        <f>IF(B87="","",IF(ISNA(VLOOKUP($B87,'B-1 On-Site Hedge Baseline'!$B$1:$L$257,11,FALSE)),"",(VLOOKUP($B87,'B-1 On-Site Hedge Baseline'!$B$1:$L$257,11,FALSE))))</f>
        <v/>
      </c>
      <c r="K87" s="301" t="str">
        <f>IF(B87="","",IF(ISNA(VLOOKUP($B87,'B-1 On-Site Hedge Baseline'!$B$1:$U$257,13,FALSE)),"",(VLOOKUP($B87,'B-1 On-Site Hedge Baseline'!$B$1:$U$257,13,FALSE))))</f>
        <v/>
      </c>
      <c r="L87" s="305" t="str">
        <f>IF(B87="","",IF(ISNA(VLOOKUP($B87,'B-1 On-Site Hedge Baseline'!$B$1:$U$257,12,FALSE)),"",(VLOOKUP($B87,'B-1 On-Site Hedge Baseline'!$B$1:$U$257,12,FALSE))))</f>
        <v/>
      </c>
      <c r="M87" s="627"/>
      <c r="N87" s="281" t="str">
        <f>IFERROR(IF(B87="","",INDEX('G-6 Hedgerow Data'!$AN$3:$AZ$15,MATCH(C87,'G-6 Hedgerow Data'!$AM$3:$AM$15,0),MATCH(M87,'G-6 Hedgerow Data'!$AN$2:$AZ$2,0))),"")</f>
        <v/>
      </c>
      <c r="O87" s="282" t="str">
        <f t="shared" si="8"/>
        <v/>
      </c>
      <c r="P87" s="335" t="str">
        <f>IF(B87="","",VLOOKUP(B87,'B-1 On-Site Hedge Baseline'!$B$10:T332,16,FALSE))</f>
        <v/>
      </c>
      <c r="Q87" s="281" t="str">
        <f>IF(M87="","",VLOOKUP(M87,'G-6 Hedgerow Data'!$B$2:$AG$15,2,FALSE))</f>
        <v/>
      </c>
      <c r="R87" s="282" t="str">
        <f>IF(M87="","",VLOOKUP(M87,'G-6 Hedgerow Data'!$B$2:$AG$15,3,FALSE))</f>
        <v/>
      </c>
      <c r="S87" s="112"/>
      <c r="T87" s="320" t="str">
        <f>IFERROR(IF(S87="","",IF(AND(M87="Non-native and ornamental hedgerow", S87&lt;&gt;"Poor"),"Not possible ▲", (VLOOKUP(S87,'G-1 All Habitats'!$Z$2:$AA$9,2,FALSE)))),"")</f>
        <v/>
      </c>
      <c r="U87" s="109"/>
      <c r="V87" s="301" t="str">
        <f>IF(U87="","",IF(VLOOKUP(U87,'G-3 Multipliers'!$L$3:$N$6,2,FALSE)=0,"Spatial Data Missing ⚠",VLOOKUP(U87,'G-3 Multipliers'!$L$3:$N$6,2,FALSE)))</f>
        <v/>
      </c>
      <c r="W87" s="305" t="str">
        <f>IF(U87="","",IF(VLOOKUP(U87,'G-3 Multipliers'!$L$3:$N$6,3,FALSE)=0,"Spatial Data Missing ⚠",VLOOKUP(U87,'G-3 Multipliers'!$L$3:$N$6,3,FALSE)))</f>
        <v/>
      </c>
      <c r="X87" s="281" t="str">
        <f>IFERROR(IF(OR(LEFT(O87,5)="Error",LEFT(N87,5)="Error",T87="Error"),"Check Data ⚠",IF(F87&lt;R87,INDEX('G-6 Hedgerow Data'!$S$3:$AE$14,MATCH(C87,'G-6 Hedgerow Data'!$B$3:$B$14,0),MATCH(M87,'G-6 Hedgerow Data'!$S$2:$AE$2,0)),INDEX('G-6 Hedgerow Data'!$K$3:$Q$14,MATCH(M87,'G-6 Hedgerow Data'!$B$3:$B$14,0),MATCH(O87,'G-6 Hedgerow Data'!$K$2:$Q$2,0)))),"")</f>
        <v/>
      </c>
      <c r="Y87" s="137"/>
      <c r="Z87" s="137"/>
      <c r="AA87" s="289" t="str">
        <f t="shared" si="9"/>
        <v/>
      </c>
      <c r="AB87" s="302" t="str">
        <f t="shared" si="10"/>
        <v/>
      </c>
      <c r="AC87" s="303" t="str">
        <f t="shared" si="7"/>
        <v/>
      </c>
      <c r="AD87" s="317" t="str">
        <f>IF(M87="","",VLOOKUP(M87,'G-6 Hedgerow Data'!$B$3:$AG$15,31,FALSE))</f>
        <v/>
      </c>
      <c r="AE87" s="289" t="str">
        <f t="shared" si="11"/>
        <v/>
      </c>
      <c r="AF87" s="289" t="str">
        <f t="shared" si="12"/>
        <v/>
      </c>
      <c r="AG87" s="305" t="str">
        <f>IFERROR(IF(O87="","",VLOOKUP(AD87,'G-3 Multipliers'!$P$3:$Q$6,2,FALSE)),"")</f>
        <v/>
      </c>
      <c r="AH87" s="295" t="str">
        <f t="shared" si="13"/>
        <v/>
      </c>
      <c r="AI87" s="112"/>
      <c r="AJ87" s="119"/>
      <c r="AK87" s="108"/>
      <c r="AT87" s="30" t="str">
        <f>IFERROR(INDEX('G-6 Hedgerow Data'!$BJ$3:$BJ$15,MATCH(M87,'G-6 Hedgerow Data'!$B$3:$B$15,0)),"")</f>
        <v/>
      </c>
    </row>
    <row r="88" spans="2:46" ht="13.8" x14ac:dyDescent="0.25">
      <c r="B88" s="311" t="str">
        <f>'B-1 On-Site Hedge Baseline'!AK86</f>
        <v/>
      </c>
      <c r="C88" s="301" t="str">
        <f>IF(B88="","",IF(ISNA(VLOOKUP($B88,'B-1 On-Site Hedge Baseline'!$B$1:$L$257,3,FALSE)),"",(VLOOKUP($B88,'B-1 On-Site Hedge Baseline'!$B$1:$L$257,3,FALSE))))</f>
        <v/>
      </c>
      <c r="D88" s="301" t="str">
        <f>IF(B88="","",IF(ISNA(VLOOKUP($B88,'B-1 On-Site Hedge Baseline'!$B$1:$L$257,4,FALSE)),"",(VLOOKUP($B88,'B-1 On-Site Hedge Baseline'!$B$1:$L$257,4,FALSE))))</f>
        <v/>
      </c>
      <c r="E88" s="301" t="str">
        <f>IF(B88="","",IF(ISNA(VLOOKUP($B88,'B-1 On-Site Hedge Baseline'!$B$1:$L$257,5,FALSE)),"",(VLOOKUP($B88,'B-1 On-Site Hedge Baseline'!$B$1:$L$257,5,FALSE))))</f>
        <v/>
      </c>
      <c r="F88" s="301" t="str">
        <f>IF(B88="","",IF(ISNA(VLOOKUP($B88,'B-1 On-Site Hedge Baseline'!$B$1:$L$257,6,FALSE)),"",(VLOOKUP($B88,'B-1 On-Site Hedge Baseline'!$B$1:$L$257,6,FALSE))))</f>
        <v/>
      </c>
      <c r="G88" s="301" t="str">
        <f>IF(B88="","",IF(ISNA(VLOOKUP($B88,'B-1 On-Site Hedge Baseline'!$B$1:$L$257,7,FALSE)),"",(VLOOKUP($B88,'B-1 On-Site Hedge Baseline'!$B$1:$L$257,7,FALSE))))</f>
        <v/>
      </c>
      <c r="H88" s="301" t="str">
        <f>IF(B88="","",IF(ISNA(VLOOKUP($B88,'B-1 On-Site Hedge Baseline'!$B$1:$L$257,8,FALSE)),"",(VLOOKUP($B88,'B-1 On-Site Hedge Baseline'!$B$1:$L$257,8,FALSE))))</f>
        <v/>
      </c>
      <c r="I88" s="301" t="str">
        <f>IF(B88="","",IF(ISNA(VLOOKUP($B88,'B-1 On-Site Hedge Baseline'!$B$1:$L$257,10,FALSE)),"",(VLOOKUP($B88,'B-1 On-Site Hedge Baseline'!$B$1:$L$257,10,FALSE))))</f>
        <v/>
      </c>
      <c r="J88" s="301" t="str">
        <f>IF(B88="","",IF(ISNA(VLOOKUP($B88,'B-1 On-Site Hedge Baseline'!$B$1:$L$257,11,FALSE)),"",(VLOOKUP($B88,'B-1 On-Site Hedge Baseline'!$B$1:$L$257,11,FALSE))))</f>
        <v/>
      </c>
      <c r="K88" s="301" t="str">
        <f>IF(B88="","",IF(ISNA(VLOOKUP($B88,'B-1 On-Site Hedge Baseline'!$B$1:$U$257,13,FALSE)),"",(VLOOKUP($B88,'B-1 On-Site Hedge Baseline'!$B$1:$U$257,13,FALSE))))</f>
        <v/>
      </c>
      <c r="L88" s="305" t="str">
        <f>IF(B88="","",IF(ISNA(VLOOKUP($B88,'B-1 On-Site Hedge Baseline'!$B$1:$U$257,12,FALSE)),"",(VLOOKUP($B88,'B-1 On-Site Hedge Baseline'!$B$1:$U$257,12,FALSE))))</f>
        <v/>
      </c>
      <c r="M88" s="627"/>
      <c r="N88" s="281" t="str">
        <f>IFERROR(IF(B88="","",INDEX('G-6 Hedgerow Data'!$AN$3:$AZ$15,MATCH(C88,'G-6 Hedgerow Data'!$AM$3:$AM$15,0),MATCH(M88,'G-6 Hedgerow Data'!$AN$2:$AZ$2,0))),"")</f>
        <v/>
      </c>
      <c r="O88" s="282" t="str">
        <f t="shared" si="8"/>
        <v/>
      </c>
      <c r="P88" s="335" t="str">
        <f>IF(B88="","",VLOOKUP(B88,'B-1 On-Site Hedge Baseline'!$B$10:T333,16,FALSE))</f>
        <v/>
      </c>
      <c r="Q88" s="281" t="str">
        <f>IF(M88="","",VLOOKUP(M88,'G-6 Hedgerow Data'!$B$2:$AG$15,2,FALSE))</f>
        <v/>
      </c>
      <c r="R88" s="282" t="str">
        <f>IF(M88="","",VLOOKUP(M88,'G-6 Hedgerow Data'!$B$2:$AG$15,3,FALSE))</f>
        <v/>
      </c>
      <c r="S88" s="112"/>
      <c r="T88" s="320" t="str">
        <f>IFERROR(IF(S88="","",IF(AND(M88="Non-native and ornamental hedgerow", S88&lt;&gt;"Poor"),"Not possible ▲", (VLOOKUP(S88,'G-1 All Habitats'!$Z$2:$AA$9,2,FALSE)))),"")</f>
        <v/>
      </c>
      <c r="U88" s="109"/>
      <c r="V88" s="301" t="str">
        <f>IF(U88="","",IF(VLOOKUP(U88,'G-3 Multipliers'!$L$3:$N$6,2,FALSE)=0,"Spatial Data Missing ⚠",VLOOKUP(U88,'G-3 Multipliers'!$L$3:$N$6,2,FALSE)))</f>
        <v/>
      </c>
      <c r="W88" s="305" t="str">
        <f>IF(U88="","",IF(VLOOKUP(U88,'G-3 Multipliers'!$L$3:$N$6,3,FALSE)=0,"Spatial Data Missing ⚠",VLOOKUP(U88,'G-3 Multipliers'!$L$3:$N$6,3,FALSE)))</f>
        <v/>
      </c>
      <c r="X88" s="281" t="str">
        <f>IFERROR(IF(OR(LEFT(O88,5)="Error",LEFT(N88,5)="Error",T88="Error"),"Check Data ⚠",IF(F88&lt;R88,INDEX('G-6 Hedgerow Data'!$S$3:$AE$14,MATCH(C88,'G-6 Hedgerow Data'!$B$3:$B$14,0),MATCH(M88,'G-6 Hedgerow Data'!$S$2:$AE$2,0)),INDEX('G-6 Hedgerow Data'!$K$3:$Q$14,MATCH(M88,'G-6 Hedgerow Data'!$B$3:$B$14,0),MATCH(O88,'G-6 Hedgerow Data'!$K$2:$Q$2,0)))),"")</f>
        <v/>
      </c>
      <c r="Y88" s="137"/>
      <c r="Z88" s="137"/>
      <c r="AA88" s="289" t="str">
        <f t="shared" si="9"/>
        <v/>
      </c>
      <c r="AB88" s="302" t="str">
        <f t="shared" si="10"/>
        <v/>
      </c>
      <c r="AC88" s="303" t="str">
        <f t="shared" si="7"/>
        <v/>
      </c>
      <c r="AD88" s="317" t="str">
        <f>IF(M88="","",VLOOKUP(M88,'G-6 Hedgerow Data'!$B$3:$AG$15,31,FALSE))</f>
        <v/>
      </c>
      <c r="AE88" s="289" t="str">
        <f t="shared" si="11"/>
        <v/>
      </c>
      <c r="AF88" s="289" t="str">
        <f t="shared" si="12"/>
        <v/>
      </c>
      <c r="AG88" s="305" t="str">
        <f>IFERROR(IF(O88="","",VLOOKUP(AD88,'G-3 Multipliers'!$P$3:$Q$6,2,FALSE)),"")</f>
        <v/>
      </c>
      <c r="AH88" s="295" t="str">
        <f t="shared" si="13"/>
        <v/>
      </c>
      <c r="AI88" s="112"/>
      <c r="AJ88" s="119"/>
      <c r="AK88" s="108"/>
      <c r="AT88" s="30" t="str">
        <f>IFERROR(INDEX('G-6 Hedgerow Data'!$BJ$3:$BJ$15,MATCH(M88,'G-6 Hedgerow Data'!$B$3:$B$15,0)),"")</f>
        <v/>
      </c>
    </row>
    <row r="89" spans="2:46" ht="13.8" x14ac:dyDescent="0.25">
      <c r="B89" s="311" t="str">
        <f>'B-1 On-Site Hedge Baseline'!AK87</f>
        <v/>
      </c>
      <c r="C89" s="301" t="str">
        <f>IF(B89="","",IF(ISNA(VLOOKUP($B89,'B-1 On-Site Hedge Baseline'!$B$1:$L$257,3,FALSE)),"",(VLOOKUP($B89,'B-1 On-Site Hedge Baseline'!$B$1:$L$257,3,FALSE))))</f>
        <v/>
      </c>
      <c r="D89" s="301" t="str">
        <f>IF(B89="","",IF(ISNA(VLOOKUP($B89,'B-1 On-Site Hedge Baseline'!$B$1:$L$257,4,FALSE)),"",(VLOOKUP($B89,'B-1 On-Site Hedge Baseline'!$B$1:$L$257,4,FALSE))))</f>
        <v/>
      </c>
      <c r="E89" s="301" t="str">
        <f>IF(B89="","",IF(ISNA(VLOOKUP($B89,'B-1 On-Site Hedge Baseline'!$B$1:$L$257,5,FALSE)),"",(VLOOKUP($B89,'B-1 On-Site Hedge Baseline'!$B$1:$L$257,5,FALSE))))</f>
        <v/>
      </c>
      <c r="F89" s="301" t="str">
        <f>IF(B89="","",IF(ISNA(VLOOKUP($B89,'B-1 On-Site Hedge Baseline'!$B$1:$L$257,6,FALSE)),"",(VLOOKUP($B89,'B-1 On-Site Hedge Baseline'!$B$1:$L$257,6,FALSE))))</f>
        <v/>
      </c>
      <c r="G89" s="301" t="str">
        <f>IF(B89="","",IF(ISNA(VLOOKUP($B89,'B-1 On-Site Hedge Baseline'!$B$1:$L$257,7,FALSE)),"",(VLOOKUP($B89,'B-1 On-Site Hedge Baseline'!$B$1:$L$257,7,FALSE))))</f>
        <v/>
      </c>
      <c r="H89" s="301" t="str">
        <f>IF(B89="","",IF(ISNA(VLOOKUP($B89,'B-1 On-Site Hedge Baseline'!$B$1:$L$257,8,FALSE)),"",(VLOOKUP($B89,'B-1 On-Site Hedge Baseline'!$B$1:$L$257,8,FALSE))))</f>
        <v/>
      </c>
      <c r="I89" s="301" t="str">
        <f>IF(B89="","",IF(ISNA(VLOOKUP($B89,'B-1 On-Site Hedge Baseline'!$B$1:$L$257,10,FALSE)),"",(VLOOKUP($B89,'B-1 On-Site Hedge Baseline'!$B$1:$L$257,10,FALSE))))</f>
        <v/>
      </c>
      <c r="J89" s="301" t="str">
        <f>IF(B89="","",IF(ISNA(VLOOKUP($B89,'B-1 On-Site Hedge Baseline'!$B$1:$L$257,11,FALSE)),"",(VLOOKUP($B89,'B-1 On-Site Hedge Baseline'!$B$1:$L$257,11,FALSE))))</f>
        <v/>
      </c>
      <c r="K89" s="301" t="str">
        <f>IF(B89="","",IF(ISNA(VLOOKUP($B89,'B-1 On-Site Hedge Baseline'!$B$1:$U$257,13,FALSE)),"",(VLOOKUP($B89,'B-1 On-Site Hedge Baseline'!$B$1:$U$257,13,FALSE))))</f>
        <v/>
      </c>
      <c r="L89" s="305" t="str">
        <f>IF(B89="","",IF(ISNA(VLOOKUP($B89,'B-1 On-Site Hedge Baseline'!$B$1:$U$257,12,FALSE)),"",(VLOOKUP($B89,'B-1 On-Site Hedge Baseline'!$B$1:$U$257,12,FALSE))))</f>
        <v/>
      </c>
      <c r="M89" s="627"/>
      <c r="N89" s="281" t="str">
        <f>IFERROR(IF(B89="","",INDEX('G-6 Hedgerow Data'!$AN$3:$AZ$15,MATCH(C89,'G-6 Hedgerow Data'!$AM$3:$AM$15,0),MATCH(M89,'G-6 Hedgerow Data'!$AN$2:$AZ$2,0))),"")</f>
        <v/>
      </c>
      <c r="O89" s="282" t="str">
        <f t="shared" si="8"/>
        <v/>
      </c>
      <c r="P89" s="335" t="str">
        <f>IF(B89="","",VLOOKUP(B89,'B-1 On-Site Hedge Baseline'!$B$10:T334,16,FALSE))</f>
        <v/>
      </c>
      <c r="Q89" s="281" t="str">
        <f>IF(M89="","",VLOOKUP(M89,'G-6 Hedgerow Data'!$B$2:$AG$15,2,FALSE))</f>
        <v/>
      </c>
      <c r="R89" s="282" t="str">
        <f>IF(M89="","",VLOOKUP(M89,'G-6 Hedgerow Data'!$B$2:$AG$15,3,FALSE))</f>
        <v/>
      </c>
      <c r="S89" s="112"/>
      <c r="T89" s="320" t="str">
        <f>IFERROR(IF(S89="","",IF(AND(M89="Non-native and ornamental hedgerow", S89&lt;&gt;"Poor"),"Not possible ▲", (VLOOKUP(S89,'G-1 All Habitats'!$Z$2:$AA$9,2,FALSE)))),"")</f>
        <v/>
      </c>
      <c r="U89" s="109"/>
      <c r="V89" s="301" t="str">
        <f>IF(U89="","",IF(VLOOKUP(U89,'G-3 Multipliers'!$L$3:$N$6,2,FALSE)=0,"Spatial Data Missing ⚠",VLOOKUP(U89,'G-3 Multipliers'!$L$3:$N$6,2,FALSE)))</f>
        <v/>
      </c>
      <c r="W89" s="305" t="str">
        <f>IF(U89="","",IF(VLOOKUP(U89,'G-3 Multipliers'!$L$3:$N$6,3,FALSE)=0,"Spatial Data Missing ⚠",VLOOKUP(U89,'G-3 Multipliers'!$L$3:$N$6,3,FALSE)))</f>
        <v/>
      </c>
      <c r="X89" s="281" t="str">
        <f>IFERROR(IF(OR(LEFT(O89,5)="Error",LEFT(N89,5)="Error",T89="Error"),"Check Data ⚠",IF(F89&lt;R89,INDEX('G-6 Hedgerow Data'!$S$3:$AE$14,MATCH(C89,'G-6 Hedgerow Data'!$B$3:$B$14,0),MATCH(M89,'G-6 Hedgerow Data'!$S$2:$AE$2,0)),INDEX('G-6 Hedgerow Data'!$K$3:$Q$14,MATCH(M89,'G-6 Hedgerow Data'!$B$3:$B$14,0),MATCH(O89,'G-6 Hedgerow Data'!$K$2:$Q$2,0)))),"")</f>
        <v/>
      </c>
      <c r="Y89" s="137"/>
      <c r="Z89" s="137"/>
      <c r="AA89" s="289" t="str">
        <f t="shared" si="9"/>
        <v/>
      </c>
      <c r="AB89" s="302" t="str">
        <f t="shared" si="10"/>
        <v/>
      </c>
      <c r="AC89" s="303" t="str">
        <f t="shared" si="7"/>
        <v/>
      </c>
      <c r="AD89" s="317" t="str">
        <f>IF(M89="","",VLOOKUP(M89,'G-6 Hedgerow Data'!$B$3:$AG$15,31,FALSE))</f>
        <v/>
      </c>
      <c r="AE89" s="289" t="str">
        <f t="shared" si="11"/>
        <v/>
      </c>
      <c r="AF89" s="289" t="str">
        <f t="shared" si="12"/>
        <v/>
      </c>
      <c r="AG89" s="305" t="str">
        <f>IFERROR(IF(O89="","",VLOOKUP(AD89,'G-3 Multipliers'!$P$3:$Q$6,2,FALSE)),"")</f>
        <v/>
      </c>
      <c r="AH89" s="295" t="str">
        <f t="shared" si="13"/>
        <v/>
      </c>
      <c r="AI89" s="112"/>
      <c r="AJ89" s="119"/>
      <c r="AK89" s="108"/>
      <c r="AT89" s="30" t="str">
        <f>IFERROR(INDEX('G-6 Hedgerow Data'!$BJ$3:$BJ$15,MATCH(M89,'G-6 Hedgerow Data'!$B$3:$B$15,0)),"")</f>
        <v/>
      </c>
    </row>
    <row r="90" spans="2:46" ht="13.8" x14ac:dyDescent="0.25">
      <c r="B90" s="311" t="str">
        <f>'B-1 On-Site Hedge Baseline'!AK88</f>
        <v/>
      </c>
      <c r="C90" s="301" t="str">
        <f>IF(B90="","",IF(ISNA(VLOOKUP($B90,'B-1 On-Site Hedge Baseline'!$B$1:$L$257,3,FALSE)),"",(VLOOKUP($B90,'B-1 On-Site Hedge Baseline'!$B$1:$L$257,3,FALSE))))</f>
        <v/>
      </c>
      <c r="D90" s="301" t="str">
        <f>IF(B90="","",IF(ISNA(VLOOKUP($B90,'B-1 On-Site Hedge Baseline'!$B$1:$L$257,4,FALSE)),"",(VLOOKUP($B90,'B-1 On-Site Hedge Baseline'!$B$1:$L$257,4,FALSE))))</f>
        <v/>
      </c>
      <c r="E90" s="301" t="str">
        <f>IF(B90="","",IF(ISNA(VLOOKUP($B90,'B-1 On-Site Hedge Baseline'!$B$1:$L$257,5,FALSE)),"",(VLOOKUP($B90,'B-1 On-Site Hedge Baseline'!$B$1:$L$257,5,FALSE))))</f>
        <v/>
      </c>
      <c r="F90" s="301" t="str">
        <f>IF(B90="","",IF(ISNA(VLOOKUP($B90,'B-1 On-Site Hedge Baseline'!$B$1:$L$257,6,FALSE)),"",(VLOOKUP($B90,'B-1 On-Site Hedge Baseline'!$B$1:$L$257,6,FALSE))))</f>
        <v/>
      </c>
      <c r="G90" s="301" t="str">
        <f>IF(B90="","",IF(ISNA(VLOOKUP($B90,'B-1 On-Site Hedge Baseline'!$B$1:$L$257,7,FALSE)),"",(VLOOKUP($B90,'B-1 On-Site Hedge Baseline'!$B$1:$L$257,7,FALSE))))</f>
        <v/>
      </c>
      <c r="H90" s="301" t="str">
        <f>IF(B90="","",IF(ISNA(VLOOKUP($B90,'B-1 On-Site Hedge Baseline'!$B$1:$L$257,8,FALSE)),"",(VLOOKUP($B90,'B-1 On-Site Hedge Baseline'!$B$1:$L$257,8,FALSE))))</f>
        <v/>
      </c>
      <c r="I90" s="301" t="str">
        <f>IF(B90="","",IF(ISNA(VLOOKUP($B90,'B-1 On-Site Hedge Baseline'!$B$1:$L$257,10,FALSE)),"",(VLOOKUP($B90,'B-1 On-Site Hedge Baseline'!$B$1:$L$257,10,FALSE))))</f>
        <v/>
      </c>
      <c r="J90" s="301" t="str">
        <f>IF(B90="","",IF(ISNA(VLOOKUP($B90,'B-1 On-Site Hedge Baseline'!$B$1:$L$257,11,FALSE)),"",(VLOOKUP($B90,'B-1 On-Site Hedge Baseline'!$B$1:$L$257,11,FALSE))))</f>
        <v/>
      </c>
      <c r="K90" s="301" t="str">
        <f>IF(B90="","",IF(ISNA(VLOOKUP($B90,'B-1 On-Site Hedge Baseline'!$B$1:$U$257,13,FALSE)),"",(VLOOKUP($B90,'B-1 On-Site Hedge Baseline'!$B$1:$U$257,13,FALSE))))</f>
        <v/>
      </c>
      <c r="L90" s="305" t="str">
        <f>IF(B90="","",IF(ISNA(VLOOKUP($B90,'B-1 On-Site Hedge Baseline'!$B$1:$U$257,12,FALSE)),"",(VLOOKUP($B90,'B-1 On-Site Hedge Baseline'!$B$1:$U$257,12,FALSE))))</f>
        <v/>
      </c>
      <c r="M90" s="627"/>
      <c r="N90" s="281" t="str">
        <f>IFERROR(IF(B90="","",INDEX('G-6 Hedgerow Data'!$AN$3:$AZ$15,MATCH(C90,'G-6 Hedgerow Data'!$AM$3:$AM$15,0),MATCH(M90,'G-6 Hedgerow Data'!$AN$2:$AZ$2,0))),"")</f>
        <v/>
      </c>
      <c r="O90" s="282" t="str">
        <f t="shared" si="8"/>
        <v/>
      </c>
      <c r="P90" s="335" t="str">
        <f>IF(B90="","",VLOOKUP(B90,'B-1 On-Site Hedge Baseline'!$B$10:T335,16,FALSE))</f>
        <v/>
      </c>
      <c r="Q90" s="281" t="str">
        <f>IF(M90="","",VLOOKUP(M90,'G-6 Hedgerow Data'!$B$2:$AG$15,2,FALSE))</f>
        <v/>
      </c>
      <c r="R90" s="282" t="str">
        <f>IF(M90="","",VLOOKUP(M90,'G-6 Hedgerow Data'!$B$2:$AG$15,3,FALSE))</f>
        <v/>
      </c>
      <c r="S90" s="112"/>
      <c r="T90" s="320" t="str">
        <f>IFERROR(IF(S90="","",IF(AND(M90="Non-native and ornamental hedgerow", S90&lt;&gt;"Poor"),"Not possible ▲", (VLOOKUP(S90,'G-1 All Habitats'!$Z$2:$AA$9,2,FALSE)))),"")</f>
        <v/>
      </c>
      <c r="U90" s="109"/>
      <c r="V90" s="301" t="str">
        <f>IF(U90="","",IF(VLOOKUP(U90,'G-3 Multipliers'!$L$3:$N$6,2,FALSE)=0,"Spatial Data Missing ⚠",VLOOKUP(U90,'G-3 Multipliers'!$L$3:$N$6,2,FALSE)))</f>
        <v/>
      </c>
      <c r="W90" s="305" t="str">
        <f>IF(U90="","",IF(VLOOKUP(U90,'G-3 Multipliers'!$L$3:$N$6,3,FALSE)=0,"Spatial Data Missing ⚠",VLOOKUP(U90,'G-3 Multipliers'!$L$3:$N$6,3,FALSE)))</f>
        <v/>
      </c>
      <c r="X90" s="281" t="str">
        <f>IFERROR(IF(OR(LEFT(O90,5)="Error",LEFT(N90,5)="Error",T90="Error"),"Check Data ⚠",IF(F90&lt;R90,INDEX('G-6 Hedgerow Data'!$S$3:$AE$14,MATCH(C90,'G-6 Hedgerow Data'!$B$3:$B$14,0),MATCH(M90,'G-6 Hedgerow Data'!$S$2:$AE$2,0)),INDEX('G-6 Hedgerow Data'!$K$3:$Q$14,MATCH(M90,'G-6 Hedgerow Data'!$B$3:$B$14,0),MATCH(O90,'G-6 Hedgerow Data'!$K$2:$Q$2,0)))),"")</f>
        <v/>
      </c>
      <c r="Y90" s="137"/>
      <c r="Z90" s="137"/>
      <c r="AA90" s="289" t="str">
        <f t="shared" si="9"/>
        <v/>
      </c>
      <c r="AB90" s="302" t="str">
        <f t="shared" si="10"/>
        <v/>
      </c>
      <c r="AC90" s="303" t="str">
        <f t="shared" si="7"/>
        <v/>
      </c>
      <c r="AD90" s="317" t="str">
        <f>IF(M90="","",VLOOKUP(M90,'G-6 Hedgerow Data'!$B$3:$AG$15,31,FALSE))</f>
        <v/>
      </c>
      <c r="AE90" s="289" t="str">
        <f t="shared" si="11"/>
        <v/>
      </c>
      <c r="AF90" s="289" t="str">
        <f t="shared" si="12"/>
        <v/>
      </c>
      <c r="AG90" s="305" t="str">
        <f>IFERROR(IF(O90="","",VLOOKUP(AD90,'G-3 Multipliers'!$P$3:$Q$6,2,FALSE)),"")</f>
        <v/>
      </c>
      <c r="AH90" s="295" t="str">
        <f t="shared" si="13"/>
        <v/>
      </c>
      <c r="AI90" s="112"/>
      <c r="AJ90" s="119"/>
      <c r="AK90" s="108"/>
      <c r="AT90" s="30" t="str">
        <f>IFERROR(INDEX('G-6 Hedgerow Data'!$BJ$3:$BJ$15,MATCH(M90,'G-6 Hedgerow Data'!$B$3:$B$15,0)),"")</f>
        <v/>
      </c>
    </row>
    <row r="91" spans="2:46" ht="13.8" x14ac:dyDescent="0.25">
      <c r="B91" s="311" t="str">
        <f>'B-1 On-Site Hedge Baseline'!AK89</f>
        <v/>
      </c>
      <c r="C91" s="301" t="str">
        <f>IF(B91="","",IF(ISNA(VLOOKUP($B91,'B-1 On-Site Hedge Baseline'!$B$1:$L$257,3,FALSE)),"",(VLOOKUP($B91,'B-1 On-Site Hedge Baseline'!$B$1:$L$257,3,FALSE))))</f>
        <v/>
      </c>
      <c r="D91" s="301" t="str">
        <f>IF(B91="","",IF(ISNA(VLOOKUP($B91,'B-1 On-Site Hedge Baseline'!$B$1:$L$257,4,FALSE)),"",(VLOOKUP($B91,'B-1 On-Site Hedge Baseline'!$B$1:$L$257,4,FALSE))))</f>
        <v/>
      </c>
      <c r="E91" s="301" t="str">
        <f>IF(B91="","",IF(ISNA(VLOOKUP($B91,'B-1 On-Site Hedge Baseline'!$B$1:$L$257,5,FALSE)),"",(VLOOKUP($B91,'B-1 On-Site Hedge Baseline'!$B$1:$L$257,5,FALSE))))</f>
        <v/>
      </c>
      <c r="F91" s="301" t="str">
        <f>IF(B91="","",IF(ISNA(VLOOKUP($B91,'B-1 On-Site Hedge Baseline'!$B$1:$L$257,6,FALSE)),"",(VLOOKUP($B91,'B-1 On-Site Hedge Baseline'!$B$1:$L$257,6,FALSE))))</f>
        <v/>
      </c>
      <c r="G91" s="301" t="str">
        <f>IF(B91="","",IF(ISNA(VLOOKUP($B91,'B-1 On-Site Hedge Baseline'!$B$1:$L$257,7,FALSE)),"",(VLOOKUP($B91,'B-1 On-Site Hedge Baseline'!$B$1:$L$257,7,FALSE))))</f>
        <v/>
      </c>
      <c r="H91" s="301" t="str">
        <f>IF(B91="","",IF(ISNA(VLOOKUP($B91,'B-1 On-Site Hedge Baseline'!$B$1:$L$257,8,FALSE)),"",(VLOOKUP($B91,'B-1 On-Site Hedge Baseline'!$B$1:$L$257,8,FALSE))))</f>
        <v/>
      </c>
      <c r="I91" s="301" t="str">
        <f>IF(B91="","",IF(ISNA(VLOOKUP($B91,'B-1 On-Site Hedge Baseline'!$B$1:$L$257,10,FALSE)),"",(VLOOKUP($B91,'B-1 On-Site Hedge Baseline'!$B$1:$L$257,10,FALSE))))</f>
        <v/>
      </c>
      <c r="J91" s="301" t="str">
        <f>IF(B91="","",IF(ISNA(VLOOKUP($B91,'B-1 On-Site Hedge Baseline'!$B$1:$L$257,11,FALSE)),"",(VLOOKUP($B91,'B-1 On-Site Hedge Baseline'!$B$1:$L$257,11,FALSE))))</f>
        <v/>
      </c>
      <c r="K91" s="301" t="str">
        <f>IF(B91="","",IF(ISNA(VLOOKUP($B91,'B-1 On-Site Hedge Baseline'!$B$1:$U$257,13,FALSE)),"",(VLOOKUP($B91,'B-1 On-Site Hedge Baseline'!$B$1:$U$257,13,FALSE))))</f>
        <v/>
      </c>
      <c r="L91" s="305" t="str">
        <f>IF(B91="","",IF(ISNA(VLOOKUP($B91,'B-1 On-Site Hedge Baseline'!$B$1:$U$257,12,FALSE)),"",(VLOOKUP($B91,'B-1 On-Site Hedge Baseline'!$B$1:$U$257,12,FALSE))))</f>
        <v/>
      </c>
      <c r="M91" s="627"/>
      <c r="N91" s="281" t="str">
        <f>IFERROR(IF(B91="","",INDEX('G-6 Hedgerow Data'!$AN$3:$AZ$15,MATCH(C91,'G-6 Hedgerow Data'!$AM$3:$AM$15,0),MATCH(M91,'G-6 Hedgerow Data'!$AN$2:$AZ$2,0))),"")</f>
        <v/>
      </c>
      <c r="O91" s="282" t="str">
        <f t="shared" si="8"/>
        <v/>
      </c>
      <c r="P91" s="335" t="str">
        <f>IF(B91="","",VLOOKUP(B91,'B-1 On-Site Hedge Baseline'!$B$10:T336,16,FALSE))</f>
        <v/>
      </c>
      <c r="Q91" s="281" t="str">
        <f>IF(M91="","",VLOOKUP(M91,'G-6 Hedgerow Data'!$B$2:$AG$15,2,FALSE))</f>
        <v/>
      </c>
      <c r="R91" s="282" t="str">
        <f>IF(M91="","",VLOOKUP(M91,'G-6 Hedgerow Data'!$B$2:$AG$15,3,FALSE))</f>
        <v/>
      </c>
      <c r="S91" s="112"/>
      <c r="T91" s="320" t="str">
        <f>IFERROR(IF(S91="","",IF(AND(M91="Non-native and ornamental hedgerow", S91&lt;&gt;"Poor"),"Not possible ▲", (VLOOKUP(S91,'G-1 All Habitats'!$Z$2:$AA$9,2,FALSE)))),"")</f>
        <v/>
      </c>
      <c r="U91" s="109"/>
      <c r="V91" s="301" t="str">
        <f>IF(U91="","",IF(VLOOKUP(U91,'G-3 Multipliers'!$L$3:$N$6,2,FALSE)=0,"Spatial Data Missing ⚠",VLOOKUP(U91,'G-3 Multipliers'!$L$3:$N$6,2,FALSE)))</f>
        <v/>
      </c>
      <c r="W91" s="305" t="str">
        <f>IF(U91="","",IF(VLOOKUP(U91,'G-3 Multipliers'!$L$3:$N$6,3,FALSE)=0,"Spatial Data Missing ⚠",VLOOKUP(U91,'G-3 Multipliers'!$L$3:$N$6,3,FALSE)))</f>
        <v/>
      </c>
      <c r="X91" s="281" t="str">
        <f>IFERROR(IF(OR(LEFT(O91,5)="Error",LEFT(N91,5)="Error",T91="Error"),"Check Data ⚠",IF(F91&lt;R91,INDEX('G-6 Hedgerow Data'!$S$3:$AE$14,MATCH(C91,'G-6 Hedgerow Data'!$B$3:$B$14,0),MATCH(M91,'G-6 Hedgerow Data'!$S$2:$AE$2,0)),INDEX('G-6 Hedgerow Data'!$K$3:$Q$14,MATCH(M91,'G-6 Hedgerow Data'!$B$3:$B$14,0),MATCH(O91,'G-6 Hedgerow Data'!$K$2:$Q$2,0)))),"")</f>
        <v/>
      </c>
      <c r="Y91" s="137"/>
      <c r="Z91" s="137"/>
      <c r="AA91" s="289" t="str">
        <f t="shared" si="9"/>
        <v/>
      </c>
      <c r="AB91" s="302" t="str">
        <f t="shared" si="10"/>
        <v/>
      </c>
      <c r="AC91" s="303" t="str">
        <f t="shared" si="7"/>
        <v/>
      </c>
      <c r="AD91" s="317" t="str">
        <f>IF(M91="","",VLOOKUP(M91,'G-6 Hedgerow Data'!$B$3:$AG$15,31,FALSE))</f>
        <v/>
      </c>
      <c r="AE91" s="289" t="str">
        <f t="shared" si="11"/>
        <v/>
      </c>
      <c r="AF91" s="289" t="str">
        <f t="shared" si="12"/>
        <v/>
      </c>
      <c r="AG91" s="305" t="str">
        <f>IFERROR(IF(O91="","",VLOOKUP(AD91,'G-3 Multipliers'!$P$3:$Q$6,2,FALSE)),"")</f>
        <v/>
      </c>
      <c r="AH91" s="295" t="str">
        <f t="shared" si="13"/>
        <v/>
      </c>
      <c r="AI91" s="112"/>
      <c r="AJ91" s="119"/>
      <c r="AK91" s="108"/>
      <c r="AT91" s="30" t="str">
        <f>IFERROR(INDEX('G-6 Hedgerow Data'!$BJ$3:$BJ$15,MATCH(M91,'G-6 Hedgerow Data'!$B$3:$B$15,0)),"")</f>
        <v/>
      </c>
    </row>
    <row r="92" spans="2:46" ht="13.8" x14ac:dyDescent="0.25">
      <c r="B92" s="311" t="str">
        <f>'B-1 On-Site Hedge Baseline'!AK90</f>
        <v/>
      </c>
      <c r="C92" s="301" t="str">
        <f>IF(B92="","",IF(ISNA(VLOOKUP($B92,'B-1 On-Site Hedge Baseline'!$B$1:$L$257,3,FALSE)),"",(VLOOKUP($B92,'B-1 On-Site Hedge Baseline'!$B$1:$L$257,3,FALSE))))</f>
        <v/>
      </c>
      <c r="D92" s="301" t="str">
        <f>IF(B92="","",IF(ISNA(VLOOKUP($B92,'B-1 On-Site Hedge Baseline'!$B$1:$L$257,4,FALSE)),"",(VLOOKUP($B92,'B-1 On-Site Hedge Baseline'!$B$1:$L$257,4,FALSE))))</f>
        <v/>
      </c>
      <c r="E92" s="301" t="str">
        <f>IF(B92="","",IF(ISNA(VLOOKUP($B92,'B-1 On-Site Hedge Baseline'!$B$1:$L$257,5,FALSE)),"",(VLOOKUP($B92,'B-1 On-Site Hedge Baseline'!$B$1:$L$257,5,FALSE))))</f>
        <v/>
      </c>
      <c r="F92" s="301" t="str">
        <f>IF(B92="","",IF(ISNA(VLOOKUP($B92,'B-1 On-Site Hedge Baseline'!$B$1:$L$257,6,FALSE)),"",(VLOOKUP($B92,'B-1 On-Site Hedge Baseline'!$B$1:$L$257,6,FALSE))))</f>
        <v/>
      </c>
      <c r="G92" s="301" t="str">
        <f>IF(B92="","",IF(ISNA(VLOOKUP($B92,'B-1 On-Site Hedge Baseline'!$B$1:$L$257,7,FALSE)),"",(VLOOKUP($B92,'B-1 On-Site Hedge Baseline'!$B$1:$L$257,7,FALSE))))</f>
        <v/>
      </c>
      <c r="H92" s="301" t="str">
        <f>IF(B92="","",IF(ISNA(VLOOKUP($B92,'B-1 On-Site Hedge Baseline'!$B$1:$L$257,8,FALSE)),"",(VLOOKUP($B92,'B-1 On-Site Hedge Baseline'!$B$1:$L$257,8,FALSE))))</f>
        <v/>
      </c>
      <c r="I92" s="301" t="str">
        <f>IF(B92="","",IF(ISNA(VLOOKUP($B92,'B-1 On-Site Hedge Baseline'!$B$1:$L$257,10,FALSE)),"",(VLOOKUP($B92,'B-1 On-Site Hedge Baseline'!$B$1:$L$257,10,FALSE))))</f>
        <v/>
      </c>
      <c r="J92" s="301" t="str">
        <f>IF(B92="","",IF(ISNA(VLOOKUP($B92,'B-1 On-Site Hedge Baseline'!$B$1:$L$257,11,FALSE)),"",(VLOOKUP($B92,'B-1 On-Site Hedge Baseline'!$B$1:$L$257,11,FALSE))))</f>
        <v/>
      </c>
      <c r="K92" s="301" t="str">
        <f>IF(B92="","",IF(ISNA(VLOOKUP($B92,'B-1 On-Site Hedge Baseline'!$B$1:$U$257,13,FALSE)),"",(VLOOKUP($B92,'B-1 On-Site Hedge Baseline'!$B$1:$U$257,13,FALSE))))</f>
        <v/>
      </c>
      <c r="L92" s="305" t="str">
        <f>IF(B92="","",IF(ISNA(VLOOKUP($B92,'B-1 On-Site Hedge Baseline'!$B$1:$U$257,12,FALSE)),"",(VLOOKUP($B92,'B-1 On-Site Hedge Baseline'!$B$1:$U$257,12,FALSE))))</f>
        <v/>
      </c>
      <c r="M92" s="627"/>
      <c r="N92" s="281" t="str">
        <f>IFERROR(IF(B92="","",INDEX('G-6 Hedgerow Data'!$AN$3:$AZ$15,MATCH(C92,'G-6 Hedgerow Data'!$AM$3:$AM$15,0),MATCH(M92,'G-6 Hedgerow Data'!$AN$2:$AZ$2,0))),"")</f>
        <v/>
      </c>
      <c r="O92" s="282" t="str">
        <f t="shared" si="8"/>
        <v/>
      </c>
      <c r="P92" s="335" t="str">
        <f>IF(B92="","",VLOOKUP(B92,'B-1 On-Site Hedge Baseline'!$B$10:T337,16,FALSE))</f>
        <v/>
      </c>
      <c r="Q92" s="281" t="str">
        <f>IF(M92="","",VLOOKUP(M92,'G-6 Hedgerow Data'!$B$2:$AG$15,2,FALSE))</f>
        <v/>
      </c>
      <c r="R92" s="282" t="str">
        <f>IF(M92="","",VLOOKUP(M92,'G-6 Hedgerow Data'!$B$2:$AG$15,3,FALSE))</f>
        <v/>
      </c>
      <c r="S92" s="112"/>
      <c r="T92" s="320" t="str">
        <f>IFERROR(IF(S92="","",IF(AND(M92="Non-native and ornamental hedgerow", S92&lt;&gt;"Poor"),"Not possible ▲", (VLOOKUP(S92,'G-1 All Habitats'!$Z$2:$AA$9,2,FALSE)))),"")</f>
        <v/>
      </c>
      <c r="U92" s="109"/>
      <c r="V92" s="301" t="str">
        <f>IF(U92="","",IF(VLOOKUP(U92,'G-3 Multipliers'!$L$3:$N$6,2,FALSE)=0,"Spatial Data Missing ⚠",VLOOKUP(U92,'G-3 Multipliers'!$L$3:$N$6,2,FALSE)))</f>
        <v/>
      </c>
      <c r="W92" s="305" t="str">
        <f>IF(U92="","",IF(VLOOKUP(U92,'G-3 Multipliers'!$L$3:$N$6,3,FALSE)=0,"Spatial Data Missing ⚠",VLOOKUP(U92,'G-3 Multipliers'!$L$3:$N$6,3,FALSE)))</f>
        <v/>
      </c>
      <c r="X92" s="281" t="str">
        <f>IFERROR(IF(OR(LEFT(O92,5)="Error",LEFT(N92,5)="Error",T92="Error"),"Check Data ⚠",IF(F92&lt;R92,INDEX('G-6 Hedgerow Data'!$S$3:$AE$14,MATCH(C92,'G-6 Hedgerow Data'!$B$3:$B$14,0),MATCH(M92,'G-6 Hedgerow Data'!$S$2:$AE$2,0)),INDEX('G-6 Hedgerow Data'!$K$3:$Q$14,MATCH(M92,'G-6 Hedgerow Data'!$B$3:$B$14,0),MATCH(O92,'G-6 Hedgerow Data'!$K$2:$Q$2,0)))),"")</f>
        <v/>
      </c>
      <c r="Y92" s="137"/>
      <c r="Z92" s="137"/>
      <c r="AA92" s="289" t="str">
        <f t="shared" si="9"/>
        <v/>
      </c>
      <c r="AB92" s="302" t="str">
        <f t="shared" si="10"/>
        <v/>
      </c>
      <c r="AC92" s="303" t="str">
        <f t="shared" si="7"/>
        <v/>
      </c>
      <c r="AD92" s="317" t="str">
        <f>IF(M92="","",VLOOKUP(M92,'G-6 Hedgerow Data'!$B$3:$AG$15,31,FALSE))</f>
        <v/>
      </c>
      <c r="AE92" s="289" t="str">
        <f t="shared" si="11"/>
        <v/>
      </c>
      <c r="AF92" s="289" t="str">
        <f t="shared" si="12"/>
        <v/>
      </c>
      <c r="AG92" s="305" t="str">
        <f>IFERROR(IF(O92="","",VLOOKUP(AD92,'G-3 Multipliers'!$P$3:$Q$6,2,FALSE)),"")</f>
        <v/>
      </c>
      <c r="AH92" s="295" t="str">
        <f t="shared" si="13"/>
        <v/>
      </c>
      <c r="AI92" s="112"/>
      <c r="AJ92" s="119"/>
      <c r="AK92" s="108"/>
      <c r="AT92" s="30" t="str">
        <f>IFERROR(INDEX('G-6 Hedgerow Data'!$BJ$3:$BJ$15,MATCH(M92,'G-6 Hedgerow Data'!$B$3:$B$15,0)),"")</f>
        <v/>
      </c>
    </row>
    <row r="93" spans="2:46" ht="13.8" x14ac:dyDescent="0.25">
      <c r="B93" s="311" t="str">
        <f>'B-1 On-Site Hedge Baseline'!AK91</f>
        <v/>
      </c>
      <c r="C93" s="301" t="str">
        <f>IF(B93="","",IF(ISNA(VLOOKUP($B93,'B-1 On-Site Hedge Baseline'!$B$1:$L$257,3,FALSE)),"",(VLOOKUP($B93,'B-1 On-Site Hedge Baseline'!$B$1:$L$257,3,FALSE))))</f>
        <v/>
      </c>
      <c r="D93" s="301" t="str">
        <f>IF(B93="","",IF(ISNA(VLOOKUP($B93,'B-1 On-Site Hedge Baseline'!$B$1:$L$257,4,FALSE)),"",(VLOOKUP($B93,'B-1 On-Site Hedge Baseline'!$B$1:$L$257,4,FALSE))))</f>
        <v/>
      </c>
      <c r="E93" s="301" t="str">
        <f>IF(B93="","",IF(ISNA(VLOOKUP($B93,'B-1 On-Site Hedge Baseline'!$B$1:$L$257,5,FALSE)),"",(VLOOKUP($B93,'B-1 On-Site Hedge Baseline'!$B$1:$L$257,5,FALSE))))</f>
        <v/>
      </c>
      <c r="F93" s="301" t="str">
        <f>IF(B93="","",IF(ISNA(VLOOKUP($B93,'B-1 On-Site Hedge Baseline'!$B$1:$L$257,6,FALSE)),"",(VLOOKUP($B93,'B-1 On-Site Hedge Baseline'!$B$1:$L$257,6,FALSE))))</f>
        <v/>
      </c>
      <c r="G93" s="301" t="str">
        <f>IF(B93="","",IF(ISNA(VLOOKUP($B93,'B-1 On-Site Hedge Baseline'!$B$1:$L$257,7,FALSE)),"",(VLOOKUP($B93,'B-1 On-Site Hedge Baseline'!$B$1:$L$257,7,FALSE))))</f>
        <v/>
      </c>
      <c r="H93" s="301" t="str">
        <f>IF(B93="","",IF(ISNA(VLOOKUP($B93,'B-1 On-Site Hedge Baseline'!$B$1:$L$257,8,FALSE)),"",(VLOOKUP($B93,'B-1 On-Site Hedge Baseline'!$B$1:$L$257,8,FALSE))))</f>
        <v/>
      </c>
      <c r="I93" s="301" t="str">
        <f>IF(B93="","",IF(ISNA(VLOOKUP($B93,'B-1 On-Site Hedge Baseline'!$B$1:$L$257,10,FALSE)),"",(VLOOKUP($B93,'B-1 On-Site Hedge Baseline'!$B$1:$L$257,10,FALSE))))</f>
        <v/>
      </c>
      <c r="J93" s="301" t="str">
        <f>IF(B93="","",IF(ISNA(VLOOKUP($B93,'B-1 On-Site Hedge Baseline'!$B$1:$L$257,11,FALSE)),"",(VLOOKUP($B93,'B-1 On-Site Hedge Baseline'!$B$1:$L$257,11,FALSE))))</f>
        <v/>
      </c>
      <c r="K93" s="301" t="str">
        <f>IF(B93="","",IF(ISNA(VLOOKUP($B93,'B-1 On-Site Hedge Baseline'!$B$1:$U$257,13,FALSE)),"",(VLOOKUP($B93,'B-1 On-Site Hedge Baseline'!$B$1:$U$257,13,FALSE))))</f>
        <v/>
      </c>
      <c r="L93" s="305" t="str">
        <f>IF(B93="","",IF(ISNA(VLOOKUP($B93,'B-1 On-Site Hedge Baseline'!$B$1:$U$257,12,FALSE)),"",(VLOOKUP($B93,'B-1 On-Site Hedge Baseline'!$B$1:$U$257,12,FALSE))))</f>
        <v/>
      </c>
      <c r="M93" s="627"/>
      <c r="N93" s="281" t="str">
        <f>IFERROR(IF(B93="","",INDEX('G-6 Hedgerow Data'!$AN$3:$AZ$15,MATCH(C93,'G-6 Hedgerow Data'!$AM$3:$AM$15,0),MATCH(M93,'G-6 Hedgerow Data'!$AN$2:$AZ$2,0))),"")</f>
        <v/>
      </c>
      <c r="O93" s="282" t="str">
        <f t="shared" si="8"/>
        <v/>
      </c>
      <c r="P93" s="335" t="str">
        <f>IF(B93="","",VLOOKUP(B93,'B-1 On-Site Hedge Baseline'!$B$10:T338,16,FALSE))</f>
        <v/>
      </c>
      <c r="Q93" s="281" t="str">
        <f>IF(M93="","",VLOOKUP(M93,'G-6 Hedgerow Data'!$B$2:$AG$15,2,FALSE))</f>
        <v/>
      </c>
      <c r="R93" s="282" t="str">
        <f>IF(M93="","",VLOOKUP(M93,'G-6 Hedgerow Data'!$B$2:$AG$15,3,FALSE))</f>
        <v/>
      </c>
      <c r="S93" s="112"/>
      <c r="T93" s="320" t="str">
        <f>IFERROR(IF(S93="","",IF(AND(M93="Non-native and ornamental hedgerow", S93&lt;&gt;"Poor"),"Not possible ▲", (VLOOKUP(S93,'G-1 All Habitats'!$Z$2:$AA$9,2,FALSE)))),"")</f>
        <v/>
      </c>
      <c r="U93" s="109"/>
      <c r="V93" s="301" t="str">
        <f>IF(U93="","",IF(VLOOKUP(U93,'G-3 Multipliers'!$L$3:$N$6,2,FALSE)=0,"Spatial Data Missing ⚠",VLOOKUP(U93,'G-3 Multipliers'!$L$3:$N$6,2,FALSE)))</f>
        <v/>
      </c>
      <c r="W93" s="305" t="str">
        <f>IF(U93="","",IF(VLOOKUP(U93,'G-3 Multipliers'!$L$3:$N$6,3,FALSE)=0,"Spatial Data Missing ⚠",VLOOKUP(U93,'G-3 Multipliers'!$L$3:$N$6,3,FALSE)))</f>
        <v/>
      </c>
      <c r="X93" s="281" t="str">
        <f>IFERROR(IF(OR(LEFT(O93,5)="Error",LEFT(N93,5)="Error",T93="Error"),"Check Data ⚠",IF(F93&lt;R93,INDEX('G-6 Hedgerow Data'!$S$3:$AE$14,MATCH(C93,'G-6 Hedgerow Data'!$B$3:$B$14,0),MATCH(M93,'G-6 Hedgerow Data'!$S$2:$AE$2,0)),INDEX('G-6 Hedgerow Data'!$K$3:$Q$14,MATCH(M93,'G-6 Hedgerow Data'!$B$3:$B$14,0),MATCH(O93,'G-6 Hedgerow Data'!$K$2:$Q$2,0)))),"")</f>
        <v/>
      </c>
      <c r="Y93" s="137"/>
      <c r="Z93" s="137"/>
      <c r="AA93" s="289" t="str">
        <f t="shared" si="9"/>
        <v/>
      </c>
      <c r="AB93" s="302" t="str">
        <f t="shared" si="10"/>
        <v/>
      </c>
      <c r="AC93" s="303" t="str">
        <f t="shared" si="7"/>
        <v/>
      </c>
      <c r="AD93" s="317" t="str">
        <f>IF(M93="","",VLOOKUP(M93,'G-6 Hedgerow Data'!$B$3:$AG$15,31,FALSE))</f>
        <v/>
      </c>
      <c r="AE93" s="289" t="str">
        <f t="shared" si="11"/>
        <v/>
      </c>
      <c r="AF93" s="289" t="str">
        <f t="shared" si="12"/>
        <v/>
      </c>
      <c r="AG93" s="305" t="str">
        <f>IFERROR(IF(O93="","",VLOOKUP(AD93,'G-3 Multipliers'!$P$3:$Q$6,2,FALSE)),"")</f>
        <v/>
      </c>
      <c r="AH93" s="295" t="str">
        <f t="shared" si="13"/>
        <v/>
      </c>
      <c r="AI93" s="112"/>
      <c r="AJ93" s="119"/>
      <c r="AK93" s="108"/>
      <c r="AT93" s="30" t="str">
        <f>IFERROR(INDEX('G-6 Hedgerow Data'!$BJ$3:$BJ$15,MATCH(M93,'G-6 Hedgerow Data'!$B$3:$B$15,0)),"")</f>
        <v/>
      </c>
    </row>
    <row r="94" spans="2:46" ht="13.8" x14ac:dyDescent="0.25">
      <c r="B94" s="311" t="str">
        <f>'B-1 On-Site Hedge Baseline'!AK92</f>
        <v/>
      </c>
      <c r="C94" s="301" t="str">
        <f>IF(B94="","",IF(ISNA(VLOOKUP($B94,'B-1 On-Site Hedge Baseline'!$B$1:$L$257,3,FALSE)),"",(VLOOKUP($B94,'B-1 On-Site Hedge Baseline'!$B$1:$L$257,3,FALSE))))</f>
        <v/>
      </c>
      <c r="D94" s="301" t="str">
        <f>IF(B94="","",IF(ISNA(VLOOKUP($B94,'B-1 On-Site Hedge Baseline'!$B$1:$L$257,4,FALSE)),"",(VLOOKUP($B94,'B-1 On-Site Hedge Baseline'!$B$1:$L$257,4,FALSE))))</f>
        <v/>
      </c>
      <c r="E94" s="301" t="str">
        <f>IF(B94="","",IF(ISNA(VLOOKUP($B94,'B-1 On-Site Hedge Baseline'!$B$1:$L$257,5,FALSE)),"",(VLOOKUP($B94,'B-1 On-Site Hedge Baseline'!$B$1:$L$257,5,FALSE))))</f>
        <v/>
      </c>
      <c r="F94" s="301" t="str">
        <f>IF(B94="","",IF(ISNA(VLOOKUP($B94,'B-1 On-Site Hedge Baseline'!$B$1:$L$257,6,FALSE)),"",(VLOOKUP($B94,'B-1 On-Site Hedge Baseline'!$B$1:$L$257,6,FALSE))))</f>
        <v/>
      </c>
      <c r="G94" s="301" t="str">
        <f>IF(B94="","",IF(ISNA(VLOOKUP($B94,'B-1 On-Site Hedge Baseline'!$B$1:$L$257,7,FALSE)),"",(VLOOKUP($B94,'B-1 On-Site Hedge Baseline'!$B$1:$L$257,7,FALSE))))</f>
        <v/>
      </c>
      <c r="H94" s="301" t="str">
        <f>IF(B94="","",IF(ISNA(VLOOKUP($B94,'B-1 On-Site Hedge Baseline'!$B$1:$L$257,8,FALSE)),"",(VLOOKUP($B94,'B-1 On-Site Hedge Baseline'!$B$1:$L$257,8,FALSE))))</f>
        <v/>
      </c>
      <c r="I94" s="301" t="str">
        <f>IF(B94="","",IF(ISNA(VLOOKUP($B94,'B-1 On-Site Hedge Baseline'!$B$1:$L$257,10,FALSE)),"",(VLOOKUP($B94,'B-1 On-Site Hedge Baseline'!$B$1:$L$257,10,FALSE))))</f>
        <v/>
      </c>
      <c r="J94" s="301" t="str">
        <f>IF(B94="","",IF(ISNA(VLOOKUP($B94,'B-1 On-Site Hedge Baseline'!$B$1:$L$257,11,FALSE)),"",(VLOOKUP($B94,'B-1 On-Site Hedge Baseline'!$B$1:$L$257,11,FALSE))))</f>
        <v/>
      </c>
      <c r="K94" s="301" t="str">
        <f>IF(B94="","",IF(ISNA(VLOOKUP($B94,'B-1 On-Site Hedge Baseline'!$B$1:$U$257,13,FALSE)),"",(VLOOKUP($B94,'B-1 On-Site Hedge Baseline'!$B$1:$U$257,13,FALSE))))</f>
        <v/>
      </c>
      <c r="L94" s="305" t="str">
        <f>IF(B94="","",IF(ISNA(VLOOKUP($B94,'B-1 On-Site Hedge Baseline'!$B$1:$U$257,12,FALSE)),"",(VLOOKUP($B94,'B-1 On-Site Hedge Baseline'!$B$1:$U$257,12,FALSE))))</f>
        <v/>
      </c>
      <c r="M94" s="627"/>
      <c r="N94" s="281" t="str">
        <f>IFERROR(IF(B94="","",INDEX('G-6 Hedgerow Data'!$AN$3:$AZ$15,MATCH(C94,'G-6 Hedgerow Data'!$AM$3:$AM$15,0),MATCH(M94,'G-6 Hedgerow Data'!$AN$2:$AZ$2,0))),"")</f>
        <v/>
      </c>
      <c r="O94" s="282" t="str">
        <f t="shared" si="8"/>
        <v/>
      </c>
      <c r="P94" s="335" t="str">
        <f>IF(B94="","",VLOOKUP(B94,'B-1 On-Site Hedge Baseline'!$B$10:T339,16,FALSE))</f>
        <v/>
      </c>
      <c r="Q94" s="281" t="str">
        <f>IF(M94="","",VLOOKUP(M94,'G-6 Hedgerow Data'!$B$2:$AG$15,2,FALSE))</f>
        <v/>
      </c>
      <c r="R94" s="282" t="str">
        <f>IF(M94="","",VLOOKUP(M94,'G-6 Hedgerow Data'!$B$2:$AG$15,3,FALSE))</f>
        <v/>
      </c>
      <c r="S94" s="112"/>
      <c r="T94" s="320" t="str">
        <f>IFERROR(IF(S94="","",IF(AND(M94="Non-native and ornamental hedgerow", S94&lt;&gt;"Poor"),"Not possible ▲", (VLOOKUP(S94,'G-1 All Habitats'!$Z$2:$AA$9,2,FALSE)))),"")</f>
        <v/>
      </c>
      <c r="U94" s="109"/>
      <c r="V94" s="301" t="str">
        <f>IF(U94="","",IF(VLOOKUP(U94,'G-3 Multipliers'!$L$3:$N$6,2,FALSE)=0,"Spatial Data Missing ⚠",VLOOKUP(U94,'G-3 Multipliers'!$L$3:$N$6,2,FALSE)))</f>
        <v/>
      </c>
      <c r="W94" s="305" t="str">
        <f>IF(U94="","",IF(VLOOKUP(U94,'G-3 Multipliers'!$L$3:$N$6,3,FALSE)=0,"Spatial Data Missing ⚠",VLOOKUP(U94,'G-3 Multipliers'!$L$3:$N$6,3,FALSE)))</f>
        <v/>
      </c>
      <c r="X94" s="281" t="str">
        <f>IFERROR(IF(OR(LEFT(O94,5)="Error",LEFT(N94,5)="Error",T94="Error"),"Check Data ⚠",IF(F94&lt;R94,INDEX('G-6 Hedgerow Data'!$S$3:$AE$14,MATCH(C94,'G-6 Hedgerow Data'!$B$3:$B$14,0),MATCH(M94,'G-6 Hedgerow Data'!$S$2:$AE$2,0)),INDEX('G-6 Hedgerow Data'!$K$3:$Q$14,MATCH(M94,'G-6 Hedgerow Data'!$B$3:$B$14,0),MATCH(O94,'G-6 Hedgerow Data'!$K$2:$Q$2,0)))),"")</f>
        <v/>
      </c>
      <c r="Y94" s="137"/>
      <c r="Z94" s="137"/>
      <c r="AA94" s="289" t="str">
        <f t="shared" si="9"/>
        <v/>
      </c>
      <c r="AB94" s="302" t="str">
        <f t="shared" si="10"/>
        <v/>
      </c>
      <c r="AC94" s="303" t="str">
        <f t="shared" si="7"/>
        <v/>
      </c>
      <c r="AD94" s="317" t="str">
        <f>IF(M94="","",VLOOKUP(M94,'G-6 Hedgerow Data'!$B$3:$AG$15,31,FALSE))</f>
        <v/>
      </c>
      <c r="AE94" s="289" t="str">
        <f t="shared" si="11"/>
        <v/>
      </c>
      <c r="AF94" s="289" t="str">
        <f t="shared" si="12"/>
        <v/>
      </c>
      <c r="AG94" s="305" t="str">
        <f>IFERROR(IF(O94="","",VLOOKUP(AD94,'G-3 Multipliers'!$P$3:$Q$6,2,FALSE)),"")</f>
        <v/>
      </c>
      <c r="AH94" s="295" t="str">
        <f t="shared" si="13"/>
        <v/>
      </c>
      <c r="AI94" s="112"/>
      <c r="AJ94" s="119"/>
      <c r="AK94" s="108"/>
      <c r="AT94" s="30" t="str">
        <f>IFERROR(INDEX('G-6 Hedgerow Data'!$BJ$3:$BJ$15,MATCH(M94,'G-6 Hedgerow Data'!$B$3:$B$15,0)),"")</f>
        <v/>
      </c>
    </row>
    <row r="95" spans="2:46" ht="13.8" x14ac:dyDescent="0.25">
      <c r="B95" s="311" t="str">
        <f>'B-1 On-Site Hedge Baseline'!AK93</f>
        <v/>
      </c>
      <c r="C95" s="301" t="str">
        <f>IF(B95="","",IF(ISNA(VLOOKUP($B95,'B-1 On-Site Hedge Baseline'!$B$1:$L$257,3,FALSE)),"",(VLOOKUP($B95,'B-1 On-Site Hedge Baseline'!$B$1:$L$257,3,FALSE))))</f>
        <v/>
      </c>
      <c r="D95" s="301" t="str">
        <f>IF(B95="","",IF(ISNA(VLOOKUP($B95,'B-1 On-Site Hedge Baseline'!$B$1:$L$257,4,FALSE)),"",(VLOOKUP($B95,'B-1 On-Site Hedge Baseline'!$B$1:$L$257,4,FALSE))))</f>
        <v/>
      </c>
      <c r="E95" s="301" t="str">
        <f>IF(B95="","",IF(ISNA(VLOOKUP($B95,'B-1 On-Site Hedge Baseline'!$B$1:$L$257,5,FALSE)),"",(VLOOKUP($B95,'B-1 On-Site Hedge Baseline'!$B$1:$L$257,5,FALSE))))</f>
        <v/>
      </c>
      <c r="F95" s="301" t="str">
        <f>IF(B95="","",IF(ISNA(VLOOKUP($B95,'B-1 On-Site Hedge Baseline'!$B$1:$L$257,6,FALSE)),"",(VLOOKUP($B95,'B-1 On-Site Hedge Baseline'!$B$1:$L$257,6,FALSE))))</f>
        <v/>
      </c>
      <c r="G95" s="301" t="str">
        <f>IF(B95="","",IF(ISNA(VLOOKUP($B95,'B-1 On-Site Hedge Baseline'!$B$1:$L$257,7,FALSE)),"",(VLOOKUP($B95,'B-1 On-Site Hedge Baseline'!$B$1:$L$257,7,FALSE))))</f>
        <v/>
      </c>
      <c r="H95" s="301" t="str">
        <f>IF(B95="","",IF(ISNA(VLOOKUP($B95,'B-1 On-Site Hedge Baseline'!$B$1:$L$257,8,FALSE)),"",(VLOOKUP($B95,'B-1 On-Site Hedge Baseline'!$B$1:$L$257,8,FALSE))))</f>
        <v/>
      </c>
      <c r="I95" s="301" t="str">
        <f>IF(B95="","",IF(ISNA(VLOOKUP($B95,'B-1 On-Site Hedge Baseline'!$B$1:$L$257,10,FALSE)),"",(VLOOKUP($B95,'B-1 On-Site Hedge Baseline'!$B$1:$L$257,10,FALSE))))</f>
        <v/>
      </c>
      <c r="J95" s="301" t="str">
        <f>IF(B95="","",IF(ISNA(VLOOKUP($B95,'B-1 On-Site Hedge Baseline'!$B$1:$L$257,11,FALSE)),"",(VLOOKUP($B95,'B-1 On-Site Hedge Baseline'!$B$1:$L$257,11,FALSE))))</f>
        <v/>
      </c>
      <c r="K95" s="301" t="str">
        <f>IF(B95="","",IF(ISNA(VLOOKUP($B95,'B-1 On-Site Hedge Baseline'!$B$1:$U$257,13,FALSE)),"",(VLOOKUP($B95,'B-1 On-Site Hedge Baseline'!$B$1:$U$257,13,FALSE))))</f>
        <v/>
      </c>
      <c r="L95" s="305" t="str">
        <f>IF(B95="","",IF(ISNA(VLOOKUP($B95,'B-1 On-Site Hedge Baseline'!$B$1:$U$257,12,FALSE)),"",(VLOOKUP($B95,'B-1 On-Site Hedge Baseline'!$B$1:$U$257,12,FALSE))))</f>
        <v/>
      </c>
      <c r="M95" s="627"/>
      <c r="N95" s="281" t="str">
        <f>IFERROR(IF(B95="","",INDEX('G-6 Hedgerow Data'!$AN$3:$AZ$15,MATCH(C95,'G-6 Hedgerow Data'!$AM$3:$AM$15,0),MATCH(M95,'G-6 Hedgerow Data'!$AN$2:$AZ$2,0))),"")</f>
        <v/>
      </c>
      <c r="O95" s="282" t="str">
        <f t="shared" si="8"/>
        <v/>
      </c>
      <c r="P95" s="335" t="str">
        <f>IF(B95="","",VLOOKUP(B95,'B-1 On-Site Hedge Baseline'!$B$10:T340,16,FALSE))</f>
        <v/>
      </c>
      <c r="Q95" s="281" t="str">
        <f>IF(M95="","",VLOOKUP(M95,'G-6 Hedgerow Data'!$B$2:$AG$15,2,FALSE))</f>
        <v/>
      </c>
      <c r="R95" s="282" t="str">
        <f>IF(M95="","",VLOOKUP(M95,'G-6 Hedgerow Data'!$B$2:$AG$15,3,FALSE))</f>
        <v/>
      </c>
      <c r="S95" s="112"/>
      <c r="T95" s="320" t="str">
        <f>IFERROR(IF(S95="","",IF(AND(M95="Non-native and ornamental hedgerow", S95&lt;&gt;"Poor"),"Not possible ▲", (VLOOKUP(S95,'G-1 All Habitats'!$Z$2:$AA$9,2,FALSE)))),"")</f>
        <v/>
      </c>
      <c r="U95" s="109"/>
      <c r="V95" s="301" t="str">
        <f>IF(U95="","",IF(VLOOKUP(U95,'G-3 Multipliers'!$L$3:$N$6,2,FALSE)=0,"Spatial Data Missing ⚠",VLOOKUP(U95,'G-3 Multipliers'!$L$3:$N$6,2,FALSE)))</f>
        <v/>
      </c>
      <c r="W95" s="305" t="str">
        <f>IF(U95="","",IF(VLOOKUP(U95,'G-3 Multipliers'!$L$3:$N$6,3,FALSE)=0,"Spatial Data Missing ⚠",VLOOKUP(U95,'G-3 Multipliers'!$L$3:$N$6,3,FALSE)))</f>
        <v/>
      </c>
      <c r="X95" s="281" t="str">
        <f>IFERROR(IF(OR(LEFT(O95,5)="Error",LEFT(N95,5)="Error",T95="Error"),"Check Data ⚠",IF(F95&lt;R95,INDEX('G-6 Hedgerow Data'!$S$3:$AE$14,MATCH(C95,'G-6 Hedgerow Data'!$B$3:$B$14,0),MATCH(M95,'G-6 Hedgerow Data'!$S$2:$AE$2,0)),INDEX('G-6 Hedgerow Data'!$K$3:$Q$14,MATCH(M95,'G-6 Hedgerow Data'!$B$3:$B$14,0),MATCH(O95,'G-6 Hedgerow Data'!$K$2:$Q$2,0)))),"")</f>
        <v/>
      </c>
      <c r="Y95" s="137"/>
      <c r="Z95" s="137"/>
      <c r="AA95" s="289" t="str">
        <f t="shared" si="9"/>
        <v/>
      </c>
      <c r="AB95" s="302" t="str">
        <f t="shared" si="10"/>
        <v/>
      </c>
      <c r="AC95" s="303" t="str">
        <f t="shared" si="7"/>
        <v/>
      </c>
      <c r="AD95" s="317" t="str">
        <f>IF(M95="","",VLOOKUP(M95,'G-6 Hedgerow Data'!$B$3:$AG$15,31,FALSE))</f>
        <v/>
      </c>
      <c r="AE95" s="289" t="str">
        <f t="shared" si="11"/>
        <v/>
      </c>
      <c r="AF95" s="289" t="str">
        <f t="shared" si="12"/>
        <v/>
      </c>
      <c r="AG95" s="305" t="str">
        <f>IFERROR(IF(O95="","",VLOOKUP(AD95,'G-3 Multipliers'!$P$3:$Q$6,2,FALSE)),"")</f>
        <v/>
      </c>
      <c r="AH95" s="295" t="str">
        <f t="shared" si="13"/>
        <v/>
      </c>
      <c r="AI95" s="112"/>
      <c r="AJ95" s="119"/>
      <c r="AK95" s="108"/>
      <c r="AT95" s="30" t="str">
        <f>IFERROR(INDEX('G-6 Hedgerow Data'!$BJ$3:$BJ$15,MATCH(M95,'G-6 Hedgerow Data'!$B$3:$B$15,0)),"")</f>
        <v/>
      </c>
    </row>
    <row r="96" spans="2:46" ht="13.8" x14ac:dyDescent="0.25">
      <c r="B96" s="311" t="str">
        <f>'B-1 On-Site Hedge Baseline'!AK94</f>
        <v/>
      </c>
      <c r="C96" s="301" t="str">
        <f>IF(B96="","",IF(ISNA(VLOOKUP($B96,'B-1 On-Site Hedge Baseline'!$B$1:$L$257,3,FALSE)),"",(VLOOKUP($B96,'B-1 On-Site Hedge Baseline'!$B$1:$L$257,3,FALSE))))</f>
        <v/>
      </c>
      <c r="D96" s="301" t="str">
        <f>IF(B96="","",IF(ISNA(VLOOKUP($B96,'B-1 On-Site Hedge Baseline'!$B$1:$L$257,4,FALSE)),"",(VLOOKUP($B96,'B-1 On-Site Hedge Baseline'!$B$1:$L$257,4,FALSE))))</f>
        <v/>
      </c>
      <c r="E96" s="301" t="str">
        <f>IF(B96="","",IF(ISNA(VLOOKUP($B96,'B-1 On-Site Hedge Baseline'!$B$1:$L$257,5,FALSE)),"",(VLOOKUP($B96,'B-1 On-Site Hedge Baseline'!$B$1:$L$257,5,FALSE))))</f>
        <v/>
      </c>
      <c r="F96" s="301" t="str">
        <f>IF(B96="","",IF(ISNA(VLOOKUP($B96,'B-1 On-Site Hedge Baseline'!$B$1:$L$257,6,FALSE)),"",(VLOOKUP($B96,'B-1 On-Site Hedge Baseline'!$B$1:$L$257,6,FALSE))))</f>
        <v/>
      </c>
      <c r="G96" s="301" t="str">
        <f>IF(B96="","",IF(ISNA(VLOOKUP($B96,'B-1 On-Site Hedge Baseline'!$B$1:$L$257,7,FALSE)),"",(VLOOKUP($B96,'B-1 On-Site Hedge Baseline'!$B$1:$L$257,7,FALSE))))</f>
        <v/>
      </c>
      <c r="H96" s="301" t="str">
        <f>IF(B96="","",IF(ISNA(VLOOKUP($B96,'B-1 On-Site Hedge Baseline'!$B$1:$L$257,8,FALSE)),"",(VLOOKUP($B96,'B-1 On-Site Hedge Baseline'!$B$1:$L$257,8,FALSE))))</f>
        <v/>
      </c>
      <c r="I96" s="301" t="str">
        <f>IF(B96="","",IF(ISNA(VLOOKUP($B96,'B-1 On-Site Hedge Baseline'!$B$1:$L$257,10,FALSE)),"",(VLOOKUP($B96,'B-1 On-Site Hedge Baseline'!$B$1:$L$257,10,FALSE))))</f>
        <v/>
      </c>
      <c r="J96" s="301" t="str">
        <f>IF(B96="","",IF(ISNA(VLOOKUP($B96,'B-1 On-Site Hedge Baseline'!$B$1:$L$257,11,FALSE)),"",(VLOOKUP($B96,'B-1 On-Site Hedge Baseline'!$B$1:$L$257,11,FALSE))))</f>
        <v/>
      </c>
      <c r="K96" s="301" t="str">
        <f>IF(B96="","",IF(ISNA(VLOOKUP($B96,'B-1 On-Site Hedge Baseline'!$B$1:$U$257,13,FALSE)),"",(VLOOKUP($B96,'B-1 On-Site Hedge Baseline'!$B$1:$U$257,13,FALSE))))</f>
        <v/>
      </c>
      <c r="L96" s="305" t="str">
        <f>IF(B96="","",IF(ISNA(VLOOKUP($B96,'B-1 On-Site Hedge Baseline'!$B$1:$U$257,12,FALSE)),"",(VLOOKUP($B96,'B-1 On-Site Hedge Baseline'!$B$1:$U$257,12,FALSE))))</f>
        <v/>
      </c>
      <c r="M96" s="627"/>
      <c r="N96" s="281" t="str">
        <f>IFERROR(IF(B96="","",INDEX('G-6 Hedgerow Data'!$AN$3:$AZ$15,MATCH(C96,'G-6 Hedgerow Data'!$AM$3:$AM$15,0),MATCH(M96,'G-6 Hedgerow Data'!$AN$2:$AZ$2,0))),"")</f>
        <v/>
      </c>
      <c r="O96" s="282" t="str">
        <f t="shared" si="8"/>
        <v/>
      </c>
      <c r="P96" s="335" t="str">
        <f>IF(B96="","",VLOOKUP(B96,'B-1 On-Site Hedge Baseline'!$B$10:T341,16,FALSE))</f>
        <v/>
      </c>
      <c r="Q96" s="281" t="str">
        <f>IF(M96="","",VLOOKUP(M96,'G-6 Hedgerow Data'!$B$2:$AG$15,2,FALSE))</f>
        <v/>
      </c>
      <c r="R96" s="282" t="str">
        <f>IF(M96="","",VLOOKUP(M96,'G-6 Hedgerow Data'!$B$2:$AG$15,3,FALSE))</f>
        <v/>
      </c>
      <c r="S96" s="112"/>
      <c r="T96" s="320" t="str">
        <f>IFERROR(IF(S96="","",IF(AND(M96="Non-native and ornamental hedgerow", S96&lt;&gt;"Poor"),"Not possible ▲", (VLOOKUP(S96,'G-1 All Habitats'!$Z$2:$AA$9,2,FALSE)))),"")</f>
        <v/>
      </c>
      <c r="U96" s="109"/>
      <c r="V96" s="301" t="str">
        <f>IF(U96="","",IF(VLOOKUP(U96,'G-3 Multipliers'!$L$3:$N$6,2,FALSE)=0,"Spatial Data Missing ⚠",VLOOKUP(U96,'G-3 Multipliers'!$L$3:$N$6,2,FALSE)))</f>
        <v/>
      </c>
      <c r="W96" s="305" t="str">
        <f>IF(U96="","",IF(VLOOKUP(U96,'G-3 Multipliers'!$L$3:$N$6,3,FALSE)=0,"Spatial Data Missing ⚠",VLOOKUP(U96,'G-3 Multipliers'!$L$3:$N$6,3,FALSE)))</f>
        <v/>
      </c>
      <c r="X96" s="281" t="str">
        <f>IFERROR(IF(OR(LEFT(O96,5)="Error",LEFT(N96,5)="Error",T96="Error"),"Check Data ⚠",IF(F96&lt;R96,INDEX('G-6 Hedgerow Data'!$S$3:$AE$14,MATCH(C96,'G-6 Hedgerow Data'!$B$3:$B$14,0),MATCH(M96,'G-6 Hedgerow Data'!$S$2:$AE$2,0)),INDEX('G-6 Hedgerow Data'!$K$3:$Q$14,MATCH(M96,'G-6 Hedgerow Data'!$B$3:$B$14,0),MATCH(O96,'G-6 Hedgerow Data'!$K$2:$Q$2,0)))),"")</f>
        <v/>
      </c>
      <c r="Y96" s="137"/>
      <c r="Z96" s="137"/>
      <c r="AA96" s="289" t="str">
        <f t="shared" si="9"/>
        <v/>
      </c>
      <c r="AB96" s="302" t="str">
        <f t="shared" si="10"/>
        <v/>
      </c>
      <c r="AC96" s="303" t="str">
        <f t="shared" si="7"/>
        <v/>
      </c>
      <c r="AD96" s="317" t="str">
        <f>IF(M96="","",VLOOKUP(M96,'G-6 Hedgerow Data'!$B$3:$AG$15,31,FALSE))</f>
        <v/>
      </c>
      <c r="AE96" s="289" t="str">
        <f t="shared" si="11"/>
        <v/>
      </c>
      <c r="AF96" s="289" t="str">
        <f t="shared" si="12"/>
        <v/>
      </c>
      <c r="AG96" s="305" t="str">
        <f>IFERROR(IF(O96="","",VLOOKUP(AD96,'G-3 Multipliers'!$P$3:$Q$6,2,FALSE)),"")</f>
        <v/>
      </c>
      <c r="AH96" s="295" t="str">
        <f t="shared" si="13"/>
        <v/>
      </c>
      <c r="AI96" s="112"/>
      <c r="AJ96" s="119"/>
      <c r="AK96" s="108"/>
      <c r="AT96" s="30" t="str">
        <f>IFERROR(INDEX('G-6 Hedgerow Data'!$BJ$3:$BJ$15,MATCH(M96,'G-6 Hedgerow Data'!$B$3:$B$15,0)),"")</f>
        <v/>
      </c>
    </row>
    <row r="97" spans="2:46" ht="13.8" x14ac:dyDescent="0.25">
      <c r="B97" s="311" t="str">
        <f>'B-1 On-Site Hedge Baseline'!AK95</f>
        <v/>
      </c>
      <c r="C97" s="301" t="str">
        <f>IF(B97="","",IF(ISNA(VLOOKUP($B97,'B-1 On-Site Hedge Baseline'!$B$1:$L$257,3,FALSE)),"",(VLOOKUP($B97,'B-1 On-Site Hedge Baseline'!$B$1:$L$257,3,FALSE))))</f>
        <v/>
      </c>
      <c r="D97" s="301" t="str">
        <f>IF(B97="","",IF(ISNA(VLOOKUP($B97,'B-1 On-Site Hedge Baseline'!$B$1:$L$257,4,FALSE)),"",(VLOOKUP($B97,'B-1 On-Site Hedge Baseline'!$B$1:$L$257,4,FALSE))))</f>
        <v/>
      </c>
      <c r="E97" s="301" t="str">
        <f>IF(B97="","",IF(ISNA(VLOOKUP($B97,'B-1 On-Site Hedge Baseline'!$B$1:$L$257,5,FALSE)),"",(VLOOKUP($B97,'B-1 On-Site Hedge Baseline'!$B$1:$L$257,5,FALSE))))</f>
        <v/>
      </c>
      <c r="F97" s="301" t="str">
        <f>IF(B97="","",IF(ISNA(VLOOKUP($B97,'B-1 On-Site Hedge Baseline'!$B$1:$L$257,6,FALSE)),"",(VLOOKUP($B97,'B-1 On-Site Hedge Baseline'!$B$1:$L$257,6,FALSE))))</f>
        <v/>
      </c>
      <c r="G97" s="301" t="str">
        <f>IF(B97="","",IF(ISNA(VLOOKUP($B97,'B-1 On-Site Hedge Baseline'!$B$1:$L$257,7,FALSE)),"",(VLOOKUP($B97,'B-1 On-Site Hedge Baseline'!$B$1:$L$257,7,FALSE))))</f>
        <v/>
      </c>
      <c r="H97" s="301" t="str">
        <f>IF(B97="","",IF(ISNA(VLOOKUP($B97,'B-1 On-Site Hedge Baseline'!$B$1:$L$257,8,FALSE)),"",(VLOOKUP($B97,'B-1 On-Site Hedge Baseline'!$B$1:$L$257,8,FALSE))))</f>
        <v/>
      </c>
      <c r="I97" s="301" t="str">
        <f>IF(B97="","",IF(ISNA(VLOOKUP($B97,'B-1 On-Site Hedge Baseline'!$B$1:$L$257,10,FALSE)),"",(VLOOKUP($B97,'B-1 On-Site Hedge Baseline'!$B$1:$L$257,10,FALSE))))</f>
        <v/>
      </c>
      <c r="J97" s="301" t="str">
        <f>IF(B97="","",IF(ISNA(VLOOKUP($B97,'B-1 On-Site Hedge Baseline'!$B$1:$L$257,11,FALSE)),"",(VLOOKUP($B97,'B-1 On-Site Hedge Baseline'!$B$1:$L$257,11,FALSE))))</f>
        <v/>
      </c>
      <c r="K97" s="301" t="str">
        <f>IF(B97="","",IF(ISNA(VLOOKUP($B97,'B-1 On-Site Hedge Baseline'!$B$1:$U$257,13,FALSE)),"",(VLOOKUP($B97,'B-1 On-Site Hedge Baseline'!$B$1:$U$257,13,FALSE))))</f>
        <v/>
      </c>
      <c r="L97" s="305" t="str">
        <f>IF(B97="","",IF(ISNA(VLOOKUP($B97,'B-1 On-Site Hedge Baseline'!$B$1:$U$257,12,FALSE)),"",(VLOOKUP($B97,'B-1 On-Site Hedge Baseline'!$B$1:$U$257,12,FALSE))))</f>
        <v/>
      </c>
      <c r="M97" s="627"/>
      <c r="N97" s="281" t="str">
        <f>IFERROR(IF(B97="","",INDEX('G-6 Hedgerow Data'!$AN$3:$AZ$15,MATCH(C97,'G-6 Hedgerow Data'!$AM$3:$AM$15,0),MATCH(M97,'G-6 Hedgerow Data'!$AN$2:$AZ$2,0))),"")</f>
        <v/>
      </c>
      <c r="O97" s="282" t="str">
        <f t="shared" si="8"/>
        <v/>
      </c>
      <c r="P97" s="335" t="str">
        <f>IF(B97="","",VLOOKUP(B97,'B-1 On-Site Hedge Baseline'!$B$10:T342,16,FALSE))</f>
        <v/>
      </c>
      <c r="Q97" s="281" t="str">
        <f>IF(M97="","",VLOOKUP(M97,'G-6 Hedgerow Data'!$B$2:$AG$15,2,FALSE))</f>
        <v/>
      </c>
      <c r="R97" s="282" t="str">
        <f>IF(M97="","",VLOOKUP(M97,'G-6 Hedgerow Data'!$B$2:$AG$15,3,FALSE))</f>
        <v/>
      </c>
      <c r="S97" s="112"/>
      <c r="T97" s="320" t="str">
        <f>IFERROR(IF(S97="","",IF(AND(M97="Non-native and ornamental hedgerow", S97&lt;&gt;"Poor"),"Not possible ▲", (VLOOKUP(S97,'G-1 All Habitats'!$Z$2:$AA$9,2,FALSE)))),"")</f>
        <v/>
      </c>
      <c r="U97" s="109"/>
      <c r="V97" s="301" t="str">
        <f>IF(U97="","",IF(VLOOKUP(U97,'G-3 Multipliers'!$L$3:$N$6,2,FALSE)=0,"Spatial Data Missing ⚠",VLOOKUP(U97,'G-3 Multipliers'!$L$3:$N$6,2,FALSE)))</f>
        <v/>
      </c>
      <c r="W97" s="305" t="str">
        <f>IF(U97="","",IF(VLOOKUP(U97,'G-3 Multipliers'!$L$3:$N$6,3,FALSE)=0,"Spatial Data Missing ⚠",VLOOKUP(U97,'G-3 Multipliers'!$L$3:$N$6,3,FALSE)))</f>
        <v/>
      </c>
      <c r="X97" s="281" t="str">
        <f>IFERROR(IF(OR(LEFT(O97,5)="Error",LEFT(N97,5)="Error",T97="Error"),"Check Data ⚠",IF(F97&lt;R97,INDEX('G-6 Hedgerow Data'!$S$3:$AE$14,MATCH(C97,'G-6 Hedgerow Data'!$B$3:$B$14,0),MATCH(M97,'G-6 Hedgerow Data'!$S$2:$AE$2,0)),INDEX('G-6 Hedgerow Data'!$K$3:$Q$14,MATCH(M97,'G-6 Hedgerow Data'!$B$3:$B$14,0),MATCH(O97,'G-6 Hedgerow Data'!$K$2:$Q$2,0)))),"")</f>
        <v/>
      </c>
      <c r="Y97" s="137"/>
      <c r="Z97" s="137"/>
      <c r="AA97" s="289" t="str">
        <f t="shared" si="9"/>
        <v/>
      </c>
      <c r="AB97" s="302" t="str">
        <f t="shared" si="10"/>
        <v/>
      </c>
      <c r="AC97" s="303" t="str">
        <f t="shared" si="7"/>
        <v/>
      </c>
      <c r="AD97" s="317" t="str">
        <f>IF(M97="","",VLOOKUP(M97,'G-6 Hedgerow Data'!$B$3:$AG$15,31,FALSE))</f>
        <v/>
      </c>
      <c r="AE97" s="289" t="str">
        <f t="shared" si="11"/>
        <v/>
      </c>
      <c r="AF97" s="289" t="str">
        <f t="shared" si="12"/>
        <v/>
      </c>
      <c r="AG97" s="305" t="str">
        <f>IFERROR(IF(O97="","",VLOOKUP(AD97,'G-3 Multipliers'!$P$3:$Q$6,2,FALSE)),"")</f>
        <v/>
      </c>
      <c r="AH97" s="295" t="str">
        <f t="shared" si="13"/>
        <v/>
      </c>
      <c r="AI97" s="112"/>
      <c r="AJ97" s="119"/>
      <c r="AK97" s="108"/>
      <c r="AT97" s="30" t="str">
        <f>IFERROR(INDEX('G-6 Hedgerow Data'!$BJ$3:$BJ$15,MATCH(M97,'G-6 Hedgerow Data'!$B$3:$B$15,0)),"")</f>
        <v/>
      </c>
    </row>
    <row r="98" spans="2:46" ht="13.8" x14ac:dyDescent="0.25">
      <c r="B98" s="311" t="str">
        <f>'B-1 On-Site Hedge Baseline'!AK96</f>
        <v/>
      </c>
      <c r="C98" s="301" t="str">
        <f>IF(B98="","",IF(ISNA(VLOOKUP($B98,'B-1 On-Site Hedge Baseline'!$B$1:$L$257,3,FALSE)),"",(VLOOKUP($B98,'B-1 On-Site Hedge Baseline'!$B$1:$L$257,3,FALSE))))</f>
        <v/>
      </c>
      <c r="D98" s="301" t="str">
        <f>IF(B98="","",IF(ISNA(VLOOKUP($B98,'B-1 On-Site Hedge Baseline'!$B$1:$L$257,4,FALSE)),"",(VLOOKUP($B98,'B-1 On-Site Hedge Baseline'!$B$1:$L$257,4,FALSE))))</f>
        <v/>
      </c>
      <c r="E98" s="301" t="str">
        <f>IF(B98="","",IF(ISNA(VLOOKUP($B98,'B-1 On-Site Hedge Baseline'!$B$1:$L$257,5,FALSE)),"",(VLOOKUP($B98,'B-1 On-Site Hedge Baseline'!$B$1:$L$257,5,FALSE))))</f>
        <v/>
      </c>
      <c r="F98" s="301" t="str">
        <f>IF(B98="","",IF(ISNA(VLOOKUP($B98,'B-1 On-Site Hedge Baseline'!$B$1:$L$257,6,FALSE)),"",(VLOOKUP($B98,'B-1 On-Site Hedge Baseline'!$B$1:$L$257,6,FALSE))))</f>
        <v/>
      </c>
      <c r="G98" s="301" t="str">
        <f>IF(B98="","",IF(ISNA(VLOOKUP($B98,'B-1 On-Site Hedge Baseline'!$B$1:$L$257,7,FALSE)),"",(VLOOKUP($B98,'B-1 On-Site Hedge Baseline'!$B$1:$L$257,7,FALSE))))</f>
        <v/>
      </c>
      <c r="H98" s="301" t="str">
        <f>IF(B98="","",IF(ISNA(VLOOKUP($B98,'B-1 On-Site Hedge Baseline'!$B$1:$L$257,8,FALSE)),"",(VLOOKUP($B98,'B-1 On-Site Hedge Baseline'!$B$1:$L$257,8,FALSE))))</f>
        <v/>
      </c>
      <c r="I98" s="301" t="str">
        <f>IF(B98="","",IF(ISNA(VLOOKUP($B98,'B-1 On-Site Hedge Baseline'!$B$1:$L$257,10,FALSE)),"",(VLOOKUP($B98,'B-1 On-Site Hedge Baseline'!$B$1:$L$257,10,FALSE))))</f>
        <v/>
      </c>
      <c r="J98" s="301" t="str">
        <f>IF(B98="","",IF(ISNA(VLOOKUP($B98,'B-1 On-Site Hedge Baseline'!$B$1:$L$257,11,FALSE)),"",(VLOOKUP($B98,'B-1 On-Site Hedge Baseline'!$B$1:$L$257,11,FALSE))))</f>
        <v/>
      </c>
      <c r="K98" s="301" t="str">
        <f>IF(B98="","",IF(ISNA(VLOOKUP($B98,'B-1 On-Site Hedge Baseline'!$B$1:$U$257,13,FALSE)),"",(VLOOKUP($B98,'B-1 On-Site Hedge Baseline'!$B$1:$U$257,13,FALSE))))</f>
        <v/>
      </c>
      <c r="L98" s="305" t="str">
        <f>IF(B98="","",IF(ISNA(VLOOKUP($B98,'B-1 On-Site Hedge Baseline'!$B$1:$U$257,12,FALSE)),"",(VLOOKUP($B98,'B-1 On-Site Hedge Baseline'!$B$1:$U$257,12,FALSE))))</f>
        <v/>
      </c>
      <c r="M98" s="627"/>
      <c r="N98" s="281" t="str">
        <f>IFERROR(IF(B98="","",INDEX('G-6 Hedgerow Data'!$AN$3:$AZ$15,MATCH(C98,'G-6 Hedgerow Data'!$AM$3:$AM$15,0),MATCH(M98,'G-6 Hedgerow Data'!$AN$2:$AZ$2,0))),"")</f>
        <v/>
      </c>
      <c r="O98" s="282" t="str">
        <f t="shared" si="8"/>
        <v/>
      </c>
      <c r="P98" s="335" t="str">
        <f>IF(B98="","",VLOOKUP(B98,'B-1 On-Site Hedge Baseline'!$B$10:T343,16,FALSE))</f>
        <v/>
      </c>
      <c r="Q98" s="281" t="str">
        <f>IF(M98="","",VLOOKUP(M98,'G-6 Hedgerow Data'!$B$2:$AG$15,2,FALSE))</f>
        <v/>
      </c>
      <c r="R98" s="282" t="str">
        <f>IF(M98="","",VLOOKUP(M98,'G-6 Hedgerow Data'!$B$2:$AG$15,3,FALSE))</f>
        <v/>
      </c>
      <c r="S98" s="112"/>
      <c r="T98" s="320" t="str">
        <f>IFERROR(IF(S98="","",IF(AND(M98="Non-native and ornamental hedgerow", S98&lt;&gt;"Poor"),"Not possible ▲", (VLOOKUP(S98,'G-1 All Habitats'!$Z$2:$AA$9,2,FALSE)))),"")</f>
        <v/>
      </c>
      <c r="U98" s="109"/>
      <c r="V98" s="301" t="str">
        <f>IF(U98="","",IF(VLOOKUP(U98,'G-3 Multipliers'!$L$3:$N$6,2,FALSE)=0,"Spatial Data Missing ⚠",VLOOKUP(U98,'G-3 Multipliers'!$L$3:$N$6,2,FALSE)))</f>
        <v/>
      </c>
      <c r="W98" s="305" t="str">
        <f>IF(U98="","",IF(VLOOKUP(U98,'G-3 Multipliers'!$L$3:$N$6,3,FALSE)=0,"Spatial Data Missing ⚠",VLOOKUP(U98,'G-3 Multipliers'!$L$3:$N$6,3,FALSE)))</f>
        <v/>
      </c>
      <c r="X98" s="281" t="str">
        <f>IFERROR(IF(OR(LEFT(O98,5)="Error",LEFT(N98,5)="Error",T98="Error"),"Check Data ⚠",IF(F98&lt;R98,INDEX('G-6 Hedgerow Data'!$S$3:$AE$14,MATCH(C98,'G-6 Hedgerow Data'!$B$3:$B$14,0),MATCH(M98,'G-6 Hedgerow Data'!$S$2:$AE$2,0)),INDEX('G-6 Hedgerow Data'!$K$3:$Q$14,MATCH(M98,'G-6 Hedgerow Data'!$B$3:$B$14,0),MATCH(O98,'G-6 Hedgerow Data'!$K$2:$Q$2,0)))),"")</f>
        <v/>
      </c>
      <c r="Y98" s="137"/>
      <c r="Z98" s="137"/>
      <c r="AA98" s="289" t="str">
        <f t="shared" si="9"/>
        <v/>
      </c>
      <c r="AB98" s="302" t="str">
        <f t="shared" si="10"/>
        <v/>
      </c>
      <c r="AC98" s="303" t="str">
        <f t="shared" si="7"/>
        <v/>
      </c>
      <c r="AD98" s="317" t="str">
        <f>IF(M98="","",VLOOKUP(M98,'G-6 Hedgerow Data'!$B$3:$AG$15,31,FALSE))</f>
        <v/>
      </c>
      <c r="AE98" s="289" t="str">
        <f t="shared" si="11"/>
        <v/>
      </c>
      <c r="AF98" s="289" t="str">
        <f t="shared" si="12"/>
        <v/>
      </c>
      <c r="AG98" s="305" t="str">
        <f>IFERROR(IF(O98="","",VLOOKUP(AD98,'G-3 Multipliers'!$P$3:$Q$6,2,FALSE)),"")</f>
        <v/>
      </c>
      <c r="AH98" s="295" t="str">
        <f t="shared" si="13"/>
        <v/>
      </c>
      <c r="AI98" s="112"/>
      <c r="AJ98" s="119"/>
      <c r="AK98" s="108"/>
      <c r="AT98" s="30" t="str">
        <f>IFERROR(INDEX('G-6 Hedgerow Data'!$BJ$3:$BJ$15,MATCH(M98,'G-6 Hedgerow Data'!$B$3:$B$15,0)),"")</f>
        <v/>
      </c>
    </row>
    <row r="99" spans="2:46" ht="13.8" x14ac:dyDescent="0.25">
      <c r="B99" s="311" t="str">
        <f>'B-1 On-Site Hedge Baseline'!AK97</f>
        <v/>
      </c>
      <c r="C99" s="301" t="str">
        <f>IF(B99="","",IF(ISNA(VLOOKUP($B99,'B-1 On-Site Hedge Baseline'!$B$1:$L$257,3,FALSE)),"",(VLOOKUP($B99,'B-1 On-Site Hedge Baseline'!$B$1:$L$257,3,FALSE))))</f>
        <v/>
      </c>
      <c r="D99" s="301" t="str">
        <f>IF(B99="","",IF(ISNA(VLOOKUP($B99,'B-1 On-Site Hedge Baseline'!$B$1:$L$257,4,FALSE)),"",(VLOOKUP($B99,'B-1 On-Site Hedge Baseline'!$B$1:$L$257,4,FALSE))))</f>
        <v/>
      </c>
      <c r="E99" s="301" t="str">
        <f>IF(B99="","",IF(ISNA(VLOOKUP($B99,'B-1 On-Site Hedge Baseline'!$B$1:$L$257,5,FALSE)),"",(VLOOKUP($B99,'B-1 On-Site Hedge Baseline'!$B$1:$L$257,5,FALSE))))</f>
        <v/>
      </c>
      <c r="F99" s="301" t="str">
        <f>IF(B99="","",IF(ISNA(VLOOKUP($B99,'B-1 On-Site Hedge Baseline'!$B$1:$L$257,6,FALSE)),"",(VLOOKUP($B99,'B-1 On-Site Hedge Baseline'!$B$1:$L$257,6,FALSE))))</f>
        <v/>
      </c>
      <c r="G99" s="301" t="str">
        <f>IF(B99="","",IF(ISNA(VLOOKUP($B99,'B-1 On-Site Hedge Baseline'!$B$1:$L$257,7,FALSE)),"",(VLOOKUP($B99,'B-1 On-Site Hedge Baseline'!$B$1:$L$257,7,FALSE))))</f>
        <v/>
      </c>
      <c r="H99" s="301" t="str">
        <f>IF(B99="","",IF(ISNA(VLOOKUP($B99,'B-1 On-Site Hedge Baseline'!$B$1:$L$257,8,FALSE)),"",(VLOOKUP($B99,'B-1 On-Site Hedge Baseline'!$B$1:$L$257,8,FALSE))))</f>
        <v/>
      </c>
      <c r="I99" s="301" t="str">
        <f>IF(B99="","",IF(ISNA(VLOOKUP($B99,'B-1 On-Site Hedge Baseline'!$B$1:$L$257,10,FALSE)),"",(VLOOKUP($B99,'B-1 On-Site Hedge Baseline'!$B$1:$L$257,10,FALSE))))</f>
        <v/>
      </c>
      <c r="J99" s="301" t="str">
        <f>IF(B99="","",IF(ISNA(VLOOKUP($B99,'B-1 On-Site Hedge Baseline'!$B$1:$L$257,11,FALSE)),"",(VLOOKUP($B99,'B-1 On-Site Hedge Baseline'!$B$1:$L$257,11,FALSE))))</f>
        <v/>
      </c>
      <c r="K99" s="301" t="str">
        <f>IF(B99="","",IF(ISNA(VLOOKUP($B99,'B-1 On-Site Hedge Baseline'!$B$1:$U$257,13,FALSE)),"",(VLOOKUP($B99,'B-1 On-Site Hedge Baseline'!$B$1:$U$257,13,FALSE))))</f>
        <v/>
      </c>
      <c r="L99" s="305" t="str">
        <f>IF(B99="","",IF(ISNA(VLOOKUP($B99,'B-1 On-Site Hedge Baseline'!$B$1:$U$257,12,FALSE)),"",(VLOOKUP($B99,'B-1 On-Site Hedge Baseline'!$B$1:$U$257,12,FALSE))))</f>
        <v/>
      </c>
      <c r="M99" s="627"/>
      <c r="N99" s="281" t="str">
        <f>IFERROR(IF(B99="","",INDEX('G-6 Hedgerow Data'!$AN$3:$AZ$15,MATCH(C99,'G-6 Hedgerow Data'!$AM$3:$AM$15,0),MATCH(M99,'G-6 Hedgerow Data'!$AN$2:$AZ$2,0))),"")</f>
        <v/>
      </c>
      <c r="O99" s="282" t="str">
        <f t="shared" si="8"/>
        <v/>
      </c>
      <c r="P99" s="335" t="str">
        <f>IF(B99="","",VLOOKUP(B99,'B-1 On-Site Hedge Baseline'!$B$10:T344,16,FALSE))</f>
        <v/>
      </c>
      <c r="Q99" s="281" t="str">
        <f>IF(M99="","",VLOOKUP(M99,'G-6 Hedgerow Data'!$B$2:$AG$15,2,FALSE))</f>
        <v/>
      </c>
      <c r="R99" s="282" t="str">
        <f>IF(M99="","",VLOOKUP(M99,'G-6 Hedgerow Data'!$B$2:$AG$15,3,FALSE))</f>
        <v/>
      </c>
      <c r="S99" s="112"/>
      <c r="T99" s="320" t="str">
        <f>IFERROR(IF(S99="","",IF(AND(M99="Non-native and ornamental hedgerow", S99&lt;&gt;"Poor"),"Not possible ▲", (VLOOKUP(S99,'G-1 All Habitats'!$Z$2:$AA$9,2,FALSE)))),"")</f>
        <v/>
      </c>
      <c r="U99" s="109"/>
      <c r="V99" s="301" t="str">
        <f>IF(U99="","",IF(VLOOKUP(U99,'G-3 Multipliers'!$L$3:$N$6,2,FALSE)=0,"Spatial Data Missing ⚠",VLOOKUP(U99,'G-3 Multipliers'!$L$3:$N$6,2,FALSE)))</f>
        <v/>
      </c>
      <c r="W99" s="305" t="str">
        <f>IF(U99="","",IF(VLOOKUP(U99,'G-3 Multipliers'!$L$3:$N$6,3,FALSE)=0,"Spatial Data Missing ⚠",VLOOKUP(U99,'G-3 Multipliers'!$L$3:$N$6,3,FALSE)))</f>
        <v/>
      </c>
      <c r="X99" s="281" t="str">
        <f>IFERROR(IF(OR(LEFT(O99,5)="Error",LEFT(N99,5)="Error",T99="Error"),"Check Data ⚠",IF(F99&lt;R99,INDEX('G-6 Hedgerow Data'!$S$3:$AE$14,MATCH(C99,'G-6 Hedgerow Data'!$B$3:$B$14,0),MATCH(M99,'G-6 Hedgerow Data'!$S$2:$AE$2,0)),INDEX('G-6 Hedgerow Data'!$K$3:$Q$14,MATCH(M99,'G-6 Hedgerow Data'!$B$3:$B$14,0),MATCH(O99,'G-6 Hedgerow Data'!$K$2:$Q$2,0)))),"")</f>
        <v/>
      </c>
      <c r="Y99" s="137"/>
      <c r="Z99" s="137"/>
      <c r="AA99" s="289" t="str">
        <f t="shared" si="9"/>
        <v/>
      </c>
      <c r="AB99" s="302" t="str">
        <f t="shared" si="10"/>
        <v/>
      </c>
      <c r="AC99" s="303" t="str">
        <f t="shared" si="7"/>
        <v/>
      </c>
      <c r="AD99" s="317" t="str">
        <f>IF(M99="","",VLOOKUP(M99,'G-6 Hedgerow Data'!$B$3:$AG$15,31,FALSE))</f>
        <v/>
      </c>
      <c r="AE99" s="289" t="str">
        <f t="shared" si="11"/>
        <v/>
      </c>
      <c r="AF99" s="289" t="str">
        <f t="shared" si="12"/>
        <v/>
      </c>
      <c r="AG99" s="305" t="str">
        <f>IFERROR(IF(O99="","",VLOOKUP(AD99,'G-3 Multipliers'!$P$3:$Q$6,2,FALSE)),"")</f>
        <v/>
      </c>
      <c r="AH99" s="295" t="str">
        <f t="shared" si="13"/>
        <v/>
      </c>
      <c r="AI99" s="112"/>
      <c r="AJ99" s="119"/>
      <c r="AK99" s="108"/>
      <c r="AT99" s="30" t="str">
        <f>IFERROR(INDEX('G-6 Hedgerow Data'!$BJ$3:$BJ$15,MATCH(M99,'G-6 Hedgerow Data'!$B$3:$B$15,0)),"")</f>
        <v/>
      </c>
    </row>
    <row r="100" spans="2:46" ht="13.8" x14ac:dyDescent="0.25">
      <c r="B100" s="311" t="str">
        <f>'B-1 On-Site Hedge Baseline'!AK98</f>
        <v/>
      </c>
      <c r="C100" s="301" t="str">
        <f>IF(B100="","",IF(ISNA(VLOOKUP($B100,'B-1 On-Site Hedge Baseline'!$B$1:$L$257,3,FALSE)),"",(VLOOKUP($B100,'B-1 On-Site Hedge Baseline'!$B$1:$L$257,3,FALSE))))</f>
        <v/>
      </c>
      <c r="D100" s="301" t="str">
        <f>IF(B100="","",IF(ISNA(VLOOKUP($B100,'B-1 On-Site Hedge Baseline'!$B$1:$L$257,4,FALSE)),"",(VLOOKUP($B100,'B-1 On-Site Hedge Baseline'!$B$1:$L$257,4,FALSE))))</f>
        <v/>
      </c>
      <c r="E100" s="301" t="str">
        <f>IF(B100="","",IF(ISNA(VLOOKUP($B100,'B-1 On-Site Hedge Baseline'!$B$1:$L$257,5,FALSE)),"",(VLOOKUP($B100,'B-1 On-Site Hedge Baseline'!$B$1:$L$257,5,FALSE))))</f>
        <v/>
      </c>
      <c r="F100" s="301" t="str">
        <f>IF(B100="","",IF(ISNA(VLOOKUP($B100,'B-1 On-Site Hedge Baseline'!$B$1:$L$257,6,FALSE)),"",(VLOOKUP($B100,'B-1 On-Site Hedge Baseline'!$B$1:$L$257,6,FALSE))))</f>
        <v/>
      </c>
      <c r="G100" s="301" t="str">
        <f>IF(B100="","",IF(ISNA(VLOOKUP($B100,'B-1 On-Site Hedge Baseline'!$B$1:$L$257,7,FALSE)),"",(VLOOKUP($B100,'B-1 On-Site Hedge Baseline'!$B$1:$L$257,7,FALSE))))</f>
        <v/>
      </c>
      <c r="H100" s="301" t="str">
        <f>IF(B100="","",IF(ISNA(VLOOKUP($B100,'B-1 On-Site Hedge Baseline'!$B$1:$L$257,8,FALSE)),"",(VLOOKUP($B100,'B-1 On-Site Hedge Baseline'!$B$1:$L$257,8,FALSE))))</f>
        <v/>
      </c>
      <c r="I100" s="301" t="str">
        <f>IF(B100="","",IF(ISNA(VLOOKUP($B100,'B-1 On-Site Hedge Baseline'!$B$1:$L$257,10,FALSE)),"",(VLOOKUP($B100,'B-1 On-Site Hedge Baseline'!$B$1:$L$257,10,FALSE))))</f>
        <v/>
      </c>
      <c r="J100" s="301" t="str">
        <f>IF(B100="","",IF(ISNA(VLOOKUP($B100,'B-1 On-Site Hedge Baseline'!$B$1:$L$257,11,FALSE)),"",(VLOOKUP($B100,'B-1 On-Site Hedge Baseline'!$B$1:$L$257,11,FALSE))))</f>
        <v/>
      </c>
      <c r="K100" s="301" t="str">
        <f>IF(B100="","",IF(ISNA(VLOOKUP($B100,'B-1 On-Site Hedge Baseline'!$B$1:$U$257,13,FALSE)),"",(VLOOKUP($B100,'B-1 On-Site Hedge Baseline'!$B$1:$U$257,13,FALSE))))</f>
        <v/>
      </c>
      <c r="L100" s="305" t="str">
        <f>IF(B100="","",IF(ISNA(VLOOKUP($B100,'B-1 On-Site Hedge Baseline'!$B$1:$U$257,12,FALSE)),"",(VLOOKUP($B100,'B-1 On-Site Hedge Baseline'!$B$1:$U$257,12,FALSE))))</f>
        <v/>
      </c>
      <c r="M100" s="627"/>
      <c r="N100" s="281" t="str">
        <f>IFERROR(IF(B100="","",INDEX('G-6 Hedgerow Data'!$AN$3:$AZ$15,MATCH(C100,'G-6 Hedgerow Data'!$AM$3:$AM$15,0),MATCH(M100,'G-6 Hedgerow Data'!$AN$2:$AZ$2,0))),"")</f>
        <v/>
      </c>
      <c r="O100" s="282" t="str">
        <f t="shared" si="8"/>
        <v/>
      </c>
      <c r="P100" s="335" t="str">
        <f>IF(B100="","",VLOOKUP(B100,'B-1 On-Site Hedge Baseline'!$B$10:T345,16,FALSE))</f>
        <v/>
      </c>
      <c r="Q100" s="281" t="str">
        <f>IF(M100="","",VLOOKUP(M100,'G-6 Hedgerow Data'!$B$2:$AG$15,2,FALSE))</f>
        <v/>
      </c>
      <c r="R100" s="282" t="str">
        <f>IF(M100="","",VLOOKUP(M100,'G-6 Hedgerow Data'!$B$2:$AG$15,3,FALSE))</f>
        <v/>
      </c>
      <c r="S100" s="112"/>
      <c r="T100" s="320" t="str">
        <f>IFERROR(IF(S100="","",IF(AND(M100="Non-native and ornamental hedgerow", S100&lt;&gt;"Poor"),"Not possible ▲", (VLOOKUP(S100,'G-1 All Habitats'!$Z$2:$AA$9,2,FALSE)))),"")</f>
        <v/>
      </c>
      <c r="U100" s="109"/>
      <c r="V100" s="301" t="str">
        <f>IF(U100="","",IF(VLOOKUP(U100,'G-3 Multipliers'!$L$3:$N$6,2,FALSE)=0,"Spatial Data Missing ⚠",VLOOKUP(U100,'G-3 Multipliers'!$L$3:$N$6,2,FALSE)))</f>
        <v/>
      </c>
      <c r="W100" s="305" t="str">
        <f>IF(U100="","",IF(VLOOKUP(U100,'G-3 Multipliers'!$L$3:$N$6,3,FALSE)=0,"Spatial Data Missing ⚠",VLOOKUP(U100,'G-3 Multipliers'!$L$3:$N$6,3,FALSE)))</f>
        <v/>
      </c>
      <c r="X100" s="281" t="str">
        <f>IFERROR(IF(OR(LEFT(O100,5)="Error",LEFT(N100,5)="Error",T100="Error"),"Check Data ⚠",IF(F100&lt;R100,INDEX('G-6 Hedgerow Data'!$S$3:$AE$14,MATCH(C100,'G-6 Hedgerow Data'!$B$3:$B$14,0),MATCH(M100,'G-6 Hedgerow Data'!$S$2:$AE$2,0)),INDEX('G-6 Hedgerow Data'!$K$3:$Q$14,MATCH(M100,'G-6 Hedgerow Data'!$B$3:$B$14,0),MATCH(O100,'G-6 Hedgerow Data'!$K$2:$Q$2,0)))),"")</f>
        <v/>
      </c>
      <c r="Y100" s="137"/>
      <c r="Z100" s="137"/>
      <c r="AA100" s="289" t="str">
        <f t="shared" si="9"/>
        <v/>
      </c>
      <c r="AB100" s="302" t="str">
        <f t="shared" si="10"/>
        <v/>
      </c>
      <c r="AC100" s="303" t="str">
        <f t="shared" si="7"/>
        <v/>
      </c>
      <c r="AD100" s="317" t="str">
        <f>IF(M100="","",VLOOKUP(M100,'G-6 Hedgerow Data'!$B$3:$AG$15,31,FALSE))</f>
        <v/>
      </c>
      <c r="AE100" s="289" t="str">
        <f t="shared" si="11"/>
        <v/>
      </c>
      <c r="AF100" s="289" t="str">
        <f t="shared" si="12"/>
        <v/>
      </c>
      <c r="AG100" s="305" t="str">
        <f>IFERROR(IF(O100="","",VLOOKUP(AD100,'G-3 Multipliers'!$P$3:$Q$6,2,FALSE)),"")</f>
        <v/>
      </c>
      <c r="AH100" s="295" t="str">
        <f t="shared" si="13"/>
        <v/>
      </c>
      <c r="AI100" s="112"/>
      <c r="AJ100" s="119"/>
      <c r="AK100" s="108"/>
      <c r="AT100" s="30" t="str">
        <f>IFERROR(INDEX('G-6 Hedgerow Data'!$BJ$3:$BJ$15,MATCH(M100,'G-6 Hedgerow Data'!$B$3:$B$15,0)),"")</f>
        <v/>
      </c>
    </row>
    <row r="101" spans="2:46" ht="13.8" x14ac:dyDescent="0.25">
      <c r="B101" s="311" t="str">
        <f>'B-1 On-Site Hedge Baseline'!AK99</f>
        <v/>
      </c>
      <c r="C101" s="301" t="str">
        <f>IF(B101="","",IF(ISNA(VLOOKUP($B101,'B-1 On-Site Hedge Baseline'!$B$1:$L$257,3,FALSE)),"",(VLOOKUP($B101,'B-1 On-Site Hedge Baseline'!$B$1:$L$257,3,FALSE))))</f>
        <v/>
      </c>
      <c r="D101" s="301" t="str">
        <f>IF(B101="","",IF(ISNA(VLOOKUP($B101,'B-1 On-Site Hedge Baseline'!$B$1:$L$257,4,FALSE)),"",(VLOOKUP($B101,'B-1 On-Site Hedge Baseline'!$B$1:$L$257,4,FALSE))))</f>
        <v/>
      </c>
      <c r="E101" s="301" t="str">
        <f>IF(B101="","",IF(ISNA(VLOOKUP($B101,'B-1 On-Site Hedge Baseline'!$B$1:$L$257,5,FALSE)),"",(VLOOKUP($B101,'B-1 On-Site Hedge Baseline'!$B$1:$L$257,5,FALSE))))</f>
        <v/>
      </c>
      <c r="F101" s="301" t="str">
        <f>IF(B101="","",IF(ISNA(VLOOKUP($B101,'B-1 On-Site Hedge Baseline'!$B$1:$L$257,6,FALSE)),"",(VLOOKUP($B101,'B-1 On-Site Hedge Baseline'!$B$1:$L$257,6,FALSE))))</f>
        <v/>
      </c>
      <c r="G101" s="301" t="str">
        <f>IF(B101="","",IF(ISNA(VLOOKUP($B101,'B-1 On-Site Hedge Baseline'!$B$1:$L$257,7,FALSE)),"",(VLOOKUP($B101,'B-1 On-Site Hedge Baseline'!$B$1:$L$257,7,FALSE))))</f>
        <v/>
      </c>
      <c r="H101" s="301" t="str">
        <f>IF(B101="","",IF(ISNA(VLOOKUP($B101,'B-1 On-Site Hedge Baseline'!$B$1:$L$257,8,FALSE)),"",(VLOOKUP($B101,'B-1 On-Site Hedge Baseline'!$B$1:$L$257,8,FALSE))))</f>
        <v/>
      </c>
      <c r="I101" s="301" t="str">
        <f>IF(B101="","",IF(ISNA(VLOOKUP($B101,'B-1 On-Site Hedge Baseline'!$B$1:$L$257,10,FALSE)),"",(VLOOKUP($B101,'B-1 On-Site Hedge Baseline'!$B$1:$L$257,10,FALSE))))</f>
        <v/>
      </c>
      <c r="J101" s="301" t="str">
        <f>IF(B101="","",IF(ISNA(VLOOKUP($B101,'B-1 On-Site Hedge Baseline'!$B$1:$L$257,11,FALSE)),"",(VLOOKUP($B101,'B-1 On-Site Hedge Baseline'!$B$1:$L$257,11,FALSE))))</f>
        <v/>
      </c>
      <c r="K101" s="301" t="str">
        <f>IF(B101="","",IF(ISNA(VLOOKUP($B101,'B-1 On-Site Hedge Baseline'!$B$1:$U$257,13,FALSE)),"",(VLOOKUP($B101,'B-1 On-Site Hedge Baseline'!$B$1:$U$257,13,FALSE))))</f>
        <v/>
      </c>
      <c r="L101" s="305" t="str">
        <f>IF(B101="","",IF(ISNA(VLOOKUP($B101,'B-1 On-Site Hedge Baseline'!$B$1:$U$257,12,FALSE)),"",(VLOOKUP($B101,'B-1 On-Site Hedge Baseline'!$B$1:$U$257,12,FALSE))))</f>
        <v/>
      </c>
      <c r="M101" s="627"/>
      <c r="N101" s="281" t="str">
        <f>IFERROR(IF(B101="","",INDEX('G-6 Hedgerow Data'!$AN$3:$AZ$15,MATCH(C101,'G-6 Hedgerow Data'!$AM$3:$AM$15,0),MATCH(M101,'G-6 Hedgerow Data'!$AN$2:$AZ$2,0))),"")</f>
        <v/>
      </c>
      <c r="O101" s="282" t="str">
        <f t="shared" si="8"/>
        <v/>
      </c>
      <c r="P101" s="335" t="str">
        <f>IF(B101="","",VLOOKUP(B101,'B-1 On-Site Hedge Baseline'!$B$10:T346,16,FALSE))</f>
        <v/>
      </c>
      <c r="Q101" s="281" t="str">
        <f>IF(M101="","",VLOOKUP(M101,'G-6 Hedgerow Data'!$B$2:$AG$15,2,FALSE))</f>
        <v/>
      </c>
      <c r="R101" s="282" t="str">
        <f>IF(M101="","",VLOOKUP(M101,'G-6 Hedgerow Data'!$B$2:$AG$15,3,FALSE))</f>
        <v/>
      </c>
      <c r="S101" s="112"/>
      <c r="T101" s="320" t="str">
        <f>IFERROR(IF(S101="","",IF(AND(M101="Non-native and ornamental hedgerow", S101&lt;&gt;"Poor"),"Not possible ▲", (VLOOKUP(S101,'G-1 All Habitats'!$Z$2:$AA$9,2,FALSE)))),"")</f>
        <v/>
      </c>
      <c r="U101" s="109"/>
      <c r="V101" s="301" t="str">
        <f>IF(U101="","",IF(VLOOKUP(U101,'G-3 Multipliers'!$L$3:$N$6,2,FALSE)=0,"Spatial Data Missing ⚠",VLOOKUP(U101,'G-3 Multipliers'!$L$3:$N$6,2,FALSE)))</f>
        <v/>
      </c>
      <c r="W101" s="305" t="str">
        <f>IF(U101="","",IF(VLOOKUP(U101,'G-3 Multipliers'!$L$3:$N$6,3,FALSE)=0,"Spatial Data Missing ⚠",VLOOKUP(U101,'G-3 Multipliers'!$L$3:$N$6,3,FALSE)))</f>
        <v/>
      </c>
      <c r="X101" s="281" t="str">
        <f>IFERROR(IF(OR(LEFT(O101,5)="Error",LEFT(N101,5)="Error",T101="Error"),"Check Data ⚠",IF(F101&lt;R101,INDEX('G-6 Hedgerow Data'!$S$3:$AE$14,MATCH(C101,'G-6 Hedgerow Data'!$B$3:$B$14,0),MATCH(M101,'G-6 Hedgerow Data'!$S$2:$AE$2,0)),INDEX('G-6 Hedgerow Data'!$K$3:$Q$14,MATCH(M101,'G-6 Hedgerow Data'!$B$3:$B$14,0),MATCH(O101,'G-6 Hedgerow Data'!$K$2:$Q$2,0)))),"")</f>
        <v/>
      </c>
      <c r="Y101" s="137"/>
      <c r="Z101" s="137"/>
      <c r="AA101" s="289" t="str">
        <f t="shared" si="9"/>
        <v/>
      </c>
      <c r="AB101" s="302" t="str">
        <f t="shared" si="10"/>
        <v/>
      </c>
      <c r="AC101" s="303" t="str">
        <f t="shared" si="7"/>
        <v/>
      </c>
      <c r="AD101" s="317" t="str">
        <f>IF(M101="","",VLOOKUP(M101,'G-6 Hedgerow Data'!$B$3:$AG$15,31,FALSE))</f>
        <v/>
      </c>
      <c r="AE101" s="289" t="str">
        <f t="shared" si="11"/>
        <v/>
      </c>
      <c r="AF101" s="289" t="str">
        <f t="shared" si="12"/>
        <v/>
      </c>
      <c r="AG101" s="305" t="str">
        <f>IFERROR(IF(O101="","",VLOOKUP(AD101,'G-3 Multipliers'!$P$3:$Q$6,2,FALSE)),"")</f>
        <v/>
      </c>
      <c r="AH101" s="295" t="str">
        <f t="shared" si="13"/>
        <v/>
      </c>
      <c r="AI101" s="112"/>
      <c r="AJ101" s="119"/>
      <c r="AK101" s="108"/>
      <c r="AT101" s="30" t="str">
        <f>IFERROR(INDEX('G-6 Hedgerow Data'!$BJ$3:$BJ$15,MATCH(M101,'G-6 Hedgerow Data'!$B$3:$B$15,0)),"")</f>
        <v/>
      </c>
    </row>
    <row r="102" spans="2:46" ht="13.8" x14ac:dyDescent="0.25">
      <c r="B102" s="311" t="str">
        <f>'B-1 On-Site Hedge Baseline'!AK100</f>
        <v/>
      </c>
      <c r="C102" s="301" t="str">
        <f>IF(B102="","",IF(ISNA(VLOOKUP($B102,'B-1 On-Site Hedge Baseline'!$B$1:$L$257,3,FALSE)),"",(VLOOKUP($B102,'B-1 On-Site Hedge Baseline'!$B$1:$L$257,3,FALSE))))</f>
        <v/>
      </c>
      <c r="D102" s="301" t="str">
        <f>IF(B102="","",IF(ISNA(VLOOKUP($B102,'B-1 On-Site Hedge Baseline'!$B$1:$L$257,4,FALSE)),"",(VLOOKUP($B102,'B-1 On-Site Hedge Baseline'!$B$1:$L$257,4,FALSE))))</f>
        <v/>
      </c>
      <c r="E102" s="301" t="str">
        <f>IF(B102="","",IF(ISNA(VLOOKUP($B102,'B-1 On-Site Hedge Baseline'!$B$1:$L$257,5,FALSE)),"",(VLOOKUP($B102,'B-1 On-Site Hedge Baseline'!$B$1:$L$257,5,FALSE))))</f>
        <v/>
      </c>
      <c r="F102" s="301" t="str">
        <f>IF(B102="","",IF(ISNA(VLOOKUP($B102,'B-1 On-Site Hedge Baseline'!$B$1:$L$257,6,FALSE)),"",(VLOOKUP($B102,'B-1 On-Site Hedge Baseline'!$B$1:$L$257,6,FALSE))))</f>
        <v/>
      </c>
      <c r="G102" s="301" t="str">
        <f>IF(B102="","",IF(ISNA(VLOOKUP($B102,'B-1 On-Site Hedge Baseline'!$B$1:$L$257,7,FALSE)),"",(VLOOKUP($B102,'B-1 On-Site Hedge Baseline'!$B$1:$L$257,7,FALSE))))</f>
        <v/>
      </c>
      <c r="H102" s="301" t="str">
        <f>IF(B102="","",IF(ISNA(VLOOKUP($B102,'B-1 On-Site Hedge Baseline'!$B$1:$L$257,8,FALSE)),"",(VLOOKUP($B102,'B-1 On-Site Hedge Baseline'!$B$1:$L$257,8,FALSE))))</f>
        <v/>
      </c>
      <c r="I102" s="301" t="str">
        <f>IF(B102="","",IF(ISNA(VLOOKUP($B102,'B-1 On-Site Hedge Baseline'!$B$1:$L$257,10,FALSE)),"",(VLOOKUP($B102,'B-1 On-Site Hedge Baseline'!$B$1:$L$257,10,FALSE))))</f>
        <v/>
      </c>
      <c r="J102" s="301" t="str">
        <f>IF(B102="","",IF(ISNA(VLOOKUP($B102,'B-1 On-Site Hedge Baseline'!$B$1:$L$257,11,FALSE)),"",(VLOOKUP($B102,'B-1 On-Site Hedge Baseline'!$B$1:$L$257,11,FALSE))))</f>
        <v/>
      </c>
      <c r="K102" s="301" t="str">
        <f>IF(B102="","",IF(ISNA(VLOOKUP($B102,'B-1 On-Site Hedge Baseline'!$B$1:$U$257,13,FALSE)),"",(VLOOKUP($B102,'B-1 On-Site Hedge Baseline'!$B$1:$U$257,13,FALSE))))</f>
        <v/>
      </c>
      <c r="L102" s="305" t="str">
        <f>IF(B102="","",IF(ISNA(VLOOKUP($B102,'B-1 On-Site Hedge Baseline'!$B$1:$U$257,12,FALSE)),"",(VLOOKUP($B102,'B-1 On-Site Hedge Baseline'!$B$1:$U$257,12,FALSE))))</f>
        <v/>
      </c>
      <c r="M102" s="627"/>
      <c r="N102" s="281" t="str">
        <f>IFERROR(IF(B102="","",INDEX('G-6 Hedgerow Data'!$AN$3:$AZ$15,MATCH(C102,'G-6 Hedgerow Data'!$AM$3:$AM$15,0),MATCH(M102,'G-6 Hedgerow Data'!$AN$2:$AZ$2,0))),"")</f>
        <v/>
      </c>
      <c r="O102" s="282" t="str">
        <f t="shared" si="8"/>
        <v/>
      </c>
      <c r="P102" s="335" t="str">
        <f>IF(B102="","",VLOOKUP(B102,'B-1 On-Site Hedge Baseline'!$B$10:T347,16,FALSE))</f>
        <v/>
      </c>
      <c r="Q102" s="281" t="str">
        <f>IF(M102="","",VLOOKUP(M102,'G-6 Hedgerow Data'!$B$2:$AG$15,2,FALSE))</f>
        <v/>
      </c>
      <c r="R102" s="282" t="str">
        <f>IF(M102="","",VLOOKUP(M102,'G-6 Hedgerow Data'!$B$2:$AG$15,3,FALSE))</f>
        <v/>
      </c>
      <c r="S102" s="112"/>
      <c r="T102" s="320" t="str">
        <f>IFERROR(IF(S102="","",IF(AND(M102="Non-native and ornamental hedgerow", S102&lt;&gt;"Poor"),"Not possible ▲", (VLOOKUP(S102,'G-1 All Habitats'!$Z$2:$AA$9,2,FALSE)))),"")</f>
        <v/>
      </c>
      <c r="U102" s="109"/>
      <c r="V102" s="301" t="str">
        <f>IF(U102="","",IF(VLOOKUP(U102,'G-3 Multipliers'!$L$3:$N$6,2,FALSE)=0,"Spatial Data Missing ⚠",VLOOKUP(U102,'G-3 Multipliers'!$L$3:$N$6,2,FALSE)))</f>
        <v/>
      </c>
      <c r="W102" s="305" t="str">
        <f>IF(U102="","",IF(VLOOKUP(U102,'G-3 Multipliers'!$L$3:$N$6,3,FALSE)=0,"Spatial Data Missing ⚠",VLOOKUP(U102,'G-3 Multipliers'!$L$3:$N$6,3,FALSE)))</f>
        <v/>
      </c>
      <c r="X102" s="281" t="str">
        <f>IFERROR(IF(OR(LEFT(O102,5)="Error",LEFT(N102,5)="Error",T102="Error"),"Check Data ⚠",IF(F102&lt;R102,INDEX('G-6 Hedgerow Data'!$S$3:$AE$14,MATCH(C102,'G-6 Hedgerow Data'!$B$3:$B$14,0),MATCH(M102,'G-6 Hedgerow Data'!$S$2:$AE$2,0)),INDEX('G-6 Hedgerow Data'!$K$3:$Q$14,MATCH(M102,'G-6 Hedgerow Data'!$B$3:$B$14,0),MATCH(O102,'G-6 Hedgerow Data'!$K$2:$Q$2,0)))),"")</f>
        <v/>
      </c>
      <c r="Y102" s="137"/>
      <c r="Z102" s="137"/>
      <c r="AA102" s="289" t="str">
        <f t="shared" si="9"/>
        <v/>
      </c>
      <c r="AB102" s="302" t="str">
        <f t="shared" si="10"/>
        <v/>
      </c>
      <c r="AC102" s="303" t="str">
        <f t="shared" si="7"/>
        <v/>
      </c>
      <c r="AD102" s="317" t="str">
        <f>IF(M102="","",VLOOKUP(M102,'G-6 Hedgerow Data'!$B$3:$AG$15,31,FALSE))</f>
        <v/>
      </c>
      <c r="AE102" s="289" t="str">
        <f t="shared" si="11"/>
        <v/>
      </c>
      <c r="AF102" s="289" t="str">
        <f t="shared" si="12"/>
        <v/>
      </c>
      <c r="AG102" s="305" t="str">
        <f>IFERROR(IF(O102="","",VLOOKUP(AD102,'G-3 Multipliers'!$P$3:$Q$6,2,FALSE)),"")</f>
        <v/>
      </c>
      <c r="AH102" s="295" t="str">
        <f t="shared" si="13"/>
        <v/>
      </c>
      <c r="AI102" s="112"/>
      <c r="AJ102" s="119"/>
      <c r="AK102" s="108"/>
      <c r="AT102" s="30" t="str">
        <f>IFERROR(INDEX('G-6 Hedgerow Data'!$BJ$3:$BJ$15,MATCH(M102,'G-6 Hedgerow Data'!$B$3:$B$15,0)),"")</f>
        <v/>
      </c>
    </row>
    <row r="103" spans="2:46" ht="13.8" x14ac:dyDescent="0.25">
      <c r="B103" s="311" t="str">
        <f>'B-1 On-Site Hedge Baseline'!AK101</f>
        <v/>
      </c>
      <c r="C103" s="301" t="str">
        <f>IF(B103="","",IF(ISNA(VLOOKUP($B103,'B-1 On-Site Hedge Baseline'!$B$1:$L$257,3,FALSE)),"",(VLOOKUP($B103,'B-1 On-Site Hedge Baseline'!$B$1:$L$257,3,FALSE))))</f>
        <v/>
      </c>
      <c r="D103" s="301" t="str">
        <f>IF(B103="","",IF(ISNA(VLOOKUP($B103,'B-1 On-Site Hedge Baseline'!$B$1:$L$257,4,FALSE)),"",(VLOOKUP($B103,'B-1 On-Site Hedge Baseline'!$B$1:$L$257,4,FALSE))))</f>
        <v/>
      </c>
      <c r="E103" s="301" t="str">
        <f>IF(B103="","",IF(ISNA(VLOOKUP($B103,'B-1 On-Site Hedge Baseline'!$B$1:$L$257,5,FALSE)),"",(VLOOKUP($B103,'B-1 On-Site Hedge Baseline'!$B$1:$L$257,5,FALSE))))</f>
        <v/>
      </c>
      <c r="F103" s="301" t="str">
        <f>IF(B103="","",IF(ISNA(VLOOKUP($B103,'B-1 On-Site Hedge Baseline'!$B$1:$L$257,6,FALSE)),"",(VLOOKUP($B103,'B-1 On-Site Hedge Baseline'!$B$1:$L$257,6,FALSE))))</f>
        <v/>
      </c>
      <c r="G103" s="301" t="str">
        <f>IF(B103="","",IF(ISNA(VLOOKUP($B103,'B-1 On-Site Hedge Baseline'!$B$1:$L$257,7,FALSE)),"",(VLOOKUP($B103,'B-1 On-Site Hedge Baseline'!$B$1:$L$257,7,FALSE))))</f>
        <v/>
      </c>
      <c r="H103" s="301" t="str">
        <f>IF(B103="","",IF(ISNA(VLOOKUP($B103,'B-1 On-Site Hedge Baseline'!$B$1:$L$257,8,FALSE)),"",(VLOOKUP($B103,'B-1 On-Site Hedge Baseline'!$B$1:$L$257,8,FALSE))))</f>
        <v/>
      </c>
      <c r="I103" s="301" t="str">
        <f>IF(B103="","",IF(ISNA(VLOOKUP($B103,'B-1 On-Site Hedge Baseline'!$B$1:$L$257,10,FALSE)),"",(VLOOKUP($B103,'B-1 On-Site Hedge Baseline'!$B$1:$L$257,10,FALSE))))</f>
        <v/>
      </c>
      <c r="J103" s="301" t="str">
        <f>IF(B103="","",IF(ISNA(VLOOKUP($B103,'B-1 On-Site Hedge Baseline'!$B$1:$L$257,11,FALSE)),"",(VLOOKUP($B103,'B-1 On-Site Hedge Baseline'!$B$1:$L$257,11,FALSE))))</f>
        <v/>
      </c>
      <c r="K103" s="301" t="str">
        <f>IF(B103="","",IF(ISNA(VLOOKUP($B103,'B-1 On-Site Hedge Baseline'!$B$1:$U$257,13,FALSE)),"",(VLOOKUP($B103,'B-1 On-Site Hedge Baseline'!$B$1:$U$257,13,FALSE))))</f>
        <v/>
      </c>
      <c r="L103" s="305" t="str">
        <f>IF(B103="","",IF(ISNA(VLOOKUP($B103,'B-1 On-Site Hedge Baseline'!$B$1:$U$257,12,FALSE)),"",(VLOOKUP($B103,'B-1 On-Site Hedge Baseline'!$B$1:$U$257,12,FALSE))))</f>
        <v/>
      </c>
      <c r="M103" s="627"/>
      <c r="N103" s="281" t="str">
        <f>IFERROR(IF(B103="","",INDEX('G-6 Hedgerow Data'!$AN$3:$AZ$15,MATCH(C103,'G-6 Hedgerow Data'!$AM$3:$AM$15,0),MATCH(M103,'G-6 Hedgerow Data'!$AN$2:$AZ$2,0))),"")</f>
        <v/>
      </c>
      <c r="O103" s="282" t="str">
        <f t="shared" si="8"/>
        <v/>
      </c>
      <c r="P103" s="335" t="str">
        <f>IF(B103="","",VLOOKUP(B103,'B-1 On-Site Hedge Baseline'!$B$10:T348,16,FALSE))</f>
        <v/>
      </c>
      <c r="Q103" s="281" t="str">
        <f>IF(M103="","",VLOOKUP(M103,'G-6 Hedgerow Data'!$B$2:$AG$15,2,FALSE))</f>
        <v/>
      </c>
      <c r="R103" s="282" t="str">
        <f>IF(M103="","",VLOOKUP(M103,'G-6 Hedgerow Data'!$B$2:$AG$15,3,FALSE))</f>
        <v/>
      </c>
      <c r="S103" s="112"/>
      <c r="T103" s="320" t="str">
        <f>IFERROR(IF(S103="","",IF(AND(M103="Non-native and ornamental hedgerow", S103&lt;&gt;"Poor"),"Not possible ▲", (VLOOKUP(S103,'G-1 All Habitats'!$Z$2:$AA$9,2,FALSE)))),"")</f>
        <v/>
      </c>
      <c r="U103" s="109"/>
      <c r="V103" s="301" t="str">
        <f>IF(U103="","",IF(VLOOKUP(U103,'G-3 Multipliers'!$L$3:$N$6,2,FALSE)=0,"Spatial Data Missing ⚠",VLOOKUP(U103,'G-3 Multipliers'!$L$3:$N$6,2,FALSE)))</f>
        <v/>
      </c>
      <c r="W103" s="305" t="str">
        <f>IF(U103="","",IF(VLOOKUP(U103,'G-3 Multipliers'!$L$3:$N$6,3,FALSE)=0,"Spatial Data Missing ⚠",VLOOKUP(U103,'G-3 Multipliers'!$L$3:$N$6,3,FALSE)))</f>
        <v/>
      </c>
      <c r="X103" s="281" t="str">
        <f>IFERROR(IF(OR(LEFT(O103,5)="Error",LEFT(N103,5)="Error",T103="Error"),"Check Data ⚠",IF(F103&lt;R103,INDEX('G-6 Hedgerow Data'!$S$3:$AE$14,MATCH(C103,'G-6 Hedgerow Data'!$B$3:$B$14,0),MATCH(M103,'G-6 Hedgerow Data'!$S$2:$AE$2,0)),INDEX('G-6 Hedgerow Data'!$K$3:$Q$14,MATCH(M103,'G-6 Hedgerow Data'!$B$3:$B$14,0),MATCH(O103,'G-6 Hedgerow Data'!$K$2:$Q$2,0)))),"")</f>
        <v/>
      </c>
      <c r="Y103" s="137"/>
      <c r="Z103" s="137"/>
      <c r="AA103" s="289" t="str">
        <f t="shared" si="9"/>
        <v/>
      </c>
      <c r="AB103" s="302" t="str">
        <f t="shared" si="10"/>
        <v/>
      </c>
      <c r="AC103" s="303" t="str">
        <f t="shared" si="7"/>
        <v/>
      </c>
      <c r="AD103" s="317" t="str">
        <f>IF(M103="","",VLOOKUP(M103,'G-6 Hedgerow Data'!$B$3:$AG$15,31,FALSE))</f>
        <v/>
      </c>
      <c r="AE103" s="289" t="str">
        <f t="shared" si="11"/>
        <v/>
      </c>
      <c r="AF103" s="289" t="str">
        <f t="shared" si="12"/>
        <v/>
      </c>
      <c r="AG103" s="305" t="str">
        <f>IFERROR(IF(O103="","",VLOOKUP(AD103,'G-3 Multipliers'!$P$3:$Q$6,2,FALSE)),"")</f>
        <v/>
      </c>
      <c r="AH103" s="295" t="str">
        <f t="shared" si="13"/>
        <v/>
      </c>
      <c r="AI103" s="112"/>
      <c r="AJ103" s="119"/>
      <c r="AK103" s="108"/>
      <c r="AT103" s="30" t="str">
        <f>IFERROR(INDEX('G-6 Hedgerow Data'!$BJ$3:$BJ$15,MATCH(M103,'G-6 Hedgerow Data'!$B$3:$B$15,0)),"")</f>
        <v/>
      </c>
    </row>
    <row r="104" spans="2:46" ht="13.8" x14ac:dyDescent="0.25">
      <c r="B104" s="311" t="str">
        <f>'B-1 On-Site Hedge Baseline'!AK102</f>
        <v/>
      </c>
      <c r="C104" s="301" t="str">
        <f>IF(B104="","",IF(ISNA(VLOOKUP($B104,'B-1 On-Site Hedge Baseline'!$B$1:$L$257,3,FALSE)),"",(VLOOKUP($B104,'B-1 On-Site Hedge Baseline'!$B$1:$L$257,3,FALSE))))</f>
        <v/>
      </c>
      <c r="D104" s="301" t="str">
        <f>IF(B104="","",IF(ISNA(VLOOKUP($B104,'B-1 On-Site Hedge Baseline'!$B$1:$L$257,4,FALSE)),"",(VLOOKUP($B104,'B-1 On-Site Hedge Baseline'!$B$1:$L$257,4,FALSE))))</f>
        <v/>
      </c>
      <c r="E104" s="301" t="str">
        <f>IF(B104="","",IF(ISNA(VLOOKUP($B104,'B-1 On-Site Hedge Baseline'!$B$1:$L$257,5,FALSE)),"",(VLOOKUP($B104,'B-1 On-Site Hedge Baseline'!$B$1:$L$257,5,FALSE))))</f>
        <v/>
      </c>
      <c r="F104" s="301" t="str">
        <f>IF(B104="","",IF(ISNA(VLOOKUP($B104,'B-1 On-Site Hedge Baseline'!$B$1:$L$257,6,FALSE)),"",(VLOOKUP($B104,'B-1 On-Site Hedge Baseline'!$B$1:$L$257,6,FALSE))))</f>
        <v/>
      </c>
      <c r="G104" s="301" t="str">
        <f>IF(B104="","",IF(ISNA(VLOOKUP($B104,'B-1 On-Site Hedge Baseline'!$B$1:$L$257,7,FALSE)),"",(VLOOKUP($B104,'B-1 On-Site Hedge Baseline'!$B$1:$L$257,7,FALSE))))</f>
        <v/>
      </c>
      <c r="H104" s="301" t="str">
        <f>IF(B104="","",IF(ISNA(VLOOKUP($B104,'B-1 On-Site Hedge Baseline'!$B$1:$L$257,8,FALSE)),"",(VLOOKUP($B104,'B-1 On-Site Hedge Baseline'!$B$1:$L$257,8,FALSE))))</f>
        <v/>
      </c>
      <c r="I104" s="301" t="str">
        <f>IF(B104="","",IF(ISNA(VLOOKUP($B104,'B-1 On-Site Hedge Baseline'!$B$1:$L$257,10,FALSE)),"",(VLOOKUP($B104,'B-1 On-Site Hedge Baseline'!$B$1:$L$257,10,FALSE))))</f>
        <v/>
      </c>
      <c r="J104" s="301" t="str">
        <f>IF(B104="","",IF(ISNA(VLOOKUP($B104,'B-1 On-Site Hedge Baseline'!$B$1:$L$257,11,FALSE)),"",(VLOOKUP($B104,'B-1 On-Site Hedge Baseline'!$B$1:$L$257,11,FALSE))))</f>
        <v/>
      </c>
      <c r="K104" s="301" t="str">
        <f>IF(B104="","",IF(ISNA(VLOOKUP($B104,'B-1 On-Site Hedge Baseline'!$B$1:$U$257,13,FALSE)),"",(VLOOKUP($B104,'B-1 On-Site Hedge Baseline'!$B$1:$U$257,13,FALSE))))</f>
        <v/>
      </c>
      <c r="L104" s="305" t="str">
        <f>IF(B104="","",IF(ISNA(VLOOKUP($B104,'B-1 On-Site Hedge Baseline'!$B$1:$U$257,12,FALSE)),"",(VLOOKUP($B104,'B-1 On-Site Hedge Baseline'!$B$1:$U$257,12,FALSE))))</f>
        <v/>
      </c>
      <c r="M104" s="627"/>
      <c r="N104" s="281" t="str">
        <f>IFERROR(IF(B104="","",INDEX('G-6 Hedgerow Data'!$AN$3:$AZ$15,MATCH(C104,'G-6 Hedgerow Data'!$AM$3:$AM$15,0),MATCH(M104,'G-6 Hedgerow Data'!$AN$2:$AZ$2,0))),"")</f>
        <v/>
      </c>
      <c r="O104" s="282" t="str">
        <f t="shared" si="8"/>
        <v/>
      </c>
      <c r="P104" s="335" t="str">
        <f>IF(B104="","",VLOOKUP(B104,'B-1 On-Site Hedge Baseline'!$B$10:T349,16,FALSE))</f>
        <v/>
      </c>
      <c r="Q104" s="281" t="str">
        <f>IF(M104="","",VLOOKUP(M104,'G-6 Hedgerow Data'!$B$2:$AG$15,2,FALSE))</f>
        <v/>
      </c>
      <c r="R104" s="282" t="str">
        <f>IF(M104="","",VLOOKUP(M104,'G-6 Hedgerow Data'!$B$2:$AG$15,3,FALSE))</f>
        <v/>
      </c>
      <c r="S104" s="112"/>
      <c r="T104" s="320" t="str">
        <f>IFERROR(IF(S104="","",IF(AND(M104="Non-native and ornamental hedgerow", S104&lt;&gt;"Poor"),"Not possible ▲", (VLOOKUP(S104,'G-1 All Habitats'!$Z$2:$AA$9,2,FALSE)))),"")</f>
        <v/>
      </c>
      <c r="U104" s="109"/>
      <c r="V104" s="301" t="str">
        <f>IF(U104="","",IF(VLOOKUP(U104,'G-3 Multipliers'!$L$3:$N$6,2,FALSE)=0,"Spatial Data Missing ⚠",VLOOKUP(U104,'G-3 Multipliers'!$L$3:$N$6,2,FALSE)))</f>
        <v/>
      </c>
      <c r="W104" s="305" t="str">
        <f>IF(U104="","",IF(VLOOKUP(U104,'G-3 Multipliers'!$L$3:$N$6,3,FALSE)=0,"Spatial Data Missing ⚠",VLOOKUP(U104,'G-3 Multipliers'!$L$3:$N$6,3,FALSE)))</f>
        <v/>
      </c>
      <c r="X104" s="281" t="str">
        <f>IFERROR(IF(OR(LEFT(O104,5)="Error",LEFT(N104,5)="Error",T104="Error"),"Check Data ⚠",IF(F104&lt;R104,INDEX('G-6 Hedgerow Data'!$S$3:$AE$14,MATCH(C104,'G-6 Hedgerow Data'!$B$3:$B$14,0),MATCH(M104,'G-6 Hedgerow Data'!$S$2:$AE$2,0)),INDEX('G-6 Hedgerow Data'!$K$3:$Q$14,MATCH(M104,'G-6 Hedgerow Data'!$B$3:$B$14,0),MATCH(O104,'G-6 Hedgerow Data'!$K$2:$Q$2,0)))),"")</f>
        <v/>
      </c>
      <c r="Y104" s="137"/>
      <c r="Z104" s="137"/>
      <c r="AA104" s="289" t="str">
        <f t="shared" si="9"/>
        <v/>
      </c>
      <c r="AB104" s="302" t="str">
        <f t="shared" si="10"/>
        <v/>
      </c>
      <c r="AC104" s="303" t="str">
        <f t="shared" si="7"/>
        <v/>
      </c>
      <c r="AD104" s="317" t="str">
        <f>IF(M104="","",VLOOKUP(M104,'G-6 Hedgerow Data'!$B$3:$AG$15,31,FALSE))</f>
        <v/>
      </c>
      <c r="AE104" s="289" t="str">
        <f t="shared" si="11"/>
        <v/>
      </c>
      <c r="AF104" s="289" t="str">
        <f t="shared" si="12"/>
        <v/>
      </c>
      <c r="AG104" s="305" t="str">
        <f>IFERROR(IF(O104="","",VLOOKUP(AD104,'G-3 Multipliers'!$P$3:$Q$6,2,FALSE)),"")</f>
        <v/>
      </c>
      <c r="AH104" s="295" t="str">
        <f t="shared" si="13"/>
        <v/>
      </c>
      <c r="AI104" s="112"/>
      <c r="AJ104" s="119"/>
      <c r="AK104" s="108"/>
      <c r="AT104" s="30" t="str">
        <f>IFERROR(INDEX('G-6 Hedgerow Data'!$BJ$3:$BJ$15,MATCH(M104,'G-6 Hedgerow Data'!$B$3:$B$15,0)),"")</f>
        <v/>
      </c>
    </row>
    <row r="105" spans="2:46" ht="13.8" x14ac:dyDescent="0.25">
      <c r="B105" s="311" t="str">
        <f>'B-1 On-Site Hedge Baseline'!AK103</f>
        <v/>
      </c>
      <c r="C105" s="301" t="str">
        <f>IF(B105="","",IF(ISNA(VLOOKUP($B105,'B-1 On-Site Hedge Baseline'!$B$1:$L$257,3,FALSE)),"",(VLOOKUP($B105,'B-1 On-Site Hedge Baseline'!$B$1:$L$257,3,FALSE))))</f>
        <v/>
      </c>
      <c r="D105" s="301" t="str">
        <f>IF(B105="","",IF(ISNA(VLOOKUP($B105,'B-1 On-Site Hedge Baseline'!$B$1:$L$257,4,FALSE)),"",(VLOOKUP($B105,'B-1 On-Site Hedge Baseline'!$B$1:$L$257,4,FALSE))))</f>
        <v/>
      </c>
      <c r="E105" s="301" t="str">
        <f>IF(B105="","",IF(ISNA(VLOOKUP($B105,'B-1 On-Site Hedge Baseline'!$B$1:$L$257,5,FALSE)),"",(VLOOKUP($B105,'B-1 On-Site Hedge Baseline'!$B$1:$L$257,5,FALSE))))</f>
        <v/>
      </c>
      <c r="F105" s="301" t="str">
        <f>IF(B105="","",IF(ISNA(VLOOKUP($B105,'B-1 On-Site Hedge Baseline'!$B$1:$L$257,6,FALSE)),"",(VLOOKUP($B105,'B-1 On-Site Hedge Baseline'!$B$1:$L$257,6,FALSE))))</f>
        <v/>
      </c>
      <c r="G105" s="301" t="str">
        <f>IF(B105="","",IF(ISNA(VLOOKUP($B105,'B-1 On-Site Hedge Baseline'!$B$1:$L$257,7,FALSE)),"",(VLOOKUP($B105,'B-1 On-Site Hedge Baseline'!$B$1:$L$257,7,FALSE))))</f>
        <v/>
      </c>
      <c r="H105" s="301" t="str">
        <f>IF(B105="","",IF(ISNA(VLOOKUP($B105,'B-1 On-Site Hedge Baseline'!$B$1:$L$257,8,FALSE)),"",(VLOOKUP($B105,'B-1 On-Site Hedge Baseline'!$B$1:$L$257,8,FALSE))))</f>
        <v/>
      </c>
      <c r="I105" s="301" t="str">
        <f>IF(B105="","",IF(ISNA(VLOOKUP($B105,'B-1 On-Site Hedge Baseline'!$B$1:$L$257,10,FALSE)),"",(VLOOKUP($B105,'B-1 On-Site Hedge Baseline'!$B$1:$L$257,10,FALSE))))</f>
        <v/>
      </c>
      <c r="J105" s="301" t="str">
        <f>IF(B105="","",IF(ISNA(VLOOKUP($B105,'B-1 On-Site Hedge Baseline'!$B$1:$L$257,11,FALSE)),"",(VLOOKUP($B105,'B-1 On-Site Hedge Baseline'!$B$1:$L$257,11,FALSE))))</f>
        <v/>
      </c>
      <c r="K105" s="301" t="str">
        <f>IF(B105="","",IF(ISNA(VLOOKUP($B105,'B-1 On-Site Hedge Baseline'!$B$1:$U$257,13,FALSE)),"",(VLOOKUP($B105,'B-1 On-Site Hedge Baseline'!$B$1:$U$257,13,FALSE))))</f>
        <v/>
      </c>
      <c r="L105" s="305" t="str">
        <f>IF(B105="","",IF(ISNA(VLOOKUP($B105,'B-1 On-Site Hedge Baseline'!$B$1:$U$257,12,FALSE)),"",(VLOOKUP($B105,'B-1 On-Site Hedge Baseline'!$B$1:$U$257,12,FALSE))))</f>
        <v/>
      </c>
      <c r="M105" s="627"/>
      <c r="N105" s="281" t="str">
        <f>IFERROR(IF(B105="","",INDEX('G-6 Hedgerow Data'!$AN$3:$AZ$15,MATCH(C105,'G-6 Hedgerow Data'!$AM$3:$AM$15,0),MATCH(M105,'G-6 Hedgerow Data'!$AN$2:$AZ$2,0))),"")</f>
        <v/>
      </c>
      <c r="O105" s="282" t="str">
        <f t="shared" si="8"/>
        <v/>
      </c>
      <c r="P105" s="335" t="str">
        <f>IF(B105="","",VLOOKUP(B105,'B-1 On-Site Hedge Baseline'!$B$10:T350,16,FALSE))</f>
        <v/>
      </c>
      <c r="Q105" s="281" t="str">
        <f>IF(M105="","",VLOOKUP(M105,'G-6 Hedgerow Data'!$B$2:$AG$15,2,FALSE))</f>
        <v/>
      </c>
      <c r="R105" s="282" t="str">
        <f>IF(M105="","",VLOOKUP(M105,'G-6 Hedgerow Data'!$B$2:$AG$15,3,FALSE))</f>
        <v/>
      </c>
      <c r="S105" s="112"/>
      <c r="T105" s="320" t="str">
        <f>IFERROR(IF(S105="","",IF(AND(M105="Non-native and ornamental hedgerow", S105&lt;&gt;"Poor"),"Not possible ▲", (VLOOKUP(S105,'G-1 All Habitats'!$Z$2:$AA$9,2,FALSE)))),"")</f>
        <v/>
      </c>
      <c r="U105" s="109"/>
      <c r="V105" s="301" t="str">
        <f>IF(U105="","",IF(VLOOKUP(U105,'G-3 Multipliers'!$L$3:$N$6,2,FALSE)=0,"Spatial Data Missing ⚠",VLOOKUP(U105,'G-3 Multipliers'!$L$3:$N$6,2,FALSE)))</f>
        <v/>
      </c>
      <c r="W105" s="305" t="str">
        <f>IF(U105="","",IF(VLOOKUP(U105,'G-3 Multipliers'!$L$3:$N$6,3,FALSE)=0,"Spatial Data Missing ⚠",VLOOKUP(U105,'G-3 Multipliers'!$L$3:$N$6,3,FALSE)))</f>
        <v/>
      </c>
      <c r="X105" s="281" t="str">
        <f>IFERROR(IF(OR(LEFT(O105,5)="Error",LEFT(N105,5)="Error",T105="Error"),"Check Data ⚠",IF(F105&lt;R105,INDEX('G-6 Hedgerow Data'!$S$3:$AE$14,MATCH(C105,'G-6 Hedgerow Data'!$B$3:$B$14,0),MATCH(M105,'G-6 Hedgerow Data'!$S$2:$AE$2,0)),INDEX('G-6 Hedgerow Data'!$K$3:$Q$14,MATCH(M105,'G-6 Hedgerow Data'!$B$3:$B$14,0),MATCH(O105,'G-6 Hedgerow Data'!$K$2:$Q$2,0)))),"")</f>
        <v/>
      </c>
      <c r="Y105" s="137"/>
      <c r="Z105" s="137"/>
      <c r="AA105" s="289" t="str">
        <f t="shared" si="9"/>
        <v/>
      </c>
      <c r="AB105" s="302" t="str">
        <f t="shared" si="10"/>
        <v/>
      </c>
      <c r="AC105" s="303" t="str">
        <f t="shared" si="7"/>
        <v/>
      </c>
      <c r="AD105" s="317" t="str">
        <f>IF(M105="","",VLOOKUP(M105,'G-6 Hedgerow Data'!$B$3:$AG$15,31,FALSE))</f>
        <v/>
      </c>
      <c r="AE105" s="289" t="str">
        <f t="shared" si="11"/>
        <v/>
      </c>
      <c r="AF105" s="289" t="str">
        <f t="shared" si="12"/>
        <v/>
      </c>
      <c r="AG105" s="305" t="str">
        <f>IFERROR(IF(O105="","",VLOOKUP(AD105,'G-3 Multipliers'!$P$3:$Q$6,2,FALSE)),"")</f>
        <v/>
      </c>
      <c r="AH105" s="295" t="str">
        <f t="shared" si="13"/>
        <v/>
      </c>
      <c r="AI105" s="112"/>
      <c r="AJ105" s="119"/>
      <c r="AK105" s="108"/>
      <c r="AT105" s="30" t="str">
        <f>IFERROR(INDEX('G-6 Hedgerow Data'!$BJ$3:$BJ$15,MATCH(M105,'G-6 Hedgerow Data'!$B$3:$B$15,0)),"")</f>
        <v/>
      </c>
    </row>
    <row r="106" spans="2:46" ht="13.8" x14ac:dyDescent="0.25">
      <c r="B106" s="311" t="str">
        <f>'B-1 On-Site Hedge Baseline'!AK104</f>
        <v/>
      </c>
      <c r="C106" s="301" t="str">
        <f>IF(B106="","",IF(ISNA(VLOOKUP($B106,'B-1 On-Site Hedge Baseline'!$B$1:$L$257,3,FALSE)),"",(VLOOKUP($B106,'B-1 On-Site Hedge Baseline'!$B$1:$L$257,3,FALSE))))</f>
        <v/>
      </c>
      <c r="D106" s="301" t="str">
        <f>IF(B106="","",IF(ISNA(VLOOKUP($B106,'B-1 On-Site Hedge Baseline'!$B$1:$L$257,4,FALSE)),"",(VLOOKUP($B106,'B-1 On-Site Hedge Baseline'!$B$1:$L$257,4,FALSE))))</f>
        <v/>
      </c>
      <c r="E106" s="301" t="str">
        <f>IF(B106="","",IF(ISNA(VLOOKUP($B106,'B-1 On-Site Hedge Baseline'!$B$1:$L$257,5,FALSE)),"",(VLOOKUP($B106,'B-1 On-Site Hedge Baseline'!$B$1:$L$257,5,FALSE))))</f>
        <v/>
      </c>
      <c r="F106" s="301" t="str">
        <f>IF(B106="","",IF(ISNA(VLOOKUP($B106,'B-1 On-Site Hedge Baseline'!$B$1:$L$257,6,FALSE)),"",(VLOOKUP($B106,'B-1 On-Site Hedge Baseline'!$B$1:$L$257,6,FALSE))))</f>
        <v/>
      </c>
      <c r="G106" s="301" t="str">
        <f>IF(B106="","",IF(ISNA(VLOOKUP($B106,'B-1 On-Site Hedge Baseline'!$B$1:$L$257,7,FALSE)),"",(VLOOKUP($B106,'B-1 On-Site Hedge Baseline'!$B$1:$L$257,7,FALSE))))</f>
        <v/>
      </c>
      <c r="H106" s="301" t="str">
        <f>IF(B106="","",IF(ISNA(VLOOKUP($B106,'B-1 On-Site Hedge Baseline'!$B$1:$L$257,8,FALSE)),"",(VLOOKUP($B106,'B-1 On-Site Hedge Baseline'!$B$1:$L$257,8,FALSE))))</f>
        <v/>
      </c>
      <c r="I106" s="301" t="str">
        <f>IF(B106="","",IF(ISNA(VLOOKUP($B106,'B-1 On-Site Hedge Baseline'!$B$1:$L$257,10,FALSE)),"",(VLOOKUP($B106,'B-1 On-Site Hedge Baseline'!$B$1:$L$257,10,FALSE))))</f>
        <v/>
      </c>
      <c r="J106" s="301" t="str">
        <f>IF(B106="","",IF(ISNA(VLOOKUP($B106,'B-1 On-Site Hedge Baseline'!$B$1:$L$257,11,FALSE)),"",(VLOOKUP($B106,'B-1 On-Site Hedge Baseline'!$B$1:$L$257,11,FALSE))))</f>
        <v/>
      </c>
      <c r="K106" s="301" t="str">
        <f>IF(B106="","",IF(ISNA(VLOOKUP($B106,'B-1 On-Site Hedge Baseline'!$B$1:$U$257,13,FALSE)),"",(VLOOKUP($B106,'B-1 On-Site Hedge Baseline'!$B$1:$U$257,13,FALSE))))</f>
        <v/>
      </c>
      <c r="L106" s="305" t="str">
        <f>IF(B106="","",IF(ISNA(VLOOKUP($B106,'B-1 On-Site Hedge Baseline'!$B$1:$U$257,12,FALSE)),"",(VLOOKUP($B106,'B-1 On-Site Hedge Baseline'!$B$1:$U$257,12,FALSE))))</f>
        <v/>
      </c>
      <c r="M106" s="627"/>
      <c r="N106" s="281" t="str">
        <f>IFERROR(IF(B106="","",INDEX('G-6 Hedgerow Data'!$AN$3:$AZ$15,MATCH(C106,'G-6 Hedgerow Data'!$AM$3:$AM$15,0),MATCH(M106,'G-6 Hedgerow Data'!$AN$2:$AZ$2,0))),"")</f>
        <v/>
      </c>
      <c r="O106" s="282" t="str">
        <f t="shared" si="8"/>
        <v/>
      </c>
      <c r="P106" s="335" t="str">
        <f>IF(B106="","",VLOOKUP(B106,'B-1 On-Site Hedge Baseline'!$B$10:T351,16,FALSE))</f>
        <v/>
      </c>
      <c r="Q106" s="281" t="str">
        <f>IF(M106="","",VLOOKUP(M106,'G-6 Hedgerow Data'!$B$2:$AG$15,2,FALSE))</f>
        <v/>
      </c>
      <c r="R106" s="282" t="str">
        <f>IF(M106="","",VLOOKUP(M106,'G-6 Hedgerow Data'!$B$2:$AG$15,3,FALSE))</f>
        <v/>
      </c>
      <c r="S106" s="112"/>
      <c r="T106" s="320" t="str">
        <f>IFERROR(IF(S106="","",IF(AND(M106="Non-native and ornamental hedgerow", S106&lt;&gt;"Poor"),"Not possible ▲", (VLOOKUP(S106,'G-1 All Habitats'!$Z$2:$AA$9,2,FALSE)))),"")</f>
        <v/>
      </c>
      <c r="U106" s="109"/>
      <c r="V106" s="301" t="str">
        <f>IF(U106="","",IF(VLOOKUP(U106,'G-3 Multipliers'!$L$3:$N$6,2,FALSE)=0,"Spatial Data Missing ⚠",VLOOKUP(U106,'G-3 Multipliers'!$L$3:$N$6,2,FALSE)))</f>
        <v/>
      </c>
      <c r="W106" s="305" t="str">
        <f>IF(U106="","",IF(VLOOKUP(U106,'G-3 Multipliers'!$L$3:$N$6,3,FALSE)=0,"Spatial Data Missing ⚠",VLOOKUP(U106,'G-3 Multipliers'!$L$3:$N$6,3,FALSE)))</f>
        <v/>
      </c>
      <c r="X106" s="281" t="str">
        <f>IFERROR(IF(OR(LEFT(O106,5)="Error",LEFT(N106,5)="Error",T106="Error"),"Check Data ⚠",IF(F106&lt;R106,INDEX('G-6 Hedgerow Data'!$S$3:$AE$14,MATCH(C106,'G-6 Hedgerow Data'!$B$3:$B$14,0),MATCH(M106,'G-6 Hedgerow Data'!$S$2:$AE$2,0)),INDEX('G-6 Hedgerow Data'!$K$3:$Q$14,MATCH(M106,'G-6 Hedgerow Data'!$B$3:$B$14,0),MATCH(O106,'G-6 Hedgerow Data'!$K$2:$Q$2,0)))),"")</f>
        <v/>
      </c>
      <c r="Y106" s="137"/>
      <c r="Z106" s="137"/>
      <c r="AA106" s="289" t="str">
        <f t="shared" si="9"/>
        <v/>
      </c>
      <c r="AB106" s="302" t="str">
        <f t="shared" si="10"/>
        <v/>
      </c>
      <c r="AC106" s="303" t="str">
        <f t="shared" si="7"/>
        <v/>
      </c>
      <c r="AD106" s="317" t="str">
        <f>IF(M106="","",VLOOKUP(M106,'G-6 Hedgerow Data'!$B$3:$AG$15,31,FALSE))</f>
        <v/>
      </c>
      <c r="AE106" s="289" t="str">
        <f t="shared" si="11"/>
        <v/>
      </c>
      <c r="AF106" s="289" t="str">
        <f t="shared" si="12"/>
        <v/>
      </c>
      <c r="AG106" s="305" t="str">
        <f>IFERROR(IF(O106="","",VLOOKUP(AD106,'G-3 Multipliers'!$P$3:$Q$6,2,FALSE)),"")</f>
        <v/>
      </c>
      <c r="AH106" s="295" t="str">
        <f t="shared" si="13"/>
        <v/>
      </c>
      <c r="AI106" s="112"/>
      <c r="AJ106" s="119"/>
      <c r="AK106" s="108"/>
      <c r="AT106" s="30" t="str">
        <f>IFERROR(INDEX('G-6 Hedgerow Data'!$BJ$3:$BJ$15,MATCH(M106,'G-6 Hedgerow Data'!$B$3:$B$15,0)),"")</f>
        <v/>
      </c>
    </row>
    <row r="107" spans="2:46" ht="13.8" x14ac:dyDescent="0.25">
      <c r="B107" s="311" t="str">
        <f>'B-1 On-Site Hedge Baseline'!AK105</f>
        <v/>
      </c>
      <c r="C107" s="301" t="str">
        <f>IF(B107="","",IF(ISNA(VLOOKUP($B107,'B-1 On-Site Hedge Baseline'!$B$1:$L$257,3,FALSE)),"",(VLOOKUP($B107,'B-1 On-Site Hedge Baseline'!$B$1:$L$257,3,FALSE))))</f>
        <v/>
      </c>
      <c r="D107" s="301" t="str">
        <f>IF(B107="","",IF(ISNA(VLOOKUP($B107,'B-1 On-Site Hedge Baseline'!$B$1:$L$257,4,FALSE)),"",(VLOOKUP($B107,'B-1 On-Site Hedge Baseline'!$B$1:$L$257,4,FALSE))))</f>
        <v/>
      </c>
      <c r="E107" s="301" t="str">
        <f>IF(B107="","",IF(ISNA(VLOOKUP($B107,'B-1 On-Site Hedge Baseline'!$B$1:$L$257,5,FALSE)),"",(VLOOKUP($B107,'B-1 On-Site Hedge Baseline'!$B$1:$L$257,5,FALSE))))</f>
        <v/>
      </c>
      <c r="F107" s="301" t="str">
        <f>IF(B107="","",IF(ISNA(VLOOKUP($B107,'B-1 On-Site Hedge Baseline'!$B$1:$L$257,6,FALSE)),"",(VLOOKUP($B107,'B-1 On-Site Hedge Baseline'!$B$1:$L$257,6,FALSE))))</f>
        <v/>
      </c>
      <c r="G107" s="301" t="str">
        <f>IF(B107="","",IF(ISNA(VLOOKUP($B107,'B-1 On-Site Hedge Baseline'!$B$1:$L$257,7,FALSE)),"",(VLOOKUP($B107,'B-1 On-Site Hedge Baseline'!$B$1:$L$257,7,FALSE))))</f>
        <v/>
      </c>
      <c r="H107" s="301" t="str">
        <f>IF(B107="","",IF(ISNA(VLOOKUP($B107,'B-1 On-Site Hedge Baseline'!$B$1:$L$257,8,FALSE)),"",(VLOOKUP($B107,'B-1 On-Site Hedge Baseline'!$B$1:$L$257,8,FALSE))))</f>
        <v/>
      </c>
      <c r="I107" s="301" t="str">
        <f>IF(B107="","",IF(ISNA(VLOOKUP($B107,'B-1 On-Site Hedge Baseline'!$B$1:$L$257,10,FALSE)),"",(VLOOKUP($B107,'B-1 On-Site Hedge Baseline'!$B$1:$L$257,10,FALSE))))</f>
        <v/>
      </c>
      <c r="J107" s="301" t="str">
        <f>IF(B107="","",IF(ISNA(VLOOKUP($B107,'B-1 On-Site Hedge Baseline'!$B$1:$L$257,11,FALSE)),"",(VLOOKUP($B107,'B-1 On-Site Hedge Baseline'!$B$1:$L$257,11,FALSE))))</f>
        <v/>
      </c>
      <c r="K107" s="301" t="str">
        <f>IF(B107="","",IF(ISNA(VLOOKUP($B107,'B-1 On-Site Hedge Baseline'!$B$1:$U$257,13,FALSE)),"",(VLOOKUP($B107,'B-1 On-Site Hedge Baseline'!$B$1:$U$257,13,FALSE))))</f>
        <v/>
      </c>
      <c r="L107" s="305" t="str">
        <f>IF(B107="","",IF(ISNA(VLOOKUP($B107,'B-1 On-Site Hedge Baseline'!$B$1:$U$257,12,FALSE)),"",(VLOOKUP($B107,'B-1 On-Site Hedge Baseline'!$B$1:$U$257,12,FALSE))))</f>
        <v/>
      </c>
      <c r="M107" s="627"/>
      <c r="N107" s="281" t="str">
        <f>IFERROR(IF(B107="","",INDEX('G-6 Hedgerow Data'!$AN$3:$AZ$15,MATCH(C107,'G-6 Hedgerow Data'!$AM$3:$AM$15,0),MATCH(M107,'G-6 Hedgerow Data'!$AN$2:$AZ$2,0))),"")</f>
        <v/>
      </c>
      <c r="O107" s="282" t="str">
        <f t="shared" si="8"/>
        <v/>
      </c>
      <c r="P107" s="335" t="str">
        <f>IF(B107="","",VLOOKUP(B107,'B-1 On-Site Hedge Baseline'!$B$10:T352,16,FALSE))</f>
        <v/>
      </c>
      <c r="Q107" s="281" t="str">
        <f>IF(M107="","",VLOOKUP(M107,'G-6 Hedgerow Data'!$B$2:$AG$15,2,FALSE))</f>
        <v/>
      </c>
      <c r="R107" s="282" t="str">
        <f>IF(M107="","",VLOOKUP(M107,'G-6 Hedgerow Data'!$B$2:$AG$15,3,FALSE))</f>
        <v/>
      </c>
      <c r="S107" s="112"/>
      <c r="T107" s="320" t="str">
        <f>IFERROR(IF(S107="","",IF(AND(M107="Non-native and ornamental hedgerow", S107&lt;&gt;"Poor"),"Not possible ▲", (VLOOKUP(S107,'G-1 All Habitats'!$Z$2:$AA$9,2,FALSE)))),"")</f>
        <v/>
      </c>
      <c r="U107" s="109"/>
      <c r="V107" s="301" t="str">
        <f>IF(U107="","",IF(VLOOKUP(U107,'G-3 Multipliers'!$L$3:$N$6,2,FALSE)=0,"Spatial Data Missing ⚠",VLOOKUP(U107,'G-3 Multipliers'!$L$3:$N$6,2,FALSE)))</f>
        <v/>
      </c>
      <c r="W107" s="305" t="str">
        <f>IF(U107="","",IF(VLOOKUP(U107,'G-3 Multipliers'!$L$3:$N$6,3,FALSE)=0,"Spatial Data Missing ⚠",VLOOKUP(U107,'G-3 Multipliers'!$L$3:$N$6,3,FALSE)))</f>
        <v/>
      </c>
      <c r="X107" s="281" t="str">
        <f>IFERROR(IF(OR(LEFT(O107,5)="Error",LEFT(N107,5)="Error",T107="Error"),"Check Data ⚠",IF(F107&lt;R107,INDEX('G-6 Hedgerow Data'!$S$3:$AE$14,MATCH(C107,'G-6 Hedgerow Data'!$B$3:$B$14,0),MATCH(M107,'G-6 Hedgerow Data'!$S$2:$AE$2,0)),INDEX('G-6 Hedgerow Data'!$K$3:$Q$14,MATCH(M107,'G-6 Hedgerow Data'!$B$3:$B$14,0),MATCH(O107,'G-6 Hedgerow Data'!$K$2:$Q$2,0)))),"")</f>
        <v/>
      </c>
      <c r="Y107" s="137"/>
      <c r="Z107" s="137"/>
      <c r="AA107" s="289" t="str">
        <f t="shared" si="9"/>
        <v/>
      </c>
      <c r="AB107" s="302" t="str">
        <f t="shared" si="10"/>
        <v/>
      </c>
      <c r="AC107" s="303" t="str">
        <f t="shared" si="7"/>
        <v/>
      </c>
      <c r="AD107" s="317" t="str">
        <f>IF(M107="","",VLOOKUP(M107,'G-6 Hedgerow Data'!$B$3:$AG$15,31,FALSE))</f>
        <v/>
      </c>
      <c r="AE107" s="289" t="str">
        <f t="shared" si="11"/>
        <v/>
      </c>
      <c r="AF107" s="289" t="str">
        <f t="shared" si="12"/>
        <v/>
      </c>
      <c r="AG107" s="305" t="str">
        <f>IFERROR(IF(O107="","",VLOOKUP(AD107,'G-3 Multipliers'!$P$3:$Q$6,2,FALSE)),"")</f>
        <v/>
      </c>
      <c r="AH107" s="295" t="str">
        <f t="shared" si="13"/>
        <v/>
      </c>
      <c r="AI107" s="112"/>
      <c r="AJ107" s="119"/>
      <c r="AK107" s="108"/>
      <c r="AT107" s="30" t="str">
        <f>IFERROR(INDEX('G-6 Hedgerow Data'!$BJ$3:$BJ$15,MATCH(M107,'G-6 Hedgerow Data'!$B$3:$B$15,0)),"")</f>
        <v/>
      </c>
    </row>
    <row r="108" spans="2:46" ht="13.8" x14ac:dyDescent="0.25">
      <c r="B108" s="311" t="str">
        <f>'B-1 On-Site Hedge Baseline'!AK106</f>
        <v/>
      </c>
      <c r="C108" s="301" t="str">
        <f>IF(B108="","",IF(ISNA(VLOOKUP($B108,'B-1 On-Site Hedge Baseline'!$B$1:$L$257,3,FALSE)),"",(VLOOKUP($B108,'B-1 On-Site Hedge Baseline'!$B$1:$L$257,3,FALSE))))</f>
        <v/>
      </c>
      <c r="D108" s="301" t="str">
        <f>IF(B108="","",IF(ISNA(VLOOKUP($B108,'B-1 On-Site Hedge Baseline'!$B$1:$L$257,4,FALSE)),"",(VLOOKUP($B108,'B-1 On-Site Hedge Baseline'!$B$1:$L$257,4,FALSE))))</f>
        <v/>
      </c>
      <c r="E108" s="301" t="str">
        <f>IF(B108="","",IF(ISNA(VLOOKUP($B108,'B-1 On-Site Hedge Baseline'!$B$1:$L$257,5,FALSE)),"",(VLOOKUP($B108,'B-1 On-Site Hedge Baseline'!$B$1:$L$257,5,FALSE))))</f>
        <v/>
      </c>
      <c r="F108" s="301" t="str">
        <f>IF(B108="","",IF(ISNA(VLOOKUP($B108,'B-1 On-Site Hedge Baseline'!$B$1:$L$257,6,FALSE)),"",(VLOOKUP($B108,'B-1 On-Site Hedge Baseline'!$B$1:$L$257,6,FALSE))))</f>
        <v/>
      </c>
      <c r="G108" s="301" t="str">
        <f>IF(B108="","",IF(ISNA(VLOOKUP($B108,'B-1 On-Site Hedge Baseline'!$B$1:$L$257,7,FALSE)),"",(VLOOKUP($B108,'B-1 On-Site Hedge Baseline'!$B$1:$L$257,7,FALSE))))</f>
        <v/>
      </c>
      <c r="H108" s="301" t="str">
        <f>IF(B108="","",IF(ISNA(VLOOKUP($B108,'B-1 On-Site Hedge Baseline'!$B$1:$L$257,8,FALSE)),"",(VLOOKUP($B108,'B-1 On-Site Hedge Baseline'!$B$1:$L$257,8,FALSE))))</f>
        <v/>
      </c>
      <c r="I108" s="301" t="str">
        <f>IF(B108="","",IF(ISNA(VLOOKUP($B108,'B-1 On-Site Hedge Baseline'!$B$1:$L$257,10,FALSE)),"",(VLOOKUP($B108,'B-1 On-Site Hedge Baseline'!$B$1:$L$257,10,FALSE))))</f>
        <v/>
      </c>
      <c r="J108" s="301" t="str">
        <f>IF(B108="","",IF(ISNA(VLOOKUP($B108,'B-1 On-Site Hedge Baseline'!$B$1:$L$257,11,FALSE)),"",(VLOOKUP($B108,'B-1 On-Site Hedge Baseline'!$B$1:$L$257,11,FALSE))))</f>
        <v/>
      </c>
      <c r="K108" s="301" t="str">
        <f>IF(B108="","",IF(ISNA(VLOOKUP($B108,'B-1 On-Site Hedge Baseline'!$B$1:$U$257,13,FALSE)),"",(VLOOKUP($B108,'B-1 On-Site Hedge Baseline'!$B$1:$U$257,13,FALSE))))</f>
        <v/>
      </c>
      <c r="L108" s="305" t="str">
        <f>IF(B108="","",IF(ISNA(VLOOKUP($B108,'B-1 On-Site Hedge Baseline'!$B$1:$U$257,12,FALSE)),"",(VLOOKUP($B108,'B-1 On-Site Hedge Baseline'!$B$1:$U$257,12,FALSE))))</f>
        <v/>
      </c>
      <c r="M108" s="627"/>
      <c r="N108" s="281" t="str">
        <f>IFERROR(IF(B108="","",INDEX('G-6 Hedgerow Data'!$AN$3:$AZ$15,MATCH(C108,'G-6 Hedgerow Data'!$AM$3:$AM$15,0),MATCH(M108,'G-6 Hedgerow Data'!$AN$2:$AZ$2,0))),"")</f>
        <v/>
      </c>
      <c r="O108" s="282" t="str">
        <f t="shared" si="8"/>
        <v/>
      </c>
      <c r="P108" s="335" t="str">
        <f>IF(B108="","",VLOOKUP(B108,'B-1 On-Site Hedge Baseline'!$B$10:T353,16,FALSE))</f>
        <v/>
      </c>
      <c r="Q108" s="281" t="str">
        <f>IF(M108="","",VLOOKUP(M108,'G-6 Hedgerow Data'!$B$2:$AG$15,2,FALSE))</f>
        <v/>
      </c>
      <c r="R108" s="282" t="str">
        <f>IF(M108="","",VLOOKUP(M108,'G-6 Hedgerow Data'!$B$2:$AG$15,3,FALSE))</f>
        <v/>
      </c>
      <c r="S108" s="112"/>
      <c r="T108" s="320" t="str">
        <f>IFERROR(IF(S108="","",IF(AND(M108="Non-native and ornamental hedgerow", S108&lt;&gt;"Poor"),"Not possible ▲", (VLOOKUP(S108,'G-1 All Habitats'!$Z$2:$AA$9,2,FALSE)))),"")</f>
        <v/>
      </c>
      <c r="U108" s="109"/>
      <c r="V108" s="301" t="str">
        <f>IF(U108="","",IF(VLOOKUP(U108,'G-3 Multipliers'!$L$3:$N$6,2,FALSE)=0,"Spatial Data Missing ⚠",VLOOKUP(U108,'G-3 Multipliers'!$L$3:$N$6,2,FALSE)))</f>
        <v/>
      </c>
      <c r="W108" s="305" t="str">
        <f>IF(U108="","",IF(VLOOKUP(U108,'G-3 Multipliers'!$L$3:$N$6,3,FALSE)=0,"Spatial Data Missing ⚠",VLOOKUP(U108,'G-3 Multipliers'!$L$3:$N$6,3,FALSE)))</f>
        <v/>
      </c>
      <c r="X108" s="281" t="str">
        <f>IFERROR(IF(OR(LEFT(O108,5)="Error",LEFT(N108,5)="Error",T108="Error"),"Check Data ⚠",IF(F108&lt;R108,INDEX('G-6 Hedgerow Data'!$S$3:$AE$14,MATCH(C108,'G-6 Hedgerow Data'!$B$3:$B$14,0),MATCH(M108,'G-6 Hedgerow Data'!$S$2:$AE$2,0)),INDEX('G-6 Hedgerow Data'!$K$3:$Q$14,MATCH(M108,'G-6 Hedgerow Data'!$B$3:$B$14,0),MATCH(O108,'G-6 Hedgerow Data'!$K$2:$Q$2,0)))),"")</f>
        <v/>
      </c>
      <c r="Y108" s="137"/>
      <c r="Z108" s="137"/>
      <c r="AA108" s="289" t="str">
        <f t="shared" si="9"/>
        <v/>
      </c>
      <c r="AB108" s="302" t="str">
        <f t="shared" si="10"/>
        <v/>
      </c>
      <c r="AC108" s="303" t="str">
        <f t="shared" si="7"/>
        <v/>
      </c>
      <c r="AD108" s="317" t="str">
        <f>IF(M108="","",VLOOKUP(M108,'G-6 Hedgerow Data'!$B$3:$AG$15,31,FALSE))</f>
        <v/>
      </c>
      <c r="AE108" s="289" t="str">
        <f t="shared" si="11"/>
        <v/>
      </c>
      <c r="AF108" s="289" t="str">
        <f t="shared" si="12"/>
        <v/>
      </c>
      <c r="AG108" s="305" t="str">
        <f>IFERROR(IF(O108="","",VLOOKUP(AD108,'G-3 Multipliers'!$P$3:$Q$6,2,FALSE)),"")</f>
        <v/>
      </c>
      <c r="AH108" s="295" t="str">
        <f t="shared" si="13"/>
        <v/>
      </c>
      <c r="AI108" s="112"/>
      <c r="AJ108" s="119"/>
      <c r="AK108" s="108"/>
      <c r="AT108" s="30" t="str">
        <f>IFERROR(INDEX('G-6 Hedgerow Data'!$BJ$3:$BJ$15,MATCH(M108,'G-6 Hedgerow Data'!$B$3:$B$15,0)),"")</f>
        <v/>
      </c>
    </row>
    <row r="109" spans="2:46" ht="13.8" x14ac:dyDescent="0.25">
      <c r="B109" s="311" t="str">
        <f>'B-1 On-Site Hedge Baseline'!AK107</f>
        <v/>
      </c>
      <c r="C109" s="301" t="str">
        <f>IF(B109="","",IF(ISNA(VLOOKUP($B109,'B-1 On-Site Hedge Baseline'!$B$1:$L$257,3,FALSE)),"",(VLOOKUP($B109,'B-1 On-Site Hedge Baseline'!$B$1:$L$257,3,FALSE))))</f>
        <v/>
      </c>
      <c r="D109" s="301" t="str">
        <f>IF(B109="","",IF(ISNA(VLOOKUP($B109,'B-1 On-Site Hedge Baseline'!$B$1:$L$257,4,FALSE)),"",(VLOOKUP($B109,'B-1 On-Site Hedge Baseline'!$B$1:$L$257,4,FALSE))))</f>
        <v/>
      </c>
      <c r="E109" s="301" t="str">
        <f>IF(B109="","",IF(ISNA(VLOOKUP($B109,'B-1 On-Site Hedge Baseline'!$B$1:$L$257,5,FALSE)),"",(VLOOKUP($B109,'B-1 On-Site Hedge Baseline'!$B$1:$L$257,5,FALSE))))</f>
        <v/>
      </c>
      <c r="F109" s="301" t="str">
        <f>IF(B109="","",IF(ISNA(VLOOKUP($B109,'B-1 On-Site Hedge Baseline'!$B$1:$L$257,6,FALSE)),"",(VLOOKUP($B109,'B-1 On-Site Hedge Baseline'!$B$1:$L$257,6,FALSE))))</f>
        <v/>
      </c>
      <c r="G109" s="301" t="str">
        <f>IF(B109="","",IF(ISNA(VLOOKUP($B109,'B-1 On-Site Hedge Baseline'!$B$1:$L$257,7,FALSE)),"",(VLOOKUP($B109,'B-1 On-Site Hedge Baseline'!$B$1:$L$257,7,FALSE))))</f>
        <v/>
      </c>
      <c r="H109" s="301" t="str">
        <f>IF(B109="","",IF(ISNA(VLOOKUP($B109,'B-1 On-Site Hedge Baseline'!$B$1:$L$257,8,FALSE)),"",(VLOOKUP($B109,'B-1 On-Site Hedge Baseline'!$B$1:$L$257,8,FALSE))))</f>
        <v/>
      </c>
      <c r="I109" s="301" t="str">
        <f>IF(B109="","",IF(ISNA(VLOOKUP($B109,'B-1 On-Site Hedge Baseline'!$B$1:$L$257,10,FALSE)),"",(VLOOKUP($B109,'B-1 On-Site Hedge Baseline'!$B$1:$L$257,10,FALSE))))</f>
        <v/>
      </c>
      <c r="J109" s="301" t="str">
        <f>IF(B109="","",IF(ISNA(VLOOKUP($B109,'B-1 On-Site Hedge Baseline'!$B$1:$L$257,11,FALSE)),"",(VLOOKUP($B109,'B-1 On-Site Hedge Baseline'!$B$1:$L$257,11,FALSE))))</f>
        <v/>
      </c>
      <c r="K109" s="301" t="str">
        <f>IF(B109="","",IF(ISNA(VLOOKUP($B109,'B-1 On-Site Hedge Baseline'!$B$1:$U$257,13,FALSE)),"",(VLOOKUP($B109,'B-1 On-Site Hedge Baseline'!$B$1:$U$257,13,FALSE))))</f>
        <v/>
      </c>
      <c r="L109" s="305" t="str">
        <f>IF(B109="","",IF(ISNA(VLOOKUP($B109,'B-1 On-Site Hedge Baseline'!$B$1:$U$257,12,FALSE)),"",(VLOOKUP($B109,'B-1 On-Site Hedge Baseline'!$B$1:$U$257,12,FALSE))))</f>
        <v/>
      </c>
      <c r="M109" s="627"/>
      <c r="N109" s="281" t="str">
        <f>IFERROR(IF(B109="","",INDEX('G-6 Hedgerow Data'!$AN$3:$AZ$15,MATCH(C109,'G-6 Hedgerow Data'!$AM$3:$AM$15,0),MATCH(M109,'G-6 Hedgerow Data'!$AN$2:$AZ$2,0))),"")</f>
        <v/>
      </c>
      <c r="O109" s="282" t="str">
        <f t="shared" si="8"/>
        <v/>
      </c>
      <c r="P109" s="335" t="str">
        <f>IF(B109="","",VLOOKUP(B109,'B-1 On-Site Hedge Baseline'!$B$10:T354,16,FALSE))</f>
        <v/>
      </c>
      <c r="Q109" s="281" t="str">
        <f>IF(M109="","",VLOOKUP(M109,'G-6 Hedgerow Data'!$B$2:$AG$15,2,FALSE))</f>
        <v/>
      </c>
      <c r="R109" s="282" t="str">
        <f>IF(M109="","",VLOOKUP(M109,'G-6 Hedgerow Data'!$B$2:$AG$15,3,FALSE))</f>
        <v/>
      </c>
      <c r="S109" s="112"/>
      <c r="T109" s="320" t="str">
        <f>IFERROR(IF(S109="","",IF(AND(M109="Non-native and ornamental hedgerow", S109&lt;&gt;"Poor"),"Not possible ▲", (VLOOKUP(S109,'G-1 All Habitats'!$Z$2:$AA$9,2,FALSE)))),"")</f>
        <v/>
      </c>
      <c r="U109" s="109"/>
      <c r="V109" s="301" t="str">
        <f>IF(U109="","",IF(VLOOKUP(U109,'G-3 Multipliers'!$L$3:$N$6,2,FALSE)=0,"Spatial Data Missing ⚠",VLOOKUP(U109,'G-3 Multipliers'!$L$3:$N$6,2,FALSE)))</f>
        <v/>
      </c>
      <c r="W109" s="305" t="str">
        <f>IF(U109="","",IF(VLOOKUP(U109,'G-3 Multipliers'!$L$3:$N$6,3,FALSE)=0,"Spatial Data Missing ⚠",VLOOKUP(U109,'G-3 Multipliers'!$L$3:$N$6,3,FALSE)))</f>
        <v/>
      </c>
      <c r="X109" s="281" t="str">
        <f>IFERROR(IF(OR(LEFT(O109,5)="Error",LEFT(N109,5)="Error",T109="Error"),"Check Data ⚠",IF(F109&lt;R109,INDEX('G-6 Hedgerow Data'!$S$3:$AE$14,MATCH(C109,'G-6 Hedgerow Data'!$B$3:$B$14,0),MATCH(M109,'G-6 Hedgerow Data'!$S$2:$AE$2,0)),INDEX('G-6 Hedgerow Data'!$K$3:$Q$14,MATCH(M109,'G-6 Hedgerow Data'!$B$3:$B$14,0),MATCH(O109,'G-6 Hedgerow Data'!$K$2:$Q$2,0)))),"")</f>
        <v/>
      </c>
      <c r="Y109" s="137"/>
      <c r="Z109" s="137"/>
      <c r="AA109" s="289" t="str">
        <f t="shared" si="9"/>
        <v/>
      </c>
      <c r="AB109" s="302" t="str">
        <f t="shared" si="10"/>
        <v/>
      </c>
      <c r="AC109" s="303" t="str">
        <f t="shared" si="7"/>
        <v/>
      </c>
      <c r="AD109" s="317" t="str">
        <f>IF(M109="","",VLOOKUP(M109,'G-6 Hedgerow Data'!$B$3:$AG$15,31,FALSE))</f>
        <v/>
      </c>
      <c r="AE109" s="289" t="str">
        <f t="shared" si="11"/>
        <v/>
      </c>
      <c r="AF109" s="289" t="str">
        <f t="shared" si="12"/>
        <v/>
      </c>
      <c r="AG109" s="305" t="str">
        <f>IFERROR(IF(O109="","",VLOOKUP(AD109,'G-3 Multipliers'!$P$3:$Q$6,2,FALSE)),"")</f>
        <v/>
      </c>
      <c r="AH109" s="295" t="str">
        <f t="shared" si="13"/>
        <v/>
      </c>
      <c r="AI109" s="112"/>
      <c r="AJ109" s="119"/>
      <c r="AK109" s="108"/>
      <c r="AT109" s="30" t="str">
        <f>IFERROR(INDEX('G-6 Hedgerow Data'!$BJ$3:$BJ$15,MATCH(M109,'G-6 Hedgerow Data'!$B$3:$B$15,0)),"")</f>
        <v/>
      </c>
    </row>
    <row r="110" spans="2:46" ht="13.8" x14ac:dyDescent="0.25">
      <c r="B110" s="311" t="str">
        <f>'B-1 On-Site Hedge Baseline'!AK108</f>
        <v/>
      </c>
      <c r="C110" s="301" t="str">
        <f>IF(B110="","",IF(ISNA(VLOOKUP($B110,'B-1 On-Site Hedge Baseline'!$B$1:$L$257,3,FALSE)),"",(VLOOKUP($B110,'B-1 On-Site Hedge Baseline'!$B$1:$L$257,3,FALSE))))</f>
        <v/>
      </c>
      <c r="D110" s="301" t="str">
        <f>IF(B110="","",IF(ISNA(VLOOKUP($B110,'B-1 On-Site Hedge Baseline'!$B$1:$L$257,4,FALSE)),"",(VLOOKUP($B110,'B-1 On-Site Hedge Baseline'!$B$1:$L$257,4,FALSE))))</f>
        <v/>
      </c>
      <c r="E110" s="301" t="str">
        <f>IF(B110="","",IF(ISNA(VLOOKUP($B110,'B-1 On-Site Hedge Baseline'!$B$1:$L$257,5,FALSE)),"",(VLOOKUP($B110,'B-1 On-Site Hedge Baseline'!$B$1:$L$257,5,FALSE))))</f>
        <v/>
      </c>
      <c r="F110" s="301" t="str">
        <f>IF(B110="","",IF(ISNA(VLOOKUP($B110,'B-1 On-Site Hedge Baseline'!$B$1:$L$257,6,FALSE)),"",(VLOOKUP($B110,'B-1 On-Site Hedge Baseline'!$B$1:$L$257,6,FALSE))))</f>
        <v/>
      </c>
      <c r="G110" s="301" t="str">
        <f>IF(B110="","",IF(ISNA(VLOOKUP($B110,'B-1 On-Site Hedge Baseline'!$B$1:$L$257,7,FALSE)),"",(VLOOKUP($B110,'B-1 On-Site Hedge Baseline'!$B$1:$L$257,7,FALSE))))</f>
        <v/>
      </c>
      <c r="H110" s="301" t="str">
        <f>IF(B110="","",IF(ISNA(VLOOKUP($B110,'B-1 On-Site Hedge Baseline'!$B$1:$L$257,8,FALSE)),"",(VLOOKUP($B110,'B-1 On-Site Hedge Baseline'!$B$1:$L$257,8,FALSE))))</f>
        <v/>
      </c>
      <c r="I110" s="301" t="str">
        <f>IF(B110="","",IF(ISNA(VLOOKUP($B110,'B-1 On-Site Hedge Baseline'!$B$1:$L$257,10,FALSE)),"",(VLOOKUP($B110,'B-1 On-Site Hedge Baseline'!$B$1:$L$257,10,FALSE))))</f>
        <v/>
      </c>
      <c r="J110" s="301" t="str">
        <f>IF(B110="","",IF(ISNA(VLOOKUP($B110,'B-1 On-Site Hedge Baseline'!$B$1:$L$257,11,FALSE)),"",(VLOOKUP($B110,'B-1 On-Site Hedge Baseline'!$B$1:$L$257,11,FALSE))))</f>
        <v/>
      </c>
      <c r="K110" s="301" t="str">
        <f>IF(B110="","",IF(ISNA(VLOOKUP($B110,'B-1 On-Site Hedge Baseline'!$B$1:$U$257,13,FALSE)),"",(VLOOKUP($B110,'B-1 On-Site Hedge Baseline'!$B$1:$U$257,13,FALSE))))</f>
        <v/>
      </c>
      <c r="L110" s="305" t="str">
        <f>IF(B110="","",IF(ISNA(VLOOKUP($B110,'B-1 On-Site Hedge Baseline'!$B$1:$U$257,12,FALSE)),"",(VLOOKUP($B110,'B-1 On-Site Hedge Baseline'!$B$1:$U$257,12,FALSE))))</f>
        <v/>
      </c>
      <c r="M110" s="627"/>
      <c r="N110" s="281" t="str">
        <f>IFERROR(IF(B110="","",INDEX('G-6 Hedgerow Data'!$AN$3:$AZ$15,MATCH(C110,'G-6 Hedgerow Data'!$AM$3:$AM$15,0),MATCH(M110,'G-6 Hedgerow Data'!$AN$2:$AZ$2,0))),"")</f>
        <v/>
      </c>
      <c r="O110" s="282" t="str">
        <f t="shared" si="8"/>
        <v/>
      </c>
      <c r="P110" s="335" t="str">
        <f>IF(B110="","",VLOOKUP(B110,'B-1 On-Site Hedge Baseline'!$B$10:T355,16,FALSE))</f>
        <v/>
      </c>
      <c r="Q110" s="281" t="str">
        <f>IF(M110="","",VLOOKUP(M110,'G-6 Hedgerow Data'!$B$2:$AG$15,2,FALSE))</f>
        <v/>
      </c>
      <c r="R110" s="282" t="str">
        <f>IF(M110="","",VLOOKUP(M110,'G-6 Hedgerow Data'!$B$2:$AG$15,3,FALSE))</f>
        <v/>
      </c>
      <c r="S110" s="112"/>
      <c r="T110" s="320" t="str">
        <f>IFERROR(IF(S110="","",IF(AND(M110="Non-native and ornamental hedgerow", S110&lt;&gt;"Poor"),"Not possible ▲", (VLOOKUP(S110,'G-1 All Habitats'!$Z$2:$AA$9,2,FALSE)))),"")</f>
        <v/>
      </c>
      <c r="U110" s="109"/>
      <c r="V110" s="301" t="str">
        <f>IF(U110="","",IF(VLOOKUP(U110,'G-3 Multipliers'!$L$3:$N$6,2,FALSE)=0,"Spatial Data Missing ⚠",VLOOKUP(U110,'G-3 Multipliers'!$L$3:$N$6,2,FALSE)))</f>
        <v/>
      </c>
      <c r="W110" s="305" t="str">
        <f>IF(U110="","",IF(VLOOKUP(U110,'G-3 Multipliers'!$L$3:$N$6,3,FALSE)=0,"Spatial Data Missing ⚠",VLOOKUP(U110,'G-3 Multipliers'!$L$3:$N$6,3,FALSE)))</f>
        <v/>
      </c>
      <c r="X110" s="281" t="str">
        <f>IFERROR(IF(OR(LEFT(O110,5)="Error",LEFT(N110,5)="Error",T110="Error"),"Check Data ⚠",IF(F110&lt;R110,INDEX('G-6 Hedgerow Data'!$S$3:$AE$14,MATCH(C110,'G-6 Hedgerow Data'!$B$3:$B$14,0),MATCH(M110,'G-6 Hedgerow Data'!$S$2:$AE$2,0)),INDEX('G-6 Hedgerow Data'!$K$3:$Q$14,MATCH(M110,'G-6 Hedgerow Data'!$B$3:$B$14,0),MATCH(O110,'G-6 Hedgerow Data'!$K$2:$Q$2,0)))),"")</f>
        <v/>
      </c>
      <c r="Y110" s="137"/>
      <c r="Z110" s="137"/>
      <c r="AA110" s="289" t="str">
        <f t="shared" si="9"/>
        <v/>
      </c>
      <c r="AB110" s="302" t="str">
        <f t="shared" si="10"/>
        <v/>
      </c>
      <c r="AC110" s="303" t="str">
        <f t="shared" si="7"/>
        <v/>
      </c>
      <c r="AD110" s="317" t="str">
        <f>IF(M110="","",VLOOKUP(M110,'G-6 Hedgerow Data'!$B$3:$AG$15,31,FALSE))</f>
        <v/>
      </c>
      <c r="AE110" s="289" t="str">
        <f t="shared" si="11"/>
        <v/>
      </c>
      <c r="AF110" s="289" t="str">
        <f t="shared" si="12"/>
        <v/>
      </c>
      <c r="AG110" s="305" t="str">
        <f>IFERROR(IF(O110="","",VLOOKUP(AD110,'G-3 Multipliers'!$P$3:$Q$6,2,FALSE)),"")</f>
        <v/>
      </c>
      <c r="AH110" s="295" t="str">
        <f t="shared" si="13"/>
        <v/>
      </c>
      <c r="AI110" s="112"/>
      <c r="AJ110" s="119"/>
      <c r="AK110" s="108"/>
      <c r="AT110" s="30" t="str">
        <f>IFERROR(INDEX('G-6 Hedgerow Data'!$BJ$3:$BJ$15,MATCH(M110,'G-6 Hedgerow Data'!$B$3:$B$15,0)),"")</f>
        <v/>
      </c>
    </row>
    <row r="111" spans="2:46" ht="13.8" x14ac:dyDescent="0.25">
      <c r="B111" s="311" t="str">
        <f>'B-1 On-Site Hedge Baseline'!AK109</f>
        <v/>
      </c>
      <c r="C111" s="301" t="str">
        <f>IF(B111="","",IF(ISNA(VLOOKUP($B111,'B-1 On-Site Hedge Baseline'!$B$1:$L$257,3,FALSE)),"",(VLOOKUP($B111,'B-1 On-Site Hedge Baseline'!$B$1:$L$257,3,FALSE))))</f>
        <v/>
      </c>
      <c r="D111" s="301" t="str">
        <f>IF(B111="","",IF(ISNA(VLOOKUP($B111,'B-1 On-Site Hedge Baseline'!$B$1:$L$257,4,FALSE)),"",(VLOOKUP($B111,'B-1 On-Site Hedge Baseline'!$B$1:$L$257,4,FALSE))))</f>
        <v/>
      </c>
      <c r="E111" s="301" t="str">
        <f>IF(B111="","",IF(ISNA(VLOOKUP($B111,'B-1 On-Site Hedge Baseline'!$B$1:$L$257,5,FALSE)),"",(VLOOKUP($B111,'B-1 On-Site Hedge Baseline'!$B$1:$L$257,5,FALSE))))</f>
        <v/>
      </c>
      <c r="F111" s="301" t="str">
        <f>IF(B111="","",IF(ISNA(VLOOKUP($B111,'B-1 On-Site Hedge Baseline'!$B$1:$L$257,6,FALSE)),"",(VLOOKUP($B111,'B-1 On-Site Hedge Baseline'!$B$1:$L$257,6,FALSE))))</f>
        <v/>
      </c>
      <c r="G111" s="301" t="str">
        <f>IF(B111="","",IF(ISNA(VLOOKUP($B111,'B-1 On-Site Hedge Baseline'!$B$1:$L$257,7,FALSE)),"",(VLOOKUP($B111,'B-1 On-Site Hedge Baseline'!$B$1:$L$257,7,FALSE))))</f>
        <v/>
      </c>
      <c r="H111" s="301" t="str">
        <f>IF(B111="","",IF(ISNA(VLOOKUP($B111,'B-1 On-Site Hedge Baseline'!$B$1:$L$257,8,FALSE)),"",(VLOOKUP($B111,'B-1 On-Site Hedge Baseline'!$B$1:$L$257,8,FALSE))))</f>
        <v/>
      </c>
      <c r="I111" s="301" t="str">
        <f>IF(B111="","",IF(ISNA(VLOOKUP($B111,'B-1 On-Site Hedge Baseline'!$B$1:$L$257,10,FALSE)),"",(VLOOKUP($B111,'B-1 On-Site Hedge Baseline'!$B$1:$L$257,10,FALSE))))</f>
        <v/>
      </c>
      <c r="J111" s="301" t="str">
        <f>IF(B111="","",IF(ISNA(VLOOKUP($B111,'B-1 On-Site Hedge Baseline'!$B$1:$L$257,11,FALSE)),"",(VLOOKUP($B111,'B-1 On-Site Hedge Baseline'!$B$1:$L$257,11,FALSE))))</f>
        <v/>
      </c>
      <c r="K111" s="301" t="str">
        <f>IF(B111="","",IF(ISNA(VLOOKUP($B111,'B-1 On-Site Hedge Baseline'!$B$1:$U$257,13,FALSE)),"",(VLOOKUP($B111,'B-1 On-Site Hedge Baseline'!$B$1:$U$257,13,FALSE))))</f>
        <v/>
      </c>
      <c r="L111" s="305" t="str">
        <f>IF(B111="","",IF(ISNA(VLOOKUP($B111,'B-1 On-Site Hedge Baseline'!$B$1:$U$257,12,FALSE)),"",(VLOOKUP($B111,'B-1 On-Site Hedge Baseline'!$B$1:$U$257,12,FALSE))))</f>
        <v/>
      </c>
      <c r="M111" s="627"/>
      <c r="N111" s="281" t="str">
        <f>IFERROR(IF(B111="","",INDEX('G-6 Hedgerow Data'!$AN$3:$AZ$15,MATCH(C111,'G-6 Hedgerow Data'!$AM$3:$AM$15,0),MATCH(M111,'G-6 Hedgerow Data'!$AN$2:$AZ$2,0))),"")</f>
        <v/>
      </c>
      <c r="O111" s="282" t="str">
        <f t="shared" si="8"/>
        <v/>
      </c>
      <c r="P111" s="335" t="str">
        <f>IF(B111="","",VLOOKUP(B111,'B-1 On-Site Hedge Baseline'!$B$10:T356,16,FALSE))</f>
        <v/>
      </c>
      <c r="Q111" s="281" t="str">
        <f>IF(M111="","",VLOOKUP(M111,'G-6 Hedgerow Data'!$B$2:$AG$15,2,FALSE))</f>
        <v/>
      </c>
      <c r="R111" s="282" t="str">
        <f>IF(M111="","",VLOOKUP(M111,'G-6 Hedgerow Data'!$B$2:$AG$15,3,FALSE))</f>
        <v/>
      </c>
      <c r="S111" s="112"/>
      <c r="T111" s="320" t="str">
        <f>IFERROR(IF(S111="","",IF(AND(M111="Non-native and ornamental hedgerow", S111&lt;&gt;"Poor"),"Not possible ▲", (VLOOKUP(S111,'G-1 All Habitats'!$Z$2:$AA$9,2,FALSE)))),"")</f>
        <v/>
      </c>
      <c r="U111" s="109"/>
      <c r="V111" s="301" t="str">
        <f>IF(U111="","",IF(VLOOKUP(U111,'G-3 Multipliers'!$L$3:$N$6,2,FALSE)=0,"Spatial Data Missing ⚠",VLOOKUP(U111,'G-3 Multipliers'!$L$3:$N$6,2,FALSE)))</f>
        <v/>
      </c>
      <c r="W111" s="305" t="str">
        <f>IF(U111="","",IF(VLOOKUP(U111,'G-3 Multipliers'!$L$3:$N$6,3,FALSE)=0,"Spatial Data Missing ⚠",VLOOKUP(U111,'G-3 Multipliers'!$L$3:$N$6,3,FALSE)))</f>
        <v/>
      </c>
      <c r="X111" s="281" t="str">
        <f>IFERROR(IF(OR(LEFT(O111,5)="Error",LEFT(N111,5)="Error",T111="Error"),"Check Data ⚠",IF(F111&lt;R111,INDEX('G-6 Hedgerow Data'!$S$3:$AE$14,MATCH(C111,'G-6 Hedgerow Data'!$B$3:$B$14,0),MATCH(M111,'G-6 Hedgerow Data'!$S$2:$AE$2,0)),INDEX('G-6 Hedgerow Data'!$K$3:$Q$14,MATCH(M111,'G-6 Hedgerow Data'!$B$3:$B$14,0),MATCH(O111,'G-6 Hedgerow Data'!$K$2:$Q$2,0)))),"")</f>
        <v/>
      </c>
      <c r="Y111" s="137"/>
      <c r="Z111" s="137"/>
      <c r="AA111" s="289" t="str">
        <f t="shared" si="9"/>
        <v/>
      </c>
      <c r="AB111" s="302" t="str">
        <f t="shared" si="10"/>
        <v/>
      </c>
      <c r="AC111" s="303" t="str">
        <f t="shared" si="7"/>
        <v/>
      </c>
      <c r="AD111" s="317" t="str">
        <f>IF(M111="","",VLOOKUP(M111,'G-6 Hedgerow Data'!$B$3:$AG$15,31,FALSE))</f>
        <v/>
      </c>
      <c r="AE111" s="289" t="str">
        <f t="shared" si="11"/>
        <v/>
      </c>
      <c r="AF111" s="289" t="str">
        <f t="shared" si="12"/>
        <v/>
      </c>
      <c r="AG111" s="305" t="str">
        <f>IFERROR(IF(O111="","",VLOOKUP(AD111,'G-3 Multipliers'!$P$3:$Q$6,2,FALSE)),"")</f>
        <v/>
      </c>
      <c r="AH111" s="295" t="str">
        <f t="shared" si="13"/>
        <v/>
      </c>
      <c r="AI111" s="112"/>
      <c r="AJ111" s="119"/>
      <c r="AK111" s="108"/>
      <c r="AT111" s="30" t="str">
        <f>IFERROR(INDEX('G-6 Hedgerow Data'!$BJ$3:$BJ$15,MATCH(M111,'G-6 Hedgerow Data'!$B$3:$B$15,0)),"")</f>
        <v/>
      </c>
    </row>
    <row r="112" spans="2:46" ht="13.8" x14ac:dyDescent="0.25">
      <c r="B112" s="311" t="str">
        <f>'B-1 On-Site Hedge Baseline'!AK110</f>
        <v/>
      </c>
      <c r="C112" s="301" t="str">
        <f>IF(B112="","",IF(ISNA(VLOOKUP($B112,'B-1 On-Site Hedge Baseline'!$B$1:$L$257,3,FALSE)),"",(VLOOKUP($B112,'B-1 On-Site Hedge Baseline'!$B$1:$L$257,3,FALSE))))</f>
        <v/>
      </c>
      <c r="D112" s="301" t="str">
        <f>IF(B112="","",IF(ISNA(VLOOKUP($B112,'B-1 On-Site Hedge Baseline'!$B$1:$L$257,4,FALSE)),"",(VLOOKUP($B112,'B-1 On-Site Hedge Baseline'!$B$1:$L$257,4,FALSE))))</f>
        <v/>
      </c>
      <c r="E112" s="301" t="str">
        <f>IF(B112="","",IF(ISNA(VLOOKUP($B112,'B-1 On-Site Hedge Baseline'!$B$1:$L$257,5,FALSE)),"",(VLOOKUP($B112,'B-1 On-Site Hedge Baseline'!$B$1:$L$257,5,FALSE))))</f>
        <v/>
      </c>
      <c r="F112" s="301" t="str">
        <f>IF(B112="","",IF(ISNA(VLOOKUP($B112,'B-1 On-Site Hedge Baseline'!$B$1:$L$257,6,FALSE)),"",(VLOOKUP($B112,'B-1 On-Site Hedge Baseline'!$B$1:$L$257,6,FALSE))))</f>
        <v/>
      </c>
      <c r="G112" s="301" t="str">
        <f>IF(B112="","",IF(ISNA(VLOOKUP($B112,'B-1 On-Site Hedge Baseline'!$B$1:$L$257,7,FALSE)),"",(VLOOKUP($B112,'B-1 On-Site Hedge Baseline'!$B$1:$L$257,7,FALSE))))</f>
        <v/>
      </c>
      <c r="H112" s="301" t="str">
        <f>IF(B112="","",IF(ISNA(VLOOKUP($B112,'B-1 On-Site Hedge Baseline'!$B$1:$L$257,8,FALSE)),"",(VLOOKUP($B112,'B-1 On-Site Hedge Baseline'!$B$1:$L$257,8,FALSE))))</f>
        <v/>
      </c>
      <c r="I112" s="301" t="str">
        <f>IF(B112="","",IF(ISNA(VLOOKUP($B112,'B-1 On-Site Hedge Baseline'!$B$1:$L$257,10,FALSE)),"",(VLOOKUP($B112,'B-1 On-Site Hedge Baseline'!$B$1:$L$257,10,FALSE))))</f>
        <v/>
      </c>
      <c r="J112" s="301" t="str">
        <f>IF(B112="","",IF(ISNA(VLOOKUP($B112,'B-1 On-Site Hedge Baseline'!$B$1:$L$257,11,FALSE)),"",(VLOOKUP($B112,'B-1 On-Site Hedge Baseline'!$B$1:$L$257,11,FALSE))))</f>
        <v/>
      </c>
      <c r="K112" s="301" t="str">
        <f>IF(B112="","",IF(ISNA(VLOOKUP($B112,'B-1 On-Site Hedge Baseline'!$B$1:$U$257,13,FALSE)),"",(VLOOKUP($B112,'B-1 On-Site Hedge Baseline'!$B$1:$U$257,13,FALSE))))</f>
        <v/>
      </c>
      <c r="L112" s="305" t="str">
        <f>IF(B112="","",IF(ISNA(VLOOKUP($B112,'B-1 On-Site Hedge Baseline'!$B$1:$U$257,12,FALSE)),"",(VLOOKUP($B112,'B-1 On-Site Hedge Baseline'!$B$1:$U$257,12,FALSE))))</f>
        <v/>
      </c>
      <c r="M112" s="627"/>
      <c r="N112" s="281" t="str">
        <f>IFERROR(IF(B112="","",INDEX('G-6 Hedgerow Data'!$AN$3:$AZ$15,MATCH(C112,'G-6 Hedgerow Data'!$AM$3:$AM$15,0),MATCH(M112,'G-6 Hedgerow Data'!$AN$2:$AZ$2,0))),"")</f>
        <v/>
      </c>
      <c r="O112" s="282" t="str">
        <f t="shared" si="8"/>
        <v/>
      </c>
      <c r="P112" s="335" t="str">
        <f>IF(B112="","",VLOOKUP(B112,'B-1 On-Site Hedge Baseline'!$B$10:T357,16,FALSE))</f>
        <v/>
      </c>
      <c r="Q112" s="281" t="str">
        <f>IF(M112="","",VLOOKUP(M112,'G-6 Hedgerow Data'!$B$2:$AG$15,2,FALSE))</f>
        <v/>
      </c>
      <c r="R112" s="282" t="str">
        <f>IF(M112="","",VLOOKUP(M112,'G-6 Hedgerow Data'!$B$2:$AG$15,3,FALSE))</f>
        <v/>
      </c>
      <c r="S112" s="112"/>
      <c r="T112" s="320" t="str">
        <f>IFERROR(IF(S112="","",IF(AND(M112="Non-native and ornamental hedgerow", S112&lt;&gt;"Poor"),"Not possible ▲", (VLOOKUP(S112,'G-1 All Habitats'!$Z$2:$AA$9,2,FALSE)))),"")</f>
        <v/>
      </c>
      <c r="U112" s="109"/>
      <c r="V112" s="301" t="str">
        <f>IF(U112="","",IF(VLOOKUP(U112,'G-3 Multipliers'!$L$3:$N$6,2,FALSE)=0,"Spatial Data Missing ⚠",VLOOKUP(U112,'G-3 Multipliers'!$L$3:$N$6,2,FALSE)))</f>
        <v/>
      </c>
      <c r="W112" s="305" t="str">
        <f>IF(U112="","",IF(VLOOKUP(U112,'G-3 Multipliers'!$L$3:$N$6,3,FALSE)=0,"Spatial Data Missing ⚠",VLOOKUP(U112,'G-3 Multipliers'!$L$3:$N$6,3,FALSE)))</f>
        <v/>
      </c>
      <c r="X112" s="281" t="str">
        <f>IFERROR(IF(OR(LEFT(O112,5)="Error",LEFT(N112,5)="Error",T112="Error"),"Check Data ⚠",IF(F112&lt;R112,INDEX('G-6 Hedgerow Data'!$S$3:$AE$14,MATCH(C112,'G-6 Hedgerow Data'!$B$3:$B$14,0),MATCH(M112,'G-6 Hedgerow Data'!$S$2:$AE$2,0)),INDEX('G-6 Hedgerow Data'!$K$3:$Q$14,MATCH(M112,'G-6 Hedgerow Data'!$B$3:$B$14,0),MATCH(O112,'G-6 Hedgerow Data'!$K$2:$Q$2,0)))),"")</f>
        <v/>
      </c>
      <c r="Y112" s="137"/>
      <c r="Z112" s="137"/>
      <c r="AA112" s="289" t="str">
        <f t="shared" si="9"/>
        <v/>
      </c>
      <c r="AB112" s="302" t="str">
        <f t="shared" si="10"/>
        <v/>
      </c>
      <c r="AC112" s="303" t="str">
        <f t="shared" si="7"/>
        <v/>
      </c>
      <c r="AD112" s="317" t="str">
        <f>IF(M112="","",VLOOKUP(M112,'G-6 Hedgerow Data'!$B$3:$AG$15,31,FALSE))</f>
        <v/>
      </c>
      <c r="AE112" s="289" t="str">
        <f t="shared" si="11"/>
        <v/>
      </c>
      <c r="AF112" s="289" t="str">
        <f t="shared" si="12"/>
        <v/>
      </c>
      <c r="AG112" s="305" t="str">
        <f>IFERROR(IF(O112="","",VLOOKUP(AD112,'G-3 Multipliers'!$P$3:$Q$6,2,FALSE)),"")</f>
        <v/>
      </c>
      <c r="AH112" s="295" t="str">
        <f t="shared" si="13"/>
        <v/>
      </c>
      <c r="AI112" s="112"/>
      <c r="AJ112" s="119"/>
      <c r="AK112" s="108"/>
      <c r="AT112" s="30" t="str">
        <f>IFERROR(INDEX('G-6 Hedgerow Data'!$BJ$3:$BJ$15,MATCH(M112,'G-6 Hedgerow Data'!$B$3:$B$15,0)),"")</f>
        <v/>
      </c>
    </row>
    <row r="113" spans="2:46" ht="13.8" x14ac:dyDescent="0.25">
      <c r="B113" s="311" t="str">
        <f>'B-1 On-Site Hedge Baseline'!AK111</f>
        <v/>
      </c>
      <c r="C113" s="301" t="str">
        <f>IF(B113="","",IF(ISNA(VLOOKUP($B113,'B-1 On-Site Hedge Baseline'!$B$1:$L$257,3,FALSE)),"",(VLOOKUP($B113,'B-1 On-Site Hedge Baseline'!$B$1:$L$257,3,FALSE))))</f>
        <v/>
      </c>
      <c r="D113" s="301" t="str">
        <f>IF(B113="","",IF(ISNA(VLOOKUP($B113,'B-1 On-Site Hedge Baseline'!$B$1:$L$257,4,FALSE)),"",(VLOOKUP($B113,'B-1 On-Site Hedge Baseline'!$B$1:$L$257,4,FALSE))))</f>
        <v/>
      </c>
      <c r="E113" s="301" t="str">
        <f>IF(B113="","",IF(ISNA(VLOOKUP($B113,'B-1 On-Site Hedge Baseline'!$B$1:$L$257,5,FALSE)),"",(VLOOKUP($B113,'B-1 On-Site Hedge Baseline'!$B$1:$L$257,5,FALSE))))</f>
        <v/>
      </c>
      <c r="F113" s="301" t="str">
        <f>IF(B113="","",IF(ISNA(VLOOKUP($B113,'B-1 On-Site Hedge Baseline'!$B$1:$L$257,6,FALSE)),"",(VLOOKUP($B113,'B-1 On-Site Hedge Baseline'!$B$1:$L$257,6,FALSE))))</f>
        <v/>
      </c>
      <c r="G113" s="301" t="str">
        <f>IF(B113="","",IF(ISNA(VLOOKUP($B113,'B-1 On-Site Hedge Baseline'!$B$1:$L$257,7,FALSE)),"",(VLOOKUP($B113,'B-1 On-Site Hedge Baseline'!$B$1:$L$257,7,FALSE))))</f>
        <v/>
      </c>
      <c r="H113" s="301" t="str">
        <f>IF(B113="","",IF(ISNA(VLOOKUP($B113,'B-1 On-Site Hedge Baseline'!$B$1:$L$257,8,FALSE)),"",(VLOOKUP($B113,'B-1 On-Site Hedge Baseline'!$B$1:$L$257,8,FALSE))))</f>
        <v/>
      </c>
      <c r="I113" s="301" t="str">
        <f>IF(B113="","",IF(ISNA(VLOOKUP($B113,'B-1 On-Site Hedge Baseline'!$B$1:$L$257,10,FALSE)),"",(VLOOKUP($B113,'B-1 On-Site Hedge Baseline'!$B$1:$L$257,10,FALSE))))</f>
        <v/>
      </c>
      <c r="J113" s="301" t="str">
        <f>IF(B113="","",IF(ISNA(VLOOKUP($B113,'B-1 On-Site Hedge Baseline'!$B$1:$L$257,11,FALSE)),"",(VLOOKUP($B113,'B-1 On-Site Hedge Baseline'!$B$1:$L$257,11,FALSE))))</f>
        <v/>
      </c>
      <c r="K113" s="301" t="str">
        <f>IF(B113="","",IF(ISNA(VLOOKUP($B113,'B-1 On-Site Hedge Baseline'!$B$1:$U$257,13,FALSE)),"",(VLOOKUP($B113,'B-1 On-Site Hedge Baseline'!$B$1:$U$257,13,FALSE))))</f>
        <v/>
      </c>
      <c r="L113" s="305" t="str">
        <f>IF(B113="","",IF(ISNA(VLOOKUP($B113,'B-1 On-Site Hedge Baseline'!$B$1:$U$257,12,FALSE)),"",(VLOOKUP($B113,'B-1 On-Site Hedge Baseline'!$B$1:$U$257,12,FALSE))))</f>
        <v/>
      </c>
      <c r="M113" s="627"/>
      <c r="N113" s="281" t="str">
        <f>IFERROR(IF(B113="","",INDEX('G-6 Hedgerow Data'!$AN$3:$AZ$15,MATCH(C113,'G-6 Hedgerow Data'!$AM$3:$AM$15,0),MATCH(M113,'G-6 Hedgerow Data'!$AN$2:$AZ$2,0))),"")</f>
        <v/>
      </c>
      <c r="O113" s="282" t="str">
        <f t="shared" si="8"/>
        <v/>
      </c>
      <c r="P113" s="335" t="str">
        <f>IF(B113="","",VLOOKUP(B113,'B-1 On-Site Hedge Baseline'!$B$10:T358,16,FALSE))</f>
        <v/>
      </c>
      <c r="Q113" s="281" t="str">
        <f>IF(M113="","",VLOOKUP(M113,'G-6 Hedgerow Data'!$B$2:$AG$15,2,FALSE))</f>
        <v/>
      </c>
      <c r="R113" s="282" t="str">
        <f>IF(M113="","",VLOOKUP(M113,'G-6 Hedgerow Data'!$B$2:$AG$15,3,FALSE))</f>
        <v/>
      </c>
      <c r="S113" s="112"/>
      <c r="T113" s="320" t="str">
        <f>IFERROR(IF(S113="","",IF(AND(M113="Non-native and ornamental hedgerow", S113&lt;&gt;"Poor"),"Not possible ▲", (VLOOKUP(S113,'G-1 All Habitats'!$Z$2:$AA$9,2,FALSE)))),"")</f>
        <v/>
      </c>
      <c r="U113" s="109"/>
      <c r="V113" s="301" t="str">
        <f>IF(U113="","",IF(VLOOKUP(U113,'G-3 Multipliers'!$L$3:$N$6,2,FALSE)=0,"Spatial Data Missing ⚠",VLOOKUP(U113,'G-3 Multipliers'!$L$3:$N$6,2,FALSE)))</f>
        <v/>
      </c>
      <c r="W113" s="305" t="str">
        <f>IF(U113="","",IF(VLOOKUP(U113,'G-3 Multipliers'!$L$3:$N$6,3,FALSE)=0,"Spatial Data Missing ⚠",VLOOKUP(U113,'G-3 Multipliers'!$L$3:$N$6,3,FALSE)))</f>
        <v/>
      </c>
      <c r="X113" s="281" t="str">
        <f>IFERROR(IF(OR(LEFT(O113,5)="Error",LEFT(N113,5)="Error",T113="Error"),"Check Data ⚠",IF(F113&lt;R113,INDEX('G-6 Hedgerow Data'!$S$3:$AE$14,MATCH(C113,'G-6 Hedgerow Data'!$B$3:$B$14,0),MATCH(M113,'G-6 Hedgerow Data'!$S$2:$AE$2,0)),INDEX('G-6 Hedgerow Data'!$K$3:$Q$14,MATCH(M113,'G-6 Hedgerow Data'!$B$3:$B$14,0),MATCH(O113,'G-6 Hedgerow Data'!$K$2:$Q$2,0)))),"")</f>
        <v/>
      </c>
      <c r="Y113" s="137"/>
      <c r="Z113" s="137"/>
      <c r="AA113" s="289" t="str">
        <f t="shared" si="9"/>
        <v/>
      </c>
      <c r="AB113" s="302" t="str">
        <f t="shared" si="10"/>
        <v/>
      </c>
      <c r="AC113" s="303" t="str">
        <f t="shared" si="7"/>
        <v/>
      </c>
      <c r="AD113" s="317" t="str">
        <f>IF(M113="","",VLOOKUP(M113,'G-6 Hedgerow Data'!$B$3:$AG$15,31,FALSE))</f>
        <v/>
      </c>
      <c r="AE113" s="289" t="str">
        <f t="shared" si="11"/>
        <v/>
      </c>
      <c r="AF113" s="289" t="str">
        <f t="shared" si="12"/>
        <v/>
      </c>
      <c r="AG113" s="305" t="str">
        <f>IFERROR(IF(O113="","",VLOOKUP(AD113,'G-3 Multipliers'!$P$3:$Q$6,2,FALSE)),"")</f>
        <v/>
      </c>
      <c r="AH113" s="295" t="str">
        <f t="shared" si="13"/>
        <v/>
      </c>
      <c r="AI113" s="112"/>
      <c r="AJ113" s="119"/>
      <c r="AK113" s="108"/>
      <c r="AT113" s="30" t="str">
        <f>IFERROR(INDEX('G-6 Hedgerow Data'!$BJ$3:$BJ$15,MATCH(M113,'G-6 Hedgerow Data'!$B$3:$B$15,0)),"")</f>
        <v/>
      </c>
    </row>
    <row r="114" spans="2:46" ht="13.8" x14ac:dyDescent="0.25">
      <c r="B114" s="311" t="str">
        <f>'B-1 On-Site Hedge Baseline'!AK112</f>
        <v/>
      </c>
      <c r="C114" s="301" t="str">
        <f>IF(B114="","",IF(ISNA(VLOOKUP($B114,'B-1 On-Site Hedge Baseline'!$B$1:$L$257,3,FALSE)),"",(VLOOKUP($B114,'B-1 On-Site Hedge Baseline'!$B$1:$L$257,3,FALSE))))</f>
        <v/>
      </c>
      <c r="D114" s="301" t="str">
        <f>IF(B114="","",IF(ISNA(VLOOKUP($B114,'B-1 On-Site Hedge Baseline'!$B$1:$L$257,4,FALSE)),"",(VLOOKUP($B114,'B-1 On-Site Hedge Baseline'!$B$1:$L$257,4,FALSE))))</f>
        <v/>
      </c>
      <c r="E114" s="301" t="str">
        <f>IF(B114="","",IF(ISNA(VLOOKUP($B114,'B-1 On-Site Hedge Baseline'!$B$1:$L$257,5,FALSE)),"",(VLOOKUP($B114,'B-1 On-Site Hedge Baseline'!$B$1:$L$257,5,FALSE))))</f>
        <v/>
      </c>
      <c r="F114" s="301" t="str">
        <f>IF(B114="","",IF(ISNA(VLOOKUP($B114,'B-1 On-Site Hedge Baseline'!$B$1:$L$257,6,FALSE)),"",(VLOOKUP($B114,'B-1 On-Site Hedge Baseline'!$B$1:$L$257,6,FALSE))))</f>
        <v/>
      </c>
      <c r="G114" s="301" t="str">
        <f>IF(B114="","",IF(ISNA(VLOOKUP($B114,'B-1 On-Site Hedge Baseline'!$B$1:$L$257,7,FALSE)),"",(VLOOKUP($B114,'B-1 On-Site Hedge Baseline'!$B$1:$L$257,7,FALSE))))</f>
        <v/>
      </c>
      <c r="H114" s="301" t="str">
        <f>IF(B114="","",IF(ISNA(VLOOKUP($B114,'B-1 On-Site Hedge Baseline'!$B$1:$L$257,8,FALSE)),"",(VLOOKUP($B114,'B-1 On-Site Hedge Baseline'!$B$1:$L$257,8,FALSE))))</f>
        <v/>
      </c>
      <c r="I114" s="301" t="str">
        <f>IF(B114="","",IF(ISNA(VLOOKUP($B114,'B-1 On-Site Hedge Baseline'!$B$1:$L$257,10,FALSE)),"",(VLOOKUP($B114,'B-1 On-Site Hedge Baseline'!$B$1:$L$257,10,FALSE))))</f>
        <v/>
      </c>
      <c r="J114" s="301" t="str">
        <f>IF(B114="","",IF(ISNA(VLOOKUP($B114,'B-1 On-Site Hedge Baseline'!$B$1:$L$257,11,FALSE)),"",(VLOOKUP($B114,'B-1 On-Site Hedge Baseline'!$B$1:$L$257,11,FALSE))))</f>
        <v/>
      </c>
      <c r="K114" s="301" t="str">
        <f>IF(B114="","",IF(ISNA(VLOOKUP($B114,'B-1 On-Site Hedge Baseline'!$B$1:$U$257,13,FALSE)),"",(VLOOKUP($B114,'B-1 On-Site Hedge Baseline'!$B$1:$U$257,13,FALSE))))</f>
        <v/>
      </c>
      <c r="L114" s="305" t="str">
        <f>IF(B114="","",IF(ISNA(VLOOKUP($B114,'B-1 On-Site Hedge Baseline'!$B$1:$U$257,12,FALSE)),"",(VLOOKUP($B114,'B-1 On-Site Hedge Baseline'!$B$1:$U$257,12,FALSE))))</f>
        <v/>
      </c>
      <c r="M114" s="627"/>
      <c r="N114" s="281" t="str">
        <f>IFERROR(IF(B114="","",INDEX('G-6 Hedgerow Data'!$AN$3:$AZ$15,MATCH(C114,'G-6 Hedgerow Data'!$AM$3:$AM$15,0),MATCH(M114,'G-6 Hedgerow Data'!$AN$2:$AZ$2,0))),"")</f>
        <v/>
      </c>
      <c r="O114" s="282" t="str">
        <f t="shared" si="8"/>
        <v/>
      </c>
      <c r="P114" s="335" t="str">
        <f>IF(B114="","",VLOOKUP(B114,'B-1 On-Site Hedge Baseline'!$B$10:T359,16,FALSE))</f>
        <v/>
      </c>
      <c r="Q114" s="281" t="str">
        <f>IF(M114="","",VLOOKUP(M114,'G-6 Hedgerow Data'!$B$2:$AG$15,2,FALSE))</f>
        <v/>
      </c>
      <c r="R114" s="282" t="str">
        <f>IF(M114="","",VLOOKUP(M114,'G-6 Hedgerow Data'!$B$2:$AG$15,3,FALSE))</f>
        <v/>
      </c>
      <c r="S114" s="112"/>
      <c r="T114" s="320" t="str">
        <f>IFERROR(IF(S114="","",IF(AND(M114="Non-native and ornamental hedgerow", S114&lt;&gt;"Poor"),"Not possible ▲", (VLOOKUP(S114,'G-1 All Habitats'!$Z$2:$AA$9,2,FALSE)))),"")</f>
        <v/>
      </c>
      <c r="U114" s="109"/>
      <c r="V114" s="301" t="str">
        <f>IF(U114="","",IF(VLOOKUP(U114,'G-3 Multipliers'!$L$3:$N$6,2,FALSE)=0,"Spatial Data Missing ⚠",VLOOKUP(U114,'G-3 Multipliers'!$L$3:$N$6,2,FALSE)))</f>
        <v/>
      </c>
      <c r="W114" s="305" t="str">
        <f>IF(U114="","",IF(VLOOKUP(U114,'G-3 Multipliers'!$L$3:$N$6,3,FALSE)=0,"Spatial Data Missing ⚠",VLOOKUP(U114,'G-3 Multipliers'!$L$3:$N$6,3,FALSE)))</f>
        <v/>
      </c>
      <c r="X114" s="281" t="str">
        <f>IFERROR(IF(OR(LEFT(O114,5)="Error",LEFT(N114,5)="Error",T114="Error"),"Check Data ⚠",IF(F114&lt;R114,INDEX('G-6 Hedgerow Data'!$S$3:$AE$14,MATCH(C114,'G-6 Hedgerow Data'!$B$3:$B$14,0),MATCH(M114,'G-6 Hedgerow Data'!$S$2:$AE$2,0)),INDEX('G-6 Hedgerow Data'!$K$3:$Q$14,MATCH(M114,'G-6 Hedgerow Data'!$B$3:$B$14,0),MATCH(O114,'G-6 Hedgerow Data'!$K$2:$Q$2,0)))),"")</f>
        <v/>
      </c>
      <c r="Y114" s="137"/>
      <c r="Z114" s="137"/>
      <c r="AA114" s="289" t="str">
        <f t="shared" si="9"/>
        <v/>
      </c>
      <c r="AB114" s="302" t="str">
        <f t="shared" si="10"/>
        <v/>
      </c>
      <c r="AC114" s="303" t="str">
        <f t="shared" si="7"/>
        <v/>
      </c>
      <c r="AD114" s="317" t="str">
        <f>IF(M114="","",VLOOKUP(M114,'G-6 Hedgerow Data'!$B$3:$AG$15,31,FALSE))</f>
        <v/>
      </c>
      <c r="AE114" s="289" t="str">
        <f t="shared" si="11"/>
        <v/>
      </c>
      <c r="AF114" s="289" t="str">
        <f t="shared" si="12"/>
        <v/>
      </c>
      <c r="AG114" s="305" t="str">
        <f>IFERROR(IF(O114="","",VLOOKUP(AD114,'G-3 Multipliers'!$P$3:$Q$6,2,FALSE)),"")</f>
        <v/>
      </c>
      <c r="AH114" s="295" t="str">
        <f t="shared" si="13"/>
        <v/>
      </c>
      <c r="AI114" s="112"/>
      <c r="AJ114" s="119"/>
      <c r="AK114" s="108"/>
      <c r="AT114" s="30" t="str">
        <f>IFERROR(INDEX('G-6 Hedgerow Data'!$BJ$3:$BJ$15,MATCH(M114,'G-6 Hedgerow Data'!$B$3:$B$15,0)),"")</f>
        <v/>
      </c>
    </row>
    <row r="115" spans="2:46" ht="13.8" x14ac:dyDescent="0.25">
      <c r="B115" s="311" t="str">
        <f>'B-1 On-Site Hedge Baseline'!AK113</f>
        <v/>
      </c>
      <c r="C115" s="301" t="str">
        <f>IF(B115="","",IF(ISNA(VLOOKUP($B115,'B-1 On-Site Hedge Baseline'!$B$1:$L$257,3,FALSE)),"",(VLOOKUP($B115,'B-1 On-Site Hedge Baseline'!$B$1:$L$257,3,FALSE))))</f>
        <v/>
      </c>
      <c r="D115" s="301" t="str">
        <f>IF(B115="","",IF(ISNA(VLOOKUP($B115,'B-1 On-Site Hedge Baseline'!$B$1:$L$257,4,FALSE)),"",(VLOOKUP($B115,'B-1 On-Site Hedge Baseline'!$B$1:$L$257,4,FALSE))))</f>
        <v/>
      </c>
      <c r="E115" s="301" t="str">
        <f>IF(B115="","",IF(ISNA(VLOOKUP($B115,'B-1 On-Site Hedge Baseline'!$B$1:$L$257,5,FALSE)),"",(VLOOKUP($B115,'B-1 On-Site Hedge Baseline'!$B$1:$L$257,5,FALSE))))</f>
        <v/>
      </c>
      <c r="F115" s="301" t="str">
        <f>IF(B115="","",IF(ISNA(VLOOKUP($B115,'B-1 On-Site Hedge Baseline'!$B$1:$L$257,6,FALSE)),"",(VLOOKUP($B115,'B-1 On-Site Hedge Baseline'!$B$1:$L$257,6,FALSE))))</f>
        <v/>
      </c>
      <c r="G115" s="301" t="str">
        <f>IF(B115="","",IF(ISNA(VLOOKUP($B115,'B-1 On-Site Hedge Baseline'!$B$1:$L$257,7,FALSE)),"",(VLOOKUP($B115,'B-1 On-Site Hedge Baseline'!$B$1:$L$257,7,FALSE))))</f>
        <v/>
      </c>
      <c r="H115" s="301" t="str">
        <f>IF(B115="","",IF(ISNA(VLOOKUP($B115,'B-1 On-Site Hedge Baseline'!$B$1:$L$257,8,FALSE)),"",(VLOOKUP($B115,'B-1 On-Site Hedge Baseline'!$B$1:$L$257,8,FALSE))))</f>
        <v/>
      </c>
      <c r="I115" s="301" t="str">
        <f>IF(B115="","",IF(ISNA(VLOOKUP($B115,'B-1 On-Site Hedge Baseline'!$B$1:$L$257,10,FALSE)),"",(VLOOKUP($B115,'B-1 On-Site Hedge Baseline'!$B$1:$L$257,10,FALSE))))</f>
        <v/>
      </c>
      <c r="J115" s="301" t="str">
        <f>IF(B115="","",IF(ISNA(VLOOKUP($B115,'B-1 On-Site Hedge Baseline'!$B$1:$L$257,11,FALSE)),"",(VLOOKUP($B115,'B-1 On-Site Hedge Baseline'!$B$1:$L$257,11,FALSE))))</f>
        <v/>
      </c>
      <c r="K115" s="301" t="str">
        <f>IF(B115="","",IF(ISNA(VLOOKUP($B115,'B-1 On-Site Hedge Baseline'!$B$1:$U$257,13,FALSE)),"",(VLOOKUP($B115,'B-1 On-Site Hedge Baseline'!$B$1:$U$257,13,FALSE))))</f>
        <v/>
      </c>
      <c r="L115" s="305" t="str">
        <f>IF(B115="","",IF(ISNA(VLOOKUP($B115,'B-1 On-Site Hedge Baseline'!$B$1:$U$257,12,FALSE)),"",(VLOOKUP($B115,'B-1 On-Site Hedge Baseline'!$B$1:$U$257,12,FALSE))))</f>
        <v/>
      </c>
      <c r="M115" s="627"/>
      <c r="N115" s="281" t="str">
        <f>IFERROR(IF(B115="","",INDEX('G-6 Hedgerow Data'!$AN$3:$AZ$15,MATCH(C115,'G-6 Hedgerow Data'!$AM$3:$AM$15,0),MATCH(M115,'G-6 Hedgerow Data'!$AN$2:$AZ$2,0))),"")</f>
        <v/>
      </c>
      <c r="O115" s="282" t="str">
        <f t="shared" si="8"/>
        <v/>
      </c>
      <c r="P115" s="335" t="str">
        <f>IF(B115="","",VLOOKUP(B115,'B-1 On-Site Hedge Baseline'!$B$10:T360,16,FALSE))</f>
        <v/>
      </c>
      <c r="Q115" s="281" t="str">
        <f>IF(M115="","",VLOOKUP(M115,'G-6 Hedgerow Data'!$B$2:$AG$15,2,FALSE))</f>
        <v/>
      </c>
      <c r="R115" s="282" t="str">
        <f>IF(M115="","",VLOOKUP(M115,'G-6 Hedgerow Data'!$B$2:$AG$15,3,FALSE))</f>
        <v/>
      </c>
      <c r="S115" s="112"/>
      <c r="T115" s="320" t="str">
        <f>IFERROR(IF(S115="","",IF(AND(M115="Non-native and ornamental hedgerow", S115&lt;&gt;"Poor"),"Not possible ▲", (VLOOKUP(S115,'G-1 All Habitats'!$Z$2:$AA$9,2,FALSE)))),"")</f>
        <v/>
      </c>
      <c r="U115" s="109"/>
      <c r="V115" s="301" t="str">
        <f>IF(U115="","",IF(VLOOKUP(U115,'G-3 Multipliers'!$L$3:$N$6,2,FALSE)=0,"Spatial Data Missing ⚠",VLOOKUP(U115,'G-3 Multipliers'!$L$3:$N$6,2,FALSE)))</f>
        <v/>
      </c>
      <c r="W115" s="305" t="str">
        <f>IF(U115="","",IF(VLOOKUP(U115,'G-3 Multipliers'!$L$3:$N$6,3,FALSE)=0,"Spatial Data Missing ⚠",VLOOKUP(U115,'G-3 Multipliers'!$L$3:$N$6,3,FALSE)))</f>
        <v/>
      </c>
      <c r="X115" s="281" t="str">
        <f>IFERROR(IF(OR(LEFT(O115,5)="Error",LEFT(N115,5)="Error",T115="Error"),"Check Data ⚠",IF(F115&lt;R115,INDEX('G-6 Hedgerow Data'!$S$3:$AE$14,MATCH(C115,'G-6 Hedgerow Data'!$B$3:$B$14,0),MATCH(M115,'G-6 Hedgerow Data'!$S$2:$AE$2,0)),INDEX('G-6 Hedgerow Data'!$K$3:$Q$14,MATCH(M115,'G-6 Hedgerow Data'!$B$3:$B$14,0),MATCH(O115,'G-6 Hedgerow Data'!$K$2:$Q$2,0)))),"")</f>
        <v/>
      </c>
      <c r="Y115" s="137"/>
      <c r="Z115" s="137"/>
      <c r="AA115" s="289" t="str">
        <f t="shared" si="9"/>
        <v/>
      </c>
      <c r="AB115" s="302" t="str">
        <f t="shared" si="10"/>
        <v/>
      </c>
      <c r="AC115" s="303" t="str">
        <f t="shared" si="7"/>
        <v/>
      </c>
      <c r="AD115" s="317" t="str">
        <f>IF(M115="","",VLOOKUP(M115,'G-6 Hedgerow Data'!$B$3:$AG$15,31,FALSE))</f>
        <v/>
      </c>
      <c r="AE115" s="289" t="str">
        <f t="shared" si="11"/>
        <v/>
      </c>
      <c r="AF115" s="289" t="str">
        <f t="shared" si="12"/>
        <v/>
      </c>
      <c r="AG115" s="305" t="str">
        <f>IFERROR(IF(O115="","",VLOOKUP(AD115,'G-3 Multipliers'!$P$3:$Q$6,2,FALSE)),"")</f>
        <v/>
      </c>
      <c r="AH115" s="295" t="str">
        <f t="shared" si="13"/>
        <v/>
      </c>
      <c r="AI115" s="112"/>
      <c r="AJ115" s="119"/>
      <c r="AK115" s="108"/>
      <c r="AT115" s="30" t="str">
        <f>IFERROR(INDEX('G-6 Hedgerow Data'!$BJ$3:$BJ$15,MATCH(M115,'G-6 Hedgerow Data'!$B$3:$B$15,0)),"")</f>
        <v/>
      </c>
    </row>
    <row r="116" spans="2:46" ht="13.8" x14ac:dyDescent="0.25">
      <c r="B116" s="311" t="str">
        <f>'B-1 On-Site Hedge Baseline'!AK114</f>
        <v/>
      </c>
      <c r="C116" s="301" t="str">
        <f>IF(B116="","",IF(ISNA(VLOOKUP($B116,'B-1 On-Site Hedge Baseline'!$B$1:$L$257,3,FALSE)),"",(VLOOKUP($B116,'B-1 On-Site Hedge Baseline'!$B$1:$L$257,3,FALSE))))</f>
        <v/>
      </c>
      <c r="D116" s="301" t="str">
        <f>IF(B116="","",IF(ISNA(VLOOKUP($B116,'B-1 On-Site Hedge Baseline'!$B$1:$L$257,4,FALSE)),"",(VLOOKUP($B116,'B-1 On-Site Hedge Baseline'!$B$1:$L$257,4,FALSE))))</f>
        <v/>
      </c>
      <c r="E116" s="301" t="str">
        <f>IF(B116="","",IF(ISNA(VLOOKUP($B116,'B-1 On-Site Hedge Baseline'!$B$1:$L$257,5,FALSE)),"",(VLOOKUP($B116,'B-1 On-Site Hedge Baseline'!$B$1:$L$257,5,FALSE))))</f>
        <v/>
      </c>
      <c r="F116" s="301" t="str">
        <f>IF(B116="","",IF(ISNA(VLOOKUP($B116,'B-1 On-Site Hedge Baseline'!$B$1:$L$257,6,FALSE)),"",(VLOOKUP($B116,'B-1 On-Site Hedge Baseline'!$B$1:$L$257,6,FALSE))))</f>
        <v/>
      </c>
      <c r="G116" s="301" t="str">
        <f>IF(B116="","",IF(ISNA(VLOOKUP($B116,'B-1 On-Site Hedge Baseline'!$B$1:$L$257,7,FALSE)),"",(VLOOKUP($B116,'B-1 On-Site Hedge Baseline'!$B$1:$L$257,7,FALSE))))</f>
        <v/>
      </c>
      <c r="H116" s="301" t="str">
        <f>IF(B116="","",IF(ISNA(VLOOKUP($B116,'B-1 On-Site Hedge Baseline'!$B$1:$L$257,8,FALSE)),"",(VLOOKUP($B116,'B-1 On-Site Hedge Baseline'!$B$1:$L$257,8,FALSE))))</f>
        <v/>
      </c>
      <c r="I116" s="301" t="str">
        <f>IF(B116="","",IF(ISNA(VLOOKUP($B116,'B-1 On-Site Hedge Baseline'!$B$1:$L$257,10,FALSE)),"",(VLOOKUP($B116,'B-1 On-Site Hedge Baseline'!$B$1:$L$257,10,FALSE))))</f>
        <v/>
      </c>
      <c r="J116" s="301" t="str">
        <f>IF(B116="","",IF(ISNA(VLOOKUP($B116,'B-1 On-Site Hedge Baseline'!$B$1:$L$257,11,FALSE)),"",(VLOOKUP($B116,'B-1 On-Site Hedge Baseline'!$B$1:$L$257,11,FALSE))))</f>
        <v/>
      </c>
      <c r="K116" s="301" t="str">
        <f>IF(B116="","",IF(ISNA(VLOOKUP($B116,'B-1 On-Site Hedge Baseline'!$B$1:$U$257,13,FALSE)),"",(VLOOKUP($B116,'B-1 On-Site Hedge Baseline'!$B$1:$U$257,13,FALSE))))</f>
        <v/>
      </c>
      <c r="L116" s="305" t="str">
        <f>IF(B116="","",IF(ISNA(VLOOKUP($B116,'B-1 On-Site Hedge Baseline'!$B$1:$U$257,12,FALSE)),"",(VLOOKUP($B116,'B-1 On-Site Hedge Baseline'!$B$1:$U$257,12,FALSE))))</f>
        <v/>
      </c>
      <c r="M116" s="627"/>
      <c r="N116" s="281" t="str">
        <f>IFERROR(IF(B116="","",INDEX('G-6 Hedgerow Data'!$AN$3:$AZ$15,MATCH(C116,'G-6 Hedgerow Data'!$AM$3:$AM$15,0),MATCH(M116,'G-6 Hedgerow Data'!$AN$2:$AZ$2,0))),"")</f>
        <v/>
      </c>
      <c r="O116" s="282" t="str">
        <f t="shared" si="8"/>
        <v/>
      </c>
      <c r="P116" s="335" t="str">
        <f>IF(B116="","",VLOOKUP(B116,'B-1 On-Site Hedge Baseline'!$B$10:T361,16,FALSE))</f>
        <v/>
      </c>
      <c r="Q116" s="281" t="str">
        <f>IF(M116="","",VLOOKUP(M116,'G-6 Hedgerow Data'!$B$2:$AG$15,2,FALSE))</f>
        <v/>
      </c>
      <c r="R116" s="282" t="str">
        <f>IF(M116="","",VLOOKUP(M116,'G-6 Hedgerow Data'!$B$2:$AG$15,3,FALSE))</f>
        <v/>
      </c>
      <c r="S116" s="112"/>
      <c r="T116" s="320" t="str">
        <f>IFERROR(IF(S116="","",IF(AND(M116="Non-native and ornamental hedgerow", S116&lt;&gt;"Poor"),"Not possible ▲", (VLOOKUP(S116,'G-1 All Habitats'!$Z$2:$AA$9,2,FALSE)))),"")</f>
        <v/>
      </c>
      <c r="U116" s="109"/>
      <c r="V116" s="301" t="str">
        <f>IF(U116="","",IF(VLOOKUP(U116,'G-3 Multipliers'!$L$3:$N$6,2,FALSE)=0,"Spatial Data Missing ⚠",VLOOKUP(U116,'G-3 Multipliers'!$L$3:$N$6,2,FALSE)))</f>
        <v/>
      </c>
      <c r="W116" s="305" t="str">
        <f>IF(U116="","",IF(VLOOKUP(U116,'G-3 Multipliers'!$L$3:$N$6,3,FALSE)=0,"Spatial Data Missing ⚠",VLOOKUP(U116,'G-3 Multipliers'!$L$3:$N$6,3,FALSE)))</f>
        <v/>
      </c>
      <c r="X116" s="281" t="str">
        <f>IFERROR(IF(OR(LEFT(O116,5)="Error",LEFT(N116,5)="Error",T116="Error"),"Check Data ⚠",IF(F116&lt;R116,INDEX('G-6 Hedgerow Data'!$S$3:$AE$14,MATCH(C116,'G-6 Hedgerow Data'!$B$3:$B$14,0),MATCH(M116,'G-6 Hedgerow Data'!$S$2:$AE$2,0)),INDEX('G-6 Hedgerow Data'!$K$3:$Q$14,MATCH(M116,'G-6 Hedgerow Data'!$B$3:$B$14,0),MATCH(O116,'G-6 Hedgerow Data'!$K$2:$Q$2,0)))),"")</f>
        <v/>
      </c>
      <c r="Y116" s="137"/>
      <c r="Z116" s="137"/>
      <c r="AA116" s="289" t="str">
        <f t="shared" si="9"/>
        <v/>
      </c>
      <c r="AB116" s="302" t="str">
        <f t="shared" si="10"/>
        <v/>
      </c>
      <c r="AC116" s="303" t="str">
        <f t="shared" si="7"/>
        <v/>
      </c>
      <c r="AD116" s="317" t="str">
        <f>IF(M116="","",VLOOKUP(M116,'G-6 Hedgerow Data'!$B$3:$AG$15,31,FALSE))</f>
        <v/>
      </c>
      <c r="AE116" s="289" t="str">
        <f t="shared" si="11"/>
        <v/>
      </c>
      <c r="AF116" s="289" t="str">
        <f t="shared" si="12"/>
        <v/>
      </c>
      <c r="AG116" s="305" t="str">
        <f>IFERROR(IF(O116="","",VLOOKUP(AD116,'G-3 Multipliers'!$P$3:$Q$6,2,FALSE)),"")</f>
        <v/>
      </c>
      <c r="AH116" s="295" t="str">
        <f t="shared" si="13"/>
        <v/>
      </c>
      <c r="AI116" s="112"/>
      <c r="AJ116" s="119"/>
      <c r="AK116" s="108"/>
      <c r="AT116" s="30" t="str">
        <f>IFERROR(INDEX('G-6 Hedgerow Data'!$BJ$3:$BJ$15,MATCH(M116,'G-6 Hedgerow Data'!$B$3:$B$15,0)),"")</f>
        <v/>
      </c>
    </row>
    <row r="117" spans="2:46" ht="13.8" x14ac:dyDescent="0.25">
      <c r="B117" s="311" t="str">
        <f>'B-1 On-Site Hedge Baseline'!AK115</f>
        <v/>
      </c>
      <c r="C117" s="301" t="str">
        <f>IF(B117="","",IF(ISNA(VLOOKUP($B117,'B-1 On-Site Hedge Baseline'!$B$1:$L$257,3,FALSE)),"",(VLOOKUP($B117,'B-1 On-Site Hedge Baseline'!$B$1:$L$257,3,FALSE))))</f>
        <v/>
      </c>
      <c r="D117" s="301" t="str">
        <f>IF(B117="","",IF(ISNA(VLOOKUP($B117,'B-1 On-Site Hedge Baseline'!$B$1:$L$257,4,FALSE)),"",(VLOOKUP($B117,'B-1 On-Site Hedge Baseline'!$B$1:$L$257,4,FALSE))))</f>
        <v/>
      </c>
      <c r="E117" s="301" t="str">
        <f>IF(B117="","",IF(ISNA(VLOOKUP($B117,'B-1 On-Site Hedge Baseline'!$B$1:$L$257,5,FALSE)),"",(VLOOKUP($B117,'B-1 On-Site Hedge Baseline'!$B$1:$L$257,5,FALSE))))</f>
        <v/>
      </c>
      <c r="F117" s="301" t="str">
        <f>IF(B117="","",IF(ISNA(VLOOKUP($B117,'B-1 On-Site Hedge Baseline'!$B$1:$L$257,6,FALSE)),"",(VLOOKUP($B117,'B-1 On-Site Hedge Baseline'!$B$1:$L$257,6,FALSE))))</f>
        <v/>
      </c>
      <c r="G117" s="301" t="str">
        <f>IF(B117="","",IF(ISNA(VLOOKUP($B117,'B-1 On-Site Hedge Baseline'!$B$1:$L$257,7,FALSE)),"",(VLOOKUP($B117,'B-1 On-Site Hedge Baseline'!$B$1:$L$257,7,FALSE))))</f>
        <v/>
      </c>
      <c r="H117" s="301" t="str">
        <f>IF(B117="","",IF(ISNA(VLOOKUP($B117,'B-1 On-Site Hedge Baseline'!$B$1:$L$257,8,FALSE)),"",(VLOOKUP($B117,'B-1 On-Site Hedge Baseline'!$B$1:$L$257,8,FALSE))))</f>
        <v/>
      </c>
      <c r="I117" s="301" t="str">
        <f>IF(B117="","",IF(ISNA(VLOOKUP($B117,'B-1 On-Site Hedge Baseline'!$B$1:$L$257,10,FALSE)),"",(VLOOKUP($B117,'B-1 On-Site Hedge Baseline'!$B$1:$L$257,10,FALSE))))</f>
        <v/>
      </c>
      <c r="J117" s="301" t="str">
        <f>IF(B117="","",IF(ISNA(VLOOKUP($B117,'B-1 On-Site Hedge Baseline'!$B$1:$L$257,11,FALSE)),"",(VLOOKUP($B117,'B-1 On-Site Hedge Baseline'!$B$1:$L$257,11,FALSE))))</f>
        <v/>
      </c>
      <c r="K117" s="301" t="str">
        <f>IF(B117="","",IF(ISNA(VLOOKUP($B117,'B-1 On-Site Hedge Baseline'!$B$1:$U$257,13,FALSE)),"",(VLOOKUP($B117,'B-1 On-Site Hedge Baseline'!$B$1:$U$257,13,FALSE))))</f>
        <v/>
      </c>
      <c r="L117" s="305" t="str">
        <f>IF(B117="","",IF(ISNA(VLOOKUP($B117,'B-1 On-Site Hedge Baseline'!$B$1:$U$257,12,FALSE)),"",(VLOOKUP($B117,'B-1 On-Site Hedge Baseline'!$B$1:$U$257,12,FALSE))))</f>
        <v/>
      </c>
      <c r="M117" s="627"/>
      <c r="N117" s="281" t="str">
        <f>IFERROR(IF(B117="","",INDEX('G-6 Hedgerow Data'!$AN$3:$AZ$15,MATCH(C117,'G-6 Hedgerow Data'!$AM$3:$AM$15,0),MATCH(M117,'G-6 Hedgerow Data'!$AN$2:$AZ$2,0))),"")</f>
        <v/>
      </c>
      <c r="O117" s="282" t="str">
        <f t="shared" si="8"/>
        <v/>
      </c>
      <c r="P117" s="335" t="str">
        <f>IF(B117="","",VLOOKUP(B117,'B-1 On-Site Hedge Baseline'!$B$10:T362,16,FALSE))</f>
        <v/>
      </c>
      <c r="Q117" s="281" t="str">
        <f>IF(M117="","",VLOOKUP(M117,'G-6 Hedgerow Data'!$B$2:$AG$15,2,FALSE))</f>
        <v/>
      </c>
      <c r="R117" s="282" t="str">
        <f>IF(M117="","",VLOOKUP(M117,'G-6 Hedgerow Data'!$B$2:$AG$15,3,FALSE))</f>
        <v/>
      </c>
      <c r="S117" s="112"/>
      <c r="T117" s="320" t="str">
        <f>IFERROR(IF(S117="","",IF(AND(M117="Non-native and ornamental hedgerow", S117&lt;&gt;"Poor"),"Not possible ▲", (VLOOKUP(S117,'G-1 All Habitats'!$Z$2:$AA$9,2,FALSE)))),"")</f>
        <v/>
      </c>
      <c r="U117" s="109"/>
      <c r="V117" s="301" t="str">
        <f>IF(U117="","",IF(VLOOKUP(U117,'G-3 Multipliers'!$L$3:$N$6,2,FALSE)=0,"Spatial Data Missing ⚠",VLOOKUP(U117,'G-3 Multipliers'!$L$3:$N$6,2,FALSE)))</f>
        <v/>
      </c>
      <c r="W117" s="305" t="str">
        <f>IF(U117="","",IF(VLOOKUP(U117,'G-3 Multipliers'!$L$3:$N$6,3,FALSE)=0,"Spatial Data Missing ⚠",VLOOKUP(U117,'G-3 Multipliers'!$L$3:$N$6,3,FALSE)))</f>
        <v/>
      </c>
      <c r="X117" s="281" t="str">
        <f>IFERROR(IF(OR(LEFT(O117,5)="Error",LEFT(N117,5)="Error",T117="Error"),"Check Data ⚠",IF(F117&lt;R117,INDEX('G-6 Hedgerow Data'!$S$3:$AE$14,MATCH(C117,'G-6 Hedgerow Data'!$B$3:$B$14,0),MATCH(M117,'G-6 Hedgerow Data'!$S$2:$AE$2,0)),INDEX('G-6 Hedgerow Data'!$K$3:$Q$14,MATCH(M117,'G-6 Hedgerow Data'!$B$3:$B$14,0),MATCH(O117,'G-6 Hedgerow Data'!$K$2:$Q$2,0)))),"")</f>
        <v/>
      </c>
      <c r="Y117" s="137"/>
      <c r="Z117" s="137"/>
      <c r="AA117" s="289" t="str">
        <f t="shared" si="9"/>
        <v/>
      </c>
      <c r="AB117" s="302" t="str">
        <f t="shared" si="10"/>
        <v/>
      </c>
      <c r="AC117" s="303" t="str">
        <f t="shared" si="7"/>
        <v/>
      </c>
      <c r="AD117" s="317" t="str">
        <f>IF(M117="","",VLOOKUP(M117,'G-6 Hedgerow Data'!$B$3:$AG$15,31,FALSE))</f>
        <v/>
      </c>
      <c r="AE117" s="289" t="str">
        <f t="shared" si="11"/>
        <v/>
      </c>
      <c r="AF117" s="289" t="str">
        <f t="shared" si="12"/>
        <v/>
      </c>
      <c r="AG117" s="305" t="str">
        <f>IFERROR(IF(O117="","",VLOOKUP(AD117,'G-3 Multipliers'!$P$3:$Q$6,2,FALSE)),"")</f>
        <v/>
      </c>
      <c r="AH117" s="295" t="str">
        <f t="shared" si="13"/>
        <v/>
      </c>
      <c r="AI117" s="112"/>
      <c r="AJ117" s="119"/>
      <c r="AK117" s="108"/>
      <c r="AT117" s="30" t="str">
        <f>IFERROR(INDEX('G-6 Hedgerow Data'!$BJ$3:$BJ$15,MATCH(M117,'G-6 Hedgerow Data'!$B$3:$B$15,0)),"")</f>
        <v/>
      </c>
    </row>
    <row r="118" spans="2:46" ht="13.8" x14ac:dyDescent="0.25">
      <c r="B118" s="311" t="str">
        <f>'B-1 On-Site Hedge Baseline'!AK116</f>
        <v/>
      </c>
      <c r="C118" s="301" t="str">
        <f>IF(B118="","",IF(ISNA(VLOOKUP($B118,'B-1 On-Site Hedge Baseline'!$B$1:$L$257,3,FALSE)),"",(VLOOKUP($B118,'B-1 On-Site Hedge Baseline'!$B$1:$L$257,3,FALSE))))</f>
        <v/>
      </c>
      <c r="D118" s="301" t="str">
        <f>IF(B118="","",IF(ISNA(VLOOKUP($B118,'B-1 On-Site Hedge Baseline'!$B$1:$L$257,4,FALSE)),"",(VLOOKUP($B118,'B-1 On-Site Hedge Baseline'!$B$1:$L$257,4,FALSE))))</f>
        <v/>
      </c>
      <c r="E118" s="301" t="str">
        <f>IF(B118="","",IF(ISNA(VLOOKUP($B118,'B-1 On-Site Hedge Baseline'!$B$1:$L$257,5,FALSE)),"",(VLOOKUP($B118,'B-1 On-Site Hedge Baseline'!$B$1:$L$257,5,FALSE))))</f>
        <v/>
      </c>
      <c r="F118" s="301" t="str">
        <f>IF(B118="","",IF(ISNA(VLOOKUP($B118,'B-1 On-Site Hedge Baseline'!$B$1:$L$257,6,FALSE)),"",(VLOOKUP($B118,'B-1 On-Site Hedge Baseline'!$B$1:$L$257,6,FALSE))))</f>
        <v/>
      </c>
      <c r="G118" s="301" t="str">
        <f>IF(B118="","",IF(ISNA(VLOOKUP($B118,'B-1 On-Site Hedge Baseline'!$B$1:$L$257,7,FALSE)),"",(VLOOKUP($B118,'B-1 On-Site Hedge Baseline'!$B$1:$L$257,7,FALSE))))</f>
        <v/>
      </c>
      <c r="H118" s="301" t="str">
        <f>IF(B118="","",IF(ISNA(VLOOKUP($B118,'B-1 On-Site Hedge Baseline'!$B$1:$L$257,8,FALSE)),"",(VLOOKUP($B118,'B-1 On-Site Hedge Baseline'!$B$1:$L$257,8,FALSE))))</f>
        <v/>
      </c>
      <c r="I118" s="301" t="str">
        <f>IF(B118="","",IF(ISNA(VLOOKUP($B118,'B-1 On-Site Hedge Baseline'!$B$1:$L$257,10,FALSE)),"",(VLOOKUP($B118,'B-1 On-Site Hedge Baseline'!$B$1:$L$257,10,FALSE))))</f>
        <v/>
      </c>
      <c r="J118" s="301" t="str">
        <f>IF(B118="","",IF(ISNA(VLOOKUP($B118,'B-1 On-Site Hedge Baseline'!$B$1:$L$257,11,FALSE)),"",(VLOOKUP($B118,'B-1 On-Site Hedge Baseline'!$B$1:$L$257,11,FALSE))))</f>
        <v/>
      </c>
      <c r="K118" s="301" t="str">
        <f>IF(B118="","",IF(ISNA(VLOOKUP($B118,'B-1 On-Site Hedge Baseline'!$B$1:$U$257,13,FALSE)),"",(VLOOKUP($B118,'B-1 On-Site Hedge Baseline'!$B$1:$U$257,13,FALSE))))</f>
        <v/>
      </c>
      <c r="L118" s="305" t="str">
        <f>IF(B118="","",IF(ISNA(VLOOKUP($B118,'B-1 On-Site Hedge Baseline'!$B$1:$U$257,12,FALSE)),"",(VLOOKUP($B118,'B-1 On-Site Hedge Baseline'!$B$1:$U$257,12,FALSE))))</f>
        <v/>
      </c>
      <c r="M118" s="627"/>
      <c r="N118" s="281" t="str">
        <f>IFERROR(IF(B118="","",INDEX('G-6 Hedgerow Data'!$AN$3:$AZ$15,MATCH(C118,'G-6 Hedgerow Data'!$AM$3:$AM$15,0),MATCH(M118,'G-6 Hedgerow Data'!$AN$2:$AZ$2,0))),"")</f>
        <v/>
      </c>
      <c r="O118" s="282" t="str">
        <f t="shared" si="8"/>
        <v/>
      </c>
      <c r="P118" s="335" t="str">
        <f>IF(B118="","",VLOOKUP(B118,'B-1 On-Site Hedge Baseline'!$B$10:T363,16,FALSE))</f>
        <v/>
      </c>
      <c r="Q118" s="281" t="str">
        <f>IF(M118="","",VLOOKUP(M118,'G-6 Hedgerow Data'!$B$2:$AG$15,2,FALSE))</f>
        <v/>
      </c>
      <c r="R118" s="282" t="str">
        <f>IF(M118="","",VLOOKUP(M118,'G-6 Hedgerow Data'!$B$2:$AG$15,3,FALSE))</f>
        <v/>
      </c>
      <c r="S118" s="112"/>
      <c r="T118" s="320" t="str">
        <f>IFERROR(IF(S118="","",IF(AND(M118="Non-native and ornamental hedgerow", S118&lt;&gt;"Poor"),"Not possible ▲", (VLOOKUP(S118,'G-1 All Habitats'!$Z$2:$AA$9,2,FALSE)))),"")</f>
        <v/>
      </c>
      <c r="U118" s="109"/>
      <c r="V118" s="301" t="str">
        <f>IF(U118="","",IF(VLOOKUP(U118,'G-3 Multipliers'!$L$3:$N$6,2,FALSE)=0,"Spatial Data Missing ⚠",VLOOKUP(U118,'G-3 Multipliers'!$L$3:$N$6,2,FALSE)))</f>
        <v/>
      </c>
      <c r="W118" s="305" t="str">
        <f>IF(U118="","",IF(VLOOKUP(U118,'G-3 Multipliers'!$L$3:$N$6,3,FALSE)=0,"Spatial Data Missing ⚠",VLOOKUP(U118,'G-3 Multipliers'!$L$3:$N$6,3,FALSE)))</f>
        <v/>
      </c>
      <c r="X118" s="281" t="str">
        <f>IFERROR(IF(OR(LEFT(O118,5)="Error",LEFT(N118,5)="Error",T118="Error"),"Check Data ⚠",IF(F118&lt;R118,INDEX('G-6 Hedgerow Data'!$S$3:$AE$14,MATCH(C118,'G-6 Hedgerow Data'!$B$3:$B$14,0),MATCH(M118,'G-6 Hedgerow Data'!$S$2:$AE$2,0)),INDEX('G-6 Hedgerow Data'!$K$3:$Q$14,MATCH(M118,'G-6 Hedgerow Data'!$B$3:$B$14,0),MATCH(O118,'G-6 Hedgerow Data'!$K$2:$Q$2,0)))),"")</f>
        <v/>
      </c>
      <c r="Y118" s="137"/>
      <c r="Z118" s="137"/>
      <c r="AA118" s="289" t="str">
        <f t="shared" si="9"/>
        <v/>
      </c>
      <c r="AB118" s="302" t="str">
        <f t="shared" si="10"/>
        <v/>
      </c>
      <c r="AC118" s="303" t="str">
        <f t="shared" si="7"/>
        <v/>
      </c>
      <c r="AD118" s="317" t="str">
        <f>IF(M118="","",VLOOKUP(M118,'G-6 Hedgerow Data'!$B$3:$AG$15,31,FALSE))</f>
        <v/>
      </c>
      <c r="AE118" s="289" t="str">
        <f t="shared" si="11"/>
        <v/>
      </c>
      <c r="AF118" s="289" t="str">
        <f t="shared" si="12"/>
        <v/>
      </c>
      <c r="AG118" s="305" t="str">
        <f>IFERROR(IF(O118="","",VLOOKUP(AD118,'G-3 Multipliers'!$P$3:$Q$6,2,FALSE)),"")</f>
        <v/>
      </c>
      <c r="AH118" s="295" t="str">
        <f t="shared" si="13"/>
        <v/>
      </c>
      <c r="AI118" s="112"/>
      <c r="AJ118" s="119"/>
      <c r="AK118" s="108"/>
      <c r="AT118" s="30" t="str">
        <f>IFERROR(INDEX('G-6 Hedgerow Data'!$BJ$3:$BJ$15,MATCH(M118,'G-6 Hedgerow Data'!$B$3:$B$15,0)),"")</f>
        <v/>
      </c>
    </row>
    <row r="119" spans="2:46" ht="13.8" x14ac:dyDescent="0.25">
      <c r="B119" s="311" t="str">
        <f>'B-1 On-Site Hedge Baseline'!AK117</f>
        <v/>
      </c>
      <c r="C119" s="301" t="str">
        <f>IF(B119="","",IF(ISNA(VLOOKUP($B119,'B-1 On-Site Hedge Baseline'!$B$1:$L$257,3,FALSE)),"",(VLOOKUP($B119,'B-1 On-Site Hedge Baseline'!$B$1:$L$257,3,FALSE))))</f>
        <v/>
      </c>
      <c r="D119" s="301" t="str">
        <f>IF(B119="","",IF(ISNA(VLOOKUP($B119,'B-1 On-Site Hedge Baseline'!$B$1:$L$257,4,FALSE)),"",(VLOOKUP($B119,'B-1 On-Site Hedge Baseline'!$B$1:$L$257,4,FALSE))))</f>
        <v/>
      </c>
      <c r="E119" s="301" t="str">
        <f>IF(B119="","",IF(ISNA(VLOOKUP($B119,'B-1 On-Site Hedge Baseline'!$B$1:$L$257,5,FALSE)),"",(VLOOKUP($B119,'B-1 On-Site Hedge Baseline'!$B$1:$L$257,5,FALSE))))</f>
        <v/>
      </c>
      <c r="F119" s="301" t="str">
        <f>IF(B119="","",IF(ISNA(VLOOKUP($B119,'B-1 On-Site Hedge Baseline'!$B$1:$L$257,6,FALSE)),"",(VLOOKUP($B119,'B-1 On-Site Hedge Baseline'!$B$1:$L$257,6,FALSE))))</f>
        <v/>
      </c>
      <c r="G119" s="301" t="str">
        <f>IF(B119="","",IF(ISNA(VLOOKUP($B119,'B-1 On-Site Hedge Baseline'!$B$1:$L$257,7,FALSE)),"",(VLOOKUP($B119,'B-1 On-Site Hedge Baseline'!$B$1:$L$257,7,FALSE))))</f>
        <v/>
      </c>
      <c r="H119" s="301" t="str">
        <f>IF(B119="","",IF(ISNA(VLOOKUP($B119,'B-1 On-Site Hedge Baseline'!$B$1:$L$257,8,FALSE)),"",(VLOOKUP($B119,'B-1 On-Site Hedge Baseline'!$B$1:$L$257,8,FALSE))))</f>
        <v/>
      </c>
      <c r="I119" s="301" t="str">
        <f>IF(B119="","",IF(ISNA(VLOOKUP($B119,'B-1 On-Site Hedge Baseline'!$B$1:$L$257,10,FALSE)),"",(VLOOKUP($B119,'B-1 On-Site Hedge Baseline'!$B$1:$L$257,10,FALSE))))</f>
        <v/>
      </c>
      <c r="J119" s="301" t="str">
        <f>IF(B119="","",IF(ISNA(VLOOKUP($B119,'B-1 On-Site Hedge Baseline'!$B$1:$L$257,11,FALSE)),"",(VLOOKUP($B119,'B-1 On-Site Hedge Baseline'!$B$1:$L$257,11,FALSE))))</f>
        <v/>
      </c>
      <c r="K119" s="301" t="str">
        <f>IF(B119="","",IF(ISNA(VLOOKUP($B119,'B-1 On-Site Hedge Baseline'!$B$1:$U$257,13,FALSE)),"",(VLOOKUP($B119,'B-1 On-Site Hedge Baseline'!$B$1:$U$257,13,FALSE))))</f>
        <v/>
      </c>
      <c r="L119" s="305" t="str">
        <f>IF(B119="","",IF(ISNA(VLOOKUP($B119,'B-1 On-Site Hedge Baseline'!$B$1:$U$257,12,FALSE)),"",(VLOOKUP($B119,'B-1 On-Site Hedge Baseline'!$B$1:$U$257,12,FALSE))))</f>
        <v/>
      </c>
      <c r="M119" s="627"/>
      <c r="N119" s="281" t="str">
        <f>IFERROR(IF(B119="","",INDEX('G-6 Hedgerow Data'!$AN$3:$AZ$15,MATCH(C119,'G-6 Hedgerow Data'!$AM$3:$AM$15,0),MATCH(M119,'G-6 Hedgerow Data'!$AN$2:$AZ$2,0))),"")</f>
        <v/>
      </c>
      <c r="O119" s="282" t="str">
        <f t="shared" si="8"/>
        <v/>
      </c>
      <c r="P119" s="335" t="str">
        <f>IF(B119="","",VLOOKUP(B119,'B-1 On-Site Hedge Baseline'!$B$10:T364,16,FALSE))</f>
        <v/>
      </c>
      <c r="Q119" s="281" t="str">
        <f>IF(M119="","",VLOOKUP(M119,'G-6 Hedgerow Data'!$B$2:$AG$15,2,FALSE))</f>
        <v/>
      </c>
      <c r="R119" s="282" t="str">
        <f>IF(M119="","",VLOOKUP(M119,'G-6 Hedgerow Data'!$B$2:$AG$15,3,FALSE))</f>
        <v/>
      </c>
      <c r="S119" s="112"/>
      <c r="T119" s="320" t="str">
        <f>IFERROR(IF(S119="","",IF(AND(M119="Non-native and ornamental hedgerow", S119&lt;&gt;"Poor"),"Not possible ▲", (VLOOKUP(S119,'G-1 All Habitats'!$Z$2:$AA$9,2,FALSE)))),"")</f>
        <v/>
      </c>
      <c r="U119" s="109"/>
      <c r="V119" s="301" t="str">
        <f>IF(U119="","",IF(VLOOKUP(U119,'G-3 Multipliers'!$L$3:$N$6,2,FALSE)=0,"Spatial Data Missing ⚠",VLOOKUP(U119,'G-3 Multipliers'!$L$3:$N$6,2,FALSE)))</f>
        <v/>
      </c>
      <c r="W119" s="305" t="str">
        <f>IF(U119="","",IF(VLOOKUP(U119,'G-3 Multipliers'!$L$3:$N$6,3,FALSE)=0,"Spatial Data Missing ⚠",VLOOKUP(U119,'G-3 Multipliers'!$L$3:$N$6,3,FALSE)))</f>
        <v/>
      </c>
      <c r="X119" s="281" t="str">
        <f>IFERROR(IF(OR(LEFT(O119,5)="Error",LEFT(N119,5)="Error",T119="Error"),"Check Data ⚠",IF(F119&lt;R119,INDEX('G-6 Hedgerow Data'!$S$3:$AE$14,MATCH(C119,'G-6 Hedgerow Data'!$B$3:$B$14,0),MATCH(M119,'G-6 Hedgerow Data'!$S$2:$AE$2,0)),INDEX('G-6 Hedgerow Data'!$K$3:$Q$14,MATCH(M119,'G-6 Hedgerow Data'!$B$3:$B$14,0),MATCH(O119,'G-6 Hedgerow Data'!$K$2:$Q$2,0)))),"")</f>
        <v/>
      </c>
      <c r="Y119" s="137"/>
      <c r="Z119" s="137"/>
      <c r="AA119" s="289" t="str">
        <f t="shared" si="9"/>
        <v/>
      </c>
      <c r="AB119" s="302" t="str">
        <f t="shared" si="10"/>
        <v/>
      </c>
      <c r="AC119" s="303" t="str">
        <f t="shared" si="7"/>
        <v/>
      </c>
      <c r="AD119" s="317" t="str">
        <f>IF(M119="","",VLOOKUP(M119,'G-6 Hedgerow Data'!$B$3:$AG$15,31,FALSE))</f>
        <v/>
      </c>
      <c r="AE119" s="289" t="str">
        <f t="shared" si="11"/>
        <v/>
      </c>
      <c r="AF119" s="289" t="str">
        <f t="shared" si="12"/>
        <v/>
      </c>
      <c r="AG119" s="305" t="str">
        <f>IFERROR(IF(O119="","",VLOOKUP(AD119,'G-3 Multipliers'!$P$3:$Q$6,2,FALSE)),"")</f>
        <v/>
      </c>
      <c r="AH119" s="295" t="str">
        <f t="shared" si="13"/>
        <v/>
      </c>
      <c r="AI119" s="112"/>
      <c r="AJ119" s="119"/>
      <c r="AK119" s="108"/>
      <c r="AT119" s="30" t="str">
        <f>IFERROR(INDEX('G-6 Hedgerow Data'!$BJ$3:$BJ$15,MATCH(M119,'G-6 Hedgerow Data'!$B$3:$B$15,0)),"")</f>
        <v/>
      </c>
    </row>
    <row r="120" spans="2:46" ht="13.8" x14ac:dyDescent="0.25">
      <c r="B120" s="311" t="str">
        <f>'B-1 On-Site Hedge Baseline'!AK118</f>
        <v/>
      </c>
      <c r="C120" s="301" t="str">
        <f>IF(B120="","",IF(ISNA(VLOOKUP($B120,'B-1 On-Site Hedge Baseline'!$B$1:$L$257,3,FALSE)),"",(VLOOKUP($B120,'B-1 On-Site Hedge Baseline'!$B$1:$L$257,3,FALSE))))</f>
        <v/>
      </c>
      <c r="D120" s="301" t="str">
        <f>IF(B120="","",IF(ISNA(VLOOKUP($B120,'B-1 On-Site Hedge Baseline'!$B$1:$L$257,4,FALSE)),"",(VLOOKUP($B120,'B-1 On-Site Hedge Baseline'!$B$1:$L$257,4,FALSE))))</f>
        <v/>
      </c>
      <c r="E120" s="301" t="str">
        <f>IF(B120="","",IF(ISNA(VLOOKUP($B120,'B-1 On-Site Hedge Baseline'!$B$1:$L$257,5,FALSE)),"",(VLOOKUP($B120,'B-1 On-Site Hedge Baseline'!$B$1:$L$257,5,FALSE))))</f>
        <v/>
      </c>
      <c r="F120" s="301" t="str">
        <f>IF(B120="","",IF(ISNA(VLOOKUP($B120,'B-1 On-Site Hedge Baseline'!$B$1:$L$257,6,FALSE)),"",(VLOOKUP($B120,'B-1 On-Site Hedge Baseline'!$B$1:$L$257,6,FALSE))))</f>
        <v/>
      </c>
      <c r="G120" s="301" t="str">
        <f>IF(B120="","",IF(ISNA(VLOOKUP($B120,'B-1 On-Site Hedge Baseline'!$B$1:$L$257,7,FALSE)),"",(VLOOKUP($B120,'B-1 On-Site Hedge Baseline'!$B$1:$L$257,7,FALSE))))</f>
        <v/>
      </c>
      <c r="H120" s="301" t="str">
        <f>IF(B120="","",IF(ISNA(VLOOKUP($B120,'B-1 On-Site Hedge Baseline'!$B$1:$L$257,8,FALSE)),"",(VLOOKUP($B120,'B-1 On-Site Hedge Baseline'!$B$1:$L$257,8,FALSE))))</f>
        <v/>
      </c>
      <c r="I120" s="301" t="str">
        <f>IF(B120="","",IF(ISNA(VLOOKUP($B120,'B-1 On-Site Hedge Baseline'!$B$1:$L$257,10,FALSE)),"",(VLOOKUP($B120,'B-1 On-Site Hedge Baseline'!$B$1:$L$257,10,FALSE))))</f>
        <v/>
      </c>
      <c r="J120" s="301" t="str">
        <f>IF(B120="","",IF(ISNA(VLOOKUP($B120,'B-1 On-Site Hedge Baseline'!$B$1:$L$257,11,FALSE)),"",(VLOOKUP($B120,'B-1 On-Site Hedge Baseline'!$B$1:$L$257,11,FALSE))))</f>
        <v/>
      </c>
      <c r="K120" s="301" t="str">
        <f>IF(B120="","",IF(ISNA(VLOOKUP($B120,'B-1 On-Site Hedge Baseline'!$B$1:$U$257,13,FALSE)),"",(VLOOKUP($B120,'B-1 On-Site Hedge Baseline'!$B$1:$U$257,13,FALSE))))</f>
        <v/>
      </c>
      <c r="L120" s="305" t="str">
        <f>IF(B120="","",IF(ISNA(VLOOKUP($B120,'B-1 On-Site Hedge Baseline'!$B$1:$U$257,12,FALSE)),"",(VLOOKUP($B120,'B-1 On-Site Hedge Baseline'!$B$1:$U$257,12,FALSE))))</f>
        <v/>
      </c>
      <c r="M120" s="627"/>
      <c r="N120" s="281" t="str">
        <f>IFERROR(IF(B120="","",INDEX('G-6 Hedgerow Data'!$AN$3:$AZ$15,MATCH(C120,'G-6 Hedgerow Data'!$AM$3:$AM$15,0),MATCH(M120,'G-6 Hedgerow Data'!$AN$2:$AZ$2,0))),"")</f>
        <v/>
      </c>
      <c r="O120" s="282" t="str">
        <f t="shared" si="8"/>
        <v/>
      </c>
      <c r="P120" s="335" t="str">
        <f>IF(B120="","",VLOOKUP(B120,'B-1 On-Site Hedge Baseline'!$B$10:T365,16,FALSE))</f>
        <v/>
      </c>
      <c r="Q120" s="281" t="str">
        <f>IF(M120="","",VLOOKUP(M120,'G-6 Hedgerow Data'!$B$2:$AG$15,2,FALSE))</f>
        <v/>
      </c>
      <c r="R120" s="282" t="str">
        <f>IF(M120="","",VLOOKUP(M120,'G-6 Hedgerow Data'!$B$2:$AG$15,3,FALSE))</f>
        <v/>
      </c>
      <c r="S120" s="112"/>
      <c r="T120" s="320" t="str">
        <f>IFERROR(IF(S120="","",IF(AND(M120="Non-native and ornamental hedgerow", S120&lt;&gt;"Poor"),"Not possible ▲", (VLOOKUP(S120,'G-1 All Habitats'!$Z$2:$AA$9,2,FALSE)))),"")</f>
        <v/>
      </c>
      <c r="U120" s="109"/>
      <c r="V120" s="301" t="str">
        <f>IF(U120="","",IF(VLOOKUP(U120,'G-3 Multipliers'!$L$3:$N$6,2,FALSE)=0,"Spatial Data Missing ⚠",VLOOKUP(U120,'G-3 Multipliers'!$L$3:$N$6,2,FALSE)))</f>
        <v/>
      </c>
      <c r="W120" s="305" t="str">
        <f>IF(U120="","",IF(VLOOKUP(U120,'G-3 Multipliers'!$L$3:$N$6,3,FALSE)=0,"Spatial Data Missing ⚠",VLOOKUP(U120,'G-3 Multipliers'!$L$3:$N$6,3,FALSE)))</f>
        <v/>
      </c>
      <c r="X120" s="281" t="str">
        <f>IFERROR(IF(OR(LEFT(O120,5)="Error",LEFT(N120,5)="Error",T120="Error"),"Check Data ⚠",IF(F120&lt;R120,INDEX('G-6 Hedgerow Data'!$S$3:$AE$14,MATCH(C120,'G-6 Hedgerow Data'!$B$3:$B$14,0),MATCH(M120,'G-6 Hedgerow Data'!$S$2:$AE$2,0)),INDEX('G-6 Hedgerow Data'!$K$3:$Q$14,MATCH(M120,'G-6 Hedgerow Data'!$B$3:$B$14,0),MATCH(O120,'G-6 Hedgerow Data'!$K$2:$Q$2,0)))),"")</f>
        <v/>
      </c>
      <c r="Y120" s="137"/>
      <c r="Z120" s="137"/>
      <c r="AA120" s="289" t="str">
        <f t="shared" si="9"/>
        <v/>
      </c>
      <c r="AB120" s="302" t="str">
        <f t="shared" si="10"/>
        <v/>
      </c>
      <c r="AC120" s="303" t="str">
        <f t="shared" si="7"/>
        <v/>
      </c>
      <c r="AD120" s="317" t="str">
        <f>IF(M120="","",VLOOKUP(M120,'G-6 Hedgerow Data'!$B$3:$AG$15,31,FALSE))</f>
        <v/>
      </c>
      <c r="AE120" s="289" t="str">
        <f t="shared" si="11"/>
        <v/>
      </c>
      <c r="AF120" s="289" t="str">
        <f t="shared" si="12"/>
        <v/>
      </c>
      <c r="AG120" s="305" t="str">
        <f>IFERROR(IF(O120="","",VLOOKUP(AD120,'G-3 Multipliers'!$P$3:$Q$6,2,FALSE)),"")</f>
        <v/>
      </c>
      <c r="AH120" s="295" t="str">
        <f t="shared" si="13"/>
        <v/>
      </c>
      <c r="AI120" s="112"/>
      <c r="AJ120" s="119"/>
      <c r="AK120" s="108"/>
      <c r="AT120" s="30" t="str">
        <f>IFERROR(INDEX('G-6 Hedgerow Data'!$BJ$3:$BJ$15,MATCH(M120,'G-6 Hedgerow Data'!$B$3:$B$15,0)),"")</f>
        <v/>
      </c>
    </row>
    <row r="121" spans="2:46" ht="13.8" x14ac:dyDescent="0.25">
      <c r="B121" s="311" t="str">
        <f>'B-1 On-Site Hedge Baseline'!AK119</f>
        <v/>
      </c>
      <c r="C121" s="301" t="str">
        <f>IF(B121="","",IF(ISNA(VLOOKUP($B121,'B-1 On-Site Hedge Baseline'!$B$1:$L$257,3,FALSE)),"",(VLOOKUP($B121,'B-1 On-Site Hedge Baseline'!$B$1:$L$257,3,FALSE))))</f>
        <v/>
      </c>
      <c r="D121" s="301" t="str">
        <f>IF(B121="","",IF(ISNA(VLOOKUP($B121,'B-1 On-Site Hedge Baseline'!$B$1:$L$257,4,FALSE)),"",(VLOOKUP($B121,'B-1 On-Site Hedge Baseline'!$B$1:$L$257,4,FALSE))))</f>
        <v/>
      </c>
      <c r="E121" s="301" t="str">
        <f>IF(B121="","",IF(ISNA(VLOOKUP($B121,'B-1 On-Site Hedge Baseline'!$B$1:$L$257,5,FALSE)),"",(VLOOKUP($B121,'B-1 On-Site Hedge Baseline'!$B$1:$L$257,5,FALSE))))</f>
        <v/>
      </c>
      <c r="F121" s="301" t="str">
        <f>IF(B121="","",IF(ISNA(VLOOKUP($B121,'B-1 On-Site Hedge Baseline'!$B$1:$L$257,6,FALSE)),"",(VLOOKUP($B121,'B-1 On-Site Hedge Baseline'!$B$1:$L$257,6,FALSE))))</f>
        <v/>
      </c>
      <c r="G121" s="301" t="str">
        <f>IF(B121="","",IF(ISNA(VLOOKUP($B121,'B-1 On-Site Hedge Baseline'!$B$1:$L$257,7,FALSE)),"",(VLOOKUP($B121,'B-1 On-Site Hedge Baseline'!$B$1:$L$257,7,FALSE))))</f>
        <v/>
      </c>
      <c r="H121" s="301" t="str">
        <f>IF(B121="","",IF(ISNA(VLOOKUP($B121,'B-1 On-Site Hedge Baseline'!$B$1:$L$257,8,FALSE)),"",(VLOOKUP($B121,'B-1 On-Site Hedge Baseline'!$B$1:$L$257,8,FALSE))))</f>
        <v/>
      </c>
      <c r="I121" s="301" t="str">
        <f>IF(B121="","",IF(ISNA(VLOOKUP($B121,'B-1 On-Site Hedge Baseline'!$B$1:$L$257,10,FALSE)),"",(VLOOKUP($B121,'B-1 On-Site Hedge Baseline'!$B$1:$L$257,10,FALSE))))</f>
        <v/>
      </c>
      <c r="J121" s="301" t="str">
        <f>IF(B121="","",IF(ISNA(VLOOKUP($B121,'B-1 On-Site Hedge Baseline'!$B$1:$L$257,11,FALSE)),"",(VLOOKUP($B121,'B-1 On-Site Hedge Baseline'!$B$1:$L$257,11,FALSE))))</f>
        <v/>
      </c>
      <c r="K121" s="301" t="str">
        <f>IF(B121="","",IF(ISNA(VLOOKUP($B121,'B-1 On-Site Hedge Baseline'!$B$1:$U$257,13,FALSE)),"",(VLOOKUP($B121,'B-1 On-Site Hedge Baseline'!$B$1:$U$257,13,FALSE))))</f>
        <v/>
      </c>
      <c r="L121" s="305" t="str">
        <f>IF(B121="","",IF(ISNA(VLOOKUP($B121,'B-1 On-Site Hedge Baseline'!$B$1:$U$257,12,FALSE)),"",(VLOOKUP($B121,'B-1 On-Site Hedge Baseline'!$B$1:$U$257,12,FALSE))))</f>
        <v/>
      </c>
      <c r="M121" s="627"/>
      <c r="N121" s="281" t="str">
        <f>IFERROR(IF(B121="","",INDEX('G-6 Hedgerow Data'!$AN$3:$AZ$15,MATCH(C121,'G-6 Hedgerow Data'!$AM$3:$AM$15,0),MATCH(M121,'G-6 Hedgerow Data'!$AN$2:$AZ$2,0))),"")</f>
        <v/>
      </c>
      <c r="O121" s="282" t="str">
        <f t="shared" si="8"/>
        <v/>
      </c>
      <c r="P121" s="335" t="str">
        <f>IF(B121="","",VLOOKUP(B121,'B-1 On-Site Hedge Baseline'!$B$10:T366,16,FALSE))</f>
        <v/>
      </c>
      <c r="Q121" s="281" t="str">
        <f>IF(M121="","",VLOOKUP(M121,'G-6 Hedgerow Data'!$B$2:$AG$15,2,FALSE))</f>
        <v/>
      </c>
      <c r="R121" s="282" t="str">
        <f>IF(M121="","",VLOOKUP(M121,'G-6 Hedgerow Data'!$B$2:$AG$15,3,FALSE))</f>
        <v/>
      </c>
      <c r="S121" s="112"/>
      <c r="T121" s="320" t="str">
        <f>IFERROR(IF(S121="","",IF(AND(M121="Non-native and ornamental hedgerow", S121&lt;&gt;"Poor"),"Not possible ▲", (VLOOKUP(S121,'G-1 All Habitats'!$Z$2:$AA$9,2,FALSE)))),"")</f>
        <v/>
      </c>
      <c r="U121" s="109"/>
      <c r="V121" s="301" t="str">
        <f>IF(U121="","",IF(VLOOKUP(U121,'G-3 Multipliers'!$L$3:$N$6,2,FALSE)=0,"Spatial Data Missing ⚠",VLOOKUP(U121,'G-3 Multipliers'!$L$3:$N$6,2,FALSE)))</f>
        <v/>
      </c>
      <c r="W121" s="305" t="str">
        <f>IF(U121="","",IF(VLOOKUP(U121,'G-3 Multipliers'!$L$3:$N$6,3,FALSE)=0,"Spatial Data Missing ⚠",VLOOKUP(U121,'G-3 Multipliers'!$L$3:$N$6,3,FALSE)))</f>
        <v/>
      </c>
      <c r="X121" s="281" t="str">
        <f>IFERROR(IF(OR(LEFT(O121,5)="Error",LEFT(N121,5)="Error",T121="Error"),"Check Data ⚠",IF(F121&lt;R121,INDEX('G-6 Hedgerow Data'!$S$3:$AE$14,MATCH(C121,'G-6 Hedgerow Data'!$B$3:$B$14,0),MATCH(M121,'G-6 Hedgerow Data'!$S$2:$AE$2,0)),INDEX('G-6 Hedgerow Data'!$K$3:$Q$14,MATCH(M121,'G-6 Hedgerow Data'!$B$3:$B$14,0),MATCH(O121,'G-6 Hedgerow Data'!$K$2:$Q$2,0)))),"")</f>
        <v/>
      </c>
      <c r="Y121" s="137"/>
      <c r="Z121" s="137"/>
      <c r="AA121" s="289" t="str">
        <f t="shared" si="9"/>
        <v/>
      </c>
      <c r="AB121" s="302" t="str">
        <f t="shared" si="10"/>
        <v/>
      </c>
      <c r="AC121" s="303" t="str">
        <f t="shared" si="7"/>
        <v/>
      </c>
      <c r="AD121" s="317" t="str">
        <f>IF(M121="","",VLOOKUP(M121,'G-6 Hedgerow Data'!$B$3:$AG$15,31,FALSE))</f>
        <v/>
      </c>
      <c r="AE121" s="289" t="str">
        <f t="shared" si="11"/>
        <v/>
      </c>
      <c r="AF121" s="289" t="str">
        <f t="shared" si="12"/>
        <v/>
      </c>
      <c r="AG121" s="305" t="str">
        <f>IFERROR(IF(O121="","",VLOOKUP(AD121,'G-3 Multipliers'!$P$3:$Q$6,2,FALSE)),"")</f>
        <v/>
      </c>
      <c r="AH121" s="295" t="str">
        <f t="shared" si="13"/>
        <v/>
      </c>
      <c r="AI121" s="112"/>
      <c r="AJ121" s="119"/>
      <c r="AK121" s="108"/>
      <c r="AT121" s="30" t="str">
        <f>IFERROR(INDEX('G-6 Hedgerow Data'!$BJ$3:$BJ$15,MATCH(M121,'G-6 Hedgerow Data'!$B$3:$B$15,0)),"")</f>
        <v/>
      </c>
    </row>
    <row r="122" spans="2:46" ht="13.8" x14ac:dyDescent="0.25">
      <c r="B122" s="311" t="str">
        <f>'B-1 On-Site Hedge Baseline'!AK120</f>
        <v/>
      </c>
      <c r="C122" s="301" t="str">
        <f>IF(B122="","",IF(ISNA(VLOOKUP($B122,'B-1 On-Site Hedge Baseline'!$B$1:$L$257,3,FALSE)),"",(VLOOKUP($B122,'B-1 On-Site Hedge Baseline'!$B$1:$L$257,3,FALSE))))</f>
        <v/>
      </c>
      <c r="D122" s="301" t="str">
        <f>IF(B122="","",IF(ISNA(VLOOKUP($B122,'B-1 On-Site Hedge Baseline'!$B$1:$L$257,4,FALSE)),"",(VLOOKUP($B122,'B-1 On-Site Hedge Baseline'!$B$1:$L$257,4,FALSE))))</f>
        <v/>
      </c>
      <c r="E122" s="301" t="str">
        <f>IF(B122="","",IF(ISNA(VLOOKUP($B122,'B-1 On-Site Hedge Baseline'!$B$1:$L$257,5,FALSE)),"",(VLOOKUP($B122,'B-1 On-Site Hedge Baseline'!$B$1:$L$257,5,FALSE))))</f>
        <v/>
      </c>
      <c r="F122" s="301" t="str">
        <f>IF(B122="","",IF(ISNA(VLOOKUP($B122,'B-1 On-Site Hedge Baseline'!$B$1:$L$257,6,FALSE)),"",(VLOOKUP($B122,'B-1 On-Site Hedge Baseline'!$B$1:$L$257,6,FALSE))))</f>
        <v/>
      </c>
      <c r="G122" s="301" t="str">
        <f>IF(B122="","",IF(ISNA(VLOOKUP($B122,'B-1 On-Site Hedge Baseline'!$B$1:$L$257,7,FALSE)),"",(VLOOKUP($B122,'B-1 On-Site Hedge Baseline'!$B$1:$L$257,7,FALSE))))</f>
        <v/>
      </c>
      <c r="H122" s="301" t="str">
        <f>IF(B122="","",IF(ISNA(VLOOKUP($B122,'B-1 On-Site Hedge Baseline'!$B$1:$L$257,8,FALSE)),"",(VLOOKUP($B122,'B-1 On-Site Hedge Baseline'!$B$1:$L$257,8,FALSE))))</f>
        <v/>
      </c>
      <c r="I122" s="301" t="str">
        <f>IF(B122="","",IF(ISNA(VLOOKUP($B122,'B-1 On-Site Hedge Baseline'!$B$1:$L$257,10,FALSE)),"",(VLOOKUP($B122,'B-1 On-Site Hedge Baseline'!$B$1:$L$257,10,FALSE))))</f>
        <v/>
      </c>
      <c r="J122" s="301" t="str">
        <f>IF(B122="","",IF(ISNA(VLOOKUP($B122,'B-1 On-Site Hedge Baseline'!$B$1:$L$257,11,FALSE)),"",(VLOOKUP($B122,'B-1 On-Site Hedge Baseline'!$B$1:$L$257,11,FALSE))))</f>
        <v/>
      </c>
      <c r="K122" s="301" t="str">
        <f>IF(B122="","",IF(ISNA(VLOOKUP($B122,'B-1 On-Site Hedge Baseline'!$B$1:$U$257,13,FALSE)),"",(VLOOKUP($B122,'B-1 On-Site Hedge Baseline'!$B$1:$U$257,13,FALSE))))</f>
        <v/>
      </c>
      <c r="L122" s="305" t="str">
        <f>IF(B122="","",IF(ISNA(VLOOKUP($B122,'B-1 On-Site Hedge Baseline'!$B$1:$U$257,12,FALSE)),"",(VLOOKUP($B122,'B-1 On-Site Hedge Baseline'!$B$1:$U$257,12,FALSE))))</f>
        <v/>
      </c>
      <c r="M122" s="627"/>
      <c r="N122" s="281" t="str">
        <f>IFERROR(IF(B122="","",INDEX('G-6 Hedgerow Data'!$AN$3:$AZ$15,MATCH(C122,'G-6 Hedgerow Data'!$AM$3:$AM$15,0),MATCH(M122,'G-6 Hedgerow Data'!$AN$2:$AZ$2,0))),"")</f>
        <v/>
      </c>
      <c r="O122" s="282" t="str">
        <f t="shared" si="8"/>
        <v/>
      </c>
      <c r="P122" s="335" t="str">
        <f>IF(B122="","",VLOOKUP(B122,'B-1 On-Site Hedge Baseline'!$B$10:T367,16,FALSE))</f>
        <v/>
      </c>
      <c r="Q122" s="281" t="str">
        <f>IF(M122="","",VLOOKUP(M122,'G-6 Hedgerow Data'!$B$2:$AG$15,2,FALSE))</f>
        <v/>
      </c>
      <c r="R122" s="282" t="str">
        <f>IF(M122="","",VLOOKUP(M122,'G-6 Hedgerow Data'!$B$2:$AG$15,3,FALSE))</f>
        <v/>
      </c>
      <c r="S122" s="112"/>
      <c r="T122" s="320" t="str">
        <f>IFERROR(IF(S122="","",IF(AND(M122="Non-native and ornamental hedgerow", S122&lt;&gt;"Poor"),"Not possible ▲", (VLOOKUP(S122,'G-1 All Habitats'!$Z$2:$AA$9,2,FALSE)))),"")</f>
        <v/>
      </c>
      <c r="U122" s="109"/>
      <c r="V122" s="301" t="str">
        <f>IF(U122="","",IF(VLOOKUP(U122,'G-3 Multipliers'!$L$3:$N$6,2,FALSE)=0,"Spatial Data Missing ⚠",VLOOKUP(U122,'G-3 Multipliers'!$L$3:$N$6,2,FALSE)))</f>
        <v/>
      </c>
      <c r="W122" s="305" t="str">
        <f>IF(U122="","",IF(VLOOKUP(U122,'G-3 Multipliers'!$L$3:$N$6,3,FALSE)=0,"Spatial Data Missing ⚠",VLOOKUP(U122,'G-3 Multipliers'!$L$3:$N$6,3,FALSE)))</f>
        <v/>
      </c>
      <c r="X122" s="281" t="str">
        <f>IFERROR(IF(OR(LEFT(O122,5)="Error",LEFT(N122,5)="Error",T122="Error"),"Check Data ⚠",IF(F122&lt;R122,INDEX('G-6 Hedgerow Data'!$S$3:$AE$14,MATCH(C122,'G-6 Hedgerow Data'!$B$3:$B$14,0),MATCH(M122,'G-6 Hedgerow Data'!$S$2:$AE$2,0)),INDEX('G-6 Hedgerow Data'!$K$3:$Q$14,MATCH(M122,'G-6 Hedgerow Data'!$B$3:$B$14,0),MATCH(O122,'G-6 Hedgerow Data'!$K$2:$Q$2,0)))),"")</f>
        <v/>
      </c>
      <c r="Y122" s="137"/>
      <c r="Z122" s="137"/>
      <c r="AA122" s="289" t="str">
        <f t="shared" si="9"/>
        <v/>
      </c>
      <c r="AB122" s="302" t="str">
        <f t="shared" si="10"/>
        <v/>
      </c>
      <c r="AC122" s="303" t="str">
        <f t="shared" si="7"/>
        <v/>
      </c>
      <c r="AD122" s="317" t="str">
        <f>IF(M122="","",VLOOKUP(M122,'G-6 Hedgerow Data'!$B$3:$AG$15,31,FALSE))</f>
        <v/>
      </c>
      <c r="AE122" s="289" t="str">
        <f t="shared" si="11"/>
        <v/>
      </c>
      <c r="AF122" s="289" t="str">
        <f t="shared" si="12"/>
        <v/>
      </c>
      <c r="AG122" s="305" t="str">
        <f>IFERROR(IF(O122="","",VLOOKUP(AD122,'G-3 Multipliers'!$P$3:$Q$6,2,FALSE)),"")</f>
        <v/>
      </c>
      <c r="AH122" s="295" t="str">
        <f t="shared" si="13"/>
        <v/>
      </c>
      <c r="AI122" s="112"/>
      <c r="AJ122" s="119"/>
      <c r="AK122" s="108"/>
      <c r="AT122" s="30" t="str">
        <f>IFERROR(INDEX('G-6 Hedgerow Data'!$BJ$3:$BJ$15,MATCH(M122,'G-6 Hedgerow Data'!$B$3:$B$15,0)),"")</f>
        <v/>
      </c>
    </row>
    <row r="123" spans="2:46" ht="13.8" x14ac:dyDescent="0.25">
      <c r="B123" s="311" t="str">
        <f>'B-1 On-Site Hedge Baseline'!AK121</f>
        <v/>
      </c>
      <c r="C123" s="301" t="str">
        <f>IF(B123="","",IF(ISNA(VLOOKUP($B123,'B-1 On-Site Hedge Baseline'!$B$1:$L$257,3,FALSE)),"",(VLOOKUP($B123,'B-1 On-Site Hedge Baseline'!$B$1:$L$257,3,FALSE))))</f>
        <v/>
      </c>
      <c r="D123" s="301" t="str">
        <f>IF(B123="","",IF(ISNA(VLOOKUP($B123,'B-1 On-Site Hedge Baseline'!$B$1:$L$257,4,FALSE)),"",(VLOOKUP($B123,'B-1 On-Site Hedge Baseline'!$B$1:$L$257,4,FALSE))))</f>
        <v/>
      </c>
      <c r="E123" s="301" t="str">
        <f>IF(B123="","",IF(ISNA(VLOOKUP($B123,'B-1 On-Site Hedge Baseline'!$B$1:$L$257,5,FALSE)),"",(VLOOKUP($B123,'B-1 On-Site Hedge Baseline'!$B$1:$L$257,5,FALSE))))</f>
        <v/>
      </c>
      <c r="F123" s="301" t="str">
        <f>IF(B123="","",IF(ISNA(VLOOKUP($B123,'B-1 On-Site Hedge Baseline'!$B$1:$L$257,6,FALSE)),"",(VLOOKUP($B123,'B-1 On-Site Hedge Baseline'!$B$1:$L$257,6,FALSE))))</f>
        <v/>
      </c>
      <c r="G123" s="301" t="str">
        <f>IF(B123="","",IF(ISNA(VLOOKUP($B123,'B-1 On-Site Hedge Baseline'!$B$1:$L$257,7,FALSE)),"",(VLOOKUP($B123,'B-1 On-Site Hedge Baseline'!$B$1:$L$257,7,FALSE))))</f>
        <v/>
      </c>
      <c r="H123" s="301" t="str">
        <f>IF(B123="","",IF(ISNA(VLOOKUP($B123,'B-1 On-Site Hedge Baseline'!$B$1:$L$257,8,FALSE)),"",(VLOOKUP($B123,'B-1 On-Site Hedge Baseline'!$B$1:$L$257,8,FALSE))))</f>
        <v/>
      </c>
      <c r="I123" s="301" t="str">
        <f>IF(B123="","",IF(ISNA(VLOOKUP($B123,'B-1 On-Site Hedge Baseline'!$B$1:$L$257,10,FALSE)),"",(VLOOKUP($B123,'B-1 On-Site Hedge Baseline'!$B$1:$L$257,10,FALSE))))</f>
        <v/>
      </c>
      <c r="J123" s="301" t="str">
        <f>IF(B123="","",IF(ISNA(VLOOKUP($B123,'B-1 On-Site Hedge Baseline'!$B$1:$L$257,11,FALSE)),"",(VLOOKUP($B123,'B-1 On-Site Hedge Baseline'!$B$1:$L$257,11,FALSE))))</f>
        <v/>
      </c>
      <c r="K123" s="301" t="str">
        <f>IF(B123="","",IF(ISNA(VLOOKUP($B123,'B-1 On-Site Hedge Baseline'!$B$1:$U$257,13,FALSE)),"",(VLOOKUP($B123,'B-1 On-Site Hedge Baseline'!$B$1:$U$257,13,FALSE))))</f>
        <v/>
      </c>
      <c r="L123" s="305" t="str">
        <f>IF(B123="","",IF(ISNA(VLOOKUP($B123,'B-1 On-Site Hedge Baseline'!$B$1:$U$257,12,FALSE)),"",(VLOOKUP($B123,'B-1 On-Site Hedge Baseline'!$B$1:$U$257,12,FALSE))))</f>
        <v/>
      </c>
      <c r="M123" s="627"/>
      <c r="N123" s="281" t="str">
        <f>IFERROR(IF(B123="","",INDEX('G-6 Hedgerow Data'!$AN$3:$AZ$15,MATCH(C123,'G-6 Hedgerow Data'!$AM$3:$AM$15,0),MATCH(M123,'G-6 Hedgerow Data'!$AN$2:$AZ$2,0))),"")</f>
        <v/>
      </c>
      <c r="O123" s="282" t="str">
        <f t="shared" si="8"/>
        <v/>
      </c>
      <c r="P123" s="335" t="str">
        <f>IF(B123="","",VLOOKUP(B123,'B-1 On-Site Hedge Baseline'!$B$10:T368,16,FALSE))</f>
        <v/>
      </c>
      <c r="Q123" s="281" t="str">
        <f>IF(M123="","",VLOOKUP(M123,'G-6 Hedgerow Data'!$B$2:$AG$15,2,FALSE))</f>
        <v/>
      </c>
      <c r="R123" s="282" t="str">
        <f>IF(M123="","",VLOOKUP(M123,'G-6 Hedgerow Data'!$B$2:$AG$15,3,FALSE))</f>
        <v/>
      </c>
      <c r="S123" s="112"/>
      <c r="T123" s="320" t="str">
        <f>IFERROR(IF(S123="","",IF(AND(M123="Non-native and ornamental hedgerow", S123&lt;&gt;"Poor"),"Not possible ▲", (VLOOKUP(S123,'G-1 All Habitats'!$Z$2:$AA$9,2,FALSE)))),"")</f>
        <v/>
      </c>
      <c r="U123" s="109"/>
      <c r="V123" s="301" t="str">
        <f>IF(U123="","",IF(VLOOKUP(U123,'G-3 Multipliers'!$L$3:$N$6,2,FALSE)=0,"Spatial Data Missing ⚠",VLOOKUP(U123,'G-3 Multipliers'!$L$3:$N$6,2,FALSE)))</f>
        <v/>
      </c>
      <c r="W123" s="305" t="str">
        <f>IF(U123="","",IF(VLOOKUP(U123,'G-3 Multipliers'!$L$3:$N$6,3,FALSE)=0,"Spatial Data Missing ⚠",VLOOKUP(U123,'G-3 Multipliers'!$L$3:$N$6,3,FALSE)))</f>
        <v/>
      </c>
      <c r="X123" s="281" t="str">
        <f>IFERROR(IF(OR(LEFT(O123,5)="Error",LEFT(N123,5)="Error",T123="Error"),"Check Data ⚠",IF(F123&lt;R123,INDEX('G-6 Hedgerow Data'!$S$3:$AE$14,MATCH(C123,'G-6 Hedgerow Data'!$B$3:$B$14,0),MATCH(M123,'G-6 Hedgerow Data'!$S$2:$AE$2,0)),INDEX('G-6 Hedgerow Data'!$K$3:$Q$14,MATCH(M123,'G-6 Hedgerow Data'!$B$3:$B$14,0),MATCH(O123,'G-6 Hedgerow Data'!$K$2:$Q$2,0)))),"")</f>
        <v/>
      </c>
      <c r="Y123" s="137"/>
      <c r="Z123" s="137"/>
      <c r="AA123" s="289" t="str">
        <f t="shared" si="9"/>
        <v/>
      </c>
      <c r="AB123" s="302" t="str">
        <f t="shared" si="10"/>
        <v/>
      </c>
      <c r="AC123" s="303" t="str">
        <f t="shared" si="7"/>
        <v/>
      </c>
      <c r="AD123" s="317" t="str">
        <f>IF(M123="","",VLOOKUP(M123,'G-6 Hedgerow Data'!$B$3:$AG$15,31,FALSE))</f>
        <v/>
      </c>
      <c r="AE123" s="289" t="str">
        <f t="shared" si="11"/>
        <v/>
      </c>
      <c r="AF123" s="289" t="str">
        <f t="shared" si="12"/>
        <v/>
      </c>
      <c r="AG123" s="305" t="str">
        <f>IFERROR(IF(O123="","",VLOOKUP(AD123,'G-3 Multipliers'!$P$3:$Q$6,2,FALSE)),"")</f>
        <v/>
      </c>
      <c r="AH123" s="295" t="str">
        <f t="shared" si="13"/>
        <v/>
      </c>
      <c r="AI123" s="112"/>
      <c r="AJ123" s="119"/>
      <c r="AK123" s="108"/>
      <c r="AT123" s="30" t="str">
        <f>IFERROR(INDEX('G-6 Hedgerow Data'!$BJ$3:$BJ$15,MATCH(M123,'G-6 Hedgerow Data'!$B$3:$B$15,0)),"")</f>
        <v/>
      </c>
    </row>
    <row r="124" spans="2:46" ht="13.8" x14ac:dyDescent="0.25">
      <c r="B124" s="311" t="str">
        <f>'B-1 On-Site Hedge Baseline'!AK122</f>
        <v/>
      </c>
      <c r="C124" s="301" t="str">
        <f>IF(B124="","",IF(ISNA(VLOOKUP($B124,'B-1 On-Site Hedge Baseline'!$B$1:$L$257,3,FALSE)),"",(VLOOKUP($B124,'B-1 On-Site Hedge Baseline'!$B$1:$L$257,3,FALSE))))</f>
        <v/>
      </c>
      <c r="D124" s="301" t="str">
        <f>IF(B124="","",IF(ISNA(VLOOKUP($B124,'B-1 On-Site Hedge Baseline'!$B$1:$L$257,4,FALSE)),"",(VLOOKUP($B124,'B-1 On-Site Hedge Baseline'!$B$1:$L$257,4,FALSE))))</f>
        <v/>
      </c>
      <c r="E124" s="301" t="str">
        <f>IF(B124="","",IF(ISNA(VLOOKUP($B124,'B-1 On-Site Hedge Baseline'!$B$1:$L$257,5,FALSE)),"",(VLOOKUP($B124,'B-1 On-Site Hedge Baseline'!$B$1:$L$257,5,FALSE))))</f>
        <v/>
      </c>
      <c r="F124" s="301" t="str">
        <f>IF(B124="","",IF(ISNA(VLOOKUP($B124,'B-1 On-Site Hedge Baseline'!$B$1:$L$257,6,FALSE)),"",(VLOOKUP($B124,'B-1 On-Site Hedge Baseline'!$B$1:$L$257,6,FALSE))))</f>
        <v/>
      </c>
      <c r="G124" s="301" t="str">
        <f>IF(B124="","",IF(ISNA(VLOOKUP($B124,'B-1 On-Site Hedge Baseline'!$B$1:$L$257,7,FALSE)),"",(VLOOKUP($B124,'B-1 On-Site Hedge Baseline'!$B$1:$L$257,7,FALSE))))</f>
        <v/>
      </c>
      <c r="H124" s="301" t="str">
        <f>IF(B124="","",IF(ISNA(VLOOKUP($B124,'B-1 On-Site Hedge Baseline'!$B$1:$L$257,8,FALSE)),"",(VLOOKUP($B124,'B-1 On-Site Hedge Baseline'!$B$1:$L$257,8,FALSE))))</f>
        <v/>
      </c>
      <c r="I124" s="301" t="str">
        <f>IF(B124="","",IF(ISNA(VLOOKUP($B124,'B-1 On-Site Hedge Baseline'!$B$1:$L$257,10,FALSE)),"",(VLOOKUP($B124,'B-1 On-Site Hedge Baseline'!$B$1:$L$257,10,FALSE))))</f>
        <v/>
      </c>
      <c r="J124" s="301" t="str">
        <f>IF(B124="","",IF(ISNA(VLOOKUP($B124,'B-1 On-Site Hedge Baseline'!$B$1:$L$257,11,FALSE)),"",(VLOOKUP($B124,'B-1 On-Site Hedge Baseline'!$B$1:$L$257,11,FALSE))))</f>
        <v/>
      </c>
      <c r="K124" s="301" t="str">
        <f>IF(B124="","",IF(ISNA(VLOOKUP($B124,'B-1 On-Site Hedge Baseline'!$B$1:$U$257,13,FALSE)),"",(VLOOKUP($B124,'B-1 On-Site Hedge Baseline'!$B$1:$U$257,13,FALSE))))</f>
        <v/>
      </c>
      <c r="L124" s="305" t="str">
        <f>IF(B124="","",IF(ISNA(VLOOKUP($B124,'B-1 On-Site Hedge Baseline'!$B$1:$U$257,12,FALSE)),"",(VLOOKUP($B124,'B-1 On-Site Hedge Baseline'!$B$1:$U$257,12,FALSE))))</f>
        <v/>
      </c>
      <c r="M124" s="627"/>
      <c r="N124" s="281" t="str">
        <f>IFERROR(IF(B124="","",INDEX('G-6 Hedgerow Data'!$AN$3:$AZ$15,MATCH(C124,'G-6 Hedgerow Data'!$AM$3:$AM$15,0),MATCH(M124,'G-6 Hedgerow Data'!$AN$2:$AZ$2,0))),"")</f>
        <v/>
      </c>
      <c r="O124" s="282" t="str">
        <f t="shared" si="8"/>
        <v/>
      </c>
      <c r="P124" s="335" t="str">
        <f>IF(B124="","",VLOOKUP(B124,'B-1 On-Site Hedge Baseline'!$B$10:T369,16,FALSE))</f>
        <v/>
      </c>
      <c r="Q124" s="281" t="str">
        <f>IF(M124="","",VLOOKUP(M124,'G-6 Hedgerow Data'!$B$2:$AG$15,2,FALSE))</f>
        <v/>
      </c>
      <c r="R124" s="282" t="str">
        <f>IF(M124="","",VLOOKUP(M124,'G-6 Hedgerow Data'!$B$2:$AG$15,3,FALSE))</f>
        <v/>
      </c>
      <c r="S124" s="112"/>
      <c r="T124" s="320" t="str">
        <f>IFERROR(IF(S124="","",IF(AND(M124="Non-native and ornamental hedgerow", S124&lt;&gt;"Poor"),"Not possible ▲", (VLOOKUP(S124,'G-1 All Habitats'!$Z$2:$AA$9,2,FALSE)))),"")</f>
        <v/>
      </c>
      <c r="U124" s="109"/>
      <c r="V124" s="301" t="str">
        <f>IF(U124="","",IF(VLOOKUP(U124,'G-3 Multipliers'!$L$3:$N$6,2,FALSE)=0,"Spatial Data Missing ⚠",VLOOKUP(U124,'G-3 Multipliers'!$L$3:$N$6,2,FALSE)))</f>
        <v/>
      </c>
      <c r="W124" s="305" t="str">
        <f>IF(U124="","",IF(VLOOKUP(U124,'G-3 Multipliers'!$L$3:$N$6,3,FALSE)=0,"Spatial Data Missing ⚠",VLOOKUP(U124,'G-3 Multipliers'!$L$3:$N$6,3,FALSE)))</f>
        <v/>
      </c>
      <c r="X124" s="281" t="str">
        <f>IFERROR(IF(OR(LEFT(O124,5)="Error",LEFT(N124,5)="Error",T124="Error"),"Check Data ⚠",IF(F124&lt;R124,INDEX('G-6 Hedgerow Data'!$S$3:$AE$14,MATCH(C124,'G-6 Hedgerow Data'!$B$3:$B$14,0),MATCH(M124,'G-6 Hedgerow Data'!$S$2:$AE$2,0)),INDEX('G-6 Hedgerow Data'!$K$3:$Q$14,MATCH(M124,'G-6 Hedgerow Data'!$B$3:$B$14,0),MATCH(O124,'G-6 Hedgerow Data'!$K$2:$Q$2,0)))),"")</f>
        <v/>
      </c>
      <c r="Y124" s="137"/>
      <c r="Z124" s="137"/>
      <c r="AA124" s="289" t="str">
        <f t="shared" si="9"/>
        <v/>
      </c>
      <c r="AB124" s="302" t="str">
        <f t="shared" si="10"/>
        <v/>
      </c>
      <c r="AC124" s="303" t="str">
        <f t="shared" si="7"/>
        <v/>
      </c>
      <c r="AD124" s="317" t="str">
        <f>IF(M124="","",VLOOKUP(M124,'G-6 Hedgerow Data'!$B$3:$AG$15,31,FALSE))</f>
        <v/>
      </c>
      <c r="AE124" s="289" t="str">
        <f t="shared" si="11"/>
        <v/>
      </c>
      <c r="AF124" s="289" t="str">
        <f t="shared" si="12"/>
        <v/>
      </c>
      <c r="AG124" s="305" t="str">
        <f>IFERROR(IF(O124="","",VLOOKUP(AD124,'G-3 Multipliers'!$P$3:$Q$6,2,FALSE)),"")</f>
        <v/>
      </c>
      <c r="AH124" s="295" t="str">
        <f t="shared" si="13"/>
        <v/>
      </c>
      <c r="AI124" s="112"/>
      <c r="AJ124" s="119"/>
      <c r="AK124" s="108"/>
      <c r="AT124" s="30" t="str">
        <f>IFERROR(INDEX('G-6 Hedgerow Data'!$BJ$3:$BJ$15,MATCH(M124,'G-6 Hedgerow Data'!$B$3:$B$15,0)),"")</f>
        <v/>
      </c>
    </row>
    <row r="125" spans="2:46" ht="13.8" x14ac:dyDescent="0.25">
      <c r="B125" s="311" t="str">
        <f>'B-1 On-Site Hedge Baseline'!AK123</f>
        <v/>
      </c>
      <c r="C125" s="301" t="str">
        <f>IF(B125="","",IF(ISNA(VLOOKUP($B125,'B-1 On-Site Hedge Baseline'!$B$1:$L$257,3,FALSE)),"",(VLOOKUP($B125,'B-1 On-Site Hedge Baseline'!$B$1:$L$257,3,FALSE))))</f>
        <v/>
      </c>
      <c r="D125" s="301" t="str">
        <f>IF(B125="","",IF(ISNA(VLOOKUP($B125,'B-1 On-Site Hedge Baseline'!$B$1:$L$257,4,FALSE)),"",(VLOOKUP($B125,'B-1 On-Site Hedge Baseline'!$B$1:$L$257,4,FALSE))))</f>
        <v/>
      </c>
      <c r="E125" s="301" t="str">
        <f>IF(B125="","",IF(ISNA(VLOOKUP($B125,'B-1 On-Site Hedge Baseline'!$B$1:$L$257,5,FALSE)),"",(VLOOKUP($B125,'B-1 On-Site Hedge Baseline'!$B$1:$L$257,5,FALSE))))</f>
        <v/>
      </c>
      <c r="F125" s="301" t="str">
        <f>IF(B125="","",IF(ISNA(VLOOKUP($B125,'B-1 On-Site Hedge Baseline'!$B$1:$L$257,6,FALSE)),"",(VLOOKUP($B125,'B-1 On-Site Hedge Baseline'!$B$1:$L$257,6,FALSE))))</f>
        <v/>
      </c>
      <c r="G125" s="301" t="str">
        <f>IF(B125="","",IF(ISNA(VLOOKUP($B125,'B-1 On-Site Hedge Baseline'!$B$1:$L$257,7,FALSE)),"",(VLOOKUP($B125,'B-1 On-Site Hedge Baseline'!$B$1:$L$257,7,FALSE))))</f>
        <v/>
      </c>
      <c r="H125" s="301" t="str">
        <f>IF(B125="","",IF(ISNA(VLOOKUP($B125,'B-1 On-Site Hedge Baseline'!$B$1:$L$257,8,FALSE)),"",(VLOOKUP($B125,'B-1 On-Site Hedge Baseline'!$B$1:$L$257,8,FALSE))))</f>
        <v/>
      </c>
      <c r="I125" s="301" t="str">
        <f>IF(B125="","",IF(ISNA(VLOOKUP($B125,'B-1 On-Site Hedge Baseline'!$B$1:$L$257,10,FALSE)),"",(VLOOKUP($B125,'B-1 On-Site Hedge Baseline'!$B$1:$L$257,10,FALSE))))</f>
        <v/>
      </c>
      <c r="J125" s="301" t="str">
        <f>IF(B125="","",IF(ISNA(VLOOKUP($B125,'B-1 On-Site Hedge Baseline'!$B$1:$L$257,11,FALSE)),"",(VLOOKUP($B125,'B-1 On-Site Hedge Baseline'!$B$1:$L$257,11,FALSE))))</f>
        <v/>
      </c>
      <c r="K125" s="301" t="str">
        <f>IF(B125="","",IF(ISNA(VLOOKUP($B125,'B-1 On-Site Hedge Baseline'!$B$1:$U$257,13,FALSE)),"",(VLOOKUP($B125,'B-1 On-Site Hedge Baseline'!$B$1:$U$257,13,FALSE))))</f>
        <v/>
      </c>
      <c r="L125" s="305" t="str">
        <f>IF(B125="","",IF(ISNA(VLOOKUP($B125,'B-1 On-Site Hedge Baseline'!$B$1:$U$257,12,FALSE)),"",(VLOOKUP($B125,'B-1 On-Site Hedge Baseline'!$B$1:$U$257,12,FALSE))))</f>
        <v/>
      </c>
      <c r="M125" s="627"/>
      <c r="N125" s="281" t="str">
        <f>IFERROR(IF(B125="","",INDEX('G-6 Hedgerow Data'!$AN$3:$AZ$15,MATCH(C125,'G-6 Hedgerow Data'!$AM$3:$AM$15,0),MATCH(M125,'G-6 Hedgerow Data'!$AN$2:$AZ$2,0))),"")</f>
        <v/>
      </c>
      <c r="O125" s="282" t="str">
        <f t="shared" si="8"/>
        <v/>
      </c>
      <c r="P125" s="335" t="str">
        <f>IF(B125="","",VLOOKUP(B125,'B-1 On-Site Hedge Baseline'!$B$10:T370,16,FALSE))</f>
        <v/>
      </c>
      <c r="Q125" s="281" t="str">
        <f>IF(M125="","",VLOOKUP(M125,'G-6 Hedgerow Data'!$B$2:$AG$15,2,FALSE))</f>
        <v/>
      </c>
      <c r="R125" s="282" t="str">
        <f>IF(M125="","",VLOOKUP(M125,'G-6 Hedgerow Data'!$B$2:$AG$15,3,FALSE))</f>
        <v/>
      </c>
      <c r="S125" s="112"/>
      <c r="T125" s="320" t="str">
        <f>IFERROR(IF(S125="","",IF(AND(M125="Non-native and ornamental hedgerow", S125&lt;&gt;"Poor"),"Not possible ▲", (VLOOKUP(S125,'G-1 All Habitats'!$Z$2:$AA$9,2,FALSE)))),"")</f>
        <v/>
      </c>
      <c r="U125" s="109"/>
      <c r="V125" s="301" t="str">
        <f>IF(U125="","",IF(VLOOKUP(U125,'G-3 Multipliers'!$L$3:$N$6,2,FALSE)=0,"Spatial Data Missing ⚠",VLOOKUP(U125,'G-3 Multipliers'!$L$3:$N$6,2,FALSE)))</f>
        <v/>
      </c>
      <c r="W125" s="305" t="str">
        <f>IF(U125="","",IF(VLOOKUP(U125,'G-3 Multipliers'!$L$3:$N$6,3,FALSE)=0,"Spatial Data Missing ⚠",VLOOKUP(U125,'G-3 Multipliers'!$L$3:$N$6,3,FALSE)))</f>
        <v/>
      </c>
      <c r="X125" s="281" t="str">
        <f>IFERROR(IF(OR(LEFT(O125,5)="Error",LEFT(N125,5)="Error",T125="Error"),"Check Data ⚠",IF(F125&lt;R125,INDEX('G-6 Hedgerow Data'!$S$3:$AE$14,MATCH(C125,'G-6 Hedgerow Data'!$B$3:$B$14,0),MATCH(M125,'G-6 Hedgerow Data'!$S$2:$AE$2,0)),INDEX('G-6 Hedgerow Data'!$K$3:$Q$14,MATCH(M125,'G-6 Hedgerow Data'!$B$3:$B$14,0),MATCH(O125,'G-6 Hedgerow Data'!$K$2:$Q$2,0)))),"")</f>
        <v/>
      </c>
      <c r="Y125" s="137"/>
      <c r="Z125" s="137"/>
      <c r="AA125" s="289" t="str">
        <f t="shared" si="9"/>
        <v/>
      </c>
      <c r="AB125" s="302" t="str">
        <f t="shared" si="10"/>
        <v/>
      </c>
      <c r="AC125" s="303" t="str">
        <f t="shared" si="7"/>
        <v/>
      </c>
      <c r="AD125" s="317" t="str">
        <f>IF(M125="","",VLOOKUP(M125,'G-6 Hedgerow Data'!$B$3:$AG$15,31,FALSE))</f>
        <v/>
      </c>
      <c r="AE125" s="289" t="str">
        <f t="shared" si="11"/>
        <v/>
      </c>
      <c r="AF125" s="289" t="str">
        <f t="shared" si="12"/>
        <v/>
      </c>
      <c r="AG125" s="305" t="str">
        <f>IFERROR(IF(O125="","",VLOOKUP(AD125,'G-3 Multipliers'!$P$3:$Q$6,2,FALSE)),"")</f>
        <v/>
      </c>
      <c r="AH125" s="295" t="str">
        <f t="shared" si="13"/>
        <v/>
      </c>
      <c r="AI125" s="112"/>
      <c r="AJ125" s="119"/>
      <c r="AK125" s="108"/>
      <c r="AT125" s="30" t="str">
        <f>IFERROR(INDEX('G-6 Hedgerow Data'!$BJ$3:$BJ$15,MATCH(M125,'G-6 Hedgerow Data'!$B$3:$B$15,0)),"")</f>
        <v/>
      </c>
    </row>
    <row r="126" spans="2:46" ht="13.8" x14ac:dyDescent="0.25">
      <c r="B126" s="311" t="str">
        <f>'B-1 On-Site Hedge Baseline'!AK124</f>
        <v/>
      </c>
      <c r="C126" s="301" t="str">
        <f>IF(B126="","",IF(ISNA(VLOOKUP($B126,'B-1 On-Site Hedge Baseline'!$B$1:$L$257,3,FALSE)),"",(VLOOKUP($B126,'B-1 On-Site Hedge Baseline'!$B$1:$L$257,3,FALSE))))</f>
        <v/>
      </c>
      <c r="D126" s="301" t="str">
        <f>IF(B126="","",IF(ISNA(VLOOKUP($B126,'B-1 On-Site Hedge Baseline'!$B$1:$L$257,4,FALSE)),"",(VLOOKUP($B126,'B-1 On-Site Hedge Baseline'!$B$1:$L$257,4,FALSE))))</f>
        <v/>
      </c>
      <c r="E126" s="301" t="str">
        <f>IF(B126="","",IF(ISNA(VLOOKUP($B126,'B-1 On-Site Hedge Baseline'!$B$1:$L$257,5,FALSE)),"",(VLOOKUP($B126,'B-1 On-Site Hedge Baseline'!$B$1:$L$257,5,FALSE))))</f>
        <v/>
      </c>
      <c r="F126" s="301" t="str">
        <f>IF(B126="","",IF(ISNA(VLOOKUP($B126,'B-1 On-Site Hedge Baseline'!$B$1:$L$257,6,FALSE)),"",(VLOOKUP($B126,'B-1 On-Site Hedge Baseline'!$B$1:$L$257,6,FALSE))))</f>
        <v/>
      </c>
      <c r="G126" s="301" t="str">
        <f>IF(B126="","",IF(ISNA(VLOOKUP($B126,'B-1 On-Site Hedge Baseline'!$B$1:$L$257,7,FALSE)),"",(VLOOKUP($B126,'B-1 On-Site Hedge Baseline'!$B$1:$L$257,7,FALSE))))</f>
        <v/>
      </c>
      <c r="H126" s="301" t="str">
        <f>IF(B126="","",IF(ISNA(VLOOKUP($B126,'B-1 On-Site Hedge Baseline'!$B$1:$L$257,8,FALSE)),"",(VLOOKUP($B126,'B-1 On-Site Hedge Baseline'!$B$1:$L$257,8,FALSE))))</f>
        <v/>
      </c>
      <c r="I126" s="301" t="str">
        <f>IF(B126="","",IF(ISNA(VLOOKUP($B126,'B-1 On-Site Hedge Baseline'!$B$1:$L$257,10,FALSE)),"",(VLOOKUP($B126,'B-1 On-Site Hedge Baseline'!$B$1:$L$257,10,FALSE))))</f>
        <v/>
      </c>
      <c r="J126" s="301" t="str">
        <f>IF(B126="","",IF(ISNA(VLOOKUP($B126,'B-1 On-Site Hedge Baseline'!$B$1:$L$257,11,FALSE)),"",(VLOOKUP($B126,'B-1 On-Site Hedge Baseline'!$B$1:$L$257,11,FALSE))))</f>
        <v/>
      </c>
      <c r="K126" s="301" t="str">
        <f>IF(B126="","",IF(ISNA(VLOOKUP($B126,'B-1 On-Site Hedge Baseline'!$B$1:$U$257,13,FALSE)),"",(VLOOKUP($B126,'B-1 On-Site Hedge Baseline'!$B$1:$U$257,13,FALSE))))</f>
        <v/>
      </c>
      <c r="L126" s="305" t="str">
        <f>IF(B126="","",IF(ISNA(VLOOKUP($B126,'B-1 On-Site Hedge Baseline'!$B$1:$U$257,12,FALSE)),"",(VLOOKUP($B126,'B-1 On-Site Hedge Baseline'!$B$1:$U$257,12,FALSE))))</f>
        <v/>
      </c>
      <c r="M126" s="627"/>
      <c r="N126" s="281" t="str">
        <f>IFERROR(IF(B126="","",INDEX('G-6 Hedgerow Data'!$AN$3:$AZ$15,MATCH(C126,'G-6 Hedgerow Data'!$AM$3:$AM$15,0),MATCH(M126,'G-6 Hedgerow Data'!$AN$2:$AZ$2,0))),"")</f>
        <v/>
      </c>
      <c r="O126" s="282" t="str">
        <f t="shared" si="8"/>
        <v/>
      </c>
      <c r="P126" s="335" t="str">
        <f>IF(B126="","",VLOOKUP(B126,'B-1 On-Site Hedge Baseline'!$B$10:T371,16,FALSE))</f>
        <v/>
      </c>
      <c r="Q126" s="281" t="str">
        <f>IF(M126="","",VLOOKUP(M126,'G-6 Hedgerow Data'!$B$2:$AG$15,2,FALSE))</f>
        <v/>
      </c>
      <c r="R126" s="282" t="str">
        <f>IF(M126="","",VLOOKUP(M126,'G-6 Hedgerow Data'!$B$2:$AG$15,3,FALSE))</f>
        <v/>
      </c>
      <c r="S126" s="112"/>
      <c r="T126" s="320" t="str">
        <f>IFERROR(IF(S126="","",IF(AND(M126="Non-native and ornamental hedgerow", S126&lt;&gt;"Poor"),"Not possible ▲", (VLOOKUP(S126,'G-1 All Habitats'!$Z$2:$AA$9,2,FALSE)))),"")</f>
        <v/>
      </c>
      <c r="U126" s="109"/>
      <c r="V126" s="301" t="str">
        <f>IF(U126="","",IF(VLOOKUP(U126,'G-3 Multipliers'!$L$3:$N$6,2,FALSE)=0,"Spatial Data Missing ⚠",VLOOKUP(U126,'G-3 Multipliers'!$L$3:$N$6,2,FALSE)))</f>
        <v/>
      </c>
      <c r="W126" s="305" t="str">
        <f>IF(U126="","",IF(VLOOKUP(U126,'G-3 Multipliers'!$L$3:$N$6,3,FALSE)=0,"Spatial Data Missing ⚠",VLOOKUP(U126,'G-3 Multipliers'!$L$3:$N$6,3,FALSE)))</f>
        <v/>
      </c>
      <c r="X126" s="281" t="str">
        <f>IFERROR(IF(OR(LEFT(O126,5)="Error",LEFT(N126,5)="Error",T126="Error"),"Check Data ⚠",IF(F126&lt;R126,INDEX('G-6 Hedgerow Data'!$S$3:$AE$14,MATCH(C126,'G-6 Hedgerow Data'!$B$3:$B$14,0),MATCH(M126,'G-6 Hedgerow Data'!$S$2:$AE$2,0)),INDEX('G-6 Hedgerow Data'!$K$3:$Q$14,MATCH(M126,'G-6 Hedgerow Data'!$B$3:$B$14,0),MATCH(O126,'G-6 Hedgerow Data'!$K$2:$Q$2,0)))),"")</f>
        <v/>
      </c>
      <c r="Y126" s="137"/>
      <c r="Z126" s="137"/>
      <c r="AA126" s="289" t="str">
        <f t="shared" si="9"/>
        <v/>
      </c>
      <c r="AB126" s="302" t="str">
        <f t="shared" si="10"/>
        <v/>
      </c>
      <c r="AC126" s="303" t="str">
        <f t="shared" si="7"/>
        <v/>
      </c>
      <c r="AD126" s="317" t="str">
        <f>IF(M126="","",VLOOKUP(M126,'G-6 Hedgerow Data'!$B$3:$AG$15,31,FALSE))</f>
        <v/>
      </c>
      <c r="AE126" s="289" t="str">
        <f t="shared" si="11"/>
        <v/>
      </c>
      <c r="AF126" s="289" t="str">
        <f t="shared" si="12"/>
        <v/>
      </c>
      <c r="AG126" s="305" t="str">
        <f>IFERROR(IF(O126="","",VLOOKUP(AD126,'G-3 Multipliers'!$P$3:$Q$6,2,FALSE)),"")</f>
        <v/>
      </c>
      <c r="AH126" s="295" t="str">
        <f t="shared" si="13"/>
        <v/>
      </c>
      <c r="AI126" s="112"/>
      <c r="AJ126" s="119"/>
      <c r="AK126" s="108"/>
      <c r="AT126" s="30" t="str">
        <f>IFERROR(INDEX('G-6 Hedgerow Data'!$BJ$3:$BJ$15,MATCH(M126,'G-6 Hedgerow Data'!$B$3:$B$15,0)),"")</f>
        <v/>
      </c>
    </row>
    <row r="127" spans="2:46" ht="13.8" x14ac:dyDescent="0.25">
      <c r="B127" s="311" t="str">
        <f>'B-1 On-Site Hedge Baseline'!AK125</f>
        <v/>
      </c>
      <c r="C127" s="301" t="str">
        <f>IF(B127="","",IF(ISNA(VLOOKUP($B127,'B-1 On-Site Hedge Baseline'!$B$1:$L$257,3,FALSE)),"",(VLOOKUP($B127,'B-1 On-Site Hedge Baseline'!$B$1:$L$257,3,FALSE))))</f>
        <v/>
      </c>
      <c r="D127" s="301" t="str">
        <f>IF(B127="","",IF(ISNA(VLOOKUP($B127,'B-1 On-Site Hedge Baseline'!$B$1:$L$257,4,FALSE)),"",(VLOOKUP($B127,'B-1 On-Site Hedge Baseline'!$B$1:$L$257,4,FALSE))))</f>
        <v/>
      </c>
      <c r="E127" s="301" t="str">
        <f>IF(B127="","",IF(ISNA(VLOOKUP($B127,'B-1 On-Site Hedge Baseline'!$B$1:$L$257,5,FALSE)),"",(VLOOKUP($B127,'B-1 On-Site Hedge Baseline'!$B$1:$L$257,5,FALSE))))</f>
        <v/>
      </c>
      <c r="F127" s="301" t="str">
        <f>IF(B127="","",IF(ISNA(VLOOKUP($B127,'B-1 On-Site Hedge Baseline'!$B$1:$L$257,6,FALSE)),"",(VLOOKUP($B127,'B-1 On-Site Hedge Baseline'!$B$1:$L$257,6,FALSE))))</f>
        <v/>
      </c>
      <c r="G127" s="301" t="str">
        <f>IF(B127="","",IF(ISNA(VLOOKUP($B127,'B-1 On-Site Hedge Baseline'!$B$1:$L$257,7,FALSE)),"",(VLOOKUP($B127,'B-1 On-Site Hedge Baseline'!$B$1:$L$257,7,FALSE))))</f>
        <v/>
      </c>
      <c r="H127" s="301" t="str">
        <f>IF(B127="","",IF(ISNA(VLOOKUP($B127,'B-1 On-Site Hedge Baseline'!$B$1:$L$257,8,FALSE)),"",(VLOOKUP($B127,'B-1 On-Site Hedge Baseline'!$B$1:$L$257,8,FALSE))))</f>
        <v/>
      </c>
      <c r="I127" s="301" t="str">
        <f>IF(B127="","",IF(ISNA(VLOOKUP($B127,'B-1 On-Site Hedge Baseline'!$B$1:$L$257,10,FALSE)),"",(VLOOKUP($B127,'B-1 On-Site Hedge Baseline'!$B$1:$L$257,10,FALSE))))</f>
        <v/>
      </c>
      <c r="J127" s="301" t="str">
        <f>IF(B127="","",IF(ISNA(VLOOKUP($B127,'B-1 On-Site Hedge Baseline'!$B$1:$L$257,11,FALSE)),"",(VLOOKUP($B127,'B-1 On-Site Hedge Baseline'!$B$1:$L$257,11,FALSE))))</f>
        <v/>
      </c>
      <c r="K127" s="301" t="str">
        <f>IF(B127="","",IF(ISNA(VLOOKUP($B127,'B-1 On-Site Hedge Baseline'!$B$1:$U$257,13,FALSE)),"",(VLOOKUP($B127,'B-1 On-Site Hedge Baseline'!$B$1:$U$257,13,FALSE))))</f>
        <v/>
      </c>
      <c r="L127" s="305" t="str">
        <f>IF(B127="","",IF(ISNA(VLOOKUP($B127,'B-1 On-Site Hedge Baseline'!$B$1:$U$257,12,FALSE)),"",(VLOOKUP($B127,'B-1 On-Site Hedge Baseline'!$B$1:$U$257,12,FALSE))))</f>
        <v/>
      </c>
      <c r="M127" s="627"/>
      <c r="N127" s="281" t="str">
        <f>IFERROR(IF(B127="","",INDEX('G-6 Hedgerow Data'!$AN$3:$AZ$15,MATCH(C127,'G-6 Hedgerow Data'!$AM$3:$AM$15,0),MATCH(M127,'G-6 Hedgerow Data'!$AN$2:$AZ$2,0))),"")</f>
        <v/>
      </c>
      <c r="O127" s="282" t="str">
        <f t="shared" si="8"/>
        <v/>
      </c>
      <c r="P127" s="335" t="str">
        <f>IF(B127="","",VLOOKUP(B127,'B-1 On-Site Hedge Baseline'!$B$10:T372,16,FALSE))</f>
        <v/>
      </c>
      <c r="Q127" s="281" t="str">
        <f>IF(M127="","",VLOOKUP(M127,'G-6 Hedgerow Data'!$B$2:$AG$15,2,FALSE))</f>
        <v/>
      </c>
      <c r="R127" s="282" t="str">
        <f>IF(M127="","",VLOOKUP(M127,'G-6 Hedgerow Data'!$B$2:$AG$15,3,FALSE))</f>
        <v/>
      </c>
      <c r="S127" s="112"/>
      <c r="T127" s="320" t="str">
        <f>IFERROR(IF(S127="","",IF(AND(M127="Non-native and ornamental hedgerow", S127&lt;&gt;"Poor"),"Not possible ▲", (VLOOKUP(S127,'G-1 All Habitats'!$Z$2:$AA$9,2,FALSE)))),"")</f>
        <v/>
      </c>
      <c r="U127" s="109"/>
      <c r="V127" s="301" t="str">
        <f>IF(U127="","",IF(VLOOKUP(U127,'G-3 Multipliers'!$L$3:$N$6,2,FALSE)=0,"Spatial Data Missing ⚠",VLOOKUP(U127,'G-3 Multipliers'!$L$3:$N$6,2,FALSE)))</f>
        <v/>
      </c>
      <c r="W127" s="305" t="str">
        <f>IF(U127="","",IF(VLOOKUP(U127,'G-3 Multipliers'!$L$3:$N$6,3,FALSE)=0,"Spatial Data Missing ⚠",VLOOKUP(U127,'G-3 Multipliers'!$L$3:$N$6,3,FALSE)))</f>
        <v/>
      </c>
      <c r="X127" s="281" t="str">
        <f>IFERROR(IF(OR(LEFT(O127,5)="Error",LEFT(N127,5)="Error",T127="Error"),"Check Data ⚠",IF(F127&lt;R127,INDEX('G-6 Hedgerow Data'!$S$3:$AE$14,MATCH(C127,'G-6 Hedgerow Data'!$B$3:$B$14,0),MATCH(M127,'G-6 Hedgerow Data'!$S$2:$AE$2,0)),INDEX('G-6 Hedgerow Data'!$K$3:$Q$14,MATCH(M127,'G-6 Hedgerow Data'!$B$3:$B$14,0),MATCH(O127,'G-6 Hedgerow Data'!$K$2:$Q$2,0)))),"")</f>
        <v/>
      </c>
      <c r="Y127" s="137"/>
      <c r="Z127" s="137"/>
      <c r="AA127" s="289" t="str">
        <f t="shared" si="9"/>
        <v/>
      </c>
      <c r="AB127" s="302" t="str">
        <f t="shared" si="10"/>
        <v/>
      </c>
      <c r="AC127" s="303" t="str">
        <f t="shared" si="7"/>
        <v/>
      </c>
      <c r="AD127" s="317" t="str">
        <f>IF(M127="","",VLOOKUP(M127,'G-6 Hedgerow Data'!$B$3:$AG$15,31,FALSE))</f>
        <v/>
      </c>
      <c r="AE127" s="289" t="str">
        <f t="shared" si="11"/>
        <v/>
      </c>
      <c r="AF127" s="289" t="str">
        <f t="shared" si="12"/>
        <v/>
      </c>
      <c r="AG127" s="305" t="str">
        <f>IFERROR(IF(O127="","",VLOOKUP(AD127,'G-3 Multipliers'!$P$3:$Q$6,2,FALSE)),"")</f>
        <v/>
      </c>
      <c r="AH127" s="295" t="str">
        <f t="shared" si="13"/>
        <v/>
      </c>
      <c r="AI127" s="112"/>
      <c r="AJ127" s="119"/>
      <c r="AK127" s="108"/>
      <c r="AT127" s="30" t="str">
        <f>IFERROR(INDEX('G-6 Hedgerow Data'!$BJ$3:$BJ$15,MATCH(M127,'G-6 Hedgerow Data'!$B$3:$B$15,0)),"")</f>
        <v/>
      </c>
    </row>
    <row r="128" spans="2:46" ht="13.8" x14ac:dyDescent="0.25">
      <c r="B128" s="311" t="str">
        <f>'B-1 On-Site Hedge Baseline'!AK126</f>
        <v/>
      </c>
      <c r="C128" s="301" t="str">
        <f>IF(B128="","",IF(ISNA(VLOOKUP($B128,'B-1 On-Site Hedge Baseline'!$B$1:$L$257,3,FALSE)),"",(VLOOKUP($B128,'B-1 On-Site Hedge Baseline'!$B$1:$L$257,3,FALSE))))</f>
        <v/>
      </c>
      <c r="D128" s="301" t="str">
        <f>IF(B128="","",IF(ISNA(VLOOKUP($B128,'B-1 On-Site Hedge Baseline'!$B$1:$L$257,4,FALSE)),"",(VLOOKUP($B128,'B-1 On-Site Hedge Baseline'!$B$1:$L$257,4,FALSE))))</f>
        <v/>
      </c>
      <c r="E128" s="301" t="str">
        <f>IF(B128="","",IF(ISNA(VLOOKUP($B128,'B-1 On-Site Hedge Baseline'!$B$1:$L$257,5,FALSE)),"",(VLOOKUP($B128,'B-1 On-Site Hedge Baseline'!$B$1:$L$257,5,FALSE))))</f>
        <v/>
      </c>
      <c r="F128" s="301" t="str">
        <f>IF(B128="","",IF(ISNA(VLOOKUP($B128,'B-1 On-Site Hedge Baseline'!$B$1:$L$257,6,FALSE)),"",(VLOOKUP($B128,'B-1 On-Site Hedge Baseline'!$B$1:$L$257,6,FALSE))))</f>
        <v/>
      </c>
      <c r="G128" s="301" t="str">
        <f>IF(B128="","",IF(ISNA(VLOOKUP($B128,'B-1 On-Site Hedge Baseline'!$B$1:$L$257,7,FALSE)),"",(VLOOKUP($B128,'B-1 On-Site Hedge Baseline'!$B$1:$L$257,7,FALSE))))</f>
        <v/>
      </c>
      <c r="H128" s="301" t="str">
        <f>IF(B128="","",IF(ISNA(VLOOKUP($B128,'B-1 On-Site Hedge Baseline'!$B$1:$L$257,8,FALSE)),"",(VLOOKUP($B128,'B-1 On-Site Hedge Baseline'!$B$1:$L$257,8,FALSE))))</f>
        <v/>
      </c>
      <c r="I128" s="301" t="str">
        <f>IF(B128="","",IF(ISNA(VLOOKUP($B128,'B-1 On-Site Hedge Baseline'!$B$1:$L$257,10,FALSE)),"",(VLOOKUP($B128,'B-1 On-Site Hedge Baseline'!$B$1:$L$257,10,FALSE))))</f>
        <v/>
      </c>
      <c r="J128" s="301" t="str">
        <f>IF(B128="","",IF(ISNA(VLOOKUP($B128,'B-1 On-Site Hedge Baseline'!$B$1:$L$257,11,FALSE)),"",(VLOOKUP($B128,'B-1 On-Site Hedge Baseline'!$B$1:$L$257,11,FALSE))))</f>
        <v/>
      </c>
      <c r="K128" s="301" t="str">
        <f>IF(B128="","",IF(ISNA(VLOOKUP($B128,'B-1 On-Site Hedge Baseline'!$B$1:$U$257,13,FALSE)),"",(VLOOKUP($B128,'B-1 On-Site Hedge Baseline'!$B$1:$U$257,13,FALSE))))</f>
        <v/>
      </c>
      <c r="L128" s="305" t="str">
        <f>IF(B128="","",IF(ISNA(VLOOKUP($B128,'B-1 On-Site Hedge Baseline'!$B$1:$U$257,12,FALSE)),"",(VLOOKUP($B128,'B-1 On-Site Hedge Baseline'!$B$1:$U$257,12,FALSE))))</f>
        <v/>
      </c>
      <c r="M128" s="627"/>
      <c r="N128" s="281" t="str">
        <f>IFERROR(IF(B128="","",INDEX('G-6 Hedgerow Data'!$AN$3:$AZ$15,MATCH(C128,'G-6 Hedgerow Data'!$AM$3:$AM$15,0),MATCH(M128,'G-6 Hedgerow Data'!$AN$2:$AZ$2,0))),"")</f>
        <v/>
      </c>
      <c r="O128" s="282" t="str">
        <f t="shared" si="8"/>
        <v/>
      </c>
      <c r="P128" s="335" t="str">
        <f>IF(B128="","",VLOOKUP(B128,'B-1 On-Site Hedge Baseline'!$B$10:T373,16,FALSE))</f>
        <v/>
      </c>
      <c r="Q128" s="281" t="str">
        <f>IF(M128="","",VLOOKUP(M128,'G-6 Hedgerow Data'!$B$2:$AG$15,2,FALSE))</f>
        <v/>
      </c>
      <c r="R128" s="282" t="str">
        <f>IF(M128="","",VLOOKUP(M128,'G-6 Hedgerow Data'!$B$2:$AG$15,3,FALSE))</f>
        <v/>
      </c>
      <c r="S128" s="112"/>
      <c r="T128" s="320" t="str">
        <f>IFERROR(IF(S128="","",IF(AND(M128="Non-native and ornamental hedgerow", S128&lt;&gt;"Poor"),"Not possible ▲", (VLOOKUP(S128,'G-1 All Habitats'!$Z$2:$AA$9,2,FALSE)))),"")</f>
        <v/>
      </c>
      <c r="U128" s="109"/>
      <c r="V128" s="301" t="str">
        <f>IF(U128="","",IF(VLOOKUP(U128,'G-3 Multipliers'!$L$3:$N$6,2,FALSE)=0,"Spatial Data Missing ⚠",VLOOKUP(U128,'G-3 Multipliers'!$L$3:$N$6,2,FALSE)))</f>
        <v/>
      </c>
      <c r="W128" s="305" t="str">
        <f>IF(U128="","",IF(VLOOKUP(U128,'G-3 Multipliers'!$L$3:$N$6,3,FALSE)=0,"Spatial Data Missing ⚠",VLOOKUP(U128,'G-3 Multipliers'!$L$3:$N$6,3,FALSE)))</f>
        <v/>
      </c>
      <c r="X128" s="281" t="str">
        <f>IFERROR(IF(OR(LEFT(O128,5)="Error",LEFT(N128,5)="Error",T128="Error"),"Check Data ⚠",IF(F128&lt;R128,INDEX('G-6 Hedgerow Data'!$S$3:$AE$14,MATCH(C128,'G-6 Hedgerow Data'!$B$3:$B$14,0),MATCH(M128,'G-6 Hedgerow Data'!$S$2:$AE$2,0)),INDEX('G-6 Hedgerow Data'!$K$3:$Q$14,MATCH(M128,'G-6 Hedgerow Data'!$B$3:$B$14,0),MATCH(O128,'G-6 Hedgerow Data'!$K$2:$Q$2,0)))),"")</f>
        <v/>
      </c>
      <c r="Y128" s="137"/>
      <c r="Z128" s="137"/>
      <c r="AA128" s="289" t="str">
        <f t="shared" si="9"/>
        <v/>
      </c>
      <c r="AB128" s="302" t="str">
        <f t="shared" si="10"/>
        <v/>
      </c>
      <c r="AC128" s="303" t="str">
        <f t="shared" si="7"/>
        <v/>
      </c>
      <c r="AD128" s="317" t="str">
        <f>IF(M128="","",VLOOKUP(M128,'G-6 Hedgerow Data'!$B$3:$AG$15,31,FALSE))</f>
        <v/>
      </c>
      <c r="AE128" s="289" t="str">
        <f t="shared" si="11"/>
        <v/>
      </c>
      <c r="AF128" s="289" t="str">
        <f t="shared" si="12"/>
        <v/>
      </c>
      <c r="AG128" s="305" t="str">
        <f>IFERROR(IF(O128="","",VLOOKUP(AD128,'G-3 Multipliers'!$P$3:$Q$6,2,FALSE)),"")</f>
        <v/>
      </c>
      <c r="AH128" s="295" t="str">
        <f t="shared" si="13"/>
        <v/>
      </c>
      <c r="AI128" s="112"/>
      <c r="AJ128" s="119"/>
      <c r="AK128" s="108"/>
      <c r="AT128" s="30" t="str">
        <f>IFERROR(INDEX('G-6 Hedgerow Data'!$BJ$3:$BJ$15,MATCH(M128,'G-6 Hedgerow Data'!$B$3:$B$15,0)),"")</f>
        <v/>
      </c>
    </row>
    <row r="129" spans="2:46" ht="13.8" x14ac:dyDescent="0.25">
      <c r="B129" s="311" t="str">
        <f>'B-1 On-Site Hedge Baseline'!AK127</f>
        <v/>
      </c>
      <c r="C129" s="301" t="str">
        <f>IF(B129="","",IF(ISNA(VLOOKUP($B129,'B-1 On-Site Hedge Baseline'!$B$1:$L$257,3,FALSE)),"",(VLOOKUP($B129,'B-1 On-Site Hedge Baseline'!$B$1:$L$257,3,FALSE))))</f>
        <v/>
      </c>
      <c r="D129" s="301" t="str">
        <f>IF(B129="","",IF(ISNA(VLOOKUP($B129,'B-1 On-Site Hedge Baseline'!$B$1:$L$257,4,FALSE)),"",(VLOOKUP($B129,'B-1 On-Site Hedge Baseline'!$B$1:$L$257,4,FALSE))))</f>
        <v/>
      </c>
      <c r="E129" s="301" t="str">
        <f>IF(B129="","",IF(ISNA(VLOOKUP($B129,'B-1 On-Site Hedge Baseline'!$B$1:$L$257,5,FALSE)),"",(VLOOKUP($B129,'B-1 On-Site Hedge Baseline'!$B$1:$L$257,5,FALSE))))</f>
        <v/>
      </c>
      <c r="F129" s="301" t="str">
        <f>IF(B129="","",IF(ISNA(VLOOKUP($B129,'B-1 On-Site Hedge Baseline'!$B$1:$L$257,6,FALSE)),"",(VLOOKUP($B129,'B-1 On-Site Hedge Baseline'!$B$1:$L$257,6,FALSE))))</f>
        <v/>
      </c>
      <c r="G129" s="301" t="str">
        <f>IF(B129="","",IF(ISNA(VLOOKUP($B129,'B-1 On-Site Hedge Baseline'!$B$1:$L$257,7,FALSE)),"",(VLOOKUP($B129,'B-1 On-Site Hedge Baseline'!$B$1:$L$257,7,FALSE))))</f>
        <v/>
      </c>
      <c r="H129" s="301" t="str">
        <f>IF(B129="","",IF(ISNA(VLOOKUP($B129,'B-1 On-Site Hedge Baseline'!$B$1:$L$257,8,FALSE)),"",(VLOOKUP($B129,'B-1 On-Site Hedge Baseline'!$B$1:$L$257,8,FALSE))))</f>
        <v/>
      </c>
      <c r="I129" s="301" t="str">
        <f>IF(B129="","",IF(ISNA(VLOOKUP($B129,'B-1 On-Site Hedge Baseline'!$B$1:$L$257,10,FALSE)),"",(VLOOKUP($B129,'B-1 On-Site Hedge Baseline'!$B$1:$L$257,10,FALSE))))</f>
        <v/>
      </c>
      <c r="J129" s="301" t="str">
        <f>IF(B129="","",IF(ISNA(VLOOKUP($B129,'B-1 On-Site Hedge Baseline'!$B$1:$L$257,11,FALSE)),"",(VLOOKUP($B129,'B-1 On-Site Hedge Baseline'!$B$1:$L$257,11,FALSE))))</f>
        <v/>
      </c>
      <c r="K129" s="301" t="str">
        <f>IF(B129="","",IF(ISNA(VLOOKUP($B129,'B-1 On-Site Hedge Baseline'!$B$1:$U$257,13,FALSE)),"",(VLOOKUP($B129,'B-1 On-Site Hedge Baseline'!$B$1:$U$257,13,FALSE))))</f>
        <v/>
      </c>
      <c r="L129" s="305" t="str">
        <f>IF(B129="","",IF(ISNA(VLOOKUP($B129,'B-1 On-Site Hedge Baseline'!$B$1:$U$257,12,FALSE)),"",(VLOOKUP($B129,'B-1 On-Site Hedge Baseline'!$B$1:$U$257,12,FALSE))))</f>
        <v/>
      </c>
      <c r="M129" s="627"/>
      <c r="N129" s="281" t="str">
        <f>IFERROR(IF(B129="","",INDEX('G-6 Hedgerow Data'!$AN$3:$AZ$15,MATCH(C129,'G-6 Hedgerow Data'!$AM$3:$AM$15,0),MATCH(M129,'G-6 Hedgerow Data'!$AN$2:$AZ$2,0))),"")</f>
        <v/>
      </c>
      <c r="O129" s="282" t="str">
        <f t="shared" si="8"/>
        <v/>
      </c>
      <c r="P129" s="335" t="str">
        <f>IF(B129="","",VLOOKUP(B129,'B-1 On-Site Hedge Baseline'!$B$10:T374,16,FALSE))</f>
        <v/>
      </c>
      <c r="Q129" s="281" t="str">
        <f>IF(M129="","",VLOOKUP(M129,'G-6 Hedgerow Data'!$B$2:$AG$15,2,FALSE))</f>
        <v/>
      </c>
      <c r="R129" s="282" t="str">
        <f>IF(M129="","",VLOOKUP(M129,'G-6 Hedgerow Data'!$B$2:$AG$15,3,FALSE))</f>
        <v/>
      </c>
      <c r="S129" s="112"/>
      <c r="T129" s="320" t="str">
        <f>IFERROR(IF(S129="","",IF(AND(M129="Non-native and ornamental hedgerow", S129&lt;&gt;"Poor"),"Not possible ▲", (VLOOKUP(S129,'G-1 All Habitats'!$Z$2:$AA$9,2,FALSE)))),"")</f>
        <v/>
      </c>
      <c r="U129" s="109"/>
      <c r="V129" s="301" t="str">
        <f>IF(U129="","",IF(VLOOKUP(U129,'G-3 Multipliers'!$L$3:$N$6,2,FALSE)=0,"Spatial Data Missing ⚠",VLOOKUP(U129,'G-3 Multipliers'!$L$3:$N$6,2,FALSE)))</f>
        <v/>
      </c>
      <c r="W129" s="305" t="str">
        <f>IF(U129="","",IF(VLOOKUP(U129,'G-3 Multipliers'!$L$3:$N$6,3,FALSE)=0,"Spatial Data Missing ⚠",VLOOKUP(U129,'G-3 Multipliers'!$L$3:$N$6,3,FALSE)))</f>
        <v/>
      </c>
      <c r="X129" s="281" t="str">
        <f>IFERROR(IF(OR(LEFT(O129,5)="Error",LEFT(N129,5)="Error",T129="Error"),"Check Data ⚠",IF(F129&lt;R129,INDEX('G-6 Hedgerow Data'!$S$3:$AE$14,MATCH(C129,'G-6 Hedgerow Data'!$B$3:$B$14,0),MATCH(M129,'G-6 Hedgerow Data'!$S$2:$AE$2,0)),INDEX('G-6 Hedgerow Data'!$K$3:$Q$14,MATCH(M129,'G-6 Hedgerow Data'!$B$3:$B$14,0),MATCH(O129,'G-6 Hedgerow Data'!$K$2:$Q$2,0)))),"")</f>
        <v/>
      </c>
      <c r="Y129" s="137"/>
      <c r="Z129" s="137"/>
      <c r="AA129" s="289" t="str">
        <f t="shared" si="9"/>
        <v/>
      </c>
      <c r="AB129" s="302" t="str">
        <f t="shared" si="10"/>
        <v/>
      </c>
      <c r="AC129" s="303" t="str">
        <f t="shared" si="7"/>
        <v/>
      </c>
      <c r="AD129" s="317" t="str">
        <f>IF(M129="","",VLOOKUP(M129,'G-6 Hedgerow Data'!$B$3:$AG$15,31,FALSE))</f>
        <v/>
      </c>
      <c r="AE129" s="289" t="str">
        <f t="shared" si="11"/>
        <v/>
      </c>
      <c r="AF129" s="289" t="str">
        <f t="shared" si="12"/>
        <v/>
      </c>
      <c r="AG129" s="305" t="str">
        <f>IFERROR(IF(O129="","",VLOOKUP(AD129,'G-3 Multipliers'!$P$3:$Q$6,2,FALSE)),"")</f>
        <v/>
      </c>
      <c r="AH129" s="295" t="str">
        <f t="shared" si="13"/>
        <v/>
      </c>
      <c r="AI129" s="112"/>
      <c r="AJ129" s="119"/>
      <c r="AK129" s="108"/>
      <c r="AT129" s="30" t="str">
        <f>IFERROR(INDEX('G-6 Hedgerow Data'!$BJ$3:$BJ$15,MATCH(M129,'G-6 Hedgerow Data'!$B$3:$B$15,0)),"")</f>
        <v/>
      </c>
    </row>
    <row r="130" spans="2:46" ht="13.8" x14ac:dyDescent="0.25">
      <c r="B130" s="311" t="str">
        <f>'B-1 On-Site Hedge Baseline'!AK128</f>
        <v/>
      </c>
      <c r="C130" s="301" t="str">
        <f>IF(B130="","",IF(ISNA(VLOOKUP($B130,'B-1 On-Site Hedge Baseline'!$B$1:$L$257,3,FALSE)),"",(VLOOKUP($B130,'B-1 On-Site Hedge Baseline'!$B$1:$L$257,3,FALSE))))</f>
        <v/>
      </c>
      <c r="D130" s="301" t="str">
        <f>IF(B130="","",IF(ISNA(VLOOKUP($B130,'B-1 On-Site Hedge Baseline'!$B$1:$L$257,4,FALSE)),"",(VLOOKUP($B130,'B-1 On-Site Hedge Baseline'!$B$1:$L$257,4,FALSE))))</f>
        <v/>
      </c>
      <c r="E130" s="301" t="str">
        <f>IF(B130="","",IF(ISNA(VLOOKUP($B130,'B-1 On-Site Hedge Baseline'!$B$1:$L$257,5,FALSE)),"",(VLOOKUP($B130,'B-1 On-Site Hedge Baseline'!$B$1:$L$257,5,FALSE))))</f>
        <v/>
      </c>
      <c r="F130" s="301" t="str">
        <f>IF(B130="","",IF(ISNA(VLOOKUP($B130,'B-1 On-Site Hedge Baseline'!$B$1:$L$257,6,FALSE)),"",(VLOOKUP($B130,'B-1 On-Site Hedge Baseline'!$B$1:$L$257,6,FALSE))))</f>
        <v/>
      </c>
      <c r="G130" s="301" t="str">
        <f>IF(B130="","",IF(ISNA(VLOOKUP($B130,'B-1 On-Site Hedge Baseline'!$B$1:$L$257,7,FALSE)),"",(VLOOKUP($B130,'B-1 On-Site Hedge Baseline'!$B$1:$L$257,7,FALSE))))</f>
        <v/>
      </c>
      <c r="H130" s="301" t="str">
        <f>IF(B130="","",IF(ISNA(VLOOKUP($B130,'B-1 On-Site Hedge Baseline'!$B$1:$L$257,8,FALSE)),"",(VLOOKUP($B130,'B-1 On-Site Hedge Baseline'!$B$1:$L$257,8,FALSE))))</f>
        <v/>
      </c>
      <c r="I130" s="301" t="str">
        <f>IF(B130="","",IF(ISNA(VLOOKUP($B130,'B-1 On-Site Hedge Baseline'!$B$1:$L$257,10,FALSE)),"",(VLOOKUP($B130,'B-1 On-Site Hedge Baseline'!$B$1:$L$257,10,FALSE))))</f>
        <v/>
      </c>
      <c r="J130" s="301" t="str">
        <f>IF(B130="","",IF(ISNA(VLOOKUP($B130,'B-1 On-Site Hedge Baseline'!$B$1:$L$257,11,FALSE)),"",(VLOOKUP($B130,'B-1 On-Site Hedge Baseline'!$B$1:$L$257,11,FALSE))))</f>
        <v/>
      </c>
      <c r="K130" s="301" t="str">
        <f>IF(B130="","",IF(ISNA(VLOOKUP($B130,'B-1 On-Site Hedge Baseline'!$B$1:$U$257,13,FALSE)),"",(VLOOKUP($B130,'B-1 On-Site Hedge Baseline'!$B$1:$U$257,13,FALSE))))</f>
        <v/>
      </c>
      <c r="L130" s="305" t="str">
        <f>IF(B130="","",IF(ISNA(VLOOKUP($B130,'B-1 On-Site Hedge Baseline'!$B$1:$U$257,12,FALSE)),"",(VLOOKUP($B130,'B-1 On-Site Hedge Baseline'!$B$1:$U$257,12,FALSE))))</f>
        <v/>
      </c>
      <c r="M130" s="627"/>
      <c r="N130" s="281" t="str">
        <f>IFERROR(IF(B130="","",INDEX('G-6 Hedgerow Data'!$AN$3:$AZ$15,MATCH(C130,'G-6 Hedgerow Data'!$AM$3:$AM$15,0),MATCH(M130,'G-6 Hedgerow Data'!$AN$2:$AZ$2,0))),"")</f>
        <v/>
      </c>
      <c r="O130" s="282" t="str">
        <f t="shared" si="8"/>
        <v/>
      </c>
      <c r="P130" s="335" t="str">
        <f>IF(B130="","",VLOOKUP(B130,'B-1 On-Site Hedge Baseline'!$B$10:T375,16,FALSE))</f>
        <v/>
      </c>
      <c r="Q130" s="281" t="str">
        <f>IF(M130="","",VLOOKUP(M130,'G-6 Hedgerow Data'!$B$2:$AG$15,2,FALSE))</f>
        <v/>
      </c>
      <c r="R130" s="282" t="str">
        <f>IF(M130="","",VLOOKUP(M130,'G-6 Hedgerow Data'!$B$2:$AG$15,3,FALSE))</f>
        <v/>
      </c>
      <c r="S130" s="112"/>
      <c r="T130" s="320" t="str">
        <f>IFERROR(IF(S130="","",IF(AND(M130="Non-native and ornamental hedgerow", S130&lt;&gt;"Poor"),"Not possible ▲", (VLOOKUP(S130,'G-1 All Habitats'!$Z$2:$AA$9,2,FALSE)))),"")</f>
        <v/>
      </c>
      <c r="U130" s="109"/>
      <c r="V130" s="301" t="str">
        <f>IF(U130="","",IF(VLOOKUP(U130,'G-3 Multipliers'!$L$3:$N$6,2,FALSE)=0,"Spatial Data Missing ⚠",VLOOKUP(U130,'G-3 Multipliers'!$L$3:$N$6,2,FALSE)))</f>
        <v/>
      </c>
      <c r="W130" s="305" t="str">
        <f>IF(U130="","",IF(VLOOKUP(U130,'G-3 Multipliers'!$L$3:$N$6,3,FALSE)=0,"Spatial Data Missing ⚠",VLOOKUP(U130,'G-3 Multipliers'!$L$3:$N$6,3,FALSE)))</f>
        <v/>
      </c>
      <c r="X130" s="281" t="str">
        <f>IFERROR(IF(OR(LEFT(O130,5)="Error",LEFT(N130,5)="Error",T130="Error"),"Check Data ⚠",IF(F130&lt;R130,INDEX('G-6 Hedgerow Data'!$S$3:$AE$14,MATCH(C130,'G-6 Hedgerow Data'!$B$3:$B$14,0),MATCH(M130,'G-6 Hedgerow Data'!$S$2:$AE$2,0)),INDEX('G-6 Hedgerow Data'!$K$3:$Q$14,MATCH(M130,'G-6 Hedgerow Data'!$B$3:$B$14,0),MATCH(O130,'G-6 Hedgerow Data'!$K$2:$Q$2,0)))),"")</f>
        <v/>
      </c>
      <c r="Y130" s="137"/>
      <c r="Z130" s="137"/>
      <c r="AA130" s="289" t="str">
        <f t="shared" si="9"/>
        <v/>
      </c>
      <c r="AB130" s="302" t="str">
        <f t="shared" si="10"/>
        <v/>
      </c>
      <c r="AC130" s="303" t="str">
        <f t="shared" si="7"/>
        <v/>
      </c>
      <c r="AD130" s="317" t="str">
        <f>IF(M130="","",VLOOKUP(M130,'G-6 Hedgerow Data'!$B$3:$AG$15,31,FALSE))</f>
        <v/>
      </c>
      <c r="AE130" s="289" t="str">
        <f t="shared" si="11"/>
        <v/>
      </c>
      <c r="AF130" s="289" t="str">
        <f t="shared" si="12"/>
        <v/>
      </c>
      <c r="AG130" s="305" t="str">
        <f>IFERROR(IF(O130="","",VLOOKUP(AD130,'G-3 Multipliers'!$P$3:$Q$6,2,FALSE)),"")</f>
        <v/>
      </c>
      <c r="AH130" s="295" t="str">
        <f t="shared" si="13"/>
        <v/>
      </c>
      <c r="AI130" s="112"/>
      <c r="AJ130" s="119"/>
      <c r="AK130" s="108"/>
      <c r="AT130" s="30" t="str">
        <f>IFERROR(INDEX('G-6 Hedgerow Data'!$BJ$3:$BJ$15,MATCH(M130,'G-6 Hedgerow Data'!$B$3:$B$15,0)),"")</f>
        <v/>
      </c>
    </row>
    <row r="131" spans="2:46" ht="13.8" x14ac:dyDescent="0.25">
      <c r="B131" s="311" t="str">
        <f>'B-1 On-Site Hedge Baseline'!AK129</f>
        <v/>
      </c>
      <c r="C131" s="301" t="str">
        <f>IF(B131="","",IF(ISNA(VLOOKUP($B131,'B-1 On-Site Hedge Baseline'!$B$1:$L$257,3,FALSE)),"",(VLOOKUP($B131,'B-1 On-Site Hedge Baseline'!$B$1:$L$257,3,FALSE))))</f>
        <v/>
      </c>
      <c r="D131" s="301" t="str">
        <f>IF(B131="","",IF(ISNA(VLOOKUP($B131,'B-1 On-Site Hedge Baseline'!$B$1:$L$257,4,FALSE)),"",(VLOOKUP($B131,'B-1 On-Site Hedge Baseline'!$B$1:$L$257,4,FALSE))))</f>
        <v/>
      </c>
      <c r="E131" s="301" t="str">
        <f>IF(B131="","",IF(ISNA(VLOOKUP($B131,'B-1 On-Site Hedge Baseline'!$B$1:$L$257,5,FALSE)),"",(VLOOKUP($B131,'B-1 On-Site Hedge Baseline'!$B$1:$L$257,5,FALSE))))</f>
        <v/>
      </c>
      <c r="F131" s="301" t="str">
        <f>IF(B131="","",IF(ISNA(VLOOKUP($B131,'B-1 On-Site Hedge Baseline'!$B$1:$L$257,6,FALSE)),"",(VLOOKUP($B131,'B-1 On-Site Hedge Baseline'!$B$1:$L$257,6,FALSE))))</f>
        <v/>
      </c>
      <c r="G131" s="301" t="str">
        <f>IF(B131="","",IF(ISNA(VLOOKUP($B131,'B-1 On-Site Hedge Baseline'!$B$1:$L$257,7,FALSE)),"",(VLOOKUP($B131,'B-1 On-Site Hedge Baseline'!$B$1:$L$257,7,FALSE))))</f>
        <v/>
      </c>
      <c r="H131" s="301" t="str">
        <f>IF(B131="","",IF(ISNA(VLOOKUP($B131,'B-1 On-Site Hedge Baseline'!$B$1:$L$257,8,FALSE)),"",(VLOOKUP($B131,'B-1 On-Site Hedge Baseline'!$B$1:$L$257,8,FALSE))))</f>
        <v/>
      </c>
      <c r="I131" s="301" t="str">
        <f>IF(B131="","",IF(ISNA(VLOOKUP($B131,'B-1 On-Site Hedge Baseline'!$B$1:$L$257,10,FALSE)),"",(VLOOKUP($B131,'B-1 On-Site Hedge Baseline'!$B$1:$L$257,10,FALSE))))</f>
        <v/>
      </c>
      <c r="J131" s="301" t="str">
        <f>IF(B131="","",IF(ISNA(VLOOKUP($B131,'B-1 On-Site Hedge Baseline'!$B$1:$L$257,11,FALSE)),"",(VLOOKUP($B131,'B-1 On-Site Hedge Baseline'!$B$1:$L$257,11,FALSE))))</f>
        <v/>
      </c>
      <c r="K131" s="301" t="str">
        <f>IF(B131="","",IF(ISNA(VLOOKUP($B131,'B-1 On-Site Hedge Baseline'!$B$1:$U$257,13,FALSE)),"",(VLOOKUP($B131,'B-1 On-Site Hedge Baseline'!$B$1:$U$257,13,FALSE))))</f>
        <v/>
      </c>
      <c r="L131" s="305" t="str">
        <f>IF(B131="","",IF(ISNA(VLOOKUP($B131,'B-1 On-Site Hedge Baseline'!$B$1:$U$257,12,FALSE)),"",(VLOOKUP($B131,'B-1 On-Site Hedge Baseline'!$B$1:$U$257,12,FALSE))))</f>
        <v/>
      </c>
      <c r="M131" s="627"/>
      <c r="N131" s="281" t="str">
        <f>IFERROR(IF(B131="","",INDEX('G-6 Hedgerow Data'!$AN$3:$AZ$15,MATCH(C131,'G-6 Hedgerow Data'!$AM$3:$AM$15,0),MATCH(M131,'G-6 Hedgerow Data'!$AN$2:$AZ$2,0))),"")</f>
        <v/>
      </c>
      <c r="O131" s="282" t="str">
        <f t="shared" si="8"/>
        <v/>
      </c>
      <c r="P131" s="335" t="str">
        <f>IF(B131="","",VLOOKUP(B131,'B-1 On-Site Hedge Baseline'!$B$10:T376,16,FALSE))</f>
        <v/>
      </c>
      <c r="Q131" s="281" t="str">
        <f>IF(M131="","",VLOOKUP(M131,'G-6 Hedgerow Data'!$B$2:$AG$15,2,FALSE))</f>
        <v/>
      </c>
      <c r="R131" s="282" t="str">
        <f>IF(M131="","",VLOOKUP(M131,'G-6 Hedgerow Data'!$B$2:$AG$15,3,FALSE))</f>
        <v/>
      </c>
      <c r="S131" s="112"/>
      <c r="T131" s="320" t="str">
        <f>IFERROR(IF(S131="","",IF(AND(M131="Non-native and ornamental hedgerow", S131&lt;&gt;"Poor"),"Not possible ▲", (VLOOKUP(S131,'G-1 All Habitats'!$Z$2:$AA$9,2,FALSE)))),"")</f>
        <v/>
      </c>
      <c r="U131" s="109"/>
      <c r="V131" s="301" t="str">
        <f>IF(U131="","",IF(VLOOKUP(U131,'G-3 Multipliers'!$L$3:$N$6,2,FALSE)=0,"Spatial Data Missing ⚠",VLOOKUP(U131,'G-3 Multipliers'!$L$3:$N$6,2,FALSE)))</f>
        <v/>
      </c>
      <c r="W131" s="305" t="str">
        <f>IF(U131="","",IF(VLOOKUP(U131,'G-3 Multipliers'!$L$3:$N$6,3,FALSE)=0,"Spatial Data Missing ⚠",VLOOKUP(U131,'G-3 Multipliers'!$L$3:$N$6,3,FALSE)))</f>
        <v/>
      </c>
      <c r="X131" s="281" t="str">
        <f>IFERROR(IF(OR(LEFT(O131,5)="Error",LEFT(N131,5)="Error",T131="Error"),"Check Data ⚠",IF(F131&lt;R131,INDEX('G-6 Hedgerow Data'!$S$3:$AE$14,MATCH(C131,'G-6 Hedgerow Data'!$B$3:$B$14,0),MATCH(M131,'G-6 Hedgerow Data'!$S$2:$AE$2,0)),INDEX('G-6 Hedgerow Data'!$K$3:$Q$14,MATCH(M131,'G-6 Hedgerow Data'!$B$3:$B$14,0),MATCH(O131,'G-6 Hedgerow Data'!$K$2:$Q$2,0)))),"")</f>
        <v/>
      </c>
      <c r="Y131" s="137"/>
      <c r="Z131" s="137"/>
      <c r="AA131" s="289" t="str">
        <f t="shared" si="9"/>
        <v/>
      </c>
      <c r="AB131" s="302" t="str">
        <f t="shared" si="10"/>
        <v/>
      </c>
      <c r="AC131" s="303" t="str">
        <f t="shared" si="7"/>
        <v/>
      </c>
      <c r="AD131" s="317" t="str">
        <f>IF(M131="","",VLOOKUP(M131,'G-6 Hedgerow Data'!$B$3:$AG$15,31,FALSE))</f>
        <v/>
      </c>
      <c r="AE131" s="289" t="str">
        <f t="shared" si="11"/>
        <v/>
      </c>
      <c r="AF131" s="289" t="str">
        <f t="shared" si="12"/>
        <v/>
      </c>
      <c r="AG131" s="305" t="str">
        <f>IFERROR(IF(O131="","",VLOOKUP(AD131,'G-3 Multipliers'!$P$3:$Q$6,2,FALSE)),"")</f>
        <v/>
      </c>
      <c r="AH131" s="295" t="str">
        <f t="shared" si="13"/>
        <v/>
      </c>
      <c r="AI131" s="112"/>
      <c r="AJ131" s="119"/>
      <c r="AK131" s="108"/>
      <c r="AT131" s="30" t="str">
        <f>IFERROR(INDEX('G-6 Hedgerow Data'!$BJ$3:$BJ$15,MATCH(M131,'G-6 Hedgerow Data'!$B$3:$B$15,0)),"")</f>
        <v/>
      </c>
    </row>
    <row r="132" spans="2:46" ht="13.8" x14ac:dyDescent="0.25">
      <c r="B132" s="311" t="str">
        <f>'B-1 On-Site Hedge Baseline'!AK130</f>
        <v/>
      </c>
      <c r="C132" s="301" t="str">
        <f>IF(B132="","",IF(ISNA(VLOOKUP($B132,'B-1 On-Site Hedge Baseline'!$B$1:$L$257,3,FALSE)),"",(VLOOKUP($B132,'B-1 On-Site Hedge Baseline'!$B$1:$L$257,3,FALSE))))</f>
        <v/>
      </c>
      <c r="D132" s="301" t="str">
        <f>IF(B132="","",IF(ISNA(VLOOKUP($B132,'B-1 On-Site Hedge Baseline'!$B$1:$L$257,4,FALSE)),"",(VLOOKUP($B132,'B-1 On-Site Hedge Baseline'!$B$1:$L$257,4,FALSE))))</f>
        <v/>
      </c>
      <c r="E132" s="301" t="str">
        <f>IF(B132="","",IF(ISNA(VLOOKUP($B132,'B-1 On-Site Hedge Baseline'!$B$1:$L$257,5,FALSE)),"",(VLOOKUP($B132,'B-1 On-Site Hedge Baseline'!$B$1:$L$257,5,FALSE))))</f>
        <v/>
      </c>
      <c r="F132" s="301" t="str">
        <f>IF(B132="","",IF(ISNA(VLOOKUP($B132,'B-1 On-Site Hedge Baseline'!$B$1:$L$257,6,FALSE)),"",(VLOOKUP($B132,'B-1 On-Site Hedge Baseline'!$B$1:$L$257,6,FALSE))))</f>
        <v/>
      </c>
      <c r="G132" s="301" t="str">
        <f>IF(B132="","",IF(ISNA(VLOOKUP($B132,'B-1 On-Site Hedge Baseline'!$B$1:$L$257,7,FALSE)),"",(VLOOKUP($B132,'B-1 On-Site Hedge Baseline'!$B$1:$L$257,7,FALSE))))</f>
        <v/>
      </c>
      <c r="H132" s="301" t="str">
        <f>IF(B132="","",IF(ISNA(VLOOKUP($B132,'B-1 On-Site Hedge Baseline'!$B$1:$L$257,8,FALSE)),"",(VLOOKUP($B132,'B-1 On-Site Hedge Baseline'!$B$1:$L$257,8,FALSE))))</f>
        <v/>
      </c>
      <c r="I132" s="301" t="str">
        <f>IF(B132="","",IF(ISNA(VLOOKUP($B132,'B-1 On-Site Hedge Baseline'!$B$1:$L$257,10,FALSE)),"",(VLOOKUP($B132,'B-1 On-Site Hedge Baseline'!$B$1:$L$257,10,FALSE))))</f>
        <v/>
      </c>
      <c r="J132" s="301" t="str">
        <f>IF(B132="","",IF(ISNA(VLOOKUP($B132,'B-1 On-Site Hedge Baseline'!$B$1:$L$257,11,FALSE)),"",(VLOOKUP($B132,'B-1 On-Site Hedge Baseline'!$B$1:$L$257,11,FALSE))))</f>
        <v/>
      </c>
      <c r="K132" s="301" t="str">
        <f>IF(B132="","",IF(ISNA(VLOOKUP($B132,'B-1 On-Site Hedge Baseline'!$B$1:$U$257,13,FALSE)),"",(VLOOKUP($B132,'B-1 On-Site Hedge Baseline'!$B$1:$U$257,13,FALSE))))</f>
        <v/>
      </c>
      <c r="L132" s="305" t="str">
        <f>IF(B132="","",IF(ISNA(VLOOKUP($B132,'B-1 On-Site Hedge Baseline'!$B$1:$U$257,12,FALSE)),"",(VLOOKUP($B132,'B-1 On-Site Hedge Baseline'!$B$1:$U$257,12,FALSE))))</f>
        <v/>
      </c>
      <c r="M132" s="627"/>
      <c r="N132" s="281" t="str">
        <f>IFERROR(IF(B132="","",INDEX('G-6 Hedgerow Data'!$AN$3:$AZ$15,MATCH(C132,'G-6 Hedgerow Data'!$AM$3:$AM$15,0),MATCH(M132,'G-6 Hedgerow Data'!$AN$2:$AZ$2,0))),"")</f>
        <v/>
      </c>
      <c r="O132" s="282" t="str">
        <f t="shared" si="8"/>
        <v/>
      </c>
      <c r="P132" s="335" t="str">
        <f>IF(B132="","",VLOOKUP(B132,'B-1 On-Site Hedge Baseline'!$B$10:T377,16,FALSE))</f>
        <v/>
      </c>
      <c r="Q132" s="281" t="str">
        <f>IF(M132="","",VLOOKUP(M132,'G-6 Hedgerow Data'!$B$2:$AG$15,2,FALSE))</f>
        <v/>
      </c>
      <c r="R132" s="282" t="str">
        <f>IF(M132="","",VLOOKUP(M132,'G-6 Hedgerow Data'!$B$2:$AG$15,3,FALSE))</f>
        <v/>
      </c>
      <c r="S132" s="112"/>
      <c r="T132" s="320" t="str">
        <f>IFERROR(IF(S132="","",IF(AND(M132="Non-native and ornamental hedgerow", S132&lt;&gt;"Poor"),"Not possible ▲", (VLOOKUP(S132,'G-1 All Habitats'!$Z$2:$AA$9,2,FALSE)))),"")</f>
        <v/>
      </c>
      <c r="U132" s="109"/>
      <c r="V132" s="301" t="str">
        <f>IF(U132="","",IF(VLOOKUP(U132,'G-3 Multipliers'!$L$3:$N$6,2,FALSE)=0,"Spatial Data Missing ⚠",VLOOKUP(U132,'G-3 Multipliers'!$L$3:$N$6,2,FALSE)))</f>
        <v/>
      </c>
      <c r="W132" s="305" t="str">
        <f>IF(U132="","",IF(VLOOKUP(U132,'G-3 Multipliers'!$L$3:$N$6,3,FALSE)=0,"Spatial Data Missing ⚠",VLOOKUP(U132,'G-3 Multipliers'!$L$3:$N$6,3,FALSE)))</f>
        <v/>
      </c>
      <c r="X132" s="281" t="str">
        <f>IFERROR(IF(OR(LEFT(O132,5)="Error",LEFT(N132,5)="Error",T132="Error"),"Check Data ⚠",IF(F132&lt;R132,INDEX('G-6 Hedgerow Data'!$S$3:$AE$14,MATCH(C132,'G-6 Hedgerow Data'!$B$3:$B$14,0),MATCH(M132,'G-6 Hedgerow Data'!$S$2:$AE$2,0)),INDEX('G-6 Hedgerow Data'!$K$3:$Q$14,MATCH(M132,'G-6 Hedgerow Data'!$B$3:$B$14,0),MATCH(O132,'G-6 Hedgerow Data'!$K$2:$Q$2,0)))),"")</f>
        <v/>
      </c>
      <c r="Y132" s="137"/>
      <c r="Z132" s="137"/>
      <c r="AA132" s="289" t="str">
        <f t="shared" si="9"/>
        <v/>
      </c>
      <c r="AB132" s="302" t="str">
        <f t="shared" si="10"/>
        <v/>
      </c>
      <c r="AC132" s="303" t="str">
        <f t="shared" si="7"/>
        <v/>
      </c>
      <c r="AD132" s="317" t="str">
        <f>IF(M132="","",VLOOKUP(M132,'G-6 Hedgerow Data'!$B$3:$AG$15,31,FALSE))</f>
        <v/>
      </c>
      <c r="AE132" s="289" t="str">
        <f t="shared" si="11"/>
        <v/>
      </c>
      <c r="AF132" s="289" t="str">
        <f t="shared" si="12"/>
        <v/>
      </c>
      <c r="AG132" s="305" t="str">
        <f>IFERROR(IF(O132="","",VLOOKUP(AD132,'G-3 Multipliers'!$P$3:$Q$6,2,FALSE)),"")</f>
        <v/>
      </c>
      <c r="AH132" s="295" t="str">
        <f t="shared" si="13"/>
        <v/>
      </c>
      <c r="AI132" s="112"/>
      <c r="AJ132" s="119"/>
      <c r="AK132" s="108"/>
      <c r="AT132" s="30" t="str">
        <f>IFERROR(INDEX('G-6 Hedgerow Data'!$BJ$3:$BJ$15,MATCH(M132,'G-6 Hedgerow Data'!$B$3:$B$15,0)),"")</f>
        <v/>
      </c>
    </row>
    <row r="133" spans="2:46" ht="13.8" x14ac:dyDescent="0.25">
      <c r="B133" s="311" t="str">
        <f>'B-1 On-Site Hedge Baseline'!AK131</f>
        <v/>
      </c>
      <c r="C133" s="301" t="str">
        <f>IF(B133="","",IF(ISNA(VLOOKUP($B133,'B-1 On-Site Hedge Baseline'!$B$1:$L$257,3,FALSE)),"",(VLOOKUP($B133,'B-1 On-Site Hedge Baseline'!$B$1:$L$257,3,FALSE))))</f>
        <v/>
      </c>
      <c r="D133" s="301" t="str">
        <f>IF(B133="","",IF(ISNA(VLOOKUP($B133,'B-1 On-Site Hedge Baseline'!$B$1:$L$257,4,FALSE)),"",(VLOOKUP($B133,'B-1 On-Site Hedge Baseline'!$B$1:$L$257,4,FALSE))))</f>
        <v/>
      </c>
      <c r="E133" s="301" t="str">
        <f>IF(B133="","",IF(ISNA(VLOOKUP($B133,'B-1 On-Site Hedge Baseline'!$B$1:$L$257,5,FALSE)),"",(VLOOKUP($B133,'B-1 On-Site Hedge Baseline'!$B$1:$L$257,5,FALSE))))</f>
        <v/>
      </c>
      <c r="F133" s="301" t="str">
        <f>IF(B133="","",IF(ISNA(VLOOKUP($B133,'B-1 On-Site Hedge Baseline'!$B$1:$L$257,6,FALSE)),"",(VLOOKUP($B133,'B-1 On-Site Hedge Baseline'!$B$1:$L$257,6,FALSE))))</f>
        <v/>
      </c>
      <c r="G133" s="301" t="str">
        <f>IF(B133="","",IF(ISNA(VLOOKUP($B133,'B-1 On-Site Hedge Baseline'!$B$1:$L$257,7,FALSE)),"",(VLOOKUP($B133,'B-1 On-Site Hedge Baseline'!$B$1:$L$257,7,FALSE))))</f>
        <v/>
      </c>
      <c r="H133" s="301" t="str">
        <f>IF(B133="","",IF(ISNA(VLOOKUP($B133,'B-1 On-Site Hedge Baseline'!$B$1:$L$257,8,FALSE)),"",(VLOOKUP($B133,'B-1 On-Site Hedge Baseline'!$B$1:$L$257,8,FALSE))))</f>
        <v/>
      </c>
      <c r="I133" s="301" t="str">
        <f>IF(B133="","",IF(ISNA(VLOOKUP($B133,'B-1 On-Site Hedge Baseline'!$B$1:$L$257,10,FALSE)),"",(VLOOKUP($B133,'B-1 On-Site Hedge Baseline'!$B$1:$L$257,10,FALSE))))</f>
        <v/>
      </c>
      <c r="J133" s="301" t="str">
        <f>IF(B133="","",IF(ISNA(VLOOKUP($B133,'B-1 On-Site Hedge Baseline'!$B$1:$L$257,11,FALSE)),"",(VLOOKUP($B133,'B-1 On-Site Hedge Baseline'!$B$1:$L$257,11,FALSE))))</f>
        <v/>
      </c>
      <c r="K133" s="301" t="str">
        <f>IF(B133="","",IF(ISNA(VLOOKUP($B133,'B-1 On-Site Hedge Baseline'!$B$1:$U$257,13,FALSE)),"",(VLOOKUP($B133,'B-1 On-Site Hedge Baseline'!$B$1:$U$257,13,FALSE))))</f>
        <v/>
      </c>
      <c r="L133" s="305" t="str">
        <f>IF(B133="","",IF(ISNA(VLOOKUP($B133,'B-1 On-Site Hedge Baseline'!$B$1:$U$257,12,FALSE)),"",(VLOOKUP($B133,'B-1 On-Site Hedge Baseline'!$B$1:$U$257,12,FALSE))))</f>
        <v/>
      </c>
      <c r="M133" s="627"/>
      <c r="N133" s="281" t="str">
        <f>IFERROR(IF(B133="","",INDEX('G-6 Hedgerow Data'!$AN$3:$AZ$15,MATCH(C133,'G-6 Hedgerow Data'!$AM$3:$AM$15,0),MATCH(M133,'G-6 Hedgerow Data'!$AN$2:$AZ$2,0))),"")</f>
        <v/>
      </c>
      <c r="O133" s="282" t="str">
        <f t="shared" si="8"/>
        <v/>
      </c>
      <c r="P133" s="335" t="str">
        <f>IF(B133="","",VLOOKUP(B133,'B-1 On-Site Hedge Baseline'!$B$10:T378,16,FALSE))</f>
        <v/>
      </c>
      <c r="Q133" s="281" t="str">
        <f>IF(M133="","",VLOOKUP(M133,'G-6 Hedgerow Data'!$B$2:$AG$15,2,FALSE))</f>
        <v/>
      </c>
      <c r="R133" s="282" t="str">
        <f>IF(M133="","",VLOOKUP(M133,'G-6 Hedgerow Data'!$B$2:$AG$15,3,FALSE))</f>
        <v/>
      </c>
      <c r="S133" s="112"/>
      <c r="T133" s="320" t="str">
        <f>IFERROR(IF(S133="","",IF(AND(M133="Non-native and ornamental hedgerow", S133&lt;&gt;"Poor"),"Not possible ▲", (VLOOKUP(S133,'G-1 All Habitats'!$Z$2:$AA$9,2,FALSE)))),"")</f>
        <v/>
      </c>
      <c r="U133" s="109"/>
      <c r="V133" s="301" t="str">
        <f>IF(U133="","",IF(VLOOKUP(U133,'G-3 Multipliers'!$L$3:$N$6,2,FALSE)=0,"Spatial Data Missing ⚠",VLOOKUP(U133,'G-3 Multipliers'!$L$3:$N$6,2,FALSE)))</f>
        <v/>
      </c>
      <c r="W133" s="305" t="str">
        <f>IF(U133="","",IF(VLOOKUP(U133,'G-3 Multipliers'!$L$3:$N$6,3,FALSE)=0,"Spatial Data Missing ⚠",VLOOKUP(U133,'G-3 Multipliers'!$L$3:$N$6,3,FALSE)))</f>
        <v/>
      </c>
      <c r="X133" s="281" t="str">
        <f>IFERROR(IF(OR(LEFT(O133,5)="Error",LEFT(N133,5)="Error",T133="Error"),"Check Data ⚠",IF(F133&lt;R133,INDEX('G-6 Hedgerow Data'!$S$3:$AE$14,MATCH(C133,'G-6 Hedgerow Data'!$B$3:$B$14,0),MATCH(M133,'G-6 Hedgerow Data'!$S$2:$AE$2,0)),INDEX('G-6 Hedgerow Data'!$K$3:$Q$14,MATCH(M133,'G-6 Hedgerow Data'!$B$3:$B$14,0),MATCH(O133,'G-6 Hedgerow Data'!$K$2:$Q$2,0)))),"")</f>
        <v/>
      </c>
      <c r="Y133" s="137"/>
      <c r="Z133" s="137"/>
      <c r="AA133" s="289" t="str">
        <f t="shared" si="9"/>
        <v/>
      </c>
      <c r="AB133" s="302" t="str">
        <f t="shared" si="10"/>
        <v/>
      </c>
      <c r="AC133" s="303" t="str">
        <f t="shared" si="7"/>
        <v/>
      </c>
      <c r="AD133" s="317" t="str">
        <f>IF(M133="","",VLOOKUP(M133,'G-6 Hedgerow Data'!$B$3:$AG$15,31,FALSE))</f>
        <v/>
      </c>
      <c r="AE133" s="289" t="str">
        <f t="shared" si="11"/>
        <v/>
      </c>
      <c r="AF133" s="289" t="str">
        <f t="shared" si="12"/>
        <v/>
      </c>
      <c r="AG133" s="305" t="str">
        <f>IFERROR(IF(O133="","",VLOOKUP(AD133,'G-3 Multipliers'!$P$3:$Q$6,2,FALSE)),"")</f>
        <v/>
      </c>
      <c r="AH133" s="295" t="str">
        <f t="shared" si="13"/>
        <v/>
      </c>
      <c r="AI133" s="112"/>
      <c r="AJ133" s="119"/>
      <c r="AK133" s="108"/>
      <c r="AT133" s="30" t="str">
        <f>IFERROR(INDEX('G-6 Hedgerow Data'!$BJ$3:$BJ$15,MATCH(M133,'G-6 Hedgerow Data'!$B$3:$B$15,0)),"")</f>
        <v/>
      </c>
    </row>
    <row r="134" spans="2:46" ht="13.8" x14ac:dyDescent="0.25">
      <c r="B134" s="311" t="str">
        <f>'B-1 On-Site Hedge Baseline'!AK132</f>
        <v/>
      </c>
      <c r="C134" s="301" t="str">
        <f>IF(B134="","",IF(ISNA(VLOOKUP($B134,'B-1 On-Site Hedge Baseline'!$B$1:$L$257,3,FALSE)),"",(VLOOKUP($B134,'B-1 On-Site Hedge Baseline'!$B$1:$L$257,3,FALSE))))</f>
        <v/>
      </c>
      <c r="D134" s="301" t="str">
        <f>IF(B134="","",IF(ISNA(VLOOKUP($B134,'B-1 On-Site Hedge Baseline'!$B$1:$L$257,4,FALSE)),"",(VLOOKUP($B134,'B-1 On-Site Hedge Baseline'!$B$1:$L$257,4,FALSE))))</f>
        <v/>
      </c>
      <c r="E134" s="301" t="str">
        <f>IF(B134="","",IF(ISNA(VLOOKUP($B134,'B-1 On-Site Hedge Baseline'!$B$1:$L$257,5,FALSE)),"",(VLOOKUP($B134,'B-1 On-Site Hedge Baseline'!$B$1:$L$257,5,FALSE))))</f>
        <v/>
      </c>
      <c r="F134" s="301" t="str">
        <f>IF(B134="","",IF(ISNA(VLOOKUP($B134,'B-1 On-Site Hedge Baseline'!$B$1:$L$257,6,FALSE)),"",(VLOOKUP($B134,'B-1 On-Site Hedge Baseline'!$B$1:$L$257,6,FALSE))))</f>
        <v/>
      </c>
      <c r="G134" s="301" t="str">
        <f>IF(B134="","",IF(ISNA(VLOOKUP($B134,'B-1 On-Site Hedge Baseline'!$B$1:$L$257,7,FALSE)),"",(VLOOKUP($B134,'B-1 On-Site Hedge Baseline'!$B$1:$L$257,7,FALSE))))</f>
        <v/>
      </c>
      <c r="H134" s="301" t="str">
        <f>IF(B134="","",IF(ISNA(VLOOKUP($B134,'B-1 On-Site Hedge Baseline'!$B$1:$L$257,8,FALSE)),"",(VLOOKUP($B134,'B-1 On-Site Hedge Baseline'!$B$1:$L$257,8,FALSE))))</f>
        <v/>
      </c>
      <c r="I134" s="301" t="str">
        <f>IF(B134="","",IF(ISNA(VLOOKUP($B134,'B-1 On-Site Hedge Baseline'!$B$1:$L$257,10,FALSE)),"",(VLOOKUP($B134,'B-1 On-Site Hedge Baseline'!$B$1:$L$257,10,FALSE))))</f>
        <v/>
      </c>
      <c r="J134" s="301" t="str">
        <f>IF(B134="","",IF(ISNA(VLOOKUP($B134,'B-1 On-Site Hedge Baseline'!$B$1:$L$257,11,FALSE)),"",(VLOOKUP($B134,'B-1 On-Site Hedge Baseline'!$B$1:$L$257,11,FALSE))))</f>
        <v/>
      </c>
      <c r="K134" s="301" t="str">
        <f>IF(B134="","",IF(ISNA(VLOOKUP($B134,'B-1 On-Site Hedge Baseline'!$B$1:$U$257,13,FALSE)),"",(VLOOKUP($B134,'B-1 On-Site Hedge Baseline'!$B$1:$U$257,13,FALSE))))</f>
        <v/>
      </c>
      <c r="L134" s="305" t="str">
        <f>IF(B134="","",IF(ISNA(VLOOKUP($B134,'B-1 On-Site Hedge Baseline'!$B$1:$U$257,12,FALSE)),"",(VLOOKUP($B134,'B-1 On-Site Hedge Baseline'!$B$1:$U$257,12,FALSE))))</f>
        <v/>
      </c>
      <c r="M134" s="627"/>
      <c r="N134" s="281" t="str">
        <f>IFERROR(IF(B134="","",INDEX('G-6 Hedgerow Data'!$AN$3:$AZ$15,MATCH(C134,'G-6 Hedgerow Data'!$AM$3:$AM$15,0),MATCH(M134,'G-6 Hedgerow Data'!$AN$2:$AZ$2,0))),"")</f>
        <v/>
      </c>
      <c r="O134" s="282" t="str">
        <f t="shared" si="8"/>
        <v/>
      </c>
      <c r="P134" s="335" t="str">
        <f>IF(B134="","",VLOOKUP(B134,'B-1 On-Site Hedge Baseline'!$B$10:T379,16,FALSE))</f>
        <v/>
      </c>
      <c r="Q134" s="281" t="str">
        <f>IF(M134="","",VLOOKUP(M134,'G-6 Hedgerow Data'!$B$2:$AG$15,2,FALSE))</f>
        <v/>
      </c>
      <c r="R134" s="282" t="str">
        <f>IF(M134="","",VLOOKUP(M134,'G-6 Hedgerow Data'!$B$2:$AG$15,3,FALSE))</f>
        <v/>
      </c>
      <c r="S134" s="112"/>
      <c r="T134" s="320" t="str">
        <f>IFERROR(IF(S134="","",IF(AND(M134="Non-native and ornamental hedgerow", S134&lt;&gt;"Poor"),"Not possible ▲", (VLOOKUP(S134,'G-1 All Habitats'!$Z$2:$AA$9,2,FALSE)))),"")</f>
        <v/>
      </c>
      <c r="U134" s="109"/>
      <c r="V134" s="301" t="str">
        <f>IF(U134="","",IF(VLOOKUP(U134,'G-3 Multipliers'!$L$3:$N$6,2,FALSE)=0,"Spatial Data Missing ⚠",VLOOKUP(U134,'G-3 Multipliers'!$L$3:$N$6,2,FALSE)))</f>
        <v/>
      </c>
      <c r="W134" s="305" t="str">
        <f>IF(U134="","",IF(VLOOKUP(U134,'G-3 Multipliers'!$L$3:$N$6,3,FALSE)=0,"Spatial Data Missing ⚠",VLOOKUP(U134,'G-3 Multipliers'!$L$3:$N$6,3,FALSE)))</f>
        <v/>
      </c>
      <c r="X134" s="281" t="str">
        <f>IFERROR(IF(OR(LEFT(O134,5)="Error",LEFT(N134,5)="Error",T134="Error"),"Check Data ⚠",IF(F134&lt;R134,INDEX('G-6 Hedgerow Data'!$S$3:$AE$14,MATCH(C134,'G-6 Hedgerow Data'!$B$3:$B$14,0),MATCH(M134,'G-6 Hedgerow Data'!$S$2:$AE$2,0)),INDEX('G-6 Hedgerow Data'!$K$3:$Q$14,MATCH(M134,'G-6 Hedgerow Data'!$B$3:$B$14,0),MATCH(O134,'G-6 Hedgerow Data'!$K$2:$Q$2,0)))),"")</f>
        <v/>
      </c>
      <c r="Y134" s="137"/>
      <c r="Z134" s="137"/>
      <c r="AA134" s="289" t="str">
        <f t="shared" si="9"/>
        <v/>
      </c>
      <c r="AB134" s="302" t="str">
        <f t="shared" si="10"/>
        <v/>
      </c>
      <c r="AC134" s="303" t="str">
        <f t="shared" si="7"/>
        <v/>
      </c>
      <c r="AD134" s="317" t="str">
        <f>IF(M134="","",VLOOKUP(M134,'G-6 Hedgerow Data'!$B$3:$AG$15,31,FALSE))</f>
        <v/>
      </c>
      <c r="AE134" s="289" t="str">
        <f t="shared" si="11"/>
        <v/>
      </c>
      <c r="AF134" s="289" t="str">
        <f t="shared" si="12"/>
        <v/>
      </c>
      <c r="AG134" s="305" t="str">
        <f>IFERROR(IF(O134="","",VLOOKUP(AD134,'G-3 Multipliers'!$P$3:$Q$6,2,FALSE)),"")</f>
        <v/>
      </c>
      <c r="AH134" s="295" t="str">
        <f t="shared" si="13"/>
        <v/>
      </c>
      <c r="AI134" s="112"/>
      <c r="AJ134" s="119"/>
      <c r="AK134" s="108"/>
      <c r="AT134" s="30" t="str">
        <f>IFERROR(INDEX('G-6 Hedgerow Data'!$BJ$3:$BJ$15,MATCH(M134,'G-6 Hedgerow Data'!$B$3:$B$15,0)),"")</f>
        <v/>
      </c>
    </row>
    <row r="135" spans="2:46" ht="13.8" x14ac:dyDescent="0.25">
      <c r="B135" s="311" t="str">
        <f>'B-1 On-Site Hedge Baseline'!AK133</f>
        <v/>
      </c>
      <c r="C135" s="301" t="str">
        <f>IF(B135="","",IF(ISNA(VLOOKUP($B135,'B-1 On-Site Hedge Baseline'!$B$1:$L$257,3,FALSE)),"",(VLOOKUP($B135,'B-1 On-Site Hedge Baseline'!$B$1:$L$257,3,FALSE))))</f>
        <v/>
      </c>
      <c r="D135" s="301" t="str">
        <f>IF(B135="","",IF(ISNA(VLOOKUP($B135,'B-1 On-Site Hedge Baseline'!$B$1:$L$257,4,FALSE)),"",(VLOOKUP($B135,'B-1 On-Site Hedge Baseline'!$B$1:$L$257,4,FALSE))))</f>
        <v/>
      </c>
      <c r="E135" s="301" t="str">
        <f>IF(B135="","",IF(ISNA(VLOOKUP($B135,'B-1 On-Site Hedge Baseline'!$B$1:$L$257,5,FALSE)),"",(VLOOKUP($B135,'B-1 On-Site Hedge Baseline'!$B$1:$L$257,5,FALSE))))</f>
        <v/>
      </c>
      <c r="F135" s="301" t="str">
        <f>IF(B135="","",IF(ISNA(VLOOKUP($B135,'B-1 On-Site Hedge Baseline'!$B$1:$L$257,6,FALSE)),"",(VLOOKUP($B135,'B-1 On-Site Hedge Baseline'!$B$1:$L$257,6,FALSE))))</f>
        <v/>
      </c>
      <c r="G135" s="301" t="str">
        <f>IF(B135="","",IF(ISNA(VLOOKUP($B135,'B-1 On-Site Hedge Baseline'!$B$1:$L$257,7,FALSE)),"",(VLOOKUP($B135,'B-1 On-Site Hedge Baseline'!$B$1:$L$257,7,FALSE))))</f>
        <v/>
      </c>
      <c r="H135" s="301" t="str">
        <f>IF(B135="","",IF(ISNA(VLOOKUP($B135,'B-1 On-Site Hedge Baseline'!$B$1:$L$257,8,FALSE)),"",(VLOOKUP($B135,'B-1 On-Site Hedge Baseline'!$B$1:$L$257,8,FALSE))))</f>
        <v/>
      </c>
      <c r="I135" s="301" t="str">
        <f>IF(B135="","",IF(ISNA(VLOOKUP($B135,'B-1 On-Site Hedge Baseline'!$B$1:$L$257,10,FALSE)),"",(VLOOKUP($B135,'B-1 On-Site Hedge Baseline'!$B$1:$L$257,10,FALSE))))</f>
        <v/>
      </c>
      <c r="J135" s="301" t="str">
        <f>IF(B135="","",IF(ISNA(VLOOKUP($B135,'B-1 On-Site Hedge Baseline'!$B$1:$L$257,11,FALSE)),"",(VLOOKUP($B135,'B-1 On-Site Hedge Baseline'!$B$1:$L$257,11,FALSE))))</f>
        <v/>
      </c>
      <c r="K135" s="301" t="str">
        <f>IF(B135="","",IF(ISNA(VLOOKUP($B135,'B-1 On-Site Hedge Baseline'!$B$1:$U$257,13,FALSE)),"",(VLOOKUP($B135,'B-1 On-Site Hedge Baseline'!$B$1:$U$257,13,FALSE))))</f>
        <v/>
      </c>
      <c r="L135" s="305" t="str">
        <f>IF(B135="","",IF(ISNA(VLOOKUP($B135,'B-1 On-Site Hedge Baseline'!$B$1:$U$257,12,FALSE)),"",(VLOOKUP($B135,'B-1 On-Site Hedge Baseline'!$B$1:$U$257,12,FALSE))))</f>
        <v/>
      </c>
      <c r="M135" s="627"/>
      <c r="N135" s="281" t="str">
        <f>IFERROR(IF(B135="","",INDEX('G-6 Hedgerow Data'!$AN$3:$AZ$15,MATCH(C135,'G-6 Hedgerow Data'!$AM$3:$AM$15,0),MATCH(M135,'G-6 Hedgerow Data'!$AN$2:$AZ$2,0))),"")</f>
        <v/>
      </c>
      <c r="O135" s="282" t="str">
        <f t="shared" si="8"/>
        <v/>
      </c>
      <c r="P135" s="335" t="str">
        <f>IF(B135="","",VLOOKUP(B135,'B-1 On-Site Hedge Baseline'!$B$10:T380,16,FALSE))</f>
        <v/>
      </c>
      <c r="Q135" s="281" t="str">
        <f>IF(M135="","",VLOOKUP(M135,'G-6 Hedgerow Data'!$B$2:$AG$15,2,FALSE))</f>
        <v/>
      </c>
      <c r="R135" s="282" t="str">
        <f>IF(M135="","",VLOOKUP(M135,'G-6 Hedgerow Data'!$B$2:$AG$15,3,FALSE))</f>
        <v/>
      </c>
      <c r="S135" s="112"/>
      <c r="T135" s="320" t="str">
        <f>IFERROR(IF(S135="","",IF(AND(M135="Non-native and ornamental hedgerow", S135&lt;&gt;"Poor"),"Not possible ▲", (VLOOKUP(S135,'G-1 All Habitats'!$Z$2:$AA$9,2,FALSE)))),"")</f>
        <v/>
      </c>
      <c r="U135" s="109"/>
      <c r="V135" s="301" t="str">
        <f>IF(U135="","",IF(VLOOKUP(U135,'G-3 Multipliers'!$L$3:$N$6,2,FALSE)=0,"Spatial Data Missing ⚠",VLOOKUP(U135,'G-3 Multipliers'!$L$3:$N$6,2,FALSE)))</f>
        <v/>
      </c>
      <c r="W135" s="305" t="str">
        <f>IF(U135="","",IF(VLOOKUP(U135,'G-3 Multipliers'!$L$3:$N$6,3,FALSE)=0,"Spatial Data Missing ⚠",VLOOKUP(U135,'G-3 Multipliers'!$L$3:$N$6,3,FALSE)))</f>
        <v/>
      </c>
      <c r="X135" s="281" t="str">
        <f>IFERROR(IF(OR(LEFT(O135,5)="Error",LEFT(N135,5)="Error",T135="Error"),"Check Data ⚠",IF(F135&lt;R135,INDEX('G-6 Hedgerow Data'!$S$3:$AE$14,MATCH(C135,'G-6 Hedgerow Data'!$B$3:$B$14,0),MATCH(M135,'G-6 Hedgerow Data'!$S$2:$AE$2,0)),INDEX('G-6 Hedgerow Data'!$K$3:$Q$14,MATCH(M135,'G-6 Hedgerow Data'!$B$3:$B$14,0),MATCH(O135,'G-6 Hedgerow Data'!$K$2:$Q$2,0)))),"")</f>
        <v/>
      </c>
      <c r="Y135" s="137"/>
      <c r="Z135" s="137"/>
      <c r="AA135" s="289" t="str">
        <f t="shared" si="9"/>
        <v/>
      </c>
      <c r="AB135" s="302" t="str">
        <f t="shared" si="10"/>
        <v/>
      </c>
      <c r="AC135" s="303" t="str">
        <f t="shared" si="7"/>
        <v/>
      </c>
      <c r="AD135" s="317" t="str">
        <f>IF(M135="","",VLOOKUP(M135,'G-6 Hedgerow Data'!$B$3:$AG$15,31,FALSE))</f>
        <v/>
      </c>
      <c r="AE135" s="289" t="str">
        <f t="shared" si="11"/>
        <v/>
      </c>
      <c r="AF135" s="289" t="str">
        <f t="shared" si="12"/>
        <v/>
      </c>
      <c r="AG135" s="305" t="str">
        <f>IFERROR(IF(O135="","",VLOOKUP(AD135,'G-3 Multipliers'!$P$3:$Q$6,2,FALSE)),"")</f>
        <v/>
      </c>
      <c r="AH135" s="295" t="str">
        <f t="shared" si="13"/>
        <v/>
      </c>
      <c r="AI135" s="112"/>
      <c r="AJ135" s="119"/>
      <c r="AK135" s="108"/>
      <c r="AT135" s="30" t="str">
        <f>IFERROR(INDEX('G-6 Hedgerow Data'!$BJ$3:$BJ$15,MATCH(M135,'G-6 Hedgerow Data'!$B$3:$B$15,0)),"")</f>
        <v/>
      </c>
    </row>
    <row r="136" spans="2:46" ht="13.8" x14ac:dyDescent="0.25">
      <c r="B136" s="311" t="str">
        <f>'B-1 On-Site Hedge Baseline'!AK134</f>
        <v/>
      </c>
      <c r="C136" s="301" t="str">
        <f>IF(B136="","",IF(ISNA(VLOOKUP($B136,'B-1 On-Site Hedge Baseline'!$B$1:$L$257,3,FALSE)),"",(VLOOKUP($B136,'B-1 On-Site Hedge Baseline'!$B$1:$L$257,3,FALSE))))</f>
        <v/>
      </c>
      <c r="D136" s="301" t="str">
        <f>IF(B136="","",IF(ISNA(VLOOKUP($B136,'B-1 On-Site Hedge Baseline'!$B$1:$L$257,4,FALSE)),"",(VLOOKUP($B136,'B-1 On-Site Hedge Baseline'!$B$1:$L$257,4,FALSE))))</f>
        <v/>
      </c>
      <c r="E136" s="301" t="str">
        <f>IF(B136="","",IF(ISNA(VLOOKUP($B136,'B-1 On-Site Hedge Baseline'!$B$1:$L$257,5,FALSE)),"",(VLOOKUP($B136,'B-1 On-Site Hedge Baseline'!$B$1:$L$257,5,FALSE))))</f>
        <v/>
      </c>
      <c r="F136" s="301" t="str">
        <f>IF(B136="","",IF(ISNA(VLOOKUP($B136,'B-1 On-Site Hedge Baseline'!$B$1:$L$257,6,FALSE)),"",(VLOOKUP($B136,'B-1 On-Site Hedge Baseline'!$B$1:$L$257,6,FALSE))))</f>
        <v/>
      </c>
      <c r="G136" s="301" t="str">
        <f>IF(B136="","",IF(ISNA(VLOOKUP($B136,'B-1 On-Site Hedge Baseline'!$B$1:$L$257,7,FALSE)),"",(VLOOKUP($B136,'B-1 On-Site Hedge Baseline'!$B$1:$L$257,7,FALSE))))</f>
        <v/>
      </c>
      <c r="H136" s="301" t="str">
        <f>IF(B136="","",IF(ISNA(VLOOKUP($B136,'B-1 On-Site Hedge Baseline'!$B$1:$L$257,8,FALSE)),"",(VLOOKUP($B136,'B-1 On-Site Hedge Baseline'!$B$1:$L$257,8,FALSE))))</f>
        <v/>
      </c>
      <c r="I136" s="301" t="str">
        <f>IF(B136="","",IF(ISNA(VLOOKUP($B136,'B-1 On-Site Hedge Baseline'!$B$1:$L$257,10,FALSE)),"",(VLOOKUP($B136,'B-1 On-Site Hedge Baseline'!$B$1:$L$257,10,FALSE))))</f>
        <v/>
      </c>
      <c r="J136" s="301" t="str">
        <f>IF(B136="","",IF(ISNA(VLOOKUP($B136,'B-1 On-Site Hedge Baseline'!$B$1:$L$257,11,FALSE)),"",(VLOOKUP($B136,'B-1 On-Site Hedge Baseline'!$B$1:$L$257,11,FALSE))))</f>
        <v/>
      </c>
      <c r="K136" s="301" t="str">
        <f>IF(B136="","",IF(ISNA(VLOOKUP($B136,'B-1 On-Site Hedge Baseline'!$B$1:$U$257,13,FALSE)),"",(VLOOKUP($B136,'B-1 On-Site Hedge Baseline'!$B$1:$U$257,13,FALSE))))</f>
        <v/>
      </c>
      <c r="L136" s="305" t="str">
        <f>IF(B136="","",IF(ISNA(VLOOKUP($B136,'B-1 On-Site Hedge Baseline'!$B$1:$U$257,12,FALSE)),"",(VLOOKUP($B136,'B-1 On-Site Hedge Baseline'!$B$1:$U$257,12,FALSE))))</f>
        <v/>
      </c>
      <c r="M136" s="627"/>
      <c r="N136" s="281" t="str">
        <f>IFERROR(IF(B136="","",INDEX('G-6 Hedgerow Data'!$AN$3:$AZ$15,MATCH(C136,'G-6 Hedgerow Data'!$AM$3:$AM$15,0),MATCH(M136,'G-6 Hedgerow Data'!$AN$2:$AZ$2,0))),"")</f>
        <v/>
      </c>
      <c r="O136" s="282" t="str">
        <f t="shared" si="8"/>
        <v/>
      </c>
      <c r="P136" s="335" t="str">
        <f>IF(B136="","",VLOOKUP(B136,'B-1 On-Site Hedge Baseline'!$B$10:T381,16,FALSE))</f>
        <v/>
      </c>
      <c r="Q136" s="281" t="str">
        <f>IF(M136="","",VLOOKUP(M136,'G-6 Hedgerow Data'!$B$2:$AG$15,2,FALSE))</f>
        <v/>
      </c>
      <c r="R136" s="282" t="str">
        <f>IF(M136="","",VLOOKUP(M136,'G-6 Hedgerow Data'!$B$2:$AG$15,3,FALSE))</f>
        <v/>
      </c>
      <c r="S136" s="112"/>
      <c r="T136" s="320" t="str">
        <f>IFERROR(IF(S136="","",IF(AND(M136="Non-native and ornamental hedgerow", S136&lt;&gt;"Poor"),"Not possible ▲", (VLOOKUP(S136,'G-1 All Habitats'!$Z$2:$AA$9,2,FALSE)))),"")</f>
        <v/>
      </c>
      <c r="U136" s="109"/>
      <c r="V136" s="301" t="str">
        <f>IF(U136="","",IF(VLOOKUP(U136,'G-3 Multipliers'!$L$3:$N$6,2,FALSE)=0,"Spatial Data Missing ⚠",VLOOKUP(U136,'G-3 Multipliers'!$L$3:$N$6,2,FALSE)))</f>
        <v/>
      </c>
      <c r="W136" s="305" t="str">
        <f>IF(U136="","",IF(VLOOKUP(U136,'G-3 Multipliers'!$L$3:$N$6,3,FALSE)=0,"Spatial Data Missing ⚠",VLOOKUP(U136,'G-3 Multipliers'!$L$3:$N$6,3,FALSE)))</f>
        <v/>
      </c>
      <c r="X136" s="281" t="str">
        <f>IFERROR(IF(OR(LEFT(O136,5)="Error",LEFT(N136,5)="Error",T136="Error"),"Check Data ⚠",IF(F136&lt;R136,INDEX('G-6 Hedgerow Data'!$S$3:$AE$14,MATCH(C136,'G-6 Hedgerow Data'!$B$3:$B$14,0),MATCH(M136,'G-6 Hedgerow Data'!$S$2:$AE$2,0)),INDEX('G-6 Hedgerow Data'!$K$3:$Q$14,MATCH(M136,'G-6 Hedgerow Data'!$B$3:$B$14,0),MATCH(O136,'G-6 Hedgerow Data'!$K$2:$Q$2,0)))),"")</f>
        <v/>
      </c>
      <c r="Y136" s="137"/>
      <c r="Z136" s="137"/>
      <c r="AA136" s="289" t="str">
        <f t="shared" si="9"/>
        <v/>
      </c>
      <c r="AB136" s="302" t="str">
        <f t="shared" si="10"/>
        <v/>
      </c>
      <c r="AC136" s="303" t="str">
        <f t="shared" si="7"/>
        <v/>
      </c>
      <c r="AD136" s="317" t="str">
        <f>IF(M136="","",VLOOKUP(M136,'G-6 Hedgerow Data'!$B$3:$AG$15,31,FALSE))</f>
        <v/>
      </c>
      <c r="AE136" s="289" t="str">
        <f t="shared" si="11"/>
        <v/>
      </c>
      <c r="AF136" s="289" t="str">
        <f t="shared" si="12"/>
        <v/>
      </c>
      <c r="AG136" s="305" t="str">
        <f>IFERROR(IF(O136="","",VLOOKUP(AD136,'G-3 Multipliers'!$P$3:$Q$6,2,FALSE)),"")</f>
        <v/>
      </c>
      <c r="AH136" s="295" t="str">
        <f t="shared" si="13"/>
        <v/>
      </c>
      <c r="AI136" s="112"/>
      <c r="AJ136" s="119"/>
      <c r="AK136" s="108"/>
      <c r="AT136" s="30" t="str">
        <f>IFERROR(INDEX('G-6 Hedgerow Data'!$BJ$3:$BJ$15,MATCH(M136,'G-6 Hedgerow Data'!$B$3:$B$15,0)),"")</f>
        <v/>
      </c>
    </row>
    <row r="137" spans="2:46" ht="13.8" x14ac:dyDescent="0.25">
      <c r="B137" s="311" t="str">
        <f>'B-1 On-Site Hedge Baseline'!AK135</f>
        <v/>
      </c>
      <c r="C137" s="301" t="str">
        <f>IF(B137="","",IF(ISNA(VLOOKUP($B137,'B-1 On-Site Hedge Baseline'!$B$1:$L$257,3,FALSE)),"",(VLOOKUP($B137,'B-1 On-Site Hedge Baseline'!$B$1:$L$257,3,FALSE))))</f>
        <v/>
      </c>
      <c r="D137" s="301" t="str">
        <f>IF(B137="","",IF(ISNA(VLOOKUP($B137,'B-1 On-Site Hedge Baseline'!$B$1:$L$257,4,FALSE)),"",(VLOOKUP($B137,'B-1 On-Site Hedge Baseline'!$B$1:$L$257,4,FALSE))))</f>
        <v/>
      </c>
      <c r="E137" s="301" t="str">
        <f>IF(B137="","",IF(ISNA(VLOOKUP($B137,'B-1 On-Site Hedge Baseline'!$B$1:$L$257,5,FALSE)),"",(VLOOKUP($B137,'B-1 On-Site Hedge Baseline'!$B$1:$L$257,5,FALSE))))</f>
        <v/>
      </c>
      <c r="F137" s="301" t="str">
        <f>IF(B137="","",IF(ISNA(VLOOKUP($B137,'B-1 On-Site Hedge Baseline'!$B$1:$L$257,6,FALSE)),"",(VLOOKUP($B137,'B-1 On-Site Hedge Baseline'!$B$1:$L$257,6,FALSE))))</f>
        <v/>
      </c>
      <c r="G137" s="301" t="str">
        <f>IF(B137="","",IF(ISNA(VLOOKUP($B137,'B-1 On-Site Hedge Baseline'!$B$1:$L$257,7,FALSE)),"",(VLOOKUP($B137,'B-1 On-Site Hedge Baseline'!$B$1:$L$257,7,FALSE))))</f>
        <v/>
      </c>
      <c r="H137" s="301" t="str">
        <f>IF(B137="","",IF(ISNA(VLOOKUP($B137,'B-1 On-Site Hedge Baseline'!$B$1:$L$257,8,FALSE)),"",(VLOOKUP($B137,'B-1 On-Site Hedge Baseline'!$B$1:$L$257,8,FALSE))))</f>
        <v/>
      </c>
      <c r="I137" s="301" t="str">
        <f>IF(B137="","",IF(ISNA(VLOOKUP($B137,'B-1 On-Site Hedge Baseline'!$B$1:$L$257,10,FALSE)),"",(VLOOKUP($B137,'B-1 On-Site Hedge Baseline'!$B$1:$L$257,10,FALSE))))</f>
        <v/>
      </c>
      <c r="J137" s="301" t="str">
        <f>IF(B137="","",IF(ISNA(VLOOKUP($B137,'B-1 On-Site Hedge Baseline'!$B$1:$L$257,11,FALSE)),"",(VLOOKUP($B137,'B-1 On-Site Hedge Baseline'!$B$1:$L$257,11,FALSE))))</f>
        <v/>
      </c>
      <c r="K137" s="301" t="str">
        <f>IF(B137="","",IF(ISNA(VLOOKUP($B137,'B-1 On-Site Hedge Baseline'!$B$1:$U$257,13,FALSE)),"",(VLOOKUP($B137,'B-1 On-Site Hedge Baseline'!$B$1:$U$257,13,FALSE))))</f>
        <v/>
      </c>
      <c r="L137" s="305" t="str">
        <f>IF(B137="","",IF(ISNA(VLOOKUP($B137,'B-1 On-Site Hedge Baseline'!$B$1:$U$257,12,FALSE)),"",(VLOOKUP($B137,'B-1 On-Site Hedge Baseline'!$B$1:$U$257,12,FALSE))))</f>
        <v/>
      </c>
      <c r="M137" s="627"/>
      <c r="N137" s="281" t="str">
        <f>IFERROR(IF(B137="","",INDEX('G-6 Hedgerow Data'!$AN$3:$AZ$15,MATCH(C137,'G-6 Hedgerow Data'!$AM$3:$AM$15,0),MATCH(M137,'G-6 Hedgerow Data'!$AN$2:$AZ$2,0))),"")</f>
        <v/>
      </c>
      <c r="O137" s="282" t="str">
        <f t="shared" si="8"/>
        <v/>
      </c>
      <c r="P137" s="335" t="str">
        <f>IF(B137="","",VLOOKUP(B137,'B-1 On-Site Hedge Baseline'!$B$10:T382,16,FALSE))</f>
        <v/>
      </c>
      <c r="Q137" s="281" t="str">
        <f>IF(M137="","",VLOOKUP(M137,'G-6 Hedgerow Data'!$B$2:$AG$15,2,FALSE))</f>
        <v/>
      </c>
      <c r="R137" s="282" t="str">
        <f>IF(M137="","",VLOOKUP(M137,'G-6 Hedgerow Data'!$B$2:$AG$15,3,FALSE))</f>
        <v/>
      </c>
      <c r="S137" s="112"/>
      <c r="T137" s="320" t="str">
        <f>IFERROR(IF(S137="","",IF(AND(M137="Non-native and ornamental hedgerow", S137&lt;&gt;"Poor"),"Not possible ▲", (VLOOKUP(S137,'G-1 All Habitats'!$Z$2:$AA$9,2,FALSE)))),"")</f>
        <v/>
      </c>
      <c r="U137" s="109"/>
      <c r="V137" s="301" t="str">
        <f>IF(U137="","",IF(VLOOKUP(U137,'G-3 Multipliers'!$L$3:$N$6,2,FALSE)=0,"Spatial Data Missing ⚠",VLOOKUP(U137,'G-3 Multipliers'!$L$3:$N$6,2,FALSE)))</f>
        <v/>
      </c>
      <c r="W137" s="305" t="str">
        <f>IF(U137="","",IF(VLOOKUP(U137,'G-3 Multipliers'!$L$3:$N$6,3,FALSE)=0,"Spatial Data Missing ⚠",VLOOKUP(U137,'G-3 Multipliers'!$L$3:$N$6,3,FALSE)))</f>
        <v/>
      </c>
      <c r="X137" s="281" t="str">
        <f>IFERROR(IF(OR(LEFT(O137,5)="Error",LEFT(N137,5)="Error",T137="Error"),"Check Data ⚠",IF(F137&lt;R137,INDEX('G-6 Hedgerow Data'!$S$3:$AE$14,MATCH(C137,'G-6 Hedgerow Data'!$B$3:$B$14,0),MATCH(M137,'G-6 Hedgerow Data'!$S$2:$AE$2,0)),INDEX('G-6 Hedgerow Data'!$K$3:$Q$14,MATCH(M137,'G-6 Hedgerow Data'!$B$3:$B$14,0),MATCH(O137,'G-6 Hedgerow Data'!$K$2:$Q$2,0)))),"")</f>
        <v/>
      </c>
      <c r="Y137" s="137"/>
      <c r="Z137" s="137"/>
      <c r="AA137" s="289" t="str">
        <f t="shared" si="9"/>
        <v/>
      </c>
      <c r="AB137" s="302" t="str">
        <f t="shared" si="10"/>
        <v/>
      </c>
      <c r="AC137" s="303" t="str">
        <f t="shared" si="7"/>
        <v/>
      </c>
      <c r="AD137" s="317" t="str">
        <f>IF(M137="","",VLOOKUP(M137,'G-6 Hedgerow Data'!$B$3:$AG$15,31,FALSE))</f>
        <v/>
      </c>
      <c r="AE137" s="289" t="str">
        <f t="shared" si="11"/>
        <v/>
      </c>
      <c r="AF137" s="289" t="str">
        <f t="shared" si="12"/>
        <v/>
      </c>
      <c r="AG137" s="305" t="str">
        <f>IFERROR(IF(O137="","",VLOOKUP(AD137,'G-3 Multipliers'!$P$3:$Q$6,2,FALSE)),"")</f>
        <v/>
      </c>
      <c r="AH137" s="295" t="str">
        <f t="shared" si="13"/>
        <v/>
      </c>
      <c r="AI137" s="112"/>
      <c r="AJ137" s="119"/>
      <c r="AK137" s="108"/>
      <c r="AT137" s="30" t="str">
        <f>IFERROR(INDEX('G-6 Hedgerow Data'!$BJ$3:$BJ$15,MATCH(M137,'G-6 Hedgerow Data'!$B$3:$B$15,0)),"")</f>
        <v/>
      </c>
    </row>
    <row r="138" spans="2:46" ht="13.8" x14ac:dyDescent="0.25">
      <c r="B138" s="311" t="str">
        <f>'B-1 On-Site Hedge Baseline'!AK136</f>
        <v/>
      </c>
      <c r="C138" s="301" t="str">
        <f>IF(B138="","",IF(ISNA(VLOOKUP($B138,'B-1 On-Site Hedge Baseline'!$B$1:$L$257,3,FALSE)),"",(VLOOKUP($B138,'B-1 On-Site Hedge Baseline'!$B$1:$L$257,3,FALSE))))</f>
        <v/>
      </c>
      <c r="D138" s="301" t="str">
        <f>IF(B138="","",IF(ISNA(VLOOKUP($B138,'B-1 On-Site Hedge Baseline'!$B$1:$L$257,4,FALSE)),"",(VLOOKUP($B138,'B-1 On-Site Hedge Baseline'!$B$1:$L$257,4,FALSE))))</f>
        <v/>
      </c>
      <c r="E138" s="301" t="str">
        <f>IF(B138="","",IF(ISNA(VLOOKUP($B138,'B-1 On-Site Hedge Baseline'!$B$1:$L$257,5,FALSE)),"",(VLOOKUP($B138,'B-1 On-Site Hedge Baseline'!$B$1:$L$257,5,FALSE))))</f>
        <v/>
      </c>
      <c r="F138" s="301" t="str">
        <f>IF(B138="","",IF(ISNA(VLOOKUP($B138,'B-1 On-Site Hedge Baseline'!$B$1:$L$257,6,FALSE)),"",(VLOOKUP($B138,'B-1 On-Site Hedge Baseline'!$B$1:$L$257,6,FALSE))))</f>
        <v/>
      </c>
      <c r="G138" s="301" t="str">
        <f>IF(B138="","",IF(ISNA(VLOOKUP($B138,'B-1 On-Site Hedge Baseline'!$B$1:$L$257,7,FALSE)),"",(VLOOKUP($B138,'B-1 On-Site Hedge Baseline'!$B$1:$L$257,7,FALSE))))</f>
        <v/>
      </c>
      <c r="H138" s="301" t="str">
        <f>IF(B138="","",IF(ISNA(VLOOKUP($B138,'B-1 On-Site Hedge Baseline'!$B$1:$L$257,8,FALSE)),"",(VLOOKUP($B138,'B-1 On-Site Hedge Baseline'!$B$1:$L$257,8,FALSE))))</f>
        <v/>
      </c>
      <c r="I138" s="301" t="str">
        <f>IF(B138="","",IF(ISNA(VLOOKUP($B138,'B-1 On-Site Hedge Baseline'!$B$1:$L$257,10,FALSE)),"",(VLOOKUP($B138,'B-1 On-Site Hedge Baseline'!$B$1:$L$257,10,FALSE))))</f>
        <v/>
      </c>
      <c r="J138" s="301" t="str">
        <f>IF(B138="","",IF(ISNA(VLOOKUP($B138,'B-1 On-Site Hedge Baseline'!$B$1:$L$257,11,FALSE)),"",(VLOOKUP($B138,'B-1 On-Site Hedge Baseline'!$B$1:$L$257,11,FALSE))))</f>
        <v/>
      </c>
      <c r="K138" s="301" t="str">
        <f>IF(B138="","",IF(ISNA(VLOOKUP($B138,'B-1 On-Site Hedge Baseline'!$B$1:$U$257,13,FALSE)),"",(VLOOKUP($B138,'B-1 On-Site Hedge Baseline'!$B$1:$U$257,13,FALSE))))</f>
        <v/>
      </c>
      <c r="L138" s="305" t="str">
        <f>IF(B138="","",IF(ISNA(VLOOKUP($B138,'B-1 On-Site Hedge Baseline'!$B$1:$U$257,12,FALSE)),"",(VLOOKUP($B138,'B-1 On-Site Hedge Baseline'!$B$1:$U$257,12,FALSE))))</f>
        <v/>
      </c>
      <c r="M138" s="627"/>
      <c r="N138" s="281" t="str">
        <f>IFERROR(IF(B138="","",INDEX('G-6 Hedgerow Data'!$AN$3:$AZ$15,MATCH(C138,'G-6 Hedgerow Data'!$AM$3:$AM$15,0),MATCH(M138,'G-6 Hedgerow Data'!$AN$2:$AZ$2,0))),"")</f>
        <v/>
      </c>
      <c r="O138" s="282" t="str">
        <f t="shared" si="8"/>
        <v/>
      </c>
      <c r="P138" s="335" t="str">
        <f>IF(B138="","",VLOOKUP(B138,'B-1 On-Site Hedge Baseline'!$B$10:T383,16,FALSE))</f>
        <v/>
      </c>
      <c r="Q138" s="281" t="str">
        <f>IF(M138="","",VLOOKUP(M138,'G-6 Hedgerow Data'!$B$2:$AG$15,2,FALSE))</f>
        <v/>
      </c>
      <c r="R138" s="282" t="str">
        <f>IF(M138="","",VLOOKUP(M138,'G-6 Hedgerow Data'!$B$2:$AG$15,3,FALSE))</f>
        <v/>
      </c>
      <c r="S138" s="112"/>
      <c r="T138" s="320" t="str">
        <f>IFERROR(IF(S138="","",IF(AND(M138="Non-native and ornamental hedgerow", S138&lt;&gt;"Poor"),"Not possible ▲", (VLOOKUP(S138,'G-1 All Habitats'!$Z$2:$AA$9,2,FALSE)))),"")</f>
        <v/>
      </c>
      <c r="U138" s="109"/>
      <c r="V138" s="301" t="str">
        <f>IF(U138="","",IF(VLOOKUP(U138,'G-3 Multipliers'!$L$3:$N$6,2,FALSE)=0,"Spatial Data Missing ⚠",VLOOKUP(U138,'G-3 Multipliers'!$L$3:$N$6,2,FALSE)))</f>
        <v/>
      </c>
      <c r="W138" s="305" t="str">
        <f>IF(U138="","",IF(VLOOKUP(U138,'G-3 Multipliers'!$L$3:$N$6,3,FALSE)=0,"Spatial Data Missing ⚠",VLOOKUP(U138,'G-3 Multipliers'!$L$3:$N$6,3,FALSE)))</f>
        <v/>
      </c>
      <c r="X138" s="281" t="str">
        <f>IFERROR(IF(OR(LEFT(O138,5)="Error",LEFT(N138,5)="Error",T138="Error"),"Check Data ⚠",IF(F138&lt;R138,INDEX('G-6 Hedgerow Data'!$S$3:$AE$14,MATCH(C138,'G-6 Hedgerow Data'!$B$3:$B$14,0),MATCH(M138,'G-6 Hedgerow Data'!$S$2:$AE$2,0)),INDEX('G-6 Hedgerow Data'!$K$3:$Q$14,MATCH(M138,'G-6 Hedgerow Data'!$B$3:$B$14,0),MATCH(O138,'G-6 Hedgerow Data'!$K$2:$Q$2,0)))),"")</f>
        <v/>
      </c>
      <c r="Y138" s="137"/>
      <c r="Z138" s="137"/>
      <c r="AA138" s="289" t="str">
        <f t="shared" si="9"/>
        <v/>
      </c>
      <c r="AB138" s="302" t="str">
        <f t="shared" si="10"/>
        <v/>
      </c>
      <c r="AC138" s="303" t="str">
        <f t="shared" si="7"/>
        <v/>
      </c>
      <c r="AD138" s="317" t="str">
        <f>IF(M138="","",VLOOKUP(M138,'G-6 Hedgerow Data'!$B$3:$AG$15,31,FALSE))</f>
        <v/>
      </c>
      <c r="AE138" s="289" t="str">
        <f t="shared" si="11"/>
        <v/>
      </c>
      <c r="AF138" s="289" t="str">
        <f t="shared" si="12"/>
        <v/>
      </c>
      <c r="AG138" s="305" t="str">
        <f>IFERROR(IF(O138="","",VLOOKUP(AD138,'G-3 Multipliers'!$P$3:$Q$6,2,FALSE)),"")</f>
        <v/>
      </c>
      <c r="AH138" s="295" t="str">
        <f t="shared" si="13"/>
        <v/>
      </c>
      <c r="AI138" s="112"/>
      <c r="AJ138" s="119"/>
      <c r="AK138" s="108"/>
      <c r="AT138" s="30" t="str">
        <f>IFERROR(INDEX('G-6 Hedgerow Data'!$BJ$3:$BJ$15,MATCH(M138,'G-6 Hedgerow Data'!$B$3:$B$15,0)),"")</f>
        <v/>
      </c>
    </row>
    <row r="139" spans="2:46" ht="13.8" x14ac:dyDescent="0.25">
      <c r="B139" s="311" t="str">
        <f>'B-1 On-Site Hedge Baseline'!AK137</f>
        <v/>
      </c>
      <c r="C139" s="301" t="str">
        <f>IF(B139="","",IF(ISNA(VLOOKUP($B139,'B-1 On-Site Hedge Baseline'!$B$1:$L$257,3,FALSE)),"",(VLOOKUP($B139,'B-1 On-Site Hedge Baseline'!$B$1:$L$257,3,FALSE))))</f>
        <v/>
      </c>
      <c r="D139" s="301" t="str">
        <f>IF(B139="","",IF(ISNA(VLOOKUP($B139,'B-1 On-Site Hedge Baseline'!$B$1:$L$257,4,FALSE)),"",(VLOOKUP($B139,'B-1 On-Site Hedge Baseline'!$B$1:$L$257,4,FALSE))))</f>
        <v/>
      </c>
      <c r="E139" s="301" t="str">
        <f>IF(B139="","",IF(ISNA(VLOOKUP($B139,'B-1 On-Site Hedge Baseline'!$B$1:$L$257,5,FALSE)),"",(VLOOKUP($B139,'B-1 On-Site Hedge Baseline'!$B$1:$L$257,5,FALSE))))</f>
        <v/>
      </c>
      <c r="F139" s="301" t="str">
        <f>IF(B139="","",IF(ISNA(VLOOKUP($B139,'B-1 On-Site Hedge Baseline'!$B$1:$L$257,6,FALSE)),"",(VLOOKUP($B139,'B-1 On-Site Hedge Baseline'!$B$1:$L$257,6,FALSE))))</f>
        <v/>
      </c>
      <c r="G139" s="301" t="str">
        <f>IF(B139="","",IF(ISNA(VLOOKUP($B139,'B-1 On-Site Hedge Baseline'!$B$1:$L$257,7,FALSE)),"",(VLOOKUP($B139,'B-1 On-Site Hedge Baseline'!$B$1:$L$257,7,FALSE))))</f>
        <v/>
      </c>
      <c r="H139" s="301" t="str">
        <f>IF(B139="","",IF(ISNA(VLOOKUP($B139,'B-1 On-Site Hedge Baseline'!$B$1:$L$257,8,FALSE)),"",(VLOOKUP($B139,'B-1 On-Site Hedge Baseline'!$B$1:$L$257,8,FALSE))))</f>
        <v/>
      </c>
      <c r="I139" s="301" t="str">
        <f>IF(B139="","",IF(ISNA(VLOOKUP($B139,'B-1 On-Site Hedge Baseline'!$B$1:$L$257,10,FALSE)),"",(VLOOKUP($B139,'B-1 On-Site Hedge Baseline'!$B$1:$L$257,10,FALSE))))</f>
        <v/>
      </c>
      <c r="J139" s="301" t="str">
        <f>IF(B139="","",IF(ISNA(VLOOKUP($B139,'B-1 On-Site Hedge Baseline'!$B$1:$L$257,11,FALSE)),"",(VLOOKUP($B139,'B-1 On-Site Hedge Baseline'!$B$1:$L$257,11,FALSE))))</f>
        <v/>
      </c>
      <c r="K139" s="301" t="str">
        <f>IF(B139="","",IF(ISNA(VLOOKUP($B139,'B-1 On-Site Hedge Baseline'!$B$1:$U$257,13,FALSE)),"",(VLOOKUP($B139,'B-1 On-Site Hedge Baseline'!$B$1:$U$257,13,FALSE))))</f>
        <v/>
      </c>
      <c r="L139" s="305" t="str">
        <f>IF(B139="","",IF(ISNA(VLOOKUP($B139,'B-1 On-Site Hedge Baseline'!$B$1:$U$257,12,FALSE)),"",(VLOOKUP($B139,'B-1 On-Site Hedge Baseline'!$B$1:$U$257,12,FALSE))))</f>
        <v/>
      </c>
      <c r="M139" s="627"/>
      <c r="N139" s="281" t="str">
        <f>IFERROR(IF(B139="","",INDEX('G-6 Hedgerow Data'!$AN$3:$AZ$15,MATCH(C139,'G-6 Hedgerow Data'!$AM$3:$AM$15,0),MATCH(M139,'G-6 Hedgerow Data'!$AN$2:$AZ$2,0))),"")</f>
        <v/>
      </c>
      <c r="O139" s="282" t="str">
        <f t="shared" si="8"/>
        <v/>
      </c>
      <c r="P139" s="335" t="str">
        <f>IF(B139="","",VLOOKUP(B139,'B-1 On-Site Hedge Baseline'!$B$10:T384,16,FALSE))</f>
        <v/>
      </c>
      <c r="Q139" s="281" t="str">
        <f>IF(M139="","",VLOOKUP(M139,'G-6 Hedgerow Data'!$B$2:$AG$15,2,FALSE))</f>
        <v/>
      </c>
      <c r="R139" s="282" t="str">
        <f>IF(M139="","",VLOOKUP(M139,'G-6 Hedgerow Data'!$B$2:$AG$15,3,FALSE))</f>
        <v/>
      </c>
      <c r="S139" s="112"/>
      <c r="T139" s="320" t="str">
        <f>IFERROR(IF(S139="","",IF(AND(M139="Non-native and ornamental hedgerow", S139&lt;&gt;"Poor"),"Not possible ▲", (VLOOKUP(S139,'G-1 All Habitats'!$Z$2:$AA$9,2,FALSE)))),"")</f>
        <v/>
      </c>
      <c r="U139" s="109"/>
      <c r="V139" s="301" t="str">
        <f>IF(U139="","",IF(VLOOKUP(U139,'G-3 Multipliers'!$L$3:$N$6,2,FALSE)=0,"Spatial Data Missing ⚠",VLOOKUP(U139,'G-3 Multipliers'!$L$3:$N$6,2,FALSE)))</f>
        <v/>
      </c>
      <c r="W139" s="305" t="str">
        <f>IF(U139="","",IF(VLOOKUP(U139,'G-3 Multipliers'!$L$3:$N$6,3,FALSE)=0,"Spatial Data Missing ⚠",VLOOKUP(U139,'G-3 Multipliers'!$L$3:$N$6,3,FALSE)))</f>
        <v/>
      </c>
      <c r="X139" s="281" t="str">
        <f>IFERROR(IF(OR(LEFT(O139,5)="Error",LEFT(N139,5)="Error",T139="Error"),"Check Data ⚠",IF(F139&lt;R139,INDEX('G-6 Hedgerow Data'!$S$3:$AE$14,MATCH(C139,'G-6 Hedgerow Data'!$B$3:$B$14,0),MATCH(M139,'G-6 Hedgerow Data'!$S$2:$AE$2,0)),INDEX('G-6 Hedgerow Data'!$K$3:$Q$14,MATCH(M139,'G-6 Hedgerow Data'!$B$3:$B$14,0),MATCH(O139,'G-6 Hedgerow Data'!$K$2:$Q$2,0)))),"")</f>
        <v/>
      </c>
      <c r="Y139" s="137"/>
      <c r="Z139" s="137"/>
      <c r="AA139" s="289" t="str">
        <f t="shared" si="9"/>
        <v/>
      </c>
      <c r="AB139" s="302" t="str">
        <f t="shared" si="10"/>
        <v/>
      </c>
      <c r="AC139" s="303" t="str">
        <f t="shared" si="7"/>
        <v/>
      </c>
      <c r="AD139" s="317" t="str">
        <f>IF(M139="","",VLOOKUP(M139,'G-6 Hedgerow Data'!$B$3:$AG$15,31,FALSE))</f>
        <v/>
      </c>
      <c r="AE139" s="289" t="str">
        <f t="shared" si="11"/>
        <v/>
      </c>
      <c r="AF139" s="289" t="str">
        <f t="shared" si="12"/>
        <v/>
      </c>
      <c r="AG139" s="305" t="str">
        <f>IFERROR(IF(O139="","",VLOOKUP(AD139,'G-3 Multipliers'!$P$3:$Q$6,2,FALSE)),"")</f>
        <v/>
      </c>
      <c r="AH139" s="295" t="str">
        <f t="shared" si="13"/>
        <v/>
      </c>
      <c r="AI139" s="112"/>
      <c r="AJ139" s="119"/>
      <c r="AK139" s="108"/>
      <c r="AT139" s="30" t="str">
        <f>IFERROR(INDEX('G-6 Hedgerow Data'!$BJ$3:$BJ$15,MATCH(M139,'G-6 Hedgerow Data'!$B$3:$B$15,0)),"")</f>
        <v/>
      </c>
    </row>
    <row r="140" spans="2:46" ht="13.8" x14ac:dyDescent="0.25">
      <c r="B140" s="311" t="str">
        <f>'B-1 On-Site Hedge Baseline'!AK138</f>
        <v/>
      </c>
      <c r="C140" s="301" t="str">
        <f>IF(B140="","",IF(ISNA(VLOOKUP($B140,'B-1 On-Site Hedge Baseline'!$B$1:$L$257,3,FALSE)),"",(VLOOKUP($B140,'B-1 On-Site Hedge Baseline'!$B$1:$L$257,3,FALSE))))</f>
        <v/>
      </c>
      <c r="D140" s="301" t="str">
        <f>IF(B140="","",IF(ISNA(VLOOKUP($B140,'B-1 On-Site Hedge Baseline'!$B$1:$L$257,4,FALSE)),"",(VLOOKUP($B140,'B-1 On-Site Hedge Baseline'!$B$1:$L$257,4,FALSE))))</f>
        <v/>
      </c>
      <c r="E140" s="301" t="str">
        <f>IF(B140="","",IF(ISNA(VLOOKUP($B140,'B-1 On-Site Hedge Baseline'!$B$1:$L$257,5,FALSE)),"",(VLOOKUP($B140,'B-1 On-Site Hedge Baseline'!$B$1:$L$257,5,FALSE))))</f>
        <v/>
      </c>
      <c r="F140" s="301" t="str">
        <f>IF(B140="","",IF(ISNA(VLOOKUP($B140,'B-1 On-Site Hedge Baseline'!$B$1:$L$257,6,FALSE)),"",(VLOOKUP($B140,'B-1 On-Site Hedge Baseline'!$B$1:$L$257,6,FALSE))))</f>
        <v/>
      </c>
      <c r="G140" s="301" t="str">
        <f>IF(B140="","",IF(ISNA(VLOOKUP($B140,'B-1 On-Site Hedge Baseline'!$B$1:$L$257,7,FALSE)),"",(VLOOKUP($B140,'B-1 On-Site Hedge Baseline'!$B$1:$L$257,7,FALSE))))</f>
        <v/>
      </c>
      <c r="H140" s="301" t="str">
        <f>IF(B140="","",IF(ISNA(VLOOKUP($B140,'B-1 On-Site Hedge Baseline'!$B$1:$L$257,8,FALSE)),"",(VLOOKUP($B140,'B-1 On-Site Hedge Baseline'!$B$1:$L$257,8,FALSE))))</f>
        <v/>
      </c>
      <c r="I140" s="301" t="str">
        <f>IF(B140="","",IF(ISNA(VLOOKUP($B140,'B-1 On-Site Hedge Baseline'!$B$1:$L$257,10,FALSE)),"",(VLOOKUP($B140,'B-1 On-Site Hedge Baseline'!$B$1:$L$257,10,FALSE))))</f>
        <v/>
      </c>
      <c r="J140" s="301" t="str">
        <f>IF(B140="","",IF(ISNA(VLOOKUP($B140,'B-1 On-Site Hedge Baseline'!$B$1:$L$257,11,FALSE)),"",(VLOOKUP($B140,'B-1 On-Site Hedge Baseline'!$B$1:$L$257,11,FALSE))))</f>
        <v/>
      </c>
      <c r="K140" s="301" t="str">
        <f>IF(B140="","",IF(ISNA(VLOOKUP($B140,'B-1 On-Site Hedge Baseline'!$B$1:$U$257,13,FALSE)),"",(VLOOKUP($B140,'B-1 On-Site Hedge Baseline'!$B$1:$U$257,13,FALSE))))</f>
        <v/>
      </c>
      <c r="L140" s="305" t="str">
        <f>IF(B140="","",IF(ISNA(VLOOKUP($B140,'B-1 On-Site Hedge Baseline'!$B$1:$U$257,12,FALSE)),"",(VLOOKUP($B140,'B-1 On-Site Hedge Baseline'!$B$1:$U$257,12,FALSE))))</f>
        <v/>
      </c>
      <c r="M140" s="627"/>
      <c r="N140" s="281" t="str">
        <f>IFERROR(IF(B140="","",INDEX('G-6 Hedgerow Data'!$AN$3:$AZ$15,MATCH(C140,'G-6 Hedgerow Data'!$AM$3:$AM$15,0),MATCH(M140,'G-6 Hedgerow Data'!$AN$2:$AZ$2,0))),"")</f>
        <v/>
      </c>
      <c r="O140" s="282" t="str">
        <f t="shared" si="8"/>
        <v/>
      </c>
      <c r="P140" s="335" t="str">
        <f>IF(B140="","",VLOOKUP(B140,'B-1 On-Site Hedge Baseline'!$B$10:T385,16,FALSE))</f>
        <v/>
      </c>
      <c r="Q140" s="281" t="str">
        <f>IF(M140="","",VLOOKUP(M140,'G-6 Hedgerow Data'!$B$2:$AG$15,2,FALSE))</f>
        <v/>
      </c>
      <c r="R140" s="282" t="str">
        <f>IF(M140="","",VLOOKUP(M140,'G-6 Hedgerow Data'!$B$2:$AG$15,3,FALSE))</f>
        <v/>
      </c>
      <c r="S140" s="112"/>
      <c r="T140" s="320" t="str">
        <f>IFERROR(IF(S140="","",IF(AND(M140="Non-native and ornamental hedgerow", S140&lt;&gt;"Poor"),"Not possible ▲", (VLOOKUP(S140,'G-1 All Habitats'!$Z$2:$AA$9,2,FALSE)))),"")</f>
        <v/>
      </c>
      <c r="U140" s="109"/>
      <c r="V140" s="301" t="str">
        <f>IF(U140="","",IF(VLOOKUP(U140,'G-3 Multipliers'!$L$3:$N$6,2,FALSE)=0,"Spatial Data Missing ⚠",VLOOKUP(U140,'G-3 Multipliers'!$L$3:$N$6,2,FALSE)))</f>
        <v/>
      </c>
      <c r="W140" s="305" t="str">
        <f>IF(U140="","",IF(VLOOKUP(U140,'G-3 Multipliers'!$L$3:$N$6,3,FALSE)=0,"Spatial Data Missing ⚠",VLOOKUP(U140,'G-3 Multipliers'!$L$3:$N$6,3,FALSE)))</f>
        <v/>
      </c>
      <c r="X140" s="281" t="str">
        <f>IFERROR(IF(OR(LEFT(O140,5)="Error",LEFT(N140,5)="Error",T140="Error"),"Check Data ⚠",IF(F140&lt;R140,INDEX('G-6 Hedgerow Data'!$S$3:$AE$14,MATCH(C140,'G-6 Hedgerow Data'!$B$3:$B$14,0),MATCH(M140,'G-6 Hedgerow Data'!$S$2:$AE$2,0)),INDEX('G-6 Hedgerow Data'!$K$3:$Q$14,MATCH(M140,'G-6 Hedgerow Data'!$B$3:$B$14,0),MATCH(O140,'G-6 Hedgerow Data'!$K$2:$Q$2,0)))),"")</f>
        <v/>
      </c>
      <c r="Y140" s="137"/>
      <c r="Z140" s="137"/>
      <c r="AA140" s="289" t="str">
        <f t="shared" si="9"/>
        <v/>
      </c>
      <c r="AB140" s="302" t="str">
        <f t="shared" si="10"/>
        <v/>
      </c>
      <c r="AC140" s="303" t="str">
        <f t="shared" ref="AC140:AC203" si="14">IF(OR(S140="",M140=""),"",IF(LEFT(AB140,5)="Error ▲","Check Data ⚠",IF(AB140="Check Data ⚠","Check Data ⚠",VLOOKUP(AB140,TemporalMultipliers,3,FALSE))))</f>
        <v/>
      </c>
      <c r="AD140" s="317" t="str">
        <f>IF(M140="","",VLOOKUP(M140,'G-6 Hedgerow Data'!$B$3:$AG$15,31,FALSE))</f>
        <v/>
      </c>
      <c r="AE140" s="289" t="str">
        <f t="shared" si="11"/>
        <v/>
      </c>
      <c r="AF140" s="289" t="str">
        <f t="shared" si="12"/>
        <v/>
      </c>
      <c r="AG140" s="305" t="str">
        <f>IFERROR(IF(O140="","",VLOOKUP(AD140,'G-3 Multipliers'!$P$3:$Q$6,2,FALSE)),"")</f>
        <v/>
      </c>
      <c r="AH140" s="295" t="str">
        <f t="shared" si="13"/>
        <v/>
      </c>
      <c r="AI140" s="112"/>
      <c r="AJ140" s="119"/>
      <c r="AK140" s="108"/>
      <c r="AT140" s="30" t="str">
        <f>IFERROR(INDEX('G-6 Hedgerow Data'!$BJ$3:$BJ$15,MATCH(M140,'G-6 Hedgerow Data'!$B$3:$B$15,0)),"")</f>
        <v/>
      </c>
    </row>
    <row r="141" spans="2:46" ht="13.8" x14ac:dyDescent="0.25">
      <c r="B141" s="311" t="str">
        <f>'B-1 On-Site Hedge Baseline'!AK139</f>
        <v/>
      </c>
      <c r="C141" s="301" t="str">
        <f>IF(B141="","",IF(ISNA(VLOOKUP($B141,'B-1 On-Site Hedge Baseline'!$B$1:$L$257,3,FALSE)),"",(VLOOKUP($B141,'B-1 On-Site Hedge Baseline'!$B$1:$L$257,3,FALSE))))</f>
        <v/>
      </c>
      <c r="D141" s="301" t="str">
        <f>IF(B141="","",IF(ISNA(VLOOKUP($B141,'B-1 On-Site Hedge Baseline'!$B$1:$L$257,4,FALSE)),"",(VLOOKUP($B141,'B-1 On-Site Hedge Baseline'!$B$1:$L$257,4,FALSE))))</f>
        <v/>
      </c>
      <c r="E141" s="301" t="str">
        <f>IF(B141="","",IF(ISNA(VLOOKUP($B141,'B-1 On-Site Hedge Baseline'!$B$1:$L$257,5,FALSE)),"",(VLOOKUP($B141,'B-1 On-Site Hedge Baseline'!$B$1:$L$257,5,FALSE))))</f>
        <v/>
      </c>
      <c r="F141" s="301" t="str">
        <f>IF(B141="","",IF(ISNA(VLOOKUP($B141,'B-1 On-Site Hedge Baseline'!$B$1:$L$257,6,FALSE)),"",(VLOOKUP($B141,'B-1 On-Site Hedge Baseline'!$B$1:$L$257,6,FALSE))))</f>
        <v/>
      </c>
      <c r="G141" s="301" t="str">
        <f>IF(B141="","",IF(ISNA(VLOOKUP($B141,'B-1 On-Site Hedge Baseline'!$B$1:$L$257,7,FALSE)),"",(VLOOKUP($B141,'B-1 On-Site Hedge Baseline'!$B$1:$L$257,7,FALSE))))</f>
        <v/>
      </c>
      <c r="H141" s="301" t="str">
        <f>IF(B141="","",IF(ISNA(VLOOKUP($B141,'B-1 On-Site Hedge Baseline'!$B$1:$L$257,8,FALSE)),"",(VLOOKUP($B141,'B-1 On-Site Hedge Baseline'!$B$1:$L$257,8,FALSE))))</f>
        <v/>
      </c>
      <c r="I141" s="301" t="str">
        <f>IF(B141="","",IF(ISNA(VLOOKUP($B141,'B-1 On-Site Hedge Baseline'!$B$1:$L$257,10,FALSE)),"",(VLOOKUP($B141,'B-1 On-Site Hedge Baseline'!$B$1:$L$257,10,FALSE))))</f>
        <v/>
      </c>
      <c r="J141" s="301" t="str">
        <f>IF(B141="","",IF(ISNA(VLOOKUP($B141,'B-1 On-Site Hedge Baseline'!$B$1:$L$257,11,FALSE)),"",(VLOOKUP($B141,'B-1 On-Site Hedge Baseline'!$B$1:$L$257,11,FALSE))))</f>
        <v/>
      </c>
      <c r="K141" s="301" t="str">
        <f>IF(B141="","",IF(ISNA(VLOOKUP($B141,'B-1 On-Site Hedge Baseline'!$B$1:$U$257,13,FALSE)),"",(VLOOKUP($B141,'B-1 On-Site Hedge Baseline'!$B$1:$U$257,13,FALSE))))</f>
        <v/>
      </c>
      <c r="L141" s="305" t="str">
        <f>IF(B141="","",IF(ISNA(VLOOKUP($B141,'B-1 On-Site Hedge Baseline'!$B$1:$U$257,12,FALSE)),"",(VLOOKUP($B141,'B-1 On-Site Hedge Baseline'!$B$1:$U$257,12,FALSE))))</f>
        <v/>
      </c>
      <c r="M141" s="627"/>
      <c r="N141" s="281" t="str">
        <f>IFERROR(IF(B141="","",INDEX('G-6 Hedgerow Data'!$AN$3:$AZ$15,MATCH(C141,'G-6 Hedgerow Data'!$AM$3:$AM$15,0),MATCH(M141,'G-6 Hedgerow Data'!$AN$2:$AZ$2,0))),"")</f>
        <v/>
      </c>
      <c r="O141" s="282" t="str">
        <f t="shared" ref="O141:O204" si="15">IFERROR(IF(B141="","",IF(AND(LEFT(C141,55)&lt;&gt;LEFT(M141,55),N141="High - High"),"Error - Not like for like ▲",IF(H141&gt;T141,"Error - Can not reduce condition ▲",IF(AND(F141=R141,H141=T141),"Error - No enhancement ▲",IF(AND(C141&lt;&gt;M141,F141&lt;R141),"Lower Distinctiveness Habitat"&amp;" - "&amp;S141,G141&amp;" - "&amp;S141))))),"")</f>
        <v/>
      </c>
      <c r="P141" s="335" t="str">
        <f>IF(B141="","",VLOOKUP(B141,'B-1 On-Site Hedge Baseline'!$B$10:T386,16,FALSE))</f>
        <v/>
      </c>
      <c r="Q141" s="281" t="str">
        <f>IF(M141="","",VLOOKUP(M141,'G-6 Hedgerow Data'!$B$2:$AG$15,2,FALSE))</f>
        <v/>
      </c>
      <c r="R141" s="282" t="str">
        <f>IF(M141="","",VLOOKUP(M141,'G-6 Hedgerow Data'!$B$2:$AG$15,3,FALSE))</f>
        <v/>
      </c>
      <c r="S141" s="112"/>
      <c r="T141" s="320" t="str">
        <f>IFERROR(IF(S141="","",IF(AND(M141="Non-native and ornamental hedgerow", S141&lt;&gt;"Poor"),"Not possible ▲", (VLOOKUP(S141,'G-1 All Habitats'!$Z$2:$AA$9,2,FALSE)))),"")</f>
        <v/>
      </c>
      <c r="U141" s="109"/>
      <c r="V141" s="301" t="str">
        <f>IF(U141="","",IF(VLOOKUP(U141,'G-3 Multipliers'!$L$3:$N$6,2,FALSE)=0,"Spatial Data Missing ⚠",VLOOKUP(U141,'G-3 Multipliers'!$L$3:$N$6,2,FALSE)))</f>
        <v/>
      </c>
      <c r="W141" s="305" t="str">
        <f>IF(U141="","",IF(VLOOKUP(U141,'G-3 Multipliers'!$L$3:$N$6,3,FALSE)=0,"Spatial Data Missing ⚠",VLOOKUP(U141,'G-3 Multipliers'!$L$3:$N$6,3,FALSE)))</f>
        <v/>
      </c>
      <c r="X141" s="281" t="str">
        <f>IFERROR(IF(OR(LEFT(O141,5)="Error",LEFT(N141,5)="Error",T141="Error"),"Check Data ⚠",IF(F141&lt;R141,INDEX('G-6 Hedgerow Data'!$S$3:$AE$14,MATCH(C141,'G-6 Hedgerow Data'!$B$3:$B$14,0),MATCH(M141,'G-6 Hedgerow Data'!$S$2:$AE$2,0)),INDEX('G-6 Hedgerow Data'!$K$3:$Q$14,MATCH(M141,'G-6 Hedgerow Data'!$B$3:$B$14,0),MATCH(O141,'G-6 Hedgerow Data'!$K$2:$Q$2,0)))),"")</f>
        <v/>
      </c>
      <c r="Y141" s="137"/>
      <c r="Z141" s="137"/>
      <c r="AA141" s="289" t="str">
        <f t="shared" ref="AA141:AA204" si="16">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02" t="str">
        <f t="shared" ref="AB141:AB204" si="17">IF(X141="","",IF(AA141="Check Data ⚠","Check Data ⚠",IF(Y141="30+",0, IF(X141="Not possible ▲", "Check Data ⚠", IF(Z141="30+","30+",IF(X141+Z141&gt;30,"30+",IF(AA141="Error -both advance and delayed habitat creation ▲","Check Data ⚠",IF(X141+Z141-Y141&gt;0,X141+Z141-Y141,IF(X141-Y141&lt;=0,0,)))))))))</f>
        <v/>
      </c>
      <c r="AC141" s="303" t="str">
        <f t="shared" si="14"/>
        <v/>
      </c>
      <c r="AD141" s="317" t="str">
        <f>IF(M141="","",VLOOKUP(M141,'G-6 Hedgerow Data'!$B$3:$AG$15,31,FALSE))</f>
        <v/>
      </c>
      <c r="AE141" s="289" t="str">
        <f t="shared" ref="AE141:AE204" si="18">IF(M141="","",IF(OR(LEFT(AA141,5)="Error ▲",AA141="Check Data ⚠"),"Check Data ⚠",IF(X141="","",IF($AA141="Check details - Is there evidence that habitat has reached target condition? ⚠","Low Difficulty - only applicable if all habitat created before losses ⚠","Standard difficulty applied"))))</f>
        <v/>
      </c>
      <c r="AF141" s="289" t="str">
        <f t="shared" ref="AF141:AF204" si="19">(IF(AND(AE141="Standard difficulty applied",X141&gt;Y141),AD141, IF(AB141="Check data ⚠", "Check data ⚠", IF(AND(AE141="Low Difficulty - only applicable if all habitat created before losses ⚠",Y141&gt;=X141),"Low",AD141))))</f>
        <v/>
      </c>
      <c r="AG141" s="305" t="str">
        <f>IFERROR(IF(O141="","",VLOOKUP(AD141,'G-3 Multipliers'!$P$3:$Q$6,2,FALSE)),"")</f>
        <v/>
      </c>
      <c r="AH141" s="295" t="str">
        <f t="shared" ref="AH141:AH204" si="20">IFERROR(IF(K141="Check data ⚠", "Check data ⚠", (IF(OR(M141="",S141="",U141=""),"",(((((P141*R141*T141)-(P141*F141*H141))*(AG141*AC141))+(P141*F141*H141))*(W141))))),"")</f>
        <v/>
      </c>
      <c r="AI141" s="112"/>
      <c r="AJ141" s="119"/>
      <c r="AK141" s="108"/>
      <c r="AT141" s="30" t="str">
        <f>IFERROR(INDEX('G-6 Hedgerow Data'!$BJ$3:$BJ$15,MATCH(M141,'G-6 Hedgerow Data'!$B$3:$B$15,0)),"")</f>
        <v/>
      </c>
    </row>
    <row r="142" spans="2:46" ht="13.8" x14ac:dyDescent="0.25">
      <c r="B142" s="311" t="str">
        <f>'B-1 On-Site Hedge Baseline'!AK140</f>
        <v/>
      </c>
      <c r="C142" s="301" t="str">
        <f>IF(B142="","",IF(ISNA(VLOOKUP($B142,'B-1 On-Site Hedge Baseline'!$B$1:$L$257,3,FALSE)),"",(VLOOKUP($B142,'B-1 On-Site Hedge Baseline'!$B$1:$L$257,3,FALSE))))</f>
        <v/>
      </c>
      <c r="D142" s="301" t="str">
        <f>IF(B142="","",IF(ISNA(VLOOKUP($B142,'B-1 On-Site Hedge Baseline'!$B$1:$L$257,4,FALSE)),"",(VLOOKUP($B142,'B-1 On-Site Hedge Baseline'!$B$1:$L$257,4,FALSE))))</f>
        <v/>
      </c>
      <c r="E142" s="301" t="str">
        <f>IF(B142="","",IF(ISNA(VLOOKUP($B142,'B-1 On-Site Hedge Baseline'!$B$1:$L$257,5,FALSE)),"",(VLOOKUP($B142,'B-1 On-Site Hedge Baseline'!$B$1:$L$257,5,FALSE))))</f>
        <v/>
      </c>
      <c r="F142" s="301" t="str">
        <f>IF(B142="","",IF(ISNA(VLOOKUP($B142,'B-1 On-Site Hedge Baseline'!$B$1:$L$257,6,FALSE)),"",(VLOOKUP($B142,'B-1 On-Site Hedge Baseline'!$B$1:$L$257,6,FALSE))))</f>
        <v/>
      </c>
      <c r="G142" s="301" t="str">
        <f>IF(B142="","",IF(ISNA(VLOOKUP($B142,'B-1 On-Site Hedge Baseline'!$B$1:$L$257,7,FALSE)),"",(VLOOKUP($B142,'B-1 On-Site Hedge Baseline'!$B$1:$L$257,7,FALSE))))</f>
        <v/>
      </c>
      <c r="H142" s="301" t="str">
        <f>IF(B142="","",IF(ISNA(VLOOKUP($B142,'B-1 On-Site Hedge Baseline'!$B$1:$L$257,8,FALSE)),"",(VLOOKUP($B142,'B-1 On-Site Hedge Baseline'!$B$1:$L$257,8,FALSE))))</f>
        <v/>
      </c>
      <c r="I142" s="301" t="str">
        <f>IF(B142="","",IF(ISNA(VLOOKUP($B142,'B-1 On-Site Hedge Baseline'!$B$1:$L$257,10,FALSE)),"",(VLOOKUP($B142,'B-1 On-Site Hedge Baseline'!$B$1:$L$257,10,FALSE))))</f>
        <v/>
      </c>
      <c r="J142" s="301" t="str">
        <f>IF(B142="","",IF(ISNA(VLOOKUP($B142,'B-1 On-Site Hedge Baseline'!$B$1:$L$257,11,FALSE)),"",(VLOOKUP($B142,'B-1 On-Site Hedge Baseline'!$B$1:$L$257,11,FALSE))))</f>
        <v/>
      </c>
      <c r="K142" s="301" t="str">
        <f>IF(B142="","",IF(ISNA(VLOOKUP($B142,'B-1 On-Site Hedge Baseline'!$B$1:$U$257,13,FALSE)),"",(VLOOKUP($B142,'B-1 On-Site Hedge Baseline'!$B$1:$U$257,13,FALSE))))</f>
        <v/>
      </c>
      <c r="L142" s="305" t="str">
        <f>IF(B142="","",IF(ISNA(VLOOKUP($B142,'B-1 On-Site Hedge Baseline'!$B$1:$U$257,12,FALSE)),"",(VLOOKUP($B142,'B-1 On-Site Hedge Baseline'!$B$1:$U$257,12,FALSE))))</f>
        <v/>
      </c>
      <c r="M142" s="627"/>
      <c r="N142" s="281" t="str">
        <f>IFERROR(IF(B142="","",INDEX('G-6 Hedgerow Data'!$AN$3:$AZ$15,MATCH(C142,'G-6 Hedgerow Data'!$AM$3:$AM$15,0),MATCH(M142,'G-6 Hedgerow Data'!$AN$2:$AZ$2,0))),"")</f>
        <v/>
      </c>
      <c r="O142" s="282" t="str">
        <f t="shared" si="15"/>
        <v/>
      </c>
      <c r="P142" s="335" t="str">
        <f>IF(B142="","",VLOOKUP(B142,'B-1 On-Site Hedge Baseline'!$B$10:T387,16,FALSE))</f>
        <v/>
      </c>
      <c r="Q142" s="281" t="str">
        <f>IF(M142="","",VLOOKUP(M142,'G-6 Hedgerow Data'!$B$2:$AG$15,2,FALSE))</f>
        <v/>
      </c>
      <c r="R142" s="282" t="str">
        <f>IF(M142="","",VLOOKUP(M142,'G-6 Hedgerow Data'!$B$2:$AG$15,3,FALSE))</f>
        <v/>
      </c>
      <c r="S142" s="112"/>
      <c r="T142" s="320" t="str">
        <f>IFERROR(IF(S142="","",IF(AND(M142="Non-native and ornamental hedgerow", S142&lt;&gt;"Poor"),"Not possible ▲", (VLOOKUP(S142,'G-1 All Habitats'!$Z$2:$AA$9,2,FALSE)))),"")</f>
        <v/>
      </c>
      <c r="U142" s="109"/>
      <c r="V142" s="301" t="str">
        <f>IF(U142="","",IF(VLOOKUP(U142,'G-3 Multipliers'!$L$3:$N$6,2,FALSE)=0,"Spatial Data Missing ⚠",VLOOKUP(U142,'G-3 Multipliers'!$L$3:$N$6,2,FALSE)))</f>
        <v/>
      </c>
      <c r="W142" s="305" t="str">
        <f>IF(U142="","",IF(VLOOKUP(U142,'G-3 Multipliers'!$L$3:$N$6,3,FALSE)=0,"Spatial Data Missing ⚠",VLOOKUP(U142,'G-3 Multipliers'!$L$3:$N$6,3,FALSE)))</f>
        <v/>
      </c>
      <c r="X142" s="281" t="str">
        <f>IFERROR(IF(OR(LEFT(O142,5)="Error",LEFT(N142,5)="Error",T142="Error"),"Check Data ⚠",IF(F142&lt;R142,INDEX('G-6 Hedgerow Data'!$S$3:$AE$14,MATCH(C142,'G-6 Hedgerow Data'!$B$3:$B$14,0),MATCH(M142,'G-6 Hedgerow Data'!$S$2:$AE$2,0)),INDEX('G-6 Hedgerow Data'!$K$3:$Q$14,MATCH(M142,'G-6 Hedgerow Data'!$B$3:$B$14,0),MATCH(O142,'G-6 Hedgerow Data'!$K$2:$Q$2,0)))),"")</f>
        <v/>
      </c>
      <c r="Y142" s="137"/>
      <c r="Z142" s="137"/>
      <c r="AA142" s="289" t="str">
        <f t="shared" si="16"/>
        <v/>
      </c>
      <c r="AB142" s="302" t="str">
        <f t="shared" si="17"/>
        <v/>
      </c>
      <c r="AC142" s="303" t="str">
        <f t="shared" si="14"/>
        <v/>
      </c>
      <c r="AD142" s="317" t="str">
        <f>IF(M142="","",VLOOKUP(M142,'G-6 Hedgerow Data'!$B$3:$AG$15,31,FALSE))</f>
        <v/>
      </c>
      <c r="AE142" s="289" t="str">
        <f t="shared" si="18"/>
        <v/>
      </c>
      <c r="AF142" s="289" t="str">
        <f t="shared" si="19"/>
        <v/>
      </c>
      <c r="AG142" s="305" t="str">
        <f>IFERROR(IF(O142="","",VLOOKUP(AD142,'G-3 Multipliers'!$P$3:$Q$6,2,FALSE)),"")</f>
        <v/>
      </c>
      <c r="AH142" s="295" t="str">
        <f t="shared" si="20"/>
        <v/>
      </c>
      <c r="AI142" s="112"/>
      <c r="AJ142" s="119"/>
      <c r="AK142" s="108"/>
      <c r="AT142" s="30" t="str">
        <f>IFERROR(INDEX('G-6 Hedgerow Data'!$BJ$3:$BJ$15,MATCH(M142,'G-6 Hedgerow Data'!$B$3:$B$15,0)),"")</f>
        <v/>
      </c>
    </row>
    <row r="143" spans="2:46" ht="13.8" x14ac:dyDescent="0.25">
      <c r="B143" s="311" t="str">
        <f>'B-1 On-Site Hedge Baseline'!AK141</f>
        <v/>
      </c>
      <c r="C143" s="301" t="str">
        <f>IF(B143="","",IF(ISNA(VLOOKUP($B143,'B-1 On-Site Hedge Baseline'!$B$1:$L$257,3,FALSE)),"",(VLOOKUP($B143,'B-1 On-Site Hedge Baseline'!$B$1:$L$257,3,FALSE))))</f>
        <v/>
      </c>
      <c r="D143" s="301" t="str">
        <f>IF(B143="","",IF(ISNA(VLOOKUP($B143,'B-1 On-Site Hedge Baseline'!$B$1:$L$257,4,FALSE)),"",(VLOOKUP($B143,'B-1 On-Site Hedge Baseline'!$B$1:$L$257,4,FALSE))))</f>
        <v/>
      </c>
      <c r="E143" s="301" t="str">
        <f>IF(B143="","",IF(ISNA(VLOOKUP($B143,'B-1 On-Site Hedge Baseline'!$B$1:$L$257,5,FALSE)),"",(VLOOKUP($B143,'B-1 On-Site Hedge Baseline'!$B$1:$L$257,5,FALSE))))</f>
        <v/>
      </c>
      <c r="F143" s="301" t="str">
        <f>IF(B143="","",IF(ISNA(VLOOKUP($B143,'B-1 On-Site Hedge Baseline'!$B$1:$L$257,6,FALSE)),"",(VLOOKUP($B143,'B-1 On-Site Hedge Baseline'!$B$1:$L$257,6,FALSE))))</f>
        <v/>
      </c>
      <c r="G143" s="301" t="str">
        <f>IF(B143="","",IF(ISNA(VLOOKUP($B143,'B-1 On-Site Hedge Baseline'!$B$1:$L$257,7,FALSE)),"",(VLOOKUP($B143,'B-1 On-Site Hedge Baseline'!$B$1:$L$257,7,FALSE))))</f>
        <v/>
      </c>
      <c r="H143" s="301" t="str">
        <f>IF(B143="","",IF(ISNA(VLOOKUP($B143,'B-1 On-Site Hedge Baseline'!$B$1:$L$257,8,FALSE)),"",(VLOOKUP($B143,'B-1 On-Site Hedge Baseline'!$B$1:$L$257,8,FALSE))))</f>
        <v/>
      </c>
      <c r="I143" s="301" t="str">
        <f>IF(B143="","",IF(ISNA(VLOOKUP($B143,'B-1 On-Site Hedge Baseline'!$B$1:$L$257,10,FALSE)),"",(VLOOKUP($B143,'B-1 On-Site Hedge Baseline'!$B$1:$L$257,10,FALSE))))</f>
        <v/>
      </c>
      <c r="J143" s="301" t="str">
        <f>IF(B143="","",IF(ISNA(VLOOKUP($B143,'B-1 On-Site Hedge Baseline'!$B$1:$L$257,11,FALSE)),"",(VLOOKUP($B143,'B-1 On-Site Hedge Baseline'!$B$1:$L$257,11,FALSE))))</f>
        <v/>
      </c>
      <c r="K143" s="301" t="str">
        <f>IF(B143="","",IF(ISNA(VLOOKUP($B143,'B-1 On-Site Hedge Baseline'!$B$1:$U$257,13,FALSE)),"",(VLOOKUP($B143,'B-1 On-Site Hedge Baseline'!$B$1:$U$257,13,FALSE))))</f>
        <v/>
      </c>
      <c r="L143" s="305" t="str">
        <f>IF(B143="","",IF(ISNA(VLOOKUP($B143,'B-1 On-Site Hedge Baseline'!$B$1:$U$257,12,FALSE)),"",(VLOOKUP($B143,'B-1 On-Site Hedge Baseline'!$B$1:$U$257,12,FALSE))))</f>
        <v/>
      </c>
      <c r="M143" s="627"/>
      <c r="N143" s="281" t="str">
        <f>IFERROR(IF(B143="","",INDEX('G-6 Hedgerow Data'!$AN$3:$AZ$15,MATCH(C143,'G-6 Hedgerow Data'!$AM$3:$AM$15,0),MATCH(M143,'G-6 Hedgerow Data'!$AN$2:$AZ$2,0))),"")</f>
        <v/>
      </c>
      <c r="O143" s="282" t="str">
        <f t="shared" si="15"/>
        <v/>
      </c>
      <c r="P143" s="335" t="str">
        <f>IF(B143="","",VLOOKUP(B143,'B-1 On-Site Hedge Baseline'!$B$10:T388,16,FALSE))</f>
        <v/>
      </c>
      <c r="Q143" s="281" t="str">
        <f>IF(M143="","",VLOOKUP(M143,'G-6 Hedgerow Data'!$B$2:$AG$15,2,FALSE))</f>
        <v/>
      </c>
      <c r="R143" s="282" t="str">
        <f>IF(M143="","",VLOOKUP(M143,'G-6 Hedgerow Data'!$B$2:$AG$15,3,FALSE))</f>
        <v/>
      </c>
      <c r="S143" s="112"/>
      <c r="T143" s="320" t="str">
        <f>IFERROR(IF(S143="","",IF(AND(M143="Non-native and ornamental hedgerow", S143&lt;&gt;"Poor"),"Not possible ▲", (VLOOKUP(S143,'G-1 All Habitats'!$Z$2:$AA$9,2,FALSE)))),"")</f>
        <v/>
      </c>
      <c r="U143" s="109"/>
      <c r="V143" s="301" t="str">
        <f>IF(U143="","",IF(VLOOKUP(U143,'G-3 Multipliers'!$L$3:$N$6,2,FALSE)=0,"Spatial Data Missing ⚠",VLOOKUP(U143,'G-3 Multipliers'!$L$3:$N$6,2,FALSE)))</f>
        <v/>
      </c>
      <c r="W143" s="305" t="str">
        <f>IF(U143="","",IF(VLOOKUP(U143,'G-3 Multipliers'!$L$3:$N$6,3,FALSE)=0,"Spatial Data Missing ⚠",VLOOKUP(U143,'G-3 Multipliers'!$L$3:$N$6,3,FALSE)))</f>
        <v/>
      </c>
      <c r="X143" s="281" t="str">
        <f>IFERROR(IF(OR(LEFT(O143,5)="Error",LEFT(N143,5)="Error",T143="Error"),"Check Data ⚠",IF(F143&lt;R143,INDEX('G-6 Hedgerow Data'!$S$3:$AE$14,MATCH(C143,'G-6 Hedgerow Data'!$B$3:$B$14,0),MATCH(M143,'G-6 Hedgerow Data'!$S$2:$AE$2,0)),INDEX('G-6 Hedgerow Data'!$K$3:$Q$14,MATCH(M143,'G-6 Hedgerow Data'!$B$3:$B$14,0),MATCH(O143,'G-6 Hedgerow Data'!$K$2:$Q$2,0)))),"")</f>
        <v/>
      </c>
      <c r="Y143" s="137"/>
      <c r="Z143" s="137"/>
      <c r="AA143" s="289" t="str">
        <f t="shared" si="16"/>
        <v/>
      </c>
      <c r="AB143" s="302" t="str">
        <f t="shared" si="17"/>
        <v/>
      </c>
      <c r="AC143" s="303" t="str">
        <f t="shared" si="14"/>
        <v/>
      </c>
      <c r="AD143" s="317" t="str">
        <f>IF(M143="","",VLOOKUP(M143,'G-6 Hedgerow Data'!$B$3:$AG$15,31,FALSE))</f>
        <v/>
      </c>
      <c r="AE143" s="289" t="str">
        <f t="shared" si="18"/>
        <v/>
      </c>
      <c r="AF143" s="289" t="str">
        <f t="shared" si="19"/>
        <v/>
      </c>
      <c r="AG143" s="305" t="str">
        <f>IFERROR(IF(O143="","",VLOOKUP(AD143,'G-3 Multipliers'!$P$3:$Q$6,2,FALSE)),"")</f>
        <v/>
      </c>
      <c r="AH143" s="295" t="str">
        <f t="shared" si="20"/>
        <v/>
      </c>
      <c r="AI143" s="112"/>
      <c r="AJ143" s="119"/>
      <c r="AK143" s="108"/>
      <c r="AT143" s="30" t="str">
        <f>IFERROR(INDEX('G-6 Hedgerow Data'!$BJ$3:$BJ$15,MATCH(M143,'G-6 Hedgerow Data'!$B$3:$B$15,0)),"")</f>
        <v/>
      </c>
    </row>
    <row r="144" spans="2:46" ht="13.8" x14ac:dyDescent="0.25">
      <c r="B144" s="311" t="str">
        <f>'B-1 On-Site Hedge Baseline'!AK142</f>
        <v/>
      </c>
      <c r="C144" s="301" t="str">
        <f>IF(B144="","",IF(ISNA(VLOOKUP($B144,'B-1 On-Site Hedge Baseline'!$B$1:$L$257,3,FALSE)),"",(VLOOKUP($B144,'B-1 On-Site Hedge Baseline'!$B$1:$L$257,3,FALSE))))</f>
        <v/>
      </c>
      <c r="D144" s="301" t="str">
        <f>IF(B144="","",IF(ISNA(VLOOKUP($B144,'B-1 On-Site Hedge Baseline'!$B$1:$L$257,4,FALSE)),"",(VLOOKUP($B144,'B-1 On-Site Hedge Baseline'!$B$1:$L$257,4,FALSE))))</f>
        <v/>
      </c>
      <c r="E144" s="301" t="str">
        <f>IF(B144="","",IF(ISNA(VLOOKUP($B144,'B-1 On-Site Hedge Baseline'!$B$1:$L$257,5,FALSE)),"",(VLOOKUP($B144,'B-1 On-Site Hedge Baseline'!$B$1:$L$257,5,FALSE))))</f>
        <v/>
      </c>
      <c r="F144" s="301" t="str">
        <f>IF(B144="","",IF(ISNA(VLOOKUP($B144,'B-1 On-Site Hedge Baseline'!$B$1:$L$257,6,FALSE)),"",(VLOOKUP($B144,'B-1 On-Site Hedge Baseline'!$B$1:$L$257,6,FALSE))))</f>
        <v/>
      </c>
      <c r="G144" s="301" t="str">
        <f>IF(B144="","",IF(ISNA(VLOOKUP($B144,'B-1 On-Site Hedge Baseline'!$B$1:$L$257,7,FALSE)),"",(VLOOKUP($B144,'B-1 On-Site Hedge Baseline'!$B$1:$L$257,7,FALSE))))</f>
        <v/>
      </c>
      <c r="H144" s="301" t="str">
        <f>IF(B144="","",IF(ISNA(VLOOKUP($B144,'B-1 On-Site Hedge Baseline'!$B$1:$L$257,8,FALSE)),"",(VLOOKUP($B144,'B-1 On-Site Hedge Baseline'!$B$1:$L$257,8,FALSE))))</f>
        <v/>
      </c>
      <c r="I144" s="301" t="str">
        <f>IF(B144="","",IF(ISNA(VLOOKUP($B144,'B-1 On-Site Hedge Baseline'!$B$1:$L$257,10,FALSE)),"",(VLOOKUP($B144,'B-1 On-Site Hedge Baseline'!$B$1:$L$257,10,FALSE))))</f>
        <v/>
      </c>
      <c r="J144" s="301" t="str">
        <f>IF(B144="","",IF(ISNA(VLOOKUP($B144,'B-1 On-Site Hedge Baseline'!$B$1:$L$257,11,FALSE)),"",(VLOOKUP($B144,'B-1 On-Site Hedge Baseline'!$B$1:$L$257,11,FALSE))))</f>
        <v/>
      </c>
      <c r="K144" s="301" t="str">
        <f>IF(B144="","",IF(ISNA(VLOOKUP($B144,'B-1 On-Site Hedge Baseline'!$B$1:$U$257,13,FALSE)),"",(VLOOKUP($B144,'B-1 On-Site Hedge Baseline'!$B$1:$U$257,13,FALSE))))</f>
        <v/>
      </c>
      <c r="L144" s="305" t="str">
        <f>IF(B144="","",IF(ISNA(VLOOKUP($B144,'B-1 On-Site Hedge Baseline'!$B$1:$U$257,12,FALSE)),"",(VLOOKUP($B144,'B-1 On-Site Hedge Baseline'!$B$1:$U$257,12,FALSE))))</f>
        <v/>
      </c>
      <c r="M144" s="627"/>
      <c r="N144" s="281" t="str">
        <f>IFERROR(IF(B144="","",INDEX('G-6 Hedgerow Data'!$AN$3:$AZ$15,MATCH(C144,'G-6 Hedgerow Data'!$AM$3:$AM$15,0),MATCH(M144,'G-6 Hedgerow Data'!$AN$2:$AZ$2,0))),"")</f>
        <v/>
      </c>
      <c r="O144" s="282" t="str">
        <f t="shared" si="15"/>
        <v/>
      </c>
      <c r="P144" s="335" t="str">
        <f>IF(B144="","",VLOOKUP(B144,'B-1 On-Site Hedge Baseline'!$B$10:T389,16,FALSE))</f>
        <v/>
      </c>
      <c r="Q144" s="281" t="str">
        <f>IF(M144="","",VLOOKUP(M144,'G-6 Hedgerow Data'!$B$2:$AG$15,2,FALSE))</f>
        <v/>
      </c>
      <c r="R144" s="282" t="str">
        <f>IF(M144="","",VLOOKUP(M144,'G-6 Hedgerow Data'!$B$2:$AG$15,3,FALSE))</f>
        <v/>
      </c>
      <c r="S144" s="112"/>
      <c r="T144" s="320" t="str">
        <f>IFERROR(IF(S144="","",IF(AND(M144="Non-native and ornamental hedgerow", S144&lt;&gt;"Poor"),"Not possible ▲", (VLOOKUP(S144,'G-1 All Habitats'!$Z$2:$AA$9,2,FALSE)))),"")</f>
        <v/>
      </c>
      <c r="U144" s="109"/>
      <c r="V144" s="301" t="str">
        <f>IF(U144="","",IF(VLOOKUP(U144,'G-3 Multipliers'!$L$3:$N$6,2,FALSE)=0,"Spatial Data Missing ⚠",VLOOKUP(U144,'G-3 Multipliers'!$L$3:$N$6,2,FALSE)))</f>
        <v/>
      </c>
      <c r="W144" s="305" t="str">
        <f>IF(U144="","",IF(VLOOKUP(U144,'G-3 Multipliers'!$L$3:$N$6,3,FALSE)=0,"Spatial Data Missing ⚠",VLOOKUP(U144,'G-3 Multipliers'!$L$3:$N$6,3,FALSE)))</f>
        <v/>
      </c>
      <c r="X144" s="281" t="str">
        <f>IFERROR(IF(OR(LEFT(O144,5)="Error",LEFT(N144,5)="Error",T144="Error"),"Check Data ⚠",IF(F144&lt;R144,INDEX('G-6 Hedgerow Data'!$S$3:$AE$14,MATCH(C144,'G-6 Hedgerow Data'!$B$3:$B$14,0),MATCH(M144,'G-6 Hedgerow Data'!$S$2:$AE$2,0)),INDEX('G-6 Hedgerow Data'!$K$3:$Q$14,MATCH(M144,'G-6 Hedgerow Data'!$B$3:$B$14,0),MATCH(O144,'G-6 Hedgerow Data'!$K$2:$Q$2,0)))),"")</f>
        <v/>
      </c>
      <c r="Y144" s="137"/>
      <c r="Z144" s="137"/>
      <c r="AA144" s="289" t="str">
        <f t="shared" si="16"/>
        <v/>
      </c>
      <c r="AB144" s="302" t="str">
        <f t="shared" si="17"/>
        <v/>
      </c>
      <c r="AC144" s="303" t="str">
        <f t="shared" si="14"/>
        <v/>
      </c>
      <c r="AD144" s="317" t="str">
        <f>IF(M144="","",VLOOKUP(M144,'G-6 Hedgerow Data'!$B$3:$AG$15,31,FALSE))</f>
        <v/>
      </c>
      <c r="AE144" s="289" t="str">
        <f t="shared" si="18"/>
        <v/>
      </c>
      <c r="AF144" s="289" t="str">
        <f t="shared" si="19"/>
        <v/>
      </c>
      <c r="AG144" s="305" t="str">
        <f>IFERROR(IF(O144="","",VLOOKUP(AD144,'G-3 Multipliers'!$P$3:$Q$6,2,FALSE)),"")</f>
        <v/>
      </c>
      <c r="AH144" s="295" t="str">
        <f t="shared" si="20"/>
        <v/>
      </c>
      <c r="AI144" s="112"/>
      <c r="AJ144" s="119"/>
      <c r="AK144" s="108"/>
      <c r="AT144" s="30" t="str">
        <f>IFERROR(INDEX('G-6 Hedgerow Data'!$BJ$3:$BJ$15,MATCH(M144,'G-6 Hedgerow Data'!$B$3:$B$15,0)),"")</f>
        <v/>
      </c>
    </row>
    <row r="145" spans="2:46" ht="13.8" x14ac:dyDescent="0.25">
      <c r="B145" s="311" t="str">
        <f>'B-1 On-Site Hedge Baseline'!AK143</f>
        <v/>
      </c>
      <c r="C145" s="301" t="str">
        <f>IF(B145="","",IF(ISNA(VLOOKUP($B145,'B-1 On-Site Hedge Baseline'!$B$1:$L$257,3,FALSE)),"",(VLOOKUP($B145,'B-1 On-Site Hedge Baseline'!$B$1:$L$257,3,FALSE))))</f>
        <v/>
      </c>
      <c r="D145" s="301" t="str">
        <f>IF(B145="","",IF(ISNA(VLOOKUP($B145,'B-1 On-Site Hedge Baseline'!$B$1:$L$257,4,FALSE)),"",(VLOOKUP($B145,'B-1 On-Site Hedge Baseline'!$B$1:$L$257,4,FALSE))))</f>
        <v/>
      </c>
      <c r="E145" s="301" t="str">
        <f>IF(B145="","",IF(ISNA(VLOOKUP($B145,'B-1 On-Site Hedge Baseline'!$B$1:$L$257,5,FALSE)),"",(VLOOKUP($B145,'B-1 On-Site Hedge Baseline'!$B$1:$L$257,5,FALSE))))</f>
        <v/>
      </c>
      <c r="F145" s="301" t="str">
        <f>IF(B145="","",IF(ISNA(VLOOKUP($B145,'B-1 On-Site Hedge Baseline'!$B$1:$L$257,6,FALSE)),"",(VLOOKUP($B145,'B-1 On-Site Hedge Baseline'!$B$1:$L$257,6,FALSE))))</f>
        <v/>
      </c>
      <c r="G145" s="301" t="str">
        <f>IF(B145="","",IF(ISNA(VLOOKUP($B145,'B-1 On-Site Hedge Baseline'!$B$1:$L$257,7,FALSE)),"",(VLOOKUP($B145,'B-1 On-Site Hedge Baseline'!$B$1:$L$257,7,FALSE))))</f>
        <v/>
      </c>
      <c r="H145" s="301" t="str">
        <f>IF(B145="","",IF(ISNA(VLOOKUP($B145,'B-1 On-Site Hedge Baseline'!$B$1:$L$257,8,FALSE)),"",(VLOOKUP($B145,'B-1 On-Site Hedge Baseline'!$B$1:$L$257,8,FALSE))))</f>
        <v/>
      </c>
      <c r="I145" s="301" t="str">
        <f>IF(B145="","",IF(ISNA(VLOOKUP($B145,'B-1 On-Site Hedge Baseline'!$B$1:$L$257,10,FALSE)),"",(VLOOKUP($B145,'B-1 On-Site Hedge Baseline'!$B$1:$L$257,10,FALSE))))</f>
        <v/>
      </c>
      <c r="J145" s="301" t="str">
        <f>IF(B145="","",IF(ISNA(VLOOKUP($B145,'B-1 On-Site Hedge Baseline'!$B$1:$L$257,11,FALSE)),"",(VLOOKUP($B145,'B-1 On-Site Hedge Baseline'!$B$1:$L$257,11,FALSE))))</f>
        <v/>
      </c>
      <c r="K145" s="301" t="str">
        <f>IF(B145="","",IF(ISNA(VLOOKUP($B145,'B-1 On-Site Hedge Baseline'!$B$1:$U$257,13,FALSE)),"",(VLOOKUP($B145,'B-1 On-Site Hedge Baseline'!$B$1:$U$257,13,FALSE))))</f>
        <v/>
      </c>
      <c r="L145" s="305" t="str">
        <f>IF(B145="","",IF(ISNA(VLOOKUP($B145,'B-1 On-Site Hedge Baseline'!$B$1:$U$257,12,FALSE)),"",(VLOOKUP($B145,'B-1 On-Site Hedge Baseline'!$B$1:$U$257,12,FALSE))))</f>
        <v/>
      </c>
      <c r="M145" s="627"/>
      <c r="N145" s="281" t="str">
        <f>IFERROR(IF(B145="","",INDEX('G-6 Hedgerow Data'!$AN$3:$AZ$15,MATCH(C145,'G-6 Hedgerow Data'!$AM$3:$AM$15,0),MATCH(M145,'G-6 Hedgerow Data'!$AN$2:$AZ$2,0))),"")</f>
        <v/>
      </c>
      <c r="O145" s="282" t="str">
        <f t="shared" si="15"/>
        <v/>
      </c>
      <c r="P145" s="335" t="str">
        <f>IF(B145="","",VLOOKUP(B145,'B-1 On-Site Hedge Baseline'!$B$10:T390,16,FALSE))</f>
        <v/>
      </c>
      <c r="Q145" s="281" t="str">
        <f>IF(M145="","",VLOOKUP(M145,'G-6 Hedgerow Data'!$B$2:$AG$15,2,FALSE))</f>
        <v/>
      </c>
      <c r="R145" s="282" t="str">
        <f>IF(M145="","",VLOOKUP(M145,'G-6 Hedgerow Data'!$B$2:$AG$15,3,FALSE))</f>
        <v/>
      </c>
      <c r="S145" s="112"/>
      <c r="T145" s="320" t="str">
        <f>IFERROR(IF(S145="","",IF(AND(M145="Non-native and ornamental hedgerow", S145&lt;&gt;"Poor"),"Not possible ▲", (VLOOKUP(S145,'G-1 All Habitats'!$Z$2:$AA$9,2,FALSE)))),"")</f>
        <v/>
      </c>
      <c r="U145" s="109"/>
      <c r="V145" s="301" t="str">
        <f>IF(U145="","",IF(VLOOKUP(U145,'G-3 Multipliers'!$L$3:$N$6,2,FALSE)=0,"Spatial Data Missing ⚠",VLOOKUP(U145,'G-3 Multipliers'!$L$3:$N$6,2,FALSE)))</f>
        <v/>
      </c>
      <c r="W145" s="305" t="str">
        <f>IF(U145="","",IF(VLOOKUP(U145,'G-3 Multipliers'!$L$3:$N$6,3,FALSE)=0,"Spatial Data Missing ⚠",VLOOKUP(U145,'G-3 Multipliers'!$L$3:$N$6,3,FALSE)))</f>
        <v/>
      </c>
      <c r="X145" s="281" t="str">
        <f>IFERROR(IF(OR(LEFT(O145,5)="Error",LEFT(N145,5)="Error",T145="Error"),"Check Data ⚠",IF(F145&lt;R145,INDEX('G-6 Hedgerow Data'!$S$3:$AE$14,MATCH(C145,'G-6 Hedgerow Data'!$B$3:$B$14,0),MATCH(M145,'G-6 Hedgerow Data'!$S$2:$AE$2,0)),INDEX('G-6 Hedgerow Data'!$K$3:$Q$14,MATCH(M145,'G-6 Hedgerow Data'!$B$3:$B$14,0),MATCH(O145,'G-6 Hedgerow Data'!$K$2:$Q$2,0)))),"")</f>
        <v/>
      </c>
      <c r="Y145" s="137"/>
      <c r="Z145" s="137"/>
      <c r="AA145" s="289" t="str">
        <f t="shared" si="16"/>
        <v/>
      </c>
      <c r="AB145" s="302" t="str">
        <f t="shared" si="17"/>
        <v/>
      </c>
      <c r="AC145" s="303" t="str">
        <f t="shared" si="14"/>
        <v/>
      </c>
      <c r="AD145" s="317" t="str">
        <f>IF(M145="","",VLOOKUP(M145,'G-6 Hedgerow Data'!$B$3:$AG$15,31,FALSE))</f>
        <v/>
      </c>
      <c r="AE145" s="289" t="str">
        <f t="shared" si="18"/>
        <v/>
      </c>
      <c r="AF145" s="289" t="str">
        <f t="shared" si="19"/>
        <v/>
      </c>
      <c r="AG145" s="305" t="str">
        <f>IFERROR(IF(O145="","",VLOOKUP(AD145,'G-3 Multipliers'!$P$3:$Q$6,2,FALSE)),"")</f>
        <v/>
      </c>
      <c r="AH145" s="295" t="str">
        <f t="shared" si="20"/>
        <v/>
      </c>
      <c r="AI145" s="112"/>
      <c r="AJ145" s="119"/>
      <c r="AK145" s="108"/>
      <c r="AT145" s="30" t="str">
        <f>IFERROR(INDEX('G-6 Hedgerow Data'!$BJ$3:$BJ$15,MATCH(M145,'G-6 Hedgerow Data'!$B$3:$B$15,0)),"")</f>
        <v/>
      </c>
    </row>
    <row r="146" spans="2:46" ht="13.8" x14ac:dyDescent="0.25">
      <c r="B146" s="311" t="str">
        <f>'B-1 On-Site Hedge Baseline'!AK144</f>
        <v/>
      </c>
      <c r="C146" s="301" t="str">
        <f>IF(B146="","",IF(ISNA(VLOOKUP($B146,'B-1 On-Site Hedge Baseline'!$B$1:$L$257,3,FALSE)),"",(VLOOKUP($B146,'B-1 On-Site Hedge Baseline'!$B$1:$L$257,3,FALSE))))</f>
        <v/>
      </c>
      <c r="D146" s="301" t="str">
        <f>IF(B146="","",IF(ISNA(VLOOKUP($B146,'B-1 On-Site Hedge Baseline'!$B$1:$L$257,4,FALSE)),"",(VLOOKUP($B146,'B-1 On-Site Hedge Baseline'!$B$1:$L$257,4,FALSE))))</f>
        <v/>
      </c>
      <c r="E146" s="301" t="str">
        <f>IF(B146="","",IF(ISNA(VLOOKUP($B146,'B-1 On-Site Hedge Baseline'!$B$1:$L$257,5,FALSE)),"",(VLOOKUP($B146,'B-1 On-Site Hedge Baseline'!$B$1:$L$257,5,FALSE))))</f>
        <v/>
      </c>
      <c r="F146" s="301" t="str">
        <f>IF(B146="","",IF(ISNA(VLOOKUP($B146,'B-1 On-Site Hedge Baseline'!$B$1:$L$257,6,FALSE)),"",(VLOOKUP($B146,'B-1 On-Site Hedge Baseline'!$B$1:$L$257,6,FALSE))))</f>
        <v/>
      </c>
      <c r="G146" s="301" t="str">
        <f>IF(B146="","",IF(ISNA(VLOOKUP($B146,'B-1 On-Site Hedge Baseline'!$B$1:$L$257,7,FALSE)),"",(VLOOKUP($B146,'B-1 On-Site Hedge Baseline'!$B$1:$L$257,7,FALSE))))</f>
        <v/>
      </c>
      <c r="H146" s="301" t="str">
        <f>IF(B146="","",IF(ISNA(VLOOKUP($B146,'B-1 On-Site Hedge Baseline'!$B$1:$L$257,8,FALSE)),"",(VLOOKUP($B146,'B-1 On-Site Hedge Baseline'!$B$1:$L$257,8,FALSE))))</f>
        <v/>
      </c>
      <c r="I146" s="301" t="str">
        <f>IF(B146="","",IF(ISNA(VLOOKUP($B146,'B-1 On-Site Hedge Baseline'!$B$1:$L$257,10,FALSE)),"",(VLOOKUP($B146,'B-1 On-Site Hedge Baseline'!$B$1:$L$257,10,FALSE))))</f>
        <v/>
      </c>
      <c r="J146" s="301" t="str">
        <f>IF(B146="","",IF(ISNA(VLOOKUP($B146,'B-1 On-Site Hedge Baseline'!$B$1:$L$257,11,FALSE)),"",(VLOOKUP($B146,'B-1 On-Site Hedge Baseline'!$B$1:$L$257,11,FALSE))))</f>
        <v/>
      </c>
      <c r="K146" s="301" t="str">
        <f>IF(B146="","",IF(ISNA(VLOOKUP($B146,'B-1 On-Site Hedge Baseline'!$B$1:$U$257,13,FALSE)),"",(VLOOKUP($B146,'B-1 On-Site Hedge Baseline'!$B$1:$U$257,13,FALSE))))</f>
        <v/>
      </c>
      <c r="L146" s="305" t="str">
        <f>IF(B146="","",IF(ISNA(VLOOKUP($B146,'B-1 On-Site Hedge Baseline'!$B$1:$U$257,12,FALSE)),"",(VLOOKUP($B146,'B-1 On-Site Hedge Baseline'!$B$1:$U$257,12,FALSE))))</f>
        <v/>
      </c>
      <c r="M146" s="627"/>
      <c r="N146" s="281" t="str">
        <f>IFERROR(IF(B146="","",INDEX('G-6 Hedgerow Data'!$AN$3:$AZ$15,MATCH(C146,'G-6 Hedgerow Data'!$AM$3:$AM$15,0),MATCH(M146,'G-6 Hedgerow Data'!$AN$2:$AZ$2,0))),"")</f>
        <v/>
      </c>
      <c r="O146" s="282" t="str">
        <f t="shared" si="15"/>
        <v/>
      </c>
      <c r="P146" s="335" t="str">
        <f>IF(B146="","",VLOOKUP(B146,'B-1 On-Site Hedge Baseline'!$B$10:T391,16,FALSE))</f>
        <v/>
      </c>
      <c r="Q146" s="281" t="str">
        <f>IF(M146="","",VLOOKUP(M146,'G-6 Hedgerow Data'!$B$2:$AG$15,2,FALSE))</f>
        <v/>
      </c>
      <c r="R146" s="282" t="str">
        <f>IF(M146="","",VLOOKUP(M146,'G-6 Hedgerow Data'!$B$2:$AG$15,3,FALSE))</f>
        <v/>
      </c>
      <c r="S146" s="112"/>
      <c r="T146" s="320" t="str">
        <f>IFERROR(IF(S146="","",IF(AND(M146="Non-native and ornamental hedgerow", S146&lt;&gt;"Poor"),"Not possible ▲", (VLOOKUP(S146,'G-1 All Habitats'!$Z$2:$AA$9,2,FALSE)))),"")</f>
        <v/>
      </c>
      <c r="U146" s="109"/>
      <c r="V146" s="301" t="str">
        <f>IF(U146="","",IF(VLOOKUP(U146,'G-3 Multipliers'!$L$3:$N$6,2,FALSE)=0,"Spatial Data Missing ⚠",VLOOKUP(U146,'G-3 Multipliers'!$L$3:$N$6,2,FALSE)))</f>
        <v/>
      </c>
      <c r="W146" s="305" t="str">
        <f>IF(U146="","",IF(VLOOKUP(U146,'G-3 Multipliers'!$L$3:$N$6,3,FALSE)=0,"Spatial Data Missing ⚠",VLOOKUP(U146,'G-3 Multipliers'!$L$3:$N$6,3,FALSE)))</f>
        <v/>
      </c>
      <c r="X146" s="281" t="str">
        <f>IFERROR(IF(OR(LEFT(O146,5)="Error",LEFT(N146,5)="Error",T146="Error"),"Check Data ⚠",IF(F146&lt;R146,INDEX('G-6 Hedgerow Data'!$S$3:$AE$14,MATCH(C146,'G-6 Hedgerow Data'!$B$3:$B$14,0),MATCH(M146,'G-6 Hedgerow Data'!$S$2:$AE$2,0)),INDEX('G-6 Hedgerow Data'!$K$3:$Q$14,MATCH(M146,'G-6 Hedgerow Data'!$B$3:$B$14,0),MATCH(O146,'G-6 Hedgerow Data'!$K$2:$Q$2,0)))),"")</f>
        <v/>
      </c>
      <c r="Y146" s="137"/>
      <c r="Z146" s="137"/>
      <c r="AA146" s="289" t="str">
        <f t="shared" si="16"/>
        <v/>
      </c>
      <c r="AB146" s="302" t="str">
        <f t="shared" si="17"/>
        <v/>
      </c>
      <c r="AC146" s="303" t="str">
        <f t="shared" si="14"/>
        <v/>
      </c>
      <c r="AD146" s="317" t="str">
        <f>IF(M146="","",VLOOKUP(M146,'G-6 Hedgerow Data'!$B$3:$AG$15,31,FALSE))</f>
        <v/>
      </c>
      <c r="AE146" s="289" t="str">
        <f t="shared" si="18"/>
        <v/>
      </c>
      <c r="AF146" s="289" t="str">
        <f t="shared" si="19"/>
        <v/>
      </c>
      <c r="AG146" s="305" t="str">
        <f>IFERROR(IF(O146="","",VLOOKUP(AD146,'G-3 Multipliers'!$P$3:$Q$6,2,FALSE)),"")</f>
        <v/>
      </c>
      <c r="AH146" s="295" t="str">
        <f t="shared" si="20"/>
        <v/>
      </c>
      <c r="AI146" s="112"/>
      <c r="AJ146" s="119"/>
      <c r="AK146" s="108"/>
      <c r="AT146" s="30" t="str">
        <f>IFERROR(INDEX('G-6 Hedgerow Data'!$BJ$3:$BJ$15,MATCH(M146,'G-6 Hedgerow Data'!$B$3:$B$15,0)),"")</f>
        <v/>
      </c>
    </row>
    <row r="147" spans="2:46" ht="13.8" x14ac:dyDescent="0.25">
      <c r="B147" s="311" t="str">
        <f>'B-1 On-Site Hedge Baseline'!AK145</f>
        <v/>
      </c>
      <c r="C147" s="301" t="str">
        <f>IF(B147="","",IF(ISNA(VLOOKUP($B147,'B-1 On-Site Hedge Baseline'!$B$1:$L$257,3,FALSE)),"",(VLOOKUP($B147,'B-1 On-Site Hedge Baseline'!$B$1:$L$257,3,FALSE))))</f>
        <v/>
      </c>
      <c r="D147" s="301" t="str">
        <f>IF(B147="","",IF(ISNA(VLOOKUP($B147,'B-1 On-Site Hedge Baseline'!$B$1:$L$257,4,FALSE)),"",(VLOOKUP($B147,'B-1 On-Site Hedge Baseline'!$B$1:$L$257,4,FALSE))))</f>
        <v/>
      </c>
      <c r="E147" s="301" t="str">
        <f>IF(B147="","",IF(ISNA(VLOOKUP($B147,'B-1 On-Site Hedge Baseline'!$B$1:$L$257,5,FALSE)),"",(VLOOKUP($B147,'B-1 On-Site Hedge Baseline'!$B$1:$L$257,5,FALSE))))</f>
        <v/>
      </c>
      <c r="F147" s="301" t="str">
        <f>IF(B147="","",IF(ISNA(VLOOKUP($B147,'B-1 On-Site Hedge Baseline'!$B$1:$L$257,6,FALSE)),"",(VLOOKUP($B147,'B-1 On-Site Hedge Baseline'!$B$1:$L$257,6,FALSE))))</f>
        <v/>
      </c>
      <c r="G147" s="301" t="str">
        <f>IF(B147="","",IF(ISNA(VLOOKUP($B147,'B-1 On-Site Hedge Baseline'!$B$1:$L$257,7,FALSE)),"",(VLOOKUP($B147,'B-1 On-Site Hedge Baseline'!$B$1:$L$257,7,FALSE))))</f>
        <v/>
      </c>
      <c r="H147" s="301" t="str">
        <f>IF(B147="","",IF(ISNA(VLOOKUP($B147,'B-1 On-Site Hedge Baseline'!$B$1:$L$257,8,FALSE)),"",(VLOOKUP($B147,'B-1 On-Site Hedge Baseline'!$B$1:$L$257,8,FALSE))))</f>
        <v/>
      </c>
      <c r="I147" s="301" t="str">
        <f>IF(B147="","",IF(ISNA(VLOOKUP($B147,'B-1 On-Site Hedge Baseline'!$B$1:$L$257,10,FALSE)),"",(VLOOKUP($B147,'B-1 On-Site Hedge Baseline'!$B$1:$L$257,10,FALSE))))</f>
        <v/>
      </c>
      <c r="J147" s="301" t="str">
        <f>IF(B147="","",IF(ISNA(VLOOKUP($B147,'B-1 On-Site Hedge Baseline'!$B$1:$L$257,11,FALSE)),"",(VLOOKUP($B147,'B-1 On-Site Hedge Baseline'!$B$1:$L$257,11,FALSE))))</f>
        <v/>
      </c>
      <c r="K147" s="301" t="str">
        <f>IF(B147="","",IF(ISNA(VLOOKUP($B147,'B-1 On-Site Hedge Baseline'!$B$1:$U$257,13,FALSE)),"",(VLOOKUP($B147,'B-1 On-Site Hedge Baseline'!$B$1:$U$257,13,FALSE))))</f>
        <v/>
      </c>
      <c r="L147" s="305" t="str">
        <f>IF(B147="","",IF(ISNA(VLOOKUP($B147,'B-1 On-Site Hedge Baseline'!$B$1:$U$257,12,FALSE)),"",(VLOOKUP($B147,'B-1 On-Site Hedge Baseline'!$B$1:$U$257,12,FALSE))))</f>
        <v/>
      </c>
      <c r="M147" s="627"/>
      <c r="N147" s="281" t="str">
        <f>IFERROR(IF(B147="","",INDEX('G-6 Hedgerow Data'!$AN$3:$AZ$15,MATCH(C147,'G-6 Hedgerow Data'!$AM$3:$AM$15,0),MATCH(M147,'G-6 Hedgerow Data'!$AN$2:$AZ$2,0))),"")</f>
        <v/>
      </c>
      <c r="O147" s="282" t="str">
        <f t="shared" si="15"/>
        <v/>
      </c>
      <c r="P147" s="335" t="str">
        <f>IF(B147="","",VLOOKUP(B147,'B-1 On-Site Hedge Baseline'!$B$10:T392,16,FALSE))</f>
        <v/>
      </c>
      <c r="Q147" s="281" t="str">
        <f>IF(M147="","",VLOOKUP(M147,'G-6 Hedgerow Data'!$B$2:$AG$15,2,FALSE))</f>
        <v/>
      </c>
      <c r="R147" s="282" t="str">
        <f>IF(M147="","",VLOOKUP(M147,'G-6 Hedgerow Data'!$B$2:$AG$15,3,FALSE))</f>
        <v/>
      </c>
      <c r="S147" s="112"/>
      <c r="T147" s="320" t="str">
        <f>IFERROR(IF(S147="","",IF(AND(M147="Non-native and ornamental hedgerow", S147&lt;&gt;"Poor"),"Not possible ▲", (VLOOKUP(S147,'G-1 All Habitats'!$Z$2:$AA$9,2,FALSE)))),"")</f>
        <v/>
      </c>
      <c r="U147" s="109"/>
      <c r="V147" s="301" t="str">
        <f>IF(U147="","",IF(VLOOKUP(U147,'G-3 Multipliers'!$L$3:$N$6,2,FALSE)=0,"Spatial Data Missing ⚠",VLOOKUP(U147,'G-3 Multipliers'!$L$3:$N$6,2,FALSE)))</f>
        <v/>
      </c>
      <c r="W147" s="305" t="str">
        <f>IF(U147="","",IF(VLOOKUP(U147,'G-3 Multipliers'!$L$3:$N$6,3,FALSE)=0,"Spatial Data Missing ⚠",VLOOKUP(U147,'G-3 Multipliers'!$L$3:$N$6,3,FALSE)))</f>
        <v/>
      </c>
      <c r="X147" s="281" t="str">
        <f>IFERROR(IF(OR(LEFT(O147,5)="Error",LEFT(N147,5)="Error",T147="Error"),"Check Data ⚠",IF(F147&lt;R147,INDEX('G-6 Hedgerow Data'!$S$3:$AE$14,MATCH(C147,'G-6 Hedgerow Data'!$B$3:$B$14,0),MATCH(M147,'G-6 Hedgerow Data'!$S$2:$AE$2,0)),INDEX('G-6 Hedgerow Data'!$K$3:$Q$14,MATCH(M147,'G-6 Hedgerow Data'!$B$3:$B$14,0),MATCH(O147,'G-6 Hedgerow Data'!$K$2:$Q$2,0)))),"")</f>
        <v/>
      </c>
      <c r="Y147" s="137"/>
      <c r="Z147" s="137"/>
      <c r="AA147" s="289" t="str">
        <f t="shared" si="16"/>
        <v/>
      </c>
      <c r="AB147" s="302" t="str">
        <f t="shared" si="17"/>
        <v/>
      </c>
      <c r="AC147" s="303" t="str">
        <f t="shared" si="14"/>
        <v/>
      </c>
      <c r="AD147" s="317" t="str">
        <f>IF(M147="","",VLOOKUP(M147,'G-6 Hedgerow Data'!$B$3:$AG$15,31,FALSE))</f>
        <v/>
      </c>
      <c r="AE147" s="289" t="str">
        <f t="shared" si="18"/>
        <v/>
      </c>
      <c r="AF147" s="289" t="str">
        <f t="shared" si="19"/>
        <v/>
      </c>
      <c r="AG147" s="305" t="str">
        <f>IFERROR(IF(O147="","",VLOOKUP(AD147,'G-3 Multipliers'!$P$3:$Q$6,2,FALSE)),"")</f>
        <v/>
      </c>
      <c r="AH147" s="295" t="str">
        <f t="shared" si="20"/>
        <v/>
      </c>
      <c r="AI147" s="112"/>
      <c r="AJ147" s="119"/>
      <c r="AK147" s="108"/>
      <c r="AT147" s="30" t="str">
        <f>IFERROR(INDEX('G-6 Hedgerow Data'!$BJ$3:$BJ$15,MATCH(M147,'G-6 Hedgerow Data'!$B$3:$B$15,0)),"")</f>
        <v/>
      </c>
    </row>
    <row r="148" spans="2:46" ht="13.8" x14ac:dyDescent="0.25">
      <c r="B148" s="311" t="str">
        <f>'B-1 On-Site Hedge Baseline'!AK146</f>
        <v/>
      </c>
      <c r="C148" s="301" t="str">
        <f>IF(B148="","",IF(ISNA(VLOOKUP($B148,'B-1 On-Site Hedge Baseline'!$B$1:$L$257,3,FALSE)),"",(VLOOKUP($B148,'B-1 On-Site Hedge Baseline'!$B$1:$L$257,3,FALSE))))</f>
        <v/>
      </c>
      <c r="D148" s="301" t="str">
        <f>IF(B148="","",IF(ISNA(VLOOKUP($B148,'B-1 On-Site Hedge Baseline'!$B$1:$L$257,4,FALSE)),"",(VLOOKUP($B148,'B-1 On-Site Hedge Baseline'!$B$1:$L$257,4,FALSE))))</f>
        <v/>
      </c>
      <c r="E148" s="301" t="str">
        <f>IF(B148="","",IF(ISNA(VLOOKUP($B148,'B-1 On-Site Hedge Baseline'!$B$1:$L$257,5,FALSE)),"",(VLOOKUP($B148,'B-1 On-Site Hedge Baseline'!$B$1:$L$257,5,FALSE))))</f>
        <v/>
      </c>
      <c r="F148" s="301" t="str">
        <f>IF(B148="","",IF(ISNA(VLOOKUP($B148,'B-1 On-Site Hedge Baseline'!$B$1:$L$257,6,FALSE)),"",(VLOOKUP($B148,'B-1 On-Site Hedge Baseline'!$B$1:$L$257,6,FALSE))))</f>
        <v/>
      </c>
      <c r="G148" s="301" t="str">
        <f>IF(B148="","",IF(ISNA(VLOOKUP($B148,'B-1 On-Site Hedge Baseline'!$B$1:$L$257,7,FALSE)),"",(VLOOKUP($B148,'B-1 On-Site Hedge Baseline'!$B$1:$L$257,7,FALSE))))</f>
        <v/>
      </c>
      <c r="H148" s="301" t="str">
        <f>IF(B148="","",IF(ISNA(VLOOKUP($B148,'B-1 On-Site Hedge Baseline'!$B$1:$L$257,8,FALSE)),"",(VLOOKUP($B148,'B-1 On-Site Hedge Baseline'!$B$1:$L$257,8,FALSE))))</f>
        <v/>
      </c>
      <c r="I148" s="301" t="str">
        <f>IF(B148="","",IF(ISNA(VLOOKUP($B148,'B-1 On-Site Hedge Baseline'!$B$1:$L$257,10,FALSE)),"",(VLOOKUP($B148,'B-1 On-Site Hedge Baseline'!$B$1:$L$257,10,FALSE))))</f>
        <v/>
      </c>
      <c r="J148" s="301" t="str">
        <f>IF(B148="","",IF(ISNA(VLOOKUP($B148,'B-1 On-Site Hedge Baseline'!$B$1:$L$257,11,FALSE)),"",(VLOOKUP($B148,'B-1 On-Site Hedge Baseline'!$B$1:$L$257,11,FALSE))))</f>
        <v/>
      </c>
      <c r="K148" s="301" t="str">
        <f>IF(B148="","",IF(ISNA(VLOOKUP($B148,'B-1 On-Site Hedge Baseline'!$B$1:$U$257,13,FALSE)),"",(VLOOKUP($B148,'B-1 On-Site Hedge Baseline'!$B$1:$U$257,13,FALSE))))</f>
        <v/>
      </c>
      <c r="L148" s="305" t="str">
        <f>IF(B148="","",IF(ISNA(VLOOKUP($B148,'B-1 On-Site Hedge Baseline'!$B$1:$U$257,12,FALSE)),"",(VLOOKUP($B148,'B-1 On-Site Hedge Baseline'!$B$1:$U$257,12,FALSE))))</f>
        <v/>
      </c>
      <c r="M148" s="627"/>
      <c r="N148" s="281" t="str">
        <f>IFERROR(IF(B148="","",INDEX('G-6 Hedgerow Data'!$AN$3:$AZ$15,MATCH(C148,'G-6 Hedgerow Data'!$AM$3:$AM$15,0),MATCH(M148,'G-6 Hedgerow Data'!$AN$2:$AZ$2,0))),"")</f>
        <v/>
      </c>
      <c r="O148" s="282" t="str">
        <f t="shared" si="15"/>
        <v/>
      </c>
      <c r="P148" s="335" t="str">
        <f>IF(B148="","",VLOOKUP(B148,'B-1 On-Site Hedge Baseline'!$B$10:T393,16,FALSE))</f>
        <v/>
      </c>
      <c r="Q148" s="281" t="str">
        <f>IF(M148="","",VLOOKUP(M148,'G-6 Hedgerow Data'!$B$2:$AG$15,2,FALSE))</f>
        <v/>
      </c>
      <c r="R148" s="282" t="str">
        <f>IF(M148="","",VLOOKUP(M148,'G-6 Hedgerow Data'!$B$2:$AG$15,3,FALSE))</f>
        <v/>
      </c>
      <c r="S148" s="112"/>
      <c r="T148" s="320" t="str">
        <f>IFERROR(IF(S148="","",IF(AND(M148="Non-native and ornamental hedgerow", S148&lt;&gt;"Poor"),"Not possible ▲", (VLOOKUP(S148,'G-1 All Habitats'!$Z$2:$AA$9,2,FALSE)))),"")</f>
        <v/>
      </c>
      <c r="U148" s="109"/>
      <c r="V148" s="301" t="str">
        <f>IF(U148="","",IF(VLOOKUP(U148,'G-3 Multipliers'!$L$3:$N$6,2,FALSE)=0,"Spatial Data Missing ⚠",VLOOKUP(U148,'G-3 Multipliers'!$L$3:$N$6,2,FALSE)))</f>
        <v/>
      </c>
      <c r="W148" s="305" t="str">
        <f>IF(U148="","",IF(VLOOKUP(U148,'G-3 Multipliers'!$L$3:$N$6,3,FALSE)=0,"Spatial Data Missing ⚠",VLOOKUP(U148,'G-3 Multipliers'!$L$3:$N$6,3,FALSE)))</f>
        <v/>
      </c>
      <c r="X148" s="281" t="str">
        <f>IFERROR(IF(OR(LEFT(O148,5)="Error",LEFT(N148,5)="Error",T148="Error"),"Check Data ⚠",IF(F148&lt;R148,INDEX('G-6 Hedgerow Data'!$S$3:$AE$14,MATCH(C148,'G-6 Hedgerow Data'!$B$3:$B$14,0),MATCH(M148,'G-6 Hedgerow Data'!$S$2:$AE$2,0)),INDEX('G-6 Hedgerow Data'!$K$3:$Q$14,MATCH(M148,'G-6 Hedgerow Data'!$B$3:$B$14,0),MATCH(O148,'G-6 Hedgerow Data'!$K$2:$Q$2,0)))),"")</f>
        <v/>
      </c>
      <c r="Y148" s="137"/>
      <c r="Z148" s="137"/>
      <c r="AA148" s="289" t="str">
        <f t="shared" si="16"/>
        <v/>
      </c>
      <c r="AB148" s="302" t="str">
        <f t="shared" si="17"/>
        <v/>
      </c>
      <c r="AC148" s="303" t="str">
        <f t="shared" si="14"/>
        <v/>
      </c>
      <c r="AD148" s="317" t="str">
        <f>IF(M148="","",VLOOKUP(M148,'G-6 Hedgerow Data'!$B$3:$AG$15,31,FALSE))</f>
        <v/>
      </c>
      <c r="AE148" s="289" t="str">
        <f t="shared" si="18"/>
        <v/>
      </c>
      <c r="AF148" s="289" t="str">
        <f t="shared" si="19"/>
        <v/>
      </c>
      <c r="AG148" s="305" t="str">
        <f>IFERROR(IF(O148="","",VLOOKUP(AD148,'G-3 Multipliers'!$P$3:$Q$6,2,FALSE)),"")</f>
        <v/>
      </c>
      <c r="AH148" s="295" t="str">
        <f t="shared" si="20"/>
        <v/>
      </c>
      <c r="AI148" s="112"/>
      <c r="AJ148" s="119"/>
      <c r="AK148" s="108"/>
      <c r="AT148" s="30" t="str">
        <f>IFERROR(INDEX('G-6 Hedgerow Data'!$BJ$3:$BJ$15,MATCH(M148,'G-6 Hedgerow Data'!$B$3:$B$15,0)),"")</f>
        <v/>
      </c>
    </row>
    <row r="149" spans="2:46" ht="13.8" x14ac:dyDescent="0.25">
      <c r="B149" s="311" t="str">
        <f>'B-1 On-Site Hedge Baseline'!AK147</f>
        <v/>
      </c>
      <c r="C149" s="301" t="str">
        <f>IF(B149="","",IF(ISNA(VLOOKUP($B149,'B-1 On-Site Hedge Baseline'!$B$1:$L$257,3,FALSE)),"",(VLOOKUP($B149,'B-1 On-Site Hedge Baseline'!$B$1:$L$257,3,FALSE))))</f>
        <v/>
      </c>
      <c r="D149" s="301" t="str">
        <f>IF(B149="","",IF(ISNA(VLOOKUP($B149,'B-1 On-Site Hedge Baseline'!$B$1:$L$257,4,FALSE)),"",(VLOOKUP($B149,'B-1 On-Site Hedge Baseline'!$B$1:$L$257,4,FALSE))))</f>
        <v/>
      </c>
      <c r="E149" s="301" t="str">
        <f>IF(B149="","",IF(ISNA(VLOOKUP($B149,'B-1 On-Site Hedge Baseline'!$B$1:$L$257,5,FALSE)),"",(VLOOKUP($B149,'B-1 On-Site Hedge Baseline'!$B$1:$L$257,5,FALSE))))</f>
        <v/>
      </c>
      <c r="F149" s="301" t="str">
        <f>IF(B149="","",IF(ISNA(VLOOKUP($B149,'B-1 On-Site Hedge Baseline'!$B$1:$L$257,6,FALSE)),"",(VLOOKUP($B149,'B-1 On-Site Hedge Baseline'!$B$1:$L$257,6,FALSE))))</f>
        <v/>
      </c>
      <c r="G149" s="301" t="str">
        <f>IF(B149="","",IF(ISNA(VLOOKUP($B149,'B-1 On-Site Hedge Baseline'!$B$1:$L$257,7,FALSE)),"",(VLOOKUP($B149,'B-1 On-Site Hedge Baseline'!$B$1:$L$257,7,FALSE))))</f>
        <v/>
      </c>
      <c r="H149" s="301" t="str">
        <f>IF(B149="","",IF(ISNA(VLOOKUP($B149,'B-1 On-Site Hedge Baseline'!$B$1:$L$257,8,FALSE)),"",(VLOOKUP($B149,'B-1 On-Site Hedge Baseline'!$B$1:$L$257,8,FALSE))))</f>
        <v/>
      </c>
      <c r="I149" s="301" t="str">
        <f>IF(B149="","",IF(ISNA(VLOOKUP($B149,'B-1 On-Site Hedge Baseline'!$B$1:$L$257,10,FALSE)),"",(VLOOKUP($B149,'B-1 On-Site Hedge Baseline'!$B$1:$L$257,10,FALSE))))</f>
        <v/>
      </c>
      <c r="J149" s="301" t="str">
        <f>IF(B149="","",IF(ISNA(VLOOKUP($B149,'B-1 On-Site Hedge Baseline'!$B$1:$L$257,11,FALSE)),"",(VLOOKUP($B149,'B-1 On-Site Hedge Baseline'!$B$1:$L$257,11,FALSE))))</f>
        <v/>
      </c>
      <c r="K149" s="301" t="str">
        <f>IF(B149="","",IF(ISNA(VLOOKUP($B149,'B-1 On-Site Hedge Baseline'!$B$1:$U$257,13,FALSE)),"",(VLOOKUP($B149,'B-1 On-Site Hedge Baseline'!$B$1:$U$257,13,FALSE))))</f>
        <v/>
      </c>
      <c r="L149" s="305" t="str">
        <f>IF(B149="","",IF(ISNA(VLOOKUP($B149,'B-1 On-Site Hedge Baseline'!$B$1:$U$257,12,FALSE)),"",(VLOOKUP($B149,'B-1 On-Site Hedge Baseline'!$B$1:$U$257,12,FALSE))))</f>
        <v/>
      </c>
      <c r="M149" s="627"/>
      <c r="N149" s="281" t="str">
        <f>IFERROR(IF(B149="","",INDEX('G-6 Hedgerow Data'!$AN$3:$AZ$15,MATCH(C149,'G-6 Hedgerow Data'!$AM$3:$AM$15,0),MATCH(M149,'G-6 Hedgerow Data'!$AN$2:$AZ$2,0))),"")</f>
        <v/>
      </c>
      <c r="O149" s="282" t="str">
        <f t="shared" si="15"/>
        <v/>
      </c>
      <c r="P149" s="335" t="str">
        <f>IF(B149="","",VLOOKUP(B149,'B-1 On-Site Hedge Baseline'!$B$10:T394,16,FALSE))</f>
        <v/>
      </c>
      <c r="Q149" s="281" t="str">
        <f>IF(M149="","",VLOOKUP(M149,'G-6 Hedgerow Data'!$B$2:$AG$15,2,FALSE))</f>
        <v/>
      </c>
      <c r="R149" s="282" t="str">
        <f>IF(M149="","",VLOOKUP(M149,'G-6 Hedgerow Data'!$B$2:$AG$15,3,FALSE))</f>
        <v/>
      </c>
      <c r="S149" s="112"/>
      <c r="T149" s="320" t="str">
        <f>IFERROR(IF(S149="","",IF(AND(M149="Non-native and ornamental hedgerow", S149&lt;&gt;"Poor"),"Not possible ▲", (VLOOKUP(S149,'G-1 All Habitats'!$Z$2:$AA$9,2,FALSE)))),"")</f>
        <v/>
      </c>
      <c r="U149" s="109"/>
      <c r="V149" s="301" t="str">
        <f>IF(U149="","",IF(VLOOKUP(U149,'G-3 Multipliers'!$L$3:$N$6,2,FALSE)=0,"Spatial Data Missing ⚠",VLOOKUP(U149,'G-3 Multipliers'!$L$3:$N$6,2,FALSE)))</f>
        <v/>
      </c>
      <c r="W149" s="305" t="str">
        <f>IF(U149="","",IF(VLOOKUP(U149,'G-3 Multipliers'!$L$3:$N$6,3,FALSE)=0,"Spatial Data Missing ⚠",VLOOKUP(U149,'G-3 Multipliers'!$L$3:$N$6,3,FALSE)))</f>
        <v/>
      </c>
      <c r="X149" s="281" t="str">
        <f>IFERROR(IF(OR(LEFT(O149,5)="Error",LEFT(N149,5)="Error",T149="Error"),"Check Data ⚠",IF(F149&lt;R149,INDEX('G-6 Hedgerow Data'!$S$3:$AE$14,MATCH(C149,'G-6 Hedgerow Data'!$B$3:$B$14,0),MATCH(M149,'G-6 Hedgerow Data'!$S$2:$AE$2,0)),INDEX('G-6 Hedgerow Data'!$K$3:$Q$14,MATCH(M149,'G-6 Hedgerow Data'!$B$3:$B$14,0),MATCH(O149,'G-6 Hedgerow Data'!$K$2:$Q$2,0)))),"")</f>
        <v/>
      </c>
      <c r="Y149" s="137"/>
      <c r="Z149" s="137"/>
      <c r="AA149" s="289" t="str">
        <f t="shared" si="16"/>
        <v/>
      </c>
      <c r="AB149" s="302" t="str">
        <f t="shared" si="17"/>
        <v/>
      </c>
      <c r="AC149" s="303" t="str">
        <f t="shared" si="14"/>
        <v/>
      </c>
      <c r="AD149" s="317" t="str">
        <f>IF(M149="","",VLOOKUP(M149,'G-6 Hedgerow Data'!$B$3:$AG$15,31,FALSE))</f>
        <v/>
      </c>
      <c r="AE149" s="289" t="str">
        <f t="shared" si="18"/>
        <v/>
      </c>
      <c r="AF149" s="289" t="str">
        <f t="shared" si="19"/>
        <v/>
      </c>
      <c r="AG149" s="305" t="str">
        <f>IFERROR(IF(O149="","",VLOOKUP(AD149,'G-3 Multipliers'!$P$3:$Q$6,2,FALSE)),"")</f>
        <v/>
      </c>
      <c r="AH149" s="295" t="str">
        <f t="shared" si="20"/>
        <v/>
      </c>
      <c r="AI149" s="112"/>
      <c r="AJ149" s="119"/>
      <c r="AK149" s="108"/>
      <c r="AT149" s="30" t="str">
        <f>IFERROR(INDEX('G-6 Hedgerow Data'!$BJ$3:$BJ$15,MATCH(M149,'G-6 Hedgerow Data'!$B$3:$B$15,0)),"")</f>
        <v/>
      </c>
    </row>
    <row r="150" spans="2:46" ht="13.8" x14ac:dyDescent="0.25">
      <c r="B150" s="311" t="str">
        <f>'B-1 On-Site Hedge Baseline'!AK148</f>
        <v/>
      </c>
      <c r="C150" s="301" t="str">
        <f>IF(B150="","",IF(ISNA(VLOOKUP($B150,'B-1 On-Site Hedge Baseline'!$B$1:$L$257,3,FALSE)),"",(VLOOKUP($B150,'B-1 On-Site Hedge Baseline'!$B$1:$L$257,3,FALSE))))</f>
        <v/>
      </c>
      <c r="D150" s="301" t="str">
        <f>IF(B150="","",IF(ISNA(VLOOKUP($B150,'B-1 On-Site Hedge Baseline'!$B$1:$L$257,4,FALSE)),"",(VLOOKUP($B150,'B-1 On-Site Hedge Baseline'!$B$1:$L$257,4,FALSE))))</f>
        <v/>
      </c>
      <c r="E150" s="301" t="str">
        <f>IF(B150="","",IF(ISNA(VLOOKUP($B150,'B-1 On-Site Hedge Baseline'!$B$1:$L$257,5,FALSE)),"",(VLOOKUP($B150,'B-1 On-Site Hedge Baseline'!$B$1:$L$257,5,FALSE))))</f>
        <v/>
      </c>
      <c r="F150" s="301" t="str">
        <f>IF(B150="","",IF(ISNA(VLOOKUP($B150,'B-1 On-Site Hedge Baseline'!$B$1:$L$257,6,FALSE)),"",(VLOOKUP($B150,'B-1 On-Site Hedge Baseline'!$B$1:$L$257,6,FALSE))))</f>
        <v/>
      </c>
      <c r="G150" s="301" t="str">
        <f>IF(B150="","",IF(ISNA(VLOOKUP($B150,'B-1 On-Site Hedge Baseline'!$B$1:$L$257,7,FALSE)),"",(VLOOKUP($B150,'B-1 On-Site Hedge Baseline'!$B$1:$L$257,7,FALSE))))</f>
        <v/>
      </c>
      <c r="H150" s="301" t="str">
        <f>IF(B150="","",IF(ISNA(VLOOKUP($B150,'B-1 On-Site Hedge Baseline'!$B$1:$L$257,8,FALSE)),"",(VLOOKUP($B150,'B-1 On-Site Hedge Baseline'!$B$1:$L$257,8,FALSE))))</f>
        <v/>
      </c>
      <c r="I150" s="301" t="str">
        <f>IF(B150="","",IF(ISNA(VLOOKUP($B150,'B-1 On-Site Hedge Baseline'!$B$1:$L$257,10,FALSE)),"",(VLOOKUP($B150,'B-1 On-Site Hedge Baseline'!$B$1:$L$257,10,FALSE))))</f>
        <v/>
      </c>
      <c r="J150" s="301" t="str">
        <f>IF(B150="","",IF(ISNA(VLOOKUP($B150,'B-1 On-Site Hedge Baseline'!$B$1:$L$257,11,FALSE)),"",(VLOOKUP($B150,'B-1 On-Site Hedge Baseline'!$B$1:$L$257,11,FALSE))))</f>
        <v/>
      </c>
      <c r="K150" s="301" t="str">
        <f>IF(B150="","",IF(ISNA(VLOOKUP($B150,'B-1 On-Site Hedge Baseline'!$B$1:$U$257,13,FALSE)),"",(VLOOKUP($B150,'B-1 On-Site Hedge Baseline'!$B$1:$U$257,13,FALSE))))</f>
        <v/>
      </c>
      <c r="L150" s="305" t="str">
        <f>IF(B150="","",IF(ISNA(VLOOKUP($B150,'B-1 On-Site Hedge Baseline'!$B$1:$U$257,12,FALSE)),"",(VLOOKUP($B150,'B-1 On-Site Hedge Baseline'!$B$1:$U$257,12,FALSE))))</f>
        <v/>
      </c>
      <c r="M150" s="627"/>
      <c r="N150" s="281" t="str">
        <f>IFERROR(IF(B150="","",INDEX('G-6 Hedgerow Data'!$AN$3:$AZ$15,MATCH(C150,'G-6 Hedgerow Data'!$AM$3:$AM$15,0),MATCH(M150,'G-6 Hedgerow Data'!$AN$2:$AZ$2,0))),"")</f>
        <v/>
      </c>
      <c r="O150" s="282" t="str">
        <f t="shared" si="15"/>
        <v/>
      </c>
      <c r="P150" s="335" t="str">
        <f>IF(B150="","",VLOOKUP(B150,'B-1 On-Site Hedge Baseline'!$B$10:T395,16,FALSE))</f>
        <v/>
      </c>
      <c r="Q150" s="281" t="str">
        <f>IF(M150="","",VLOOKUP(M150,'G-6 Hedgerow Data'!$B$2:$AG$15,2,FALSE))</f>
        <v/>
      </c>
      <c r="R150" s="282" t="str">
        <f>IF(M150="","",VLOOKUP(M150,'G-6 Hedgerow Data'!$B$2:$AG$15,3,FALSE))</f>
        <v/>
      </c>
      <c r="S150" s="112"/>
      <c r="T150" s="320" t="str">
        <f>IFERROR(IF(S150="","",IF(AND(M150="Non-native and ornamental hedgerow", S150&lt;&gt;"Poor"),"Not possible ▲", (VLOOKUP(S150,'G-1 All Habitats'!$Z$2:$AA$9,2,FALSE)))),"")</f>
        <v/>
      </c>
      <c r="U150" s="109"/>
      <c r="V150" s="301" t="str">
        <f>IF(U150="","",IF(VLOOKUP(U150,'G-3 Multipliers'!$L$3:$N$6,2,FALSE)=0,"Spatial Data Missing ⚠",VLOOKUP(U150,'G-3 Multipliers'!$L$3:$N$6,2,FALSE)))</f>
        <v/>
      </c>
      <c r="W150" s="305" t="str">
        <f>IF(U150="","",IF(VLOOKUP(U150,'G-3 Multipliers'!$L$3:$N$6,3,FALSE)=0,"Spatial Data Missing ⚠",VLOOKUP(U150,'G-3 Multipliers'!$L$3:$N$6,3,FALSE)))</f>
        <v/>
      </c>
      <c r="X150" s="281" t="str">
        <f>IFERROR(IF(OR(LEFT(O150,5)="Error",LEFT(N150,5)="Error",T150="Error"),"Check Data ⚠",IF(F150&lt;R150,INDEX('G-6 Hedgerow Data'!$S$3:$AE$14,MATCH(C150,'G-6 Hedgerow Data'!$B$3:$B$14,0),MATCH(M150,'G-6 Hedgerow Data'!$S$2:$AE$2,0)),INDEX('G-6 Hedgerow Data'!$K$3:$Q$14,MATCH(M150,'G-6 Hedgerow Data'!$B$3:$B$14,0),MATCH(O150,'G-6 Hedgerow Data'!$K$2:$Q$2,0)))),"")</f>
        <v/>
      </c>
      <c r="Y150" s="137"/>
      <c r="Z150" s="137"/>
      <c r="AA150" s="289" t="str">
        <f t="shared" si="16"/>
        <v/>
      </c>
      <c r="AB150" s="302" t="str">
        <f t="shared" si="17"/>
        <v/>
      </c>
      <c r="AC150" s="303" t="str">
        <f t="shared" si="14"/>
        <v/>
      </c>
      <c r="AD150" s="317" t="str">
        <f>IF(M150="","",VLOOKUP(M150,'G-6 Hedgerow Data'!$B$3:$AG$15,31,FALSE))</f>
        <v/>
      </c>
      <c r="AE150" s="289" t="str">
        <f t="shared" si="18"/>
        <v/>
      </c>
      <c r="AF150" s="289" t="str">
        <f t="shared" si="19"/>
        <v/>
      </c>
      <c r="AG150" s="305" t="str">
        <f>IFERROR(IF(O150="","",VLOOKUP(AD150,'G-3 Multipliers'!$P$3:$Q$6,2,FALSE)),"")</f>
        <v/>
      </c>
      <c r="AH150" s="295" t="str">
        <f t="shared" si="20"/>
        <v/>
      </c>
      <c r="AI150" s="112"/>
      <c r="AJ150" s="119"/>
      <c r="AK150" s="108"/>
      <c r="AT150" s="30" t="str">
        <f>IFERROR(INDEX('G-6 Hedgerow Data'!$BJ$3:$BJ$15,MATCH(M150,'G-6 Hedgerow Data'!$B$3:$B$15,0)),"")</f>
        <v/>
      </c>
    </row>
    <row r="151" spans="2:46" ht="13.8" x14ac:dyDescent="0.25">
      <c r="B151" s="311" t="str">
        <f>'B-1 On-Site Hedge Baseline'!AK149</f>
        <v/>
      </c>
      <c r="C151" s="301" t="str">
        <f>IF(B151="","",IF(ISNA(VLOOKUP($B151,'B-1 On-Site Hedge Baseline'!$B$1:$L$257,3,FALSE)),"",(VLOOKUP($B151,'B-1 On-Site Hedge Baseline'!$B$1:$L$257,3,FALSE))))</f>
        <v/>
      </c>
      <c r="D151" s="301" t="str">
        <f>IF(B151="","",IF(ISNA(VLOOKUP($B151,'B-1 On-Site Hedge Baseline'!$B$1:$L$257,4,FALSE)),"",(VLOOKUP($B151,'B-1 On-Site Hedge Baseline'!$B$1:$L$257,4,FALSE))))</f>
        <v/>
      </c>
      <c r="E151" s="301" t="str">
        <f>IF(B151="","",IF(ISNA(VLOOKUP($B151,'B-1 On-Site Hedge Baseline'!$B$1:$L$257,5,FALSE)),"",(VLOOKUP($B151,'B-1 On-Site Hedge Baseline'!$B$1:$L$257,5,FALSE))))</f>
        <v/>
      </c>
      <c r="F151" s="301" t="str">
        <f>IF(B151="","",IF(ISNA(VLOOKUP($B151,'B-1 On-Site Hedge Baseline'!$B$1:$L$257,6,FALSE)),"",(VLOOKUP($B151,'B-1 On-Site Hedge Baseline'!$B$1:$L$257,6,FALSE))))</f>
        <v/>
      </c>
      <c r="G151" s="301" t="str">
        <f>IF(B151="","",IF(ISNA(VLOOKUP($B151,'B-1 On-Site Hedge Baseline'!$B$1:$L$257,7,FALSE)),"",(VLOOKUP($B151,'B-1 On-Site Hedge Baseline'!$B$1:$L$257,7,FALSE))))</f>
        <v/>
      </c>
      <c r="H151" s="301" t="str">
        <f>IF(B151="","",IF(ISNA(VLOOKUP($B151,'B-1 On-Site Hedge Baseline'!$B$1:$L$257,8,FALSE)),"",(VLOOKUP($B151,'B-1 On-Site Hedge Baseline'!$B$1:$L$257,8,FALSE))))</f>
        <v/>
      </c>
      <c r="I151" s="301" t="str">
        <f>IF(B151="","",IF(ISNA(VLOOKUP($B151,'B-1 On-Site Hedge Baseline'!$B$1:$L$257,10,FALSE)),"",(VLOOKUP($B151,'B-1 On-Site Hedge Baseline'!$B$1:$L$257,10,FALSE))))</f>
        <v/>
      </c>
      <c r="J151" s="301" t="str">
        <f>IF(B151="","",IF(ISNA(VLOOKUP($B151,'B-1 On-Site Hedge Baseline'!$B$1:$L$257,11,FALSE)),"",(VLOOKUP($B151,'B-1 On-Site Hedge Baseline'!$B$1:$L$257,11,FALSE))))</f>
        <v/>
      </c>
      <c r="K151" s="301" t="str">
        <f>IF(B151="","",IF(ISNA(VLOOKUP($B151,'B-1 On-Site Hedge Baseline'!$B$1:$U$257,13,FALSE)),"",(VLOOKUP($B151,'B-1 On-Site Hedge Baseline'!$B$1:$U$257,13,FALSE))))</f>
        <v/>
      </c>
      <c r="L151" s="305" t="str">
        <f>IF(B151="","",IF(ISNA(VLOOKUP($B151,'B-1 On-Site Hedge Baseline'!$B$1:$U$257,12,FALSE)),"",(VLOOKUP($B151,'B-1 On-Site Hedge Baseline'!$B$1:$U$257,12,FALSE))))</f>
        <v/>
      </c>
      <c r="M151" s="627"/>
      <c r="N151" s="281" t="str">
        <f>IFERROR(IF(B151="","",INDEX('G-6 Hedgerow Data'!$AN$3:$AZ$15,MATCH(C151,'G-6 Hedgerow Data'!$AM$3:$AM$15,0),MATCH(M151,'G-6 Hedgerow Data'!$AN$2:$AZ$2,0))),"")</f>
        <v/>
      </c>
      <c r="O151" s="282" t="str">
        <f t="shared" si="15"/>
        <v/>
      </c>
      <c r="P151" s="335" t="str">
        <f>IF(B151="","",VLOOKUP(B151,'B-1 On-Site Hedge Baseline'!$B$10:T396,16,FALSE))</f>
        <v/>
      </c>
      <c r="Q151" s="281" t="str">
        <f>IF(M151="","",VLOOKUP(M151,'G-6 Hedgerow Data'!$B$2:$AG$15,2,FALSE))</f>
        <v/>
      </c>
      <c r="R151" s="282" t="str">
        <f>IF(M151="","",VLOOKUP(M151,'G-6 Hedgerow Data'!$B$2:$AG$15,3,FALSE))</f>
        <v/>
      </c>
      <c r="S151" s="112"/>
      <c r="T151" s="320" t="str">
        <f>IFERROR(IF(S151="","",IF(AND(M151="Non-native and ornamental hedgerow", S151&lt;&gt;"Poor"),"Not possible ▲", (VLOOKUP(S151,'G-1 All Habitats'!$Z$2:$AA$9,2,FALSE)))),"")</f>
        <v/>
      </c>
      <c r="U151" s="109"/>
      <c r="V151" s="301" t="str">
        <f>IF(U151="","",IF(VLOOKUP(U151,'G-3 Multipliers'!$L$3:$N$6,2,FALSE)=0,"Spatial Data Missing ⚠",VLOOKUP(U151,'G-3 Multipliers'!$L$3:$N$6,2,FALSE)))</f>
        <v/>
      </c>
      <c r="W151" s="305" t="str">
        <f>IF(U151="","",IF(VLOOKUP(U151,'G-3 Multipliers'!$L$3:$N$6,3,FALSE)=0,"Spatial Data Missing ⚠",VLOOKUP(U151,'G-3 Multipliers'!$L$3:$N$6,3,FALSE)))</f>
        <v/>
      </c>
      <c r="X151" s="281" t="str">
        <f>IFERROR(IF(OR(LEFT(O151,5)="Error",LEFT(N151,5)="Error",T151="Error"),"Check Data ⚠",IF(F151&lt;R151,INDEX('G-6 Hedgerow Data'!$S$3:$AE$14,MATCH(C151,'G-6 Hedgerow Data'!$B$3:$B$14,0),MATCH(M151,'G-6 Hedgerow Data'!$S$2:$AE$2,0)),INDEX('G-6 Hedgerow Data'!$K$3:$Q$14,MATCH(M151,'G-6 Hedgerow Data'!$B$3:$B$14,0),MATCH(O151,'G-6 Hedgerow Data'!$K$2:$Q$2,0)))),"")</f>
        <v/>
      </c>
      <c r="Y151" s="137"/>
      <c r="Z151" s="137"/>
      <c r="AA151" s="289" t="str">
        <f t="shared" si="16"/>
        <v/>
      </c>
      <c r="AB151" s="302" t="str">
        <f t="shared" si="17"/>
        <v/>
      </c>
      <c r="AC151" s="303" t="str">
        <f t="shared" si="14"/>
        <v/>
      </c>
      <c r="AD151" s="317" t="str">
        <f>IF(M151="","",VLOOKUP(M151,'G-6 Hedgerow Data'!$B$3:$AG$15,31,FALSE))</f>
        <v/>
      </c>
      <c r="AE151" s="289" t="str">
        <f t="shared" si="18"/>
        <v/>
      </c>
      <c r="AF151" s="289" t="str">
        <f t="shared" si="19"/>
        <v/>
      </c>
      <c r="AG151" s="305" t="str">
        <f>IFERROR(IF(O151="","",VLOOKUP(AD151,'G-3 Multipliers'!$P$3:$Q$6,2,FALSE)),"")</f>
        <v/>
      </c>
      <c r="AH151" s="295" t="str">
        <f t="shared" si="20"/>
        <v/>
      </c>
      <c r="AI151" s="112"/>
      <c r="AJ151" s="119"/>
      <c r="AK151" s="108"/>
      <c r="AT151" s="30" t="str">
        <f>IFERROR(INDEX('G-6 Hedgerow Data'!$BJ$3:$BJ$15,MATCH(M151,'G-6 Hedgerow Data'!$B$3:$B$15,0)),"")</f>
        <v/>
      </c>
    </row>
    <row r="152" spans="2:46" ht="13.8" x14ac:dyDescent="0.25">
      <c r="B152" s="311" t="str">
        <f>'B-1 On-Site Hedge Baseline'!AK150</f>
        <v/>
      </c>
      <c r="C152" s="301" t="str">
        <f>IF(B152="","",IF(ISNA(VLOOKUP($B152,'B-1 On-Site Hedge Baseline'!$B$1:$L$257,3,FALSE)),"",(VLOOKUP($B152,'B-1 On-Site Hedge Baseline'!$B$1:$L$257,3,FALSE))))</f>
        <v/>
      </c>
      <c r="D152" s="301" t="str">
        <f>IF(B152="","",IF(ISNA(VLOOKUP($B152,'B-1 On-Site Hedge Baseline'!$B$1:$L$257,4,FALSE)),"",(VLOOKUP($B152,'B-1 On-Site Hedge Baseline'!$B$1:$L$257,4,FALSE))))</f>
        <v/>
      </c>
      <c r="E152" s="301" t="str">
        <f>IF(B152="","",IF(ISNA(VLOOKUP($B152,'B-1 On-Site Hedge Baseline'!$B$1:$L$257,5,FALSE)),"",(VLOOKUP($B152,'B-1 On-Site Hedge Baseline'!$B$1:$L$257,5,FALSE))))</f>
        <v/>
      </c>
      <c r="F152" s="301" t="str">
        <f>IF(B152="","",IF(ISNA(VLOOKUP($B152,'B-1 On-Site Hedge Baseline'!$B$1:$L$257,6,FALSE)),"",(VLOOKUP($B152,'B-1 On-Site Hedge Baseline'!$B$1:$L$257,6,FALSE))))</f>
        <v/>
      </c>
      <c r="G152" s="301" t="str">
        <f>IF(B152="","",IF(ISNA(VLOOKUP($B152,'B-1 On-Site Hedge Baseline'!$B$1:$L$257,7,FALSE)),"",(VLOOKUP($B152,'B-1 On-Site Hedge Baseline'!$B$1:$L$257,7,FALSE))))</f>
        <v/>
      </c>
      <c r="H152" s="301" t="str">
        <f>IF(B152="","",IF(ISNA(VLOOKUP($B152,'B-1 On-Site Hedge Baseline'!$B$1:$L$257,8,FALSE)),"",(VLOOKUP($B152,'B-1 On-Site Hedge Baseline'!$B$1:$L$257,8,FALSE))))</f>
        <v/>
      </c>
      <c r="I152" s="301" t="str">
        <f>IF(B152="","",IF(ISNA(VLOOKUP($B152,'B-1 On-Site Hedge Baseline'!$B$1:$L$257,10,FALSE)),"",(VLOOKUP($B152,'B-1 On-Site Hedge Baseline'!$B$1:$L$257,10,FALSE))))</f>
        <v/>
      </c>
      <c r="J152" s="301" t="str">
        <f>IF(B152="","",IF(ISNA(VLOOKUP($B152,'B-1 On-Site Hedge Baseline'!$B$1:$L$257,11,FALSE)),"",(VLOOKUP($B152,'B-1 On-Site Hedge Baseline'!$B$1:$L$257,11,FALSE))))</f>
        <v/>
      </c>
      <c r="K152" s="301" t="str">
        <f>IF(B152="","",IF(ISNA(VLOOKUP($B152,'B-1 On-Site Hedge Baseline'!$B$1:$U$257,13,FALSE)),"",(VLOOKUP($B152,'B-1 On-Site Hedge Baseline'!$B$1:$U$257,13,FALSE))))</f>
        <v/>
      </c>
      <c r="L152" s="305" t="str">
        <f>IF(B152="","",IF(ISNA(VLOOKUP($B152,'B-1 On-Site Hedge Baseline'!$B$1:$U$257,12,FALSE)),"",(VLOOKUP($B152,'B-1 On-Site Hedge Baseline'!$B$1:$U$257,12,FALSE))))</f>
        <v/>
      </c>
      <c r="M152" s="627"/>
      <c r="N152" s="281" t="str">
        <f>IFERROR(IF(B152="","",INDEX('G-6 Hedgerow Data'!$AN$3:$AZ$15,MATCH(C152,'G-6 Hedgerow Data'!$AM$3:$AM$15,0),MATCH(M152,'G-6 Hedgerow Data'!$AN$2:$AZ$2,0))),"")</f>
        <v/>
      </c>
      <c r="O152" s="282" t="str">
        <f t="shared" si="15"/>
        <v/>
      </c>
      <c r="P152" s="335" t="str">
        <f>IF(B152="","",VLOOKUP(B152,'B-1 On-Site Hedge Baseline'!$B$10:T397,16,FALSE))</f>
        <v/>
      </c>
      <c r="Q152" s="281" t="str">
        <f>IF(M152="","",VLOOKUP(M152,'G-6 Hedgerow Data'!$B$2:$AG$15,2,FALSE))</f>
        <v/>
      </c>
      <c r="R152" s="282" t="str">
        <f>IF(M152="","",VLOOKUP(M152,'G-6 Hedgerow Data'!$B$2:$AG$15,3,FALSE))</f>
        <v/>
      </c>
      <c r="S152" s="112"/>
      <c r="T152" s="320" t="str">
        <f>IFERROR(IF(S152="","",IF(AND(M152="Non-native and ornamental hedgerow", S152&lt;&gt;"Poor"),"Not possible ▲", (VLOOKUP(S152,'G-1 All Habitats'!$Z$2:$AA$9,2,FALSE)))),"")</f>
        <v/>
      </c>
      <c r="U152" s="109"/>
      <c r="V152" s="301" t="str">
        <f>IF(U152="","",IF(VLOOKUP(U152,'G-3 Multipliers'!$L$3:$N$6,2,FALSE)=0,"Spatial Data Missing ⚠",VLOOKUP(U152,'G-3 Multipliers'!$L$3:$N$6,2,FALSE)))</f>
        <v/>
      </c>
      <c r="W152" s="305" t="str">
        <f>IF(U152="","",IF(VLOOKUP(U152,'G-3 Multipliers'!$L$3:$N$6,3,FALSE)=0,"Spatial Data Missing ⚠",VLOOKUP(U152,'G-3 Multipliers'!$L$3:$N$6,3,FALSE)))</f>
        <v/>
      </c>
      <c r="X152" s="281" t="str">
        <f>IFERROR(IF(OR(LEFT(O152,5)="Error",LEFT(N152,5)="Error",T152="Error"),"Check Data ⚠",IF(F152&lt;R152,INDEX('G-6 Hedgerow Data'!$S$3:$AE$14,MATCH(C152,'G-6 Hedgerow Data'!$B$3:$B$14,0),MATCH(M152,'G-6 Hedgerow Data'!$S$2:$AE$2,0)),INDEX('G-6 Hedgerow Data'!$K$3:$Q$14,MATCH(M152,'G-6 Hedgerow Data'!$B$3:$B$14,0),MATCH(O152,'G-6 Hedgerow Data'!$K$2:$Q$2,0)))),"")</f>
        <v/>
      </c>
      <c r="Y152" s="137"/>
      <c r="Z152" s="137"/>
      <c r="AA152" s="289" t="str">
        <f t="shared" si="16"/>
        <v/>
      </c>
      <c r="AB152" s="302" t="str">
        <f t="shared" si="17"/>
        <v/>
      </c>
      <c r="AC152" s="303" t="str">
        <f t="shared" si="14"/>
        <v/>
      </c>
      <c r="AD152" s="317" t="str">
        <f>IF(M152="","",VLOOKUP(M152,'G-6 Hedgerow Data'!$B$3:$AG$15,31,FALSE))</f>
        <v/>
      </c>
      <c r="AE152" s="289" t="str">
        <f t="shared" si="18"/>
        <v/>
      </c>
      <c r="AF152" s="289" t="str">
        <f t="shared" si="19"/>
        <v/>
      </c>
      <c r="AG152" s="305" t="str">
        <f>IFERROR(IF(O152="","",VLOOKUP(AD152,'G-3 Multipliers'!$P$3:$Q$6,2,FALSE)),"")</f>
        <v/>
      </c>
      <c r="AH152" s="295" t="str">
        <f t="shared" si="20"/>
        <v/>
      </c>
      <c r="AI152" s="112"/>
      <c r="AJ152" s="119"/>
      <c r="AK152" s="108"/>
      <c r="AT152" s="30" t="str">
        <f>IFERROR(INDEX('G-6 Hedgerow Data'!$BJ$3:$BJ$15,MATCH(M152,'G-6 Hedgerow Data'!$B$3:$B$15,0)),"")</f>
        <v/>
      </c>
    </row>
    <row r="153" spans="2:46" ht="13.8" x14ac:dyDescent="0.25">
      <c r="B153" s="311" t="str">
        <f>'B-1 On-Site Hedge Baseline'!AK151</f>
        <v/>
      </c>
      <c r="C153" s="301" t="str">
        <f>IF(B153="","",IF(ISNA(VLOOKUP($B153,'B-1 On-Site Hedge Baseline'!$B$1:$L$257,3,FALSE)),"",(VLOOKUP($B153,'B-1 On-Site Hedge Baseline'!$B$1:$L$257,3,FALSE))))</f>
        <v/>
      </c>
      <c r="D153" s="301" t="str">
        <f>IF(B153="","",IF(ISNA(VLOOKUP($B153,'B-1 On-Site Hedge Baseline'!$B$1:$L$257,4,FALSE)),"",(VLOOKUP($B153,'B-1 On-Site Hedge Baseline'!$B$1:$L$257,4,FALSE))))</f>
        <v/>
      </c>
      <c r="E153" s="301" t="str">
        <f>IF(B153="","",IF(ISNA(VLOOKUP($B153,'B-1 On-Site Hedge Baseline'!$B$1:$L$257,5,FALSE)),"",(VLOOKUP($B153,'B-1 On-Site Hedge Baseline'!$B$1:$L$257,5,FALSE))))</f>
        <v/>
      </c>
      <c r="F153" s="301" t="str">
        <f>IF(B153="","",IF(ISNA(VLOOKUP($B153,'B-1 On-Site Hedge Baseline'!$B$1:$L$257,6,FALSE)),"",(VLOOKUP($B153,'B-1 On-Site Hedge Baseline'!$B$1:$L$257,6,FALSE))))</f>
        <v/>
      </c>
      <c r="G153" s="301" t="str">
        <f>IF(B153="","",IF(ISNA(VLOOKUP($B153,'B-1 On-Site Hedge Baseline'!$B$1:$L$257,7,FALSE)),"",(VLOOKUP($B153,'B-1 On-Site Hedge Baseline'!$B$1:$L$257,7,FALSE))))</f>
        <v/>
      </c>
      <c r="H153" s="301" t="str">
        <f>IF(B153="","",IF(ISNA(VLOOKUP($B153,'B-1 On-Site Hedge Baseline'!$B$1:$L$257,8,FALSE)),"",(VLOOKUP($B153,'B-1 On-Site Hedge Baseline'!$B$1:$L$257,8,FALSE))))</f>
        <v/>
      </c>
      <c r="I153" s="301" t="str">
        <f>IF(B153="","",IF(ISNA(VLOOKUP($B153,'B-1 On-Site Hedge Baseline'!$B$1:$L$257,10,FALSE)),"",(VLOOKUP($B153,'B-1 On-Site Hedge Baseline'!$B$1:$L$257,10,FALSE))))</f>
        <v/>
      </c>
      <c r="J153" s="301" t="str">
        <f>IF(B153="","",IF(ISNA(VLOOKUP($B153,'B-1 On-Site Hedge Baseline'!$B$1:$L$257,11,FALSE)),"",(VLOOKUP($B153,'B-1 On-Site Hedge Baseline'!$B$1:$L$257,11,FALSE))))</f>
        <v/>
      </c>
      <c r="K153" s="301" t="str">
        <f>IF(B153="","",IF(ISNA(VLOOKUP($B153,'B-1 On-Site Hedge Baseline'!$B$1:$U$257,13,FALSE)),"",(VLOOKUP($B153,'B-1 On-Site Hedge Baseline'!$B$1:$U$257,13,FALSE))))</f>
        <v/>
      </c>
      <c r="L153" s="305" t="str">
        <f>IF(B153="","",IF(ISNA(VLOOKUP($B153,'B-1 On-Site Hedge Baseline'!$B$1:$U$257,12,FALSE)),"",(VLOOKUP($B153,'B-1 On-Site Hedge Baseline'!$B$1:$U$257,12,FALSE))))</f>
        <v/>
      </c>
      <c r="M153" s="627"/>
      <c r="N153" s="281" t="str">
        <f>IFERROR(IF(B153="","",INDEX('G-6 Hedgerow Data'!$AN$3:$AZ$15,MATCH(C153,'G-6 Hedgerow Data'!$AM$3:$AM$15,0),MATCH(M153,'G-6 Hedgerow Data'!$AN$2:$AZ$2,0))),"")</f>
        <v/>
      </c>
      <c r="O153" s="282" t="str">
        <f t="shared" si="15"/>
        <v/>
      </c>
      <c r="P153" s="335" t="str">
        <f>IF(B153="","",VLOOKUP(B153,'B-1 On-Site Hedge Baseline'!$B$10:T398,16,FALSE))</f>
        <v/>
      </c>
      <c r="Q153" s="281" t="str">
        <f>IF(M153="","",VLOOKUP(M153,'G-6 Hedgerow Data'!$B$2:$AG$15,2,FALSE))</f>
        <v/>
      </c>
      <c r="R153" s="282" t="str">
        <f>IF(M153="","",VLOOKUP(M153,'G-6 Hedgerow Data'!$B$2:$AG$15,3,FALSE))</f>
        <v/>
      </c>
      <c r="S153" s="112"/>
      <c r="T153" s="320" t="str">
        <f>IFERROR(IF(S153="","",IF(AND(M153="Non-native and ornamental hedgerow", S153&lt;&gt;"Poor"),"Not possible ▲", (VLOOKUP(S153,'G-1 All Habitats'!$Z$2:$AA$9,2,FALSE)))),"")</f>
        <v/>
      </c>
      <c r="U153" s="109"/>
      <c r="V153" s="301" t="str">
        <f>IF(U153="","",IF(VLOOKUP(U153,'G-3 Multipliers'!$L$3:$N$6,2,FALSE)=0,"Spatial Data Missing ⚠",VLOOKUP(U153,'G-3 Multipliers'!$L$3:$N$6,2,FALSE)))</f>
        <v/>
      </c>
      <c r="W153" s="305" t="str">
        <f>IF(U153="","",IF(VLOOKUP(U153,'G-3 Multipliers'!$L$3:$N$6,3,FALSE)=0,"Spatial Data Missing ⚠",VLOOKUP(U153,'G-3 Multipliers'!$L$3:$N$6,3,FALSE)))</f>
        <v/>
      </c>
      <c r="X153" s="281" t="str">
        <f>IFERROR(IF(OR(LEFT(O153,5)="Error",LEFT(N153,5)="Error",T153="Error"),"Check Data ⚠",IF(F153&lt;R153,INDEX('G-6 Hedgerow Data'!$S$3:$AE$14,MATCH(C153,'G-6 Hedgerow Data'!$B$3:$B$14,0),MATCH(M153,'G-6 Hedgerow Data'!$S$2:$AE$2,0)),INDEX('G-6 Hedgerow Data'!$K$3:$Q$14,MATCH(M153,'G-6 Hedgerow Data'!$B$3:$B$14,0),MATCH(O153,'G-6 Hedgerow Data'!$K$2:$Q$2,0)))),"")</f>
        <v/>
      </c>
      <c r="Y153" s="137"/>
      <c r="Z153" s="137"/>
      <c r="AA153" s="289" t="str">
        <f t="shared" si="16"/>
        <v/>
      </c>
      <c r="AB153" s="302" t="str">
        <f t="shared" si="17"/>
        <v/>
      </c>
      <c r="AC153" s="303" t="str">
        <f t="shared" si="14"/>
        <v/>
      </c>
      <c r="AD153" s="317" t="str">
        <f>IF(M153="","",VLOOKUP(M153,'G-6 Hedgerow Data'!$B$3:$AG$15,31,FALSE))</f>
        <v/>
      </c>
      <c r="AE153" s="289" t="str">
        <f t="shared" si="18"/>
        <v/>
      </c>
      <c r="AF153" s="289" t="str">
        <f t="shared" si="19"/>
        <v/>
      </c>
      <c r="AG153" s="305" t="str">
        <f>IFERROR(IF(O153="","",VLOOKUP(AD153,'G-3 Multipliers'!$P$3:$Q$6,2,FALSE)),"")</f>
        <v/>
      </c>
      <c r="AH153" s="295" t="str">
        <f t="shared" si="20"/>
        <v/>
      </c>
      <c r="AI153" s="112"/>
      <c r="AJ153" s="119"/>
      <c r="AK153" s="108"/>
      <c r="AT153" s="30" t="str">
        <f>IFERROR(INDEX('G-6 Hedgerow Data'!$BJ$3:$BJ$15,MATCH(M153,'G-6 Hedgerow Data'!$B$3:$B$15,0)),"")</f>
        <v/>
      </c>
    </row>
    <row r="154" spans="2:46" ht="13.8" x14ac:dyDescent="0.25">
      <c r="B154" s="311" t="str">
        <f>'B-1 On-Site Hedge Baseline'!AK152</f>
        <v/>
      </c>
      <c r="C154" s="301" t="str">
        <f>IF(B154="","",IF(ISNA(VLOOKUP($B154,'B-1 On-Site Hedge Baseline'!$B$1:$L$257,3,FALSE)),"",(VLOOKUP($B154,'B-1 On-Site Hedge Baseline'!$B$1:$L$257,3,FALSE))))</f>
        <v/>
      </c>
      <c r="D154" s="301" t="str">
        <f>IF(B154="","",IF(ISNA(VLOOKUP($B154,'B-1 On-Site Hedge Baseline'!$B$1:$L$257,4,FALSE)),"",(VLOOKUP($B154,'B-1 On-Site Hedge Baseline'!$B$1:$L$257,4,FALSE))))</f>
        <v/>
      </c>
      <c r="E154" s="301" t="str">
        <f>IF(B154="","",IF(ISNA(VLOOKUP($B154,'B-1 On-Site Hedge Baseline'!$B$1:$L$257,5,FALSE)),"",(VLOOKUP($B154,'B-1 On-Site Hedge Baseline'!$B$1:$L$257,5,FALSE))))</f>
        <v/>
      </c>
      <c r="F154" s="301" t="str">
        <f>IF(B154="","",IF(ISNA(VLOOKUP($B154,'B-1 On-Site Hedge Baseline'!$B$1:$L$257,6,FALSE)),"",(VLOOKUP($B154,'B-1 On-Site Hedge Baseline'!$B$1:$L$257,6,FALSE))))</f>
        <v/>
      </c>
      <c r="G154" s="301" t="str">
        <f>IF(B154="","",IF(ISNA(VLOOKUP($B154,'B-1 On-Site Hedge Baseline'!$B$1:$L$257,7,FALSE)),"",(VLOOKUP($B154,'B-1 On-Site Hedge Baseline'!$B$1:$L$257,7,FALSE))))</f>
        <v/>
      </c>
      <c r="H154" s="301" t="str">
        <f>IF(B154="","",IF(ISNA(VLOOKUP($B154,'B-1 On-Site Hedge Baseline'!$B$1:$L$257,8,FALSE)),"",(VLOOKUP($B154,'B-1 On-Site Hedge Baseline'!$B$1:$L$257,8,FALSE))))</f>
        <v/>
      </c>
      <c r="I154" s="301" t="str">
        <f>IF(B154="","",IF(ISNA(VLOOKUP($B154,'B-1 On-Site Hedge Baseline'!$B$1:$L$257,10,FALSE)),"",(VLOOKUP($B154,'B-1 On-Site Hedge Baseline'!$B$1:$L$257,10,FALSE))))</f>
        <v/>
      </c>
      <c r="J154" s="301" t="str">
        <f>IF(B154="","",IF(ISNA(VLOOKUP($B154,'B-1 On-Site Hedge Baseline'!$B$1:$L$257,11,FALSE)),"",(VLOOKUP($B154,'B-1 On-Site Hedge Baseline'!$B$1:$L$257,11,FALSE))))</f>
        <v/>
      </c>
      <c r="K154" s="301" t="str">
        <f>IF(B154="","",IF(ISNA(VLOOKUP($B154,'B-1 On-Site Hedge Baseline'!$B$1:$U$257,13,FALSE)),"",(VLOOKUP($B154,'B-1 On-Site Hedge Baseline'!$B$1:$U$257,13,FALSE))))</f>
        <v/>
      </c>
      <c r="L154" s="305" t="str">
        <f>IF(B154="","",IF(ISNA(VLOOKUP($B154,'B-1 On-Site Hedge Baseline'!$B$1:$U$257,12,FALSE)),"",(VLOOKUP($B154,'B-1 On-Site Hedge Baseline'!$B$1:$U$257,12,FALSE))))</f>
        <v/>
      </c>
      <c r="M154" s="627"/>
      <c r="N154" s="281" t="str">
        <f>IFERROR(IF(B154="","",INDEX('G-6 Hedgerow Data'!$AN$3:$AZ$15,MATCH(C154,'G-6 Hedgerow Data'!$AM$3:$AM$15,0),MATCH(M154,'G-6 Hedgerow Data'!$AN$2:$AZ$2,0))),"")</f>
        <v/>
      </c>
      <c r="O154" s="282" t="str">
        <f t="shared" si="15"/>
        <v/>
      </c>
      <c r="P154" s="335" t="str">
        <f>IF(B154="","",VLOOKUP(B154,'B-1 On-Site Hedge Baseline'!$B$10:T399,16,FALSE))</f>
        <v/>
      </c>
      <c r="Q154" s="281" t="str">
        <f>IF(M154="","",VLOOKUP(M154,'G-6 Hedgerow Data'!$B$2:$AG$15,2,FALSE))</f>
        <v/>
      </c>
      <c r="R154" s="282" t="str">
        <f>IF(M154="","",VLOOKUP(M154,'G-6 Hedgerow Data'!$B$2:$AG$15,3,FALSE))</f>
        <v/>
      </c>
      <c r="S154" s="112"/>
      <c r="T154" s="320" t="str">
        <f>IFERROR(IF(S154="","",IF(AND(M154="Non-native and ornamental hedgerow", S154&lt;&gt;"Poor"),"Not possible ▲", (VLOOKUP(S154,'G-1 All Habitats'!$Z$2:$AA$9,2,FALSE)))),"")</f>
        <v/>
      </c>
      <c r="U154" s="109"/>
      <c r="V154" s="301" t="str">
        <f>IF(U154="","",IF(VLOOKUP(U154,'G-3 Multipliers'!$L$3:$N$6,2,FALSE)=0,"Spatial Data Missing ⚠",VLOOKUP(U154,'G-3 Multipliers'!$L$3:$N$6,2,FALSE)))</f>
        <v/>
      </c>
      <c r="W154" s="305" t="str">
        <f>IF(U154="","",IF(VLOOKUP(U154,'G-3 Multipliers'!$L$3:$N$6,3,FALSE)=0,"Spatial Data Missing ⚠",VLOOKUP(U154,'G-3 Multipliers'!$L$3:$N$6,3,FALSE)))</f>
        <v/>
      </c>
      <c r="X154" s="281" t="str">
        <f>IFERROR(IF(OR(LEFT(O154,5)="Error",LEFT(N154,5)="Error",T154="Error"),"Check Data ⚠",IF(F154&lt;R154,INDEX('G-6 Hedgerow Data'!$S$3:$AE$14,MATCH(C154,'G-6 Hedgerow Data'!$B$3:$B$14,0),MATCH(M154,'G-6 Hedgerow Data'!$S$2:$AE$2,0)),INDEX('G-6 Hedgerow Data'!$K$3:$Q$14,MATCH(M154,'G-6 Hedgerow Data'!$B$3:$B$14,0),MATCH(O154,'G-6 Hedgerow Data'!$K$2:$Q$2,0)))),"")</f>
        <v/>
      </c>
      <c r="Y154" s="137"/>
      <c r="Z154" s="137"/>
      <c r="AA154" s="289" t="str">
        <f t="shared" si="16"/>
        <v/>
      </c>
      <c r="AB154" s="302" t="str">
        <f t="shared" si="17"/>
        <v/>
      </c>
      <c r="AC154" s="303" t="str">
        <f t="shared" si="14"/>
        <v/>
      </c>
      <c r="AD154" s="317" t="str">
        <f>IF(M154="","",VLOOKUP(M154,'G-6 Hedgerow Data'!$B$3:$AG$15,31,FALSE))</f>
        <v/>
      </c>
      <c r="AE154" s="289" t="str">
        <f t="shared" si="18"/>
        <v/>
      </c>
      <c r="AF154" s="289" t="str">
        <f t="shared" si="19"/>
        <v/>
      </c>
      <c r="AG154" s="305" t="str">
        <f>IFERROR(IF(O154="","",VLOOKUP(AD154,'G-3 Multipliers'!$P$3:$Q$6,2,FALSE)),"")</f>
        <v/>
      </c>
      <c r="AH154" s="295" t="str">
        <f t="shared" si="20"/>
        <v/>
      </c>
      <c r="AI154" s="112"/>
      <c r="AJ154" s="119"/>
      <c r="AK154" s="108"/>
      <c r="AT154" s="30" t="str">
        <f>IFERROR(INDEX('G-6 Hedgerow Data'!$BJ$3:$BJ$15,MATCH(M154,'G-6 Hedgerow Data'!$B$3:$B$15,0)),"")</f>
        <v/>
      </c>
    </row>
    <row r="155" spans="2:46" ht="13.8" x14ac:dyDescent="0.25">
      <c r="B155" s="311" t="str">
        <f>'B-1 On-Site Hedge Baseline'!AK153</f>
        <v/>
      </c>
      <c r="C155" s="301" t="str">
        <f>IF(B155="","",IF(ISNA(VLOOKUP($B155,'B-1 On-Site Hedge Baseline'!$B$1:$L$257,3,FALSE)),"",(VLOOKUP($B155,'B-1 On-Site Hedge Baseline'!$B$1:$L$257,3,FALSE))))</f>
        <v/>
      </c>
      <c r="D155" s="301" t="str">
        <f>IF(B155="","",IF(ISNA(VLOOKUP($B155,'B-1 On-Site Hedge Baseline'!$B$1:$L$257,4,FALSE)),"",(VLOOKUP($B155,'B-1 On-Site Hedge Baseline'!$B$1:$L$257,4,FALSE))))</f>
        <v/>
      </c>
      <c r="E155" s="301" t="str">
        <f>IF(B155="","",IF(ISNA(VLOOKUP($B155,'B-1 On-Site Hedge Baseline'!$B$1:$L$257,5,FALSE)),"",(VLOOKUP($B155,'B-1 On-Site Hedge Baseline'!$B$1:$L$257,5,FALSE))))</f>
        <v/>
      </c>
      <c r="F155" s="301" t="str">
        <f>IF(B155="","",IF(ISNA(VLOOKUP($B155,'B-1 On-Site Hedge Baseline'!$B$1:$L$257,6,FALSE)),"",(VLOOKUP($B155,'B-1 On-Site Hedge Baseline'!$B$1:$L$257,6,FALSE))))</f>
        <v/>
      </c>
      <c r="G155" s="301" t="str">
        <f>IF(B155="","",IF(ISNA(VLOOKUP($B155,'B-1 On-Site Hedge Baseline'!$B$1:$L$257,7,FALSE)),"",(VLOOKUP($B155,'B-1 On-Site Hedge Baseline'!$B$1:$L$257,7,FALSE))))</f>
        <v/>
      </c>
      <c r="H155" s="301" t="str">
        <f>IF(B155="","",IF(ISNA(VLOOKUP($B155,'B-1 On-Site Hedge Baseline'!$B$1:$L$257,8,FALSE)),"",(VLOOKUP($B155,'B-1 On-Site Hedge Baseline'!$B$1:$L$257,8,FALSE))))</f>
        <v/>
      </c>
      <c r="I155" s="301" t="str">
        <f>IF(B155="","",IF(ISNA(VLOOKUP($B155,'B-1 On-Site Hedge Baseline'!$B$1:$L$257,10,FALSE)),"",(VLOOKUP($B155,'B-1 On-Site Hedge Baseline'!$B$1:$L$257,10,FALSE))))</f>
        <v/>
      </c>
      <c r="J155" s="301" t="str">
        <f>IF(B155="","",IF(ISNA(VLOOKUP($B155,'B-1 On-Site Hedge Baseline'!$B$1:$L$257,11,FALSE)),"",(VLOOKUP($B155,'B-1 On-Site Hedge Baseline'!$B$1:$L$257,11,FALSE))))</f>
        <v/>
      </c>
      <c r="K155" s="301" t="str">
        <f>IF(B155="","",IF(ISNA(VLOOKUP($B155,'B-1 On-Site Hedge Baseline'!$B$1:$U$257,13,FALSE)),"",(VLOOKUP($B155,'B-1 On-Site Hedge Baseline'!$B$1:$U$257,13,FALSE))))</f>
        <v/>
      </c>
      <c r="L155" s="305" t="str">
        <f>IF(B155="","",IF(ISNA(VLOOKUP($B155,'B-1 On-Site Hedge Baseline'!$B$1:$U$257,12,FALSE)),"",(VLOOKUP($B155,'B-1 On-Site Hedge Baseline'!$B$1:$U$257,12,FALSE))))</f>
        <v/>
      </c>
      <c r="M155" s="627"/>
      <c r="N155" s="281" t="str">
        <f>IFERROR(IF(B155="","",INDEX('G-6 Hedgerow Data'!$AN$3:$AZ$15,MATCH(C155,'G-6 Hedgerow Data'!$AM$3:$AM$15,0),MATCH(M155,'G-6 Hedgerow Data'!$AN$2:$AZ$2,0))),"")</f>
        <v/>
      </c>
      <c r="O155" s="282" t="str">
        <f t="shared" si="15"/>
        <v/>
      </c>
      <c r="P155" s="335" t="str">
        <f>IF(B155="","",VLOOKUP(B155,'B-1 On-Site Hedge Baseline'!$B$10:T400,16,FALSE))</f>
        <v/>
      </c>
      <c r="Q155" s="281" t="str">
        <f>IF(M155="","",VLOOKUP(M155,'G-6 Hedgerow Data'!$B$2:$AG$15,2,FALSE))</f>
        <v/>
      </c>
      <c r="R155" s="282" t="str">
        <f>IF(M155="","",VLOOKUP(M155,'G-6 Hedgerow Data'!$B$2:$AG$15,3,FALSE))</f>
        <v/>
      </c>
      <c r="S155" s="112"/>
      <c r="T155" s="320" t="str">
        <f>IFERROR(IF(S155="","",IF(AND(M155="Non-native and ornamental hedgerow", S155&lt;&gt;"Poor"),"Not possible ▲", (VLOOKUP(S155,'G-1 All Habitats'!$Z$2:$AA$9,2,FALSE)))),"")</f>
        <v/>
      </c>
      <c r="U155" s="109"/>
      <c r="V155" s="301" t="str">
        <f>IF(U155="","",IF(VLOOKUP(U155,'G-3 Multipliers'!$L$3:$N$6,2,FALSE)=0,"Spatial Data Missing ⚠",VLOOKUP(U155,'G-3 Multipliers'!$L$3:$N$6,2,FALSE)))</f>
        <v/>
      </c>
      <c r="W155" s="305" t="str">
        <f>IF(U155="","",IF(VLOOKUP(U155,'G-3 Multipliers'!$L$3:$N$6,3,FALSE)=0,"Spatial Data Missing ⚠",VLOOKUP(U155,'G-3 Multipliers'!$L$3:$N$6,3,FALSE)))</f>
        <v/>
      </c>
      <c r="X155" s="281" t="str">
        <f>IFERROR(IF(OR(LEFT(O155,5)="Error",LEFT(N155,5)="Error",T155="Error"),"Check Data ⚠",IF(F155&lt;R155,INDEX('G-6 Hedgerow Data'!$S$3:$AE$14,MATCH(C155,'G-6 Hedgerow Data'!$B$3:$B$14,0),MATCH(M155,'G-6 Hedgerow Data'!$S$2:$AE$2,0)),INDEX('G-6 Hedgerow Data'!$K$3:$Q$14,MATCH(M155,'G-6 Hedgerow Data'!$B$3:$B$14,0),MATCH(O155,'G-6 Hedgerow Data'!$K$2:$Q$2,0)))),"")</f>
        <v/>
      </c>
      <c r="Y155" s="137"/>
      <c r="Z155" s="137"/>
      <c r="AA155" s="289" t="str">
        <f t="shared" si="16"/>
        <v/>
      </c>
      <c r="AB155" s="302" t="str">
        <f t="shared" si="17"/>
        <v/>
      </c>
      <c r="AC155" s="303" t="str">
        <f t="shared" si="14"/>
        <v/>
      </c>
      <c r="AD155" s="317" t="str">
        <f>IF(M155="","",VLOOKUP(M155,'G-6 Hedgerow Data'!$B$3:$AG$15,31,FALSE))</f>
        <v/>
      </c>
      <c r="AE155" s="289" t="str">
        <f t="shared" si="18"/>
        <v/>
      </c>
      <c r="AF155" s="289" t="str">
        <f t="shared" si="19"/>
        <v/>
      </c>
      <c r="AG155" s="305" t="str">
        <f>IFERROR(IF(O155="","",VLOOKUP(AD155,'G-3 Multipliers'!$P$3:$Q$6,2,FALSE)),"")</f>
        <v/>
      </c>
      <c r="AH155" s="295" t="str">
        <f t="shared" si="20"/>
        <v/>
      </c>
      <c r="AI155" s="112"/>
      <c r="AJ155" s="119"/>
      <c r="AK155" s="108"/>
      <c r="AT155" s="30" t="str">
        <f>IFERROR(INDEX('G-6 Hedgerow Data'!$BJ$3:$BJ$15,MATCH(M155,'G-6 Hedgerow Data'!$B$3:$B$15,0)),"")</f>
        <v/>
      </c>
    </row>
    <row r="156" spans="2:46" ht="13.8" x14ac:dyDescent="0.25">
      <c r="B156" s="311" t="str">
        <f>'B-1 On-Site Hedge Baseline'!AK154</f>
        <v/>
      </c>
      <c r="C156" s="301" t="str">
        <f>IF(B156="","",IF(ISNA(VLOOKUP($B156,'B-1 On-Site Hedge Baseline'!$B$1:$L$257,3,FALSE)),"",(VLOOKUP($B156,'B-1 On-Site Hedge Baseline'!$B$1:$L$257,3,FALSE))))</f>
        <v/>
      </c>
      <c r="D156" s="301" t="str">
        <f>IF(B156="","",IF(ISNA(VLOOKUP($B156,'B-1 On-Site Hedge Baseline'!$B$1:$L$257,4,FALSE)),"",(VLOOKUP($B156,'B-1 On-Site Hedge Baseline'!$B$1:$L$257,4,FALSE))))</f>
        <v/>
      </c>
      <c r="E156" s="301" t="str">
        <f>IF(B156="","",IF(ISNA(VLOOKUP($B156,'B-1 On-Site Hedge Baseline'!$B$1:$L$257,5,FALSE)),"",(VLOOKUP($B156,'B-1 On-Site Hedge Baseline'!$B$1:$L$257,5,FALSE))))</f>
        <v/>
      </c>
      <c r="F156" s="301" t="str">
        <f>IF(B156="","",IF(ISNA(VLOOKUP($B156,'B-1 On-Site Hedge Baseline'!$B$1:$L$257,6,FALSE)),"",(VLOOKUP($B156,'B-1 On-Site Hedge Baseline'!$B$1:$L$257,6,FALSE))))</f>
        <v/>
      </c>
      <c r="G156" s="301" t="str">
        <f>IF(B156="","",IF(ISNA(VLOOKUP($B156,'B-1 On-Site Hedge Baseline'!$B$1:$L$257,7,FALSE)),"",(VLOOKUP($B156,'B-1 On-Site Hedge Baseline'!$B$1:$L$257,7,FALSE))))</f>
        <v/>
      </c>
      <c r="H156" s="301" t="str">
        <f>IF(B156="","",IF(ISNA(VLOOKUP($B156,'B-1 On-Site Hedge Baseline'!$B$1:$L$257,8,FALSE)),"",(VLOOKUP($B156,'B-1 On-Site Hedge Baseline'!$B$1:$L$257,8,FALSE))))</f>
        <v/>
      </c>
      <c r="I156" s="301" t="str">
        <f>IF(B156="","",IF(ISNA(VLOOKUP($B156,'B-1 On-Site Hedge Baseline'!$B$1:$L$257,10,FALSE)),"",(VLOOKUP($B156,'B-1 On-Site Hedge Baseline'!$B$1:$L$257,10,FALSE))))</f>
        <v/>
      </c>
      <c r="J156" s="301" t="str">
        <f>IF(B156="","",IF(ISNA(VLOOKUP($B156,'B-1 On-Site Hedge Baseline'!$B$1:$L$257,11,FALSE)),"",(VLOOKUP($B156,'B-1 On-Site Hedge Baseline'!$B$1:$L$257,11,FALSE))))</f>
        <v/>
      </c>
      <c r="K156" s="301" t="str">
        <f>IF(B156="","",IF(ISNA(VLOOKUP($B156,'B-1 On-Site Hedge Baseline'!$B$1:$U$257,13,FALSE)),"",(VLOOKUP($B156,'B-1 On-Site Hedge Baseline'!$B$1:$U$257,13,FALSE))))</f>
        <v/>
      </c>
      <c r="L156" s="305" t="str">
        <f>IF(B156="","",IF(ISNA(VLOOKUP($B156,'B-1 On-Site Hedge Baseline'!$B$1:$U$257,12,FALSE)),"",(VLOOKUP($B156,'B-1 On-Site Hedge Baseline'!$B$1:$U$257,12,FALSE))))</f>
        <v/>
      </c>
      <c r="M156" s="627"/>
      <c r="N156" s="281" t="str">
        <f>IFERROR(IF(B156="","",INDEX('G-6 Hedgerow Data'!$AN$3:$AZ$15,MATCH(C156,'G-6 Hedgerow Data'!$AM$3:$AM$15,0),MATCH(M156,'G-6 Hedgerow Data'!$AN$2:$AZ$2,0))),"")</f>
        <v/>
      </c>
      <c r="O156" s="282" t="str">
        <f t="shared" si="15"/>
        <v/>
      </c>
      <c r="P156" s="335" t="str">
        <f>IF(B156="","",VLOOKUP(B156,'B-1 On-Site Hedge Baseline'!$B$10:T401,16,FALSE))</f>
        <v/>
      </c>
      <c r="Q156" s="281" t="str">
        <f>IF(M156="","",VLOOKUP(M156,'G-6 Hedgerow Data'!$B$2:$AG$15,2,FALSE))</f>
        <v/>
      </c>
      <c r="R156" s="282" t="str">
        <f>IF(M156="","",VLOOKUP(M156,'G-6 Hedgerow Data'!$B$2:$AG$15,3,FALSE))</f>
        <v/>
      </c>
      <c r="S156" s="112"/>
      <c r="T156" s="320" t="str">
        <f>IFERROR(IF(S156="","",IF(AND(M156="Non-native and ornamental hedgerow", S156&lt;&gt;"Poor"),"Not possible ▲", (VLOOKUP(S156,'G-1 All Habitats'!$Z$2:$AA$9,2,FALSE)))),"")</f>
        <v/>
      </c>
      <c r="U156" s="109"/>
      <c r="V156" s="301" t="str">
        <f>IF(U156="","",IF(VLOOKUP(U156,'G-3 Multipliers'!$L$3:$N$6,2,FALSE)=0,"Spatial Data Missing ⚠",VLOOKUP(U156,'G-3 Multipliers'!$L$3:$N$6,2,FALSE)))</f>
        <v/>
      </c>
      <c r="W156" s="305" t="str">
        <f>IF(U156="","",IF(VLOOKUP(U156,'G-3 Multipliers'!$L$3:$N$6,3,FALSE)=0,"Spatial Data Missing ⚠",VLOOKUP(U156,'G-3 Multipliers'!$L$3:$N$6,3,FALSE)))</f>
        <v/>
      </c>
      <c r="X156" s="281" t="str">
        <f>IFERROR(IF(OR(LEFT(O156,5)="Error",LEFT(N156,5)="Error",T156="Error"),"Check Data ⚠",IF(F156&lt;R156,INDEX('G-6 Hedgerow Data'!$S$3:$AE$14,MATCH(C156,'G-6 Hedgerow Data'!$B$3:$B$14,0),MATCH(M156,'G-6 Hedgerow Data'!$S$2:$AE$2,0)),INDEX('G-6 Hedgerow Data'!$K$3:$Q$14,MATCH(M156,'G-6 Hedgerow Data'!$B$3:$B$14,0),MATCH(O156,'G-6 Hedgerow Data'!$K$2:$Q$2,0)))),"")</f>
        <v/>
      </c>
      <c r="Y156" s="137"/>
      <c r="Z156" s="137"/>
      <c r="AA156" s="289" t="str">
        <f t="shared" si="16"/>
        <v/>
      </c>
      <c r="AB156" s="302" t="str">
        <f t="shared" si="17"/>
        <v/>
      </c>
      <c r="AC156" s="303" t="str">
        <f t="shared" si="14"/>
        <v/>
      </c>
      <c r="AD156" s="317" t="str">
        <f>IF(M156="","",VLOOKUP(M156,'G-6 Hedgerow Data'!$B$3:$AG$15,31,FALSE))</f>
        <v/>
      </c>
      <c r="AE156" s="289" t="str">
        <f t="shared" si="18"/>
        <v/>
      </c>
      <c r="AF156" s="289" t="str">
        <f t="shared" si="19"/>
        <v/>
      </c>
      <c r="AG156" s="305" t="str">
        <f>IFERROR(IF(O156="","",VLOOKUP(AD156,'G-3 Multipliers'!$P$3:$Q$6,2,FALSE)),"")</f>
        <v/>
      </c>
      <c r="AH156" s="295" t="str">
        <f t="shared" si="20"/>
        <v/>
      </c>
      <c r="AI156" s="112"/>
      <c r="AJ156" s="119"/>
      <c r="AK156" s="108"/>
      <c r="AT156" s="30" t="str">
        <f>IFERROR(INDEX('G-6 Hedgerow Data'!$BJ$3:$BJ$15,MATCH(M156,'G-6 Hedgerow Data'!$B$3:$B$15,0)),"")</f>
        <v/>
      </c>
    </row>
    <row r="157" spans="2:46" ht="13.8" x14ac:dyDescent="0.25">
      <c r="B157" s="311" t="str">
        <f>'B-1 On-Site Hedge Baseline'!AK155</f>
        <v/>
      </c>
      <c r="C157" s="301" t="str">
        <f>IF(B157="","",IF(ISNA(VLOOKUP($B157,'B-1 On-Site Hedge Baseline'!$B$1:$L$257,3,FALSE)),"",(VLOOKUP($B157,'B-1 On-Site Hedge Baseline'!$B$1:$L$257,3,FALSE))))</f>
        <v/>
      </c>
      <c r="D157" s="301" t="str">
        <f>IF(B157="","",IF(ISNA(VLOOKUP($B157,'B-1 On-Site Hedge Baseline'!$B$1:$L$257,4,FALSE)),"",(VLOOKUP($B157,'B-1 On-Site Hedge Baseline'!$B$1:$L$257,4,FALSE))))</f>
        <v/>
      </c>
      <c r="E157" s="301" t="str">
        <f>IF(B157="","",IF(ISNA(VLOOKUP($B157,'B-1 On-Site Hedge Baseline'!$B$1:$L$257,5,FALSE)),"",(VLOOKUP($B157,'B-1 On-Site Hedge Baseline'!$B$1:$L$257,5,FALSE))))</f>
        <v/>
      </c>
      <c r="F157" s="301" t="str">
        <f>IF(B157="","",IF(ISNA(VLOOKUP($B157,'B-1 On-Site Hedge Baseline'!$B$1:$L$257,6,FALSE)),"",(VLOOKUP($B157,'B-1 On-Site Hedge Baseline'!$B$1:$L$257,6,FALSE))))</f>
        <v/>
      </c>
      <c r="G157" s="301" t="str">
        <f>IF(B157="","",IF(ISNA(VLOOKUP($B157,'B-1 On-Site Hedge Baseline'!$B$1:$L$257,7,FALSE)),"",(VLOOKUP($B157,'B-1 On-Site Hedge Baseline'!$B$1:$L$257,7,FALSE))))</f>
        <v/>
      </c>
      <c r="H157" s="301" t="str">
        <f>IF(B157="","",IF(ISNA(VLOOKUP($B157,'B-1 On-Site Hedge Baseline'!$B$1:$L$257,8,FALSE)),"",(VLOOKUP($B157,'B-1 On-Site Hedge Baseline'!$B$1:$L$257,8,FALSE))))</f>
        <v/>
      </c>
      <c r="I157" s="301" t="str">
        <f>IF(B157="","",IF(ISNA(VLOOKUP($B157,'B-1 On-Site Hedge Baseline'!$B$1:$L$257,10,FALSE)),"",(VLOOKUP($B157,'B-1 On-Site Hedge Baseline'!$B$1:$L$257,10,FALSE))))</f>
        <v/>
      </c>
      <c r="J157" s="301" t="str">
        <f>IF(B157="","",IF(ISNA(VLOOKUP($B157,'B-1 On-Site Hedge Baseline'!$B$1:$L$257,11,FALSE)),"",(VLOOKUP($B157,'B-1 On-Site Hedge Baseline'!$B$1:$L$257,11,FALSE))))</f>
        <v/>
      </c>
      <c r="K157" s="301" t="str">
        <f>IF(B157="","",IF(ISNA(VLOOKUP($B157,'B-1 On-Site Hedge Baseline'!$B$1:$U$257,13,FALSE)),"",(VLOOKUP($B157,'B-1 On-Site Hedge Baseline'!$B$1:$U$257,13,FALSE))))</f>
        <v/>
      </c>
      <c r="L157" s="305" t="str">
        <f>IF(B157="","",IF(ISNA(VLOOKUP($B157,'B-1 On-Site Hedge Baseline'!$B$1:$U$257,12,FALSE)),"",(VLOOKUP($B157,'B-1 On-Site Hedge Baseline'!$B$1:$U$257,12,FALSE))))</f>
        <v/>
      </c>
      <c r="M157" s="627"/>
      <c r="N157" s="281" t="str">
        <f>IFERROR(IF(B157="","",INDEX('G-6 Hedgerow Data'!$AN$3:$AZ$15,MATCH(C157,'G-6 Hedgerow Data'!$AM$3:$AM$15,0),MATCH(M157,'G-6 Hedgerow Data'!$AN$2:$AZ$2,0))),"")</f>
        <v/>
      </c>
      <c r="O157" s="282" t="str">
        <f t="shared" si="15"/>
        <v/>
      </c>
      <c r="P157" s="335" t="str">
        <f>IF(B157="","",VLOOKUP(B157,'B-1 On-Site Hedge Baseline'!$B$10:T402,16,FALSE))</f>
        <v/>
      </c>
      <c r="Q157" s="281" t="str">
        <f>IF(M157="","",VLOOKUP(M157,'G-6 Hedgerow Data'!$B$2:$AG$15,2,FALSE))</f>
        <v/>
      </c>
      <c r="R157" s="282" t="str">
        <f>IF(M157="","",VLOOKUP(M157,'G-6 Hedgerow Data'!$B$2:$AG$15,3,FALSE))</f>
        <v/>
      </c>
      <c r="S157" s="112"/>
      <c r="T157" s="320" t="str">
        <f>IFERROR(IF(S157="","",IF(AND(M157="Non-native and ornamental hedgerow", S157&lt;&gt;"Poor"),"Not possible ▲", (VLOOKUP(S157,'G-1 All Habitats'!$Z$2:$AA$9,2,FALSE)))),"")</f>
        <v/>
      </c>
      <c r="U157" s="109"/>
      <c r="V157" s="301" t="str">
        <f>IF(U157="","",IF(VLOOKUP(U157,'G-3 Multipliers'!$L$3:$N$6,2,FALSE)=0,"Spatial Data Missing ⚠",VLOOKUP(U157,'G-3 Multipliers'!$L$3:$N$6,2,FALSE)))</f>
        <v/>
      </c>
      <c r="W157" s="305" t="str">
        <f>IF(U157="","",IF(VLOOKUP(U157,'G-3 Multipliers'!$L$3:$N$6,3,FALSE)=0,"Spatial Data Missing ⚠",VLOOKUP(U157,'G-3 Multipliers'!$L$3:$N$6,3,FALSE)))</f>
        <v/>
      </c>
      <c r="X157" s="281" t="str">
        <f>IFERROR(IF(OR(LEFT(O157,5)="Error",LEFT(N157,5)="Error",T157="Error"),"Check Data ⚠",IF(F157&lt;R157,INDEX('G-6 Hedgerow Data'!$S$3:$AE$14,MATCH(C157,'G-6 Hedgerow Data'!$B$3:$B$14,0),MATCH(M157,'G-6 Hedgerow Data'!$S$2:$AE$2,0)),INDEX('G-6 Hedgerow Data'!$K$3:$Q$14,MATCH(M157,'G-6 Hedgerow Data'!$B$3:$B$14,0),MATCH(O157,'G-6 Hedgerow Data'!$K$2:$Q$2,0)))),"")</f>
        <v/>
      </c>
      <c r="Y157" s="137"/>
      <c r="Z157" s="137"/>
      <c r="AA157" s="289" t="str">
        <f t="shared" si="16"/>
        <v/>
      </c>
      <c r="AB157" s="302" t="str">
        <f t="shared" si="17"/>
        <v/>
      </c>
      <c r="AC157" s="303" t="str">
        <f t="shared" si="14"/>
        <v/>
      </c>
      <c r="AD157" s="317" t="str">
        <f>IF(M157="","",VLOOKUP(M157,'G-6 Hedgerow Data'!$B$3:$AG$15,31,FALSE))</f>
        <v/>
      </c>
      <c r="AE157" s="289" t="str">
        <f t="shared" si="18"/>
        <v/>
      </c>
      <c r="AF157" s="289" t="str">
        <f t="shared" si="19"/>
        <v/>
      </c>
      <c r="AG157" s="305" t="str">
        <f>IFERROR(IF(O157="","",VLOOKUP(AD157,'G-3 Multipliers'!$P$3:$Q$6,2,FALSE)),"")</f>
        <v/>
      </c>
      <c r="AH157" s="295" t="str">
        <f t="shared" si="20"/>
        <v/>
      </c>
      <c r="AI157" s="112"/>
      <c r="AJ157" s="119"/>
      <c r="AK157" s="108"/>
      <c r="AT157" s="30" t="str">
        <f>IFERROR(INDEX('G-6 Hedgerow Data'!$BJ$3:$BJ$15,MATCH(M157,'G-6 Hedgerow Data'!$B$3:$B$15,0)),"")</f>
        <v/>
      </c>
    </row>
    <row r="158" spans="2:46" ht="13.8" x14ac:dyDescent="0.25">
      <c r="B158" s="311" t="str">
        <f>'B-1 On-Site Hedge Baseline'!AK156</f>
        <v/>
      </c>
      <c r="C158" s="301" t="str">
        <f>IF(B158="","",IF(ISNA(VLOOKUP($B158,'B-1 On-Site Hedge Baseline'!$B$1:$L$257,3,FALSE)),"",(VLOOKUP($B158,'B-1 On-Site Hedge Baseline'!$B$1:$L$257,3,FALSE))))</f>
        <v/>
      </c>
      <c r="D158" s="301" t="str">
        <f>IF(B158="","",IF(ISNA(VLOOKUP($B158,'B-1 On-Site Hedge Baseline'!$B$1:$L$257,4,FALSE)),"",(VLOOKUP($B158,'B-1 On-Site Hedge Baseline'!$B$1:$L$257,4,FALSE))))</f>
        <v/>
      </c>
      <c r="E158" s="301" t="str">
        <f>IF(B158="","",IF(ISNA(VLOOKUP($B158,'B-1 On-Site Hedge Baseline'!$B$1:$L$257,5,FALSE)),"",(VLOOKUP($B158,'B-1 On-Site Hedge Baseline'!$B$1:$L$257,5,FALSE))))</f>
        <v/>
      </c>
      <c r="F158" s="301" t="str">
        <f>IF(B158="","",IF(ISNA(VLOOKUP($B158,'B-1 On-Site Hedge Baseline'!$B$1:$L$257,6,FALSE)),"",(VLOOKUP($B158,'B-1 On-Site Hedge Baseline'!$B$1:$L$257,6,FALSE))))</f>
        <v/>
      </c>
      <c r="G158" s="301" t="str">
        <f>IF(B158="","",IF(ISNA(VLOOKUP($B158,'B-1 On-Site Hedge Baseline'!$B$1:$L$257,7,FALSE)),"",(VLOOKUP($B158,'B-1 On-Site Hedge Baseline'!$B$1:$L$257,7,FALSE))))</f>
        <v/>
      </c>
      <c r="H158" s="301" t="str">
        <f>IF(B158="","",IF(ISNA(VLOOKUP($B158,'B-1 On-Site Hedge Baseline'!$B$1:$L$257,8,FALSE)),"",(VLOOKUP($B158,'B-1 On-Site Hedge Baseline'!$B$1:$L$257,8,FALSE))))</f>
        <v/>
      </c>
      <c r="I158" s="301" t="str">
        <f>IF(B158="","",IF(ISNA(VLOOKUP($B158,'B-1 On-Site Hedge Baseline'!$B$1:$L$257,10,FALSE)),"",(VLOOKUP($B158,'B-1 On-Site Hedge Baseline'!$B$1:$L$257,10,FALSE))))</f>
        <v/>
      </c>
      <c r="J158" s="301" t="str">
        <f>IF(B158="","",IF(ISNA(VLOOKUP($B158,'B-1 On-Site Hedge Baseline'!$B$1:$L$257,11,FALSE)),"",(VLOOKUP($B158,'B-1 On-Site Hedge Baseline'!$B$1:$L$257,11,FALSE))))</f>
        <v/>
      </c>
      <c r="K158" s="301" t="str">
        <f>IF(B158="","",IF(ISNA(VLOOKUP($B158,'B-1 On-Site Hedge Baseline'!$B$1:$U$257,13,FALSE)),"",(VLOOKUP($B158,'B-1 On-Site Hedge Baseline'!$B$1:$U$257,13,FALSE))))</f>
        <v/>
      </c>
      <c r="L158" s="305" t="str">
        <f>IF(B158="","",IF(ISNA(VLOOKUP($B158,'B-1 On-Site Hedge Baseline'!$B$1:$U$257,12,FALSE)),"",(VLOOKUP($B158,'B-1 On-Site Hedge Baseline'!$B$1:$U$257,12,FALSE))))</f>
        <v/>
      </c>
      <c r="M158" s="627"/>
      <c r="N158" s="281" t="str">
        <f>IFERROR(IF(B158="","",INDEX('G-6 Hedgerow Data'!$AN$3:$AZ$15,MATCH(C158,'G-6 Hedgerow Data'!$AM$3:$AM$15,0),MATCH(M158,'G-6 Hedgerow Data'!$AN$2:$AZ$2,0))),"")</f>
        <v/>
      </c>
      <c r="O158" s="282" t="str">
        <f t="shared" si="15"/>
        <v/>
      </c>
      <c r="P158" s="335" t="str">
        <f>IF(B158="","",VLOOKUP(B158,'B-1 On-Site Hedge Baseline'!$B$10:T403,16,FALSE))</f>
        <v/>
      </c>
      <c r="Q158" s="281" t="str">
        <f>IF(M158="","",VLOOKUP(M158,'G-6 Hedgerow Data'!$B$2:$AG$15,2,FALSE))</f>
        <v/>
      </c>
      <c r="R158" s="282" t="str">
        <f>IF(M158="","",VLOOKUP(M158,'G-6 Hedgerow Data'!$B$2:$AG$15,3,FALSE))</f>
        <v/>
      </c>
      <c r="S158" s="112"/>
      <c r="T158" s="320" t="str">
        <f>IFERROR(IF(S158="","",IF(AND(M158="Non-native and ornamental hedgerow", S158&lt;&gt;"Poor"),"Not possible ▲", (VLOOKUP(S158,'G-1 All Habitats'!$Z$2:$AA$9,2,FALSE)))),"")</f>
        <v/>
      </c>
      <c r="U158" s="109"/>
      <c r="V158" s="301" t="str">
        <f>IF(U158="","",IF(VLOOKUP(U158,'G-3 Multipliers'!$L$3:$N$6,2,FALSE)=0,"Spatial Data Missing ⚠",VLOOKUP(U158,'G-3 Multipliers'!$L$3:$N$6,2,FALSE)))</f>
        <v/>
      </c>
      <c r="W158" s="305" t="str">
        <f>IF(U158="","",IF(VLOOKUP(U158,'G-3 Multipliers'!$L$3:$N$6,3,FALSE)=0,"Spatial Data Missing ⚠",VLOOKUP(U158,'G-3 Multipliers'!$L$3:$N$6,3,FALSE)))</f>
        <v/>
      </c>
      <c r="X158" s="281" t="str">
        <f>IFERROR(IF(OR(LEFT(O158,5)="Error",LEFT(N158,5)="Error",T158="Error"),"Check Data ⚠",IF(F158&lt;R158,INDEX('G-6 Hedgerow Data'!$S$3:$AE$14,MATCH(C158,'G-6 Hedgerow Data'!$B$3:$B$14,0),MATCH(M158,'G-6 Hedgerow Data'!$S$2:$AE$2,0)),INDEX('G-6 Hedgerow Data'!$K$3:$Q$14,MATCH(M158,'G-6 Hedgerow Data'!$B$3:$B$14,0),MATCH(O158,'G-6 Hedgerow Data'!$K$2:$Q$2,0)))),"")</f>
        <v/>
      </c>
      <c r="Y158" s="137"/>
      <c r="Z158" s="137"/>
      <c r="AA158" s="289" t="str">
        <f t="shared" si="16"/>
        <v/>
      </c>
      <c r="AB158" s="302" t="str">
        <f t="shared" si="17"/>
        <v/>
      </c>
      <c r="AC158" s="303" t="str">
        <f t="shared" si="14"/>
        <v/>
      </c>
      <c r="AD158" s="317" t="str">
        <f>IF(M158="","",VLOOKUP(M158,'G-6 Hedgerow Data'!$B$3:$AG$15,31,FALSE))</f>
        <v/>
      </c>
      <c r="AE158" s="289" t="str">
        <f t="shared" si="18"/>
        <v/>
      </c>
      <c r="AF158" s="289" t="str">
        <f t="shared" si="19"/>
        <v/>
      </c>
      <c r="AG158" s="305" t="str">
        <f>IFERROR(IF(O158="","",VLOOKUP(AD158,'G-3 Multipliers'!$P$3:$Q$6,2,FALSE)),"")</f>
        <v/>
      </c>
      <c r="AH158" s="295" t="str">
        <f t="shared" si="20"/>
        <v/>
      </c>
      <c r="AI158" s="112"/>
      <c r="AJ158" s="119"/>
      <c r="AK158" s="108"/>
      <c r="AT158" s="30" t="str">
        <f>IFERROR(INDEX('G-6 Hedgerow Data'!$BJ$3:$BJ$15,MATCH(M158,'G-6 Hedgerow Data'!$B$3:$B$15,0)),"")</f>
        <v/>
      </c>
    </row>
    <row r="159" spans="2:46" ht="13.8" x14ac:dyDescent="0.25">
      <c r="B159" s="311" t="str">
        <f>'B-1 On-Site Hedge Baseline'!AK157</f>
        <v/>
      </c>
      <c r="C159" s="301" t="str">
        <f>IF(B159="","",IF(ISNA(VLOOKUP($B159,'B-1 On-Site Hedge Baseline'!$B$1:$L$257,3,FALSE)),"",(VLOOKUP($B159,'B-1 On-Site Hedge Baseline'!$B$1:$L$257,3,FALSE))))</f>
        <v/>
      </c>
      <c r="D159" s="301" t="str">
        <f>IF(B159="","",IF(ISNA(VLOOKUP($B159,'B-1 On-Site Hedge Baseline'!$B$1:$L$257,4,FALSE)),"",(VLOOKUP($B159,'B-1 On-Site Hedge Baseline'!$B$1:$L$257,4,FALSE))))</f>
        <v/>
      </c>
      <c r="E159" s="301" t="str">
        <f>IF(B159="","",IF(ISNA(VLOOKUP($B159,'B-1 On-Site Hedge Baseline'!$B$1:$L$257,5,FALSE)),"",(VLOOKUP($B159,'B-1 On-Site Hedge Baseline'!$B$1:$L$257,5,FALSE))))</f>
        <v/>
      </c>
      <c r="F159" s="301" t="str">
        <f>IF(B159="","",IF(ISNA(VLOOKUP($B159,'B-1 On-Site Hedge Baseline'!$B$1:$L$257,6,FALSE)),"",(VLOOKUP($B159,'B-1 On-Site Hedge Baseline'!$B$1:$L$257,6,FALSE))))</f>
        <v/>
      </c>
      <c r="G159" s="301" t="str">
        <f>IF(B159="","",IF(ISNA(VLOOKUP($B159,'B-1 On-Site Hedge Baseline'!$B$1:$L$257,7,FALSE)),"",(VLOOKUP($B159,'B-1 On-Site Hedge Baseline'!$B$1:$L$257,7,FALSE))))</f>
        <v/>
      </c>
      <c r="H159" s="301" t="str">
        <f>IF(B159="","",IF(ISNA(VLOOKUP($B159,'B-1 On-Site Hedge Baseline'!$B$1:$L$257,8,FALSE)),"",(VLOOKUP($B159,'B-1 On-Site Hedge Baseline'!$B$1:$L$257,8,FALSE))))</f>
        <v/>
      </c>
      <c r="I159" s="301" t="str">
        <f>IF(B159="","",IF(ISNA(VLOOKUP($B159,'B-1 On-Site Hedge Baseline'!$B$1:$L$257,10,FALSE)),"",(VLOOKUP($B159,'B-1 On-Site Hedge Baseline'!$B$1:$L$257,10,FALSE))))</f>
        <v/>
      </c>
      <c r="J159" s="301" t="str">
        <f>IF(B159="","",IF(ISNA(VLOOKUP($B159,'B-1 On-Site Hedge Baseline'!$B$1:$L$257,11,FALSE)),"",(VLOOKUP($B159,'B-1 On-Site Hedge Baseline'!$B$1:$L$257,11,FALSE))))</f>
        <v/>
      </c>
      <c r="K159" s="301" t="str">
        <f>IF(B159="","",IF(ISNA(VLOOKUP($B159,'B-1 On-Site Hedge Baseline'!$B$1:$U$257,13,FALSE)),"",(VLOOKUP($B159,'B-1 On-Site Hedge Baseline'!$B$1:$U$257,13,FALSE))))</f>
        <v/>
      </c>
      <c r="L159" s="305" t="str">
        <f>IF(B159="","",IF(ISNA(VLOOKUP($B159,'B-1 On-Site Hedge Baseline'!$B$1:$U$257,12,FALSE)),"",(VLOOKUP($B159,'B-1 On-Site Hedge Baseline'!$B$1:$U$257,12,FALSE))))</f>
        <v/>
      </c>
      <c r="M159" s="627"/>
      <c r="N159" s="281" t="str">
        <f>IFERROR(IF(B159="","",INDEX('G-6 Hedgerow Data'!$AN$3:$AZ$15,MATCH(C159,'G-6 Hedgerow Data'!$AM$3:$AM$15,0),MATCH(M159,'G-6 Hedgerow Data'!$AN$2:$AZ$2,0))),"")</f>
        <v/>
      </c>
      <c r="O159" s="282" t="str">
        <f t="shared" si="15"/>
        <v/>
      </c>
      <c r="P159" s="335" t="str">
        <f>IF(B159="","",VLOOKUP(B159,'B-1 On-Site Hedge Baseline'!$B$10:T404,16,FALSE))</f>
        <v/>
      </c>
      <c r="Q159" s="281" t="str">
        <f>IF(M159="","",VLOOKUP(M159,'G-6 Hedgerow Data'!$B$2:$AG$15,2,FALSE))</f>
        <v/>
      </c>
      <c r="R159" s="282" t="str">
        <f>IF(M159="","",VLOOKUP(M159,'G-6 Hedgerow Data'!$B$2:$AG$15,3,FALSE))</f>
        <v/>
      </c>
      <c r="S159" s="112"/>
      <c r="T159" s="320" t="str">
        <f>IFERROR(IF(S159="","",IF(AND(M159="Non-native and ornamental hedgerow", S159&lt;&gt;"Poor"),"Not possible ▲", (VLOOKUP(S159,'G-1 All Habitats'!$Z$2:$AA$9,2,FALSE)))),"")</f>
        <v/>
      </c>
      <c r="U159" s="109"/>
      <c r="V159" s="301" t="str">
        <f>IF(U159="","",IF(VLOOKUP(U159,'G-3 Multipliers'!$L$3:$N$6,2,FALSE)=0,"Spatial Data Missing ⚠",VLOOKUP(U159,'G-3 Multipliers'!$L$3:$N$6,2,FALSE)))</f>
        <v/>
      </c>
      <c r="W159" s="305" t="str">
        <f>IF(U159="","",IF(VLOOKUP(U159,'G-3 Multipliers'!$L$3:$N$6,3,FALSE)=0,"Spatial Data Missing ⚠",VLOOKUP(U159,'G-3 Multipliers'!$L$3:$N$6,3,FALSE)))</f>
        <v/>
      </c>
      <c r="X159" s="281" t="str">
        <f>IFERROR(IF(OR(LEFT(O159,5)="Error",LEFT(N159,5)="Error",T159="Error"),"Check Data ⚠",IF(F159&lt;R159,INDEX('G-6 Hedgerow Data'!$S$3:$AE$14,MATCH(C159,'G-6 Hedgerow Data'!$B$3:$B$14,0),MATCH(M159,'G-6 Hedgerow Data'!$S$2:$AE$2,0)),INDEX('G-6 Hedgerow Data'!$K$3:$Q$14,MATCH(M159,'G-6 Hedgerow Data'!$B$3:$B$14,0),MATCH(O159,'G-6 Hedgerow Data'!$K$2:$Q$2,0)))),"")</f>
        <v/>
      </c>
      <c r="Y159" s="137"/>
      <c r="Z159" s="137"/>
      <c r="AA159" s="289" t="str">
        <f t="shared" si="16"/>
        <v/>
      </c>
      <c r="AB159" s="302" t="str">
        <f t="shared" si="17"/>
        <v/>
      </c>
      <c r="AC159" s="303" t="str">
        <f t="shared" si="14"/>
        <v/>
      </c>
      <c r="AD159" s="317" t="str">
        <f>IF(M159="","",VLOOKUP(M159,'G-6 Hedgerow Data'!$B$3:$AG$15,31,FALSE))</f>
        <v/>
      </c>
      <c r="AE159" s="289" t="str">
        <f t="shared" si="18"/>
        <v/>
      </c>
      <c r="AF159" s="289" t="str">
        <f t="shared" si="19"/>
        <v/>
      </c>
      <c r="AG159" s="305" t="str">
        <f>IFERROR(IF(O159="","",VLOOKUP(AD159,'G-3 Multipliers'!$P$3:$Q$6,2,FALSE)),"")</f>
        <v/>
      </c>
      <c r="AH159" s="295" t="str">
        <f t="shared" si="20"/>
        <v/>
      </c>
      <c r="AI159" s="112"/>
      <c r="AJ159" s="119"/>
      <c r="AK159" s="108"/>
      <c r="AT159" s="30" t="str">
        <f>IFERROR(INDEX('G-6 Hedgerow Data'!$BJ$3:$BJ$15,MATCH(M159,'G-6 Hedgerow Data'!$B$3:$B$15,0)),"")</f>
        <v/>
      </c>
    </row>
    <row r="160" spans="2:46" ht="13.8" x14ac:dyDescent="0.25">
      <c r="B160" s="311" t="str">
        <f>'B-1 On-Site Hedge Baseline'!AK158</f>
        <v/>
      </c>
      <c r="C160" s="301" t="str">
        <f>IF(B160="","",IF(ISNA(VLOOKUP($B160,'B-1 On-Site Hedge Baseline'!$B$1:$L$257,3,FALSE)),"",(VLOOKUP($B160,'B-1 On-Site Hedge Baseline'!$B$1:$L$257,3,FALSE))))</f>
        <v/>
      </c>
      <c r="D160" s="301" t="str">
        <f>IF(B160="","",IF(ISNA(VLOOKUP($B160,'B-1 On-Site Hedge Baseline'!$B$1:$L$257,4,FALSE)),"",(VLOOKUP($B160,'B-1 On-Site Hedge Baseline'!$B$1:$L$257,4,FALSE))))</f>
        <v/>
      </c>
      <c r="E160" s="301" t="str">
        <f>IF(B160="","",IF(ISNA(VLOOKUP($B160,'B-1 On-Site Hedge Baseline'!$B$1:$L$257,5,FALSE)),"",(VLOOKUP($B160,'B-1 On-Site Hedge Baseline'!$B$1:$L$257,5,FALSE))))</f>
        <v/>
      </c>
      <c r="F160" s="301" t="str">
        <f>IF(B160="","",IF(ISNA(VLOOKUP($B160,'B-1 On-Site Hedge Baseline'!$B$1:$L$257,6,FALSE)),"",(VLOOKUP($B160,'B-1 On-Site Hedge Baseline'!$B$1:$L$257,6,FALSE))))</f>
        <v/>
      </c>
      <c r="G160" s="301" t="str">
        <f>IF(B160="","",IF(ISNA(VLOOKUP($B160,'B-1 On-Site Hedge Baseline'!$B$1:$L$257,7,FALSE)),"",(VLOOKUP($B160,'B-1 On-Site Hedge Baseline'!$B$1:$L$257,7,FALSE))))</f>
        <v/>
      </c>
      <c r="H160" s="301" t="str">
        <f>IF(B160="","",IF(ISNA(VLOOKUP($B160,'B-1 On-Site Hedge Baseline'!$B$1:$L$257,8,FALSE)),"",(VLOOKUP($B160,'B-1 On-Site Hedge Baseline'!$B$1:$L$257,8,FALSE))))</f>
        <v/>
      </c>
      <c r="I160" s="301" t="str">
        <f>IF(B160="","",IF(ISNA(VLOOKUP($B160,'B-1 On-Site Hedge Baseline'!$B$1:$L$257,10,FALSE)),"",(VLOOKUP($B160,'B-1 On-Site Hedge Baseline'!$B$1:$L$257,10,FALSE))))</f>
        <v/>
      </c>
      <c r="J160" s="301" t="str">
        <f>IF(B160="","",IF(ISNA(VLOOKUP($B160,'B-1 On-Site Hedge Baseline'!$B$1:$L$257,11,FALSE)),"",(VLOOKUP($B160,'B-1 On-Site Hedge Baseline'!$B$1:$L$257,11,FALSE))))</f>
        <v/>
      </c>
      <c r="K160" s="301" t="str">
        <f>IF(B160="","",IF(ISNA(VLOOKUP($B160,'B-1 On-Site Hedge Baseline'!$B$1:$U$257,13,FALSE)),"",(VLOOKUP($B160,'B-1 On-Site Hedge Baseline'!$B$1:$U$257,13,FALSE))))</f>
        <v/>
      </c>
      <c r="L160" s="305" t="str">
        <f>IF(B160="","",IF(ISNA(VLOOKUP($B160,'B-1 On-Site Hedge Baseline'!$B$1:$U$257,12,FALSE)),"",(VLOOKUP($B160,'B-1 On-Site Hedge Baseline'!$B$1:$U$257,12,FALSE))))</f>
        <v/>
      </c>
      <c r="M160" s="627"/>
      <c r="N160" s="281" t="str">
        <f>IFERROR(IF(B160="","",INDEX('G-6 Hedgerow Data'!$AN$3:$AZ$15,MATCH(C160,'G-6 Hedgerow Data'!$AM$3:$AM$15,0),MATCH(M160,'G-6 Hedgerow Data'!$AN$2:$AZ$2,0))),"")</f>
        <v/>
      </c>
      <c r="O160" s="282" t="str">
        <f t="shared" si="15"/>
        <v/>
      </c>
      <c r="P160" s="335" t="str">
        <f>IF(B160="","",VLOOKUP(B160,'B-1 On-Site Hedge Baseline'!$B$10:T405,16,FALSE))</f>
        <v/>
      </c>
      <c r="Q160" s="281" t="str">
        <f>IF(M160="","",VLOOKUP(M160,'G-6 Hedgerow Data'!$B$2:$AG$15,2,FALSE))</f>
        <v/>
      </c>
      <c r="R160" s="282" t="str">
        <f>IF(M160="","",VLOOKUP(M160,'G-6 Hedgerow Data'!$B$2:$AG$15,3,FALSE))</f>
        <v/>
      </c>
      <c r="S160" s="112"/>
      <c r="T160" s="320" t="str">
        <f>IFERROR(IF(S160="","",IF(AND(M160="Non-native and ornamental hedgerow", S160&lt;&gt;"Poor"),"Not possible ▲", (VLOOKUP(S160,'G-1 All Habitats'!$Z$2:$AA$9,2,FALSE)))),"")</f>
        <v/>
      </c>
      <c r="U160" s="109"/>
      <c r="V160" s="301" t="str">
        <f>IF(U160="","",IF(VLOOKUP(U160,'G-3 Multipliers'!$L$3:$N$6,2,FALSE)=0,"Spatial Data Missing ⚠",VLOOKUP(U160,'G-3 Multipliers'!$L$3:$N$6,2,FALSE)))</f>
        <v/>
      </c>
      <c r="W160" s="305" t="str">
        <f>IF(U160="","",IF(VLOOKUP(U160,'G-3 Multipliers'!$L$3:$N$6,3,FALSE)=0,"Spatial Data Missing ⚠",VLOOKUP(U160,'G-3 Multipliers'!$L$3:$N$6,3,FALSE)))</f>
        <v/>
      </c>
      <c r="X160" s="281" t="str">
        <f>IFERROR(IF(OR(LEFT(O160,5)="Error",LEFT(N160,5)="Error",T160="Error"),"Check Data ⚠",IF(F160&lt;R160,INDEX('G-6 Hedgerow Data'!$S$3:$AE$14,MATCH(C160,'G-6 Hedgerow Data'!$B$3:$B$14,0),MATCH(M160,'G-6 Hedgerow Data'!$S$2:$AE$2,0)),INDEX('G-6 Hedgerow Data'!$K$3:$Q$14,MATCH(M160,'G-6 Hedgerow Data'!$B$3:$B$14,0),MATCH(O160,'G-6 Hedgerow Data'!$K$2:$Q$2,0)))),"")</f>
        <v/>
      </c>
      <c r="Y160" s="137"/>
      <c r="Z160" s="137"/>
      <c r="AA160" s="289" t="str">
        <f t="shared" si="16"/>
        <v/>
      </c>
      <c r="AB160" s="302" t="str">
        <f t="shared" si="17"/>
        <v/>
      </c>
      <c r="AC160" s="303" t="str">
        <f t="shared" si="14"/>
        <v/>
      </c>
      <c r="AD160" s="317" t="str">
        <f>IF(M160="","",VLOOKUP(M160,'G-6 Hedgerow Data'!$B$3:$AG$15,31,FALSE))</f>
        <v/>
      </c>
      <c r="AE160" s="289" t="str">
        <f t="shared" si="18"/>
        <v/>
      </c>
      <c r="AF160" s="289" t="str">
        <f t="shared" si="19"/>
        <v/>
      </c>
      <c r="AG160" s="305" t="str">
        <f>IFERROR(IF(O160="","",VLOOKUP(AD160,'G-3 Multipliers'!$P$3:$Q$6,2,FALSE)),"")</f>
        <v/>
      </c>
      <c r="AH160" s="295" t="str">
        <f t="shared" si="20"/>
        <v/>
      </c>
      <c r="AI160" s="112"/>
      <c r="AJ160" s="119"/>
      <c r="AK160" s="108"/>
      <c r="AT160" s="30" t="str">
        <f>IFERROR(INDEX('G-6 Hedgerow Data'!$BJ$3:$BJ$15,MATCH(M160,'G-6 Hedgerow Data'!$B$3:$B$15,0)),"")</f>
        <v/>
      </c>
    </row>
    <row r="161" spans="2:46" ht="13.8" x14ac:dyDescent="0.25">
      <c r="B161" s="311" t="str">
        <f>'B-1 On-Site Hedge Baseline'!AK159</f>
        <v/>
      </c>
      <c r="C161" s="301" t="str">
        <f>IF(B161="","",IF(ISNA(VLOOKUP($B161,'B-1 On-Site Hedge Baseline'!$B$1:$L$257,3,FALSE)),"",(VLOOKUP($B161,'B-1 On-Site Hedge Baseline'!$B$1:$L$257,3,FALSE))))</f>
        <v/>
      </c>
      <c r="D161" s="301" t="str">
        <f>IF(B161="","",IF(ISNA(VLOOKUP($B161,'B-1 On-Site Hedge Baseline'!$B$1:$L$257,4,FALSE)),"",(VLOOKUP($B161,'B-1 On-Site Hedge Baseline'!$B$1:$L$257,4,FALSE))))</f>
        <v/>
      </c>
      <c r="E161" s="301" t="str">
        <f>IF(B161="","",IF(ISNA(VLOOKUP($B161,'B-1 On-Site Hedge Baseline'!$B$1:$L$257,5,FALSE)),"",(VLOOKUP($B161,'B-1 On-Site Hedge Baseline'!$B$1:$L$257,5,FALSE))))</f>
        <v/>
      </c>
      <c r="F161" s="301" t="str">
        <f>IF(B161="","",IF(ISNA(VLOOKUP($B161,'B-1 On-Site Hedge Baseline'!$B$1:$L$257,6,FALSE)),"",(VLOOKUP($B161,'B-1 On-Site Hedge Baseline'!$B$1:$L$257,6,FALSE))))</f>
        <v/>
      </c>
      <c r="G161" s="301" t="str">
        <f>IF(B161="","",IF(ISNA(VLOOKUP($B161,'B-1 On-Site Hedge Baseline'!$B$1:$L$257,7,FALSE)),"",(VLOOKUP($B161,'B-1 On-Site Hedge Baseline'!$B$1:$L$257,7,FALSE))))</f>
        <v/>
      </c>
      <c r="H161" s="301" t="str">
        <f>IF(B161="","",IF(ISNA(VLOOKUP($B161,'B-1 On-Site Hedge Baseline'!$B$1:$L$257,8,FALSE)),"",(VLOOKUP($B161,'B-1 On-Site Hedge Baseline'!$B$1:$L$257,8,FALSE))))</f>
        <v/>
      </c>
      <c r="I161" s="301" t="str">
        <f>IF(B161="","",IF(ISNA(VLOOKUP($B161,'B-1 On-Site Hedge Baseline'!$B$1:$L$257,10,FALSE)),"",(VLOOKUP($B161,'B-1 On-Site Hedge Baseline'!$B$1:$L$257,10,FALSE))))</f>
        <v/>
      </c>
      <c r="J161" s="301" t="str">
        <f>IF(B161="","",IF(ISNA(VLOOKUP($B161,'B-1 On-Site Hedge Baseline'!$B$1:$L$257,11,FALSE)),"",(VLOOKUP($B161,'B-1 On-Site Hedge Baseline'!$B$1:$L$257,11,FALSE))))</f>
        <v/>
      </c>
      <c r="K161" s="301" t="str">
        <f>IF(B161="","",IF(ISNA(VLOOKUP($B161,'B-1 On-Site Hedge Baseline'!$B$1:$U$257,13,FALSE)),"",(VLOOKUP($B161,'B-1 On-Site Hedge Baseline'!$B$1:$U$257,13,FALSE))))</f>
        <v/>
      </c>
      <c r="L161" s="305" t="str">
        <f>IF(B161="","",IF(ISNA(VLOOKUP($B161,'B-1 On-Site Hedge Baseline'!$B$1:$U$257,12,FALSE)),"",(VLOOKUP($B161,'B-1 On-Site Hedge Baseline'!$B$1:$U$257,12,FALSE))))</f>
        <v/>
      </c>
      <c r="M161" s="627"/>
      <c r="N161" s="281" t="str">
        <f>IFERROR(IF(B161="","",INDEX('G-6 Hedgerow Data'!$AN$3:$AZ$15,MATCH(C161,'G-6 Hedgerow Data'!$AM$3:$AM$15,0),MATCH(M161,'G-6 Hedgerow Data'!$AN$2:$AZ$2,0))),"")</f>
        <v/>
      </c>
      <c r="O161" s="282" t="str">
        <f t="shared" si="15"/>
        <v/>
      </c>
      <c r="P161" s="335" t="str">
        <f>IF(B161="","",VLOOKUP(B161,'B-1 On-Site Hedge Baseline'!$B$10:T406,16,FALSE))</f>
        <v/>
      </c>
      <c r="Q161" s="281" t="str">
        <f>IF(M161="","",VLOOKUP(M161,'G-6 Hedgerow Data'!$B$2:$AG$15,2,FALSE))</f>
        <v/>
      </c>
      <c r="R161" s="282" t="str">
        <f>IF(M161="","",VLOOKUP(M161,'G-6 Hedgerow Data'!$B$2:$AG$15,3,FALSE))</f>
        <v/>
      </c>
      <c r="S161" s="112"/>
      <c r="T161" s="320" t="str">
        <f>IFERROR(IF(S161="","",IF(AND(M161="Non-native and ornamental hedgerow", S161&lt;&gt;"Poor"),"Not possible ▲", (VLOOKUP(S161,'G-1 All Habitats'!$Z$2:$AA$9,2,FALSE)))),"")</f>
        <v/>
      </c>
      <c r="U161" s="109"/>
      <c r="V161" s="301" t="str">
        <f>IF(U161="","",IF(VLOOKUP(U161,'G-3 Multipliers'!$L$3:$N$6,2,FALSE)=0,"Spatial Data Missing ⚠",VLOOKUP(U161,'G-3 Multipliers'!$L$3:$N$6,2,FALSE)))</f>
        <v/>
      </c>
      <c r="W161" s="305" t="str">
        <f>IF(U161="","",IF(VLOOKUP(U161,'G-3 Multipliers'!$L$3:$N$6,3,FALSE)=0,"Spatial Data Missing ⚠",VLOOKUP(U161,'G-3 Multipliers'!$L$3:$N$6,3,FALSE)))</f>
        <v/>
      </c>
      <c r="X161" s="281" t="str">
        <f>IFERROR(IF(OR(LEFT(O161,5)="Error",LEFT(N161,5)="Error",T161="Error"),"Check Data ⚠",IF(F161&lt;R161,INDEX('G-6 Hedgerow Data'!$S$3:$AE$14,MATCH(C161,'G-6 Hedgerow Data'!$B$3:$B$14,0),MATCH(M161,'G-6 Hedgerow Data'!$S$2:$AE$2,0)),INDEX('G-6 Hedgerow Data'!$K$3:$Q$14,MATCH(M161,'G-6 Hedgerow Data'!$B$3:$B$14,0),MATCH(O161,'G-6 Hedgerow Data'!$K$2:$Q$2,0)))),"")</f>
        <v/>
      </c>
      <c r="Y161" s="137"/>
      <c r="Z161" s="137"/>
      <c r="AA161" s="289" t="str">
        <f t="shared" si="16"/>
        <v/>
      </c>
      <c r="AB161" s="302" t="str">
        <f t="shared" si="17"/>
        <v/>
      </c>
      <c r="AC161" s="303" t="str">
        <f t="shared" si="14"/>
        <v/>
      </c>
      <c r="AD161" s="317" t="str">
        <f>IF(M161="","",VLOOKUP(M161,'G-6 Hedgerow Data'!$B$3:$AG$15,31,FALSE))</f>
        <v/>
      </c>
      <c r="AE161" s="289" t="str">
        <f t="shared" si="18"/>
        <v/>
      </c>
      <c r="AF161" s="289" t="str">
        <f t="shared" si="19"/>
        <v/>
      </c>
      <c r="AG161" s="305" t="str">
        <f>IFERROR(IF(O161="","",VLOOKUP(AD161,'G-3 Multipliers'!$P$3:$Q$6,2,FALSE)),"")</f>
        <v/>
      </c>
      <c r="AH161" s="295" t="str">
        <f t="shared" si="20"/>
        <v/>
      </c>
      <c r="AI161" s="112"/>
      <c r="AJ161" s="119"/>
      <c r="AK161" s="108"/>
      <c r="AT161" s="30" t="str">
        <f>IFERROR(INDEX('G-6 Hedgerow Data'!$BJ$3:$BJ$15,MATCH(M161,'G-6 Hedgerow Data'!$B$3:$B$15,0)),"")</f>
        <v/>
      </c>
    </row>
    <row r="162" spans="2:46" ht="13.8" x14ac:dyDescent="0.25">
      <c r="B162" s="311" t="str">
        <f>'B-1 On-Site Hedge Baseline'!AK160</f>
        <v/>
      </c>
      <c r="C162" s="301" t="str">
        <f>IF(B162="","",IF(ISNA(VLOOKUP($B162,'B-1 On-Site Hedge Baseline'!$B$1:$L$257,3,FALSE)),"",(VLOOKUP($B162,'B-1 On-Site Hedge Baseline'!$B$1:$L$257,3,FALSE))))</f>
        <v/>
      </c>
      <c r="D162" s="301" t="str">
        <f>IF(B162="","",IF(ISNA(VLOOKUP($B162,'B-1 On-Site Hedge Baseline'!$B$1:$L$257,4,FALSE)),"",(VLOOKUP($B162,'B-1 On-Site Hedge Baseline'!$B$1:$L$257,4,FALSE))))</f>
        <v/>
      </c>
      <c r="E162" s="301" t="str">
        <f>IF(B162="","",IF(ISNA(VLOOKUP($B162,'B-1 On-Site Hedge Baseline'!$B$1:$L$257,5,FALSE)),"",(VLOOKUP($B162,'B-1 On-Site Hedge Baseline'!$B$1:$L$257,5,FALSE))))</f>
        <v/>
      </c>
      <c r="F162" s="301" t="str">
        <f>IF(B162="","",IF(ISNA(VLOOKUP($B162,'B-1 On-Site Hedge Baseline'!$B$1:$L$257,6,FALSE)),"",(VLOOKUP($B162,'B-1 On-Site Hedge Baseline'!$B$1:$L$257,6,FALSE))))</f>
        <v/>
      </c>
      <c r="G162" s="301" t="str">
        <f>IF(B162="","",IF(ISNA(VLOOKUP($B162,'B-1 On-Site Hedge Baseline'!$B$1:$L$257,7,FALSE)),"",(VLOOKUP($B162,'B-1 On-Site Hedge Baseline'!$B$1:$L$257,7,FALSE))))</f>
        <v/>
      </c>
      <c r="H162" s="301" t="str">
        <f>IF(B162="","",IF(ISNA(VLOOKUP($B162,'B-1 On-Site Hedge Baseline'!$B$1:$L$257,8,FALSE)),"",(VLOOKUP($B162,'B-1 On-Site Hedge Baseline'!$B$1:$L$257,8,FALSE))))</f>
        <v/>
      </c>
      <c r="I162" s="301" t="str">
        <f>IF(B162="","",IF(ISNA(VLOOKUP($B162,'B-1 On-Site Hedge Baseline'!$B$1:$L$257,10,FALSE)),"",(VLOOKUP($B162,'B-1 On-Site Hedge Baseline'!$B$1:$L$257,10,FALSE))))</f>
        <v/>
      </c>
      <c r="J162" s="301" t="str">
        <f>IF(B162="","",IF(ISNA(VLOOKUP($B162,'B-1 On-Site Hedge Baseline'!$B$1:$L$257,11,FALSE)),"",(VLOOKUP($B162,'B-1 On-Site Hedge Baseline'!$B$1:$L$257,11,FALSE))))</f>
        <v/>
      </c>
      <c r="K162" s="301" t="str">
        <f>IF(B162="","",IF(ISNA(VLOOKUP($B162,'B-1 On-Site Hedge Baseline'!$B$1:$U$257,13,FALSE)),"",(VLOOKUP($B162,'B-1 On-Site Hedge Baseline'!$B$1:$U$257,13,FALSE))))</f>
        <v/>
      </c>
      <c r="L162" s="305" t="str">
        <f>IF(B162="","",IF(ISNA(VLOOKUP($B162,'B-1 On-Site Hedge Baseline'!$B$1:$U$257,12,FALSE)),"",(VLOOKUP($B162,'B-1 On-Site Hedge Baseline'!$B$1:$U$257,12,FALSE))))</f>
        <v/>
      </c>
      <c r="M162" s="627"/>
      <c r="N162" s="281" t="str">
        <f>IFERROR(IF(B162="","",INDEX('G-6 Hedgerow Data'!$AN$3:$AZ$15,MATCH(C162,'G-6 Hedgerow Data'!$AM$3:$AM$15,0),MATCH(M162,'G-6 Hedgerow Data'!$AN$2:$AZ$2,0))),"")</f>
        <v/>
      </c>
      <c r="O162" s="282" t="str">
        <f t="shared" si="15"/>
        <v/>
      </c>
      <c r="P162" s="335" t="str">
        <f>IF(B162="","",VLOOKUP(B162,'B-1 On-Site Hedge Baseline'!$B$10:T407,16,FALSE))</f>
        <v/>
      </c>
      <c r="Q162" s="281" t="str">
        <f>IF(M162="","",VLOOKUP(M162,'G-6 Hedgerow Data'!$B$2:$AG$15,2,FALSE))</f>
        <v/>
      </c>
      <c r="R162" s="282" t="str">
        <f>IF(M162="","",VLOOKUP(M162,'G-6 Hedgerow Data'!$B$2:$AG$15,3,FALSE))</f>
        <v/>
      </c>
      <c r="S162" s="112"/>
      <c r="T162" s="320" t="str">
        <f>IFERROR(IF(S162="","",IF(AND(M162="Non-native and ornamental hedgerow", S162&lt;&gt;"Poor"),"Not possible ▲", (VLOOKUP(S162,'G-1 All Habitats'!$Z$2:$AA$9,2,FALSE)))),"")</f>
        <v/>
      </c>
      <c r="U162" s="109"/>
      <c r="V162" s="301" t="str">
        <f>IF(U162="","",IF(VLOOKUP(U162,'G-3 Multipliers'!$L$3:$N$6,2,FALSE)=0,"Spatial Data Missing ⚠",VLOOKUP(U162,'G-3 Multipliers'!$L$3:$N$6,2,FALSE)))</f>
        <v/>
      </c>
      <c r="W162" s="305" t="str">
        <f>IF(U162="","",IF(VLOOKUP(U162,'G-3 Multipliers'!$L$3:$N$6,3,FALSE)=0,"Spatial Data Missing ⚠",VLOOKUP(U162,'G-3 Multipliers'!$L$3:$N$6,3,FALSE)))</f>
        <v/>
      </c>
      <c r="X162" s="281" t="str">
        <f>IFERROR(IF(OR(LEFT(O162,5)="Error",LEFT(N162,5)="Error",T162="Error"),"Check Data ⚠",IF(F162&lt;R162,INDEX('G-6 Hedgerow Data'!$S$3:$AE$14,MATCH(C162,'G-6 Hedgerow Data'!$B$3:$B$14,0),MATCH(M162,'G-6 Hedgerow Data'!$S$2:$AE$2,0)),INDEX('G-6 Hedgerow Data'!$K$3:$Q$14,MATCH(M162,'G-6 Hedgerow Data'!$B$3:$B$14,0),MATCH(O162,'G-6 Hedgerow Data'!$K$2:$Q$2,0)))),"")</f>
        <v/>
      </c>
      <c r="Y162" s="137"/>
      <c r="Z162" s="137"/>
      <c r="AA162" s="289" t="str">
        <f t="shared" si="16"/>
        <v/>
      </c>
      <c r="AB162" s="302" t="str">
        <f t="shared" si="17"/>
        <v/>
      </c>
      <c r="AC162" s="303" t="str">
        <f t="shared" si="14"/>
        <v/>
      </c>
      <c r="AD162" s="317" t="str">
        <f>IF(M162="","",VLOOKUP(M162,'G-6 Hedgerow Data'!$B$3:$AG$15,31,FALSE))</f>
        <v/>
      </c>
      <c r="AE162" s="289" t="str">
        <f t="shared" si="18"/>
        <v/>
      </c>
      <c r="AF162" s="289" t="str">
        <f t="shared" si="19"/>
        <v/>
      </c>
      <c r="AG162" s="305" t="str">
        <f>IFERROR(IF(O162="","",VLOOKUP(AD162,'G-3 Multipliers'!$P$3:$Q$6,2,FALSE)),"")</f>
        <v/>
      </c>
      <c r="AH162" s="295" t="str">
        <f t="shared" si="20"/>
        <v/>
      </c>
      <c r="AI162" s="112"/>
      <c r="AJ162" s="119"/>
      <c r="AK162" s="108"/>
      <c r="AT162" s="30" t="str">
        <f>IFERROR(INDEX('G-6 Hedgerow Data'!$BJ$3:$BJ$15,MATCH(M162,'G-6 Hedgerow Data'!$B$3:$B$15,0)),"")</f>
        <v/>
      </c>
    </row>
    <row r="163" spans="2:46" ht="13.8" x14ac:dyDescent="0.25">
      <c r="B163" s="311" t="str">
        <f>'B-1 On-Site Hedge Baseline'!AK161</f>
        <v/>
      </c>
      <c r="C163" s="301" t="str">
        <f>IF(B163="","",IF(ISNA(VLOOKUP($B163,'B-1 On-Site Hedge Baseline'!$B$1:$L$257,3,FALSE)),"",(VLOOKUP($B163,'B-1 On-Site Hedge Baseline'!$B$1:$L$257,3,FALSE))))</f>
        <v/>
      </c>
      <c r="D163" s="301" t="str">
        <f>IF(B163="","",IF(ISNA(VLOOKUP($B163,'B-1 On-Site Hedge Baseline'!$B$1:$L$257,4,FALSE)),"",(VLOOKUP($B163,'B-1 On-Site Hedge Baseline'!$B$1:$L$257,4,FALSE))))</f>
        <v/>
      </c>
      <c r="E163" s="301" t="str">
        <f>IF(B163="","",IF(ISNA(VLOOKUP($B163,'B-1 On-Site Hedge Baseline'!$B$1:$L$257,5,FALSE)),"",(VLOOKUP($B163,'B-1 On-Site Hedge Baseline'!$B$1:$L$257,5,FALSE))))</f>
        <v/>
      </c>
      <c r="F163" s="301" t="str">
        <f>IF(B163="","",IF(ISNA(VLOOKUP($B163,'B-1 On-Site Hedge Baseline'!$B$1:$L$257,6,FALSE)),"",(VLOOKUP($B163,'B-1 On-Site Hedge Baseline'!$B$1:$L$257,6,FALSE))))</f>
        <v/>
      </c>
      <c r="G163" s="301" t="str">
        <f>IF(B163="","",IF(ISNA(VLOOKUP($B163,'B-1 On-Site Hedge Baseline'!$B$1:$L$257,7,FALSE)),"",(VLOOKUP($B163,'B-1 On-Site Hedge Baseline'!$B$1:$L$257,7,FALSE))))</f>
        <v/>
      </c>
      <c r="H163" s="301" t="str">
        <f>IF(B163="","",IF(ISNA(VLOOKUP($B163,'B-1 On-Site Hedge Baseline'!$B$1:$L$257,8,FALSE)),"",(VLOOKUP($B163,'B-1 On-Site Hedge Baseline'!$B$1:$L$257,8,FALSE))))</f>
        <v/>
      </c>
      <c r="I163" s="301" t="str">
        <f>IF(B163="","",IF(ISNA(VLOOKUP($B163,'B-1 On-Site Hedge Baseline'!$B$1:$L$257,10,FALSE)),"",(VLOOKUP($B163,'B-1 On-Site Hedge Baseline'!$B$1:$L$257,10,FALSE))))</f>
        <v/>
      </c>
      <c r="J163" s="301" t="str">
        <f>IF(B163="","",IF(ISNA(VLOOKUP($B163,'B-1 On-Site Hedge Baseline'!$B$1:$L$257,11,FALSE)),"",(VLOOKUP($B163,'B-1 On-Site Hedge Baseline'!$B$1:$L$257,11,FALSE))))</f>
        <v/>
      </c>
      <c r="K163" s="301" t="str">
        <f>IF(B163="","",IF(ISNA(VLOOKUP($B163,'B-1 On-Site Hedge Baseline'!$B$1:$U$257,13,FALSE)),"",(VLOOKUP($B163,'B-1 On-Site Hedge Baseline'!$B$1:$U$257,13,FALSE))))</f>
        <v/>
      </c>
      <c r="L163" s="305" t="str">
        <f>IF(B163="","",IF(ISNA(VLOOKUP($B163,'B-1 On-Site Hedge Baseline'!$B$1:$U$257,12,FALSE)),"",(VLOOKUP($B163,'B-1 On-Site Hedge Baseline'!$B$1:$U$257,12,FALSE))))</f>
        <v/>
      </c>
      <c r="M163" s="627"/>
      <c r="N163" s="281" t="str">
        <f>IFERROR(IF(B163="","",INDEX('G-6 Hedgerow Data'!$AN$3:$AZ$15,MATCH(C163,'G-6 Hedgerow Data'!$AM$3:$AM$15,0),MATCH(M163,'G-6 Hedgerow Data'!$AN$2:$AZ$2,0))),"")</f>
        <v/>
      </c>
      <c r="O163" s="282" t="str">
        <f t="shared" si="15"/>
        <v/>
      </c>
      <c r="P163" s="335" t="str">
        <f>IF(B163="","",VLOOKUP(B163,'B-1 On-Site Hedge Baseline'!$B$10:T408,16,FALSE))</f>
        <v/>
      </c>
      <c r="Q163" s="281" t="str">
        <f>IF(M163="","",VLOOKUP(M163,'G-6 Hedgerow Data'!$B$2:$AG$15,2,FALSE))</f>
        <v/>
      </c>
      <c r="R163" s="282" t="str">
        <f>IF(M163="","",VLOOKUP(M163,'G-6 Hedgerow Data'!$B$2:$AG$15,3,FALSE))</f>
        <v/>
      </c>
      <c r="S163" s="112"/>
      <c r="T163" s="320" t="str">
        <f>IFERROR(IF(S163="","",IF(AND(M163="Non-native and ornamental hedgerow", S163&lt;&gt;"Poor"),"Not possible ▲", (VLOOKUP(S163,'G-1 All Habitats'!$Z$2:$AA$9,2,FALSE)))),"")</f>
        <v/>
      </c>
      <c r="U163" s="109"/>
      <c r="V163" s="301" t="str">
        <f>IF(U163="","",IF(VLOOKUP(U163,'G-3 Multipliers'!$L$3:$N$6,2,FALSE)=0,"Spatial Data Missing ⚠",VLOOKUP(U163,'G-3 Multipliers'!$L$3:$N$6,2,FALSE)))</f>
        <v/>
      </c>
      <c r="W163" s="305" t="str">
        <f>IF(U163="","",IF(VLOOKUP(U163,'G-3 Multipliers'!$L$3:$N$6,3,FALSE)=0,"Spatial Data Missing ⚠",VLOOKUP(U163,'G-3 Multipliers'!$L$3:$N$6,3,FALSE)))</f>
        <v/>
      </c>
      <c r="X163" s="281" t="str">
        <f>IFERROR(IF(OR(LEFT(O163,5)="Error",LEFT(N163,5)="Error",T163="Error"),"Check Data ⚠",IF(F163&lt;R163,INDEX('G-6 Hedgerow Data'!$S$3:$AE$14,MATCH(C163,'G-6 Hedgerow Data'!$B$3:$B$14,0),MATCH(M163,'G-6 Hedgerow Data'!$S$2:$AE$2,0)),INDEX('G-6 Hedgerow Data'!$K$3:$Q$14,MATCH(M163,'G-6 Hedgerow Data'!$B$3:$B$14,0),MATCH(O163,'G-6 Hedgerow Data'!$K$2:$Q$2,0)))),"")</f>
        <v/>
      </c>
      <c r="Y163" s="137"/>
      <c r="Z163" s="137"/>
      <c r="AA163" s="289" t="str">
        <f t="shared" si="16"/>
        <v/>
      </c>
      <c r="AB163" s="302" t="str">
        <f t="shared" si="17"/>
        <v/>
      </c>
      <c r="AC163" s="303" t="str">
        <f t="shared" si="14"/>
        <v/>
      </c>
      <c r="AD163" s="317" t="str">
        <f>IF(M163="","",VLOOKUP(M163,'G-6 Hedgerow Data'!$B$3:$AG$15,31,FALSE))</f>
        <v/>
      </c>
      <c r="AE163" s="289" t="str">
        <f t="shared" si="18"/>
        <v/>
      </c>
      <c r="AF163" s="289" t="str">
        <f t="shared" si="19"/>
        <v/>
      </c>
      <c r="AG163" s="305" t="str">
        <f>IFERROR(IF(O163="","",VLOOKUP(AD163,'G-3 Multipliers'!$P$3:$Q$6,2,FALSE)),"")</f>
        <v/>
      </c>
      <c r="AH163" s="295" t="str">
        <f t="shared" si="20"/>
        <v/>
      </c>
      <c r="AI163" s="112"/>
      <c r="AJ163" s="119"/>
      <c r="AK163" s="108"/>
      <c r="AT163" s="30" t="str">
        <f>IFERROR(INDEX('G-6 Hedgerow Data'!$BJ$3:$BJ$15,MATCH(M163,'G-6 Hedgerow Data'!$B$3:$B$15,0)),"")</f>
        <v/>
      </c>
    </row>
    <row r="164" spans="2:46" ht="13.8" x14ac:dyDescent="0.25">
      <c r="B164" s="311" t="str">
        <f>'B-1 On-Site Hedge Baseline'!AK162</f>
        <v/>
      </c>
      <c r="C164" s="301" t="str">
        <f>IF(B164="","",IF(ISNA(VLOOKUP($B164,'B-1 On-Site Hedge Baseline'!$B$1:$L$257,3,FALSE)),"",(VLOOKUP($B164,'B-1 On-Site Hedge Baseline'!$B$1:$L$257,3,FALSE))))</f>
        <v/>
      </c>
      <c r="D164" s="301" t="str">
        <f>IF(B164="","",IF(ISNA(VLOOKUP($B164,'B-1 On-Site Hedge Baseline'!$B$1:$L$257,4,FALSE)),"",(VLOOKUP($B164,'B-1 On-Site Hedge Baseline'!$B$1:$L$257,4,FALSE))))</f>
        <v/>
      </c>
      <c r="E164" s="301" t="str">
        <f>IF(B164="","",IF(ISNA(VLOOKUP($B164,'B-1 On-Site Hedge Baseline'!$B$1:$L$257,5,FALSE)),"",(VLOOKUP($B164,'B-1 On-Site Hedge Baseline'!$B$1:$L$257,5,FALSE))))</f>
        <v/>
      </c>
      <c r="F164" s="301" t="str">
        <f>IF(B164="","",IF(ISNA(VLOOKUP($B164,'B-1 On-Site Hedge Baseline'!$B$1:$L$257,6,FALSE)),"",(VLOOKUP($B164,'B-1 On-Site Hedge Baseline'!$B$1:$L$257,6,FALSE))))</f>
        <v/>
      </c>
      <c r="G164" s="301" t="str">
        <f>IF(B164="","",IF(ISNA(VLOOKUP($B164,'B-1 On-Site Hedge Baseline'!$B$1:$L$257,7,FALSE)),"",(VLOOKUP($B164,'B-1 On-Site Hedge Baseline'!$B$1:$L$257,7,FALSE))))</f>
        <v/>
      </c>
      <c r="H164" s="301" t="str">
        <f>IF(B164="","",IF(ISNA(VLOOKUP($B164,'B-1 On-Site Hedge Baseline'!$B$1:$L$257,8,FALSE)),"",(VLOOKUP($B164,'B-1 On-Site Hedge Baseline'!$B$1:$L$257,8,FALSE))))</f>
        <v/>
      </c>
      <c r="I164" s="301" t="str">
        <f>IF(B164="","",IF(ISNA(VLOOKUP($B164,'B-1 On-Site Hedge Baseline'!$B$1:$L$257,10,FALSE)),"",(VLOOKUP($B164,'B-1 On-Site Hedge Baseline'!$B$1:$L$257,10,FALSE))))</f>
        <v/>
      </c>
      <c r="J164" s="301" t="str">
        <f>IF(B164="","",IF(ISNA(VLOOKUP($B164,'B-1 On-Site Hedge Baseline'!$B$1:$L$257,11,FALSE)),"",(VLOOKUP($B164,'B-1 On-Site Hedge Baseline'!$B$1:$L$257,11,FALSE))))</f>
        <v/>
      </c>
      <c r="K164" s="301" t="str">
        <f>IF(B164="","",IF(ISNA(VLOOKUP($B164,'B-1 On-Site Hedge Baseline'!$B$1:$U$257,13,FALSE)),"",(VLOOKUP($B164,'B-1 On-Site Hedge Baseline'!$B$1:$U$257,13,FALSE))))</f>
        <v/>
      </c>
      <c r="L164" s="305" t="str">
        <f>IF(B164="","",IF(ISNA(VLOOKUP($B164,'B-1 On-Site Hedge Baseline'!$B$1:$U$257,12,FALSE)),"",(VLOOKUP($B164,'B-1 On-Site Hedge Baseline'!$B$1:$U$257,12,FALSE))))</f>
        <v/>
      </c>
      <c r="M164" s="627"/>
      <c r="N164" s="281" t="str">
        <f>IFERROR(IF(B164="","",INDEX('G-6 Hedgerow Data'!$AN$3:$AZ$15,MATCH(C164,'G-6 Hedgerow Data'!$AM$3:$AM$15,0),MATCH(M164,'G-6 Hedgerow Data'!$AN$2:$AZ$2,0))),"")</f>
        <v/>
      </c>
      <c r="O164" s="282" t="str">
        <f t="shared" si="15"/>
        <v/>
      </c>
      <c r="P164" s="335" t="str">
        <f>IF(B164="","",VLOOKUP(B164,'B-1 On-Site Hedge Baseline'!$B$10:T409,16,FALSE))</f>
        <v/>
      </c>
      <c r="Q164" s="281" t="str">
        <f>IF(M164="","",VLOOKUP(M164,'G-6 Hedgerow Data'!$B$2:$AG$15,2,FALSE))</f>
        <v/>
      </c>
      <c r="R164" s="282" t="str">
        <f>IF(M164="","",VLOOKUP(M164,'G-6 Hedgerow Data'!$B$2:$AG$15,3,FALSE))</f>
        <v/>
      </c>
      <c r="S164" s="112"/>
      <c r="T164" s="320" t="str">
        <f>IFERROR(IF(S164="","",IF(AND(M164="Non-native and ornamental hedgerow", S164&lt;&gt;"Poor"),"Not possible ▲", (VLOOKUP(S164,'G-1 All Habitats'!$Z$2:$AA$9,2,FALSE)))),"")</f>
        <v/>
      </c>
      <c r="U164" s="109"/>
      <c r="V164" s="301" t="str">
        <f>IF(U164="","",IF(VLOOKUP(U164,'G-3 Multipliers'!$L$3:$N$6,2,FALSE)=0,"Spatial Data Missing ⚠",VLOOKUP(U164,'G-3 Multipliers'!$L$3:$N$6,2,FALSE)))</f>
        <v/>
      </c>
      <c r="W164" s="305" t="str">
        <f>IF(U164="","",IF(VLOOKUP(U164,'G-3 Multipliers'!$L$3:$N$6,3,FALSE)=0,"Spatial Data Missing ⚠",VLOOKUP(U164,'G-3 Multipliers'!$L$3:$N$6,3,FALSE)))</f>
        <v/>
      </c>
      <c r="X164" s="281" t="str">
        <f>IFERROR(IF(OR(LEFT(O164,5)="Error",LEFT(N164,5)="Error",T164="Error"),"Check Data ⚠",IF(F164&lt;R164,INDEX('G-6 Hedgerow Data'!$S$3:$AE$14,MATCH(C164,'G-6 Hedgerow Data'!$B$3:$B$14,0),MATCH(M164,'G-6 Hedgerow Data'!$S$2:$AE$2,0)),INDEX('G-6 Hedgerow Data'!$K$3:$Q$14,MATCH(M164,'G-6 Hedgerow Data'!$B$3:$B$14,0),MATCH(O164,'G-6 Hedgerow Data'!$K$2:$Q$2,0)))),"")</f>
        <v/>
      </c>
      <c r="Y164" s="137"/>
      <c r="Z164" s="137"/>
      <c r="AA164" s="289" t="str">
        <f t="shared" si="16"/>
        <v/>
      </c>
      <c r="AB164" s="302" t="str">
        <f t="shared" si="17"/>
        <v/>
      </c>
      <c r="AC164" s="303" t="str">
        <f t="shared" si="14"/>
        <v/>
      </c>
      <c r="AD164" s="317" t="str">
        <f>IF(M164="","",VLOOKUP(M164,'G-6 Hedgerow Data'!$B$3:$AG$15,31,FALSE))</f>
        <v/>
      </c>
      <c r="AE164" s="289" t="str">
        <f t="shared" si="18"/>
        <v/>
      </c>
      <c r="AF164" s="289" t="str">
        <f t="shared" si="19"/>
        <v/>
      </c>
      <c r="AG164" s="305" t="str">
        <f>IFERROR(IF(O164="","",VLOOKUP(AD164,'G-3 Multipliers'!$P$3:$Q$6,2,FALSE)),"")</f>
        <v/>
      </c>
      <c r="AH164" s="295" t="str">
        <f t="shared" si="20"/>
        <v/>
      </c>
      <c r="AI164" s="112"/>
      <c r="AJ164" s="119"/>
      <c r="AK164" s="108"/>
      <c r="AT164" s="30" t="str">
        <f>IFERROR(INDEX('G-6 Hedgerow Data'!$BJ$3:$BJ$15,MATCH(M164,'G-6 Hedgerow Data'!$B$3:$B$15,0)),"")</f>
        <v/>
      </c>
    </row>
    <row r="165" spans="2:46" ht="13.8" x14ac:dyDescent="0.25">
      <c r="B165" s="311" t="str">
        <f>'B-1 On-Site Hedge Baseline'!AK163</f>
        <v/>
      </c>
      <c r="C165" s="301" t="str">
        <f>IF(B165="","",IF(ISNA(VLOOKUP($B165,'B-1 On-Site Hedge Baseline'!$B$1:$L$257,3,FALSE)),"",(VLOOKUP($B165,'B-1 On-Site Hedge Baseline'!$B$1:$L$257,3,FALSE))))</f>
        <v/>
      </c>
      <c r="D165" s="301" t="str">
        <f>IF(B165="","",IF(ISNA(VLOOKUP($B165,'B-1 On-Site Hedge Baseline'!$B$1:$L$257,4,FALSE)),"",(VLOOKUP($B165,'B-1 On-Site Hedge Baseline'!$B$1:$L$257,4,FALSE))))</f>
        <v/>
      </c>
      <c r="E165" s="301" t="str">
        <f>IF(B165="","",IF(ISNA(VLOOKUP($B165,'B-1 On-Site Hedge Baseline'!$B$1:$L$257,5,FALSE)),"",(VLOOKUP($B165,'B-1 On-Site Hedge Baseline'!$B$1:$L$257,5,FALSE))))</f>
        <v/>
      </c>
      <c r="F165" s="301" t="str">
        <f>IF(B165="","",IF(ISNA(VLOOKUP($B165,'B-1 On-Site Hedge Baseline'!$B$1:$L$257,6,FALSE)),"",(VLOOKUP($B165,'B-1 On-Site Hedge Baseline'!$B$1:$L$257,6,FALSE))))</f>
        <v/>
      </c>
      <c r="G165" s="301" t="str">
        <f>IF(B165="","",IF(ISNA(VLOOKUP($B165,'B-1 On-Site Hedge Baseline'!$B$1:$L$257,7,FALSE)),"",(VLOOKUP($B165,'B-1 On-Site Hedge Baseline'!$B$1:$L$257,7,FALSE))))</f>
        <v/>
      </c>
      <c r="H165" s="301" t="str">
        <f>IF(B165="","",IF(ISNA(VLOOKUP($B165,'B-1 On-Site Hedge Baseline'!$B$1:$L$257,8,FALSE)),"",(VLOOKUP($B165,'B-1 On-Site Hedge Baseline'!$B$1:$L$257,8,FALSE))))</f>
        <v/>
      </c>
      <c r="I165" s="301" t="str">
        <f>IF(B165="","",IF(ISNA(VLOOKUP($B165,'B-1 On-Site Hedge Baseline'!$B$1:$L$257,10,FALSE)),"",(VLOOKUP($B165,'B-1 On-Site Hedge Baseline'!$B$1:$L$257,10,FALSE))))</f>
        <v/>
      </c>
      <c r="J165" s="301" t="str">
        <f>IF(B165="","",IF(ISNA(VLOOKUP($B165,'B-1 On-Site Hedge Baseline'!$B$1:$L$257,11,FALSE)),"",(VLOOKUP($B165,'B-1 On-Site Hedge Baseline'!$B$1:$L$257,11,FALSE))))</f>
        <v/>
      </c>
      <c r="K165" s="301" t="str">
        <f>IF(B165="","",IF(ISNA(VLOOKUP($B165,'B-1 On-Site Hedge Baseline'!$B$1:$U$257,13,FALSE)),"",(VLOOKUP($B165,'B-1 On-Site Hedge Baseline'!$B$1:$U$257,13,FALSE))))</f>
        <v/>
      </c>
      <c r="L165" s="305" t="str">
        <f>IF(B165="","",IF(ISNA(VLOOKUP($B165,'B-1 On-Site Hedge Baseline'!$B$1:$U$257,12,FALSE)),"",(VLOOKUP($B165,'B-1 On-Site Hedge Baseline'!$B$1:$U$257,12,FALSE))))</f>
        <v/>
      </c>
      <c r="M165" s="627"/>
      <c r="N165" s="281" t="str">
        <f>IFERROR(IF(B165="","",INDEX('G-6 Hedgerow Data'!$AN$3:$AZ$15,MATCH(C165,'G-6 Hedgerow Data'!$AM$3:$AM$15,0),MATCH(M165,'G-6 Hedgerow Data'!$AN$2:$AZ$2,0))),"")</f>
        <v/>
      </c>
      <c r="O165" s="282" t="str">
        <f t="shared" si="15"/>
        <v/>
      </c>
      <c r="P165" s="335" t="str">
        <f>IF(B165="","",VLOOKUP(B165,'B-1 On-Site Hedge Baseline'!$B$10:T410,16,FALSE))</f>
        <v/>
      </c>
      <c r="Q165" s="281" t="str">
        <f>IF(M165="","",VLOOKUP(M165,'G-6 Hedgerow Data'!$B$2:$AG$15,2,FALSE))</f>
        <v/>
      </c>
      <c r="R165" s="282" t="str">
        <f>IF(M165="","",VLOOKUP(M165,'G-6 Hedgerow Data'!$B$2:$AG$15,3,FALSE))</f>
        <v/>
      </c>
      <c r="S165" s="112"/>
      <c r="T165" s="320" t="str">
        <f>IFERROR(IF(S165="","",IF(AND(M165="Non-native and ornamental hedgerow", S165&lt;&gt;"Poor"),"Not possible ▲", (VLOOKUP(S165,'G-1 All Habitats'!$Z$2:$AA$9,2,FALSE)))),"")</f>
        <v/>
      </c>
      <c r="U165" s="109"/>
      <c r="V165" s="301" t="str">
        <f>IF(U165="","",IF(VLOOKUP(U165,'G-3 Multipliers'!$L$3:$N$6,2,FALSE)=0,"Spatial Data Missing ⚠",VLOOKUP(U165,'G-3 Multipliers'!$L$3:$N$6,2,FALSE)))</f>
        <v/>
      </c>
      <c r="W165" s="305" t="str">
        <f>IF(U165="","",IF(VLOOKUP(U165,'G-3 Multipliers'!$L$3:$N$6,3,FALSE)=0,"Spatial Data Missing ⚠",VLOOKUP(U165,'G-3 Multipliers'!$L$3:$N$6,3,FALSE)))</f>
        <v/>
      </c>
      <c r="X165" s="281" t="str">
        <f>IFERROR(IF(OR(LEFT(O165,5)="Error",LEFT(N165,5)="Error",T165="Error"),"Check Data ⚠",IF(F165&lt;R165,INDEX('G-6 Hedgerow Data'!$S$3:$AE$14,MATCH(C165,'G-6 Hedgerow Data'!$B$3:$B$14,0),MATCH(M165,'G-6 Hedgerow Data'!$S$2:$AE$2,0)),INDEX('G-6 Hedgerow Data'!$K$3:$Q$14,MATCH(M165,'G-6 Hedgerow Data'!$B$3:$B$14,0),MATCH(O165,'G-6 Hedgerow Data'!$K$2:$Q$2,0)))),"")</f>
        <v/>
      </c>
      <c r="Y165" s="137"/>
      <c r="Z165" s="137"/>
      <c r="AA165" s="289" t="str">
        <f t="shared" si="16"/>
        <v/>
      </c>
      <c r="AB165" s="302" t="str">
        <f t="shared" si="17"/>
        <v/>
      </c>
      <c r="AC165" s="303" t="str">
        <f t="shared" si="14"/>
        <v/>
      </c>
      <c r="AD165" s="317" t="str">
        <f>IF(M165="","",VLOOKUP(M165,'G-6 Hedgerow Data'!$B$3:$AG$15,31,FALSE))</f>
        <v/>
      </c>
      <c r="AE165" s="289" t="str">
        <f t="shared" si="18"/>
        <v/>
      </c>
      <c r="AF165" s="289" t="str">
        <f t="shared" si="19"/>
        <v/>
      </c>
      <c r="AG165" s="305" t="str">
        <f>IFERROR(IF(O165="","",VLOOKUP(AD165,'G-3 Multipliers'!$P$3:$Q$6,2,FALSE)),"")</f>
        <v/>
      </c>
      <c r="AH165" s="295" t="str">
        <f t="shared" si="20"/>
        <v/>
      </c>
      <c r="AI165" s="112"/>
      <c r="AJ165" s="119"/>
      <c r="AK165" s="108"/>
      <c r="AT165" s="30" t="str">
        <f>IFERROR(INDEX('G-6 Hedgerow Data'!$BJ$3:$BJ$15,MATCH(M165,'G-6 Hedgerow Data'!$B$3:$B$15,0)),"")</f>
        <v/>
      </c>
    </row>
    <row r="166" spans="2:46" ht="13.8" x14ac:dyDescent="0.25">
      <c r="B166" s="311" t="str">
        <f>'B-1 On-Site Hedge Baseline'!AK164</f>
        <v/>
      </c>
      <c r="C166" s="301" t="str">
        <f>IF(B166="","",IF(ISNA(VLOOKUP($B166,'B-1 On-Site Hedge Baseline'!$B$1:$L$257,3,FALSE)),"",(VLOOKUP($B166,'B-1 On-Site Hedge Baseline'!$B$1:$L$257,3,FALSE))))</f>
        <v/>
      </c>
      <c r="D166" s="301" t="str">
        <f>IF(B166="","",IF(ISNA(VLOOKUP($B166,'B-1 On-Site Hedge Baseline'!$B$1:$L$257,4,FALSE)),"",(VLOOKUP($B166,'B-1 On-Site Hedge Baseline'!$B$1:$L$257,4,FALSE))))</f>
        <v/>
      </c>
      <c r="E166" s="301" t="str">
        <f>IF(B166="","",IF(ISNA(VLOOKUP($B166,'B-1 On-Site Hedge Baseline'!$B$1:$L$257,5,FALSE)),"",(VLOOKUP($B166,'B-1 On-Site Hedge Baseline'!$B$1:$L$257,5,FALSE))))</f>
        <v/>
      </c>
      <c r="F166" s="301" t="str">
        <f>IF(B166="","",IF(ISNA(VLOOKUP($B166,'B-1 On-Site Hedge Baseline'!$B$1:$L$257,6,FALSE)),"",(VLOOKUP($B166,'B-1 On-Site Hedge Baseline'!$B$1:$L$257,6,FALSE))))</f>
        <v/>
      </c>
      <c r="G166" s="301" t="str">
        <f>IF(B166="","",IF(ISNA(VLOOKUP($B166,'B-1 On-Site Hedge Baseline'!$B$1:$L$257,7,FALSE)),"",(VLOOKUP($B166,'B-1 On-Site Hedge Baseline'!$B$1:$L$257,7,FALSE))))</f>
        <v/>
      </c>
      <c r="H166" s="301" t="str">
        <f>IF(B166="","",IF(ISNA(VLOOKUP($B166,'B-1 On-Site Hedge Baseline'!$B$1:$L$257,8,FALSE)),"",(VLOOKUP($B166,'B-1 On-Site Hedge Baseline'!$B$1:$L$257,8,FALSE))))</f>
        <v/>
      </c>
      <c r="I166" s="301" t="str">
        <f>IF(B166="","",IF(ISNA(VLOOKUP($B166,'B-1 On-Site Hedge Baseline'!$B$1:$L$257,10,FALSE)),"",(VLOOKUP($B166,'B-1 On-Site Hedge Baseline'!$B$1:$L$257,10,FALSE))))</f>
        <v/>
      </c>
      <c r="J166" s="301" t="str">
        <f>IF(B166="","",IF(ISNA(VLOOKUP($B166,'B-1 On-Site Hedge Baseline'!$B$1:$L$257,11,FALSE)),"",(VLOOKUP($B166,'B-1 On-Site Hedge Baseline'!$B$1:$L$257,11,FALSE))))</f>
        <v/>
      </c>
      <c r="K166" s="301" t="str">
        <f>IF(B166="","",IF(ISNA(VLOOKUP($B166,'B-1 On-Site Hedge Baseline'!$B$1:$U$257,13,FALSE)),"",(VLOOKUP($B166,'B-1 On-Site Hedge Baseline'!$B$1:$U$257,13,FALSE))))</f>
        <v/>
      </c>
      <c r="L166" s="305" t="str">
        <f>IF(B166="","",IF(ISNA(VLOOKUP($B166,'B-1 On-Site Hedge Baseline'!$B$1:$U$257,12,FALSE)),"",(VLOOKUP($B166,'B-1 On-Site Hedge Baseline'!$B$1:$U$257,12,FALSE))))</f>
        <v/>
      </c>
      <c r="M166" s="627"/>
      <c r="N166" s="281" t="str">
        <f>IFERROR(IF(B166="","",INDEX('G-6 Hedgerow Data'!$AN$3:$AZ$15,MATCH(C166,'G-6 Hedgerow Data'!$AM$3:$AM$15,0),MATCH(M166,'G-6 Hedgerow Data'!$AN$2:$AZ$2,0))),"")</f>
        <v/>
      </c>
      <c r="O166" s="282" t="str">
        <f t="shared" si="15"/>
        <v/>
      </c>
      <c r="P166" s="335" t="str">
        <f>IF(B166="","",VLOOKUP(B166,'B-1 On-Site Hedge Baseline'!$B$10:T411,16,FALSE))</f>
        <v/>
      </c>
      <c r="Q166" s="281" t="str">
        <f>IF(M166="","",VLOOKUP(M166,'G-6 Hedgerow Data'!$B$2:$AG$15,2,FALSE))</f>
        <v/>
      </c>
      <c r="R166" s="282" t="str">
        <f>IF(M166="","",VLOOKUP(M166,'G-6 Hedgerow Data'!$B$2:$AG$15,3,FALSE))</f>
        <v/>
      </c>
      <c r="S166" s="112"/>
      <c r="T166" s="320" t="str">
        <f>IFERROR(IF(S166="","",IF(AND(M166="Non-native and ornamental hedgerow", S166&lt;&gt;"Poor"),"Not possible ▲", (VLOOKUP(S166,'G-1 All Habitats'!$Z$2:$AA$9,2,FALSE)))),"")</f>
        <v/>
      </c>
      <c r="U166" s="109"/>
      <c r="V166" s="301" t="str">
        <f>IF(U166="","",IF(VLOOKUP(U166,'G-3 Multipliers'!$L$3:$N$6,2,FALSE)=0,"Spatial Data Missing ⚠",VLOOKUP(U166,'G-3 Multipliers'!$L$3:$N$6,2,FALSE)))</f>
        <v/>
      </c>
      <c r="W166" s="305" t="str">
        <f>IF(U166="","",IF(VLOOKUP(U166,'G-3 Multipliers'!$L$3:$N$6,3,FALSE)=0,"Spatial Data Missing ⚠",VLOOKUP(U166,'G-3 Multipliers'!$L$3:$N$6,3,FALSE)))</f>
        <v/>
      </c>
      <c r="X166" s="281" t="str">
        <f>IFERROR(IF(OR(LEFT(O166,5)="Error",LEFT(N166,5)="Error",T166="Error"),"Check Data ⚠",IF(F166&lt;R166,INDEX('G-6 Hedgerow Data'!$S$3:$AE$14,MATCH(C166,'G-6 Hedgerow Data'!$B$3:$B$14,0),MATCH(M166,'G-6 Hedgerow Data'!$S$2:$AE$2,0)),INDEX('G-6 Hedgerow Data'!$K$3:$Q$14,MATCH(M166,'G-6 Hedgerow Data'!$B$3:$B$14,0),MATCH(O166,'G-6 Hedgerow Data'!$K$2:$Q$2,0)))),"")</f>
        <v/>
      </c>
      <c r="Y166" s="137"/>
      <c r="Z166" s="137"/>
      <c r="AA166" s="289" t="str">
        <f t="shared" si="16"/>
        <v/>
      </c>
      <c r="AB166" s="302" t="str">
        <f t="shared" si="17"/>
        <v/>
      </c>
      <c r="AC166" s="303" t="str">
        <f t="shared" si="14"/>
        <v/>
      </c>
      <c r="AD166" s="317" t="str">
        <f>IF(M166="","",VLOOKUP(M166,'G-6 Hedgerow Data'!$B$3:$AG$15,31,FALSE))</f>
        <v/>
      </c>
      <c r="AE166" s="289" t="str">
        <f t="shared" si="18"/>
        <v/>
      </c>
      <c r="AF166" s="289" t="str">
        <f t="shared" si="19"/>
        <v/>
      </c>
      <c r="AG166" s="305" t="str">
        <f>IFERROR(IF(O166="","",VLOOKUP(AD166,'G-3 Multipliers'!$P$3:$Q$6,2,FALSE)),"")</f>
        <v/>
      </c>
      <c r="AH166" s="295" t="str">
        <f t="shared" si="20"/>
        <v/>
      </c>
      <c r="AI166" s="112"/>
      <c r="AJ166" s="119"/>
      <c r="AK166" s="108"/>
      <c r="AT166" s="30" t="str">
        <f>IFERROR(INDEX('G-6 Hedgerow Data'!$BJ$3:$BJ$15,MATCH(M166,'G-6 Hedgerow Data'!$B$3:$B$15,0)),"")</f>
        <v/>
      </c>
    </row>
    <row r="167" spans="2:46" ht="13.8" x14ac:dyDescent="0.25">
      <c r="B167" s="311" t="str">
        <f>'B-1 On-Site Hedge Baseline'!AK165</f>
        <v/>
      </c>
      <c r="C167" s="301" t="str">
        <f>IF(B167="","",IF(ISNA(VLOOKUP($B167,'B-1 On-Site Hedge Baseline'!$B$1:$L$257,3,FALSE)),"",(VLOOKUP($B167,'B-1 On-Site Hedge Baseline'!$B$1:$L$257,3,FALSE))))</f>
        <v/>
      </c>
      <c r="D167" s="301" t="str">
        <f>IF(B167="","",IF(ISNA(VLOOKUP($B167,'B-1 On-Site Hedge Baseline'!$B$1:$L$257,4,FALSE)),"",(VLOOKUP($B167,'B-1 On-Site Hedge Baseline'!$B$1:$L$257,4,FALSE))))</f>
        <v/>
      </c>
      <c r="E167" s="301" t="str">
        <f>IF(B167="","",IF(ISNA(VLOOKUP($B167,'B-1 On-Site Hedge Baseline'!$B$1:$L$257,5,FALSE)),"",(VLOOKUP($B167,'B-1 On-Site Hedge Baseline'!$B$1:$L$257,5,FALSE))))</f>
        <v/>
      </c>
      <c r="F167" s="301" t="str">
        <f>IF(B167="","",IF(ISNA(VLOOKUP($B167,'B-1 On-Site Hedge Baseline'!$B$1:$L$257,6,FALSE)),"",(VLOOKUP($B167,'B-1 On-Site Hedge Baseline'!$B$1:$L$257,6,FALSE))))</f>
        <v/>
      </c>
      <c r="G167" s="301" t="str">
        <f>IF(B167="","",IF(ISNA(VLOOKUP($B167,'B-1 On-Site Hedge Baseline'!$B$1:$L$257,7,FALSE)),"",(VLOOKUP($B167,'B-1 On-Site Hedge Baseline'!$B$1:$L$257,7,FALSE))))</f>
        <v/>
      </c>
      <c r="H167" s="301" t="str">
        <f>IF(B167="","",IF(ISNA(VLOOKUP($B167,'B-1 On-Site Hedge Baseline'!$B$1:$L$257,8,FALSE)),"",(VLOOKUP($B167,'B-1 On-Site Hedge Baseline'!$B$1:$L$257,8,FALSE))))</f>
        <v/>
      </c>
      <c r="I167" s="301" t="str">
        <f>IF(B167="","",IF(ISNA(VLOOKUP($B167,'B-1 On-Site Hedge Baseline'!$B$1:$L$257,10,FALSE)),"",(VLOOKUP($B167,'B-1 On-Site Hedge Baseline'!$B$1:$L$257,10,FALSE))))</f>
        <v/>
      </c>
      <c r="J167" s="301" t="str">
        <f>IF(B167="","",IF(ISNA(VLOOKUP($B167,'B-1 On-Site Hedge Baseline'!$B$1:$L$257,11,FALSE)),"",(VLOOKUP($B167,'B-1 On-Site Hedge Baseline'!$B$1:$L$257,11,FALSE))))</f>
        <v/>
      </c>
      <c r="K167" s="301" t="str">
        <f>IF(B167="","",IF(ISNA(VLOOKUP($B167,'B-1 On-Site Hedge Baseline'!$B$1:$U$257,13,FALSE)),"",(VLOOKUP($B167,'B-1 On-Site Hedge Baseline'!$B$1:$U$257,13,FALSE))))</f>
        <v/>
      </c>
      <c r="L167" s="305" t="str">
        <f>IF(B167="","",IF(ISNA(VLOOKUP($B167,'B-1 On-Site Hedge Baseline'!$B$1:$U$257,12,FALSE)),"",(VLOOKUP($B167,'B-1 On-Site Hedge Baseline'!$B$1:$U$257,12,FALSE))))</f>
        <v/>
      </c>
      <c r="M167" s="627"/>
      <c r="N167" s="281" t="str">
        <f>IFERROR(IF(B167="","",INDEX('G-6 Hedgerow Data'!$AN$3:$AZ$15,MATCH(C167,'G-6 Hedgerow Data'!$AM$3:$AM$15,0),MATCH(M167,'G-6 Hedgerow Data'!$AN$2:$AZ$2,0))),"")</f>
        <v/>
      </c>
      <c r="O167" s="282" t="str">
        <f t="shared" si="15"/>
        <v/>
      </c>
      <c r="P167" s="335" t="str">
        <f>IF(B167="","",VLOOKUP(B167,'B-1 On-Site Hedge Baseline'!$B$10:T412,16,FALSE))</f>
        <v/>
      </c>
      <c r="Q167" s="281" t="str">
        <f>IF(M167="","",VLOOKUP(M167,'G-6 Hedgerow Data'!$B$2:$AG$15,2,FALSE))</f>
        <v/>
      </c>
      <c r="R167" s="282" t="str">
        <f>IF(M167="","",VLOOKUP(M167,'G-6 Hedgerow Data'!$B$2:$AG$15,3,FALSE))</f>
        <v/>
      </c>
      <c r="S167" s="112"/>
      <c r="T167" s="320" t="str">
        <f>IFERROR(IF(S167="","",IF(AND(M167="Non-native and ornamental hedgerow", S167&lt;&gt;"Poor"),"Not possible ▲", (VLOOKUP(S167,'G-1 All Habitats'!$Z$2:$AA$9,2,FALSE)))),"")</f>
        <v/>
      </c>
      <c r="U167" s="109"/>
      <c r="V167" s="301" t="str">
        <f>IF(U167="","",IF(VLOOKUP(U167,'G-3 Multipliers'!$L$3:$N$6,2,FALSE)=0,"Spatial Data Missing ⚠",VLOOKUP(U167,'G-3 Multipliers'!$L$3:$N$6,2,FALSE)))</f>
        <v/>
      </c>
      <c r="W167" s="305" t="str">
        <f>IF(U167="","",IF(VLOOKUP(U167,'G-3 Multipliers'!$L$3:$N$6,3,FALSE)=0,"Spatial Data Missing ⚠",VLOOKUP(U167,'G-3 Multipliers'!$L$3:$N$6,3,FALSE)))</f>
        <v/>
      </c>
      <c r="X167" s="281" t="str">
        <f>IFERROR(IF(OR(LEFT(O167,5)="Error",LEFT(N167,5)="Error",T167="Error"),"Check Data ⚠",IF(F167&lt;R167,INDEX('G-6 Hedgerow Data'!$S$3:$AE$14,MATCH(C167,'G-6 Hedgerow Data'!$B$3:$B$14,0),MATCH(M167,'G-6 Hedgerow Data'!$S$2:$AE$2,0)),INDEX('G-6 Hedgerow Data'!$K$3:$Q$14,MATCH(M167,'G-6 Hedgerow Data'!$B$3:$B$14,0),MATCH(O167,'G-6 Hedgerow Data'!$K$2:$Q$2,0)))),"")</f>
        <v/>
      </c>
      <c r="Y167" s="137"/>
      <c r="Z167" s="137"/>
      <c r="AA167" s="289" t="str">
        <f t="shared" si="16"/>
        <v/>
      </c>
      <c r="AB167" s="302" t="str">
        <f t="shared" si="17"/>
        <v/>
      </c>
      <c r="AC167" s="303" t="str">
        <f t="shared" si="14"/>
        <v/>
      </c>
      <c r="AD167" s="317" t="str">
        <f>IF(M167="","",VLOOKUP(M167,'G-6 Hedgerow Data'!$B$3:$AG$15,31,FALSE))</f>
        <v/>
      </c>
      <c r="AE167" s="289" t="str">
        <f t="shared" si="18"/>
        <v/>
      </c>
      <c r="AF167" s="289" t="str">
        <f t="shared" si="19"/>
        <v/>
      </c>
      <c r="AG167" s="305" t="str">
        <f>IFERROR(IF(O167="","",VLOOKUP(AD167,'G-3 Multipliers'!$P$3:$Q$6,2,FALSE)),"")</f>
        <v/>
      </c>
      <c r="AH167" s="295" t="str">
        <f t="shared" si="20"/>
        <v/>
      </c>
      <c r="AI167" s="112"/>
      <c r="AJ167" s="119"/>
      <c r="AK167" s="108"/>
      <c r="AT167" s="30" t="str">
        <f>IFERROR(INDEX('G-6 Hedgerow Data'!$BJ$3:$BJ$15,MATCH(M167,'G-6 Hedgerow Data'!$B$3:$B$15,0)),"")</f>
        <v/>
      </c>
    </row>
    <row r="168" spans="2:46" ht="13.8" x14ac:dyDescent="0.25">
      <c r="B168" s="311" t="str">
        <f>'B-1 On-Site Hedge Baseline'!AK166</f>
        <v/>
      </c>
      <c r="C168" s="301" t="str">
        <f>IF(B168="","",IF(ISNA(VLOOKUP($B168,'B-1 On-Site Hedge Baseline'!$B$1:$L$257,3,FALSE)),"",(VLOOKUP($B168,'B-1 On-Site Hedge Baseline'!$B$1:$L$257,3,FALSE))))</f>
        <v/>
      </c>
      <c r="D168" s="301" t="str">
        <f>IF(B168="","",IF(ISNA(VLOOKUP($B168,'B-1 On-Site Hedge Baseline'!$B$1:$L$257,4,FALSE)),"",(VLOOKUP($B168,'B-1 On-Site Hedge Baseline'!$B$1:$L$257,4,FALSE))))</f>
        <v/>
      </c>
      <c r="E168" s="301" t="str">
        <f>IF(B168="","",IF(ISNA(VLOOKUP($B168,'B-1 On-Site Hedge Baseline'!$B$1:$L$257,5,FALSE)),"",(VLOOKUP($B168,'B-1 On-Site Hedge Baseline'!$B$1:$L$257,5,FALSE))))</f>
        <v/>
      </c>
      <c r="F168" s="301" t="str">
        <f>IF(B168="","",IF(ISNA(VLOOKUP($B168,'B-1 On-Site Hedge Baseline'!$B$1:$L$257,6,FALSE)),"",(VLOOKUP($B168,'B-1 On-Site Hedge Baseline'!$B$1:$L$257,6,FALSE))))</f>
        <v/>
      </c>
      <c r="G168" s="301" t="str">
        <f>IF(B168="","",IF(ISNA(VLOOKUP($B168,'B-1 On-Site Hedge Baseline'!$B$1:$L$257,7,FALSE)),"",(VLOOKUP($B168,'B-1 On-Site Hedge Baseline'!$B$1:$L$257,7,FALSE))))</f>
        <v/>
      </c>
      <c r="H168" s="301" t="str">
        <f>IF(B168="","",IF(ISNA(VLOOKUP($B168,'B-1 On-Site Hedge Baseline'!$B$1:$L$257,8,FALSE)),"",(VLOOKUP($B168,'B-1 On-Site Hedge Baseline'!$B$1:$L$257,8,FALSE))))</f>
        <v/>
      </c>
      <c r="I168" s="301" t="str">
        <f>IF(B168="","",IF(ISNA(VLOOKUP($B168,'B-1 On-Site Hedge Baseline'!$B$1:$L$257,10,FALSE)),"",(VLOOKUP($B168,'B-1 On-Site Hedge Baseline'!$B$1:$L$257,10,FALSE))))</f>
        <v/>
      </c>
      <c r="J168" s="301" t="str">
        <f>IF(B168="","",IF(ISNA(VLOOKUP($B168,'B-1 On-Site Hedge Baseline'!$B$1:$L$257,11,FALSE)),"",(VLOOKUP($B168,'B-1 On-Site Hedge Baseline'!$B$1:$L$257,11,FALSE))))</f>
        <v/>
      </c>
      <c r="K168" s="301" t="str">
        <f>IF(B168="","",IF(ISNA(VLOOKUP($B168,'B-1 On-Site Hedge Baseline'!$B$1:$U$257,13,FALSE)),"",(VLOOKUP($B168,'B-1 On-Site Hedge Baseline'!$B$1:$U$257,13,FALSE))))</f>
        <v/>
      </c>
      <c r="L168" s="305" t="str">
        <f>IF(B168="","",IF(ISNA(VLOOKUP($B168,'B-1 On-Site Hedge Baseline'!$B$1:$U$257,12,FALSE)),"",(VLOOKUP($B168,'B-1 On-Site Hedge Baseline'!$B$1:$U$257,12,FALSE))))</f>
        <v/>
      </c>
      <c r="M168" s="627"/>
      <c r="N168" s="281" t="str">
        <f>IFERROR(IF(B168="","",INDEX('G-6 Hedgerow Data'!$AN$3:$AZ$15,MATCH(C168,'G-6 Hedgerow Data'!$AM$3:$AM$15,0),MATCH(M168,'G-6 Hedgerow Data'!$AN$2:$AZ$2,0))),"")</f>
        <v/>
      </c>
      <c r="O168" s="282" t="str">
        <f t="shared" si="15"/>
        <v/>
      </c>
      <c r="P168" s="335" t="str">
        <f>IF(B168="","",VLOOKUP(B168,'B-1 On-Site Hedge Baseline'!$B$10:T413,16,FALSE))</f>
        <v/>
      </c>
      <c r="Q168" s="281" t="str">
        <f>IF(M168="","",VLOOKUP(M168,'G-6 Hedgerow Data'!$B$2:$AG$15,2,FALSE))</f>
        <v/>
      </c>
      <c r="R168" s="282" t="str">
        <f>IF(M168="","",VLOOKUP(M168,'G-6 Hedgerow Data'!$B$2:$AG$15,3,FALSE))</f>
        <v/>
      </c>
      <c r="S168" s="112"/>
      <c r="T168" s="320" t="str">
        <f>IFERROR(IF(S168="","",IF(AND(M168="Non-native and ornamental hedgerow", S168&lt;&gt;"Poor"),"Not possible ▲", (VLOOKUP(S168,'G-1 All Habitats'!$Z$2:$AA$9,2,FALSE)))),"")</f>
        <v/>
      </c>
      <c r="U168" s="109"/>
      <c r="V168" s="301" t="str">
        <f>IF(U168="","",IF(VLOOKUP(U168,'G-3 Multipliers'!$L$3:$N$6,2,FALSE)=0,"Spatial Data Missing ⚠",VLOOKUP(U168,'G-3 Multipliers'!$L$3:$N$6,2,FALSE)))</f>
        <v/>
      </c>
      <c r="W168" s="305" t="str">
        <f>IF(U168="","",IF(VLOOKUP(U168,'G-3 Multipliers'!$L$3:$N$6,3,FALSE)=0,"Spatial Data Missing ⚠",VLOOKUP(U168,'G-3 Multipliers'!$L$3:$N$6,3,FALSE)))</f>
        <v/>
      </c>
      <c r="X168" s="281" t="str">
        <f>IFERROR(IF(OR(LEFT(O168,5)="Error",LEFT(N168,5)="Error",T168="Error"),"Check Data ⚠",IF(F168&lt;R168,INDEX('G-6 Hedgerow Data'!$S$3:$AE$14,MATCH(C168,'G-6 Hedgerow Data'!$B$3:$B$14,0),MATCH(M168,'G-6 Hedgerow Data'!$S$2:$AE$2,0)),INDEX('G-6 Hedgerow Data'!$K$3:$Q$14,MATCH(M168,'G-6 Hedgerow Data'!$B$3:$B$14,0),MATCH(O168,'G-6 Hedgerow Data'!$K$2:$Q$2,0)))),"")</f>
        <v/>
      </c>
      <c r="Y168" s="137"/>
      <c r="Z168" s="137"/>
      <c r="AA168" s="289" t="str">
        <f t="shared" si="16"/>
        <v/>
      </c>
      <c r="AB168" s="302" t="str">
        <f t="shared" si="17"/>
        <v/>
      </c>
      <c r="AC168" s="303" t="str">
        <f t="shared" si="14"/>
        <v/>
      </c>
      <c r="AD168" s="317" t="str">
        <f>IF(M168="","",VLOOKUP(M168,'G-6 Hedgerow Data'!$B$3:$AG$15,31,FALSE))</f>
        <v/>
      </c>
      <c r="AE168" s="289" t="str">
        <f t="shared" si="18"/>
        <v/>
      </c>
      <c r="AF168" s="289" t="str">
        <f t="shared" si="19"/>
        <v/>
      </c>
      <c r="AG168" s="305" t="str">
        <f>IFERROR(IF(O168="","",VLOOKUP(AD168,'G-3 Multipliers'!$P$3:$Q$6,2,FALSE)),"")</f>
        <v/>
      </c>
      <c r="AH168" s="295" t="str">
        <f t="shared" si="20"/>
        <v/>
      </c>
      <c r="AI168" s="112"/>
      <c r="AJ168" s="119"/>
      <c r="AK168" s="108"/>
      <c r="AT168" s="30" t="str">
        <f>IFERROR(INDEX('G-6 Hedgerow Data'!$BJ$3:$BJ$15,MATCH(M168,'G-6 Hedgerow Data'!$B$3:$B$15,0)),"")</f>
        <v/>
      </c>
    </row>
    <row r="169" spans="2:46" ht="13.8" x14ac:dyDescent="0.25">
      <c r="B169" s="311" t="str">
        <f>'B-1 On-Site Hedge Baseline'!AK167</f>
        <v/>
      </c>
      <c r="C169" s="301" t="str">
        <f>IF(B169="","",IF(ISNA(VLOOKUP($B169,'B-1 On-Site Hedge Baseline'!$B$1:$L$257,3,FALSE)),"",(VLOOKUP($B169,'B-1 On-Site Hedge Baseline'!$B$1:$L$257,3,FALSE))))</f>
        <v/>
      </c>
      <c r="D169" s="301" t="str">
        <f>IF(B169="","",IF(ISNA(VLOOKUP($B169,'B-1 On-Site Hedge Baseline'!$B$1:$L$257,4,FALSE)),"",(VLOOKUP($B169,'B-1 On-Site Hedge Baseline'!$B$1:$L$257,4,FALSE))))</f>
        <v/>
      </c>
      <c r="E169" s="301" t="str">
        <f>IF(B169="","",IF(ISNA(VLOOKUP($B169,'B-1 On-Site Hedge Baseline'!$B$1:$L$257,5,FALSE)),"",(VLOOKUP($B169,'B-1 On-Site Hedge Baseline'!$B$1:$L$257,5,FALSE))))</f>
        <v/>
      </c>
      <c r="F169" s="301" t="str">
        <f>IF(B169="","",IF(ISNA(VLOOKUP($B169,'B-1 On-Site Hedge Baseline'!$B$1:$L$257,6,FALSE)),"",(VLOOKUP($B169,'B-1 On-Site Hedge Baseline'!$B$1:$L$257,6,FALSE))))</f>
        <v/>
      </c>
      <c r="G169" s="301" t="str">
        <f>IF(B169="","",IF(ISNA(VLOOKUP($B169,'B-1 On-Site Hedge Baseline'!$B$1:$L$257,7,FALSE)),"",(VLOOKUP($B169,'B-1 On-Site Hedge Baseline'!$B$1:$L$257,7,FALSE))))</f>
        <v/>
      </c>
      <c r="H169" s="301" t="str">
        <f>IF(B169="","",IF(ISNA(VLOOKUP($B169,'B-1 On-Site Hedge Baseline'!$B$1:$L$257,8,FALSE)),"",(VLOOKUP($B169,'B-1 On-Site Hedge Baseline'!$B$1:$L$257,8,FALSE))))</f>
        <v/>
      </c>
      <c r="I169" s="301" t="str">
        <f>IF(B169="","",IF(ISNA(VLOOKUP($B169,'B-1 On-Site Hedge Baseline'!$B$1:$L$257,10,FALSE)),"",(VLOOKUP($B169,'B-1 On-Site Hedge Baseline'!$B$1:$L$257,10,FALSE))))</f>
        <v/>
      </c>
      <c r="J169" s="301" t="str">
        <f>IF(B169="","",IF(ISNA(VLOOKUP($B169,'B-1 On-Site Hedge Baseline'!$B$1:$L$257,11,FALSE)),"",(VLOOKUP($B169,'B-1 On-Site Hedge Baseline'!$B$1:$L$257,11,FALSE))))</f>
        <v/>
      </c>
      <c r="K169" s="301" t="str">
        <f>IF(B169="","",IF(ISNA(VLOOKUP($B169,'B-1 On-Site Hedge Baseline'!$B$1:$U$257,13,FALSE)),"",(VLOOKUP($B169,'B-1 On-Site Hedge Baseline'!$B$1:$U$257,13,FALSE))))</f>
        <v/>
      </c>
      <c r="L169" s="305" t="str">
        <f>IF(B169="","",IF(ISNA(VLOOKUP($B169,'B-1 On-Site Hedge Baseline'!$B$1:$U$257,12,FALSE)),"",(VLOOKUP($B169,'B-1 On-Site Hedge Baseline'!$B$1:$U$257,12,FALSE))))</f>
        <v/>
      </c>
      <c r="M169" s="627"/>
      <c r="N169" s="281" t="str">
        <f>IFERROR(IF(B169="","",INDEX('G-6 Hedgerow Data'!$AN$3:$AZ$15,MATCH(C169,'G-6 Hedgerow Data'!$AM$3:$AM$15,0),MATCH(M169,'G-6 Hedgerow Data'!$AN$2:$AZ$2,0))),"")</f>
        <v/>
      </c>
      <c r="O169" s="282" t="str">
        <f t="shared" si="15"/>
        <v/>
      </c>
      <c r="P169" s="335" t="str">
        <f>IF(B169="","",VLOOKUP(B169,'B-1 On-Site Hedge Baseline'!$B$10:T414,16,FALSE))</f>
        <v/>
      </c>
      <c r="Q169" s="281" t="str">
        <f>IF(M169="","",VLOOKUP(M169,'G-6 Hedgerow Data'!$B$2:$AG$15,2,FALSE))</f>
        <v/>
      </c>
      <c r="R169" s="282" t="str">
        <f>IF(M169="","",VLOOKUP(M169,'G-6 Hedgerow Data'!$B$2:$AG$15,3,FALSE))</f>
        <v/>
      </c>
      <c r="S169" s="112"/>
      <c r="T169" s="320" t="str">
        <f>IFERROR(IF(S169="","",IF(AND(M169="Non-native and ornamental hedgerow", S169&lt;&gt;"Poor"),"Not possible ▲", (VLOOKUP(S169,'G-1 All Habitats'!$Z$2:$AA$9,2,FALSE)))),"")</f>
        <v/>
      </c>
      <c r="U169" s="109"/>
      <c r="V169" s="301" t="str">
        <f>IF(U169="","",IF(VLOOKUP(U169,'G-3 Multipliers'!$L$3:$N$6,2,FALSE)=0,"Spatial Data Missing ⚠",VLOOKUP(U169,'G-3 Multipliers'!$L$3:$N$6,2,FALSE)))</f>
        <v/>
      </c>
      <c r="W169" s="305" t="str">
        <f>IF(U169="","",IF(VLOOKUP(U169,'G-3 Multipliers'!$L$3:$N$6,3,FALSE)=0,"Spatial Data Missing ⚠",VLOOKUP(U169,'G-3 Multipliers'!$L$3:$N$6,3,FALSE)))</f>
        <v/>
      </c>
      <c r="X169" s="281" t="str">
        <f>IFERROR(IF(OR(LEFT(O169,5)="Error",LEFT(N169,5)="Error",T169="Error"),"Check Data ⚠",IF(F169&lt;R169,INDEX('G-6 Hedgerow Data'!$S$3:$AE$14,MATCH(C169,'G-6 Hedgerow Data'!$B$3:$B$14,0),MATCH(M169,'G-6 Hedgerow Data'!$S$2:$AE$2,0)),INDEX('G-6 Hedgerow Data'!$K$3:$Q$14,MATCH(M169,'G-6 Hedgerow Data'!$B$3:$B$14,0),MATCH(O169,'G-6 Hedgerow Data'!$K$2:$Q$2,0)))),"")</f>
        <v/>
      </c>
      <c r="Y169" s="137"/>
      <c r="Z169" s="137"/>
      <c r="AA169" s="289" t="str">
        <f t="shared" si="16"/>
        <v/>
      </c>
      <c r="AB169" s="302" t="str">
        <f t="shared" si="17"/>
        <v/>
      </c>
      <c r="AC169" s="303" t="str">
        <f t="shared" si="14"/>
        <v/>
      </c>
      <c r="AD169" s="317" t="str">
        <f>IF(M169="","",VLOOKUP(M169,'G-6 Hedgerow Data'!$B$3:$AG$15,31,FALSE))</f>
        <v/>
      </c>
      <c r="AE169" s="289" t="str">
        <f t="shared" si="18"/>
        <v/>
      </c>
      <c r="AF169" s="289" t="str">
        <f t="shared" si="19"/>
        <v/>
      </c>
      <c r="AG169" s="305" t="str">
        <f>IFERROR(IF(O169="","",VLOOKUP(AD169,'G-3 Multipliers'!$P$3:$Q$6,2,FALSE)),"")</f>
        <v/>
      </c>
      <c r="AH169" s="295" t="str">
        <f t="shared" si="20"/>
        <v/>
      </c>
      <c r="AI169" s="112"/>
      <c r="AJ169" s="119"/>
      <c r="AK169" s="108"/>
      <c r="AT169" s="30" t="str">
        <f>IFERROR(INDEX('G-6 Hedgerow Data'!$BJ$3:$BJ$15,MATCH(M169,'G-6 Hedgerow Data'!$B$3:$B$15,0)),"")</f>
        <v/>
      </c>
    </row>
    <row r="170" spans="2:46" ht="13.8" x14ac:dyDescent="0.25">
      <c r="B170" s="311" t="str">
        <f>'B-1 On-Site Hedge Baseline'!AK168</f>
        <v/>
      </c>
      <c r="C170" s="301" t="str">
        <f>IF(B170="","",IF(ISNA(VLOOKUP($B170,'B-1 On-Site Hedge Baseline'!$B$1:$L$257,3,FALSE)),"",(VLOOKUP($B170,'B-1 On-Site Hedge Baseline'!$B$1:$L$257,3,FALSE))))</f>
        <v/>
      </c>
      <c r="D170" s="301" t="str">
        <f>IF(B170="","",IF(ISNA(VLOOKUP($B170,'B-1 On-Site Hedge Baseline'!$B$1:$L$257,4,FALSE)),"",(VLOOKUP($B170,'B-1 On-Site Hedge Baseline'!$B$1:$L$257,4,FALSE))))</f>
        <v/>
      </c>
      <c r="E170" s="301" t="str">
        <f>IF(B170="","",IF(ISNA(VLOOKUP($B170,'B-1 On-Site Hedge Baseline'!$B$1:$L$257,5,FALSE)),"",(VLOOKUP($B170,'B-1 On-Site Hedge Baseline'!$B$1:$L$257,5,FALSE))))</f>
        <v/>
      </c>
      <c r="F170" s="301" t="str">
        <f>IF(B170="","",IF(ISNA(VLOOKUP($B170,'B-1 On-Site Hedge Baseline'!$B$1:$L$257,6,FALSE)),"",(VLOOKUP($B170,'B-1 On-Site Hedge Baseline'!$B$1:$L$257,6,FALSE))))</f>
        <v/>
      </c>
      <c r="G170" s="301" t="str">
        <f>IF(B170="","",IF(ISNA(VLOOKUP($B170,'B-1 On-Site Hedge Baseline'!$B$1:$L$257,7,FALSE)),"",(VLOOKUP($B170,'B-1 On-Site Hedge Baseline'!$B$1:$L$257,7,FALSE))))</f>
        <v/>
      </c>
      <c r="H170" s="301" t="str">
        <f>IF(B170="","",IF(ISNA(VLOOKUP($B170,'B-1 On-Site Hedge Baseline'!$B$1:$L$257,8,FALSE)),"",(VLOOKUP($B170,'B-1 On-Site Hedge Baseline'!$B$1:$L$257,8,FALSE))))</f>
        <v/>
      </c>
      <c r="I170" s="301" t="str">
        <f>IF(B170="","",IF(ISNA(VLOOKUP($B170,'B-1 On-Site Hedge Baseline'!$B$1:$L$257,10,FALSE)),"",(VLOOKUP($B170,'B-1 On-Site Hedge Baseline'!$B$1:$L$257,10,FALSE))))</f>
        <v/>
      </c>
      <c r="J170" s="301" t="str">
        <f>IF(B170="","",IF(ISNA(VLOOKUP($B170,'B-1 On-Site Hedge Baseline'!$B$1:$L$257,11,FALSE)),"",(VLOOKUP($B170,'B-1 On-Site Hedge Baseline'!$B$1:$L$257,11,FALSE))))</f>
        <v/>
      </c>
      <c r="K170" s="301" t="str">
        <f>IF(B170="","",IF(ISNA(VLOOKUP($B170,'B-1 On-Site Hedge Baseline'!$B$1:$U$257,13,FALSE)),"",(VLOOKUP($B170,'B-1 On-Site Hedge Baseline'!$B$1:$U$257,13,FALSE))))</f>
        <v/>
      </c>
      <c r="L170" s="305" t="str">
        <f>IF(B170="","",IF(ISNA(VLOOKUP($B170,'B-1 On-Site Hedge Baseline'!$B$1:$U$257,12,FALSE)),"",(VLOOKUP($B170,'B-1 On-Site Hedge Baseline'!$B$1:$U$257,12,FALSE))))</f>
        <v/>
      </c>
      <c r="M170" s="627"/>
      <c r="N170" s="281" t="str">
        <f>IFERROR(IF(B170="","",INDEX('G-6 Hedgerow Data'!$AN$3:$AZ$15,MATCH(C170,'G-6 Hedgerow Data'!$AM$3:$AM$15,0),MATCH(M170,'G-6 Hedgerow Data'!$AN$2:$AZ$2,0))),"")</f>
        <v/>
      </c>
      <c r="O170" s="282" t="str">
        <f t="shared" si="15"/>
        <v/>
      </c>
      <c r="P170" s="335" t="str">
        <f>IF(B170="","",VLOOKUP(B170,'B-1 On-Site Hedge Baseline'!$B$10:T415,16,FALSE))</f>
        <v/>
      </c>
      <c r="Q170" s="281" t="str">
        <f>IF(M170="","",VLOOKUP(M170,'G-6 Hedgerow Data'!$B$2:$AG$15,2,FALSE))</f>
        <v/>
      </c>
      <c r="R170" s="282" t="str">
        <f>IF(M170="","",VLOOKUP(M170,'G-6 Hedgerow Data'!$B$2:$AG$15,3,FALSE))</f>
        <v/>
      </c>
      <c r="S170" s="112"/>
      <c r="T170" s="320" t="str">
        <f>IFERROR(IF(S170="","",IF(AND(M170="Non-native and ornamental hedgerow", S170&lt;&gt;"Poor"),"Not possible ▲", (VLOOKUP(S170,'G-1 All Habitats'!$Z$2:$AA$9,2,FALSE)))),"")</f>
        <v/>
      </c>
      <c r="U170" s="109"/>
      <c r="V170" s="301" t="str">
        <f>IF(U170="","",IF(VLOOKUP(U170,'G-3 Multipliers'!$L$3:$N$6,2,FALSE)=0,"Spatial Data Missing ⚠",VLOOKUP(U170,'G-3 Multipliers'!$L$3:$N$6,2,FALSE)))</f>
        <v/>
      </c>
      <c r="W170" s="305" t="str">
        <f>IF(U170="","",IF(VLOOKUP(U170,'G-3 Multipliers'!$L$3:$N$6,3,FALSE)=0,"Spatial Data Missing ⚠",VLOOKUP(U170,'G-3 Multipliers'!$L$3:$N$6,3,FALSE)))</f>
        <v/>
      </c>
      <c r="X170" s="281" t="str">
        <f>IFERROR(IF(OR(LEFT(O170,5)="Error",LEFT(N170,5)="Error",T170="Error"),"Check Data ⚠",IF(F170&lt;R170,INDEX('G-6 Hedgerow Data'!$S$3:$AE$14,MATCH(C170,'G-6 Hedgerow Data'!$B$3:$B$14,0),MATCH(M170,'G-6 Hedgerow Data'!$S$2:$AE$2,0)),INDEX('G-6 Hedgerow Data'!$K$3:$Q$14,MATCH(M170,'G-6 Hedgerow Data'!$B$3:$B$14,0),MATCH(O170,'G-6 Hedgerow Data'!$K$2:$Q$2,0)))),"")</f>
        <v/>
      </c>
      <c r="Y170" s="137"/>
      <c r="Z170" s="137"/>
      <c r="AA170" s="289" t="str">
        <f t="shared" si="16"/>
        <v/>
      </c>
      <c r="AB170" s="302" t="str">
        <f t="shared" si="17"/>
        <v/>
      </c>
      <c r="AC170" s="303" t="str">
        <f t="shared" si="14"/>
        <v/>
      </c>
      <c r="AD170" s="317" t="str">
        <f>IF(M170="","",VLOOKUP(M170,'G-6 Hedgerow Data'!$B$3:$AG$15,31,FALSE))</f>
        <v/>
      </c>
      <c r="AE170" s="289" t="str">
        <f t="shared" si="18"/>
        <v/>
      </c>
      <c r="AF170" s="289" t="str">
        <f t="shared" si="19"/>
        <v/>
      </c>
      <c r="AG170" s="305" t="str">
        <f>IFERROR(IF(O170="","",VLOOKUP(AD170,'G-3 Multipliers'!$P$3:$Q$6,2,FALSE)),"")</f>
        <v/>
      </c>
      <c r="AH170" s="295" t="str">
        <f t="shared" si="20"/>
        <v/>
      </c>
      <c r="AI170" s="112"/>
      <c r="AJ170" s="119"/>
      <c r="AK170" s="108"/>
      <c r="AT170" s="30" t="str">
        <f>IFERROR(INDEX('G-6 Hedgerow Data'!$BJ$3:$BJ$15,MATCH(M170,'G-6 Hedgerow Data'!$B$3:$B$15,0)),"")</f>
        <v/>
      </c>
    </row>
    <row r="171" spans="2:46" ht="13.8" x14ac:dyDescent="0.25">
      <c r="B171" s="311" t="str">
        <f>'B-1 On-Site Hedge Baseline'!AK169</f>
        <v/>
      </c>
      <c r="C171" s="301" t="str">
        <f>IF(B171="","",IF(ISNA(VLOOKUP($B171,'B-1 On-Site Hedge Baseline'!$B$1:$L$257,3,FALSE)),"",(VLOOKUP($B171,'B-1 On-Site Hedge Baseline'!$B$1:$L$257,3,FALSE))))</f>
        <v/>
      </c>
      <c r="D171" s="301" t="str">
        <f>IF(B171="","",IF(ISNA(VLOOKUP($B171,'B-1 On-Site Hedge Baseline'!$B$1:$L$257,4,FALSE)),"",(VLOOKUP($B171,'B-1 On-Site Hedge Baseline'!$B$1:$L$257,4,FALSE))))</f>
        <v/>
      </c>
      <c r="E171" s="301" t="str">
        <f>IF(B171="","",IF(ISNA(VLOOKUP($B171,'B-1 On-Site Hedge Baseline'!$B$1:$L$257,5,FALSE)),"",(VLOOKUP($B171,'B-1 On-Site Hedge Baseline'!$B$1:$L$257,5,FALSE))))</f>
        <v/>
      </c>
      <c r="F171" s="301" t="str">
        <f>IF(B171="","",IF(ISNA(VLOOKUP($B171,'B-1 On-Site Hedge Baseline'!$B$1:$L$257,6,FALSE)),"",(VLOOKUP($B171,'B-1 On-Site Hedge Baseline'!$B$1:$L$257,6,FALSE))))</f>
        <v/>
      </c>
      <c r="G171" s="301" t="str">
        <f>IF(B171="","",IF(ISNA(VLOOKUP($B171,'B-1 On-Site Hedge Baseline'!$B$1:$L$257,7,FALSE)),"",(VLOOKUP($B171,'B-1 On-Site Hedge Baseline'!$B$1:$L$257,7,FALSE))))</f>
        <v/>
      </c>
      <c r="H171" s="301" t="str">
        <f>IF(B171="","",IF(ISNA(VLOOKUP($B171,'B-1 On-Site Hedge Baseline'!$B$1:$L$257,8,FALSE)),"",(VLOOKUP($B171,'B-1 On-Site Hedge Baseline'!$B$1:$L$257,8,FALSE))))</f>
        <v/>
      </c>
      <c r="I171" s="301" t="str">
        <f>IF(B171="","",IF(ISNA(VLOOKUP($B171,'B-1 On-Site Hedge Baseline'!$B$1:$L$257,10,FALSE)),"",(VLOOKUP($B171,'B-1 On-Site Hedge Baseline'!$B$1:$L$257,10,FALSE))))</f>
        <v/>
      </c>
      <c r="J171" s="301" t="str">
        <f>IF(B171="","",IF(ISNA(VLOOKUP($B171,'B-1 On-Site Hedge Baseline'!$B$1:$L$257,11,FALSE)),"",(VLOOKUP($B171,'B-1 On-Site Hedge Baseline'!$B$1:$L$257,11,FALSE))))</f>
        <v/>
      </c>
      <c r="K171" s="301" t="str">
        <f>IF(B171="","",IF(ISNA(VLOOKUP($B171,'B-1 On-Site Hedge Baseline'!$B$1:$U$257,13,FALSE)),"",(VLOOKUP($B171,'B-1 On-Site Hedge Baseline'!$B$1:$U$257,13,FALSE))))</f>
        <v/>
      </c>
      <c r="L171" s="305" t="str">
        <f>IF(B171="","",IF(ISNA(VLOOKUP($B171,'B-1 On-Site Hedge Baseline'!$B$1:$U$257,12,FALSE)),"",(VLOOKUP($B171,'B-1 On-Site Hedge Baseline'!$B$1:$U$257,12,FALSE))))</f>
        <v/>
      </c>
      <c r="M171" s="627"/>
      <c r="N171" s="281" t="str">
        <f>IFERROR(IF(B171="","",INDEX('G-6 Hedgerow Data'!$AN$3:$AZ$15,MATCH(C171,'G-6 Hedgerow Data'!$AM$3:$AM$15,0),MATCH(M171,'G-6 Hedgerow Data'!$AN$2:$AZ$2,0))),"")</f>
        <v/>
      </c>
      <c r="O171" s="282" t="str">
        <f t="shared" si="15"/>
        <v/>
      </c>
      <c r="P171" s="335" t="str">
        <f>IF(B171="","",VLOOKUP(B171,'B-1 On-Site Hedge Baseline'!$B$10:T416,16,FALSE))</f>
        <v/>
      </c>
      <c r="Q171" s="281" t="str">
        <f>IF(M171="","",VLOOKUP(M171,'G-6 Hedgerow Data'!$B$2:$AG$15,2,FALSE))</f>
        <v/>
      </c>
      <c r="R171" s="282" t="str">
        <f>IF(M171="","",VLOOKUP(M171,'G-6 Hedgerow Data'!$B$2:$AG$15,3,FALSE))</f>
        <v/>
      </c>
      <c r="S171" s="112"/>
      <c r="T171" s="320" t="str">
        <f>IFERROR(IF(S171="","",IF(AND(M171="Non-native and ornamental hedgerow", S171&lt;&gt;"Poor"),"Not possible ▲", (VLOOKUP(S171,'G-1 All Habitats'!$Z$2:$AA$9,2,FALSE)))),"")</f>
        <v/>
      </c>
      <c r="U171" s="109"/>
      <c r="V171" s="301" t="str">
        <f>IF(U171="","",IF(VLOOKUP(U171,'G-3 Multipliers'!$L$3:$N$6,2,FALSE)=0,"Spatial Data Missing ⚠",VLOOKUP(U171,'G-3 Multipliers'!$L$3:$N$6,2,FALSE)))</f>
        <v/>
      </c>
      <c r="W171" s="305" t="str">
        <f>IF(U171="","",IF(VLOOKUP(U171,'G-3 Multipliers'!$L$3:$N$6,3,FALSE)=0,"Spatial Data Missing ⚠",VLOOKUP(U171,'G-3 Multipliers'!$L$3:$N$6,3,FALSE)))</f>
        <v/>
      </c>
      <c r="X171" s="281" t="str">
        <f>IFERROR(IF(OR(LEFT(O171,5)="Error",LEFT(N171,5)="Error",T171="Error"),"Check Data ⚠",IF(F171&lt;R171,INDEX('G-6 Hedgerow Data'!$S$3:$AE$14,MATCH(C171,'G-6 Hedgerow Data'!$B$3:$B$14,0),MATCH(M171,'G-6 Hedgerow Data'!$S$2:$AE$2,0)),INDEX('G-6 Hedgerow Data'!$K$3:$Q$14,MATCH(M171,'G-6 Hedgerow Data'!$B$3:$B$14,0),MATCH(O171,'G-6 Hedgerow Data'!$K$2:$Q$2,0)))),"")</f>
        <v/>
      </c>
      <c r="Y171" s="137"/>
      <c r="Z171" s="137"/>
      <c r="AA171" s="289" t="str">
        <f t="shared" si="16"/>
        <v/>
      </c>
      <c r="AB171" s="302" t="str">
        <f t="shared" si="17"/>
        <v/>
      </c>
      <c r="AC171" s="303" t="str">
        <f t="shared" si="14"/>
        <v/>
      </c>
      <c r="AD171" s="317" t="str">
        <f>IF(M171="","",VLOOKUP(M171,'G-6 Hedgerow Data'!$B$3:$AG$15,31,FALSE))</f>
        <v/>
      </c>
      <c r="AE171" s="289" t="str">
        <f t="shared" si="18"/>
        <v/>
      </c>
      <c r="AF171" s="289" t="str">
        <f t="shared" si="19"/>
        <v/>
      </c>
      <c r="AG171" s="305" t="str">
        <f>IFERROR(IF(O171="","",VLOOKUP(AD171,'G-3 Multipliers'!$P$3:$Q$6,2,FALSE)),"")</f>
        <v/>
      </c>
      <c r="AH171" s="295" t="str">
        <f t="shared" si="20"/>
        <v/>
      </c>
      <c r="AI171" s="112"/>
      <c r="AJ171" s="119"/>
      <c r="AK171" s="108"/>
      <c r="AT171" s="30" t="str">
        <f>IFERROR(INDEX('G-6 Hedgerow Data'!$BJ$3:$BJ$15,MATCH(M171,'G-6 Hedgerow Data'!$B$3:$B$15,0)),"")</f>
        <v/>
      </c>
    </row>
    <row r="172" spans="2:46" ht="13.8" x14ac:dyDescent="0.25">
      <c r="B172" s="311" t="str">
        <f>'B-1 On-Site Hedge Baseline'!AK170</f>
        <v/>
      </c>
      <c r="C172" s="301" t="str">
        <f>IF(B172="","",IF(ISNA(VLOOKUP($B172,'B-1 On-Site Hedge Baseline'!$B$1:$L$257,3,FALSE)),"",(VLOOKUP($B172,'B-1 On-Site Hedge Baseline'!$B$1:$L$257,3,FALSE))))</f>
        <v/>
      </c>
      <c r="D172" s="301" t="str">
        <f>IF(B172="","",IF(ISNA(VLOOKUP($B172,'B-1 On-Site Hedge Baseline'!$B$1:$L$257,4,FALSE)),"",(VLOOKUP($B172,'B-1 On-Site Hedge Baseline'!$B$1:$L$257,4,FALSE))))</f>
        <v/>
      </c>
      <c r="E172" s="301" t="str">
        <f>IF(B172="","",IF(ISNA(VLOOKUP($B172,'B-1 On-Site Hedge Baseline'!$B$1:$L$257,5,FALSE)),"",(VLOOKUP($B172,'B-1 On-Site Hedge Baseline'!$B$1:$L$257,5,FALSE))))</f>
        <v/>
      </c>
      <c r="F172" s="301" t="str">
        <f>IF(B172="","",IF(ISNA(VLOOKUP($B172,'B-1 On-Site Hedge Baseline'!$B$1:$L$257,6,FALSE)),"",(VLOOKUP($B172,'B-1 On-Site Hedge Baseline'!$B$1:$L$257,6,FALSE))))</f>
        <v/>
      </c>
      <c r="G172" s="301" t="str">
        <f>IF(B172="","",IF(ISNA(VLOOKUP($B172,'B-1 On-Site Hedge Baseline'!$B$1:$L$257,7,FALSE)),"",(VLOOKUP($B172,'B-1 On-Site Hedge Baseline'!$B$1:$L$257,7,FALSE))))</f>
        <v/>
      </c>
      <c r="H172" s="301" t="str">
        <f>IF(B172="","",IF(ISNA(VLOOKUP($B172,'B-1 On-Site Hedge Baseline'!$B$1:$L$257,8,FALSE)),"",(VLOOKUP($B172,'B-1 On-Site Hedge Baseline'!$B$1:$L$257,8,FALSE))))</f>
        <v/>
      </c>
      <c r="I172" s="301" t="str">
        <f>IF(B172="","",IF(ISNA(VLOOKUP($B172,'B-1 On-Site Hedge Baseline'!$B$1:$L$257,10,FALSE)),"",(VLOOKUP($B172,'B-1 On-Site Hedge Baseline'!$B$1:$L$257,10,FALSE))))</f>
        <v/>
      </c>
      <c r="J172" s="301" t="str">
        <f>IF(B172="","",IF(ISNA(VLOOKUP($B172,'B-1 On-Site Hedge Baseline'!$B$1:$L$257,11,FALSE)),"",(VLOOKUP($B172,'B-1 On-Site Hedge Baseline'!$B$1:$L$257,11,FALSE))))</f>
        <v/>
      </c>
      <c r="K172" s="301" t="str">
        <f>IF(B172="","",IF(ISNA(VLOOKUP($B172,'B-1 On-Site Hedge Baseline'!$B$1:$U$257,13,FALSE)),"",(VLOOKUP($B172,'B-1 On-Site Hedge Baseline'!$B$1:$U$257,13,FALSE))))</f>
        <v/>
      </c>
      <c r="L172" s="305" t="str">
        <f>IF(B172="","",IF(ISNA(VLOOKUP($B172,'B-1 On-Site Hedge Baseline'!$B$1:$U$257,12,FALSE)),"",(VLOOKUP($B172,'B-1 On-Site Hedge Baseline'!$B$1:$U$257,12,FALSE))))</f>
        <v/>
      </c>
      <c r="M172" s="627"/>
      <c r="N172" s="281" t="str">
        <f>IFERROR(IF(B172="","",INDEX('G-6 Hedgerow Data'!$AN$3:$AZ$15,MATCH(C172,'G-6 Hedgerow Data'!$AM$3:$AM$15,0),MATCH(M172,'G-6 Hedgerow Data'!$AN$2:$AZ$2,0))),"")</f>
        <v/>
      </c>
      <c r="O172" s="282" t="str">
        <f t="shared" si="15"/>
        <v/>
      </c>
      <c r="P172" s="335" t="str">
        <f>IF(B172="","",VLOOKUP(B172,'B-1 On-Site Hedge Baseline'!$B$10:T417,16,FALSE))</f>
        <v/>
      </c>
      <c r="Q172" s="281" t="str">
        <f>IF(M172="","",VLOOKUP(M172,'G-6 Hedgerow Data'!$B$2:$AG$15,2,FALSE))</f>
        <v/>
      </c>
      <c r="R172" s="282" t="str">
        <f>IF(M172="","",VLOOKUP(M172,'G-6 Hedgerow Data'!$B$2:$AG$15,3,FALSE))</f>
        <v/>
      </c>
      <c r="S172" s="112"/>
      <c r="T172" s="320" t="str">
        <f>IFERROR(IF(S172="","",IF(AND(M172="Non-native and ornamental hedgerow", S172&lt;&gt;"Poor"),"Not possible ▲", (VLOOKUP(S172,'G-1 All Habitats'!$Z$2:$AA$9,2,FALSE)))),"")</f>
        <v/>
      </c>
      <c r="U172" s="109"/>
      <c r="V172" s="301" t="str">
        <f>IF(U172="","",IF(VLOOKUP(U172,'G-3 Multipliers'!$L$3:$N$6,2,FALSE)=0,"Spatial Data Missing ⚠",VLOOKUP(U172,'G-3 Multipliers'!$L$3:$N$6,2,FALSE)))</f>
        <v/>
      </c>
      <c r="W172" s="305" t="str">
        <f>IF(U172="","",IF(VLOOKUP(U172,'G-3 Multipliers'!$L$3:$N$6,3,FALSE)=0,"Spatial Data Missing ⚠",VLOOKUP(U172,'G-3 Multipliers'!$L$3:$N$6,3,FALSE)))</f>
        <v/>
      </c>
      <c r="X172" s="281" t="str">
        <f>IFERROR(IF(OR(LEFT(O172,5)="Error",LEFT(N172,5)="Error",T172="Error"),"Check Data ⚠",IF(F172&lt;R172,INDEX('G-6 Hedgerow Data'!$S$3:$AE$14,MATCH(C172,'G-6 Hedgerow Data'!$B$3:$B$14,0),MATCH(M172,'G-6 Hedgerow Data'!$S$2:$AE$2,0)),INDEX('G-6 Hedgerow Data'!$K$3:$Q$14,MATCH(M172,'G-6 Hedgerow Data'!$B$3:$B$14,0),MATCH(O172,'G-6 Hedgerow Data'!$K$2:$Q$2,0)))),"")</f>
        <v/>
      </c>
      <c r="Y172" s="137"/>
      <c r="Z172" s="137"/>
      <c r="AA172" s="289" t="str">
        <f t="shared" si="16"/>
        <v/>
      </c>
      <c r="AB172" s="302" t="str">
        <f t="shared" si="17"/>
        <v/>
      </c>
      <c r="AC172" s="303" t="str">
        <f t="shared" si="14"/>
        <v/>
      </c>
      <c r="AD172" s="317" t="str">
        <f>IF(M172="","",VLOOKUP(M172,'G-6 Hedgerow Data'!$B$3:$AG$15,31,FALSE))</f>
        <v/>
      </c>
      <c r="AE172" s="289" t="str">
        <f t="shared" si="18"/>
        <v/>
      </c>
      <c r="AF172" s="289" t="str">
        <f t="shared" si="19"/>
        <v/>
      </c>
      <c r="AG172" s="305" t="str">
        <f>IFERROR(IF(O172="","",VLOOKUP(AD172,'G-3 Multipliers'!$P$3:$Q$6,2,FALSE)),"")</f>
        <v/>
      </c>
      <c r="AH172" s="295" t="str">
        <f t="shared" si="20"/>
        <v/>
      </c>
      <c r="AI172" s="112"/>
      <c r="AJ172" s="119"/>
      <c r="AK172" s="108"/>
      <c r="AT172" s="30" t="str">
        <f>IFERROR(INDEX('G-6 Hedgerow Data'!$BJ$3:$BJ$15,MATCH(M172,'G-6 Hedgerow Data'!$B$3:$B$15,0)),"")</f>
        <v/>
      </c>
    </row>
    <row r="173" spans="2:46" ht="13.8" x14ac:dyDescent="0.25">
      <c r="B173" s="311" t="str">
        <f>'B-1 On-Site Hedge Baseline'!AK171</f>
        <v/>
      </c>
      <c r="C173" s="301" t="str">
        <f>IF(B173="","",IF(ISNA(VLOOKUP($B173,'B-1 On-Site Hedge Baseline'!$B$1:$L$257,3,FALSE)),"",(VLOOKUP($B173,'B-1 On-Site Hedge Baseline'!$B$1:$L$257,3,FALSE))))</f>
        <v/>
      </c>
      <c r="D173" s="301" t="str">
        <f>IF(B173="","",IF(ISNA(VLOOKUP($B173,'B-1 On-Site Hedge Baseline'!$B$1:$L$257,4,FALSE)),"",(VLOOKUP($B173,'B-1 On-Site Hedge Baseline'!$B$1:$L$257,4,FALSE))))</f>
        <v/>
      </c>
      <c r="E173" s="301" t="str">
        <f>IF(B173="","",IF(ISNA(VLOOKUP($B173,'B-1 On-Site Hedge Baseline'!$B$1:$L$257,5,FALSE)),"",(VLOOKUP($B173,'B-1 On-Site Hedge Baseline'!$B$1:$L$257,5,FALSE))))</f>
        <v/>
      </c>
      <c r="F173" s="301" t="str">
        <f>IF(B173="","",IF(ISNA(VLOOKUP($B173,'B-1 On-Site Hedge Baseline'!$B$1:$L$257,6,FALSE)),"",(VLOOKUP($B173,'B-1 On-Site Hedge Baseline'!$B$1:$L$257,6,FALSE))))</f>
        <v/>
      </c>
      <c r="G173" s="301" t="str">
        <f>IF(B173="","",IF(ISNA(VLOOKUP($B173,'B-1 On-Site Hedge Baseline'!$B$1:$L$257,7,FALSE)),"",(VLOOKUP($B173,'B-1 On-Site Hedge Baseline'!$B$1:$L$257,7,FALSE))))</f>
        <v/>
      </c>
      <c r="H173" s="301" t="str">
        <f>IF(B173="","",IF(ISNA(VLOOKUP($B173,'B-1 On-Site Hedge Baseline'!$B$1:$L$257,8,FALSE)),"",(VLOOKUP($B173,'B-1 On-Site Hedge Baseline'!$B$1:$L$257,8,FALSE))))</f>
        <v/>
      </c>
      <c r="I173" s="301" t="str">
        <f>IF(B173="","",IF(ISNA(VLOOKUP($B173,'B-1 On-Site Hedge Baseline'!$B$1:$L$257,10,FALSE)),"",(VLOOKUP($B173,'B-1 On-Site Hedge Baseline'!$B$1:$L$257,10,FALSE))))</f>
        <v/>
      </c>
      <c r="J173" s="301" t="str">
        <f>IF(B173="","",IF(ISNA(VLOOKUP($B173,'B-1 On-Site Hedge Baseline'!$B$1:$L$257,11,FALSE)),"",(VLOOKUP($B173,'B-1 On-Site Hedge Baseline'!$B$1:$L$257,11,FALSE))))</f>
        <v/>
      </c>
      <c r="K173" s="301" t="str">
        <f>IF(B173="","",IF(ISNA(VLOOKUP($B173,'B-1 On-Site Hedge Baseline'!$B$1:$U$257,13,FALSE)),"",(VLOOKUP($B173,'B-1 On-Site Hedge Baseline'!$B$1:$U$257,13,FALSE))))</f>
        <v/>
      </c>
      <c r="L173" s="305" t="str">
        <f>IF(B173="","",IF(ISNA(VLOOKUP($B173,'B-1 On-Site Hedge Baseline'!$B$1:$U$257,12,FALSE)),"",(VLOOKUP($B173,'B-1 On-Site Hedge Baseline'!$B$1:$U$257,12,FALSE))))</f>
        <v/>
      </c>
      <c r="M173" s="627"/>
      <c r="N173" s="281" t="str">
        <f>IFERROR(IF(B173="","",INDEX('G-6 Hedgerow Data'!$AN$3:$AZ$15,MATCH(C173,'G-6 Hedgerow Data'!$AM$3:$AM$15,0),MATCH(M173,'G-6 Hedgerow Data'!$AN$2:$AZ$2,0))),"")</f>
        <v/>
      </c>
      <c r="O173" s="282" t="str">
        <f t="shared" si="15"/>
        <v/>
      </c>
      <c r="P173" s="335" t="str">
        <f>IF(B173="","",VLOOKUP(B173,'B-1 On-Site Hedge Baseline'!$B$10:T418,16,FALSE))</f>
        <v/>
      </c>
      <c r="Q173" s="281" t="str">
        <f>IF(M173="","",VLOOKUP(M173,'G-6 Hedgerow Data'!$B$2:$AG$15,2,FALSE))</f>
        <v/>
      </c>
      <c r="R173" s="282" t="str">
        <f>IF(M173="","",VLOOKUP(M173,'G-6 Hedgerow Data'!$B$2:$AG$15,3,FALSE))</f>
        <v/>
      </c>
      <c r="S173" s="112"/>
      <c r="T173" s="320" t="str">
        <f>IFERROR(IF(S173="","",IF(AND(M173="Non-native and ornamental hedgerow", S173&lt;&gt;"Poor"),"Not possible ▲", (VLOOKUP(S173,'G-1 All Habitats'!$Z$2:$AA$9,2,FALSE)))),"")</f>
        <v/>
      </c>
      <c r="U173" s="109"/>
      <c r="V173" s="301" t="str">
        <f>IF(U173="","",IF(VLOOKUP(U173,'G-3 Multipliers'!$L$3:$N$6,2,FALSE)=0,"Spatial Data Missing ⚠",VLOOKUP(U173,'G-3 Multipliers'!$L$3:$N$6,2,FALSE)))</f>
        <v/>
      </c>
      <c r="W173" s="305" t="str">
        <f>IF(U173="","",IF(VLOOKUP(U173,'G-3 Multipliers'!$L$3:$N$6,3,FALSE)=0,"Spatial Data Missing ⚠",VLOOKUP(U173,'G-3 Multipliers'!$L$3:$N$6,3,FALSE)))</f>
        <v/>
      </c>
      <c r="X173" s="281" t="str">
        <f>IFERROR(IF(OR(LEFT(O173,5)="Error",LEFT(N173,5)="Error",T173="Error"),"Check Data ⚠",IF(F173&lt;R173,INDEX('G-6 Hedgerow Data'!$S$3:$AE$14,MATCH(C173,'G-6 Hedgerow Data'!$B$3:$B$14,0),MATCH(M173,'G-6 Hedgerow Data'!$S$2:$AE$2,0)),INDEX('G-6 Hedgerow Data'!$K$3:$Q$14,MATCH(M173,'G-6 Hedgerow Data'!$B$3:$B$14,0),MATCH(O173,'G-6 Hedgerow Data'!$K$2:$Q$2,0)))),"")</f>
        <v/>
      </c>
      <c r="Y173" s="137"/>
      <c r="Z173" s="137"/>
      <c r="AA173" s="289" t="str">
        <f t="shared" si="16"/>
        <v/>
      </c>
      <c r="AB173" s="302" t="str">
        <f t="shared" si="17"/>
        <v/>
      </c>
      <c r="AC173" s="303" t="str">
        <f t="shared" si="14"/>
        <v/>
      </c>
      <c r="AD173" s="317" t="str">
        <f>IF(M173="","",VLOOKUP(M173,'G-6 Hedgerow Data'!$B$3:$AG$15,31,FALSE))</f>
        <v/>
      </c>
      <c r="AE173" s="289" t="str">
        <f t="shared" si="18"/>
        <v/>
      </c>
      <c r="AF173" s="289" t="str">
        <f t="shared" si="19"/>
        <v/>
      </c>
      <c r="AG173" s="305" t="str">
        <f>IFERROR(IF(O173="","",VLOOKUP(AD173,'G-3 Multipliers'!$P$3:$Q$6,2,FALSE)),"")</f>
        <v/>
      </c>
      <c r="AH173" s="295" t="str">
        <f t="shared" si="20"/>
        <v/>
      </c>
      <c r="AI173" s="112"/>
      <c r="AJ173" s="119"/>
      <c r="AK173" s="108"/>
      <c r="AT173" s="30" t="str">
        <f>IFERROR(INDEX('G-6 Hedgerow Data'!$BJ$3:$BJ$15,MATCH(M173,'G-6 Hedgerow Data'!$B$3:$B$15,0)),"")</f>
        <v/>
      </c>
    </row>
    <row r="174" spans="2:46" ht="13.8" x14ac:dyDescent="0.25">
      <c r="B174" s="311" t="str">
        <f>'B-1 On-Site Hedge Baseline'!AK172</f>
        <v/>
      </c>
      <c r="C174" s="301" t="str">
        <f>IF(B174="","",IF(ISNA(VLOOKUP($B174,'B-1 On-Site Hedge Baseline'!$B$1:$L$257,3,FALSE)),"",(VLOOKUP($B174,'B-1 On-Site Hedge Baseline'!$B$1:$L$257,3,FALSE))))</f>
        <v/>
      </c>
      <c r="D174" s="301" t="str">
        <f>IF(B174="","",IF(ISNA(VLOOKUP($B174,'B-1 On-Site Hedge Baseline'!$B$1:$L$257,4,FALSE)),"",(VLOOKUP($B174,'B-1 On-Site Hedge Baseline'!$B$1:$L$257,4,FALSE))))</f>
        <v/>
      </c>
      <c r="E174" s="301" t="str">
        <f>IF(B174="","",IF(ISNA(VLOOKUP($B174,'B-1 On-Site Hedge Baseline'!$B$1:$L$257,5,FALSE)),"",(VLOOKUP($B174,'B-1 On-Site Hedge Baseline'!$B$1:$L$257,5,FALSE))))</f>
        <v/>
      </c>
      <c r="F174" s="301" t="str">
        <f>IF(B174="","",IF(ISNA(VLOOKUP($B174,'B-1 On-Site Hedge Baseline'!$B$1:$L$257,6,FALSE)),"",(VLOOKUP($B174,'B-1 On-Site Hedge Baseline'!$B$1:$L$257,6,FALSE))))</f>
        <v/>
      </c>
      <c r="G174" s="301" t="str">
        <f>IF(B174="","",IF(ISNA(VLOOKUP($B174,'B-1 On-Site Hedge Baseline'!$B$1:$L$257,7,FALSE)),"",(VLOOKUP($B174,'B-1 On-Site Hedge Baseline'!$B$1:$L$257,7,FALSE))))</f>
        <v/>
      </c>
      <c r="H174" s="301" t="str">
        <f>IF(B174="","",IF(ISNA(VLOOKUP($B174,'B-1 On-Site Hedge Baseline'!$B$1:$L$257,8,FALSE)),"",(VLOOKUP($B174,'B-1 On-Site Hedge Baseline'!$B$1:$L$257,8,FALSE))))</f>
        <v/>
      </c>
      <c r="I174" s="301" t="str">
        <f>IF(B174="","",IF(ISNA(VLOOKUP($B174,'B-1 On-Site Hedge Baseline'!$B$1:$L$257,10,FALSE)),"",(VLOOKUP($B174,'B-1 On-Site Hedge Baseline'!$B$1:$L$257,10,FALSE))))</f>
        <v/>
      </c>
      <c r="J174" s="301" t="str">
        <f>IF(B174="","",IF(ISNA(VLOOKUP($B174,'B-1 On-Site Hedge Baseline'!$B$1:$L$257,11,FALSE)),"",(VLOOKUP($B174,'B-1 On-Site Hedge Baseline'!$B$1:$L$257,11,FALSE))))</f>
        <v/>
      </c>
      <c r="K174" s="301" t="str">
        <f>IF(B174="","",IF(ISNA(VLOOKUP($B174,'B-1 On-Site Hedge Baseline'!$B$1:$U$257,13,FALSE)),"",(VLOOKUP($B174,'B-1 On-Site Hedge Baseline'!$B$1:$U$257,13,FALSE))))</f>
        <v/>
      </c>
      <c r="L174" s="305" t="str">
        <f>IF(B174="","",IF(ISNA(VLOOKUP($B174,'B-1 On-Site Hedge Baseline'!$B$1:$U$257,12,FALSE)),"",(VLOOKUP($B174,'B-1 On-Site Hedge Baseline'!$B$1:$U$257,12,FALSE))))</f>
        <v/>
      </c>
      <c r="M174" s="627"/>
      <c r="N174" s="281" t="str">
        <f>IFERROR(IF(B174="","",INDEX('G-6 Hedgerow Data'!$AN$3:$AZ$15,MATCH(C174,'G-6 Hedgerow Data'!$AM$3:$AM$15,0),MATCH(M174,'G-6 Hedgerow Data'!$AN$2:$AZ$2,0))),"")</f>
        <v/>
      </c>
      <c r="O174" s="282" t="str">
        <f t="shared" si="15"/>
        <v/>
      </c>
      <c r="P174" s="335" t="str">
        <f>IF(B174="","",VLOOKUP(B174,'B-1 On-Site Hedge Baseline'!$B$10:T419,16,FALSE))</f>
        <v/>
      </c>
      <c r="Q174" s="281" t="str">
        <f>IF(M174="","",VLOOKUP(M174,'G-6 Hedgerow Data'!$B$2:$AG$15,2,FALSE))</f>
        <v/>
      </c>
      <c r="R174" s="282" t="str">
        <f>IF(M174="","",VLOOKUP(M174,'G-6 Hedgerow Data'!$B$2:$AG$15,3,FALSE))</f>
        <v/>
      </c>
      <c r="S174" s="112"/>
      <c r="T174" s="320" t="str">
        <f>IFERROR(IF(S174="","",IF(AND(M174="Non-native and ornamental hedgerow", S174&lt;&gt;"Poor"),"Not possible ▲", (VLOOKUP(S174,'G-1 All Habitats'!$Z$2:$AA$9,2,FALSE)))),"")</f>
        <v/>
      </c>
      <c r="U174" s="109"/>
      <c r="V174" s="301" t="str">
        <f>IF(U174="","",IF(VLOOKUP(U174,'G-3 Multipliers'!$L$3:$N$6,2,FALSE)=0,"Spatial Data Missing ⚠",VLOOKUP(U174,'G-3 Multipliers'!$L$3:$N$6,2,FALSE)))</f>
        <v/>
      </c>
      <c r="W174" s="305" t="str">
        <f>IF(U174="","",IF(VLOOKUP(U174,'G-3 Multipliers'!$L$3:$N$6,3,FALSE)=0,"Spatial Data Missing ⚠",VLOOKUP(U174,'G-3 Multipliers'!$L$3:$N$6,3,FALSE)))</f>
        <v/>
      </c>
      <c r="X174" s="281" t="str">
        <f>IFERROR(IF(OR(LEFT(O174,5)="Error",LEFT(N174,5)="Error",T174="Error"),"Check Data ⚠",IF(F174&lt;R174,INDEX('G-6 Hedgerow Data'!$S$3:$AE$14,MATCH(C174,'G-6 Hedgerow Data'!$B$3:$B$14,0),MATCH(M174,'G-6 Hedgerow Data'!$S$2:$AE$2,0)),INDEX('G-6 Hedgerow Data'!$K$3:$Q$14,MATCH(M174,'G-6 Hedgerow Data'!$B$3:$B$14,0),MATCH(O174,'G-6 Hedgerow Data'!$K$2:$Q$2,0)))),"")</f>
        <v/>
      </c>
      <c r="Y174" s="137"/>
      <c r="Z174" s="137"/>
      <c r="AA174" s="289" t="str">
        <f t="shared" si="16"/>
        <v/>
      </c>
      <c r="AB174" s="302" t="str">
        <f t="shared" si="17"/>
        <v/>
      </c>
      <c r="AC174" s="303" t="str">
        <f t="shared" si="14"/>
        <v/>
      </c>
      <c r="AD174" s="317" t="str">
        <f>IF(M174="","",VLOOKUP(M174,'G-6 Hedgerow Data'!$B$3:$AG$15,31,FALSE))</f>
        <v/>
      </c>
      <c r="AE174" s="289" t="str">
        <f t="shared" si="18"/>
        <v/>
      </c>
      <c r="AF174" s="289" t="str">
        <f t="shared" si="19"/>
        <v/>
      </c>
      <c r="AG174" s="305" t="str">
        <f>IFERROR(IF(O174="","",VLOOKUP(AD174,'G-3 Multipliers'!$P$3:$Q$6,2,FALSE)),"")</f>
        <v/>
      </c>
      <c r="AH174" s="295" t="str">
        <f t="shared" si="20"/>
        <v/>
      </c>
      <c r="AI174" s="112"/>
      <c r="AJ174" s="119"/>
      <c r="AK174" s="108"/>
      <c r="AT174" s="30" t="str">
        <f>IFERROR(INDEX('G-6 Hedgerow Data'!$BJ$3:$BJ$15,MATCH(M174,'G-6 Hedgerow Data'!$B$3:$B$15,0)),"")</f>
        <v/>
      </c>
    </row>
    <row r="175" spans="2:46" ht="13.8" x14ac:dyDescent="0.25">
      <c r="B175" s="311" t="str">
        <f>'B-1 On-Site Hedge Baseline'!AK173</f>
        <v/>
      </c>
      <c r="C175" s="301" t="str">
        <f>IF(B175="","",IF(ISNA(VLOOKUP($B175,'B-1 On-Site Hedge Baseline'!$B$1:$L$257,3,FALSE)),"",(VLOOKUP($B175,'B-1 On-Site Hedge Baseline'!$B$1:$L$257,3,FALSE))))</f>
        <v/>
      </c>
      <c r="D175" s="301" t="str">
        <f>IF(B175="","",IF(ISNA(VLOOKUP($B175,'B-1 On-Site Hedge Baseline'!$B$1:$L$257,4,FALSE)),"",(VLOOKUP($B175,'B-1 On-Site Hedge Baseline'!$B$1:$L$257,4,FALSE))))</f>
        <v/>
      </c>
      <c r="E175" s="301" t="str">
        <f>IF(B175="","",IF(ISNA(VLOOKUP($B175,'B-1 On-Site Hedge Baseline'!$B$1:$L$257,5,FALSE)),"",(VLOOKUP($B175,'B-1 On-Site Hedge Baseline'!$B$1:$L$257,5,FALSE))))</f>
        <v/>
      </c>
      <c r="F175" s="301" t="str">
        <f>IF(B175="","",IF(ISNA(VLOOKUP($B175,'B-1 On-Site Hedge Baseline'!$B$1:$L$257,6,FALSE)),"",(VLOOKUP($B175,'B-1 On-Site Hedge Baseline'!$B$1:$L$257,6,FALSE))))</f>
        <v/>
      </c>
      <c r="G175" s="301" t="str">
        <f>IF(B175="","",IF(ISNA(VLOOKUP($B175,'B-1 On-Site Hedge Baseline'!$B$1:$L$257,7,FALSE)),"",(VLOOKUP($B175,'B-1 On-Site Hedge Baseline'!$B$1:$L$257,7,FALSE))))</f>
        <v/>
      </c>
      <c r="H175" s="301" t="str">
        <f>IF(B175="","",IF(ISNA(VLOOKUP($B175,'B-1 On-Site Hedge Baseline'!$B$1:$L$257,8,FALSE)),"",(VLOOKUP($B175,'B-1 On-Site Hedge Baseline'!$B$1:$L$257,8,FALSE))))</f>
        <v/>
      </c>
      <c r="I175" s="301" t="str">
        <f>IF(B175="","",IF(ISNA(VLOOKUP($B175,'B-1 On-Site Hedge Baseline'!$B$1:$L$257,10,FALSE)),"",(VLOOKUP($B175,'B-1 On-Site Hedge Baseline'!$B$1:$L$257,10,FALSE))))</f>
        <v/>
      </c>
      <c r="J175" s="301" t="str">
        <f>IF(B175="","",IF(ISNA(VLOOKUP($B175,'B-1 On-Site Hedge Baseline'!$B$1:$L$257,11,FALSE)),"",(VLOOKUP($B175,'B-1 On-Site Hedge Baseline'!$B$1:$L$257,11,FALSE))))</f>
        <v/>
      </c>
      <c r="K175" s="301" t="str">
        <f>IF(B175="","",IF(ISNA(VLOOKUP($B175,'B-1 On-Site Hedge Baseline'!$B$1:$U$257,13,FALSE)),"",(VLOOKUP($B175,'B-1 On-Site Hedge Baseline'!$B$1:$U$257,13,FALSE))))</f>
        <v/>
      </c>
      <c r="L175" s="305" t="str">
        <f>IF(B175="","",IF(ISNA(VLOOKUP($B175,'B-1 On-Site Hedge Baseline'!$B$1:$U$257,12,FALSE)),"",(VLOOKUP($B175,'B-1 On-Site Hedge Baseline'!$B$1:$U$257,12,FALSE))))</f>
        <v/>
      </c>
      <c r="M175" s="627"/>
      <c r="N175" s="281" t="str">
        <f>IFERROR(IF(B175="","",INDEX('G-6 Hedgerow Data'!$AN$3:$AZ$15,MATCH(C175,'G-6 Hedgerow Data'!$AM$3:$AM$15,0),MATCH(M175,'G-6 Hedgerow Data'!$AN$2:$AZ$2,0))),"")</f>
        <v/>
      </c>
      <c r="O175" s="282" t="str">
        <f t="shared" si="15"/>
        <v/>
      </c>
      <c r="P175" s="335" t="str">
        <f>IF(B175="","",VLOOKUP(B175,'B-1 On-Site Hedge Baseline'!$B$10:T420,16,FALSE))</f>
        <v/>
      </c>
      <c r="Q175" s="281" t="str">
        <f>IF(M175="","",VLOOKUP(M175,'G-6 Hedgerow Data'!$B$2:$AG$15,2,FALSE))</f>
        <v/>
      </c>
      <c r="R175" s="282" t="str">
        <f>IF(M175="","",VLOOKUP(M175,'G-6 Hedgerow Data'!$B$2:$AG$15,3,FALSE))</f>
        <v/>
      </c>
      <c r="S175" s="112"/>
      <c r="T175" s="320" t="str">
        <f>IFERROR(IF(S175="","",IF(AND(M175="Non-native and ornamental hedgerow", S175&lt;&gt;"Poor"),"Not possible ▲", (VLOOKUP(S175,'G-1 All Habitats'!$Z$2:$AA$9,2,FALSE)))),"")</f>
        <v/>
      </c>
      <c r="U175" s="109"/>
      <c r="V175" s="301" t="str">
        <f>IF(U175="","",IF(VLOOKUP(U175,'G-3 Multipliers'!$L$3:$N$6,2,FALSE)=0,"Spatial Data Missing ⚠",VLOOKUP(U175,'G-3 Multipliers'!$L$3:$N$6,2,FALSE)))</f>
        <v/>
      </c>
      <c r="W175" s="305" t="str">
        <f>IF(U175="","",IF(VLOOKUP(U175,'G-3 Multipliers'!$L$3:$N$6,3,FALSE)=0,"Spatial Data Missing ⚠",VLOOKUP(U175,'G-3 Multipliers'!$L$3:$N$6,3,FALSE)))</f>
        <v/>
      </c>
      <c r="X175" s="281" t="str">
        <f>IFERROR(IF(OR(LEFT(O175,5)="Error",LEFT(N175,5)="Error",T175="Error"),"Check Data ⚠",IF(F175&lt;R175,INDEX('G-6 Hedgerow Data'!$S$3:$AE$14,MATCH(C175,'G-6 Hedgerow Data'!$B$3:$B$14,0),MATCH(M175,'G-6 Hedgerow Data'!$S$2:$AE$2,0)),INDEX('G-6 Hedgerow Data'!$K$3:$Q$14,MATCH(M175,'G-6 Hedgerow Data'!$B$3:$B$14,0),MATCH(O175,'G-6 Hedgerow Data'!$K$2:$Q$2,0)))),"")</f>
        <v/>
      </c>
      <c r="Y175" s="137"/>
      <c r="Z175" s="137"/>
      <c r="AA175" s="289" t="str">
        <f t="shared" si="16"/>
        <v/>
      </c>
      <c r="AB175" s="302" t="str">
        <f t="shared" si="17"/>
        <v/>
      </c>
      <c r="AC175" s="303" t="str">
        <f t="shared" si="14"/>
        <v/>
      </c>
      <c r="AD175" s="317" t="str">
        <f>IF(M175="","",VLOOKUP(M175,'G-6 Hedgerow Data'!$B$3:$AG$15,31,FALSE))</f>
        <v/>
      </c>
      <c r="AE175" s="289" t="str">
        <f t="shared" si="18"/>
        <v/>
      </c>
      <c r="AF175" s="289" t="str">
        <f t="shared" si="19"/>
        <v/>
      </c>
      <c r="AG175" s="305" t="str">
        <f>IFERROR(IF(O175="","",VLOOKUP(AD175,'G-3 Multipliers'!$P$3:$Q$6,2,FALSE)),"")</f>
        <v/>
      </c>
      <c r="AH175" s="295" t="str">
        <f t="shared" si="20"/>
        <v/>
      </c>
      <c r="AI175" s="112"/>
      <c r="AJ175" s="119"/>
      <c r="AK175" s="108"/>
      <c r="AT175" s="30" t="str">
        <f>IFERROR(INDEX('G-6 Hedgerow Data'!$BJ$3:$BJ$15,MATCH(M175,'G-6 Hedgerow Data'!$B$3:$B$15,0)),"")</f>
        <v/>
      </c>
    </row>
    <row r="176" spans="2:46" ht="13.8" x14ac:dyDescent="0.25">
      <c r="B176" s="311" t="str">
        <f>'B-1 On-Site Hedge Baseline'!AK174</f>
        <v/>
      </c>
      <c r="C176" s="301" t="str">
        <f>IF(B176="","",IF(ISNA(VLOOKUP($B176,'B-1 On-Site Hedge Baseline'!$B$1:$L$257,3,FALSE)),"",(VLOOKUP($B176,'B-1 On-Site Hedge Baseline'!$B$1:$L$257,3,FALSE))))</f>
        <v/>
      </c>
      <c r="D176" s="301" t="str">
        <f>IF(B176="","",IF(ISNA(VLOOKUP($B176,'B-1 On-Site Hedge Baseline'!$B$1:$L$257,4,FALSE)),"",(VLOOKUP($B176,'B-1 On-Site Hedge Baseline'!$B$1:$L$257,4,FALSE))))</f>
        <v/>
      </c>
      <c r="E176" s="301" t="str">
        <f>IF(B176="","",IF(ISNA(VLOOKUP($B176,'B-1 On-Site Hedge Baseline'!$B$1:$L$257,5,FALSE)),"",(VLOOKUP($B176,'B-1 On-Site Hedge Baseline'!$B$1:$L$257,5,FALSE))))</f>
        <v/>
      </c>
      <c r="F176" s="301" t="str">
        <f>IF(B176="","",IF(ISNA(VLOOKUP($B176,'B-1 On-Site Hedge Baseline'!$B$1:$L$257,6,FALSE)),"",(VLOOKUP($B176,'B-1 On-Site Hedge Baseline'!$B$1:$L$257,6,FALSE))))</f>
        <v/>
      </c>
      <c r="G176" s="301" t="str">
        <f>IF(B176="","",IF(ISNA(VLOOKUP($B176,'B-1 On-Site Hedge Baseline'!$B$1:$L$257,7,FALSE)),"",(VLOOKUP($B176,'B-1 On-Site Hedge Baseline'!$B$1:$L$257,7,FALSE))))</f>
        <v/>
      </c>
      <c r="H176" s="301" t="str">
        <f>IF(B176="","",IF(ISNA(VLOOKUP($B176,'B-1 On-Site Hedge Baseline'!$B$1:$L$257,8,FALSE)),"",(VLOOKUP($B176,'B-1 On-Site Hedge Baseline'!$B$1:$L$257,8,FALSE))))</f>
        <v/>
      </c>
      <c r="I176" s="301" t="str">
        <f>IF(B176="","",IF(ISNA(VLOOKUP($B176,'B-1 On-Site Hedge Baseline'!$B$1:$L$257,10,FALSE)),"",(VLOOKUP($B176,'B-1 On-Site Hedge Baseline'!$B$1:$L$257,10,FALSE))))</f>
        <v/>
      </c>
      <c r="J176" s="301" t="str">
        <f>IF(B176="","",IF(ISNA(VLOOKUP($B176,'B-1 On-Site Hedge Baseline'!$B$1:$L$257,11,FALSE)),"",(VLOOKUP($B176,'B-1 On-Site Hedge Baseline'!$B$1:$L$257,11,FALSE))))</f>
        <v/>
      </c>
      <c r="K176" s="301" t="str">
        <f>IF(B176="","",IF(ISNA(VLOOKUP($B176,'B-1 On-Site Hedge Baseline'!$B$1:$U$257,13,FALSE)),"",(VLOOKUP($B176,'B-1 On-Site Hedge Baseline'!$B$1:$U$257,13,FALSE))))</f>
        <v/>
      </c>
      <c r="L176" s="305" t="str">
        <f>IF(B176="","",IF(ISNA(VLOOKUP($B176,'B-1 On-Site Hedge Baseline'!$B$1:$U$257,12,FALSE)),"",(VLOOKUP($B176,'B-1 On-Site Hedge Baseline'!$B$1:$U$257,12,FALSE))))</f>
        <v/>
      </c>
      <c r="M176" s="627"/>
      <c r="N176" s="281" t="str">
        <f>IFERROR(IF(B176="","",INDEX('G-6 Hedgerow Data'!$AN$3:$AZ$15,MATCH(C176,'G-6 Hedgerow Data'!$AM$3:$AM$15,0),MATCH(M176,'G-6 Hedgerow Data'!$AN$2:$AZ$2,0))),"")</f>
        <v/>
      </c>
      <c r="O176" s="282" t="str">
        <f t="shared" si="15"/>
        <v/>
      </c>
      <c r="P176" s="335" t="str">
        <f>IF(B176="","",VLOOKUP(B176,'B-1 On-Site Hedge Baseline'!$B$10:T421,16,FALSE))</f>
        <v/>
      </c>
      <c r="Q176" s="281" t="str">
        <f>IF(M176="","",VLOOKUP(M176,'G-6 Hedgerow Data'!$B$2:$AG$15,2,FALSE))</f>
        <v/>
      </c>
      <c r="R176" s="282" t="str">
        <f>IF(M176="","",VLOOKUP(M176,'G-6 Hedgerow Data'!$B$2:$AG$15,3,FALSE))</f>
        <v/>
      </c>
      <c r="S176" s="112"/>
      <c r="T176" s="320" t="str">
        <f>IFERROR(IF(S176="","",IF(AND(M176="Non-native and ornamental hedgerow", S176&lt;&gt;"Poor"),"Not possible ▲", (VLOOKUP(S176,'G-1 All Habitats'!$Z$2:$AA$9,2,FALSE)))),"")</f>
        <v/>
      </c>
      <c r="U176" s="109"/>
      <c r="V176" s="301" t="str">
        <f>IF(U176="","",IF(VLOOKUP(U176,'G-3 Multipliers'!$L$3:$N$6,2,FALSE)=0,"Spatial Data Missing ⚠",VLOOKUP(U176,'G-3 Multipliers'!$L$3:$N$6,2,FALSE)))</f>
        <v/>
      </c>
      <c r="W176" s="305" t="str">
        <f>IF(U176="","",IF(VLOOKUP(U176,'G-3 Multipliers'!$L$3:$N$6,3,FALSE)=0,"Spatial Data Missing ⚠",VLOOKUP(U176,'G-3 Multipliers'!$L$3:$N$6,3,FALSE)))</f>
        <v/>
      </c>
      <c r="X176" s="281" t="str">
        <f>IFERROR(IF(OR(LEFT(O176,5)="Error",LEFT(N176,5)="Error",T176="Error"),"Check Data ⚠",IF(F176&lt;R176,INDEX('G-6 Hedgerow Data'!$S$3:$AE$14,MATCH(C176,'G-6 Hedgerow Data'!$B$3:$B$14,0),MATCH(M176,'G-6 Hedgerow Data'!$S$2:$AE$2,0)),INDEX('G-6 Hedgerow Data'!$K$3:$Q$14,MATCH(M176,'G-6 Hedgerow Data'!$B$3:$B$14,0),MATCH(O176,'G-6 Hedgerow Data'!$K$2:$Q$2,0)))),"")</f>
        <v/>
      </c>
      <c r="Y176" s="137"/>
      <c r="Z176" s="137"/>
      <c r="AA176" s="289" t="str">
        <f t="shared" si="16"/>
        <v/>
      </c>
      <c r="AB176" s="302" t="str">
        <f t="shared" si="17"/>
        <v/>
      </c>
      <c r="AC176" s="303" t="str">
        <f t="shared" si="14"/>
        <v/>
      </c>
      <c r="AD176" s="317" t="str">
        <f>IF(M176="","",VLOOKUP(M176,'G-6 Hedgerow Data'!$B$3:$AG$15,31,FALSE))</f>
        <v/>
      </c>
      <c r="AE176" s="289" t="str">
        <f t="shared" si="18"/>
        <v/>
      </c>
      <c r="AF176" s="289" t="str">
        <f t="shared" si="19"/>
        <v/>
      </c>
      <c r="AG176" s="305" t="str">
        <f>IFERROR(IF(O176="","",VLOOKUP(AD176,'G-3 Multipliers'!$P$3:$Q$6,2,FALSE)),"")</f>
        <v/>
      </c>
      <c r="AH176" s="295" t="str">
        <f t="shared" si="20"/>
        <v/>
      </c>
      <c r="AI176" s="112"/>
      <c r="AJ176" s="119"/>
      <c r="AK176" s="108"/>
      <c r="AT176" s="30" t="str">
        <f>IFERROR(INDEX('G-6 Hedgerow Data'!$BJ$3:$BJ$15,MATCH(M176,'G-6 Hedgerow Data'!$B$3:$B$15,0)),"")</f>
        <v/>
      </c>
    </row>
    <row r="177" spans="2:46" ht="13.8" x14ac:dyDescent="0.25">
      <c r="B177" s="311" t="str">
        <f>'B-1 On-Site Hedge Baseline'!AK175</f>
        <v/>
      </c>
      <c r="C177" s="301" t="str">
        <f>IF(B177="","",IF(ISNA(VLOOKUP($B177,'B-1 On-Site Hedge Baseline'!$B$1:$L$257,3,FALSE)),"",(VLOOKUP($B177,'B-1 On-Site Hedge Baseline'!$B$1:$L$257,3,FALSE))))</f>
        <v/>
      </c>
      <c r="D177" s="301" t="str">
        <f>IF(B177="","",IF(ISNA(VLOOKUP($B177,'B-1 On-Site Hedge Baseline'!$B$1:$L$257,4,FALSE)),"",(VLOOKUP($B177,'B-1 On-Site Hedge Baseline'!$B$1:$L$257,4,FALSE))))</f>
        <v/>
      </c>
      <c r="E177" s="301" t="str">
        <f>IF(B177="","",IF(ISNA(VLOOKUP($B177,'B-1 On-Site Hedge Baseline'!$B$1:$L$257,5,FALSE)),"",(VLOOKUP($B177,'B-1 On-Site Hedge Baseline'!$B$1:$L$257,5,FALSE))))</f>
        <v/>
      </c>
      <c r="F177" s="301" t="str">
        <f>IF(B177="","",IF(ISNA(VLOOKUP($B177,'B-1 On-Site Hedge Baseline'!$B$1:$L$257,6,FALSE)),"",(VLOOKUP($B177,'B-1 On-Site Hedge Baseline'!$B$1:$L$257,6,FALSE))))</f>
        <v/>
      </c>
      <c r="G177" s="301" t="str">
        <f>IF(B177="","",IF(ISNA(VLOOKUP($B177,'B-1 On-Site Hedge Baseline'!$B$1:$L$257,7,FALSE)),"",(VLOOKUP($B177,'B-1 On-Site Hedge Baseline'!$B$1:$L$257,7,FALSE))))</f>
        <v/>
      </c>
      <c r="H177" s="301" t="str">
        <f>IF(B177="","",IF(ISNA(VLOOKUP($B177,'B-1 On-Site Hedge Baseline'!$B$1:$L$257,8,FALSE)),"",(VLOOKUP($B177,'B-1 On-Site Hedge Baseline'!$B$1:$L$257,8,FALSE))))</f>
        <v/>
      </c>
      <c r="I177" s="301" t="str">
        <f>IF(B177="","",IF(ISNA(VLOOKUP($B177,'B-1 On-Site Hedge Baseline'!$B$1:$L$257,10,FALSE)),"",(VLOOKUP($B177,'B-1 On-Site Hedge Baseline'!$B$1:$L$257,10,FALSE))))</f>
        <v/>
      </c>
      <c r="J177" s="301" t="str">
        <f>IF(B177="","",IF(ISNA(VLOOKUP($B177,'B-1 On-Site Hedge Baseline'!$B$1:$L$257,11,FALSE)),"",(VLOOKUP($B177,'B-1 On-Site Hedge Baseline'!$B$1:$L$257,11,FALSE))))</f>
        <v/>
      </c>
      <c r="K177" s="301" t="str">
        <f>IF(B177="","",IF(ISNA(VLOOKUP($B177,'B-1 On-Site Hedge Baseline'!$B$1:$U$257,13,FALSE)),"",(VLOOKUP($B177,'B-1 On-Site Hedge Baseline'!$B$1:$U$257,13,FALSE))))</f>
        <v/>
      </c>
      <c r="L177" s="305" t="str">
        <f>IF(B177="","",IF(ISNA(VLOOKUP($B177,'B-1 On-Site Hedge Baseline'!$B$1:$U$257,12,FALSE)),"",(VLOOKUP($B177,'B-1 On-Site Hedge Baseline'!$B$1:$U$257,12,FALSE))))</f>
        <v/>
      </c>
      <c r="M177" s="627"/>
      <c r="N177" s="281" t="str">
        <f>IFERROR(IF(B177="","",INDEX('G-6 Hedgerow Data'!$AN$3:$AZ$15,MATCH(C177,'G-6 Hedgerow Data'!$AM$3:$AM$15,0),MATCH(M177,'G-6 Hedgerow Data'!$AN$2:$AZ$2,0))),"")</f>
        <v/>
      </c>
      <c r="O177" s="282" t="str">
        <f t="shared" si="15"/>
        <v/>
      </c>
      <c r="P177" s="335" t="str">
        <f>IF(B177="","",VLOOKUP(B177,'B-1 On-Site Hedge Baseline'!$B$10:T422,16,FALSE))</f>
        <v/>
      </c>
      <c r="Q177" s="281" t="str">
        <f>IF(M177="","",VLOOKUP(M177,'G-6 Hedgerow Data'!$B$2:$AG$15,2,FALSE))</f>
        <v/>
      </c>
      <c r="R177" s="282" t="str">
        <f>IF(M177="","",VLOOKUP(M177,'G-6 Hedgerow Data'!$B$2:$AG$15,3,FALSE))</f>
        <v/>
      </c>
      <c r="S177" s="112"/>
      <c r="T177" s="320" t="str">
        <f>IFERROR(IF(S177="","",IF(AND(M177="Non-native and ornamental hedgerow", S177&lt;&gt;"Poor"),"Not possible ▲", (VLOOKUP(S177,'G-1 All Habitats'!$Z$2:$AA$9,2,FALSE)))),"")</f>
        <v/>
      </c>
      <c r="U177" s="109"/>
      <c r="V177" s="301" t="str">
        <f>IF(U177="","",IF(VLOOKUP(U177,'G-3 Multipliers'!$L$3:$N$6,2,FALSE)=0,"Spatial Data Missing ⚠",VLOOKUP(U177,'G-3 Multipliers'!$L$3:$N$6,2,FALSE)))</f>
        <v/>
      </c>
      <c r="W177" s="305" t="str">
        <f>IF(U177="","",IF(VLOOKUP(U177,'G-3 Multipliers'!$L$3:$N$6,3,FALSE)=0,"Spatial Data Missing ⚠",VLOOKUP(U177,'G-3 Multipliers'!$L$3:$N$6,3,FALSE)))</f>
        <v/>
      </c>
      <c r="X177" s="281" t="str">
        <f>IFERROR(IF(OR(LEFT(O177,5)="Error",LEFT(N177,5)="Error",T177="Error"),"Check Data ⚠",IF(F177&lt;R177,INDEX('G-6 Hedgerow Data'!$S$3:$AE$14,MATCH(C177,'G-6 Hedgerow Data'!$B$3:$B$14,0),MATCH(M177,'G-6 Hedgerow Data'!$S$2:$AE$2,0)),INDEX('G-6 Hedgerow Data'!$K$3:$Q$14,MATCH(M177,'G-6 Hedgerow Data'!$B$3:$B$14,0),MATCH(O177,'G-6 Hedgerow Data'!$K$2:$Q$2,0)))),"")</f>
        <v/>
      </c>
      <c r="Y177" s="137"/>
      <c r="Z177" s="137"/>
      <c r="AA177" s="289" t="str">
        <f t="shared" si="16"/>
        <v/>
      </c>
      <c r="AB177" s="302" t="str">
        <f t="shared" si="17"/>
        <v/>
      </c>
      <c r="AC177" s="303" t="str">
        <f t="shared" si="14"/>
        <v/>
      </c>
      <c r="AD177" s="317" t="str">
        <f>IF(M177="","",VLOOKUP(M177,'G-6 Hedgerow Data'!$B$3:$AG$15,31,FALSE))</f>
        <v/>
      </c>
      <c r="AE177" s="289" t="str">
        <f t="shared" si="18"/>
        <v/>
      </c>
      <c r="AF177" s="289" t="str">
        <f t="shared" si="19"/>
        <v/>
      </c>
      <c r="AG177" s="305" t="str">
        <f>IFERROR(IF(O177="","",VLOOKUP(AD177,'G-3 Multipliers'!$P$3:$Q$6,2,FALSE)),"")</f>
        <v/>
      </c>
      <c r="AH177" s="295" t="str">
        <f t="shared" si="20"/>
        <v/>
      </c>
      <c r="AI177" s="112"/>
      <c r="AJ177" s="119"/>
      <c r="AK177" s="108"/>
      <c r="AT177" s="30" t="str">
        <f>IFERROR(INDEX('G-6 Hedgerow Data'!$BJ$3:$BJ$15,MATCH(M177,'G-6 Hedgerow Data'!$B$3:$B$15,0)),"")</f>
        <v/>
      </c>
    </row>
    <row r="178" spans="2:46" ht="13.8" x14ac:dyDescent="0.25">
      <c r="B178" s="311" t="str">
        <f>'B-1 On-Site Hedge Baseline'!AK176</f>
        <v/>
      </c>
      <c r="C178" s="301" t="str">
        <f>IF(B178="","",IF(ISNA(VLOOKUP($B178,'B-1 On-Site Hedge Baseline'!$B$1:$L$257,3,FALSE)),"",(VLOOKUP($B178,'B-1 On-Site Hedge Baseline'!$B$1:$L$257,3,FALSE))))</f>
        <v/>
      </c>
      <c r="D178" s="301" t="str">
        <f>IF(B178="","",IF(ISNA(VLOOKUP($B178,'B-1 On-Site Hedge Baseline'!$B$1:$L$257,4,FALSE)),"",(VLOOKUP($B178,'B-1 On-Site Hedge Baseline'!$B$1:$L$257,4,FALSE))))</f>
        <v/>
      </c>
      <c r="E178" s="301" t="str">
        <f>IF(B178="","",IF(ISNA(VLOOKUP($B178,'B-1 On-Site Hedge Baseline'!$B$1:$L$257,5,FALSE)),"",(VLOOKUP($B178,'B-1 On-Site Hedge Baseline'!$B$1:$L$257,5,FALSE))))</f>
        <v/>
      </c>
      <c r="F178" s="301" t="str">
        <f>IF(B178="","",IF(ISNA(VLOOKUP($B178,'B-1 On-Site Hedge Baseline'!$B$1:$L$257,6,FALSE)),"",(VLOOKUP($B178,'B-1 On-Site Hedge Baseline'!$B$1:$L$257,6,FALSE))))</f>
        <v/>
      </c>
      <c r="G178" s="301" t="str">
        <f>IF(B178="","",IF(ISNA(VLOOKUP($B178,'B-1 On-Site Hedge Baseline'!$B$1:$L$257,7,FALSE)),"",(VLOOKUP($B178,'B-1 On-Site Hedge Baseline'!$B$1:$L$257,7,FALSE))))</f>
        <v/>
      </c>
      <c r="H178" s="301" t="str">
        <f>IF(B178="","",IF(ISNA(VLOOKUP($B178,'B-1 On-Site Hedge Baseline'!$B$1:$L$257,8,FALSE)),"",(VLOOKUP($B178,'B-1 On-Site Hedge Baseline'!$B$1:$L$257,8,FALSE))))</f>
        <v/>
      </c>
      <c r="I178" s="301" t="str">
        <f>IF(B178="","",IF(ISNA(VLOOKUP($B178,'B-1 On-Site Hedge Baseline'!$B$1:$L$257,10,FALSE)),"",(VLOOKUP($B178,'B-1 On-Site Hedge Baseline'!$B$1:$L$257,10,FALSE))))</f>
        <v/>
      </c>
      <c r="J178" s="301" t="str">
        <f>IF(B178="","",IF(ISNA(VLOOKUP($B178,'B-1 On-Site Hedge Baseline'!$B$1:$L$257,11,FALSE)),"",(VLOOKUP($B178,'B-1 On-Site Hedge Baseline'!$B$1:$L$257,11,FALSE))))</f>
        <v/>
      </c>
      <c r="K178" s="301" t="str">
        <f>IF(B178="","",IF(ISNA(VLOOKUP($B178,'B-1 On-Site Hedge Baseline'!$B$1:$U$257,13,FALSE)),"",(VLOOKUP($B178,'B-1 On-Site Hedge Baseline'!$B$1:$U$257,13,FALSE))))</f>
        <v/>
      </c>
      <c r="L178" s="305" t="str">
        <f>IF(B178="","",IF(ISNA(VLOOKUP($B178,'B-1 On-Site Hedge Baseline'!$B$1:$U$257,12,FALSE)),"",(VLOOKUP($B178,'B-1 On-Site Hedge Baseline'!$B$1:$U$257,12,FALSE))))</f>
        <v/>
      </c>
      <c r="M178" s="627"/>
      <c r="N178" s="281" t="str">
        <f>IFERROR(IF(B178="","",INDEX('G-6 Hedgerow Data'!$AN$3:$AZ$15,MATCH(C178,'G-6 Hedgerow Data'!$AM$3:$AM$15,0),MATCH(M178,'G-6 Hedgerow Data'!$AN$2:$AZ$2,0))),"")</f>
        <v/>
      </c>
      <c r="O178" s="282" t="str">
        <f t="shared" si="15"/>
        <v/>
      </c>
      <c r="P178" s="335" t="str">
        <f>IF(B178="","",VLOOKUP(B178,'B-1 On-Site Hedge Baseline'!$B$10:T423,16,FALSE))</f>
        <v/>
      </c>
      <c r="Q178" s="281" t="str">
        <f>IF(M178="","",VLOOKUP(M178,'G-6 Hedgerow Data'!$B$2:$AG$15,2,FALSE))</f>
        <v/>
      </c>
      <c r="R178" s="282" t="str">
        <f>IF(M178="","",VLOOKUP(M178,'G-6 Hedgerow Data'!$B$2:$AG$15,3,FALSE))</f>
        <v/>
      </c>
      <c r="S178" s="112"/>
      <c r="T178" s="320" t="str">
        <f>IFERROR(IF(S178="","",IF(AND(M178="Non-native and ornamental hedgerow", S178&lt;&gt;"Poor"),"Not possible ▲", (VLOOKUP(S178,'G-1 All Habitats'!$Z$2:$AA$9,2,FALSE)))),"")</f>
        <v/>
      </c>
      <c r="U178" s="109"/>
      <c r="V178" s="301" t="str">
        <f>IF(U178="","",IF(VLOOKUP(U178,'G-3 Multipliers'!$L$3:$N$6,2,FALSE)=0,"Spatial Data Missing ⚠",VLOOKUP(U178,'G-3 Multipliers'!$L$3:$N$6,2,FALSE)))</f>
        <v/>
      </c>
      <c r="W178" s="305" t="str">
        <f>IF(U178="","",IF(VLOOKUP(U178,'G-3 Multipliers'!$L$3:$N$6,3,FALSE)=0,"Spatial Data Missing ⚠",VLOOKUP(U178,'G-3 Multipliers'!$L$3:$N$6,3,FALSE)))</f>
        <v/>
      </c>
      <c r="X178" s="281" t="str">
        <f>IFERROR(IF(OR(LEFT(O178,5)="Error",LEFT(N178,5)="Error",T178="Error"),"Check Data ⚠",IF(F178&lt;R178,INDEX('G-6 Hedgerow Data'!$S$3:$AE$14,MATCH(C178,'G-6 Hedgerow Data'!$B$3:$B$14,0),MATCH(M178,'G-6 Hedgerow Data'!$S$2:$AE$2,0)),INDEX('G-6 Hedgerow Data'!$K$3:$Q$14,MATCH(M178,'G-6 Hedgerow Data'!$B$3:$B$14,0),MATCH(O178,'G-6 Hedgerow Data'!$K$2:$Q$2,0)))),"")</f>
        <v/>
      </c>
      <c r="Y178" s="137"/>
      <c r="Z178" s="137"/>
      <c r="AA178" s="289" t="str">
        <f t="shared" si="16"/>
        <v/>
      </c>
      <c r="AB178" s="302" t="str">
        <f t="shared" si="17"/>
        <v/>
      </c>
      <c r="AC178" s="303" t="str">
        <f t="shared" si="14"/>
        <v/>
      </c>
      <c r="AD178" s="317" t="str">
        <f>IF(M178="","",VLOOKUP(M178,'G-6 Hedgerow Data'!$B$3:$AG$15,31,FALSE))</f>
        <v/>
      </c>
      <c r="AE178" s="289" t="str">
        <f t="shared" si="18"/>
        <v/>
      </c>
      <c r="AF178" s="289" t="str">
        <f t="shared" si="19"/>
        <v/>
      </c>
      <c r="AG178" s="305" t="str">
        <f>IFERROR(IF(O178="","",VLOOKUP(AD178,'G-3 Multipliers'!$P$3:$Q$6,2,FALSE)),"")</f>
        <v/>
      </c>
      <c r="AH178" s="295" t="str">
        <f t="shared" si="20"/>
        <v/>
      </c>
      <c r="AI178" s="112"/>
      <c r="AJ178" s="119"/>
      <c r="AK178" s="108"/>
      <c r="AT178" s="30" t="str">
        <f>IFERROR(INDEX('G-6 Hedgerow Data'!$BJ$3:$BJ$15,MATCH(M178,'G-6 Hedgerow Data'!$B$3:$B$15,0)),"")</f>
        <v/>
      </c>
    </row>
    <row r="179" spans="2:46" ht="13.8" x14ac:dyDescent="0.25">
      <c r="B179" s="311" t="str">
        <f>'B-1 On-Site Hedge Baseline'!AK177</f>
        <v/>
      </c>
      <c r="C179" s="301" t="str">
        <f>IF(B179="","",IF(ISNA(VLOOKUP($B179,'B-1 On-Site Hedge Baseline'!$B$1:$L$257,3,FALSE)),"",(VLOOKUP($B179,'B-1 On-Site Hedge Baseline'!$B$1:$L$257,3,FALSE))))</f>
        <v/>
      </c>
      <c r="D179" s="301" t="str">
        <f>IF(B179="","",IF(ISNA(VLOOKUP($B179,'B-1 On-Site Hedge Baseline'!$B$1:$L$257,4,FALSE)),"",(VLOOKUP($B179,'B-1 On-Site Hedge Baseline'!$B$1:$L$257,4,FALSE))))</f>
        <v/>
      </c>
      <c r="E179" s="301" t="str">
        <f>IF(B179="","",IF(ISNA(VLOOKUP($B179,'B-1 On-Site Hedge Baseline'!$B$1:$L$257,5,FALSE)),"",(VLOOKUP($B179,'B-1 On-Site Hedge Baseline'!$B$1:$L$257,5,FALSE))))</f>
        <v/>
      </c>
      <c r="F179" s="301" t="str">
        <f>IF(B179="","",IF(ISNA(VLOOKUP($B179,'B-1 On-Site Hedge Baseline'!$B$1:$L$257,6,FALSE)),"",(VLOOKUP($B179,'B-1 On-Site Hedge Baseline'!$B$1:$L$257,6,FALSE))))</f>
        <v/>
      </c>
      <c r="G179" s="301" t="str">
        <f>IF(B179="","",IF(ISNA(VLOOKUP($B179,'B-1 On-Site Hedge Baseline'!$B$1:$L$257,7,FALSE)),"",(VLOOKUP($B179,'B-1 On-Site Hedge Baseline'!$B$1:$L$257,7,FALSE))))</f>
        <v/>
      </c>
      <c r="H179" s="301" t="str">
        <f>IF(B179="","",IF(ISNA(VLOOKUP($B179,'B-1 On-Site Hedge Baseline'!$B$1:$L$257,8,FALSE)),"",(VLOOKUP($B179,'B-1 On-Site Hedge Baseline'!$B$1:$L$257,8,FALSE))))</f>
        <v/>
      </c>
      <c r="I179" s="301" t="str">
        <f>IF(B179="","",IF(ISNA(VLOOKUP($B179,'B-1 On-Site Hedge Baseline'!$B$1:$L$257,10,FALSE)),"",(VLOOKUP($B179,'B-1 On-Site Hedge Baseline'!$B$1:$L$257,10,FALSE))))</f>
        <v/>
      </c>
      <c r="J179" s="301" t="str">
        <f>IF(B179="","",IF(ISNA(VLOOKUP($B179,'B-1 On-Site Hedge Baseline'!$B$1:$L$257,11,FALSE)),"",(VLOOKUP($B179,'B-1 On-Site Hedge Baseline'!$B$1:$L$257,11,FALSE))))</f>
        <v/>
      </c>
      <c r="K179" s="301" t="str">
        <f>IF(B179="","",IF(ISNA(VLOOKUP($B179,'B-1 On-Site Hedge Baseline'!$B$1:$U$257,13,FALSE)),"",(VLOOKUP($B179,'B-1 On-Site Hedge Baseline'!$B$1:$U$257,13,FALSE))))</f>
        <v/>
      </c>
      <c r="L179" s="305" t="str">
        <f>IF(B179="","",IF(ISNA(VLOOKUP($B179,'B-1 On-Site Hedge Baseline'!$B$1:$U$257,12,FALSE)),"",(VLOOKUP($B179,'B-1 On-Site Hedge Baseline'!$B$1:$U$257,12,FALSE))))</f>
        <v/>
      </c>
      <c r="M179" s="627"/>
      <c r="N179" s="281" t="str">
        <f>IFERROR(IF(B179="","",INDEX('G-6 Hedgerow Data'!$AN$3:$AZ$15,MATCH(C179,'G-6 Hedgerow Data'!$AM$3:$AM$15,0),MATCH(M179,'G-6 Hedgerow Data'!$AN$2:$AZ$2,0))),"")</f>
        <v/>
      </c>
      <c r="O179" s="282" t="str">
        <f t="shared" si="15"/>
        <v/>
      </c>
      <c r="P179" s="335" t="str">
        <f>IF(B179="","",VLOOKUP(B179,'B-1 On-Site Hedge Baseline'!$B$10:T424,16,FALSE))</f>
        <v/>
      </c>
      <c r="Q179" s="281" t="str">
        <f>IF(M179="","",VLOOKUP(M179,'G-6 Hedgerow Data'!$B$2:$AG$15,2,FALSE))</f>
        <v/>
      </c>
      <c r="R179" s="282" t="str">
        <f>IF(M179="","",VLOOKUP(M179,'G-6 Hedgerow Data'!$B$2:$AG$15,3,FALSE))</f>
        <v/>
      </c>
      <c r="S179" s="112"/>
      <c r="T179" s="320" t="str">
        <f>IFERROR(IF(S179="","",IF(AND(M179="Non-native and ornamental hedgerow", S179&lt;&gt;"Poor"),"Not possible ▲", (VLOOKUP(S179,'G-1 All Habitats'!$Z$2:$AA$9,2,FALSE)))),"")</f>
        <v/>
      </c>
      <c r="U179" s="109"/>
      <c r="V179" s="301" t="str">
        <f>IF(U179="","",IF(VLOOKUP(U179,'G-3 Multipliers'!$L$3:$N$6,2,FALSE)=0,"Spatial Data Missing ⚠",VLOOKUP(U179,'G-3 Multipliers'!$L$3:$N$6,2,FALSE)))</f>
        <v/>
      </c>
      <c r="W179" s="305" t="str">
        <f>IF(U179="","",IF(VLOOKUP(U179,'G-3 Multipliers'!$L$3:$N$6,3,FALSE)=0,"Spatial Data Missing ⚠",VLOOKUP(U179,'G-3 Multipliers'!$L$3:$N$6,3,FALSE)))</f>
        <v/>
      </c>
      <c r="X179" s="281" t="str">
        <f>IFERROR(IF(OR(LEFT(O179,5)="Error",LEFT(N179,5)="Error",T179="Error"),"Check Data ⚠",IF(F179&lt;R179,INDEX('G-6 Hedgerow Data'!$S$3:$AE$14,MATCH(C179,'G-6 Hedgerow Data'!$B$3:$B$14,0),MATCH(M179,'G-6 Hedgerow Data'!$S$2:$AE$2,0)),INDEX('G-6 Hedgerow Data'!$K$3:$Q$14,MATCH(M179,'G-6 Hedgerow Data'!$B$3:$B$14,0),MATCH(O179,'G-6 Hedgerow Data'!$K$2:$Q$2,0)))),"")</f>
        <v/>
      </c>
      <c r="Y179" s="137"/>
      <c r="Z179" s="137"/>
      <c r="AA179" s="289" t="str">
        <f t="shared" si="16"/>
        <v/>
      </c>
      <c r="AB179" s="302" t="str">
        <f t="shared" si="17"/>
        <v/>
      </c>
      <c r="AC179" s="303" t="str">
        <f t="shared" si="14"/>
        <v/>
      </c>
      <c r="AD179" s="317" t="str">
        <f>IF(M179="","",VLOOKUP(M179,'G-6 Hedgerow Data'!$B$3:$AG$15,31,FALSE))</f>
        <v/>
      </c>
      <c r="AE179" s="289" t="str">
        <f t="shared" si="18"/>
        <v/>
      </c>
      <c r="AF179" s="289" t="str">
        <f t="shared" si="19"/>
        <v/>
      </c>
      <c r="AG179" s="305" t="str">
        <f>IFERROR(IF(O179="","",VLOOKUP(AD179,'G-3 Multipliers'!$P$3:$Q$6,2,FALSE)),"")</f>
        <v/>
      </c>
      <c r="AH179" s="295" t="str">
        <f t="shared" si="20"/>
        <v/>
      </c>
      <c r="AI179" s="112"/>
      <c r="AJ179" s="119"/>
      <c r="AK179" s="108"/>
      <c r="AT179" s="30" t="str">
        <f>IFERROR(INDEX('G-6 Hedgerow Data'!$BJ$3:$BJ$15,MATCH(M179,'G-6 Hedgerow Data'!$B$3:$B$15,0)),"")</f>
        <v/>
      </c>
    </row>
    <row r="180" spans="2:46" ht="13.8" x14ac:dyDescent="0.25">
      <c r="B180" s="311" t="str">
        <f>'B-1 On-Site Hedge Baseline'!AK178</f>
        <v/>
      </c>
      <c r="C180" s="301" t="str">
        <f>IF(B180="","",IF(ISNA(VLOOKUP($B180,'B-1 On-Site Hedge Baseline'!$B$1:$L$257,3,FALSE)),"",(VLOOKUP($B180,'B-1 On-Site Hedge Baseline'!$B$1:$L$257,3,FALSE))))</f>
        <v/>
      </c>
      <c r="D180" s="301" t="str">
        <f>IF(B180="","",IF(ISNA(VLOOKUP($B180,'B-1 On-Site Hedge Baseline'!$B$1:$L$257,4,FALSE)),"",(VLOOKUP($B180,'B-1 On-Site Hedge Baseline'!$B$1:$L$257,4,FALSE))))</f>
        <v/>
      </c>
      <c r="E180" s="301" t="str">
        <f>IF(B180="","",IF(ISNA(VLOOKUP($B180,'B-1 On-Site Hedge Baseline'!$B$1:$L$257,5,FALSE)),"",(VLOOKUP($B180,'B-1 On-Site Hedge Baseline'!$B$1:$L$257,5,FALSE))))</f>
        <v/>
      </c>
      <c r="F180" s="301" t="str">
        <f>IF(B180="","",IF(ISNA(VLOOKUP($B180,'B-1 On-Site Hedge Baseline'!$B$1:$L$257,6,FALSE)),"",(VLOOKUP($B180,'B-1 On-Site Hedge Baseline'!$B$1:$L$257,6,FALSE))))</f>
        <v/>
      </c>
      <c r="G180" s="301" t="str">
        <f>IF(B180="","",IF(ISNA(VLOOKUP($B180,'B-1 On-Site Hedge Baseline'!$B$1:$L$257,7,FALSE)),"",(VLOOKUP($B180,'B-1 On-Site Hedge Baseline'!$B$1:$L$257,7,FALSE))))</f>
        <v/>
      </c>
      <c r="H180" s="301" t="str">
        <f>IF(B180="","",IF(ISNA(VLOOKUP($B180,'B-1 On-Site Hedge Baseline'!$B$1:$L$257,8,FALSE)),"",(VLOOKUP($B180,'B-1 On-Site Hedge Baseline'!$B$1:$L$257,8,FALSE))))</f>
        <v/>
      </c>
      <c r="I180" s="301" t="str">
        <f>IF(B180="","",IF(ISNA(VLOOKUP($B180,'B-1 On-Site Hedge Baseline'!$B$1:$L$257,10,FALSE)),"",(VLOOKUP($B180,'B-1 On-Site Hedge Baseline'!$B$1:$L$257,10,FALSE))))</f>
        <v/>
      </c>
      <c r="J180" s="301" t="str">
        <f>IF(B180="","",IF(ISNA(VLOOKUP($B180,'B-1 On-Site Hedge Baseline'!$B$1:$L$257,11,FALSE)),"",(VLOOKUP($B180,'B-1 On-Site Hedge Baseline'!$B$1:$L$257,11,FALSE))))</f>
        <v/>
      </c>
      <c r="K180" s="301" t="str">
        <f>IF(B180="","",IF(ISNA(VLOOKUP($B180,'B-1 On-Site Hedge Baseline'!$B$1:$U$257,13,FALSE)),"",(VLOOKUP($B180,'B-1 On-Site Hedge Baseline'!$B$1:$U$257,13,FALSE))))</f>
        <v/>
      </c>
      <c r="L180" s="305" t="str">
        <f>IF(B180="","",IF(ISNA(VLOOKUP($B180,'B-1 On-Site Hedge Baseline'!$B$1:$U$257,12,FALSE)),"",(VLOOKUP($B180,'B-1 On-Site Hedge Baseline'!$B$1:$U$257,12,FALSE))))</f>
        <v/>
      </c>
      <c r="M180" s="627"/>
      <c r="N180" s="281" t="str">
        <f>IFERROR(IF(B180="","",INDEX('G-6 Hedgerow Data'!$AN$3:$AZ$15,MATCH(C180,'G-6 Hedgerow Data'!$AM$3:$AM$15,0),MATCH(M180,'G-6 Hedgerow Data'!$AN$2:$AZ$2,0))),"")</f>
        <v/>
      </c>
      <c r="O180" s="282" t="str">
        <f t="shared" si="15"/>
        <v/>
      </c>
      <c r="P180" s="335" t="str">
        <f>IF(B180="","",VLOOKUP(B180,'B-1 On-Site Hedge Baseline'!$B$10:T425,16,FALSE))</f>
        <v/>
      </c>
      <c r="Q180" s="281" t="str">
        <f>IF(M180="","",VLOOKUP(M180,'G-6 Hedgerow Data'!$B$2:$AG$15,2,FALSE))</f>
        <v/>
      </c>
      <c r="R180" s="282" t="str">
        <f>IF(M180="","",VLOOKUP(M180,'G-6 Hedgerow Data'!$B$2:$AG$15,3,FALSE))</f>
        <v/>
      </c>
      <c r="S180" s="112"/>
      <c r="T180" s="320" t="str">
        <f>IFERROR(IF(S180="","",IF(AND(M180="Non-native and ornamental hedgerow", S180&lt;&gt;"Poor"),"Not possible ▲", (VLOOKUP(S180,'G-1 All Habitats'!$Z$2:$AA$9,2,FALSE)))),"")</f>
        <v/>
      </c>
      <c r="U180" s="109"/>
      <c r="V180" s="301" t="str">
        <f>IF(U180="","",IF(VLOOKUP(U180,'G-3 Multipliers'!$L$3:$N$6,2,FALSE)=0,"Spatial Data Missing ⚠",VLOOKUP(U180,'G-3 Multipliers'!$L$3:$N$6,2,FALSE)))</f>
        <v/>
      </c>
      <c r="W180" s="305" t="str">
        <f>IF(U180="","",IF(VLOOKUP(U180,'G-3 Multipliers'!$L$3:$N$6,3,FALSE)=0,"Spatial Data Missing ⚠",VLOOKUP(U180,'G-3 Multipliers'!$L$3:$N$6,3,FALSE)))</f>
        <v/>
      </c>
      <c r="X180" s="281" t="str">
        <f>IFERROR(IF(OR(LEFT(O180,5)="Error",LEFT(N180,5)="Error",T180="Error"),"Check Data ⚠",IF(F180&lt;R180,INDEX('G-6 Hedgerow Data'!$S$3:$AE$14,MATCH(C180,'G-6 Hedgerow Data'!$B$3:$B$14,0),MATCH(M180,'G-6 Hedgerow Data'!$S$2:$AE$2,0)),INDEX('G-6 Hedgerow Data'!$K$3:$Q$14,MATCH(M180,'G-6 Hedgerow Data'!$B$3:$B$14,0),MATCH(O180,'G-6 Hedgerow Data'!$K$2:$Q$2,0)))),"")</f>
        <v/>
      </c>
      <c r="Y180" s="137"/>
      <c r="Z180" s="137"/>
      <c r="AA180" s="289" t="str">
        <f t="shared" si="16"/>
        <v/>
      </c>
      <c r="AB180" s="302" t="str">
        <f t="shared" si="17"/>
        <v/>
      </c>
      <c r="AC180" s="303" t="str">
        <f t="shared" si="14"/>
        <v/>
      </c>
      <c r="AD180" s="317" t="str">
        <f>IF(M180="","",VLOOKUP(M180,'G-6 Hedgerow Data'!$B$3:$AG$15,31,FALSE))</f>
        <v/>
      </c>
      <c r="AE180" s="289" t="str">
        <f t="shared" si="18"/>
        <v/>
      </c>
      <c r="AF180" s="289" t="str">
        <f t="shared" si="19"/>
        <v/>
      </c>
      <c r="AG180" s="305" t="str">
        <f>IFERROR(IF(O180="","",VLOOKUP(AD180,'G-3 Multipliers'!$P$3:$Q$6,2,FALSE)),"")</f>
        <v/>
      </c>
      <c r="AH180" s="295" t="str">
        <f t="shared" si="20"/>
        <v/>
      </c>
      <c r="AI180" s="112"/>
      <c r="AJ180" s="119"/>
      <c r="AK180" s="108"/>
      <c r="AT180" s="30" t="str">
        <f>IFERROR(INDEX('G-6 Hedgerow Data'!$BJ$3:$BJ$15,MATCH(M180,'G-6 Hedgerow Data'!$B$3:$B$15,0)),"")</f>
        <v/>
      </c>
    </row>
    <row r="181" spans="2:46" ht="13.8" x14ac:dyDescent="0.25">
      <c r="B181" s="311" t="str">
        <f>'B-1 On-Site Hedge Baseline'!AK179</f>
        <v/>
      </c>
      <c r="C181" s="301" t="str">
        <f>IF(B181="","",IF(ISNA(VLOOKUP($B181,'B-1 On-Site Hedge Baseline'!$B$1:$L$257,3,FALSE)),"",(VLOOKUP($B181,'B-1 On-Site Hedge Baseline'!$B$1:$L$257,3,FALSE))))</f>
        <v/>
      </c>
      <c r="D181" s="301" t="str">
        <f>IF(B181="","",IF(ISNA(VLOOKUP($B181,'B-1 On-Site Hedge Baseline'!$B$1:$L$257,4,FALSE)),"",(VLOOKUP($B181,'B-1 On-Site Hedge Baseline'!$B$1:$L$257,4,FALSE))))</f>
        <v/>
      </c>
      <c r="E181" s="301" t="str">
        <f>IF(B181="","",IF(ISNA(VLOOKUP($B181,'B-1 On-Site Hedge Baseline'!$B$1:$L$257,5,FALSE)),"",(VLOOKUP($B181,'B-1 On-Site Hedge Baseline'!$B$1:$L$257,5,FALSE))))</f>
        <v/>
      </c>
      <c r="F181" s="301" t="str">
        <f>IF(B181="","",IF(ISNA(VLOOKUP($B181,'B-1 On-Site Hedge Baseline'!$B$1:$L$257,6,FALSE)),"",(VLOOKUP($B181,'B-1 On-Site Hedge Baseline'!$B$1:$L$257,6,FALSE))))</f>
        <v/>
      </c>
      <c r="G181" s="301" t="str">
        <f>IF(B181="","",IF(ISNA(VLOOKUP($B181,'B-1 On-Site Hedge Baseline'!$B$1:$L$257,7,FALSE)),"",(VLOOKUP($B181,'B-1 On-Site Hedge Baseline'!$B$1:$L$257,7,FALSE))))</f>
        <v/>
      </c>
      <c r="H181" s="301" t="str">
        <f>IF(B181="","",IF(ISNA(VLOOKUP($B181,'B-1 On-Site Hedge Baseline'!$B$1:$L$257,8,FALSE)),"",(VLOOKUP($B181,'B-1 On-Site Hedge Baseline'!$B$1:$L$257,8,FALSE))))</f>
        <v/>
      </c>
      <c r="I181" s="301" t="str">
        <f>IF(B181="","",IF(ISNA(VLOOKUP($B181,'B-1 On-Site Hedge Baseline'!$B$1:$L$257,10,FALSE)),"",(VLOOKUP($B181,'B-1 On-Site Hedge Baseline'!$B$1:$L$257,10,FALSE))))</f>
        <v/>
      </c>
      <c r="J181" s="301" t="str">
        <f>IF(B181="","",IF(ISNA(VLOOKUP($B181,'B-1 On-Site Hedge Baseline'!$B$1:$L$257,11,FALSE)),"",(VLOOKUP($B181,'B-1 On-Site Hedge Baseline'!$B$1:$L$257,11,FALSE))))</f>
        <v/>
      </c>
      <c r="K181" s="301" t="str">
        <f>IF(B181="","",IF(ISNA(VLOOKUP($B181,'B-1 On-Site Hedge Baseline'!$B$1:$U$257,13,FALSE)),"",(VLOOKUP($B181,'B-1 On-Site Hedge Baseline'!$B$1:$U$257,13,FALSE))))</f>
        <v/>
      </c>
      <c r="L181" s="305" t="str">
        <f>IF(B181="","",IF(ISNA(VLOOKUP($B181,'B-1 On-Site Hedge Baseline'!$B$1:$U$257,12,FALSE)),"",(VLOOKUP($B181,'B-1 On-Site Hedge Baseline'!$B$1:$U$257,12,FALSE))))</f>
        <v/>
      </c>
      <c r="M181" s="627"/>
      <c r="N181" s="281" t="str">
        <f>IFERROR(IF(B181="","",INDEX('G-6 Hedgerow Data'!$AN$3:$AZ$15,MATCH(C181,'G-6 Hedgerow Data'!$AM$3:$AM$15,0),MATCH(M181,'G-6 Hedgerow Data'!$AN$2:$AZ$2,0))),"")</f>
        <v/>
      </c>
      <c r="O181" s="282" t="str">
        <f t="shared" si="15"/>
        <v/>
      </c>
      <c r="P181" s="335" t="str">
        <f>IF(B181="","",VLOOKUP(B181,'B-1 On-Site Hedge Baseline'!$B$10:T426,16,FALSE))</f>
        <v/>
      </c>
      <c r="Q181" s="281" t="str">
        <f>IF(M181="","",VLOOKUP(M181,'G-6 Hedgerow Data'!$B$2:$AG$15,2,FALSE))</f>
        <v/>
      </c>
      <c r="R181" s="282" t="str">
        <f>IF(M181="","",VLOOKUP(M181,'G-6 Hedgerow Data'!$B$2:$AG$15,3,FALSE))</f>
        <v/>
      </c>
      <c r="S181" s="112"/>
      <c r="T181" s="320" t="str">
        <f>IFERROR(IF(S181="","",IF(AND(M181="Non-native and ornamental hedgerow", S181&lt;&gt;"Poor"),"Not possible ▲", (VLOOKUP(S181,'G-1 All Habitats'!$Z$2:$AA$9,2,FALSE)))),"")</f>
        <v/>
      </c>
      <c r="U181" s="109"/>
      <c r="V181" s="301" t="str">
        <f>IF(U181="","",IF(VLOOKUP(U181,'G-3 Multipliers'!$L$3:$N$6,2,FALSE)=0,"Spatial Data Missing ⚠",VLOOKUP(U181,'G-3 Multipliers'!$L$3:$N$6,2,FALSE)))</f>
        <v/>
      </c>
      <c r="W181" s="305" t="str">
        <f>IF(U181="","",IF(VLOOKUP(U181,'G-3 Multipliers'!$L$3:$N$6,3,FALSE)=0,"Spatial Data Missing ⚠",VLOOKUP(U181,'G-3 Multipliers'!$L$3:$N$6,3,FALSE)))</f>
        <v/>
      </c>
      <c r="X181" s="281" t="str">
        <f>IFERROR(IF(OR(LEFT(O181,5)="Error",LEFT(N181,5)="Error",T181="Error"),"Check Data ⚠",IF(F181&lt;R181,INDEX('G-6 Hedgerow Data'!$S$3:$AE$14,MATCH(C181,'G-6 Hedgerow Data'!$B$3:$B$14,0),MATCH(M181,'G-6 Hedgerow Data'!$S$2:$AE$2,0)),INDEX('G-6 Hedgerow Data'!$K$3:$Q$14,MATCH(M181,'G-6 Hedgerow Data'!$B$3:$B$14,0),MATCH(O181,'G-6 Hedgerow Data'!$K$2:$Q$2,0)))),"")</f>
        <v/>
      </c>
      <c r="Y181" s="137"/>
      <c r="Z181" s="137"/>
      <c r="AA181" s="289" t="str">
        <f t="shared" si="16"/>
        <v/>
      </c>
      <c r="AB181" s="302" t="str">
        <f t="shared" si="17"/>
        <v/>
      </c>
      <c r="AC181" s="303" t="str">
        <f t="shared" si="14"/>
        <v/>
      </c>
      <c r="AD181" s="317" t="str">
        <f>IF(M181="","",VLOOKUP(M181,'G-6 Hedgerow Data'!$B$3:$AG$15,31,FALSE))</f>
        <v/>
      </c>
      <c r="AE181" s="289" t="str">
        <f t="shared" si="18"/>
        <v/>
      </c>
      <c r="AF181" s="289" t="str">
        <f t="shared" si="19"/>
        <v/>
      </c>
      <c r="AG181" s="305" t="str">
        <f>IFERROR(IF(O181="","",VLOOKUP(AD181,'G-3 Multipliers'!$P$3:$Q$6,2,FALSE)),"")</f>
        <v/>
      </c>
      <c r="AH181" s="295" t="str">
        <f t="shared" si="20"/>
        <v/>
      </c>
      <c r="AI181" s="112"/>
      <c r="AJ181" s="119"/>
      <c r="AK181" s="108"/>
      <c r="AT181" s="30" t="str">
        <f>IFERROR(INDEX('G-6 Hedgerow Data'!$BJ$3:$BJ$15,MATCH(M181,'G-6 Hedgerow Data'!$B$3:$B$15,0)),"")</f>
        <v/>
      </c>
    </row>
    <row r="182" spans="2:46" ht="13.8" x14ac:dyDescent="0.25">
      <c r="B182" s="311" t="str">
        <f>'B-1 On-Site Hedge Baseline'!AK180</f>
        <v/>
      </c>
      <c r="C182" s="301" t="str">
        <f>IF(B182="","",IF(ISNA(VLOOKUP($B182,'B-1 On-Site Hedge Baseline'!$B$1:$L$257,3,FALSE)),"",(VLOOKUP($B182,'B-1 On-Site Hedge Baseline'!$B$1:$L$257,3,FALSE))))</f>
        <v/>
      </c>
      <c r="D182" s="301" t="str">
        <f>IF(B182="","",IF(ISNA(VLOOKUP($B182,'B-1 On-Site Hedge Baseline'!$B$1:$L$257,4,FALSE)),"",(VLOOKUP($B182,'B-1 On-Site Hedge Baseline'!$B$1:$L$257,4,FALSE))))</f>
        <v/>
      </c>
      <c r="E182" s="301" t="str">
        <f>IF(B182="","",IF(ISNA(VLOOKUP($B182,'B-1 On-Site Hedge Baseline'!$B$1:$L$257,5,FALSE)),"",(VLOOKUP($B182,'B-1 On-Site Hedge Baseline'!$B$1:$L$257,5,FALSE))))</f>
        <v/>
      </c>
      <c r="F182" s="301" t="str">
        <f>IF(B182="","",IF(ISNA(VLOOKUP($B182,'B-1 On-Site Hedge Baseline'!$B$1:$L$257,6,FALSE)),"",(VLOOKUP($B182,'B-1 On-Site Hedge Baseline'!$B$1:$L$257,6,FALSE))))</f>
        <v/>
      </c>
      <c r="G182" s="301" t="str">
        <f>IF(B182="","",IF(ISNA(VLOOKUP($B182,'B-1 On-Site Hedge Baseline'!$B$1:$L$257,7,FALSE)),"",(VLOOKUP($B182,'B-1 On-Site Hedge Baseline'!$B$1:$L$257,7,FALSE))))</f>
        <v/>
      </c>
      <c r="H182" s="301" t="str">
        <f>IF(B182="","",IF(ISNA(VLOOKUP($B182,'B-1 On-Site Hedge Baseline'!$B$1:$L$257,8,FALSE)),"",(VLOOKUP($B182,'B-1 On-Site Hedge Baseline'!$B$1:$L$257,8,FALSE))))</f>
        <v/>
      </c>
      <c r="I182" s="301" t="str">
        <f>IF(B182="","",IF(ISNA(VLOOKUP($B182,'B-1 On-Site Hedge Baseline'!$B$1:$L$257,10,FALSE)),"",(VLOOKUP($B182,'B-1 On-Site Hedge Baseline'!$B$1:$L$257,10,FALSE))))</f>
        <v/>
      </c>
      <c r="J182" s="301" t="str">
        <f>IF(B182="","",IF(ISNA(VLOOKUP($B182,'B-1 On-Site Hedge Baseline'!$B$1:$L$257,11,FALSE)),"",(VLOOKUP($B182,'B-1 On-Site Hedge Baseline'!$B$1:$L$257,11,FALSE))))</f>
        <v/>
      </c>
      <c r="K182" s="301" t="str">
        <f>IF(B182="","",IF(ISNA(VLOOKUP($B182,'B-1 On-Site Hedge Baseline'!$B$1:$U$257,13,FALSE)),"",(VLOOKUP($B182,'B-1 On-Site Hedge Baseline'!$B$1:$U$257,13,FALSE))))</f>
        <v/>
      </c>
      <c r="L182" s="305" t="str">
        <f>IF(B182="","",IF(ISNA(VLOOKUP($B182,'B-1 On-Site Hedge Baseline'!$B$1:$U$257,12,FALSE)),"",(VLOOKUP($B182,'B-1 On-Site Hedge Baseline'!$B$1:$U$257,12,FALSE))))</f>
        <v/>
      </c>
      <c r="M182" s="627"/>
      <c r="N182" s="281" t="str">
        <f>IFERROR(IF(B182="","",INDEX('G-6 Hedgerow Data'!$AN$3:$AZ$15,MATCH(C182,'G-6 Hedgerow Data'!$AM$3:$AM$15,0),MATCH(M182,'G-6 Hedgerow Data'!$AN$2:$AZ$2,0))),"")</f>
        <v/>
      </c>
      <c r="O182" s="282" t="str">
        <f t="shared" si="15"/>
        <v/>
      </c>
      <c r="P182" s="335" t="str">
        <f>IF(B182="","",VLOOKUP(B182,'B-1 On-Site Hedge Baseline'!$B$10:T427,16,FALSE))</f>
        <v/>
      </c>
      <c r="Q182" s="281" t="str">
        <f>IF(M182="","",VLOOKUP(M182,'G-6 Hedgerow Data'!$B$2:$AG$15,2,FALSE))</f>
        <v/>
      </c>
      <c r="R182" s="282" t="str">
        <f>IF(M182="","",VLOOKUP(M182,'G-6 Hedgerow Data'!$B$2:$AG$15,3,FALSE))</f>
        <v/>
      </c>
      <c r="S182" s="112"/>
      <c r="T182" s="320" t="str">
        <f>IFERROR(IF(S182="","",IF(AND(M182="Non-native and ornamental hedgerow", S182&lt;&gt;"Poor"),"Not possible ▲", (VLOOKUP(S182,'G-1 All Habitats'!$Z$2:$AA$9,2,FALSE)))),"")</f>
        <v/>
      </c>
      <c r="U182" s="109"/>
      <c r="V182" s="301" t="str">
        <f>IF(U182="","",IF(VLOOKUP(U182,'G-3 Multipliers'!$L$3:$N$6,2,FALSE)=0,"Spatial Data Missing ⚠",VLOOKUP(U182,'G-3 Multipliers'!$L$3:$N$6,2,FALSE)))</f>
        <v/>
      </c>
      <c r="W182" s="305" t="str">
        <f>IF(U182="","",IF(VLOOKUP(U182,'G-3 Multipliers'!$L$3:$N$6,3,FALSE)=0,"Spatial Data Missing ⚠",VLOOKUP(U182,'G-3 Multipliers'!$L$3:$N$6,3,FALSE)))</f>
        <v/>
      </c>
      <c r="X182" s="281" t="str">
        <f>IFERROR(IF(OR(LEFT(O182,5)="Error",LEFT(N182,5)="Error",T182="Error"),"Check Data ⚠",IF(F182&lt;R182,INDEX('G-6 Hedgerow Data'!$S$3:$AE$14,MATCH(C182,'G-6 Hedgerow Data'!$B$3:$B$14,0),MATCH(M182,'G-6 Hedgerow Data'!$S$2:$AE$2,0)),INDEX('G-6 Hedgerow Data'!$K$3:$Q$14,MATCH(M182,'G-6 Hedgerow Data'!$B$3:$B$14,0),MATCH(O182,'G-6 Hedgerow Data'!$K$2:$Q$2,0)))),"")</f>
        <v/>
      </c>
      <c r="Y182" s="137"/>
      <c r="Z182" s="137"/>
      <c r="AA182" s="289" t="str">
        <f t="shared" si="16"/>
        <v/>
      </c>
      <c r="AB182" s="302" t="str">
        <f t="shared" si="17"/>
        <v/>
      </c>
      <c r="AC182" s="303" t="str">
        <f t="shared" si="14"/>
        <v/>
      </c>
      <c r="AD182" s="317" t="str">
        <f>IF(M182="","",VLOOKUP(M182,'G-6 Hedgerow Data'!$B$3:$AG$15,31,FALSE))</f>
        <v/>
      </c>
      <c r="AE182" s="289" t="str">
        <f t="shared" si="18"/>
        <v/>
      </c>
      <c r="AF182" s="289" t="str">
        <f t="shared" si="19"/>
        <v/>
      </c>
      <c r="AG182" s="305" t="str">
        <f>IFERROR(IF(O182="","",VLOOKUP(AD182,'G-3 Multipliers'!$P$3:$Q$6,2,FALSE)),"")</f>
        <v/>
      </c>
      <c r="AH182" s="295" t="str">
        <f t="shared" si="20"/>
        <v/>
      </c>
      <c r="AI182" s="112"/>
      <c r="AJ182" s="119"/>
      <c r="AK182" s="108"/>
      <c r="AT182" s="30" t="str">
        <f>IFERROR(INDEX('G-6 Hedgerow Data'!$BJ$3:$BJ$15,MATCH(M182,'G-6 Hedgerow Data'!$B$3:$B$15,0)),"")</f>
        <v/>
      </c>
    </row>
    <row r="183" spans="2:46" ht="13.8" x14ac:dyDescent="0.25">
      <c r="B183" s="311" t="str">
        <f>'B-1 On-Site Hedge Baseline'!AK181</f>
        <v/>
      </c>
      <c r="C183" s="301" t="str">
        <f>IF(B183="","",IF(ISNA(VLOOKUP($B183,'B-1 On-Site Hedge Baseline'!$B$1:$L$257,3,FALSE)),"",(VLOOKUP($B183,'B-1 On-Site Hedge Baseline'!$B$1:$L$257,3,FALSE))))</f>
        <v/>
      </c>
      <c r="D183" s="301" t="str">
        <f>IF(B183="","",IF(ISNA(VLOOKUP($B183,'B-1 On-Site Hedge Baseline'!$B$1:$L$257,4,FALSE)),"",(VLOOKUP($B183,'B-1 On-Site Hedge Baseline'!$B$1:$L$257,4,FALSE))))</f>
        <v/>
      </c>
      <c r="E183" s="301" t="str">
        <f>IF(B183="","",IF(ISNA(VLOOKUP($B183,'B-1 On-Site Hedge Baseline'!$B$1:$L$257,5,FALSE)),"",(VLOOKUP($B183,'B-1 On-Site Hedge Baseline'!$B$1:$L$257,5,FALSE))))</f>
        <v/>
      </c>
      <c r="F183" s="301" t="str">
        <f>IF(B183="","",IF(ISNA(VLOOKUP($B183,'B-1 On-Site Hedge Baseline'!$B$1:$L$257,6,FALSE)),"",(VLOOKUP($B183,'B-1 On-Site Hedge Baseline'!$B$1:$L$257,6,FALSE))))</f>
        <v/>
      </c>
      <c r="G183" s="301" t="str">
        <f>IF(B183="","",IF(ISNA(VLOOKUP($B183,'B-1 On-Site Hedge Baseline'!$B$1:$L$257,7,FALSE)),"",(VLOOKUP($B183,'B-1 On-Site Hedge Baseline'!$B$1:$L$257,7,FALSE))))</f>
        <v/>
      </c>
      <c r="H183" s="301" t="str">
        <f>IF(B183="","",IF(ISNA(VLOOKUP($B183,'B-1 On-Site Hedge Baseline'!$B$1:$L$257,8,FALSE)),"",(VLOOKUP($B183,'B-1 On-Site Hedge Baseline'!$B$1:$L$257,8,FALSE))))</f>
        <v/>
      </c>
      <c r="I183" s="301" t="str">
        <f>IF(B183="","",IF(ISNA(VLOOKUP($B183,'B-1 On-Site Hedge Baseline'!$B$1:$L$257,10,FALSE)),"",(VLOOKUP($B183,'B-1 On-Site Hedge Baseline'!$B$1:$L$257,10,FALSE))))</f>
        <v/>
      </c>
      <c r="J183" s="301" t="str">
        <f>IF(B183="","",IF(ISNA(VLOOKUP($B183,'B-1 On-Site Hedge Baseline'!$B$1:$L$257,11,FALSE)),"",(VLOOKUP($B183,'B-1 On-Site Hedge Baseline'!$B$1:$L$257,11,FALSE))))</f>
        <v/>
      </c>
      <c r="K183" s="301" t="str">
        <f>IF(B183="","",IF(ISNA(VLOOKUP($B183,'B-1 On-Site Hedge Baseline'!$B$1:$U$257,13,FALSE)),"",(VLOOKUP($B183,'B-1 On-Site Hedge Baseline'!$B$1:$U$257,13,FALSE))))</f>
        <v/>
      </c>
      <c r="L183" s="305" t="str">
        <f>IF(B183="","",IF(ISNA(VLOOKUP($B183,'B-1 On-Site Hedge Baseline'!$B$1:$U$257,12,FALSE)),"",(VLOOKUP($B183,'B-1 On-Site Hedge Baseline'!$B$1:$U$257,12,FALSE))))</f>
        <v/>
      </c>
      <c r="M183" s="627"/>
      <c r="N183" s="281" t="str">
        <f>IFERROR(IF(B183="","",INDEX('G-6 Hedgerow Data'!$AN$3:$AZ$15,MATCH(C183,'G-6 Hedgerow Data'!$AM$3:$AM$15,0),MATCH(M183,'G-6 Hedgerow Data'!$AN$2:$AZ$2,0))),"")</f>
        <v/>
      </c>
      <c r="O183" s="282" t="str">
        <f t="shared" si="15"/>
        <v/>
      </c>
      <c r="P183" s="335" t="str">
        <f>IF(B183="","",VLOOKUP(B183,'B-1 On-Site Hedge Baseline'!$B$10:T428,16,FALSE))</f>
        <v/>
      </c>
      <c r="Q183" s="281" t="str">
        <f>IF(M183="","",VLOOKUP(M183,'G-6 Hedgerow Data'!$B$2:$AG$15,2,FALSE))</f>
        <v/>
      </c>
      <c r="R183" s="282" t="str">
        <f>IF(M183="","",VLOOKUP(M183,'G-6 Hedgerow Data'!$B$2:$AG$15,3,FALSE))</f>
        <v/>
      </c>
      <c r="S183" s="112"/>
      <c r="T183" s="320" t="str">
        <f>IFERROR(IF(S183="","",IF(AND(M183="Non-native and ornamental hedgerow", S183&lt;&gt;"Poor"),"Not possible ▲", (VLOOKUP(S183,'G-1 All Habitats'!$Z$2:$AA$9,2,FALSE)))),"")</f>
        <v/>
      </c>
      <c r="U183" s="109"/>
      <c r="V183" s="301" t="str">
        <f>IF(U183="","",IF(VLOOKUP(U183,'G-3 Multipliers'!$L$3:$N$6,2,FALSE)=0,"Spatial Data Missing ⚠",VLOOKUP(U183,'G-3 Multipliers'!$L$3:$N$6,2,FALSE)))</f>
        <v/>
      </c>
      <c r="W183" s="305" t="str">
        <f>IF(U183="","",IF(VLOOKUP(U183,'G-3 Multipliers'!$L$3:$N$6,3,FALSE)=0,"Spatial Data Missing ⚠",VLOOKUP(U183,'G-3 Multipliers'!$L$3:$N$6,3,FALSE)))</f>
        <v/>
      </c>
      <c r="X183" s="281" t="str">
        <f>IFERROR(IF(OR(LEFT(O183,5)="Error",LEFT(N183,5)="Error",T183="Error"),"Check Data ⚠",IF(F183&lt;R183,INDEX('G-6 Hedgerow Data'!$S$3:$AE$14,MATCH(C183,'G-6 Hedgerow Data'!$B$3:$B$14,0),MATCH(M183,'G-6 Hedgerow Data'!$S$2:$AE$2,0)),INDEX('G-6 Hedgerow Data'!$K$3:$Q$14,MATCH(M183,'G-6 Hedgerow Data'!$B$3:$B$14,0),MATCH(O183,'G-6 Hedgerow Data'!$K$2:$Q$2,0)))),"")</f>
        <v/>
      </c>
      <c r="Y183" s="137"/>
      <c r="Z183" s="137"/>
      <c r="AA183" s="289" t="str">
        <f t="shared" si="16"/>
        <v/>
      </c>
      <c r="AB183" s="302" t="str">
        <f t="shared" si="17"/>
        <v/>
      </c>
      <c r="AC183" s="303" t="str">
        <f t="shared" si="14"/>
        <v/>
      </c>
      <c r="AD183" s="317" t="str">
        <f>IF(M183="","",VLOOKUP(M183,'G-6 Hedgerow Data'!$B$3:$AG$15,31,FALSE))</f>
        <v/>
      </c>
      <c r="AE183" s="289" t="str">
        <f t="shared" si="18"/>
        <v/>
      </c>
      <c r="AF183" s="289" t="str">
        <f t="shared" si="19"/>
        <v/>
      </c>
      <c r="AG183" s="305" t="str">
        <f>IFERROR(IF(O183="","",VLOOKUP(AD183,'G-3 Multipliers'!$P$3:$Q$6,2,FALSE)),"")</f>
        <v/>
      </c>
      <c r="AH183" s="295" t="str">
        <f t="shared" si="20"/>
        <v/>
      </c>
      <c r="AI183" s="112"/>
      <c r="AJ183" s="119"/>
      <c r="AK183" s="108"/>
      <c r="AT183" s="30" t="str">
        <f>IFERROR(INDEX('G-6 Hedgerow Data'!$BJ$3:$BJ$15,MATCH(M183,'G-6 Hedgerow Data'!$B$3:$B$15,0)),"")</f>
        <v/>
      </c>
    </row>
    <row r="184" spans="2:46" ht="13.8" x14ac:dyDescent="0.25">
      <c r="B184" s="311" t="str">
        <f>'B-1 On-Site Hedge Baseline'!AK182</f>
        <v/>
      </c>
      <c r="C184" s="301" t="str">
        <f>IF(B184="","",IF(ISNA(VLOOKUP($B184,'B-1 On-Site Hedge Baseline'!$B$1:$L$257,3,FALSE)),"",(VLOOKUP($B184,'B-1 On-Site Hedge Baseline'!$B$1:$L$257,3,FALSE))))</f>
        <v/>
      </c>
      <c r="D184" s="301" t="str">
        <f>IF(B184="","",IF(ISNA(VLOOKUP($B184,'B-1 On-Site Hedge Baseline'!$B$1:$L$257,4,FALSE)),"",(VLOOKUP($B184,'B-1 On-Site Hedge Baseline'!$B$1:$L$257,4,FALSE))))</f>
        <v/>
      </c>
      <c r="E184" s="301" t="str">
        <f>IF(B184="","",IF(ISNA(VLOOKUP($B184,'B-1 On-Site Hedge Baseline'!$B$1:$L$257,5,FALSE)),"",(VLOOKUP($B184,'B-1 On-Site Hedge Baseline'!$B$1:$L$257,5,FALSE))))</f>
        <v/>
      </c>
      <c r="F184" s="301" t="str">
        <f>IF(B184="","",IF(ISNA(VLOOKUP($B184,'B-1 On-Site Hedge Baseline'!$B$1:$L$257,6,FALSE)),"",(VLOOKUP($B184,'B-1 On-Site Hedge Baseline'!$B$1:$L$257,6,FALSE))))</f>
        <v/>
      </c>
      <c r="G184" s="301" t="str">
        <f>IF(B184="","",IF(ISNA(VLOOKUP($B184,'B-1 On-Site Hedge Baseline'!$B$1:$L$257,7,FALSE)),"",(VLOOKUP($B184,'B-1 On-Site Hedge Baseline'!$B$1:$L$257,7,FALSE))))</f>
        <v/>
      </c>
      <c r="H184" s="301" t="str">
        <f>IF(B184="","",IF(ISNA(VLOOKUP($B184,'B-1 On-Site Hedge Baseline'!$B$1:$L$257,8,FALSE)),"",(VLOOKUP($B184,'B-1 On-Site Hedge Baseline'!$B$1:$L$257,8,FALSE))))</f>
        <v/>
      </c>
      <c r="I184" s="301" t="str">
        <f>IF(B184="","",IF(ISNA(VLOOKUP($B184,'B-1 On-Site Hedge Baseline'!$B$1:$L$257,10,FALSE)),"",(VLOOKUP($B184,'B-1 On-Site Hedge Baseline'!$B$1:$L$257,10,FALSE))))</f>
        <v/>
      </c>
      <c r="J184" s="301" t="str">
        <f>IF(B184="","",IF(ISNA(VLOOKUP($B184,'B-1 On-Site Hedge Baseline'!$B$1:$L$257,11,FALSE)),"",(VLOOKUP($B184,'B-1 On-Site Hedge Baseline'!$B$1:$L$257,11,FALSE))))</f>
        <v/>
      </c>
      <c r="K184" s="301" t="str">
        <f>IF(B184="","",IF(ISNA(VLOOKUP($B184,'B-1 On-Site Hedge Baseline'!$B$1:$U$257,13,FALSE)),"",(VLOOKUP($B184,'B-1 On-Site Hedge Baseline'!$B$1:$U$257,13,FALSE))))</f>
        <v/>
      </c>
      <c r="L184" s="305" t="str">
        <f>IF(B184="","",IF(ISNA(VLOOKUP($B184,'B-1 On-Site Hedge Baseline'!$B$1:$U$257,12,FALSE)),"",(VLOOKUP($B184,'B-1 On-Site Hedge Baseline'!$B$1:$U$257,12,FALSE))))</f>
        <v/>
      </c>
      <c r="M184" s="627"/>
      <c r="N184" s="281" t="str">
        <f>IFERROR(IF(B184="","",INDEX('G-6 Hedgerow Data'!$AN$3:$AZ$15,MATCH(C184,'G-6 Hedgerow Data'!$AM$3:$AM$15,0),MATCH(M184,'G-6 Hedgerow Data'!$AN$2:$AZ$2,0))),"")</f>
        <v/>
      </c>
      <c r="O184" s="282" t="str">
        <f t="shared" si="15"/>
        <v/>
      </c>
      <c r="P184" s="335" t="str">
        <f>IF(B184="","",VLOOKUP(B184,'B-1 On-Site Hedge Baseline'!$B$10:T429,16,FALSE))</f>
        <v/>
      </c>
      <c r="Q184" s="281" t="str">
        <f>IF(M184="","",VLOOKUP(M184,'G-6 Hedgerow Data'!$B$2:$AG$15,2,FALSE))</f>
        <v/>
      </c>
      <c r="R184" s="282" t="str">
        <f>IF(M184="","",VLOOKUP(M184,'G-6 Hedgerow Data'!$B$2:$AG$15,3,FALSE))</f>
        <v/>
      </c>
      <c r="S184" s="112"/>
      <c r="T184" s="320" t="str">
        <f>IFERROR(IF(S184="","",IF(AND(M184="Non-native and ornamental hedgerow", S184&lt;&gt;"Poor"),"Not possible ▲", (VLOOKUP(S184,'G-1 All Habitats'!$Z$2:$AA$9,2,FALSE)))),"")</f>
        <v/>
      </c>
      <c r="U184" s="109"/>
      <c r="V184" s="301" t="str">
        <f>IF(U184="","",IF(VLOOKUP(U184,'G-3 Multipliers'!$L$3:$N$6,2,FALSE)=0,"Spatial Data Missing ⚠",VLOOKUP(U184,'G-3 Multipliers'!$L$3:$N$6,2,FALSE)))</f>
        <v/>
      </c>
      <c r="W184" s="305" t="str">
        <f>IF(U184="","",IF(VLOOKUP(U184,'G-3 Multipliers'!$L$3:$N$6,3,FALSE)=0,"Spatial Data Missing ⚠",VLOOKUP(U184,'G-3 Multipliers'!$L$3:$N$6,3,FALSE)))</f>
        <v/>
      </c>
      <c r="X184" s="281" t="str">
        <f>IFERROR(IF(OR(LEFT(O184,5)="Error",LEFT(N184,5)="Error",T184="Error"),"Check Data ⚠",IF(F184&lt;R184,INDEX('G-6 Hedgerow Data'!$S$3:$AE$14,MATCH(C184,'G-6 Hedgerow Data'!$B$3:$B$14,0),MATCH(M184,'G-6 Hedgerow Data'!$S$2:$AE$2,0)),INDEX('G-6 Hedgerow Data'!$K$3:$Q$14,MATCH(M184,'G-6 Hedgerow Data'!$B$3:$B$14,0),MATCH(O184,'G-6 Hedgerow Data'!$K$2:$Q$2,0)))),"")</f>
        <v/>
      </c>
      <c r="Y184" s="137"/>
      <c r="Z184" s="137"/>
      <c r="AA184" s="289" t="str">
        <f t="shared" si="16"/>
        <v/>
      </c>
      <c r="AB184" s="302" t="str">
        <f t="shared" si="17"/>
        <v/>
      </c>
      <c r="AC184" s="303" t="str">
        <f t="shared" si="14"/>
        <v/>
      </c>
      <c r="AD184" s="317" t="str">
        <f>IF(M184="","",VLOOKUP(M184,'G-6 Hedgerow Data'!$B$3:$AG$15,31,FALSE))</f>
        <v/>
      </c>
      <c r="AE184" s="289" t="str">
        <f t="shared" si="18"/>
        <v/>
      </c>
      <c r="AF184" s="289" t="str">
        <f t="shared" si="19"/>
        <v/>
      </c>
      <c r="AG184" s="305" t="str">
        <f>IFERROR(IF(O184="","",VLOOKUP(AD184,'G-3 Multipliers'!$P$3:$Q$6,2,FALSE)),"")</f>
        <v/>
      </c>
      <c r="AH184" s="295" t="str">
        <f t="shared" si="20"/>
        <v/>
      </c>
      <c r="AI184" s="112"/>
      <c r="AJ184" s="119"/>
      <c r="AK184" s="108"/>
      <c r="AT184" s="30" t="str">
        <f>IFERROR(INDEX('G-6 Hedgerow Data'!$BJ$3:$BJ$15,MATCH(M184,'G-6 Hedgerow Data'!$B$3:$B$15,0)),"")</f>
        <v/>
      </c>
    </row>
    <row r="185" spans="2:46" ht="13.8" x14ac:dyDescent="0.25">
      <c r="B185" s="311" t="str">
        <f>'B-1 On-Site Hedge Baseline'!AK183</f>
        <v/>
      </c>
      <c r="C185" s="301" t="str">
        <f>IF(B185="","",IF(ISNA(VLOOKUP($B185,'B-1 On-Site Hedge Baseline'!$B$1:$L$257,3,FALSE)),"",(VLOOKUP($B185,'B-1 On-Site Hedge Baseline'!$B$1:$L$257,3,FALSE))))</f>
        <v/>
      </c>
      <c r="D185" s="301" t="str">
        <f>IF(B185="","",IF(ISNA(VLOOKUP($B185,'B-1 On-Site Hedge Baseline'!$B$1:$L$257,4,FALSE)),"",(VLOOKUP($B185,'B-1 On-Site Hedge Baseline'!$B$1:$L$257,4,FALSE))))</f>
        <v/>
      </c>
      <c r="E185" s="301" t="str">
        <f>IF(B185="","",IF(ISNA(VLOOKUP($B185,'B-1 On-Site Hedge Baseline'!$B$1:$L$257,5,FALSE)),"",(VLOOKUP($B185,'B-1 On-Site Hedge Baseline'!$B$1:$L$257,5,FALSE))))</f>
        <v/>
      </c>
      <c r="F185" s="301" t="str">
        <f>IF(B185="","",IF(ISNA(VLOOKUP($B185,'B-1 On-Site Hedge Baseline'!$B$1:$L$257,6,FALSE)),"",(VLOOKUP($B185,'B-1 On-Site Hedge Baseline'!$B$1:$L$257,6,FALSE))))</f>
        <v/>
      </c>
      <c r="G185" s="301" t="str">
        <f>IF(B185="","",IF(ISNA(VLOOKUP($B185,'B-1 On-Site Hedge Baseline'!$B$1:$L$257,7,FALSE)),"",(VLOOKUP($B185,'B-1 On-Site Hedge Baseline'!$B$1:$L$257,7,FALSE))))</f>
        <v/>
      </c>
      <c r="H185" s="301" t="str">
        <f>IF(B185="","",IF(ISNA(VLOOKUP($B185,'B-1 On-Site Hedge Baseline'!$B$1:$L$257,8,FALSE)),"",(VLOOKUP($B185,'B-1 On-Site Hedge Baseline'!$B$1:$L$257,8,FALSE))))</f>
        <v/>
      </c>
      <c r="I185" s="301" t="str">
        <f>IF(B185="","",IF(ISNA(VLOOKUP($B185,'B-1 On-Site Hedge Baseline'!$B$1:$L$257,10,FALSE)),"",(VLOOKUP($B185,'B-1 On-Site Hedge Baseline'!$B$1:$L$257,10,FALSE))))</f>
        <v/>
      </c>
      <c r="J185" s="301" t="str">
        <f>IF(B185="","",IF(ISNA(VLOOKUP($B185,'B-1 On-Site Hedge Baseline'!$B$1:$L$257,11,FALSE)),"",(VLOOKUP($B185,'B-1 On-Site Hedge Baseline'!$B$1:$L$257,11,FALSE))))</f>
        <v/>
      </c>
      <c r="K185" s="301" t="str">
        <f>IF(B185="","",IF(ISNA(VLOOKUP($B185,'B-1 On-Site Hedge Baseline'!$B$1:$U$257,13,FALSE)),"",(VLOOKUP($B185,'B-1 On-Site Hedge Baseline'!$B$1:$U$257,13,FALSE))))</f>
        <v/>
      </c>
      <c r="L185" s="305" t="str">
        <f>IF(B185="","",IF(ISNA(VLOOKUP($B185,'B-1 On-Site Hedge Baseline'!$B$1:$U$257,12,FALSE)),"",(VLOOKUP($B185,'B-1 On-Site Hedge Baseline'!$B$1:$U$257,12,FALSE))))</f>
        <v/>
      </c>
      <c r="M185" s="627"/>
      <c r="N185" s="281" t="str">
        <f>IFERROR(IF(B185="","",INDEX('G-6 Hedgerow Data'!$AN$3:$AZ$15,MATCH(C185,'G-6 Hedgerow Data'!$AM$3:$AM$15,0),MATCH(M185,'G-6 Hedgerow Data'!$AN$2:$AZ$2,0))),"")</f>
        <v/>
      </c>
      <c r="O185" s="282" t="str">
        <f t="shared" si="15"/>
        <v/>
      </c>
      <c r="P185" s="335" t="str">
        <f>IF(B185="","",VLOOKUP(B185,'B-1 On-Site Hedge Baseline'!$B$10:T430,16,FALSE))</f>
        <v/>
      </c>
      <c r="Q185" s="281" t="str">
        <f>IF(M185="","",VLOOKUP(M185,'G-6 Hedgerow Data'!$B$2:$AG$15,2,FALSE))</f>
        <v/>
      </c>
      <c r="R185" s="282" t="str">
        <f>IF(M185="","",VLOOKUP(M185,'G-6 Hedgerow Data'!$B$2:$AG$15,3,FALSE))</f>
        <v/>
      </c>
      <c r="S185" s="112"/>
      <c r="T185" s="320" t="str">
        <f>IFERROR(IF(S185="","",IF(AND(M185="Non-native and ornamental hedgerow", S185&lt;&gt;"Poor"),"Not possible ▲", (VLOOKUP(S185,'G-1 All Habitats'!$Z$2:$AA$9,2,FALSE)))),"")</f>
        <v/>
      </c>
      <c r="U185" s="109"/>
      <c r="V185" s="301" t="str">
        <f>IF(U185="","",IF(VLOOKUP(U185,'G-3 Multipliers'!$L$3:$N$6,2,FALSE)=0,"Spatial Data Missing ⚠",VLOOKUP(U185,'G-3 Multipliers'!$L$3:$N$6,2,FALSE)))</f>
        <v/>
      </c>
      <c r="W185" s="305" t="str">
        <f>IF(U185="","",IF(VLOOKUP(U185,'G-3 Multipliers'!$L$3:$N$6,3,FALSE)=0,"Spatial Data Missing ⚠",VLOOKUP(U185,'G-3 Multipliers'!$L$3:$N$6,3,FALSE)))</f>
        <v/>
      </c>
      <c r="X185" s="281" t="str">
        <f>IFERROR(IF(OR(LEFT(O185,5)="Error",LEFT(N185,5)="Error",T185="Error"),"Check Data ⚠",IF(F185&lt;R185,INDEX('G-6 Hedgerow Data'!$S$3:$AE$14,MATCH(C185,'G-6 Hedgerow Data'!$B$3:$B$14,0),MATCH(M185,'G-6 Hedgerow Data'!$S$2:$AE$2,0)),INDEX('G-6 Hedgerow Data'!$K$3:$Q$14,MATCH(M185,'G-6 Hedgerow Data'!$B$3:$B$14,0),MATCH(O185,'G-6 Hedgerow Data'!$K$2:$Q$2,0)))),"")</f>
        <v/>
      </c>
      <c r="Y185" s="137"/>
      <c r="Z185" s="137"/>
      <c r="AA185" s="289" t="str">
        <f t="shared" si="16"/>
        <v/>
      </c>
      <c r="AB185" s="302" t="str">
        <f t="shared" si="17"/>
        <v/>
      </c>
      <c r="AC185" s="303" t="str">
        <f t="shared" si="14"/>
        <v/>
      </c>
      <c r="AD185" s="317" t="str">
        <f>IF(M185="","",VLOOKUP(M185,'G-6 Hedgerow Data'!$B$3:$AG$15,31,FALSE))</f>
        <v/>
      </c>
      <c r="AE185" s="289" t="str">
        <f t="shared" si="18"/>
        <v/>
      </c>
      <c r="AF185" s="289" t="str">
        <f t="shared" si="19"/>
        <v/>
      </c>
      <c r="AG185" s="305" t="str">
        <f>IFERROR(IF(O185="","",VLOOKUP(AD185,'G-3 Multipliers'!$P$3:$Q$6,2,FALSE)),"")</f>
        <v/>
      </c>
      <c r="AH185" s="295" t="str">
        <f t="shared" si="20"/>
        <v/>
      </c>
      <c r="AI185" s="112"/>
      <c r="AJ185" s="119"/>
      <c r="AK185" s="108"/>
      <c r="AT185" s="30" t="str">
        <f>IFERROR(INDEX('G-6 Hedgerow Data'!$BJ$3:$BJ$15,MATCH(M185,'G-6 Hedgerow Data'!$B$3:$B$15,0)),"")</f>
        <v/>
      </c>
    </row>
    <row r="186" spans="2:46" ht="13.8" x14ac:dyDescent="0.25">
      <c r="B186" s="311" t="str">
        <f>'B-1 On-Site Hedge Baseline'!AK184</f>
        <v/>
      </c>
      <c r="C186" s="301" t="str">
        <f>IF(B186="","",IF(ISNA(VLOOKUP($B186,'B-1 On-Site Hedge Baseline'!$B$1:$L$257,3,FALSE)),"",(VLOOKUP($B186,'B-1 On-Site Hedge Baseline'!$B$1:$L$257,3,FALSE))))</f>
        <v/>
      </c>
      <c r="D186" s="301" t="str">
        <f>IF(B186="","",IF(ISNA(VLOOKUP($B186,'B-1 On-Site Hedge Baseline'!$B$1:$L$257,4,FALSE)),"",(VLOOKUP($B186,'B-1 On-Site Hedge Baseline'!$B$1:$L$257,4,FALSE))))</f>
        <v/>
      </c>
      <c r="E186" s="301" t="str">
        <f>IF(B186="","",IF(ISNA(VLOOKUP($B186,'B-1 On-Site Hedge Baseline'!$B$1:$L$257,5,FALSE)),"",(VLOOKUP($B186,'B-1 On-Site Hedge Baseline'!$B$1:$L$257,5,FALSE))))</f>
        <v/>
      </c>
      <c r="F186" s="301" t="str">
        <f>IF(B186="","",IF(ISNA(VLOOKUP($B186,'B-1 On-Site Hedge Baseline'!$B$1:$L$257,6,FALSE)),"",(VLOOKUP($B186,'B-1 On-Site Hedge Baseline'!$B$1:$L$257,6,FALSE))))</f>
        <v/>
      </c>
      <c r="G186" s="301" t="str">
        <f>IF(B186="","",IF(ISNA(VLOOKUP($B186,'B-1 On-Site Hedge Baseline'!$B$1:$L$257,7,FALSE)),"",(VLOOKUP($B186,'B-1 On-Site Hedge Baseline'!$B$1:$L$257,7,FALSE))))</f>
        <v/>
      </c>
      <c r="H186" s="301" t="str">
        <f>IF(B186="","",IF(ISNA(VLOOKUP($B186,'B-1 On-Site Hedge Baseline'!$B$1:$L$257,8,FALSE)),"",(VLOOKUP($B186,'B-1 On-Site Hedge Baseline'!$B$1:$L$257,8,FALSE))))</f>
        <v/>
      </c>
      <c r="I186" s="301" t="str">
        <f>IF(B186="","",IF(ISNA(VLOOKUP($B186,'B-1 On-Site Hedge Baseline'!$B$1:$L$257,10,FALSE)),"",(VLOOKUP($B186,'B-1 On-Site Hedge Baseline'!$B$1:$L$257,10,FALSE))))</f>
        <v/>
      </c>
      <c r="J186" s="301" t="str">
        <f>IF(B186="","",IF(ISNA(VLOOKUP($B186,'B-1 On-Site Hedge Baseline'!$B$1:$L$257,11,FALSE)),"",(VLOOKUP($B186,'B-1 On-Site Hedge Baseline'!$B$1:$L$257,11,FALSE))))</f>
        <v/>
      </c>
      <c r="K186" s="301" t="str">
        <f>IF(B186="","",IF(ISNA(VLOOKUP($B186,'B-1 On-Site Hedge Baseline'!$B$1:$U$257,13,FALSE)),"",(VLOOKUP($B186,'B-1 On-Site Hedge Baseline'!$B$1:$U$257,13,FALSE))))</f>
        <v/>
      </c>
      <c r="L186" s="305" t="str">
        <f>IF(B186="","",IF(ISNA(VLOOKUP($B186,'B-1 On-Site Hedge Baseline'!$B$1:$U$257,12,FALSE)),"",(VLOOKUP($B186,'B-1 On-Site Hedge Baseline'!$B$1:$U$257,12,FALSE))))</f>
        <v/>
      </c>
      <c r="M186" s="627"/>
      <c r="N186" s="281" t="str">
        <f>IFERROR(IF(B186="","",INDEX('G-6 Hedgerow Data'!$AN$3:$AZ$15,MATCH(C186,'G-6 Hedgerow Data'!$AM$3:$AM$15,0),MATCH(M186,'G-6 Hedgerow Data'!$AN$2:$AZ$2,0))),"")</f>
        <v/>
      </c>
      <c r="O186" s="282" t="str">
        <f t="shared" si="15"/>
        <v/>
      </c>
      <c r="P186" s="335" t="str">
        <f>IF(B186="","",VLOOKUP(B186,'B-1 On-Site Hedge Baseline'!$B$10:T431,16,FALSE))</f>
        <v/>
      </c>
      <c r="Q186" s="281" t="str">
        <f>IF(M186="","",VLOOKUP(M186,'G-6 Hedgerow Data'!$B$2:$AG$15,2,FALSE))</f>
        <v/>
      </c>
      <c r="R186" s="282" t="str">
        <f>IF(M186="","",VLOOKUP(M186,'G-6 Hedgerow Data'!$B$2:$AG$15,3,FALSE))</f>
        <v/>
      </c>
      <c r="S186" s="112"/>
      <c r="T186" s="320" t="str">
        <f>IFERROR(IF(S186="","",IF(AND(M186="Non-native and ornamental hedgerow", S186&lt;&gt;"Poor"),"Not possible ▲", (VLOOKUP(S186,'G-1 All Habitats'!$Z$2:$AA$9,2,FALSE)))),"")</f>
        <v/>
      </c>
      <c r="U186" s="109"/>
      <c r="V186" s="301" t="str">
        <f>IF(U186="","",IF(VLOOKUP(U186,'G-3 Multipliers'!$L$3:$N$6,2,FALSE)=0,"Spatial Data Missing ⚠",VLOOKUP(U186,'G-3 Multipliers'!$L$3:$N$6,2,FALSE)))</f>
        <v/>
      </c>
      <c r="W186" s="305" t="str">
        <f>IF(U186="","",IF(VLOOKUP(U186,'G-3 Multipliers'!$L$3:$N$6,3,FALSE)=0,"Spatial Data Missing ⚠",VLOOKUP(U186,'G-3 Multipliers'!$L$3:$N$6,3,FALSE)))</f>
        <v/>
      </c>
      <c r="X186" s="281" t="str">
        <f>IFERROR(IF(OR(LEFT(O186,5)="Error",LEFT(N186,5)="Error",T186="Error"),"Check Data ⚠",IF(F186&lt;R186,INDEX('G-6 Hedgerow Data'!$S$3:$AE$14,MATCH(C186,'G-6 Hedgerow Data'!$B$3:$B$14,0),MATCH(M186,'G-6 Hedgerow Data'!$S$2:$AE$2,0)),INDEX('G-6 Hedgerow Data'!$K$3:$Q$14,MATCH(M186,'G-6 Hedgerow Data'!$B$3:$B$14,0),MATCH(O186,'G-6 Hedgerow Data'!$K$2:$Q$2,0)))),"")</f>
        <v/>
      </c>
      <c r="Y186" s="137"/>
      <c r="Z186" s="137"/>
      <c r="AA186" s="289" t="str">
        <f t="shared" si="16"/>
        <v/>
      </c>
      <c r="AB186" s="302" t="str">
        <f t="shared" si="17"/>
        <v/>
      </c>
      <c r="AC186" s="303" t="str">
        <f t="shared" si="14"/>
        <v/>
      </c>
      <c r="AD186" s="317" t="str">
        <f>IF(M186="","",VLOOKUP(M186,'G-6 Hedgerow Data'!$B$3:$AG$15,31,FALSE))</f>
        <v/>
      </c>
      <c r="AE186" s="289" t="str">
        <f t="shared" si="18"/>
        <v/>
      </c>
      <c r="AF186" s="289" t="str">
        <f t="shared" si="19"/>
        <v/>
      </c>
      <c r="AG186" s="305" t="str">
        <f>IFERROR(IF(O186="","",VLOOKUP(AD186,'G-3 Multipliers'!$P$3:$Q$6,2,FALSE)),"")</f>
        <v/>
      </c>
      <c r="AH186" s="295" t="str">
        <f t="shared" si="20"/>
        <v/>
      </c>
      <c r="AI186" s="112"/>
      <c r="AJ186" s="119"/>
      <c r="AK186" s="108"/>
      <c r="AT186" s="30" t="str">
        <f>IFERROR(INDEX('G-6 Hedgerow Data'!$BJ$3:$BJ$15,MATCH(M186,'G-6 Hedgerow Data'!$B$3:$B$15,0)),"")</f>
        <v/>
      </c>
    </row>
    <row r="187" spans="2:46" ht="13.8" x14ac:dyDescent="0.25">
      <c r="B187" s="311" t="str">
        <f>'B-1 On-Site Hedge Baseline'!AK185</f>
        <v/>
      </c>
      <c r="C187" s="301" t="str">
        <f>IF(B187="","",IF(ISNA(VLOOKUP($B187,'B-1 On-Site Hedge Baseline'!$B$1:$L$257,3,FALSE)),"",(VLOOKUP($B187,'B-1 On-Site Hedge Baseline'!$B$1:$L$257,3,FALSE))))</f>
        <v/>
      </c>
      <c r="D187" s="301" t="str">
        <f>IF(B187="","",IF(ISNA(VLOOKUP($B187,'B-1 On-Site Hedge Baseline'!$B$1:$L$257,4,FALSE)),"",(VLOOKUP($B187,'B-1 On-Site Hedge Baseline'!$B$1:$L$257,4,FALSE))))</f>
        <v/>
      </c>
      <c r="E187" s="301" t="str">
        <f>IF(B187="","",IF(ISNA(VLOOKUP($B187,'B-1 On-Site Hedge Baseline'!$B$1:$L$257,5,FALSE)),"",(VLOOKUP($B187,'B-1 On-Site Hedge Baseline'!$B$1:$L$257,5,FALSE))))</f>
        <v/>
      </c>
      <c r="F187" s="301" t="str">
        <f>IF(B187="","",IF(ISNA(VLOOKUP($B187,'B-1 On-Site Hedge Baseline'!$B$1:$L$257,6,FALSE)),"",(VLOOKUP($B187,'B-1 On-Site Hedge Baseline'!$B$1:$L$257,6,FALSE))))</f>
        <v/>
      </c>
      <c r="G187" s="301" t="str">
        <f>IF(B187="","",IF(ISNA(VLOOKUP($B187,'B-1 On-Site Hedge Baseline'!$B$1:$L$257,7,FALSE)),"",(VLOOKUP($B187,'B-1 On-Site Hedge Baseline'!$B$1:$L$257,7,FALSE))))</f>
        <v/>
      </c>
      <c r="H187" s="301" t="str">
        <f>IF(B187="","",IF(ISNA(VLOOKUP($B187,'B-1 On-Site Hedge Baseline'!$B$1:$L$257,8,FALSE)),"",(VLOOKUP($B187,'B-1 On-Site Hedge Baseline'!$B$1:$L$257,8,FALSE))))</f>
        <v/>
      </c>
      <c r="I187" s="301" t="str">
        <f>IF(B187="","",IF(ISNA(VLOOKUP($B187,'B-1 On-Site Hedge Baseline'!$B$1:$L$257,10,FALSE)),"",(VLOOKUP($B187,'B-1 On-Site Hedge Baseline'!$B$1:$L$257,10,FALSE))))</f>
        <v/>
      </c>
      <c r="J187" s="301" t="str">
        <f>IF(B187="","",IF(ISNA(VLOOKUP($B187,'B-1 On-Site Hedge Baseline'!$B$1:$L$257,11,FALSE)),"",(VLOOKUP($B187,'B-1 On-Site Hedge Baseline'!$B$1:$L$257,11,FALSE))))</f>
        <v/>
      </c>
      <c r="K187" s="301" t="str">
        <f>IF(B187="","",IF(ISNA(VLOOKUP($B187,'B-1 On-Site Hedge Baseline'!$B$1:$U$257,13,FALSE)),"",(VLOOKUP($B187,'B-1 On-Site Hedge Baseline'!$B$1:$U$257,13,FALSE))))</f>
        <v/>
      </c>
      <c r="L187" s="305" t="str">
        <f>IF(B187="","",IF(ISNA(VLOOKUP($B187,'B-1 On-Site Hedge Baseline'!$B$1:$U$257,12,FALSE)),"",(VLOOKUP($B187,'B-1 On-Site Hedge Baseline'!$B$1:$U$257,12,FALSE))))</f>
        <v/>
      </c>
      <c r="M187" s="627"/>
      <c r="N187" s="281" t="str">
        <f>IFERROR(IF(B187="","",INDEX('G-6 Hedgerow Data'!$AN$3:$AZ$15,MATCH(C187,'G-6 Hedgerow Data'!$AM$3:$AM$15,0),MATCH(M187,'G-6 Hedgerow Data'!$AN$2:$AZ$2,0))),"")</f>
        <v/>
      </c>
      <c r="O187" s="282" t="str">
        <f t="shared" si="15"/>
        <v/>
      </c>
      <c r="P187" s="335" t="str">
        <f>IF(B187="","",VLOOKUP(B187,'B-1 On-Site Hedge Baseline'!$B$10:T432,16,FALSE))</f>
        <v/>
      </c>
      <c r="Q187" s="281" t="str">
        <f>IF(M187="","",VLOOKUP(M187,'G-6 Hedgerow Data'!$B$2:$AG$15,2,FALSE))</f>
        <v/>
      </c>
      <c r="R187" s="282" t="str">
        <f>IF(M187="","",VLOOKUP(M187,'G-6 Hedgerow Data'!$B$2:$AG$15,3,FALSE))</f>
        <v/>
      </c>
      <c r="S187" s="112"/>
      <c r="T187" s="320" t="str">
        <f>IFERROR(IF(S187="","",IF(AND(M187="Non-native and ornamental hedgerow", S187&lt;&gt;"Poor"),"Not possible ▲", (VLOOKUP(S187,'G-1 All Habitats'!$Z$2:$AA$9,2,FALSE)))),"")</f>
        <v/>
      </c>
      <c r="U187" s="109"/>
      <c r="V187" s="301" t="str">
        <f>IF(U187="","",IF(VLOOKUP(U187,'G-3 Multipliers'!$L$3:$N$6,2,FALSE)=0,"Spatial Data Missing ⚠",VLOOKUP(U187,'G-3 Multipliers'!$L$3:$N$6,2,FALSE)))</f>
        <v/>
      </c>
      <c r="W187" s="305" t="str">
        <f>IF(U187="","",IF(VLOOKUP(U187,'G-3 Multipliers'!$L$3:$N$6,3,FALSE)=0,"Spatial Data Missing ⚠",VLOOKUP(U187,'G-3 Multipliers'!$L$3:$N$6,3,FALSE)))</f>
        <v/>
      </c>
      <c r="X187" s="281" t="str">
        <f>IFERROR(IF(OR(LEFT(O187,5)="Error",LEFT(N187,5)="Error",T187="Error"),"Check Data ⚠",IF(F187&lt;R187,INDEX('G-6 Hedgerow Data'!$S$3:$AE$14,MATCH(C187,'G-6 Hedgerow Data'!$B$3:$B$14,0),MATCH(M187,'G-6 Hedgerow Data'!$S$2:$AE$2,0)),INDEX('G-6 Hedgerow Data'!$K$3:$Q$14,MATCH(M187,'G-6 Hedgerow Data'!$B$3:$B$14,0),MATCH(O187,'G-6 Hedgerow Data'!$K$2:$Q$2,0)))),"")</f>
        <v/>
      </c>
      <c r="Y187" s="137"/>
      <c r="Z187" s="137"/>
      <c r="AA187" s="289" t="str">
        <f t="shared" si="16"/>
        <v/>
      </c>
      <c r="AB187" s="302" t="str">
        <f t="shared" si="17"/>
        <v/>
      </c>
      <c r="AC187" s="303" t="str">
        <f t="shared" si="14"/>
        <v/>
      </c>
      <c r="AD187" s="317" t="str">
        <f>IF(M187="","",VLOOKUP(M187,'G-6 Hedgerow Data'!$B$3:$AG$15,31,FALSE))</f>
        <v/>
      </c>
      <c r="AE187" s="289" t="str">
        <f t="shared" si="18"/>
        <v/>
      </c>
      <c r="AF187" s="289" t="str">
        <f t="shared" si="19"/>
        <v/>
      </c>
      <c r="AG187" s="305" t="str">
        <f>IFERROR(IF(O187="","",VLOOKUP(AD187,'G-3 Multipliers'!$P$3:$Q$6,2,FALSE)),"")</f>
        <v/>
      </c>
      <c r="AH187" s="295" t="str">
        <f t="shared" si="20"/>
        <v/>
      </c>
      <c r="AI187" s="112"/>
      <c r="AJ187" s="119"/>
      <c r="AK187" s="108"/>
      <c r="AT187" s="30" t="str">
        <f>IFERROR(INDEX('G-6 Hedgerow Data'!$BJ$3:$BJ$15,MATCH(M187,'G-6 Hedgerow Data'!$B$3:$B$15,0)),"")</f>
        <v/>
      </c>
    </row>
    <row r="188" spans="2:46" ht="13.8" x14ac:dyDescent="0.25">
      <c r="B188" s="311" t="str">
        <f>'B-1 On-Site Hedge Baseline'!AK186</f>
        <v/>
      </c>
      <c r="C188" s="301" t="str">
        <f>IF(B188="","",IF(ISNA(VLOOKUP($B188,'B-1 On-Site Hedge Baseline'!$B$1:$L$257,3,FALSE)),"",(VLOOKUP($B188,'B-1 On-Site Hedge Baseline'!$B$1:$L$257,3,FALSE))))</f>
        <v/>
      </c>
      <c r="D188" s="301" t="str">
        <f>IF(B188="","",IF(ISNA(VLOOKUP($B188,'B-1 On-Site Hedge Baseline'!$B$1:$L$257,4,FALSE)),"",(VLOOKUP($B188,'B-1 On-Site Hedge Baseline'!$B$1:$L$257,4,FALSE))))</f>
        <v/>
      </c>
      <c r="E188" s="301" t="str">
        <f>IF(B188="","",IF(ISNA(VLOOKUP($B188,'B-1 On-Site Hedge Baseline'!$B$1:$L$257,5,FALSE)),"",(VLOOKUP($B188,'B-1 On-Site Hedge Baseline'!$B$1:$L$257,5,FALSE))))</f>
        <v/>
      </c>
      <c r="F188" s="301" t="str">
        <f>IF(B188="","",IF(ISNA(VLOOKUP($B188,'B-1 On-Site Hedge Baseline'!$B$1:$L$257,6,FALSE)),"",(VLOOKUP($B188,'B-1 On-Site Hedge Baseline'!$B$1:$L$257,6,FALSE))))</f>
        <v/>
      </c>
      <c r="G188" s="301" t="str">
        <f>IF(B188="","",IF(ISNA(VLOOKUP($B188,'B-1 On-Site Hedge Baseline'!$B$1:$L$257,7,FALSE)),"",(VLOOKUP($B188,'B-1 On-Site Hedge Baseline'!$B$1:$L$257,7,FALSE))))</f>
        <v/>
      </c>
      <c r="H188" s="301" t="str">
        <f>IF(B188="","",IF(ISNA(VLOOKUP($B188,'B-1 On-Site Hedge Baseline'!$B$1:$L$257,8,FALSE)),"",(VLOOKUP($B188,'B-1 On-Site Hedge Baseline'!$B$1:$L$257,8,FALSE))))</f>
        <v/>
      </c>
      <c r="I188" s="301" t="str">
        <f>IF(B188="","",IF(ISNA(VLOOKUP($B188,'B-1 On-Site Hedge Baseline'!$B$1:$L$257,10,FALSE)),"",(VLOOKUP($B188,'B-1 On-Site Hedge Baseline'!$B$1:$L$257,10,FALSE))))</f>
        <v/>
      </c>
      <c r="J188" s="301" t="str">
        <f>IF(B188="","",IF(ISNA(VLOOKUP($B188,'B-1 On-Site Hedge Baseline'!$B$1:$L$257,11,FALSE)),"",(VLOOKUP($B188,'B-1 On-Site Hedge Baseline'!$B$1:$L$257,11,FALSE))))</f>
        <v/>
      </c>
      <c r="K188" s="301" t="str">
        <f>IF(B188="","",IF(ISNA(VLOOKUP($B188,'B-1 On-Site Hedge Baseline'!$B$1:$U$257,13,FALSE)),"",(VLOOKUP($B188,'B-1 On-Site Hedge Baseline'!$B$1:$U$257,13,FALSE))))</f>
        <v/>
      </c>
      <c r="L188" s="305" t="str">
        <f>IF(B188="","",IF(ISNA(VLOOKUP($B188,'B-1 On-Site Hedge Baseline'!$B$1:$U$257,12,FALSE)),"",(VLOOKUP($B188,'B-1 On-Site Hedge Baseline'!$B$1:$U$257,12,FALSE))))</f>
        <v/>
      </c>
      <c r="M188" s="627"/>
      <c r="N188" s="281" t="str">
        <f>IFERROR(IF(B188="","",INDEX('G-6 Hedgerow Data'!$AN$3:$AZ$15,MATCH(C188,'G-6 Hedgerow Data'!$AM$3:$AM$15,0),MATCH(M188,'G-6 Hedgerow Data'!$AN$2:$AZ$2,0))),"")</f>
        <v/>
      </c>
      <c r="O188" s="282" t="str">
        <f t="shared" si="15"/>
        <v/>
      </c>
      <c r="P188" s="335" t="str">
        <f>IF(B188="","",VLOOKUP(B188,'B-1 On-Site Hedge Baseline'!$B$10:T433,16,FALSE))</f>
        <v/>
      </c>
      <c r="Q188" s="281" t="str">
        <f>IF(M188="","",VLOOKUP(M188,'G-6 Hedgerow Data'!$B$2:$AG$15,2,FALSE))</f>
        <v/>
      </c>
      <c r="R188" s="282" t="str">
        <f>IF(M188="","",VLOOKUP(M188,'G-6 Hedgerow Data'!$B$2:$AG$15,3,FALSE))</f>
        <v/>
      </c>
      <c r="S188" s="112"/>
      <c r="T188" s="320" t="str">
        <f>IFERROR(IF(S188="","",IF(AND(M188="Non-native and ornamental hedgerow", S188&lt;&gt;"Poor"),"Not possible ▲", (VLOOKUP(S188,'G-1 All Habitats'!$Z$2:$AA$9,2,FALSE)))),"")</f>
        <v/>
      </c>
      <c r="U188" s="109"/>
      <c r="V188" s="301" t="str">
        <f>IF(U188="","",IF(VLOOKUP(U188,'G-3 Multipliers'!$L$3:$N$6,2,FALSE)=0,"Spatial Data Missing ⚠",VLOOKUP(U188,'G-3 Multipliers'!$L$3:$N$6,2,FALSE)))</f>
        <v/>
      </c>
      <c r="W188" s="305" t="str">
        <f>IF(U188="","",IF(VLOOKUP(U188,'G-3 Multipliers'!$L$3:$N$6,3,FALSE)=0,"Spatial Data Missing ⚠",VLOOKUP(U188,'G-3 Multipliers'!$L$3:$N$6,3,FALSE)))</f>
        <v/>
      </c>
      <c r="X188" s="281" t="str">
        <f>IFERROR(IF(OR(LEFT(O188,5)="Error",LEFT(N188,5)="Error",T188="Error"),"Check Data ⚠",IF(F188&lt;R188,INDEX('G-6 Hedgerow Data'!$S$3:$AE$14,MATCH(C188,'G-6 Hedgerow Data'!$B$3:$B$14,0),MATCH(M188,'G-6 Hedgerow Data'!$S$2:$AE$2,0)),INDEX('G-6 Hedgerow Data'!$K$3:$Q$14,MATCH(M188,'G-6 Hedgerow Data'!$B$3:$B$14,0),MATCH(O188,'G-6 Hedgerow Data'!$K$2:$Q$2,0)))),"")</f>
        <v/>
      </c>
      <c r="Y188" s="137"/>
      <c r="Z188" s="137"/>
      <c r="AA188" s="289" t="str">
        <f t="shared" si="16"/>
        <v/>
      </c>
      <c r="AB188" s="302" t="str">
        <f t="shared" si="17"/>
        <v/>
      </c>
      <c r="AC188" s="303" t="str">
        <f t="shared" si="14"/>
        <v/>
      </c>
      <c r="AD188" s="317" t="str">
        <f>IF(M188="","",VLOOKUP(M188,'G-6 Hedgerow Data'!$B$3:$AG$15,31,FALSE))</f>
        <v/>
      </c>
      <c r="AE188" s="289" t="str">
        <f t="shared" si="18"/>
        <v/>
      </c>
      <c r="AF188" s="289" t="str">
        <f t="shared" si="19"/>
        <v/>
      </c>
      <c r="AG188" s="305" t="str">
        <f>IFERROR(IF(O188="","",VLOOKUP(AD188,'G-3 Multipliers'!$P$3:$Q$6,2,FALSE)),"")</f>
        <v/>
      </c>
      <c r="AH188" s="295" t="str">
        <f t="shared" si="20"/>
        <v/>
      </c>
      <c r="AI188" s="112"/>
      <c r="AJ188" s="119"/>
      <c r="AK188" s="108"/>
      <c r="AT188" s="30" t="str">
        <f>IFERROR(INDEX('G-6 Hedgerow Data'!$BJ$3:$BJ$15,MATCH(M188,'G-6 Hedgerow Data'!$B$3:$B$15,0)),"")</f>
        <v/>
      </c>
    </row>
    <row r="189" spans="2:46" ht="13.8" x14ac:dyDescent="0.25">
      <c r="B189" s="311" t="str">
        <f>'B-1 On-Site Hedge Baseline'!AK187</f>
        <v/>
      </c>
      <c r="C189" s="301" t="str">
        <f>IF(B189="","",IF(ISNA(VLOOKUP($B189,'B-1 On-Site Hedge Baseline'!$B$1:$L$257,3,FALSE)),"",(VLOOKUP($B189,'B-1 On-Site Hedge Baseline'!$B$1:$L$257,3,FALSE))))</f>
        <v/>
      </c>
      <c r="D189" s="301" t="str">
        <f>IF(B189="","",IF(ISNA(VLOOKUP($B189,'B-1 On-Site Hedge Baseline'!$B$1:$L$257,4,FALSE)),"",(VLOOKUP($B189,'B-1 On-Site Hedge Baseline'!$B$1:$L$257,4,FALSE))))</f>
        <v/>
      </c>
      <c r="E189" s="301" t="str">
        <f>IF(B189="","",IF(ISNA(VLOOKUP($B189,'B-1 On-Site Hedge Baseline'!$B$1:$L$257,5,FALSE)),"",(VLOOKUP($B189,'B-1 On-Site Hedge Baseline'!$B$1:$L$257,5,FALSE))))</f>
        <v/>
      </c>
      <c r="F189" s="301" t="str">
        <f>IF(B189="","",IF(ISNA(VLOOKUP($B189,'B-1 On-Site Hedge Baseline'!$B$1:$L$257,6,FALSE)),"",(VLOOKUP($B189,'B-1 On-Site Hedge Baseline'!$B$1:$L$257,6,FALSE))))</f>
        <v/>
      </c>
      <c r="G189" s="301" t="str">
        <f>IF(B189="","",IF(ISNA(VLOOKUP($B189,'B-1 On-Site Hedge Baseline'!$B$1:$L$257,7,FALSE)),"",(VLOOKUP($B189,'B-1 On-Site Hedge Baseline'!$B$1:$L$257,7,FALSE))))</f>
        <v/>
      </c>
      <c r="H189" s="301" t="str">
        <f>IF(B189="","",IF(ISNA(VLOOKUP($B189,'B-1 On-Site Hedge Baseline'!$B$1:$L$257,8,FALSE)),"",(VLOOKUP($B189,'B-1 On-Site Hedge Baseline'!$B$1:$L$257,8,FALSE))))</f>
        <v/>
      </c>
      <c r="I189" s="301" t="str">
        <f>IF(B189="","",IF(ISNA(VLOOKUP($B189,'B-1 On-Site Hedge Baseline'!$B$1:$L$257,10,FALSE)),"",(VLOOKUP($B189,'B-1 On-Site Hedge Baseline'!$B$1:$L$257,10,FALSE))))</f>
        <v/>
      </c>
      <c r="J189" s="301" t="str">
        <f>IF(B189="","",IF(ISNA(VLOOKUP($B189,'B-1 On-Site Hedge Baseline'!$B$1:$L$257,11,FALSE)),"",(VLOOKUP($B189,'B-1 On-Site Hedge Baseline'!$B$1:$L$257,11,FALSE))))</f>
        <v/>
      </c>
      <c r="K189" s="301" t="str">
        <f>IF(B189="","",IF(ISNA(VLOOKUP($B189,'B-1 On-Site Hedge Baseline'!$B$1:$U$257,13,FALSE)),"",(VLOOKUP($B189,'B-1 On-Site Hedge Baseline'!$B$1:$U$257,13,FALSE))))</f>
        <v/>
      </c>
      <c r="L189" s="305" t="str">
        <f>IF(B189="","",IF(ISNA(VLOOKUP($B189,'B-1 On-Site Hedge Baseline'!$B$1:$U$257,12,FALSE)),"",(VLOOKUP($B189,'B-1 On-Site Hedge Baseline'!$B$1:$U$257,12,FALSE))))</f>
        <v/>
      </c>
      <c r="M189" s="627"/>
      <c r="N189" s="281" t="str">
        <f>IFERROR(IF(B189="","",INDEX('G-6 Hedgerow Data'!$AN$3:$AZ$15,MATCH(C189,'G-6 Hedgerow Data'!$AM$3:$AM$15,0),MATCH(M189,'G-6 Hedgerow Data'!$AN$2:$AZ$2,0))),"")</f>
        <v/>
      </c>
      <c r="O189" s="282" t="str">
        <f t="shared" si="15"/>
        <v/>
      </c>
      <c r="P189" s="335" t="str">
        <f>IF(B189="","",VLOOKUP(B189,'B-1 On-Site Hedge Baseline'!$B$10:T434,16,FALSE))</f>
        <v/>
      </c>
      <c r="Q189" s="281" t="str">
        <f>IF(M189="","",VLOOKUP(M189,'G-6 Hedgerow Data'!$B$2:$AG$15,2,FALSE))</f>
        <v/>
      </c>
      <c r="R189" s="282" t="str">
        <f>IF(M189="","",VLOOKUP(M189,'G-6 Hedgerow Data'!$B$2:$AG$15,3,FALSE))</f>
        <v/>
      </c>
      <c r="S189" s="112"/>
      <c r="T189" s="320" t="str">
        <f>IFERROR(IF(S189="","",IF(AND(M189="Non-native and ornamental hedgerow", S189&lt;&gt;"Poor"),"Not possible ▲", (VLOOKUP(S189,'G-1 All Habitats'!$Z$2:$AA$9,2,FALSE)))),"")</f>
        <v/>
      </c>
      <c r="U189" s="109"/>
      <c r="V189" s="301" t="str">
        <f>IF(U189="","",IF(VLOOKUP(U189,'G-3 Multipliers'!$L$3:$N$6,2,FALSE)=0,"Spatial Data Missing ⚠",VLOOKUP(U189,'G-3 Multipliers'!$L$3:$N$6,2,FALSE)))</f>
        <v/>
      </c>
      <c r="W189" s="305" t="str">
        <f>IF(U189="","",IF(VLOOKUP(U189,'G-3 Multipliers'!$L$3:$N$6,3,FALSE)=0,"Spatial Data Missing ⚠",VLOOKUP(U189,'G-3 Multipliers'!$L$3:$N$6,3,FALSE)))</f>
        <v/>
      </c>
      <c r="X189" s="281" t="str">
        <f>IFERROR(IF(OR(LEFT(O189,5)="Error",LEFT(N189,5)="Error",T189="Error"),"Check Data ⚠",IF(F189&lt;R189,INDEX('G-6 Hedgerow Data'!$S$3:$AE$14,MATCH(C189,'G-6 Hedgerow Data'!$B$3:$B$14,0),MATCH(M189,'G-6 Hedgerow Data'!$S$2:$AE$2,0)),INDEX('G-6 Hedgerow Data'!$K$3:$Q$14,MATCH(M189,'G-6 Hedgerow Data'!$B$3:$B$14,0),MATCH(O189,'G-6 Hedgerow Data'!$K$2:$Q$2,0)))),"")</f>
        <v/>
      </c>
      <c r="Y189" s="137"/>
      <c r="Z189" s="137"/>
      <c r="AA189" s="289" t="str">
        <f t="shared" si="16"/>
        <v/>
      </c>
      <c r="AB189" s="302" t="str">
        <f t="shared" si="17"/>
        <v/>
      </c>
      <c r="AC189" s="303" t="str">
        <f t="shared" si="14"/>
        <v/>
      </c>
      <c r="AD189" s="317" t="str">
        <f>IF(M189="","",VLOOKUP(M189,'G-6 Hedgerow Data'!$B$3:$AG$15,31,FALSE))</f>
        <v/>
      </c>
      <c r="AE189" s="289" t="str">
        <f t="shared" si="18"/>
        <v/>
      </c>
      <c r="AF189" s="289" t="str">
        <f t="shared" si="19"/>
        <v/>
      </c>
      <c r="AG189" s="305" t="str">
        <f>IFERROR(IF(O189="","",VLOOKUP(AD189,'G-3 Multipliers'!$P$3:$Q$6,2,FALSE)),"")</f>
        <v/>
      </c>
      <c r="AH189" s="295" t="str">
        <f t="shared" si="20"/>
        <v/>
      </c>
      <c r="AI189" s="112"/>
      <c r="AJ189" s="119"/>
      <c r="AK189" s="108"/>
      <c r="AT189" s="30" t="str">
        <f>IFERROR(INDEX('G-6 Hedgerow Data'!$BJ$3:$BJ$15,MATCH(M189,'G-6 Hedgerow Data'!$B$3:$B$15,0)),"")</f>
        <v/>
      </c>
    </row>
    <row r="190" spans="2:46" ht="13.8" x14ac:dyDescent="0.25">
      <c r="B190" s="311" t="str">
        <f>'B-1 On-Site Hedge Baseline'!AK188</f>
        <v/>
      </c>
      <c r="C190" s="301" t="str">
        <f>IF(B190="","",IF(ISNA(VLOOKUP($B190,'B-1 On-Site Hedge Baseline'!$B$1:$L$257,3,FALSE)),"",(VLOOKUP($B190,'B-1 On-Site Hedge Baseline'!$B$1:$L$257,3,FALSE))))</f>
        <v/>
      </c>
      <c r="D190" s="301" t="str">
        <f>IF(B190="","",IF(ISNA(VLOOKUP($B190,'B-1 On-Site Hedge Baseline'!$B$1:$L$257,4,FALSE)),"",(VLOOKUP($B190,'B-1 On-Site Hedge Baseline'!$B$1:$L$257,4,FALSE))))</f>
        <v/>
      </c>
      <c r="E190" s="301" t="str">
        <f>IF(B190="","",IF(ISNA(VLOOKUP($B190,'B-1 On-Site Hedge Baseline'!$B$1:$L$257,5,FALSE)),"",(VLOOKUP($B190,'B-1 On-Site Hedge Baseline'!$B$1:$L$257,5,FALSE))))</f>
        <v/>
      </c>
      <c r="F190" s="301" t="str">
        <f>IF(B190="","",IF(ISNA(VLOOKUP($B190,'B-1 On-Site Hedge Baseline'!$B$1:$L$257,6,FALSE)),"",(VLOOKUP($B190,'B-1 On-Site Hedge Baseline'!$B$1:$L$257,6,FALSE))))</f>
        <v/>
      </c>
      <c r="G190" s="301" t="str">
        <f>IF(B190="","",IF(ISNA(VLOOKUP($B190,'B-1 On-Site Hedge Baseline'!$B$1:$L$257,7,FALSE)),"",(VLOOKUP($B190,'B-1 On-Site Hedge Baseline'!$B$1:$L$257,7,FALSE))))</f>
        <v/>
      </c>
      <c r="H190" s="301" t="str">
        <f>IF(B190="","",IF(ISNA(VLOOKUP($B190,'B-1 On-Site Hedge Baseline'!$B$1:$L$257,8,FALSE)),"",(VLOOKUP($B190,'B-1 On-Site Hedge Baseline'!$B$1:$L$257,8,FALSE))))</f>
        <v/>
      </c>
      <c r="I190" s="301" t="str">
        <f>IF(B190="","",IF(ISNA(VLOOKUP($B190,'B-1 On-Site Hedge Baseline'!$B$1:$L$257,10,FALSE)),"",(VLOOKUP($B190,'B-1 On-Site Hedge Baseline'!$B$1:$L$257,10,FALSE))))</f>
        <v/>
      </c>
      <c r="J190" s="301" t="str">
        <f>IF(B190="","",IF(ISNA(VLOOKUP($B190,'B-1 On-Site Hedge Baseline'!$B$1:$L$257,11,FALSE)),"",(VLOOKUP($B190,'B-1 On-Site Hedge Baseline'!$B$1:$L$257,11,FALSE))))</f>
        <v/>
      </c>
      <c r="K190" s="301" t="str">
        <f>IF(B190="","",IF(ISNA(VLOOKUP($B190,'B-1 On-Site Hedge Baseline'!$B$1:$U$257,13,FALSE)),"",(VLOOKUP($B190,'B-1 On-Site Hedge Baseline'!$B$1:$U$257,13,FALSE))))</f>
        <v/>
      </c>
      <c r="L190" s="305" t="str">
        <f>IF(B190="","",IF(ISNA(VLOOKUP($B190,'B-1 On-Site Hedge Baseline'!$B$1:$U$257,12,FALSE)),"",(VLOOKUP($B190,'B-1 On-Site Hedge Baseline'!$B$1:$U$257,12,FALSE))))</f>
        <v/>
      </c>
      <c r="M190" s="627"/>
      <c r="N190" s="281" t="str">
        <f>IFERROR(IF(B190="","",INDEX('G-6 Hedgerow Data'!$AN$3:$AZ$15,MATCH(C190,'G-6 Hedgerow Data'!$AM$3:$AM$15,0),MATCH(M190,'G-6 Hedgerow Data'!$AN$2:$AZ$2,0))),"")</f>
        <v/>
      </c>
      <c r="O190" s="282" t="str">
        <f t="shared" si="15"/>
        <v/>
      </c>
      <c r="P190" s="335" t="str">
        <f>IF(B190="","",VLOOKUP(B190,'B-1 On-Site Hedge Baseline'!$B$10:T435,16,FALSE))</f>
        <v/>
      </c>
      <c r="Q190" s="281" t="str">
        <f>IF(M190="","",VLOOKUP(M190,'G-6 Hedgerow Data'!$B$2:$AG$15,2,FALSE))</f>
        <v/>
      </c>
      <c r="R190" s="282" t="str">
        <f>IF(M190="","",VLOOKUP(M190,'G-6 Hedgerow Data'!$B$2:$AG$15,3,FALSE))</f>
        <v/>
      </c>
      <c r="S190" s="112"/>
      <c r="T190" s="320" t="str">
        <f>IFERROR(IF(S190="","",IF(AND(M190="Non-native and ornamental hedgerow", S190&lt;&gt;"Poor"),"Not possible ▲", (VLOOKUP(S190,'G-1 All Habitats'!$Z$2:$AA$9,2,FALSE)))),"")</f>
        <v/>
      </c>
      <c r="U190" s="109"/>
      <c r="V190" s="301" t="str">
        <f>IF(U190="","",IF(VLOOKUP(U190,'G-3 Multipliers'!$L$3:$N$6,2,FALSE)=0,"Spatial Data Missing ⚠",VLOOKUP(U190,'G-3 Multipliers'!$L$3:$N$6,2,FALSE)))</f>
        <v/>
      </c>
      <c r="W190" s="305" t="str">
        <f>IF(U190="","",IF(VLOOKUP(U190,'G-3 Multipliers'!$L$3:$N$6,3,FALSE)=0,"Spatial Data Missing ⚠",VLOOKUP(U190,'G-3 Multipliers'!$L$3:$N$6,3,FALSE)))</f>
        <v/>
      </c>
      <c r="X190" s="281" t="str">
        <f>IFERROR(IF(OR(LEFT(O190,5)="Error",LEFT(N190,5)="Error",T190="Error"),"Check Data ⚠",IF(F190&lt;R190,INDEX('G-6 Hedgerow Data'!$S$3:$AE$14,MATCH(C190,'G-6 Hedgerow Data'!$B$3:$B$14,0),MATCH(M190,'G-6 Hedgerow Data'!$S$2:$AE$2,0)),INDEX('G-6 Hedgerow Data'!$K$3:$Q$14,MATCH(M190,'G-6 Hedgerow Data'!$B$3:$B$14,0),MATCH(O190,'G-6 Hedgerow Data'!$K$2:$Q$2,0)))),"")</f>
        <v/>
      </c>
      <c r="Y190" s="137"/>
      <c r="Z190" s="137"/>
      <c r="AA190" s="289" t="str">
        <f t="shared" si="16"/>
        <v/>
      </c>
      <c r="AB190" s="302" t="str">
        <f t="shared" si="17"/>
        <v/>
      </c>
      <c r="AC190" s="303" t="str">
        <f t="shared" si="14"/>
        <v/>
      </c>
      <c r="AD190" s="317" t="str">
        <f>IF(M190="","",VLOOKUP(M190,'G-6 Hedgerow Data'!$B$3:$AG$15,31,FALSE))</f>
        <v/>
      </c>
      <c r="AE190" s="289" t="str">
        <f t="shared" si="18"/>
        <v/>
      </c>
      <c r="AF190" s="289" t="str">
        <f t="shared" si="19"/>
        <v/>
      </c>
      <c r="AG190" s="305" t="str">
        <f>IFERROR(IF(O190="","",VLOOKUP(AD190,'G-3 Multipliers'!$P$3:$Q$6,2,FALSE)),"")</f>
        <v/>
      </c>
      <c r="AH190" s="295" t="str">
        <f t="shared" si="20"/>
        <v/>
      </c>
      <c r="AI190" s="112"/>
      <c r="AJ190" s="119"/>
      <c r="AK190" s="108"/>
      <c r="AT190" s="30" t="str">
        <f>IFERROR(INDEX('G-6 Hedgerow Data'!$BJ$3:$BJ$15,MATCH(M190,'G-6 Hedgerow Data'!$B$3:$B$15,0)),"")</f>
        <v/>
      </c>
    </row>
    <row r="191" spans="2:46" ht="13.8" x14ac:dyDescent="0.25">
      <c r="B191" s="311" t="str">
        <f>'B-1 On-Site Hedge Baseline'!AK189</f>
        <v/>
      </c>
      <c r="C191" s="301" t="str">
        <f>IF(B191="","",IF(ISNA(VLOOKUP($B191,'B-1 On-Site Hedge Baseline'!$B$1:$L$257,3,FALSE)),"",(VLOOKUP($B191,'B-1 On-Site Hedge Baseline'!$B$1:$L$257,3,FALSE))))</f>
        <v/>
      </c>
      <c r="D191" s="301" t="str">
        <f>IF(B191="","",IF(ISNA(VLOOKUP($B191,'B-1 On-Site Hedge Baseline'!$B$1:$L$257,4,FALSE)),"",(VLOOKUP($B191,'B-1 On-Site Hedge Baseline'!$B$1:$L$257,4,FALSE))))</f>
        <v/>
      </c>
      <c r="E191" s="301" t="str">
        <f>IF(B191="","",IF(ISNA(VLOOKUP($B191,'B-1 On-Site Hedge Baseline'!$B$1:$L$257,5,FALSE)),"",(VLOOKUP($B191,'B-1 On-Site Hedge Baseline'!$B$1:$L$257,5,FALSE))))</f>
        <v/>
      </c>
      <c r="F191" s="301" t="str">
        <f>IF(B191="","",IF(ISNA(VLOOKUP($B191,'B-1 On-Site Hedge Baseline'!$B$1:$L$257,6,FALSE)),"",(VLOOKUP($B191,'B-1 On-Site Hedge Baseline'!$B$1:$L$257,6,FALSE))))</f>
        <v/>
      </c>
      <c r="G191" s="301" t="str">
        <f>IF(B191="","",IF(ISNA(VLOOKUP($B191,'B-1 On-Site Hedge Baseline'!$B$1:$L$257,7,FALSE)),"",(VLOOKUP($B191,'B-1 On-Site Hedge Baseline'!$B$1:$L$257,7,FALSE))))</f>
        <v/>
      </c>
      <c r="H191" s="301" t="str">
        <f>IF(B191="","",IF(ISNA(VLOOKUP($B191,'B-1 On-Site Hedge Baseline'!$B$1:$L$257,8,FALSE)),"",(VLOOKUP($B191,'B-1 On-Site Hedge Baseline'!$B$1:$L$257,8,FALSE))))</f>
        <v/>
      </c>
      <c r="I191" s="301" t="str">
        <f>IF(B191="","",IF(ISNA(VLOOKUP($B191,'B-1 On-Site Hedge Baseline'!$B$1:$L$257,10,FALSE)),"",(VLOOKUP($B191,'B-1 On-Site Hedge Baseline'!$B$1:$L$257,10,FALSE))))</f>
        <v/>
      </c>
      <c r="J191" s="301" t="str">
        <f>IF(B191="","",IF(ISNA(VLOOKUP($B191,'B-1 On-Site Hedge Baseline'!$B$1:$L$257,11,FALSE)),"",(VLOOKUP($B191,'B-1 On-Site Hedge Baseline'!$B$1:$L$257,11,FALSE))))</f>
        <v/>
      </c>
      <c r="K191" s="301" t="str">
        <f>IF(B191="","",IF(ISNA(VLOOKUP($B191,'B-1 On-Site Hedge Baseline'!$B$1:$U$257,13,FALSE)),"",(VLOOKUP($B191,'B-1 On-Site Hedge Baseline'!$B$1:$U$257,13,FALSE))))</f>
        <v/>
      </c>
      <c r="L191" s="305" t="str">
        <f>IF(B191="","",IF(ISNA(VLOOKUP($B191,'B-1 On-Site Hedge Baseline'!$B$1:$U$257,12,FALSE)),"",(VLOOKUP($B191,'B-1 On-Site Hedge Baseline'!$B$1:$U$257,12,FALSE))))</f>
        <v/>
      </c>
      <c r="M191" s="627"/>
      <c r="N191" s="281" t="str">
        <f>IFERROR(IF(B191="","",INDEX('G-6 Hedgerow Data'!$AN$3:$AZ$15,MATCH(C191,'G-6 Hedgerow Data'!$AM$3:$AM$15,0),MATCH(M191,'G-6 Hedgerow Data'!$AN$2:$AZ$2,0))),"")</f>
        <v/>
      </c>
      <c r="O191" s="282" t="str">
        <f t="shared" si="15"/>
        <v/>
      </c>
      <c r="P191" s="335" t="str">
        <f>IF(B191="","",VLOOKUP(B191,'B-1 On-Site Hedge Baseline'!$B$10:T436,16,FALSE))</f>
        <v/>
      </c>
      <c r="Q191" s="281" t="str">
        <f>IF(M191="","",VLOOKUP(M191,'G-6 Hedgerow Data'!$B$2:$AG$15,2,FALSE))</f>
        <v/>
      </c>
      <c r="R191" s="282" t="str">
        <f>IF(M191="","",VLOOKUP(M191,'G-6 Hedgerow Data'!$B$2:$AG$15,3,FALSE))</f>
        <v/>
      </c>
      <c r="S191" s="112"/>
      <c r="T191" s="320" t="str">
        <f>IFERROR(IF(S191="","",IF(AND(M191="Non-native and ornamental hedgerow", S191&lt;&gt;"Poor"),"Not possible ▲", (VLOOKUP(S191,'G-1 All Habitats'!$Z$2:$AA$9,2,FALSE)))),"")</f>
        <v/>
      </c>
      <c r="U191" s="109"/>
      <c r="V191" s="301" t="str">
        <f>IF(U191="","",IF(VLOOKUP(U191,'G-3 Multipliers'!$L$3:$N$6,2,FALSE)=0,"Spatial Data Missing ⚠",VLOOKUP(U191,'G-3 Multipliers'!$L$3:$N$6,2,FALSE)))</f>
        <v/>
      </c>
      <c r="W191" s="305" t="str">
        <f>IF(U191="","",IF(VLOOKUP(U191,'G-3 Multipliers'!$L$3:$N$6,3,FALSE)=0,"Spatial Data Missing ⚠",VLOOKUP(U191,'G-3 Multipliers'!$L$3:$N$6,3,FALSE)))</f>
        <v/>
      </c>
      <c r="X191" s="281" t="str">
        <f>IFERROR(IF(OR(LEFT(O191,5)="Error",LEFT(N191,5)="Error",T191="Error"),"Check Data ⚠",IF(F191&lt;R191,INDEX('G-6 Hedgerow Data'!$S$3:$AE$14,MATCH(C191,'G-6 Hedgerow Data'!$B$3:$B$14,0),MATCH(M191,'G-6 Hedgerow Data'!$S$2:$AE$2,0)),INDEX('G-6 Hedgerow Data'!$K$3:$Q$14,MATCH(M191,'G-6 Hedgerow Data'!$B$3:$B$14,0),MATCH(O191,'G-6 Hedgerow Data'!$K$2:$Q$2,0)))),"")</f>
        <v/>
      </c>
      <c r="Y191" s="137"/>
      <c r="Z191" s="137"/>
      <c r="AA191" s="289" t="str">
        <f t="shared" si="16"/>
        <v/>
      </c>
      <c r="AB191" s="302" t="str">
        <f t="shared" si="17"/>
        <v/>
      </c>
      <c r="AC191" s="303" t="str">
        <f t="shared" si="14"/>
        <v/>
      </c>
      <c r="AD191" s="317" t="str">
        <f>IF(M191="","",VLOOKUP(M191,'G-6 Hedgerow Data'!$B$3:$AG$15,31,FALSE))</f>
        <v/>
      </c>
      <c r="AE191" s="289" t="str">
        <f t="shared" si="18"/>
        <v/>
      </c>
      <c r="AF191" s="289" t="str">
        <f t="shared" si="19"/>
        <v/>
      </c>
      <c r="AG191" s="305" t="str">
        <f>IFERROR(IF(O191="","",VLOOKUP(AD191,'G-3 Multipliers'!$P$3:$Q$6,2,FALSE)),"")</f>
        <v/>
      </c>
      <c r="AH191" s="295" t="str">
        <f t="shared" si="20"/>
        <v/>
      </c>
      <c r="AI191" s="112"/>
      <c r="AJ191" s="119"/>
      <c r="AK191" s="108"/>
      <c r="AT191" s="30" t="str">
        <f>IFERROR(INDEX('G-6 Hedgerow Data'!$BJ$3:$BJ$15,MATCH(M191,'G-6 Hedgerow Data'!$B$3:$B$15,0)),"")</f>
        <v/>
      </c>
    </row>
    <row r="192" spans="2:46" ht="13.8" x14ac:dyDescent="0.25">
      <c r="B192" s="311" t="str">
        <f>'B-1 On-Site Hedge Baseline'!AK190</f>
        <v/>
      </c>
      <c r="C192" s="301" t="str">
        <f>IF(B192="","",IF(ISNA(VLOOKUP($B192,'B-1 On-Site Hedge Baseline'!$B$1:$L$257,3,FALSE)),"",(VLOOKUP($B192,'B-1 On-Site Hedge Baseline'!$B$1:$L$257,3,FALSE))))</f>
        <v/>
      </c>
      <c r="D192" s="301" t="str">
        <f>IF(B192="","",IF(ISNA(VLOOKUP($B192,'B-1 On-Site Hedge Baseline'!$B$1:$L$257,4,FALSE)),"",(VLOOKUP($B192,'B-1 On-Site Hedge Baseline'!$B$1:$L$257,4,FALSE))))</f>
        <v/>
      </c>
      <c r="E192" s="301" t="str">
        <f>IF(B192="","",IF(ISNA(VLOOKUP($B192,'B-1 On-Site Hedge Baseline'!$B$1:$L$257,5,FALSE)),"",(VLOOKUP($B192,'B-1 On-Site Hedge Baseline'!$B$1:$L$257,5,FALSE))))</f>
        <v/>
      </c>
      <c r="F192" s="301" t="str">
        <f>IF(B192="","",IF(ISNA(VLOOKUP($B192,'B-1 On-Site Hedge Baseline'!$B$1:$L$257,6,FALSE)),"",(VLOOKUP($B192,'B-1 On-Site Hedge Baseline'!$B$1:$L$257,6,FALSE))))</f>
        <v/>
      </c>
      <c r="G192" s="301" t="str">
        <f>IF(B192="","",IF(ISNA(VLOOKUP($B192,'B-1 On-Site Hedge Baseline'!$B$1:$L$257,7,FALSE)),"",(VLOOKUP($B192,'B-1 On-Site Hedge Baseline'!$B$1:$L$257,7,FALSE))))</f>
        <v/>
      </c>
      <c r="H192" s="301" t="str">
        <f>IF(B192="","",IF(ISNA(VLOOKUP($B192,'B-1 On-Site Hedge Baseline'!$B$1:$L$257,8,FALSE)),"",(VLOOKUP($B192,'B-1 On-Site Hedge Baseline'!$B$1:$L$257,8,FALSE))))</f>
        <v/>
      </c>
      <c r="I192" s="301" t="str">
        <f>IF(B192="","",IF(ISNA(VLOOKUP($B192,'B-1 On-Site Hedge Baseline'!$B$1:$L$257,10,FALSE)),"",(VLOOKUP($B192,'B-1 On-Site Hedge Baseline'!$B$1:$L$257,10,FALSE))))</f>
        <v/>
      </c>
      <c r="J192" s="301" t="str">
        <f>IF(B192="","",IF(ISNA(VLOOKUP($B192,'B-1 On-Site Hedge Baseline'!$B$1:$L$257,11,FALSE)),"",(VLOOKUP($B192,'B-1 On-Site Hedge Baseline'!$B$1:$L$257,11,FALSE))))</f>
        <v/>
      </c>
      <c r="K192" s="301" t="str">
        <f>IF(B192="","",IF(ISNA(VLOOKUP($B192,'B-1 On-Site Hedge Baseline'!$B$1:$U$257,13,FALSE)),"",(VLOOKUP($B192,'B-1 On-Site Hedge Baseline'!$B$1:$U$257,13,FALSE))))</f>
        <v/>
      </c>
      <c r="L192" s="305" t="str">
        <f>IF(B192="","",IF(ISNA(VLOOKUP($B192,'B-1 On-Site Hedge Baseline'!$B$1:$U$257,12,FALSE)),"",(VLOOKUP($B192,'B-1 On-Site Hedge Baseline'!$B$1:$U$257,12,FALSE))))</f>
        <v/>
      </c>
      <c r="M192" s="627"/>
      <c r="N192" s="281" t="str">
        <f>IFERROR(IF(B192="","",INDEX('G-6 Hedgerow Data'!$AN$3:$AZ$15,MATCH(C192,'G-6 Hedgerow Data'!$AM$3:$AM$15,0),MATCH(M192,'G-6 Hedgerow Data'!$AN$2:$AZ$2,0))),"")</f>
        <v/>
      </c>
      <c r="O192" s="282" t="str">
        <f t="shared" si="15"/>
        <v/>
      </c>
      <c r="P192" s="335" t="str">
        <f>IF(B192="","",VLOOKUP(B192,'B-1 On-Site Hedge Baseline'!$B$10:T437,16,FALSE))</f>
        <v/>
      </c>
      <c r="Q192" s="281" t="str">
        <f>IF(M192="","",VLOOKUP(M192,'G-6 Hedgerow Data'!$B$2:$AG$15,2,FALSE))</f>
        <v/>
      </c>
      <c r="R192" s="282" t="str">
        <f>IF(M192="","",VLOOKUP(M192,'G-6 Hedgerow Data'!$B$2:$AG$15,3,FALSE))</f>
        <v/>
      </c>
      <c r="S192" s="112"/>
      <c r="T192" s="320" t="str">
        <f>IFERROR(IF(S192="","",IF(AND(M192="Non-native and ornamental hedgerow", S192&lt;&gt;"Poor"),"Not possible ▲", (VLOOKUP(S192,'G-1 All Habitats'!$Z$2:$AA$9,2,FALSE)))),"")</f>
        <v/>
      </c>
      <c r="U192" s="109"/>
      <c r="V192" s="301" t="str">
        <f>IF(U192="","",IF(VLOOKUP(U192,'G-3 Multipliers'!$L$3:$N$6,2,FALSE)=0,"Spatial Data Missing ⚠",VLOOKUP(U192,'G-3 Multipliers'!$L$3:$N$6,2,FALSE)))</f>
        <v/>
      </c>
      <c r="W192" s="305" t="str">
        <f>IF(U192="","",IF(VLOOKUP(U192,'G-3 Multipliers'!$L$3:$N$6,3,FALSE)=0,"Spatial Data Missing ⚠",VLOOKUP(U192,'G-3 Multipliers'!$L$3:$N$6,3,FALSE)))</f>
        <v/>
      </c>
      <c r="X192" s="281" t="str">
        <f>IFERROR(IF(OR(LEFT(O192,5)="Error",LEFT(N192,5)="Error",T192="Error"),"Check Data ⚠",IF(F192&lt;R192,INDEX('G-6 Hedgerow Data'!$S$3:$AE$14,MATCH(C192,'G-6 Hedgerow Data'!$B$3:$B$14,0),MATCH(M192,'G-6 Hedgerow Data'!$S$2:$AE$2,0)),INDEX('G-6 Hedgerow Data'!$K$3:$Q$14,MATCH(M192,'G-6 Hedgerow Data'!$B$3:$B$14,0),MATCH(O192,'G-6 Hedgerow Data'!$K$2:$Q$2,0)))),"")</f>
        <v/>
      </c>
      <c r="Y192" s="137"/>
      <c r="Z192" s="137"/>
      <c r="AA192" s="289" t="str">
        <f t="shared" si="16"/>
        <v/>
      </c>
      <c r="AB192" s="302" t="str">
        <f t="shared" si="17"/>
        <v/>
      </c>
      <c r="AC192" s="303" t="str">
        <f t="shared" si="14"/>
        <v/>
      </c>
      <c r="AD192" s="317" t="str">
        <f>IF(M192="","",VLOOKUP(M192,'G-6 Hedgerow Data'!$B$3:$AG$15,31,FALSE))</f>
        <v/>
      </c>
      <c r="AE192" s="289" t="str">
        <f t="shared" si="18"/>
        <v/>
      </c>
      <c r="AF192" s="289" t="str">
        <f t="shared" si="19"/>
        <v/>
      </c>
      <c r="AG192" s="305" t="str">
        <f>IFERROR(IF(O192="","",VLOOKUP(AD192,'G-3 Multipliers'!$P$3:$Q$6,2,FALSE)),"")</f>
        <v/>
      </c>
      <c r="AH192" s="295" t="str">
        <f t="shared" si="20"/>
        <v/>
      </c>
      <c r="AI192" s="112"/>
      <c r="AJ192" s="119"/>
      <c r="AK192" s="108"/>
      <c r="AT192" s="30" t="str">
        <f>IFERROR(INDEX('G-6 Hedgerow Data'!$BJ$3:$BJ$15,MATCH(M192,'G-6 Hedgerow Data'!$B$3:$B$15,0)),"")</f>
        <v/>
      </c>
    </row>
    <row r="193" spans="2:46" ht="13.8" x14ac:dyDescent="0.25">
      <c r="B193" s="311" t="str">
        <f>'B-1 On-Site Hedge Baseline'!AK191</f>
        <v/>
      </c>
      <c r="C193" s="301" t="str">
        <f>IF(B193="","",IF(ISNA(VLOOKUP($B193,'B-1 On-Site Hedge Baseline'!$B$1:$L$257,3,FALSE)),"",(VLOOKUP($B193,'B-1 On-Site Hedge Baseline'!$B$1:$L$257,3,FALSE))))</f>
        <v/>
      </c>
      <c r="D193" s="301" t="str">
        <f>IF(B193="","",IF(ISNA(VLOOKUP($B193,'B-1 On-Site Hedge Baseline'!$B$1:$L$257,4,FALSE)),"",(VLOOKUP($B193,'B-1 On-Site Hedge Baseline'!$B$1:$L$257,4,FALSE))))</f>
        <v/>
      </c>
      <c r="E193" s="301" t="str">
        <f>IF(B193="","",IF(ISNA(VLOOKUP($B193,'B-1 On-Site Hedge Baseline'!$B$1:$L$257,5,FALSE)),"",(VLOOKUP($B193,'B-1 On-Site Hedge Baseline'!$B$1:$L$257,5,FALSE))))</f>
        <v/>
      </c>
      <c r="F193" s="301" t="str">
        <f>IF(B193="","",IF(ISNA(VLOOKUP($B193,'B-1 On-Site Hedge Baseline'!$B$1:$L$257,6,FALSE)),"",(VLOOKUP($B193,'B-1 On-Site Hedge Baseline'!$B$1:$L$257,6,FALSE))))</f>
        <v/>
      </c>
      <c r="G193" s="301" t="str">
        <f>IF(B193="","",IF(ISNA(VLOOKUP($B193,'B-1 On-Site Hedge Baseline'!$B$1:$L$257,7,FALSE)),"",(VLOOKUP($B193,'B-1 On-Site Hedge Baseline'!$B$1:$L$257,7,FALSE))))</f>
        <v/>
      </c>
      <c r="H193" s="301" t="str">
        <f>IF(B193="","",IF(ISNA(VLOOKUP($B193,'B-1 On-Site Hedge Baseline'!$B$1:$L$257,8,FALSE)),"",(VLOOKUP($B193,'B-1 On-Site Hedge Baseline'!$B$1:$L$257,8,FALSE))))</f>
        <v/>
      </c>
      <c r="I193" s="301" t="str">
        <f>IF(B193="","",IF(ISNA(VLOOKUP($B193,'B-1 On-Site Hedge Baseline'!$B$1:$L$257,10,FALSE)),"",(VLOOKUP($B193,'B-1 On-Site Hedge Baseline'!$B$1:$L$257,10,FALSE))))</f>
        <v/>
      </c>
      <c r="J193" s="301" t="str">
        <f>IF(B193="","",IF(ISNA(VLOOKUP($B193,'B-1 On-Site Hedge Baseline'!$B$1:$L$257,11,FALSE)),"",(VLOOKUP($B193,'B-1 On-Site Hedge Baseline'!$B$1:$L$257,11,FALSE))))</f>
        <v/>
      </c>
      <c r="K193" s="301" t="str">
        <f>IF(B193="","",IF(ISNA(VLOOKUP($B193,'B-1 On-Site Hedge Baseline'!$B$1:$U$257,13,FALSE)),"",(VLOOKUP($B193,'B-1 On-Site Hedge Baseline'!$B$1:$U$257,13,FALSE))))</f>
        <v/>
      </c>
      <c r="L193" s="305" t="str">
        <f>IF(B193="","",IF(ISNA(VLOOKUP($B193,'B-1 On-Site Hedge Baseline'!$B$1:$U$257,12,FALSE)),"",(VLOOKUP($B193,'B-1 On-Site Hedge Baseline'!$B$1:$U$257,12,FALSE))))</f>
        <v/>
      </c>
      <c r="M193" s="627"/>
      <c r="N193" s="281" t="str">
        <f>IFERROR(IF(B193="","",INDEX('G-6 Hedgerow Data'!$AN$3:$AZ$15,MATCH(C193,'G-6 Hedgerow Data'!$AM$3:$AM$15,0),MATCH(M193,'G-6 Hedgerow Data'!$AN$2:$AZ$2,0))),"")</f>
        <v/>
      </c>
      <c r="O193" s="282" t="str">
        <f t="shared" si="15"/>
        <v/>
      </c>
      <c r="P193" s="335" t="str">
        <f>IF(B193="","",VLOOKUP(B193,'B-1 On-Site Hedge Baseline'!$B$10:T438,16,FALSE))</f>
        <v/>
      </c>
      <c r="Q193" s="281" t="str">
        <f>IF(M193="","",VLOOKUP(M193,'G-6 Hedgerow Data'!$B$2:$AG$15,2,FALSE))</f>
        <v/>
      </c>
      <c r="R193" s="282" t="str">
        <f>IF(M193="","",VLOOKUP(M193,'G-6 Hedgerow Data'!$B$2:$AG$15,3,FALSE))</f>
        <v/>
      </c>
      <c r="S193" s="112"/>
      <c r="T193" s="320" t="str">
        <f>IFERROR(IF(S193="","",IF(AND(M193="Non-native and ornamental hedgerow", S193&lt;&gt;"Poor"),"Not possible ▲", (VLOOKUP(S193,'G-1 All Habitats'!$Z$2:$AA$9,2,FALSE)))),"")</f>
        <v/>
      </c>
      <c r="U193" s="109"/>
      <c r="V193" s="301" t="str">
        <f>IF(U193="","",IF(VLOOKUP(U193,'G-3 Multipliers'!$L$3:$N$6,2,FALSE)=0,"Spatial Data Missing ⚠",VLOOKUP(U193,'G-3 Multipliers'!$L$3:$N$6,2,FALSE)))</f>
        <v/>
      </c>
      <c r="W193" s="305" t="str">
        <f>IF(U193="","",IF(VLOOKUP(U193,'G-3 Multipliers'!$L$3:$N$6,3,FALSE)=0,"Spatial Data Missing ⚠",VLOOKUP(U193,'G-3 Multipliers'!$L$3:$N$6,3,FALSE)))</f>
        <v/>
      </c>
      <c r="X193" s="281" t="str">
        <f>IFERROR(IF(OR(LEFT(O193,5)="Error",LEFT(N193,5)="Error",T193="Error"),"Check Data ⚠",IF(F193&lt;R193,INDEX('G-6 Hedgerow Data'!$S$3:$AE$14,MATCH(C193,'G-6 Hedgerow Data'!$B$3:$B$14,0),MATCH(M193,'G-6 Hedgerow Data'!$S$2:$AE$2,0)),INDEX('G-6 Hedgerow Data'!$K$3:$Q$14,MATCH(M193,'G-6 Hedgerow Data'!$B$3:$B$14,0),MATCH(O193,'G-6 Hedgerow Data'!$K$2:$Q$2,0)))),"")</f>
        <v/>
      </c>
      <c r="Y193" s="137"/>
      <c r="Z193" s="137"/>
      <c r="AA193" s="289" t="str">
        <f t="shared" si="16"/>
        <v/>
      </c>
      <c r="AB193" s="302" t="str">
        <f t="shared" si="17"/>
        <v/>
      </c>
      <c r="AC193" s="303" t="str">
        <f t="shared" si="14"/>
        <v/>
      </c>
      <c r="AD193" s="317" t="str">
        <f>IF(M193="","",VLOOKUP(M193,'G-6 Hedgerow Data'!$B$3:$AG$15,31,FALSE))</f>
        <v/>
      </c>
      <c r="AE193" s="289" t="str">
        <f t="shared" si="18"/>
        <v/>
      </c>
      <c r="AF193" s="289" t="str">
        <f t="shared" si="19"/>
        <v/>
      </c>
      <c r="AG193" s="305" t="str">
        <f>IFERROR(IF(O193="","",VLOOKUP(AD193,'G-3 Multipliers'!$P$3:$Q$6,2,FALSE)),"")</f>
        <v/>
      </c>
      <c r="AH193" s="295" t="str">
        <f t="shared" si="20"/>
        <v/>
      </c>
      <c r="AI193" s="112"/>
      <c r="AJ193" s="119"/>
      <c r="AK193" s="108"/>
      <c r="AT193" s="30" t="str">
        <f>IFERROR(INDEX('G-6 Hedgerow Data'!$BJ$3:$BJ$15,MATCH(M193,'G-6 Hedgerow Data'!$B$3:$B$15,0)),"")</f>
        <v/>
      </c>
    </row>
    <row r="194" spans="2:46" ht="13.8" x14ac:dyDescent="0.25">
      <c r="B194" s="311" t="str">
        <f>'B-1 On-Site Hedge Baseline'!AK192</f>
        <v/>
      </c>
      <c r="C194" s="301" t="str">
        <f>IF(B194="","",IF(ISNA(VLOOKUP($B194,'B-1 On-Site Hedge Baseline'!$B$1:$L$257,3,FALSE)),"",(VLOOKUP($B194,'B-1 On-Site Hedge Baseline'!$B$1:$L$257,3,FALSE))))</f>
        <v/>
      </c>
      <c r="D194" s="301" t="str">
        <f>IF(B194="","",IF(ISNA(VLOOKUP($B194,'B-1 On-Site Hedge Baseline'!$B$1:$L$257,4,FALSE)),"",(VLOOKUP($B194,'B-1 On-Site Hedge Baseline'!$B$1:$L$257,4,FALSE))))</f>
        <v/>
      </c>
      <c r="E194" s="301" t="str">
        <f>IF(B194="","",IF(ISNA(VLOOKUP($B194,'B-1 On-Site Hedge Baseline'!$B$1:$L$257,5,FALSE)),"",(VLOOKUP($B194,'B-1 On-Site Hedge Baseline'!$B$1:$L$257,5,FALSE))))</f>
        <v/>
      </c>
      <c r="F194" s="301" t="str">
        <f>IF(B194="","",IF(ISNA(VLOOKUP($B194,'B-1 On-Site Hedge Baseline'!$B$1:$L$257,6,FALSE)),"",(VLOOKUP($B194,'B-1 On-Site Hedge Baseline'!$B$1:$L$257,6,FALSE))))</f>
        <v/>
      </c>
      <c r="G194" s="301" t="str">
        <f>IF(B194="","",IF(ISNA(VLOOKUP($B194,'B-1 On-Site Hedge Baseline'!$B$1:$L$257,7,FALSE)),"",(VLOOKUP($B194,'B-1 On-Site Hedge Baseline'!$B$1:$L$257,7,FALSE))))</f>
        <v/>
      </c>
      <c r="H194" s="301" t="str">
        <f>IF(B194="","",IF(ISNA(VLOOKUP($B194,'B-1 On-Site Hedge Baseline'!$B$1:$L$257,8,FALSE)),"",(VLOOKUP($B194,'B-1 On-Site Hedge Baseline'!$B$1:$L$257,8,FALSE))))</f>
        <v/>
      </c>
      <c r="I194" s="301" t="str">
        <f>IF(B194="","",IF(ISNA(VLOOKUP($B194,'B-1 On-Site Hedge Baseline'!$B$1:$L$257,10,FALSE)),"",(VLOOKUP($B194,'B-1 On-Site Hedge Baseline'!$B$1:$L$257,10,FALSE))))</f>
        <v/>
      </c>
      <c r="J194" s="301" t="str">
        <f>IF(B194="","",IF(ISNA(VLOOKUP($B194,'B-1 On-Site Hedge Baseline'!$B$1:$L$257,11,FALSE)),"",(VLOOKUP($B194,'B-1 On-Site Hedge Baseline'!$B$1:$L$257,11,FALSE))))</f>
        <v/>
      </c>
      <c r="K194" s="301" t="str">
        <f>IF(B194="","",IF(ISNA(VLOOKUP($B194,'B-1 On-Site Hedge Baseline'!$B$1:$U$257,13,FALSE)),"",(VLOOKUP($B194,'B-1 On-Site Hedge Baseline'!$B$1:$U$257,13,FALSE))))</f>
        <v/>
      </c>
      <c r="L194" s="305" t="str">
        <f>IF(B194="","",IF(ISNA(VLOOKUP($B194,'B-1 On-Site Hedge Baseline'!$B$1:$U$257,12,FALSE)),"",(VLOOKUP($B194,'B-1 On-Site Hedge Baseline'!$B$1:$U$257,12,FALSE))))</f>
        <v/>
      </c>
      <c r="M194" s="627"/>
      <c r="N194" s="281" t="str">
        <f>IFERROR(IF(B194="","",INDEX('G-6 Hedgerow Data'!$AN$3:$AZ$15,MATCH(C194,'G-6 Hedgerow Data'!$AM$3:$AM$15,0),MATCH(M194,'G-6 Hedgerow Data'!$AN$2:$AZ$2,0))),"")</f>
        <v/>
      </c>
      <c r="O194" s="282" t="str">
        <f t="shared" si="15"/>
        <v/>
      </c>
      <c r="P194" s="335" t="str">
        <f>IF(B194="","",VLOOKUP(B194,'B-1 On-Site Hedge Baseline'!$B$10:T439,16,FALSE))</f>
        <v/>
      </c>
      <c r="Q194" s="281" t="str">
        <f>IF(M194="","",VLOOKUP(M194,'G-6 Hedgerow Data'!$B$2:$AG$15,2,FALSE))</f>
        <v/>
      </c>
      <c r="R194" s="282" t="str">
        <f>IF(M194="","",VLOOKUP(M194,'G-6 Hedgerow Data'!$B$2:$AG$15,3,FALSE))</f>
        <v/>
      </c>
      <c r="S194" s="112"/>
      <c r="T194" s="320" t="str">
        <f>IFERROR(IF(S194="","",IF(AND(M194="Non-native and ornamental hedgerow", S194&lt;&gt;"Poor"),"Not possible ▲", (VLOOKUP(S194,'G-1 All Habitats'!$Z$2:$AA$9,2,FALSE)))),"")</f>
        <v/>
      </c>
      <c r="U194" s="109"/>
      <c r="V194" s="301" t="str">
        <f>IF(U194="","",IF(VLOOKUP(U194,'G-3 Multipliers'!$L$3:$N$6,2,FALSE)=0,"Spatial Data Missing ⚠",VLOOKUP(U194,'G-3 Multipliers'!$L$3:$N$6,2,FALSE)))</f>
        <v/>
      </c>
      <c r="W194" s="305" t="str">
        <f>IF(U194="","",IF(VLOOKUP(U194,'G-3 Multipliers'!$L$3:$N$6,3,FALSE)=0,"Spatial Data Missing ⚠",VLOOKUP(U194,'G-3 Multipliers'!$L$3:$N$6,3,FALSE)))</f>
        <v/>
      </c>
      <c r="X194" s="281" t="str">
        <f>IFERROR(IF(OR(LEFT(O194,5)="Error",LEFT(N194,5)="Error",T194="Error"),"Check Data ⚠",IF(F194&lt;R194,INDEX('G-6 Hedgerow Data'!$S$3:$AE$14,MATCH(C194,'G-6 Hedgerow Data'!$B$3:$B$14,0),MATCH(M194,'G-6 Hedgerow Data'!$S$2:$AE$2,0)),INDEX('G-6 Hedgerow Data'!$K$3:$Q$14,MATCH(M194,'G-6 Hedgerow Data'!$B$3:$B$14,0),MATCH(O194,'G-6 Hedgerow Data'!$K$2:$Q$2,0)))),"")</f>
        <v/>
      </c>
      <c r="Y194" s="137"/>
      <c r="Z194" s="137"/>
      <c r="AA194" s="289" t="str">
        <f t="shared" si="16"/>
        <v/>
      </c>
      <c r="AB194" s="302" t="str">
        <f t="shared" si="17"/>
        <v/>
      </c>
      <c r="AC194" s="303" t="str">
        <f t="shared" si="14"/>
        <v/>
      </c>
      <c r="AD194" s="317" t="str">
        <f>IF(M194="","",VLOOKUP(M194,'G-6 Hedgerow Data'!$B$3:$AG$15,31,FALSE))</f>
        <v/>
      </c>
      <c r="AE194" s="289" t="str">
        <f t="shared" si="18"/>
        <v/>
      </c>
      <c r="AF194" s="289" t="str">
        <f t="shared" si="19"/>
        <v/>
      </c>
      <c r="AG194" s="305" t="str">
        <f>IFERROR(IF(O194="","",VLOOKUP(AD194,'G-3 Multipliers'!$P$3:$Q$6,2,FALSE)),"")</f>
        <v/>
      </c>
      <c r="AH194" s="295" t="str">
        <f t="shared" si="20"/>
        <v/>
      </c>
      <c r="AI194" s="112"/>
      <c r="AJ194" s="119"/>
      <c r="AK194" s="108"/>
      <c r="AT194" s="30" t="str">
        <f>IFERROR(INDEX('G-6 Hedgerow Data'!$BJ$3:$BJ$15,MATCH(M194,'G-6 Hedgerow Data'!$B$3:$B$15,0)),"")</f>
        <v/>
      </c>
    </row>
    <row r="195" spans="2:46" ht="13.8" x14ac:dyDescent="0.25">
      <c r="B195" s="311" t="str">
        <f>'B-1 On-Site Hedge Baseline'!AK193</f>
        <v/>
      </c>
      <c r="C195" s="301" t="str">
        <f>IF(B195="","",IF(ISNA(VLOOKUP($B195,'B-1 On-Site Hedge Baseline'!$B$1:$L$257,3,FALSE)),"",(VLOOKUP($B195,'B-1 On-Site Hedge Baseline'!$B$1:$L$257,3,FALSE))))</f>
        <v/>
      </c>
      <c r="D195" s="301" t="str">
        <f>IF(B195="","",IF(ISNA(VLOOKUP($B195,'B-1 On-Site Hedge Baseline'!$B$1:$L$257,4,FALSE)),"",(VLOOKUP($B195,'B-1 On-Site Hedge Baseline'!$B$1:$L$257,4,FALSE))))</f>
        <v/>
      </c>
      <c r="E195" s="301" t="str">
        <f>IF(B195="","",IF(ISNA(VLOOKUP($B195,'B-1 On-Site Hedge Baseline'!$B$1:$L$257,5,FALSE)),"",(VLOOKUP($B195,'B-1 On-Site Hedge Baseline'!$B$1:$L$257,5,FALSE))))</f>
        <v/>
      </c>
      <c r="F195" s="301" t="str">
        <f>IF(B195="","",IF(ISNA(VLOOKUP($B195,'B-1 On-Site Hedge Baseline'!$B$1:$L$257,6,FALSE)),"",(VLOOKUP($B195,'B-1 On-Site Hedge Baseline'!$B$1:$L$257,6,FALSE))))</f>
        <v/>
      </c>
      <c r="G195" s="301" t="str">
        <f>IF(B195="","",IF(ISNA(VLOOKUP($B195,'B-1 On-Site Hedge Baseline'!$B$1:$L$257,7,FALSE)),"",(VLOOKUP($B195,'B-1 On-Site Hedge Baseline'!$B$1:$L$257,7,FALSE))))</f>
        <v/>
      </c>
      <c r="H195" s="301" t="str">
        <f>IF(B195="","",IF(ISNA(VLOOKUP($B195,'B-1 On-Site Hedge Baseline'!$B$1:$L$257,8,FALSE)),"",(VLOOKUP($B195,'B-1 On-Site Hedge Baseline'!$B$1:$L$257,8,FALSE))))</f>
        <v/>
      </c>
      <c r="I195" s="301" t="str">
        <f>IF(B195="","",IF(ISNA(VLOOKUP($B195,'B-1 On-Site Hedge Baseline'!$B$1:$L$257,10,FALSE)),"",(VLOOKUP($B195,'B-1 On-Site Hedge Baseline'!$B$1:$L$257,10,FALSE))))</f>
        <v/>
      </c>
      <c r="J195" s="301" t="str">
        <f>IF(B195="","",IF(ISNA(VLOOKUP($B195,'B-1 On-Site Hedge Baseline'!$B$1:$L$257,11,FALSE)),"",(VLOOKUP($B195,'B-1 On-Site Hedge Baseline'!$B$1:$L$257,11,FALSE))))</f>
        <v/>
      </c>
      <c r="K195" s="301" t="str">
        <f>IF(B195="","",IF(ISNA(VLOOKUP($B195,'B-1 On-Site Hedge Baseline'!$B$1:$U$257,13,FALSE)),"",(VLOOKUP($B195,'B-1 On-Site Hedge Baseline'!$B$1:$U$257,13,FALSE))))</f>
        <v/>
      </c>
      <c r="L195" s="305" t="str">
        <f>IF(B195="","",IF(ISNA(VLOOKUP($B195,'B-1 On-Site Hedge Baseline'!$B$1:$U$257,12,FALSE)),"",(VLOOKUP($B195,'B-1 On-Site Hedge Baseline'!$B$1:$U$257,12,FALSE))))</f>
        <v/>
      </c>
      <c r="M195" s="627"/>
      <c r="N195" s="281" t="str">
        <f>IFERROR(IF(B195="","",INDEX('G-6 Hedgerow Data'!$AN$3:$AZ$15,MATCH(C195,'G-6 Hedgerow Data'!$AM$3:$AM$15,0),MATCH(M195,'G-6 Hedgerow Data'!$AN$2:$AZ$2,0))),"")</f>
        <v/>
      </c>
      <c r="O195" s="282" t="str">
        <f t="shared" si="15"/>
        <v/>
      </c>
      <c r="P195" s="335" t="str">
        <f>IF(B195="","",VLOOKUP(B195,'B-1 On-Site Hedge Baseline'!$B$10:T440,16,FALSE))</f>
        <v/>
      </c>
      <c r="Q195" s="281" t="str">
        <f>IF(M195="","",VLOOKUP(M195,'G-6 Hedgerow Data'!$B$2:$AG$15,2,FALSE))</f>
        <v/>
      </c>
      <c r="R195" s="282" t="str">
        <f>IF(M195="","",VLOOKUP(M195,'G-6 Hedgerow Data'!$B$2:$AG$15,3,FALSE))</f>
        <v/>
      </c>
      <c r="S195" s="112"/>
      <c r="T195" s="320" t="str">
        <f>IFERROR(IF(S195="","",IF(AND(M195="Non-native and ornamental hedgerow", S195&lt;&gt;"Poor"),"Not possible ▲", (VLOOKUP(S195,'G-1 All Habitats'!$Z$2:$AA$9,2,FALSE)))),"")</f>
        <v/>
      </c>
      <c r="U195" s="109"/>
      <c r="V195" s="301" t="str">
        <f>IF(U195="","",IF(VLOOKUP(U195,'G-3 Multipliers'!$L$3:$N$6,2,FALSE)=0,"Spatial Data Missing ⚠",VLOOKUP(U195,'G-3 Multipliers'!$L$3:$N$6,2,FALSE)))</f>
        <v/>
      </c>
      <c r="W195" s="305" t="str">
        <f>IF(U195="","",IF(VLOOKUP(U195,'G-3 Multipliers'!$L$3:$N$6,3,FALSE)=0,"Spatial Data Missing ⚠",VLOOKUP(U195,'G-3 Multipliers'!$L$3:$N$6,3,FALSE)))</f>
        <v/>
      </c>
      <c r="X195" s="281" t="str">
        <f>IFERROR(IF(OR(LEFT(O195,5)="Error",LEFT(N195,5)="Error",T195="Error"),"Check Data ⚠",IF(F195&lt;R195,INDEX('G-6 Hedgerow Data'!$S$3:$AE$14,MATCH(C195,'G-6 Hedgerow Data'!$B$3:$B$14,0),MATCH(M195,'G-6 Hedgerow Data'!$S$2:$AE$2,0)),INDEX('G-6 Hedgerow Data'!$K$3:$Q$14,MATCH(M195,'G-6 Hedgerow Data'!$B$3:$B$14,0),MATCH(O195,'G-6 Hedgerow Data'!$K$2:$Q$2,0)))),"")</f>
        <v/>
      </c>
      <c r="Y195" s="137"/>
      <c r="Z195" s="137"/>
      <c r="AA195" s="289" t="str">
        <f t="shared" si="16"/>
        <v/>
      </c>
      <c r="AB195" s="302" t="str">
        <f t="shared" si="17"/>
        <v/>
      </c>
      <c r="AC195" s="303" t="str">
        <f t="shared" si="14"/>
        <v/>
      </c>
      <c r="AD195" s="317" t="str">
        <f>IF(M195="","",VLOOKUP(M195,'G-6 Hedgerow Data'!$B$3:$AG$15,31,FALSE))</f>
        <v/>
      </c>
      <c r="AE195" s="289" t="str">
        <f t="shared" si="18"/>
        <v/>
      </c>
      <c r="AF195" s="289" t="str">
        <f t="shared" si="19"/>
        <v/>
      </c>
      <c r="AG195" s="305" t="str">
        <f>IFERROR(IF(O195="","",VLOOKUP(AD195,'G-3 Multipliers'!$P$3:$Q$6,2,FALSE)),"")</f>
        <v/>
      </c>
      <c r="AH195" s="295" t="str">
        <f t="shared" si="20"/>
        <v/>
      </c>
      <c r="AI195" s="112"/>
      <c r="AJ195" s="119"/>
      <c r="AK195" s="108"/>
      <c r="AT195" s="30" t="str">
        <f>IFERROR(INDEX('G-6 Hedgerow Data'!$BJ$3:$BJ$15,MATCH(M195,'G-6 Hedgerow Data'!$B$3:$B$15,0)),"")</f>
        <v/>
      </c>
    </row>
    <row r="196" spans="2:46" ht="13.8" x14ac:dyDescent="0.25">
      <c r="B196" s="311" t="str">
        <f>'B-1 On-Site Hedge Baseline'!AK194</f>
        <v/>
      </c>
      <c r="C196" s="301" t="str">
        <f>IF(B196="","",IF(ISNA(VLOOKUP($B196,'B-1 On-Site Hedge Baseline'!$B$1:$L$257,3,FALSE)),"",(VLOOKUP($B196,'B-1 On-Site Hedge Baseline'!$B$1:$L$257,3,FALSE))))</f>
        <v/>
      </c>
      <c r="D196" s="301" t="str">
        <f>IF(B196="","",IF(ISNA(VLOOKUP($B196,'B-1 On-Site Hedge Baseline'!$B$1:$L$257,4,FALSE)),"",(VLOOKUP($B196,'B-1 On-Site Hedge Baseline'!$B$1:$L$257,4,FALSE))))</f>
        <v/>
      </c>
      <c r="E196" s="301" t="str">
        <f>IF(B196="","",IF(ISNA(VLOOKUP($B196,'B-1 On-Site Hedge Baseline'!$B$1:$L$257,5,FALSE)),"",(VLOOKUP($B196,'B-1 On-Site Hedge Baseline'!$B$1:$L$257,5,FALSE))))</f>
        <v/>
      </c>
      <c r="F196" s="301" t="str">
        <f>IF(B196="","",IF(ISNA(VLOOKUP($B196,'B-1 On-Site Hedge Baseline'!$B$1:$L$257,6,FALSE)),"",(VLOOKUP($B196,'B-1 On-Site Hedge Baseline'!$B$1:$L$257,6,FALSE))))</f>
        <v/>
      </c>
      <c r="G196" s="301" t="str">
        <f>IF(B196="","",IF(ISNA(VLOOKUP($B196,'B-1 On-Site Hedge Baseline'!$B$1:$L$257,7,FALSE)),"",(VLOOKUP($B196,'B-1 On-Site Hedge Baseline'!$B$1:$L$257,7,FALSE))))</f>
        <v/>
      </c>
      <c r="H196" s="301" t="str">
        <f>IF(B196="","",IF(ISNA(VLOOKUP($B196,'B-1 On-Site Hedge Baseline'!$B$1:$L$257,8,FALSE)),"",(VLOOKUP($B196,'B-1 On-Site Hedge Baseline'!$B$1:$L$257,8,FALSE))))</f>
        <v/>
      </c>
      <c r="I196" s="301" t="str">
        <f>IF(B196="","",IF(ISNA(VLOOKUP($B196,'B-1 On-Site Hedge Baseline'!$B$1:$L$257,10,FALSE)),"",(VLOOKUP($B196,'B-1 On-Site Hedge Baseline'!$B$1:$L$257,10,FALSE))))</f>
        <v/>
      </c>
      <c r="J196" s="301" t="str">
        <f>IF(B196="","",IF(ISNA(VLOOKUP($B196,'B-1 On-Site Hedge Baseline'!$B$1:$L$257,11,FALSE)),"",(VLOOKUP($B196,'B-1 On-Site Hedge Baseline'!$B$1:$L$257,11,FALSE))))</f>
        <v/>
      </c>
      <c r="K196" s="301" t="str">
        <f>IF(B196="","",IF(ISNA(VLOOKUP($B196,'B-1 On-Site Hedge Baseline'!$B$1:$U$257,13,FALSE)),"",(VLOOKUP($B196,'B-1 On-Site Hedge Baseline'!$B$1:$U$257,13,FALSE))))</f>
        <v/>
      </c>
      <c r="L196" s="305" t="str">
        <f>IF(B196="","",IF(ISNA(VLOOKUP($B196,'B-1 On-Site Hedge Baseline'!$B$1:$U$257,12,FALSE)),"",(VLOOKUP($B196,'B-1 On-Site Hedge Baseline'!$B$1:$U$257,12,FALSE))))</f>
        <v/>
      </c>
      <c r="M196" s="627"/>
      <c r="N196" s="281" t="str">
        <f>IFERROR(IF(B196="","",INDEX('G-6 Hedgerow Data'!$AN$3:$AZ$15,MATCH(C196,'G-6 Hedgerow Data'!$AM$3:$AM$15,0),MATCH(M196,'G-6 Hedgerow Data'!$AN$2:$AZ$2,0))),"")</f>
        <v/>
      </c>
      <c r="O196" s="282" t="str">
        <f t="shared" si="15"/>
        <v/>
      </c>
      <c r="P196" s="335" t="str">
        <f>IF(B196="","",VLOOKUP(B196,'B-1 On-Site Hedge Baseline'!$B$10:T441,16,FALSE))</f>
        <v/>
      </c>
      <c r="Q196" s="281" t="str">
        <f>IF(M196="","",VLOOKUP(M196,'G-6 Hedgerow Data'!$B$2:$AG$15,2,FALSE))</f>
        <v/>
      </c>
      <c r="R196" s="282" t="str">
        <f>IF(M196="","",VLOOKUP(M196,'G-6 Hedgerow Data'!$B$2:$AG$15,3,FALSE))</f>
        <v/>
      </c>
      <c r="S196" s="112"/>
      <c r="T196" s="320" t="str">
        <f>IFERROR(IF(S196="","",IF(AND(M196="Non-native and ornamental hedgerow", S196&lt;&gt;"Poor"),"Not possible ▲", (VLOOKUP(S196,'G-1 All Habitats'!$Z$2:$AA$9,2,FALSE)))),"")</f>
        <v/>
      </c>
      <c r="U196" s="109"/>
      <c r="V196" s="301" t="str">
        <f>IF(U196="","",IF(VLOOKUP(U196,'G-3 Multipliers'!$L$3:$N$6,2,FALSE)=0,"Spatial Data Missing ⚠",VLOOKUP(U196,'G-3 Multipliers'!$L$3:$N$6,2,FALSE)))</f>
        <v/>
      </c>
      <c r="W196" s="305" t="str">
        <f>IF(U196="","",IF(VLOOKUP(U196,'G-3 Multipliers'!$L$3:$N$6,3,FALSE)=0,"Spatial Data Missing ⚠",VLOOKUP(U196,'G-3 Multipliers'!$L$3:$N$6,3,FALSE)))</f>
        <v/>
      </c>
      <c r="X196" s="281" t="str">
        <f>IFERROR(IF(OR(LEFT(O196,5)="Error",LEFT(N196,5)="Error",T196="Error"),"Check Data ⚠",IF(F196&lt;R196,INDEX('G-6 Hedgerow Data'!$S$3:$AE$14,MATCH(C196,'G-6 Hedgerow Data'!$B$3:$B$14,0),MATCH(M196,'G-6 Hedgerow Data'!$S$2:$AE$2,0)),INDEX('G-6 Hedgerow Data'!$K$3:$Q$14,MATCH(M196,'G-6 Hedgerow Data'!$B$3:$B$14,0),MATCH(O196,'G-6 Hedgerow Data'!$K$2:$Q$2,0)))),"")</f>
        <v/>
      </c>
      <c r="Y196" s="137"/>
      <c r="Z196" s="137"/>
      <c r="AA196" s="289" t="str">
        <f t="shared" si="16"/>
        <v/>
      </c>
      <c r="AB196" s="302" t="str">
        <f t="shared" si="17"/>
        <v/>
      </c>
      <c r="AC196" s="303" t="str">
        <f t="shared" si="14"/>
        <v/>
      </c>
      <c r="AD196" s="317" t="str">
        <f>IF(M196="","",VLOOKUP(M196,'G-6 Hedgerow Data'!$B$3:$AG$15,31,FALSE))</f>
        <v/>
      </c>
      <c r="AE196" s="289" t="str">
        <f t="shared" si="18"/>
        <v/>
      </c>
      <c r="AF196" s="289" t="str">
        <f t="shared" si="19"/>
        <v/>
      </c>
      <c r="AG196" s="305" t="str">
        <f>IFERROR(IF(O196="","",VLOOKUP(AD196,'G-3 Multipliers'!$P$3:$Q$6,2,FALSE)),"")</f>
        <v/>
      </c>
      <c r="AH196" s="295" t="str">
        <f t="shared" si="20"/>
        <v/>
      </c>
      <c r="AI196" s="112"/>
      <c r="AJ196" s="119"/>
      <c r="AK196" s="108"/>
      <c r="AT196" s="30" t="str">
        <f>IFERROR(INDEX('G-6 Hedgerow Data'!$BJ$3:$BJ$15,MATCH(M196,'G-6 Hedgerow Data'!$B$3:$B$15,0)),"")</f>
        <v/>
      </c>
    </row>
    <row r="197" spans="2:46" ht="13.8" x14ac:dyDescent="0.25">
      <c r="B197" s="311" t="str">
        <f>'B-1 On-Site Hedge Baseline'!AK195</f>
        <v/>
      </c>
      <c r="C197" s="301" t="str">
        <f>IF(B197="","",IF(ISNA(VLOOKUP($B197,'B-1 On-Site Hedge Baseline'!$B$1:$L$257,3,FALSE)),"",(VLOOKUP($B197,'B-1 On-Site Hedge Baseline'!$B$1:$L$257,3,FALSE))))</f>
        <v/>
      </c>
      <c r="D197" s="301" t="str">
        <f>IF(B197="","",IF(ISNA(VLOOKUP($B197,'B-1 On-Site Hedge Baseline'!$B$1:$L$257,4,FALSE)),"",(VLOOKUP($B197,'B-1 On-Site Hedge Baseline'!$B$1:$L$257,4,FALSE))))</f>
        <v/>
      </c>
      <c r="E197" s="301" t="str">
        <f>IF(B197="","",IF(ISNA(VLOOKUP($B197,'B-1 On-Site Hedge Baseline'!$B$1:$L$257,5,FALSE)),"",(VLOOKUP($B197,'B-1 On-Site Hedge Baseline'!$B$1:$L$257,5,FALSE))))</f>
        <v/>
      </c>
      <c r="F197" s="301" t="str">
        <f>IF(B197="","",IF(ISNA(VLOOKUP($B197,'B-1 On-Site Hedge Baseline'!$B$1:$L$257,6,FALSE)),"",(VLOOKUP($B197,'B-1 On-Site Hedge Baseline'!$B$1:$L$257,6,FALSE))))</f>
        <v/>
      </c>
      <c r="G197" s="301" t="str">
        <f>IF(B197="","",IF(ISNA(VLOOKUP($B197,'B-1 On-Site Hedge Baseline'!$B$1:$L$257,7,FALSE)),"",(VLOOKUP($B197,'B-1 On-Site Hedge Baseline'!$B$1:$L$257,7,FALSE))))</f>
        <v/>
      </c>
      <c r="H197" s="301" t="str">
        <f>IF(B197="","",IF(ISNA(VLOOKUP($B197,'B-1 On-Site Hedge Baseline'!$B$1:$L$257,8,FALSE)),"",(VLOOKUP($B197,'B-1 On-Site Hedge Baseline'!$B$1:$L$257,8,FALSE))))</f>
        <v/>
      </c>
      <c r="I197" s="301" t="str">
        <f>IF(B197="","",IF(ISNA(VLOOKUP($B197,'B-1 On-Site Hedge Baseline'!$B$1:$L$257,10,FALSE)),"",(VLOOKUP($B197,'B-1 On-Site Hedge Baseline'!$B$1:$L$257,10,FALSE))))</f>
        <v/>
      </c>
      <c r="J197" s="301" t="str">
        <f>IF(B197="","",IF(ISNA(VLOOKUP($B197,'B-1 On-Site Hedge Baseline'!$B$1:$L$257,11,FALSE)),"",(VLOOKUP($B197,'B-1 On-Site Hedge Baseline'!$B$1:$L$257,11,FALSE))))</f>
        <v/>
      </c>
      <c r="K197" s="301" t="str">
        <f>IF(B197="","",IF(ISNA(VLOOKUP($B197,'B-1 On-Site Hedge Baseline'!$B$1:$U$257,13,FALSE)),"",(VLOOKUP($B197,'B-1 On-Site Hedge Baseline'!$B$1:$U$257,13,FALSE))))</f>
        <v/>
      </c>
      <c r="L197" s="305" t="str">
        <f>IF(B197="","",IF(ISNA(VLOOKUP($B197,'B-1 On-Site Hedge Baseline'!$B$1:$U$257,12,FALSE)),"",(VLOOKUP($B197,'B-1 On-Site Hedge Baseline'!$B$1:$U$257,12,FALSE))))</f>
        <v/>
      </c>
      <c r="M197" s="627"/>
      <c r="N197" s="281" t="str">
        <f>IFERROR(IF(B197="","",INDEX('G-6 Hedgerow Data'!$AN$3:$AZ$15,MATCH(C197,'G-6 Hedgerow Data'!$AM$3:$AM$15,0),MATCH(M197,'G-6 Hedgerow Data'!$AN$2:$AZ$2,0))),"")</f>
        <v/>
      </c>
      <c r="O197" s="282" t="str">
        <f t="shared" si="15"/>
        <v/>
      </c>
      <c r="P197" s="335" t="str">
        <f>IF(B197="","",VLOOKUP(B197,'B-1 On-Site Hedge Baseline'!$B$10:T442,16,FALSE))</f>
        <v/>
      </c>
      <c r="Q197" s="281" t="str">
        <f>IF(M197="","",VLOOKUP(M197,'G-6 Hedgerow Data'!$B$2:$AG$15,2,FALSE))</f>
        <v/>
      </c>
      <c r="R197" s="282" t="str">
        <f>IF(M197="","",VLOOKUP(M197,'G-6 Hedgerow Data'!$B$2:$AG$15,3,FALSE))</f>
        <v/>
      </c>
      <c r="S197" s="112"/>
      <c r="T197" s="320" t="str">
        <f>IFERROR(IF(S197="","",IF(AND(M197="Non-native and ornamental hedgerow", S197&lt;&gt;"Poor"),"Not possible ▲", (VLOOKUP(S197,'G-1 All Habitats'!$Z$2:$AA$9,2,FALSE)))),"")</f>
        <v/>
      </c>
      <c r="U197" s="109"/>
      <c r="V197" s="301" t="str">
        <f>IF(U197="","",IF(VLOOKUP(U197,'G-3 Multipliers'!$L$3:$N$6,2,FALSE)=0,"Spatial Data Missing ⚠",VLOOKUP(U197,'G-3 Multipliers'!$L$3:$N$6,2,FALSE)))</f>
        <v/>
      </c>
      <c r="W197" s="305" t="str">
        <f>IF(U197="","",IF(VLOOKUP(U197,'G-3 Multipliers'!$L$3:$N$6,3,FALSE)=0,"Spatial Data Missing ⚠",VLOOKUP(U197,'G-3 Multipliers'!$L$3:$N$6,3,FALSE)))</f>
        <v/>
      </c>
      <c r="X197" s="281" t="str">
        <f>IFERROR(IF(OR(LEFT(O197,5)="Error",LEFT(N197,5)="Error",T197="Error"),"Check Data ⚠",IF(F197&lt;R197,INDEX('G-6 Hedgerow Data'!$S$3:$AE$14,MATCH(C197,'G-6 Hedgerow Data'!$B$3:$B$14,0),MATCH(M197,'G-6 Hedgerow Data'!$S$2:$AE$2,0)),INDEX('G-6 Hedgerow Data'!$K$3:$Q$14,MATCH(M197,'G-6 Hedgerow Data'!$B$3:$B$14,0),MATCH(O197,'G-6 Hedgerow Data'!$K$2:$Q$2,0)))),"")</f>
        <v/>
      </c>
      <c r="Y197" s="137"/>
      <c r="Z197" s="137"/>
      <c r="AA197" s="289" t="str">
        <f t="shared" si="16"/>
        <v/>
      </c>
      <c r="AB197" s="302" t="str">
        <f t="shared" si="17"/>
        <v/>
      </c>
      <c r="AC197" s="303" t="str">
        <f t="shared" si="14"/>
        <v/>
      </c>
      <c r="AD197" s="317" t="str">
        <f>IF(M197="","",VLOOKUP(M197,'G-6 Hedgerow Data'!$B$3:$AG$15,31,FALSE))</f>
        <v/>
      </c>
      <c r="AE197" s="289" t="str">
        <f t="shared" si="18"/>
        <v/>
      </c>
      <c r="AF197" s="289" t="str">
        <f t="shared" si="19"/>
        <v/>
      </c>
      <c r="AG197" s="305" t="str">
        <f>IFERROR(IF(O197="","",VLOOKUP(AD197,'G-3 Multipliers'!$P$3:$Q$6,2,FALSE)),"")</f>
        <v/>
      </c>
      <c r="AH197" s="295" t="str">
        <f t="shared" si="20"/>
        <v/>
      </c>
      <c r="AI197" s="112"/>
      <c r="AJ197" s="119"/>
      <c r="AK197" s="108"/>
      <c r="AT197" s="30" t="str">
        <f>IFERROR(INDEX('G-6 Hedgerow Data'!$BJ$3:$BJ$15,MATCH(M197,'G-6 Hedgerow Data'!$B$3:$B$15,0)),"")</f>
        <v/>
      </c>
    </row>
    <row r="198" spans="2:46" ht="13.8" x14ac:dyDescent="0.25">
      <c r="B198" s="311" t="str">
        <f>'B-1 On-Site Hedge Baseline'!AK196</f>
        <v/>
      </c>
      <c r="C198" s="301" t="str">
        <f>IF(B198="","",IF(ISNA(VLOOKUP($B198,'B-1 On-Site Hedge Baseline'!$B$1:$L$257,3,FALSE)),"",(VLOOKUP($B198,'B-1 On-Site Hedge Baseline'!$B$1:$L$257,3,FALSE))))</f>
        <v/>
      </c>
      <c r="D198" s="301" t="str">
        <f>IF(B198="","",IF(ISNA(VLOOKUP($B198,'B-1 On-Site Hedge Baseline'!$B$1:$L$257,4,FALSE)),"",(VLOOKUP($B198,'B-1 On-Site Hedge Baseline'!$B$1:$L$257,4,FALSE))))</f>
        <v/>
      </c>
      <c r="E198" s="301" t="str">
        <f>IF(B198="","",IF(ISNA(VLOOKUP($B198,'B-1 On-Site Hedge Baseline'!$B$1:$L$257,5,FALSE)),"",(VLOOKUP($B198,'B-1 On-Site Hedge Baseline'!$B$1:$L$257,5,FALSE))))</f>
        <v/>
      </c>
      <c r="F198" s="301" t="str">
        <f>IF(B198="","",IF(ISNA(VLOOKUP($B198,'B-1 On-Site Hedge Baseline'!$B$1:$L$257,6,FALSE)),"",(VLOOKUP($B198,'B-1 On-Site Hedge Baseline'!$B$1:$L$257,6,FALSE))))</f>
        <v/>
      </c>
      <c r="G198" s="301" t="str">
        <f>IF(B198="","",IF(ISNA(VLOOKUP($B198,'B-1 On-Site Hedge Baseline'!$B$1:$L$257,7,FALSE)),"",(VLOOKUP($B198,'B-1 On-Site Hedge Baseline'!$B$1:$L$257,7,FALSE))))</f>
        <v/>
      </c>
      <c r="H198" s="301" t="str">
        <f>IF(B198="","",IF(ISNA(VLOOKUP($B198,'B-1 On-Site Hedge Baseline'!$B$1:$L$257,8,FALSE)),"",(VLOOKUP($B198,'B-1 On-Site Hedge Baseline'!$B$1:$L$257,8,FALSE))))</f>
        <v/>
      </c>
      <c r="I198" s="301" t="str">
        <f>IF(B198="","",IF(ISNA(VLOOKUP($B198,'B-1 On-Site Hedge Baseline'!$B$1:$L$257,10,FALSE)),"",(VLOOKUP($B198,'B-1 On-Site Hedge Baseline'!$B$1:$L$257,10,FALSE))))</f>
        <v/>
      </c>
      <c r="J198" s="301" t="str">
        <f>IF(B198="","",IF(ISNA(VLOOKUP($B198,'B-1 On-Site Hedge Baseline'!$B$1:$L$257,11,FALSE)),"",(VLOOKUP($B198,'B-1 On-Site Hedge Baseline'!$B$1:$L$257,11,FALSE))))</f>
        <v/>
      </c>
      <c r="K198" s="301" t="str">
        <f>IF(B198="","",IF(ISNA(VLOOKUP($B198,'B-1 On-Site Hedge Baseline'!$B$1:$U$257,13,FALSE)),"",(VLOOKUP($B198,'B-1 On-Site Hedge Baseline'!$B$1:$U$257,13,FALSE))))</f>
        <v/>
      </c>
      <c r="L198" s="305" t="str">
        <f>IF(B198="","",IF(ISNA(VLOOKUP($B198,'B-1 On-Site Hedge Baseline'!$B$1:$U$257,12,FALSE)),"",(VLOOKUP($B198,'B-1 On-Site Hedge Baseline'!$B$1:$U$257,12,FALSE))))</f>
        <v/>
      </c>
      <c r="M198" s="627"/>
      <c r="N198" s="281" t="str">
        <f>IFERROR(IF(B198="","",INDEX('G-6 Hedgerow Data'!$AN$3:$AZ$15,MATCH(C198,'G-6 Hedgerow Data'!$AM$3:$AM$15,0),MATCH(M198,'G-6 Hedgerow Data'!$AN$2:$AZ$2,0))),"")</f>
        <v/>
      </c>
      <c r="O198" s="282" t="str">
        <f t="shared" si="15"/>
        <v/>
      </c>
      <c r="P198" s="335" t="str">
        <f>IF(B198="","",VLOOKUP(B198,'B-1 On-Site Hedge Baseline'!$B$10:T443,16,FALSE))</f>
        <v/>
      </c>
      <c r="Q198" s="281" t="str">
        <f>IF(M198="","",VLOOKUP(M198,'G-6 Hedgerow Data'!$B$2:$AG$15,2,FALSE))</f>
        <v/>
      </c>
      <c r="R198" s="282" t="str">
        <f>IF(M198="","",VLOOKUP(M198,'G-6 Hedgerow Data'!$B$2:$AG$15,3,FALSE))</f>
        <v/>
      </c>
      <c r="S198" s="112"/>
      <c r="T198" s="320" t="str">
        <f>IFERROR(IF(S198="","",IF(AND(M198="Non-native and ornamental hedgerow", S198&lt;&gt;"Poor"),"Not possible ▲", (VLOOKUP(S198,'G-1 All Habitats'!$Z$2:$AA$9,2,FALSE)))),"")</f>
        <v/>
      </c>
      <c r="U198" s="109"/>
      <c r="V198" s="301" t="str">
        <f>IF(U198="","",IF(VLOOKUP(U198,'G-3 Multipliers'!$L$3:$N$6,2,FALSE)=0,"Spatial Data Missing ⚠",VLOOKUP(U198,'G-3 Multipliers'!$L$3:$N$6,2,FALSE)))</f>
        <v/>
      </c>
      <c r="W198" s="305" t="str">
        <f>IF(U198="","",IF(VLOOKUP(U198,'G-3 Multipliers'!$L$3:$N$6,3,FALSE)=0,"Spatial Data Missing ⚠",VLOOKUP(U198,'G-3 Multipliers'!$L$3:$N$6,3,FALSE)))</f>
        <v/>
      </c>
      <c r="X198" s="281" t="str">
        <f>IFERROR(IF(OR(LEFT(O198,5)="Error",LEFT(N198,5)="Error",T198="Error"),"Check Data ⚠",IF(F198&lt;R198,INDEX('G-6 Hedgerow Data'!$S$3:$AE$14,MATCH(C198,'G-6 Hedgerow Data'!$B$3:$B$14,0),MATCH(M198,'G-6 Hedgerow Data'!$S$2:$AE$2,0)),INDEX('G-6 Hedgerow Data'!$K$3:$Q$14,MATCH(M198,'G-6 Hedgerow Data'!$B$3:$B$14,0),MATCH(O198,'G-6 Hedgerow Data'!$K$2:$Q$2,0)))),"")</f>
        <v/>
      </c>
      <c r="Y198" s="137"/>
      <c r="Z198" s="137"/>
      <c r="AA198" s="289" t="str">
        <f t="shared" si="16"/>
        <v/>
      </c>
      <c r="AB198" s="302" t="str">
        <f t="shared" si="17"/>
        <v/>
      </c>
      <c r="AC198" s="303" t="str">
        <f t="shared" si="14"/>
        <v/>
      </c>
      <c r="AD198" s="317" t="str">
        <f>IF(M198="","",VLOOKUP(M198,'G-6 Hedgerow Data'!$B$3:$AG$15,31,FALSE))</f>
        <v/>
      </c>
      <c r="AE198" s="289" t="str">
        <f t="shared" si="18"/>
        <v/>
      </c>
      <c r="AF198" s="289" t="str">
        <f t="shared" si="19"/>
        <v/>
      </c>
      <c r="AG198" s="305" t="str">
        <f>IFERROR(IF(O198="","",VLOOKUP(AD198,'G-3 Multipliers'!$P$3:$Q$6,2,FALSE)),"")</f>
        <v/>
      </c>
      <c r="AH198" s="295" t="str">
        <f t="shared" si="20"/>
        <v/>
      </c>
      <c r="AI198" s="112"/>
      <c r="AJ198" s="119"/>
      <c r="AK198" s="108"/>
      <c r="AT198" s="30" t="str">
        <f>IFERROR(INDEX('G-6 Hedgerow Data'!$BJ$3:$BJ$15,MATCH(M198,'G-6 Hedgerow Data'!$B$3:$B$15,0)),"")</f>
        <v/>
      </c>
    </row>
    <row r="199" spans="2:46" ht="13.8" x14ac:dyDescent="0.25">
      <c r="B199" s="311" t="str">
        <f>'B-1 On-Site Hedge Baseline'!AK197</f>
        <v/>
      </c>
      <c r="C199" s="301" t="str">
        <f>IF(B199="","",IF(ISNA(VLOOKUP($B199,'B-1 On-Site Hedge Baseline'!$B$1:$L$257,3,FALSE)),"",(VLOOKUP($B199,'B-1 On-Site Hedge Baseline'!$B$1:$L$257,3,FALSE))))</f>
        <v/>
      </c>
      <c r="D199" s="301" t="str">
        <f>IF(B199="","",IF(ISNA(VLOOKUP($B199,'B-1 On-Site Hedge Baseline'!$B$1:$L$257,4,FALSE)),"",(VLOOKUP($B199,'B-1 On-Site Hedge Baseline'!$B$1:$L$257,4,FALSE))))</f>
        <v/>
      </c>
      <c r="E199" s="301" t="str">
        <f>IF(B199="","",IF(ISNA(VLOOKUP($B199,'B-1 On-Site Hedge Baseline'!$B$1:$L$257,5,FALSE)),"",(VLOOKUP($B199,'B-1 On-Site Hedge Baseline'!$B$1:$L$257,5,FALSE))))</f>
        <v/>
      </c>
      <c r="F199" s="301" t="str">
        <f>IF(B199="","",IF(ISNA(VLOOKUP($B199,'B-1 On-Site Hedge Baseline'!$B$1:$L$257,6,FALSE)),"",(VLOOKUP($B199,'B-1 On-Site Hedge Baseline'!$B$1:$L$257,6,FALSE))))</f>
        <v/>
      </c>
      <c r="G199" s="301" t="str">
        <f>IF(B199="","",IF(ISNA(VLOOKUP($B199,'B-1 On-Site Hedge Baseline'!$B$1:$L$257,7,FALSE)),"",(VLOOKUP($B199,'B-1 On-Site Hedge Baseline'!$B$1:$L$257,7,FALSE))))</f>
        <v/>
      </c>
      <c r="H199" s="301" t="str">
        <f>IF(B199="","",IF(ISNA(VLOOKUP($B199,'B-1 On-Site Hedge Baseline'!$B$1:$L$257,8,FALSE)),"",(VLOOKUP($B199,'B-1 On-Site Hedge Baseline'!$B$1:$L$257,8,FALSE))))</f>
        <v/>
      </c>
      <c r="I199" s="301" t="str">
        <f>IF(B199="","",IF(ISNA(VLOOKUP($B199,'B-1 On-Site Hedge Baseline'!$B$1:$L$257,10,FALSE)),"",(VLOOKUP($B199,'B-1 On-Site Hedge Baseline'!$B$1:$L$257,10,FALSE))))</f>
        <v/>
      </c>
      <c r="J199" s="301" t="str">
        <f>IF(B199="","",IF(ISNA(VLOOKUP($B199,'B-1 On-Site Hedge Baseline'!$B$1:$L$257,11,FALSE)),"",(VLOOKUP($B199,'B-1 On-Site Hedge Baseline'!$B$1:$L$257,11,FALSE))))</f>
        <v/>
      </c>
      <c r="K199" s="301" t="str">
        <f>IF(B199="","",IF(ISNA(VLOOKUP($B199,'B-1 On-Site Hedge Baseline'!$B$1:$U$257,13,FALSE)),"",(VLOOKUP($B199,'B-1 On-Site Hedge Baseline'!$B$1:$U$257,13,FALSE))))</f>
        <v/>
      </c>
      <c r="L199" s="305" t="str">
        <f>IF(B199="","",IF(ISNA(VLOOKUP($B199,'B-1 On-Site Hedge Baseline'!$B$1:$U$257,12,FALSE)),"",(VLOOKUP($B199,'B-1 On-Site Hedge Baseline'!$B$1:$U$257,12,FALSE))))</f>
        <v/>
      </c>
      <c r="M199" s="627"/>
      <c r="N199" s="281" t="str">
        <f>IFERROR(IF(B199="","",INDEX('G-6 Hedgerow Data'!$AN$3:$AZ$15,MATCH(C199,'G-6 Hedgerow Data'!$AM$3:$AM$15,0),MATCH(M199,'G-6 Hedgerow Data'!$AN$2:$AZ$2,0))),"")</f>
        <v/>
      </c>
      <c r="O199" s="282" t="str">
        <f t="shared" si="15"/>
        <v/>
      </c>
      <c r="P199" s="335" t="str">
        <f>IF(B199="","",VLOOKUP(B199,'B-1 On-Site Hedge Baseline'!$B$10:T444,16,FALSE))</f>
        <v/>
      </c>
      <c r="Q199" s="281" t="str">
        <f>IF(M199="","",VLOOKUP(M199,'G-6 Hedgerow Data'!$B$2:$AG$15,2,FALSE))</f>
        <v/>
      </c>
      <c r="R199" s="282" t="str">
        <f>IF(M199="","",VLOOKUP(M199,'G-6 Hedgerow Data'!$B$2:$AG$15,3,FALSE))</f>
        <v/>
      </c>
      <c r="S199" s="112"/>
      <c r="T199" s="320" t="str">
        <f>IFERROR(IF(S199="","",IF(AND(M199="Non-native and ornamental hedgerow", S199&lt;&gt;"Poor"),"Not possible ▲", (VLOOKUP(S199,'G-1 All Habitats'!$Z$2:$AA$9,2,FALSE)))),"")</f>
        <v/>
      </c>
      <c r="U199" s="109"/>
      <c r="V199" s="301" t="str">
        <f>IF(U199="","",IF(VLOOKUP(U199,'G-3 Multipliers'!$L$3:$N$6,2,FALSE)=0,"Spatial Data Missing ⚠",VLOOKUP(U199,'G-3 Multipliers'!$L$3:$N$6,2,FALSE)))</f>
        <v/>
      </c>
      <c r="W199" s="305" t="str">
        <f>IF(U199="","",IF(VLOOKUP(U199,'G-3 Multipliers'!$L$3:$N$6,3,FALSE)=0,"Spatial Data Missing ⚠",VLOOKUP(U199,'G-3 Multipliers'!$L$3:$N$6,3,FALSE)))</f>
        <v/>
      </c>
      <c r="X199" s="281" t="str">
        <f>IFERROR(IF(OR(LEFT(O199,5)="Error",LEFT(N199,5)="Error",T199="Error"),"Check Data ⚠",IF(F199&lt;R199,INDEX('G-6 Hedgerow Data'!$S$3:$AE$14,MATCH(C199,'G-6 Hedgerow Data'!$B$3:$B$14,0),MATCH(M199,'G-6 Hedgerow Data'!$S$2:$AE$2,0)),INDEX('G-6 Hedgerow Data'!$K$3:$Q$14,MATCH(M199,'G-6 Hedgerow Data'!$B$3:$B$14,0),MATCH(O199,'G-6 Hedgerow Data'!$K$2:$Q$2,0)))),"")</f>
        <v/>
      </c>
      <c r="Y199" s="137"/>
      <c r="Z199" s="137"/>
      <c r="AA199" s="289" t="str">
        <f t="shared" si="16"/>
        <v/>
      </c>
      <c r="AB199" s="302" t="str">
        <f t="shared" si="17"/>
        <v/>
      </c>
      <c r="AC199" s="303" t="str">
        <f t="shared" si="14"/>
        <v/>
      </c>
      <c r="AD199" s="317" t="str">
        <f>IF(M199="","",VLOOKUP(M199,'G-6 Hedgerow Data'!$B$3:$AG$15,31,FALSE))</f>
        <v/>
      </c>
      <c r="AE199" s="289" t="str">
        <f t="shared" si="18"/>
        <v/>
      </c>
      <c r="AF199" s="289" t="str">
        <f t="shared" si="19"/>
        <v/>
      </c>
      <c r="AG199" s="305" t="str">
        <f>IFERROR(IF(O199="","",VLOOKUP(AD199,'G-3 Multipliers'!$P$3:$Q$6,2,FALSE)),"")</f>
        <v/>
      </c>
      <c r="AH199" s="295" t="str">
        <f t="shared" si="20"/>
        <v/>
      </c>
      <c r="AI199" s="112"/>
      <c r="AJ199" s="119"/>
      <c r="AK199" s="108"/>
      <c r="AT199" s="30" t="str">
        <f>IFERROR(INDEX('G-6 Hedgerow Data'!$BJ$3:$BJ$15,MATCH(M199,'G-6 Hedgerow Data'!$B$3:$B$15,0)),"")</f>
        <v/>
      </c>
    </row>
    <row r="200" spans="2:46" ht="13.8" x14ac:dyDescent="0.25">
      <c r="B200" s="311" t="str">
        <f>'B-1 On-Site Hedge Baseline'!AK198</f>
        <v/>
      </c>
      <c r="C200" s="301" t="str">
        <f>IF(B200="","",IF(ISNA(VLOOKUP($B200,'B-1 On-Site Hedge Baseline'!$B$1:$L$257,3,FALSE)),"",(VLOOKUP($B200,'B-1 On-Site Hedge Baseline'!$B$1:$L$257,3,FALSE))))</f>
        <v/>
      </c>
      <c r="D200" s="301" t="str">
        <f>IF(B200="","",IF(ISNA(VLOOKUP($B200,'B-1 On-Site Hedge Baseline'!$B$1:$L$257,4,FALSE)),"",(VLOOKUP($B200,'B-1 On-Site Hedge Baseline'!$B$1:$L$257,4,FALSE))))</f>
        <v/>
      </c>
      <c r="E200" s="301" t="str">
        <f>IF(B200="","",IF(ISNA(VLOOKUP($B200,'B-1 On-Site Hedge Baseline'!$B$1:$L$257,5,FALSE)),"",(VLOOKUP($B200,'B-1 On-Site Hedge Baseline'!$B$1:$L$257,5,FALSE))))</f>
        <v/>
      </c>
      <c r="F200" s="301" t="str">
        <f>IF(B200="","",IF(ISNA(VLOOKUP($B200,'B-1 On-Site Hedge Baseline'!$B$1:$L$257,6,FALSE)),"",(VLOOKUP($B200,'B-1 On-Site Hedge Baseline'!$B$1:$L$257,6,FALSE))))</f>
        <v/>
      </c>
      <c r="G200" s="301" t="str">
        <f>IF(B200="","",IF(ISNA(VLOOKUP($B200,'B-1 On-Site Hedge Baseline'!$B$1:$L$257,7,FALSE)),"",(VLOOKUP($B200,'B-1 On-Site Hedge Baseline'!$B$1:$L$257,7,FALSE))))</f>
        <v/>
      </c>
      <c r="H200" s="301" t="str">
        <f>IF(B200="","",IF(ISNA(VLOOKUP($B200,'B-1 On-Site Hedge Baseline'!$B$1:$L$257,8,FALSE)),"",(VLOOKUP($B200,'B-1 On-Site Hedge Baseline'!$B$1:$L$257,8,FALSE))))</f>
        <v/>
      </c>
      <c r="I200" s="301" t="str">
        <f>IF(B200="","",IF(ISNA(VLOOKUP($B200,'B-1 On-Site Hedge Baseline'!$B$1:$L$257,10,FALSE)),"",(VLOOKUP($B200,'B-1 On-Site Hedge Baseline'!$B$1:$L$257,10,FALSE))))</f>
        <v/>
      </c>
      <c r="J200" s="301" t="str">
        <f>IF(B200="","",IF(ISNA(VLOOKUP($B200,'B-1 On-Site Hedge Baseline'!$B$1:$L$257,11,FALSE)),"",(VLOOKUP($B200,'B-1 On-Site Hedge Baseline'!$B$1:$L$257,11,FALSE))))</f>
        <v/>
      </c>
      <c r="K200" s="301" t="str">
        <f>IF(B200="","",IF(ISNA(VLOOKUP($B200,'B-1 On-Site Hedge Baseline'!$B$1:$U$257,13,FALSE)),"",(VLOOKUP($B200,'B-1 On-Site Hedge Baseline'!$B$1:$U$257,13,FALSE))))</f>
        <v/>
      </c>
      <c r="L200" s="305" t="str">
        <f>IF(B200="","",IF(ISNA(VLOOKUP($B200,'B-1 On-Site Hedge Baseline'!$B$1:$U$257,12,FALSE)),"",(VLOOKUP($B200,'B-1 On-Site Hedge Baseline'!$B$1:$U$257,12,FALSE))))</f>
        <v/>
      </c>
      <c r="M200" s="627"/>
      <c r="N200" s="281" t="str">
        <f>IFERROR(IF(B200="","",INDEX('G-6 Hedgerow Data'!$AN$3:$AZ$15,MATCH(C200,'G-6 Hedgerow Data'!$AM$3:$AM$15,0),MATCH(M200,'G-6 Hedgerow Data'!$AN$2:$AZ$2,0))),"")</f>
        <v/>
      </c>
      <c r="O200" s="282" t="str">
        <f t="shared" si="15"/>
        <v/>
      </c>
      <c r="P200" s="335" t="str">
        <f>IF(B200="","",VLOOKUP(B200,'B-1 On-Site Hedge Baseline'!$B$10:T445,16,FALSE))</f>
        <v/>
      </c>
      <c r="Q200" s="281" t="str">
        <f>IF(M200="","",VLOOKUP(M200,'G-6 Hedgerow Data'!$B$2:$AG$15,2,FALSE))</f>
        <v/>
      </c>
      <c r="R200" s="282" t="str">
        <f>IF(M200="","",VLOOKUP(M200,'G-6 Hedgerow Data'!$B$2:$AG$15,3,FALSE))</f>
        <v/>
      </c>
      <c r="S200" s="112"/>
      <c r="T200" s="320" t="str">
        <f>IFERROR(IF(S200="","",IF(AND(M200="Non-native and ornamental hedgerow", S200&lt;&gt;"Poor"),"Not possible ▲", (VLOOKUP(S200,'G-1 All Habitats'!$Z$2:$AA$9,2,FALSE)))),"")</f>
        <v/>
      </c>
      <c r="U200" s="109"/>
      <c r="V200" s="301" t="str">
        <f>IF(U200="","",IF(VLOOKUP(U200,'G-3 Multipliers'!$L$3:$N$6,2,FALSE)=0,"Spatial Data Missing ⚠",VLOOKUP(U200,'G-3 Multipliers'!$L$3:$N$6,2,FALSE)))</f>
        <v/>
      </c>
      <c r="W200" s="305" t="str">
        <f>IF(U200="","",IF(VLOOKUP(U200,'G-3 Multipliers'!$L$3:$N$6,3,FALSE)=0,"Spatial Data Missing ⚠",VLOOKUP(U200,'G-3 Multipliers'!$L$3:$N$6,3,FALSE)))</f>
        <v/>
      </c>
      <c r="X200" s="281" t="str">
        <f>IFERROR(IF(OR(LEFT(O200,5)="Error",LEFT(N200,5)="Error",T200="Error"),"Check Data ⚠",IF(F200&lt;R200,INDEX('G-6 Hedgerow Data'!$S$3:$AE$14,MATCH(C200,'G-6 Hedgerow Data'!$B$3:$B$14,0),MATCH(M200,'G-6 Hedgerow Data'!$S$2:$AE$2,0)),INDEX('G-6 Hedgerow Data'!$K$3:$Q$14,MATCH(M200,'G-6 Hedgerow Data'!$B$3:$B$14,0),MATCH(O200,'G-6 Hedgerow Data'!$K$2:$Q$2,0)))),"")</f>
        <v/>
      </c>
      <c r="Y200" s="137"/>
      <c r="Z200" s="137"/>
      <c r="AA200" s="289" t="str">
        <f t="shared" si="16"/>
        <v/>
      </c>
      <c r="AB200" s="302" t="str">
        <f t="shared" si="17"/>
        <v/>
      </c>
      <c r="AC200" s="303" t="str">
        <f t="shared" si="14"/>
        <v/>
      </c>
      <c r="AD200" s="317" t="str">
        <f>IF(M200="","",VLOOKUP(M200,'G-6 Hedgerow Data'!$B$3:$AG$15,31,FALSE))</f>
        <v/>
      </c>
      <c r="AE200" s="289" t="str">
        <f t="shared" si="18"/>
        <v/>
      </c>
      <c r="AF200" s="289" t="str">
        <f t="shared" si="19"/>
        <v/>
      </c>
      <c r="AG200" s="305" t="str">
        <f>IFERROR(IF(O200="","",VLOOKUP(AD200,'G-3 Multipliers'!$P$3:$Q$6,2,FALSE)),"")</f>
        <v/>
      </c>
      <c r="AH200" s="295" t="str">
        <f t="shared" si="20"/>
        <v/>
      </c>
      <c r="AI200" s="112"/>
      <c r="AJ200" s="119"/>
      <c r="AK200" s="108"/>
      <c r="AT200" s="30" t="str">
        <f>IFERROR(INDEX('G-6 Hedgerow Data'!$BJ$3:$BJ$15,MATCH(M200,'G-6 Hedgerow Data'!$B$3:$B$15,0)),"")</f>
        <v/>
      </c>
    </row>
    <row r="201" spans="2:46" ht="13.8" x14ac:dyDescent="0.25">
      <c r="B201" s="311" t="str">
        <f>'B-1 On-Site Hedge Baseline'!AK199</f>
        <v/>
      </c>
      <c r="C201" s="301" t="str">
        <f>IF(B201="","",IF(ISNA(VLOOKUP($B201,'B-1 On-Site Hedge Baseline'!$B$1:$L$257,3,FALSE)),"",(VLOOKUP($B201,'B-1 On-Site Hedge Baseline'!$B$1:$L$257,3,FALSE))))</f>
        <v/>
      </c>
      <c r="D201" s="301" t="str">
        <f>IF(B201="","",IF(ISNA(VLOOKUP($B201,'B-1 On-Site Hedge Baseline'!$B$1:$L$257,4,FALSE)),"",(VLOOKUP($B201,'B-1 On-Site Hedge Baseline'!$B$1:$L$257,4,FALSE))))</f>
        <v/>
      </c>
      <c r="E201" s="301" t="str">
        <f>IF(B201="","",IF(ISNA(VLOOKUP($B201,'B-1 On-Site Hedge Baseline'!$B$1:$L$257,5,FALSE)),"",(VLOOKUP($B201,'B-1 On-Site Hedge Baseline'!$B$1:$L$257,5,FALSE))))</f>
        <v/>
      </c>
      <c r="F201" s="301" t="str">
        <f>IF(B201="","",IF(ISNA(VLOOKUP($B201,'B-1 On-Site Hedge Baseline'!$B$1:$L$257,6,FALSE)),"",(VLOOKUP($B201,'B-1 On-Site Hedge Baseline'!$B$1:$L$257,6,FALSE))))</f>
        <v/>
      </c>
      <c r="G201" s="301" t="str">
        <f>IF(B201="","",IF(ISNA(VLOOKUP($B201,'B-1 On-Site Hedge Baseline'!$B$1:$L$257,7,FALSE)),"",(VLOOKUP($B201,'B-1 On-Site Hedge Baseline'!$B$1:$L$257,7,FALSE))))</f>
        <v/>
      </c>
      <c r="H201" s="301" t="str">
        <f>IF(B201="","",IF(ISNA(VLOOKUP($B201,'B-1 On-Site Hedge Baseline'!$B$1:$L$257,8,FALSE)),"",(VLOOKUP($B201,'B-1 On-Site Hedge Baseline'!$B$1:$L$257,8,FALSE))))</f>
        <v/>
      </c>
      <c r="I201" s="301" t="str">
        <f>IF(B201="","",IF(ISNA(VLOOKUP($B201,'B-1 On-Site Hedge Baseline'!$B$1:$L$257,10,FALSE)),"",(VLOOKUP($B201,'B-1 On-Site Hedge Baseline'!$B$1:$L$257,10,FALSE))))</f>
        <v/>
      </c>
      <c r="J201" s="301" t="str">
        <f>IF(B201="","",IF(ISNA(VLOOKUP($B201,'B-1 On-Site Hedge Baseline'!$B$1:$L$257,11,FALSE)),"",(VLOOKUP($B201,'B-1 On-Site Hedge Baseline'!$B$1:$L$257,11,FALSE))))</f>
        <v/>
      </c>
      <c r="K201" s="301" t="str">
        <f>IF(B201="","",IF(ISNA(VLOOKUP($B201,'B-1 On-Site Hedge Baseline'!$B$1:$U$257,13,FALSE)),"",(VLOOKUP($B201,'B-1 On-Site Hedge Baseline'!$B$1:$U$257,13,FALSE))))</f>
        <v/>
      </c>
      <c r="L201" s="305" t="str">
        <f>IF(B201="","",IF(ISNA(VLOOKUP($B201,'B-1 On-Site Hedge Baseline'!$B$1:$U$257,12,FALSE)),"",(VLOOKUP($B201,'B-1 On-Site Hedge Baseline'!$B$1:$U$257,12,FALSE))))</f>
        <v/>
      </c>
      <c r="M201" s="627"/>
      <c r="N201" s="281" t="str">
        <f>IFERROR(IF(B201="","",INDEX('G-6 Hedgerow Data'!$AN$3:$AZ$15,MATCH(C201,'G-6 Hedgerow Data'!$AM$3:$AM$15,0),MATCH(M201,'G-6 Hedgerow Data'!$AN$2:$AZ$2,0))),"")</f>
        <v/>
      </c>
      <c r="O201" s="282" t="str">
        <f t="shared" si="15"/>
        <v/>
      </c>
      <c r="P201" s="335" t="str">
        <f>IF(B201="","",VLOOKUP(B201,'B-1 On-Site Hedge Baseline'!$B$10:T446,16,FALSE))</f>
        <v/>
      </c>
      <c r="Q201" s="281" t="str">
        <f>IF(M201="","",VLOOKUP(M201,'G-6 Hedgerow Data'!$B$2:$AG$15,2,FALSE))</f>
        <v/>
      </c>
      <c r="R201" s="282" t="str">
        <f>IF(M201="","",VLOOKUP(M201,'G-6 Hedgerow Data'!$B$2:$AG$15,3,FALSE))</f>
        <v/>
      </c>
      <c r="S201" s="112"/>
      <c r="T201" s="320" t="str">
        <f>IFERROR(IF(S201="","",IF(AND(M201="Non-native and ornamental hedgerow", S201&lt;&gt;"Poor"),"Not possible ▲", (VLOOKUP(S201,'G-1 All Habitats'!$Z$2:$AA$9,2,FALSE)))),"")</f>
        <v/>
      </c>
      <c r="U201" s="109"/>
      <c r="V201" s="301" t="str">
        <f>IF(U201="","",IF(VLOOKUP(U201,'G-3 Multipliers'!$L$3:$N$6,2,FALSE)=0,"Spatial Data Missing ⚠",VLOOKUP(U201,'G-3 Multipliers'!$L$3:$N$6,2,FALSE)))</f>
        <v/>
      </c>
      <c r="W201" s="305" t="str">
        <f>IF(U201="","",IF(VLOOKUP(U201,'G-3 Multipliers'!$L$3:$N$6,3,FALSE)=0,"Spatial Data Missing ⚠",VLOOKUP(U201,'G-3 Multipliers'!$L$3:$N$6,3,FALSE)))</f>
        <v/>
      </c>
      <c r="X201" s="281" t="str">
        <f>IFERROR(IF(OR(LEFT(O201,5)="Error",LEFT(N201,5)="Error",T201="Error"),"Check Data ⚠",IF(F201&lt;R201,INDEX('G-6 Hedgerow Data'!$S$3:$AE$14,MATCH(C201,'G-6 Hedgerow Data'!$B$3:$B$14,0),MATCH(M201,'G-6 Hedgerow Data'!$S$2:$AE$2,0)),INDEX('G-6 Hedgerow Data'!$K$3:$Q$14,MATCH(M201,'G-6 Hedgerow Data'!$B$3:$B$14,0),MATCH(O201,'G-6 Hedgerow Data'!$K$2:$Q$2,0)))),"")</f>
        <v/>
      </c>
      <c r="Y201" s="137"/>
      <c r="Z201" s="137"/>
      <c r="AA201" s="289" t="str">
        <f t="shared" si="16"/>
        <v/>
      </c>
      <c r="AB201" s="302" t="str">
        <f t="shared" si="17"/>
        <v/>
      </c>
      <c r="AC201" s="303" t="str">
        <f t="shared" si="14"/>
        <v/>
      </c>
      <c r="AD201" s="317" t="str">
        <f>IF(M201="","",VLOOKUP(M201,'G-6 Hedgerow Data'!$B$3:$AG$15,31,FALSE))</f>
        <v/>
      </c>
      <c r="AE201" s="289" t="str">
        <f t="shared" si="18"/>
        <v/>
      </c>
      <c r="AF201" s="289" t="str">
        <f t="shared" si="19"/>
        <v/>
      </c>
      <c r="AG201" s="305" t="str">
        <f>IFERROR(IF(O201="","",VLOOKUP(AD201,'G-3 Multipliers'!$P$3:$Q$6,2,FALSE)),"")</f>
        <v/>
      </c>
      <c r="AH201" s="295" t="str">
        <f t="shared" si="20"/>
        <v/>
      </c>
      <c r="AI201" s="112"/>
      <c r="AJ201" s="119"/>
      <c r="AK201" s="108"/>
      <c r="AT201" s="30" t="str">
        <f>IFERROR(INDEX('G-6 Hedgerow Data'!$BJ$3:$BJ$15,MATCH(M201,'G-6 Hedgerow Data'!$B$3:$B$15,0)),"")</f>
        <v/>
      </c>
    </row>
    <row r="202" spans="2:46" ht="13.8" x14ac:dyDescent="0.25">
      <c r="B202" s="311" t="str">
        <f>'B-1 On-Site Hedge Baseline'!AK200</f>
        <v/>
      </c>
      <c r="C202" s="301" t="str">
        <f>IF(B202="","",IF(ISNA(VLOOKUP($B202,'B-1 On-Site Hedge Baseline'!$B$1:$L$257,3,FALSE)),"",(VLOOKUP($B202,'B-1 On-Site Hedge Baseline'!$B$1:$L$257,3,FALSE))))</f>
        <v/>
      </c>
      <c r="D202" s="301" t="str">
        <f>IF(B202="","",IF(ISNA(VLOOKUP($B202,'B-1 On-Site Hedge Baseline'!$B$1:$L$257,4,FALSE)),"",(VLOOKUP($B202,'B-1 On-Site Hedge Baseline'!$B$1:$L$257,4,FALSE))))</f>
        <v/>
      </c>
      <c r="E202" s="301" t="str">
        <f>IF(B202="","",IF(ISNA(VLOOKUP($B202,'B-1 On-Site Hedge Baseline'!$B$1:$L$257,5,FALSE)),"",(VLOOKUP($B202,'B-1 On-Site Hedge Baseline'!$B$1:$L$257,5,FALSE))))</f>
        <v/>
      </c>
      <c r="F202" s="301" t="str">
        <f>IF(B202="","",IF(ISNA(VLOOKUP($B202,'B-1 On-Site Hedge Baseline'!$B$1:$L$257,6,FALSE)),"",(VLOOKUP($B202,'B-1 On-Site Hedge Baseline'!$B$1:$L$257,6,FALSE))))</f>
        <v/>
      </c>
      <c r="G202" s="301" t="str">
        <f>IF(B202="","",IF(ISNA(VLOOKUP($B202,'B-1 On-Site Hedge Baseline'!$B$1:$L$257,7,FALSE)),"",(VLOOKUP($B202,'B-1 On-Site Hedge Baseline'!$B$1:$L$257,7,FALSE))))</f>
        <v/>
      </c>
      <c r="H202" s="301" t="str">
        <f>IF(B202="","",IF(ISNA(VLOOKUP($B202,'B-1 On-Site Hedge Baseline'!$B$1:$L$257,8,FALSE)),"",(VLOOKUP($B202,'B-1 On-Site Hedge Baseline'!$B$1:$L$257,8,FALSE))))</f>
        <v/>
      </c>
      <c r="I202" s="301" t="str">
        <f>IF(B202="","",IF(ISNA(VLOOKUP($B202,'B-1 On-Site Hedge Baseline'!$B$1:$L$257,10,FALSE)),"",(VLOOKUP($B202,'B-1 On-Site Hedge Baseline'!$B$1:$L$257,10,FALSE))))</f>
        <v/>
      </c>
      <c r="J202" s="301" t="str">
        <f>IF(B202="","",IF(ISNA(VLOOKUP($B202,'B-1 On-Site Hedge Baseline'!$B$1:$L$257,11,FALSE)),"",(VLOOKUP($B202,'B-1 On-Site Hedge Baseline'!$B$1:$L$257,11,FALSE))))</f>
        <v/>
      </c>
      <c r="K202" s="301" t="str">
        <f>IF(B202="","",IF(ISNA(VLOOKUP($B202,'B-1 On-Site Hedge Baseline'!$B$1:$U$257,13,FALSE)),"",(VLOOKUP($B202,'B-1 On-Site Hedge Baseline'!$B$1:$U$257,13,FALSE))))</f>
        <v/>
      </c>
      <c r="L202" s="305" t="str">
        <f>IF(B202="","",IF(ISNA(VLOOKUP($B202,'B-1 On-Site Hedge Baseline'!$B$1:$U$257,12,FALSE)),"",(VLOOKUP($B202,'B-1 On-Site Hedge Baseline'!$B$1:$U$257,12,FALSE))))</f>
        <v/>
      </c>
      <c r="M202" s="627"/>
      <c r="N202" s="281" t="str">
        <f>IFERROR(IF(B202="","",INDEX('G-6 Hedgerow Data'!$AN$3:$AZ$15,MATCH(C202,'G-6 Hedgerow Data'!$AM$3:$AM$15,0),MATCH(M202,'G-6 Hedgerow Data'!$AN$2:$AZ$2,0))),"")</f>
        <v/>
      </c>
      <c r="O202" s="282" t="str">
        <f t="shared" si="15"/>
        <v/>
      </c>
      <c r="P202" s="335" t="str">
        <f>IF(B202="","",VLOOKUP(B202,'B-1 On-Site Hedge Baseline'!$B$10:T447,16,FALSE))</f>
        <v/>
      </c>
      <c r="Q202" s="281" t="str">
        <f>IF(M202="","",VLOOKUP(M202,'G-6 Hedgerow Data'!$B$2:$AG$15,2,FALSE))</f>
        <v/>
      </c>
      <c r="R202" s="282" t="str">
        <f>IF(M202="","",VLOOKUP(M202,'G-6 Hedgerow Data'!$B$2:$AG$15,3,FALSE))</f>
        <v/>
      </c>
      <c r="S202" s="112"/>
      <c r="T202" s="320" t="str">
        <f>IFERROR(IF(S202="","",IF(AND(M202="Non-native and ornamental hedgerow", S202&lt;&gt;"Poor"),"Not possible ▲", (VLOOKUP(S202,'G-1 All Habitats'!$Z$2:$AA$9,2,FALSE)))),"")</f>
        <v/>
      </c>
      <c r="U202" s="109"/>
      <c r="V202" s="301" t="str">
        <f>IF(U202="","",IF(VLOOKUP(U202,'G-3 Multipliers'!$L$3:$N$6,2,FALSE)=0,"Spatial Data Missing ⚠",VLOOKUP(U202,'G-3 Multipliers'!$L$3:$N$6,2,FALSE)))</f>
        <v/>
      </c>
      <c r="W202" s="305" t="str">
        <f>IF(U202="","",IF(VLOOKUP(U202,'G-3 Multipliers'!$L$3:$N$6,3,FALSE)=0,"Spatial Data Missing ⚠",VLOOKUP(U202,'G-3 Multipliers'!$L$3:$N$6,3,FALSE)))</f>
        <v/>
      </c>
      <c r="X202" s="281" t="str">
        <f>IFERROR(IF(OR(LEFT(O202,5)="Error",LEFT(N202,5)="Error",T202="Error"),"Check Data ⚠",IF(F202&lt;R202,INDEX('G-6 Hedgerow Data'!$S$3:$AE$14,MATCH(C202,'G-6 Hedgerow Data'!$B$3:$B$14,0),MATCH(M202,'G-6 Hedgerow Data'!$S$2:$AE$2,0)),INDEX('G-6 Hedgerow Data'!$K$3:$Q$14,MATCH(M202,'G-6 Hedgerow Data'!$B$3:$B$14,0),MATCH(O202,'G-6 Hedgerow Data'!$K$2:$Q$2,0)))),"")</f>
        <v/>
      </c>
      <c r="Y202" s="137"/>
      <c r="Z202" s="137"/>
      <c r="AA202" s="289" t="str">
        <f t="shared" si="16"/>
        <v/>
      </c>
      <c r="AB202" s="302" t="str">
        <f t="shared" si="17"/>
        <v/>
      </c>
      <c r="AC202" s="303" t="str">
        <f t="shared" si="14"/>
        <v/>
      </c>
      <c r="AD202" s="317" t="str">
        <f>IF(M202="","",VLOOKUP(M202,'G-6 Hedgerow Data'!$B$3:$AG$15,31,FALSE))</f>
        <v/>
      </c>
      <c r="AE202" s="289" t="str">
        <f t="shared" si="18"/>
        <v/>
      </c>
      <c r="AF202" s="289" t="str">
        <f t="shared" si="19"/>
        <v/>
      </c>
      <c r="AG202" s="305" t="str">
        <f>IFERROR(IF(O202="","",VLOOKUP(AD202,'G-3 Multipliers'!$P$3:$Q$6,2,FALSE)),"")</f>
        <v/>
      </c>
      <c r="AH202" s="295" t="str">
        <f t="shared" si="20"/>
        <v/>
      </c>
      <c r="AI202" s="112"/>
      <c r="AJ202" s="119"/>
      <c r="AK202" s="108"/>
      <c r="AT202" s="30" t="str">
        <f>IFERROR(INDEX('G-6 Hedgerow Data'!$BJ$3:$BJ$15,MATCH(M202,'G-6 Hedgerow Data'!$B$3:$B$15,0)),"")</f>
        <v/>
      </c>
    </row>
    <row r="203" spans="2:46" ht="13.8" x14ac:dyDescent="0.25">
      <c r="B203" s="311" t="str">
        <f>'B-1 On-Site Hedge Baseline'!AK201</f>
        <v/>
      </c>
      <c r="C203" s="301" t="str">
        <f>IF(B203="","",IF(ISNA(VLOOKUP($B203,'B-1 On-Site Hedge Baseline'!$B$1:$L$257,3,FALSE)),"",(VLOOKUP($B203,'B-1 On-Site Hedge Baseline'!$B$1:$L$257,3,FALSE))))</f>
        <v/>
      </c>
      <c r="D203" s="301" t="str">
        <f>IF(B203="","",IF(ISNA(VLOOKUP($B203,'B-1 On-Site Hedge Baseline'!$B$1:$L$257,4,FALSE)),"",(VLOOKUP($B203,'B-1 On-Site Hedge Baseline'!$B$1:$L$257,4,FALSE))))</f>
        <v/>
      </c>
      <c r="E203" s="301" t="str">
        <f>IF(B203="","",IF(ISNA(VLOOKUP($B203,'B-1 On-Site Hedge Baseline'!$B$1:$L$257,5,FALSE)),"",(VLOOKUP($B203,'B-1 On-Site Hedge Baseline'!$B$1:$L$257,5,FALSE))))</f>
        <v/>
      </c>
      <c r="F203" s="301" t="str">
        <f>IF(B203="","",IF(ISNA(VLOOKUP($B203,'B-1 On-Site Hedge Baseline'!$B$1:$L$257,6,FALSE)),"",(VLOOKUP($B203,'B-1 On-Site Hedge Baseline'!$B$1:$L$257,6,FALSE))))</f>
        <v/>
      </c>
      <c r="G203" s="301" t="str">
        <f>IF(B203="","",IF(ISNA(VLOOKUP($B203,'B-1 On-Site Hedge Baseline'!$B$1:$L$257,7,FALSE)),"",(VLOOKUP($B203,'B-1 On-Site Hedge Baseline'!$B$1:$L$257,7,FALSE))))</f>
        <v/>
      </c>
      <c r="H203" s="301" t="str">
        <f>IF(B203="","",IF(ISNA(VLOOKUP($B203,'B-1 On-Site Hedge Baseline'!$B$1:$L$257,8,FALSE)),"",(VLOOKUP($B203,'B-1 On-Site Hedge Baseline'!$B$1:$L$257,8,FALSE))))</f>
        <v/>
      </c>
      <c r="I203" s="301" t="str">
        <f>IF(B203="","",IF(ISNA(VLOOKUP($B203,'B-1 On-Site Hedge Baseline'!$B$1:$L$257,10,FALSE)),"",(VLOOKUP($B203,'B-1 On-Site Hedge Baseline'!$B$1:$L$257,10,FALSE))))</f>
        <v/>
      </c>
      <c r="J203" s="301" t="str">
        <f>IF(B203="","",IF(ISNA(VLOOKUP($B203,'B-1 On-Site Hedge Baseline'!$B$1:$L$257,11,FALSE)),"",(VLOOKUP($B203,'B-1 On-Site Hedge Baseline'!$B$1:$L$257,11,FALSE))))</f>
        <v/>
      </c>
      <c r="K203" s="301" t="str">
        <f>IF(B203="","",IF(ISNA(VLOOKUP($B203,'B-1 On-Site Hedge Baseline'!$B$1:$U$257,13,FALSE)),"",(VLOOKUP($B203,'B-1 On-Site Hedge Baseline'!$B$1:$U$257,13,FALSE))))</f>
        <v/>
      </c>
      <c r="L203" s="305" t="str">
        <f>IF(B203="","",IF(ISNA(VLOOKUP($B203,'B-1 On-Site Hedge Baseline'!$B$1:$U$257,12,FALSE)),"",(VLOOKUP($B203,'B-1 On-Site Hedge Baseline'!$B$1:$U$257,12,FALSE))))</f>
        <v/>
      </c>
      <c r="M203" s="627"/>
      <c r="N203" s="281" t="str">
        <f>IFERROR(IF(B203="","",INDEX('G-6 Hedgerow Data'!$AN$3:$AZ$15,MATCH(C203,'G-6 Hedgerow Data'!$AM$3:$AM$15,0),MATCH(M203,'G-6 Hedgerow Data'!$AN$2:$AZ$2,0))),"")</f>
        <v/>
      </c>
      <c r="O203" s="282" t="str">
        <f t="shared" si="15"/>
        <v/>
      </c>
      <c r="P203" s="335" t="str">
        <f>IF(B203="","",VLOOKUP(B203,'B-1 On-Site Hedge Baseline'!$B$10:T448,16,FALSE))</f>
        <v/>
      </c>
      <c r="Q203" s="281" t="str">
        <f>IF(M203="","",VLOOKUP(M203,'G-6 Hedgerow Data'!$B$2:$AG$15,2,FALSE))</f>
        <v/>
      </c>
      <c r="R203" s="282" t="str">
        <f>IF(M203="","",VLOOKUP(M203,'G-6 Hedgerow Data'!$B$2:$AG$15,3,FALSE))</f>
        <v/>
      </c>
      <c r="S203" s="112"/>
      <c r="T203" s="320" t="str">
        <f>IFERROR(IF(S203="","",IF(AND(M203="Non-native and ornamental hedgerow", S203&lt;&gt;"Poor"),"Not possible ▲", (VLOOKUP(S203,'G-1 All Habitats'!$Z$2:$AA$9,2,FALSE)))),"")</f>
        <v/>
      </c>
      <c r="U203" s="109"/>
      <c r="V203" s="301" t="str">
        <f>IF(U203="","",IF(VLOOKUP(U203,'G-3 Multipliers'!$L$3:$N$6,2,FALSE)=0,"Spatial Data Missing ⚠",VLOOKUP(U203,'G-3 Multipliers'!$L$3:$N$6,2,FALSE)))</f>
        <v/>
      </c>
      <c r="W203" s="305" t="str">
        <f>IF(U203="","",IF(VLOOKUP(U203,'G-3 Multipliers'!$L$3:$N$6,3,FALSE)=0,"Spatial Data Missing ⚠",VLOOKUP(U203,'G-3 Multipliers'!$L$3:$N$6,3,FALSE)))</f>
        <v/>
      </c>
      <c r="X203" s="281" t="str">
        <f>IFERROR(IF(OR(LEFT(O203,5)="Error",LEFT(N203,5)="Error",T203="Error"),"Check Data ⚠",IF(F203&lt;R203,INDEX('G-6 Hedgerow Data'!$S$3:$AE$14,MATCH(C203,'G-6 Hedgerow Data'!$B$3:$B$14,0),MATCH(M203,'G-6 Hedgerow Data'!$S$2:$AE$2,0)),INDEX('G-6 Hedgerow Data'!$K$3:$Q$14,MATCH(M203,'G-6 Hedgerow Data'!$B$3:$B$14,0),MATCH(O203,'G-6 Hedgerow Data'!$K$2:$Q$2,0)))),"")</f>
        <v/>
      </c>
      <c r="Y203" s="137"/>
      <c r="Z203" s="137"/>
      <c r="AA203" s="289" t="str">
        <f t="shared" si="16"/>
        <v/>
      </c>
      <c r="AB203" s="302" t="str">
        <f t="shared" si="17"/>
        <v/>
      </c>
      <c r="AC203" s="303" t="str">
        <f t="shared" si="14"/>
        <v/>
      </c>
      <c r="AD203" s="317" t="str">
        <f>IF(M203="","",VLOOKUP(M203,'G-6 Hedgerow Data'!$B$3:$AG$15,31,FALSE))</f>
        <v/>
      </c>
      <c r="AE203" s="289" t="str">
        <f t="shared" si="18"/>
        <v/>
      </c>
      <c r="AF203" s="289" t="str">
        <f t="shared" si="19"/>
        <v/>
      </c>
      <c r="AG203" s="305" t="str">
        <f>IFERROR(IF(O203="","",VLOOKUP(AD203,'G-3 Multipliers'!$P$3:$Q$6,2,FALSE)),"")</f>
        <v/>
      </c>
      <c r="AH203" s="295" t="str">
        <f t="shared" si="20"/>
        <v/>
      </c>
      <c r="AI203" s="112"/>
      <c r="AJ203" s="119"/>
      <c r="AK203" s="108"/>
      <c r="AT203" s="30" t="str">
        <f>IFERROR(INDEX('G-6 Hedgerow Data'!$BJ$3:$BJ$15,MATCH(M203,'G-6 Hedgerow Data'!$B$3:$B$15,0)),"")</f>
        <v/>
      </c>
    </row>
    <row r="204" spans="2:46" ht="13.8" x14ac:dyDescent="0.25">
      <c r="B204" s="311" t="str">
        <f>'B-1 On-Site Hedge Baseline'!AK202</f>
        <v/>
      </c>
      <c r="C204" s="301" t="str">
        <f>IF(B204="","",IF(ISNA(VLOOKUP($B204,'B-1 On-Site Hedge Baseline'!$B$1:$L$257,3,FALSE)),"",(VLOOKUP($B204,'B-1 On-Site Hedge Baseline'!$B$1:$L$257,3,FALSE))))</f>
        <v/>
      </c>
      <c r="D204" s="301" t="str">
        <f>IF(B204="","",IF(ISNA(VLOOKUP($B204,'B-1 On-Site Hedge Baseline'!$B$1:$L$257,4,FALSE)),"",(VLOOKUP($B204,'B-1 On-Site Hedge Baseline'!$B$1:$L$257,4,FALSE))))</f>
        <v/>
      </c>
      <c r="E204" s="301" t="str">
        <f>IF(B204="","",IF(ISNA(VLOOKUP($B204,'B-1 On-Site Hedge Baseline'!$B$1:$L$257,5,FALSE)),"",(VLOOKUP($B204,'B-1 On-Site Hedge Baseline'!$B$1:$L$257,5,FALSE))))</f>
        <v/>
      </c>
      <c r="F204" s="301" t="str">
        <f>IF(B204="","",IF(ISNA(VLOOKUP($B204,'B-1 On-Site Hedge Baseline'!$B$1:$L$257,6,FALSE)),"",(VLOOKUP($B204,'B-1 On-Site Hedge Baseline'!$B$1:$L$257,6,FALSE))))</f>
        <v/>
      </c>
      <c r="G204" s="301" t="str">
        <f>IF(B204="","",IF(ISNA(VLOOKUP($B204,'B-1 On-Site Hedge Baseline'!$B$1:$L$257,7,FALSE)),"",(VLOOKUP($B204,'B-1 On-Site Hedge Baseline'!$B$1:$L$257,7,FALSE))))</f>
        <v/>
      </c>
      <c r="H204" s="301" t="str">
        <f>IF(B204="","",IF(ISNA(VLOOKUP($B204,'B-1 On-Site Hedge Baseline'!$B$1:$L$257,8,FALSE)),"",(VLOOKUP($B204,'B-1 On-Site Hedge Baseline'!$B$1:$L$257,8,FALSE))))</f>
        <v/>
      </c>
      <c r="I204" s="301" t="str">
        <f>IF(B204="","",IF(ISNA(VLOOKUP($B204,'B-1 On-Site Hedge Baseline'!$B$1:$L$257,10,FALSE)),"",(VLOOKUP($B204,'B-1 On-Site Hedge Baseline'!$B$1:$L$257,10,FALSE))))</f>
        <v/>
      </c>
      <c r="J204" s="301" t="str">
        <f>IF(B204="","",IF(ISNA(VLOOKUP($B204,'B-1 On-Site Hedge Baseline'!$B$1:$L$257,11,FALSE)),"",(VLOOKUP($B204,'B-1 On-Site Hedge Baseline'!$B$1:$L$257,11,FALSE))))</f>
        <v/>
      </c>
      <c r="K204" s="301" t="str">
        <f>IF(B204="","",IF(ISNA(VLOOKUP($B204,'B-1 On-Site Hedge Baseline'!$B$1:$U$257,13,FALSE)),"",(VLOOKUP($B204,'B-1 On-Site Hedge Baseline'!$B$1:$U$257,13,FALSE))))</f>
        <v/>
      </c>
      <c r="L204" s="305" t="str">
        <f>IF(B204="","",IF(ISNA(VLOOKUP($B204,'B-1 On-Site Hedge Baseline'!$B$1:$U$257,12,FALSE)),"",(VLOOKUP($B204,'B-1 On-Site Hedge Baseline'!$B$1:$U$257,12,FALSE))))</f>
        <v/>
      </c>
      <c r="M204" s="627"/>
      <c r="N204" s="281" t="str">
        <f>IFERROR(IF(B204="","",INDEX('G-6 Hedgerow Data'!$AN$3:$AZ$15,MATCH(C204,'G-6 Hedgerow Data'!$AM$3:$AM$15,0),MATCH(M204,'G-6 Hedgerow Data'!$AN$2:$AZ$2,0))),"")</f>
        <v/>
      </c>
      <c r="O204" s="282" t="str">
        <f t="shared" si="15"/>
        <v/>
      </c>
      <c r="P204" s="335" t="str">
        <f>IF(B204="","",VLOOKUP(B204,'B-1 On-Site Hedge Baseline'!$B$10:T449,16,FALSE))</f>
        <v/>
      </c>
      <c r="Q204" s="281" t="str">
        <f>IF(M204="","",VLOOKUP(M204,'G-6 Hedgerow Data'!$B$2:$AG$15,2,FALSE))</f>
        <v/>
      </c>
      <c r="R204" s="282" t="str">
        <f>IF(M204="","",VLOOKUP(M204,'G-6 Hedgerow Data'!$B$2:$AG$15,3,FALSE))</f>
        <v/>
      </c>
      <c r="S204" s="112"/>
      <c r="T204" s="320" t="str">
        <f>IFERROR(IF(S204="","",IF(AND(M204="Non-native and ornamental hedgerow", S204&lt;&gt;"Poor"),"Not possible ▲", (VLOOKUP(S204,'G-1 All Habitats'!$Z$2:$AA$9,2,FALSE)))),"")</f>
        <v/>
      </c>
      <c r="U204" s="109"/>
      <c r="V204" s="301" t="str">
        <f>IF(U204="","",IF(VLOOKUP(U204,'G-3 Multipliers'!$L$3:$N$6,2,FALSE)=0,"Spatial Data Missing ⚠",VLOOKUP(U204,'G-3 Multipliers'!$L$3:$N$6,2,FALSE)))</f>
        <v/>
      </c>
      <c r="W204" s="305" t="str">
        <f>IF(U204="","",IF(VLOOKUP(U204,'G-3 Multipliers'!$L$3:$N$6,3,FALSE)=0,"Spatial Data Missing ⚠",VLOOKUP(U204,'G-3 Multipliers'!$L$3:$N$6,3,FALSE)))</f>
        <v/>
      </c>
      <c r="X204" s="281" t="str">
        <f>IFERROR(IF(OR(LEFT(O204,5)="Error",LEFT(N204,5)="Error",T204="Error"),"Check Data ⚠",IF(F204&lt;R204,INDEX('G-6 Hedgerow Data'!$S$3:$AE$14,MATCH(C204,'G-6 Hedgerow Data'!$B$3:$B$14,0),MATCH(M204,'G-6 Hedgerow Data'!$S$2:$AE$2,0)),INDEX('G-6 Hedgerow Data'!$K$3:$Q$14,MATCH(M204,'G-6 Hedgerow Data'!$B$3:$B$14,0),MATCH(O204,'G-6 Hedgerow Data'!$K$2:$Q$2,0)))),"")</f>
        <v/>
      </c>
      <c r="Y204" s="137"/>
      <c r="Z204" s="137"/>
      <c r="AA204" s="289" t="str">
        <f t="shared" si="16"/>
        <v/>
      </c>
      <c r="AB204" s="302" t="str">
        <f t="shared" si="17"/>
        <v/>
      </c>
      <c r="AC204" s="303" t="str">
        <f t="shared" ref="AC204:AC257" si="21">IF(OR(S204="",M204=""),"",IF(LEFT(AB204,5)="Error ▲","Check Data ⚠",IF(AB204="Check Data ⚠","Check Data ⚠",VLOOKUP(AB204,TemporalMultipliers,3,FALSE))))</f>
        <v/>
      </c>
      <c r="AD204" s="317" t="str">
        <f>IF(M204="","",VLOOKUP(M204,'G-6 Hedgerow Data'!$B$3:$AG$15,31,FALSE))</f>
        <v/>
      </c>
      <c r="AE204" s="289" t="str">
        <f t="shared" si="18"/>
        <v/>
      </c>
      <c r="AF204" s="289" t="str">
        <f t="shared" si="19"/>
        <v/>
      </c>
      <c r="AG204" s="305" t="str">
        <f>IFERROR(IF(O204="","",VLOOKUP(AD204,'G-3 Multipliers'!$P$3:$Q$6,2,FALSE)),"")</f>
        <v/>
      </c>
      <c r="AH204" s="295" t="str">
        <f t="shared" si="20"/>
        <v/>
      </c>
      <c r="AI204" s="112"/>
      <c r="AJ204" s="119"/>
      <c r="AK204" s="108"/>
      <c r="AT204" s="30" t="str">
        <f>IFERROR(INDEX('G-6 Hedgerow Data'!$BJ$3:$BJ$15,MATCH(M204,'G-6 Hedgerow Data'!$B$3:$B$15,0)),"")</f>
        <v/>
      </c>
    </row>
    <row r="205" spans="2:46" ht="13.8" x14ac:dyDescent="0.25">
      <c r="B205" s="311" t="str">
        <f>'B-1 On-Site Hedge Baseline'!AK203</f>
        <v/>
      </c>
      <c r="C205" s="301" t="str">
        <f>IF(B205="","",IF(ISNA(VLOOKUP($B205,'B-1 On-Site Hedge Baseline'!$B$1:$L$257,3,FALSE)),"",(VLOOKUP($B205,'B-1 On-Site Hedge Baseline'!$B$1:$L$257,3,FALSE))))</f>
        <v/>
      </c>
      <c r="D205" s="301" t="str">
        <f>IF(B205="","",IF(ISNA(VLOOKUP($B205,'B-1 On-Site Hedge Baseline'!$B$1:$L$257,4,FALSE)),"",(VLOOKUP($B205,'B-1 On-Site Hedge Baseline'!$B$1:$L$257,4,FALSE))))</f>
        <v/>
      </c>
      <c r="E205" s="301" t="str">
        <f>IF(B205="","",IF(ISNA(VLOOKUP($B205,'B-1 On-Site Hedge Baseline'!$B$1:$L$257,5,FALSE)),"",(VLOOKUP($B205,'B-1 On-Site Hedge Baseline'!$B$1:$L$257,5,FALSE))))</f>
        <v/>
      </c>
      <c r="F205" s="301" t="str">
        <f>IF(B205="","",IF(ISNA(VLOOKUP($B205,'B-1 On-Site Hedge Baseline'!$B$1:$L$257,6,FALSE)),"",(VLOOKUP($B205,'B-1 On-Site Hedge Baseline'!$B$1:$L$257,6,FALSE))))</f>
        <v/>
      </c>
      <c r="G205" s="301" t="str">
        <f>IF(B205="","",IF(ISNA(VLOOKUP($B205,'B-1 On-Site Hedge Baseline'!$B$1:$L$257,7,FALSE)),"",(VLOOKUP($B205,'B-1 On-Site Hedge Baseline'!$B$1:$L$257,7,FALSE))))</f>
        <v/>
      </c>
      <c r="H205" s="301" t="str">
        <f>IF(B205="","",IF(ISNA(VLOOKUP($B205,'B-1 On-Site Hedge Baseline'!$B$1:$L$257,8,FALSE)),"",(VLOOKUP($B205,'B-1 On-Site Hedge Baseline'!$B$1:$L$257,8,FALSE))))</f>
        <v/>
      </c>
      <c r="I205" s="301" t="str">
        <f>IF(B205="","",IF(ISNA(VLOOKUP($B205,'B-1 On-Site Hedge Baseline'!$B$1:$L$257,10,FALSE)),"",(VLOOKUP($B205,'B-1 On-Site Hedge Baseline'!$B$1:$L$257,10,FALSE))))</f>
        <v/>
      </c>
      <c r="J205" s="301" t="str">
        <f>IF(B205="","",IF(ISNA(VLOOKUP($B205,'B-1 On-Site Hedge Baseline'!$B$1:$L$257,11,FALSE)),"",(VLOOKUP($B205,'B-1 On-Site Hedge Baseline'!$B$1:$L$257,11,FALSE))))</f>
        <v/>
      </c>
      <c r="K205" s="301" t="str">
        <f>IF(B205="","",IF(ISNA(VLOOKUP($B205,'B-1 On-Site Hedge Baseline'!$B$1:$U$257,13,FALSE)),"",(VLOOKUP($B205,'B-1 On-Site Hedge Baseline'!$B$1:$U$257,13,FALSE))))</f>
        <v/>
      </c>
      <c r="L205" s="305" t="str">
        <f>IF(B205="","",IF(ISNA(VLOOKUP($B205,'B-1 On-Site Hedge Baseline'!$B$1:$U$257,12,FALSE)),"",(VLOOKUP($B205,'B-1 On-Site Hedge Baseline'!$B$1:$U$257,12,FALSE))))</f>
        <v/>
      </c>
      <c r="M205" s="627"/>
      <c r="N205" s="281" t="str">
        <f>IFERROR(IF(B205="","",INDEX('G-6 Hedgerow Data'!$AN$3:$AZ$15,MATCH(C205,'G-6 Hedgerow Data'!$AM$3:$AM$15,0),MATCH(M205,'G-6 Hedgerow Data'!$AN$2:$AZ$2,0))),"")</f>
        <v/>
      </c>
      <c r="O205" s="282" t="str">
        <f t="shared" ref="O205:O257" si="22">IFERROR(IF(B205="","",IF(AND(LEFT(C205,55)&lt;&gt;LEFT(M205,55),N205="High - High"),"Error - Not like for like ▲",IF(H205&gt;T205,"Error - Can not reduce condition ▲",IF(AND(F205=R205,H205=T205),"Error - No enhancement ▲",IF(AND(C205&lt;&gt;M205,F205&lt;R205),"Lower Distinctiveness Habitat"&amp;" - "&amp;S205,G205&amp;" - "&amp;S205))))),"")</f>
        <v/>
      </c>
      <c r="P205" s="335" t="str">
        <f>IF(B205="","",VLOOKUP(B205,'B-1 On-Site Hedge Baseline'!$B$10:T450,16,FALSE))</f>
        <v/>
      </c>
      <c r="Q205" s="281" t="str">
        <f>IF(M205="","",VLOOKUP(M205,'G-6 Hedgerow Data'!$B$2:$AG$15,2,FALSE))</f>
        <v/>
      </c>
      <c r="R205" s="282" t="str">
        <f>IF(M205="","",VLOOKUP(M205,'G-6 Hedgerow Data'!$B$2:$AG$15,3,FALSE))</f>
        <v/>
      </c>
      <c r="S205" s="112"/>
      <c r="T205" s="320" t="str">
        <f>IFERROR(IF(S205="","",IF(AND(M205="Non-native and ornamental hedgerow", S205&lt;&gt;"Poor"),"Not possible ▲", (VLOOKUP(S205,'G-1 All Habitats'!$Z$2:$AA$9,2,FALSE)))),"")</f>
        <v/>
      </c>
      <c r="U205" s="109"/>
      <c r="V205" s="301" t="str">
        <f>IF(U205="","",IF(VLOOKUP(U205,'G-3 Multipliers'!$L$3:$N$6,2,FALSE)=0,"Spatial Data Missing ⚠",VLOOKUP(U205,'G-3 Multipliers'!$L$3:$N$6,2,FALSE)))</f>
        <v/>
      </c>
      <c r="W205" s="305" t="str">
        <f>IF(U205="","",IF(VLOOKUP(U205,'G-3 Multipliers'!$L$3:$N$6,3,FALSE)=0,"Spatial Data Missing ⚠",VLOOKUP(U205,'G-3 Multipliers'!$L$3:$N$6,3,FALSE)))</f>
        <v/>
      </c>
      <c r="X205" s="281" t="str">
        <f>IFERROR(IF(OR(LEFT(O205,5)="Error",LEFT(N205,5)="Error",T205="Error"),"Check Data ⚠",IF(F205&lt;R205,INDEX('G-6 Hedgerow Data'!$S$3:$AE$14,MATCH(C205,'G-6 Hedgerow Data'!$B$3:$B$14,0),MATCH(M205,'G-6 Hedgerow Data'!$S$2:$AE$2,0)),INDEX('G-6 Hedgerow Data'!$K$3:$Q$14,MATCH(M205,'G-6 Hedgerow Data'!$B$3:$B$14,0),MATCH(O205,'G-6 Hedgerow Data'!$K$2:$Q$2,0)))),"")</f>
        <v/>
      </c>
      <c r="Y205" s="137"/>
      <c r="Z205" s="137"/>
      <c r="AA205" s="289" t="str">
        <f t="shared" ref="AA205:AA257" si="23">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02" t="str">
        <f t="shared" ref="AB205:AB257" si="24">IF(X205="","",IF(AA205="Check Data ⚠","Check Data ⚠",IF(Y205="30+",0, IF(X205="Not possible ▲", "Check Data ⚠", IF(Z205="30+","30+",IF(X205+Z205&gt;30,"30+",IF(AA205="Error -both advance and delayed habitat creation ▲","Check Data ⚠",IF(X205+Z205-Y205&gt;0,X205+Z205-Y205,IF(X205-Y205&lt;=0,0,)))))))))</f>
        <v/>
      </c>
      <c r="AC205" s="303" t="str">
        <f t="shared" si="21"/>
        <v/>
      </c>
      <c r="AD205" s="317" t="str">
        <f>IF(M205="","",VLOOKUP(M205,'G-6 Hedgerow Data'!$B$3:$AG$15,31,FALSE))</f>
        <v/>
      </c>
      <c r="AE205" s="289" t="str">
        <f t="shared" ref="AE205:AE257" si="25">IF(M205="","",IF(OR(LEFT(AA205,5)="Error ▲",AA205="Check Data ⚠"),"Check Data ⚠",IF(X205="","",IF($AA205="Check details - Is there evidence that habitat has reached target condition? ⚠","Low Difficulty - only applicable if all habitat created before losses ⚠","Standard difficulty applied"))))</f>
        <v/>
      </c>
      <c r="AF205" s="289" t="str">
        <f t="shared" ref="AF205:AF257" si="26">(IF(AND(AE205="Standard difficulty applied",X205&gt;Y205),AD205, IF(AB205="Check data ⚠", "Check data ⚠", IF(AND(AE205="Low Difficulty - only applicable if all habitat created before losses ⚠",Y205&gt;=X205),"Low",AD205))))</f>
        <v/>
      </c>
      <c r="AG205" s="305" t="str">
        <f>IFERROR(IF(O205="","",VLOOKUP(AD205,'G-3 Multipliers'!$P$3:$Q$6,2,FALSE)),"")</f>
        <v/>
      </c>
      <c r="AH205" s="295" t="str">
        <f t="shared" ref="AH205:AH257" si="27">IFERROR(IF(K205="Check data ⚠", "Check data ⚠", (IF(OR(M205="",S205="",U205=""),"",(((((P205*R205*T205)-(P205*F205*H205))*(AG205*AC205))+(P205*F205*H205))*(W205))))),"")</f>
        <v/>
      </c>
      <c r="AI205" s="112"/>
      <c r="AJ205" s="119"/>
      <c r="AK205" s="108"/>
      <c r="AT205" s="30" t="str">
        <f>IFERROR(INDEX('G-6 Hedgerow Data'!$BJ$3:$BJ$15,MATCH(M205,'G-6 Hedgerow Data'!$B$3:$B$15,0)),"")</f>
        <v/>
      </c>
    </row>
    <row r="206" spans="2:46" ht="13.8" x14ac:dyDescent="0.25">
      <c r="B206" s="311" t="str">
        <f>'B-1 On-Site Hedge Baseline'!AK204</f>
        <v/>
      </c>
      <c r="C206" s="301" t="str">
        <f>IF(B206="","",IF(ISNA(VLOOKUP($B206,'B-1 On-Site Hedge Baseline'!$B$1:$L$257,3,FALSE)),"",(VLOOKUP($B206,'B-1 On-Site Hedge Baseline'!$B$1:$L$257,3,FALSE))))</f>
        <v/>
      </c>
      <c r="D206" s="301" t="str">
        <f>IF(B206="","",IF(ISNA(VLOOKUP($B206,'B-1 On-Site Hedge Baseline'!$B$1:$L$257,4,FALSE)),"",(VLOOKUP($B206,'B-1 On-Site Hedge Baseline'!$B$1:$L$257,4,FALSE))))</f>
        <v/>
      </c>
      <c r="E206" s="301" t="str">
        <f>IF(B206="","",IF(ISNA(VLOOKUP($B206,'B-1 On-Site Hedge Baseline'!$B$1:$L$257,5,FALSE)),"",(VLOOKUP($B206,'B-1 On-Site Hedge Baseline'!$B$1:$L$257,5,FALSE))))</f>
        <v/>
      </c>
      <c r="F206" s="301" t="str">
        <f>IF(B206="","",IF(ISNA(VLOOKUP($B206,'B-1 On-Site Hedge Baseline'!$B$1:$L$257,6,FALSE)),"",(VLOOKUP($B206,'B-1 On-Site Hedge Baseline'!$B$1:$L$257,6,FALSE))))</f>
        <v/>
      </c>
      <c r="G206" s="301" t="str">
        <f>IF(B206="","",IF(ISNA(VLOOKUP($B206,'B-1 On-Site Hedge Baseline'!$B$1:$L$257,7,FALSE)),"",(VLOOKUP($B206,'B-1 On-Site Hedge Baseline'!$B$1:$L$257,7,FALSE))))</f>
        <v/>
      </c>
      <c r="H206" s="301" t="str">
        <f>IF(B206="","",IF(ISNA(VLOOKUP($B206,'B-1 On-Site Hedge Baseline'!$B$1:$L$257,8,FALSE)),"",(VLOOKUP($B206,'B-1 On-Site Hedge Baseline'!$B$1:$L$257,8,FALSE))))</f>
        <v/>
      </c>
      <c r="I206" s="301" t="str">
        <f>IF(B206="","",IF(ISNA(VLOOKUP($B206,'B-1 On-Site Hedge Baseline'!$B$1:$L$257,10,FALSE)),"",(VLOOKUP($B206,'B-1 On-Site Hedge Baseline'!$B$1:$L$257,10,FALSE))))</f>
        <v/>
      </c>
      <c r="J206" s="301" t="str">
        <f>IF(B206="","",IF(ISNA(VLOOKUP($B206,'B-1 On-Site Hedge Baseline'!$B$1:$L$257,11,FALSE)),"",(VLOOKUP($B206,'B-1 On-Site Hedge Baseline'!$B$1:$L$257,11,FALSE))))</f>
        <v/>
      </c>
      <c r="K206" s="301" t="str">
        <f>IF(B206="","",IF(ISNA(VLOOKUP($B206,'B-1 On-Site Hedge Baseline'!$B$1:$U$257,13,FALSE)),"",(VLOOKUP($B206,'B-1 On-Site Hedge Baseline'!$B$1:$U$257,13,FALSE))))</f>
        <v/>
      </c>
      <c r="L206" s="305" t="str">
        <f>IF(B206="","",IF(ISNA(VLOOKUP($B206,'B-1 On-Site Hedge Baseline'!$B$1:$U$257,12,FALSE)),"",(VLOOKUP($B206,'B-1 On-Site Hedge Baseline'!$B$1:$U$257,12,FALSE))))</f>
        <v/>
      </c>
      <c r="M206" s="627"/>
      <c r="N206" s="281" t="str">
        <f>IFERROR(IF(B206="","",INDEX('G-6 Hedgerow Data'!$AN$3:$AZ$15,MATCH(C206,'G-6 Hedgerow Data'!$AM$3:$AM$15,0),MATCH(M206,'G-6 Hedgerow Data'!$AN$2:$AZ$2,0))),"")</f>
        <v/>
      </c>
      <c r="O206" s="282" t="str">
        <f t="shared" si="22"/>
        <v/>
      </c>
      <c r="P206" s="335" t="str">
        <f>IF(B206="","",VLOOKUP(B206,'B-1 On-Site Hedge Baseline'!$B$10:T451,16,FALSE))</f>
        <v/>
      </c>
      <c r="Q206" s="281" t="str">
        <f>IF(M206="","",VLOOKUP(M206,'G-6 Hedgerow Data'!$B$2:$AG$15,2,FALSE))</f>
        <v/>
      </c>
      <c r="R206" s="282" t="str">
        <f>IF(M206="","",VLOOKUP(M206,'G-6 Hedgerow Data'!$B$2:$AG$15,3,FALSE))</f>
        <v/>
      </c>
      <c r="S206" s="112"/>
      <c r="T206" s="320" t="str">
        <f>IFERROR(IF(S206="","",IF(AND(M206="Non-native and ornamental hedgerow", S206&lt;&gt;"Poor"),"Not possible ▲", (VLOOKUP(S206,'G-1 All Habitats'!$Z$2:$AA$9,2,FALSE)))),"")</f>
        <v/>
      </c>
      <c r="U206" s="109"/>
      <c r="V206" s="301" t="str">
        <f>IF(U206="","",IF(VLOOKUP(U206,'G-3 Multipliers'!$L$3:$N$6,2,FALSE)=0,"Spatial Data Missing ⚠",VLOOKUP(U206,'G-3 Multipliers'!$L$3:$N$6,2,FALSE)))</f>
        <v/>
      </c>
      <c r="W206" s="305" t="str">
        <f>IF(U206="","",IF(VLOOKUP(U206,'G-3 Multipliers'!$L$3:$N$6,3,FALSE)=0,"Spatial Data Missing ⚠",VLOOKUP(U206,'G-3 Multipliers'!$L$3:$N$6,3,FALSE)))</f>
        <v/>
      </c>
      <c r="X206" s="281" t="str">
        <f>IFERROR(IF(OR(LEFT(O206,5)="Error",LEFT(N206,5)="Error",T206="Error"),"Check Data ⚠",IF(F206&lt;R206,INDEX('G-6 Hedgerow Data'!$S$3:$AE$14,MATCH(C206,'G-6 Hedgerow Data'!$B$3:$B$14,0),MATCH(M206,'G-6 Hedgerow Data'!$S$2:$AE$2,0)),INDEX('G-6 Hedgerow Data'!$K$3:$Q$14,MATCH(M206,'G-6 Hedgerow Data'!$B$3:$B$14,0),MATCH(O206,'G-6 Hedgerow Data'!$K$2:$Q$2,0)))),"")</f>
        <v/>
      </c>
      <c r="Y206" s="137"/>
      <c r="Z206" s="137"/>
      <c r="AA206" s="289" t="str">
        <f t="shared" si="23"/>
        <v/>
      </c>
      <c r="AB206" s="302" t="str">
        <f t="shared" si="24"/>
        <v/>
      </c>
      <c r="AC206" s="303" t="str">
        <f t="shared" si="21"/>
        <v/>
      </c>
      <c r="AD206" s="317" t="str">
        <f>IF(M206="","",VLOOKUP(M206,'G-6 Hedgerow Data'!$B$3:$AG$15,31,FALSE))</f>
        <v/>
      </c>
      <c r="AE206" s="289" t="str">
        <f t="shared" si="25"/>
        <v/>
      </c>
      <c r="AF206" s="289" t="str">
        <f t="shared" si="26"/>
        <v/>
      </c>
      <c r="AG206" s="305" t="str">
        <f>IFERROR(IF(O206="","",VLOOKUP(AD206,'G-3 Multipliers'!$P$3:$Q$6,2,FALSE)),"")</f>
        <v/>
      </c>
      <c r="AH206" s="295" t="str">
        <f t="shared" si="27"/>
        <v/>
      </c>
      <c r="AI206" s="112"/>
      <c r="AJ206" s="119"/>
      <c r="AK206" s="108"/>
      <c r="AT206" s="30" t="str">
        <f>IFERROR(INDEX('G-6 Hedgerow Data'!$BJ$3:$BJ$15,MATCH(M206,'G-6 Hedgerow Data'!$B$3:$B$15,0)),"")</f>
        <v/>
      </c>
    </row>
    <row r="207" spans="2:46" ht="13.8" x14ac:dyDescent="0.25">
      <c r="B207" s="311" t="str">
        <f>'B-1 On-Site Hedge Baseline'!AK205</f>
        <v/>
      </c>
      <c r="C207" s="301" t="str">
        <f>IF(B207="","",IF(ISNA(VLOOKUP($B207,'B-1 On-Site Hedge Baseline'!$B$1:$L$257,3,FALSE)),"",(VLOOKUP($B207,'B-1 On-Site Hedge Baseline'!$B$1:$L$257,3,FALSE))))</f>
        <v/>
      </c>
      <c r="D207" s="301" t="str">
        <f>IF(B207="","",IF(ISNA(VLOOKUP($B207,'B-1 On-Site Hedge Baseline'!$B$1:$L$257,4,FALSE)),"",(VLOOKUP($B207,'B-1 On-Site Hedge Baseline'!$B$1:$L$257,4,FALSE))))</f>
        <v/>
      </c>
      <c r="E207" s="301" t="str">
        <f>IF(B207="","",IF(ISNA(VLOOKUP($B207,'B-1 On-Site Hedge Baseline'!$B$1:$L$257,5,FALSE)),"",(VLOOKUP($B207,'B-1 On-Site Hedge Baseline'!$B$1:$L$257,5,FALSE))))</f>
        <v/>
      </c>
      <c r="F207" s="301" t="str">
        <f>IF(B207="","",IF(ISNA(VLOOKUP($B207,'B-1 On-Site Hedge Baseline'!$B$1:$L$257,6,FALSE)),"",(VLOOKUP($B207,'B-1 On-Site Hedge Baseline'!$B$1:$L$257,6,FALSE))))</f>
        <v/>
      </c>
      <c r="G207" s="301" t="str">
        <f>IF(B207="","",IF(ISNA(VLOOKUP($B207,'B-1 On-Site Hedge Baseline'!$B$1:$L$257,7,FALSE)),"",(VLOOKUP($B207,'B-1 On-Site Hedge Baseline'!$B$1:$L$257,7,FALSE))))</f>
        <v/>
      </c>
      <c r="H207" s="301" t="str">
        <f>IF(B207="","",IF(ISNA(VLOOKUP($B207,'B-1 On-Site Hedge Baseline'!$B$1:$L$257,8,FALSE)),"",(VLOOKUP($B207,'B-1 On-Site Hedge Baseline'!$B$1:$L$257,8,FALSE))))</f>
        <v/>
      </c>
      <c r="I207" s="301" t="str">
        <f>IF(B207="","",IF(ISNA(VLOOKUP($B207,'B-1 On-Site Hedge Baseline'!$B$1:$L$257,10,FALSE)),"",(VLOOKUP($B207,'B-1 On-Site Hedge Baseline'!$B$1:$L$257,10,FALSE))))</f>
        <v/>
      </c>
      <c r="J207" s="301" t="str">
        <f>IF(B207="","",IF(ISNA(VLOOKUP($B207,'B-1 On-Site Hedge Baseline'!$B$1:$L$257,11,FALSE)),"",(VLOOKUP($B207,'B-1 On-Site Hedge Baseline'!$B$1:$L$257,11,FALSE))))</f>
        <v/>
      </c>
      <c r="K207" s="301" t="str">
        <f>IF(B207="","",IF(ISNA(VLOOKUP($B207,'B-1 On-Site Hedge Baseline'!$B$1:$U$257,13,FALSE)),"",(VLOOKUP($B207,'B-1 On-Site Hedge Baseline'!$B$1:$U$257,13,FALSE))))</f>
        <v/>
      </c>
      <c r="L207" s="305" t="str">
        <f>IF(B207="","",IF(ISNA(VLOOKUP($B207,'B-1 On-Site Hedge Baseline'!$B$1:$U$257,12,FALSE)),"",(VLOOKUP($B207,'B-1 On-Site Hedge Baseline'!$B$1:$U$257,12,FALSE))))</f>
        <v/>
      </c>
      <c r="M207" s="627"/>
      <c r="N207" s="281" t="str">
        <f>IFERROR(IF(B207="","",INDEX('G-6 Hedgerow Data'!$AN$3:$AZ$15,MATCH(C207,'G-6 Hedgerow Data'!$AM$3:$AM$15,0),MATCH(M207,'G-6 Hedgerow Data'!$AN$2:$AZ$2,0))),"")</f>
        <v/>
      </c>
      <c r="O207" s="282" t="str">
        <f t="shared" si="22"/>
        <v/>
      </c>
      <c r="P207" s="335" t="str">
        <f>IF(B207="","",VLOOKUP(B207,'B-1 On-Site Hedge Baseline'!$B$10:T452,16,FALSE))</f>
        <v/>
      </c>
      <c r="Q207" s="281" t="str">
        <f>IF(M207="","",VLOOKUP(M207,'G-6 Hedgerow Data'!$B$2:$AG$15,2,FALSE))</f>
        <v/>
      </c>
      <c r="R207" s="282" t="str">
        <f>IF(M207="","",VLOOKUP(M207,'G-6 Hedgerow Data'!$B$2:$AG$15,3,FALSE))</f>
        <v/>
      </c>
      <c r="S207" s="112"/>
      <c r="T207" s="320" t="str">
        <f>IFERROR(IF(S207="","",IF(AND(M207="Non-native and ornamental hedgerow", S207&lt;&gt;"Poor"),"Not possible ▲", (VLOOKUP(S207,'G-1 All Habitats'!$Z$2:$AA$9,2,FALSE)))),"")</f>
        <v/>
      </c>
      <c r="U207" s="109"/>
      <c r="V207" s="301" t="str">
        <f>IF(U207="","",IF(VLOOKUP(U207,'G-3 Multipliers'!$L$3:$N$6,2,FALSE)=0,"Spatial Data Missing ⚠",VLOOKUP(U207,'G-3 Multipliers'!$L$3:$N$6,2,FALSE)))</f>
        <v/>
      </c>
      <c r="W207" s="305" t="str">
        <f>IF(U207="","",IF(VLOOKUP(U207,'G-3 Multipliers'!$L$3:$N$6,3,FALSE)=0,"Spatial Data Missing ⚠",VLOOKUP(U207,'G-3 Multipliers'!$L$3:$N$6,3,FALSE)))</f>
        <v/>
      </c>
      <c r="X207" s="281" t="str">
        <f>IFERROR(IF(OR(LEFT(O207,5)="Error",LEFT(N207,5)="Error",T207="Error"),"Check Data ⚠",IF(F207&lt;R207,INDEX('G-6 Hedgerow Data'!$S$3:$AE$14,MATCH(C207,'G-6 Hedgerow Data'!$B$3:$B$14,0),MATCH(M207,'G-6 Hedgerow Data'!$S$2:$AE$2,0)),INDEX('G-6 Hedgerow Data'!$K$3:$Q$14,MATCH(M207,'G-6 Hedgerow Data'!$B$3:$B$14,0),MATCH(O207,'G-6 Hedgerow Data'!$K$2:$Q$2,0)))),"")</f>
        <v/>
      </c>
      <c r="Y207" s="137"/>
      <c r="Z207" s="137"/>
      <c r="AA207" s="289" t="str">
        <f t="shared" si="23"/>
        <v/>
      </c>
      <c r="AB207" s="302" t="str">
        <f t="shared" si="24"/>
        <v/>
      </c>
      <c r="AC207" s="303" t="str">
        <f t="shared" si="21"/>
        <v/>
      </c>
      <c r="AD207" s="317" t="str">
        <f>IF(M207="","",VLOOKUP(M207,'G-6 Hedgerow Data'!$B$3:$AG$15,31,FALSE))</f>
        <v/>
      </c>
      <c r="AE207" s="289" t="str">
        <f t="shared" si="25"/>
        <v/>
      </c>
      <c r="AF207" s="289" t="str">
        <f t="shared" si="26"/>
        <v/>
      </c>
      <c r="AG207" s="305" t="str">
        <f>IFERROR(IF(O207="","",VLOOKUP(AD207,'G-3 Multipliers'!$P$3:$Q$6,2,FALSE)),"")</f>
        <v/>
      </c>
      <c r="AH207" s="295" t="str">
        <f t="shared" si="27"/>
        <v/>
      </c>
      <c r="AI207" s="112"/>
      <c r="AJ207" s="119"/>
      <c r="AK207" s="108"/>
      <c r="AT207" s="30" t="str">
        <f>IFERROR(INDEX('G-6 Hedgerow Data'!$BJ$3:$BJ$15,MATCH(M207,'G-6 Hedgerow Data'!$B$3:$B$15,0)),"")</f>
        <v/>
      </c>
    </row>
    <row r="208" spans="2:46" ht="13.8" x14ac:dyDescent="0.25">
      <c r="B208" s="311" t="str">
        <f>'B-1 On-Site Hedge Baseline'!AK206</f>
        <v/>
      </c>
      <c r="C208" s="301" t="str">
        <f>IF(B208="","",IF(ISNA(VLOOKUP($B208,'B-1 On-Site Hedge Baseline'!$B$1:$L$257,3,FALSE)),"",(VLOOKUP($B208,'B-1 On-Site Hedge Baseline'!$B$1:$L$257,3,FALSE))))</f>
        <v/>
      </c>
      <c r="D208" s="301" t="str">
        <f>IF(B208="","",IF(ISNA(VLOOKUP($B208,'B-1 On-Site Hedge Baseline'!$B$1:$L$257,4,FALSE)),"",(VLOOKUP($B208,'B-1 On-Site Hedge Baseline'!$B$1:$L$257,4,FALSE))))</f>
        <v/>
      </c>
      <c r="E208" s="301" t="str">
        <f>IF(B208="","",IF(ISNA(VLOOKUP($B208,'B-1 On-Site Hedge Baseline'!$B$1:$L$257,5,FALSE)),"",(VLOOKUP($B208,'B-1 On-Site Hedge Baseline'!$B$1:$L$257,5,FALSE))))</f>
        <v/>
      </c>
      <c r="F208" s="301" t="str">
        <f>IF(B208="","",IF(ISNA(VLOOKUP($B208,'B-1 On-Site Hedge Baseline'!$B$1:$L$257,6,FALSE)),"",(VLOOKUP($B208,'B-1 On-Site Hedge Baseline'!$B$1:$L$257,6,FALSE))))</f>
        <v/>
      </c>
      <c r="G208" s="301" t="str">
        <f>IF(B208="","",IF(ISNA(VLOOKUP($B208,'B-1 On-Site Hedge Baseline'!$B$1:$L$257,7,FALSE)),"",(VLOOKUP($B208,'B-1 On-Site Hedge Baseline'!$B$1:$L$257,7,FALSE))))</f>
        <v/>
      </c>
      <c r="H208" s="301" t="str">
        <f>IF(B208="","",IF(ISNA(VLOOKUP($B208,'B-1 On-Site Hedge Baseline'!$B$1:$L$257,8,FALSE)),"",(VLOOKUP($B208,'B-1 On-Site Hedge Baseline'!$B$1:$L$257,8,FALSE))))</f>
        <v/>
      </c>
      <c r="I208" s="301" t="str">
        <f>IF(B208="","",IF(ISNA(VLOOKUP($B208,'B-1 On-Site Hedge Baseline'!$B$1:$L$257,10,FALSE)),"",(VLOOKUP($B208,'B-1 On-Site Hedge Baseline'!$B$1:$L$257,10,FALSE))))</f>
        <v/>
      </c>
      <c r="J208" s="301" t="str">
        <f>IF(B208="","",IF(ISNA(VLOOKUP($B208,'B-1 On-Site Hedge Baseline'!$B$1:$L$257,11,FALSE)),"",(VLOOKUP($B208,'B-1 On-Site Hedge Baseline'!$B$1:$L$257,11,FALSE))))</f>
        <v/>
      </c>
      <c r="K208" s="301" t="str">
        <f>IF(B208="","",IF(ISNA(VLOOKUP($B208,'B-1 On-Site Hedge Baseline'!$B$1:$U$257,13,FALSE)),"",(VLOOKUP($B208,'B-1 On-Site Hedge Baseline'!$B$1:$U$257,13,FALSE))))</f>
        <v/>
      </c>
      <c r="L208" s="305" t="str">
        <f>IF(B208="","",IF(ISNA(VLOOKUP($B208,'B-1 On-Site Hedge Baseline'!$B$1:$U$257,12,FALSE)),"",(VLOOKUP($B208,'B-1 On-Site Hedge Baseline'!$B$1:$U$257,12,FALSE))))</f>
        <v/>
      </c>
      <c r="M208" s="627"/>
      <c r="N208" s="281" t="str">
        <f>IFERROR(IF(B208="","",INDEX('G-6 Hedgerow Data'!$AN$3:$AZ$15,MATCH(C208,'G-6 Hedgerow Data'!$AM$3:$AM$15,0),MATCH(M208,'G-6 Hedgerow Data'!$AN$2:$AZ$2,0))),"")</f>
        <v/>
      </c>
      <c r="O208" s="282" t="str">
        <f t="shared" si="22"/>
        <v/>
      </c>
      <c r="P208" s="335" t="str">
        <f>IF(B208="","",VLOOKUP(B208,'B-1 On-Site Hedge Baseline'!$B$10:T453,16,FALSE))</f>
        <v/>
      </c>
      <c r="Q208" s="281" t="str">
        <f>IF(M208="","",VLOOKUP(M208,'G-6 Hedgerow Data'!$B$2:$AG$15,2,FALSE))</f>
        <v/>
      </c>
      <c r="R208" s="282" t="str">
        <f>IF(M208="","",VLOOKUP(M208,'G-6 Hedgerow Data'!$B$2:$AG$15,3,FALSE))</f>
        <v/>
      </c>
      <c r="S208" s="112"/>
      <c r="T208" s="320" t="str">
        <f>IFERROR(IF(S208="","",IF(AND(M208="Non-native and ornamental hedgerow", S208&lt;&gt;"Poor"),"Not possible ▲", (VLOOKUP(S208,'G-1 All Habitats'!$Z$2:$AA$9,2,FALSE)))),"")</f>
        <v/>
      </c>
      <c r="U208" s="109"/>
      <c r="V208" s="301" t="str">
        <f>IF(U208="","",IF(VLOOKUP(U208,'G-3 Multipliers'!$L$3:$N$6,2,FALSE)=0,"Spatial Data Missing ⚠",VLOOKUP(U208,'G-3 Multipliers'!$L$3:$N$6,2,FALSE)))</f>
        <v/>
      </c>
      <c r="W208" s="305" t="str">
        <f>IF(U208="","",IF(VLOOKUP(U208,'G-3 Multipliers'!$L$3:$N$6,3,FALSE)=0,"Spatial Data Missing ⚠",VLOOKUP(U208,'G-3 Multipliers'!$L$3:$N$6,3,FALSE)))</f>
        <v/>
      </c>
      <c r="X208" s="281" t="str">
        <f>IFERROR(IF(OR(LEFT(O208,5)="Error",LEFT(N208,5)="Error",T208="Error"),"Check Data ⚠",IF(F208&lt;R208,INDEX('G-6 Hedgerow Data'!$S$3:$AE$14,MATCH(C208,'G-6 Hedgerow Data'!$B$3:$B$14,0),MATCH(M208,'G-6 Hedgerow Data'!$S$2:$AE$2,0)),INDEX('G-6 Hedgerow Data'!$K$3:$Q$14,MATCH(M208,'G-6 Hedgerow Data'!$B$3:$B$14,0),MATCH(O208,'G-6 Hedgerow Data'!$K$2:$Q$2,0)))),"")</f>
        <v/>
      </c>
      <c r="Y208" s="137"/>
      <c r="Z208" s="137"/>
      <c r="AA208" s="289" t="str">
        <f t="shared" si="23"/>
        <v/>
      </c>
      <c r="AB208" s="302" t="str">
        <f t="shared" si="24"/>
        <v/>
      </c>
      <c r="AC208" s="303" t="str">
        <f t="shared" si="21"/>
        <v/>
      </c>
      <c r="AD208" s="317" t="str">
        <f>IF(M208="","",VLOOKUP(M208,'G-6 Hedgerow Data'!$B$3:$AG$15,31,FALSE))</f>
        <v/>
      </c>
      <c r="AE208" s="289" t="str">
        <f t="shared" si="25"/>
        <v/>
      </c>
      <c r="AF208" s="289" t="str">
        <f t="shared" si="26"/>
        <v/>
      </c>
      <c r="AG208" s="305" t="str">
        <f>IFERROR(IF(O208="","",VLOOKUP(AD208,'G-3 Multipliers'!$P$3:$Q$6,2,FALSE)),"")</f>
        <v/>
      </c>
      <c r="AH208" s="295" t="str">
        <f t="shared" si="27"/>
        <v/>
      </c>
      <c r="AI208" s="112"/>
      <c r="AJ208" s="119"/>
      <c r="AK208" s="108"/>
      <c r="AT208" s="30" t="str">
        <f>IFERROR(INDEX('G-6 Hedgerow Data'!$BJ$3:$BJ$15,MATCH(M208,'G-6 Hedgerow Data'!$B$3:$B$15,0)),"")</f>
        <v/>
      </c>
    </row>
    <row r="209" spans="2:46" ht="13.8" x14ac:dyDescent="0.25">
      <c r="B209" s="311" t="str">
        <f>'B-1 On-Site Hedge Baseline'!AK207</f>
        <v/>
      </c>
      <c r="C209" s="301" t="str">
        <f>IF(B209="","",IF(ISNA(VLOOKUP($B209,'B-1 On-Site Hedge Baseline'!$B$1:$L$257,3,FALSE)),"",(VLOOKUP($B209,'B-1 On-Site Hedge Baseline'!$B$1:$L$257,3,FALSE))))</f>
        <v/>
      </c>
      <c r="D209" s="301" t="str">
        <f>IF(B209="","",IF(ISNA(VLOOKUP($B209,'B-1 On-Site Hedge Baseline'!$B$1:$L$257,4,FALSE)),"",(VLOOKUP($B209,'B-1 On-Site Hedge Baseline'!$B$1:$L$257,4,FALSE))))</f>
        <v/>
      </c>
      <c r="E209" s="301" t="str">
        <f>IF(B209="","",IF(ISNA(VLOOKUP($B209,'B-1 On-Site Hedge Baseline'!$B$1:$L$257,5,FALSE)),"",(VLOOKUP($B209,'B-1 On-Site Hedge Baseline'!$B$1:$L$257,5,FALSE))))</f>
        <v/>
      </c>
      <c r="F209" s="301" t="str">
        <f>IF(B209="","",IF(ISNA(VLOOKUP($B209,'B-1 On-Site Hedge Baseline'!$B$1:$L$257,6,FALSE)),"",(VLOOKUP($B209,'B-1 On-Site Hedge Baseline'!$B$1:$L$257,6,FALSE))))</f>
        <v/>
      </c>
      <c r="G209" s="301" t="str">
        <f>IF(B209="","",IF(ISNA(VLOOKUP($B209,'B-1 On-Site Hedge Baseline'!$B$1:$L$257,7,FALSE)),"",(VLOOKUP($B209,'B-1 On-Site Hedge Baseline'!$B$1:$L$257,7,FALSE))))</f>
        <v/>
      </c>
      <c r="H209" s="301" t="str">
        <f>IF(B209="","",IF(ISNA(VLOOKUP($B209,'B-1 On-Site Hedge Baseline'!$B$1:$L$257,8,FALSE)),"",(VLOOKUP($B209,'B-1 On-Site Hedge Baseline'!$B$1:$L$257,8,FALSE))))</f>
        <v/>
      </c>
      <c r="I209" s="301" t="str">
        <f>IF(B209="","",IF(ISNA(VLOOKUP($B209,'B-1 On-Site Hedge Baseline'!$B$1:$L$257,10,FALSE)),"",(VLOOKUP($B209,'B-1 On-Site Hedge Baseline'!$B$1:$L$257,10,FALSE))))</f>
        <v/>
      </c>
      <c r="J209" s="301" t="str">
        <f>IF(B209="","",IF(ISNA(VLOOKUP($B209,'B-1 On-Site Hedge Baseline'!$B$1:$L$257,11,FALSE)),"",(VLOOKUP($B209,'B-1 On-Site Hedge Baseline'!$B$1:$L$257,11,FALSE))))</f>
        <v/>
      </c>
      <c r="K209" s="301" t="str">
        <f>IF(B209="","",IF(ISNA(VLOOKUP($B209,'B-1 On-Site Hedge Baseline'!$B$1:$U$257,13,FALSE)),"",(VLOOKUP($B209,'B-1 On-Site Hedge Baseline'!$B$1:$U$257,13,FALSE))))</f>
        <v/>
      </c>
      <c r="L209" s="305" t="str">
        <f>IF(B209="","",IF(ISNA(VLOOKUP($B209,'B-1 On-Site Hedge Baseline'!$B$1:$U$257,12,FALSE)),"",(VLOOKUP($B209,'B-1 On-Site Hedge Baseline'!$B$1:$U$257,12,FALSE))))</f>
        <v/>
      </c>
      <c r="M209" s="627"/>
      <c r="N209" s="281" t="str">
        <f>IFERROR(IF(B209="","",INDEX('G-6 Hedgerow Data'!$AN$3:$AZ$15,MATCH(C209,'G-6 Hedgerow Data'!$AM$3:$AM$15,0),MATCH(M209,'G-6 Hedgerow Data'!$AN$2:$AZ$2,0))),"")</f>
        <v/>
      </c>
      <c r="O209" s="282" t="str">
        <f t="shared" si="22"/>
        <v/>
      </c>
      <c r="P209" s="335" t="str">
        <f>IF(B209="","",VLOOKUP(B209,'B-1 On-Site Hedge Baseline'!$B$10:T454,16,FALSE))</f>
        <v/>
      </c>
      <c r="Q209" s="281" t="str">
        <f>IF(M209="","",VLOOKUP(M209,'G-6 Hedgerow Data'!$B$2:$AG$15,2,FALSE))</f>
        <v/>
      </c>
      <c r="R209" s="282" t="str">
        <f>IF(M209="","",VLOOKUP(M209,'G-6 Hedgerow Data'!$B$2:$AG$15,3,FALSE))</f>
        <v/>
      </c>
      <c r="S209" s="112"/>
      <c r="T209" s="320" t="str">
        <f>IFERROR(IF(S209="","",IF(AND(M209="Non-native and ornamental hedgerow", S209&lt;&gt;"Poor"),"Not possible ▲", (VLOOKUP(S209,'G-1 All Habitats'!$Z$2:$AA$9,2,FALSE)))),"")</f>
        <v/>
      </c>
      <c r="U209" s="109"/>
      <c r="V209" s="301" t="str">
        <f>IF(U209="","",IF(VLOOKUP(U209,'G-3 Multipliers'!$L$3:$N$6,2,FALSE)=0,"Spatial Data Missing ⚠",VLOOKUP(U209,'G-3 Multipliers'!$L$3:$N$6,2,FALSE)))</f>
        <v/>
      </c>
      <c r="W209" s="305" t="str">
        <f>IF(U209="","",IF(VLOOKUP(U209,'G-3 Multipliers'!$L$3:$N$6,3,FALSE)=0,"Spatial Data Missing ⚠",VLOOKUP(U209,'G-3 Multipliers'!$L$3:$N$6,3,FALSE)))</f>
        <v/>
      </c>
      <c r="X209" s="281" t="str">
        <f>IFERROR(IF(OR(LEFT(O209,5)="Error",LEFT(N209,5)="Error",T209="Error"),"Check Data ⚠",IF(F209&lt;R209,INDEX('G-6 Hedgerow Data'!$S$3:$AE$14,MATCH(C209,'G-6 Hedgerow Data'!$B$3:$B$14,0),MATCH(M209,'G-6 Hedgerow Data'!$S$2:$AE$2,0)),INDEX('G-6 Hedgerow Data'!$K$3:$Q$14,MATCH(M209,'G-6 Hedgerow Data'!$B$3:$B$14,0),MATCH(O209,'G-6 Hedgerow Data'!$K$2:$Q$2,0)))),"")</f>
        <v/>
      </c>
      <c r="Y209" s="137"/>
      <c r="Z209" s="137"/>
      <c r="AA209" s="289" t="str">
        <f t="shared" si="23"/>
        <v/>
      </c>
      <c r="AB209" s="302" t="str">
        <f t="shared" si="24"/>
        <v/>
      </c>
      <c r="AC209" s="303" t="str">
        <f t="shared" si="21"/>
        <v/>
      </c>
      <c r="AD209" s="317" t="str">
        <f>IF(M209="","",VLOOKUP(M209,'G-6 Hedgerow Data'!$B$3:$AG$15,31,FALSE))</f>
        <v/>
      </c>
      <c r="AE209" s="289" t="str">
        <f t="shared" si="25"/>
        <v/>
      </c>
      <c r="AF209" s="289" t="str">
        <f t="shared" si="26"/>
        <v/>
      </c>
      <c r="AG209" s="305" t="str">
        <f>IFERROR(IF(O209="","",VLOOKUP(AD209,'G-3 Multipliers'!$P$3:$Q$6,2,FALSE)),"")</f>
        <v/>
      </c>
      <c r="AH209" s="295" t="str">
        <f t="shared" si="27"/>
        <v/>
      </c>
      <c r="AI209" s="112"/>
      <c r="AJ209" s="119"/>
      <c r="AK209" s="108"/>
      <c r="AT209" s="30" t="str">
        <f>IFERROR(INDEX('G-6 Hedgerow Data'!$BJ$3:$BJ$15,MATCH(M209,'G-6 Hedgerow Data'!$B$3:$B$15,0)),"")</f>
        <v/>
      </c>
    </row>
    <row r="210" spans="2:46" ht="13.8" x14ac:dyDescent="0.25">
      <c r="B210" s="311" t="str">
        <f>'B-1 On-Site Hedge Baseline'!AK208</f>
        <v/>
      </c>
      <c r="C210" s="301" t="str">
        <f>IF(B210="","",IF(ISNA(VLOOKUP($B210,'B-1 On-Site Hedge Baseline'!$B$1:$L$257,3,FALSE)),"",(VLOOKUP($B210,'B-1 On-Site Hedge Baseline'!$B$1:$L$257,3,FALSE))))</f>
        <v/>
      </c>
      <c r="D210" s="301" t="str">
        <f>IF(B210="","",IF(ISNA(VLOOKUP($B210,'B-1 On-Site Hedge Baseline'!$B$1:$L$257,4,FALSE)),"",(VLOOKUP($B210,'B-1 On-Site Hedge Baseline'!$B$1:$L$257,4,FALSE))))</f>
        <v/>
      </c>
      <c r="E210" s="301" t="str">
        <f>IF(B210="","",IF(ISNA(VLOOKUP($B210,'B-1 On-Site Hedge Baseline'!$B$1:$L$257,5,FALSE)),"",(VLOOKUP($B210,'B-1 On-Site Hedge Baseline'!$B$1:$L$257,5,FALSE))))</f>
        <v/>
      </c>
      <c r="F210" s="301" t="str">
        <f>IF(B210="","",IF(ISNA(VLOOKUP($B210,'B-1 On-Site Hedge Baseline'!$B$1:$L$257,6,FALSE)),"",(VLOOKUP($B210,'B-1 On-Site Hedge Baseline'!$B$1:$L$257,6,FALSE))))</f>
        <v/>
      </c>
      <c r="G210" s="301" t="str">
        <f>IF(B210="","",IF(ISNA(VLOOKUP($B210,'B-1 On-Site Hedge Baseline'!$B$1:$L$257,7,FALSE)),"",(VLOOKUP($B210,'B-1 On-Site Hedge Baseline'!$B$1:$L$257,7,FALSE))))</f>
        <v/>
      </c>
      <c r="H210" s="301" t="str">
        <f>IF(B210="","",IF(ISNA(VLOOKUP($B210,'B-1 On-Site Hedge Baseline'!$B$1:$L$257,8,FALSE)),"",(VLOOKUP($B210,'B-1 On-Site Hedge Baseline'!$B$1:$L$257,8,FALSE))))</f>
        <v/>
      </c>
      <c r="I210" s="301" t="str">
        <f>IF(B210="","",IF(ISNA(VLOOKUP($B210,'B-1 On-Site Hedge Baseline'!$B$1:$L$257,10,FALSE)),"",(VLOOKUP($B210,'B-1 On-Site Hedge Baseline'!$B$1:$L$257,10,FALSE))))</f>
        <v/>
      </c>
      <c r="J210" s="301" t="str">
        <f>IF(B210="","",IF(ISNA(VLOOKUP($B210,'B-1 On-Site Hedge Baseline'!$B$1:$L$257,11,FALSE)),"",(VLOOKUP($B210,'B-1 On-Site Hedge Baseline'!$B$1:$L$257,11,FALSE))))</f>
        <v/>
      </c>
      <c r="K210" s="301" t="str">
        <f>IF(B210="","",IF(ISNA(VLOOKUP($B210,'B-1 On-Site Hedge Baseline'!$B$1:$U$257,13,FALSE)),"",(VLOOKUP($B210,'B-1 On-Site Hedge Baseline'!$B$1:$U$257,13,FALSE))))</f>
        <v/>
      </c>
      <c r="L210" s="305" t="str">
        <f>IF(B210="","",IF(ISNA(VLOOKUP($B210,'B-1 On-Site Hedge Baseline'!$B$1:$U$257,12,FALSE)),"",(VLOOKUP($B210,'B-1 On-Site Hedge Baseline'!$B$1:$U$257,12,FALSE))))</f>
        <v/>
      </c>
      <c r="M210" s="627"/>
      <c r="N210" s="281" t="str">
        <f>IFERROR(IF(B210="","",INDEX('G-6 Hedgerow Data'!$AN$3:$AZ$15,MATCH(C210,'G-6 Hedgerow Data'!$AM$3:$AM$15,0),MATCH(M210,'G-6 Hedgerow Data'!$AN$2:$AZ$2,0))),"")</f>
        <v/>
      </c>
      <c r="O210" s="282" t="str">
        <f t="shared" si="22"/>
        <v/>
      </c>
      <c r="P210" s="335" t="str">
        <f>IF(B210="","",VLOOKUP(B210,'B-1 On-Site Hedge Baseline'!$B$10:T455,16,FALSE))</f>
        <v/>
      </c>
      <c r="Q210" s="281" t="str">
        <f>IF(M210="","",VLOOKUP(M210,'G-6 Hedgerow Data'!$B$2:$AG$15,2,FALSE))</f>
        <v/>
      </c>
      <c r="R210" s="282" t="str">
        <f>IF(M210="","",VLOOKUP(M210,'G-6 Hedgerow Data'!$B$2:$AG$15,3,FALSE))</f>
        <v/>
      </c>
      <c r="S210" s="112"/>
      <c r="T210" s="320" t="str">
        <f>IFERROR(IF(S210="","",IF(AND(M210="Non-native and ornamental hedgerow", S210&lt;&gt;"Poor"),"Not possible ▲", (VLOOKUP(S210,'G-1 All Habitats'!$Z$2:$AA$9,2,FALSE)))),"")</f>
        <v/>
      </c>
      <c r="U210" s="109"/>
      <c r="V210" s="301" t="str">
        <f>IF(U210="","",IF(VLOOKUP(U210,'G-3 Multipliers'!$L$3:$N$6,2,FALSE)=0,"Spatial Data Missing ⚠",VLOOKUP(U210,'G-3 Multipliers'!$L$3:$N$6,2,FALSE)))</f>
        <v/>
      </c>
      <c r="W210" s="305" t="str">
        <f>IF(U210="","",IF(VLOOKUP(U210,'G-3 Multipliers'!$L$3:$N$6,3,FALSE)=0,"Spatial Data Missing ⚠",VLOOKUP(U210,'G-3 Multipliers'!$L$3:$N$6,3,FALSE)))</f>
        <v/>
      </c>
      <c r="X210" s="281" t="str">
        <f>IFERROR(IF(OR(LEFT(O210,5)="Error",LEFT(N210,5)="Error",T210="Error"),"Check Data ⚠",IF(F210&lt;R210,INDEX('G-6 Hedgerow Data'!$S$3:$AE$14,MATCH(C210,'G-6 Hedgerow Data'!$B$3:$B$14,0),MATCH(M210,'G-6 Hedgerow Data'!$S$2:$AE$2,0)),INDEX('G-6 Hedgerow Data'!$K$3:$Q$14,MATCH(M210,'G-6 Hedgerow Data'!$B$3:$B$14,0),MATCH(O210,'G-6 Hedgerow Data'!$K$2:$Q$2,0)))),"")</f>
        <v/>
      </c>
      <c r="Y210" s="137"/>
      <c r="Z210" s="137"/>
      <c r="AA210" s="289" t="str">
        <f t="shared" si="23"/>
        <v/>
      </c>
      <c r="AB210" s="302" t="str">
        <f t="shared" si="24"/>
        <v/>
      </c>
      <c r="AC210" s="303" t="str">
        <f t="shared" si="21"/>
        <v/>
      </c>
      <c r="AD210" s="317" t="str">
        <f>IF(M210="","",VLOOKUP(M210,'G-6 Hedgerow Data'!$B$3:$AG$15,31,FALSE))</f>
        <v/>
      </c>
      <c r="AE210" s="289" t="str">
        <f t="shared" si="25"/>
        <v/>
      </c>
      <c r="AF210" s="289" t="str">
        <f t="shared" si="26"/>
        <v/>
      </c>
      <c r="AG210" s="305" t="str">
        <f>IFERROR(IF(O210="","",VLOOKUP(AD210,'G-3 Multipliers'!$P$3:$Q$6,2,FALSE)),"")</f>
        <v/>
      </c>
      <c r="AH210" s="295" t="str">
        <f t="shared" si="27"/>
        <v/>
      </c>
      <c r="AI210" s="112"/>
      <c r="AJ210" s="119"/>
      <c r="AK210" s="108"/>
      <c r="AT210" s="30" t="str">
        <f>IFERROR(INDEX('G-6 Hedgerow Data'!$BJ$3:$BJ$15,MATCH(M210,'G-6 Hedgerow Data'!$B$3:$B$15,0)),"")</f>
        <v/>
      </c>
    </row>
    <row r="211" spans="2:46" ht="13.8" x14ac:dyDescent="0.25">
      <c r="B211" s="311" t="str">
        <f>'B-1 On-Site Hedge Baseline'!AK209</f>
        <v/>
      </c>
      <c r="C211" s="301" t="str">
        <f>IF(B211="","",IF(ISNA(VLOOKUP($B211,'B-1 On-Site Hedge Baseline'!$B$1:$L$257,3,FALSE)),"",(VLOOKUP($B211,'B-1 On-Site Hedge Baseline'!$B$1:$L$257,3,FALSE))))</f>
        <v/>
      </c>
      <c r="D211" s="301" t="str">
        <f>IF(B211="","",IF(ISNA(VLOOKUP($B211,'B-1 On-Site Hedge Baseline'!$B$1:$L$257,4,FALSE)),"",(VLOOKUP($B211,'B-1 On-Site Hedge Baseline'!$B$1:$L$257,4,FALSE))))</f>
        <v/>
      </c>
      <c r="E211" s="301" t="str">
        <f>IF(B211="","",IF(ISNA(VLOOKUP($B211,'B-1 On-Site Hedge Baseline'!$B$1:$L$257,5,FALSE)),"",(VLOOKUP($B211,'B-1 On-Site Hedge Baseline'!$B$1:$L$257,5,FALSE))))</f>
        <v/>
      </c>
      <c r="F211" s="301" t="str">
        <f>IF(B211="","",IF(ISNA(VLOOKUP($B211,'B-1 On-Site Hedge Baseline'!$B$1:$L$257,6,FALSE)),"",(VLOOKUP($B211,'B-1 On-Site Hedge Baseline'!$B$1:$L$257,6,FALSE))))</f>
        <v/>
      </c>
      <c r="G211" s="301" t="str">
        <f>IF(B211="","",IF(ISNA(VLOOKUP($B211,'B-1 On-Site Hedge Baseline'!$B$1:$L$257,7,FALSE)),"",(VLOOKUP($B211,'B-1 On-Site Hedge Baseline'!$B$1:$L$257,7,FALSE))))</f>
        <v/>
      </c>
      <c r="H211" s="301" t="str">
        <f>IF(B211="","",IF(ISNA(VLOOKUP($B211,'B-1 On-Site Hedge Baseline'!$B$1:$L$257,8,FALSE)),"",(VLOOKUP($B211,'B-1 On-Site Hedge Baseline'!$B$1:$L$257,8,FALSE))))</f>
        <v/>
      </c>
      <c r="I211" s="301" t="str">
        <f>IF(B211="","",IF(ISNA(VLOOKUP($B211,'B-1 On-Site Hedge Baseline'!$B$1:$L$257,10,FALSE)),"",(VLOOKUP($B211,'B-1 On-Site Hedge Baseline'!$B$1:$L$257,10,FALSE))))</f>
        <v/>
      </c>
      <c r="J211" s="301" t="str">
        <f>IF(B211="","",IF(ISNA(VLOOKUP($B211,'B-1 On-Site Hedge Baseline'!$B$1:$L$257,11,FALSE)),"",(VLOOKUP($B211,'B-1 On-Site Hedge Baseline'!$B$1:$L$257,11,FALSE))))</f>
        <v/>
      </c>
      <c r="K211" s="301" t="str">
        <f>IF(B211="","",IF(ISNA(VLOOKUP($B211,'B-1 On-Site Hedge Baseline'!$B$1:$U$257,13,FALSE)),"",(VLOOKUP($B211,'B-1 On-Site Hedge Baseline'!$B$1:$U$257,13,FALSE))))</f>
        <v/>
      </c>
      <c r="L211" s="305" t="str">
        <f>IF(B211="","",IF(ISNA(VLOOKUP($B211,'B-1 On-Site Hedge Baseline'!$B$1:$U$257,12,FALSE)),"",(VLOOKUP($B211,'B-1 On-Site Hedge Baseline'!$B$1:$U$257,12,FALSE))))</f>
        <v/>
      </c>
      <c r="M211" s="627"/>
      <c r="N211" s="281" t="str">
        <f>IFERROR(IF(B211="","",INDEX('G-6 Hedgerow Data'!$AN$3:$AZ$15,MATCH(C211,'G-6 Hedgerow Data'!$AM$3:$AM$15,0),MATCH(M211,'G-6 Hedgerow Data'!$AN$2:$AZ$2,0))),"")</f>
        <v/>
      </c>
      <c r="O211" s="282" t="str">
        <f t="shared" si="22"/>
        <v/>
      </c>
      <c r="P211" s="335" t="str">
        <f>IF(B211="","",VLOOKUP(B211,'B-1 On-Site Hedge Baseline'!$B$10:T456,16,FALSE))</f>
        <v/>
      </c>
      <c r="Q211" s="281" t="str">
        <f>IF(M211="","",VLOOKUP(M211,'G-6 Hedgerow Data'!$B$2:$AG$15,2,FALSE))</f>
        <v/>
      </c>
      <c r="R211" s="282" t="str">
        <f>IF(M211="","",VLOOKUP(M211,'G-6 Hedgerow Data'!$B$2:$AG$15,3,FALSE))</f>
        <v/>
      </c>
      <c r="S211" s="112"/>
      <c r="T211" s="320" t="str">
        <f>IFERROR(IF(S211="","",IF(AND(M211="Non-native and ornamental hedgerow", S211&lt;&gt;"Poor"),"Not possible ▲", (VLOOKUP(S211,'G-1 All Habitats'!$Z$2:$AA$9,2,FALSE)))),"")</f>
        <v/>
      </c>
      <c r="U211" s="109"/>
      <c r="V211" s="301" t="str">
        <f>IF(U211="","",IF(VLOOKUP(U211,'G-3 Multipliers'!$L$3:$N$6,2,FALSE)=0,"Spatial Data Missing ⚠",VLOOKUP(U211,'G-3 Multipliers'!$L$3:$N$6,2,FALSE)))</f>
        <v/>
      </c>
      <c r="W211" s="305" t="str">
        <f>IF(U211="","",IF(VLOOKUP(U211,'G-3 Multipliers'!$L$3:$N$6,3,FALSE)=0,"Spatial Data Missing ⚠",VLOOKUP(U211,'G-3 Multipliers'!$L$3:$N$6,3,FALSE)))</f>
        <v/>
      </c>
      <c r="X211" s="281" t="str">
        <f>IFERROR(IF(OR(LEFT(O211,5)="Error",LEFT(N211,5)="Error",T211="Error"),"Check Data ⚠",IF(F211&lt;R211,INDEX('G-6 Hedgerow Data'!$S$3:$AE$14,MATCH(C211,'G-6 Hedgerow Data'!$B$3:$B$14,0),MATCH(M211,'G-6 Hedgerow Data'!$S$2:$AE$2,0)),INDEX('G-6 Hedgerow Data'!$K$3:$Q$14,MATCH(M211,'G-6 Hedgerow Data'!$B$3:$B$14,0),MATCH(O211,'G-6 Hedgerow Data'!$K$2:$Q$2,0)))),"")</f>
        <v/>
      </c>
      <c r="Y211" s="137"/>
      <c r="Z211" s="137"/>
      <c r="AA211" s="289" t="str">
        <f t="shared" si="23"/>
        <v/>
      </c>
      <c r="AB211" s="302" t="str">
        <f t="shared" si="24"/>
        <v/>
      </c>
      <c r="AC211" s="303" t="str">
        <f t="shared" si="21"/>
        <v/>
      </c>
      <c r="AD211" s="317" t="str">
        <f>IF(M211="","",VLOOKUP(M211,'G-6 Hedgerow Data'!$B$3:$AG$15,31,FALSE))</f>
        <v/>
      </c>
      <c r="AE211" s="289" t="str">
        <f t="shared" si="25"/>
        <v/>
      </c>
      <c r="AF211" s="289" t="str">
        <f t="shared" si="26"/>
        <v/>
      </c>
      <c r="AG211" s="305" t="str">
        <f>IFERROR(IF(O211="","",VLOOKUP(AD211,'G-3 Multipliers'!$P$3:$Q$6,2,FALSE)),"")</f>
        <v/>
      </c>
      <c r="AH211" s="295" t="str">
        <f t="shared" si="27"/>
        <v/>
      </c>
      <c r="AI211" s="112"/>
      <c r="AJ211" s="119"/>
      <c r="AK211" s="108"/>
      <c r="AT211" s="30" t="str">
        <f>IFERROR(INDEX('G-6 Hedgerow Data'!$BJ$3:$BJ$15,MATCH(M211,'G-6 Hedgerow Data'!$B$3:$B$15,0)),"")</f>
        <v/>
      </c>
    </row>
    <row r="212" spans="2:46" ht="13.8" x14ac:dyDescent="0.25">
      <c r="B212" s="311" t="str">
        <f>'B-1 On-Site Hedge Baseline'!AK210</f>
        <v/>
      </c>
      <c r="C212" s="301" t="str">
        <f>IF(B212="","",IF(ISNA(VLOOKUP($B212,'B-1 On-Site Hedge Baseline'!$B$1:$L$257,3,FALSE)),"",(VLOOKUP($B212,'B-1 On-Site Hedge Baseline'!$B$1:$L$257,3,FALSE))))</f>
        <v/>
      </c>
      <c r="D212" s="301" t="str">
        <f>IF(B212="","",IF(ISNA(VLOOKUP($B212,'B-1 On-Site Hedge Baseline'!$B$1:$L$257,4,FALSE)),"",(VLOOKUP($B212,'B-1 On-Site Hedge Baseline'!$B$1:$L$257,4,FALSE))))</f>
        <v/>
      </c>
      <c r="E212" s="301" t="str">
        <f>IF(B212="","",IF(ISNA(VLOOKUP($B212,'B-1 On-Site Hedge Baseline'!$B$1:$L$257,5,FALSE)),"",(VLOOKUP($B212,'B-1 On-Site Hedge Baseline'!$B$1:$L$257,5,FALSE))))</f>
        <v/>
      </c>
      <c r="F212" s="301" t="str">
        <f>IF(B212="","",IF(ISNA(VLOOKUP($B212,'B-1 On-Site Hedge Baseline'!$B$1:$L$257,6,FALSE)),"",(VLOOKUP($B212,'B-1 On-Site Hedge Baseline'!$B$1:$L$257,6,FALSE))))</f>
        <v/>
      </c>
      <c r="G212" s="301" t="str">
        <f>IF(B212="","",IF(ISNA(VLOOKUP($B212,'B-1 On-Site Hedge Baseline'!$B$1:$L$257,7,FALSE)),"",(VLOOKUP($B212,'B-1 On-Site Hedge Baseline'!$B$1:$L$257,7,FALSE))))</f>
        <v/>
      </c>
      <c r="H212" s="301" t="str">
        <f>IF(B212="","",IF(ISNA(VLOOKUP($B212,'B-1 On-Site Hedge Baseline'!$B$1:$L$257,8,FALSE)),"",(VLOOKUP($B212,'B-1 On-Site Hedge Baseline'!$B$1:$L$257,8,FALSE))))</f>
        <v/>
      </c>
      <c r="I212" s="301" t="str">
        <f>IF(B212="","",IF(ISNA(VLOOKUP($B212,'B-1 On-Site Hedge Baseline'!$B$1:$L$257,10,FALSE)),"",(VLOOKUP($B212,'B-1 On-Site Hedge Baseline'!$B$1:$L$257,10,FALSE))))</f>
        <v/>
      </c>
      <c r="J212" s="301" t="str">
        <f>IF(B212="","",IF(ISNA(VLOOKUP($B212,'B-1 On-Site Hedge Baseline'!$B$1:$L$257,11,FALSE)),"",(VLOOKUP($B212,'B-1 On-Site Hedge Baseline'!$B$1:$L$257,11,FALSE))))</f>
        <v/>
      </c>
      <c r="K212" s="301" t="str">
        <f>IF(B212="","",IF(ISNA(VLOOKUP($B212,'B-1 On-Site Hedge Baseline'!$B$1:$U$257,13,FALSE)),"",(VLOOKUP($B212,'B-1 On-Site Hedge Baseline'!$B$1:$U$257,13,FALSE))))</f>
        <v/>
      </c>
      <c r="L212" s="305" t="str">
        <f>IF(B212="","",IF(ISNA(VLOOKUP($B212,'B-1 On-Site Hedge Baseline'!$B$1:$U$257,12,FALSE)),"",(VLOOKUP($B212,'B-1 On-Site Hedge Baseline'!$B$1:$U$257,12,FALSE))))</f>
        <v/>
      </c>
      <c r="M212" s="627"/>
      <c r="N212" s="281" t="str">
        <f>IFERROR(IF(B212="","",INDEX('G-6 Hedgerow Data'!$AN$3:$AZ$15,MATCH(C212,'G-6 Hedgerow Data'!$AM$3:$AM$15,0),MATCH(M212,'G-6 Hedgerow Data'!$AN$2:$AZ$2,0))),"")</f>
        <v/>
      </c>
      <c r="O212" s="282" t="str">
        <f t="shared" si="22"/>
        <v/>
      </c>
      <c r="P212" s="335" t="str">
        <f>IF(B212="","",VLOOKUP(B212,'B-1 On-Site Hedge Baseline'!$B$10:T457,16,FALSE))</f>
        <v/>
      </c>
      <c r="Q212" s="281" t="str">
        <f>IF(M212="","",VLOOKUP(M212,'G-6 Hedgerow Data'!$B$2:$AG$15,2,FALSE))</f>
        <v/>
      </c>
      <c r="R212" s="282" t="str">
        <f>IF(M212="","",VLOOKUP(M212,'G-6 Hedgerow Data'!$B$2:$AG$15,3,FALSE))</f>
        <v/>
      </c>
      <c r="S212" s="112"/>
      <c r="T212" s="320" t="str">
        <f>IFERROR(IF(S212="","",IF(AND(M212="Non-native and ornamental hedgerow", S212&lt;&gt;"Poor"),"Not possible ▲", (VLOOKUP(S212,'G-1 All Habitats'!$Z$2:$AA$9,2,FALSE)))),"")</f>
        <v/>
      </c>
      <c r="U212" s="109"/>
      <c r="V212" s="301" t="str">
        <f>IF(U212="","",IF(VLOOKUP(U212,'G-3 Multipliers'!$L$3:$N$6,2,FALSE)=0,"Spatial Data Missing ⚠",VLOOKUP(U212,'G-3 Multipliers'!$L$3:$N$6,2,FALSE)))</f>
        <v/>
      </c>
      <c r="W212" s="305" t="str">
        <f>IF(U212="","",IF(VLOOKUP(U212,'G-3 Multipliers'!$L$3:$N$6,3,FALSE)=0,"Spatial Data Missing ⚠",VLOOKUP(U212,'G-3 Multipliers'!$L$3:$N$6,3,FALSE)))</f>
        <v/>
      </c>
      <c r="X212" s="281" t="str">
        <f>IFERROR(IF(OR(LEFT(O212,5)="Error",LEFT(N212,5)="Error",T212="Error"),"Check Data ⚠",IF(F212&lt;R212,INDEX('G-6 Hedgerow Data'!$S$3:$AE$14,MATCH(C212,'G-6 Hedgerow Data'!$B$3:$B$14,0),MATCH(M212,'G-6 Hedgerow Data'!$S$2:$AE$2,0)),INDEX('G-6 Hedgerow Data'!$K$3:$Q$14,MATCH(M212,'G-6 Hedgerow Data'!$B$3:$B$14,0),MATCH(O212,'G-6 Hedgerow Data'!$K$2:$Q$2,0)))),"")</f>
        <v/>
      </c>
      <c r="Y212" s="137"/>
      <c r="Z212" s="137"/>
      <c r="AA212" s="289" t="str">
        <f t="shared" si="23"/>
        <v/>
      </c>
      <c r="AB212" s="302" t="str">
        <f t="shared" si="24"/>
        <v/>
      </c>
      <c r="AC212" s="303" t="str">
        <f t="shared" si="21"/>
        <v/>
      </c>
      <c r="AD212" s="317" t="str">
        <f>IF(M212="","",VLOOKUP(M212,'G-6 Hedgerow Data'!$B$3:$AG$15,31,FALSE))</f>
        <v/>
      </c>
      <c r="AE212" s="289" t="str">
        <f t="shared" si="25"/>
        <v/>
      </c>
      <c r="AF212" s="289" t="str">
        <f t="shared" si="26"/>
        <v/>
      </c>
      <c r="AG212" s="305" t="str">
        <f>IFERROR(IF(O212="","",VLOOKUP(AD212,'G-3 Multipliers'!$P$3:$Q$6,2,FALSE)),"")</f>
        <v/>
      </c>
      <c r="AH212" s="295" t="str">
        <f t="shared" si="27"/>
        <v/>
      </c>
      <c r="AI212" s="112"/>
      <c r="AJ212" s="119"/>
      <c r="AK212" s="108"/>
      <c r="AT212" s="30" t="str">
        <f>IFERROR(INDEX('G-6 Hedgerow Data'!$BJ$3:$BJ$15,MATCH(M212,'G-6 Hedgerow Data'!$B$3:$B$15,0)),"")</f>
        <v/>
      </c>
    </row>
    <row r="213" spans="2:46" ht="13.8" x14ac:dyDescent="0.25">
      <c r="B213" s="311" t="str">
        <f>'B-1 On-Site Hedge Baseline'!AK211</f>
        <v/>
      </c>
      <c r="C213" s="301" t="str">
        <f>IF(B213="","",IF(ISNA(VLOOKUP($B213,'B-1 On-Site Hedge Baseline'!$B$1:$L$257,3,FALSE)),"",(VLOOKUP($B213,'B-1 On-Site Hedge Baseline'!$B$1:$L$257,3,FALSE))))</f>
        <v/>
      </c>
      <c r="D213" s="301" t="str">
        <f>IF(B213="","",IF(ISNA(VLOOKUP($B213,'B-1 On-Site Hedge Baseline'!$B$1:$L$257,4,FALSE)),"",(VLOOKUP($B213,'B-1 On-Site Hedge Baseline'!$B$1:$L$257,4,FALSE))))</f>
        <v/>
      </c>
      <c r="E213" s="301" t="str">
        <f>IF(B213="","",IF(ISNA(VLOOKUP($B213,'B-1 On-Site Hedge Baseline'!$B$1:$L$257,5,FALSE)),"",(VLOOKUP($B213,'B-1 On-Site Hedge Baseline'!$B$1:$L$257,5,FALSE))))</f>
        <v/>
      </c>
      <c r="F213" s="301" t="str">
        <f>IF(B213="","",IF(ISNA(VLOOKUP($B213,'B-1 On-Site Hedge Baseline'!$B$1:$L$257,6,FALSE)),"",(VLOOKUP($B213,'B-1 On-Site Hedge Baseline'!$B$1:$L$257,6,FALSE))))</f>
        <v/>
      </c>
      <c r="G213" s="301" t="str">
        <f>IF(B213="","",IF(ISNA(VLOOKUP($B213,'B-1 On-Site Hedge Baseline'!$B$1:$L$257,7,FALSE)),"",(VLOOKUP($B213,'B-1 On-Site Hedge Baseline'!$B$1:$L$257,7,FALSE))))</f>
        <v/>
      </c>
      <c r="H213" s="301" t="str">
        <f>IF(B213="","",IF(ISNA(VLOOKUP($B213,'B-1 On-Site Hedge Baseline'!$B$1:$L$257,8,FALSE)),"",(VLOOKUP($B213,'B-1 On-Site Hedge Baseline'!$B$1:$L$257,8,FALSE))))</f>
        <v/>
      </c>
      <c r="I213" s="301" t="str">
        <f>IF(B213="","",IF(ISNA(VLOOKUP($B213,'B-1 On-Site Hedge Baseline'!$B$1:$L$257,10,FALSE)),"",(VLOOKUP($B213,'B-1 On-Site Hedge Baseline'!$B$1:$L$257,10,FALSE))))</f>
        <v/>
      </c>
      <c r="J213" s="301" t="str">
        <f>IF(B213="","",IF(ISNA(VLOOKUP($B213,'B-1 On-Site Hedge Baseline'!$B$1:$L$257,11,FALSE)),"",(VLOOKUP($B213,'B-1 On-Site Hedge Baseline'!$B$1:$L$257,11,FALSE))))</f>
        <v/>
      </c>
      <c r="K213" s="301" t="str">
        <f>IF(B213="","",IF(ISNA(VLOOKUP($B213,'B-1 On-Site Hedge Baseline'!$B$1:$U$257,13,FALSE)),"",(VLOOKUP($B213,'B-1 On-Site Hedge Baseline'!$B$1:$U$257,13,FALSE))))</f>
        <v/>
      </c>
      <c r="L213" s="305" t="str">
        <f>IF(B213="","",IF(ISNA(VLOOKUP($B213,'B-1 On-Site Hedge Baseline'!$B$1:$U$257,12,FALSE)),"",(VLOOKUP($B213,'B-1 On-Site Hedge Baseline'!$B$1:$U$257,12,FALSE))))</f>
        <v/>
      </c>
      <c r="M213" s="627"/>
      <c r="N213" s="281" t="str">
        <f>IFERROR(IF(B213="","",INDEX('G-6 Hedgerow Data'!$AN$3:$AZ$15,MATCH(C213,'G-6 Hedgerow Data'!$AM$3:$AM$15,0),MATCH(M213,'G-6 Hedgerow Data'!$AN$2:$AZ$2,0))),"")</f>
        <v/>
      </c>
      <c r="O213" s="282" t="str">
        <f t="shared" si="22"/>
        <v/>
      </c>
      <c r="P213" s="335" t="str">
        <f>IF(B213="","",VLOOKUP(B213,'B-1 On-Site Hedge Baseline'!$B$10:T458,16,FALSE))</f>
        <v/>
      </c>
      <c r="Q213" s="281" t="str">
        <f>IF(M213="","",VLOOKUP(M213,'G-6 Hedgerow Data'!$B$2:$AG$15,2,FALSE))</f>
        <v/>
      </c>
      <c r="R213" s="282" t="str">
        <f>IF(M213="","",VLOOKUP(M213,'G-6 Hedgerow Data'!$B$2:$AG$15,3,FALSE))</f>
        <v/>
      </c>
      <c r="S213" s="112"/>
      <c r="T213" s="320" t="str">
        <f>IFERROR(IF(S213="","",IF(AND(M213="Non-native and ornamental hedgerow", S213&lt;&gt;"Poor"),"Not possible ▲", (VLOOKUP(S213,'G-1 All Habitats'!$Z$2:$AA$9,2,FALSE)))),"")</f>
        <v/>
      </c>
      <c r="U213" s="109"/>
      <c r="V213" s="301" t="str">
        <f>IF(U213="","",IF(VLOOKUP(U213,'G-3 Multipliers'!$L$3:$N$6,2,FALSE)=0,"Spatial Data Missing ⚠",VLOOKUP(U213,'G-3 Multipliers'!$L$3:$N$6,2,FALSE)))</f>
        <v/>
      </c>
      <c r="W213" s="305" t="str">
        <f>IF(U213="","",IF(VLOOKUP(U213,'G-3 Multipliers'!$L$3:$N$6,3,FALSE)=0,"Spatial Data Missing ⚠",VLOOKUP(U213,'G-3 Multipliers'!$L$3:$N$6,3,FALSE)))</f>
        <v/>
      </c>
      <c r="X213" s="281" t="str">
        <f>IFERROR(IF(OR(LEFT(O213,5)="Error",LEFT(N213,5)="Error",T213="Error"),"Check Data ⚠",IF(F213&lt;R213,INDEX('G-6 Hedgerow Data'!$S$3:$AE$14,MATCH(C213,'G-6 Hedgerow Data'!$B$3:$B$14,0),MATCH(M213,'G-6 Hedgerow Data'!$S$2:$AE$2,0)),INDEX('G-6 Hedgerow Data'!$K$3:$Q$14,MATCH(M213,'G-6 Hedgerow Data'!$B$3:$B$14,0),MATCH(O213,'G-6 Hedgerow Data'!$K$2:$Q$2,0)))),"")</f>
        <v/>
      </c>
      <c r="Y213" s="137"/>
      <c r="Z213" s="137"/>
      <c r="AA213" s="289" t="str">
        <f t="shared" si="23"/>
        <v/>
      </c>
      <c r="AB213" s="302" t="str">
        <f t="shared" si="24"/>
        <v/>
      </c>
      <c r="AC213" s="303" t="str">
        <f t="shared" si="21"/>
        <v/>
      </c>
      <c r="AD213" s="317" t="str">
        <f>IF(M213="","",VLOOKUP(M213,'G-6 Hedgerow Data'!$B$3:$AG$15,31,FALSE))</f>
        <v/>
      </c>
      <c r="AE213" s="289" t="str">
        <f t="shared" si="25"/>
        <v/>
      </c>
      <c r="AF213" s="289" t="str">
        <f t="shared" si="26"/>
        <v/>
      </c>
      <c r="AG213" s="305" t="str">
        <f>IFERROR(IF(O213="","",VLOOKUP(AD213,'G-3 Multipliers'!$P$3:$Q$6,2,FALSE)),"")</f>
        <v/>
      </c>
      <c r="AH213" s="295" t="str">
        <f t="shared" si="27"/>
        <v/>
      </c>
      <c r="AI213" s="112"/>
      <c r="AJ213" s="119"/>
      <c r="AK213" s="108"/>
      <c r="AT213" s="30" t="str">
        <f>IFERROR(INDEX('G-6 Hedgerow Data'!$BJ$3:$BJ$15,MATCH(M213,'G-6 Hedgerow Data'!$B$3:$B$15,0)),"")</f>
        <v/>
      </c>
    </row>
    <row r="214" spans="2:46" ht="13.8" x14ac:dyDescent="0.25">
      <c r="B214" s="311" t="str">
        <f>'B-1 On-Site Hedge Baseline'!AK212</f>
        <v/>
      </c>
      <c r="C214" s="301" t="str">
        <f>IF(B214="","",IF(ISNA(VLOOKUP($B214,'B-1 On-Site Hedge Baseline'!$B$1:$L$257,3,FALSE)),"",(VLOOKUP($B214,'B-1 On-Site Hedge Baseline'!$B$1:$L$257,3,FALSE))))</f>
        <v/>
      </c>
      <c r="D214" s="301" t="str">
        <f>IF(B214="","",IF(ISNA(VLOOKUP($B214,'B-1 On-Site Hedge Baseline'!$B$1:$L$257,4,FALSE)),"",(VLOOKUP($B214,'B-1 On-Site Hedge Baseline'!$B$1:$L$257,4,FALSE))))</f>
        <v/>
      </c>
      <c r="E214" s="301" t="str">
        <f>IF(B214="","",IF(ISNA(VLOOKUP($B214,'B-1 On-Site Hedge Baseline'!$B$1:$L$257,5,FALSE)),"",(VLOOKUP($B214,'B-1 On-Site Hedge Baseline'!$B$1:$L$257,5,FALSE))))</f>
        <v/>
      </c>
      <c r="F214" s="301" t="str">
        <f>IF(B214="","",IF(ISNA(VLOOKUP($B214,'B-1 On-Site Hedge Baseline'!$B$1:$L$257,6,FALSE)),"",(VLOOKUP($B214,'B-1 On-Site Hedge Baseline'!$B$1:$L$257,6,FALSE))))</f>
        <v/>
      </c>
      <c r="G214" s="301" t="str">
        <f>IF(B214="","",IF(ISNA(VLOOKUP($B214,'B-1 On-Site Hedge Baseline'!$B$1:$L$257,7,FALSE)),"",(VLOOKUP($B214,'B-1 On-Site Hedge Baseline'!$B$1:$L$257,7,FALSE))))</f>
        <v/>
      </c>
      <c r="H214" s="301" t="str">
        <f>IF(B214="","",IF(ISNA(VLOOKUP($B214,'B-1 On-Site Hedge Baseline'!$B$1:$L$257,8,FALSE)),"",(VLOOKUP($B214,'B-1 On-Site Hedge Baseline'!$B$1:$L$257,8,FALSE))))</f>
        <v/>
      </c>
      <c r="I214" s="301" t="str">
        <f>IF(B214="","",IF(ISNA(VLOOKUP($B214,'B-1 On-Site Hedge Baseline'!$B$1:$L$257,10,FALSE)),"",(VLOOKUP($B214,'B-1 On-Site Hedge Baseline'!$B$1:$L$257,10,FALSE))))</f>
        <v/>
      </c>
      <c r="J214" s="301" t="str">
        <f>IF(B214="","",IF(ISNA(VLOOKUP($B214,'B-1 On-Site Hedge Baseline'!$B$1:$L$257,11,FALSE)),"",(VLOOKUP($B214,'B-1 On-Site Hedge Baseline'!$B$1:$L$257,11,FALSE))))</f>
        <v/>
      </c>
      <c r="K214" s="301" t="str">
        <f>IF(B214="","",IF(ISNA(VLOOKUP($B214,'B-1 On-Site Hedge Baseline'!$B$1:$U$257,13,FALSE)),"",(VLOOKUP($B214,'B-1 On-Site Hedge Baseline'!$B$1:$U$257,13,FALSE))))</f>
        <v/>
      </c>
      <c r="L214" s="305" t="str">
        <f>IF(B214="","",IF(ISNA(VLOOKUP($B214,'B-1 On-Site Hedge Baseline'!$B$1:$U$257,12,FALSE)),"",(VLOOKUP($B214,'B-1 On-Site Hedge Baseline'!$B$1:$U$257,12,FALSE))))</f>
        <v/>
      </c>
      <c r="M214" s="627"/>
      <c r="N214" s="281" t="str">
        <f>IFERROR(IF(B214="","",INDEX('G-6 Hedgerow Data'!$AN$3:$AZ$15,MATCH(C214,'G-6 Hedgerow Data'!$AM$3:$AM$15,0),MATCH(M214,'G-6 Hedgerow Data'!$AN$2:$AZ$2,0))),"")</f>
        <v/>
      </c>
      <c r="O214" s="282" t="str">
        <f t="shared" si="22"/>
        <v/>
      </c>
      <c r="P214" s="335" t="str">
        <f>IF(B214="","",VLOOKUP(B214,'B-1 On-Site Hedge Baseline'!$B$10:T459,16,FALSE))</f>
        <v/>
      </c>
      <c r="Q214" s="281" t="str">
        <f>IF(M214="","",VLOOKUP(M214,'G-6 Hedgerow Data'!$B$2:$AG$15,2,FALSE))</f>
        <v/>
      </c>
      <c r="R214" s="282" t="str">
        <f>IF(M214="","",VLOOKUP(M214,'G-6 Hedgerow Data'!$B$2:$AG$15,3,FALSE))</f>
        <v/>
      </c>
      <c r="S214" s="112"/>
      <c r="T214" s="320" t="str">
        <f>IFERROR(IF(S214="","",IF(AND(M214="Non-native and ornamental hedgerow", S214&lt;&gt;"Poor"),"Not possible ▲", (VLOOKUP(S214,'G-1 All Habitats'!$Z$2:$AA$9,2,FALSE)))),"")</f>
        <v/>
      </c>
      <c r="U214" s="109"/>
      <c r="V214" s="301" t="str">
        <f>IF(U214="","",IF(VLOOKUP(U214,'G-3 Multipliers'!$L$3:$N$6,2,FALSE)=0,"Spatial Data Missing ⚠",VLOOKUP(U214,'G-3 Multipliers'!$L$3:$N$6,2,FALSE)))</f>
        <v/>
      </c>
      <c r="W214" s="305" t="str">
        <f>IF(U214="","",IF(VLOOKUP(U214,'G-3 Multipliers'!$L$3:$N$6,3,FALSE)=0,"Spatial Data Missing ⚠",VLOOKUP(U214,'G-3 Multipliers'!$L$3:$N$6,3,FALSE)))</f>
        <v/>
      </c>
      <c r="X214" s="281" t="str">
        <f>IFERROR(IF(OR(LEFT(O214,5)="Error",LEFT(N214,5)="Error",T214="Error"),"Check Data ⚠",IF(F214&lt;R214,INDEX('G-6 Hedgerow Data'!$S$3:$AE$14,MATCH(C214,'G-6 Hedgerow Data'!$B$3:$B$14,0),MATCH(M214,'G-6 Hedgerow Data'!$S$2:$AE$2,0)),INDEX('G-6 Hedgerow Data'!$K$3:$Q$14,MATCH(M214,'G-6 Hedgerow Data'!$B$3:$B$14,0),MATCH(O214,'G-6 Hedgerow Data'!$K$2:$Q$2,0)))),"")</f>
        <v/>
      </c>
      <c r="Y214" s="137"/>
      <c r="Z214" s="137"/>
      <c r="AA214" s="289" t="str">
        <f t="shared" si="23"/>
        <v/>
      </c>
      <c r="AB214" s="302" t="str">
        <f t="shared" si="24"/>
        <v/>
      </c>
      <c r="AC214" s="303" t="str">
        <f t="shared" si="21"/>
        <v/>
      </c>
      <c r="AD214" s="317" t="str">
        <f>IF(M214="","",VLOOKUP(M214,'G-6 Hedgerow Data'!$B$3:$AG$15,31,FALSE))</f>
        <v/>
      </c>
      <c r="AE214" s="289" t="str">
        <f t="shared" si="25"/>
        <v/>
      </c>
      <c r="AF214" s="289" t="str">
        <f t="shared" si="26"/>
        <v/>
      </c>
      <c r="AG214" s="305" t="str">
        <f>IFERROR(IF(O214="","",VLOOKUP(AD214,'G-3 Multipliers'!$P$3:$Q$6,2,FALSE)),"")</f>
        <v/>
      </c>
      <c r="AH214" s="295" t="str">
        <f t="shared" si="27"/>
        <v/>
      </c>
      <c r="AI214" s="112"/>
      <c r="AJ214" s="119"/>
      <c r="AK214" s="108"/>
      <c r="AT214" s="30" t="str">
        <f>IFERROR(INDEX('G-6 Hedgerow Data'!$BJ$3:$BJ$15,MATCH(M214,'G-6 Hedgerow Data'!$B$3:$B$15,0)),"")</f>
        <v/>
      </c>
    </row>
    <row r="215" spans="2:46" ht="13.8" x14ac:dyDescent="0.25">
      <c r="B215" s="311" t="str">
        <f>'B-1 On-Site Hedge Baseline'!AK213</f>
        <v/>
      </c>
      <c r="C215" s="301" t="str">
        <f>IF(B215="","",IF(ISNA(VLOOKUP($B215,'B-1 On-Site Hedge Baseline'!$B$1:$L$257,3,FALSE)),"",(VLOOKUP($B215,'B-1 On-Site Hedge Baseline'!$B$1:$L$257,3,FALSE))))</f>
        <v/>
      </c>
      <c r="D215" s="301" t="str">
        <f>IF(B215="","",IF(ISNA(VLOOKUP($B215,'B-1 On-Site Hedge Baseline'!$B$1:$L$257,4,FALSE)),"",(VLOOKUP($B215,'B-1 On-Site Hedge Baseline'!$B$1:$L$257,4,FALSE))))</f>
        <v/>
      </c>
      <c r="E215" s="301" t="str">
        <f>IF(B215="","",IF(ISNA(VLOOKUP($B215,'B-1 On-Site Hedge Baseline'!$B$1:$L$257,5,FALSE)),"",(VLOOKUP($B215,'B-1 On-Site Hedge Baseline'!$B$1:$L$257,5,FALSE))))</f>
        <v/>
      </c>
      <c r="F215" s="301" t="str">
        <f>IF(B215="","",IF(ISNA(VLOOKUP($B215,'B-1 On-Site Hedge Baseline'!$B$1:$L$257,6,FALSE)),"",(VLOOKUP($B215,'B-1 On-Site Hedge Baseline'!$B$1:$L$257,6,FALSE))))</f>
        <v/>
      </c>
      <c r="G215" s="301" t="str">
        <f>IF(B215="","",IF(ISNA(VLOOKUP($B215,'B-1 On-Site Hedge Baseline'!$B$1:$L$257,7,FALSE)),"",(VLOOKUP($B215,'B-1 On-Site Hedge Baseline'!$B$1:$L$257,7,FALSE))))</f>
        <v/>
      </c>
      <c r="H215" s="301" t="str">
        <f>IF(B215="","",IF(ISNA(VLOOKUP($B215,'B-1 On-Site Hedge Baseline'!$B$1:$L$257,8,FALSE)),"",(VLOOKUP($B215,'B-1 On-Site Hedge Baseline'!$B$1:$L$257,8,FALSE))))</f>
        <v/>
      </c>
      <c r="I215" s="301" t="str">
        <f>IF(B215="","",IF(ISNA(VLOOKUP($B215,'B-1 On-Site Hedge Baseline'!$B$1:$L$257,10,FALSE)),"",(VLOOKUP($B215,'B-1 On-Site Hedge Baseline'!$B$1:$L$257,10,FALSE))))</f>
        <v/>
      </c>
      <c r="J215" s="301" t="str">
        <f>IF(B215="","",IF(ISNA(VLOOKUP($B215,'B-1 On-Site Hedge Baseline'!$B$1:$L$257,11,FALSE)),"",(VLOOKUP($B215,'B-1 On-Site Hedge Baseline'!$B$1:$L$257,11,FALSE))))</f>
        <v/>
      </c>
      <c r="K215" s="301" t="str">
        <f>IF(B215="","",IF(ISNA(VLOOKUP($B215,'B-1 On-Site Hedge Baseline'!$B$1:$U$257,13,FALSE)),"",(VLOOKUP($B215,'B-1 On-Site Hedge Baseline'!$B$1:$U$257,13,FALSE))))</f>
        <v/>
      </c>
      <c r="L215" s="305" t="str">
        <f>IF(B215="","",IF(ISNA(VLOOKUP($B215,'B-1 On-Site Hedge Baseline'!$B$1:$U$257,12,FALSE)),"",(VLOOKUP($B215,'B-1 On-Site Hedge Baseline'!$B$1:$U$257,12,FALSE))))</f>
        <v/>
      </c>
      <c r="M215" s="627"/>
      <c r="N215" s="281" t="str">
        <f>IFERROR(IF(B215="","",INDEX('G-6 Hedgerow Data'!$AN$3:$AZ$15,MATCH(C215,'G-6 Hedgerow Data'!$AM$3:$AM$15,0),MATCH(M215,'G-6 Hedgerow Data'!$AN$2:$AZ$2,0))),"")</f>
        <v/>
      </c>
      <c r="O215" s="282" t="str">
        <f t="shared" si="22"/>
        <v/>
      </c>
      <c r="P215" s="335" t="str">
        <f>IF(B215="","",VLOOKUP(B215,'B-1 On-Site Hedge Baseline'!$B$10:T460,16,FALSE))</f>
        <v/>
      </c>
      <c r="Q215" s="281" t="str">
        <f>IF(M215="","",VLOOKUP(M215,'G-6 Hedgerow Data'!$B$2:$AG$15,2,FALSE))</f>
        <v/>
      </c>
      <c r="R215" s="282" t="str">
        <f>IF(M215="","",VLOOKUP(M215,'G-6 Hedgerow Data'!$B$2:$AG$15,3,FALSE))</f>
        <v/>
      </c>
      <c r="S215" s="112"/>
      <c r="T215" s="320" t="str">
        <f>IFERROR(IF(S215="","",IF(AND(M215="Non-native and ornamental hedgerow", S215&lt;&gt;"Poor"),"Not possible ▲", (VLOOKUP(S215,'G-1 All Habitats'!$Z$2:$AA$9,2,FALSE)))),"")</f>
        <v/>
      </c>
      <c r="U215" s="109"/>
      <c r="V215" s="301" t="str">
        <f>IF(U215="","",IF(VLOOKUP(U215,'G-3 Multipliers'!$L$3:$N$6,2,FALSE)=0,"Spatial Data Missing ⚠",VLOOKUP(U215,'G-3 Multipliers'!$L$3:$N$6,2,FALSE)))</f>
        <v/>
      </c>
      <c r="W215" s="305" t="str">
        <f>IF(U215="","",IF(VLOOKUP(U215,'G-3 Multipliers'!$L$3:$N$6,3,FALSE)=0,"Spatial Data Missing ⚠",VLOOKUP(U215,'G-3 Multipliers'!$L$3:$N$6,3,FALSE)))</f>
        <v/>
      </c>
      <c r="X215" s="281" t="str">
        <f>IFERROR(IF(OR(LEFT(O215,5)="Error",LEFT(N215,5)="Error",T215="Error"),"Check Data ⚠",IF(F215&lt;R215,INDEX('G-6 Hedgerow Data'!$S$3:$AE$14,MATCH(C215,'G-6 Hedgerow Data'!$B$3:$B$14,0),MATCH(M215,'G-6 Hedgerow Data'!$S$2:$AE$2,0)),INDEX('G-6 Hedgerow Data'!$K$3:$Q$14,MATCH(M215,'G-6 Hedgerow Data'!$B$3:$B$14,0),MATCH(O215,'G-6 Hedgerow Data'!$K$2:$Q$2,0)))),"")</f>
        <v/>
      </c>
      <c r="Y215" s="137"/>
      <c r="Z215" s="137"/>
      <c r="AA215" s="289" t="str">
        <f t="shared" si="23"/>
        <v/>
      </c>
      <c r="AB215" s="302" t="str">
        <f t="shared" si="24"/>
        <v/>
      </c>
      <c r="AC215" s="303" t="str">
        <f t="shared" si="21"/>
        <v/>
      </c>
      <c r="AD215" s="317" t="str">
        <f>IF(M215="","",VLOOKUP(M215,'G-6 Hedgerow Data'!$B$3:$AG$15,31,FALSE))</f>
        <v/>
      </c>
      <c r="AE215" s="289" t="str">
        <f t="shared" si="25"/>
        <v/>
      </c>
      <c r="AF215" s="289" t="str">
        <f t="shared" si="26"/>
        <v/>
      </c>
      <c r="AG215" s="305" t="str">
        <f>IFERROR(IF(O215="","",VLOOKUP(AD215,'G-3 Multipliers'!$P$3:$Q$6,2,FALSE)),"")</f>
        <v/>
      </c>
      <c r="AH215" s="295" t="str">
        <f t="shared" si="27"/>
        <v/>
      </c>
      <c r="AI215" s="112"/>
      <c r="AJ215" s="119"/>
      <c r="AK215" s="108"/>
      <c r="AT215" s="30" t="str">
        <f>IFERROR(INDEX('G-6 Hedgerow Data'!$BJ$3:$BJ$15,MATCH(M215,'G-6 Hedgerow Data'!$B$3:$B$15,0)),"")</f>
        <v/>
      </c>
    </row>
    <row r="216" spans="2:46" ht="13.8" x14ac:dyDescent="0.25">
      <c r="B216" s="311" t="str">
        <f>'B-1 On-Site Hedge Baseline'!AK214</f>
        <v/>
      </c>
      <c r="C216" s="301" t="str">
        <f>IF(B216="","",IF(ISNA(VLOOKUP($B216,'B-1 On-Site Hedge Baseline'!$B$1:$L$257,3,FALSE)),"",(VLOOKUP($B216,'B-1 On-Site Hedge Baseline'!$B$1:$L$257,3,FALSE))))</f>
        <v/>
      </c>
      <c r="D216" s="301" t="str">
        <f>IF(B216="","",IF(ISNA(VLOOKUP($B216,'B-1 On-Site Hedge Baseline'!$B$1:$L$257,4,FALSE)),"",(VLOOKUP($B216,'B-1 On-Site Hedge Baseline'!$B$1:$L$257,4,FALSE))))</f>
        <v/>
      </c>
      <c r="E216" s="301" t="str">
        <f>IF(B216="","",IF(ISNA(VLOOKUP($B216,'B-1 On-Site Hedge Baseline'!$B$1:$L$257,5,FALSE)),"",(VLOOKUP($B216,'B-1 On-Site Hedge Baseline'!$B$1:$L$257,5,FALSE))))</f>
        <v/>
      </c>
      <c r="F216" s="301" t="str">
        <f>IF(B216="","",IF(ISNA(VLOOKUP($B216,'B-1 On-Site Hedge Baseline'!$B$1:$L$257,6,FALSE)),"",(VLOOKUP($B216,'B-1 On-Site Hedge Baseline'!$B$1:$L$257,6,FALSE))))</f>
        <v/>
      </c>
      <c r="G216" s="301" t="str">
        <f>IF(B216="","",IF(ISNA(VLOOKUP($B216,'B-1 On-Site Hedge Baseline'!$B$1:$L$257,7,FALSE)),"",(VLOOKUP($B216,'B-1 On-Site Hedge Baseline'!$B$1:$L$257,7,FALSE))))</f>
        <v/>
      </c>
      <c r="H216" s="301" t="str">
        <f>IF(B216="","",IF(ISNA(VLOOKUP($B216,'B-1 On-Site Hedge Baseline'!$B$1:$L$257,8,FALSE)),"",(VLOOKUP($B216,'B-1 On-Site Hedge Baseline'!$B$1:$L$257,8,FALSE))))</f>
        <v/>
      </c>
      <c r="I216" s="301" t="str">
        <f>IF(B216="","",IF(ISNA(VLOOKUP($B216,'B-1 On-Site Hedge Baseline'!$B$1:$L$257,10,FALSE)),"",(VLOOKUP($B216,'B-1 On-Site Hedge Baseline'!$B$1:$L$257,10,FALSE))))</f>
        <v/>
      </c>
      <c r="J216" s="301" t="str">
        <f>IF(B216="","",IF(ISNA(VLOOKUP($B216,'B-1 On-Site Hedge Baseline'!$B$1:$L$257,11,FALSE)),"",(VLOOKUP($B216,'B-1 On-Site Hedge Baseline'!$B$1:$L$257,11,FALSE))))</f>
        <v/>
      </c>
      <c r="K216" s="301" t="str">
        <f>IF(B216="","",IF(ISNA(VLOOKUP($B216,'B-1 On-Site Hedge Baseline'!$B$1:$U$257,13,FALSE)),"",(VLOOKUP($B216,'B-1 On-Site Hedge Baseline'!$B$1:$U$257,13,FALSE))))</f>
        <v/>
      </c>
      <c r="L216" s="305" t="str">
        <f>IF(B216="","",IF(ISNA(VLOOKUP($B216,'B-1 On-Site Hedge Baseline'!$B$1:$U$257,12,FALSE)),"",(VLOOKUP($B216,'B-1 On-Site Hedge Baseline'!$B$1:$U$257,12,FALSE))))</f>
        <v/>
      </c>
      <c r="M216" s="627"/>
      <c r="N216" s="281" t="str">
        <f>IFERROR(IF(B216="","",INDEX('G-6 Hedgerow Data'!$AN$3:$AZ$15,MATCH(C216,'G-6 Hedgerow Data'!$AM$3:$AM$15,0),MATCH(M216,'G-6 Hedgerow Data'!$AN$2:$AZ$2,0))),"")</f>
        <v/>
      </c>
      <c r="O216" s="282" t="str">
        <f t="shared" si="22"/>
        <v/>
      </c>
      <c r="P216" s="335" t="str">
        <f>IF(B216="","",VLOOKUP(B216,'B-1 On-Site Hedge Baseline'!$B$10:T461,16,FALSE))</f>
        <v/>
      </c>
      <c r="Q216" s="281" t="str">
        <f>IF(M216="","",VLOOKUP(M216,'G-6 Hedgerow Data'!$B$2:$AG$15,2,FALSE))</f>
        <v/>
      </c>
      <c r="R216" s="282" t="str">
        <f>IF(M216="","",VLOOKUP(M216,'G-6 Hedgerow Data'!$B$2:$AG$15,3,FALSE))</f>
        <v/>
      </c>
      <c r="S216" s="112"/>
      <c r="T216" s="320" t="str">
        <f>IFERROR(IF(S216="","",IF(AND(M216="Non-native and ornamental hedgerow", S216&lt;&gt;"Poor"),"Not possible ▲", (VLOOKUP(S216,'G-1 All Habitats'!$Z$2:$AA$9,2,FALSE)))),"")</f>
        <v/>
      </c>
      <c r="U216" s="109"/>
      <c r="V216" s="301" t="str">
        <f>IF(U216="","",IF(VLOOKUP(U216,'G-3 Multipliers'!$L$3:$N$6,2,FALSE)=0,"Spatial Data Missing ⚠",VLOOKUP(U216,'G-3 Multipliers'!$L$3:$N$6,2,FALSE)))</f>
        <v/>
      </c>
      <c r="W216" s="305" t="str">
        <f>IF(U216="","",IF(VLOOKUP(U216,'G-3 Multipliers'!$L$3:$N$6,3,FALSE)=0,"Spatial Data Missing ⚠",VLOOKUP(U216,'G-3 Multipliers'!$L$3:$N$6,3,FALSE)))</f>
        <v/>
      </c>
      <c r="X216" s="281" t="str">
        <f>IFERROR(IF(OR(LEFT(O216,5)="Error",LEFT(N216,5)="Error",T216="Error"),"Check Data ⚠",IF(F216&lt;R216,INDEX('G-6 Hedgerow Data'!$S$3:$AE$14,MATCH(C216,'G-6 Hedgerow Data'!$B$3:$B$14,0),MATCH(M216,'G-6 Hedgerow Data'!$S$2:$AE$2,0)),INDEX('G-6 Hedgerow Data'!$K$3:$Q$14,MATCH(M216,'G-6 Hedgerow Data'!$B$3:$B$14,0),MATCH(O216,'G-6 Hedgerow Data'!$K$2:$Q$2,0)))),"")</f>
        <v/>
      </c>
      <c r="Y216" s="137"/>
      <c r="Z216" s="137"/>
      <c r="AA216" s="289" t="str">
        <f t="shared" si="23"/>
        <v/>
      </c>
      <c r="AB216" s="302" t="str">
        <f t="shared" si="24"/>
        <v/>
      </c>
      <c r="AC216" s="303" t="str">
        <f t="shared" si="21"/>
        <v/>
      </c>
      <c r="AD216" s="317" t="str">
        <f>IF(M216="","",VLOOKUP(M216,'G-6 Hedgerow Data'!$B$3:$AG$15,31,FALSE))</f>
        <v/>
      </c>
      <c r="AE216" s="289" t="str">
        <f t="shared" si="25"/>
        <v/>
      </c>
      <c r="AF216" s="289" t="str">
        <f t="shared" si="26"/>
        <v/>
      </c>
      <c r="AG216" s="305" t="str">
        <f>IFERROR(IF(O216="","",VLOOKUP(AD216,'G-3 Multipliers'!$P$3:$Q$6,2,FALSE)),"")</f>
        <v/>
      </c>
      <c r="AH216" s="295" t="str">
        <f t="shared" si="27"/>
        <v/>
      </c>
      <c r="AI216" s="112"/>
      <c r="AJ216" s="119"/>
      <c r="AK216" s="108"/>
      <c r="AT216" s="30" t="str">
        <f>IFERROR(INDEX('G-6 Hedgerow Data'!$BJ$3:$BJ$15,MATCH(M216,'G-6 Hedgerow Data'!$B$3:$B$15,0)),"")</f>
        <v/>
      </c>
    </row>
    <row r="217" spans="2:46" ht="13.8" x14ac:dyDescent="0.25">
      <c r="B217" s="311" t="str">
        <f>'B-1 On-Site Hedge Baseline'!AK215</f>
        <v/>
      </c>
      <c r="C217" s="301" t="str">
        <f>IF(B217="","",IF(ISNA(VLOOKUP($B217,'B-1 On-Site Hedge Baseline'!$B$1:$L$257,3,FALSE)),"",(VLOOKUP($B217,'B-1 On-Site Hedge Baseline'!$B$1:$L$257,3,FALSE))))</f>
        <v/>
      </c>
      <c r="D217" s="301" t="str">
        <f>IF(B217="","",IF(ISNA(VLOOKUP($B217,'B-1 On-Site Hedge Baseline'!$B$1:$L$257,4,FALSE)),"",(VLOOKUP($B217,'B-1 On-Site Hedge Baseline'!$B$1:$L$257,4,FALSE))))</f>
        <v/>
      </c>
      <c r="E217" s="301" t="str">
        <f>IF(B217="","",IF(ISNA(VLOOKUP($B217,'B-1 On-Site Hedge Baseline'!$B$1:$L$257,5,FALSE)),"",(VLOOKUP($B217,'B-1 On-Site Hedge Baseline'!$B$1:$L$257,5,FALSE))))</f>
        <v/>
      </c>
      <c r="F217" s="301" t="str">
        <f>IF(B217="","",IF(ISNA(VLOOKUP($B217,'B-1 On-Site Hedge Baseline'!$B$1:$L$257,6,FALSE)),"",(VLOOKUP($B217,'B-1 On-Site Hedge Baseline'!$B$1:$L$257,6,FALSE))))</f>
        <v/>
      </c>
      <c r="G217" s="301" t="str">
        <f>IF(B217="","",IF(ISNA(VLOOKUP($B217,'B-1 On-Site Hedge Baseline'!$B$1:$L$257,7,FALSE)),"",(VLOOKUP($B217,'B-1 On-Site Hedge Baseline'!$B$1:$L$257,7,FALSE))))</f>
        <v/>
      </c>
      <c r="H217" s="301" t="str">
        <f>IF(B217="","",IF(ISNA(VLOOKUP($B217,'B-1 On-Site Hedge Baseline'!$B$1:$L$257,8,FALSE)),"",(VLOOKUP($B217,'B-1 On-Site Hedge Baseline'!$B$1:$L$257,8,FALSE))))</f>
        <v/>
      </c>
      <c r="I217" s="301" t="str">
        <f>IF(B217="","",IF(ISNA(VLOOKUP($B217,'B-1 On-Site Hedge Baseline'!$B$1:$L$257,10,FALSE)),"",(VLOOKUP($B217,'B-1 On-Site Hedge Baseline'!$B$1:$L$257,10,FALSE))))</f>
        <v/>
      </c>
      <c r="J217" s="301" t="str">
        <f>IF(B217="","",IF(ISNA(VLOOKUP($B217,'B-1 On-Site Hedge Baseline'!$B$1:$L$257,11,FALSE)),"",(VLOOKUP($B217,'B-1 On-Site Hedge Baseline'!$B$1:$L$257,11,FALSE))))</f>
        <v/>
      </c>
      <c r="K217" s="301" t="str">
        <f>IF(B217="","",IF(ISNA(VLOOKUP($B217,'B-1 On-Site Hedge Baseline'!$B$1:$U$257,13,FALSE)),"",(VLOOKUP($B217,'B-1 On-Site Hedge Baseline'!$B$1:$U$257,13,FALSE))))</f>
        <v/>
      </c>
      <c r="L217" s="305" t="str">
        <f>IF(B217="","",IF(ISNA(VLOOKUP($B217,'B-1 On-Site Hedge Baseline'!$B$1:$U$257,12,FALSE)),"",(VLOOKUP($B217,'B-1 On-Site Hedge Baseline'!$B$1:$U$257,12,FALSE))))</f>
        <v/>
      </c>
      <c r="M217" s="627"/>
      <c r="N217" s="281" t="str">
        <f>IFERROR(IF(B217="","",INDEX('G-6 Hedgerow Data'!$AN$3:$AZ$15,MATCH(C217,'G-6 Hedgerow Data'!$AM$3:$AM$15,0),MATCH(M217,'G-6 Hedgerow Data'!$AN$2:$AZ$2,0))),"")</f>
        <v/>
      </c>
      <c r="O217" s="282" t="str">
        <f t="shared" si="22"/>
        <v/>
      </c>
      <c r="P217" s="335" t="str">
        <f>IF(B217="","",VLOOKUP(B217,'B-1 On-Site Hedge Baseline'!$B$10:T462,16,FALSE))</f>
        <v/>
      </c>
      <c r="Q217" s="281" t="str">
        <f>IF(M217="","",VLOOKUP(M217,'G-6 Hedgerow Data'!$B$2:$AG$15,2,FALSE))</f>
        <v/>
      </c>
      <c r="R217" s="282" t="str">
        <f>IF(M217="","",VLOOKUP(M217,'G-6 Hedgerow Data'!$B$2:$AG$15,3,FALSE))</f>
        <v/>
      </c>
      <c r="S217" s="112"/>
      <c r="T217" s="320" t="str">
        <f>IFERROR(IF(S217="","",IF(AND(M217="Non-native and ornamental hedgerow", S217&lt;&gt;"Poor"),"Not possible ▲", (VLOOKUP(S217,'G-1 All Habitats'!$Z$2:$AA$9,2,FALSE)))),"")</f>
        <v/>
      </c>
      <c r="U217" s="109"/>
      <c r="V217" s="301" t="str">
        <f>IF(U217="","",IF(VLOOKUP(U217,'G-3 Multipliers'!$L$3:$N$6,2,FALSE)=0,"Spatial Data Missing ⚠",VLOOKUP(U217,'G-3 Multipliers'!$L$3:$N$6,2,FALSE)))</f>
        <v/>
      </c>
      <c r="W217" s="305" t="str">
        <f>IF(U217="","",IF(VLOOKUP(U217,'G-3 Multipliers'!$L$3:$N$6,3,FALSE)=0,"Spatial Data Missing ⚠",VLOOKUP(U217,'G-3 Multipliers'!$L$3:$N$6,3,FALSE)))</f>
        <v/>
      </c>
      <c r="X217" s="281" t="str">
        <f>IFERROR(IF(OR(LEFT(O217,5)="Error",LEFT(N217,5)="Error",T217="Error"),"Check Data ⚠",IF(F217&lt;R217,INDEX('G-6 Hedgerow Data'!$S$3:$AE$14,MATCH(C217,'G-6 Hedgerow Data'!$B$3:$B$14,0),MATCH(M217,'G-6 Hedgerow Data'!$S$2:$AE$2,0)),INDEX('G-6 Hedgerow Data'!$K$3:$Q$14,MATCH(M217,'G-6 Hedgerow Data'!$B$3:$B$14,0),MATCH(O217,'G-6 Hedgerow Data'!$K$2:$Q$2,0)))),"")</f>
        <v/>
      </c>
      <c r="Y217" s="137"/>
      <c r="Z217" s="137"/>
      <c r="AA217" s="289" t="str">
        <f t="shared" si="23"/>
        <v/>
      </c>
      <c r="AB217" s="302" t="str">
        <f t="shared" si="24"/>
        <v/>
      </c>
      <c r="AC217" s="303" t="str">
        <f t="shared" si="21"/>
        <v/>
      </c>
      <c r="AD217" s="317" t="str">
        <f>IF(M217="","",VLOOKUP(M217,'G-6 Hedgerow Data'!$B$3:$AG$15,31,FALSE))</f>
        <v/>
      </c>
      <c r="AE217" s="289" t="str">
        <f t="shared" si="25"/>
        <v/>
      </c>
      <c r="AF217" s="289" t="str">
        <f t="shared" si="26"/>
        <v/>
      </c>
      <c r="AG217" s="305" t="str">
        <f>IFERROR(IF(O217="","",VLOOKUP(AD217,'G-3 Multipliers'!$P$3:$Q$6,2,FALSE)),"")</f>
        <v/>
      </c>
      <c r="AH217" s="295" t="str">
        <f t="shared" si="27"/>
        <v/>
      </c>
      <c r="AI217" s="112"/>
      <c r="AJ217" s="119"/>
      <c r="AK217" s="108"/>
      <c r="AT217" s="30" t="str">
        <f>IFERROR(INDEX('G-6 Hedgerow Data'!$BJ$3:$BJ$15,MATCH(M217,'G-6 Hedgerow Data'!$B$3:$B$15,0)),"")</f>
        <v/>
      </c>
    </row>
    <row r="218" spans="2:46" ht="13.8" x14ac:dyDescent="0.25">
      <c r="B218" s="311" t="str">
        <f>'B-1 On-Site Hedge Baseline'!AK216</f>
        <v/>
      </c>
      <c r="C218" s="301" t="str">
        <f>IF(B218="","",IF(ISNA(VLOOKUP($B218,'B-1 On-Site Hedge Baseline'!$B$1:$L$257,3,FALSE)),"",(VLOOKUP($B218,'B-1 On-Site Hedge Baseline'!$B$1:$L$257,3,FALSE))))</f>
        <v/>
      </c>
      <c r="D218" s="301" t="str">
        <f>IF(B218="","",IF(ISNA(VLOOKUP($B218,'B-1 On-Site Hedge Baseline'!$B$1:$L$257,4,FALSE)),"",(VLOOKUP($B218,'B-1 On-Site Hedge Baseline'!$B$1:$L$257,4,FALSE))))</f>
        <v/>
      </c>
      <c r="E218" s="301" t="str">
        <f>IF(B218="","",IF(ISNA(VLOOKUP($B218,'B-1 On-Site Hedge Baseline'!$B$1:$L$257,5,FALSE)),"",(VLOOKUP($B218,'B-1 On-Site Hedge Baseline'!$B$1:$L$257,5,FALSE))))</f>
        <v/>
      </c>
      <c r="F218" s="301" t="str">
        <f>IF(B218="","",IF(ISNA(VLOOKUP($B218,'B-1 On-Site Hedge Baseline'!$B$1:$L$257,6,FALSE)),"",(VLOOKUP($B218,'B-1 On-Site Hedge Baseline'!$B$1:$L$257,6,FALSE))))</f>
        <v/>
      </c>
      <c r="G218" s="301" t="str">
        <f>IF(B218="","",IF(ISNA(VLOOKUP($B218,'B-1 On-Site Hedge Baseline'!$B$1:$L$257,7,FALSE)),"",(VLOOKUP($B218,'B-1 On-Site Hedge Baseline'!$B$1:$L$257,7,FALSE))))</f>
        <v/>
      </c>
      <c r="H218" s="301" t="str">
        <f>IF(B218="","",IF(ISNA(VLOOKUP($B218,'B-1 On-Site Hedge Baseline'!$B$1:$L$257,8,FALSE)),"",(VLOOKUP($B218,'B-1 On-Site Hedge Baseline'!$B$1:$L$257,8,FALSE))))</f>
        <v/>
      </c>
      <c r="I218" s="301" t="str">
        <f>IF(B218="","",IF(ISNA(VLOOKUP($B218,'B-1 On-Site Hedge Baseline'!$B$1:$L$257,10,FALSE)),"",(VLOOKUP($B218,'B-1 On-Site Hedge Baseline'!$B$1:$L$257,10,FALSE))))</f>
        <v/>
      </c>
      <c r="J218" s="301" t="str">
        <f>IF(B218="","",IF(ISNA(VLOOKUP($B218,'B-1 On-Site Hedge Baseline'!$B$1:$L$257,11,FALSE)),"",(VLOOKUP($B218,'B-1 On-Site Hedge Baseline'!$B$1:$L$257,11,FALSE))))</f>
        <v/>
      </c>
      <c r="K218" s="301" t="str">
        <f>IF(B218="","",IF(ISNA(VLOOKUP($B218,'B-1 On-Site Hedge Baseline'!$B$1:$U$257,13,FALSE)),"",(VLOOKUP($B218,'B-1 On-Site Hedge Baseline'!$B$1:$U$257,13,FALSE))))</f>
        <v/>
      </c>
      <c r="L218" s="305" t="str">
        <f>IF(B218="","",IF(ISNA(VLOOKUP($B218,'B-1 On-Site Hedge Baseline'!$B$1:$U$257,12,FALSE)),"",(VLOOKUP($B218,'B-1 On-Site Hedge Baseline'!$B$1:$U$257,12,FALSE))))</f>
        <v/>
      </c>
      <c r="M218" s="627"/>
      <c r="N218" s="281" t="str">
        <f>IFERROR(IF(B218="","",INDEX('G-6 Hedgerow Data'!$AN$3:$AZ$15,MATCH(C218,'G-6 Hedgerow Data'!$AM$3:$AM$15,0),MATCH(M218,'G-6 Hedgerow Data'!$AN$2:$AZ$2,0))),"")</f>
        <v/>
      </c>
      <c r="O218" s="282" t="str">
        <f t="shared" si="22"/>
        <v/>
      </c>
      <c r="P218" s="335" t="str">
        <f>IF(B218="","",VLOOKUP(B218,'B-1 On-Site Hedge Baseline'!$B$10:T463,16,FALSE))</f>
        <v/>
      </c>
      <c r="Q218" s="281" t="str">
        <f>IF(M218="","",VLOOKUP(M218,'G-6 Hedgerow Data'!$B$2:$AG$15,2,FALSE))</f>
        <v/>
      </c>
      <c r="R218" s="282" t="str">
        <f>IF(M218="","",VLOOKUP(M218,'G-6 Hedgerow Data'!$B$2:$AG$15,3,FALSE))</f>
        <v/>
      </c>
      <c r="S218" s="112"/>
      <c r="T218" s="320" t="str">
        <f>IFERROR(IF(S218="","",IF(AND(M218="Non-native and ornamental hedgerow", S218&lt;&gt;"Poor"),"Not possible ▲", (VLOOKUP(S218,'G-1 All Habitats'!$Z$2:$AA$9,2,FALSE)))),"")</f>
        <v/>
      </c>
      <c r="U218" s="109"/>
      <c r="V218" s="301" t="str">
        <f>IF(U218="","",IF(VLOOKUP(U218,'G-3 Multipliers'!$L$3:$N$6,2,FALSE)=0,"Spatial Data Missing ⚠",VLOOKUP(U218,'G-3 Multipliers'!$L$3:$N$6,2,FALSE)))</f>
        <v/>
      </c>
      <c r="W218" s="305" t="str">
        <f>IF(U218="","",IF(VLOOKUP(U218,'G-3 Multipliers'!$L$3:$N$6,3,FALSE)=0,"Spatial Data Missing ⚠",VLOOKUP(U218,'G-3 Multipliers'!$L$3:$N$6,3,FALSE)))</f>
        <v/>
      </c>
      <c r="X218" s="281" t="str">
        <f>IFERROR(IF(OR(LEFT(O218,5)="Error",LEFT(N218,5)="Error",T218="Error"),"Check Data ⚠",IF(F218&lt;R218,INDEX('G-6 Hedgerow Data'!$S$3:$AE$14,MATCH(C218,'G-6 Hedgerow Data'!$B$3:$B$14,0),MATCH(M218,'G-6 Hedgerow Data'!$S$2:$AE$2,0)),INDEX('G-6 Hedgerow Data'!$K$3:$Q$14,MATCH(M218,'G-6 Hedgerow Data'!$B$3:$B$14,0),MATCH(O218,'G-6 Hedgerow Data'!$K$2:$Q$2,0)))),"")</f>
        <v/>
      </c>
      <c r="Y218" s="137"/>
      <c r="Z218" s="137"/>
      <c r="AA218" s="289" t="str">
        <f t="shared" si="23"/>
        <v/>
      </c>
      <c r="AB218" s="302" t="str">
        <f t="shared" si="24"/>
        <v/>
      </c>
      <c r="AC218" s="303" t="str">
        <f t="shared" si="21"/>
        <v/>
      </c>
      <c r="AD218" s="317" t="str">
        <f>IF(M218="","",VLOOKUP(M218,'G-6 Hedgerow Data'!$B$3:$AG$15,31,FALSE))</f>
        <v/>
      </c>
      <c r="AE218" s="289" t="str">
        <f t="shared" si="25"/>
        <v/>
      </c>
      <c r="AF218" s="289" t="str">
        <f t="shared" si="26"/>
        <v/>
      </c>
      <c r="AG218" s="305" t="str">
        <f>IFERROR(IF(O218="","",VLOOKUP(AD218,'G-3 Multipliers'!$P$3:$Q$6,2,FALSE)),"")</f>
        <v/>
      </c>
      <c r="AH218" s="295" t="str">
        <f t="shared" si="27"/>
        <v/>
      </c>
      <c r="AI218" s="112"/>
      <c r="AJ218" s="119"/>
      <c r="AK218" s="108"/>
      <c r="AT218" s="30" t="str">
        <f>IFERROR(INDEX('G-6 Hedgerow Data'!$BJ$3:$BJ$15,MATCH(M218,'G-6 Hedgerow Data'!$B$3:$B$15,0)),"")</f>
        <v/>
      </c>
    </row>
    <row r="219" spans="2:46" ht="13.8" x14ac:dyDescent="0.25">
      <c r="B219" s="311" t="str">
        <f>'B-1 On-Site Hedge Baseline'!AK217</f>
        <v/>
      </c>
      <c r="C219" s="301" t="str">
        <f>IF(B219="","",IF(ISNA(VLOOKUP($B219,'B-1 On-Site Hedge Baseline'!$B$1:$L$257,3,FALSE)),"",(VLOOKUP($B219,'B-1 On-Site Hedge Baseline'!$B$1:$L$257,3,FALSE))))</f>
        <v/>
      </c>
      <c r="D219" s="301" t="str">
        <f>IF(B219="","",IF(ISNA(VLOOKUP($B219,'B-1 On-Site Hedge Baseline'!$B$1:$L$257,4,FALSE)),"",(VLOOKUP($B219,'B-1 On-Site Hedge Baseline'!$B$1:$L$257,4,FALSE))))</f>
        <v/>
      </c>
      <c r="E219" s="301" t="str">
        <f>IF(B219="","",IF(ISNA(VLOOKUP($B219,'B-1 On-Site Hedge Baseline'!$B$1:$L$257,5,FALSE)),"",(VLOOKUP($B219,'B-1 On-Site Hedge Baseline'!$B$1:$L$257,5,FALSE))))</f>
        <v/>
      </c>
      <c r="F219" s="301" t="str">
        <f>IF(B219="","",IF(ISNA(VLOOKUP($B219,'B-1 On-Site Hedge Baseline'!$B$1:$L$257,6,FALSE)),"",(VLOOKUP($B219,'B-1 On-Site Hedge Baseline'!$B$1:$L$257,6,FALSE))))</f>
        <v/>
      </c>
      <c r="G219" s="301" t="str">
        <f>IF(B219="","",IF(ISNA(VLOOKUP($B219,'B-1 On-Site Hedge Baseline'!$B$1:$L$257,7,FALSE)),"",(VLOOKUP($B219,'B-1 On-Site Hedge Baseline'!$B$1:$L$257,7,FALSE))))</f>
        <v/>
      </c>
      <c r="H219" s="301" t="str">
        <f>IF(B219="","",IF(ISNA(VLOOKUP($B219,'B-1 On-Site Hedge Baseline'!$B$1:$L$257,8,FALSE)),"",(VLOOKUP($B219,'B-1 On-Site Hedge Baseline'!$B$1:$L$257,8,FALSE))))</f>
        <v/>
      </c>
      <c r="I219" s="301" t="str">
        <f>IF(B219="","",IF(ISNA(VLOOKUP($B219,'B-1 On-Site Hedge Baseline'!$B$1:$L$257,10,FALSE)),"",(VLOOKUP($B219,'B-1 On-Site Hedge Baseline'!$B$1:$L$257,10,FALSE))))</f>
        <v/>
      </c>
      <c r="J219" s="301" t="str">
        <f>IF(B219="","",IF(ISNA(VLOOKUP($B219,'B-1 On-Site Hedge Baseline'!$B$1:$L$257,11,FALSE)),"",(VLOOKUP($B219,'B-1 On-Site Hedge Baseline'!$B$1:$L$257,11,FALSE))))</f>
        <v/>
      </c>
      <c r="K219" s="301" t="str">
        <f>IF(B219="","",IF(ISNA(VLOOKUP($B219,'B-1 On-Site Hedge Baseline'!$B$1:$U$257,13,FALSE)),"",(VLOOKUP($B219,'B-1 On-Site Hedge Baseline'!$B$1:$U$257,13,FALSE))))</f>
        <v/>
      </c>
      <c r="L219" s="305" t="str">
        <f>IF(B219="","",IF(ISNA(VLOOKUP($B219,'B-1 On-Site Hedge Baseline'!$B$1:$U$257,12,FALSE)),"",(VLOOKUP($B219,'B-1 On-Site Hedge Baseline'!$B$1:$U$257,12,FALSE))))</f>
        <v/>
      </c>
      <c r="M219" s="627"/>
      <c r="N219" s="281" t="str">
        <f>IFERROR(IF(B219="","",INDEX('G-6 Hedgerow Data'!$AN$3:$AZ$15,MATCH(C219,'G-6 Hedgerow Data'!$AM$3:$AM$15,0),MATCH(M219,'G-6 Hedgerow Data'!$AN$2:$AZ$2,0))),"")</f>
        <v/>
      </c>
      <c r="O219" s="282" t="str">
        <f t="shared" si="22"/>
        <v/>
      </c>
      <c r="P219" s="335" t="str">
        <f>IF(B219="","",VLOOKUP(B219,'B-1 On-Site Hedge Baseline'!$B$10:T464,16,FALSE))</f>
        <v/>
      </c>
      <c r="Q219" s="281" t="str">
        <f>IF(M219="","",VLOOKUP(M219,'G-6 Hedgerow Data'!$B$2:$AG$15,2,FALSE))</f>
        <v/>
      </c>
      <c r="R219" s="282" t="str">
        <f>IF(M219="","",VLOOKUP(M219,'G-6 Hedgerow Data'!$B$2:$AG$15,3,FALSE))</f>
        <v/>
      </c>
      <c r="S219" s="112"/>
      <c r="T219" s="320" t="str">
        <f>IFERROR(IF(S219="","",IF(AND(M219="Non-native and ornamental hedgerow", S219&lt;&gt;"Poor"),"Not possible ▲", (VLOOKUP(S219,'G-1 All Habitats'!$Z$2:$AA$9,2,FALSE)))),"")</f>
        <v/>
      </c>
      <c r="U219" s="109"/>
      <c r="V219" s="301" t="str">
        <f>IF(U219="","",IF(VLOOKUP(U219,'G-3 Multipliers'!$L$3:$N$6,2,FALSE)=0,"Spatial Data Missing ⚠",VLOOKUP(U219,'G-3 Multipliers'!$L$3:$N$6,2,FALSE)))</f>
        <v/>
      </c>
      <c r="W219" s="305" t="str">
        <f>IF(U219="","",IF(VLOOKUP(U219,'G-3 Multipliers'!$L$3:$N$6,3,FALSE)=0,"Spatial Data Missing ⚠",VLOOKUP(U219,'G-3 Multipliers'!$L$3:$N$6,3,FALSE)))</f>
        <v/>
      </c>
      <c r="X219" s="281" t="str">
        <f>IFERROR(IF(OR(LEFT(O219,5)="Error",LEFT(N219,5)="Error",T219="Error"),"Check Data ⚠",IF(F219&lt;R219,INDEX('G-6 Hedgerow Data'!$S$3:$AE$14,MATCH(C219,'G-6 Hedgerow Data'!$B$3:$B$14,0),MATCH(M219,'G-6 Hedgerow Data'!$S$2:$AE$2,0)),INDEX('G-6 Hedgerow Data'!$K$3:$Q$14,MATCH(M219,'G-6 Hedgerow Data'!$B$3:$B$14,0),MATCH(O219,'G-6 Hedgerow Data'!$K$2:$Q$2,0)))),"")</f>
        <v/>
      </c>
      <c r="Y219" s="137"/>
      <c r="Z219" s="137"/>
      <c r="AA219" s="289" t="str">
        <f t="shared" si="23"/>
        <v/>
      </c>
      <c r="AB219" s="302" t="str">
        <f t="shared" si="24"/>
        <v/>
      </c>
      <c r="AC219" s="303" t="str">
        <f t="shared" si="21"/>
        <v/>
      </c>
      <c r="AD219" s="317" t="str">
        <f>IF(M219="","",VLOOKUP(M219,'G-6 Hedgerow Data'!$B$3:$AG$15,31,FALSE))</f>
        <v/>
      </c>
      <c r="AE219" s="289" t="str">
        <f t="shared" si="25"/>
        <v/>
      </c>
      <c r="AF219" s="289" t="str">
        <f t="shared" si="26"/>
        <v/>
      </c>
      <c r="AG219" s="305" t="str">
        <f>IFERROR(IF(O219="","",VLOOKUP(AD219,'G-3 Multipliers'!$P$3:$Q$6,2,FALSE)),"")</f>
        <v/>
      </c>
      <c r="AH219" s="295" t="str">
        <f t="shared" si="27"/>
        <v/>
      </c>
      <c r="AI219" s="112"/>
      <c r="AJ219" s="119"/>
      <c r="AK219" s="108"/>
      <c r="AT219" s="30" t="str">
        <f>IFERROR(INDEX('G-6 Hedgerow Data'!$BJ$3:$BJ$15,MATCH(M219,'G-6 Hedgerow Data'!$B$3:$B$15,0)),"")</f>
        <v/>
      </c>
    </row>
    <row r="220" spans="2:46" ht="13.8" x14ac:dyDescent="0.25">
      <c r="B220" s="311" t="str">
        <f>'B-1 On-Site Hedge Baseline'!AK218</f>
        <v/>
      </c>
      <c r="C220" s="301" t="str">
        <f>IF(B220="","",IF(ISNA(VLOOKUP($B220,'B-1 On-Site Hedge Baseline'!$B$1:$L$257,3,FALSE)),"",(VLOOKUP($B220,'B-1 On-Site Hedge Baseline'!$B$1:$L$257,3,FALSE))))</f>
        <v/>
      </c>
      <c r="D220" s="301" t="str">
        <f>IF(B220="","",IF(ISNA(VLOOKUP($B220,'B-1 On-Site Hedge Baseline'!$B$1:$L$257,4,FALSE)),"",(VLOOKUP($B220,'B-1 On-Site Hedge Baseline'!$B$1:$L$257,4,FALSE))))</f>
        <v/>
      </c>
      <c r="E220" s="301" t="str">
        <f>IF(B220="","",IF(ISNA(VLOOKUP($B220,'B-1 On-Site Hedge Baseline'!$B$1:$L$257,5,FALSE)),"",(VLOOKUP($B220,'B-1 On-Site Hedge Baseline'!$B$1:$L$257,5,FALSE))))</f>
        <v/>
      </c>
      <c r="F220" s="301" t="str">
        <f>IF(B220="","",IF(ISNA(VLOOKUP($B220,'B-1 On-Site Hedge Baseline'!$B$1:$L$257,6,FALSE)),"",(VLOOKUP($B220,'B-1 On-Site Hedge Baseline'!$B$1:$L$257,6,FALSE))))</f>
        <v/>
      </c>
      <c r="G220" s="301" t="str">
        <f>IF(B220="","",IF(ISNA(VLOOKUP($B220,'B-1 On-Site Hedge Baseline'!$B$1:$L$257,7,FALSE)),"",(VLOOKUP($B220,'B-1 On-Site Hedge Baseline'!$B$1:$L$257,7,FALSE))))</f>
        <v/>
      </c>
      <c r="H220" s="301" t="str">
        <f>IF(B220="","",IF(ISNA(VLOOKUP($B220,'B-1 On-Site Hedge Baseline'!$B$1:$L$257,8,FALSE)),"",(VLOOKUP($B220,'B-1 On-Site Hedge Baseline'!$B$1:$L$257,8,FALSE))))</f>
        <v/>
      </c>
      <c r="I220" s="301" t="str">
        <f>IF(B220="","",IF(ISNA(VLOOKUP($B220,'B-1 On-Site Hedge Baseline'!$B$1:$L$257,10,FALSE)),"",(VLOOKUP($B220,'B-1 On-Site Hedge Baseline'!$B$1:$L$257,10,FALSE))))</f>
        <v/>
      </c>
      <c r="J220" s="301" t="str">
        <f>IF(B220="","",IF(ISNA(VLOOKUP($B220,'B-1 On-Site Hedge Baseline'!$B$1:$L$257,11,FALSE)),"",(VLOOKUP($B220,'B-1 On-Site Hedge Baseline'!$B$1:$L$257,11,FALSE))))</f>
        <v/>
      </c>
      <c r="K220" s="301" t="str">
        <f>IF(B220="","",IF(ISNA(VLOOKUP($B220,'B-1 On-Site Hedge Baseline'!$B$1:$U$257,13,FALSE)),"",(VLOOKUP($B220,'B-1 On-Site Hedge Baseline'!$B$1:$U$257,13,FALSE))))</f>
        <v/>
      </c>
      <c r="L220" s="305" t="str">
        <f>IF(B220="","",IF(ISNA(VLOOKUP($B220,'B-1 On-Site Hedge Baseline'!$B$1:$U$257,12,FALSE)),"",(VLOOKUP($B220,'B-1 On-Site Hedge Baseline'!$B$1:$U$257,12,FALSE))))</f>
        <v/>
      </c>
      <c r="M220" s="627"/>
      <c r="N220" s="281" t="str">
        <f>IFERROR(IF(B220="","",INDEX('G-6 Hedgerow Data'!$AN$3:$AZ$15,MATCH(C220,'G-6 Hedgerow Data'!$AM$3:$AM$15,0),MATCH(M220,'G-6 Hedgerow Data'!$AN$2:$AZ$2,0))),"")</f>
        <v/>
      </c>
      <c r="O220" s="282" t="str">
        <f t="shared" si="22"/>
        <v/>
      </c>
      <c r="P220" s="335" t="str">
        <f>IF(B220="","",VLOOKUP(B220,'B-1 On-Site Hedge Baseline'!$B$10:T465,16,FALSE))</f>
        <v/>
      </c>
      <c r="Q220" s="281" t="str">
        <f>IF(M220="","",VLOOKUP(M220,'G-6 Hedgerow Data'!$B$2:$AG$15,2,FALSE))</f>
        <v/>
      </c>
      <c r="R220" s="282" t="str">
        <f>IF(M220="","",VLOOKUP(M220,'G-6 Hedgerow Data'!$B$2:$AG$15,3,FALSE))</f>
        <v/>
      </c>
      <c r="S220" s="112"/>
      <c r="T220" s="320" t="str">
        <f>IFERROR(IF(S220="","",IF(AND(M220="Non-native and ornamental hedgerow", S220&lt;&gt;"Poor"),"Not possible ▲", (VLOOKUP(S220,'G-1 All Habitats'!$Z$2:$AA$9,2,FALSE)))),"")</f>
        <v/>
      </c>
      <c r="U220" s="109"/>
      <c r="V220" s="301" t="str">
        <f>IF(U220="","",IF(VLOOKUP(U220,'G-3 Multipliers'!$L$3:$N$6,2,FALSE)=0,"Spatial Data Missing ⚠",VLOOKUP(U220,'G-3 Multipliers'!$L$3:$N$6,2,FALSE)))</f>
        <v/>
      </c>
      <c r="W220" s="305" t="str">
        <f>IF(U220="","",IF(VLOOKUP(U220,'G-3 Multipliers'!$L$3:$N$6,3,FALSE)=0,"Spatial Data Missing ⚠",VLOOKUP(U220,'G-3 Multipliers'!$L$3:$N$6,3,FALSE)))</f>
        <v/>
      </c>
      <c r="X220" s="281" t="str">
        <f>IFERROR(IF(OR(LEFT(O220,5)="Error",LEFT(N220,5)="Error",T220="Error"),"Check Data ⚠",IF(F220&lt;R220,INDEX('G-6 Hedgerow Data'!$S$3:$AE$14,MATCH(C220,'G-6 Hedgerow Data'!$B$3:$B$14,0),MATCH(M220,'G-6 Hedgerow Data'!$S$2:$AE$2,0)),INDEX('G-6 Hedgerow Data'!$K$3:$Q$14,MATCH(M220,'G-6 Hedgerow Data'!$B$3:$B$14,0),MATCH(O220,'G-6 Hedgerow Data'!$K$2:$Q$2,0)))),"")</f>
        <v/>
      </c>
      <c r="Y220" s="137"/>
      <c r="Z220" s="137"/>
      <c r="AA220" s="289" t="str">
        <f t="shared" si="23"/>
        <v/>
      </c>
      <c r="AB220" s="302" t="str">
        <f t="shared" si="24"/>
        <v/>
      </c>
      <c r="AC220" s="303" t="str">
        <f t="shared" si="21"/>
        <v/>
      </c>
      <c r="AD220" s="317" t="str">
        <f>IF(M220="","",VLOOKUP(M220,'G-6 Hedgerow Data'!$B$3:$AG$15,31,FALSE))</f>
        <v/>
      </c>
      <c r="AE220" s="289" t="str">
        <f t="shared" si="25"/>
        <v/>
      </c>
      <c r="AF220" s="289" t="str">
        <f t="shared" si="26"/>
        <v/>
      </c>
      <c r="AG220" s="305" t="str">
        <f>IFERROR(IF(O220="","",VLOOKUP(AD220,'G-3 Multipliers'!$P$3:$Q$6,2,FALSE)),"")</f>
        <v/>
      </c>
      <c r="AH220" s="295" t="str">
        <f t="shared" si="27"/>
        <v/>
      </c>
      <c r="AI220" s="112"/>
      <c r="AJ220" s="119"/>
      <c r="AK220" s="108"/>
      <c r="AT220" s="30" t="str">
        <f>IFERROR(INDEX('G-6 Hedgerow Data'!$BJ$3:$BJ$15,MATCH(M220,'G-6 Hedgerow Data'!$B$3:$B$15,0)),"")</f>
        <v/>
      </c>
    </row>
    <row r="221" spans="2:46" ht="13.8" x14ac:dyDescent="0.25">
      <c r="B221" s="311" t="str">
        <f>'B-1 On-Site Hedge Baseline'!AK219</f>
        <v/>
      </c>
      <c r="C221" s="301" t="str">
        <f>IF(B221="","",IF(ISNA(VLOOKUP($B221,'B-1 On-Site Hedge Baseline'!$B$1:$L$257,3,FALSE)),"",(VLOOKUP($B221,'B-1 On-Site Hedge Baseline'!$B$1:$L$257,3,FALSE))))</f>
        <v/>
      </c>
      <c r="D221" s="301" t="str">
        <f>IF(B221="","",IF(ISNA(VLOOKUP($B221,'B-1 On-Site Hedge Baseline'!$B$1:$L$257,4,FALSE)),"",(VLOOKUP($B221,'B-1 On-Site Hedge Baseline'!$B$1:$L$257,4,FALSE))))</f>
        <v/>
      </c>
      <c r="E221" s="301" t="str">
        <f>IF(B221="","",IF(ISNA(VLOOKUP($B221,'B-1 On-Site Hedge Baseline'!$B$1:$L$257,5,FALSE)),"",(VLOOKUP($B221,'B-1 On-Site Hedge Baseline'!$B$1:$L$257,5,FALSE))))</f>
        <v/>
      </c>
      <c r="F221" s="301" t="str">
        <f>IF(B221="","",IF(ISNA(VLOOKUP($B221,'B-1 On-Site Hedge Baseline'!$B$1:$L$257,6,FALSE)),"",(VLOOKUP($B221,'B-1 On-Site Hedge Baseline'!$B$1:$L$257,6,FALSE))))</f>
        <v/>
      </c>
      <c r="G221" s="301" t="str">
        <f>IF(B221="","",IF(ISNA(VLOOKUP($B221,'B-1 On-Site Hedge Baseline'!$B$1:$L$257,7,FALSE)),"",(VLOOKUP($B221,'B-1 On-Site Hedge Baseline'!$B$1:$L$257,7,FALSE))))</f>
        <v/>
      </c>
      <c r="H221" s="301" t="str">
        <f>IF(B221="","",IF(ISNA(VLOOKUP($B221,'B-1 On-Site Hedge Baseline'!$B$1:$L$257,8,FALSE)),"",(VLOOKUP($B221,'B-1 On-Site Hedge Baseline'!$B$1:$L$257,8,FALSE))))</f>
        <v/>
      </c>
      <c r="I221" s="301" t="str">
        <f>IF(B221="","",IF(ISNA(VLOOKUP($B221,'B-1 On-Site Hedge Baseline'!$B$1:$L$257,10,FALSE)),"",(VLOOKUP($B221,'B-1 On-Site Hedge Baseline'!$B$1:$L$257,10,FALSE))))</f>
        <v/>
      </c>
      <c r="J221" s="301" t="str">
        <f>IF(B221="","",IF(ISNA(VLOOKUP($B221,'B-1 On-Site Hedge Baseline'!$B$1:$L$257,11,FALSE)),"",(VLOOKUP($B221,'B-1 On-Site Hedge Baseline'!$B$1:$L$257,11,FALSE))))</f>
        <v/>
      </c>
      <c r="K221" s="301" t="str">
        <f>IF(B221="","",IF(ISNA(VLOOKUP($B221,'B-1 On-Site Hedge Baseline'!$B$1:$U$257,13,FALSE)),"",(VLOOKUP($B221,'B-1 On-Site Hedge Baseline'!$B$1:$U$257,13,FALSE))))</f>
        <v/>
      </c>
      <c r="L221" s="305" t="str">
        <f>IF(B221="","",IF(ISNA(VLOOKUP($B221,'B-1 On-Site Hedge Baseline'!$B$1:$U$257,12,FALSE)),"",(VLOOKUP($B221,'B-1 On-Site Hedge Baseline'!$B$1:$U$257,12,FALSE))))</f>
        <v/>
      </c>
      <c r="M221" s="627"/>
      <c r="N221" s="281" t="str">
        <f>IFERROR(IF(B221="","",INDEX('G-6 Hedgerow Data'!$AN$3:$AZ$15,MATCH(C221,'G-6 Hedgerow Data'!$AM$3:$AM$15,0),MATCH(M221,'G-6 Hedgerow Data'!$AN$2:$AZ$2,0))),"")</f>
        <v/>
      </c>
      <c r="O221" s="282" t="str">
        <f t="shared" si="22"/>
        <v/>
      </c>
      <c r="P221" s="335" t="str">
        <f>IF(B221="","",VLOOKUP(B221,'B-1 On-Site Hedge Baseline'!$B$10:T466,16,FALSE))</f>
        <v/>
      </c>
      <c r="Q221" s="281" t="str">
        <f>IF(M221="","",VLOOKUP(M221,'G-6 Hedgerow Data'!$B$2:$AG$15,2,FALSE))</f>
        <v/>
      </c>
      <c r="R221" s="282" t="str">
        <f>IF(M221="","",VLOOKUP(M221,'G-6 Hedgerow Data'!$B$2:$AG$15,3,FALSE))</f>
        <v/>
      </c>
      <c r="S221" s="112"/>
      <c r="T221" s="320" t="str">
        <f>IFERROR(IF(S221="","",IF(AND(M221="Non-native and ornamental hedgerow", S221&lt;&gt;"Poor"),"Not possible ▲", (VLOOKUP(S221,'G-1 All Habitats'!$Z$2:$AA$9,2,FALSE)))),"")</f>
        <v/>
      </c>
      <c r="U221" s="109"/>
      <c r="V221" s="301" t="str">
        <f>IF(U221="","",IF(VLOOKUP(U221,'G-3 Multipliers'!$L$3:$N$6,2,FALSE)=0,"Spatial Data Missing ⚠",VLOOKUP(U221,'G-3 Multipliers'!$L$3:$N$6,2,FALSE)))</f>
        <v/>
      </c>
      <c r="W221" s="305" t="str">
        <f>IF(U221="","",IF(VLOOKUP(U221,'G-3 Multipliers'!$L$3:$N$6,3,FALSE)=0,"Spatial Data Missing ⚠",VLOOKUP(U221,'G-3 Multipliers'!$L$3:$N$6,3,FALSE)))</f>
        <v/>
      </c>
      <c r="X221" s="281" t="str">
        <f>IFERROR(IF(OR(LEFT(O221,5)="Error",LEFT(N221,5)="Error",T221="Error"),"Check Data ⚠",IF(F221&lt;R221,INDEX('G-6 Hedgerow Data'!$S$3:$AE$14,MATCH(C221,'G-6 Hedgerow Data'!$B$3:$B$14,0),MATCH(M221,'G-6 Hedgerow Data'!$S$2:$AE$2,0)),INDEX('G-6 Hedgerow Data'!$K$3:$Q$14,MATCH(M221,'G-6 Hedgerow Data'!$B$3:$B$14,0),MATCH(O221,'G-6 Hedgerow Data'!$K$2:$Q$2,0)))),"")</f>
        <v/>
      </c>
      <c r="Y221" s="137"/>
      <c r="Z221" s="137"/>
      <c r="AA221" s="289" t="str">
        <f t="shared" si="23"/>
        <v/>
      </c>
      <c r="AB221" s="302" t="str">
        <f t="shared" si="24"/>
        <v/>
      </c>
      <c r="AC221" s="303" t="str">
        <f t="shared" si="21"/>
        <v/>
      </c>
      <c r="AD221" s="317" t="str">
        <f>IF(M221="","",VLOOKUP(M221,'G-6 Hedgerow Data'!$B$3:$AG$15,31,FALSE))</f>
        <v/>
      </c>
      <c r="AE221" s="289" t="str">
        <f t="shared" si="25"/>
        <v/>
      </c>
      <c r="AF221" s="289" t="str">
        <f t="shared" si="26"/>
        <v/>
      </c>
      <c r="AG221" s="305" t="str">
        <f>IFERROR(IF(O221="","",VLOOKUP(AD221,'G-3 Multipliers'!$P$3:$Q$6,2,FALSE)),"")</f>
        <v/>
      </c>
      <c r="AH221" s="295" t="str">
        <f t="shared" si="27"/>
        <v/>
      </c>
      <c r="AI221" s="112"/>
      <c r="AJ221" s="119"/>
      <c r="AK221" s="108"/>
      <c r="AT221" s="30" t="str">
        <f>IFERROR(INDEX('G-6 Hedgerow Data'!$BJ$3:$BJ$15,MATCH(M221,'G-6 Hedgerow Data'!$B$3:$B$15,0)),"")</f>
        <v/>
      </c>
    </row>
    <row r="222" spans="2:46" ht="13.8" x14ac:dyDescent="0.25">
      <c r="B222" s="311" t="str">
        <f>'B-1 On-Site Hedge Baseline'!AK220</f>
        <v/>
      </c>
      <c r="C222" s="301" t="str">
        <f>IF(B222="","",IF(ISNA(VLOOKUP($B222,'B-1 On-Site Hedge Baseline'!$B$1:$L$257,3,FALSE)),"",(VLOOKUP($B222,'B-1 On-Site Hedge Baseline'!$B$1:$L$257,3,FALSE))))</f>
        <v/>
      </c>
      <c r="D222" s="301" t="str">
        <f>IF(B222="","",IF(ISNA(VLOOKUP($B222,'B-1 On-Site Hedge Baseline'!$B$1:$L$257,4,FALSE)),"",(VLOOKUP($B222,'B-1 On-Site Hedge Baseline'!$B$1:$L$257,4,FALSE))))</f>
        <v/>
      </c>
      <c r="E222" s="301" t="str">
        <f>IF(B222="","",IF(ISNA(VLOOKUP($B222,'B-1 On-Site Hedge Baseline'!$B$1:$L$257,5,FALSE)),"",(VLOOKUP($B222,'B-1 On-Site Hedge Baseline'!$B$1:$L$257,5,FALSE))))</f>
        <v/>
      </c>
      <c r="F222" s="301" t="str">
        <f>IF(B222="","",IF(ISNA(VLOOKUP($B222,'B-1 On-Site Hedge Baseline'!$B$1:$L$257,6,FALSE)),"",(VLOOKUP($B222,'B-1 On-Site Hedge Baseline'!$B$1:$L$257,6,FALSE))))</f>
        <v/>
      </c>
      <c r="G222" s="301" t="str">
        <f>IF(B222="","",IF(ISNA(VLOOKUP($B222,'B-1 On-Site Hedge Baseline'!$B$1:$L$257,7,FALSE)),"",(VLOOKUP($B222,'B-1 On-Site Hedge Baseline'!$B$1:$L$257,7,FALSE))))</f>
        <v/>
      </c>
      <c r="H222" s="301" t="str">
        <f>IF(B222="","",IF(ISNA(VLOOKUP($B222,'B-1 On-Site Hedge Baseline'!$B$1:$L$257,8,FALSE)),"",(VLOOKUP($B222,'B-1 On-Site Hedge Baseline'!$B$1:$L$257,8,FALSE))))</f>
        <v/>
      </c>
      <c r="I222" s="301" t="str">
        <f>IF(B222="","",IF(ISNA(VLOOKUP($B222,'B-1 On-Site Hedge Baseline'!$B$1:$L$257,10,FALSE)),"",(VLOOKUP($B222,'B-1 On-Site Hedge Baseline'!$B$1:$L$257,10,FALSE))))</f>
        <v/>
      </c>
      <c r="J222" s="301" t="str">
        <f>IF(B222="","",IF(ISNA(VLOOKUP($B222,'B-1 On-Site Hedge Baseline'!$B$1:$L$257,11,FALSE)),"",(VLOOKUP($B222,'B-1 On-Site Hedge Baseline'!$B$1:$L$257,11,FALSE))))</f>
        <v/>
      </c>
      <c r="K222" s="301" t="str">
        <f>IF(B222="","",IF(ISNA(VLOOKUP($B222,'B-1 On-Site Hedge Baseline'!$B$1:$U$257,13,FALSE)),"",(VLOOKUP($B222,'B-1 On-Site Hedge Baseline'!$B$1:$U$257,13,FALSE))))</f>
        <v/>
      </c>
      <c r="L222" s="305" t="str">
        <f>IF(B222="","",IF(ISNA(VLOOKUP($B222,'B-1 On-Site Hedge Baseline'!$B$1:$U$257,12,FALSE)),"",(VLOOKUP($B222,'B-1 On-Site Hedge Baseline'!$B$1:$U$257,12,FALSE))))</f>
        <v/>
      </c>
      <c r="M222" s="627"/>
      <c r="N222" s="281" t="str">
        <f>IFERROR(IF(B222="","",INDEX('G-6 Hedgerow Data'!$AN$3:$AZ$15,MATCH(C222,'G-6 Hedgerow Data'!$AM$3:$AM$15,0),MATCH(M222,'G-6 Hedgerow Data'!$AN$2:$AZ$2,0))),"")</f>
        <v/>
      </c>
      <c r="O222" s="282" t="str">
        <f t="shared" si="22"/>
        <v/>
      </c>
      <c r="P222" s="335" t="str">
        <f>IF(B222="","",VLOOKUP(B222,'B-1 On-Site Hedge Baseline'!$B$10:T467,16,FALSE))</f>
        <v/>
      </c>
      <c r="Q222" s="281" t="str">
        <f>IF(M222="","",VLOOKUP(M222,'G-6 Hedgerow Data'!$B$2:$AG$15,2,FALSE))</f>
        <v/>
      </c>
      <c r="R222" s="282" t="str">
        <f>IF(M222="","",VLOOKUP(M222,'G-6 Hedgerow Data'!$B$2:$AG$15,3,FALSE))</f>
        <v/>
      </c>
      <c r="S222" s="112"/>
      <c r="T222" s="320" t="str">
        <f>IFERROR(IF(S222="","",IF(AND(M222="Non-native and ornamental hedgerow", S222&lt;&gt;"Poor"),"Not possible ▲", (VLOOKUP(S222,'G-1 All Habitats'!$Z$2:$AA$9,2,FALSE)))),"")</f>
        <v/>
      </c>
      <c r="U222" s="109"/>
      <c r="V222" s="301" t="str">
        <f>IF(U222="","",IF(VLOOKUP(U222,'G-3 Multipliers'!$L$3:$N$6,2,FALSE)=0,"Spatial Data Missing ⚠",VLOOKUP(U222,'G-3 Multipliers'!$L$3:$N$6,2,FALSE)))</f>
        <v/>
      </c>
      <c r="W222" s="305" t="str">
        <f>IF(U222="","",IF(VLOOKUP(U222,'G-3 Multipliers'!$L$3:$N$6,3,FALSE)=0,"Spatial Data Missing ⚠",VLOOKUP(U222,'G-3 Multipliers'!$L$3:$N$6,3,FALSE)))</f>
        <v/>
      </c>
      <c r="X222" s="281" t="str">
        <f>IFERROR(IF(OR(LEFT(O222,5)="Error",LEFT(N222,5)="Error",T222="Error"),"Check Data ⚠",IF(F222&lt;R222,INDEX('G-6 Hedgerow Data'!$S$3:$AE$14,MATCH(C222,'G-6 Hedgerow Data'!$B$3:$B$14,0),MATCH(M222,'G-6 Hedgerow Data'!$S$2:$AE$2,0)),INDEX('G-6 Hedgerow Data'!$K$3:$Q$14,MATCH(M222,'G-6 Hedgerow Data'!$B$3:$B$14,0),MATCH(O222,'G-6 Hedgerow Data'!$K$2:$Q$2,0)))),"")</f>
        <v/>
      </c>
      <c r="Y222" s="137"/>
      <c r="Z222" s="137"/>
      <c r="AA222" s="289" t="str">
        <f t="shared" si="23"/>
        <v/>
      </c>
      <c r="AB222" s="302" t="str">
        <f t="shared" si="24"/>
        <v/>
      </c>
      <c r="AC222" s="303" t="str">
        <f t="shared" si="21"/>
        <v/>
      </c>
      <c r="AD222" s="317" t="str">
        <f>IF(M222="","",VLOOKUP(M222,'G-6 Hedgerow Data'!$B$3:$AG$15,31,FALSE))</f>
        <v/>
      </c>
      <c r="AE222" s="289" t="str">
        <f t="shared" si="25"/>
        <v/>
      </c>
      <c r="AF222" s="289" t="str">
        <f t="shared" si="26"/>
        <v/>
      </c>
      <c r="AG222" s="305" t="str">
        <f>IFERROR(IF(O222="","",VLOOKUP(AD222,'G-3 Multipliers'!$P$3:$Q$6,2,FALSE)),"")</f>
        <v/>
      </c>
      <c r="AH222" s="295" t="str">
        <f t="shared" si="27"/>
        <v/>
      </c>
      <c r="AI222" s="112"/>
      <c r="AJ222" s="119"/>
      <c r="AK222" s="108"/>
      <c r="AT222" s="30" t="str">
        <f>IFERROR(INDEX('G-6 Hedgerow Data'!$BJ$3:$BJ$15,MATCH(M222,'G-6 Hedgerow Data'!$B$3:$B$15,0)),"")</f>
        <v/>
      </c>
    </row>
    <row r="223" spans="2:46" ht="13.8" x14ac:dyDescent="0.25">
      <c r="B223" s="311" t="str">
        <f>'B-1 On-Site Hedge Baseline'!AK221</f>
        <v/>
      </c>
      <c r="C223" s="301" t="str">
        <f>IF(B223="","",IF(ISNA(VLOOKUP($B223,'B-1 On-Site Hedge Baseline'!$B$1:$L$257,3,FALSE)),"",(VLOOKUP($B223,'B-1 On-Site Hedge Baseline'!$B$1:$L$257,3,FALSE))))</f>
        <v/>
      </c>
      <c r="D223" s="301" t="str">
        <f>IF(B223="","",IF(ISNA(VLOOKUP($B223,'B-1 On-Site Hedge Baseline'!$B$1:$L$257,4,FALSE)),"",(VLOOKUP($B223,'B-1 On-Site Hedge Baseline'!$B$1:$L$257,4,FALSE))))</f>
        <v/>
      </c>
      <c r="E223" s="301" t="str">
        <f>IF(B223="","",IF(ISNA(VLOOKUP($B223,'B-1 On-Site Hedge Baseline'!$B$1:$L$257,5,FALSE)),"",(VLOOKUP($B223,'B-1 On-Site Hedge Baseline'!$B$1:$L$257,5,FALSE))))</f>
        <v/>
      </c>
      <c r="F223" s="301" t="str">
        <f>IF(B223="","",IF(ISNA(VLOOKUP($B223,'B-1 On-Site Hedge Baseline'!$B$1:$L$257,6,FALSE)),"",(VLOOKUP($B223,'B-1 On-Site Hedge Baseline'!$B$1:$L$257,6,FALSE))))</f>
        <v/>
      </c>
      <c r="G223" s="301" t="str">
        <f>IF(B223="","",IF(ISNA(VLOOKUP($B223,'B-1 On-Site Hedge Baseline'!$B$1:$L$257,7,FALSE)),"",(VLOOKUP($B223,'B-1 On-Site Hedge Baseline'!$B$1:$L$257,7,FALSE))))</f>
        <v/>
      </c>
      <c r="H223" s="301" t="str">
        <f>IF(B223="","",IF(ISNA(VLOOKUP($B223,'B-1 On-Site Hedge Baseline'!$B$1:$L$257,8,FALSE)),"",(VLOOKUP($B223,'B-1 On-Site Hedge Baseline'!$B$1:$L$257,8,FALSE))))</f>
        <v/>
      </c>
      <c r="I223" s="301" t="str">
        <f>IF(B223="","",IF(ISNA(VLOOKUP($B223,'B-1 On-Site Hedge Baseline'!$B$1:$L$257,10,FALSE)),"",(VLOOKUP($B223,'B-1 On-Site Hedge Baseline'!$B$1:$L$257,10,FALSE))))</f>
        <v/>
      </c>
      <c r="J223" s="301" t="str">
        <f>IF(B223="","",IF(ISNA(VLOOKUP($B223,'B-1 On-Site Hedge Baseline'!$B$1:$L$257,11,FALSE)),"",(VLOOKUP($B223,'B-1 On-Site Hedge Baseline'!$B$1:$L$257,11,FALSE))))</f>
        <v/>
      </c>
      <c r="K223" s="301" t="str">
        <f>IF(B223="","",IF(ISNA(VLOOKUP($B223,'B-1 On-Site Hedge Baseline'!$B$1:$U$257,13,FALSE)),"",(VLOOKUP($B223,'B-1 On-Site Hedge Baseline'!$B$1:$U$257,13,FALSE))))</f>
        <v/>
      </c>
      <c r="L223" s="305" t="str">
        <f>IF(B223="","",IF(ISNA(VLOOKUP($B223,'B-1 On-Site Hedge Baseline'!$B$1:$U$257,12,FALSE)),"",(VLOOKUP($B223,'B-1 On-Site Hedge Baseline'!$B$1:$U$257,12,FALSE))))</f>
        <v/>
      </c>
      <c r="M223" s="627"/>
      <c r="N223" s="281" t="str">
        <f>IFERROR(IF(B223="","",INDEX('G-6 Hedgerow Data'!$AN$3:$AZ$15,MATCH(C223,'G-6 Hedgerow Data'!$AM$3:$AM$15,0),MATCH(M223,'G-6 Hedgerow Data'!$AN$2:$AZ$2,0))),"")</f>
        <v/>
      </c>
      <c r="O223" s="282" t="str">
        <f t="shared" si="22"/>
        <v/>
      </c>
      <c r="P223" s="335" t="str">
        <f>IF(B223="","",VLOOKUP(B223,'B-1 On-Site Hedge Baseline'!$B$10:T468,16,FALSE))</f>
        <v/>
      </c>
      <c r="Q223" s="281" t="str">
        <f>IF(M223="","",VLOOKUP(M223,'G-6 Hedgerow Data'!$B$2:$AG$15,2,FALSE))</f>
        <v/>
      </c>
      <c r="R223" s="282" t="str">
        <f>IF(M223="","",VLOOKUP(M223,'G-6 Hedgerow Data'!$B$2:$AG$15,3,FALSE))</f>
        <v/>
      </c>
      <c r="S223" s="112"/>
      <c r="T223" s="320" t="str">
        <f>IFERROR(IF(S223="","",IF(AND(M223="Non-native and ornamental hedgerow", S223&lt;&gt;"Poor"),"Not possible ▲", (VLOOKUP(S223,'G-1 All Habitats'!$Z$2:$AA$9,2,FALSE)))),"")</f>
        <v/>
      </c>
      <c r="U223" s="109"/>
      <c r="V223" s="301" t="str">
        <f>IF(U223="","",IF(VLOOKUP(U223,'G-3 Multipliers'!$L$3:$N$6,2,FALSE)=0,"Spatial Data Missing ⚠",VLOOKUP(U223,'G-3 Multipliers'!$L$3:$N$6,2,FALSE)))</f>
        <v/>
      </c>
      <c r="W223" s="305" t="str">
        <f>IF(U223="","",IF(VLOOKUP(U223,'G-3 Multipliers'!$L$3:$N$6,3,FALSE)=0,"Spatial Data Missing ⚠",VLOOKUP(U223,'G-3 Multipliers'!$L$3:$N$6,3,FALSE)))</f>
        <v/>
      </c>
      <c r="X223" s="281" t="str">
        <f>IFERROR(IF(OR(LEFT(O223,5)="Error",LEFT(N223,5)="Error",T223="Error"),"Check Data ⚠",IF(F223&lt;R223,INDEX('G-6 Hedgerow Data'!$S$3:$AE$14,MATCH(C223,'G-6 Hedgerow Data'!$B$3:$B$14,0),MATCH(M223,'G-6 Hedgerow Data'!$S$2:$AE$2,0)),INDEX('G-6 Hedgerow Data'!$K$3:$Q$14,MATCH(M223,'G-6 Hedgerow Data'!$B$3:$B$14,0),MATCH(O223,'G-6 Hedgerow Data'!$K$2:$Q$2,0)))),"")</f>
        <v/>
      </c>
      <c r="Y223" s="137"/>
      <c r="Z223" s="137"/>
      <c r="AA223" s="289" t="str">
        <f t="shared" si="23"/>
        <v/>
      </c>
      <c r="AB223" s="302" t="str">
        <f t="shared" si="24"/>
        <v/>
      </c>
      <c r="AC223" s="303" t="str">
        <f t="shared" si="21"/>
        <v/>
      </c>
      <c r="AD223" s="317" t="str">
        <f>IF(M223="","",VLOOKUP(M223,'G-6 Hedgerow Data'!$B$3:$AG$15,31,FALSE))</f>
        <v/>
      </c>
      <c r="AE223" s="289" t="str">
        <f t="shared" si="25"/>
        <v/>
      </c>
      <c r="AF223" s="289" t="str">
        <f t="shared" si="26"/>
        <v/>
      </c>
      <c r="AG223" s="305" t="str">
        <f>IFERROR(IF(O223="","",VLOOKUP(AD223,'G-3 Multipliers'!$P$3:$Q$6,2,FALSE)),"")</f>
        <v/>
      </c>
      <c r="AH223" s="295" t="str">
        <f t="shared" si="27"/>
        <v/>
      </c>
      <c r="AI223" s="112"/>
      <c r="AJ223" s="119"/>
      <c r="AK223" s="108"/>
      <c r="AT223" s="30" t="str">
        <f>IFERROR(INDEX('G-6 Hedgerow Data'!$BJ$3:$BJ$15,MATCH(M223,'G-6 Hedgerow Data'!$B$3:$B$15,0)),"")</f>
        <v/>
      </c>
    </row>
    <row r="224" spans="2:46" ht="13.8" x14ac:dyDescent="0.25">
      <c r="B224" s="311" t="str">
        <f>'B-1 On-Site Hedge Baseline'!AK222</f>
        <v/>
      </c>
      <c r="C224" s="301" t="str">
        <f>IF(B224="","",IF(ISNA(VLOOKUP($B224,'B-1 On-Site Hedge Baseline'!$B$1:$L$257,3,FALSE)),"",(VLOOKUP($B224,'B-1 On-Site Hedge Baseline'!$B$1:$L$257,3,FALSE))))</f>
        <v/>
      </c>
      <c r="D224" s="301" t="str">
        <f>IF(B224="","",IF(ISNA(VLOOKUP($B224,'B-1 On-Site Hedge Baseline'!$B$1:$L$257,4,FALSE)),"",(VLOOKUP($B224,'B-1 On-Site Hedge Baseline'!$B$1:$L$257,4,FALSE))))</f>
        <v/>
      </c>
      <c r="E224" s="301" t="str">
        <f>IF(B224="","",IF(ISNA(VLOOKUP($B224,'B-1 On-Site Hedge Baseline'!$B$1:$L$257,5,FALSE)),"",(VLOOKUP($B224,'B-1 On-Site Hedge Baseline'!$B$1:$L$257,5,FALSE))))</f>
        <v/>
      </c>
      <c r="F224" s="301" t="str">
        <f>IF(B224="","",IF(ISNA(VLOOKUP($B224,'B-1 On-Site Hedge Baseline'!$B$1:$L$257,6,FALSE)),"",(VLOOKUP($B224,'B-1 On-Site Hedge Baseline'!$B$1:$L$257,6,FALSE))))</f>
        <v/>
      </c>
      <c r="G224" s="301" t="str">
        <f>IF(B224="","",IF(ISNA(VLOOKUP($B224,'B-1 On-Site Hedge Baseline'!$B$1:$L$257,7,FALSE)),"",(VLOOKUP($B224,'B-1 On-Site Hedge Baseline'!$B$1:$L$257,7,FALSE))))</f>
        <v/>
      </c>
      <c r="H224" s="301" t="str">
        <f>IF(B224="","",IF(ISNA(VLOOKUP($B224,'B-1 On-Site Hedge Baseline'!$B$1:$L$257,8,FALSE)),"",(VLOOKUP($B224,'B-1 On-Site Hedge Baseline'!$B$1:$L$257,8,FALSE))))</f>
        <v/>
      </c>
      <c r="I224" s="301" t="str">
        <f>IF(B224="","",IF(ISNA(VLOOKUP($B224,'B-1 On-Site Hedge Baseline'!$B$1:$L$257,10,FALSE)),"",(VLOOKUP($B224,'B-1 On-Site Hedge Baseline'!$B$1:$L$257,10,FALSE))))</f>
        <v/>
      </c>
      <c r="J224" s="301" t="str">
        <f>IF(B224="","",IF(ISNA(VLOOKUP($B224,'B-1 On-Site Hedge Baseline'!$B$1:$L$257,11,FALSE)),"",(VLOOKUP($B224,'B-1 On-Site Hedge Baseline'!$B$1:$L$257,11,FALSE))))</f>
        <v/>
      </c>
      <c r="K224" s="301" t="str">
        <f>IF(B224="","",IF(ISNA(VLOOKUP($B224,'B-1 On-Site Hedge Baseline'!$B$1:$U$257,13,FALSE)),"",(VLOOKUP($B224,'B-1 On-Site Hedge Baseline'!$B$1:$U$257,13,FALSE))))</f>
        <v/>
      </c>
      <c r="L224" s="305" t="str">
        <f>IF(B224="","",IF(ISNA(VLOOKUP($B224,'B-1 On-Site Hedge Baseline'!$B$1:$U$257,12,FALSE)),"",(VLOOKUP($B224,'B-1 On-Site Hedge Baseline'!$B$1:$U$257,12,FALSE))))</f>
        <v/>
      </c>
      <c r="M224" s="627"/>
      <c r="N224" s="281" t="str">
        <f>IFERROR(IF(B224="","",INDEX('G-6 Hedgerow Data'!$AN$3:$AZ$15,MATCH(C224,'G-6 Hedgerow Data'!$AM$3:$AM$15,0),MATCH(M224,'G-6 Hedgerow Data'!$AN$2:$AZ$2,0))),"")</f>
        <v/>
      </c>
      <c r="O224" s="282" t="str">
        <f t="shared" si="22"/>
        <v/>
      </c>
      <c r="P224" s="335" t="str">
        <f>IF(B224="","",VLOOKUP(B224,'B-1 On-Site Hedge Baseline'!$B$10:T469,16,FALSE))</f>
        <v/>
      </c>
      <c r="Q224" s="281" t="str">
        <f>IF(M224="","",VLOOKUP(M224,'G-6 Hedgerow Data'!$B$2:$AG$15,2,FALSE))</f>
        <v/>
      </c>
      <c r="R224" s="282" t="str">
        <f>IF(M224="","",VLOOKUP(M224,'G-6 Hedgerow Data'!$B$2:$AG$15,3,FALSE))</f>
        <v/>
      </c>
      <c r="S224" s="112"/>
      <c r="T224" s="320" t="str">
        <f>IFERROR(IF(S224="","",IF(AND(M224="Non-native and ornamental hedgerow", S224&lt;&gt;"Poor"),"Not possible ▲", (VLOOKUP(S224,'G-1 All Habitats'!$Z$2:$AA$9,2,FALSE)))),"")</f>
        <v/>
      </c>
      <c r="U224" s="109"/>
      <c r="V224" s="301" t="str">
        <f>IF(U224="","",IF(VLOOKUP(U224,'G-3 Multipliers'!$L$3:$N$6,2,FALSE)=0,"Spatial Data Missing ⚠",VLOOKUP(U224,'G-3 Multipliers'!$L$3:$N$6,2,FALSE)))</f>
        <v/>
      </c>
      <c r="W224" s="305" t="str">
        <f>IF(U224="","",IF(VLOOKUP(U224,'G-3 Multipliers'!$L$3:$N$6,3,FALSE)=0,"Spatial Data Missing ⚠",VLOOKUP(U224,'G-3 Multipliers'!$L$3:$N$6,3,FALSE)))</f>
        <v/>
      </c>
      <c r="X224" s="281" t="str">
        <f>IFERROR(IF(OR(LEFT(O224,5)="Error",LEFT(N224,5)="Error",T224="Error"),"Check Data ⚠",IF(F224&lt;R224,INDEX('G-6 Hedgerow Data'!$S$3:$AE$14,MATCH(C224,'G-6 Hedgerow Data'!$B$3:$B$14,0),MATCH(M224,'G-6 Hedgerow Data'!$S$2:$AE$2,0)),INDEX('G-6 Hedgerow Data'!$K$3:$Q$14,MATCH(M224,'G-6 Hedgerow Data'!$B$3:$B$14,0),MATCH(O224,'G-6 Hedgerow Data'!$K$2:$Q$2,0)))),"")</f>
        <v/>
      </c>
      <c r="Y224" s="137"/>
      <c r="Z224" s="137"/>
      <c r="AA224" s="289" t="str">
        <f t="shared" si="23"/>
        <v/>
      </c>
      <c r="AB224" s="302" t="str">
        <f t="shared" si="24"/>
        <v/>
      </c>
      <c r="AC224" s="303" t="str">
        <f t="shared" si="21"/>
        <v/>
      </c>
      <c r="AD224" s="317" t="str">
        <f>IF(M224="","",VLOOKUP(M224,'G-6 Hedgerow Data'!$B$3:$AG$15,31,FALSE))</f>
        <v/>
      </c>
      <c r="AE224" s="289" t="str">
        <f t="shared" si="25"/>
        <v/>
      </c>
      <c r="AF224" s="289" t="str">
        <f t="shared" si="26"/>
        <v/>
      </c>
      <c r="AG224" s="305" t="str">
        <f>IFERROR(IF(O224="","",VLOOKUP(AD224,'G-3 Multipliers'!$P$3:$Q$6,2,FALSE)),"")</f>
        <v/>
      </c>
      <c r="AH224" s="295" t="str">
        <f t="shared" si="27"/>
        <v/>
      </c>
      <c r="AI224" s="112"/>
      <c r="AJ224" s="119"/>
      <c r="AK224" s="108"/>
      <c r="AT224" s="30" t="str">
        <f>IFERROR(INDEX('G-6 Hedgerow Data'!$BJ$3:$BJ$15,MATCH(M224,'G-6 Hedgerow Data'!$B$3:$B$15,0)),"")</f>
        <v/>
      </c>
    </row>
    <row r="225" spans="2:46" ht="13.8" x14ac:dyDescent="0.25">
      <c r="B225" s="311" t="str">
        <f>'B-1 On-Site Hedge Baseline'!AK223</f>
        <v/>
      </c>
      <c r="C225" s="301" t="str">
        <f>IF(B225="","",IF(ISNA(VLOOKUP($B225,'B-1 On-Site Hedge Baseline'!$B$1:$L$257,3,FALSE)),"",(VLOOKUP($B225,'B-1 On-Site Hedge Baseline'!$B$1:$L$257,3,FALSE))))</f>
        <v/>
      </c>
      <c r="D225" s="301" t="str">
        <f>IF(B225="","",IF(ISNA(VLOOKUP($B225,'B-1 On-Site Hedge Baseline'!$B$1:$L$257,4,FALSE)),"",(VLOOKUP($B225,'B-1 On-Site Hedge Baseline'!$B$1:$L$257,4,FALSE))))</f>
        <v/>
      </c>
      <c r="E225" s="301" t="str">
        <f>IF(B225="","",IF(ISNA(VLOOKUP($B225,'B-1 On-Site Hedge Baseline'!$B$1:$L$257,5,FALSE)),"",(VLOOKUP($B225,'B-1 On-Site Hedge Baseline'!$B$1:$L$257,5,FALSE))))</f>
        <v/>
      </c>
      <c r="F225" s="301" t="str">
        <f>IF(B225="","",IF(ISNA(VLOOKUP($B225,'B-1 On-Site Hedge Baseline'!$B$1:$L$257,6,FALSE)),"",(VLOOKUP($B225,'B-1 On-Site Hedge Baseline'!$B$1:$L$257,6,FALSE))))</f>
        <v/>
      </c>
      <c r="G225" s="301" t="str">
        <f>IF(B225="","",IF(ISNA(VLOOKUP($B225,'B-1 On-Site Hedge Baseline'!$B$1:$L$257,7,FALSE)),"",(VLOOKUP($B225,'B-1 On-Site Hedge Baseline'!$B$1:$L$257,7,FALSE))))</f>
        <v/>
      </c>
      <c r="H225" s="301" t="str">
        <f>IF(B225="","",IF(ISNA(VLOOKUP($B225,'B-1 On-Site Hedge Baseline'!$B$1:$L$257,8,FALSE)),"",(VLOOKUP($B225,'B-1 On-Site Hedge Baseline'!$B$1:$L$257,8,FALSE))))</f>
        <v/>
      </c>
      <c r="I225" s="301" t="str">
        <f>IF(B225="","",IF(ISNA(VLOOKUP($B225,'B-1 On-Site Hedge Baseline'!$B$1:$L$257,10,FALSE)),"",(VLOOKUP($B225,'B-1 On-Site Hedge Baseline'!$B$1:$L$257,10,FALSE))))</f>
        <v/>
      </c>
      <c r="J225" s="301" t="str">
        <f>IF(B225="","",IF(ISNA(VLOOKUP($B225,'B-1 On-Site Hedge Baseline'!$B$1:$L$257,11,FALSE)),"",(VLOOKUP($B225,'B-1 On-Site Hedge Baseline'!$B$1:$L$257,11,FALSE))))</f>
        <v/>
      </c>
      <c r="K225" s="301" t="str">
        <f>IF(B225="","",IF(ISNA(VLOOKUP($B225,'B-1 On-Site Hedge Baseline'!$B$1:$U$257,13,FALSE)),"",(VLOOKUP($B225,'B-1 On-Site Hedge Baseline'!$B$1:$U$257,13,FALSE))))</f>
        <v/>
      </c>
      <c r="L225" s="305" t="str">
        <f>IF(B225="","",IF(ISNA(VLOOKUP($B225,'B-1 On-Site Hedge Baseline'!$B$1:$U$257,12,FALSE)),"",(VLOOKUP($B225,'B-1 On-Site Hedge Baseline'!$B$1:$U$257,12,FALSE))))</f>
        <v/>
      </c>
      <c r="M225" s="627"/>
      <c r="N225" s="281" t="str">
        <f>IFERROR(IF(B225="","",INDEX('G-6 Hedgerow Data'!$AN$3:$AZ$15,MATCH(C225,'G-6 Hedgerow Data'!$AM$3:$AM$15,0),MATCH(M225,'G-6 Hedgerow Data'!$AN$2:$AZ$2,0))),"")</f>
        <v/>
      </c>
      <c r="O225" s="282" t="str">
        <f t="shared" si="22"/>
        <v/>
      </c>
      <c r="P225" s="335" t="str">
        <f>IF(B225="","",VLOOKUP(B225,'B-1 On-Site Hedge Baseline'!$B$10:T470,16,FALSE))</f>
        <v/>
      </c>
      <c r="Q225" s="281" t="str">
        <f>IF(M225="","",VLOOKUP(M225,'G-6 Hedgerow Data'!$B$2:$AG$15,2,FALSE))</f>
        <v/>
      </c>
      <c r="R225" s="282" t="str">
        <f>IF(M225="","",VLOOKUP(M225,'G-6 Hedgerow Data'!$B$2:$AG$15,3,FALSE))</f>
        <v/>
      </c>
      <c r="S225" s="112"/>
      <c r="T225" s="320" t="str">
        <f>IFERROR(IF(S225="","",IF(AND(M225="Non-native and ornamental hedgerow", S225&lt;&gt;"Poor"),"Not possible ▲", (VLOOKUP(S225,'G-1 All Habitats'!$Z$2:$AA$9,2,FALSE)))),"")</f>
        <v/>
      </c>
      <c r="U225" s="109"/>
      <c r="V225" s="301" t="str">
        <f>IF(U225="","",IF(VLOOKUP(U225,'G-3 Multipliers'!$L$3:$N$6,2,FALSE)=0,"Spatial Data Missing ⚠",VLOOKUP(U225,'G-3 Multipliers'!$L$3:$N$6,2,FALSE)))</f>
        <v/>
      </c>
      <c r="W225" s="305" t="str">
        <f>IF(U225="","",IF(VLOOKUP(U225,'G-3 Multipliers'!$L$3:$N$6,3,FALSE)=0,"Spatial Data Missing ⚠",VLOOKUP(U225,'G-3 Multipliers'!$L$3:$N$6,3,FALSE)))</f>
        <v/>
      </c>
      <c r="X225" s="281" t="str">
        <f>IFERROR(IF(OR(LEFT(O225,5)="Error",LEFT(N225,5)="Error",T225="Error"),"Check Data ⚠",IF(F225&lt;R225,INDEX('G-6 Hedgerow Data'!$S$3:$AE$14,MATCH(C225,'G-6 Hedgerow Data'!$B$3:$B$14,0),MATCH(M225,'G-6 Hedgerow Data'!$S$2:$AE$2,0)),INDEX('G-6 Hedgerow Data'!$K$3:$Q$14,MATCH(M225,'G-6 Hedgerow Data'!$B$3:$B$14,0),MATCH(O225,'G-6 Hedgerow Data'!$K$2:$Q$2,0)))),"")</f>
        <v/>
      </c>
      <c r="Y225" s="137"/>
      <c r="Z225" s="137"/>
      <c r="AA225" s="289" t="str">
        <f t="shared" si="23"/>
        <v/>
      </c>
      <c r="AB225" s="302" t="str">
        <f t="shared" si="24"/>
        <v/>
      </c>
      <c r="AC225" s="303" t="str">
        <f t="shared" si="21"/>
        <v/>
      </c>
      <c r="AD225" s="317" t="str">
        <f>IF(M225="","",VLOOKUP(M225,'G-6 Hedgerow Data'!$B$3:$AG$15,31,FALSE))</f>
        <v/>
      </c>
      <c r="AE225" s="289" t="str">
        <f t="shared" si="25"/>
        <v/>
      </c>
      <c r="AF225" s="289" t="str">
        <f t="shared" si="26"/>
        <v/>
      </c>
      <c r="AG225" s="305" t="str">
        <f>IFERROR(IF(O225="","",VLOOKUP(AD225,'G-3 Multipliers'!$P$3:$Q$6,2,FALSE)),"")</f>
        <v/>
      </c>
      <c r="AH225" s="295" t="str">
        <f t="shared" si="27"/>
        <v/>
      </c>
      <c r="AI225" s="112"/>
      <c r="AJ225" s="119"/>
      <c r="AK225" s="108"/>
      <c r="AT225" s="30" t="str">
        <f>IFERROR(INDEX('G-6 Hedgerow Data'!$BJ$3:$BJ$15,MATCH(M225,'G-6 Hedgerow Data'!$B$3:$B$15,0)),"")</f>
        <v/>
      </c>
    </row>
    <row r="226" spans="2:46" ht="13.8" x14ac:dyDescent="0.25">
      <c r="B226" s="311" t="str">
        <f>'B-1 On-Site Hedge Baseline'!AK224</f>
        <v/>
      </c>
      <c r="C226" s="301" t="str">
        <f>IF(B226="","",IF(ISNA(VLOOKUP($B226,'B-1 On-Site Hedge Baseline'!$B$1:$L$257,3,FALSE)),"",(VLOOKUP($B226,'B-1 On-Site Hedge Baseline'!$B$1:$L$257,3,FALSE))))</f>
        <v/>
      </c>
      <c r="D226" s="301" t="str">
        <f>IF(B226="","",IF(ISNA(VLOOKUP($B226,'B-1 On-Site Hedge Baseline'!$B$1:$L$257,4,FALSE)),"",(VLOOKUP($B226,'B-1 On-Site Hedge Baseline'!$B$1:$L$257,4,FALSE))))</f>
        <v/>
      </c>
      <c r="E226" s="301" t="str">
        <f>IF(B226="","",IF(ISNA(VLOOKUP($B226,'B-1 On-Site Hedge Baseline'!$B$1:$L$257,5,FALSE)),"",(VLOOKUP($B226,'B-1 On-Site Hedge Baseline'!$B$1:$L$257,5,FALSE))))</f>
        <v/>
      </c>
      <c r="F226" s="301" t="str">
        <f>IF(B226="","",IF(ISNA(VLOOKUP($B226,'B-1 On-Site Hedge Baseline'!$B$1:$L$257,6,FALSE)),"",(VLOOKUP($B226,'B-1 On-Site Hedge Baseline'!$B$1:$L$257,6,FALSE))))</f>
        <v/>
      </c>
      <c r="G226" s="301" t="str">
        <f>IF(B226="","",IF(ISNA(VLOOKUP($B226,'B-1 On-Site Hedge Baseline'!$B$1:$L$257,7,FALSE)),"",(VLOOKUP($B226,'B-1 On-Site Hedge Baseline'!$B$1:$L$257,7,FALSE))))</f>
        <v/>
      </c>
      <c r="H226" s="301" t="str">
        <f>IF(B226="","",IF(ISNA(VLOOKUP($B226,'B-1 On-Site Hedge Baseline'!$B$1:$L$257,8,FALSE)),"",(VLOOKUP($B226,'B-1 On-Site Hedge Baseline'!$B$1:$L$257,8,FALSE))))</f>
        <v/>
      </c>
      <c r="I226" s="301" t="str">
        <f>IF(B226="","",IF(ISNA(VLOOKUP($B226,'B-1 On-Site Hedge Baseline'!$B$1:$L$257,10,FALSE)),"",(VLOOKUP($B226,'B-1 On-Site Hedge Baseline'!$B$1:$L$257,10,FALSE))))</f>
        <v/>
      </c>
      <c r="J226" s="301" t="str">
        <f>IF(B226="","",IF(ISNA(VLOOKUP($B226,'B-1 On-Site Hedge Baseline'!$B$1:$L$257,11,FALSE)),"",(VLOOKUP($B226,'B-1 On-Site Hedge Baseline'!$B$1:$L$257,11,FALSE))))</f>
        <v/>
      </c>
      <c r="K226" s="301" t="str">
        <f>IF(B226="","",IF(ISNA(VLOOKUP($B226,'B-1 On-Site Hedge Baseline'!$B$1:$U$257,13,FALSE)),"",(VLOOKUP($B226,'B-1 On-Site Hedge Baseline'!$B$1:$U$257,13,FALSE))))</f>
        <v/>
      </c>
      <c r="L226" s="305" t="str">
        <f>IF(B226="","",IF(ISNA(VLOOKUP($B226,'B-1 On-Site Hedge Baseline'!$B$1:$U$257,12,FALSE)),"",(VLOOKUP($B226,'B-1 On-Site Hedge Baseline'!$B$1:$U$257,12,FALSE))))</f>
        <v/>
      </c>
      <c r="M226" s="627"/>
      <c r="N226" s="281" t="str">
        <f>IFERROR(IF(B226="","",INDEX('G-6 Hedgerow Data'!$AN$3:$AZ$15,MATCH(C226,'G-6 Hedgerow Data'!$AM$3:$AM$15,0),MATCH(M226,'G-6 Hedgerow Data'!$AN$2:$AZ$2,0))),"")</f>
        <v/>
      </c>
      <c r="O226" s="282" t="str">
        <f t="shared" si="22"/>
        <v/>
      </c>
      <c r="P226" s="335" t="str">
        <f>IF(B226="","",VLOOKUP(B226,'B-1 On-Site Hedge Baseline'!$B$10:T471,16,FALSE))</f>
        <v/>
      </c>
      <c r="Q226" s="281" t="str">
        <f>IF(M226="","",VLOOKUP(M226,'G-6 Hedgerow Data'!$B$2:$AG$15,2,FALSE))</f>
        <v/>
      </c>
      <c r="R226" s="282" t="str">
        <f>IF(M226="","",VLOOKUP(M226,'G-6 Hedgerow Data'!$B$2:$AG$15,3,FALSE))</f>
        <v/>
      </c>
      <c r="S226" s="112"/>
      <c r="T226" s="320" t="str">
        <f>IFERROR(IF(S226="","",IF(AND(M226="Non-native and ornamental hedgerow", S226&lt;&gt;"Poor"),"Not possible ▲", (VLOOKUP(S226,'G-1 All Habitats'!$Z$2:$AA$9,2,FALSE)))),"")</f>
        <v/>
      </c>
      <c r="U226" s="109"/>
      <c r="V226" s="301" t="str">
        <f>IF(U226="","",IF(VLOOKUP(U226,'G-3 Multipliers'!$L$3:$N$6,2,FALSE)=0,"Spatial Data Missing ⚠",VLOOKUP(U226,'G-3 Multipliers'!$L$3:$N$6,2,FALSE)))</f>
        <v/>
      </c>
      <c r="W226" s="305" t="str">
        <f>IF(U226="","",IF(VLOOKUP(U226,'G-3 Multipliers'!$L$3:$N$6,3,FALSE)=0,"Spatial Data Missing ⚠",VLOOKUP(U226,'G-3 Multipliers'!$L$3:$N$6,3,FALSE)))</f>
        <v/>
      </c>
      <c r="X226" s="281" t="str">
        <f>IFERROR(IF(OR(LEFT(O226,5)="Error",LEFT(N226,5)="Error",T226="Error"),"Check Data ⚠",IF(F226&lt;R226,INDEX('G-6 Hedgerow Data'!$S$3:$AE$14,MATCH(C226,'G-6 Hedgerow Data'!$B$3:$B$14,0),MATCH(M226,'G-6 Hedgerow Data'!$S$2:$AE$2,0)),INDEX('G-6 Hedgerow Data'!$K$3:$Q$14,MATCH(M226,'G-6 Hedgerow Data'!$B$3:$B$14,0),MATCH(O226,'G-6 Hedgerow Data'!$K$2:$Q$2,0)))),"")</f>
        <v/>
      </c>
      <c r="Y226" s="137"/>
      <c r="Z226" s="137"/>
      <c r="AA226" s="289" t="str">
        <f t="shared" si="23"/>
        <v/>
      </c>
      <c r="AB226" s="302" t="str">
        <f t="shared" si="24"/>
        <v/>
      </c>
      <c r="AC226" s="303" t="str">
        <f t="shared" si="21"/>
        <v/>
      </c>
      <c r="AD226" s="317" t="str">
        <f>IF(M226="","",VLOOKUP(M226,'G-6 Hedgerow Data'!$B$3:$AG$15,31,FALSE))</f>
        <v/>
      </c>
      <c r="AE226" s="289" t="str">
        <f t="shared" si="25"/>
        <v/>
      </c>
      <c r="AF226" s="289" t="str">
        <f t="shared" si="26"/>
        <v/>
      </c>
      <c r="AG226" s="305" t="str">
        <f>IFERROR(IF(O226="","",VLOOKUP(AD226,'G-3 Multipliers'!$P$3:$Q$6,2,FALSE)),"")</f>
        <v/>
      </c>
      <c r="AH226" s="295" t="str">
        <f t="shared" si="27"/>
        <v/>
      </c>
      <c r="AI226" s="112"/>
      <c r="AJ226" s="119"/>
      <c r="AK226" s="108"/>
      <c r="AT226" s="30" t="str">
        <f>IFERROR(INDEX('G-6 Hedgerow Data'!$BJ$3:$BJ$15,MATCH(M226,'G-6 Hedgerow Data'!$B$3:$B$15,0)),"")</f>
        <v/>
      </c>
    </row>
    <row r="227" spans="2:46" ht="13.8" x14ac:dyDescent="0.25">
      <c r="B227" s="311" t="str">
        <f>'B-1 On-Site Hedge Baseline'!AK225</f>
        <v/>
      </c>
      <c r="C227" s="301" t="str">
        <f>IF(B227="","",IF(ISNA(VLOOKUP($B227,'B-1 On-Site Hedge Baseline'!$B$1:$L$257,3,FALSE)),"",(VLOOKUP($B227,'B-1 On-Site Hedge Baseline'!$B$1:$L$257,3,FALSE))))</f>
        <v/>
      </c>
      <c r="D227" s="301" t="str">
        <f>IF(B227="","",IF(ISNA(VLOOKUP($B227,'B-1 On-Site Hedge Baseline'!$B$1:$L$257,4,FALSE)),"",(VLOOKUP($B227,'B-1 On-Site Hedge Baseline'!$B$1:$L$257,4,FALSE))))</f>
        <v/>
      </c>
      <c r="E227" s="301" t="str">
        <f>IF(B227="","",IF(ISNA(VLOOKUP($B227,'B-1 On-Site Hedge Baseline'!$B$1:$L$257,5,FALSE)),"",(VLOOKUP($B227,'B-1 On-Site Hedge Baseline'!$B$1:$L$257,5,FALSE))))</f>
        <v/>
      </c>
      <c r="F227" s="301" t="str">
        <f>IF(B227="","",IF(ISNA(VLOOKUP($B227,'B-1 On-Site Hedge Baseline'!$B$1:$L$257,6,FALSE)),"",(VLOOKUP($B227,'B-1 On-Site Hedge Baseline'!$B$1:$L$257,6,FALSE))))</f>
        <v/>
      </c>
      <c r="G227" s="301" t="str">
        <f>IF(B227="","",IF(ISNA(VLOOKUP($B227,'B-1 On-Site Hedge Baseline'!$B$1:$L$257,7,FALSE)),"",(VLOOKUP($B227,'B-1 On-Site Hedge Baseline'!$B$1:$L$257,7,FALSE))))</f>
        <v/>
      </c>
      <c r="H227" s="301" t="str">
        <f>IF(B227="","",IF(ISNA(VLOOKUP($B227,'B-1 On-Site Hedge Baseline'!$B$1:$L$257,8,FALSE)),"",(VLOOKUP($B227,'B-1 On-Site Hedge Baseline'!$B$1:$L$257,8,FALSE))))</f>
        <v/>
      </c>
      <c r="I227" s="301" t="str">
        <f>IF(B227="","",IF(ISNA(VLOOKUP($B227,'B-1 On-Site Hedge Baseline'!$B$1:$L$257,10,FALSE)),"",(VLOOKUP($B227,'B-1 On-Site Hedge Baseline'!$B$1:$L$257,10,FALSE))))</f>
        <v/>
      </c>
      <c r="J227" s="301" t="str">
        <f>IF(B227="","",IF(ISNA(VLOOKUP($B227,'B-1 On-Site Hedge Baseline'!$B$1:$L$257,11,FALSE)),"",(VLOOKUP($B227,'B-1 On-Site Hedge Baseline'!$B$1:$L$257,11,FALSE))))</f>
        <v/>
      </c>
      <c r="K227" s="301" t="str">
        <f>IF(B227="","",IF(ISNA(VLOOKUP($B227,'B-1 On-Site Hedge Baseline'!$B$1:$U$257,13,FALSE)),"",(VLOOKUP($B227,'B-1 On-Site Hedge Baseline'!$B$1:$U$257,13,FALSE))))</f>
        <v/>
      </c>
      <c r="L227" s="305" t="str">
        <f>IF(B227="","",IF(ISNA(VLOOKUP($B227,'B-1 On-Site Hedge Baseline'!$B$1:$U$257,12,FALSE)),"",(VLOOKUP($B227,'B-1 On-Site Hedge Baseline'!$B$1:$U$257,12,FALSE))))</f>
        <v/>
      </c>
      <c r="M227" s="627"/>
      <c r="N227" s="281" t="str">
        <f>IFERROR(IF(B227="","",INDEX('G-6 Hedgerow Data'!$AN$3:$AZ$15,MATCH(C227,'G-6 Hedgerow Data'!$AM$3:$AM$15,0),MATCH(M227,'G-6 Hedgerow Data'!$AN$2:$AZ$2,0))),"")</f>
        <v/>
      </c>
      <c r="O227" s="282" t="str">
        <f t="shared" si="22"/>
        <v/>
      </c>
      <c r="P227" s="335" t="str">
        <f>IF(B227="","",VLOOKUP(B227,'B-1 On-Site Hedge Baseline'!$B$10:T472,16,FALSE))</f>
        <v/>
      </c>
      <c r="Q227" s="281" t="str">
        <f>IF(M227="","",VLOOKUP(M227,'G-6 Hedgerow Data'!$B$2:$AG$15,2,FALSE))</f>
        <v/>
      </c>
      <c r="R227" s="282" t="str">
        <f>IF(M227="","",VLOOKUP(M227,'G-6 Hedgerow Data'!$B$2:$AG$15,3,FALSE))</f>
        <v/>
      </c>
      <c r="S227" s="112"/>
      <c r="T227" s="320" t="str">
        <f>IFERROR(IF(S227="","",IF(AND(M227="Non-native and ornamental hedgerow", S227&lt;&gt;"Poor"),"Not possible ▲", (VLOOKUP(S227,'G-1 All Habitats'!$Z$2:$AA$9,2,FALSE)))),"")</f>
        <v/>
      </c>
      <c r="U227" s="109"/>
      <c r="V227" s="301" t="str">
        <f>IF(U227="","",IF(VLOOKUP(U227,'G-3 Multipliers'!$L$3:$N$6,2,FALSE)=0,"Spatial Data Missing ⚠",VLOOKUP(U227,'G-3 Multipliers'!$L$3:$N$6,2,FALSE)))</f>
        <v/>
      </c>
      <c r="W227" s="305" t="str">
        <f>IF(U227="","",IF(VLOOKUP(U227,'G-3 Multipliers'!$L$3:$N$6,3,FALSE)=0,"Spatial Data Missing ⚠",VLOOKUP(U227,'G-3 Multipliers'!$L$3:$N$6,3,FALSE)))</f>
        <v/>
      </c>
      <c r="X227" s="281" t="str">
        <f>IFERROR(IF(OR(LEFT(O227,5)="Error",LEFT(N227,5)="Error",T227="Error"),"Check Data ⚠",IF(F227&lt;R227,INDEX('G-6 Hedgerow Data'!$S$3:$AE$14,MATCH(C227,'G-6 Hedgerow Data'!$B$3:$B$14,0),MATCH(M227,'G-6 Hedgerow Data'!$S$2:$AE$2,0)),INDEX('G-6 Hedgerow Data'!$K$3:$Q$14,MATCH(M227,'G-6 Hedgerow Data'!$B$3:$B$14,0),MATCH(O227,'G-6 Hedgerow Data'!$K$2:$Q$2,0)))),"")</f>
        <v/>
      </c>
      <c r="Y227" s="137"/>
      <c r="Z227" s="137"/>
      <c r="AA227" s="289" t="str">
        <f t="shared" si="23"/>
        <v/>
      </c>
      <c r="AB227" s="302" t="str">
        <f t="shared" si="24"/>
        <v/>
      </c>
      <c r="AC227" s="303" t="str">
        <f t="shared" si="21"/>
        <v/>
      </c>
      <c r="AD227" s="317" t="str">
        <f>IF(M227="","",VLOOKUP(M227,'G-6 Hedgerow Data'!$B$3:$AG$15,31,FALSE))</f>
        <v/>
      </c>
      <c r="AE227" s="289" t="str">
        <f t="shared" si="25"/>
        <v/>
      </c>
      <c r="AF227" s="289" t="str">
        <f t="shared" si="26"/>
        <v/>
      </c>
      <c r="AG227" s="305" t="str">
        <f>IFERROR(IF(O227="","",VLOOKUP(AD227,'G-3 Multipliers'!$P$3:$Q$6,2,FALSE)),"")</f>
        <v/>
      </c>
      <c r="AH227" s="295" t="str">
        <f t="shared" si="27"/>
        <v/>
      </c>
      <c r="AI227" s="112"/>
      <c r="AJ227" s="119"/>
      <c r="AK227" s="108"/>
      <c r="AT227" s="30" t="str">
        <f>IFERROR(INDEX('G-6 Hedgerow Data'!$BJ$3:$BJ$15,MATCH(M227,'G-6 Hedgerow Data'!$B$3:$B$15,0)),"")</f>
        <v/>
      </c>
    </row>
    <row r="228" spans="2:46" ht="13.8" x14ac:dyDescent="0.25">
      <c r="B228" s="311" t="str">
        <f>'B-1 On-Site Hedge Baseline'!AK226</f>
        <v/>
      </c>
      <c r="C228" s="301" t="str">
        <f>IF(B228="","",IF(ISNA(VLOOKUP($B228,'B-1 On-Site Hedge Baseline'!$B$1:$L$257,3,FALSE)),"",(VLOOKUP($B228,'B-1 On-Site Hedge Baseline'!$B$1:$L$257,3,FALSE))))</f>
        <v/>
      </c>
      <c r="D228" s="301" t="str">
        <f>IF(B228="","",IF(ISNA(VLOOKUP($B228,'B-1 On-Site Hedge Baseline'!$B$1:$L$257,4,FALSE)),"",(VLOOKUP($B228,'B-1 On-Site Hedge Baseline'!$B$1:$L$257,4,FALSE))))</f>
        <v/>
      </c>
      <c r="E228" s="301" t="str">
        <f>IF(B228="","",IF(ISNA(VLOOKUP($B228,'B-1 On-Site Hedge Baseline'!$B$1:$L$257,5,FALSE)),"",(VLOOKUP($B228,'B-1 On-Site Hedge Baseline'!$B$1:$L$257,5,FALSE))))</f>
        <v/>
      </c>
      <c r="F228" s="301" t="str">
        <f>IF(B228="","",IF(ISNA(VLOOKUP($B228,'B-1 On-Site Hedge Baseline'!$B$1:$L$257,6,FALSE)),"",(VLOOKUP($B228,'B-1 On-Site Hedge Baseline'!$B$1:$L$257,6,FALSE))))</f>
        <v/>
      </c>
      <c r="G228" s="301" t="str">
        <f>IF(B228="","",IF(ISNA(VLOOKUP($B228,'B-1 On-Site Hedge Baseline'!$B$1:$L$257,7,FALSE)),"",(VLOOKUP($B228,'B-1 On-Site Hedge Baseline'!$B$1:$L$257,7,FALSE))))</f>
        <v/>
      </c>
      <c r="H228" s="301" t="str">
        <f>IF(B228="","",IF(ISNA(VLOOKUP($B228,'B-1 On-Site Hedge Baseline'!$B$1:$L$257,8,FALSE)),"",(VLOOKUP($B228,'B-1 On-Site Hedge Baseline'!$B$1:$L$257,8,FALSE))))</f>
        <v/>
      </c>
      <c r="I228" s="301" t="str">
        <f>IF(B228="","",IF(ISNA(VLOOKUP($B228,'B-1 On-Site Hedge Baseline'!$B$1:$L$257,10,FALSE)),"",(VLOOKUP($B228,'B-1 On-Site Hedge Baseline'!$B$1:$L$257,10,FALSE))))</f>
        <v/>
      </c>
      <c r="J228" s="301" t="str">
        <f>IF(B228="","",IF(ISNA(VLOOKUP($B228,'B-1 On-Site Hedge Baseline'!$B$1:$L$257,11,FALSE)),"",(VLOOKUP($B228,'B-1 On-Site Hedge Baseline'!$B$1:$L$257,11,FALSE))))</f>
        <v/>
      </c>
      <c r="K228" s="301" t="str">
        <f>IF(B228="","",IF(ISNA(VLOOKUP($B228,'B-1 On-Site Hedge Baseline'!$B$1:$U$257,13,FALSE)),"",(VLOOKUP($B228,'B-1 On-Site Hedge Baseline'!$B$1:$U$257,13,FALSE))))</f>
        <v/>
      </c>
      <c r="L228" s="305" t="str">
        <f>IF(B228="","",IF(ISNA(VLOOKUP($B228,'B-1 On-Site Hedge Baseline'!$B$1:$U$257,12,FALSE)),"",(VLOOKUP($B228,'B-1 On-Site Hedge Baseline'!$B$1:$U$257,12,FALSE))))</f>
        <v/>
      </c>
      <c r="M228" s="627"/>
      <c r="N228" s="281" t="str">
        <f>IFERROR(IF(B228="","",INDEX('G-6 Hedgerow Data'!$AN$3:$AZ$15,MATCH(C228,'G-6 Hedgerow Data'!$AM$3:$AM$15,0),MATCH(M228,'G-6 Hedgerow Data'!$AN$2:$AZ$2,0))),"")</f>
        <v/>
      </c>
      <c r="O228" s="282" t="str">
        <f t="shared" si="22"/>
        <v/>
      </c>
      <c r="P228" s="335" t="str">
        <f>IF(B228="","",VLOOKUP(B228,'B-1 On-Site Hedge Baseline'!$B$10:T473,16,FALSE))</f>
        <v/>
      </c>
      <c r="Q228" s="281" t="str">
        <f>IF(M228="","",VLOOKUP(M228,'G-6 Hedgerow Data'!$B$2:$AG$15,2,FALSE))</f>
        <v/>
      </c>
      <c r="R228" s="282" t="str">
        <f>IF(M228="","",VLOOKUP(M228,'G-6 Hedgerow Data'!$B$2:$AG$15,3,FALSE))</f>
        <v/>
      </c>
      <c r="S228" s="112"/>
      <c r="T228" s="320" t="str">
        <f>IFERROR(IF(S228="","",IF(AND(M228="Non-native and ornamental hedgerow", S228&lt;&gt;"Poor"),"Not possible ▲", (VLOOKUP(S228,'G-1 All Habitats'!$Z$2:$AA$9,2,FALSE)))),"")</f>
        <v/>
      </c>
      <c r="U228" s="109"/>
      <c r="V228" s="301" t="str">
        <f>IF(U228="","",IF(VLOOKUP(U228,'G-3 Multipliers'!$L$3:$N$6,2,FALSE)=0,"Spatial Data Missing ⚠",VLOOKUP(U228,'G-3 Multipliers'!$L$3:$N$6,2,FALSE)))</f>
        <v/>
      </c>
      <c r="W228" s="305" t="str">
        <f>IF(U228="","",IF(VLOOKUP(U228,'G-3 Multipliers'!$L$3:$N$6,3,FALSE)=0,"Spatial Data Missing ⚠",VLOOKUP(U228,'G-3 Multipliers'!$L$3:$N$6,3,FALSE)))</f>
        <v/>
      </c>
      <c r="X228" s="281" t="str">
        <f>IFERROR(IF(OR(LEFT(O228,5)="Error",LEFT(N228,5)="Error",T228="Error"),"Check Data ⚠",IF(F228&lt;R228,INDEX('G-6 Hedgerow Data'!$S$3:$AE$14,MATCH(C228,'G-6 Hedgerow Data'!$B$3:$B$14,0),MATCH(M228,'G-6 Hedgerow Data'!$S$2:$AE$2,0)),INDEX('G-6 Hedgerow Data'!$K$3:$Q$14,MATCH(M228,'G-6 Hedgerow Data'!$B$3:$B$14,0),MATCH(O228,'G-6 Hedgerow Data'!$K$2:$Q$2,0)))),"")</f>
        <v/>
      </c>
      <c r="Y228" s="137"/>
      <c r="Z228" s="137"/>
      <c r="AA228" s="289" t="str">
        <f t="shared" si="23"/>
        <v/>
      </c>
      <c r="AB228" s="302" t="str">
        <f t="shared" si="24"/>
        <v/>
      </c>
      <c r="AC228" s="303" t="str">
        <f t="shared" si="21"/>
        <v/>
      </c>
      <c r="AD228" s="317" t="str">
        <f>IF(M228="","",VLOOKUP(M228,'G-6 Hedgerow Data'!$B$3:$AG$15,31,FALSE))</f>
        <v/>
      </c>
      <c r="AE228" s="289" t="str">
        <f t="shared" si="25"/>
        <v/>
      </c>
      <c r="AF228" s="289" t="str">
        <f t="shared" si="26"/>
        <v/>
      </c>
      <c r="AG228" s="305" t="str">
        <f>IFERROR(IF(O228="","",VLOOKUP(AD228,'G-3 Multipliers'!$P$3:$Q$6,2,FALSE)),"")</f>
        <v/>
      </c>
      <c r="AH228" s="295" t="str">
        <f t="shared" si="27"/>
        <v/>
      </c>
      <c r="AI228" s="112"/>
      <c r="AJ228" s="119"/>
      <c r="AK228" s="108"/>
      <c r="AT228" s="30" t="str">
        <f>IFERROR(INDEX('G-6 Hedgerow Data'!$BJ$3:$BJ$15,MATCH(M228,'G-6 Hedgerow Data'!$B$3:$B$15,0)),"")</f>
        <v/>
      </c>
    </row>
    <row r="229" spans="2:46" ht="13.8" x14ac:dyDescent="0.25">
      <c r="B229" s="311" t="str">
        <f>'B-1 On-Site Hedge Baseline'!AK227</f>
        <v/>
      </c>
      <c r="C229" s="301" t="str">
        <f>IF(B229="","",IF(ISNA(VLOOKUP($B229,'B-1 On-Site Hedge Baseline'!$B$1:$L$257,3,FALSE)),"",(VLOOKUP($B229,'B-1 On-Site Hedge Baseline'!$B$1:$L$257,3,FALSE))))</f>
        <v/>
      </c>
      <c r="D229" s="301" t="str">
        <f>IF(B229="","",IF(ISNA(VLOOKUP($B229,'B-1 On-Site Hedge Baseline'!$B$1:$L$257,4,FALSE)),"",(VLOOKUP($B229,'B-1 On-Site Hedge Baseline'!$B$1:$L$257,4,FALSE))))</f>
        <v/>
      </c>
      <c r="E229" s="301" t="str">
        <f>IF(B229="","",IF(ISNA(VLOOKUP($B229,'B-1 On-Site Hedge Baseline'!$B$1:$L$257,5,FALSE)),"",(VLOOKUP($B229,'B-1 On-Site Hedge Baseline'!$B$1:$L$257,5,FALSE))))</f>
        <v/>
      </c>
      <c r="F229" s="301" t="str">
        <f>IF(B229="","",IF(ISNA(VLOOKUP($B229,'B-1 On-Site Hedge Baseline'!$B$1:$L$257,6,FALSE)),"",(VLOOKUP($B229,'B-1 On-Site Hedge Baseline'!$B$1:$L$257,6,FALSE))))</f>
        <v/>
      </c>
      <c r="G229" s="301" t="str">
        <f>IF(B229="","",IF(ISNA(VLOOKUP($B229,'B-1 On-Site Hedge Baseline'!$B$1:$L$257,7,FALSE)),"",(VLOOKUP($B229,'B-1 On-Site Hedge Baseline'!$B$1:$L$257,7,FALSE))))</f>
        <v/>
      </c>
      <c r="H229" s="301" t="str">
        <f>IF(B229="","",IF(ISNA(VLOOKUP($B229,'B-1 On-Site Hedge Baseline'!$B$1:$L$257,8,FALSE)),"",(VLOOKUP($B229,'B-1 On-Site Hedge Baseline'!$B$1:$L$257,8,FALSE))))</f>
        <v/>
      </c>
      <c r="I229" s="301" t="str">
        <f>IF(B229="","",IF(ISNA(VLOOKUP($B229,'B-1 On-Site Hedge Baseline'!$B$1:$L$257,10,FALSE)),"",(VLOOKUP($B229,'B-1 On-Site Hedge Baseline'!$B$1:$L$257,10,FALSE))))</f>
        <v/>
      </c>
      <c r="J229" s="301" t="str">
        <f>IF(B229="","",IF(ISNA(VLOOKUP($B229,'B-1 On-Site Hedge Baseline'!$B$1:$L$257,11,FALSE)),"",(VLOOKUP($B229,'B-1 On-Site Hedge Baseline'!$B$1:$L$257,11,FALSE))))</f>
        <v/>
      </c>
      <c r="K229" s="301" t="str">
        <f>IF(B229="","",IF(ISNA(VLOOKUP($B229,'B-1 On-Site Hedge Baseline'!$B$1:$U$257,13,FALSE)),"",(VLOOKUP($B229,'B-1 On-Site Hedge Baseline'!$B$1:$U$257,13,FALSE))))</f>
        <v/>
      </c>
      <c r="L229" s="305" t="str">
        <f>IF(B229="","",IF(ISNA(VLOOKUP($B229,'B-1 On-Site Hedge Baseline'!$B$1:$U$257,12,FALSE)),"",(VLOOKUP($B229,'B-1 On-Site Hedge Baseline'!$B$1:$U$257,12,FALSE))))</f>
        <v/>
      </c>
      <c r="M229" s="627"/>
      <c r="N229" s="281" t="str">
        <f>IFERROR(IF(B229="","",INDEX('G-6 Hedgerow Data'!$AN$3:$AZ$15,MATCH(C229,'G-6 Hedgerow Data'!$AM$3:$AM$15,0),MATCH(M229,'G-6 Hedgerow Data'!$AN$2:$AZ$2,0))),"")</f>
        <v/>
      </c>
      <c r="O229" s="282" t="str">
        <f t="shared" si="22"/>
        <v/>
      </c>
      <c r="P229" s="335" t="str">
        <f>IF(B229="","",VLOOKUP(B229,'B-1 On-Site Hedge Baseline'!$B$10:T474,16,FALSE))</f>
        <v/>
      </c>
      <c r="Q229" s="281" t="str">
        <f>IF(M229="","",VLOOKUP(M229,'G-6 Hedgerow Data'!$B$2:$AG$15,2,FALSE))</f>
        <v/>
      </c>
      <c r="R229" s="282" t="str">
        <f>IF(M229="","",VLOOKUP(M229,'G-6 Hedgerow Data'!$B$2:$AG$15,3,FALSE))</f>
        <v/>
      </c>
      <c r="S229" s="112"/>
      <c r="T229" s="320" t="str">
        <f>IFERROR(IF(S229="","",IF(AND(M229="Non-native and ornamental hedgerow", S229&lt;&gt;"Poor"),"Not possible ▲", (VLOOKUP(S229,'G-1 All Habitats'!$Z$2:$AA$9,2,FALSE)))),"")</f>
        <v/>
      </c>
      <c r="U229" s="109"/>
      <c r="V229" s="301" t="str">
        <f>IF(U229="","",IF(VLOOKUP(U229,'G-3 Multipliers'!$L$3:$N$6,2,FALSE)=0,"Spatial Data Missing ⚠",VLOOKUP(U229,'G-3 Multipliers'!$L$3:$N$6,2,FALSE)))</f>
        <v/>
      </c>
      <c r="W229" s="305" t="str">
        <f>IF(U229="","",IF(VLOOKUP(U229,'G-3 Multipliers'!$L$3:$N$6,3,FALSE)=0,"Spatial Data Missing ⚠",VLOOKUP(U229,'G-3 Multipliers'!$L$3:$N$6,3,FALSE)))</f>
        <v/>
      </c>
      <c r="X229" s="281" t="str">
        <f>IFERROR(IF(OR(LEFT(O229,5)="Error",LEFT(N229,5)="Error",T229="Error"),"Check Data ⚠",IF(F229&lt;R229,INDEX('G-6 Hedgerow Data'!$S$3:$AE$14,MATCH(C229,'G-6 Hedgerow Data'!$B$3:$B$14,0),MATCH(M229,'G-6 Hedgerow Data'!$S$2:$AE$2,0)),INDEX('G-6 Hedgerow Data'!$K$3:$Q$14,MATCH(M229,'G-6 Hedgerow Data'!$B$3:$B$14,0),MATCH(O229,'G-6 Hedgerow Data'!$K$2:$Q$2,0)))),"")</f>
        <v/>
      </c>
      <c r="Y229" s="137"/>
      <c r="Z229" s="137"/>
      <c r="AA229" s="289" t="str">
        <f t="shared" si="23"/>
        <v/>
      </c>
      <c r="AB229" s="302" t="str">
        <f t="shared" si="24"/>
        <v/>
      </c>
      <c r="AC229" s="303" t="str">
        <f t="shared" si="21"/>
        <v/>
      </c>
      <c r="AD229" s="317" t="str">
        <f>IF(M229="","",VLOOKUP(M229,'G-6 Hedgerow Data'!$B$3:$AG$15,31,FALSE))</f>
        <v/>
      </c>
      <c r="AE229" s="289" t="str">
        <f t="shared" si="25"/>
        <v/>
      </c>
      <c r="AF229" s="289" t="str">
        <f t="shared" si="26"/>
        <v/>
      </c>
      <c r="AG229" s="305" t="str">
        <f>IFERROR(IF(O229="","",VLOOKUP(AD229,'G-3 Multipliers'!$P$3:$Q$6,2,FALSE)),"")</f>
        <v/>
      </c>
      <c r="AH229" s="295" t="str">
        <f t="shared" si="27"/>
        <v/>
      </c>
      <c r="AI229" s="112"/>
      <c r="AJ229" s="119"/>
      <c r="AK229" s="108"/>
      <c r="AT229" s="30" t="str">
        <f>IFERROR(INDEX('G-6 Hedgerow Data'!$BJ$3:$BJ$15,MATCH(M229,'G-6 Hedgerow Data'!$B$3:$B$15,0)),"")</f>
        <v/>
      </c>
    </row>
    <row r="230" spans="2:46" ht="13.8" x14ac:dyDescent="0.25">
      <c r="B230" s="311" t="str">
        <f>'B-1 On-Site Hedge Baseline'!AK228</f>
        <v/>
      </c>
      <c r="C230" s="301" t="str">
        <f>IF(B230="","",IF(ISNA(VLOOKUP($B230,'B-1 On-Site Hedge Baseline'!$B$1:$L$257,3,FALSE)),"",(VLOOKUP($B230,'B-1 On-Site Hedge Baseline'!$B$1:$L$257,3,FALSE))))</f>
        <v/>
      </c>
      <c r="D230" s="301" t="str">
        <f>IF(B230="","",IF(ISNA(VLOOKUP($B230,'B-1 On-Site Hedge Baseline'!$B$1:$L$257,4,FALSE)),"",(VLOOKUP($B230,'B-1 On-Site Hedge Baseline'!$B$1:$L$257,4,FALSE))))</f>
        <v/>
      </c>
      <c r="E230" s="301" t="str">
        <f>IF(B230="","",IF(ISNA(VLOOKUP($B230,'B-1 On-Site Hedge Baseline'!$B$1:$L$257,5,FALSE)),"",(VLOOKUP($B230,'B-1 On-Site Hedge Baseline'!$B$1:$L$257,5,FALSE))))</f>
        <v/>
      </c>
      <c r="F230" s="301" t="str">
        <f>IF(B230="","",IF(ISNA(VLOOKUP($B230,'B-1 On-Site Hedge Baseline'!$B$1:$L$257,6,FALSE)),"",(VLOOKUP($B230,'B-1 On-Site Hedge Baseline'!$B$1:$L$257,6,FALSE))))</f>
        <v/>
      </c>
      <c r="G230" s="301" t="str">
        <f>IF(B230="","",IF(ISNA(VLOOKUP($B230,'B-1 On-Site Hedge Baseline'!$B$1:$L$257,7,FALSE)),"",(VLOOKUP($B230,'B-1 On-Site Hedge Baseline'!$B$1:$L$257,7,FALSE))))</f>
        <v/>
      </c>
      <c r="H230" s="301" t="str">
        <f>IF(B230="","",IF(ISNA(VLOOKUP($B230,'B-1 On-Site Hedge Baseline'!$B$1:$L$257,8,FALSE)),"",(VLOOKUP($B230,'B-1 On-Site Hedge Baseline'!$B$1:$L$257,8,FALSE))))</f>
        <v/>
      </c>
      <c r="I230" s="301" t="str">
        <f>IF(B230="","",IF(ISNA(VLOOKUP($B230,'B-1 On-Site Hedge Baseline'!$B$1:$L$257,10,FALSE)),"",(VLOOKUP($B230,'B-1 On-Site Hedge Baseline'!$B$1:$L$257,10,FALSE))))</f>
        <v/>
      </c>
      <c r="J230" s="301" t="str">
        <f>IF(B230="","",IF(ISNA(VLOOKUP($B230,'B-1 On-Site Hedge Baseline'!$B$1:$L$257,11,FALSE)),"",(VLOOKUP($B230,'B-1 On-Site Hedge Baseline'!$B$1:$L$257,11,FALSE))))</f>
        <v/>
      </c>
      <c r="K230" s="301" t="str">
        <f>IF(B230="","",IF(ISNA(VLOOKUP($B230,'B-1 On-Site Hedge Baseline'!$B$1:$U$257,13,FALSE)),"",(VLOOKUP($B230,'B-1 On-Site Hedge Baseline'!$B$1:$U$257,13,FALSE))))</f>
        <v/>
      </c>
      <c r="L230" s="305" t="str">
        <f>IF(B230="","",IF(ISNA(VLOOKUP($B230,'B-1 On-Site Hedge Baseline'!$B$1:$U$257,12,FALSE)),"",(VLOOKUP($B230,'B-1 On-Site Hedge Baseline'!$B$1:$U$257,12,FALSE))))</f>
        <v/>
      </c>
      <c r="M230" s="627"/>
      <c r="N230" s="281" t="str">
        <f>IFERROR(IF(B230="","",INDEX('G-6 Hedgerow Data'!$AN$3:$AZ$15,MATCH(C230,'G-6 Hedgerow Data'!$AM$3:$AM$15,0),MATCH(M230,'G-6 Hedgerow Data'!$AN$2:$AZ$2,0))),"")</f>
        <v/>
      </c>
      <c r="O230" s="282" t="str">
        <f t="shared" si="22"/>
        <v/>
      </c>
      <c r="P230" s="335" t="str">
        <f>IF(B230="","",VLOOKUP(B230,'B-1 On-Site Hedge Baseline'!$B$10:T475,16,FALSE))</f>
        <v/>
      </c>
      <c r="Q230" s="281" t="str">
        <f>IF(M230="","",VLOOKUP(M230,'G-6 Hedgerow Data'!$B$2:$AG$15,2,FALSE))</f>
        <v/>
      </c>
      <c r="R230" s="282" t="str">
        <f>IF(M230="","",VLOOKUP(M230,'G-6 Hedgerow Data'!$B$2:$AG$15,3,FALSE))</f>
        <v/>
      </c>
      <c r="S230" s="112"/>
      <c r="T230" s="320" t="str">
        <f>IFERROR(IF(S230="","",IF(AND(M230="Non-native and ornamental hedgerow", S230&lt;&gt;"Poor"),"Not possible ▲", (VLOOKUP(S230,'G-1 All Habitats'!$Z$2:$AA$9,2,FALSE)))),"")</f>
        <v/>
      </c>
      <c r="U230" s="109"/>
      <c r="V230" s="301" t="str">
        <f>IF(U230="","",IF(VLOOKUP(U230,'G-3 Multipliers'!$L$3:$N$6,2,FALSE)=0,"Spatial Data Missing ⚠",VLOOKUP(U230,'G-3 Multipliers'!$L$3:$N$6,2,FALSE)))</f>
        <v/>
      </c>
      <c r="W230" s="305" t="str">
        <f>IF(U230="","",IF(VLOOKUP(U230,'G-3 Multipliers'!$L$3:$N$6,3,FALSE)=0,"Spatial Data Missing ⚠",VLOOKUP(U230,'G-3 Multipliers'!$L$3:$N$6,3,FALSE)))</f>
        <v/>
      </c>
      <c r="X230" s="281" t="str">
        <f>IFERROR(IF(OR(LEFT(O230,5)="Error",LEFT(N230,5)="Error",T230="Error"),"Check Data ⚠",IF(F230&lt;R230,INDEX('G-6 Hedgerow Data'!$S$3:$AE$14,MATCH(C230,'G-6 Hedgerow Data'!$B$3:$B$14,0),MATCH(M230,'G-6 Hedgerow Data'!$S$2:$AE$2,0)),INDEX('G-6 Hedgerow Data'!$K$3:$Q$14,MATCH(M230,'G-6 Hedgerow Data'!$B$3:$B$14,0),MATCH(O230,'G-6 Hedgerow Data'!$K$2:$Q$2,0)))),"")</f>
        <v/>
      </c>
      <c r="Y230" s="137"/>
      <c r="Z230" s="137"/>
      <c r="AA230" s="289" t="str">
        <f t="shared" si="23"/>
        <v/>
      </c>
      <c r="AB230" s="302" t="str">
        <f t="shared" si="24"/>
        <v/>
      </c>
      <c r="AC230" s="303" t="str">
        <f t="shared" si="21"/>
        <v/>
      </c>
      <c r="AD230" s="317" t="str">
        <f>IF(M230="","",VLOOKUP(M230,'G-6 Hedgerow Data'!$B$3:$AG$15,31,FALSE))</f>
        <v/>
      </c>
      <c r="AE230" s="289" t="str">
        <f t="shared" si="25"/>
        <v/>
      </c>
      <c r="AF230" s="289" t="str">
        <f t="shared" si="26"/>
        <v/>
      </c>
      <c r="AG230" s="305" t="str">
        <f>IFERROR(IF(O230="","",VLOOKUP(AD230,'G-3 Multipliers'!$P$3:$Q$6,2,FALSE)),"")</f>
        <v/>
      </c>
      <c r="AH230" s="295" t="str">
        <f t="shared" si="27"/>
        <v/>
      </c>
      <c r="AI230" s="112"/>
      <c r="AJ230" s="119"/>
      <c r="AK230" s="108"/>
      <c r="AT230" s="30" t="str">
        <f>IFERROR(INDEX('G-6 Hedgerow Data'!$BJ$3:$BJ$15,MATCH(M230,'G-6 Hedgerow Data'!$B$3:$B$15,0)),"")</f>
        <v/>
      </c>
    </row>
    <row r="231" spans="2:46" ht="13.8" x14ac:dyDescent="0.25">
      <c r="B231" s="311" t="str">
        <f>'B-1 On-Site Hedge Baseline'!AK229</f>
        <v/>
      </c>
      <c r="C231" s="301" t="str">
        <f>IF(B231="","",IF(ISNA(VLOOKUP($B231,'B-1 On-Site Hedge Baseline'!$B$1:$L$257,3,FALSE)),"",(VLOOKUP($B231,'B-1 On-Site Hedge Baseline'!$B$1:$L$257,3,FALSE))))</f>
        <v/>
      </c>
      <c r="D231" s="301" t="str">
        <f>IF(B231="","",IF(ISNA(VLOOKUP($B231,'B-1 On-Site Hedge Baseline'!$B$1:$L$257,4,FALSE)),"",(VLOOKUP($B231,'B-1 On-Site Hedge Baseline'!$B$1:$L$257,4,FALSE))))</f>
        <v/>
      </c>
      <c r="E231" s="301" t="str">
        <f>IF(B231="","",IF(ISNA(VLOOKUP($B231,'B-1 On-Site Hedge Baseline'!$B$1:$L$257,5,FALSE)),"",(VLOOKUP($B231,'B-1 On-Site Hedge Baseline'!$B$1:$L$257,5,FALSE))))</f>
        <v/>
      </c>
      <c r="F231" s="301" t="str">
        <f>IF(B231="","",IF(ISNA(VLOOKUP($B231,'B-1 On-Site Hedge Baseline'!$B$1:$L$257,6,FALSE)),"",(VLOOKUP($B231,'B-1 On-Site Hedge Baseline'!$B$1:$L$257,6,FALSE))))</f>
        <v/>
      </c>
      <c r="G231" s="301" t="str">
        <f>IF(B231="","",IF(ISNA(VLOOKUP($B231,'B-1 On-Site Hedge Baseline'!$B$1:$L$257,7,FALSE)),"",(VLOOKUP($B231,'B-1 On-Site Hedge Baseline'!$B$1:$L$257,7,FALSE))))</f>
        <v/>
      </c>
      <c r="H231" s="301" t="str">
        <f>IF(B231="","",IF(ISNA(VLOOKUP($B231,'B-1 On-Site Hedge Baseline'!$B$1:$L$257,8,FALSE)),"",(VLOOKUP($B231,'B-1 On-Site Hedge Baseline'!$B$1:$L$257,8,FALSE))))</f>
        <v/>
      </c>
      <c r="I231" s="301" t="str">
        <f>IF(B231="","",IF(ISNA(VLOOKUP($B231,'B-1 On-Site Hedge Baseline'!$B$1:$L$257,10,FALSE)),"",(VLOOKUP($B231,'B-1 On-Site Hedge Baseline'!$B$1:$L$257,10,FALSE))))</f>
        <v/>
      </c>
      <c r="J231" s="301" t="str">
        <f>IF(B231="","",IF(ISNA(VLOOKUP($B231,'B-1 On-Site Hedge Baseline'!$B$1:$L$257,11,FALSE)),"",(VLOOKUP($B231,'B-1 On-Site Hedge Baseline'!$B$1:$L$257,11,FALSE))))</f>
        <v/>
      </c>
      <c r="K231" s="301" t="str">
        <f>IF(B231="","",IF(ISNA(VLOOKUP($B231,'B-1 On-Site Hedge Baseline'!$B$1:$U$257,13,FALSE)),"",(VLOOKUP($B231,'B-1 On-Site Hedge Baseline'!$B$1:$U$257,13,FALSE))))</f>
        <v/>
      </c>
      <c r="L231" s="305" t="str">
        <f>IF(B231="","",IF(ISNA(VLOOKUP($B231,'B-1 On-Site Hedge Baseline'!$B$1:$U$257,12,FALSE)),"",(VLOOKUP($B231,'B-1 On-Site Hedge Baseline'!$B$1:$U$257,12,FALSE))))</f>
        <v/>
      </c>
      <c r="M231" s="627"/>
      <c r="N231" s="281" t="str">
        <f>IFERROR(IF(B231="","",INDEX('G-6 Hedgerow Data'!$AN$3:$AZ$15,MATCH(C231,'G-6 Hedgerow Data'!$AM$3:$AM$15,0),MATCH(M231,'G-6 Hedgerow Data'!$AN$2:$AZ$2,0))),"")</f>
        <v/>
      </c>
      <c r="O231" s="282" t="str">
        <f t="shared" si="22"/>
        <v/>
      </c>
      <c r="P231" s="335" t="str">
        <f>IF(B231="","",VLOOKUP(B231,'B-1 On-Site Hedge Baseline'!$B$10:T476,16,FALSE))</f>
        <v/>
      </c>
      <c r="Q231" s="281" t="str">
        <f>IF(M231="","",VLOOKUP(M231,'G-6 Hedgerow Data'!$B$2:$AG$15,2,FALSE))</f>
        <v/>
      </c>
      <c r="R231" s="282" t="str">
        <f>IF(M231="","",VLOOKUP(M231,'G-6 Hedgerow Data'!$B$2:$AG$15,3,FALSE))</f>
        <v/>
      </c>
      <c r="S231" s="112"/>
      <c r="T231" s="320" t="str">
        <f>IFERROR(IF(S231="","",IF(AND(M231="Non-native and ornamental hedgerow", S231&lt;&gt;"Poor"),"Not possible ▲", (VLOOKUP(S231,'G-1 All Habitats'!$Z$2:$AA$9,2,FALSE)))),"")</f>
        <v/>
      </c>
      <c r="U231" s="109"/>
      <c r="V231" s="301" t="str">
        <f>IF(U231="","",IF(VLOOKUP(U231,'G-3 Multipliers'!$L$3:$N$6,2,FALSE)=0,"Spatial Data Missing ⚠",VLOOKUP(U231,'G-3 Multipliers'!$L$3:$N$6,2,FALSE)))</f>
        <v/>
      </c>
      <c r="W231" s="305" t="str">
        <f>IF(U231="","",IF(VLOOKUP(U231,'G-3 Multipliers'!$L$3:$N$6,3,FALSE)=0,"Spatial Data Missing ⚠",VLOOKUP(U231,'G-3 Multipliers'!$L$3:$N$6,3,FALSE)))</f>
        <v/>
      </c>
      <c r="X231" s="281" t="str">
        <f>IFERROR(IF(OR(LEFT(O231,5)="Error",LEFT(N231,5)="Error",T231="Error"),"Check Data ⚠",IF(F231&lt;R231,INDEX('G-6 Hedgerow Data'!$S$3:$AE$14,MATCH(C231,'G-6 Hedgerow Data'!$B$3:$B$14,0),MATCH(M231,'G-6 Hedgerow Data'!$S$2:$AE$2,0)),INDEX('G-6 Hedgerow Data'!$K$3:$Q$14,MATCH(M231,'G-6 Hedgerow Data'!$B$3:$B$14,0),MATCH(O231,'G-6 Hedgerow Data'!$K$2:$Q$2,0)))),"")</f>
        <v/>
      </c>
      <c r="Y231" s="137"/>
      <c r="Z231" s="137"/>
      <c r="AA231" s="289" t="str">
        <f t="shared" si="23"/>
        <v/>
      </c>
      <c r="AB231" s="302" t="str">
        <f t="shared" si="24"/>
        <v/>
      </c>
      <c r="AC231" s="303" t="str">
        <f t="shared" si="21"/>
        <v/>
      </c>
      <c r="AD231" s="317" t="str">
        <f>IF(M231="","",VLOOKUP(M231,'G-6 Hedgerow Data'!$B$3:$AG$15,31,FALSE))</f>
        <v/>
      </c>
      <c r="AE231" s="289" t="str">
        <f t="shared" si="25"/>
        <v/>
      </c>
      <c r="AF231" s="289" t="str">
        <f t="shared" si="26"/>
        <v/>
      </c>
      <c r="AG231" s="305" t="str">
        <f>IFERROR(IF(O231="","",VLOOKUP(AD231,'G-3 Multipliers'!$P$3:$Q$6,2,FALSE)),"")</f>
        <v/>
      </c>
      <c r="AH231" s="295" t="str">
        <f t="shared" si="27"/>
        <v/>
      </c>
      <c r="AI231" s="112"/>
      <c r="AJ231" s="119"/>
      <c r="AK231" s="108"/>
      <c r="AT231" s="30" t="str">
        <f>IFERROR(INDEX('G-6 Hedgerow Data'!$BJ$3:$BJ$15,MATCH(M231,'G-6 Hedgerow Data'!$B$3:$B$15,0)),"")</f>
        <v/>
      </c>
    </row>
    <row r="232" spans="2:46" ht="13.8" x14ac:dyDescent="0.25">
      <c r="B232" s="311" t="str">
        <f>'B-1 On-Site Hedge Baseline'!AK230</f>
        <v/>
      </c>
      <c r="C232" s="301" t="str">
        <f>IF(B232="","",IF(ISNA(VLOOKUP($B232,'B-1 On-Site Hedge Baseline'!$B$1:$L$257,3,FALSE)),"",(VLOOKUP($B232,'B-1 On-Site Hedge Baseline'!$B$1:$L$257,3,FALSE))))</f>
        <v/>
      </c>
      <c r="D232" s="301" t="str">
        <f>IF(B232="","",IF(ISNA(VLOOKUP($B232,'B-1 On-Site Hedge Baseline'!$B$1:$L$257,4,FALSE)),"",(VLOOKUP($B232,'B-1 On-Site Hedge Baseline'!$B$1:$L$257,4,FALSE))))</f>
        <v/>
      </c>
      <c r="E232" s="301" t="str">
        <f>IF(B232="","",IF(ISNA(VLOOKUP($B232,'B-1 On-Site Hedge Baseline'!$B$1:$L$257,5,FALSE)),"",(VLOOKUP($B232,'B-1 On-Site Hedge Baseline'!$B$1:$L$257,5,FALSE))))</f>
        <v/>
      </c>
      <c r="F232" s="301" t="str">
        <f>IF(B232="","",IF(ISNA(VLOOKUP($B232,'B-1 On-Site Hedge Baseline'!$B$1:$L$257,6,FALSE)),"",(VLOOKUP($B232,'B-1 On-Site Hedge Baseline'!$B$1:$L$257,6,FALSE))))</f>
        <v/>
      </c>
      <c r="G232" s="301" t="str">
        <f>IF(B232="","",IF(ISNA(VLOOKUP($B232,'B-1 On-Site Hedge Baseline'!$B$1:$L$257,7,FALSE)),"",(VLOOKUP($B232,'B-1 On-Site Hedge Baseline'!$B$1:$L$257,7,FALSE))))</f>
        <v/>
      </c>
      <c r="H232" s="301" t="str">
        <f>IF(B232="","",IF(ISNA(VLOOKUP($B232,'B-1 On-Site Hedge Baseline'!$B$1:$L$257,8,FALSE)),"",(VLOOKUP($B232,'B-1 On-Site Hedge Baseline'!$B$1:$L$257,8,FALSE))))</f>
        <v/>
      </c>
      <c r="I232" s="301" t="str">
        <f>IF(B232="","",IF(ISNA(VLOOKUP($B232,'B-1 On-Site Hedge Baseline'!$B$1:$L$257,10,FALSE)),"",(VLOOKUP($B232,'B-1 On-Site Hedge Baseline'!$B$1:$L$257,10,FALSE))))</f>
        <v/>
      </c>
      <c r="J232" s="301" t="str">
        <f>IF(B232="","",IF(ISNA(VLOOKUP($B232,'B-1 On-Site Hedge Baseline'!$B$1:$L$257,11,FALSE)),"",(VLOOKUP($B232,'B-1 On-Site Hedge Baseline'!$B$1:$L$257,11,FALSE))))</f>
        <v/>
      </c>
      <c r="K232" s="301" t="str">
        <f>IF(B232="","",IF(ISNA(VLOOKUP($B232,'B-1 On-Site Hedge Baseline'!$B$1:$U$257,13,FALSE)),"",(VLOOKUP($B232,'B-1 On-Site Hedge Baseline'!$B$1:$U$257,13,FALSE))))</f>
        <v/>
      </c>
      <c r="L232" s="305" t="str">
        <f>IF(B232="","",IF(ISNA(VLOOKUP($B232,'B-1 On-Site Hedge Baseline'!$B$1:$U$257,12,FALSE)),"",(VLOOKUP($B232,'B-1 On-Site Hedge Baseline'!$B$1:$U$257,12,FALSE))))</f>
        <v/>
      </c>
      <c r="M232" s="627"/>
      <c r="N232" s="281" t="str">
        <f>IFERROR(IF(B232="","",INDEX('G-6 Hedgerow Data'!$AN$3:$AZ$15,MATCH(C232,'G-6 Hedgerow Data'!$AM$3:$AM$15,0),MATCH(M232,'G-6 Hedgerow Data'!$AN$2:$AZ$2,0))),"")</f>
        <v/>
      </c>
      <c r="O232" s="282" t="str">
        <f t="shared" si="22"/>
        <v/>
      </c>
      <c r="P232" s="335" t="str">
        <f>IF(B232="","",VLOOKUP(B232,'B-1 On-Site Hedge Baseline'!$B$10:T477,16,FALSE))</f>
        <v/>
      </c>
      <c r="Q232" s="281" t="str">
        <f>IF(M232="","",VLOOKUP(M232,'G-6 Hedgerow Data'!$B$2:$AG$15,2,FALSE))</f>
        <v/>
      </c>
      <c r="R232" s="282" t="str">
        <f>IF(M232="","",VLOOKUP(M232,'G-6 Hedgerow Data'!$B$2:$AG$15,3,FALSE))</f>
        <v/>
      </c>
      <c r="S232" s="112"/>
      <c r="T232" s="320" t="str">
        <f>IFERROR(IF(S232="","",IF(AND(M232="Non-native and ornamental hedgerow", S232&lt;&gt;"Poor"),"Not possible ▲", (VLOOKUP(S232,'G-1 All Habitats'!$Z$2:$AA$9,2,FALSE)))),"")</f>
        <v/>
      </c>
      <c r="U232" s="109"/>
      <c r="V232" s="301" t="str">
        <f>IF(U232="","",IF(VLOOKUP(U232,'G-3 Multipliers'!$L$3:$N$6,2,FALSE)=0,"Spatial Data Missing ⚠",VLOOKUP(U232,'G-3 Multipliers'!$L$3:$N$6,2,FALSE)))</f>
        <v/>
      </c>
      <c r="W232" s="305" t="str">
        <f>IF(U232="","",IF(VLOOKUP(U232,'G-3 Multipliers'!$L$3:$N$6,3,FALSE)=0,"Spatial Data Missing ⚠",VLOOKUP(U232,'G-3 Multipliers'!$L$3:$N$6,3,FALSE)))</f>
        <v/>
      </c>
      <c r="X232" s="281" t="str">
        <f>IFERROR(IF(OR(LEFT(O232,5)="Error",LEFT(N232,5)="Error",T232="Error"),"Check Data ⚠",IF(F232&lt;R232,INDEX('G-6 Hedgerow Data'!$S$3:$AE$14,MATCH(C232,'G-6 Hedgerow Data'!$B$3:$B$14,0),MATCH(M232,'G-6 Hedgerow Data'!$S$2:$AE$2,0)),INDEX('G-6 Hedgerow Data'!$K$3:$Q$14,MATCH(M232,'G-6 Hedgerow Data'!$B$3:$B$14,0),MATCH(O232,'G-6 Hedgerow Data'!$K$2:$Q$2,0)))),"")</f>
        <v/>
      </c>
      <c r="Y232" s="137"/>
      <c r="Z232" s="137"/>
      <c r="AA232" s="289" t="str">
        <f t="shared" si="23"/>
        <v/>
      </c>
      <c r="AB232" s="302" t="str">
        <f t="shared" si="24"/>
        <v/>
      </c>
      <c r="AC232" s="303" t="str">
        <f t="shared" si="21"/>
        <v/>
      </c>
      <c r="AD232" s="317" t="str">
        <f>IF(M232="","",VLOOKUP(M232,'G-6 Hedgerow Data'!$B$3:$AG$15,31,FALSE))</f>
        <v/>
      </c>
      <c r="AE232" s="289" t="str">
        <f t="shared" si="25"/>
        <v/>
      </c>
      <c r="AF232" s="289" t="str">
        <f t="shared" si="26"/>
        <v/>
      </c>
      <c r="AG232" s="305" t="str">
        <f>IFERROR(IF(O232="","",VLOOKUP(AD232,'G-3 Multipliers'!$P$3:$Q$6,2,FALSE)),"")</f>
        <v/>
      </c>
      <c r="AH232" s="295" t="str">
        <f t="shared" si="27"/>
        <v/>
      </c>
      <c r="AI232" s="112"/>
      <c r="AJ232" s="119"/>
      <c r="AK232" s="108"/>
      <c r="AT232" s="30" t="str">
        <f>IFERROR(INDEX('G-6 Hedgerow Data'!$BJ$3:$BJ$15,MATCH(M232,'G-6 Hedgerow Data'!$B$3:$B$15,0)),"")</f>
        <v/>
      </c>
    </row>
    <row r="233" spans="2:46" ht="13.8" x14ac:dyDescent="0.25">
      <c r="B233" s="311" t="str">
        <f>'B-1 On-Site Hedge Baseline'!AK231</f>
        <v/>
      </c>
      <c r="C233" s="301" t="str">
        <f>IF(B233="","",IF(ISNA(VLOOKUP($B233,'B-1 On-Site Hedge Baseline'!$B$1:$L$257,3,FALSE)),"",(VLOOKUP($B233,'B-1 On-Site Hedge Baseline'!$B$1:$L$257,3,FALSE))))</f>
        <v/>
      </c>
      <c r="D233" s="301" t="str">
        <f>IF(B233="","",IF(ISNA(VLOOKUP($B233,'B-1 On-Site Hedge Baseline'!$B$1:$L$257,4,FALSE)),"",(VLOOKUP($B233,'B-1 On-Site Hedge Baseline'!$B$1:$L$257,4,FALSE))))</f>
        <v/>
      </c>
      <c r="E233" s="301" t="str">
        <f>IF(B233="","",IF(ISNA(VLOOKUP($B233,'B-1 On-Site Hedge Baseline'!$B$1:$L$257,5,FALSE)),"",(VLOOKUP($B233,'B-1 On-Site Hedge Baseline'!$B$1:$L$257,5,FALSE))))</f>
        <v/>
      </c>
      <c r="F233" s="301" t="str">
        <f>IF(B233="","",IF(ISNA(VLOOKUP($B233,'B-1 On-Site Hedge Baseline'!$B$1:$L$257,6,FALSE)),"",(VLOOKUP($B233,'B-1 On-Site Hedge Baseline'!$B$1:$L$257,6,FALSE))))</f>
        <v/>
      </c>
      <c r="G233" s="301" t="str">
        <f>IF(B233="","",IF(ISNA(VLOOKUP($B233,'B-1 On-Site Hedge Baseline'!$B$1:$L$257,7,FALSE)),"",(VLOOKUP($B233,'B-1 On-Site Hedge Baseline'!$B$1:$L$257,7,FALSE))))</f>
        <v/>
      </c>
      <c r="H233" s="301" t="str">
        <f>IF(B233="","",IF(ISNA(VLOOKUP($B233,'B-1 On-Site Hedge Baseline'!$B$1:$L$257,8,FALSE)),"",(VLOOKUP($B233,'B-1 On-Site Hedge Baseline'!$B$1:$L$257,8,FALSE))))</f>
        <v/>
      </c>
      <c r="I233" s="301" t="str">
        <f>IF(B233="","",IF(ISNA(VLOOKUP($B233,'B-1 On-Site Hedge Baseline'!$B$1:$L$257,10,FALSE)),"",(VLOOKUP($B233,'B-1 On-Site Hedge Baseline'!$B$1:$L$257,10,FALSE))))</f>
        <v/>
      </c>
      <c r="J233" s="301" t="str">
        <f>IF(B233="","",IF(ISNA(VLOOKUP($B233,'B-1 On-Site Hedge Baseline'!$B$1:$L$257,11,FALSE)),"",(VLOOKUP($B233,'B-1 On-Site Hedge Baseline'!$B$1:$L$257,11,FALSE))))</f>
        <v/>
      </c>
      <c r="K233" s="301" t="str">
        <f>IF(B233="","",IF(ISNA(VLOOKUP($B233,'B-1 On-Site Hedge Baseline'!$B$1:$U$257,13,FALSE)),"",(VLOOKUP($B233,'B-1 On-Site Hedge Baseline'!$B$1:$U$257,13,FALSE))))</f>
        <v/>
      </c>
      <c r="L233" s="305" t="str">
        <f>IF(B233="","",IF(ISNA(VLOOKUP($B233,'B-1 On-Site Hedge Baseline'!$B$1:$U$257,12,FALSE)),"",(VLOOKUP($B233,'B-1 On-Site Hedge Baseline'!$B$1:$U$257,12,FALSE))))</f>
        <v/>
      </c>
      <c r="M233" s="627"/>
      <c r="N233" s="281" t="str">
        <f>IFERROR(IF(B233="","",INDEX('G-6 Hedgerow Data'!$AN$3:$AZ$15,MATCH(C233,'G-6 Hedgerow Data'!$AM$3:$AM$15,0),MATCH(M233,'G-6 Hedgerow Data'!$AN$2:$AZ$2,0))),"")</f>
        <v/>
      </c>
      <c r="O233" s="282" t="str">
        <f t="shared" si="22"/>
        <v/>
      </c>
      <c r="P233" s="335" t="str">
        <f>IF(B233="","",VLOOKUP(B233,'B-1 On-Site Hedge Baseline'!$B$10:T478,16,FALSE))</f>
        <v/>
      </c>
      <c r="Q233" s="281" t="str">
        <f>IF(M233="","",VLOOKUP(M233,'G-6 Hedgerow Data'!$B$2:$AG$15,2,FALSE))</f>
        <v/>
      </c>
      <c r="R233" s="282" t="str">
        <f>IF(M233="","",VLOOKUP(M233,'G-6 Hedgerow Data'!$B$2:$AG$15,3,FALSE))</f>
        <v/>
      </c>
      <c r="S233" s="112"/>
      <c r="T233" s="320" t="str">
        <f>IFERROR(IF(S233="","",IF(AND(M233="Non-native and ornamental hedgerow", S233&lt;&gt;"Poor"),"Not possible ▲", (VLOOKUP(S233,'G-1 All Habitats'!$Z$2:$AA$9,2,FALSE)))),"")</f>
        <v/>
      </c>
      <c r="U233" s="109"/>
      <c r="V233" s="301" t="str">
        <f>IF(U233="","",IF(VLOOKUP(U233,'G-3 Multipliers'!$L$3:$N$6,2,FALSE)=0,"Spatial Data Missing ⚠",VLOOKUP(U233,'G-3 Multipliers'!$L$3:$N$6,2,FALSE)))</f>
        <v/>
      </c>
      <c r="W233" s="305" t="str">
        <f>IF(U233="","",IF(VLOOKUP(U233,'G-3 Multipliers'!$L$3:$N$6,3,FALSE)=0,"Spatial Data Missing ⚠",VLOOKUP(U233,'G-3 Multipliers'!$L$3:$N$6,3,FALSE)))</f>
        <v/>
      </c>
      <c r="X233" s="281" t="str">
        <f>IFERROR(IF(OR(LEFT(O233,5)="Error",LEFT(N233,5)="Error",T233="Error"),"Check Data ⚠",IF(F233&lt;R233,INDEX('G-6 Hedgerow Data'!$S$3:$AE$14,MATCH(C233,'G-6 Hedgerow Data'!$B$3:$B$14,0),MATCH(M233,'G-6 Hedgerow Data'!$S$2:$AE$2,0)),INDEX('G-6 Hedgerow Data'!$K$3:$Q$14,MATCH(M233,'G-6 Hedgerow Data'!$B$3:$B$14,0),MATCH(O233,'G-6 Hedgerow Data'!$K$2:$Q$2,0)))),"")</f>
        <v/>
      </c>
      <c r="Y233" s="137"/>
      <c r="Z233" s="137"/>
      <c r="AA233" s="289" t="str">
        <f t="shared" si="23"/>
        <v/>
      </c>
      <c r="AB233" s="302" t="str">
        <f t="shared" si="24"/>
        <v/>
      </c>
      <c r="AC233" s="303" t="str">
        <f t="shared" si="21"/>
        <v/>
      </c>
      <c r="AD233" s="317" t="str">
        <f>IF(M233="","",VLOOKUP(M233,'G-6 Hedgerow Data'!$B$3:$AG$15,31,FALSE))</f>
        <v/>
      </c>
      <c r="AE233" s="289" t="str">
        <f t="shared" si="25"/>
        <v/>
      </c>
      <c r="AF233" s="289" t="str">
        <f t="shared" si="26"/>
        <v/>
      </c>
      <c r="AG233" s="305" t="str">
        <f>IFERROR(IF(O233="","",VLOOKUP(AD233,'G-3 Multipliers'!$P$3:$Q$6,2,FALSE)),"")</f>
        <v/>
      </c>
      <c r="AH233" s="295" t="str">
        <f t="shared" si="27"/>
        <v/>
      </c>
      <c r="AI233" s="112"/>
      <c r="AJ233" s="119"/>
      <c r="AK233" s="108"/>
      <c r="AT233" s="30" t="str">
        <f>IFERROR(INDEX('G-6 Hedgerow Data'!$BJ$3:$BJ$15,MATCH(M233,'G-6 Hedgerow Data'!$B$3:$B$15,0)),"")</f>
        <v/>
      </c>
    </row>
    <row r="234" spans="2:46" ht="13.8" x14ac:dyDescent="0.25">
      <c r="B234" s="311" t="str">
        <f>'B-1 On-Site Hedge Baseline'!AK232</f>
        <v/>
      </c>
      <c r="C234" s="301" t="str">
        <f>IF(B234="","",IF(ISNA(VLOOKUP($B234,'B-1 On-Site Hedge Baseline'!$B$1:$L$257,3,FALSE)),"",(VLOOKUP($B234,'B-1 On-Site Hedge Baseline'!$B$1:$L$257,3,FALSE))))</f>
        <v/>
      </c>
      <c r="D234" s="301" t="str">
        <f>IF(B234="","",IF(ISNA(VLOOKUP($B234,'B-1 On-Site Hedge Baseline'!$B$1:$L$257,4,FALSE)),"",(VLOOKUP($B234,'B-1 On-Site Hedge Baseline'!$B$1:$L$257,4,FALSE))))</f>
        <v/>
      </c>
      <c r="E234" s="301" t="str">
        <f>IF(B234="","",IF(ISNA(VLOOKUP($B234,'B-1 On-Site Hedge Baseline'!$B$1:$L$257,5,FALSE)),"",(VLOOKUP($B234,'B-1 On-Site Hedge Baseline'!$B$1:$L$257,5,FALSE))))</f>
        <v/>
      </c>
      <c r="F234" s="301" t="str">
        <f>IF(B234="","",IF(ISNA(VLOOKUP($B234,'B-1 On-Site Hedge Baseline'!$B$1:$L$257,6,FALSE)),"",(VLOOKUP($B234,'B-1 On-Site Hedge Baseline'!$B$1:$L$257,6,FALSE))))</f>
        <v/>
      </c>
      <c r="G234" s="301" t="str">
        <f>IF(B234="","",IF(ISNA(VLOOKUP($B234,'B-1 On-Site Hedge Baseline'!$B$1:$L$257,7,FALSE)),"",(VLOOKUP($B234,'B-1 On-Site Hedge Baseline'!$B$1:$L$257,7,FALSE))))</f>
        <v/>
      </c>
      <c r="H234" s="301" t="str">
        <f>IF(B234="","",IF(ISNA(VLOOKUP($B234,'B-1 On-Site Hedge Baseline'!$B$1:$L$257,8,FALSE)),"",(VLOOKUP($B234,'B-1 On-Site Hedge Baseline'!$B$1:$L$257,8,FALSE))))</f>
        <v/>
      </c>
      <c r="I234" s="301" t="str">
        <f>IF(B234="","",IF(ISNA(VLOOKUP($B234,'B-1 On-Site Hedge Baseline'!$B$1:$L$257,10,FALSE)),"",(VLOOKUP($B234,'B-1 On-Site Hedge Baseline'!$B$1:$L$257,10,FALSE))))</f>
        <v/>
      </c>
      <c r="J234" s="301" t="str">
        <f>IF(B234="","",IF(ISNA(VLOOKUP($B234,'B-1 On-Site Hedge Baseline'!$B$1:$L$257,11,FALSE)),"",(VLOOKUP($B234,'B-1 On-Site Hedge Baseline'!$B$1:$L$257,11,FALSE))))</f>
        <v/>
      </c>
      <c r="K234" s="301" t="str">
        <f>IF(B234="","",IF(ISNA(VLOOKUP($B234,'B-1 On-Site Hedge Baseline'!$B$1:$U$257,13,FALSE)),"",(VLOOKUP($B234,'B-1 On-Site Hedge Baseline'!$B$1:$U$257,13,FALSE))))</f>
        <v/>
      </c>
      <c r="L234" s="305" t="str">
        <f>IF(B234="","",IF(ISNA(VLOOKUP($B234,'B-1 On-Site Hedge Baseline'!$B$1:$U$257,12,FALSE)),"",(VLOOKUP($B234,'B-1 On-Site Hedge Baseline'!$B$1:$U$257,12,FALSE))))</f>
        <v/>
      </c>
      <c r="M234" s="627"/>
      <c r="N234" s="281" t="str">
        <f>IFERROR(IF(B234="","",INDEX('G-6 Hedgerow Data'!$AN$3:$AZ$15,MATCH(C234,'G-6 Hedgerow Data'!$AM$3:$AM$15,0),MATCH(M234,'G-6 Hedgerow Data'!$AN$2:$AZ$2,0))),"")</f>
        <v/>
      </c>
      <c r="O234" s="282" t="str">
        <f t="shared" si="22"/>
        <v/>
      </c>
      <c r="P234" s="335" t="str">
        <f>IF(B234="","",VLOOKUP(B234,'B-1 On-Site Hedge Baseline'!$B$10:T479,16,FALSE))</f>
        <v/>
      </c>
      <c r="Q234" s="281" t="str">
        <f>IF(M234="","",VLOOKUP(M234,'G-6 Hedgerow Data'!$B$2:$AG$15,2,FALSE))</f>
        <v/>
      </c>
      <c r="R234" s="282" t="str">
        <f>IF(M234="","",VLOOKUP(M234,'G-6 Hedgerow Data'!$B$2:$AG$15,3,FALSE))</f>
        <v/>
      </c>
      <c r="S234" s="112"/>
      <c r="T234" s="320" t="str">
        <f>IFERROR(IF(S234="","",IF(AND(M234="Non-native and ornamental hedgerow", S234&lt;&gt;"Poor"),"Not possible ▲", (VLOOKUP(S234,'G-1 All Habitats'!$Z$2:$AA$9,2,FALSE)))),"")</f>
        <v/>
      </c>
      <c r="U234" s="109"/>
      <c r="V234" s="301" t="str">
        <f>IF(U234="","",IF(VLOOKUP(U234,'G-3 Multipliers'!$L$3:$N$6,2,FALSE)=0,"Spatial Data Missing ⚠",VLOOKUP(U234,'G-3 Multipliers'!$L$3:$N$6,2,FALSE)))</f>
        <v/>
      </c>
      <c r="W234" s="305" t="str">
        <f>IF(U234="","",IF(VLOOKUP(U234,'G-3 Multipliers'!$L$3:$N$6,3,FALSE)=0,"Spatial Data Missing ⚠",VLOOKUP(U234,'G-3 Multipliers'!$L$3:$N$6,3,FALSE)))</f>
        <v/>
      </c>
      <c r="X234" s="281" t="str">
        <f>IFERROR(IF(OR(LEFT(O234,5)="Error",LEFT(N234,5)="Error",T234="Error"),"Check Data ⚠",IF(F234&lt;R234,INDEX('G-6 Hedgerow Data'!$S$3:$AE$14,MATCH(C234,'G-6 Hedgerow Data'!$B$3:$B$14,0),MATCH(M234,'G-6 Hedgerow Data'!$S$2:$AE$2,0)),INDEX('G-6 Hedgerow Data'!$K$3:$Q$14,MATCH(M234,'G-6 Hedgerow Data'!$B$3:$B$14,0),MATCH(O234,'G-6 Hedgerow Data'!$K$2:$Q$2,0)))),"")</f>
        <v/>
      </c>
      <c r="Y234" s="137"/>
      <c r="Z234" s="137"/>
      <c r="AA234" s="289" t="str">
        <f t="shared" si="23"/>
        <v/>
      </c>
      <c r="AB234" s="302" t="str">
        <f t="shared" si="24"/>
        <v/>
      </c>
      <c r="AC234" s="303" t="str">
        <f t="shared" si="21"/>
        <v/>
      </c>
      <c r="AD234" s="317" t="str">
        <f>IF(M234="","",VLOOKUP(M234,'G-6 Hedgerow Data'!$B$3:$AG$15,31,FALSE))</f>
        <v/>
      </c>
      <c r="AE234" s="289" t="str">
        <f t="shared" si="25"/>
        <v/>
      </c>
      <c r="AF234" s="289" t="str">
        <f t="shared" si="26"/>
        <v/>
      </c>
      <c r="AG234" s="305" t="str">
        <f>IFERROR(IF(O234="","",VLOOKUP(AD234,'G-3 Multipliers'!$P$3:$Q$6,2,FALSE)),"")</f>
        <v/>
      </c>
      <c r="AH234" s="295" t="str">
        <f t="shared" si="27"/>
        <v/>
      </c>
      <c r="AI234" s="112"/>
      <c r="AJ234" s="119"/>
      <c r="AK234" s="108"/>
      <c r="AT234" s="30" t="str">
        <f>IFERROR(INDEX('G-6 Hedgerow Data'!$BJ$3:$BJ$15,MATCH(M234,'G-6 Hedgerow Data'!$B$3:$B$15,0)),"")</f>
        <v/>
      </c>
    </row>
    <row r="235" spans="2:46" ht="13.8" x14ac:dyDescent="0.25">
      <c r="B235" s="311" t="str">
        <f>'B-1 On-Site Hedge Baseline'!AK233</f>
        <v/>
      </c>
      <c r="C235" s="301" t="str">
        <f>IF(B235="","",IF(ISNA(VLOOKUP($B235,'B-1 On-Site Hedge Baseline'!$B$1:$L$257,3,FALSE)),"",(VLOOKUP($B235,'B-1 On-Site Hedge Baseline'!$B$1:$L$257,3,FALSE))))</f>
        <v/>
      </c>
      <c r="D235" s="301" t="str">
        <f>IF(B235="","",IF(ISNA(VLOOKUP($B235,'B-1 On-Site Hedge Baseline'!$B$1:$L$257,4,FALSE)),"",(VLOOKUP($B235,'B-1 On-Site Hedge Baseline'!$B$1:$L$257,4,FALSE))))</f>
        <v/>
      </c>
      <c r="E235" s="301" t="str">
        <f>IF(B235="","",IF(ISNA(VLOOKUP($B235,'B-1 On-Site Hedge Baseline'!$B$1:$L$257,5,FALSE)),"",(VLOOKUP($B235,'B-1 On-Site Hedge Baseline'!$B$1:$L$257,5,FALSE))))</f>
        <v/>
      </c>
      <c r="F235" s="301" t="str">
        <f>IF(B235="","",IF(ISNA(VLOOKUP($B235,'B-1 On-Site Hedge Baseline'!$B$1:$L$257,6,FALSE)),"",(VLOOKUP($B235,'B-1 On-Site Hedge Baseline'!$B$1:$L$257,6,FALSE))))</f>
        <v/>
      </c>
      <c r="G235" s="301" t="str">
        <f>IF(B235="","",IF(ISNA(VLOOKUP($B235,'B-1 On-Site Hedge Baseline'!$B$1:$L$257,7,FALSE)),"",(VLOOKUP($B235,'B-1 On-Site Hedge Baseline'!$B$1:$L$257,7,FALSE))))</f>
        <v/>
      </c>
      <c r="H235" s="301" t="str">
        <f>IF(B235="","",IF(ISNA(VLOOKUP($B235,'B-1 On-Site Hedge Baseline'!$B$1:$L$257,8,FALSE)),"",(VLOOKUP($B235,'B-1 On-Site Hedge Baseline'!$B$1:$L$257,8,FALSE))))</f>
        <v/>
      </c>
      <c r="I235" s="301" t="str">
        <f>IF(B235="","",IF(ISNA(VLOOKUP($B235,'B-1 On-Site Hedge Baseline'!$B$1:$L$257,10,FALSE)),"",(VLOOKUP($B235,'B-1 On-Site Hedge Baseline'!$B$1:$L$257,10,FALSE))))</f>
        <v/>
      </c>
      <c r="J235" s="301" t="str">
        <f>IF(B235="","",IF(ISNA(VLOOKUP($B235,'B-1 On-Site Hedge Baseline'!$B$1:$L$257,11,FALSE)),"",(VLOOKUP($B235,'B-1 On-Site Hedge Baseline'!$B$1:$L$257,11,FALSE))))</f>
        <v/>
      </c>
      <c r="K235" s="301" t="str">
        <f>IF(B235="","",IF(ISNA(VLOOKUP($B235,'B-1 On-Site Hedge Baseline'!$B$1:$U$257,13,FALSE)),"",(VLOOKUP($B235,'B-1 On-Site Hedge Baseline'!$B$1:$U$257,13,FALSE))))</f>
        <v/>
      </c>
      <c r="L235" s="305" t="str">
        <f>IF(B235="","",IF(ISNA(VLOOKUP($B235,'B-1 On-Site Hedge Baseline'!$B$1:$U$257,12,FALSE)),"",(VLOOKUP($B235,'B-1 On-Site Hedge Baseline'!$B$1:$U$257,12,FALSE))))</f>
        <v/>
      </c>
      <c r="M235" s="627"/>
      <c r="N235" s="281" t="str">
        <f>IFERROR(IF(B235="","",INDEX('G-6 Hedgerow Data'!$AN$3:$AZ$15,MATCH(C235,'G-6 Hedgerow Data'!$AM$3:$AM$15,0),MATCH(M235,'G-6 Hedgerow Data'!$AN$2:$AZ$2,0))),"")</f>
        <v/>
      </c>
      <c r="O235" s="282" t="str">
        <f t="shared" si="22"/>
        <v/>
      </c>
      <c r="P235" s="335" t="str">
        <f>IF(B235="","",VLOOKUP(B235,'B-1 On-Site Hedge Baseline'!$B$10:T480,16,FALSE))</f>
        <v/>
      </c>
      <c r="Q235" s="281" t="str">
        <f>IF(M235="","",VLOOKUP(M235,'G-6 Hedgerow Data'!$B$2:$AG$15,2,FALSE))</f>
        <v/>
      </c>
      <c r="R235" s="282" t="str">
        <f>IF(M235="","",VLOOKUP(M235,'G-6 Hedgerow Data'!$B$2:$AG$15,3,FALSE))</f>
        <v/>
      </c>
      <c r="S235" s="112"/>
      <c r="T235" s="320" t="str">
        <f>IFERROR(IF(S235="","",IF(AND(M235="Non-native and ornamental hedgerow", S235&lt;&gt;"Poor"),"Not possible ▲", (VLOOKUP(S235,'G-1 All Habitats'!$Z$2:$AA$9,2,FALSE)))),"")</f>
        <v/>
      </c>
      <c r="U235" s="109"/>
      <c r="V235" s="301" t="str">
        <f>IF(U235="","",IF(VLOOKUP(U235,'G-3 Multipliers'!$L$3:$N$6,2,FALSE)=0,"Spatial Data Missing ⚠",VLOOKUP(U235,'G-3 Multipliers'!$L$3:$N$6,2,FALSE)))</f>
        <v/>
      </c>
      <c r="W235" s="305" t="str">
        <f>IF(U235="","",IF(VLOOKUP(U235,'G-3 Multipliers'!$L$3:$N$6,3,FALSE)=0,"Spatial Data Missing ⚠",VLOOKUP(U235,'G-3 Multipliers'!$L$3:$N$6,3,FALSE)))</f>
        <v/>
      </c>
      <c r="X235" s="281" t="str">
        <f>IFERROR(IF(OR(LEFT(O235,5)="Error",LEFT(N235,5)="Error",T235="Error"),"Check Data ⚠",IF(F235&lt;R235,INDEX('G-6 Hedgerow Data'!$S$3:$AE$14,MATCH(C235,'G-6 Hedgerow Data'!$B$3:$B$14,0),MATCH(M235,'G-6 Hedgerow Data'!$S$2:$AE$2,0)),INDEX('G-6 Hedgerow Data'!$K$3:$Q$14,MATCH(M235,'G-6 Hedgerow Data'!$B$3:$B$14,0),MATCH(O235,'G-6 Hedgerow Data'!$K$2:$Q$2,0)))),"")</f>
        <v/>
      </c>
      <c r="Y235" s="137"/>
      <c r="Z235" s="137"/>
      <c r="AA235" s="289" t="str">
        <f t="shared" si="23"/>
        <v/>
      </c>
      <c r="AB235" s="302" t="str">
        <f t="shared" si="24"/>
        <v/>
      </c>
      <c r="AC235" s="303" t="str">
        <f t="shared" si="21"/>
        <v/>
      </c>
      <c r="AD235" s="317" t="str">
        <f>IF(M235="","",VLOOKUP(M235,'G-6 Hedgerow Data'!$B$3:$AG$15,31,FALSE))</f>
        <v/>
      </c>
      <c r="AE235" s="289" t="str">
        <f t="shared" si="25"/>
        <v/>
      </c>
      <c r="AF235" s="289" t="str">
        <f t="shared" si="26"/>
        <v/>
      </c>
      <c r="AG235" s="305" t="str">
        <f>IFERROR(IF(O235="","",VLOOKUP(AD235,'G-3 Multipliers'!$P$3:$Q$6,2,FALSE)),"")</f>
        <v/>
      </c>
      <c r="AH235" s="295" t="str">
        <f t="shared" si="27"/>
        <v/>
      </c>
      <c r="AI235" s="112"/>
      <c r="AJ235" s="119"/>
      <c r="AK235" s="108"/>
      <c r="AT235" s="30" t="str">
        <f>IFERROR(INDEX('G-6 Hedgerow Data'!$BJ$3:$BJ$15,MATCH(M235,'G-6 Hedgerow Data'!$B$3:$B$15,0)),"")</f>
        <v/>
      </c>
    </row>
    <row r="236" spans="2:46" ht="13.8" x14ac:dyDescent="0.25">
      <c r="B236" s="311" t="str">
        <f>'B-1 On-Site Hedge Baseline'!AK234</f>
        <v/>
      </c>
      <c r="C236" s="301" t="str">
        <f>IF(B236="","",IF(ISNA(VLOOKUP($B236,'B-1 On-Site Hedge Baseline'!$B$1:$L$257,3,FALSE)),"",(VLOOKUP($B236,'B-1 On-Site Hedge Baseline'!$B$1:$L$257,3,FALSE))))</f>
        <v/>
      </c>
      <c r="D236" s="301" t="str">
        <f>IF(B236="","",IF(ISNA(VLOOKUP($B236,'B-1 On-Site Hedge Baseline'!$B$1:$L$257,4,FALSE)),"",(VLOOKUP($B236,'B-1 On-Site Hedge Baseline'!$B$1:$L$257,4,FALSE))))</f>
        <v/>
      </c>
      <c r="E236" s="301" t="str">
        <f>IF(B236="","",IF(ISNA(VLOOKUP($B236,'B-1 On-Site Hedge Baseline'!$B$1:$L$257,5,FALSE)),"",(VLOOKUP($B236,'B-1 On-Site Hedge Baseline'!$B$1:$L$257,5,FALSE))))</f>
        <v/>
      </c>
      <c r="F236" s="301" t="str">
        <f>IF(B236="","",IF(ISNA(VLOOKUP($B236,'B-1 On-Site Hedge Baseline'!$B$1:$L$257,6,FALSE)),"",(VLOOKUP($B236,'B-1 On-Site Hedge Baseline'!$B$1:$L$257,6,FALSE))))</f>
        <v/>
      </c>
      <c r="G236" s="301" t="str">
        <f>IF(B236="","",IF(ISNA(VLOOKUP($B236,'B-1 On-Site Hedge Baseline'!$B$1:$L$257,7,FALSE)),"",(VLOOKUP($B236,'B-1 On-Site Hedge Baseline'!$B$1:$L$257,7,FALSE))))</f>
        <v/>
      </c>
      <c r="H236" s="301" t="str">
        <f>IF(B236="","",IF(ISNA(VLOOKUP($B236,'B-1 On-Site Hedge Baseline'!$B$1:$L$257,8,FALSE)),"",(VLOOKUP($B236,'B-1 On-Site Hedge Baseline'!$B$1:$L$257,8,FALSE))))</f>
        <v/>
      </c>
      <c r="I236" s="301" t="str">
        <f>IF(B236="","",IF(ISNA(VLOOKUP($B236,'B-1 On-Site Hedge Baseline'!$B$1:$L$257,10,FALSE)),"",(VLOOKUP($B236,'B-1 On-Site Hedge Baseline'!$B$1:$L$257,10,FALSE))))</f>
        <v/>
      </c>
      <c r="J236" s="301" t="str">
        <f>IF(B236="","",IF(ISNA(VLOOKUP($B236,'B-1 On-Site Hedge Baseline'!$B$1:$L$257,11,FALSE)),"",(VLOOKUP($B236,'B-1 On-Site Hedge Baseline'!$B$1:$L$257,11,FALSE))))</f>
        <v/>
      </c>
      <c r="K236" s="301" t="str">
        <f>IF(B236="","",IF(ISNA(VLOOKUP($B236,'B-1 On-Site Hedge Baseline'!$B$1:$U$257,13,FALSE)),"",(VLOOKUP($B236,'B-1 On-Site Hedge Baseline'!$B$1:$U$257,13,FALSE))))</f>
        <v/>
      </c>
      <c r="L236" s="305" t="str">
        <f>IF(B236="","",IF(ISNA(VLOOKUP($B236,'B-1 On-Site Hedge Baseline'!$B$1:$U$257,12,FALSE)),"",(VLOOKUP($B236,'B-1 On-Site Hedge Baseline'!$B$1:$U$257,12,FALSE))))</f>
        <v/>
      </c>
      <c r="M236" s="627"/>
      <c r="N236" s="281" t="str">
        <f>IFERROR(IF(B236="","",INDEX('G-6 Hedgerow Data'!$AN$3:$AZ$15,MATCH(C236,'G-6 Hedgerow Data'!$AM$3:$AM$15,0),MATCH(M236,'G-6 Hedgerow Data'!$AN$2:$AZ$2,0))),"")</f>
        <v/>
      </c>
      <c r="O236" s="282" t="str">
        <f t="shared" si="22"/>
        <v/>
      </c>
      <c r="P236" s="335" t="str">
        <f>IF(B236="","",VLOOKUP(B236,'B-1 On-Site Hedge Baseline'!$B$10:T481,16,FALSE))</f>
        <v/>
      </c>
      <c r="Q236" s="281" t="str">
        <f>IF(M236="","",VLOOKUP(M236,'G-6 Hedgerow Data'!$B$2:$AG$15,2,FALSE))</f>
        <v/>
      </c>
      <c r="R236" s="282" t="str">
        <f>IF(M236="","",VLOOKUP(M236,'G-6 Hedgerow Data'!$B$2:$AG$15,3,FALSE))</f>
        <v/>
      </c>
      <c r="S236" s="112"/>
      <c r="T236" s="320" t="str">
        <f>IFERROR(IF(S236="","",IF(AND(M236="Non-native and ornamental hedgerow", S236&lt;&gt;"Poor"),"Not possible ▲", (VLOOKUP(S236,'G-1 All Habitats'!$Z$2:$AA$9,2,FALSE)))),"")</f>
        <v/>
      </c>
      <c r="U236" s="109"/>
      <c r="V236" s="301" t="str">
        <f>IF(U236="","",IF(VLOOKUP(U236,'G-3 Multipliers'!$L$3:$N$6,2,FALSE)=0,"Spatial Data Missing ⚠",VLOOKUP(U236,'G-3 Multipliers'!$L$3:$N$6,2,FALSE)))</f>
        <v/>
      </c>
      <c r="W236" s="305" t="str">
        <f>IF(U236="","",IF(VLOOKUP(U236,'G-3 Multipliers'!$L$3:$N$6,3,FALSE)=0,"Spatial Data Missing ⚠",VLOOKUP(U236,'G-3 Multipliers'!$L$3:$N$6,3,FALSE)))</f>
        <v/>
      </c>
      <c r="X236" s="281" t="str">
        <f>IFERROR(IF(OR(LEFT(O236,5)="Error",LEFT(N236,5)="Error",T236="Error"),"Check Data ⚠",IF(F236&lt;R236,INDEX('G-6 Hedgerow Data'!$S$3:$AE$14,MATCH(C236,'G-6 Hedgerow Data'!$B$3:$B$14,0),MATCH(M236,'G-6 Hedgerow Data'!$S$2:$AE$2,0)),INDEX('G-6 Hedgerow Data'!$K$3:$Q$14,MATCH(M236,'G-6 Hedgerow Data'!$B$3:$B$14,0),MATCH(O236,'G-6 Hedgerow Data'!$K$2:$Q$2,0)))),"")</f>
        <v/>
      </c>
      <c r="Y236" s="137"/>
      <c r="Z236" s="137"/>
      <c r="AA236" s="289" t="str">
        <f t="shared" si="23"/>
        <v/>
      </c>
      <c r="AB236" s="302" t="str">
        <f t="shared" si="24"/>
        <v/>
      </c>
      <c r="AC236" s="303" t="str">
        <f t="shared" si="21"/>
        <v/>
      </c>
      <c r="AD236" s="317" t="str">
        <f>IF(M236="","",VLOOKUP(M236,'G-6 Hedgerow Data'!$B$3:$AG$15,31,FALSE))</f>
        <v/>
      </c>
      <c r="AE236" s="289" t="str">
        <f t="shared" si="25"/>
        <v/>
      </c>
      <c r="AF236" s="289" t="str">
        <f t="shared" si="26"/>
        <v/>
      </c>
      <c r="AG236" s="305" t="str">
        <f>IFERROR(IF(O236="","",VLOOKUP(AD236,'G-3 Multipliers'!$P$3:$Q$6,2,FALSE)),"")</f>
        <v/>
      </c>
      <c r="AH236" s="295" t="str">
        <f t="shared" si="27"/>
        <v/>
      </c>
      <c r="AI236" s="112"/>
      <c r="AJ236" s="119"/>
      <c r="AK236" s="108"/>
      <c r="AT236" s="30" t="str">
        <f>IFERROR(INDEX('G-6 Hedgerow Data'!$BJ$3:$BJ$15,MATCH(M236,'G-6 Hedgerow Data'!$B$3:$B$15,0)),"")</f>
        <v/>
      </c>
    </row>
    <row r="237" spans="2:46" ht="13.8" x14ac:dyDescent="0.25">
      <c r="B237" s="311" t="str">
        <f>'B-1 On-Site Hedge Baseline'!AK235</f>
        <v/>
      </c>
      <c r="C237" s="301" t="str">
        <f>IF(B237="","",IF(ISNA(VLOOKUP($B237,'B-1 On-Site Hedge Baseline'!$B$1:$L$257,3,FALSE)),"",(VLOOKUP($B237,'B-1 On-Site Hedge Baseline'!$B$1:$L$257,3,FALSE))))</f>
        <v/>
      </c>
      <c r="D237" s="301" t="str">
        <f>IF(B237="","",IF(ISNA(VLOOKUP($B237,'B-1 On-Site Hedge Baseline'!$B$1:$L$257,4,FALSE)),"",(VLOOKUP($B237,'B-1 On-Site Hedge Baseline'!$B$1:$L$257,4,FALSE))))</f>
        <v/>
      </c>
      <c r="E237" s="301" t="str">
        <f>IF(B237="","",IF(ISNA(VLOOKUP($B237,'B-1 On-Site Hedge Baseline'!$B$1:$L$257,5,FALSE)),"",(VLOOKUP($B237,'B-1 On-Site Hedge Baseline'!$B$1:$L$257,5,FALSE))))</f>
        <v/>
      </c>
      <c r="F237" s="301" t="str">
        <f>IF(B237="","",IF(ISNA(VLOOKUP($B237,'B-1 On-Site Hedge Baseline'!$B$1:$L$257,6,FALSE)),"",(VLOOKUP($B237,'B-1 On-Site Hedge Baseline'!$B$1:$L$257,6,FALSE))))</f>
        <v/>
      </c>
      <c r="G237" s="301" t="str">
        <f>IF(B237="","",IF(ISNA(VLOOKUP($B237,'B-1 On-Site Hedge Baseline'!$B$1:$L$257,7,FALSE)),"",(VLOOKUP($B237,'B-1 On-Site Hedge Baseline'!$B$1:$L$257,7,FALSE))))</f>
        <v/>
      </c>
      <c r="H237" s="301" t="str">
        <f>IF(B237="","",IF(ISNA(VLOOKUP($B237,'B-1 On-Site Hedge Baseline'!$B$1:$L$257,8,FALSE)),"",(VLOOKUP($B237,'B-1 On-Site Hedge Baseline'!$B$1:$L$257,8,FALSE))))</f>
        <v/>
      </c>
      <c r="I237" s="301" t="str">
        <f>IF(B237="","",IF(ISNA(VLOOKUP($B237,'B-1 On-Site Hedge Baseline'!$B$1:$L$257,10,FALSE)),"",(VLOOKUP($B237,'B-1 On-Site Hedge Baseline'!$B$1:$L$257,10,FALSE))))</f>
        <v/>
      </c>
      <c r="J237" s="301" t="str">
        <f>IF(B237="","",IF(ISNA(VLOOKUP($B237,'B-1 On-Site Hedge Baseline'!$B$1:$L$257,11,FALSE)),"",(VLOOKUP($B237,'B-1 On-Site Hedge Baseline'!$B$1:$L$257,11,FALSE))))</f>
        <v/>
      </c>
      <c r="K237" s="301" t="str">
        <f>IF(B237="","",IF(ISNA(VLOOKUP($B237,'B-1 On-Site Hedge Baseline'!$B$1:$U$257,13,FALSE)),"",(VLOOKUP($B237,'B-1 On-Site Hedge Baseline'!$B$1:$U$257,13,FALSE))))</f>
        <v/>
      </c>
      <c r="L237" s="305" t="str">
        <f>IF(B237="","",IF(ISNA(VLOOKUP($B237,'B-1 On-Site Hedge Baseline'!$B$1:$U$257,12,FALSE)),"",(VLOOKUP($B237,'B-1 On-Site Hedge Baseline'!$B$1:$U$257,12,FALSE))))</f>
        <v/>
      </c>
      <c r="M237" s="627"/>
      <c r="N237" s="281" t="str">
        <f>IFERROR(IF(B237="","",INDEX('G-6 Hedgerow Data'!$AN$3:$AZ$15,MATCH(C237,'G-6 Hedgerow Data'!$AM$3:$AM$15,0),MATCH(M237,'G-6 Hedgerow Data'!$AN$2:$AZ$2,0))),"")</f>
        <v/>
      </c>
      <c r="O237" s="282" t="str">
        <f t="shared" si="22"/>
        <v/>
      </c>
      <c r="P237" s="335" t="str">
        <f>IF(B237="","",VLOOKUP(B237,'B-1 On-Site Hedge Baseline'!$B$10:T482,16,FALSE))</f>
        <v/>
      </c>
      <c r="Q237" s="281" t="str">
        <f>IF(M237="","",VLOOKUP(M237,'G-6 Hedgerow Data'!$B$2:$AG$15,2,FALSE))</f>
        <v/>
      </c>
      <c r="R237" s="282" t="str">
        <f>IF(M237="","",VLOOKUP(M237,'G-6 Hedgerow Data'!$B$2:$AG$15,3,FALSE))</f>
        <v/>
      </c>
      <c r="S237" s="112"/>
      <c r="T237" s="320" t="str">
        <f>IFERROR(IF(S237="","",IF(AND(M237="Non-native and ornamental hedgerow", S237&lt;&gt;"Poor"),"Not possible ▲", (VLOOKUP(S237,'G-1 All Habitats'!$Z$2:$AA$9,2,FALSE)))),"")</f>
        <v/>
      </c>
      <c r="U237" s="109"/>
      <c r="V237" s="301" t="str">
        <f>IF(U237="","",IF(VLOOKUP(U237,'G-3 Multipliers'!$L$3:$N$6,2,FALSE)=0,"Spatial Data Missing ⚠",VLOOKUP(U237,'G-3 Multipliers'!$L$3:$N$6,2,FALSE)))</f>
        <v/>
      </c>
      <c r="W237" s="305" t="str">
        <f>IF(U237="","",IF(VLOOKUP(U237,'G-3 Multipliers'!$L$3:$N$6,3,FALSE)=0,"Spatial Data Missing ⚠",VLOOKUP(U237,'G-3 Multipliers'!$L$3:$N$6,3,FALSE)))</f>
        <v/>
      </c>
      <c r="X237" s="281" t="str">
        <f>IFERROR(IF(OR(LEFT(O237,5)="Error",LEFT(N237,5)="Error",T237="Error"),"Check Data ⚠",IF(F237&lt;R237,INDEX('G-6 Hedgerow Data'!$S$3:$AE$14,MATCH(C237,'G-6 Hedgerow Data'!$B$3:$B$14,0),MATCH(M237,'G-6 Hedgerow Data'!$S$2:$AE$2,0)),INDEX('G-6 Hedgerow Data'!$K$3:$Q$14,MATCH(M237,'G-6 Hedgerow Data'!$B$3:$B$14,0),MATCH(O237,'G-6 Hedgerow Data'!$K$2:$Q$2,0)))),"")</f>
        <v/>
      </c>
      <c r="Y237" s="137"/>
      <c r="Z237" s="137"/>
      <c r="AA237" s="289" t="str">
        <f t="shared" si="23"/>
        <v/>
      </c>
      <c r="AB237" s="302" t="str">
        <f t="shared" si="24"/>
        <v/>
      </c>
      <c r="AC237" s="303" t="str">
        <f t="shared" si="21"/>
        <v/>
      </c>
      <c r="AD237" s="317" t="str">
        <f>IF(M237="","",VLOOKUP(M237,'G-6 Hedgerow Data'!$B$3:$AG$15,31,FALSE))</f>
        <v/>
      </c>
      <c r="AE237" s="289" t="str">
        <f t="shared" si="25"/>
        <v/>
      </c>
      <c r="AF237" s="289" t="str">
        <f t="shared" si="26"/>
        <v/>
      </c>
      <c r="AG237" s="305" t="str">
        <f>IFERROR(IF(O237="","",VLOOKUP(AD237,'G-3 Multipliers'!$P$3:$Q$6,2,FALSE)),"")</f>
        <v/>
      </c>
      <c r="AH237" s="295" t="str">
        <f t="shared" si="27"/>
        <v/>
      </c>
      <c r="AI237" s="112"/>
      <c r="AJ237" s="119"/>
      <c r="AK237" s="108"/>
      <c r="AT237" s="30" t="str">
        <f>IFERROR(INDEX('G-6 Hedgerow Data'!$BJ$3:$BJ$15,MATCH(M237,'G-6 Hedgerow Data'!$B$3:$B$15,0)),"")</f>
        <v/>
      </c>
    </row>
    <row r="238" spans="2:46" ht="13.8" x14ac:dyDescent="0.25">
      <c r="B238" s="311" t="str">
        <f>'B-1 On-Site Hedge Baseline'!AK236</f>
        <v/>
      </c>
      <c r="C238" s="301" t="str">
        <f>IF(B238="","",IF(ISNA(VLOOKUP($B238,'B-1 On-Site Hedge Baseline'!$B$1:$L$257,3,FALSE)),"",(VLOOKUP($B238,'B-1 On-Site Hedge Baseline'!$B$1:$L$257,3,FALSE))))</f>
        <v/>
      </c>
      <c r="D238" s="301" t="str">
        <f>IF(B238="","",IF(ISNA(VLOOKUP($B238,'B-1 On-Site Hedge Baseline'!$B$1:$L$257,4,FALSE)),"",(VLOOKUP($B238,'B-1 On-Site Hedge Baseline'!$B$1:$L$257,4,FALSE))))</f>
        <v/>
      </c>
      <c r="E238" s="301" t="str">
        <f>IF(B238="","",IF(ISNA(VLOOKUP($B238,'B-1 On-Site Hedge Baseline'!$B$1:$L$257,5,FALSE)),"",(VLOOKUP($B238,'B-1 On-Site Hedge Baseline'!$B$1:$L$257,5,FALSE))))</f>
        <v/>
      </c>
      <c r="F238" s="301" t="str">
        <f>IF(B238="","",IF(ISNA(VLOOKUP($B238,'B-1 On-Site Hedge Baseline'!$B$1:$L$257,6,FALSE)),"",(VLOOKUP($B238,'B-1 On-Site Hedge Baseline'!$B$1:$L$257,6,FALSE))))</f>
        <v/>
      </c>
      <c r="G238" s="301" t="str">
        <f>IF(B238="","",IF(ISNA(VLOOKUP($B238,'B-1 On-Site Hedge Baseline'!$B$1:$L$257,7,FALSE)),"",(VLOOKUP($B238,'B-1 On-Site Hedge Baseline'!$B$1:$L$257,7,FALSE))))</f>
        <v/>
      </c>
      <c r="H238" s="301" t="str">
        <f>IF(B238="","",IF(ISNA(VLOOKUP($B238,'B-1 On-Site Hedge Baseline'!$B$1:$L$257,8,FALSE)),"",(VLOOKUP($B238,'B-1 On-Site Hedge Baseline'!$B$1:$L$257,8,FALSE))))</f>
        <v/>
      </c>
      <c r="I238" s="301" t="str">
        <f>IF(B238="","",IF(ISNA(VLOOKUP($B238,'B-1 On-Site Hedge Baseline'!$B$1:$L$257,10,FALSE)),"",(VLOOKUP($B238,'B-1 On-Site Hedge Baseline'!$B$1:$L$257,10,FALSE))))</f>
        <v/>
      </c>
      <c r="J238" s="301" t="str">
        <f>IF(B238="","",IF(ISNA(VLOOKUP($B238,'B-1 On-Site Hedge Baseline'!$B$1:$L$257,11,FALSE)),"",(VLOOKUP($B238,'B-1 On-Site Hedge Baseline'!$B$1:$L$257,11,FALSE))))</f>
        <v/>
      </c>
      <c r="K238" s="301" t="str">
        <f>IF(B238="","",IF(ISNA(VLOOKUP($B238,'B-1 On-Site Hedge Baseline'!$B$1:$U$257,13,FALSE)),"",(VLOOKUP($B238,'B-1 On-Site Hedge Baseline'!$B$1:$U$257,13,FALSE))))</f>
        <v/>
      </c>
      <c r="L238" s="305" t="str">
        <f>IF(B238="","",IF(ISNA(VLOOKUP($B238,'B-1 On-Site Hedge Baseline'!$B$1:$U$257,12,FALSE)),"",(VLOOKUP($B238,'B-1 On-Site Hedge Baseline'!$B$1:$U$257,12,FALSE))))</f>
        <v/>
      </c>
      <c r="M238" s="627"/>
      <c r="N238" s="281" t="str">
        <f>IFERROR(IF(B238="","",INDEX('G-6 Hedgerow Data'!$AN$3:$AZ$15,MATCH(C238,'G-6 Hedgerow Data'!$AM$3:$AM$15,0),MATCH(M238,'G-6 Hedgerow Data'!$AN$2:$AZ$2,0))),"")</f>
        <v/>
      </c>
      <c r="O238" s="282" t="str">
        <f t="shared" si="22"/>
        <v/>
      </c>
      <c r="P238" s="335" t="str">
        <f>IF(B238="","",VLOOKUP(B238,'B-1 On-Site Hedge Baseline'!$B$10:T483,16,FALSE))</f>
        <v/>
      </c>
      <c r="Q238" s="281" t="str">
        <f>IF(M238="","",VLOOKUP(M238,'G-6 Hedgerow Data'!$B$2:$AG$15,2,FALSE))</f>
        <v/>
      </c>
      <c r="R238" s="282" t="str">
        <f>IF(M238="","",VLOOKUP(M238,'G-6 Hedgerow Data'!$B$2:$AG$15,3,FALSE))</f>
        <v/>
      </c>
      <c r="S238" s="112"/>
      <c r="T238" s="320" t="str">
        <f>IFERROR(IF(S238="","",IF(AND(M238="Non-native and ornamental hedgerow", S238&lt;&gt;"Poor"),"Not possible ▲", (VLOOKUP(S238,'G-1 All Habitats'!$Z$2:$AA$9,2,FALSE)))),"")</f>
        <v/>
      </c>
      <c r="U238" s="109"/>
      <c r="V238" s="301" t="str">
        <f>IF(U238="","",IF(VLOOKUP(U238,'G-3 Multipliers'!$L$3:$N$6,2,FALSE)=0,"Spatial Data Missing ⚠",VLOOKUP(U238,'G-3 Multipliers'!$L$3:$N$6,2,FALSE)))</f>
        <v/>
      </c>
      <c r="W238" s="305" t="str">
        <f>IF(U238="","",IF(VLOOKUP(U238,'G-3 Multipliers'!$L$3:$N$6,3,FALSE)=0,"Spatial Data Missing ⚠",VLOOKUP(U238,'G-3 Multipliers'!$L$3:$N$6,3,FALSE)))</f>
        <v/>
      </c>
      <c r="X238" s="281" t="str">
        <f>IFERROR(IF(OR(LEFT(O238,5)="Error",LEFT(N238,5)="Error",T238="Error"),"Check Data ⚠",IF(F238&lt;R238,INDEX('G-6 Hedgerow Data'!$S$3:$AE$14,MATCH(C238,'G-6 Hedgerow Data'!$B$3:$B$14,0),MATCH(M238,'G-6 Hedgerow Data'!$S$2:$AE$2,0)),INDEX('G-6 Hedgerow Data'!$K$3:$Q$14,MATCH(M238,'G-6 Hedgerow Data'!$B$3:$B$14,0),MATCH(O238,'G-6 Hedgerow Data'!$K$2:$Q$2,0)))),"")</f>
        <v/>
      </c>
      <c r="Y238" s="137"/>
      <c r="Z238" s="137"/>
      <c r="AA238" s="289" t="str">
        <f t="shared" si="23"/>
        <v/>
      </c>
      <c r="AB238" s="302" t="str">
        <f t="shared" si="24"/>
        <v/>
      </c>
      <c r="AC238" s="303" t="str">
        <f t="shared" si="21"/>
        <v/>
      </c>
      <c r="AD238" s="317" t="str">
        <f>IF(M238="","",VLOOKUP(M238,'G-6 Hedgerow Data'!$B$3:$AG$15,31,FALSE))</f>
        <v/>
      </c>
      <c r="AE238" s="289" t="str">
        <f t="shared" si="25"/>
        <v/>
      </c>
      <c r="AF238" s="289" t="str">
        <f t="shared" si="26"/>
        <v/>
      </c>
      <c r="AG238" s="305" t="str">
        <f>IFERROR(IF(O238="","",VLOOKUP(AD238,'G-3 Multipliers'!$P$3:$Q$6,2,FALSE)),"")</f>
        <v/>
      </c>
      <c r="AH238" s="295" t="str">
        <f t="shared" si="27"/>
        <v/>
      </c>
      <c r="AI238" s="112"/>
      <c r="AJ238" s="119"/>
      <c r="AK238" s="108"/>
      <c r="AT238" s="30" t="str">
        <f>IFERROR(INDEX('G-6 Hedgerow Data'!$BJ$3:$BJ$15,MATCH(M238,'G-6 Hedgerow Data'!$B$3:$B$15,0)),"")</f>
        <v/>
      </c>
    </row>
    <row r="239" spans="2:46" ht="13.8" x14ac:dyDescent="0.25">
      <c r="B239" s="311" t="str">
        <f>'B-1 On-Site Hedge Baseline'!AK237</f>
        <v/>
      </c>
      <c r="C239" s="301" t="str">
        <f>IF(B239="","",IF(ISNA(VLOOKUP($B239,'B-1 On-Site Hedge Baseline'!$B$1:$L$257,3,FALSE)),"",(VLOOKUP($B239,'B-1 On-Site Hedge Baseline'!$B$1:$L$257,3,FALSE))))</f>
        <v/>
      </c>
      <c r="D239" s="301" t="str">
        <f>IF(B239="","",IF(ISNA(VLOOKUP($B239,'B-1 On-Site Hedge Baseline'!$B$1:$L$257,4,FALSE)),"",(VLOOKUP($B239,'B-1 On-Site Hedge Baseline'!$B$1:$L$257,4,FALSE))))</f>
        <v/>
      </c>
      <c r="E239" s="301" t="str">
        <f>IF(B239="","",IF(ISNA(VLOOKUP($B239,'B-1 On-Site Hedge Baseline'!$B$1:$L$257,5,FALSE)),"",(VLOOKUP($B239,'B-1 On-Site Hedge Baseline'!$B$1:$L$257,5,FALSE))))</f>
        <v/>
      </c>
      <c r="F239" s="301" t="str">
        <f>IF(B239="","",IF(ISNA(VLOOKUP($B239,'B-1 On-Site Hedge Baseline'!$B$1:$L$257,6,FALSE)),"",(VLOOKUP($B239,'B-1 On-Site Hedge Baseline'!$B$1:$L$257,6,FALSE))))</f>
        <v/>
      </c>
      <c r="G239" s="301" t="str">
        <f>IF(B239="","",IF(ISNA(VLOOKUP($B239,'B-1 On-Site Hedge Baseline'!$B$1:$L$257,7,FALSE)),"",(VLOOKUP($B239,'B-1 On-Site Hedge Baseline'!$B$1:$L$257,7,FALSE))))</f>
        <v/>
      </c>
      <c r="H239" s="301" t="str">
        <f>IF(B239="","",IF(ISNA(VLOOKUP($B239,'B-1 On-Site Hedge Baseline'!$B$1:$L$257,8,FALSE)),"",(VLOOKUP($B239,'B-1 On-Site Hedge Baseline'!$B$1:$L$257,8,FALSE))))</f>
        <v/>
      </c>
      <c r="I239" s="301" t="str">
        <f>IF(B239="","",IF(ISNA(VLOOKUP($B239,'B-1 On-Site Hedge Baseline'!$B$1:$L$257,10,FALSE)),"",(VLOOKUP($B239,'B-1 On-Site Hedge Baseline'!$B$1:$L$257,10,FALSE))))</f>
        <v/>
      </c>
      <c r="J239" s="301" t="str">
        <f>IF(B239="","",IF(ISNA(VLOOKUP($B239,'B-1 On-Site Hedge Baseline'!$B$1:$L$257,11,FALSE)),"",(VLOOKUP($B239,'B-1 On-Site Hedge Baseline'!$B$1:$L$257,11,FALSE))))</f>
        <v/>
      </c>
      <c r="K239" s="301" t="str">
        <f>IF(B239="","",IF(ISNA(VLOOKUP($B239,'B-1 On-Site Hedge Baseline'!$B$1:$U$257,13,FALSE)),"",(VLOOKUP($B239,'B-1 On-Site Hedge Baseline'!$B$1:$U$257,13,FALSE))))</f>
        <v/>
      </c>
      <c r="L239" s="305" t="str">
        <f>IF(B239="","",IF(ISNA(VLOOKUP($B239,'B-1 On-Site Hedge Baseline'!$B$1:$U$257,12,FALSE)),"",(VLOOKUP($B239,'B-1 On-Site Hedge Baseline'!$B$1:$U$257,12,FALSE))))</f>
        <v/>
      </c>
      <c r="M239" s="627"/>
      <c r="N239" s="281" t="str">
        <f>IFERROR(IF(B239="","",INDEX('G-6 Hedgerow Data'!$AN$3:$AZ$15,MATCH(C239,'G-6 Hedgerow Data'!$AM$3:$AM$15,0),MATCH(M239,'G-6 Hedgerow Data'!$AN$2:$AZ$2,0))),"")</f>
        <v/>
      </c>
      <c r="O239" s="282" t="str">
        <f t="shared" si="22"/>
        <v/>
      </c>
      <c r="P239" s="335" t="str">
        <f>IF(B239="","",VLOOKUP(B239,'B-1 On-Site Hedge Baseline'!$B$10:T484,16,FALSE))</f>
        <v/>
      </c>
      <c r="Q239" s="281" t="str">
        <f>IF(M239="","",VLOOKUP(M239,'G-6 Hedgerow Data'!$B$2:$AG$15,2,FALSE))</f>
        <v/>
      </c>
      <c r="R239" s="282" t="str">
        <f>IF(M239="","",VLOOKUP(M239,'G-6 Hedgerow Data'!$B$2:$AG$15,3,FALSE))</f>
        <v/>
      </c>
      <c r="S239" s="112"/>
      <c r="T239" s="320" t="str">
        <f>IFERROR(IF(S239="","",IF(AND(M239="Non-native and ornamental hedgerow", S239&lt;&gt;"Poor"),"Not possible ▲", (VLOOKUP(S239,'G-1 All Habitats'!$Z$2:$AA$9,2,FALSE)))),"")</f>
        <v/>
      </c>
      <c r="U239" s="109"/>
      <c r="V239" s="301" t="str">
        <f>IF(U239="","",IF(VLOOKUP(U239,'G-3 Multipliers'!$L$3:$N$6,2,FALSE)=0,"Spatial Data Missing ⚠",VLOOKUP(U239,'G-3 Multipliers'!$L$3:$N$6,2,FALSE)))</f>
        <v/>
      </c>
      <c r="W239" s="305" t="str">
        <f>IF(U239="","",IF(VLOOKUP(U239,'G-3 Multipliers'!$L$3:$N$6,3,FALSE)=0,"Spatial Data Missing ⚠",VLOOKUP(U239,'G-3 Multipliers'!$L$3:$N$6,3,FALSE)))</f>
        <v/>
      </c>
      <c r="X239" s="281" t="str">
        <f>IFERROR(IF(OR(LEFT(O239,5)="Error",LEFT(N239,5)="Error",T239="Error"),"Check Data ⚠",IF(F239&lt;R239,INDEX('G-6 Hedgerow Data'!$S$3:$AE$14,MATCH(C239,'G-6 Hedgerow Data'!$B$3:$B$14,0),MATCH(M239,'G-6 Hedgerow Data'!$S$2:$AE$2,0)),INDEX('G-6 Hedgerow Data'!$K$3:$Q$14,MATCH(M239,'G-6 Hedgerow Data'!$B$3:$B$14,0),MATCH(O239,'G-6 Hedgerow Data'!$K$2:$Q$2,0)))),"")</f>
        <v/>
      </c>
      <c r="Y239" s="137"/>
      <c r="Z239" s="137"/>
      <c r="AA239" s="289" t="str">
        <f t="shared" si="23"/>
        <v/>
      </c>
      <c r="AB239" s="302" t="str">
        <f t="shared" si="24"/>
        <v/>
      </c>
      <c r="AC239" s="303" t="str">
        <f t="shared" si="21"/>
        <v/>
      </c>
      <c r="AD239" s="317" t="str">
        <f>IF(M239="","",VLOOKUP(M239,'G-6 Hedgerow Data'!$B$3:$AG$15,31,FALSE))</f>
        <v/>
      </c>
      <c r="AE239" s="289" t="str">
        <f t="shared" si="25"/>
        <v/>
      </c>
      <c r="AF239" s="289" t="str">
        <f t="shared" si="26"/>
        <v/>
      </c>
      <c r="AG239" s="305" t="str">
        <f>IFERROR(IF(O239="","",VLOOKUP(AD239,'G-3 Multipliers'!$P$3:$Q$6,2,FALSE)),"")</f>
        <v/>
      </c>
      <c r="AH239" s="295" t="str">
        <f t="shared" si="27"/>
        <v/>
      </c>
      <c r="AI239" s="112"/>
      <c r="AJ239" s="119"/>
      <c r="AK239" s="108"/>
      <c r="AT239" s="30" t="str">
        <f>IFERROR(INDEX('G-6 Hedgerow Data'!$BJ$3:$BJ$15,MATCH(M239,'G-6 Hedgerow Data'!$B$3:$B$15,0)),"")</f>
        <v/>
      </c>
    </row>
    <row r="240" spans="2:46" ht="13.8" x14ac:dyDescent="0.25">
      <c r="B240" s="311" t="str">
        <f>'B-1 On-Site Hedge Baseline'!AK238</f>
        <v/>
      </c>
      <c r="C240" s="301" t="str">
        <f>IF(B240="","",IF(ISNA(VLOOKUP($B240,'B-1 On-Site Hedge Baseline'!$B$1:$L$257,3,FALSE)),"",(VLOOKUP($B240,'B-1 On-Site Hedge Baseline'!$B$1:$L$257,3,FALSE))))</f>
        <v/>
      </c>
      <c r="D240" s="301" t="str">
        <f>IF(B240="","",IF(ISNA(VLOOKUP($B240,'B-1 On-Site Hedge Baseline'!$B$1:$L$257,4,FALSE)),"",(VLOOKUP($B240,'B-1 On-Site Hedge Baseline'!$B$1:$L$257,4,FALSE))))</f>
        <v/>
      </c>
      <c r="E240" s="301" t="str">
        <f>IF(B240="","",IF(ISNA(VLOOKUP($B240,'B-1 On-Site Hedge Baseline'!$B$1:$L$257,5,FALSE)),"",(VLOOKUP($B240,'B-1 On-Site Hedge Baseline'!$B$1:$L$257,5,FALSE))))</f>
        <v/>
      </c>
      <c r="F240" s="301" t="str">
        <f>IF(B240="","",IF(ISNA(VLOOKUP($B240,'B-1 On-Site Hedge Baseline'!$B$1:$L$257,6,FALSE)),"",(VLOOKUP($B240,'B-1 On-Site Hedge Baseline'!$B$1:$L$257,6,FALSE))))</f>
        <v/>
      </c>
      <c r="G240" s="301" t="str">
        <f>IF(B240="","",IF(ISNA(VLOOKUP($B240,'B-1 On-Site Hedge Baseline'!$B$1:$L$257,7,FALSE)),"",(VLOOKUP($B240,'B-1 On-Site Hedge Baseline'!$B$1:$L$257,7,FALSE))))</f>
        <v/>
      </c>
      <c r="H240" s="301" t="str">
        <f>IF(B240="","",IF(ISNA(VLOOKUP($B240,'B-1 On-Site Hedge Baseline'!$B$1:$L$257,8,FALSE)),"",(VLOOKUP($B240,'B-1 On-Site Hedge Baseline'!$B$1:$L$257,8,FALSE))))</f>
        <v/>
      </c>
      <c r="I240" s="301" t="str">
        <f>IF(B240="","",IF(ISNA(VLOOKUP($B240,'B-1 On-Site Hedge Baseline'!$B$1:$L$257,10,FALSE)),"",(VLOOKUP($B240,'B-1 On-Site Hedge Baseline'!$B$1:$L$257,10,FALSE))))</f>
        <v/>
      </c>
      <c r="J240" s="301" t="str">
        <f>IF(B240="","",IF(ISNA(VLOOKUP($B240,'B-1 On-Site Hedge Baseline'!$B$1:$L$257,11,FALSE)),"",(VLOOKUP($B240,'B-1 On-Site Hedge Baseline'!$B$1:$L$257,11,FALSE))))</f>
        <v/>
      </c>
      <c r="K240" s="301" t="str">
        <f>IF(B240="","",IF(ISNA(VLOOKUP($B240,'B-1 On-Site Hedge Baseline'!$B$1:$U$257,13,FALSE)),"",(VLOOKUP($B240,'B-1 On-Site Hedge Baseline'!$B$1:$U$257,13,FALSE))))</f>
        <v/>
      </c>
      <c r="L240" s="305" t="str">
        <f>IF(B240="","",IF(ISNA(VLOOKUP($B240,'B-1 On-Site Hedge Baseline'!$B$1:$U$257,12,FALSE)),"",(VLOOKUP($B240,'B-1 On-Site Hedge Baseline'!$B$1:$U$257,12,FALSE))))</f>
        <v/>
      </c>
      <c r="M240" s="627"/>
      <c r="N240" s="281" t="str">
        <f>IFERROR(IF(B240="","",INDEX('G-6 Hedgerow Data'!$AN$3:$AZ$15,MATCH(C240,'G-6 Hedgerow Data'!$AM$3:$AM$15,0),MATCH(M240,'G-6 Hedgerow Data'!$AN$2:$AZ$2,0))),"")</f>
        <v/>
      </c>
      <c r="O240" s="282" t="str">
        <f t="shared" si="22"/>
        <v/>
      </c>
      <c r="P240" s="335" t="str">
        <f>IF(B240="","",VLOOKUP(B240,'B-1 On-Site Hedge Baseline'!$B$10:T485,16,FALSE))</f>
        <v/>
      </c>
      <c r="Q240" s="281" t="str">
        <f>IF(M240="","",VLOOKUP(M240,'G-6 Hedgerow Data'!$B$2:$AG$15,2,FALSE))</f>
        <v/>
      </c>
      <c r="R240" s="282" t="str">
        <f>IF(M240="","",VLOOKUP(M240,'G-6 Hedgerow Data'!$B$2:$AG$15,3,FALSE))</f>
        <v/>
      </c>
      <c r="S240" s="112"/>
      <c r="T240" s="320" t="str">
        <f>IFERROR(IF(S240="","",IF(AND(M240="Non-native and ornamental hedgerow", S240&lt;&gt;"Poor"),"Not possible ▲", (VLOOKUP(S240,'G-1 All Habitats'!$Z$2:$AA$9,2,FALSE)))),"")</f>
        <v/>
      </c>
      <c r="U240" s="109"/>
      <c r="V240" s="301" t="str">
        <f>IF(U240="","",IF(VLOOKUP(U240,'G-3 Multipliers'!$L$3:$N$6,2,FALSE)=0,"Spatial Data Missing ⚠",VLOOKUP(U240,'G-3 Multipliers'!$L$3:$N$6,2,FALSE)))</f>
        <v/>
      </c>
      <c r="W240" s="305" t="str">
        <f>IF(U240="","",IF(VLOOKUP(U240,'G-3 Multipliers'!$L$3:$N$6,3,FALSE)=0,"Spatial Data Missing ⚠",VLOOKUP(U240,'G-3 Multipliers'!$L$3:$N$6,3,FALSE)))</f>
        <v/>
      </c>
      <c r="X240" s="281" t="str">
        <f>IFERROR(IF(OR(LEFT(O240,5)="Error",LEFT(N240,5)="Error",T240="Error"),"Check Data ⚠",IF(F240&lt;R240,INDEX('G-6 Hedgerow Data'!$S$3:$AE$14,MATCH(C240,'G-6 Hedgerow Data'!$B$3:$B$14,0),MATCH(M240,'G-6 Hedgerow Data'!$S$2:$AE$2,0)),INDEX('G-6 Hedgerow Data'!$K$3:$Q$14,MATCH(M240,'G-6 Hedgerow Data'!$B$3:$B$14,0),MATCH(O240,'G-6 Hedgerow Data'!$K$2:$Q$2,0)))),"")</f>
        <v/>
      </c>
      <c r="Y240" s="137"/>
      <c r="Z240" s="137"/>
      <c r="AA240" s="289" t="str">
        <f t="shared" si="23"/>
        <v/>
      </c>
      <c r="AB240" s="302" t="str">
        <f t="shared" si="24"/>
        <v/>
      </c>
      <c r="AC240" s="303" t="str">
        <f t="shared" si="21"/>
        <v/>
      </c>
      <c r="AD240" s="317" t="str">
        <f>IF(M240="","",VLOOKUP(M240,'G-6 Hedgerow Data'!$B$3:$AG$15,31,FALSE))</f>
        <v/>
      </c>
      <c r="AE240" s="289" t="str">
        <f t="shared" si="25"/>
        <v/>
      </c>
      <c r="AF240" s="289" t="str">
        <f t="shared" si="26"/>
        <v/>
      </c>
      <c r="AG240" s="305" t="str">
        <f>IFERROR(IF(O240="","",VLOOKUP(AD240,'G-3 Multipliers'!$P$3:$Q$6,2,FALSE)),"")</f>
        <v/>
      </c>
      <c r="AH240" s="295" t="str">
        <f t="shared" si="27"/>
        <v/>
      </c>
      <c r="AI240" s="112"/>
      <c r="AJ240" s="119"/>
      <c r="AK240" s="108"/>
      <c r="AT240" s="30" t="str">
        <f>IFERROR(INDEX('G-6 Hedgerow Data'!$BJ$3:$BJ$15,MATCH(M240,'G-6 Hedgerow Data'!$B$3:$B$15,0)),"")</f>
        <v/>
      </c>
    </row>
    <row r="241" spans="2:46" ht="13.8" x14ac:dyDescent="0.25">
      <c r="B241" s="311" t="str">
        <f>'B-1 On-Site Hedge Baseline'!AK239</f>
        <v/>
      </c>
      <c r="C241" s="301" t="str">
        <f>IF(B241="","",IF(ISNA(VLOOKUP($B241,'B-1 On-Site Hedge Baseline'!$B$1:$L$257,3,FALSE)),"",(VLOOKUP($B241,'B-1 On-Site Hedge Baseline'!$B$1:$L$257,3,FALSE))))</f>
        <v/>
      </c>
      <c r="D241" s="301" t="str">
        <f>IF(B241="","",IF(ISNA(VLOOKUP($B241,'B-1 On-Site Hedge Baseline'!$B$1:$L$257,4,FALSE)),"",(VLOOKUP($B241,'B-1 On-Site Hedge Baseline'!$B$1:$L$257,4,FALSE))))</f>
        <v/>
      </c>
      <c r="E241" s="301" t="str">
        <f>IF(B241="","",IF(ISNA(VLOOKUP($B241,'B-1 On-Site Hedge Baseline'!$B$1:$L$257,5,FALSE)),"",(VLOOKUP($B241,'B-1 On-Site Hedge Baseline'!$B$1:$L$257,5,FALSE))))</f>
        <v/>
      </c>
      <c r="F241" s="301" t="str">
        <f>IF(B241="","",IF(ISNA(VLOOKUP($B241,'B-1 On-Site Hedge Baseline'!$B$1:$L$257,6,FALSE)),"",(VLOOKUP($B241,'B-1 On-Site Hedge Baseline'!$B$1:$L$257,6,FALSE))))</f>
        <v/>
      </c>
      <c r="G241" s="301" t="str">
        <f>IF(B241="","",IF(ISNA(VLOOKUP($B241,'B-1 On-Site Hedge Baseline'!$B$1:$L$257,7,FALSE)),"",(VLOOKUP($B241,'B-1 On-Site Hedge Baseline'!$B$1:$L$257,7,FALSE))))</f>
        <v/>
      </c>
      <c r="H241" s="301" t="str">
        <f>IF(B241="","",IF(ISNA(VLOOKUP($B241,'B-1 On-Site Hedge Baseline'!$B$1:$L$257,8,FALSE)),"",(VLOOKUP($B241,'B-1 On-Site Hedge Baseline'!$B$1:$L$257,8,FALSE))))</f>
        <v/>
      </c>
      <c r="I241" s="301" t="str">
        <f>IF(B241="","",IF(ISNA(VLOOKUP($B241,'B-1 On-Site Hedge Baseline'!$B$1:$L$257,10,FALSE)),"",(VLOOKUP($B241,'B-1 On-Site Hedge Baseline'!$B$1:$L$257,10,FALSE))))</f>
        <v/>
      </c>
      <c r="J241" s="301" t="str">
        <f>IF(B241="","",IF(ISNA(VLOOKUP($B241,'B-1 On-Site Hedge Baseline'!$B$1:$L$257,11,FALSE)),"",(VLOOKUP($B241,'B-1 On-Site Hedge Baseline'!$B$1:$L$257,11,FALSE))))</f>
        <v/>
      </c>
      <c r="K241" s="301" t="str">
        <f>IF(B241="","",IF(ISNA(VLOOKUP($B241,'B-1 On-Site Hedge Baseline'!$B$1:$U$257,13,FALSE)),"",(VLOOKUP($B241,'B-1 On-Site Hedge Baseline'!$B$1:$U$257,13,FALSE))))</f>
        <v/>
      </c>
      <c r="L241" s="305" t="str">
        <f>IF(B241="","",IF(ISNA(VLOOKUP($B241,'B-1 On-Site Hedge Baseline'!$B$1:$U$257,12,FALSE)),"",(VLOOKUP($B241,'B-1 On-Site Hedge Baseline'!$B$1:$U$257,12,FALSE))))</f>
        <v/>
      </c>
      <c r="M241" s="627"/>
      <c r="N241" s="281" t="str">
        <f>IFERROR(IF(B241="","",INDEX('G-6 Hedgerow Data'!$AN$3:$AZ$15,MATCH(C241,'G-6 Hedgerow Data'!$AM$3:$AM$15,0),MATCH(M241,'G-6 Hedgerow Data'!$AN$2:$AZ$2,0))),"")</f>
        <v/>
      </c>
      <c r="O241" s="282" t="str">
        <f t="shared" si="22"/>
        <v/>
      </c>
      <c r="P241" s="335" t="str">
        <f>IF(B241="","",VLOOKUP(B241,'B-1 On-Site Hedge Baseline'!$B$10:T486,16,FALSE))</f>
        <v/>
      </c>
      <c r="Q241" s="281" t="str">
        <f>IF(M241="","",VLOOKUP(M241,'G-6 Hedgerow Data'!$B$2:$AG$15,2,FALSE))</f>
        <v/>
      </c>
      <c r="R241" s="282" t="str">
        <f>IF(M241="","",VLOOKUP(M241,'G-6 Hedgerow Data'!$B$2:$AG$15,3,FALSE))</f>
        <v/>
      </c>
      <c r="S241" s="112"/>
      <c r="T241" s="320" t="str">
        <f>IFERROR(IF(S241="","",IF(AND(M241="Non-native and ornamental hedgerow", S241&lt;&gt;"Poor"),"Not possible ▲", (VLOOKUP(S241,'G-1 All Habitats'!$Z$2:$AA$9,2,FALSE)))),"")</f>
        <v/>
      </c>
      <c r="U241" s="109"/>
      <c r="V241" s="301" t="str">
        <f>IF(U241="","",IF(VLOOKUP(U241,'G-3 Multipliers'!$L$3:$N$6,2,FALSE)=0,"Spatial Data Missing ⚠",VLOOKUP(U241,'G-3 Multipliers'!$L$3:$N$6,2,FALSE)))</f>
        <v/>
      </c>
      <c r="W241" s="305" t="str">
        <f>IF(U241="","",IF(VLOOKUP(U241,'G-3 Multipliers'!$L$3:$N$6,3,FALSE)=0,"Spatial Data Missing ⚠",VLOOKUP(U241,'G-3 Multipliers'!$L$3:$N$6,3,FALSE)))</f>
        <v/>
      </c>
      <c r="X241" s="281" t="str">
        <f>IFERROR(IF(OR(LEFT(O241,5)="Error",LEFT(N241,5)="Error",T241="Error"),"Check Data ⚠",IF(F241&lt;R241,INDEX('G-6 Hedgerow Data'!$S$3:$AE$14,MATCH(C241,'G-6 Hedgerow Data'!$B$3:$B$14,0),MATCH(M241,'G-6 Hedgerow Data'!$S$2:$AE$2,0)),INDEX('G-6 Hedgerow Data'!$K$3:$Q$14,MATCH(M241,'G-6 Hedgerow Data'!$B$3:$B$14,0),MATCH(O241,'G-6 Hedgerow Data'!$K$2:$Q$2,0)))),"")</f>
        <v/>
      </c>
      <c r="Y241" s="137"/>
      <c r="Z241" s="137"/>
      <c r="AA241" s="289" t="str">
        <f t="shared" si="23"/>
        <v/>
      </c>
      <c r="AB241" s="302" t="str">
        <f t="shared" si="24"/>
        <v/>
      </c>
      <c r="AC241" s="303" t="str">
        <f t="shared" si="21"/>
        <v/>
      </c>
      <c r="AD241" s="317" t="str">
        <f>IF(M241="","",VLOOKUP(M241,'G-6 Hedgerow Data'!$B$3:$AG$15,31,FALSE))</f>
        <v/>
      </c>
      <c r="AE241" s="289" t="str">
        <f t="shared" si="25"/>
        <v/>
      </c>
      <c r="AF241" s="289" t="str">
        <f t="shared" si="26"/>
        <v/>
      </c>
      <c r="AG241" s="305" t="str">
        <f>IFERROR(IF(O241="","",VLOOKUP(AD241,'G-3 Multipliers'!$P$3:$Q$6,2,FALSE)),"")</f>
        <v/>
      </c>
      <c r="AH241" s="295" t="str">
        <f t="shared" si="27"/>
        <v/>
      </c>
      <c r="AI241" s="112"/>
      <c r="AJ241" s="119"/>
      <c r="AK241" s="108"/>
      <c r="AT241" s="30" t="str">
        <f>IFERROR(INDEX('G-6 Hedgerow Data'!$BJ$3:$BJ$15,MATCH(M241,'G-6 Hedgerow Data'!$B$3:$B$15,0)),"")</f>
        <v/>
      </c>
    </row>
    <row r="242" spans="2:46" ht="13.8" x14ac:dyDescent="0.25">
      <c r="B242" s="311" t="str">
        <f>'B-1 On-Site Hedge Baseline'!AK240</f>
        <v/>
      </c>
      <c r="C242" s="301" t="str">
        <f>IF(B242="","",IF(ISNA(VLOOKUP($B242,'B-1 On-Site Hedge Baseline'!$B$1:$L$257,3,FALSE)),"",(VLOOKUP($B242,'B-1 On-Site Hedge Baseline'!$B$1:$L$257,3,FALSE))))</f>
        <v/>
      </c>
      <c r="D242" s="301" t="str">
        <f>IF(B242="","",IF(ISNA(VLOOKUP($B242,'B-1 On-Site Hedge Baseline'!$B$1:$L$257,4,FALSE)),"",(VLOOKUP($B242,'B-1 On-Site Hedge Baseline'!$B$1:$L$257,4,FALSE))))</f>
        <v/>
      </c>
      <c r="E242" s="301" t="str">
        <f>IF(B242="","",IF(ISNA(VLOOKUP($B242,'B-1 On-Site Hedge Baseline'!$B$1:$L$257,5,FALSE)),"",(VLOOKUP($B242,'B-1 On-Site Hedge Baseline'!$B$1:$L$257,5,FALSE))))</f>
        <v/>
      </c>
      <c r="F242" s="301" t="str">
        <f>IF(B242="","",IF(ISNA(VLOOKUP($B242,'B-1 On-Site Hedge Baseline'!$B$1:$L$257,6,FALSE)),"",(VLOOKUP($B242,'B-1 On-Site Hedge Baseline'!$B$1:$L$257,6,FALSE))))</f>
        <v/>
      </c>
      <c r="G242" s="301" t="str">
        <f>IF(B242="","",IF(ISNA(VLOOKUP($B242,'B-1 On-Site Hedge Baseline'!$B$1:$L$257,7,FALSE)),"",(VLOOKUP($B242,'B-1 On-Site Hedge Baseline'!$B$1:$L$257,7,FALSE))))</f>
        <v/>
      </c>
      <c r="H242" s="301" t="str">
        <f>IF(B242="","",IF(ISNA(VLOOKUP($B242,'B-1 On-Site Hedge Baseline'!$B$1:$L$257,8,FALSE)),"",(VLOOKUP($B242,'B-1 On-Site Hedge Baseline'!$B$1:$L$257,8,FALSE))))</f>
        <v/>
      </c>
      <c r="I242" s="301" t="str">
        <f>IF(B242="","",IF(ISNA(VLOOKUP($B242,'B-1 On-Site Hedge Baseline'!$B$1:$L$257,10,FALSE)),"",(VLOOKUP($B242,'B-1 On-Site Hedge Baseline'!$B$1:$L$257,10,FALSE))))</f>
        <v/>
      </c>
      <c r="J242" s="301" t="str">
        <f>IF(B242="","",IF(ISNA(VLOOKUP($B242,'B-1 On-Site Hedge Baseline'!$B$1:$L$257,11,FALSE)),"",(VLOOKUP($B242,'B-1 On-Site Hedge Baseline'!$B$1:$L$257,11,FALSE))))</f>
        <v/>
      </c>
      <c r="K242" s="301" t="str">
        <f>IF(B242="","",IF(ISNA(VLOOKUP($B242,'B-1 On-Site Hedge Baseline'!$B$1:$U$257,13,FALSE)),"",(VLOOKUP($B242,'B-1 On-Site Hedge Baseline'!$B$1:$U$257,13,FALSE))))</f>
        <v/>
      </c>
      <c r="L242" s="305" t="str">
        <f>IF(B242="","",IF(ISNA(VLOOKUP($B242,'B-1 On-Site Hedge Baseline'!$B$1:$U$257,12,FALSE)),"",(VLOOKUP($B242,'B-1 On-Site Hedge Baseline'!$B$1:$U$257,12,FALSE))))</f>
        <v/>
      </c>
      <c r="M242" s="627"/>
      <c r="N242" s="281" t="str">
        <f>IFERROR(IF(B242="","",INDEX('G-6 Hedgerow Data'!$AN$3:$AZ$15,MATCH(C242,'G-6 Hedgerow Data'!$AM$3:$AM$15,0),MATCH(M242,'G-6 Hedgerow Data'!$AN$2:$AZ$2,0))),"")</f>
        <v/>
      </c>
      <c r="O242" s="282" t="str">
        <f t="shared" si="22"/>
        <v/>
      </c>
      <c r="P242" s="335" t="str">
        <f>IF(B242="","",VLOOKUP(B242,'B-1 On-Site Hedge Baseline'!$B$10:T487,16,FALSE))</f>
        <v/>
      </c>
      <c r="Q242" s="281" t="str">
        <f>IF(M242="","",VLOOKUP(M242,'G-6 Hedgerow Data'!$B$2:$AG$15,2,FALSE))</f>
        <v/>
      </c>
      <c r="R242" s="282" t="str">
        <f>IF(M242="","",VLOOKUP(M242,'G-6 Hedgerow Data'!$B$2:$AG$15,3,FALSE))</f>
        <v/>
      </c>
      <c r="S242" s="112"/>
      <c r="T242" s="320" t="str">
        <f>IFERROR(IF(S242="","",IF(AND(M242="Non-native and ornamental hedgerow", S242&lt;&gt;"Poor"),"Not possible ▲", (VLOOKUP(S242,'G-1 All Habitats'!$Z$2:$AA$9,2,FALSE)))),"")</f>
        <v/>
      </c>
      <c r="U242" s="109"/>
      <c r="V242" s="301" t="str">
        <f>IF(U242="","",IF(VLOOKUP(U242,'G-3 Multipliers'!$L$3:$N$6,2,FALSE)=0,"Spatial Data Missing ⚠",VLOOKUP(U242,'G-3 Multipliers'!$L$3:$N$6,2,FALSE)))</f>
        <v/>
      </c>
      <c r="W242" s="305" t="str">
        <f>IF(U242="","",IF(VLOOKUP(U242,'G-3 Multipliers'!$L$3:$N$6,3,FALSE)=0,"Spatial Data Missing ⚠",VLOOKUP(U242,'G-3 Multipliers'!$L$3:$N$6,3,FALSE)))</f>
        <v/>
      </c>
      <c r="X242" s="281" t="str">
        <f>IFERROR(IF(OR(LEFT(O242,5)="Error",LEFT(N242,5)="Error",T242="Error"),"Check Data ⚠",IF(F242&lt;R242,INDEX('G-6 Hedgerow Data'!$S$3:$AE$14,MATCH(C242,'G-6 Hedgerow Data'!$B$3:$B$14,0),MATCH(M242,'G-6 Hedgerow Data'!$S$2:$AE$2,0)),INDEX('G-6 Hedgerow Data'!$K$3:$Q$14,MATCH(M242,'G-6 Hedgerow Data'!$B$3:$B$14,0),MATCH(O242,'G-6 Hedgerow Data'!$K$2:$Q$2,0)))),"")</f>
        <v/>
      </c>
      <c r="Y242" s="137"/>
      <c r="Z242" s="137"/>
      <c r="AA242" s="289" t="str">
        <f t="shared" si="23"/>
        <v/>
      </c>
      <c r="AB242" s="302" t="str">
        <f t="shared" si="24"/>
        <v/>
      </c>
      <c r="AC242" s="303" t="str">
        <f t="shared" si="21"/>
        <v/>
      </c>
      <c r="AD242" s="317" t="str">
        <f>IF(M242="","",VLOOKUP(M242,'G-6 Hedgerow Data'!$B$3:$AG$15,31,FALSE))</f>
        <v/>
      </c>
      <c r="AE242" s="289" t="str">
        <f t="shared" si="25"/>
        <v/>
      </c>
      <c r="AF242" s="289" t="str">
        <f t="shared" si="26"/>
        <v/>
      </c>
      <c r="AG242" s="305" t="str">
        <f>IFERROR(IF(O242="","",VLOOKUP(AD242,'G-3 Multipliers'!$P$3:$Q$6,2,FALSE)),"")</f>
        <v/>
      </c>
      <c r="AH242" s="295" t="str">
        <f t="shared" si="27"/>
        <v/>
      </c>
      <c r="AI242" s="112"/>
      <c r="AJ242" s="119"/>
      <c r="AK242" s="108"/>
      <c r="AT242" s="30" t="str">
        <f>IFERROR(INDEX('G-6 Hedgerow Data'!$BJ$3:$BJ$15,MATCH(M242,'G-6 Hedgerow Data'!$B$3:$B$15,0)),"")</f>
        <v/>
      </c>
    </row>
    <row r="243" spans="2:46" ht="13.8" x14ac:dyDescent="0.25">
      <c r="B243" s="311" t="str">
        <f>'B-1 On-Site Hedge Baseline'!AK241</f>
        <v/>
      </c>
      <c r="C243" s="301" t="str">
        <f>IF(B243="","",IF(ISNA(VLOOKUP($B243,'B-1 On-Site Hedge Baseline'!$B$1:$L$257,3,FALSE)),"",(VLOOKUP($B243,'B-1 On-Site Hedge Baseline'!$B$1:$L$257,3,FALSE))))</f>
        <v/>
      </c>
      <c r="D243" s="301" t="str">
        <f>IF(B243="","",IF(ISNA(VLOOKUP($B243,'B-1 On-Site Hedge Baseline'!$B$1:$L$257,4,FALSE)),"",(VLOOKUP($B243,'B-1 On-Site Hedge Baseline'!$B$1:$L$257,4,FALSE))))</f>
        <v/>
      </c>
      <c r="E243" s="301" t="str">
        <f>IF(B243="","",IF(ISNA(VLOOKUP($B243,'B-1 On-Site Hedge Baseline'!$B$1:$L$257,5,FALSE)),"",(VLOOKUP($B243,'B-1 On-Site Hedge Baseline'!$B$1:$L$257,5,FALSE))))</f>
        <v/>
      </c>
      <c r="F243" s="301" t="str">
        <f>IF(B243="","",IF(ISNA(VLOOKUP($B243,'B-1 On-Site Hedge Baseline'!$B$1:$L$257,6,FALSE)),"",(VLOOKUP($B243,'B-1 On-Site Hedge Baseline'!$B$1:$L$257,6,FALSE))))</f>
        <v/>
      </c>
      <c r="G243" s="301" t="str">
        <f>IF(B243="","",IF(ISNA(VLOOKUP($B243,'B-1 On-Site Hedge Baseline'!$B$1:$L$257,7,FALSE)),"",(VLOOKUP($B243,'B-1 On-Site Hedge Baseline'!$B$1:$L$257,7,FALSE))))</f>
        <v/>
      </c>
      <c r="H243" s="301" t="str">
        <f>IF(B243="","",IF(ISNA(VLOOKUP($B243,'B-1 On-Site Hedge Baseline'!$B$1:$L$257,8,FALSE)),"",(VLOOKUP($B243,'B-1 On-Site Hedge Baseline'!$B$1:$L$257,8,FALSE))))</f>
        <v/>
      </c>
      <c r="I243" s="301" t="str">
        <f>IF(B243="","",IF(ISNA(VLOOKUP($B243,'B-1 On-Site Hedge Baseline'!$B$1:$L$257,10,FALSE)),"",(VLOOKUP($B243,'B-1 On-Site Hedge Baseline'!$B$1:$L$257,10,FALSE))))</f>
        <v/>
      </c>
      <c r="J243" s="301" t="str">
        <f>IF(B243="","",IF(ISNA(VLOOKUP($B243,'B-1 On-Site Hedge Baseline'!$B$1:$L$257,11,FALSE)),"",(VLOOKUP($B243,'B-1 On-Site Hedge Baseline'!$B$1:$L$257,11,FALSE))))</f>
        <v/>
      </c>
      <c r="K243" s="301" t="str">
        <f>IF(B243="","",IF(ISNA(VLOOKUP($B243,'B-1 On-Site Hedge Baseline'!$B$1:$U$257,13,FALSE)),"",(VLOOKUP($B243,'B-1 On-Site Hedge Baseline'!$B$1:$U$257,13,FALSE))))</f>
        <v/>
      </c>
      <c r="L243" s="305" t="str">
        <f>IF(B243="","",IF(ISNA(VLOOKUP($B243,'B-1 On-Site Hedge Baseline'!$B$1:$U$257,12,FALSE)),"",(VLOOKUP($B243,'B-1 On-Site Hedge Baseline'!$B$1:$U$257,12,FALSE))))</f>
        <v/>
      </c>
      <c r="M243" s="627"/>
      <c r="N243" s="281" t="str">
        <f>IFERROR(IF(B243="","",INDEX('G-6 Hedgerow Data'!$AN$3:$AZ$15,MATCH(C243,'G-6 Hedgerow Data'!$AM$3:$AM$15,0),MATCH(M243,'G-6 Hedgerow Data'!$AN$2:$AZ$2,0))),"")</f>
        <v/>
      </c>
      <c r="O243" s="282" t="str">
        <f t="shared" si="22"/>
        <v/>
      </c>
      <c r="P243" s="335" t="str">
        <f>IF(B243="","",VLOOKUP(B243,'B-1 On-Site Hedge Baseline'!$B$10:T488,16,FALSE))</f>
        <v/>
      </c>
      <c r="Q243" s="281" t="str">
        <f>IF(M243="","",VLOOKUP(M243,'G-6 Hedgerow Data'!$B$2:$AG$15,2,FALSE))</f>
        <v/>
      </c>
      <c r="R243" s="282" t="str">
        <f>IF(M243="","",VLOOKUP(M243,'G-6 Hedgerow Data'!$B$2:$AG$15,3,FALSE))</f>
        <v/>
      </c>
      <c r="S243" s="112"/>
      <c r="T243" s="320" t="str">
        <f>IFERROR(IF(S243="","",IF(AND(M243="Non-native and ornamental hedgerow", S243&lt;&gt;"Poor"),"Not possible ▲", (VLOOKUP(S243,'G-1 All Habitats'!$Z$2:$AA$9,2,FALSE)))),"")</f>
        <v/>
      </c>
      <c r="U243" s="109"/>
      <c r="V243" s="301" t="str">
        <f>IF(U243="","",IF(VLOOKUP(U243,'G-3 Multipliers'!$L$3:$N$6,2,FALSE)=0,"Spatial Data Missing ⚠",VLOOKUP(U243,'G-3 Multipliers'!$L$3:$N$6,2,FALSE)))</f>
        <v/>
      </c>
      <c r="W243" s="305" t="str">
        <f>IF(U243="","",IF(VLOOKUP(U243,'G-3 Multipliers'!$L$3:$N$6,3,FALSE)=0,"Spatial Data Missing ⚠",VLOOKUP(U243,'G-3 Multipliers'!$L$3:$N$6,3,FALSE)))</f>
        <v/>
      </c>
      <c r="X243" s="281" t="str">
        <f>IFERROR(IF(OR(LEFT(O243,5)="Error",LEFT(N243,5)="Error",T243="Error"),"Check Data ⚠",IF(F243&lt;R243,INDEX('G-6 Hedgerow Data'!$S$3:$AE$14,MATCH(C243,'G-6 Hedgerow Data'!$B$3:$B$14,0),MATCH(M243,'G-6 Hedgerow Data'!$S$2:$AE$2,0)),INDEX('G-6 Hedgerow Data'!$K$3:$Q$14,MATCH(M243,'G-6 Hedgerow Data'!$B$3:$B$14,0),MATCH(O243,'G-6 Hedgerow Data'!$K$2:$Q$2,0)))),"")</f>
        <v/>
      </c>
      <c r="Y243" s="137"/>
      <c r="Z243" s="137"/>
      <c r="AA243" s="289" t="str">
        <f t="shared" si="23"/>
        <v/>
      </c>
      <c r="AB243" s="302" t="str">
        <f t="shared" si="24"/>
        <v/>
      </c>
      <c r="AC243" s="303" t="str">
        <f t="shared" si="21"/>
        <v/>
      </c>
      <c r="AD243" s="317" t="str">
        <f>IF(M243="","",VLOOKUP(M243,'G-6 Hedgerow Data'!$B$3:$AG$15,31,FALSE))</f>
        <v/>
      </c>
      <c r="AE243" s="289" t="str">
        <f t="shared" si="25"/>
        <v/>
      </c>
      <c r="AF243" s="289" t="str">
        <f t="shared" si="26"/>
        <v/>
      </c>
      <c r="AG243" s="305" t="str">
        <f>IFERROR(IF(O243="","",VLOOKUP(AD243,'G-3 Multipliers'!$P$3:$Q$6,2,FALSE)),"")</f>
        <v/>
      </c>
      <c r="AH243" s="295" t="str">
        <f t="shared" si="27"/>
        <v/>
      </c>
      <c r="AI243" s="112"/>
      <c r="AJ243" s="119"/>
      <c r="AK243" s="108"/>
      <c r="AT243" s="30" t="str">
        <f>IFERROR(INDEX('G-6 Hedgerow Data'!$BJ$3:$BJ$15,MATCH(M243,'G-6 Hedgerow Data'!$B$3:$B$15,0)),"")</f>
        <v/>
      </c>
    </row>
    <row r="244" spans="2:46" ht="13.8" x14ac:dyDescent="0.25">
      <c r="B244" s="311" t="str">
        <f>'B-1 On-Site Hedge Baseline'!AK242</f>
        <v/>
      </c>
      <c r="C244" s="301" t="str">
        <f>IF(B244="","",IF(ISNA(VLOOKUP($B244,'B-1 On-Site Hedge Baseline'!$B$1:$L$257,3,FALSE)),"",(VLOOKUP($B244,'B-1 On-Site Hedge Baseline'!$B$1:$L$257,3,FALSE))))</f>
        <v/>
      </c>
      <c r="D244" s="301" t="str">
        <f>IF(B244="","",IF(ISNA(VLOOKUP($B244,'B-1 On-Site Hedge Baseline'!$B$1:$L$257,4,FALSE)),"",(VLOOKUP($B244,'B-1 On-Site Hedge Baseline'!$B$1:$L$257,4,FALSE))))</f>
        <v/>
      </c>
      <c r="E244" s="301" t="str">
        <f>IF(B244="","",IF(ISNA(VLOOKUP($B244,'B-1 On-Site Hedge Baseline'!$B$1:$L$257,5,FALSE)),"",(VLOOKUP($B244,'B-1 On-Site Hedge Baseline'!$B$1:$L$257,5,FALSE))))</f>
        <v/>
      </c>
      <c r="F244" s="301" t="str">
        <f>IF(B244="","",IF(ISNA(VLOOKUP($B244,'B-1 On-Site Hedge Baseline'!$B$1:$L$257,6,FALSE)),"",(VLOOKUP($B244,'B-1 On-Site Hedge Baseline'!$B$1:$L$257,6,FALSE))))</f>
        <v/>
      </c>
      <c r="G244" s="301" t="str">
        <f>IF(B244="","",IF(ISNA(VLOOKUP($B244,'B-1 On-Site Hedge Baseline'!$B$1:$L$257,7,FALSE)),"",(VLOOKUP($B244,'B-1 On-Site Hedge Baseline'!$B$1:$L$257,7,FALSE))))</f>
        <v/>
      </c>
      <c r="H244" s="301" t="str">
        <f>IF(B244="","",IF(ISNA(VLOOKUP($B244,'B-1 On-Site Hedge Baseline'!$B$1:$L$257,8,FALSE)),"",(VLOOKUP($B244,'B-1 On-Site Hedge Baseline'!$B$1:$L$257,8,FALSE))))</f>
        <v/>
      </c>
      <c r="I244" s="301" t="str">
        <f>IF(B244="","",IF(ISNA(VLOOKUP($B244,'B-1 On-Site Hedge Baseline'!$B$1:$L$257,10,FALSE)),"",(VLOOKUP($B244,'B-1 On-Site Hedge Baseline'!$B$1:$L$257,10,FALSE))))</f>
        <v/>
      </c>
      <c r="J244" s="301" t="str">
        <f>IF(B244="","",IF(ISNA(VLOOKUP($B244,'B-1 On-Site Hedge Baseline'!$B$1:$L$257,11,FALSE)),"",(VLOOKUP($B244,'B-1 On-Site Hedge Baseline'!$B$1:$L$257,11,FALSE))))</f>
        <v/>
      </c>
      <c r="K244" s="301" t="str">
        <f>IF(B244="","",IF(ISNA(VLOOKUP($B244,'B-1 On-Site Hedge Baseline'!$B$1:$U$257,13,FALSE)),"",(VLOOKUP($B244,'B-1 On-Site Hedge Baseline'!$B$1:$U$257,13,FALSE))))</f>
        <v/>
      </c>
      <c r="L244" s="305" t="str">
        <f>IF(B244="","",IF(ISNA(VLOOKUP($B244,'B-1 On-Site Hedge Baseline'!$B$1:$U$257,12,FALSE)),"",(VLOOKUP($B244,'B-1 On-Site Hedge Baseline'!$B$1:$U$257,12,FALSE))))</f>
        <v/>
      </c>
      <c r="M244" s="627"/>
      <c r="N244" s="281" t="str">
        <f>IFERROR(IF(B244="","",INDEX('G-6 Hedgerow Data'!$AN$3:$AZ$15,MATCH(C244,'G-6 Hedgerow Data'!$AM$3:$AM$15,0),MATCH(M244,'G-6 Hedgerow Data'!$AN$2:$AZ$2,0))),"")</f>
        <v/>
      </c>
      <c r="O244" s="282" t="str">
        <f t="shared" si="22"/>
        <v/>
      </c>
      <c r="P244" s="335" t="str">
        <f>IF(B244="","",VLOOKUP(B244,'B-1 On-Site Hedge Baseline'!$B$10:T489,16,FALSE))</f>
        <v/>
      </c>
      <c r="Q244" s="281" t="str">
        <f>IF(M244="","",VLOOKUP(M244,'G-6 Hedgerow Data'!$B$2:$AG$15,2,FALSE))</f>
        <v/>
      </c>
      <c r="R244" s="282" t="str">
        <f>IF(M244="","",VLOOKUP(M244,'G-6 Hedgerow Data'!$B$2:$AG$15,3,FALSE))</f>
        <v/>
      </c>
      <c r="S244" s="112"/>
      <c r="T244" s="320" t="str">
        <f>IFERROR(IF(S244="","",IF(AND(M244="Non-native and ornamental hedgerow", S244&lt;&gt;"Poor"),"Not possible ▲", (VLOOKUP(S244,'G-1 All Habitats'!$Z$2:$AA$9,2,FALSE)))),"")</f>
        <v/>
      </c>
      <c r="U244" s="109"/>
      <c r="V244" s="301" t="str">
        <f>IF(U244="","",IF(VLOOKUP(U244,'G-3 Multipliers'!$L$3:$N$6,2,FALSE)=0,"Spatial Data Missing ⚠",VLOOKUP(U244,'G-3 Multipliers'!$L$3:$N$6,2,FALSE)))</f>
        <v/>
      </c>
      <c r="W244" s="305" t="str">
        <f>IF(U244="","",IF(VLOOKUP(U244,'G-3 Multipliers'!$L$3:$N$6,3,FALSE)=0,"Spatial Data Missing ⚠",VLOOKUP(U244,'G-3 Multipliers'!$L$3:$N$6,3,FALSE)))</f>
        <v/>
      </c>
      <c r="X244" s="281" t="str">
        <f>IFERROR(IF(OR(LEFT(O244,5)="Error",LEFT(N244,5)="Error",T244="Error"),"Check Data ⚠",IF(F244&lt;R244,INDEX('G-6 Hedgerow Data'!$S$3:$AE$14,MATCH(C244,'G-6 Hedgerow Data'!$B$3:$B$14,0),MATCH(M244,'G-6 Hedgerow Data'!$S$2:$AE$2,0)),INDEX('G-6 Hedgerow Data'!$K$3:$Q$14,MATCH(M244,'G-6 Hedgerow Data'!$B$3:$B$14,0),MATCH(O244,'G-6 Hedgerow Data'!$K$2:$Q$2,0)))),"")</f>
        <v/>
      </c>
      <c r="Y244" s="137"/>
      <c r="Z244" s="137"/>
      <c r="AA244" s="289" t="str">
        <f t="shared" si="23"/>
        <v/>
      </c>
      <c r="AB244" s="302" t="str">
        <f t="shared" si="24"/>
        <v/>
      </c>
      <c r="AC244" s="303" t="str">
        <f t="shared" si="21"/>
        <v/>
      </c>
      <c r="AD244" s="317" t="str">
        <f>IF(M244="","",VLOOKUP(M244,'G-6 Hedgerow Data'!$B$3:$AG$15,31,FALSE))</f>
        <v/>
      </c>
      <c r="AE244" s="289" t="str">
        <f t="shared" si="25"/>
        <v/>
      </c>
      <c r="AF244" s="289" t="str">
        <f t="shared" si="26"/>
        <v/>
      </c>
      <c r="AG244" s="305" t="str">
        <f>IFERROR(IF(O244="","",VLOOKUP(AD244,'G-3 Multipliers'!$P$3:$Q$6,2,FALSE)),"")</f>
        <v/>
      </c>
      <c r="AH244" s="295" t="str">
        <f t="shared" si="27"/>
        <v/>
      </c>
      <c r="AI244" s="112"/>
      <c r="AJ244" s="119"/>
      <c r="AK244" s="108"/>
      <c r="AT244" s="30" t="str">
        <f>IFERROR(INDEX('G-6 Hedgerow Data'!$BJ$3:$BJ$15,MATCH(M244,'G-6 Hedgerow Data'!$B$3:$B$15,0)),"")</f>
        <v/>
      </c>
    </row>
    <row r="245" spans="2:46" ht="13.8" x14ac:dyDescent="0.25">
      <c r="B245" s="311" t="str">
        <f>'B-1 On-Site Hedge Baseline'!AK243</f>
        <v/>
      </c>
      <c r="C245" s="301" t="str">
        <f>IF(B245="","",IF(ISNA(VLOOKUP($B245,'B-1 On-Site Hedge Baseline'!$B$1:$L$257,3,FALSE)),"",(VLOOKUP($B245,'B-1 On-Site Hedge Baseline'!$B$1:$L$257,3,FALSE))))</f>
        <v/>
      </c>
      <c r="D245" s="301" t="str">
        <f>IF(B245="","",IF(ISNA(VLOOKUP($B245,'B-1 On-Site Hedge Baseline'!$B$1:$L$257,4,FALSE)),"",(VLOOKUP($B245,'B-1 On-Site Hedge Baseline'!$B$1:$L$257,4,FALSE))))</f>
        <v/>
      </c>
      <c r="E245" s="301" t="str">
        <f>IF(B245="","",IF(ISNA(VLOOKUP($B245,'B-1 On-Site Hedge Baseline'!$B$1:$L$257,5,FALSE)),"",(VLOOKUP($B245,'B-1 On-Site Hedge Baseline'!$B$1:$L$257,5,FALSE))))</f>
        <v/>
      </c>
      <c r="F245" s="301" t="str">
        <f>IF(B245="","",IF(ISNA(VLOOKUP($B245,'B-1 On-Site Hedge Baseline'!$B$1:$L$257,6,FALSE)),"",(VLOOKUP($B245,'B-1 On-Site Hedge Baseline'!$B$1:$L$257,6,FALSE))))</f>
        <v/>
      </c>
      <c r="G245" s="301" t="str">
        <f>IF(B245="","",IF(ISNA(VLOOKUP($B245,'B-1 On-Site Hedge Baseline'!$B$1:$L$257,7,FALSE)),"",(VLOOKUP($B245,'B-1 On-Site Hedge Baseline'!$B$1:$L$257,7,FALSE))))</f>
        <v/>
      </c>
      <c r="H245" s="301" t="str">
        <f>IF(B245="","",IF(ISNA(VLOOKUP($B245,'B-1 On-Site Hedge Baseline'!$B$1:$L$257,8,FALSE)),"",(VLOOKUP($B245,'B-1 On-Site Hedge Baseline'!$B$1:$L$257,8,FALSE))))</f>
        <v/>
      </c>
      <c r="I245" s="301" t="str">
        <f>IF(B245="","",IF(ISNA(VLOOKUP($B245,'B-1 On-Site Hedge Baseline'!$B$1:$L$257,10,FALSE)),"",(VLOOKUP($B245,'B-1 On-Site Hedge Baseline'!$B$1:$L$257,10,FALSE))))</f>
        <v/>
      </c>
      <c r="J245" s="301" t="str">
        <f>IF(B245="","",IF(ISNA(VLOOKUP($B245,'B-1 On-Site Hedge Baseline'!$B$1:$L$257,11,FALSE)),"",(VLOOKUP($B245,'B-1 On-Site Hedge Baseline'!$B$1:$L$257,11,FALSE))))</f>
        <v/>
      </c>
      <c r="K245" s="301" t="str">
        <f>IF(B245="","",IF(ISNA(VLOOKUP($B245,'B-1 On-Site Hedge Baseline'!$B$1:$U$257,13,FALSE)),"",(VLOOKUP($B245,'B-1 On-Site Hedge Baseline'!$B$1:$U$257,13,FALSE))))</f>
        <v/>
      </c>
      <c r="L245" s="305" t="str">
        <f>IF(B245="","",IF(ISNA(VLOOKUP($B245,'B-1 On-Site Hedge Baseline'!$B$1:$U$257,12,FALSE)),"",(VLOOKUP($B245,'B-1 On-Site Hedge Baseline'!$B$1:$U$257,12,FALSE))))</f>
        <v/>
      </c>
      <c r="M245" s="627"/>
      <c r="N245" s="281" t="str">
        <f>IFERROR(IF(B245="","",INDEX('G-6 Hedgerow Data'!$AN$3:$AZ$15,MATCH(C245,'G-6 Hedgerow Data'!$AM$3:$AM$15,0),MATCH(M245,'G-6 Hedgerow Data'!$AN$2:$AZ$2,0))),"")</f>
        <v/>
      </c>
      <c r="O245" s="282" t="str">
        <f t="shared" si="22"/>
        <v/>
      </c>
      <c r="P245" s="335" t="str">
        <f>IF(B245="","",VLOOKUP(B245,'B-1 On-Site Hedge Baseline'!$B$10:T490,16,FALSE))</f>
        <v/>
      </c>
      <c r="Q245" s="281" t="str">
        <f>IF(M245="","",VLOOKUP(M245,'G-6 Hedgerow Data'!$B$2:$AG$15,2,FALSE))</f>
        <v/>
      </c>
      <c r="R245" s="282" t="str">
        <f>IF(M245="","",VLOOKUP(M245,'G-6 Hedgerow Data'!$B$2:$AG$15,3,FALSE))</f>
        <v/>
      </c>
      <c r="S245" s="112"/>
      <c r="T245" s="320" t="str">
        <f>IFERROR(IF(S245="","",IF(AND(M245="Non-native and ornamental hedgerow", S245&lt;&gt;"Poor"),"Not possible ▲", (VLOOKUP(S245,'G-1 All Habitats'!$Z$2:$AA$9,2,FALSE)))),"")</f>
        <v/>
      </c>
      <c r="U245" s="109"/>
      <c r="V245" s="301" t="str">
        <f>IF(U245="","",IF(VLOOKUP(U245,'G-3 Multipliers'!$L$3:$N$6,2,FALSE)=0,"Spatial Data Missing ⚠",VLOOKUP(U245,'G-3 Multipliers'!$L$3:$N$6,2,FALSE)))</f>
        <v/>
      </c>
      <c r="W245" s="305" t="str">
        <f>IF(U245="","",IF(VLOOKUP(U245,'G-3 Multipliers'!$L$3:$N$6,3,FALSE)=0,"Spatial Data Missing ⚠",VLOOKUP(U245,'G-3 Multipliers'!$L$3:$N$6,3,FALSE)))</f>
        <v/>
      </c>
      <c r="X245" s="281" t="str">
        <f>IFERROR(IF(OR(LEFT(O245,5)="Error",LEFT(N245,5)="Error",T245="Error"),"Check Data ⚠",IF(F245&lt;R245,INDEX('G-6 Hedgerow Data'!$S$3:$AE$14,MATCH(C245,'G-6 Hedgerow Data'!$B$3:$B$14,0),MATCH(M245,'G-6 Hedgerow Data'!$S$2:$AE$2,0)),INDEX('G-6 Hedgerow Data'!$K$3:$Q$14,MATCH(M245,'G-6 Hedgerow Data'!$B$3:$B$14,0),MATCH(O245,'G-6 Hedgerow Data'!$K$2:$Q$2,0)))),"")</f>
        <v/>
      </c>
      <c r="Y245" s="137"/>
      <c r="Z245" s="137"/>
      <c r="AA245" s="289" t="str">
        <f t="shared" si="23"/>
        <v/>
      </c>
      <c r="AB245" s="302" t="str">
        <f t="shared" si="24"/>
        <v/>
      </c>
      <c r="AC245" s="303" t="str">
        <f t="shared" si="21"/>
        <v/>
      </c>
      <c r="AD245" s="317" t="str">
        <f>IF(M245="","",VLOOKUP(M245,'G-6 Hedgerow Data'!$B$3:$AG$15,31,FALSE))</f>
        <v/>
      </c>
      <c r="AE245" s="289" t="str">
        <f t="shared" si="25"/>
        <v/>
      </c>
      <c r="AF245" s="289" t="str">
        <f t="shared" si="26"/>
        <v/>
      </c>
      <c r="AG245" s="305" t="str">
        <f>IFERROR(IF(O245="","",VLOOKUP(AD245,'G-3 Multipliers'!$P$3:$Q$6,2,FALSE)),"")</f>
        <v/>
      </c>
      <c r="AH245" s="295" t="str">
        <f t="shared" si="27"/>
        <v/>
      </c>
      <c r="AI245" s="112"/>
      <c r="AJ245" s="119"/>
      <c r="AK245" s="108"/>
      <c r="AT245" s="30" t="str">
        <f>IFERROR(INDEX('G-6 Hedgerow Data'!$BJ$3:$BJ$15,MATCH(M245,'G-6 Hedgerow Data'!$B$3:$B$15,0)),"")</f>
        <v/>
      </c>
    </row>
    <row r="246" spans="2:46" ht="13.8" x14ac:dyDescent="0.25">
      <c r="B246" s="311" t="str">
        <f>'B-1 On-Site Hedge Baseline'!AK244</f>
        <v/>
      </c>
      <c r="C246" s="301" t="str">
        <f>IF(B246="","",IF(ISNA(VLOOKUP($B246,'B-1 On-Site Hedge Baseline'!$B$1:$L$257,3,FALSE)),"",(VLOOKUP($B246,'B-1 On-Site Hedge Baseline'!$B$1:$L$257,3,FALSE))))</f>
        <v/>
      </c>
      <c r="D246" s="301" t="str">
        <f>IF(B246="","",IF(ISNA(VLOOKUP($B246,'B-1 On-Site Hedge Baseline'!$B$1:$L$257,4,FALSE)),"",(VLOOKUP($B246,'B-1 On-Site Hedge Baseline'!$B$1:$L$257,4,FALSE))))</f>
        <v/>
      </c>
      <c r="E246" s="301" t="str">
        <f>IF(B246="","",IF(ISNA(VLOOKUP($B246,'B-1 On-Site Hedge Baseline'!$B$1:$L$257,5,FALSE)),"",(VLOOKUP($B246,'B-1 On-Site Hedge Baseline'!$B$1:$L$257,5,FALSE))))</f>
        <v/>
      </c>
      <c r="F246" s="301" t="str">
        <f>IF(B246="","",IF(ISNA(VLOOKUP($B246,'B-1 On-Site Hedge Baseline'!$B$1:$L$257,6,FALSE)),"",(VLOOKUP($B246,'B-1 On-Site Hedge Baseline'!$B$1:$L$257,6,FALSE))))</f>
        <v/>
      </c>
      <c r="G246" s="301" t="str">
        <f>IF(B246="","",IF(ISNA(VLOOKUP($B246,'B-1 On-Site Hedge Baseline'!$B$1:$L$257,7,FALSE)),"",(VLOOKUP($B246,'B-1 On-Site Hedge Baseline'!$B$1:$L$257,7,FALSE))))</f>
        <v/>
      </c>
      <c r="H246" s="301" t="str">
        <f>IF(B246="","",IF(ISNA(VLOOKUP($B246,'B-1 On-Site Hedge Baseline'!$B$1:$L$257,8,FALSE)),"",(VLOOKUP($B246,'B-1 On-Site Hedge Baseline'!$B$1:$L$257,8,FALSE))))</f>
        <v/>
      </c>
      <c r="I246" s="301" t="str">
        <f>IF(B246="","",IF(ISNA(VLOOKUP($B246,'B-1 On-Site Hedge Baseline'!$B$1:$L$257,10,FALSE)),"",(VLOOKUP($B246,'B-1 On-Site Hedge Baseline'!$B$1:$L$257,10,FALSE))))</f>
        <v/>
      </c>
      <c r="J246" s="301" t="str">
        <f>IF(B246="","",IF(ISNA(VLOOKUP($B246,'B-1 On-Site Hedge Baseline'!$B$1:$L$257,11,FALSE)),"",(VLOOKUP($B246,'B-1 On-Site Hedge Baseline'!$B$1:$L$257,11,FALSE))))</f>
        <v/>
      </c>
      <c r="K246" s="301" t="str">
        <f>IF(B246="","",IF(ISNA(VLOOKUP($B246,'B-1 On-Site Hedge Baseline'!$B$1:$U$257,13,FALSE)),"",(VLOOKUP($B246,'B-1 On-Site Hedge Baseline'!$B$1:$U$257,13,FALSE))))</f>
        <v/>
      </c>
      <c r="L246" s="305" t="str">
        <f>IF(B246="","",IF(ISNA(VLOOKUP($B246,'B-1 On-Site Hedge Baseline'!$B$1:$U$257,12,FALSE)),"",(VLOOKUP($B246,'B-1 On-Site Hedge Baseline'!$B$1:$U$257,12,FALSE))))</f>
        <v/>
      </c>
      <c r="M246" s="627"/>
      <c r="N246" s="281" t="str">
        <f>IFERROR(IF(B246="","",INDEX('G-6 Hedgerow Data'!$AN$3:$AZ$15,MATCH(C246,'G-6 Hedgerow Data'!$AM$3:$AM$15,0),MATCH(M246,'G-6 Hedgerow Data'!$AN$2:$AZ$2,0))),"")</f>
        <v/>
      </c>
      <c r="O246" s="282" t="str">
        <f t="shared" si="22"/>
        <v/>
      </c>
      <c r="P246" s="335" t="str">
        <f>IF(B246="","",VLOOKUP(B246,'B-1 On-Site Hedge Baseline'!$B$10:T491,16,FALSE))</f>
        <v/>
      </c>
      <c r="Q246" s="281" t="str">
        <f>IF(M246="","",VLOOKUP(M246,'G-6 Hedgerow Data'!$B$2:$AG$15,2,FALSE))</f>
        <v/>
      </c>
      <c r="R246" s="282" t="str">
        <f>IF(M246="","",VLOOKUP(M246,'G-6 Hedgerow Data'!$B$2:$AG$15,3,FALSE))</f>
        <v/>
      </c>
      <c r="S246" s="112"/>
      <c r="T246" s="320" t="str">
        <f>IFERROR(IF(S246="","",IF(AND(M246="Non-native and ornamental hedgerow", S246&lt;&gt;"Poor"),"Not possible ▲", (VLOOKUP(S246,'G-1 All Habitats'!$Z$2:$AA$9,2,FALSE)))),"")</f>
        <v/>
      </c>
      <c r="U246" s="109"/>
      <c r="V246" s="301" t="str">
        <f>IF(U246="","",IF(VLOOKUP(U246,'G-3 Multipliers'!$L$3:$N$6,2,FALSE)=0,"Spatial Data Missing ⚠",VLOOKUP(U246,'G-3 Multipliers'!$L$3:$N$6,2,FALSE)))</f>
        <v/>
      </c>
      <c r="W246" s="305" t="str">
        <f>IF(U246="","",IF(VLOOKUP(U246,'G-3 Multipliers'!$L$3:$N$6,3,FALSE)=0,"Spatial Data Missing ⚠",VLOOKUP(U246,'G-3 Multipliers'!$L$3:$N$6,3,FALSE)))</f>
        <v/>
      </c>
      <c r="X246" s="281" t="str">
        <f>IFERROR(IF(OR(LEFT(O246,5)="Error",LEFT(N246,5)="Error",T246="Error"),"Check Data ⚠",IF(F246&lt;R246,INDEX('G-6 Hedgerow Data'!$S$3:$AE$14,MATCH(C246,'G-6 Hedgerow Data'!$B$3:$B$14,0),MATCH(M246,'G-6 Hedgerow Data'!$S$2:$AE$2,0)),INDEX('G-6 Hedgerow Data'!$K$3:$Q$14,MATCH(M246,'G-6 Hedgerow Data'!$B$3:$B$14,0),MATCH(O246,'G-6 Hedgerow Data'!$K$2:$Q$2,0)))),"")</f>
        <v/>
      </c>
      <c r="Y246" s="137"/>
      <c r="Z246" s="137"/>
      <c r="AA246" s="289" t="str">
        <f t="shared" si="23"/>
        <v/>
      </c>
      <c r="AB246" s="302" t="str">
        <f t="shared" si="24"/>
        <v/>
      </c>
      <c r="AC246" s="303" t="str">
        <f t="shared" si="21"/>
        <v/>
      </c>
      <c r="AD246" s="317" t="str">
        <f>IF(M246="","",VLOOKUP(M246,'G-6 Hedgerow Data'!$B$3:$AG$15,31,FALSE))</f>
        <v/>
      </c>
      <c r="AE246" s="289" t="str">
        <f t="shared" si="25"/>
        <v/>
      </c>
      <c r="AF246" s="289" t="str">
        <f t="shared" si="26"/>
        <v/>
      </c>
      <c r="AG246" s="305" t="str">
        <f>IFERROR(IF(O246="","",VLOOKUP(AD246,'G-3 Multipliers'!$P$3:$Q$6,2,FALSE)),"")</f>
        <v/>
      </c>
      <c r="AH246" s="295" t="str">
        <f t="shared" si="27"/>
        <v/>
      </c>
      <c r="AI246" s="112"/>
      <c r="AJ246" s="119"/>
      <c r="AK246" s="108"/>
      <c r="AT246" s="30" t="str">
        <f>IFERROR(INDEX('G-6 Hedgerow Data'!$BJ$3:$BJ$15,MATCH(M246,'G-6 Hedgerow Data'!$B$3:$B$15,0)),"")</f>
        <v/>
      </c>
    </row>
    <row r="247" spans="2:46" ht="13.8" x14ac:dyDescent="0.25">
      <c r="B247" s="311" t="str">
        <f>'B-1 On-Site Hedge Baseline'!AK245</f>
        <v/>
      </c>
      <c r="C247" s="301" t="str">
        <f>IF(B247="","",IF(ISNA(VLOOKUP($B247,'B-1 On-Site Hedge Baseline'!$B$1:$L$257,3,FALSE)),"",(VLOOKUP($B247,'B-1 On-Site Hedge Baseline'!$B$1:$L$257,3,FALSE))))</f>
        <v/>
      </c>
      <c r="D247" s="301" t="str">
        <f>IF(B247="","",IF(ISNA(VLOOKUP($B247,'B-1 On-Site Hedge Baseline'!$B$1:$L$257,4,FALSE)),"",(VLOOKUP($B247,'B-1 On-Site Hedge Baseline'!$B$1:$L$257,4,FALSE))))</f>
        <v/>
      </c>
      <c r="E247" s="301" t="str">
        <f>IF(B247="","",IF(ISNA(VLOOKUP($B247,'B-1 On-Site Hedge Baseline'!$B$1:$L$257,5,FALSE)),"",(VLOOKUP($B247,'B-1 On-Site Hedge Baseline'!$B$1:$L$257,5,FALSE))))</f>
        <v/>
      </c>
      <c r="F247" s="301" t="str">
        <f>IF(B247="","",IF(ISNA(VLOOKUP($B247,'B-1 On-Site Hedge Baseline'!$B$1:$L$257,6,FALSE)),"",(VLOOKUP($B247,'B-1 On-Site Hedge Baseline'!$B$1:$L$257,6,FALSE))))</f>
        <v/>
      </c>
      <c r="G247" s="301" t="str">
        <f>IF(B247="","",IF(ISNA(VLOOKUP($B247,'B-1 On-Site Hedge Baseline'!$B$1:$L$257,7,FALSE)),"",(VLOOKUP($B247,'B-1 On-Site Hedge Baseline'!$B$1:$L$257,7,FALSE))))</f>
        <v/>
      </c>
      <c r="H247" s="301" t="str">
        <f>IF(B247="","",IF(ISNA(VLOOKUP($B247,'B-1 On-Site Hedge Baseline'!$B$1:$L$257,8,FALSE)),"",(VLOOKUP($B247,'B-1 On-Site Hedge Baseline'!$B$1:$L$257,8,FALSE))))</f>
        <v/>
      </c>
      <c r="I247" s="301" t="str">
        <f>IF(B247="","",IF(ISNA(VLOOKUP($B247,'B-1 On-Site Hedge Baseline'!$B$1:$L$257,10,FALSE)),"",(VLOOKUP($B247,'B-1 On-Site Hedge Baseline'!$B$1:$L$257,10,FALSE))))</f>
        <v/>
      </c>
      <c r="J247" s="301" t="str">
        <f>IF(B247="","",IF(ISNA(VLOOKUP($B247,'B-1 On-Site Hedge Baseline'!$B$1:$L$257,11,FALSE)),"",(VLOOKUP($B247,'B-1 On-Site Hedge Baseline'!$B$1:$L$257,11,FALSE))))</f>
        <v/>
      </c>
      <c r="K247" s="301" t="str">
        <f>IF(B247="","",IF(ISNA(VLOOKUP($B247,'B-1 On-Site Hedge Baseline'!$B$1:$U$257,13,FALSE)),"",(VLOOKUP($B247,'B-1 On-Site Hedge Baseline'!$B$1:$U$257,13,FALSE))))</f>
        <v/>
      </c>
      <c r="L247" s="305" t="str">
        <f>IF(B247="","",IF(ISNA(VLOOKUP($B247,'B-1 On-Site Hedge Baseline'!$B$1:$U$257,12,FALSE)),"",(VLOOKUP($B247,'B-1 On-Site Hedge Baseline'!$B$1:$U$257,12,FALSE))))</f>
        <v/>
      </c>
      <c r="M247" s="627"/>
      <c r="N247" s="281" t="str">
        <f>IFERROR(IF(B247="","",INDEX('G-6 Hedgerow Data'!$AN$3:$AZ$15,MATCH(C247,'G-6 Hedgerow Data'!$AM$3:$AM$15,0),MATCH(M247,'G-6 Hedgerow Data'!$AN$2:$AZ$2,0))),"")</f>
        <v/>
      </c>
      <c r="O247" s="282" t="str">
        <f t="shared" si="22"/>
        <v/>
      </c>
      <c r="P247" s="335" t="str">
        <f>IF(B247="","",VLOOKUP(B247,'B-1 On-Site Hedge Baseline'!$B$10:T492,16,FALSE))</f>
        <v/>
      </c>
      <c r="Q247" s="281" t="str">
        <f>IF(M247="","",VLOOKUP(M247,'G-6 Hedgerow Data'!$B$2:$AG$15,2,FALSE))</f>
        <v/>
      </c>
      <c r="R247" s="282" t="str">
        <f>IF(M247="","",VLOOKUP(M247,'G-6 Hedgerow Data'!$B$2:$AG$15,3,FALSE))</f>
        <v/>
      </c>
      <c r="S247" s="112"/>
      <c r="T247" s="320" t="str">
        <f>IFERROR(IF(S247="","",IF(AND(M247="Non-native and ornamental hedgerow", S247&lt;&gt;"Poor"),"Not possible ▲", (VLOOKUP(S247,'G-1 All Habitats'!$Z$2:$AA$9,2,FALSE)))),"")</f>
        <v/>
      </c>
      <c r="U247" s="109"/>
      <c r="V247" s="301" t="str">
        <f>IF(U247="","",IF(VLOOKUP(U247,'G-3 Multipliers'!$L$3:$N$6,2,FALSE)=0,"Spatial Data Missing ⚠",VLOOKUP(U247,'G-3 Multipliers'!$L$3:$N$6,2,FALSE)))</f>
        <v/>
      </c>
      <c r="W247" s="305" t="str">
        <f>IF(U247="","",IF(VLOOKUP(U247,'G-3 Multipliers'!$L$3:$N$6,3,FALSE)=0,"Spatial Data Missing ⚠",VLOOKUP(U247,'G-3 Multipliers'!$L$3:$N$6,3,FALSE)))</f>
        <v/>
      </c>
      <c r="X247" s="281" t="str">
        <f>IFERROR(IF(OR(LEFT(O247,5)="Error",LEFT(N247,5)="Error",T247="Error"),"Check Data ⚠",IF(F247&lt;R247,INDEX('G-6 Hedgerow Data'!$S$3:$AE$14,MATCH(C247,'G-6 Hedgerow Data'!$B$3:$B$14,0),MATCH(M247,'G-6 Hedgerow Data'!$S$2:$AE$2,0)),INDEX('G-6 Hedgerow Data'!$K$3:$Q$14,MATCH(M247,'G-6 Hedgerow Data'!$B$3:$B$14,0),MATCH(O247,'G-6 Hedgerow Data'!$K$2:$Q$2,0)))),"")</f>
        <v/>
      </c>
      <c r="Y247" s="137"/>
      <c r="Z247" s="137"/>
      <c r="AA247" s="289" t="str">
        <f t="shared" si="23"/>
        <v/>
      </c>
      <c r="AB247" s="302" t="str">
        <f t="shared" si="24"/>
        <v/>
      </c>
      <c r="AC247" s="303" t="str">
        <f t="shared" si="21"/>
        <v/>
      </c>
      <c r="AD247" s="317" t="str">
        <f>IF(M247="","",VLOOKUP(M247,'G-6 Hedgerow Data'!$B$3:$AG$15,31,FALSE))</f>
        <v/>
      </c>
      <c r="AE247" s="289" t="str">
        <f t="shared" si="25"/>
        <v/>
      </c>
      <c r="AF247" s="289" t="str">
        <f t="shared" si="26"/>
        <v/>
      </c>
      <c r="AG247" s="305" t="str">
        <f>IFERROR(IF(O247="","",VLOOKUP(AD247,'G-3 Multipliers'!$P$3:$Q$6,2,FALSE)),"")</f>
        <v/>
      </c>
      <c r="AH247" s="295" t="str">
        <f t="shared" si="27"/>
        <v/>
      </c>
      <c r="AI247" s="112"/>
      <c r="AJ247" s="119"/>
      <c r="AK247" s="108"/>
      <c r="AT247" s="30" t="str">
        <f>IFERROR(INDEX('G-6 Hedgerow Data'!$BJ$3:$BJ$15,MATCH(M247,'G-6 Hedgerow Data'!$B$3:$B$15,0)),"")</f>
        <v/>
      </c>
    </row>
    <row r="248" spans="2:46" ht="13.8" x14ac:dyDescent="0.25">
      <c r="B248" s="311" t="str">
        <f>'B-1 On-Site Hedge Baseline'!AK246</f>
        <v/>
      </c>
      <c r="C248" s="301" t="str">
        <f>IF(B248="","",IF(ISNA(VLOOKUP($B248,'B-1 On-Site Hedge Baseline'!$B$1:$L$257,3,FALSE)),"",(VLOOKUP($B248,'B-1 On-Site Hedge Baseline'!$B$1:$L$257,3,FALSE))))</f>
        <v/>
      </c>
      <c r="D248" s="301" t="str">
        <f>IF(B248="","",IF(ISNA(VLOOKUP($B248,'B-1 On-Site Hedge Baseline'!$B$1:$L$257,4,FALSE)),"",(VLOOKUP($B248,'B-1 On-Site Hedge Baseline'!$B$1:$L$257,4,FALSE))))</f>
        <v/>
      </c>
      <c r="E248" s="301" t="str">
        <f>IF(B248="","",IF(ISNA(VLOOKUP($B248,'B-1 On-Site Hedge Baseline'!$B$1:$L$257,5,FALSE)),"",(VLOOKUP($B248,'B-1 On-Site Hedge Baseline'!$B$1:$L$257,5,FALSE))))</f>
        <v/>
      </c>
      <c r="F248" s="301" t="str">
        <f>IF(B248="","",IF(ISNA(VLOOKUP($B248,'B-1 On-Site Hedge Baseline'!$B$1:$L$257,6,FALSE)),"",(VLOOKUP($B248,'B-1 On-Site Hedge Baseline'!$B$1:$L$257,6,FALSE))))</f>
        <v/>
      </c>
      <c r="G248" s="301" t="str">
        <f>IF(B248="","",IF(ISNA(VLOOKUP($B248,'B-1 On-Site Hedge Baseline'!$B$1:$L$257,7,FALSE)),"",(VLOOKUP($B248,'B-1 On-Site Hedge Baseline'!$B$1:$L$257,7,FALSE))))</f>
        <v/>
      </c>
      <c r="H248" s="301" t="str">
        <f>IF(B248="","",IF(ISNA(VLOOKUP($B248,'B-1 On-Site Hedge Baseline'!$B$1:$L$257,8,FALSE)),"",(VLOOKUP($B248,'B-1 On-Site Hedge Baseline'!$B$1:$L$257,8,FALSE))))</f>
        <v/>
      </c>
      <c r="I248" s="301" t="str">
        <f>IF(B248="","",IF(ISNA(VLOOKUP($B248,'B-1 On-Site Hedge Baseline'!$B$1:$L$257,10,FALSE)),"",(VLOOKUP($B248,'B-1 On-Site Hedge Baseline'!$B$1:$L$257,10,FALSE))))</f>
        <v/>
      </c>
      <c r="J248" s="301" t="str">
        <f>IF(B248="","",IF(ISNA(VLOOKUP($B248,'B-1 On-Site Hedge Baseline'!$B$1:$L$257,11,FALSE)),"",(VLOOKUP($B248,'B-1 On-Site Hedge Baseline'!$B$1:$L$257,11,FALSE))))</f>
        <v/>
      </c>
      <c r="K248" s="301" t="str">
        <f>IF(B248="","",IF(ISNA(VLOOKUP($B248,'B-1 On-Site Hedge Baseline'!$B$1:$U$257,13,FALSE)),"",(VLOOKUP($B248,'B-1 On-Site Hedge Baseline'!$B$1:$U$257,13,FALSE))))</f>
        <v/>
      </c>
      <c r="L248" s="305" t="str">
        <f>IF(B248="","",IF(ISNA(VLOOKUP($B248,'B-1 On-Site Hedge Baseline'!$B$1:$U$257,12,FALSE)),"",(VLOOKUP($B248,'B-1 On-Site Hedge Baseline'!$B$1:$U$257,12,FALSE))))</f>
        <v/>
      </c>
      <c r="M248" s="627"/>
      <c r="N248" s="281" t="str">
        <f>IFERROR(IF(B248="","",INDEX('G-6 Hedgerow Data'!$AN$3:$AZ$15,MATCH(C248,'G-6 Hedgerow Data'!$AM$3:$AM$15,0),MATCH(M248,'G-6 Hedgerow Data'!$AN$2:$AZ$2,0))),"")</f>
        <v/>
      </c>
      <c r="O248" s="282" t="str">
        <f t="shared" si="22"/>
        <v/>
      </c>
      <c r="P248" s="335" t="str">
        <f>IF(B248="","",VLOOKUP(B248,'B-1 On-Site Hedge Baseline'!$B$10:T493,16,FALSE))</f>
        <v/>
      </c>
      <c r="Q248" s="281" t="str">
        <f>IF(M248="","",VLOOKUP(M248,'G-6 Hedgerow Data'!$B$2:$AG$15,2,FALSE))</f>
        <v/>
      </c>
      <c r="R248" s="282" t="str">
        <f>IF(M248="","",VLOOKUP(M248,'G-6 Hedgerow Data'!$B$2:$AG$15,3,FALSE))</f>
        <v/>
      </c>
      <c r="S248" s="112"/>
      <c r="T248" s="320" t="str">
        <f>IFERROR(IF(S248="","",IF(AND(M248="Non-native and ornamental hedgerow", S248&lt;&gt;"Poor"),"Not possible ▲", (VLOOKUP(S248,'G-1 All Habitats'!$Z$2:$AA$9,2,FALSE)))),"")</f>
        <v/>
      </c>
      <c r="U248" s="109"/>
      <c r="V248" s="301" t="str">
        <f>IF(U248="","",IF(VLOOKUP(U248,'G-3 Multipliers'!$L$3:$N$6,2,FALSE)=0,"Spatial Data Missing ⚠",VLOOKUP(U248,'G-3 Multipliers'!$L$3:$N$6,2,FALSE)))</f>
        <v/>
      </c>
      <c r="W248" s="305" t="str">
        <f>IF(U248="","",IF(VLOOKUP(U248,'G-3 Multipliers'!$L$3:$N$6,3,FALSE)=0,"Spatial Data Missing ⚠",VLOOKUP(U248,'G-3 Multipliers'!$L$3:$N$6,3,FALSE)))</f>
        <v/>
      </c>
      <c r="X248" s="281" t="str">
        <f>IFERROR(IF(OR(LEFT(O248,5)="Error",LEFT(N248,5)="Error",T248="Error"),"Check Data ⚠",IF(F248&lt;R248,INDEX('G-6 Hedgerow Data'!$S$3:$AE$14,MATCH(C248,'G-6 Hedgerow Data'!$B$3:$B$14,0),MATCH(M248,'G-6 Hedgerow Data'!$S$2:$AE$2,0)),INDEX('G-6 Hedgerow Data'!$K$3:$Q$14,MATCH(M248,'G-6 Hedgerow Data'!$B$3:$B$14,0),MATCH(O248,'G-6 Hedgerow Data'!$K$2:$Q$2,0)))),"")</f>
        <v/>
      </c>
      <c r="Y248" s="137"/>
      <c r="Z248" s="137"/>
      <c r="AA248" s="289" t="str">
        <f t="shared" si="23"/>
        <v/>
      </c>
      <c r="AB248" s="302" t="str">
        <f t="shared" si="24"/>
        <v/>
      </c>
      <c r="AC248" s="303" t="str">
        <f t="shared" si="21"/>
        <v/>
      </c>
      <c r="AD248" s="317" t="str">
        <f>IF(M248="","",VLOOKUP(M248,'G-6 Hedgerow Data'!$B$3:$AG$15,31,FALSE))</f>
        <v/>
      </c>
      <c r="AE248" s="289" t="str">
        <f t="shared" si="25"/>
        <v/>
      </c>
      <c r="AF248" s="289" t="str">
        <f t="shared" si="26"/>
        <v/>
      </c>
      <c r="AG248" s="305" t="str">
        <f>IFERROR(IF(O248="","",VLOOKUP(AD248,'G-3 Multipliers'!$P$3:$Q$6,2,FALSE)),"")</f>
        <v/>
      </c>
      <c r="AH248" s="295" t="str">
        <f t="shared" si="27"/>
        <v/>
      </c>
      <c r="AI248" s="112"/>
      <c r="AJ248" s="119"/>
      <c r="AK248" s="108"/>
      <c r="AT248" s="30" t="str">
        <f>IFERROR(INDEX('G-6 Hedgerow Data'!$BJ$3:$BJ$15,MATCH(M248,'G-6 Hedgerow Data'!$B$3:$B$15,0)),"")</f>
        <v/>
      </c>
    </row>
    <row r="249" spans="2:46" ht="13.8" x14ac:dyDescent="0.25">
      <c r="B249" s="311" t="str">
        <f>'B-1 On-Site Hedge Baseline'!AK247</f>
        <v/>
      </c>
      <c r="C249" s="301" t="str">
        <f>IF(B249="","",IF(ISNA(VLOOKUP($B249,'B-1 On-Site Hedge Baseline'!$B$1:$L$257,3,FALSE)),"",(VLOOKUP($B249,'B-1 On-Site Hedge Baseline'!$B$1:$L$257,3,FALSE))))</f>
        <v/>
      </c>
      <c r="D249" s="301" t="str">
        <f>IF(B249="","",IF(ISNA(VLOOKUP($B249,'B-1 On-Site Hedge Baseline'!$B$1:$L$257,4,FALSE)),"",(VLOOKUP($B249,'B-1 On-Site Hedge Baseline'!$B$1:$L$257,4,FALSE))))</f>
        <v/>
      </c>
      <c r="E249" s="301" t="str">
        <f>IF(B249="","",IF(ISNA(VLOOKUP($B249,'B-1 On-Site Hedge Baseline'!$B$1:$L$257,5,FALSE)),"",(VLOOKUP($B249,'B-1 On-Site Hedge Baseline'!$B$1:$L$257,5,FALSE))))</f>
        <v/>
      </c>
      <c r="F249" s="301" t="str">
        <f>IF(B249="","",IF(ISNA(VLOOKUP($B249,'B-1 On-Site Hedge Baseline'!$B$1:$L$257,6,FALSE)),"",(VLOOKUP($B249,'B-1 On-Site Hedge Baseline'!$B$1:$L$257,6,FALSE))))</f>
        <v/>
      </c>
      <c r="G249" s="301" t="str">
        <f>IF(B249="","",IF(ISNA(VLOOKUP($B249,'B-1 On-Site Hedge Baseline'!$B$1:$L$257,7,FALSE)),"",(VLOOKUP($B249,'B-1 On-Site Hedge Baseline'!$B$1:$L$257,7,FALSE))))</f>
        <v/>
      </c>
      <c r="H249" s="301" t="str">
        <f>IF(B249="","",IF(ISNA(VLOOKUP($B249,'B-1 On-Site Hedge Baseline'!$B$1:$L$257,8,FALSE)),"",(VLOOKUP($B249,'B-1 On-Site Hedge Baseline'!$B$1:$L$257,8,FALSE))))</f>
        <v/>
      </c>
      <c r="I249" s="301" t="str">
        <f>IF(B249="","",IF(ISNA(VLOOKUP($B249,'B-1 On-Site Hedge Baseline'!$B$1:$L$257,10,FALSE)),"",(VLOOKUP($B249,'B-1 On-Site Hedge Baseline'!$B$1:$L$257,10,FALSE))))</f>
        <v/>
      </c>
      <c r="J249" s="301" t="str">
        <f>IF(B249="","",IF(ISNA(VLOOKUP($B249,'B-1 On-Site Hedge Baseline'!$B$1:$L$257,11,FALSE)),"",(VLOOKUP($B249,'B-1 On-Site Hedge Baseline'!$B$1:$L$257,11,FALSE))))</f>
        <v/>
      </c>
      <c r="K249" s="301" t="str">
        <f>IF(B249="","",IF(ISNA(VLOOKUP($B249,'B-1 On-Site Hedge Baseline'!$B$1:$U$257,13,FALSE)),"",(VLOOKUP($B249,'B-1 On-Site Hedge Baseline'!$B$1:$U$257,13,FALSE))))</f>
        <v/>
      </c>
      <c r="L249" s="305" t="str">
        <f>IF(B249="","",IF(ISNA(VLOOKUP($B249,'B-1 On-Site Hedge Baseline'!$B$1:$U$257,12,FALSE)),"",(VLOOKUP($B249,'B-1 On-Site Hedge Baseline'!$B$1:$U$257,12,FALSE))))</f>
        <v/>
      </c>
      <c r="M249" s="627"/>
      <c r="N249" s="281" t="str">
        <f>IFERROR(IF(B249="","",INDEX('G-6 Hedgerow Data'!$AN$3:$AZ$15,MATCH(C249,'G-6 Hedgerow Data'!$AM$3:$AM$15,0),MATCH(M249,'G-6 Hedgerow Data'!$AN$2:$AZ$2,0))),"")</f>
        <v/>
      </c>
      <c r="O249" s="282" t="str">
        <f t="shared" si="22"/>
        <v/>
      </c>
      <c r="P249" s="335" t="str">
        <f>IF(B249="","",VLOOKUP(B249,'B-1 On-Site Hedge Baseline'!$B$10:T494,16,FALSE))</f>
        <v/>
      </c>
      <c r="Q249" s="281" t="str">
        <f>IF(M249="","",VLOOKUP(M249,'G-6 Hedgerow Data'!$B$2:$AG$15,2,FALSE))</f>
        <v/>
      </c>
      <c r="R249" s="282" t="str">
        <f>IF(M249="","",VLOOKUP(M249,'G-6 Hedgerow Data'!$B$2:$AG$15,3,FALSE))</f>
        <v/>
      </c>
      <c r="S249" s="112"/>
      <c r="T249" s="320" t="str">
        <f>IFERROR(IF(S249="","",IF(AND(M249="Non-native and ornamental hedgerow", S249&lt;&gt;"Poor"),"Not possible ▲", (VLOOKUP(S249,'G-1 All Habitats'!$Z$2:$AA$9,2,FALSE)))),"")</f>
        <v/>
      </c>
      <c r="U249" s="109"/>
      <c r="V249" s="301" t="str">
        <f>IF(U249="","",IF(VLOOKUP(U249,'G-3 Multipliers'!$L$3:$N$6,2,FALSE)=0,"Spatial Data Missing ⚠",VLOOKUP(U249,'G-3 Multipliers'!$L$3:$N$6,2,FALSE)))</f>
        <v/>
      </c>
      <c r="W249" s="305" t="str">
        <f>IF(U249="","",IF(VLOOKUP(U249,'G-3 Multipliers'!$L$3:$N$6,3,FALSE)=0,"Spatial Data Missing ⚠",VLOOKUP(U249,'G-3 Multipliers'!$L$3:$N$6,3,FALSE)))</f>
        <v/>
      </c>
      <c r="X249" s="281" t="str">
        <f>IFERROR(IF(OR(LEFT(O249,5)="Error",LEFT(N249,5)="Error",T249="Error"),"Check Data ⚠",IF(F249&lt;R249,INDEX('G-6 Hedgerow Data'!$S$3:$AE$14,MATCH(C249,'G-6 Hedgerow Data'!$B$3:$B$14,0),MATCH(M249,'G-6 Hedgerow Data'!$S$2:$AE$2,0)),INDEX('G-6 Hedgerow Data'!$K$3:$Q$14,MATCH(M249,'G-6 Hedgerow Data'!$B$3:$B$14,0),MATCH(O249,'G-6 Hedgerow Data'!$K$2:$Q$2,0)))),"")</f>
        <v/>
      </c>
      <c r="Y249" s="137"/>
      <c r="Z249" s="137"/>
      <c r="AA249" s="289" t="str">
        <f t="shared" si="23"/>
        <v/>
      </c>
      <c r="AB249" s="302" t="str">
        <f t="shared" si="24"/>
        <v/>
      </c>
      <c r="AC249" s="303" t="str">
        <f t="shared" si="21"/>
        <v/>
      </c>
      <c r="AD249" s="317" t="str">
        <f>IF(M249="","",VLOOKUP(M249,'G-6 Hedgerow Data'!$B$3:$AG$15,31,FALSE))</f>
        <v/>
      </c>
      <c r="AE249" s="289" t="str">
        <f t="shared" si="25"/>
        <v/>
      </c>
      <c r="AF249" s="289" t="str">
        <f t="shared" si="26"/>
        <v/>
      </c>
      <c r="AG249" s="305" t="str">
        <f>IFERROR(IF(O249="","",VLOOKUP(AD249,'G-3 Multipliers'!$P$3:$Q$6,2,FALSE)),"")</f>
        <v/>
      </c>
      <c r="AH249" s="295" t="str">
        <f t="shared" si="27"/>
        <v/>
      </c>
      <c r="AI249" s="112"/>
      <c r="AJ249" s="119"/>
      <c r="AK249" s="108"/>
      <c r="AT249" s="30" t="str">
        <f>IFERROR(INDEX('G-6 Hedgerow Data'!$BJ$3:$BJ$15,MATCH(M249,'G-6 Hedgerow Data'!$B$3:$B$15,0)),"")</f>
        <v/>
      </c>
    </row>
    <row r="250" spans="2:46" ht="13.8" x14ac:dyDescent="0.25">
      <c r="B250" s="311" t="str">
        <f>'B-1 On-Site Hedge Baseline'!AK248</f>
        <v/>
      </c>
      <c r="C250" s="301" t="str">
        <f>IF(B250="","",IF(ISNA(VLOOKUP($B250,'B-1 On-Site Hedge Baseline'!$B$1:$L$257,3,FALSE)),"",(VLOOKUP($B250,'B-1 On-Site Hedge Baseline'!$B$1:$L$257,3,FALSE))))</f>
        <v/>
      </c>
      <c r="D250" s="301" t="str">
        <f>IF(B250="","",IF(ISNA(VLOOKUP($B250,'B-1 On-Site Hedge Baseline'!$B$1:$L$257,4,FALSE)),"",(VLOOKUP($B250,'B-1 On-Site Hedge Baseline'!$B$1:$L$257,4,FALSE))))</f>
        <v/>
      </c>
      <c r="E250" s="301" t="str">
        <f>IF(B250="","",IF(ISNA(VLOOKUP($B250,'B-1 On-Site Hedge Baseline'!$B$1:$L$257,5,FALSE)),"",(VLOOKUP($B250,'B-1 On-Site Hedge Baseline'!$B$1:$L$257,5,FALSE))))</f>
        <v/>
      </c>
      <c r="F250" s="301" t="str">
        <f>IF(B250="","",IF(ISNA(VLOOKUP($B250,'B-1 On-Site Hedge Baseline'!$B$1:$L$257,6,FALSE)),"",(VLOOKUP($B250,'B-1 On-Site Hedge Baseline'!$B$1:$L$257,6,FALSE))))</f>
        <v/>
      </c>
      <c r="G250" s="301" t="str">
        <f>IF(B250="","",IF(ISNA(VLOOKUP($B250,'B-1 On-Site Hedge Baseline'!$B$1:$L$257,7,FALSE)),"",(VLOOKUP($B250,'B-1 On-Site Hedge Baseline'!$B$1:$L$257,7,FALSE))))</f>
        <v/>
      </c>
      <c r="H250" s="301" t="str">
        <f>IF(B250="","",IF(ISNA(VLOOKUP($B250,'B-1 On-Site Hedge Baseline'!$B$1:$L$257,8,FALSE)),"",(VLOOKUP($B250,'B-1 On-Site Hedge Baseline'!$B$1:$L$257,8,FALSE))))</f>
        <v/>
      </c>
      <c r="I250" s="301" t="str">
        <f>IF(B250="","",IF(ISNA(VLOOKUP($B250,'B-1 On-Site Hedge Baseline'!$B$1:$L$257,10,FALSE)),"",(VLOOKUP($B250,'B-1 On-Site Hedge Baseline'!$B$1:$L$257,10,FALSE))))</f>
        <v/>
      </c>
      <c r="J250" s="301" t="str">
        <f>IF(B250="","",IF(ISNA(VLOOKUP($B250,'B-1 On-Site Hedge Baseline'!$B$1:$L$257,11,FALSE)),"",(VLOOKUP($B250,'B-1 On-Site Hedge Baseline'!$B$1:$L$257,11,FALSE))))</f>
        <v/>
      </c>
      <c r="K250" s="301" t="str">
        <f>IF(B250="","",IF(ISNA(VLOOKUP($B250,'B-1 On-Site Hedge Baseline'!$B$1:$U$257,13,FALSE)),"",(VLOOKUP($B250,'B-1 On-Site Hedge Baseline'!$B$1:$U$257,13,FALSE))))</f>
        <v/>
      </c>
      <c r="L250" s="305" t="str">
        <f>IF(B250="","",IF(ISNA(VLOOKUP($B250,'B-1 On-Site Hedge Baseline'!$B$1:$U$257,12,FALSE)),"",(VLOOKUP($B250,'B-1 On-Site Hedge Baseline'!$B$1:$U$257,12,FALSE))))</f>
        <v/>
      </c>
      <c r="M250" s="627"/>
      <c r="N250" s="281" t="str">
        <f>IFERROR(IF(B250="","",INDEX('G-6 Hedgerow Data'!$AN$3:$AZ$15,MATCH(C250,'G-6 Hedgerow Data'!$AM$3:$AM$15,0),MATCH(M250,'G-6 Hedgerow Data'!$AN$2:$AZ$2,0))),"")</f>
        <v/>
      </c>
      <c r="O250" s="282" t="str">
        <f t="shared" si="22"/>
        <v/>
      </c>
      <c r="P250" s="335" t="str">
        <f>IF(B250="","",VLOOKUP(B250,'B-1 On-Site Hedge Baseline'!$B$10:T495,16,FALSE))</f>
        <v/>
      </c>
      <c r="Q250" s="281" t="str">
        <f>IF(M250="","",VLOOKUP(M250,'G-6 Hedgerow Data'!$B$2:$AG$15,2,FALSE))</f>
        <v/>
      </c>
      <c r="R250" s="282" t="str">
        <f>IF(M250="","",VLOOKUP(M250,'G-6 Hedgerow Data'!$B$2:$AG$15,3,FALSE))</f>
        <v/>
      </c>
      <c r="S250" s="112"/>
      <c r="T250" s="320" t="str">
        <f>IFERROR(IF(S250="","",IF(AND(M250="Non-native and ornamental hedgerow", S250&lt;&gt;"Poor"),"Not possible ▲", (VLOOKUP(S250,'G-1 All Habitats'!$Z$2:$AA$9,2,FALSE)))),"")</f>
        <v/>
      </c>
      <c r="U250" s="109"/>
      <c r="V250" s="301" t="str">
        <f>IF(U250="","",IF(VLOOKUP(U250,'G-3 Multipliers'!$L$3:$N$6,2,FALSE)=0,"Spatial Data Missing ⚠",VLOOKUP(U250,'G-3 Multipliers'!$L$3:$N$6,2,FALSE)))</f>
        <v/>
      </c>
      <c r="W250" s="305" t="str">
        <f>IF(U250="","",IF(VLOOKUP(U250,'G-3 Multipliers'!$L$3:$N$6,3,FALSE)=0,"Spatial Data Missing ⚠",VLOOKUP(U250,'G-3 Multipliers'!$L$3:$N$6,3,FALSE)))</f>
        <v/>
      </c>
      <c r="X250" s="281" t="str">
        <f>IFERROR(IF(OR(LEFT(O250,5)="Error",LEFT(N250,5)="Error",T250="Error"),"Check Data ⚠",IF(F250&lt;R250,INDEX('G-6 Hedgerow Data'!$S$3:$AE$14,MATCH(C250,'G-6 Hedgerow Data'!$B$3:$B$14,0),MATCH(M250,'G-6 Hedgerow Data'!$S$2:$AE$2,0)),INDEX('G-6 Hedgerow Data'!$K$3:$Q$14,MATCH(M250,'G-6 Hedgerow Data'!$B$3:$B$14,0),MATCH(O250,'G-6 Hedgerow Data'!$K$2:$Q$2,0)))),"")</f>
        <v/>
      </c>
      <c r="Y250" s="137"/>
      <c r="Z250" s="137"/>
      <c r="AA250" s="289" t="str">
        <f t="shared" si="23"/>
        <v/>
      </c>
      <c r="AB250" s="302" t="str">
        <f t="shared" si="24"/>
        <v/>
      </c>
      <c r="AC250" s="303" t="str">
        <f t="shared" si="21"/>
        <v/>
      </c>
      <c r="AD250" s="317" t="str">
        <f>IF(M250="","",VLOOKUP(M250,'G-6 Hedgerow Data'!$B$3:$AG$15,31,FALSE))</f>
        <v/>
      </c>
      <c r="AE250" s="289" t="str">
        <f t="shared" si="25"/>
        <v/>
      </c>
      <c r="AF250" s="289" t="str">
        <f t="shared" si="26"/>
        <v/>
      </c>
      <c r="AG250" s="305" t="str">
        <f>IFERROR(IF(O250="","",VLOOKUP(AD250,'G-3 Multipliers'!$P$3:$Q$6,2,FALSE)),"")</f>
        <v/>
      </c>
      <c r="AH250" s="295" t="str">
        <f t="shared" si="27"/>
        <v/>
      </c>
      <c r="AI250" s="112"/>
      <c r="AJ250" s="119"/>
      <c r="AK250" s="108"/>
      <c r="AT250" s="30" t="str">
        <f>IFERROR(INDEX('G-6 Hedgerow Data'!$BJ$3:$BJ$15,MATCH(M250,'G-6 Hedgerow Data'!$B$3:$B$15,0)),"")</f>
        <v/>
      </c>
    </row>
    <row r="251" spans="2:46" ht="13.8" x14ac:dyDescent="0.25">
      <c r="B251" s="311" t="str">
        <f>'B-1 On-Site Hedge Baseline'!AK249</f>
        <v/>
      </c>
      <c r="C251" s="301" t="str">
        <f>IF(B251="","",IF(ISNA(VLOOKUP($B251,'B-1 On-Site Hedge Baseline'!$B$1:$L$257,3,FALSE)),"",(VLOOKUP($B251,'B-1 On-Site Hedge Baseline'!$B$1:$L$257,3,FALSE))))</f>
        <v/>
      </c>
      <c r="D251" s="301" t="str">
        <f>IF(B251="","",IF(ISNA(VLOOKUP($B251,'B-1 On-Site Hedge Baseline'!$B$1:$L$257,4,FALSE)),"",(VLOOKUP($B251,'B-1 On-Site Hedge Baseline'!$B$1:$L$257,4,FALSE))))</f>
        <v/>
      </c>
      <c r="E251" s="301" t="str">
        <f>IF(B251="","",IF(ISNA(VLOOKUP($B251,'B-1 On-Site Hedge Baseline'!$B$1:$L$257,5,FALSE)),"",(VLOOKUP($B251,'B-1 On-Site Hedge Baseline'!$B$1:$L$257,5,FALSE))))</f>
        <v/>
      </c>
      <c r="F251" s="301" t="str">
        <f>IF(B251="","",IF(ISNA(VLOOKUP($B251,'B-1 On-Site Hedge Baseline'!$B$1:$L$257,6,FALSE)),"",(VLOOKUP($B251,'B-1 On-Site Hedge Baseline'!$B$1:$L$257,6,FALSE))))</f>
        <v/>
      </c>
      <c r="G251" s="301" t="str">
        <f>IF(B251="","",IF(ISNA(VLOOKUP($B251,'B-1 On-Site Hedge Baseline'!$B$1:$L$257,7,FALSE)),"",(VLOOKUP($B251,'B-1 On-Site Hedge Baseline'!$B$1:$L$257,7,FALSE))))</f>
        <v/>
      </c>
      <c r="H251" s="301" t="str">
        <f>IF(B251="","",IF(ISNA(VLOOKUP($B251,'B-1 On-Site Hedge Baseline'!$B$1:$L$257,8,FALSE)),"",(VLOOKUP($B251,'B-1 On-Site Hedge Baseline'!$B$1:$L$257,8,FALSE))))</f>
        <v/>
      </c>
      <c r="I251" s="301" t="str">
        <f>IF(B251="","",IF(ISNA(VLOOKUP($B251,'B-1 On-Site Hedge Baseline'!$B$1:$L$257,10,FALSE)),"",(VLOOKUP($B251,'B-1 On-Site Hedge Baseline'!$B$1:$L$257,10,FALSE))))</f>
        <v/>
      </c>
      <c r="J251" s="301" t="str">
        <f>IF(B251="","",IF(ISNA(VLOOKUP($B251,'B-1 On-Site Hedge Baseline'!$B$1:$L$257,11,FALSE)),"",(VLOOKUP($B251,'B-1 On-Site Hedge Baseline'!$B$1:$L$257,11,FALSE))))</f>
        <v/>
      </c>
      <c r="K251" s="301" t="str">
        <f>IF(B251="","",IF(ISNA(VLOOKUP($B251,'B-1 On-Site Hedge Baseline'!$B$1:$U$257,13,FALSE)),"",(VLOOKUP($B251,'B-1 On-Site Hedge Baseline'!$B$1:$U$257,13,FALSE))))</f>
        <v/>
      </c>
      <c r="L251" s="305" t="str">
        <f>IF(B251="","",IF(ISNA(VLOOKUP($B251,'B-1 On-Site Hedge Baseline'!$B$1:$U$257,12,FALSE)),"",(VLOOKUP($B251,'B-1 On-Site Hedge Baseline'!$B$1:$U$257,12,FALSE))))</f>
        <v/>
      </c>
      <c r="M251" s="627"/>
      <c r="N251" s="281" t="str">
        <f>IFERROR(IF(B251="","",INDEX('G-6 Hedgerow Data'!$AN$3:$AZ$15,MATCH(C251,'G-6 Hedgerow Data'!$AM$3:$AM$15,0),MATCH(M251,'G-6 Hedgerow Data'!$AN$2:$AZ$2,0))),"")</f>
        <v/>
      </c>
      <c r="O251" s="282" t="str">
        <f t="shared" si="22"/>
        <v/>
      </c>
      <c r="P251" s="335" t="str">
        <f>IF(B251="","",VLOOKUP(B251,'B-1 On-Site Hedge Baseline'!$B$10:T496,16,FALSE))</f>
        <v/>
      </c>
      <c r="Q251" s="281" t="str">
        <f>IF(M251="","",VLOOKUP(M251,'G-6 Hedgerow Data'!$B$2:$AG$15,2,FALSE))</f>
        <v/>
      </c>
      <c r="R251" s="282" t="str">
        <f>IF(M251="","",VLOOKUP(M251,'G-6 Hedgerow Data'!$B$2:$AG$15,3,FALSE))</f>
        <v/>
      </c>
      <c r="S251" s="112"/>
      <c r="T251" s="320" t="str">
        <f>IFERROR(IF(S251="","",IF(AND(M251="Non-native and ornamental hedgerow", S251&lt;&gt;"Poor"),"Not possible ▲", (VLOOKUP(S251,'G-1 All Habitats'!$Z$2:$AA$9,2,FALSE)))),"")</f>
        <v/>
      </c>
      <c r="U251" s="109"/>
      <c r="V251" s="301" t="str">
        <f>IF(U251="","",IF(VLOOKUP(U251,'G-3 Multipliers'!$L$3:$N$6,2,FALSE)=0,"Spatial Data Missing ⚠",VLOOKUP(U251,'G-3 Multipliers'!$L$3:$N$6,2,FALSE)))</f>
        <v/>
      </c>
      <c r="W251" s="305" t="str">
        <f>IF(U251="","",IF(VLOOKUP(U251,'G-3 Multipliers'!$L$3:$N$6,3,FALSE)=0,"Spatial Data Missing ⚠",VLOOKUP(U251,'G-3 Multipliers'!$L$3:$N$6,3,FALSE)))</f>
        <v/>
      </c>
      <c r="X251" s="281" t="str">
        <f>IFERROR(IF(OR(LEFT(O251,5)="Error",LEFT(N251,5)="Error",T251="Error"),"Check Data ⚠",IF(F251&lt;R251,INDEX('G-6 Hedgerow Data'!$S$3:$AE$14,MATCH(C251,'G-6 Hedgerow Data'!$B$3:$B$14,0),MATCH(M251,'G-6 Hedgerow Data'!$S$2:$AE$2,0)),INDEX('G-6 Hedgerow Data'!$K$3:$Q$14,MATCH(M251,'G-6 Hedgerow Data'!$B$3:$B$14,0),MATCH(O251,'G-6 Hedgerow Data'!$K$2:$Q$2,0)))),"")</f>
        <v/>
      </c>
      <c r="Y251" s="137"/>
      <c r="Z251" s="137"/>
      <c r="AA251" s="289" t="str">
        <f t="shared" si="23"/>
        <v/>
      </c>
      <c r="AB251" s="302" t="str">
        <f t="shared" si="24"/>
        <v/>
      </c>
      <c r="AC251" s="303" t="str">
        <f t="shared" si="21"/>
        <v/>
      </c>
      <c r="AD251" s="317" t="str">
        <f>IF(M251="","",VLOOKUP(M251,'G-6 Hedgerow Data'!$B$3:$AG$15,31,FALSE))</f>
        <v/>
      </c>
      <c r="AE251" s="289" t="str">
        <f t="shared" si="25"/>
        <v/>
      </c>
      <c r="AF251" s="289" t="str">
        <f t="shared" si="26"/>
        <v/>
      </c>
      <c r="AG251" s="305" t="str">
        <f>IFERROR(IF(O251="","",VLOOKUP(AD251,'G-3 Multipliers'!$P$3:$Q$6,2,FALSE)),"")</f>
        <v/>
      </c>
      <c r="AH251" s="295" t="str">
        <f t="shared" si="27"/>
        <v/>
      </c>
      <c r="AI251" s="112"/>
      <c r="AJ251" s="119"/>
      <c r="AK251" s="108"/>
      <c r="AT251" s="30" t="str">
        <f>IFERROR(INDEX('G-6 Hedgerow Data'!$BJ$3:$BJ$15,MATCH(M251,'G-6 Hedgerow Data'!$B$3:$B$15,0)),"")</f>
        <v/>
      </c>
    </row>
    <row r="252" spans="2:46" ht="13.8" x14ac:dyDescent="0.25">
      <c r="B252" s="311" t="str">
        <f>'B-1 On-Site Hedge Baseline'!AK250</f>
        <v/>
      </c>
      <c r="C252" s="301" t="str">
        <f>IF(B252="","",IF(ISNA(VLOOKUP($B252,'B-1 On-Site Hedge Baseline'!$B$1:$L$257,3,FALSE)),"",(VLOOKUP($B252,'B-1 On-Site Hedge Baseline'!$B$1:$L$257,3,FALSE))))</f>
        <v/>
      </c>
      <c r="D252" s="301" t="str">
        <f>IF(B252="","",IF(ISNA(VLOOKUP($B252,'B-1 On-Site Hedge Baseline'!$B$1:$L$257,4,FALSE)),"",(VLOOKUP($B252,'B-1 On-Site Hedge Baseline'!$B$1:$L$257,4,FALSE))))</f>
        <v/>
      </c>
      <c r="E252" s="301" t="str">
        <f>IF(B252="","",IF(ISNA(VLOOKUP($B252,'B-1 On-Site Hedge Baseline'!$B$1:$L$257,5,FALSE)),"",(VLOOKUP($B252,'B-1 On-Site Hedge Baseline'!$B$1:$L$257,5,FALSE))))</f>
        <v/>
      </c>
      <c r="F252" s="301" t="str">
        <f>IF(B252="","",IF(ISNA(VLOOKUP($B252,'B-1 On-Site Hedge Baseline'!$B$1:$L$257,6,FALSE)),"",(VLOOKUP($B252,'B-1 On-Site Hedge Baseline'!$B$1:$L$257,6,FALSE))))</f>
        <v/>
      </c>
      <c r="G252" s="301" t="str">
        <f>IF(B252="","",IF(ISNA(VLOOKUP($B252,'B-1 On-Site Hedge Baseline'!$B$1:$L$257,7,FALSE)),"",(VLOOKUP($B252,'B-1 On-Site Hedge Baseline'!$B$1:$L$257,7,FALSE))))</f>
        <v/>
      </c>
      <c r="H252" s="301" t="str">
        <f>IF(B252="","",IF(ISNA(VLOOKUP($B252,'B-1 On-Site Hedge Baseline'!$B$1:$L$257,8,FALSE)),"",(VLOOKUP($B252,'B-1 On-Site Hedge Baseline'!$B$1:$L$257,8,FALSE))))</f>
        <v/>
      </c>
      <c r="I252" s="301" t="str">
        <f>IF(B252="","",IF(ISNA(VLOOKUP($B252,'B-1 On-Site Hedge Baseline'!$B$1:$L$257,10,FALSE)),"",(VLOOKUP($B252,'B-1 On-Site Hedge Baseline'!$B$1:$L$257,10,FALSE))))</f>
        <v/>
      </c>
      <c r="J252" s="301" t="str">
        <f>IF(B252="","",IF(ISNA(VLOOKUP($B252,'B-1 On-Site Hedge Baseline'!$B$1:$L$257,11,FALSE)),"",(VLOOKUP($B252,'B-1 On-Site Hedge Baseline'!$B$1:$L$257,11,FALSE))))</f>
        <v/>
      </c>
      <c r="K252" s="301" t="str">
        <f>IF(B252="","",IF(ISNA(VLOOKUP($B252,'B-1 On-Site Hedge Baseline'!$B$1:$U$257,13,FALSE)),"",(VLOOKUP($B252,'B-1 On-Site Hedge Baseline'!$B$1:$U$257,13,FALSE))))</f>
        <v/>
      </c>
      <c r="L252" s="305" t="str">
        <f>IF(B252="","",IF(ISNA(VLOOKUP($B252,'B-1 On-Site Hedge Baseline'!$B$1:$U$257,12,FALSE)),"",(VLOOKUP($B252,'B-1 On-Site Hedge Baseline'!$B$1:$U$257,12,FALSE))))</f>
        <v/>
      </c>
      <c r="M252" s="627"/>
      <c r="N252" s="281" t="str">
        <f>IFERROR(IF(B252="","",INDEX('G-6 Hedgerow Data'!$AN$3:$AZ$15,MATCH(C252,'G-6 Hedgerow Data'!$AM$3:$AM$15,0),MATCH(M252,'G-6 Hedgerow Data'!$AN$2:$AZ$2,0))),"")</f>
        <v/>
      </c>
      <c r="O252" s="282" t="str">
        <f t="shared" si="22"/>
        <v/>
      </c>
      <c r="P252" s="335" t="str">
        <f>IF(B252="","",VLOOKUP(B252,'B-1 On-Site Hedge Baseline'!$B$10:T497,16,FALSE))</f>
        <v/>
      </c>
      <c r="Q252" s="281" t="str">
        <f>IF(M252="","",VLOOKUP(M252,'G-6 Hedgerow Data'!$B$2:$AG$15,2,FALSE))</f>
        <v/>
      </c>
      <c r="R252" s="282" t="str">
        <f>IF(M252="","",VLOOKUP(M252,'G-6 Hedgerow Data'!$B$2:$AG$15,3,FALSE))</f>
        <v/>
      </c>
      <c r="S252" s="112"/>
      <c r="T252" s="320" t="str">
        <f>IFERROR(IF(S252="","",IF(AND(M252="Non-native and ornamental hedgerow", S252&lt;&gt;"Poor"),"Not possible ▲", (VLOOKUP(S252,'G-1 All Habitats'!$Z$2:$AA$9,2,FALSE)))),"")</f>
        <v/>
      </c>
      <c r="U252" s="109"/>
      <c r="V252" s="301" t="str">
        <f>IF(U252="","",IF(VLOOKUP(U252,'G-3 Multipliers'!$L$3:$N$6,2,FALSE)=0,"Spatial Data Missing ⚠",VLOOKUP(U252,'G-3 Multipliers'!$L$3:$N$6,2,FALSE)))</f>
        <v/>
      </c>
      <c r="W252" s="305" t="str">
        <f>IF(U252="","",IF(VLOOKUP(U252,'G-3 Multipliers'!$L$3:$N$6,3,FALSE)=0,"Spatial Data Missing ⚠",VLOOKUP(U252,'G-3 Multipliers'!$L$3:$N$6,3,FALSE)))</f>
        <v/>
      </c>
      <c r="X252" s="281" t="str">
        <f>IFERROR(IF(OR(LEFT(O252,5)="Error",LEFT(N252,5)="Error",T252="Error"),"Check Data ⚠",IF(F252&lt;R252,INDEX('G-6 Hedgerow Data'!$S$3:$AE$14,MATCH(C252,'G-6 Hedgerow Data'!$B$3:$B$14,0),MATCH(M252,'G-6 Hedgerow Data'!$S$2:$AE$2,0)),INDEX('G-6 Hedgerow Data'!$K$3:$Q$14,MATCH(M252,'G-6 Hedgerow Data'!$B$3:$B$14,0),MATCH(O252,'G-6 Hedgerow Data'!$K$2:$Q$2,0)))),"")</f>
        <v/>
      </c>
      <c r="Y252" s="137"/>
      <c r="Z252" s="137"/>
      <c r="AA252" s="289" t="str">
        <f t="shared" si="23"/>
        <v/>
      </c>
      <c r="AB252" s="302" t="str">
        <f t="shared" si="24"/>
        <v/>
      </c>
      <c r="AC252" s="303" t="str">
        <f t="shared" si="21"/>
        <v/>
      </c>
      <c r="AD252" s="317" t="str">
        <f>IF(M252="","",VLOOKUP(M252,'G-6 Hedgerow Data'!$B$3:$AG$15,31,FALSE))</f>
        <v/>
      </c>
      <c r="AE252" s="289" t="str">
        <f t="shared" si="25"/>
        <v/>
      </c>
      <c r="AF252" s="289" t="str">
        <f t="shared" si="26"/>
        <v/>
      </c>
      <c r="AG252" s="305" t="str">
        <f>IFERROR(IF(O252="","",VLOOKUP(AD252,'G-3 Multipliers'!$P$3:$Q$6,2,FALSE)),"")</f>
        <v/>
      </c>
      <c r="AH252" s="295" t="str">
        <f t="shared" si="27"/>
        <v/>
      </c>
      <c r="AI252" s="112"/>
      <c r="AJ252" s="119"/>
      <c r="AK252" s="108"/>
      <c r="AT252" s="30" t="str">
        <f>IFERROR(INDEX('G-6 Hedgerow Data'!$BJ$3:$BJ$15,MATCH(M252,'G-6 Hedgerow Data'!$B$3:$B$15,0)),"")</f>
        <v/>
      </c>
    </row>
    <row r="253" spans="2:46" ht="13.8" x14ac:dyDescent="0.25">
      <c r="B253" s="311" t="str">
        <f>'B-1 On-Site Hedge Baseline'!AK251</f>
        <v/>
      </c>
      <c r="C253" s="301" t="str">
        <f>IF(B253="","",IF(ISNA(VLOOKUP($B253,'B-1 On-Site Hedge Baseline'!$B$1:$L$257,3,FALSE)),"",(VLOOKUP($B253,'B-1 On-Site Hedge Baseline'!$B$1:$L$257,3,FALSE))))</f>
        <v/>
      </c>
      <c r="D253" s="301" t="str">
        <f>IF(B253="","",IF(ISNA(VLOOKUP($B253,'B-1 On-Site Hedge Baseline'!$B$1:$L$257,4,FALSE)),"",(VLOOKUP($B253,'B-1 On-Site Hedge Baseline'!$B$1:$L$257,4,FALSE))))</f>
        <v/>
      </c>
      <c r="E253" s="301" t="str">
        <f>IF(B253="","",IF(ISNA(VLOOKUP($B253,'B-1 On-Site Hedge Baseline'!$B$1:$L$257,5,FALSE)),"",(VLOOKUP($B253,'B-1 On-Site Hedge Baseline'!$B$1:$L$257,5,FALSE))))</f>
        <v/>
      </c>
      <c r="F253" s="301" t="str">
        <f>IF(B253="","",IF(ISNA(VLOOKUP($B253,'B-1 On-Site Hedge Baseline'!$B$1:$L$257,6,FALSE)),"",(VLOOKUP($B253,'B-1 On-Site Hedge Baseline'!$B$1:$L$257,6,FALSE))))</f>
        <v/>
      </c>
      <c r="G253" s="301" t="str">
        <f>IF(B253="","",IF(ISNA(VLOOKUP($B253,'B-1 On-Site Hedge Baseline'!$B$1:$L$257,7,FALSE)),"",(VLOOKUP($B253,'B-1 On-Site Hedge Baseline'!$B$1:$L$257,7,FALSE))))</f>
        <v/>
      </c>
      <c r="H253" s="301" t="str">
        <f>IF(B253="","",IF(ISNA(VLOOKUP($B253,'B-1 On-Site Hedge Baseline'!$B$1:$L$257,8,FALSE)),"",(VLOOKUP($B253,'B-1 On-Site Hedge Baseline'!$B$1:$L$257,8,FALSE))))</f>
        <v/>
      </c>
      <c r="I253" s="301" t="str">
        <f>IF(B253="","",IF(ISNA(VLOOKUP($B253,'B-1 On-Site Hedge Baseline'!$B$1:$L$257,10,FALSE)),"",(VLOOKUP($B253,'B-1 On-Site Hedge Baseline'!$B$1:$L$257,10,FALSE))))</f>
        <v/>
      </c>
      <c r="J253" s="301" t="str">
        <f>IF(B253="","",IF(ISNA(VLOOKUP($B253,'B-1 On-Site Hedge Baseline'!$B$1:$L$257,11,FALSE)),"",(VLOOKUP($B253,'B-1 On-Site Hedge Baseline'!$B$1:$L$257,11,FALSE))))</f>
        <v/>
      </c>
      <c r="K253" s="301" t="str">
        <f>IF(B253="","",IF(ISNA(VLOOKUP($B253,'B-1 On-Site Hedge Baseline'!$B$1:$U$257,13,FALSE)),"",(VLOOKUP($B253,'B-1 On-Site Hedge Baseline'!$B$1:$U$257,13,FALSE))))</f>
        <v/>
      </c>
      <c r="L253" s="305" t="str">
        <f>IF(B253="","",IF(ISNA(VLOOKUP($B253,'B-1 On-Site Hedge Baseline'!$B$1:$U$257,12,FALSE)),"",(VLOOKUP($B253,'B-1 On-Site Hedge Baseline'!$B$1:$U$257,12,FALSE))))</f>
        <v/>
      </c>
      <c r="M253" s="627"/>
      <c r="N253" s="281" t="str">
        <f>IFERROR(IF(B253="","",INDEX('G-6 Hedgerow Data'!$AN$3:$AZ$15,MATCH(C253,'G-6 Hedgerow Data'!$AM$3:$AM$15,0),MATCH(M253,'G-6 Hedgerow Data'!$AN$2:$AZ$2,0))),"")</f>
        <v/>
      </c>
      <c r="O253" s="282" t="str">
        <f t="shared" si="22"/>
        <v/>
      </c>
      <c r="P253" s="335" t="str">
        <f>IF(B253="","",VLOOKUP(B253,'B-1 On-Site Hedge Baseline'!$B$10:T498,16,FALSE))</f>
        <v/>
      </c>
      <c r="Q253" s="281" t="str">
        <f>IF(M253="","",VLOOKUP(M253,'G-6 Hedgerow Data'!$B$2:$AG$15,2,FALSE))</f>
        <v/>
      </c>
      <c r="R253" s="282" t="str">
        <f>IF(M253="","",VLOOKUP(M253,'G-6 Hedgerow Data'!$B$2:$AG$15,3,FALSE))</f>
        <v/>
      </c>
      <c r="S253" s="112"/>
      <c r="T253" s="320" t="str">
        <f>IFERROR(IF(S253="","",IF(AND(M253="Non-native and ornamental hedgerow", S253&lt;&gt;"Poor"),"Not possible ▲", (VLOOKUP(S253,'G-1 All Habitats'!$Z$2:$AA$9,2,FALSE)))),"")</f>
        <v/>
      </c>
      <c r="U253" s="109"/>
      <c r="V253" s="301" t="str">
        <f>IF(U253="","",IF(VLOOKUP(U253,'G-3 Multipliers'!$L$3:$N$6,2,FALSE)=0,"Spatial Data Missing ⚠",VLOOKUP(U253,'G-3 Multipliers'!$L$3:$N$6,2,FALSE)))</f>
        <v/>
      </c>
      <c r="W253" s="305" t="str">
        <f>IF(U253="","",IF(VLOOKUP(U253,'G-3 Multipliers'!$L$3:$N$6,3,FALSE)=0,"Spatial Data Missing ⚠",VLOOKUP(U253,'G-3 Multipliers'!$L$3:$N$6,3,FALSE)))</f>
        <v/>
      </c>
      <c r="X253" s="281" t="str">
        <f>IFERROR(IF(OR(LEFT(O253,5)="Error",LEFT(N253,5)="Error",T253="Error"),"Check Data ⚠",IF(F253&lt;R253,INDEX('G-6 Hedgerow Data'!$S$3:$AE$14,MATCH(C253,'G-6 Hedgerow Data'!$B$3:$B$14,0),MATCH(M253,'G-6 Hedgerow Data'!$S$2:$AE$2,0)),INDEX('G-6 Hedgerow Data'!$K$3:$Q$14,MATCH(M253,'G-6 Hedgerow Data'!$B$3:$B$14,0),MATCH(O253,'G-6 Hedgerow Data'!$K$2:$Q$2,0)))),"")</f>
        <v/>
      </c>
      <c r="Y253" s="137"/>
      <c r="Z253" s="137"/>
      <c r="AA253" s="289" t="str">
        <f t="shared" si="23"/>
        <v/>
      </c>
      <c r="AB253" s="302" t="str">
        <f t="shared" si="24"/>
        <v/>
      </c>
      <c r="AC253" s="303" t="str">
        <f t="shared" si="21"/>
        <v/>
      </c>
      <c r="AD253" s="317" t="str">
        <f>IF(M253="","",VLOOKUP(M253,'G-6 Hedgerow Data'!$B$3:$AG$15,31,FALSE))</f>
        <v/>
      </c>
      <c r="AE253" s="289" t="str">
        <f t="shared" si="25"/>
        <v/>
      </c>
      <c r="AF253" s="289" t="str">
        <f t="shared" si="26"/>
        <v/>
      </c>
      <c r="AG253" s="305" t="str">
        <f>IFERROR(IF(O253="","",VLOOKUP(AD253,'G-3 Multipliers'!$P$3:$Q$6,2,FALSE)),"")</f>
        <v/>
      </c>
      <c r="AH253" s="295" t="str">
        <f t="shared" si="27"/>
        <v/>
      </c>
      <c r="AI253" s="112"/>
      <c r="AJ253" s="119"/>
      <c r="AK253" s="108"/>
      <c r="AT253" s="30" t="str">
        <f>IFERROR(INDEX('G-6 Hedgerow Data'!$BJ$3:$BJ$15,MATCH(M253,'G-6 Hedgerow Data'!$B$3:$B$15,0)),"")</f>
        <v/>
      </c>
    </row>
    <row r="254" spans="2:46" ht="13.8" x14ac:dyDescent="0.25">
      <c r="B254" s="311" t="str">
        <f>'B-1 On-Site Hedge Baseline'!AK252</f>
        <v/>
      </c>
      <c r="C254" s="301" t="str">
        <f>IF(B254="","",IF(ISNA(VLOOKUP($B254,'B-1 On-Site Hedge Baseline'!$B$1:$L$257,3,FALSE)),"",(VLOOKUP($B254,'B-1 On-Site Hedge Baseline'!$B$1:$L$257,3,FALSE))))</f>
        <v/>
      </c>
      <c r="D254" s="301" t="str">
        <f>IF(B254="","",IF(ISNA(VLOOKUP($B254,'B-1 On-Site Hedge Baseline'!$B$1:$L$257,4,FALSE)),"",(VLOOKUP($B254,'B-1 On-Site Hedge Baseline'!$B$1:$L$257,4,FALSE))))</f>
        <v/>
      </c>
      <c r="E254" s="301" t="str">
        <f>IF(B254="","",IF(ISNA(VLOOKUP($B254,'B-1 On-Site Hedge Baseline'!$B$1:$L$257,5,FALSE)),"",(VLOOKUP($B254,'B-1 On-Site Hedge Baseline'!$B$1:$L$257,5,FALSE))))</f>
        <v/>
      </c>
      <c r="F254" s="301" t="str">
        <f>IF(B254="","",IF(ISNA(VLOOKUP($B254,'B-1 On-Site Hedge Baseline'!$B$1:$L$257,6,FALSE)),"",(VLOOKUP($B254,'B-1 On-Site Hedge Baseline'!$B$1:$L$257,6,FALSE))))</f>
        <v/>
      </c>
      <c r="G254" s="301" t="str">
        <f>IF(B254="","",IF(ISNA(VLOOKUP($B254,'B-1 On-Site Hedge Baseline'!$B$1:$L$257,7,FALSE)),"",(VLOOKUP($B254,'B-1 On-Site Hedge Baseline'!$B$1:$L$257,7,FALSE))))</f>
        <v/>
      </c>
      <c r="H254" s="301" t="str">
        <f>IF(B254="","",IF(ISNA(VLOOKUP($B254,'B-1 On-Site Hedge Baseline'!$B$1:$L$257,8,FALSE)),"",(VLOOKUP($B254,'B-1 On-Site Hedge Baseline'!$B$1:$L$257,8,FALSE))))</f>
        <v/>
      </c>
      <c r="I254" s="301" t="str">
        <f>IF(B254="","",IF(ISNA(VLOOKUP($B254,'B-1 On-Site Hedge Baseline'!$B$1:$L$257,10,FALSE)),"",(VLOOKUP($B254,'B-1 On-Site Hedge Baseline'!$B$1:$L$257,10,FALSE))))</f>
        <v/>
      </c>
      <c r="J254" s="301" t="str">
        <f>IF(B254="","",IF(ISNA(VLOOKUP($B254,'B-1 On-Site Hedge Baseline'!$B$1:$L$257,11,FALSE)),"",(VLOOKUP($B254,'B-1 On-Site Hedge Baseline'!$B$1:$L$257,11,FALSE))))</f>
        <v/>
      </c>
      <c r="K254" s="301" t="str">
        <f>IF(B254="","",IF(ISNA(VLOOKUP($B254,'B-1 On-Site Hedge Baseline'!$B$1:$U$257,13,FALSE)),"",(VLOOKUP($B254,'B-1 On-Site Hedge Baseline'!$B$1:$U$257,13,FALSE))))</f>
        <v/>
      </c>
      <c r="L254" s="305" t="str">
        <f>IF(B254="","",IF(ISNA(VLOOKUP($B254,'B-1 On-Site Hedge Baseline'!$B$1:$U$257,12,FALSE)),"",(VLOOKUP($B254,'B-1 On-Site Hedge Baseline'!$B$1:$U$257,12,FALSE))))</f>
        <v/>
      </c>
      <c r="M254" s="627"/>
      <c r="N254" s="281" t="str">
        <f>IFERROR(IF(B254="","",INDEX('G-6 Hedgerow Data'!$AN$3:$AZ$15,MATCH(C254,'G-6 Hedgerow Data'!$AM$3:$AM$15,0),MATCH(M254,'G-6 Hedgerow Data'!$AN$2:$AZ$2,0))),"")</f>
        <v/>
      </c>
      <c r="O254" s="282" t="str">
        <f t="shared" si="22"/>
        <v/>
      </c>
      <c r="P254" s="335" t="str">
        <f>IF(B254="","",VLOOKUP(B254,'B-1 On-Site Hedge Baseline'!$B$10:T499,16,FALSE))</f>
        <v/>
      </c>
      <c r="Q254" s="281" t="str">
        <f>IF(M254="","",VLOOKUP(M254,'G-6 Hedgerow Data'!$B$2:$AG$15,2,FALSE))</f>
        <v/>
      </c>
      <c r="R254" s="282" t="str">
        <f>IF(M254="","",VLOOKUP(M254,'G-6 Hedgerow Data'!$B$2:$AG$15,3,FALSE))</f>
        <v/>
      </c>
      <c r="S254" s="112"/>
      <c r="T254" s="320" t="str">
        <f>IFERROR(IF(S254="","",IF(AND(M254="Non-native and ornamental hedgerow", S254&lt;&gt;"Poor"),"Not possible ▲", (VLOOKUP(S254,'G-1 All Habitats'!$Z$2:$AA$9,2,FALSE)))),"")</f>
        <v/>
      </c>
      <c r="U254" s="109"/>
      <c r="V254" s="301" t="str">
        <f>IF(U254="","",IF(VLOOKUP(U254,'G-3 Multipliers'!$L$3:$N$6,2,FALSE)=0,"Spatial Data Missing ⚠",VLOOKUP(U254,'G-3 Multipliers'!$L$3:$N$6,2,FALSE)))</f>
        <v/>
      </c>
      <c r="W254" s="305" t="str">
        <f>IF(U254="","",IF(VLOOKUP(U254,'G-3 Multipliers'!$L$3:$N$6,3,FALSE)=0,"Spatial Data Missing ⚠",VLOOKUP(U254,'G-3 Multipliers'!$L$3:$N$6,3,FALSE)))</f>
        <v/>
      </c>
      <c r="X254" s="281" t="str">
        <f>IFERROR(IF(OR(LEFT(O254,5)="Error",LEFT(N254,5)="Error",T254="Error"),"Check Data ⚠",IF(F254&lt;R254,INDEX('G-6 Hedgerow Data'!$S$3:$AE$14,MATCH(C254,'G-6 Hedgerow Data'!$B$3:$B$14,0),MATCH(M254,'G-6 Hedgerow Data'!$S$2:$AE$2,0)),INDEX('G-6 Hedgerow Data'!$K$3:$Q$14,MATCH(M254,'G-6 Hedgerow Data'!$B$3:$B$14,0),MATCH(O254,'G-6 Hedgerow Data'!$K$2:$Q$2,0)))),"")</f>
        <v/>
      </c>
      <c r="Y254" s="137"/>
      <c r="Z254" s="137"/>
      <c r="AA254" s="289" t="str">
        <f t="shared" si="23"/>
        <v/>
      </c>
      <c r="AB254" s="302" t="str">
        <f t="shared" si="24"/>
        <v/>
      </c>
      <c r="AC254" s="303" t="str">
        <f t="shared" si="21"/>
        <v/>
      </c>
      <c r="AD254" s="317" t="str">
        <f>IF(M254="","",VLOOKUP(M254,'G-6 Hedgerow Data'!$B$3:$AG$15,31,FALSE))</f>
        <v/>
      </c>
      <c r="AE254" s="289" t="str">
        <f t="shared" si="25"/>
        <v/>
      </c>
      <c r="AF254" s="289" t="str">
        <f t="shared" si="26"/>
        <v/>
      </c>
      <c r="AG254" s="305" t="str">
        <f>IFERROR(IF(O254="","",VLOOKUP(AD254,'G-3 Multipliers'!$P$3:$Q$6,2,FALSE)),"")</f>
        <v/>
      </c>
      <c r="AH254" s="295" t="str">
        <f t="shared" si="27"/>
        <v/>
      </c>
      <c r="AI254" s="112"/>
      <c r="AJ254" s="119"/>
      <c r="AK254" s="108"/>
      <c r="AT254" s="30" t="str">
        <f>IFERROR(INDEX('G-6 Hedgerow Data'!$BJ$3:$BJ$15,MATCH(M254,'G-6 Hedgerow Data'!$B$3:$B$15,0)),"")</f>
        <v/>
      </c>
    </row>
    <row r="255" spans="2:46" ht="13.8" x14ac:dyDescent="0.25">
      <c r="B255" s="311" t="str">
        <f>'B-1 On-Site Hedge Baseline'!AK253</f>
        <v/>
      </c>
      <c r="C255" s="301" t="str">
        <f>IF(B255="","",IF(ISNA(VLOOKUP($B255,'B-1 On-Site Hedge Baseline'!$B$1:$L$257,3,FALSE)),"",(VLOOKUP($B255,'B-1 On-Site Hedge Baseline'!$B$1:$L$257,3,FALSE))))</f>
        <v/>
      </c>
      <c r="D255" s="301" t="str">
        <f>IF(B255="","",IF(ISNA(VLOOKUP($B255,'B-1 On-Site Hedge Baseline'!$B$1:$L$257,4,FALSE)),"",(VLOOKUP($B255,'B-1 On-Site Hedge Baseline'!$B$1:$L$257,4,FALSE))))</f>
        <v/>
      </c>
      <c r="E255" s="301" t="str">
        <f>IF(B255="","",IF(ISNA(VLOOKUP($B255,'B-1 On-Site Hedge Baseline'!$B$1:$L$257,5,FALSE)),"",(VLOOKUP($B255,'B-1 On-Site Hedge Baseline'!$B$1:$L$257,5,FALSE))))</f>
        <v/>
      </c>
      <c r="F255" s="301" t="str">
        <f>IF(B255="","",IF(ISNA(VLOOKUP($B255,'B-1 On-Site Hedge Baseline'!$B$1:$L$257,6,FALSE)),"",(VLOOKUP($B255,'B-1 On-Site Hedge Baseline'!$B$1:$L$257,6,FALSE))))</f>
        <v/>
      </c>
      <c r="G255" s="301" t="str">
        <f>IF(B255="","",IF(ISNA(VLOOKUP($B255,'B-1 On-Site Hedge Baseline'!$B$1:$L$257,7,FALSE)),"",(VLOOKUP($B255,'B-1 On-Site Hedge Baseline'!$B$1:$L$257,7,FALSE))))</f>
        <v/>
      </c>
      <c r="H255" s="301" t="str">
        <f>IF(B255="","",IF(ISNA(VLOOKUP($B255,'B-1 On-Site Hedge Baseline'!$B$1:$L$257,8,FALSE)),"",(VLOOKUP($B255,'B-1 On-Site Hedge Baseline'!$B$1:$L$257,8,FALSE))))</f>
        <v/>
      </c>
      <c r="I255" s="301" t="str">
        <f>IF(B255="","",IF(ISNA(VLOOKUP($B255,'B-1 On-Site Hedge Baseline'!$B$1:$L$257,10,FALSE)),"",(VLOOKUP($B255,'B-1 On-Site Hedge Baseline'!$B$1:$L$257,10,FALSE))))</f>
        <v/>
      </c>
      <c r="J255" s="301" t="str">
        <f>IF(B255="","",IF(ISNA(VLOOKUP($B255,'B-1 On-Site Hedge Baseline'!$B$1:$L$257,11,FALSE)),"",(VLOOKUP($B255,'B-1 On-Site Hedge Baseline'!$B$1:$L$257,11,FALSE))))</f>
        <v/>
      </c>
      <c r="K255" s="301" t="str">
        <f>IF(B255="","",IF(ISNA(VLOOKUP($B255,'B-1 On-Site Hedge Baseline'!$B$1:$U$257,13,FALSE)),"",(VLOOKUP($B255,'B-1 On-Site Hedge Baseline'!$B$1:$U$257,13,FALSE))))</f>
        <v/>
      </c>
      <c r="L255" s="305" t="str">
        <f>IF(B255="","",IF(ISNA(VLOOKUP($B255,'B-1 On-Site Hedge Baseline'!$B$1:$U$257,12,FALSE)),"",(VLOOKUP($B255,'B-1 On-Site Hedge Baseline'!$B$1:$U$257,12,FALSE))))</f>
        <v/>
      </c>
      <c r="M255" s="627"/>
      <c r="N255" s="281" t="str">
        <f>IFERROR(IF(B255="","",INDEX('G-6 Hedgerow Data'!$AN$3:$AZ$15,MATCH(C255,'G-6 Hedgerow Data'!$AM$3:$AM$15,0),MATCH(M255,'G-6 Hedgerow Data'!$AN$2:$AZ$2,0))),"")</f>
        <v/>
      </c>
      <c r="O255" s="282" t="str">
        <f t="shared" si="22"/>
        <v/>
      </c>
      <c r="P255" s="335" t="str">
        <f>IF(B255="","",VLOOKUP(B255,'B-1 On-Site Hedge Baseline'!$B$10:T500,16,FALSE))</f>
        <v/>
      </c>
      <c r="Q255" s="281" t="str">
        <f>IF(M255="","",VLOOKUP(M255,'G-6 Hedgerow Data'!$B$2:$AG$15,2,FALSE))</f>
        <v/>
      </c>
      <c r="R255" s="282" t="str">
        <f>IF(M255="","",VLOOKUP(M255,'G-6 Hedgerow Data'!$B$2:$AG$15,3,FALSE))</f>
        <v/>
      </c>
      <c r="S255" s="112"/>
      <c r="T255" s="320" t="str">
        <f>IFERROR(IF(S255="","",IF(AND(M255="Non-native and ornamental hedgerow", S255&lt;&gt;"Poor"),"Not possible ▲", (VLOOKUP(S255,'G-1 All Habitats'!$Z$2:$AA$9,2,FALSE)))),"")</f>
        <v/>
      </c>
      <c r="U255" s="109"/>
      <c r="V255" s="301" t="str">
        <f>IF(U255="","",IF(VLOOKUP(U255,'G-3 Multipliers'!$L$3:$N$6,2,FALSE)=0,"Spatial Data Missing ⚠",VLOOKUP(U255,'G-3 Multipliers'!$L$3:$N$6,2,FALSE)))</f>
        <v/>
      </c>
      <c r="W255" s="305" t="str">
        <f>IF(U255="","",IF(VLOOKUP(U255,'G-3 Multipliers'!$L$3:$N$6,3,FALSE)=0,"Spatial Data Missing ⚠",VLOOKUP(U255,'G-3 Multipliers'!$L$3:$N$6,3,FALSE)))</f>
        <v/>
      </c>
      <c r="X255" s="281" t="str">
        <f>IFERROR(IF(OR(LEFT(O255,5)="Error",LEFT(N255,5)="Error",T255="Error"),"Check Data ⚠",IF(F255&lt;R255,INDEX('G-6 Hedgerow Data'!$S$3:$AE$14,MATCH(C255,'G-6 Hedgerow Data'!$B$3:$B$14,0),MATCH(M255,'G-6 Hedgerow Data'!$S$2:$AE$2,0)),INDEX('G-6 Hedgerow Data'!$K$3:$Q$14,MATCH(M255,'G-6 Hedgerow Data'!$B$3:$B$14,0),MATCH(O255,'G-6 Hedgerow Data'!$K$2:$Q$2,0)))),"")</f>
        <v/>
      </c>
      <c r="Y255" s="137"/>
      <c r="Z255" s="137"/>
      <c r="AA255" s="289" t="str">
        <f t="shared" si="23"/>
        <v/>
      </c>
      <c r="AB255" s="302" t="str">
        <f t="shared" si="24"/>
        <v/>
      </c>
      <c r="AC255" s="303" t="str">
        <f t="shared" si="21"/>
        <v/>
      </c>
      <c r="AD255" s="317" t="str">
        <f>IF(M255="","",VLOOKUP(M255,'G-6 Hedgerow Data'!$B$3:$AG$15,31,FALSE))</f>
        <v/>
      </c>
      <c r="AE255" s="289" t="str">
        <f t="shared" si="25"/>
        <v/>
      </c>
      <c r="AF255" s="289" t="str">
        <f t="shared" si="26"/>
        <v/>
      </c>
      <c r="AG255" s="305" t="str">
        <f>IFERROR(IF(O255="","",VLOOKUP(AD255,'G-3 Multipliers'!$P$3:$Q$6,2,FALSE)),"")</f>
        <v/>
      </c>
      <c r="AH255" s="295" t="str">
        <f t="shared" si="27"/>
        <v/>
      </c>
      <c r="AI255" s="112"/>
      <c r="AJ255" s="119"/>
      <c r="AK255" s="108"/>
      <c r="AT255" s="30" t="str">
        <f>IFERROR(INDEX('G-6 Hedgerow Data'!$BJ$3:$BJ$15,MATCH(M255,'G-6 Hedgerow Data'!$B$3:$B$15,0)),"")</f>
        <v/>
      </c>
    </row>
    <row r="256" spans="2:46" ht="13.8" x14ac:dyDescent="0.25">
      <c r="B256" s="311" t="str">
        <f>'B-1 On-Site Hedge Baseline'!AK254</f>
        <v/>
      </c>
      <c r="C256" s="301" t="str">
        <f>IF(B256="","",IF(ISNA(VLOOKUP($B256,'B-1 On-Site Hedge Baseline'!$B$1:$L$257,3,FALSE)),"",(VLOOKUP($B256,'B-1 On-Site Hedge Baseline'!$B$1:$L$257,3,FALSE))))</f>
        <v/>
      </c>
      <c r="D256" s="301" t="str">
        <f>IF(B256="","",IF(ISNA(VLOOKUP($B256,'B-1 On-Site Hedge Baseline'!$B$1:$L$257,4,FALSE)),"",(VLOOKUP($B256,'B-1 On-Site Hedge Baseline'!$B$1:$L$257,4,FALSE))))</f>
        <v/>
      </c>
      <c r="E256" s="301" t="str">
        <f>IF(B256="","",IF(ISNA(VLOOKUP($B256,'B-1 On-Site Hedge Baseline'!$B$1:$L$257,5,FALSE)),"",(VLOOKUP($B256,'B-1 On-Site Hedge Baseline'!$B$1:$L$257,5,FALSE))))</f>
        <v/>
      </c>
      <c r="F256" s="301" t="str">
        <f>IF(B256="","",IF(ISNA(VLOOKUP($B256,'B-1 On-Site Hedge Baseline'!$B$1:$L$257,6,FALSE)),"",(VLOOKUP($B256,'B-1 On-Site Hedge Baseline'!$B$1:$L$257,6,FALSE))))</f>
        <v/>
      </c>
      <c r="G256" s="301" t="str">
        <f>IF(B256="","",IF(ISNA(VLOOKUP($B256,'B-1 On-Site Hedge Baseline'!$B$1:$L$257,7,FALSE)),"",(VLOOKUP($B256,'B-1 On-Site Hedge Baseline'!$B$1:$L$257,7,FALSE))))</f>
        <v/>
      </c>
      <c r="H256" s="301" t="str">
        <f>IF(B256="","",IF(ISNA(VLOOKUP($B256,'B-1 On-Site Hedge Baseline'!$B$1:$L$257,8,FALSE)),"",(VLOOKUP($B256,'B-1 On-Site Hedge Baseline'!$B$1:$L$257,8,FALSE))))</f>
        <v/>
      </c>
      <c r="I256" s="301" t="str">
        <f>IF(B256="","",IF(ISNA(VLOOKUP($B256,'B-1 On-Site Hedge Baseline'!$B$1:$L$257,10,FALSE)),"",(VLOOKUP($B256,'B-1 On-Site Hedge Baseline'!$B$1:$L$257,10,FALSE))))</f>
        <v/>
      </c>
      <c r="J256" s="301" t="str">
        <f>IF(B256="","",IF(ISNA(VLOOKUP($B256,'B-1 On-Site Hedge Baseline'!$B$1:$L$257,11,FALSE)),"",(VLOOKUP($B256,'B-1 On-Site Hedge Baseline'!$B$1:$L$257,11,FALSE))))</f>
        <v/>
      </c>
      <c r="K256" s="301" t="str">
        <f>IF(B256="","",IF(ISNA(VLOOKUP($B256,'B-1 On-Site Hedge Baseline'!$B$1:$U$257,13,FALSE)),"",(VLOOKUP($B256,'B-1 On-Site Hedge Baseline'!$B$1:$U$257,13,FALSE))))</f>
        <v/>
      </c>
      <c r="L256" s="305" t="str">
        <f>IF(B256="","",IF(ISNA(VLOOKUP($B256,'B-1 On-Site Hedge Baseline'!$B$1:$U$257,12,FALSE)),"",(VLOOKUP($B256,'B-1 On-Site Hedge Baseline'!$B$1:$U$257,12,FALSE))))</f>
        <v/>
      </c>
      <c r="M256" s="627"/>
      <c r="N256" s="281" t="str">
        <f>IFERROR(IF(B256="","",INDEX('G-6 Hedgerow Data'!$AN$3:$AZ$15,MATCH(C256,'G-6 Hedgerow Data'!$AM$3:$AM$15,0),MATCH(M256,'G-6 Hedgerow Data'!$AN$2:$AZ$2,0))),"")</f>
        <v/>
      </c>
      <c r="O256" s="282" t="str">
        <f t="shared" si="22"/>
        <v/>
      </c>
      <c r="P256" s="335" t="str">
        <f>IF(B256="","",VLOOKUP(B256,'B-1 On-Site Hedge Baseline'!$B$10:T501,16,FALSE))</f>
        <v/>
      </c>
      <c r="Q256" s="281" t="str">
        <f>IF(M256="","",VLOOKUP(M256,'G-6 Hedgerow Data'!$B$2:$AG$15,2,FALSE))</f>
        <v/>
      </c>
      <c r="R256" s="282" t="str">
        <f>IF(M256="","",VLOOKUP(M256,'G-6 Hedgerow Data'!$B$2:$AG$15,3,FALSE))</f>
        <v/>
      </c>
      <c r="S256" s="112"/>
      <c r="T256" s="320" t="str">
        <f>IFERROR(IF(S256="","",IF(AND(M256="Non-native and ornamental hedgerow", S256&lt;&gt;"Poor"),"Not possible ▲", (VLOOKUP(S256,'G-1 All Habitats'!$Z$2:$AA$9,2,FALSE)))),"")</f>
        <v/>
      </c>
      <c r="U256" s="109"/>
      <c r="V256" s="301" t="str">
        <f>IF(U256="","",IF(VLOOKUP(U256,'G-3 Multipliers'!$L$3:$N$6,2,FALSE)=0,"Spatial Data Missing ⚠",VLOOKUP(U256,'G-3 Multipliers'!$L$3:$N$6,2,FALSE)))</f>
        <v/>
      </c>
      <c r="W256" s="305" t="str">
        <f>IF(U256="","",IF(VLOOKUP(U256,'G-3 Multipliers'!$L$3:$N$6,3,FALSE)=0,"Spatial Data Missing ⚠",VLOOKUP(U256,'G-3 Multipliers'!$L$3:$N$6,3,FALSE)))</f>
        <v/>
      </c>
      <c r="X256" s="281" t="str">
        <f>IFERROR(IF(OR(LEFT(O256,5)="Error",LEFT(N256,5)="Error",T256="Error"),"Check Data ⚠",IF(F256&lt;R256,INDEX('G-6 Hedgerow Data'!$S$3:$AE$14,MATCH(C256,'G-6 Hedgerow Data'!$B$3:$B$14,0),MATCH(M256,'G-6 Hedgerow Data'!$S$2:$AE$2,0)),INDEX('G-6 Hedgerow Data'!$K$3:$Q$14,MATCH(M256,'G-6 Hedgerow Data'!$B$3:$B$14,0),MATCH(O256,'G-6 Hedgerow Data'!$K$2:$Q$2,0)))),"")</f>
        <v/>
      </c>
      <c r="Y256" s="137"/>
      <c r="Z256" s="137"/>
      <c r="AA256" s="289" t="str">
        <f t="shared" si="23"/>
        <v/>
      </c>
      <c r="AB256" s="302" t="str">
        <f t="shared" si="24"/>
        <v/>
      </c>
      <c r="AC256" s="303" t="str">
        <f t="shared" si="21"/>
        <v/>
      </c>
      <c r="AD256" s="317" t="str">
        <f>IF(M256="","",VLOOKUP(M256,'G-6 Hedgerow Data'!$B$3:$AG$15,31,FALSE))</f>
        <v/>
      </c>
      <c r="AE256" s="289" t="str">
        <f t="shared" si="25"/>
        <v/>
      </c>
      <c r="AF256" s="289" t="str">
        <f t="shared" si="26"/>
        <v/>
      </c>
      <c r="AG256" s="305" t="str">
        <f>IFERROR(IF(O256="","",VLOOKUP(AD256,'G-3 Multipliers'!$P$3:$Q$6,2,FALSE)),"")</f>
        <v/>
      </c>
      <c r="AH256" s="295" t="str">
        <f t="shared" si="27"/>
        <v/>
      </c>
      <c r="AI256" s="112"/>
      <c r="AJ256" s="119"/>
      <c r="AK256" s="108"/>
      <c r="AT256" s="30" t="str">
        <f>IFERROR(INDEX('G-6 Hedgerow Data'!$BJ$3:$BJ$15,MATCH(M256,'G-6 Hedgerow Data'!$B$3:$B$15,0)),"")</f>
        <v/>
      </c>
    </row>
    <row r="257" spans="2:46" ht="14.4" thickBot="1" x14ac:dyDescent="0.3">
      <c r="B257" s="311" t="str">
        <f>'B-1 On-Site Hedge Baseline'!AK255</f>
        <v/>
      </c>
      <c r="C257" s="290" t="str">
        <f>IF(B257="","",IF(ISNA(VLOOKUP($B257,'B-1 On-Site Hedge Baseline'!$B$1:$L$257,3,FALSE)),"",(VLOOKUP($B257,'B-1 On-Site Hedge Baseline'!$B$1:$L$257,3,FALSE))))</f>
        <v/>
      </c>
      <c r="D257" s="290" t="str">
        <f>IF(B257="","",IF(ISNA(VLOOKUP($B257,'B-1 On-Site Hedge Baseline'!$B$1:$L$257,4,FALSE)),"",(VLOOKUP($B257,'B-1 On-Site Hedge Baseline'!$B$1:$L$257,4,FALSE))))</f>
        <v/>
      </c>
      <c r="E257" s="290" t="str">
        <f>IF(B257="","",IF(ISNA(VLOOKUP($B257,'B-1 On-Site Hedge Baseline'!$B$1:$L$257,5,FALSE)),"",(VLOOKUP($B257,'B-1 On-Site Hedge Baseline'!$B$1:$L$257,5,FALSE))))</f>
        <v/>
      </c>
      <c r="F257" s="290" t="str">
        <f>IF(B257="","",IF(ISNA(VLOOKUP($B257,'B-1 On-Site Hedge Baseline'!$B$1:$L$257,6,FALSE)),"",(VLOOKUP($B257,'B-1 On-Site Hedge Baseline'!$B$1:$L$257,6,FALSE))))</f>
        <v/>
      </c>
      <c r="G257" s="290" t="str">
        <f>IF(B257="","",IF(ISNA(VLOOKUP($B257,'B-1 On-Site Hedge Baseline'!$B$1:$L$257,7,FALSE)),"",(VLOOKUP($B257,'B-1 On-Site Hedge Baseline'!$B$1:$L$257,7,FALSE))))</f>
        <v/>
      </c>
      <c r="H257" s="290" t="str">
        <f>IF(B257="","",IF(ISNA(VLOOKUP($B257,'B-1 On-Site Hedge Baseline'!$B$1:$L$257,8,FALSE)),"",(VLOOKUP($B257,'B-1 On-Site Hedge Baseline'!$B$1:$L$257,8,FALSE))))</f>
        <v/>
      </c>
      <c r="I257" s="290" t="str">
        <f>IF(B257="","",IF(ISNA(VLOOKUP($B257,'B-1 On-Site Hedge Baseline'!$B$1:$L$257,10,FALSE)),"",(VLOOKUP($B257,'B-1 On-Site Hedge Baseline'!$B$1:$L$257,10,FALSE))))</f>
        <v/>
      </c>
      <c r="J257" s="290" t="str">
        <f>IF(B257="","",IF(ISNA(VLOOKUP($B257,'B-1 On-Site Hedge Baseline'!$B$1:$L$257,11,FALSE)),"",(VLOOKUP($B257,'B-1 On-Site Hedge Baseline'!$B$1:$L$257,11,FALSE))))</f>
        <v/>
      </c>
      <c r="K257" s="290" t="str">
        <f>IF(B257="","",IF(ISNA(VLOOKUP($B257,'B-1 On-Site Hedge Baseline'!$B$1:$U$257,13,FALSE)),"",(VLOOKUP($B257,'B-1 On-Site Hedge Baseline'!$B$1:$U$257,13,FALSE))))</f>
        <v/>
      </c>
      <c r="L257" s="284" t="str">
        <f>IF(B257="","",IF(ISNA(VLOOKUP($B257,'B-1 On-Site Hedge Baseline'!$B$1:$U$257,12,FALSE)),"",(VLOOKUP($B257,'B-1 On-Site Hedge Baseline'!$B$1:$U$257,12,FALSE))))</f>
        <v/>
      </c>
      <c r="M257" s="627"/>
      <c r="N257" s="281" t="str">
        <f>IFERROR(IF(B257="","",INDEX('G-6 Hedgerow Data'!$AN$3:$AZ$15,MATCH(C257,'G-6 Hedgerow Data'!$AM$3:$AM$15,0),MATCH(M257,'G-6 Hedgerow Data'!$AN$2:$AZ$2,0))),"")</f>
        <v/>
      </c>
      <c r="O257" s="282" t="str">
        <f t="shared" si="22"/>
        <v/>
      </c>
      <c r="P257" s="336" t="str">
        <f>IF(B257="","",VLOOKUP(B257,'B-1 On-Site Hedge Baseline'!$B$10:T502,16,FALSE))</f>
        <v/>
      </c>
      <c r="Q257" s="283" t="str">
        <f>IF(M257="","",VLOOKUP(M257,'G-6 Hedgerow Data'!$B$2:$AG$15,2,FALSE))</f>
        <v/>
      </c>
      <c r="R257" s="282" t="str">
        <f>IF(M257="","",VLOOKUP(M257,'G-6 Hedgerow Data'!$B$2:$AG$15,3,FALSE))</f>
        <v/>
      </c>
      <c r="S257" s="177"/>
      <c r="T257" s="320" t="str">
        <f>IFERROR(IF(S257="","",IF(AND(M257="Non-native and ornamental hedgerow", S257&lt;&gt;"Poor"),"Not possible ▲", (VLOOKUP(S257,'G-1 All Habitats'!$Z$2:$AA$9,2,FALSE)))),"")</f>
        <v/>
      </c>
      <c r="U257" s="115"/>
      <c r="V257" s="290" t="str">
        <f>IF(U257="","",IF(VLOOKUP(U257,'G-3 Multipliers'!$L$3:$N$6,2,FALSE)=0,"Spatial Data Missing ⚠",VLOOKUP(U257,'G-3 Multipliers'!$L$3:$N$6,2,FALSE)))</f>
        <v/>
      </c>
      <c r="W257" s="284" t="str">
        <f>IF(U257="","",IF(VLOOKUP(U257,'G-3 Multipliers'!$L$3:$N$6,3,FALSE)=0,"Spatial Data Missing ⚠",VLOOKUP(U257,'G-3 Multipliers'!$L$3:$N$6,3,FALSE)))</f>
        <v/>
      </c>
      <c r="X257" s="281" t="str">
        <f>IFERROR(IF(OR(LEFT(O257,5)="Error",LEFT(N257,5)="Error",T257="Error"),"Check Data ⚠",IF(F257&lt;R257,INDEX('G-6 Hedgerow Data'!$S$3:$AE$14,MATCH(C257,'G-6 Hedgerow Data'!$B$3:$B$14,0),MATCH(M257,'G-6 Hedgerow Data'!$S$2:$AE$2,0)),INDEX('G-6 Hedgerow Data'!$K$3:$Q$14,MATCH(M257,'G-6 Hedgerow Data'!$B$3:$B$14,0),MATCH(O257,'G-6 Hedgerow Data'!$K$2:$Q$2,0)))),"")</f>
        <v/>
      </c>
      <c r="Y257" s="137"/>
      <c r="Z257" s="145"/>
      <c r="AA257" s="289" t="str">
        <f t="shared" si="23"/>
        <v/>
      </c>
      <c r="AB257" s="302" t="str">
        <f t="shared" si="24"/>
        <v/>
      </c>
      <c r="AC257" s="303" t="str">
        <f t="shared" si="21"/>
        <v/>
      </c>
      <c r="AD257" s="283" t="str">
        <f>IF(M257="","",VLOOKUP(M257,'G-6 Hedgerow Data'!$B$3:$AG$15,31,FALSE))</f>
        <v/>
      </c>
      <c r="AE257" s="289" t="str">
        <f t="shared" si="25"/>
        <v/>
      </c>
      <c r="AF257" s="289" t="str">
        <f t="shared" si="26"/>
        <v/>
      </c>
      <c r="AG257" s="284" t="str">
        <f>IFERROR(IF(O257="","",VLOOKUP(AD257,'G-3 Multipliers'!$P$3:$Q$6,2,FALSE)),"")</f>
        <v/>
      </c>
      <c r="AH257" s="273" t="str">
        <f t="shared" si="27"/>
        <v/>
      </c>
      <c r="AI257" s="115"/>
      <c r="AJ257" s="114"/>
      <c r="AK257" s="959"/>
      <c r="AT257" s="30" t="str">
        <f>IFERROR(INDEX('G-6 Hedgerow Data'!$BJ$3:$BJ$15,MATCH(M257,'G-6 Hedgerow Data'!$B$3:$B$15,0)),"")</f>
        <v/>
      </c>
    </row>
    <row r="258" spans="2:46" ht="14.4" thickBot="1" x14ac:dyDescent="0.3">
      <c r="B258" s="34"/>
      <c r="C258" s="34"/>
      <c r="D258" s="34"/>
      <c r="E258" s="34"/>
      <c r="F258" s="34"/>
      <c r="G258" s="34"/>
      <c r="H258" s="34"/>
      <c r="I258" s="34"/>
      <c r="J258" s="34"/>
      <c r="K258" s="34"/>
      <c r="L258" s="34"/>
      <c r="M258" s="34"/>
      <c r="N258" s="34"/>
      <c r="O258" s="253"/>
      <c r="P258" s="285">
        <f>SUM(P12:P257)</f>
        <v>0.11</v>
      </c>
      <c r="Q258" s="34"/>
      <c r="R258" s="34"/>
      <c r="S258" s="34"/>
      <c r="T258" s="34"/>
      <c r="U258" s="34"/>
      <c r="V258" s="34"/>
      <c r="W258" s="34"/>
      <c r="X258" s="34"/>
      <c r="Y258" s="34"/>
      <c r="Z258" s="34"/>
      <c r="AA258" s="34"/>
      <c r="AB258" s="34"/>
      <c r="AC258" s="34"/>
      <c r="AD258" s="34"/>
      <c r="AE258" s="34"/>
      <c r="AF258" s="252"/>
      <c r="AG258" s="252"/>
      <c r="AH258" s="285">
        <f ca="1">SUM(AH12:AH257)</f>
        <v>0.48035392762499995</v>
      </c>
      <c r="AI258" s="34"/>
      <c r="AJ258" s="34"/>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hidden="1" x14ac:dyDescent="0.25"/>
  </sheetData>
  <sheetProtection algorithmName="SHA-512" hashValue="Y1wQ2uuXiC+qZj5zyK2Fi1W2J+MNqCVRpUHEjhoqtOeiHRqMA6HgkK+mtyMLgdU4Lo33AIm2fan55cS+tFrpVA==" saltValue="pzVEgzDYHfkrmvWO5341XQ==" spinCount="100000" sheet="1" objects="1" scenarios="1"/>
  <dataConsolidate link="1"/>
  <customSheetViews>
    <customSheetView guid="{8BDA793C-C9C5-4FC6-A0A5-F1109F6D4F22}" state="hidden">
      <pane ySplit="11" topLeftCell="A12" activePane="bottomLeft" state="frozen"/>
      <selection pane="bottomLeft" activeCell="D14" sqref="D14"/>
    </customSheetView>
  </customSheetViews>
  <mergeCells count="19">
    <mergeCell ref="O5:P5"/>
    <mergeCell ref="AH10:AH11"/>
    <mergeCell ref="AI10:AK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s>
  <conditionalFormatting sqref="AH258">
    <cfRule type="containsText" dxfId="614" priority="44" operator="containsText" text="Existing Value Not Required">
      <formula>NOT(ISERROR(SEARCH("Existing Value Not Required",AH258)))</formula>
    </cfRule>
    <cfRule type="containsText" dxfId="613" priority="45" operator="containsText" text="Existing Value Required">
      <formula>NOT(ISERROR(SEARCH("Existing Value Required",AH258)))</formula>
    </cfRule>
  </conditionalFormatting>
  <conditionalFormatting sqref="AH12:AH257">
    <cfRule type="containsText" dxfId="612" priority="40" operator="containsText" text="Existing Value Not Required">
      <formula>NOT(ISERROR(SEARCH("Existing Value Not Required",AH12)))</formula>
    </cfRule>
    <cfRule type="containsText" dxfId="611" priority="41" operator="containsText" text="Existing Value Required">
      <formula>NOT(ISERROR(SEARCH("Existing Value Required",AH12)))</formula>
    </cfRule>
  </conditionalFormatting>
  <conditionalFormatting sqref="L12:L257">
    <cfRule type="cellIs" dxfId="610" priority="37" operator="equal">
      <formula>"Same distinctiveness band or better"</formula>
    </cfRule>
    <cfRule type="cellIs" dxfId="609" priority="38" operator="equal">
      <formula>"Like for like or better"</formula>
    </cfRule>
    <cfRule type="cellIs" dxfId="608" priority="39" operator="equal">
      <formula>"Like for Like"</formula>
    </cfRule>
  </conditionalFormatting>
  <conditionalFormatting sqref="N12:N257">
    <cfRule type="beginsWith" dxfId="607" priority="36" operator="beginsWith" text="Error">
      <formula>LEFT(N12,LEN("Error"))="Error"</formula>
    </cfRule>
  </conditionalFormatting>
  <conditionalFormatting sqref="O12:O257">
    <cfRule type="beginsWith" dxfId="606" priority="35" operator="beginsWith" text="Error">
      <formula>LEFT(O12,LEN("Error"))="Error"</formula>
    </cfRule>
  </conditionalFormatting>
  <conditionalFormatting sqref="V12:V257">
    <cfRule type="containsText" dxfId="605" priority="34" operator="containsText" text="Spatial">
      <formula>NOT(ISERROR(SEARCH("Spatial",V12)))</formula>
    </cfRule>
  </conditionalFormatting>
  <conditionalFormatting sqref="W12:W257">
    <cfRule type="containsText" dxfId="604" priority="33" operator="containsText" text="Spatial">
      <formula>NOT(ISERROR(SEARCH("Spatial",W12)))</formula>
    </cfRule>
  </conditionalFormatting>
  <conditionalFormatting sqref="X12:X257">
    <cfRule type="containsText" dxfId="603" priority="31" operator="containsText" text="Error">
      <formula>NOT(ISERROR(SEARCH("Error",X12)))</formula>
    </cfRule>
    <cfRule type="containsText" dxfId="602" priority="32" operator="containsText" text="Check">
      <formula>NOT(ISERROR(SEARCH("Check",X12)))</formula>
    </cfRule>
  </conditionalFormatting>
  <conditionalFormatting sqref="AA12:AA257">
    <cfRule type="containsText" dxfId="601" priority="29" operator="containsText" text="Error">
      <formula>NOT(ISERROR(SEARCH("Error",AA12)))</formula>
    </cfRule>
    <cfRule type="containsText" dxfId="600" priority="30" operator="containsText" text="Check">
      <formula>NOT(ISERROR(SEARCH("Check",AA12)))</formula>
    </cfRule>
  </conditionalFormatting>
  <conditionalFormatting sqref="AB12:AB257">
    <cfRule type="cellIs" dxfId="599" priority="21" operator="equal">
      <formula>"30+"</formula>
    </cfRule>
    <cfRule type="containsText" dxfId="598" priority="27" operator="containsText" text="Error">
      <formula>NOT(ISERROR(SEARCH("Error",AB12)))</formula>
    </cfRule>
    <cfRule type="containsText" dxfId="597" priority="28" operator="containsText" text="Check">
      <formula>NOT(ISERROR(SEARCH("Check",AB12)))</formula>
    </cfRule>
  </conditionalFormatting>
  <conditionalFormatting sqref="AC12:AC257">
    <cfRule type="containsText" dxfId="596" priority="25" operator="containsText" text="Error">
      <formula>NOT(ISERROR(SEARCH("Error",AC12)))</formula>
    </cfRule>
    <cfRule type="containsText" dxfId="595" priority="26" operator="containsText" text="Check">
      <formula>NOT(ISERROR(SEARCH("Check",AC12)))</formula>
    </cfRule>
  </conditionalFormatting>
  <conditionalFormatting sqref="AE12:AE257">
    <cfRule type="beginsWith" dxfId="594" priority="23" operator="beginsWith" text="No - Low Difficulty">
      <formula>LEFT(AE12,LEN("No - Low Difficulty"))="No - Low Difficulty"</formula>
    </cfRule>
    <cfRule type="containsText" dxfId="593" priority="24" operator="containsText" text="Check">
      <formula>NOT(ISERROR(SEARCH("Check",AE12)))</formula>
    </cfRule>
  </conditionalFormatting>
  <conditionalFormatting sqref="X5:AB6 X2">
    <cfRule type="containsText" dxfId="592" priority="22" operator="containsText" text="Note">
      <formula>NOT(ISERROR(SEARCH("Note",X2)))</formula>
    </cfRule>
  </conditionalFormatting>
  <conditionalFormatting sqref="O3">
    <cfRule type="containsText" dxfId="591" priority="19" operator="containsText" text="Error">
      <formula>NOT(ISERROR(SEARCH("Error",O3)))</formula>
    </cfRule>
    <cfRule type="containsText" dxfId="590" priority="20" operator="containsText" text="Check">
      <formula>NOT(ISERROR(SEARCH("Check",O3)))</formula>
    </cfRule>
  </conditionalFormatting>
  <conditionalFormatting sqref="O4">
    <cfRule type="containsText" dxfId="589" priority="4" operator="containsText" text="Error">
      <formula>NOT(ISERROR(SEARCH("Error",O4)))</formula>
    </cfRule>
    <cfRule type="containsText" dxfId="588" priority="10" operator="containsText" text="Check">
      <formula>NOT(ISERROR(SEARCH("Check",O4)))</formula>
    </cfRule>
  </conditionalFormatting>
  <conditionalFormatting sqref="O5">
    <cfRule type="containsText" dxfId="587" priority="13" operator="containsText" text="No">
      <formula>NOT(ISERROR(SEARCH("No",O5)))</formula>
    </cfRule>
    <cfRule type="containsText" dxfId="586" priority="14" operator="containsText" text="Yes">
      <formula>NOT(ISERROR(SEARCH("Yes",O5)))</formula>
    </cfRule>
  </conditionalFormatting>
  <conditionalFormatting sqref="T12:T257">
    <cfRule type="containsText" dxfId="585" priority="12" operator="containsText" text="Not possible">
      <formula>NOT(ISERROR(SEARCH("Not possible",T12)))</formula>
    </cfRule>
  </conditionalFormatting>
  <conditionalFormatting sqref="O4:P4">
    <cfRule type="cellIs" dxfId="584" priority="11" operator="equal">
      <formula>0</formula>
    </cfRule>
    <cfRule type="cellIs" dxfId="583" priority="444" operator="lessThan">
      <formula>0</formula>
    </cfRule>
  </conditionalFormatting>
  <conditionalFormatting sqref="O3:P5">
    <cfRule type="containsText" dxfId="582" priority="9" operator="containsText" text="N/A">
      <formula>NOT(ISERROR(SEARCH("N/A",O3)))</formula>
    </cfRule>
  </conditionalFormatting>
  <conditionalFormatting sqref="K1:K1048576">
    <cfRule type="containsText" dxfId="581" priority="6" operator="containsText" text="⚠">
      <formula>NOT(ISERROR(SEARCH("⚠",K1)))</formula>
    </cfRule>
  </conditionalFormatting>
  <conditionalFormatting sqref="AH1:AH1048576">
    <cfRule type="containsText" dxfId="580" priority="5" operator="containsText" text="⚠">
      <formula>NOT(ISERROR(SEARCH("⚠",AH1)))</formula>
    </cfRule>
  </conditionalFormatting>
  <conditionalFormatting sqref="AE1:AE1048576">
    <cfRule type="containsText" dxfId="579" priority="3" operator="containsText" text="⚠">
      <formula>NOT(ISERROR(SEARCH("⚠",AE1)))</formula>
    </cfRule>
  </conditionalFormatting>
  <conditionalFormatting sqref="AF1:AF1048576">
    <cfRule type="containsText" dxfId="578" priority="2" operator="containsText" text="⚠">
      <formula>NOT(ISERROR(SEARCH("⚠",AF1)))</formula>
    </cfRule>
  </conditionalFormatting>
  <conditionalFormatting sqref="X1:X1048576">
    <cfRule type="containsText" dxfId="577" priority="1" operator="containsText" text="▲">
      <formula>NOT(ISERROR(SEARCH("▲",X1)))</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7" id="{D3BC79D6-79FF-42E4-B1ED-D62383676473}">
            <xm:f>'Headline Results'!$H$9:$I$9=0</xm:f>
            <x14:dxf>
              <font>
                <color auto="1"/>
              </font>
              <fill>
                <patternFill>
                  <bgColor rgb="FFE0DCD3"/>
                </patternFill>
              </fill>
            </x14:dxf>
          </x14:cfRule>
          <xm:sqref>O4:P4</xm:sqref>
        </x14:conditionalFormatting>
        <x14:conditionalFormatting xmlns:xm="http://schemas.microsoft.com/office/excel/2006/main">
          <x14:cfRule type="cellIs" priority="8" operator="lessThan" id="{648A280C-F032-4F50-9520-A2A1C0C475E3}">
            <xm:f>Start!$F$22</xm:f>
            <x14:dxf>
              <font>
                <color rgb="FF383745"/>
              </font>
              <fill>
                <patternFill>
                  <bgColor rgb="FFFFC000"/>
                </patternFill>
              </fill>
            </x14:dxf>
          </x14:cfRule>
          <x14:cfRule type="cellIs" priority="445"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zoomScale="80" zoomScaleNormal="80" workbookViewId="0">
      <pane ySplit="9" topLeftCell="A10" activePane="bottomLeft" state="frozen"/>
      <selection pane="bottomLeft"/>
    </sheetView>
  </sheetViews>
  <sheetFormatPr defaultColWidth="0" defaultRowHeight="0" customHeight="1" zeroHeight="1" x14ac:dyDescent="0.25"/>
  <cols>
    <col min="1" max="1" width="5" style="30" customWidth="1"/>
    <col min="2" max="2" width="11.44140625" style="30" customWidth="1"/>
    <col min="3" max="3" width="9.5546875" style="30" bestFit="1" customWidth="1"/>
    <col min="4" max="4" width="53.6640625" style="30" bestFit="1" customWidth="1"/>
    <col min="5" max="5" width="8.6640625" style="30" customWidth="1"/>
    <col min="6" max="6" width="17.5546875" style="30" customWidth="1"/>
    <col min="7" max="7" width="9.44140625" style="30" customWidth="1"/>
    <col min="8" max="8" width="13.6640625" style="30" customWidth="1"/>
    <col min="9" max="9" width="13.5546875" style="30" customWidth="1"/>
    <col min="10" max="10" width="41.6640625" style="30" customWidth="1"/>
    <col min="11" max="11" width="14.5546875" style="30" customWidth="1"/>
    <col min="12" max="12" width="14.33203125" style="30" customWidth="1"/>
    <col min="13" max="13" width="21.33203125" style="30" bestFit="1" customWidth="1"/>
    <col min="14" max="14" width="14.33203125" style="30" hidden="1" customWidth="1"/>
    <col min="15" max="15" width="76.6640625" style="30" customWidth="1"/>
    <col min="16" max="16" width="17.5546875" style="30" hidden="1" customWidth="1"/>
    <col min="17" max="17" width="13.33203125" style="30" customWidth="1"/>
    <col min="18" max="18" width="3.6640625" style="30" customWidth="1"/>
    <col min="19" max="19" width="10.33203125" style="30" bestFit="1" customWidth="1"/>
    <col min="20" max="20" width="11.6640625" style="30" customWidth="1"/>
    <col min="21" max="21" width="10.5546875" style="30" customWidth="1"/>
    <col min="22" max="22" width="11.6640625" style="30" customWidth="1"/>
    <col min="23" max="23" width="13.5546875" style="30" customWidth="1"/>
    <col min="24" max="24" width="8.33203125" style="30" customWidth="1"/>
    <col min="25" max="25" width="23.33203125" style="30" bestFit="1" customWidth="1"/>
    <col min="26" max="26" width="33.33203125" style="30" customWidth="1"/>
    <col min="27" max="27" width="12.44140625" style="30" customWidth="1"/>
    <col min="28" max="28" width="12.6640625" style="30" customWidth="1"/>
    <col min="29" max="29" width="8.6640625" style="30" customWidth="1"/>
    <col min="30" max="30" width="4.5546875" style="30" customWidth="1"/>
    <col min="31" max="50" width="4.5546875" style="30" hidden="1"/>
    <col min="51" max="51" width="10.5546875" style="30" hidden="1"/>
    <col min="52" max="16383" width="4.5546875" style="30" hidden="1"/>
    <col min="16384" max="16384" width="4.5546875" style="419" hidden="1"/>
  </cols>
  <sheetData>
    <row r="1" spans="2:51 16384:16384" ht="15.75" customHeight="1" thickBot="1" x14ac:dyDescent="0.3"/>
    <row r="2" spans="2:51 16384:16384" ht="20.100000000000001" customHeight="1" thickBot="1" x14ac:dyDescent="0.35">
      <c r="B2" s="1740" t="str">
        <f>CONCATENATE("Project Name:", " ", Start!F12, "     ", "Map Reference:", " ", Start!F66)</f>
        <v xml:space="preserve">Project Name: Chickenhall Lane     Map Reference: </v>
      </c>
      <c r="C2" s="1741"/>
      <c r="D2" s="1742"/>
      <c r="F2" s="1591" t="s">
        <v>502</v>
      </c>
      <c r="G2" s="1592"/>
      <c r="H2" s="1592"/>
      <c r="I2" s="1592"/>
      <c r="J2" s="1593"/>
      <c r="K2" s="245"/>
      <c r="L2" s="245"/>
      <c r="M2" s="245"/>
    </row>
    <row r="3" spans="2:51 16384:16384" ht="15.75" customHeight="1" x14ac:dyDescent="0.25">
      <c r="B3" s="1236" t="str">
        <f ca="1">MID(CELL("filename",A1),FIND("]",CELL("filename",A1))+1,256)</f>
        <v>E-1 Off-Site Hedge Baseline</v>
      </c>
      <c r="C3" s="1237"/>
      <c r="D3" s="1238"/>
      <c r="F3" s="1659" t="s">
        <v>389</v>
      </c>
      <c r="G3" s="1660"/>
      <c r="H3" s="1660"/>
      <c r="I3" s="1676">
        <f ca="1">'Headline Results'!H48</f>
        <v>0.28841467762499995</v>
      </c>
      <c r="J3" s="1677"/>
    </row>
    <row r="4" spans="2:51 16384:16384" ht="15.75" customHeight="1" thickBot="1" x14ac:dyDescent="0.3">
      <c r="B4" s="1239"/>
      <c r="C4" s="1240"/>
      <c r="D4" s="1241"/>
      <c r="F4" s="1752" t="s">
        <v>391</v>
      </c>
      <c r="G4" s="1753"/>
      <c r="H4" s="1753"/>
      <c r="I4" s="1678">
        <f ca="1">'Headline Results'!H52</f>
        <v>1.2378312344420599</v>
      </c>
      <c r="J4" s="1679"/>
    </row>
    <row r="5" spans="2:51 16384:16384" ht="22.5" customHeight="1" thickBot="1" x14ac:dyDescent="0.3">
      <c r="F5" s="1754" t="s">
        <v>393</v>
      </c>
      <c r="G5" s="1729"/>
      <c r="H5" s="1729"/>
      <c r="I5" s="1729" t="str" cm="1">
        <f t="array" aca="1" ref="I5" ca="1">IF(OR('Trading Summary Hedgerows'!F5:H9="No ▲"), "No - check trading summary ▲", "Yes ✓")</f>
        <v>Yes ✓</v>
      </c>
      <c r="J5" s="1730"/>
    </row>
    <row r="6" spans="2:51 16384:16384" ht="29.1" customHeight="1" x14ac:dyDescent="0.25"/>
    <row r="7" spans="2:51 16384:16384" ht="15.75" customHeight="1" thickBot="1" x14ac:dyDescent="0.3">
      <c r="B7" s="93"/>
      <c r="C7" s="93"/>
      <c r="D7" s="92"/>
    </row>
    <row r="8" spans="2:51 16384:16384" s="33" customFormat="1" ht="31.2" customHeight="1" thickBot="1" x14ac:dyDescent="0.3">
      <c r="B8" s="32"/>
      <c r="C8" s="1711" t="s">
        <v>503</v>
      </c>
      <c r="D8" s="1432"/>
      <c r="E8" s="1425"/>
      <c r="F8" s="1711" t="s">
        <v>395</v>
      </c>
      <c r="G8" s="1425"/>
      <c r="H8" s="1711" t="s">
        <v>482</v>
      </c>
      <c r="I8" s="1425"/>
      <c r="J8" s="1711" t="s">
        <v>397</v>
      </c>
      <c r="K8" s="1432"/>
      <c r="L8" s="1425"/>
      <c r="M8" s="1688" t="s">
        <v>398</v>
      </c>
      <c r="N8" s="118" t="s">
        <v>399</v>
      </c>
      <c r="O8" s="1686" t="s">
        <v>483</v>
      </c>
      <c r="P8" s="1687"/>
      <c r="Q8" s="118" t="s">
        <v>399</v>
      </c>
      <c r="R8" s="98"/>
      <c r="S8" s="1569"/>
      <c r="T8" s="1570"/>
      <c r="U8" s="1570"/>
      <c r="V8" s="1570"/>
      <c r="W8" s="1570"/>
      <c r="X8" s="1571"/>
      <c r="Y8" s="1569" t="s">
        <v>401</v>
      </c>
      <c r="Z8" s="1570"/>
      <c r="AA8" s="1570"/>
      <c r="AB8" s="1571"/>
      <c r="XFD8" s="420"/>
    </row>
    <row r="9" spans="2:51 16384:16384" ht="45" customHeight="1" thickBot="1" x14ac:dyDescent="0.3">
      <c r="B9" s="522" t="s">
        <v>406</v>
      </c>
      <c r="C9" s="120" t="s">
        <v>504</v>
      </c>
      <c r="D9" s="125" t="s">
        <v>367</v>
      </c>
      <c r="E9" s="124" t="s">
        <v>505</v>
      </c>
      <c r="F9" s="120" t="s">
        <v>395</v>
      </c>
      <c r="G9" s="124" t="s">
        <v>411</v>
      </c>
      <c r="H9" s="120" t="s">
        <v>396</v>
      </c>
      <c r="I9" s="124" t="s">
        <v>411</v>
      </c>
      <c r="J9" s="120" t="s">
        <v>397</v>
      </c>
      <c r="K9" s="125" t="s">
        <v>397</v>
      </c>
      <c r="L9" s="124" t="s">
        <v>412</v>
      </c>
      <c r="M9" s="1751"/>
      <c r="N9" s="146" t="s">
        <v>523</v>
      </c>
      <c r="O9" s="618" t="s">
        <v>486</v>
      </c>
      <c r="P9" s="629" t="s">
        <v>483</v>
      </c>
      <c r="Q9" s="146" t="s">
        <v>506</v>
      </c>
      <c r="R9" s="98"/>
      <c r="S9" s="630" t="s">
        <v>507</v>
      </c>
      <c r="T9" s="631" t="s">
        <v>508</v>
      </c>
      <c r="U9" s="632" t="s">
        <v>509</v>
      </c>
      <c r="V9" s="632" t="s">
        <v>510</v>
      </c>
      <c r="W9" s="632" t="s">
        <v>511</v>
      </c>
      <c r="X9" s="633" t="s">
        <v>417</v>
      </c>
      <c r="Y9" s="630" t="s">
        <v>385</v>
      </c>
      <c r="Z9" s="633" t="s">
        <v>362</v>
      </c>
      <c r="AA9" s="633" t="s">
        <v>353</v>
      </c>
      <c r="AB9" s="633" t="s">
        <v>488</v>
      </c>
      <c r="AE9" s="92" t="s">
        <v>405</v>
      </c>
      <c r="AH9" s="111" t="s">
        <v>420</v>
      </c>
      <c r="AI9" s="111" t="s">
        <v>421</v>
      </c>
      <c r="AK9" s="111" t="s">
        <v>423</v>
      </c>
      <c r="AM9" s="111" t="s">
        <v>420</v>
      </c>
      <c r="AN9" s="111" t="s">
        <v>421</v>
      </c>
      <c r="AY9" s="632" t="s">
        <v>509</v>
      </c>
    </row>
    <row r="10" spans="2:51 16384:16384" ht="13.8" x14ac:dyDescent="0.25">
      <c r="B10" s="95">
        <v>1</v>
      </c>
      <c r="C10" s="608"/>
      <c r="D10" s="581"/>
      <c r="E10" s="623"/>
      <c r="F10" s="356" t="str">
        <f>IF(D10="","",VLOOKUP(D10,'G-6 Hedgerow Data'!$B$2:$AG$15,2,FALSE))</f>
        <v/>
      </c>
      <c r="G10" s="560" t="str">
        <f>IF(D10="","",VLOOKUP(D10,'G-6 Hedgerow Data'!$B$2:$AG$15,3,FALSE))</f>
        <v/>
      </c>
      <c r="H10" s="607"/>
      <c r="I10" s="560" t="str">
        <f>IFERROR(IF(AND(D10&lt;&gt;"",H10=""), "Check data ⚠",(IF(H10="","",IF(AND(D10="Non-native and ornamental hedgerow", H10&lt;&gt;"Poor"),"Not possible ▲", (IF(AND(F10="V.Low",OR(H10="Good",H10="Moderate")),"Error ▲",VLOOKUP(H10,'G-1 All Habitats'!$Z$2:$AA$9,2,FALSE))))))),"")</f>
        <v/>
      </c>
      <c r="J10" s="607"/>
      <c r="K10" s="286" t="str">
        <f>IF(AND(J10="",D10&lt;&gt;""),"Check data ⚠",IF(J10="","",IF(VLOOKUP(J10,'G-3 Multipliers'!$L$3:$N$6,2,FALSE)=0,"Spatial Data Missing ⚠",VLOOKUP(J10,'G-3 Multipliers'!$L$3:$N$6,2,FALSE))))</f>
        <v/>
      </c>
      <c r="L10" s="560" t="str">
        <f>IF(J10="","",IF(VLOOKUP(J10,'G-3 Multipliers'!$L$3:$N$6,3,FALSE)=0,"Spatial Data Missing ⚠",VLOOKUP(J10,'G-3 Multipliers'!$L$3:$N$6,3,FALSE)))</f>
        <v/>
      </c>
      <c r="M10" s="364" t="str">
        <f>IF(D10="","",VLOOKUP(D10,'G-6 Hedgerow Data'!$B$1:$AH$15,33,FALSE))</f>
        <v/>
      </c>
      <c r="N10" s="564" t="str">
        <f>IFERROR(IF(Q10="Check data ⚠", "Check data ⚠",(E10*G10*I10*L10*P10)),"")</f>
        <v/>
      </c>
      <c r="O10" s="443"/>
      <c r="P10" s="562" t="str">
        <f>IF(O10="","",IF(VLOOKUP(O10,'G-3 Multipliers'!$S$3:$T$10,2,FALSE)=0,"Spatial Data Missing ⚠",VLOOKUP(O10,'G-3 Multipliers'!$S$3:$T$10,2,FALSE)))</f>
        <v/>
      </c>
      <c r="Q10" s="564" t="str">
        <f>IFERROR(IF(OR(K10="Check data ⚠", I10="Check data ⚠",W10="Error in lengths ▲"), "Check data ▲", (IF(AND(O10&lt;&gt;"",AB10=""), "Off-site reference required ▲",(IF(O10="", "", E10*G10*I10*L10))))),"")</f>
        <v/>
      </c>
      <c r="R10" s="32"/>
      <c r="S10" s="105"/>
      <c r="T10" s="112"/>
      <c r="U10" s="289" t="str">
        <f>IFERROR(S10*G10*I10*L10,"")</f>
        <v/>
      </c>
      <c r="V10" s="289" t="str">
        <f>IFERROR(T10*G10*I10*L10,"")</f>
        <v/>
      </c>
      <c r="W10" s="293" t="str">
        <f>IF(D10="","",IF(E10&lt;S10+T10,"Error in Lengths ▲",E10-S10-T10))</f>
        <v/>
      </c>
      <c r="X10" s="297" t="str">
        <f>IF(Q10="Check data ⚠","Check data ⚠",IF(OR(E10="",N10=""),"",IF(E10&lt;S10+T10,"Error in Lengths",Q10-U10-V10)))</f>
        <v/>
      </c>
      <c r="Y10" s="105"/>
      <c r="Z10" s="119"/>
      <c r="AA10" s="119"/>
      <c r="AB10" s="119"/>
      <c r="AE10" s="30" t="str">
        <f>IFERROR(INDEX('G-6 Hedgerow Data'!$BJ$3:$BJ$15,MATCH(D10,'G-6 Hedgerow Data'!$B$3:$B$15,0)),"")</f>
        <v/>
      </c>
      <c r="AH10" s="111" t="str">
        <f t="shared" ref="AH10:AH73" si="0">IF(D10="","",IF(S10&gt;0,TRUE,FALSE))</f>
        <v/>
      </c>
      <c r="AI10" s="111" t="str">
        <f t="shared" ref="AI10:AI73" si="1">IF(D10="","",IF(T10&gt;0,TRUE,FALSE))</f>
        <v/>
      </c>
      <c r="AK10" s="111">
        <v>1</v>
      </c>
      <c r="AM10" s="111" t="str">
        <f t="array" ref="AM10">IFERROR(INDEX($AK$10:$AK$258, MATCH(0, IF(TRUE=$AH$10:$AH$258, COUNTIF($AM9:$AM$9, $AK$10:$AK$258), ""), 0)),"")</f>
        <v/>
      </c>
      <c r="AN10" s="111" t="str">
        <f t="array" ref="AN10">IFERROR(INDEX($AK$10:$AK$258, MATCH(0, IF(TRUE=$AI$10:$AI$258, COUNTIF($AN9:$AN$9, $AK$10:$AK$258), ""), 0)),"")</f>
        <v/>
      </c>
      <c r="AY10" s="289" t="str">
        <f t="shared" ref="AY10:AY74" si="2">IFERROR(S10*G10*I10*L10*P10,"")</f>
        <v/>
      </c>
    </row>
    <row r="11" spans="2:51 16384:16384" ht="13.8" x14ac:dyDescent="0.25">
      <c r="B11" s="101">
        <v>2</v>
      </c>
      <c r="C11" s="142"/>
      <c r="D11" s="58"/>
      <c r="E11" s="119"/>
      <c r="F11" s="281" t="str">
        <f>IF(D11="","",VLOOKUP(D11,'G-6 Hedgerow Data'!$B$2:$AG$15,2,FALSE))</f>
        <v/>
      </c>
      <c r="G11" s="282" t="str">
        <f>IF(D11="","",VLOOKUP(D11,'G-6 Hedgerow Data'!$B$2:$AG$15,3,FALSE))</f>
        <v/>
      </c>
      <c r="H11" s="105"/>
      <c r="I11" s="282" t="str">
        <f>IFERROR(IF(AND(D11&lt;&gt;"",H11=""), "Check data ⚠",(IF(H11="","",IF(AND(D11="Non-native and ornamental hedgerow", H11&lt;&gt;"Poor"),"Not possible ▲", (IF(AND(F11="V.Low",OR(H11="Good",H11="Moderate")),"Error ▲",VLOOKUP(H11,'G-1 All Habitats'!$Z$2:$AA$9,2,FALSE))))))),"")</f>
        <v/>
      </c>
      <c r="J11" s="105"/>
      <c r="K11" s="301" t="str">
        <f>IF(AND(J11="",D11&lt;&gt;""),"Check data ⚠",IF(J11="","",IF(VLOOKUP(J11,'G-3 Multipliers'!$L$3:$N$6,2,FALSE)=0,"Spatial Data Missing ⚠",VLOOKUP(J11,'G-3 Multipliers'!$L$3:$N$6,2,FALSE))))</f>
        <v/>
      </c>
      <c r="L11" s="305" t="str">
        <f>IF(J11="","",IF(VLOOKUP(J11,'G-3 Multipliers'!$L$3:$N$6,3,FALSE)=0,"Spatial Data Missing ⚠",VLOOKUP(J11,'G-3 Multipliers'!$L$3:$N$6,3,FALSE)))</f>
        <v/>
      </c>
      <c r="M11" s="342" t="str">
        <f>IF(D11="","",VLOOKUP(D11,'G-6 Hedgerow Data'!$B$1:$AH$15,33,FALSE))</f>
        <v/>
      </c>
      <c r="N11" s="295" t="str">
        <f t="shared" ref="N11:N74" si="3">IFERROR(IF(Q11="Check data ⚠", "Check data ⚠",(E11*G11*I11*L11*P11)),"")</f>
        <v/>
      </c>
      <c r="O11" s="403"/>
      <c r="P11" s="287" t="str">
        <f>IF(O11="","",IF(VLOOKUP(O11,'G-3 Multipliers'!$S$3:$T$10,2,FALSE)=0,"Spatial Data Missing ⚠",VLOOKUP(O11,'G-3 Multipliers'!$S$3:$T$10,2,FALSE)))</f>
        <v/>
      </c>
      <c r="Q11" s="295" t="str">
        <f t="shared" ref="Q11:Q74" si="4">IFERROR(IF(OR(K11="Check data ⚠", I11="Check data ⚠",W11="Error in lengths ▲"), "Check data ▲", (IF(AND(O11&lt;&gt;"",AB11=""), "Off-site reference required ▲",(IF(O11="", "", E11*G11*I11*L11))))),"")</f>
        <v/>
      </c>
      <c r="R11" s="32"/>
      <c r="S11" s="109"/>
      <c r="T11" s="112"/>
      <c r="U11" s="289" t="str">
        <f t="shared" ref="U11:U74" si="5">IFERROR(S11*G11*I11*L11,"")</f>
        <v/>
      </c>
      <c r="V11" s="289" t="str">
        <f t="shared" ref="V11:V74" si="6">IFERROR(T11*G11*I11*L11,"")</f>
        <v/>
      </c>
      <c r="W11" s="293" t="str">
        <f t="shared" ref="W11:W74" si="7">IF(D11="","",IF(E11&lt;S11+T11,"Error in Lengths ▲",E11-S11-T11))</f>
        <v/>
      </c>
      <c r="X11" s="297" t="str">
        <f t="shared" ref="X11:X74" si="8">IF(Q11="Check data ⚠","Check data ⚠",IF(OR(E11="",N11=""),"",IF(E11&lt;S11+T11,"Error in Lengths",Q11-U11-V11)))</f>
        <v/>
      </c>
      <c r="Y11" s="109"/>
      <c r="Z11" s="108"/>
      <c r="AA11" s="108"/>
      <c r="AB11" s="108"/>
      <c r="AE11" s="30" t="str">
        <f>IFERROR(INDEX('G-6 Hedgerow Data'!$BJ$3:$BJ$15,MATCH(D11,'G-6 Hedgerow Data'!$B$3:$B$15,0)),"")</f>
        <v/>
      </c>
      <c r="AH11" s="111" t="str">
        <f t="shared" si="0"/>
        <v/>
      </c>
      <c r="AI11" s="111" t="str">
        <f t="shared" si="1"/>
        <v/>
      </c>
      <c r="AK11" s="111">
        <v>2</v>
      </c>
      <c r="AM11" s="111" t="str">
        <f t="array" ref="AM11">IFERROR(INDEX($AK$10:$AK$258, MATCH(0, IF(TRUE=$AH$10:$AH$258, COUNTIF($AM$9:$AM10, $AK$10:$AK$258), ""), 0)),"")</f>
        <v/>
      </c>
      <c r="AN11" s="111" t="str">
        <f t="array" ref="AN11">IFERROR(INDEX($AK$10:$AK$258, MATCH(0, IF(TRUE=$AI$10:$AI$258, COUNTIF($AN$9:$AN10, $AK$10:$AK$258), ""), 0)),"")</f>
        <v/>
      </c>
      <c r="AY11" s="289" t="str">
        <f t="shared" si="2"/>
        <v/>
      </c>
    </row>
    <row r="12" spans="2:51 16384:16384" ht="13.8" x14ac:dyDescent="0.25">
      <c r="B12" s="101">
        <v>3</v>
      </c>
      <c r="C12" s="142"/>
      <c r="D12" s="58"/>
      <c r="E12" s="119"/>
      <c r="F12" s="281" t="str">
        <f>IF(D12="","",VLOOKUP(D12,'G-6 Hedgerow Data'!$B$2:$AG$15,2,FALSE))</f>
        <v/>
      </c>
      <c r="G12" s="282" t="str">
        <f>IF(D12="","",VLOOKUP(D12,'G-6 Hedgerow Data'!$B$2:$AG$15,3,FALSE))</f>
        <v/>
      </c>
      <c r="H12" s="105"/>
      <c r="I12" s="282" t="str">
        <f>IFERROR(IF(AND(D12&lt;&gt;"",H12=""), "Check data ⚠",(IF(H12="","",IF(AND(D12="Non-native and ornamental hedgerow", H12&lt;&gt;"Poor"),"Not possible ▲", (IF(AND(F12="V.Low",OR(H12="Good",H12="Moderate")),"Error ▲",VLOOKUP(H12,'G-1 All Habitats'!$Z$2:$AA$9,2,FALSE))))))),"")</f>
        <v/>
      </c>
      <c r="J12" s="105"/>
      <c r="K12" s="301" t="str">
        <f>IF(AND(J12="",D12&lt;&gt;""),"Check data ⚠",IF(J12="","",IF(VLOOKUP(J12,'G-3 Multipliers'!$L$3:$N$6,2,FALSE)=0,"Spatial Data Missing ⚠",VLOOKUP(J12,'G-3 Multipliers'!$L$3:$N$6,2,FALSE))))</f>
        <v/>
      </c>
      <c r="L12" s="305" t="str">
        <f>IF(J12="","",IF(VLOOKUP(J12,'G-3 Multipliers'!$L$3:$N$6,3,FALSE)=0,"Spatial Data Missing ⚠",VLOOKUP(J12,'G-3 Multipliers'!$L$3:$N$6,3,FALSE)))</f>
        <v/>
      </c>
      <c r="M12" s="342" t="str">
        <f>IF(D12="","",VLOOKUP(D12,'G-6 Hedgerow Data'!$B$1:$AH$15,33,FALSE))</f>
        <v/>
      </c>
      <c r="N12" s="295" t="str">
        <f t="shared" si="3"/>
        <v/>
      </c>
      <c r="O12" s="403"/>
      <c r="P12" s="287" t="str">
        <f>IF(O12="","",IF(VLOOKUP(O12,'G-3 Multipliers'!$S$3:$T$10,2,FALSE)=0,"Spatial Data Missing ⚠",VLOOKUP(O12,'G-3 Multipliers'!$S$3:$T$10,2,FALSE)))</f>
        <v/>
      </c>
      <c r="Q12" s="295" t="str">
        <f t="shared" si="4"/>
        <v/>
      </c>
      <c r="R12" s="32"/>
      <c r="S12" s="109"/>
      <c r="T12" s="112"/>
      <c r="U12" s="289" t="str">
        <f t="shared" si="5"/>
        <v/>
      </c>
      <c r="V12" s="289" t="str">
        <f t="shared" si="6"/>
        <v/>
      </c>
      <c r="W12" s="293" t="str">
        <f t="shared" si="7"/>
        <v/>
      </c>
      <c r="X12" s="297" t="str">
        <f t="shared" si="8"/>
        <v/>
      </c>
      <c r="Y12" s="109"/>
      <c r="Z12" s="108"/>
      <c r="AA12" s="108"/>
      <c r="AB12" s="108"/>
      <c r="AE12" s="30" t="str">
        <f>IFERROR(INDEX('G-6 Hedgerow Data'!$BJ$3:$BJ$15,MATCH(D12,'G-6 Hedgerow Data'!$B$3:$B$15,0)),"")</f>
        <v/>
      </c>
      <c r="AH12" s="111" t="str">
        <f t="shared" si="0"/>
        <v/>
      </c>
      <c r="AI12" s="111" t="str">
        <f t="shared" si="1"/>
        <v/>
      </c>
      <c r="AK12" s="111">
        <v>3</v>
      </c>
      <c r="AM12" s="111" t="str">
        <f t="array" ref="AM12">IFERROR(INDEX($AK$10:$AK$258, MATCH(0, IF(TRUE=$AH$10:$AH$258, COUNTIF($AM$9:$AM11, $AK$10:$AK$258), ""), 0)),"")</f>
        <v/>
      </c>
      <c r="AN12" s="111" t="str">
        <f t="array" ref="AN12">IFERROR(INDEX($AK$10:$AK$258, MATCH(0, IF(TRUE=$AI$10:$AI$258, COUNTIF($AN$9:$AN11, $AK$10:$AK$258), ""), 0)),"")</f>
        <v/>
      </c>
      <c r="AY12" s="289" t="str">
        <f t="shared" si="2"/>
        <v/>
      </c>
    </row>
    <row r="13" spans="2:51 16384:16384" ht="13.8" x14ac:dyDescent="0.25">
      <c r="B13" s="101">
        <v>4</v>
      </c>
      <c r="C13" s="142"/>
      <c r="D13" s="58"/>
      <c r="E13" s="119"/>
      <c r="F13" s="281" t="str">
        <f>IF(D13="","",VLOOKUP(D13,'G-6 Hedgerow Data'!$B$2:$AG$15,2,FALSE))</f>
        <v/>
      </c>
      <c r="G13" s="282" t="str">
        <f>IF(D13="","",VLOOKUP(D13,'G-6 Hedgerow Data'!$B$2:$AG$15,3,FALSE))</f>
        <v/>
      </c>
      <c r="H13" s="105"/>
      <c r="I13" s="282" t="str">
        <f>IFERROR(IF(AND(D13&lt;&gt;"",H13=""), "Check data ⚠",(IF(H13="","",IF(AND(D13="Non-native and ornamental hedgerow", H13&lt;&gt;"Poor"),"Not possible ▲", (IF(AND(F13="V.Low",OR(H13="Good",H13="Moderate")),"Error ▲",VLOOKUP(H13,'G-1 All Habitats'!$Z$2:$AA$9,2,FALSE))))))),"")</f>
        <v/>
      </c>
      <c r="J13" s="105"/>
      <c r="K13" s="301" t="str">
        <f>IF(AND(J13="",D13&lt;&gt;""),"Check data ⚠",IF(J13="","",IF(VLOOKUP(J13,'G-3 Multipliers'!$L$3:$N$6,2,FALSE)=0,"Spatial Data Missing ⚠",VLOOKUP(J13,'G-3 Multipliers'!$L$3:$N$6,2,FALSE))))</f>
        <v/>
      </c>
      <c r="L13" s="305" t="str">
        <f>IF(J13="","",IF(VLOOKUP(J13,'G-3 Multipliers'!$L$3:$N$6,3,FALSE)=0,"Spatial Data Missing ⚠",VLOOKUP(J13,'G-3 Multipliers'!$L$3:$N$6,3,FALSE)))</f>
        <v/>
      </c>
      <c r="M13" s="342" t="str">
        <f>IF(D13="","",VLOOKUP(D13,'G-6 Hedgerow Data'!$B$1:$AH$15,33,FALSE))</f>
        <v/>
      </c>
      <c r="N13" s="295" t="str">
        <f t="shared" si="3"/>
        <v/>
      </c>
      <c r="O13" s="403"/>
      <c r="P13" s="287" t="str">
        <f>IF(O13="","",IF(VLOOKUP(O13,'G-3 Multipliers'!$S$3:$T$10,2,FALSE)=0,"Spatial Data Missing ⚠",VLOOKUP(O13,'G-3 Multipliers'!$S$3:$T$10,2,FALSE)))</f>
        <v/>
      </c>
      <c r="Q13" s="295" t="str">
        <f t="shared" si="4"/>
        <v/>
      </c>
      <c r="R13" s="32"/>
      <c r="S13" s="109"/>
      <c r="T13" s="112"/>
      <c r="U13" s="289" t="str">
        <f t="shared" si="5"/>
        <v/>
      </c>
      <c r="V13" s="289" t="str">
        <f t="shared" si="6"/>
        <v/>
      </c>
      <c r="W13" s="293" t="str">
        <f t="shared" si="7"/>
        <v/>
      </c>
      <c r="X13" s="297" t="str">
        <f t="shared" si="8"/>
        <v/>
      </c>
      <c r="Y13" s="109"/>
      <c r="Z13" s="108"/>
      <c r="AA13" s="108"/>
      <c r="AB13" s="108"/>
      <c r="AE13" s="30" t="str">
        <f>IFERROR(INDEX('G-6 Hedgerow Data'!$BJ$3:$BJ$15,MATCH(D13,'G-6 Hedgerow Data'!$B$3:$B$15,0)),"")</f>
        <v/>
      </c>
      <c r="AH13" s="111" t="str">
        <f t="shared" si="0"/>
        <v/>
      </c>
      <c r="AI13" s="111" t="str">
        <f t="shared" si="1"/>
        <v/>
      </c>
      <c r="AK13" s="111">
        <v>4</v>
      </c>
      <c r="AM13" s="111" t="str">
        <f t="array" ref="AM13">IFERROR(INDEX($AK$10:$AK$258, MATCH(0, IF(TRUE=$AH$10:$AH$258, COUNTIF($AM$9:$AM12, $AK$10:$AK$258), ""), 0)),"")</f>
        <v/>
      </c>
      <c r="AN13" s="111" t="str">
        <f t="array" ref="AN13">IFERROR(INDEX($AK$10:$AK$258, MATCH(0, IF(TRUE=$AI$10:$AI$258, COUNTIF($AN$9:$AN12, $AK$10:$AK$258), ""), 0)),"")</f>
        <v/>
      </c>
      <c r="AY13" s="289" t="str">
        <f t="shared" si="2"/>
        <v/>
      </c>
    </row>
    <row r="14" spans="2:51 16384:16384" ht="13.8" x14ac:dyDescent="0.25">
      <c r="B14" s="101">
        <v>5</v>
      </c>
      <c r="C14" s="142"/>
      <c r="D14" s="137"/>
      <c r="E14" s="51"/>
      <c r="F14" s="281" t="str">
        <f>IF(D14="","",VLOOKUP(D14,'G-6 Hedgerow Data'!$B$2:$AG$15,2,FALSE))</f>
        <v/>
      </c>
      <c r="G14" s="282" t="str">
        <f>IF(D14="","",VLOOKUP(D14,'G-6 Hedgerow Data'!$B$2:$AG$15,3,FALSE))</f>
        <v/>
      </c>
      <c r="H14" s="105"/>
      <c r="I14" s="282" t="str">
        <f>IFERROR(IF(AND(D14&lt;&gt;"",H14=""), "Check data ⚠",(IF(H14="","",IF(AND(D14="Non-native and ornamental hedgerow", H14&lt;&gt;"Poor"),"Not possible ▲", (IF(AND(F14="V.Low",OR(H14="Good",H14="Moderate")),"Error ▲",VLOOKUP(H14,'G-1 All Habitats'!$Z$2:$AA$9,2,FALSE))))))),"")</f>
        <v/>
      </c>
      <c r="J14" s="105"/>
      <c r="K14" s="301" t="str">
        <f>IF(AND(J14="",D14&lt;&gt;""),"Check data ⚠",IF(J14="","",IF(VLOOKUP(J14,'G-3 Multipliers'!$L$3:$N$6,2,FALSE)=0,"Spatial Data Missing ⚠",VLOOKUP(J14,'G-3 Multipliers'!$L$3:$N$6,2,FALSE))))</f>
        <v/>
      </c>
      <c r="L14" s="305" t="str">
        <f>IF(J14="","",IF(VLOOKUP(J14,'G-3 Multipliers'!$L$3:$N$6,3,FALSE)=0,"Spatial Data Missing ⚠",VLOOKUP(J14,'G-3 Multipliers'!$L$3:$N$6,3,FALSE)))</f>
        <v/>
      </c>
      <c r="M14" s="342" t="str">
        <f>IF(D14="","",VLOOKUP(D14,'G-6 Hedgerow Data'!$B$1:$AH$15,33,FALSE))</f>
        <v/>
      </c>
      <c r="N14" s="295" t="str">
        <f t="shared" si="3"/>
        <v/>
      </c>
      <c r="O14" s="403"/>
      <c r="P14" s="287" t="str">
        <f>IF(O14="","",IF(VLOOKUP(O14,'G-3 Multipliers'!$S$3:$T$10,2,FALSE)=0,"Spatial Data Missing ⚠",VLOOKUP(O14,'G-3 Multipliers'!$S$3:$T$10,2,FALSE)))</f>
        <v/>
      </c>
      <c r="Q14" s="295" t="str">
        <f t="shared" si="4"/>
        <v/>
      </c>
      <c r="R14" s="32"/>
      <c r="S14" s="109"/>
      <c r="T14" s="112"/>
      <c r="U14" s="289" t="str">
        <f t="shared" si="5"/>
        <v/>
      </c>
      <c r="V14" s="289" t="str">
        <f t="shared" si="6"/>
        <v/>
      </c>
      <c r="W14" s="293" t="str">
        <f t="shared" si="7"/>
        <v/>
      </c>
      <c r="X14" s="297" t="str">
        <f t="shared" si="8"/>
        <v/>
      </c>
      <c r="Y14" s="109"/>
      <c r="Z14" s="108"/>
      <c r="AA14" s="108"/>
      <c r="AB14" s="108"/>
      <c r="AE14" s="30" t="str">
        <f>IFERROR(INDEX('G-6 Hedgerow Data'!$BJ$3:$BJ$15,MATCH(D14,'G-6 Hedgerow Data'!$B$3:$B$15,0)),"")</f>
        <v/>
      </c>
      <c r="AH14" s="111" t="str">
        <f t="shared" si="0"/>
        <v/>
      </c>
      <c r="AI14" s="111" t="str">
        <f t="shared" si="1"/>
        <v/>
      </c>
      <c r="AK14" s="111">
        <v>5</v>
      </c>
      <c r="AM14" s="111" t="str">
        <f t="array" ref="AM14">IFERROR(INDEX($AK$10:$AK$258, MATCH(0, IF(TRUE=$AH$10:$AH$258, COUNTIF($AM$9:$AM13, $AK$10:$AK$258), ""), 0)),"")</f>
        <v/>
      </c>
      <c r="AN14" s="111" t="str">
        <f t="array" ref="AN14">IFERROR(INDEX($AK$10:$AK$258, MATCH(0, IF(TRUE=$AI$10:$AI$258, COUNTIF($AN$9:$AN13, $AK$10:$AK$258), ""), 0)),"")</f>
        <v/>
      </c>
      <c r="AY14" s="289" t="str">
        <f t="shared" si="2"/>
        <v/>
      </c>
    </row>
    <row r="15" spans="2:51 16384:16384" ht="13.8" x14ac:dyDescent="0.25">
      <c r="B15" s="101">
        <v>6</v>
      </c>
      <c r="C15" s="142"/>
      <c r="D15" s="137"/>
      <c r="E15" s="51"/>
      <c r="F15" s="281" t="str">
        <f>IF(D15="","",VLOOKUP(D15,'G-6 Hedgerow Data'!$B$2:$AG$15,2,FALSE))</f>
        <v/>
      </c>
      <c r="G15" s="282" t="str">
        <f>IF(D15="","",VLOOKUP(D15,'G-6 Hedgerow Data'!$B$2:$AG$15,3,FALSE))</f>
        <v/>
      </c>
      <c r="H15" s="105"/>
      <c r="I15" s="282" t="str">
        <f>IFERROR(IF(AND(D15&lt;&gt;"",H15=""), "Check data ⚠",(IF(H15="","",IF(AND(D15="Non-native and ornamental hedgerow", H15&lt;&gt;"Poor"),"Not possible ▲", (IF(AND(F15="V.Low",OR(H15="Good",H15="Moderate")),"Error ▲",VLOOKUP(H15,'G-1 All Habitats'!$Z$2:$AA$9,2,FALSE))))))),"")</f>
        <v/>
      </c>
      <c r="J15" s="105"/>
      <c r="K15" s="301" t="str">
        <f>IF(AND(J15="",D15&lt;&gt;""),"Check data ⚠",IF(J15="","",IF(VLOOKUP(J15,'G-3 Multipliers'!$L$3:$N$6,2,FALSE)=0,"Spatial Data Missing ⚠",VLOOKUP(J15,'G-3 Multipliers'!$L$3:$N$6,2,FALSE))))</f>
        <v/>
      </c>
      <c r="L15" s="305" t="str">
        <f>IF(J15="","",IF(VLOOKUP(J15,'G-3 Multipliers'!$L$3:$N$6,3,FALSE)=0,"Spatial Data Missing ⚠",VLOOKUP(J15,'G-3 Multipliers'!$L$3:$N$6,3,FALSE)))</f>
        <v/>
      </c>
      <c r="M15" s="342" t="str">
        <f>IF(D15="","",VLOOKUP(D15,'G-6 Hedgerow Data'!$B$1:$AH$15,33,FALSE))</f>
        <v/>
      </c>
      <c r="N15" s="295" t="str">
        <f t="shared" si="3"/>
        <v/>
      </c>
      <c r="O15" s="403"/>
      <c r="P15" s="287" t="str">
        <f>IF(O15="","",IF(VLOOKUP(O15,'G-3 Multipliers'!$S$3:$T$10,2,FALSE)=0,"Spatial Data Missing ⚠",VLOOKUP(O15,'G-3 Multipliers'!$S$3:$T$10,2,FALSE)))</f>
        <v/>
      </c>
      <c r="Q15" s="295" t="str">
        <f t="shared" si="4"/>
        <v/>
      </c>
      <c r="R15" s="32"/>
      <c r="S15" s="109"/>
      <c r="T15" s="112"/>
      <c r="U15" s="289" t="str">
        <f t="shared" si="5"/>
        <v/>
      </c>
      <c r="V15" s="289" t="str">
        <f t="shared" si="6"/>
        <v/>
      </c>
      <c r="W15" s="293" t="str">
        <f t="shared" si="7"/>
        <v/>
      </c>
      <c r="X15" s="297" t="str">
        <f t="shared" si="8"/>
        <v/>
      </c>
      <c r="Y15" s="109"/>
      <c r="Z15" s="108"/>
      <c r="AA15" s="108"/>
      <c r="AB15" s="108"/>
      <c r="AE15" s="30" t="str">
        <f>IFERROR(INDEX('G-6 Hedgerow Data'!$BJ$3:$BJ$15,MATCH(D15,'G-6 Hedgerow Data'!$B$3:$B$15,0)),"")</f>
        <v/>
      </c>
      <c r="AH15" s="111" t="str">
        <f t="shared" si="0"/>
        <v/>
      </c>
      <c r="AI15" s="111" t="str">
        <f t="shared" si="1"/>
        <v/>
      </c>
      <c r="AK15" s="111">
        <v>6</v>
      </c>
      <c r="AM15" s="111" t="str">
        <f t="array" ref="AM15">IFERROR(INDEX($AK$10:$AK$258, MATCH(0, IF(TRUE=$AH$10:$AH$258, COUNTIF($AM$9:$AM14, $AK$10:$AK$258), ""), 0)),"")</f>
        <v/>
      </c>
      <c r="AN15" s="111" t="str">
        <f t="array" ref="AN15">IFERROR(INDEX($AK$10:$AK$258, MATCH(0, IF(TRUE=$AI$10:$AI$258, COUNTIF($AN$9:$AN14, $AK$10:$AK$258), ""), 0)),"")</f>
        <v/>
      </c>
      <c r="AY15" s="289" t="str">
        <f t="shared" si="2"/>
        <v/>
      </c>
    </row>
    <row r="16" spans="2:51 16384:16384" ht="13.8" x14ac:dyDescent="0.25">
      <c r="B16" s="101">
        <v>7</v>
      </c>
      <c r="C16" s="142"/>
      <c r="D16" s="137"/>
      <c r="E16" s="51"/>
      <c r="F16" s="281" t="str">
        <f>IF(D16="","",VLOOKUP(D16,'G-6 Hedgerow Data'!$B$2:$AG$15,2,FALSE))</f>
        <v/>
      </c>
      <c r="G16" s="282" t="str">
        <f>IF(D16="","",VLOOKUP(D16,'G-6 Hedgerow Data'!$B$2:$AG$15,3,FALSE))</f>
        <v/>
      </c>
      <c r="H16" s="105"/>
      <c r="I16" s="282" t="str">
        <f>IFERROR(IF(AND(D16&lt;&gt;"",H16=""), "Check data ⚠",(IF(H16="","",IF(AND(D16="Non-native and ornamental hedgerow", H16&lt;&gt;"Poor"),"Not possible ▲", (IF(AND(F16="V.Low",OR(H16="Good",H16="Moderate")),"Error ▲",VLOOKUP(H16,'G-1 All Habitats'!$Z$2:$AA$9,2,FALSE))))))),"")</f>
        <v/>
      </c>
      <c r="J16" s="105"/>
      <c r="K16" s="301" t="str">
        <f>IF(AND(J16="",D16&lt;&gt;""),"Check data ⚠",IF(J16="","",IF(VLOOKUP(J16,'G-3 Multipliers'!$L$3:$N$6,2,FALSE)=0,"Spatial Data Missing ⚠",VLOOKUP(J16,'G-3 Multipliers'!$L$3:$N$6,2,FALSE))))</f>
        <v/>
      </c>
      <c r="L16" s="305" t="str">
        <f>IF(J16="","",IF(VLOOKUP(J16,'G-3 Multipliers'!$L$3:$N$6,3,FALSE)=0,"Spatial Data Missing ⚠",VLOOKUP(J16,'G-3 Multipliers'!$L$3:$N$6,3,FALSE)))</f>
        <v/>
      </c>
      <c r="M16" s="342" t="str">
        <f>IF(D16="","",VLOOKUP(D16,'G-6 Hedgerow Data'!$B$1:$AH$15,33,FALSE))</f>
        <v/>
      </c>
      <c r="N16" s="295" t="str">
        <f t="shared" si="3"/>
        <v/>
      </c>
      <c r="O16" s="403"/>
      <c r="P16" s="287" t="str">
        <f>IF(O16="","",IF(VLOOKUP(O16,'G-3 Multipliers'!$S$3:$T$10,2,FALSE)=0,"Spatial Data Missing ⚠",VLOOKUP(O16,'G-3 Multipliers'!$S$3:$T$10,2,FALSE)))</f>
        <v/>
      </c>
      <c r="Q16" s="295" t="str">
        <f t="shared" si="4"/>
        <v/>
      </c>
      <c r="R16" s="32"/>
      <c r="S16" s="109"/>
      <c r="T16" s="112"/>
      <c r="U16" s="289" t="str">
        <f t="shared" si="5"/>
        <v/>
      </c>
      <c r="V16" s="289" t="str">
        <f t="shared" si="6"/>
        <v/>
      </c>
      <c r="W16" s="293" t="str">
        <f t="shared" si="7"/>
        <v/>
      </c>
      <c r="X16" s="297" t="str">
        <f t="shared" si="8"/>
        <v/>
      </c>
      <c r="Y16" s="109"/>
      <c r="Z16" s="108"/>
      <c r="AA16" s="108"/>
      <c r="AB16" s="108"/>
      <c r="AE16" s="30" t="str">
        <f>IFERROR(INDEX('G-6 Hedgerow Data'!$BJ$3:$BJ$15,MATCH(D16,'G-6 Hedgerow Data'!$B$3:$B$15,0)),"")</f>
        <v/>
      </c>
      <c r="AH16" s="111" t="str">
        <f t="shared" si="0"/>
        <v/>
      </c>
      <c r="AI16" s="111" t="str">
        <f t="shared" si="1"/>
        <v/>
      </c>
      <c r="AK16" s="111">
        <v>7</v>
      </c>
      <c r="AM16" s="111" t="str">
        <f t="array" ref="AM16">IFERROR(INDEX($AK$10:$AK$258, MATCH(0, IF(TRUE=$AH$10:$AH$258, COUNTIF($AM$9:$AM15, $AK$10:$AK$258), ""), 0)),"")</f>
        <v/>
      </c>
      <c r="AN16" s="111" t="str">
        <f t="array" ref="AN16">IFERROR(INDEX($AK$10:$AK$258, MATCH(0, IF(TRUE=$AI$10:$AI$258, COUNTIF($AN$9:$AN15, $AK$10:$AK$258), ""), 0)),"")</f>
        <v/>
      </c>
      <c r="AY16" s="289" t="str">
        <f t="shared" si="2"/>
        <v/>
      </c>
    </row>
    <row r="17" spans="2:51" ht="13.8" x14ac:dyDescent="0.25">
      <c r="B17" s="101">
        <v>8</v>
      </c>
      <c r="C17" s="142"/>
      <c r="D17" s="137"/>
      <c r="E17" s="51"/>
      <c r="F17" s="281" t="str">
        <f>IF(D17="","",VLOOKUP(D17,'G-6 Hedgerow Data'!$B$2:$AG$15,2,FALSE))</f>
        <v/>
      </c>
      <c r="G17" s="282" t="str">
        <f>IF(D17="","",VLOOKUP(D17,'G-6 Hedgerow Data'!$B$2:$AG$15,3,FALSE))</f>
        <v/>
      </c>
      <c r="H17" s="105"/>
      <c r="I17" s="282" t="str">
        <f>IFERROR(IF(AND(D17&lt;&gt;"",H17=""), "Check data ⚠",(IF(H17="","",IF(AND(D17="Non-native and ornamental hedgerow", H17&lt;&gt;"Poor"),"Not possible ▲", (IF(AND(F17="V.Low",OR(H17="Good",H17="Moderate")),"Error ▲",VLOOKUP(H17,'G-1 All Habitats'!$Z$2:$AA$9,2,FALSE))))))),"")</f>
        <v/>
      </c>
      <c r="J17" s="105"/>
      <c r="K17" s="301" t="str">
        <f>IF(AND(J17="",D17&lt;&gt;""),"Check data ⚠",IF(J17="","",IF(VLOOKUP(J17,'G-3 Multipliers'!$L$3:$N$6,2,FALSE)=0,"Spatial Data Missing ⚠",VLOOKUP(J17,'G-3 Multipliers'!$L$3:$N$6,2,FALSE))))</f>
        <v/>
      </c>
      <c r="L17" s="305" t="str">
        <f>IF(J17="","",IF(VLOOKUP(J17,'G-3 Multipliers'!$L$3:$N$6,3,FALSE)=0,"Spatial Data Missing ⚠",VLOOKUP(J17,'G-3 Multipliers'!$L$3:$N$6,3,FALSE)))</f>
        <v/>
      </c>
      <c r="M17" s="342" t="str">
        <f>IF(D17="","",VLOOKUP(D17,'G-6 Hedgerow Data'!$B$1:$AH$15,33,FALSE))</f>
        <v/>
      </c>
      <c r="N17" s="295" t="str">
        <f t="shared" si="3"/>
        <v/>
      </c>
      <c r="O17" s="403"/>
      <c r="P17" s="287" t="str">
        <f>IF(O17="","",IF(VLOOKUP(O17,'G-3 Multipliers'!$S$3:$T$10,2,FALSE)=0,"Spatial Data Missing ⚠",VLOOKUP(O17,'G-3 Multipliers'!$S$3:$T$10,2,FALSE)))</f>
        <v/>
      </c>
      <c r="Q17" s="295" t="str">
        <f t="shared" si="4"/>
        <v/>
      </c>
      <c r="R17" s="32"/>
      <c r="S17" s="109"/>
      <c r="T17" s="112"/>
      <c r="U17" s="289" t="str">
        <f t="shared" si="5"/>
        <v/>
      </c>
      <c r="V17" s="289" t="str">
        <f t="shared" si="6"/>
        <v/>
      </c>
      <c r="W17" s="293" t="str">
        <f t="shared" si="7"/>
        <v/>
      </c>
      <c r="X17" s="297" t="str">
        <f t="shared" si="8"/>
        <v/>
      </c>
      <c r="Y17" s="109"/>
      <c r="Z17" s="108"/>
      <c r="AA17" s="108"/>
      <c r="AB17" s="108"/>
      <c r="AE17" s="30" t="str">
        <f>IFERROR(INDEX('G-6 Hedgerow Data'!$BJ$3:$BJ$15,MATCH(D17,'G-6 Hedgerow Data'!$B$3:$B$15,0)),"")</f>
        <v/>
      </c>
      <c r="AH17" s="111" t="str">
        <f t="shared" si="0"/>
        <v/>
      </c>
      <c r="AI17" s="111" t="str">
        <f t="shared" si="1"/>
        <v/>
      </c>
      <c r="AK17" s="111">
        <v>8</v>
      </c>
      <c r="AM17" s="111" t="str">
        <f t="array" ref="AM17">IFERROR(INDEX($AK$10:$AK$258, MATCH(0, IF(TRUE=$AH$10:$AH$258, COUNTIF($AM$9:$AM16, $AK$10:$AK$258), ""), 0)),"")</f>
        <v/>
      </c>
      <c r="AN17" s="111" t="str">
        <f t="array" ref="AN17">IFERROR(INDEX($AK$10:$AK$258, MATCH(0, IF(TRUE=$AI$10:$AI$258, COUNTIF($AN$9:$AN16, $AK$10:$AK$258), ""), 0)),"")</f>
        <v/>
      </c>
      <c r="AY17" s="289" t="str">
        <f t="shared" si="2"/>
        <v/>
      </c>
    </row>
    <row r="18" spans="2:51" ht="13.8" x14ac:dyDescent="0.25">
      <c r="B18" s="101">
        <v>9</v>
      </c>
      <c r="C18" s="142"/>
      <c r="D18" s="137"/>
      <c r="E18" s="119"/>
      <c r="F18" s="281" t="str">
        <f>IF(D18="","",VLOOKUP(D18,'G-6 Hedgerow Data'!$B$2:$AG$15,2,FALSE))</f>
        <v/>
      </c>
      <c r="G18" s="282" t="str">
        <f>IF(D18="","",VLOOKUP(D18,'G-6 Hedgerow Data'!$B$2:$AG$15,3,FALSE))</f>
        <v/>
      </c>
      <c r="H18" s="105"/>
      <c r="I18" s="282" t="str">
        <f>IFERROR(IF(AND(D18&lt;&gt;"",H18=""), "Check data ⚠",(IF(H18="","",IF(AND(D18="Non-native and ornamental hedgerow", H18&lt;&gt;"Poor"),"Not possible ▲", (IF(AND(F18="V.Low",OR(H18="Good",H18="Moderate")),"Error ▲",VLOOKUP(H18,'G-1 All Habitats'!$Z$2:$AA$9,2,FALSE))))))),"")</f>
        <v/>
      </c>
      <c r="J18" s="105"/>
      <c r="K18" s="301" t="str">
        <f>IF(AND(J18="",D18&lt;&gt;""),"Check data ⚠",IF(J18="","",IF(VLOOKUP(J18,'G-3 Multipliers'!$L$3:$N$6,2,FALSE)=0,"Spatial Data Missing ⚠",VLOOKUP(J18,'G-3 Multipliers'!$L$3:$N$6,2,FALSE))))</f>
        <v/>
      </c>
      <c r="L18" s="305" t="str">
        <f>IF(J18="","",IF(VLOOKUP(J18,'G-3 Multipliers'!$L$3:$N$6,3,FALSE)=0,"Spatial Data Missing ⚠",VLOOKUP(J18,'G-3 Multipliers'!$L$3:$N$6,3,FALSE)))</f>
        <v/>
      </c>
      <c r="M18" s="342" t="str">
        <f>IF(D18="","",VLOOKUP(D18,'G-6 Hedgerow Data'!$B$1:$AH$15,33,FALSE))</f>
        <v/>
      </c>
      <c r="N18" s="295" t="str">
        <f t="shared" si="3"/>
        <v/>
      </c>
      <c r="O18" s="403"/>
      <c r="P18" s="287" t="str">
        <f>IF(O18="","",IF(VLOOKUP(O18,'G-3 Multipliers'!$S$3:$T$10,2,FALSE)=0,"Spatial Data Missing ⚠",VLOOKUP(O18,'G-3 Multipliers'!$S$3:$T$10,2,FALSE)))</f>
        <v/>
      </c>
      <c r="Q18" s="295" t="str">
        <f t="shared" si="4"/>
        <v/>
      </c>
      <c r="R18" s="32"/>
      <c r="S18" s="109"/>
      <c r="T18" s="112"/>
      <c r="U18" s="289" t="str">
        <f t="shared" si="5"/>
        <v/>
      </c>
      <c r="V18" s="289" t="str">
        <f t="shared" si="6"/>
        <v/>
      </c>
      <c r="W18" s="293" t="str">
        <f t="shared" si="7"/>
        <v/>
      </c>
      <c r="X18" s="297" t="str">
        <f t="shared" si="8"/>
        <v/>
      </c>
      <c r="Y18" s="109"/>
      <c r="Z18" s="108"/>
      <c r="AA18" s="108"/>
      <c r="AB18" s="108"/>
      <c r="AE18" s="30" t="str">
        <f>IFERROR(INDEX('G-6 Hedgerow Data'!$BJ$3:$BJ$15,MATCH(D18,'G-6 Hedgerow Data'!$B$3:$B$15,0)),"")</f>
        <v/>
      </c>
      <c r="AH18" s="111" t="str">
        <f t="shared" si="0"/>
        <v/>
      </c>
      <c r="AI18" s="111" t="str">
        <f t="shared" si="1"/>
        <v/>
      </c>
      <c r="AK18" s="111">
        <v>9</v>
      </c>
      <c r="AM18" s="111" t="str">
        <f t="array" ref="AM18">IFERROR(INDEX($AK$10:$AK$258, MATCH(0, IF(TRUE=$AH$10:$AH$258, COUNTIF($AM$9:$AM17, $AK$10:$AK$258), ""), 0)),"")</f>
        <v/>
      </c>
      <c r="AN18" s="111" t="str">
        <f t="array" ref="AN18">IFERROR(INDEX($AK$10:$AK$258, MATCH(0, IF(TRUE=$AI$10:$AI$258, COUNTIF($AN$9:$AN17, $AK$10:$AK$258), ""), 0)),"")</f>
        <v/>
      </c>
      <c r="AY18" s="289" t="str">
        <f t="shared" si="2"/>
        <v/>
      </c>
    </row>
    <row r="19" spans="2:51" ht="13.8" x14ac:dyDescent="0.25">
      <c r="B19" s="101">
        <v>10</v>
      </c>
      <c r="C19" s="142"/>
      <c r="D19" s="137"/>
      <c r="E19" s="119"/>
      <c r="F19" s="281" t="str">
        <f>IF(D19="","",VLOOKUP(D19,'G-6 Hedgerow Data'!$B$2:$AG$15,2,FALSE))</f>
        <v/>
      </c>
      <c r="G19" s="282" t="str">
        <f>IF(D19="","",VLOOKUP(D19,'G-6 Hedgerow Data'!$B$2:$AG$15,3,FALSE))</f>
        <v/>
      </c>
      <c r="H19" s="105"/>
      <c r="I19" s="282" t="str">
        <f>IFERROR(IF(AND(D19&lt;&gt;"",H19=""), "Check data ⚠",(IF(H19="","",IF(AND(D19="Non-native and ornamental hedgerow", H19&lt;&gt;"Poor"),"Not possible ▲", (IF(AND(F19="V.Low",OR(H19="Good",H19="Moderate")),"Error ▲",VLOOKUP(H19,'G-1 All Habitats'!$Z$2:$AA$9,2,FALSE))))))),"")</f>
        <v/>
      </c>
      <c r="J19" s="105"/>
      <c r="K19" s="301" t="str">
        <f>IF(AND(J19="",D19&lt;&gt;""),"Check data ⚠",IF(J19="","",IF(VLOOKUP(J19,'G-3 Multipliers'!$L$3:$N$6,2,FALSE)=0,"Spatial Data Missing ⚠",VLOOKUP(J19,'G-3 Multipliers'!$L$3:$N$6,2,FALSE))))</f>
        <v/>
      </c>
      <c r="L19" s="305" t="str">
        <f>IF(J19="","",IF(VLOOKUP(J19,'G-3 Multipliers'!$L$3:$N$6,3,FALSE)=0,"Spatial Data Missing ⚠",VLOOKUP(J19,'G-3 Multipliers'!$L$3:$N$6,3,FALSE)))</f>
        <v/>
      </c>
      <c r="M19" s="342" t="str">
        <f>IF(D19="","",VLOOKUP(D19,'G-6 Hedgerow Data'!$B$1:$AH$15,33,FALSE))</f>
        <v/>
      </c>
      <c r="N19" s="295" t="str">
        <f t="shared" si="3"/>
        <v/>
      </c>
      <c r="O19" s="403"/>
      <c r="P19" s="287" t="str">
        <f>IF(O19="","",IF(VLOOKUP(O19,'G-3 Multipliers'!$S$3:$T$10,2,FALSE)=0,"Spatial Data Missing ⚠",VLOOKUP(O19,'G-3 Multipliers'!$S$3:$T$10,2,FALSE)))</f>
        <v/>
      </c>
      <c r="Q19" s="295" t="str">
        <f t="shared" si="4"/>
        <v/>
      </c>
      <c r="R19" s="32"/>
      <c r="S19" s="109"/>
      <c r="T19" s="112"/>
      <c r="U19" s="289" t="str">
        <f t="shared" si="5"/>
        <v/>
      </c>
      <c r="V19" s="289" t="str">
        <f t="shared" si="6"/>
        <v/>
      </c>
      <c r="W19" s="293" t="str">
        <f t="shared" si="7"/>
        <v/>
      </c>
      <c r="X19" s="297" t="str">
        <f t="shared" si="8"/>
        <v/>
      </c>
      <c r="Y19" s="109"/>
      <c r="Z19" s="108"/>
      <c r="AA19" s="108"/>
      <c r="AB19" s="108"/>
      <c r="AE19" s="30" t="str">
        <f>IFERROR(INDEX('G-6 Hedgerow Data'!$BJ$3:$BJ$15,MATCH(D19,'G-6 Hedgerow Data'!$B$3:$B$15,0)),"")</f>
        <v/>
      </c>
      <c r="AH19" s="111" t="str">
        <f t="shared" si="0"/>
        <v/>
      </c>
      <c r="AI19" s="111" t="str">
        <f t="shared" si="1"/>
        <v/>
      </c>
      <c r="AK19" s="111">
        <v>10</v>
      </c>
      <c r="AM19" s="111" t="str">
        <f t="array" ref="AM19">IFERROR(INDEX($AK$10:$AK$258, MATCH(0, IF(TRUE=$AH$10:$AH$258, COUNTIF($AM$9:$AM18, $AK$10:$AK$258), ""), 0)),"")</f>
        <v/>
      </c>
      <c r="AN19" s="111" t="str">
        <f t="array" ref="AN19">IFERROR(INDEX($AK$10:$AK$258, MATCH(0, IF(TRUE=$AI$10:$AI$258, COUNTIF($AN$9:$AN18, $AK$10:$AK$258), ""), 0)),"")</f>
        <v/>
      </c>
      <c r="AY19" s="289" t="str">
        <f t="shared" si="2"/>
        <v/>
      </c>
    </row>
    <row r="20" spans="2:51" ht="13.8" x14ac:dyDescent="0.25">
      <c r="B20" s="101">
        <v>11</v>
      </c>
      <c r="C20" s="142"/>
      <c r="D20" s="137"/>
      <c r="E20" s="119"/>
      <c r="F20" s="281" t="str">
        <f>IF(D20="","",VLOOKUP(D20,'G-6 Hedgerow Data'!$B$2:$AG$15,2,FALSE))</f>
        <v/>
      </c>
      <c r="G20" s="282" t="str">
        <f>IF(D20="","",VLOOKUP(D20,'G-6 Hedgerow Data'!$B$2:$AG$15,3,FALSE))</f>
        <v/>
      </c>
      <c r="H20" s="105"/>
      <c r="I20" s="282" t="str">
        <f>IFERROR(IF(AND(D20&lt;&gt;"",H20=""), "Check data ⚠",(IF(H20="","",IF(AND(D20="Non-native and ornamental hedgerow", H20&lt;&gt;"Poor"),"Not possible ▲", (IF(AND(F20="V.Low",OR(H20="Good",H20="Moderate")),"Error ▲",VLOOKUP(H20,'G-1 All Habitats'!$Z$2:$AA$9,2,FALSE))))))),"")</f>
        <v/>
      </c>
      <c r="J20" s="105"/>
      <c r="K20" s="301" t="str">
        <f>IF(AND(J20="",D20&lt;&gt;""),"Check data ⚠",IF(J20="","",IF(VLOOKUP(J20,'G-3 Multipliers'!$L$3:$N$6,2,FALSE)=0,"Spatial Data Missing ⚠",VLOOKUP(J20,'G-3 Multipliers'!$L$3:$N$6,2,FALSE))))</f>
        <v/>
      </c>
      <c r="L20" s="305" t="str">
        <f>IF(J20="","",IF(VLOOKUP(J20,'G-3 Multipliers'!$L$3:$N$6,3,FALSE)=0,"Spatial Data Missing ⚠",VLOOKUP(J20,'G-3 Multipliers'!$L$3:$N$6,3,FALSE)))</f>
        <v/>
      </c>
      <c r="M20" s="342" t="str">
        <f>IF(D20="","",VLOOKUP(D20,'G-6 Hedgerow Data'!$B$1:$AH$15,33,FALSE))</f>
        <v/>
      </c>
      <c r="N20" s="295" t="str">
        <f t="shared" si="3"/>
        <v/>
      </c>
      <c r="O20" s="403"/>
      <c r="P20" s="287" t="str">
        <f>IF(O20="","",IF(VLOOKUP(O20,'G-3 Multipliers'!$S$3:$T$10,2,FALSE)=0,"Spatial Data Missing ⚠",VLOOKUP(O20,'G-3 Multipliers'!$S$3:$T$10,2,FALSE)))</f>
        <v/>
      </c>
      <c r="Q20" s="295" t="str">
        <f t="shared" si="4"/>
        <v/>
      </c>
      <c r="R20" s="32"/>
      <c r="S20" s="109"/>
      <c r="T20" s="112"/>
      <c r="U20" s="289" t="str">
        <f t="shared" si="5"/>
        <v/>
      </c>
      <c r="V20" s="289" t="str">
        <f t="shared" si="6"/>
        <v/>
      </c>
      <c r="W20" s="293" t="str">
        <f t="shared" si="7"/>
        <v/>
      </c>
      <c r="X20" s="297" t="str">
        <f t="shared" si="8"/>
        <v/>
      </c>
      <c r="Y20" s="109"/>
      <c r="Z20" s="108"/>
      <c r="AA20" s="108"/>
      <c r="AB20" s="108"/>
      <c r="AE20" s="30" t="str">
        <f>IFERROR(INDEX('G-6 Hedgerow Data'!$BJ$3:$BJ$15,MATCH(D20,'G-6 Hedgerow Data'!$B$3:$B$15,0)),"")</f>
        <v/>
      </c>
      <c r="AH20" s="111" t="str">
        <f t="shared" si="0"/>
        <v/>
      </c>
      <c r="AI20" s="111" t="str">
        <f t="shared" si="1"/>
        <v/>
      </c>
      <c r="AK20" s="111">
        <v>11</v>
      </c>
      <c r="AM20" s="111" t="str">
        <f t="array" ref="AM20">IFERROR(INDEX($AK$10:$AK$258, MATCH(0, IF(TRUE=$AH$10:$AH$258, COUNTIF($AM$9:$AM19, $AK$10:$AK$258), ""), 0)),"")</f>
        <v/>
      </c>
      <c r="AN20" s="111" t="str">
        <f t="array" ref="AN20">IFERROR(INDEX($AK$10:$AK$258, MATCH(0, IF(TRUE=$AI$10:$AI$258, COUNTIF($AN$9:$AN19, $AK$10:$AK$258), ""), 0)),"")</f>
        <v/>
      </c>
      <c r="AY20" s="289" t="str">
        <f t="shared" si="2"/>
        <v/>
      </c>
    </row>
    <row r="21" spans="2:51" ht="13.8" x14ac:dyDescent="0.25">
      <c r="B21" s="101">
        <v>12</v>
      </c>
      <c r="C21" s="142"/>
      <c r="D21" s="137"/>
      <c r="E21" s="119"/>
      <c r="F21" s="281" t="str">
        <f>IF(D21="","",VLOOKUP(D21,'G-6 Hedgerow Data'!$B$2:$AG$15,2,FALSE))</f>
        <v/>
      </c>
      <c r="G21" s="282" t="str">
        <f>IF(D21="","",VLOOKUP(D21,'G-6 Hedgerow Data'!$B$2:$AG$15,3,FALSE))</f>
        <v/>
      </c>
      <c r="H21" s="105"/>
      <c r="I21" s="282" t="str">
        <f>IFERROR(IF(AND(D21&lt;&gt;"",H21=""), "Check data ⚠",(IF(H21="","",IF(AND(D21="Non-native and ornamental hedgerow", H21&lt;&gt;"Poor"),"Not possible ▲", (IF(AND(F21="V.Low",OR(H21="Good",H21="Moderate")),"Error ▲",VLOOKUP(H21,'G-1 All Habitats'!$Z$2:$AA$9,2,FALSE))))))),"")</f>
        <v/>
      </c>
      <c r="J21" s="105"/>
      <c r="K21" s="301" t="str">
        <f>IF(AND(J21="",D21&lt;&gt;""),"Check data ⚠",IF(J21="","",IF(VLOOKUP(J21,'G-3 Multipliers'!$L$3:$N$6,2,FALSE)=0,"Spatial Data Missing ⚠",VLOOKUP(J21,'G-3 Multipliers'!$L$3:$N$6,2,FALSE))))</f>
        <v/>
      </c>
      <c r="L21" s="305" t="str">
        <f>IF(J21="","",IF(VLOOKUP(J21,'G-3 Multipliers'!$L$3:$N$6,3,FALSE)=0,"Spatial Data Missing ⚠",VLOOKUP(J21,'G-3 Multipliers'!$L$3:$N$6,3,FALSE)))</f>
        <v/>
      </c>
      <c r="M21" s="342" t="str">
        <f>IF(D21="","",VLOOKUP(D21,'G-6 Hedgerow Data'!$B$1:$AH$15,33,FALSE))</f>
        <v/>
      </c>
      <c r="N21" s="295" t="str">
        <f t="shared" si="3"/>
        <v/>
      </c>
      <c r="O21" s="403"/>
      <c r="P21" s="287" t="str">
        <f>IF(O21="","",IF(VLOOKUP(O21,'G-3 Multipliers'!$S$3:$T$10,2,FALSE)=0,"Spatial Data Missing ⚠",VLOOKUP(O21,'G-3 Multipliers'!$S$3:$T$10,2,FALSE)))</f>
        <v/>
      </c>
      <c r="Q21" s="295" t="str">
        <f t="shared" si="4"/>
        <v/>
      </c>
      <c r="R21" s="32"/>
      <c r="S21" s="109"/>
      <c r="T21" s="112"/>
      <c r="U21" s="289" t="str">
        <f t="shared" si="5"/>
        <v/>
      </c>
      <c r="V21" s="289" t="str">
        <f t="shared" si="6"/>
        <v/>
      </c>
      <c r="W21" s="293" t="str">
        <f t="shared" si="7"/>
        <v/>
      </c>
      <c r="X21" s="297" t="str">
        <f t="shared" si="8"/>
        <v/>
      </c>
      <c r="Y21" s="109"/>
      <c r="Z21" s="108"/>
      <c r="AA21" s="108"/>
      <c r="AB21" s="108"/>
      <c r="AE21" s="30" t="str">
        <f>IFERROR(INDEX('G-6 Hedgerow Data'!$BJ$3:$BJ$15,MATCH(D21,'G-6 Hedgerow Data'!$B$3:$B$15,0)),"")</f>
        <v/>
      </c>
      <c r="AH21" s="111" t="str">
        <f t="shared" si="0"/>
        <v/>
      </c>
      <c r="AI21" s="111" t="str">
        <f t="shared" si="1"/>
        <v/>
      </c>
      <c r="AK21" s="111">
        <v>12</v>
      </c>
      <c r="AM21" s="111" t="str">
        <f t="array" ref="AM21">IFERROR(INDEX($AK$10:$AK$258, MATCH(0, IF(TRUE=$AH$10:$AH$258, COUNTIF($AM$9:$AM20, $AK$10:$AK$258), ""), 0)),"")</f>
        <v/>
      </c>
      <c r="AN21" s="111" t="str">
        <f t="array" ref="AN21">IFERROR(INDEX($AK$10:$AK$258, MATCH(0, IF(TRUE=$AI$10:$AI$258, COUNTIF($AN$9:$AN20, $AK$10:$AK$258), ""), 0)),"")</f>
        <v/>
      </c>
      <c r="AY21" s="289" t="str">
        <f t="shared" si="2"/>
        <v/>
      </c>
    </row>
    <row r="22" spans="2:51" ht="13.8" x14ac:dyDescent="0.25">
      <c r="B22" s="101">
        <v>13</v>
      </c>
      <c r="C22" s="142"/>
      <c r="D22" s="137"/>
      <c r="E22" s="119"/>
      <c r="F22" s="281" t="str">
        <f>IF(D22="","",VLOOKUP(D22,'G-6 Hedgerow Data'!$B$2:$AG$15,2,FALSE))</f>
        <v/>
      </c>
      <c r="G22" s="282" t="str">
        <f>IF(D22="","",VLOOKUP(D22,'G-6 Hedgerow Data'!$B$2:$AG$15,3,FALSE))</f>
        <v/>
      </c>
      <c r="H22" s="105"/>
      <c r="I22" s="282" t="str">
        <f>IFERROR(IF(AND(D22&lt;&gt;"",H22=""), "Check data ⚠",(IF(H22="","",IF(AND(D22="Non-native and ornamental hedgerow", H22&lt;&gt;"Poor"),"Not possible ▲", (IF(AND(F22="V.Low",OR(H22="Good",H22="Moderate")),"Error ▲",VLOOKUP(H22,'G-1 All Habitats'!$Z$2:$AA$9,2,FALSE))))))),"")</f>
        <v/>
      </c>
      <c r="J22" s="105"/>
      <c r="K22" s="301" t="str">
        <f>IF(AND(J22="",D22&lt;&gt;""),"Check data ⚠",IF(J22="","",IF(VLOOKUP(J22,'G-3 Multipliers'!$L$3:$N$6,2,FALSE)=0,"Spatial Data Missing ⚠",VLOOKUP(J22,'G-3 Multipliers'!$L$3:$N$6,2,FALSE))))</f>
        <v/>
      </c>
      <c r="L22" s="305" t="str">
        <f>IF(J22="","",IF(VLOOKUP(J22,'G-3 Multipliers'!$L$3:$N$6,3,FALSE)=0,"Spatial Data Missing ⚠",VLOOKUP(J22,'G-3 Multipliers'!$L$3:$N$6,3,FALSE)))</f>
        <v/>
      </c>
      <c r="M22" s="342" t="str">
        <f>IF(D22="","",VLOOKUP(D22,'G-6 Hedgerow Data'!$B$1:$AH$15,33,FALSE))</f>
        <v/>
      </c>
      <c r="N22" s="295" t="str">
        <f t="shared" si="3"/>
        <v/>
      </c>
      <c r="O22" s="403"/>
      <c r="P22" s="287" t="str">
        <f>IF(O22="","",IF(VLOOKUP(O22,'G-3 Multipliers'!$S$3:$T$10,2,FALSE)=0,"Spatial Data Missing ⚠",VLOOKUP(O22,'G-3 Multipliers'!$S$3:$T$10,2,FALSE)))</f>
        <v/>
      </c>
      <c r="Q22" s="295" t="str">
        <f t="shared" si="4"/>
        <v/>
      </c>
      <c r="R22" s="32"/>
      <c r="S22" s="109"/>
      <c r="T22" s="112"/>
      <c r="U22" s="289" t="str">
        <f t="shared" si="5"/>
        <v/>
      </c>
      <c r="V22" s="289" t="str">
        <f t="shared" si="6"/>
        <v/>
      </c>
      <c r="W22" s="293" t="str">
        <f t="shared" si="7"/>
        <v/>
      </c>
      <c r="X22" s="297" t="str">
        <f t="shared" si="8"/>
        <v/>
      </c>
      <c r="Y22" s="109"/>
      <c r="Z22" s="108"/>
      <c r="AA22" s="108"/>
      <c r="AB22" s="108"/>
      <c r="AE22" s="30" t="str">
        <f>IFERROR(INDEX('G-6 Hedgerow Data'!$BJ$3:$BJ$15,MATCH(D22,'G-6 Hedgerow Data'!$B$3:$B$15,0)),"")</f>
        <v/>
      </c>
      <c r="AH22" s="111" t="str">
        <f t="shared" si="0"/>
        <v/>
      </c>
      <c r="AI22" s="111" t="str">
        <f t="shared" si="1"/>
        <v/>
      </c>
      <c r="AK22" s="111">
        <v>13</v>
      </c>
      <c r="AM22" s="111" t="str">
        <f t="array" ref="AM22">IFERROR(INDEX($AK$10:$AK$258, MATCH(0, IF(TRUE=$AH$10:$AH$258, COUNTIF($AM$9:$AM21, $AK$10:$AK$258), ""), 0)),"")</f>
        <v/>
      </c>
      <c r="AN22" s="111" t="str">
        <f t="array" ref="AN22">IFERROR(INDEX($AK$10:$AK$258, MATCH(0, IF(TRUE=$AI$10:$AI$258, COUNTIF($AN$9:$AN21, $AK$10:$AK$258), ""), 0)),"")</f>
        <v/>
      </c>
      <c r="AY22" s="289" t="str">
        <f t="shared" si="2"/>
        <v/>
      </c>
    </row>
    <row r="23" spans="2:51" ht="13.8" x14ac:dyDescent="0.25">
      <c r="B23" s="101">
        <v>14</v>
      </c>
      <c r="C23" s="142"/>
      <c r="D23" s="58"/>
      <c r="E23" s="119"/>
      <c r="F23" s="281" t="str">
        <f>IF(D23="","",VLOOKUP(D23,'G-6 Hedgerow Data'!$B$2:$AG$15,2,FALSE))</f>
        <v/>
      </c>
      <c r="G23" s="282" t="str">
        <f>IF(D23="","",VLOOKUP(D23,'G-6 Hedgerow Data'!$B$2:$AG$15,3,FALSE))</f>
        <v/>
      </c>
      <c r="H23" s="105"/>
      <c r="I23" s="282" t="str">
        <f>IFERROR(IF(AND(D23&lt;&gt;"",H23=""), "Check data ⚠",(IF(H23="","",IF(AND(D23="Non-native and ornamental hedgerow", H23&lt;&gt;"Poor"),"Not possible ▲", (IF(AND(F23="V.Low",OR(H23="Good",H23="Moderate")),"Error ▲",VLOOKUP(H23,'G-1 All Habitats'!$Z$2:$AA$9,2,FALSE))))))),"")</f>
        <v/>
      </c>
      <c r="J23" s="105"/>
      <c r="K23" s="301" t="str">
        <f>IF(AND(J23="",D23&lt;&gt;""),"Check data ⚠",IF(J23="","",IF(VLOOKUP(J23,'G-3 Multipliers'!$L$3:$N$6,2,FALSE)=0,"Spatial Data Missing ⚠",VLOOKUP(J23,'G-3 Multipliers'!$L$3:$N$6,2,FALSE))))</f>
        <v/>
      </c>
      <c r="L23" s="305" t="str">
        <f>IF(J23="","",IF(VLOOKUP(J23,'G-3 Multipliers'!$L$3:$N$6,3,FALSE)=0,"Spatial Data Missing ⚠",VLOOKUP(J23,'G-3 Multipliers'!$L$3:$N$6,3,FALSE)))</f>
        <v/>
      </c>
      <c r="M23" s="342" t="str">
        <f>IF(D23="","",VLOOKUP(D23,'G-6 Hedgerow Data'!$B$1:$AH$15,33,FALSE))</f>
        <v/>
      </c>
      <c r="N23" s="295" t="str">
        <f t="shared" si="3"/>
        <v/>
      </c>
      <c r="O23" s="403"/>
      <c r="P23" s="287" t="str">
        <f>IF(O23="","",IF(VLOOKUP(O23,'G-3 Multipliers'!$S$3:$T$10,2,FALSE)=0,"Spatial Data Missing ⚠",VLOOKUP(O23,'G-3 Multipliers'!$S$3:$T$10,2,FALSE)))</f>
        <v/>
      </c>
      <c r="Q23" s="295" t="str">
        <f t="shared" si="4"/>
        <v/>
      </c>
      <c r="R23" s="32"/>
      <c r="S23" s="109"/>
      <c r="T23" s="112"/>
      <c r="U23" s="289" t="str">
        <f t="shared" si="5"/>
        <v/>
      </c>
      <c r="V23" s="289" t="str">
        <f t="shared" si="6"/>
        <v/>
      </c>
      <c r="W23" s="293" t="str">
        <f t="shared" si="7"/>
        <v/>
      </c>
      <c r="X23" s="297" t="str">
        <f t="shared" si="8"/>
        <v/>
      </c>
      <c r="Y23" s="109"/>
      <c r="Z23" s="108"/>
      <c r="AA23" s="108"/>
      <c r="AB23" s="108"/>
      <c r="AE23" s="30" t="str">
        <f>IFERROR(INDEX('G-6 Hedgerow Data'!$BJ$3:$BJ$15,MATCH(D23,'G-6 Hedgerow Data'!$B$3:$B$15,0)),"")</f>
        <v/>
      </c>
      <c r="AH23" s="111" t="str">
        <f t="shared" si="0"/>
        <v/>
      </c>
      <c r="AI23" s="111" t="str">
        <f t="shared" si="1"/>
        <v/>
      </c>
      <c r="AK23" s="111">
        <v>14</v>
      </c>
      <c r="AM23" s="111" t="str">
        <f t="array" ref="AM23">IFERROR(INDEX($AK$10:$AK$258, MATCH(0, IF(TRUE=$AH$10:$AH$258, COUNTIF($AM$9:$AM22, $AK$10:$AK$258), ""), 0)),"")</f>
        <v/>
      </c>
      <c r="AN23" s="111" t="str">
        <f t="array" ref="AN23">IFERROR(INDEX($AK$10:$AK$258, MATCH(0, IF(TRUE=$AI$10:$AI$258, COUNTIF($AN$9:$AN22, $AK$10:$AK$258), ""), 0)),"")</f>
        <v/>
      </c>
      <c r="AY23" s="289" t="str">
        <f t="shared" si="2"/>
        <v/>
      </c>
    </row>
    <row r="24" spans="2:51" ht="13.8" x14ac:dyDescent="0.25">
      <c r="B24" s="101">
        <v>15</v>
      </c>
      <c r="C24" s="142"/>
      <c r="D24" s="58"/>
      <c r="E24" s="119"/>
      <c r="F24" s="281" t="str">
        <f>IF(D24="","",VLOOKUP(D24,'G-6 Hedgerow Data'!$B$2:$AG$15,2,FALSE))</f>
        <v/>
      </c>
      <c r="G24" s="282" t="str">
        <f>IF(D24="","",VLOOKUP(D24,'G-6 Hedgerow Data'!$B$2:$AG$15,3,FALSE))</f>
        <v/>
      </c>
      <c r="H24" s="105"/>
      <c r="I24" s="282" t="str">
        <f>IFERROR(IF(AND(D24&lt;&gt;"",H24=""), "Check data ⚠",(IF(H24="","",IF(AND(D24="Non-native and ornamental hedgerow", H24&lt;&gt;"Poor"),"Not possible ▲", (IF(AND(F24="V.Low",OR(H24="Good",H24="Moderate")),"Error ▲",VLOOKUP(H24,'G-1 All Habitats'!$Z$2:$AA$9,2,FALSE))))))),"")</f>
        <v/>
      </c>
      <c r="J24" s="105"/>
      <c r="K24" s="301" t="str">
        <f>IF(AND(J24="",D24&lt;&gt;""),"Check data ⚠",IF(J24="","",IF(VLOOKUP(J24,'G-3 Multipliers'!$L$3:$N$6,2,FALSE)=0,"Spatial Data Missing ⚠",VLOOKUP(J24,'G-3 Multipliers'!$L$3:$N$6,2,FALSE))))</f>
        <v/>
      </c>
      <c r="L24" s="305" t="str">
        <f>IF(J24="","",IF(VLOOKUP(J24,'G-3 Multipliers'!$L$3:$N$6,3,FALSE)=0,"Spatial Data Missing ⚠",VLOOKUP(J24,'G-3 Multipliers'!$L$3:$N$6,3,FALSE)))</f>
        <v/>
      </c>
      <c r="M24" s="342" t="str">
        <f>IF(D24="","",VLOOKUP(D24,'G-6 Hedgerow Data'!$B$1:$AH$15,33,FALSE))</f>
        <v/>
      </c>
      <c r="N24" s="295" t="str">
        <f t="shared" si="3"/>
        <v/>
      </c>
      <c r="O24" s="403"/>
      <c r="P24" s="287" t="str">
        <f>IF(O24="","",IF(VLOOKUP(O24,'G-3 Multipliers'!$S$3:$T$10,2,FALSE)=0,"Spatial Data Missing ⚠",VLOOKUP(O24,'G-3 Multipliers'!$S$3:$T$10,2,FALSE)))</f>
        <v/>
      </c>
      <c r="Q24" s="295" t="str">
        <f t="shared" si="4"/>
        <v/>
      </c>
      <c r="R24" s="32"/>
      <c r="S24" s="109"/>
      <c r="T24" s="112"/>
      <c r="U24" s="289" t="str">
        <f t="shared" si="5"/>
        <v/>
      </c>
      <c r="V24" s="289" t="str">
        <f t="shared" si="6"/>
        <v/>
      </c>
      <c r="W24" s="293" t="str">
        <f t="shared" si="7"/>
        <v/>
      </c>
      <c r="X24" s="297" t="str">
        <f t="shared" si="8"/>
        <v/>
      </c>
      <c r="Y24" s="109"/>
      <c r="Z24" s="108"/>
      <c r="AA24" s="108"/>
      <c r="AB24" s="108"/>
      <c r="AE24" s="30" t="str">
        <f>IFERROR(INDEX('G-6 Hedgerow Data'!$BJ$3:$BJ$15,MATCH(D24,'G-6 Hedgerow Data'!$B$3:$B$15,0)),"")</f>
        <v/>
      </c>
      <c r="AH24" s="111" t="str">
        <f t="shared" si="0"/>
        <v/>
      </c>
      <c r="AI24" s="111" t="str">
        <f t="shared" si="1"/>
        <v/>
      </c>
      <c r="AK24" s="111">
        <v>15</v>
      </c>
      <c r="AM24" s="111" t="str">
        <f t="array" ref="AM24">IFERROR(INDEX($AK$10:$AK$258, MATCH(0, IF(TRUE=$AH$10:$AH$258, COUNTIF($AM$9:$AM23, $AK$10:$AK$258), ""), 0)),"")</f>
        <v/>
      </c>
      <c r="AN24" s="111" t="str">
        <f t="array" ref="AN24">IFERROR(INDEX($AK$10:$AK$258, MATCH(0, IF(TRUE=$AI$10:$AI$258, COUNTIF($AN$9:$AN23, $AK$10:$AK$258), ""), 0)),"")</f>
        <v/>
      </c>
      <c r="AY24" s="289" t="str">
        <f t="shared" si="2"/>
        <v/>
      </c>
    </row>
    <row r="25" spans="2:51" ht="13.8" x14ac:dyDescent="0.25">
      <c r="B25" s="101">
        <v>16</v>
      </c>
      <c r="C25" s="142"/>
      <c r="D25" s="58"/>
      <c r="E25" s="119"/>
      <c r="F25" s="281" t="str">
        <f>IF(D25="","",VLOOKUP(D25,'G-6 Hedgerow Data'!$B$2:$AG$15,2,FALSE))</f>
        <v/>
      </c>
      <c r="G25" s="282" t="str">
        <f>IF(D25="","",VLOOKUP(D25,'G-6 Hedgerow Data'!$B$2:$AG$15,3,FALSE))</f>
        <v/>
      </c>
      <c r="H25" s="105"/>
      <c r="I25" s="282" t="str">
        <f>IFERROR(IF(AND(D25&lt;&gt;"",H25=""), "Check data ⚠",(IF(H25="","",IF(AND(D25="Non-native and ornamental hedgerow", H25&lt;&gt;"Poor"),"Not possible ▲", (IF(AND(F25="V.Low",OR(H25="Good",H25="Moderate")),"Error ▲",VLOOKUP(H25,'G-1 All Habitats'!$Z$2:$AA$9,2,FALSE))))))),"")</f>
        <v/>
      </c>
      <c r="J25" s="105"/>
      <c r="K25" s="301" t="str">
        <f>IF(AND(J25="",D25&lt;&gt;""),"Check data ⚠",IF(J25="","",IF(VLOOKUP(J25,'G-3 Multipliers'!$L$3:$N$6,2,FALSE)=0,"Spatial Data Missing ⚠",VLOOKUP(J25,'G-3 Multipliers'!$L$3:$N$6,2,FALSE))))</f>
        <v/>
      </c>
      <c r="L25" s="305" t="str">
        <f>IF(J25="","",IF(VLOOKUP(J25,'G-3 Multipliers'!$L$3:$N$6,3,FALSE)=0,"Spatial Data Missing ⚠",VLOOKUP(J25,'G-3 Multipliers'!$L$3:$N$6,3,FALSE)))</f>
        <v/>
      </c>
      <c r="M25" s="342" t="str">
        <f>IF(D25="","",VLOOKUP(D25,'G-6 Hedgerow Data'!$B$1:$AH$15,33,FALSE))</f>
        <v/>
      </c>
      <c r="N25" s="295" t="str">
        <f t="shared" si="3"/>
        <v/>
      </c>
      <c r="O25" s="403"/>
      <c r="P25" s="287" t="str">
        <f>IF(O25="","",IF(VLOOKUP(O25,'G-3 Multipliers'!$S$3:$T$10,2,FALSE)=0,"Spatial Data Missing ⚠",VLOOKUP(O25,'G-3 Multipliers'!$S$3:$T$10,2,FALSE)))</f>
        <v/>
      </c>
      <c r="Q25" s="295" t="str">
        <f t="shared" si="4"/>
        <v/>
      </c>
      <c r="R25" s="32"/>
      <c r="S25" s="109"/>
      <c r="T25" s="112"/>
      <c r="U25" s="289" t="str">
        <f t="shared" si="5"/>
        <v/>
      </c>
      <c r="V25" s="289" t="str">
        <f t="shared" si="6"/>
        <v/>
      </c>
      <c r="W25" s="293" t="str">
        <f t="shared" si="7"/>
        <v/>
      </c>
      <c r="X25" s="297" t="str">
        <f t="shared" si="8"/>
        <v/>
      </c>
      <c r="Y25" s="109"/>
      <c r="Z25" s="108"/>
      <c r="AA25" s="108"/>
      <c r="AB25" s="108"/>
      <c r="AE25" s="30" t="str">
        <f>IFERROR(INDEX('G-6 Hedgerow Data'!$BJ$3:$BJ$15,MATCH(D25,'G-6 Hedgerow Data'!$B$3:$B$15,0)),"")</f>
        <v/>
      </c>
      <c r="AH25" s="111" t="str">
        <f t="shared" si="0"/>
        <v/>
      </c>
      <c r="AI25" s="111" t="str">
        <f t="shared" si="1"/>
        <v/>
      </c>
      <c r="AK25" s="111">
        <v>16</v>
      </c>
      <c r="AM25" s="111" t="str">
        <f t="array" ref="AM25">IFERROR(INDEX($AK$10:$AK$258, MATCH(0, IF(TRUE=$AH$10:$AH$258, COUNTIF($AM$9:$AM24, $AK$10:$AK$258), ""), 0)),"")</f>
        <v/>
      </c>
      <c r="AN25" s="111" t="str">
        <f t="array" ref="AN25">IFERROR(INDEX($AK$10:$AK$258, MATCH(0, IF(TRUE=$AI$10:$AI$258, COUNTIF($AN$9:$AN24, $AK$10:$AK$258), ""), 0)),"")</f>
        <v/>
      </c>
      <c r="AY25" s="289" t="str">
        <f t="shared" si="2"/>
        <v/>
      </c>
    </row>
    <row r="26" spans="2:51" ht="13.8" x14ac:dyDescent="0.25">
      <c r="B26" s="101">
        <v>17</v>
      </c>
      <c r="C26" s="142"/>
      <c r="D26" s="58"/>
      <c r="E26" s="119"/>
      <c r="F26" s="281" t="str">
        <f>IF(D26="","",VLOOKUP(D26,'G-6 Hedgerow Data'!$B$2:$AG$15,2,FALSE))</f>
        <v/>
      </c>
      <c r="G26" s="282" t="str">
        <f>IF(D26="","",VLOOKUP(D26,'G-6 Hedgerow Data'!$B$2:$AG$15,3,FALSE))</f>
        <v/>
      </c>
      <c r="H26" s="105"/>
      <c r="I26" s="282" t="str">
        <f>IFERROR(IF(AND(D26&lt;&gt;"",H26=""), "Check data ⚠",(IF(H26="","",IF(AND(D26="Non-native and ornamental hedgerow", H26&lt;&gt;"Poor"),"Not possible ▲", (IF(AND(F26="V.Low",OR(H26="Good",H26="Moderate")),"Error ▲",VLOOKUP(H26,'G-1 All Habitats'!$Z$2:$AA$9,2,FALSE))))))),"")</f>
        <v/>
      </c>
      <c r="J26" s="105"/>
      <c r="K26" s="301" t="str">
        <f>IF(AND(J26="",D26&lt;&gt;""),"Check data ⚠",IF(J26="","",IF(VLOOKUP(J26,'G-3 Multipliers'!$L$3:$N$6,2,FALSE)=0,"Spatial Data Missing ⚠",VLOOKUP(J26,'G-3 Multipliers'!$L$3:$N$6,2,FALSE))))</f>
        <v/>
      </c>
      <c r="L26" s="305" t="str">
        <f>IF(J26="","",IF(VLOOKUP(J26,'G-3 Multipliers'!$L$3:$N$6,3,FALSE)=0,"Spatial Data Missing ⚠",VLOOKUP(J26,'G-3 Multipliers'!$L$3:$N$6,3,FALSE)))</f>
        <v/>
      </c>
      <c r="M26" s="342" t="str">
        <f>IF(D26="","",VLOOKUP(D26,'G-6 Hedgerow Data'!$B$1:$AH$15,33,FALSE))</f>
        <v/>
      </c>
      <c r="N26" s="295" t="str">
        <f t="shared" si="3"/>
        <v/>
      </c>
      <c r="O26" s="403"/>
      <c r="P26" s="287" t="str">
        <f>IF(O26="","",IF(VLOOKUP(O26,'G-3 Multipliers'!$S$3:$T$10,2,FALSE)=0,"Spatial Data Missing ⚠",VLOOKUP(O26,'G-3 Multipliers'!$S$3:$T$10,2,FALSE)))</f>
        <v/>
      </c>
      <c r="Q26" s="295" t="str">
        <f t="shared" si="4"/>
        <v/>
      </c>
      <c r="R26" s="32"/>
      <c r="S26" s="109"/>
      <c r="T26" s="112"/>
      <c r="U26" s="289" t="str">
        <f t="shared" si="5"/>
        <v/>
      </c>
      <c r="V26" s="289" t="str">
        <f t="shared" si="6"/>
        <v/>
      </c>
      <c r="W26" s="293" t="str">
        <f t="shared" si="7"/>
        <v/>
      </c>
      <c r="X26" s="297" t="str">
        <f t="shared" si="8"/>
        <v/>
      </c>
      <c r="Y26" s="109"/>
      <c r="Z26" s="108"/>
      <c r="AA26" s="108"/>
      <c r="AB26" s="108"/>
      <c r="AE26" s="30" t="str">
        <f>IFERROR(INDEX('G-6 Hedgerow Data'!$BJ$3:$BJ$15,MATCH(D26,'G-6 Hedgerow Data'!$B$3:$B$15,0)),"")</f>
        <v/>
      </c>
      <c r="AH26" s="111" t="str">
        <f t="shared" si="0"/>
        <v/>
      </c>
      <c r="AI26" s="111" t="str">
        <f t="shared" si="1"/>
        <v/>
      </c>
      <c r="AK26" s="111">
        <v>17</v>
      </c>
      <c r="AM26" s="111" t="str">
        <f t="array" ref="AM26">IFERROR(INDEX($AK$10:$AK$258, MATCH(0, IF(TRUE=$AH$10:$AH$258, COUNTIF($AM$9:$AM25, $AK$10:$AK$258), ""), 0)),"")</f>
        <v/>
      </c>
      <c r="AN26" s="111" t="str">
        <f t="array" ref="AN26">IFERROR(INDEX($AK$10:$AK$258, MATCH(0, IF(TRUE=$AI$10:$AI$258, COUNTIF($AN$9:$AN25, $AK$10:$AK$258), ""), 0)),"")</f>
        <v/>
      </c>
      <c r="AY26" s="289" t="str">
        <f t="shared" si="2"/>
        <v/>
      </c>
    </row>
    <row r="27" spans="2:51" ht="13.8" x14ac:dyDescent="0.25">
      <c r="B27" s="101">
        <v>18</v>
      </c>
      <c r="C27" s="142"/>
      <c r="D27" s="137"/>
      <c r="E27" s="119"/>
      <c r="F27" s="281" t="str">
        <f>IF(D27="","",VLOOKUP(D27,'G-6 Hedgerow Data'!$B$2:$AG$15,2,FALSE))</f>
        <v/>
      </c>
      <c r="G27" s="282" t="str">
        <f>IF(D27="","",VLOOKUP(D27,'G-6 Hedgerow Data'!$B$2:$AG$15,3,FALSE))</f>
        <v/>
      </c>
      <c r="H27" s="105"/>
      <c r="I27" s="282" t="str">
        <f>IFERROR(IF(AND(D27&lt;&gt;"",H27=""), "Check data ⚠",(IF(H27="","",IF(AND(D27="Non-native and ornamental hedgerow", H27&lt;&gt;"Poor"),"Not possible ▲", (IF(AND(F27="V.Low",OR(H27="Good",H27="Moderate")),"Error ▲",VLOOKUP(H27,'G-1 All Habitats'!$Z$2:$AA$9,2,FALSE))))))),"")</f>
        <v/>
      </c>
      <c r="J27" s="105"/>
      <c r="K27" s="301" t="str">
        <f>IF(AND(J27="",D27&lt;&gt;""),"Check data ⚠",IF(J27="","",IF(VLOOKUP(J27,'G-3 Multipliers'!$L$3:$N$6,2,FALSE)=0,"Spatial Data Missing ⚠",VLOOKUP(J27,'G-3 Multipliers'!$L$3:$N$6,2,FALSE))))</f>
        <v/>
      </c>
      <c r="L27" s="305" t="str">
        <f>IF(J27="","",IF(VLOOKUP(J27,'G-3 Multipliers'!$L$3:$N$6,3,FALSE)=0,"Spatial Data Missing ⚠",VLOOKUP(J27,'G-3 Multipliers'!$L$3:$N$6,3,FALSE)))</f>
        <v/>
      </c>
      <c r="M27" s="342" t="str">
        <f>IF(D27="","",VLOOKUP(D27,'G-6 Hedgerow Data'!$B$1:$AH$15,33,FALSE))</f>
        <v/>
      </c>
      <c r="N27" s="295" t="str">
        <f t="shared" si="3"/>
        <v/>
      </c>
      <c r="O27" s="403"/>
      <c r="P27" s="287" t="str">
        <f>IF(O27="","",IF(VLOOKUP(O27,'G-3 Multipliers'!$S$3:$T$10,2,FALSE)=0,"Spatial Data Missing ⚠",VLOOKUP(O27,'G-3 Multipliers'!$S$3:$T$10,2,FALSE)))</f>
        <v/>
      </c>
      <c r="Q27" s="295" t="str">
        <f t="shared" si="4"/>
        <v/>
      </c>
      <c r="R27" s="32"/>
      <c r="S27" s="109"/>
      <c r="T27" s="112"/>
      <c r="U27" s="289" t="str">
        <f t="shared" si="5"/>
        <v/>
      </c>
      <c r="V27" s="289" t="str">
        <f t="shared" si="6"/>
        <v/>
      </c>
      <c r="W27" s="293" t="str">
        <f t="shared" si="7"/>
        <v/>
      </c>
      <c r="X27" s="297" t="str">
        <f t="shared" si="8"/>
        <v/>
      </c>
      <c r="Y27" s="109"/>
      <c r="Z27" s="108"/>
      <c r="AA27" s="108"/>
      <c r="AB27" s="108"/>
      <c r="AE27" s="30" t="str">
        <f>IFERROR(INDEX('G-6 Hedgerow Data'!$BJ$3:$BJ$15,MATCH(D27,'G-6 Hedgerow Data'!$B$3:$B$15,0)),"")</f>
        <v/>
      </c>
      <c r="AH27" s="111" t="str">
        <f t="shared" si="0"/>
        <v/>
      </c>
      <c r="AI27" s="111" t="str">
        <f t="shared" si="1"/>
        <v/>
      </c>
      <c r="AK27" s="111">
        <v>18</v>
      </c>
      <c r="AM27" s="111" t="str">
        <f t="array" ref="AM27">IFERROR(INDEX($AK$10:$AK$258, MATCH(0, IF(TRUE=$AH$10:$AH$258, COUNTIF($AM$9:$AM26, $AK$10:$AK$258), ""), 0)),"")</f>
        <v/>
      </c>
      <c r="AN27" s="111" t="str">
        <f t="array" ref="AN27">IFERROR(INDEX($AK$10:$AK$258, MATCH(0, IF(TRUE=$AI$10:$AI$258, COUNTIF($AN$9:$AN26, $AK$10:$AK$258), ""), 0)),"")</f>
        <v/>
      </c>
      <c r="AY27" s="289" t="str">
        <f t="shared" si="2"/>
        <v/>
      </c>
    </row>
    <row r="28" spans="2:51" ht="13.8" x14ac:dyDescent="0.25">
      <c r="B28" s="101">
        <v>19</v>
      </c>
      <c r="C28" s="142"/>
      <c r="D28" s="137"/>
      <c r="E28" s="119"/>
      <c r="F28" s="281" t="str">
        <f>IF(D28="","",VLOOKUP(D28,'G-6 Hedgerow Data'!$B$2:$AG$15,2,FALSE))</f>
        <v/>
      </c>
      <c r="G28" s="282" t="str">
        <f>IF(D28="","",VLOOKUP(D28,'G-6 Hedgerow Data'!$B$2:$AG$15,3,FALSE))</f>
        <v/>
      </c>
      <c r="H28" s="105"/>
      <c r="I28" s="282" t="str">
        <f>IFERROR(IF(AND(D28&lt;&gt;"",H28=""), "Check data ⚠",(IF(H28="","",IF(AND(D28="Non-native and ornamental hedgerow", H28&lt;&gt;"Poor"),"Not possible ▲", (IF(AND(F28="V.Low",OR(H28="Good",H28="Moderate")),"Error ▲",VLOOKUP(H28,'G-1 All Habitats'!$Z$2:$AA$9,2,FALSE))))))),"")</f>
        <v/>
      </c>
      <c r="J28" s="105"/>
      <c r="K28" s="301" t="str">
        <f>IF(AND(J28="",D28&lt;&gt;""),"Check data ⚠",IF(J28="","",IF(VLOOKUP(J28,'G-3 Multipliers'!$L$3:$N$6,2,FALSE)=0,"Spatial Data Missing ⚠",VLOOKUP(J28,'G-3 Multipliers'!$L$3:$N$6,2,FALSE))))</f>
        <v/>
      </c>
      <c r="L28" s="305" t="str">
        <f>IF(J28="","",IF(VLOOKUP(J28,'G-3 Multipliers'!$L$3:$N$6,3,FALSE)=0,"Spatial Data Missing ⚠",VLOOKUP(J28,'G-3 Multipliers'!$L$3:$N$6,3,FALSE)))</f>
        <v/>
      </c>
      <c r="M28" s="342" t="str">
        <f>IF(D28="","",VLOOKUP(D28,'G-6 Hedgerow Data'!$B$1:$AH$15,33,FALSE))</f>
        <v/>
      </c>
      <c r="N28" s="295" t="str">
        <f t="shared" si="3"/>
        <v/>
      </c>
      <c r="O28" s="403"/>
      <c r="P28" s="287" t="str">
        <f>IF(O28="","",IF(VLOOKUP(O28,'G-3 Multipliers'!$S$3:$T$10,2,FALSE)=0,"Spatial Data Missing ⚠",VLOOKUP(O28,'G-3 Multipliers'!$S$3:$T$10,2,FALSE)))</f>
        <v/>
      </c>
      <c r="Q28" s="295" t="str">
        <f t="shared" si="4"/>
        <v/>
      </c>
      <c r="R28" s="32"/>
      <c r="S28" s="109"/>
      <c r="T28" s="112"/>
      <c r="U28" s="289" t="str">
        <f t="shared" si="5"/>
        <v/>
      </c>
      <c r="V28" s="289" t="str">
        <f t="shared" si="6"/>
        <v/>
      </c>
      <c r="W28" s="293" t="str">
        <f t="shared" si="7"/>
        <v/>
      </c>
      <c r="X28" s="297" t="str">
        <f t="shared" si="8"/>
        <v/>
      </c>
      <c r="Y28" s="109"/>
      <c r="Z28" s="108"/>
      <c r="AA28" s="108"/>
      <c r="AB28" s="108"/>
      <c r="AE28" s="30" t="str">
        <f>IFERROR(INDEX('G-6 Hedgerow Data'!$BJ$3:$BJ$15,MATCH(D28,'G-6 Hedgerow Data'!$B$3:$B$15,0)),"")</f>
        <v/>
      </c>
      <c r="AH28" s="111" t="str">
        <f t="shared" si="0"/>
        <v/>
      </c>
      <c r="AI28" s="111" t="str">
        <f t="shared" si="1"/>
        <v/>
      </c>
      <c r="AK28" s="111">
        <v>19</v>
      </c>
      <c r="AM28" s="111" t="str">
        <f t="array" ref="AM28">IFERROR(INDEX($AK$10:$AK$258, MATCH(0, IF(TRUE=$AH$10:$AH$258, COUNTIF($AM$9:$AM27, $AK$10:$AK$258), ""), 0)),"")</f>
        <v/>
      </c>
      <c r="AN28" s="111" t="str">
        <f t="array" ref="AN28">IFERROR(INDEX($AK$10:$AK$258, MATCH(0, IF(TRUE=$AI$10:$AI$258, COUNTIF($AN$9:$AN27, $AK$10:$AK$258), ""), 0)),"")</f>
        <v/>
      </c>
      <c r="AY28" s="289" t="str">
        <f t="shared" si="2"/>
        <v/>
      </c>
    </row>
    <row r="29" spans="2:51" ht="13.8" x14ac:dyDescent="0.25">
      <c r="B29" s="101">
        <v>20</v>
      </c>
      <c r="C29" s="142"/>
      <c r="D29" s="137"/>
      <c r="E29" s="119"/>
      <c r="F29" s="281" t="str">
        <f>IF(D29="","",VLOOKUP(D29,'G-6 Hedgerow Data'!$B$2:$AG$15,2,FALSE))</f>
        <v/>
      </c>
      <c r="G29" s="282" t="str">
        <f>IF(D29="","",VLOOKUP(D29,'G-6 Hedgerow Data'!$B$2:$AG$15,3,FALSE))</f>
        <v/>
      </c>
      <c r="H29" s="105"/>
      <c r="I29" s="282" t="str">
        <f>IFERROR(IF(AND(D29&lt;&gt;"",H29=""), "Check data ⚠",(IF(H29="","",IF(AND(D29="Non-native and ornamental hedgerow", H29&lt;&gt;"Poor"),"Not possible ▲", (IF(AND(F29="V.Low",OR(H29="Good",H29="Moderate")),"Error ▲",VLOOKUP(H29,'G-1 All Habitats'!$Z$2:$AA$9,2,FALSE))))))),"")</f>
        <v/>
      </c>
      <c r="J29" s="105"/>
      <c r="K29" s="301" t="str">
        <f>IF(AND(J29="",D29&lt;&gt;""),"Check data ⚠",IF(J29="","",IF(VLOOKUP(J29,'G-3 Multipliers'!$L$3:$N$6,2,FALSE)=0,"Spatial Data Missing ⚠",VLOOKUP(J29,'G-3 Multipliers'!$L$3:$N$6,2,FALSE))))</f>
        <v/>
      </c>
      <c r="L29" s="305" t="str">
        <f>IF(J29="","",IF(VLOOKUP(J29,'G-3 Multipliers'!$L$3:$N$6,3,FALSE)=0,"Spatial Data Missing ⚠",VLOOKUP(J29,'G-3 Multipliers'!$L$3:$N$6,3,FALSE)))</f>
        <v/>
      </c>
      <c r="M29" s="342" t="str">
        <f>IF(D29="","",VLOOKUP(D29,'G-6 Hedgerow Data'!$B$1:$AH$15,33,FALSE))</f>
        <v/>
      </c>
      <c r="N29" s="295" t="str">
        <f t="shared" si="3"/>
        <v/>
      </c>
      <c r="O29" s="403"/>
      <c r="P29" s="287" t="str">
        <f>IF(O29="","",IF(VLOOKUP(O29,'G-3 Multipliers'!$S$3:$T$10,2,FALSE)=0,"Spatial Data Missing ⚠",VLOOKUP(O29,'G-3 Multipliers'!$S$3:$T$10,2,FALSE)))</f>
        <v/>
      </c>
      <c r="Q29" s="295" t="str">
        <f t="shared" si="4"/>
        <v/>
      </c>
      <c r="R29" s="32"/>
      <c r="S29" s="109"/>
      <c r="T29" s="112"/>
      <c r="U29" s="289" t="str">
        <f t="shared" si="5"/>
        <v/>
      </c>
      <c r="V29" s="289" t="str">
        <f t="shared" si="6"/>
        <v/>
      </c>
      <c r="W29" s="293" t="str">
        <f t="shared" si="7"/>
        <v/>
      </c>
      <c r="X29" s="297" t="str">
        <f t="shared" si="8"/>
        <v/>
      </c>
      <c r="Y29" s="109"/>
      <c r="Z29" s="108"/>
      <c r="AA29" s="108"/>
      <c r="AB29" s="108"/>
      <c r="AE29" s="30" t="str">
        <f>IFERROR(INDEX('G-6 Hedgerow Data'!$BJ$3:$BJ$15,MATCH(D29,'G-6 Hedgerow Data'!$B$3:$B$15,0)),"")</f>
        <v/>
      </c>
      <c r="AH29" s="111" t="str">
        <f t="shared" si="0"/>
        <v/>
      </c>
      <c r="AI29" s="111" t="str">
        <f t="shared" si="1"/>
        <v/>
      </c>
      <c r="AK29" s="111">
        <v>20</v>
      </c>
      <c r="AM29" s="111" t="str">
        <f t="array" ref="AM29">IFERROR(INDEX($AK$10:$AK$258, MATCH(0, IF(TRUE=$AH$10:$AH$258, COUNTIF($AM$9:$AM28, $AK$10:$AK$258), ""), 0)),"")</f>
        <v/>
      </c>
      <c r="AN29" s="111" t="str">
        <f t="array" ref="AN29">IFERROR(INDEX($AK$10:$AK$258, MATCH(0, IF(TRUE=$AI$10:$AI$258, COUNTIF($AN$9:$AN28, $AK$10:$AK$258), ""), 0)),"")</f>
        <v/>
      </c>
      <c r="AY29" s="289" t="str">
        <f t="shared" si="2"/>
        <v/>
      </c>
    </row>
    <row r="30" spans="2:51" ht="13.8" x14ac:dyDescent="0.25">
      <c r="B30" s="101">
        <v>21</v>
      </c>
      <c r="C30" s="142"/>
      <c r="D30" s="137"/>
      <c r="E30" s="119"/>
      <c r="F30" s="281" t="str">
        <f>IF(D30="","",VLOOKUP(D30,'G-6 Hedgerow Data'!$B$2:$AG$15,2,FALSE))</f>
        <v/>
      </c>
      <c r="G30" s="282" t="str">
        <f>IF(D30="","",VLOOKUP(D30,'G-6 Hedgerow Data'!$B$2:$AG$15,3,FALSE))</f>
        <v/>
      </c>
      <c r="H30" s="105"/>
      <c r="I30" s="282" t="str">
        <f>IFERROR(IF(AND(D30&lt;&gt;"",H30=""), "Check data ⚠",(IF(H30="","",IF(AND(D30="Non-native and ornamental hedgerow", H30&lt;&gt;"Poor"),"Not possible ▲", (IF(AND(F30="V.Low",OR(H30="Good",H30="Moderate")),"Error ▲",VLOOKUP(H30,'G-1 All Habitats'!$Z$2:$AA$9,2,FALSE))))))),"")</f>
        <v/>
      </c>
      <c r="J30" s="105"/>
      <c r="K30" s="301" t="str">
        <f>IF(AND(J30="",D30&lt;&gt;""),"Check data ⚠",IF(J30="","",IF(VLOOKUP(J30,'G-3 Multipliers'!$L$3:$N$6,2,FALSE)=0,"Spatial Data Missing ⚠",VLOOKUP(J30,'G-3 Multipliers'!$L$3:$N$6,2,FALSE))))</f>
        <v/>
      </c>
      <c r="L30" s="305" t="str">
        <f>IF(J30="","",IF(VLOOKUP(J30,'G-3 Multipliers'!$L$3:$N$6,3,FALSE)=0,"Spatial Data Missing ⚠",VLOOKUP(J30,'G-3 Multipliers'!$L$3:$N$6,3,FALSE)))</f>
        <v/>
      </c>
      <c r="M30" s="342" t="str">
        <f>IF(D30="","",VLOOKUP(D30,'G-6 Hedgerow Data'!$B$1:$AH$15,33,FALSE))</f>
        <v/>
      </c>
      <c r="N30" s="295" t="str">
        <f t="shared" si="3"/>
        <v/>
      </c>
      <c r="O30" s="403"/>
      <c r="P30" s="287" t="str">
        <f>IF(O30="","",IF(VLOOKUP(O30,'G-3 Multipliers'!$S$3:$T$10,2,FALSE)=0,"Spatial Data Missing ⚠",VLOOKUP(O30,'G-3 Multipliers'!$S$3:$T$10,2,FALSE)))</f>
        <v/>
      </c>
      <c r="Q30" s="295" t="str">
        <f t="shared" si="4"/>
        <v/>
      </c>
      <c r="R30" s="32"/>
      <c r="S30" s="109"/>
      <c r="T30" s="112"/>
      <c r="U30" s="289" t="str">
        <f t="shared" si="5"/>
        <v/>
      </c>
      <c r="V30" s="289" t="str">
        <f t="shared" si="6"/>
        <v/>
      </c>
      <c r="W30" s="293" t="str">
        <f t="shared" si="7"/>
        <v/>
      </c>
      <c r="X30" s="297" t="str">
        <f t="shared" si="8"/>
        <v/>
      </c>
      <c r="Y30" s="109"/>
      <c r="Z30" s="108"/>
      <c r="AA30" s="108"/>
      <c r="AB30" s="108"/>
      <c r="AE30" s="30" t="str">
        <f>IFERROR(INDEX('G-6 Hedgerow Data'!$BJ$3:$BJ$15,MATCH(D30,'G-6 Hedgerow Data'!$B$3:$B$15,0)),"")</f>
        <v/>
      </c>
      <c r="AH30" s="111" t="str">
        <f t="shared" si="0"/>
        <v/>
      </c>
      <c r="AI30" s="111" t="str">
        <f t="shared" si="1"/>
        <v/>
      </c>
      <c r="AK30" s="111">
        <v>21</v>
      </c>
      <c r="AM30" s="111" t="str">
        <f t="array" ref="AM30">IFERROR(INDEX($AK$10:$AK$258, MATCH(0, IF(TRUE=$AH$10:$AH$258, COUNTIF($AM$9:$AM29, $AK$10:$AK$258), ""), 0)),"")</f>
        <v/>
      </c>
      <c r="AN30" s="111" t="str">
        <f t="array" ref="AN30">IFERROR(INDEX($AK$10:$AK$258, MATCH(0, IF(TRUE=$AI$10:$AI$258, COUNTIF($AN$9:$AN29, $AK$10:$AK$258), ""), 0)),"")</f>
        <v/>
      </c>
      <c r="AY30" s="289" t="str">
        <f t="shared" si="2"/>
        <v/>
      </c>
    </row>
    <row r="31" spans="2:51" ht="13.8" x14ac:dyDescent="0.25">
      <c r="B31" s="101">
        <v>22</v>
      </c>
      <c r="C31" s="142"/>
      <c r="D31" s="137"/>
      <c r="E31" s="51"/>
      <c r="F31" s="281" t="str">
        <f>IF(D31="","",VLOOKUP(D31,'G-6 Hedgerow Data'!$B$2:$AG$15,2,FALSE))</f>
        <v/>
      </c>
      <c r="G31" s="282" t="str">
        <f>IF(D31="","",VLOOKUP(D31,'G-6 Hedgerow Data'!$B$2:$AG$15,3,FALSE))</f>
        <v/>
      </c>
      <c r="H31" s="105"/>
      <c r="I31" s="282" t="str">
        <f>IFERROR(IF(AND(D31&lt;&gt;"",H31=""), "Check data ⚠",(IF(H31="","",IF(AND(D31="Non-native and ornamental hedgerow", H31&lt;&gt;"Poor"),"Not possible ▲", (IF(AND(F31="V.Low",OR(H31="Good",H31="Moderate")),"Error ▲",VLOOKUP(H31,'G-1 All Habitats'!$Z$2:$AA$9,2,FALSE))))))),"")</f>
        <v/>
      </c>
      <c r="J31" s="105"/>
      <c r="K31" s="301" t="str">
        <f>IF(AND(J31="",D31&lt;&gt;""),"Check data ⚠",IF(J31="","",IF(VLOOKUP(J31,'G-3 Multipliers'!$L$3:$N$6,2,FALSE)=0,"Spatial Data Missing ⚠",VLOOKUP(J31,'G-3 Multipliers'!$L$3:$N$6,2,FALSE))))</f>
        <v/>
      </c>
      <c r="L31" s="305" t="str">
        <f>IF(J31="","",IF(VLOOKUP(J31,'G-3 Multipliers'!$L$3:$N$6,3,FALSE)=0,"Spatial Data Missing ⚠",VLOOKUP(J31,'G-3 Multipliers'!$L$3:$N$6,3,FALSE)))</f>
        <v/>
      </c>
      <c r="M31" s="342" t="str">
        <f>IF(D31="","",VLOOKUP(D31,'G-6 Hedgerow Data'!$B$1:$AH$15,33,FALSE))</f>
        <v/>
      </c>
      <c r="N31" s="295" t="str">
        <f t="shared" si="3"/>
        <v/>
      </c>
      <c r="O31" s="403"/>
      <c r="P31" s="287" t="str">
        <f>IF(O31="","",IF(VLOOKUP(O31,'G-3 Multipliers'!$S$3:$T$10,2,FALSE)=0,"Spatial Data Missing ⚠",VLOOKUP(O31,'G-3 Multipliers'!$S$3:$T$10,2,FALSE)))</f>
        <v/>
      </c>
      <c r="Q31" s="295" t="str">
        <f t="shared" si="4"/>
        <v/>
      </c>
      <c r="R31" s="32"/>
      <c r="S31" s="109"/>
      <c r="T31" s="112"/>
      <c r="U31" s="289" t="str">
        <f t="shared" si="5"/>
        <v/>
      </c>
      <c r="V31" s="289" t="str">
        <f t="shared" si="6"/>
        <v/>
      </c>
      <c r="W31" s="293" t="str">
        <f t="shared" si="7"/>
        <v/>
      </c>
      <c r="X31" s="297" t="str">
        <f t="shared" si="8"/>
        <v/>
      </c>
      <c r="Y31" s="109"/>
      <c r="Z31" s="108"/>
      <c r="AA31" s="108"/>
      <c r="AB31" s="108"/>
      <c r="AE31" s="30" t="str">
        <f>IFERROR(INDEX('G-6 Hedgerow Data'!$BJ$3:$BJ$15,MATCH(D31,'G-6 Hedgerow Data'!$B$3:$B$15,0)),"")</f>
        <v/>
      </c>
      <c r="AH31" s="111" t="str">
        <f t="shared" si="0"/>
        <v/>
      </c>
      <c r="AI31" s="111" t="str">
        <f t="shared" si="1"/>
        <v/>
      </c>
      <c r="AK31" s="111">
        <v>22</v>
      </c>
      <c r="AM31" s="111" t="str">
        <f t="array" ref="AM31">IFERROR(INDEX($AK$10:$AK$258, MATCH(0, IF(TRUE=$AH$10:$AH$258, COUNTIF($AM$9:$AM30, $AK$10:$AK$258), ""), 0)),"")</f>
        <v/>
      </c>
      <c r="AN31" s="111" t="str">
        <f t="array" ref="AN31">IFERROR(INDEX($AK$10:$AK$258, MATCH(0, IF(TRUE=$AI$10:$AI$258, COUNTIF($AN$9:$AN30, $AK$10:$AK$258), ""), 0)),"")</f>
        <v/>
      </c>
      <c r="AY31" s="289" t="str">
        <f t="shared" si="2"/>
        <v/>
      </c>
    </row>
    <row r="32" spans="2:51" ht="13.8" x14ac:dyDescent="0.25">
      <c r="B32" s="101">
        <v>23</v>
      </c>
      <c r="C32" s="142"/>
      <c r="D32" s="137"/>
      <c r="E32" s="51"/>
      <c r="F32" s="281" t="str">
        <f>IF(D32="","",VLOOKUP(D32,'G-6 Hedgerow Data'!$B$2:$AG$15,2,FALSE))</f>
        <v/>
      </c>
      <c r="G32" s="282" t="str">
        <f>IF(D32="","",VLOOKUP(D32,'G-6 Hedgerow Data'!$B$2:$AG$15,3,FALSE))</f>
        <v/>
      </c>
      <c r="H32" s="105"/>
      <c r="I32" s="282" t="str">
        <f>IFERROR(IF(AND(D32&lt;&gt;"",H32=""), "Check data ⚠",(IF(H32="","",IF(AND(D32="Non-native and ornamental hedgerow", H32&lt;&gt;"Poor"),"Not possible ▲", (IF(AND(F32="V.Low",OR(H32="Good",H32="Moderate")),"Error ▲",VLOOKUP(H32,'G-1 All Habitats'!$Z$2:$AA$9,2,FALSE))))))),"")</f>
        <v/>
      </c>
      <c r="J32" s="105"/>
      <c r="K32" s="301" t="str">
        <f>IF(AND(J32="",D32&lt;&gt;""),"Check data ⚠",IF(J32="","",IF(VLOOKUP(J32,'G-3 Multipliers'!$L$3:$N$6,2,FALSE)=0,"Spatial Data Missing ⚠",VLOOKUP(J32,'G-3 Multipliers'!$L$3:$N$6,2,FALSE))))</f>
        <v/>
      </c>
      <c r="L32" s="305" t="str">
        <f>IF(J32="","",IF(VLOOKUP(J32,'G-3 Multipliers'!$L$3:$N$6,3,FALSE)=0,"Spatial Data Missing ⚠",VLOOKUP(J32,'G-3 Multipliers'!$L$3:$N$6,3,FALSE)))</f>
        <v/>
      </c>
      <c r="M32" s="342" t="str">
        <f>IF(D32="","",VLOOKUP(D32,'G-6 Hedgerow Data'!$B$1:$AH$15,33,FALSE))</f>
        <v/>
      </c>
      <c r="N32" s="295" t="str">
        <f t="shared" si="3"/>
        <v/>
      </c>
      <c r="O32" s="403"/>
      <c r="P32" s="287" t="str">
        <f>IF(O32="","",IF(VLOOKUP(O32,'G-3 Multipliers'!$S$3:$T$10,2,FALSE)=0,"Spatial Data Missing ⚠",VLOOKUP(O32,'G-3 Multipliers'!$S$3:$T$10,2,FALSE)))</f>
        <v/>
      </c>
      <c r="Q32" s="295" t="str">
        <f t="shared" si="4"/>
        <v/>
      </c>
      <c r="R32" s="32"/>
      <c r="S32" s="109"/>
      <c r="T32" s="112"/>
      <c r="U32" s="289" t="str">
        <f t="shared" si="5"/>
        <v/>
      </c>
      <c r="V32" s="289" t="str">
        <f t="shared" si="6"/>
        <v/>
      </c>
      <c r="W32" s="293" t="str">
        <f t="shared" si="7"/>
        <v/>
      </c>
      <c r="X32" s="297" t="str">
        <f t="shared" si="8"/>
        <v/>
      </c>
      <c r="Y32" s="109"/>
      <c r="Z32" s="108"/>
      <c r="AA32" s="108"/>
      <c r="AB32" s="108"/>
      <c r="AE32" s="30" t="str">
        <f>IFERROR(INDEX('G-6 Hedgerow Data'!$BJ$3:$BJ$15,MATCH(D32,'G-6 Hedgerow Data'!$B$3:$B$15,0)),"")</f>
        <v/>
      </c>
      <c r="AH32" s="111" t="str">
        <f t="shared" si="0"/>
        <v/>
      </c>
      <c r="AI32" s="111" t="str">
        <f t="shared" si="1"/>
        <v/>
      </c>
      <c r="AK32" s="111">
        <v>23</v>
      </c>
      <c r="AM32" s="111" t="str">
        <f t="array" ref="AM32">IFERROR(INDEX($AK$10:$AK$258, MATCH(0, IF(TRUE=$AH$10:$AH$258, COUNTIF($AM$9:$AM31, $AK$10:$AK$258), ""), 0)),"")</f>
        <v/>
      </c>
      <c r="AN32" s="111" t="str">
        <f t="array" ref="AN32">IFERROR(INDEX($AK$10:$AK$258, MATCH(0, IF(TRUE=$AI$10:$AI$258, COUNTIF($AN$9:$AN31, $AK$10:$AK$258), ""), 0)),"")</f>
        <v/>
      </c>
      <c r="AY32" s="289" t="str">
        <f t="shared" si="2"/>
        <v/>
      </c>
    </row>
    <row r="33" spans="2:51" ht="13.8" x14ac:dyDescent="0.25">
      <c r="B33" s="101">
        <v>24</v>
      </c>
      <c r="C33" s="142"/>
      <c r="D33" s="137"/>
      <c r="E33" s="51"/>
      <c r="F33" s="281" t="str">
        <f>IF(D33="","",VLOOKUP(D33,'G-6 Hedgerow Data'!$B$2:$AG$15,2,FALSE))</f>
        <v/>
      </c>
      <c r="G33" s="282" t="str">
        <f>IF(D33="","",VLOOKUP(D33,'G-6 Hedgerow Data'!$B$2:$AG$15,3,FALSE))</f>
        <v/>
      </c>
      <c r="H33" s="105"/>
      <c r="I33" s="282" t="str">
        <f>IFERROR(IF(AND(D33&lt;&gt;"",H33=""), "Check data ⚠",(IF(H33="","",IF(AND(D33="Non-native and ornamental hedgerow", H33&lt;&gt;"Poor"),"Not possible ▲", (IF(AND(F33="V.Low",OR(H33="Good",H33="Moderate")),"Error ▲",VLOOKUP(H33,'G-1 All Habitats'!$Z$2:$AA$9,2,FALSE))))))),"")</f>
        <v/>
      </c>
      <c r="J33" s="105"/>
      <c r="K33" s="301" t="str">
        <f>IF(AND(J33="",D33&lt;&gt;""),"Check data ⚠",IF(J33="","",IF(VLOOKUP(J33,'G-3 Multipliers'!$L$3:$N$6,2,FALSE)=0,"Spatial Data Missing ⚠",VLOOKUP(J33,'G-3 Multipliers'!$L$3:$N$6,2,FALSE))))</f>
        <v/>
      </c>
      <c r="L33" s="305" t="str">
        <f>IF(J33="","",IF(VLOOKUP(J33,'G-3 Multipliers'!$L$3:$N$6,3,FALSE)=0,"Spatial Data Missing ⚠",VLOOKUP(J33,'G-3 Multipliers'!$L$3:$N$6,3,FALSE)))</f>
        <v/>
      </c>
      <c r="M33" s="342" t="str">
        <f>IF(D33="","",VLOOKUP(D33,'G-6 Hedgerow Data'!$B$1:$AH$15,33,FALSE))</f>
        <v/>
      </c>
      <c r="N33" s="295" t="str">
        <f t="shared" si="3"/>
        <v/>
      </c>
      <c r="O33" s="403"/>
      <c r="P33" s="287" t="str">
        <f>IF(O33="","",IF(VLOOKUP(O33,'G-3 Multipliers'!$S$3:$T$10,2,FALSE)=0,"Spatial Data Missing ⚠",VLOOKUP(O33,'G-3 Multipliers'!$S$3:$T$10,2,FALSE)))</f>
        <v/>
      </c>
      <c r="Q33" s="295" t="str">
        <f t="shared" si="4"/>
        <v/>
      </c>
      <c r="R33" s="32"/>
      <c r="S33" s="109"/>
      <c r="T33" s="112"/>
      <c r="U33" s="289" t="str">
        <f t="shared" si="5"/>
        <v/>
      </c>
      <c r="V33" s="289" t="str">
        <f t="shared" si="6"/>
        <v/>
      </c>
      <c r="W33" s="293" t="str">
        <f t="shared" si="7"/>
        <v/>
      </c>
      <c r="X33" s="297" t="str">
        <f t="shared" si="8"/>
        <v/>
      </c>
      <c r="Y33" s="109"/>
      <c r="Z33" s="108"/>
      <c r="AA33" s="108"/>
      <c r="AB33" s="108"/>
      <c r="AE33" s="30" t="str">
        <f>IFERROR(INDEX('G-6 Hedgerow Data'!$BJ$3:$BJ$15,MATCH(D33,'G-6 Hedgerow Data'!$B$3:$B$15,0)),"")</f>
        <v/>
      </c>
      <c r="AH33" s="111" t="str">
        <f t="shared" si="0"/>
        <v/>
      </c>
      <c r="AI33" s="111" t="str">
        <f t="shared" si="1"/>
        <v/>
      </c>
      <c r="AK33" s="111">
        <v>24</v>
      </c>
      <c r="AM33" s="111" t="str">
        <f t="array" ref="AM33">IFERROR(INDEX($AK$10:$AK$258, MATCH(0, IF(TRUE=$AH$10:$AH$258, COUNTIF($AM$9:$AM32, $AK$10:$AK$258), ""), 0)),"")</f>
        <v/>
      </c>
      <c r="AN33" s="111" t="str">
        <f t="array" ref="AN33">IFERROR(INDEX($AK$10:$AK$258, MATCH(0, IF(TRUE=$AI$10:$AI$258, COUNTIF($AN$9:$AN32, $AK$10:$AK$258), ""), 0)),"")</f>
        <v/>
      </c>
      <c r="AY33" s="289" t="str">
        <f t="shared" si="2"/>
        <v/>
      </c>
    </row>
    <row r="34" spans="2:51" ht="13.8" x14ac:dyDescent="0.25">
      <c r="B34" s="101">
        <v>25</v>
      </c>
      <c r="C34" s="142"/>
      <c r="D34" s="137"/>
      <c r="E34" s="51"/>
      <c r="F34" s="281" t="str">
        <f>IF(D34="","",VLOOKUP(D34,'G-6 Hedgerow Data'!$B$2:$AG$15,2,FALSE))</f>
        <v/>
      </c>
      <c r="G34" s="282" t="str">
        <f>IF(D34="","",VLOOKUP(D34,'G-6 Hedgerow Data'!$B$2:$AG$15,3,FALSE))</f>
        <v/>
      </c>
      <c r="H34" s="105"/>
      <c r="I34" s="282" t="str">
        <f>IFERROR(IF(AND(D34&lt;&gt;"",H34=""), "Check data ⚠",(IF(H34="","",IF(AND(D34="Non-native and ornamental hedgerow", H34&lt;&gt;"Poor"),"Not possible ▲", (IF(AND(F34="V.Low",OR(H34="Good",H34="Moderate")),"Error ▲",VLOOKUP(H34,'G-1 All Habitats'!$Z$2:$AA$9,2,FALSE))))))),"")</f>
        <v/>
      </c>
      <c r="J34" s="105"/>
      <c r="K34" s="301" t="str">
        <f>IF(AND(J34="",D34&lt;&gt;""),"Check data ⚠",IF(J34="","",IF(VLOOKUP(J34,'G-3 Multipliers'!$L$3:$N$6,2,FALSE)=0,"Spatial Data Missing ⚠",VLOOKUP(J34,'G-3 Multipliers'!$L$3:$N$6,2,FALSE))))</f>
        <v/>
      </c>
      <c r="L34" s="305" t="str">
        <f>IF(J34="","",IF(VLOOKUP(J34,'G-3 Multipliers'!$L$3:$N$6,3,FALSE)=0,"Spatial Data Missing ⚠",VLOOKUP(J34,'G-3 Multipliers'!$L$3:$N$6,3,FALSE)))</f>
        <v/>
      </c>
      <c r="M34" s="342" t="str">
        <f>IF(D34="","",VLOOKUP(D34,'G-6 Hedgerow Data'!$B$1:$AH$15,33,FALSE))</f>
        <v/>
      </c>
      <c r="N34" s="295" t="str">
        <f t="shared" si="3"/>
        <v/>
      </c>
      <c r="O34" s="403"/>
      <c r="P34" s="287" t="str">
        <f>IF(O34="","",IF(VLOOKUP(O34,'G-3 Multipliers'!$S$3:$T$10,2,FALSE)=0,"Spatial Data Missing ⚠",VLOOKUP(O34,'G-3 Multipliers'!$S$3:$T$10,2,FALSE)))</f>
        <v/>
      </c>
      <c r="Q34" s="295" t="str">
        <f t="shared" si="4"/>
        <v/>
      </c>
      <c r="R34" s="32"/>
      <c r="S34" s="109"/>
      <c r="T34" s="112"/>
      <c r="U34" s="289" t="str">
        <f t="shared" si="5"/>
        <v/>
      </c>
      <c r="V34" s="289" t="str">
        <f t="shared" si="6"/>
        <v/>
      </c>
      <c r="W34" s="293" t="str">
        <f t="shared" si="7"/>
        <v/>
      </c>
      <c r="X34" s="297" t="str">
        <f t="shared" si="8"/>
        <v/>
      </c>
      <c r="Y34" s="109"/>
      <c r="Z34" s="108"/>
      <c r="AA34" s="108"/>
      <c r="AB34" s="108"/>
      <c r="AE34" s="30" t="str">
        <f>IFERROR(INDEX('G-6 Hedgerow Data'!$BJ$3:$BJ$15,MATCH(D34,'G-6 Hedgerow Data'!$B$3:$B$15,0)),"")</f>
        <v/>
      </c>
      <c r="AH34" s="111" t="str">
        <f t="shared" si="0"/>
        <v/>
      </c>
      <c r="AI34" s="111" t="str">
        <f t="shared" si="1"/>
        <v/>
      </c>
      <c r="AK34" s="111">
        <v>25</v>
      </c>
      <c r="AM34" s="111" t="str">
        <f t="array" ref="AM34">IFERROR(INDEX($AK$10:$AK$258, MATCH(0, IF(TRUE=$AH$10:$AH$258, COUNTIF($AM$9:$AM33, $AK$10:$AK$258), ""), 0)),"")</f>
        <v/>
      </c>
      <c r="AN34" s="111" t="str">
        <f t="array" ref="AN34">IFERROR(INDEX($AK$10:$AK$258, MATCH(0, IF(TRUE=$AI$10:$AI$258, COUNTIF($AN$9:$AN33, $AK$10:$AK$258), ""), 0)),"")</f>
        <v/>
      </c>
      <c r="AY34" s="289" t="str">
        <f t="shared" si="2"/>
        <v/>
      </c>
    </row>
    <row r="35" spans="2:51" ht="13.8" x14ac:dyDescent="0.25">
      <c r="B35" s="101">
        <v>26</v>
      </c>
      <c r="C35" s="142"/>
      <c r="D35" s="137"/>
      <c r="E35" s="119"/>
      <c r="F35" s="281" t="str">
        <f>IF(D35="","",VLOOKUP(D35,'G-6 Hedgerow Data'!$B$2:$AG$15,2,FALSE))</f>
        <v/>
      </c>
      <c r="G35" s="282" t="str">
        <f>IF(D35="","",VLOOKUP(D35,'G-6 Hedgerow Data'!$B$2:$AG$15,3,FALSE))</f>
        <v/>
      </c>
      <c r="H35" s="105"/>
      <c r="I35" s="282" t="str">
        <f>IFERROR(IF(AND(D35&lt;&gt;"",H35=""), "Check data ⚠",(IF(H35="","",IF(AND(D35="Non-native and ornamental hedgerow", H35&lt;&gt;"Poor"),"Not possible ▲", (IF(AND(F35="V.Low",OR(H35="Good",H35="Moderate")),"Error ▲",VLOOKUP(H35,'G-1 All Habitats'!$Z$2:$AA$9,2,FALSE))))))),"")</f>
        <v/>
      </c>
      <c r="J35" s="105"/>
      <c r="K35" s="301" t="str">
        <f>IF(AND(J35="",D35&lt;&gt;""),"Check data ⚠",IF(J35="","",IF(VLOOKUP(J35,'G-3 Multipliers'!$L$3:$N$6,2,FALSE)=0,"Spatial Data Missing ⚠",VLOOKUP(J35,'G-3 Multipliers'!$L$3:$N$6,2,FALSE))))</f>
        <v/>
      </c>
      <c r="L35" s="305" t="str">
        <f>IF(J35="","",IF(VLOOKUP(J35,'G-3 Multipliers'!$L$3:$N$6,3,FALSE)=0,"Spatial Data Missing ⚠",VLOOKUP(J35,'G-3 Multipliers'!$L$3:$N$6,3,FALSE)))</f>
        <v/>
      </c>
      <c r="M35" s="342" t="str">
        <f>IF(D35="","",VLOOKUP(D35,'G-6 Hedgerow Data'!$B$1:$AH$15,33,FALSE))</f>
        <v/>
      </c>
      <c r="N35" s="295" t="str">
        <f t="shared" si="3"/>
        <v/>
      </c>
      <c r="O35" s="403"/>
      <c r="P35" s="287" t="str">
        <f>IF(O35="","",IF(VLOOKUP(O35,'G-3 Multipliers'!$S$3:$T$10,2,FALSE)=0,"Spatial Data Missing ⚠",VLOOKUP(O35,'G-3 Multipliers'!$S$3:$T$10,2,FALSE)))</f>
        <v/>
      </c>
      <c r="Q35" s="295" t="str">
        <f t="shared" si="4"/>
        <v/>
      </c>
      <c r="R35" s="32"/>
      <c r="S35" s="109"/>
      <c r="T35" s="112"/>
      <c r="U35" s="289" t="str">
        <f t="shared" si="5"/>
        <v/>
      </c>
      <c r="V35" s="289" t="str">
        <f t="shared" si="6"/>
        <v/>
      </c>
      <c r="W35" s="293" t="str">
        <f t="shared" si="7"/>
        <v/>
      </c>
      <c r="X35" s="297" t="str">
        <f t="shared" si="8"/>
        <v/>
      </c>
      <c r="Y35" s="109"/>
      <c r="Z35" s="108"/>
      <c r="AA35" s="108"/>
      <c r="AB35" s="108"/>
      <c r="AE35" s="30" t="str">
        <f>IFERROR(INDEX('G-6 Hedgerow Data'!$BJ$3:$BJ$15,MATCH(D35,'G-6 Hedgerow Data'!$B$3:$B$15,0)),"")</f>
        <v/>
      </c>
      <c r="AH35" s="111" t="str">
        <f t="shared" si="0"/>
        <v/>
      </c>
      <c r="AI35" s="111" t="str">
        <f t="shared" si="1"/>
        <v/>
      </c>
      <c r="AK35" s="111">
        <v>26</v>
      </c>
      <c r="AM35" s="111" t="str">
        <f t="array" ref="AM35">IFERROR(INDEX($AK$10:$AK$258, MATCH(0, IF(TRUE=$AH$10:$AH$258, COUNTIF($AM$9:$AM34, $AK$10:$AK$258), ""), 0)),"")</f>
        <v/>
      </c>
      <c r="AN35" s="111" t="str">
        <f t="array" ref="AN35">IFERROR(INDEX($AK$10:$AK$258, MATCH(0, IF(TRUE=$AI$10:$AI$258, COUNTIF($AN$9:$AN34, $AK$10:$AK$258), ""), 0)),"")</f>
        <v/>
      </c>
      <c r="AY35" s="289" t="str">
        <f t="shared" si="2"/>
        <v/>
      </c>
    </row>
    <row r="36" spans="2:51" ht="13.8" x14ac:dyDescent="0.25">
      <c r="B36" s="101">
        <v>27</v>
      </c>
      <c r="C36" s="142"/>
      <c r="D36" s="142"/>
      <c r="E36" s="108"/>
      <c r="F36" s="281" t="str">
        <f>IF(D36="","",VLOOKUP(D36,'G-6 Hedgerow Data'!$B$2:$AG$15,2,FALSE))</f>
        <v/>
      </c>
      <c r="G36" s="282" t="str">
        <f>IF(D36="","",VLOOKUP(D36,'G-6 Hedgerow Data'!$B$2:$AG$15,3,FALSE))</f>
        <v/>
      </c>
      <c r="H36" s="105"/>
      <c r="I36" s="282" t="str">
        <f>IFERROR(IF(AND(D36&lt;&gt;"",H36=""), "Check data ⚠",(IF(H36="","",IF(AND(D36="Non-native and ornamental hedgerow", H36&lt;&gt;"Poor"),"Not possible ▲", (IF(AND(F36="V.Low",OR(H36="Good",H36="Moderate")),"Error ▲",VLOOKUP(H36,'G-1 All Habitats'!$Z$2:$AA$9,2,FALSE))))))),"")</f>
        <v/>
      </c>
      <c r="J36" s="109"/>
      <c r="K36" s="301" t="str">
        <f>IF(AND(J36="",D36&lt;&gt;""),"Check data ⚠",IF(J36="","",IF(VLOOKUP(J36,'G-3 Multipliers'!$L$3:$N$6,2,FALSE)=0,"Spatial Data Missing ⚠",VLOOKUP(J36,'G-3 Multipliers'!$L$3:$N$6,2,FALSE))))</f>
        <v/>
      </c>
      <c r="L36" s="305" t="str">
        <f>IF(J36="","",IF(VLOOKUP(J36,'G-3 Multipliers'!$L$3:$N$6,3,FALSE)=0,"Spatial Data Missing ⚠",VLOOKUP(J36,'G-3 Multipliers'!$L$3:$N$6,3,FALSE)))</f>
        <v/>
      </c>
      <c r="M36" s="342" t="str">
        <f>IF(D36="","",VLOOKUP(D36,'G-6 Hedgerow Data'!$B$1:$AH$15,33,FALSE))</f>
        <v/>
      </c>
      <c r="N36" s="295" t="str">
        <f t="shared" si="3"/>
        <v/>
      </c>
      <c r="O36" s="403"/>
      <c r="P36" s="287" t="str">
        <f>IF(O36="","",IF(VLOOKUP(O36,'G-3 Multipliers'!$S$3:$T$10,2,FALSE)=0,"Spatial Data Missing ⚠",VLOOKUP(O36,'G-3 Multipliers'!$S$3:$T$10,2,FALSE)))</f>
        <v/>
      </c>
      <c r="Q36" s="295" t="str">
        <f t="shared" si="4"/>
        <v/>
      </c>
      <c r="R36" s="32"/>
      <c r="S36" s="105"/>
      <c r="T36" s="112"/>
      <c r="U36" s="289" t="str">
        <f t="shared" si="5"/>
        <v/>
      </c>
      <c r="V36" s="289" t="str">
        <f t="shared" si="6"/>
        <v/>
      </c>
      <c r="W36" s="293" t="str">
        <f t="shared" si="7"/>
        <v/>
      </c>
      <c r="X36" s="297" t="str">
        <f t="shared" si="8"/>
        <v/>
      </c>
      <c r="Y36" s="109"/>
      <c r="Z36" s="108"/>
      <c r="AA36" s="108"/>
      <c r="AB36" s="108"/>
      <c r="AE36" s="30" t="str">
        <f>IFERROR(INDEX('G-6 Hedgerow Data'!$BJ$3:$BJ$15,MATCH(D36,'G-6 Hedgerow Data'!$B$3:$B$15,0)),"")</f>
        <v/>
      </c>
      <c r="AH36" s="111" t="str">
        <f t="shared" si="0"/>
        <v/>
      </c>
      <c r="AI36" s="111" t="str">
        <f t="shared" si="1"/>
        <v/>
      </c>
      <c r="AK36" s="111">
        <v>27</v>
      </c>
      <c r="AM36" s="111" t="str">
        <f t="array" ref="AM36">IFERROR(INDEX($AK$10:$AK$258, MATCH(0, IF(TRUE=$AH$10:$AH$258, COUNTIF($AM$9:$AM35, $AK$10:$AK$258), ""), 0)),"")</f>
        <v/>
      </c>
      <c r="AN36" s="111" t="str">
        <f t="array" ref="AN36">IFERROR(INDEX($AK$10:$AK$258, MATCH(0, IF(TRUE=$AI$10:$AI$258, COUNTIF($AN$9:$AN35, $AK$10:$AK$258), ""), 0)),"")</f>
        <v/>
      </c>
      <c r="AY36" s="289" t="str">
        <f t="shared" si="2"/>
        <v/>
      </c>
    </row>
    <row r="37" spans="2:51" ht="13.8" x14ac:dyDescent="0.25">
      <c r="B37" s="101">
        <v>28</v>
      </c>
      <c r="C37" s="142"/>
      <c r="D37" s="142"/>
      <c r="E37" s="108"/>
      <c r="F37" s="281" t="str">
        <f>IF(D37="","",VLOOKUP(D37,'G-6 Hedgerow Data'!$B$2:$AG$15,2,FALSE))</f>
        <v/>
      </c>
      <c r="G37" s="282" t="str">
        <f>IF(D37="","",VLOOKUP(D37,'G-6 Hedgerow Data'!$B$2:$AG$15,3,FALSE))</f>
        <v/>
      </c>
      <c r="H37" s="105"/>
      <c r="I37" s="282" t="str">
        <f>IFERROR(IF(AND(D37&lt;&gt;"",H37=""), "Check data ⚠",(IF(H37="","",IF(AND(D37="Non-native and ornamental hedgerow", H37&lt;&gt;"Poor"),"Not possible ▲", (IF(AND(F37="V.Low",OR(H37="Good",H37="Moderate")),"Error ▲",VLOOKUP(H37,'G-1 All Habitats'!$Z$2:$AA$9,2,FALSE))))))),"")</f>
        <v/>
      </c>
      <c r="J37" s="109"/>
      <c r="K37" s="301" t="str">
        <f>IF(AND(J37="",D37&lt;&gt;""),"Check data ⚠",IF(J37="","",IF(VLOOKUP(J37,'G-3 Multipliers'!$L$3:$N$6,2,FALSE)=0,"Spatial Data Missing ⚠",VLOOKUP(J37,'G-3 Multipliers'!$L$3:$N$6,2,FALSE))))</f>
        <v/>
      </c>
      <c r="L37" s="305" t="str">
        <f>IF(J37="","",IF(VLOOKUP(J37,'G-3 Multipliers'!$L$3:$N$6,3,FALSE)=0,"Spatial Data Missing ⚠",VLOOKUP(J37,'G-3 Multipliers'!$L$3:$N$6,3,FALSE)))</f>
        <v/>
      </c>
      <c r="M37" s="342" t="str">
        <f>IF(D37="","",VLOOKUP(D37,'G-6 Hedgerow Data'!$B$1:$AH$15,33,FALSE))</f>
        <v/>
      </c>
      <c r="N37" s="295" t="str">
        <f t="shared" si="3"/>
        <v/>
      </c>
      <c r="O37" s="403"/>
      <c r="P37" s="287" t="str">
        <f>IF(O37="","",IF(VLOOKUP(O37,'G-3 Multipliers'!$S$3:$T$10,2,FALSE)=0,"Spatial Data Missing ⚠",VLOOKUP(O37,'G-3 Multipliers'!$S$3:$T$10,2,FALSE)))</f>
        <v/>
      </c>
      <c r="Q37" s="295" t="str">
        <f t="shared" si="4"/>
        <v/>
      </c>
      <c r="R37" s="32"/>
      <c r="S37" s="105"/>
      <c r="T37" s="112"/>
      <c r="U37" s="289" t="str">
        <f t="shared" si="5"/>
        <v/>
      </c>
      <c r="V37" s="289" t="str">
        <f t="shared" si="6"/>
        <v/>
      </c>
      <c r="W37" s="293" t="str">
        <f t="shared" si="7"/>
        <v/>
      </c>
      <c r="X37" s="297" t="str">
        <f t="shared" si="8"/>
        <v/>
      </c>
      <c r="Y37" s="109"/>
      <c r="Z37" s="108"/>
      <c r="AA37" s="108"/>
      <c r="AB37" s="108"/>
      <c r="AE37" s="30" t="str">
        <f>IFERROR(INDEX('G-6 Hedgerow Data'!$BJ$3:$BJ$15,MATCH(D37,'G-6 Hedgerow Data'!$B$3:$B$15,0)),"")</f>
        <v/>
      </c>
      <c r="AH37" s="111" t="str">
        <f t="shared" si="0"/>
        <v/>
      </c>
      <c r="AI37" s="111" t="str">
        <f t="shared" si="1"/>
        <v/>
      </c>
      <c r="AK37" s="111">
        <v>28</v>
      </c>
      <c r="AM37" s="111" t="str">
        <f t="array" ref="AM37">IFERROR(INDEX($AK$10:$AK$258, MATCH(0, IF(TRUE=$AH$10:$AH$258, COUNTIF($AM$9:$AM36, $AK$10:$AK$258), ""), 0)),"")</f>
        <v/>
      </c>
      <c r="AN37" s="111" t="str">
        <f t="array" ref="AN37">IFERROR(INDEX($AK$10:$AK$258, MATCH(0, IF(TRUE=$AI$10:$AI$258, COUNTIF($AN$9:$AN36, $AK$10:$AK$258), ""), 0)),"")</f>
        <v/>
      </c>
      <c r="AY37" s="289" t="str">
        <f t="shared" si="2"/>
        <v/>
      </c>
    </row>
    <row r="38" spans="2:51" ht="13.8" x14ac:dyDescent="0.25">
      <c r="B38" s="101">
        <v>29</v>
      </c>
      <c r="C38" s="142"/>
      <c r="D38" s="142"/>
      <c r="E38" s="108"/>
      <c r="F38" s="281" t="str">
        <f>IF(D38="","",VLOOKUP(D38,'G-6 Hedgerow Data'!$B$2:$AG$15,2,FALSE))</f>
        <v/>
      </c>
      <c r="G38" s="282" t="str">
        <f>IF(D38="","",VLOOKUP(D38,'G-6 Hedgerow Data'!$B$2:$AG$15,3,FALSE))</f>
        <v/>
      </c>
      <c r="H38" s="105"/>
      <c r="I38" s="282" t="str">
        <f>IFERROR(IF(AND(D38&lt;&gt;"",H38=""), "Check data ⚠",(IF(H38="","",IF(AND(D38="Non-native and ornamental hedgerow", H38&lt;&gt;"Poor"),"Not possible ▲", (IF(AND(F38="V.Low",OR(H38="Good",H38="Moderate")),"Error ▲",VLOOKUP(H38,'G-1 All Habitats'!$Z$2:$AA$9,2,FALSE))))))),"")</f>
        <v/>
      </c>
      <c r="J38" s="109"/>
      <c r="K38" s="301" t="str">
        <f>IF(AND(J38="",D38&lt;&gt;""),"Check data ⚠",IF(J38="","",IF(VLOOKUP(J38,'G-3 Multipliers'!$L$3:$N$6,2,FALSE)=0,"Spatial Data Missing ⚠",VLOOKUP(J38,'G-3 Multipliers'!$L$3:$N$6,2,FALSE))))</f>
        <v/>
      </c>
      <c r="L38" s="305" t="str">
        <f>IF(J38="","",IF(VLOOKUP(J38,'G-3 Multipliers'!$L$3:$N$6,3,FALSE)=0,"Spatial Data Missing ⚠",VLOOKUP(J38,'G-3 Multipliers'!$L$3:$N$6,3,FALSE)))</f>
        <v/>
      </c>
      <c r="M38" s="342" t="str">
        <f>IF(D38="","",VLOOKUP(D38,'G-6 Hedgerow Data'!$B$1:$AH$15,33,FALSE))</f>
        <v/>
      </c>
      <c r="N38" s="295" t="str">
        <f t="shared" si="3"/>
        <v/>
      </c>
      <c r="O38" s="403"/>
      <c r="P38" s="287" t="str">
        <f>IF(O38="","",IF(VLOOKUP(O38,'G-3 Multipliers'!$S$3:$T$10,2,FALSE)=0,"Spatial Data Missing ⚠",VLOOKUP(O38,'G-3 Multipliers'!$S$3:$T$10,2,FALSE)))</f>
        <v/>
      </c>
      <c r="Q38" s="295" t="str">
        <f t="shared" si="4"/>
        <v/>
      </c>
      <c r="R38" s="32"/>
      <c r="S38" s="105"/>
      <c r="T38" s="112"/>
      <c r="U38" s="289" t="str">
        <f t="shared" si="5"/>
        <v/>
      </c>
      <c r="V38" s="289" t="str">
        <f t="shared" si="6"/>
        <v/>
      </c>
      <c r="W38" s="293" t="str">
        <f t="shared" si="7"/>
        <v/>
      </c>
      <c r="X38" s="297" t="str">
        <f t="shared" si="8"/>
        <v/>
      </c>
      <c r="Y38" s="109"/>
      <c r="Z38" s="108"/>
      <c r="AA38" s="108"/>
      <c r="AB38" s="108"/>
      <c r="AE38" s="30" t="str">
        <f>IFERROR(INDEX('G-6 Hedgerow Data'!$BJ$3:$BJ$15,MATCH(D38,'G-6 Hedgerow Data'!$B$3:$B$15,0)),"")</f>
        <v/>
      </c>
      <c r="AH38" s="111" t="str">
        <f t="shared" si="0"/>
        <v/>
      </c>
      <c r="AI38" s="111" t="str">
        <f t="shared" si="1"/>
        <v/>
      </c>
      <c r="AK38" s="111">
        <v>29</v>
      </c>
      <c r="AM38" s="111" t="str">
        <f t="array" ref="AM38">IFERROR(INDEX($AK$10:$AK$258, MATCH(0, IF(TRUE=$AH$10:$AH$258, COUNTIF($AM$9:$AM37, $AK$10:$AK$258), ""), 0)),"")</f>
        <v/>
      </c>
      <c r="AN38" s="111" t="str">
        <f t="array" ref="AN38">IFERROR(INDEX($AK$10:$AK$258, MATCH(0, IF(TRUE=$AI$10:$AI$258, COUNTIF($AN$9:$AN37, $AK$10:$AK$258), ""), 0)),"")</f>
        <v/>
      </c>
      <c r="AY38" s="289" t="str">
        <f t="shared" si="2"/>
        <v/>
      </c>
    </row>
    <row r="39" spans="2:51" ht="13.8" x14ac:dyDescent="0.25">
      <c r="B39" s="101">
        <v>30</v>
      </c>
      <c r="C39" s="142"/>
      <c r="D39" s="142"/>
      <c r="E39" s="108"/>
      <c r="F39" s="281" t="str">
        <f>IF(D39="","",VLOOKUP(D39,'G-6 Hedgerow Data'!$B$2:$AG$15,2,FALSE))</f>
        <v/>
      </c>
      <c r="G39" s="282" t="str">
        <f>IF(D39="","",VLOOKUP(D39,'G-6 Hedgerow Data'!$B$2:$AG$15,3,FALSE))</f>
        <v/>
      </c>
      <c r="H39" s="105"/>
      <c r="I39" s="282" t="str">
        <f>IFERROR(IF(AND(D39&lt;&gt;"",H39=""), "Check data ⚠",(IF(H39="","",IF(AND(D39="Non-native and ornamental hedgerow", H39&lt;&gt;"Poor"),"Not possible ▲", (IF(AND(F39="V.Low",OR(H39="Good",H39="Moderate")),"Error ▲",VLOOKUP(H39,'G-1 All Habitats'!$Z$2:$AA$9,2,FALSE))))))),"")</f>
        <v/>
      </c>
      <c r="J39" s="109"/>
      <c r="K39" s="301" t="str">
        <f>IF(AND(J39="",D39&lt;&gt;""),"Check data ⚠",IF(J39="","",IF(VLOOKUP(J39,'G-3 Multipliers'!$L$3:$N$6,2,FALSE)=0,"Spatial Data Missing ⚠",VLOOKUP(J39,'G-3 Multipliers'!$L$3:$N$6,2,FALSE))))</f>
        <v/>
      </c>
      <c r="L39" s="305" t="str">
        <f>IF(J39="","",IF(VLOOKUP(J39,'G-3 Multipliers'!$L$3:$N$6,3,FALSE)=0,"Spatial Data Missing ⚠",VLOOKUP(J39,'G-3 Multipliers'!$L$3:$N$6,3,FALSE)))</f>
        <v/>
      </c>
      <c r="M39" s="342" t="str">
        <f>IF(D39="","",VLOOKUP(D39,'G-6 Hedgerow Data'!$B$1:$AH$15,33,FALSE))</f>
        <v/>
      </c>
      <c r="N39" s="295" t="str">
        <f t="shared" si="3"/>
        <v/>
      </c>
      <c r="O39" s="403"/>
      <c r="P39" s="287" t="str">
        <f>IF(O39="","",IF(VLOOKUP(O39,'G-3 Multipliers'!$S$3:$T$10,2,FALSE)=0,"Spatial Data Missing ⚠",VLOOKUP(O39,'G-3 Multipliers'!$S$3:$T$10,2,FALSE)))</f>
        <v/>
      </c>
      <c r="Q39" s="295" t="str">
        <f t="shared" si="4"/>
        <v/>
      </c>
      <c r="R39" s="32"/>
      <c r="S39" s="105"/>
      <c r="T39" s="112"/>
      <c r="U39" s="289" t="str">
        <f t="shared" si="5"/>
        <v/>
      </c>
      <c r="V39" s="289" t="str">
        <f t="shared" si="6"/>
        <v/>
      </c>
      <c r="W39" s="293" t="str">
        <f t="shared" si="7"/>
        <v/>
      </c>
      <c r="X39" s="297" t="str">
        <f t="shared" si="8"/>
        <v/>
      </c>
      <c r="Y39" s="109"/>
      <c r="Z39" s="108"/>
      <c r="AA39" s="108"/>
      <c r="AB39" s="108"/>
      <c r="AE39" s="30" t="str">
        <f>IFERROR(INDEX('G-6 Hedgerow Data'!$BJ$3:$BJ$15,MATCH(D39,'G-6 Hedgerow Data'!$B$3:$B$15,0)),"")</f>
        <v/>
      </c>
      <c r="AH39" s="111" t="str">
        <f t="shared" si="0"/>
        <v/>
      </c>
      <c r="AI39" s="111" t="str">
        <f t="shared" si="1"/>
        <v/>
      </c>
      <c r="AK39" s="111">
        <v>30</v>
      </c>
      <c r="AM39" s="111" t="str">
        <f t="array" ref="AM39">IFERROR(INDEX($AK$10:$AK$258, MATCH(0, IF(TRUE=$AH$10:$AH$258, COUNTIF($AM$9:$AM38, $AK$10:$AK$258), ""), 0)),"")</f>
        <v/>
      </c>
      <c r="AN39" s="111" t="str">
        <f t="array" ref="AN39">IFERROR(INDEX($AK$10:$AK$258, MATCH(0, IF(TRUE=$AI$10:$AI$258, COUNTIF($AN$9:$AN38, $AK$10:$AK$258), ""), 0)),"")</f>
        <v/>
      </c>
      <c r="AY39" s="289" t="str">
        <f t="shared" si="2"/>
        <v/>
      </c>
    </row>
    <row r="40" spans="2:51" ht="13.8" x14ac:dyDescent="0.25">
      <c r="B40" s="101">
        <v>31</v>
      </c>
      <c r="C40" s="142"/>
      <c r="D40" s="142"/>
      <c r="E40" s="108"/>
      <c r="F40" s="281" t="str">
        <f>IF(D40="","",VLOOKUP(D40,'G-6 Hedgerow Data'!$B$2:$AG$15,2,FALSE))</f>
        <v/>
      </c>
      <c r="G40" s="282" t="str">
        <f>IF(D40="","",VLOOKUP(D40,'G-6 Hedgerow Data'!$B$2:$AG$15,3,FALSE))</f>
        <v/>
      </c>
      <c r="H40" s="105"/>
      <c r="I40" s="282" t="str">
        <f>IFERROR(IF(AND(D40&lt;&gt;"",H40=""), "Check data ⚠",(IF(H40="","",IF(AND(D40="Non-native and ornamental hedgerow", H40&lt;&gt;"Poor"),"Not possible ▲", (IF(AND(F40="V.Low",OR(H40="Good",H40="Moderate")),"Error ▲",VLOOKUP(H40,'G-1 All Habitats'!$Z$2:$AA$9,2,FALSE))))))),"")</f>
        <v/>
      </c>
      <c r="J40" s="109"/>
      <c r="K40" s="301" t="str">
        <f>IF(AND(J40="",D40&lt;&gt;""),"Check data ⚠",IF(J40="","",IF(VLOOKUP(J40,'G-3 Multipliers'!$L$3:$N$6,2,FALSE)=0,"Spatial Data Missing ⚠",VLOOKUP(J40,'G-3 Multipliers'!$L$3:$N$6,2,FALSE))))</f>
        <v/>
      </c>
      <c r="L40" s="305" t="str">
        <f>IF(J40="","",IF(VLOOKUP(J40,'G-3 Multipliers'!$L$3:$N$6,3,FALSE)=0,"Spatial Data Missing ⚠",VLOOKUP(J40,'G-3 Multipliers'!$L$3:$N$6,3,FALSE)))</f>
        <v/>
      </c>
      <c r="M40" s="342" t="str">
        <f>IF(D40="","",VLOOKUP(D40,'G-6 Hedgerow Data'!$B$1:$AH$15,33,FALSE))</f>
        <v/>
      </c>
      <c r="N40" s="295" t="str">
        <f t="shared" si="3"/>
        <v/>
      </c>
      <c r="O40" s="403"/>
      <c r="P40" s="287" t="str">
        <f>IF(O40="","",IF(VLOOKUP(O40,'G-3 Multipliers'!$S$3:$T$10,2,FALSE)=0,"Spatial Data Missing ⚠",VLOOKUP(O40,'G-3 Multipliers'!$S$3:$T$10,2,FALSE)))</f>
        <v/>
      </c>
      <c r="Q40" s="295" t="str">
        <f t="shared" si="4"/>
        <v/>
      </c>
      <c r="R40" s="32"/>
      <c r="S40" s="105"/>
      <c r="T40" s="112"/>
      <c r="U40" s="289" t="str">
        <f t="shared" si="5"/>
        <v/>
      </c>
      <c r="V40" s="289" t="str">
        <f t="shared" si="6"/>
        <v/>
      </c>
      <c r="W40" s="293" t="str">
        <f t="shared" si="7"/>
        <v/>
      </c>
      <c r="X40" s="297" t="str">
        <f t="shared" si="8"/>
        <v/>
      </c>
      <c r="Y40" s="109"/>
      <c r="Z40" s="108"/>
      <c r="AA40" s="108"/>
      <c r="AB40" s="108"/>
      <c r="AE40" s="30" t="str">
        <f>IFERROR(INDEX('G-6 Hedgerow Data'!$BJ$3:$BJ$15,MATCH(D40,'G-6 Hedgerow Data'!$B$3:$B$15,0)),"")</f>
        <v/>
      </c>
      <c r="AH40" s="111" t="str">
        <f t="shared" si="0"/>
        <v/>
      </c>
      <c r="AI40" s="111" t="str">
        <f t="shared" si="1"/>
        <v/>
      </c>
      <c r="AK40" s="111">
        <v>31</v>
      </c>
      <c r="AM40" s="111" t="str">
        <f t="array" ref="AM40">IFERROR(INDEX($AK$10:$AK$258, MATCH(0, IF(TRUE=$AH$10:$AH$258, COUNTIF($AM$9:$AM39, $AK$10:$AK$258), ""), 0)),"")</f>
        <v/>
      </c>
      <c r="AN40" s="111" t="str">
        <f t="array" ref="AN40">IFERROR(INDEX($AK$10:$AK$258, MATCH(0, IF(TRUE=$AI$10:$AI$258, COUNTIF($AN$9:$AN39, $AK$10:$AK$258), ""), 0)),"")</f>
        <v/>
      </c>
      <c r="AY40" s="289" t="str">
        <f t="shared" si="2"/>
        <v/>
      </c>
    </row>
    <row r="41" spans="2:51" ht="13.8" x14ac:dyDescent="0.25">
      <c r="B41" s="101">
        <v>32</v>
      </c>
      <c r="C41" s="142"/>
      <c r="D41" s="142"/>
      <c r="E41" s="108"/>
      <c r="F41" s="281" t="str">
        <f>IF(D41="","",VLOOKUP(D41,'G-6 Hedgerow Data'!$B$2:$AG$15,2,FALSE))</f>
        <v/>
      </c>
      <c r="G41" s="282" t="str">
        <f>IF(D41="","",VLOOKUP(D41,'G-6 Hedgerow Data'!$B$2:$AG$15,3,FALSE))</f>
        <v/>
      </c>
      <c r="H41" s="105"/>
      <c r="I41" s="282" t="str">
        <f>IFERROR(IF(AND(D41&lt;&gt;"",H41=""), "Check data ⚠",(IF(H41="","",IF(AND(D41="Non-native and ornamental hedgerow", H41&lt;&gt;"Poor"),"Not possible ▲", (IF(AND(F41="V.Low",OR(H41="Good",H41="Moderate")),"Error ▲",VLOOKUP(H41,'G-1 All Habitats'!$Z$2:$AA$9,2,FALSE))))))),"")</f>
        <v/>
      </c>
      <c r="J41" s="109"/>
      <c r="K41" s="301" t="str">
        <f>IF(AND(J41="",D41&lt;&gt;""),"Check data ⚠",IF(J41="","",IF(VLOOKUP(J41,'G-3 Multipliers'!$L$3:$N$6,2,FALSE)=0,"Spatial Data Missing ⚠",VLOOKUP(J41,'G-3 Multipliers'!$L$3:$N$6,2,FALSE))))</f>
        <v/>
      </c>
      <c r="L41" s="305" t="str">
        <f>IF(J41="","",IF(VLOOKUP(J41,'G-3 Multipliers'!$L$3:$N$6,3,FALSE)=0,"Spatial Data Missing ⚠",VLOOKUP(J41,'G-3 Multipliers'!$L$3:$N$6,3,FALSE)))</f>
        <v/>
      </c>
      <c r="M41" s="342" t="str">
        <f>IF(D41="","",VLOOKUP(D41,'G-6 Hedgerow Data'!$B$1:$AH$15,33,FALSE))</f>
        <v/>
      </c>
      <c r="N41" s="295" t="str">
        <f t="shared" si="3"/>
        <v/>
      </c>
      <c r="O41" s="403"/>
      <c r="P41" s="287" t="str">
        <f>IF(O41="","",IF(VLOOKUP(O41,'G-3 Multipliers'!$S$3:$T$10,2,FALSE)=0,"Spatial Data Missing ⚠",VLOOKUP(O41,'G-3 Multipliers'!$S$3:$T$10,2,FALSE)))</f>
        <v/>
      </c>
      <c r="Q41" s="295" t="str">
        <f t="shared" si="4"/>
        <v/>
      </c>
      <c r="R41" s="32"/>
      <c r="S41" s="105"/>
      <c r="T41" s="112"/>
      <c r="U41" s="289" t="str">
        <f t="shared" si="5"/>
        <v/>
      </c>
      <c r="V41" s="289" t="str">
        <f t="shared" si="6"/>
        <v/>
      </c>
      <c r="W41" s="293" t="str">
        <f t="shared" si="7"/>
        <v/>
      </c>
      <c r="X41" s="297" t="str">
        <f t="shared" si="8"/>
        <v/>
      </c>
      <c r="Y41" s="109"/>
      <c r="Z41" s="108"/>
      <c r="AA41" s="108"/>
      <c r="AB41" s="108"/>
      <c r="AE41" s="30" t="str">
        <f>IFERROR(INDEX('G-6 Hedgerow Data'!$BJ$3:$BJ$15,MATCH(D41,'G-6 Hedgerow Data'!$B$3:$B$15,0)),"")</f>
        <v/>
      </c>
      <c r="AH41" s="111" t="str">
        <f t="shared" si="0"/>
        <v/>
      </c>
      <c r="AI41" s="111" t="str">
        <f t="shared" si="1"/>
        <v/>
      </c>
      <c r="AK41" s="111">
        <v>32</v>
      </c>
      <c r="AM41" s="111" t="str">
        <f t="array" ref="AM41">IFERROR(INDEX($AK$10:$AK$258, MATCH(0, IF(TRUE=$AH$10:$AH$258, COUNTIF($AM$9:$AM40, $AK$10:$AK$258), ""), 0)),"")</f>
        <v/>
      </c>
      <c r="AN41" s="111" t="str">
        <f t="array" ref="AN41">IFERROR(INDEX($AK$10:$AK$258, MATCH(0, IF(TRUE=$AI$10:$AI$258, COUNTIF($AN$9:$AN40, $AK$10:$AK$258), ""), 0)),"")</f>
        <v/>
      </c>
      <c r="AY41" s="289" t="str">
        <f t="shared" si="2"/>
        <v/>
      </c>
    </row>
    <row r="42" spans="2:51" ht="13.8" x14ac:dyDescent="0.25">
      <c r="B42" s="101">
        <v>33</v>
      </c>
      <c r="C42" s="142"/>
      <c r="D42" s="142"/>
      <c r="E42" s="108"/>
      <c r="F42" s="281" t="str">
        <f>IF(D42="","",VLOOKUP(D42,'G-6 Hedgerow Data'!$B$2:$AG$15,2,FALSE))</f>
        <v/>
      </c>
      <c r="G42" s="282" t="str">
        <f>IF(D42="","",VLOOKUP(D42,'G-6 Hedgerow Data'!$B$2:$AG$15,3,FALSE))</f>
        <v/>
      </c>
      <c r="H42" s="105"/>
      <c r="I42" s="282" t="str">
        <f>IFERROR(IF(AND(D42&lt;&gt;"",H42=""), "Check data ⚠",(IF(H42="","",IF(AND(D42="Non-native and ornamental hedgerow", H42&lt;&gt;"Poor"),"Not possible ▲", (IF(AND(F42="V.Low",OR(H42="Good",H42="Moderate")),"Error ▲",VLOOKUP(H42,'G-1 All Habitats'!$Z$2:$AA$9,2,FALSE))))))),"")</f>
        <v/>
      </c>
      <c r="J42" s="109"/>
      <c r="K42" s="301" t="str">
        <f>IF(AND(J42="",D42&lt;&gt;""),"Check data ⚠",IF(J42="","",IF(VLOOKUP(J42,'G-3 Multipliers'!$L$3:$N$6,2,FALSE)=0,"Spatial Data Missing ⚠",VLOOKUP(J42,'G-3 Multipliers'!$L$3:$N$6,2,FALSE))))</f>
        <v/>
      </c>
      <c r="L42" s="305" t="str">
        <f>IF(J42="","",IF(VLOOKUP(J42,'G-3 Multipliers'!$L$3:$N$6,3,FALSE)=0,"Spatial Data Missing ⚠",VLOOKUP(J42,'G-3 Multipliers'!$L$3:$N$6,3,FALSE)))</f>
        <v/>
      </c>
      <c r="M42" s="342" t="str">
        <f>IF(D42="","",VLOOKUP(D42,'G-6 Hedgerow Data'!$B$1:$AH$15,33,FALSE))</f>
        <v/>
      </c>
      <c r="N42" s="295" t="str">
        <f t="shared" si="3"/>
        <v/>
      </c>
      <c r="O42" s="403"/>
      <c r="P42" s="287" t="str">
        <f>IF(O42="","",IF(VLOOKUP(O42,'G-3 Multipliers'!$S$3:$T$10,2,FALSE)=0,"Spatial Data Missing ⚠",VLOOKUP(O42,'G-3 Multipliers'!$S$3:$T$10,2,FALSE)))</f>
        <v/>
      </c>
      <c r="Q42" s="295" t="str">
        <f t="shared" si="4"/>
        <v/>
      </c>
      <c r="R42" s="32"/>
      <c r="S42" s="105"/>
      <c r="T42" s="112"/>
      <c r="U42" s="289" t="str">
        <f t="shared" si="5"/>
        <v/>
      </c>
      <c r="V42" s="289" t="str">
        <f t="shared" si="6"/>
        <v/>
      </c>
      <c r="W42" s="293" t="str">
        <f t="shared" si="7"/>
        <v/>
      </c>
      <c r="X42" s="297" t="str">
        <f t="shared" si="8"/>
        <v/>
      </c>
      <c r="Y42" s="109"/>
      <c r="Z42" s="108"/>
      <c r="AA42" s="108"/>
      <c r="AB42" s="108"/>
      <c r="AE42" s="30" t="str">
        <f>IFERROR(INDEX('G-6 Hedgerow Data'!$BJ$3:$BJ$15,MATCH(D42,'G-6 Hedgerow Data'!$B$3:$B$15,0)),"")</f>
        <v/>
      </c>
      <c r="AH42" s="111" t="str">
        <f t="shared" si="0"/>
        <v/>
      </c>
      <c r="AI42" s="111" t="str">
        <f t="shared" si="1"/>
        <v/>
      </c>
      <c r="AK42" s="111">
        <v>33</v>
      </c>
      <c r="AM42" s="111" t="str">
        <f t="array" ref="AM42">IFERROR(INDEX($AK$10:$AK$258, MATCH(0, IF(TRUE=$AH$10:$AH$258, COUNTIF($AM$9:$AM41, $AK$10:$AK$258), ""), 0)),"")</f>
        <v/>
      </c>
      <c r="AN42" s="111" t="str">
        <f t="array" ref="AN42">IFERROR(INDEX($AK$10:$AK$258, MATCH(0, IF(TRUE=$AI$10:$AI$258, COUNTIF($AN$9:$AN41, $AK$10:$AK$258), ""), 0)),"")</f>
        <v/>
      </c>
      <c r="AY42" s="289" t="str">
        <f t="shared" si="2"/>
        <v/>
      </c>
    </row>
    <row r="43" spans="2:51" ht="13.8" x14ac:dyDescent="0.25">
      <c r="B43" s="101">
        <v>34</v>
      </c>
      <c r="C43" s="142"/>
      <c r="D43" s="142"/>
      <c r="E43" s="108"/>
      <c r="F43" s="281" t="str">
        <f>IF(D43="","",VLOOKUP(D43,'G-6 Hedgerow Data'!$B$2:$AG$15,2,FALSE))</f>
        <v/>
      </c>
      <c r="G43" s="282" t="str">
        <f>IF(D43="","",VLOOKUP(D43,'G-6 Hedgerow Data'!$B$2:$AG$15,3,FALSE))</f>
        <v/>
      </c>
      <c r="H43" s="105"/>
      <c r="I43" s="282" t="str">
        <f>IFERROR(IF(AND(D43&lt;&gt;"",H43=""), "Check data ⚠",(IF(H43="","",IF(AND(D43="Non-native and ornamental hedgerow", H43&lt;&gt;"Poor"),"Not possible ▲", (IF(AND(F43="V.Low",OR(H43="Good",H43="Moderate")),"Error ▲",VLOOKUP(H43,'G-1 All Habitats'!$Z$2:$AA$9,2,FALSE))))))),"")</f>
        <v/>
      </c>
      <c r="J43" s="109"/>
      <c r="K43" s="301" t="str">
        <f>IF(AND(J43="",D43&lt;&gt;""),"Check data ⚠",IF(J43="","",IF(VLOOKUP(J43,'G-3 Multipliers'!$L$3:$N$6,2,FALSE)=0,"Spatial Data Missing ⚠",VLOOKUP(J43,'G-3 Multipliers'!$L$3:$N$6,2,FALSE))))</f>
        <v/>
      </c>
      <c r="L43" s="305" t="str">
        <f>IF(J43="","",IF(VLOOKUP(J43,'G-3 Multipliers'!$L$3:$N$6,3,FALSE)=0,"Spatial Data Missing ⚠",VLOOKUP(J43,'G-3 Multipliers'!$L$3:$N$6,3,FALSE)))</f>
        <v/>
      </c>
      <c r="M43" s="342" t="str">
        <f>IF(D43="","",VLOOKUP(D43,'G-6 Hedgerow Data'!$B$1:$AH$15,33,FALSE))</f>
        <v/>
      </c>
      <c r="N43" s="295" t="str">
        <f t="shared" si="3"/>
        <v/>
      </c>
      <c r="O43" s="403"/>
      <c r="P43" s="287" t="str">
        <f>IF(O43="","",IF(VLOOKUP(O43,'G-3 Multipliers'!$S$3:$T$10,2,FALSE)=0,"Spatial Data Missing ⚠",VLOOKUP(O43,'G-3 Multipliers'!$S$3:$T$10,2,FALSE)))</f>
        <v/>
      </c>
      <c r="Q43" s="295" t="str">
        <f t="shared" si="4"/>
        <v/>
      </c>
      <c r="R43" s="32"/>
      <c r="S43" s="105"/>
      <c r="T43" s="112"/>
      <c r="U43" s="289" t="str">
        <f t="shared" si="5"/>
        <v/>
      </c>
      <c r="V43" s="289" t="str">
        <f t="shared" si="6"/>
        <v/>
      </c>
      <c r="W43" s="293" t="str">
        <f t="shared" si="7"/>
        <v/>
      </c>
      <c r="X43" s="297" t="str">
        <f t="shared" si="8"/>
        <v/>
      </c>
      <c r="Y43" s="109"/>
      <c r="Z43" s="108"/>
      <c r="AA43" s="108"/>
      <c r="AB43" s="108"/>
      <c r="AE43" s="30" t="str">
        <f>IFERROR(INDEX('G-6 Hedgerow Data'!$BJ$3:$BJ$15,MATCH(D43,'G-6 Hedgerow Data'!$B$3:$B$15,0)),"")</f>
        <v/>
      </c>
      <c r="AH43" s="111" t="str">
        <f t="shared" si="0"/>
        <v/>
      </c>
      <c r="AI43" s="111" t="str">
        <f t="shared" si="1"/>
        <v/>
      </c>
      <c r="AK43" s="111">
        <v>34</v>
      </c>
      <c r="AM43" s="111" t="str">
        <f t="array" ref="AM43">IFERROR(INDEX($AK$10:$AK$258, MATCH(0, IF(TRUE=$AH$10:$AH$258, COUNTIF($AM$9:$AM42, $AK$10:$AK$258), ""), 0)),"")</f>
        <v/>
      </c>
      <c r="AN43" s="111" t="str">
        <f t="array" ref="AN43">IFERROR(INDEX($AK$10:$AK$258, MATCH(0, IF(TRUE=$AI$10:$AI$258, COUNTIF($AN$9:$AN42, $AK$10:$AK$258), ""), 0)),"")</f>
        <v/>
      </c>
      <c r="AY43" s="289" t="str">
        <f t="shared" si="2"/>
        <v/>
      </c>
    </row>
    <row r="44" spans="2:51" ht="13.8" x14ac:dyDescent="0.25">
      <c r="B44" s="101">
        <v>35</v>
      </c>
      <c r="C44" s="142"/>
      <c r="D44" s="142"/>
      <c r="E44" s="108"/>
      <c r="F44" s="281" t="str">
        <f>IF(D44="","",VLOOKUP(D44,'G-6 Hedgerow Data'!$B$2:$AG$15,2,FALSE))</f>
        <v/>
      </c>
      <c r="G44" s="282" t="str">
        <f>IF(D44="","",VLOOKUP(D44,'G-6 Hedgerow Data'!$B$2:$AG$15,3,FALSE))</f>
        <v/>
      </c>
      <c r="H44" s="105"/>
      <c r="I44" s="282" t="str">
        <f>IFERROR(IF(AND(D44&lt;&gt;"",H44=""), "Check data ⚠",(IF(H44="","",IF(AND(D44="Non-native and ornamental hedgerow", H44&lt;&gt;"Poor"),"Not possible ▲", (IF(AND(F44="V.Low",OR(H44="Good",H44="Moderate")),"Error ▲",VLOOKUP(H44,'G-1 All Habitats'!$Z$2:$AA$9,2,FALSE))))))),"")</f>
        <v/>
      </c>
      <c r="J44" s="109"/>
      <c r="K44" s="301" t="str">
        <f>IF(AND(J44="",D44&lt;&gt;""),"Check data ⚠",IF(J44="","",IF(VLOOKUP(J44,'G-3 Multipliers'!$L$3:$N$6,2,FALSE)=0,"Spatial Data Missing ⚠",VLOOKUP(J44,'G-3 Multipliers'!$L$3:$N$6,2,FALSE))))</f>
        <v/>
      </c>
      <c r="L44" s="305" t="str">
        <f>IF(J44="","",IF(VLOOKUP(J44,'G-3 Multipliers'!$L$3:$N$6,3,FALSE)=0,"Spatial Data Missing ⚠",VLOOKUP(J44,'G-3 Multipliers'!$L$3:$N$6,3,FALSE)))</f>
        <v/>
      </c>
      <c r="M44" s="342" t="str">
        <f>IF(D44="","",VLOOKUP(D44,'G-6 Hedgerow Data'!$B$1:$AH$15,33,FALSE))</f>
        <v/>
      </c>
      <c r="N44" s="295" t="str">
        <f t="shared" si="3"/>
        <v/>
      </c>
      <c r="O44" s="403"/>
      <c r="P44" s="287" t="str">
        <f>IF(O44="","",IF(VLOOKUP(O44,'G-3 Multipliers'!$S$3:$T$10,2,FALSE)=0,"Spatial Data Missing ⚠",VLOOKUP(O44,'G-3 Multipliers'!$S$3:$T$10,2,FALSE)))</f>
        <v/>
      </c>
      <c r="Q44" s="295" t="str">
        <f t="shared" si="4"/>
        <v/>
      </c>
      <c r="R44" s="32"/>
      <c r="S44" s="105"/>
      <c r="T44" s="112"/>
      <c r="U44" s="289" t="str">
        <f t="shared" si="5"/>
        <v/>
      </c>
      <c r="V44" s="289" t="str">
        <f t="shared" si="6"/>
        <v/>
      </c>
      <c r="W44" s="293" t="str">
        <f t="shared" si="7"/>
        <v/>
      </c>
      <c r="X44" s="297" t="str">
        <f t="shared" si="8"/>
        <v/>
      </c>
      <c r="Y44" s="109"/>
      <c r="Z44" s="108"/>
      <c r="AA44" s="108"/>
      <c r="AB44" s="108"/>
      <c r="AE44" s="30" t="str">
        <f>IFERROR(INDEX('G-6 Hedgerow Data'!$BJ$3:$BJ$15,MATCH(D44,'G-6 Hedgerow Data'!$B$3:$B$15,0)),"")</f>
        <v/>
      </c>
      <c r="AH44" s="111" t="str">
        <f t="shared" si="0"/>
        <v/>
      </c>
      <c r="AI44" s="111" t="str">
        <f t="shared" si="1"/>
        <v/>
      </c>
      <c r="AK44" s="111">
        <v>35</v>
      </c>
      <c r="AM44" s="111" t="str">
        <f t="array" ref="AM44">IFERROR(INDEX($AK$10:$AK$258, MATCH(0, IF(TRUE=$AH$10:$AH$258, COUNTIF($AM$9:$AM43, $AK$10:$AK$258), ""), 0)),"")</f>
        <v/>
      </c>
      <c r="AN44" s="111" t="str">
        <f t="array" ref="AN44">IFERROR(INDEX($AK$10:$AK$258, MATCH(0, IF(TRUE=$AI$10:$AI$258, COUNTIF($AN$9:$AN43, $AK$10:$AK$258), ""), 0)),"")</f>
        <v/>
      </c>
      <c r="AY44" s="289" t="str">
        <f t="shared" si="2"/>
        <v/>
      </c>
    </row>
    <row r="45" spans="2:51" ht="13.8" x14ac:dyDescent="0.25">
      <c r="B45" s="101">
        <v>36</v>
      </c>
      <c r="C45" s="142"/>
      <c r="D45" s="142"/>
      <c r="E45" s="108"/>
      <c r="F45" s="281" t="str">
        <f>IF(D45="","",VLOOKUP(D45,'G-6 Hedgerow Data'!$B$2:$AG$15,2,FALSE))</f>
        <v/>
      </c>
      <c r="G45" s="282" t="str">
        <f>IF(D45="","",VLOOKUP(D45,'G-6 Hedgerow Data'!$B$2:$AG$15,3,FALSE))</f>
        <v/>
      </c>
      <c r="H45" s="105"/>
      <c r="I45" s="282" t="str">
        <f>IFERROR(IF(AND(D45&lt;&gt;"",H45=""), "Check data ⚠",(IF(H45="","",IF(AND(D45="Non-native and ornamental hedgerow", H45&lt;&gt;"Poor"),"Not possible ▲", (IF(AND(F45="V.Low",OR(H45="Good",H45="Moderate")),"Error ▲",VLOOKUP(H45,'G-1 All Habitats'!$Z$2:$AA$9,2,FALSE))))))),"")</f>
        <v/>
      </c>
      <c r="J45" s="109"/>
      <c r="K45" s="301" t="str">
        <f>IF(AND(J45="",D45&lt;&gt;""),"Check data ⚠",IF(J45="","",IF(VLOOKUP(J45,'G-3 Multipliers'!$L$3:$N$6,2,FALSE)=0,"Spatial Data Missing ⚠",VLOOKUP(J45,'G-3 Multipliers'!$L$3:$N$6,2,FALSE))))</f>
        <v/>
      </c>
      <c r="L45" s="305" t="str">
        <f>IF(J45="","",IF(VLOOKUP(J45,'G-3 Multipliers'!$L$3:$N$6,3,FALSE)=0,"Spatial Data Missing ⚠",VLOOKUP(J45,'G-3 Multipliers'!$L$3:$N$6,3,FALSE)))</f>
        <v/>
      </c>
      <c r="M45" s="342" t="str">
        <f>IF(D45="","",VLOOKUP(D45,'G-6 Hedgerow Data'!$B$1:$AH$15,33,FALSE))</f>
        <v/>
      </c>
      <c r="N45" s="295" t="str">
        <f t="shared" si="3"/>
        <v/>
      </c>
      <c r="O45" s="403"/>
      <c r="P45" s="287" t="str">
        <f>IF(O45="","",IF(VLOOKUP(O45,'G-3 Multipliers'!$S$3:$T$10,2,FALSE)=0,"Spatial Data Missing ⚠",VLOOKUP(O45,'G-3 Multipliers'!$S$3:$T$10,2,FALSE)))</f>
        <v/>
      </c>
      <c r="Q45" s="295" t="str">
        <f t="shared" si="4"/>
        <v/>
      </c>
      <c r="R45" s="32"/>
      <c r="S45" s="105"/>
      <c r="T45" s="112"/>
      <c r="U45" s="289" t="str">
        <f t="shared" si="5"/>
        <v/>
      </c>
      <c r="V45" s="289" t="str">
        <f t="shared" si="6"/>
        <v/>
      </c>
      <c r="W45" s="293" t="str">
        <f t="shared" si="7"/>
        <v/>
      </c>
      <c r="X45" s="297" t="str">
        <f t="shared" si="8"/>
        <v/>
      </c>
      <c r="Y45" s="109"/>
      <c r="Z45" s="108"/>
      <c r="AA45" s="108"/>
      <c r="AB45" s="108"/>
      <c r="AE45" s="30" t="str">
        <f>IFERROR(INDEX('G-6 Hedgerow Data'!$BJ$3:$BJ$15,MATCH(D45,'G-6 Hedgerow Data'!$B$3:$B$15,0)),"")</f>
        <v/>
      </c>
      <c r="AH45" s="111" t="str">
        <f t="shared" si="0"/>
        <v/>
      </c>
      <c r="AI45" s="111" t="str">
        <f t="shared" si="1"/>
        <v/>
      </c>
      <c r="AK45" s="111">
        <v>36</v>
      </c>
      <c r="AM45" s="111" t="str">
        <f t="array" ref="AM45">IFERROR(INDEX($AK$10:$AK$258, MATCH(0, IF(TRUE=$AH$10:$AH$258, COUNTIF($AM$9:$AM44, $AK$10:$AK$258), ""), 0)),"")</f>
        <v/>
      </c>
      <c r="AN45" s="111" t="str">
        <f t="array" ref="AN45">IFERROR(INDEX($AK$10:$AK$258, MATCH(0, IF(TRUE=$AI$10:$AI$258, COUNTIF($AN$9:$AN44, $AK$10:$AK$258), ""), 0)),"")</f>
        <v/>
      </c>
      <c r="AY45" s="289" t="str">
        <f t="shared" si="2"/>
        <v/>
      </c>
    </row>
    <row r="46" spans="2:51" ht="13.8" x14ac:dyDescent="0.25">
      <c r="B46" s="101">
        <v>37</v>
      </c>
      <c r="C46" s="142"/>
      <c r="D46" s="142"/>
      <c r="E46" s="108"/>
      <c r="F46" s="281" t="str">
        <f>IF(D46="","",VLOOKUP(D46,'G-6 Hedgerow Data'!$B$2:$AG$15,2,FALSE))</f>
        <v/>
      </c>
      <c r="G46" s="282" t="str">
        <f>IF(D46="","",VLOOKUP(D46,'G-6 Hedgerow Data'!$B$2:$AG$15,3,FALSE))</f>
        <v/>
      </c>
      <c r="H46" s="105"/>
      <c r="I46" s="282" t="str">
        <f>IFERROR(IF(AND(D46&lt;&gt;"",H46=""), "Check data ⚠",(IF(H46="","",IF(AND(D46="Non-native and ornamental hedgerow", H46&lt;&gt;"Poor"),"Not possible ▲", (IF(AND(F46="V.Low",OR(H46="Good",H46="Moderate")),"Error ▲",VLOOKUP(H46,'G-1 All Habitats'!$Z$2:$AA$9,2,FALSE))))))),"")</f>
        <v/>
      </c>
      <c r="J46" s="109"/>
      <c r="K46" s="301" t="str">
        <f>IF(AND(J46="",D46&lt;&gt;""),"Check data ⚠",IF(J46="","",IF(VLOOKUP(J46,'G-3 Multipliers'!$L$3:$N$6,2,FALSE)=0,"Spatial Data Missing ⚠",VLOOKUP(J46,'G-3 Multipliers'!$L$3:$N$6,2,FALSE))))</f>
        <v/>
      </c>
      <c r="L46" s="305" t="str">
        <f>IF(J46="","",IF(VLOOKUP(J46,'G-3 Multipliers'!$L$3:$N$6,3,FALSE)=0,"Spatial Data Missing ⚠",VLOOKUP(J46,'G-3 Multipliers'!$L$3:$N$6,3,FALSE)))</f>
        <v/>
      </c>
      <c r="M46" s="342" t="str">
        <f>IF(D46="","",VLOOKUP(D46,'G-6 Hedgerow Data'!$B$1:$AH$15,33,FALSE))</f>
        <v/>
      </c>
      <c r="N46" s="295" t="str">
        <f t="shared" si="3"/>
        <v/>
      </c>
      <c r="O46" s="403"/>
      <c r="P46" s="287" t="str">
        <f>IF(O46="","",IF(VLOOKUP(O46,'G-3 Multipliers'!$S$3:$T$10,2,FALSE)=0,"Spatial Data Missing ⚠",VLOOKUP(O46,'G-3 Multipliers'!$S$3:$T$10,2,FALSE)))</f>
        <v/>
      </c>
      <c r="Q46" s="295" t="str">
        <f t="shared" si="4"/>
        <v/>
      </c>
      <c r="R46" s="32"/>
      <c r="S46" s="105"/>
      <c r="T46" s="112"/>
      <c r="U46" s="289" t="str">
        <f t="shared" si="5"/>
        <v/>
      </c>
      <c r="V46" s="289" t="str">
        <f t="shared" si="6"/>
        <v/>
      </c>
      <c r="W46" s="293" t="str">
        <f t="shared" si="7"/>
        <v/>
      </c>
      <c r="X46" s="297" t="str">
        <f t="shared" si="8"/>
        <v/>
      </c>
      <c r="Y46" s="109"/>
      <c r="Z46" s="108"/>
      <c r="AA46" s="108"/>
      <c r="AB46" s="108"/>
      <c r="AE46" s="30" t="str">
        <f>IFERROR(INDEX('G-6 Hedgerow Data'!$BJ$3:$BJ$15,MATCH(D46,'G-6 Hedgerow Data'!$B$3:$B$15,0)),"")</f>
        <v/>
      </c>
      <c r="AH46" s="111" t="str">
        <f t="shared" si="0"/>
        <v/>
      </c>
      <c r="AI46" s="111" t="str">
        <f t="shared" si="1"/>
        <v/>
      </c>
      <c r="AK46" s="111">
        <v>37</v>
      </c>
      <c r="AM46" s="111" t="str">
        <f t="array" ref="AM46">IFERROR(INDEX($AK$10:$AK$258, MATCH(0, IF(TRUE=$AH$10:$AH$258, COUNTIF($AM$9:$AM45, $AK$10:$AK$258), ""), 0)),"")</f>
        <v/>
      </c>
      <c r="AN46" s="111" t="str">
        <f t="array" ref="AN46">IFERROR(INDEX($AK$10:$AK$258, MATCH(0, IF(TRUE=$AI$10:$AI$258, COUNTIF($AN$9:$AN45, $AK$10:$AK$258), ""), 0)),"")</f>
        <v/>
      </c>
      <c r="AY46" s="289" t="str">
        <f t="shared" si="2"/>
        <v/>
      </c>
    </row>
    <row r="47" spans="2:51" ht="13.8" x14ac:dyDescent="0.25">
      <c r="B47" s="101">
        <v>38</v>
      </c>
      <c r="C47" s="142"/>
      <c r="D47" s="142"/>
      <c r="E47" s="108"/>
      <c r="F47" s="281" t="str">
        <f>IF(D47="","",VLOOKUP(D47,'G-6 Hedgerow Data'!$B$2:$AG$15,2,FALSE))</f>
        <v/>
      </c>
      <c r="G47" s="282" t="str">
        <f>IF(D47="","",VLOOKUP(D47,'G-6 Hedgerow Data'!$B$2:$AG$15,3,FALSE))</f>
        <v/>
      </c>
      <c r="H47" s="105"/>
      <c r="I47" s="282" t="str">
        <f>IFERROR(IF(AND(D47&lt;&gt;"",H47=""), "Check data ⚠",(IF(H47="","",IF(AND(D47="Non-native and ornamental hedgerow", H47&lt;&gt;"Poor"),"Not possible ▲", (IF(AND(F47="V.Low",OR(H47="Good",H47="Moderate")),"Error ▲",VLOOKUP(H47,'G-1 All Habitats'!$Z$2:$AA$9,2,FALSE))))))),"")</f>
        <v/>
      </c>
      <c r="J47" s="109"/>
      <c r="K47" s="301" t="str">
        <f>IF(AND(J47="",D47&lt;&gt;""),"Check data ⚠",IF(J47="","",IF(VLOOKUP(J47,'G-3 Multipliers'!$L$3:$N$6,2,FALSE)=0,"Spatial Data Missing ⚠",VLOOKUP(J47,'G-3 Multipliers'!$L$3:$N$6,2,FALSE))))</f>
        <v/>
      </c>
      <c r="L47" s="305" t="str">
        <f>IF(J47="","",IF(VLOOKUP(J47,'G-3 Multipliers'!$L$3:$N$6,3,FALSE)=0,"Spatial Data Missing ⚠",VLOOKUP(J47,'G-3 Multipliers'!$L$3:$N$6,3,FALSE)))</f>
        <v/>
      </c>
      <c r="M47" s="342" t="str">
        <f>IF(D47="","",VLOOKUP(D47,'G-6 Hedgerow Data'!$B$1:$AH$15,33,FALSE))</f>
        <v/>
      </c>
      <c r="N47" s="295" t="str">
        <f t="shared" si="3"/>
        <v/>
      </c>
      <c r="O47" s="403"/>
      <c r="P47" s="287" t="str">
        <f>IF(O47="","",IF(VLOOKUP(O47,'G-3 Multipliers'!$S$3:$T$10,2,FALSE)=0,"Spatial Data Missing ⚠",VLOOKUP(O47,'G-3 Multipliers'!$S$3:$T$10,2,FALSE)))</f>
        <v/>
      </c>
      <c r="Q47" s="295" t="str">
        <f t="shared" si="4"/>
        <v/>
      </c>
      <c r="R47" s="32"/>
      <c r="S47" s="105"/>
      <c r="T47" s="112"/>
      <c r="U47" s="289" t="str">
        <f t="shared" si="5"/>
        <v/>
      </c>
      <c r="V47" s="289" t="str">
        <f t="shared" si="6"/>
        <v/>
      </c>
      <c r="W47" s="293" t="str">
        <f t="shared" si="7"/>
        <v/>
      </c>
      <c r="X47" s="297" t="str">
        <f t="shared" si="8"/>
        <v/>
      </c>
      <c r="Y47" s="109"/>
      <c r="Z47" s="108"/>
      <c r="AA47" s="108"/>
      <c r="AB47" s="108"/>
      <c r="AE47" s="30" t="str">
        <f>IFERROR(INDEX('G-6 Hedgerow Data'!$BJ$3:$BJ$15,MATCH(D47,'G-6 Hedgerow Data'!$B$3:$B$15,0)),"")</f>
        <v/>
      </c>
      <c r="AH47" s="111" t="str">
        <f t="shared" si="0"/>
        <v/>
      </c>
      <c r="AI47" s="111" t="str">
        <f t="shared" si="1"/>
        <v/>
      </c>
      <c r="AK47" s="111">
        <v>38</v>
      </c>
      <c r="AM47" s="111" t="str">
        <f t="array" ref="AM47">IFERROR(INDEX($AK$10:$AK$258, MATCH(0, IF(TRUE=$AH$10:$AH$258, COUNTIF($AM$9:$AM46, $AK$10:$AK$258), ""), 0)),"")</f>
        <v/>
      </c>
      <c r="AN47" s="111" t="str">
        <f t="array" ref="AN47">IFERROR(INDEX($AK$10:$AK$258, MATCH(0, IF(TRUE=$AI$10:$AI$258, COUNTIF($AN$9:$AN46, $AK$10:$AK$258), ""), 0)),"")</f>
        <v/>
      </c>
      <c r="AY47" s="289" t="str">
        <f t="shared" si="2"/>
        <v/>
      </c>
    </row>
    <row r="48" spans="2:51" ht="13.8" x14ac:dyDescent="0.25">
      <c r="B48" s="101">
        <v>39</v>
      </c>
      <c r="C48" s="142"/>
      <c r="D48" s="142"/>
      <c r="E48" s="108"/>
      <c r="F48" s="281" t="str">
        <f>IF(D48="","",VLOOKUP(D48,'G-6 Hedgerow Data'!$B$2:$AG$15,2,FALSE))</f>
        <v/>
      </c>
      <c r="G48" s="282" t="str">
        <f>IF(D48="","",VLOOKUP(D48,'G-6 Hedgerow Data'!$B$2:$AG$15,3,FALSE))</f>
        <v/>
      </c>
      <c r="H48" s="105"/>
      <c r="I48" s="282" t="str">
        <f>IFERROR(IF(AND(D48&lt;&gt;"",H48=""), "Check data ⚠",(IF(H48="","",IF(AND(D48="Non-native and ornamental hedgerow", H48&lt;&gt;"Poor"),"Not possible ▲", (IF(AND(F48="V.Low",OR(H48="Good",H48="Moderate")),"Error ▲",VLOOKUP(H48,'G-1 All Habitats'!$Z$2:$AA$9,2,FALSE))))))),"")</f>
        <v/>
      </c>
      <c r="J48" s="109"/>
      <c r="K48" s="301" t="str">
        <f>IF(AND(J48="",D48&lt;&gt;""),"Check data ⚠",IF(J48="","",IF(VLOOKUP(J48,'G-3 Multipliers'!$L$3:$N$6,2,FALSE)=0,"Spatial Data Missing ⚠",VLOOKUP(J48,'G-3 Multipliers'!$L$3:$N$6,2,FALSE))))</f>
        <v/>
      </c>
      <c r="L48" s="305" t="str">
        <f>IF(J48="","",IF(VLOOKUP(J48,'G-3 Multipliers'!$L$3:$N$6,3,FALSE)=0,"Spatial Data Missing ⚠",VLOOKUP(J48,'G-3 Multipliers'!$L$3:$N$6,3,FALSE)))</f>
        <v/>
      </c>
      <c r="M48" s="342" t="str">
        <f>IF(D48="","",VLOOKUP(D48,'G-6 Hedgerow Data'!$B$1:$AH$15,33,FALSE))</f>
        <v/>
      </c>
      <c r="N48" s="295" t="str">
        <f t="shared" si="3"/>
        <v/>
      </c>
      <c r="O48" s="403"/>
      <c r="P48" s="287" t="str">
        <f>IF(O48="","",IF(VLOOKUP(O48,'G-3 Multipliers'!$S$3:$T$10,2,FALSE)=0,"Spatial Data Missing ⚠",VLOOKUP(O48,'G-3 Multipliers'!$S$3:$T$10,2,FALSE)))</f>
        <v/>
      </c>
      <c r="Q48" s="295" t="str">
        <f t="shared" si="4"/>
        <v/>
      </c>
      <c r="R48" s="32"/>
      <c r="S48" s="105"/>
      <c r="T48" s="112"/>
      <c r="U48" s="289" t="str">
        <f t="shared" si="5"/>
        <v/>
      </c>
      <c r="V48" s="289" t="str">
        <f t="shared" si="6"/>
        <v/>
      </c>
      <c r="W48" s="293" t="str">
        <f t="shared" si="7"/>
        <v/>
      </c>
      <c r="X48" s="297" t="str">
        <f t="shared" si="8"/>
        <v/>
      </c>
      <c r="Y48" s="109"/>
      <c r="Z48" s="108"/>
      <c r="AA48" s="108"/>
      <c r="AB48" s="108"/>
      <c r="AE48" s="30" t="str">
        <f>IFERROR(INDEX('G-6 Hedgerow Data'!$BJ$3:$BJ$15,MATCH(D48,'G-6 Hedgerow Data'!$B$3:$B$15,0)),"")</f>
        <v/>
      </c>
      <c r="AH48" s="111" t="str">
        <f t="shared" si="0"/>
        <v/>
      </c>
      <c r="AI48" s="111" t="str">
        <f t="shared" si="1"/>
        <v/>
      </c>
      <c r="AK48" s="111">
        <v>39</v>
      </c>
      <c r="AM48" s="111" t="str">
        <f t="array" ref="AM48">IFERROR(INDEX($AK$10:$AK$258, MATCH(0, IF(TRUE=$AH$10:$AH$258, COUNTIF($AM$9:$AM47, $AK$10:$AK$258), ""), 0)),"")</f>
        <v/>
      </c>
      <c r="AN48" s="111" t="str">
        <f t="array" ref="AN48">IFERROR(INDEX($AK$10:$AK$258, MATCH(0, IF(TRUE=$AI$10:$AI$258, COUNTIF($AN$9:$AN47, $AK$10:$AK$258), ""), 0)),"")</f>
        <v/>
      </c>
      <c r="AY48" s="289" t="str">
        <f t="shared" si="2"/>
        <v/>
      </c>
    </row>
    <row r="49" spans="2:51" ht="13.8" x14ac:dyDescent="0.25">
      <c r="B49" s="101">
        <v>40</v>
      </c>
      <c r="C49" s="142"/>
      <c r="D49" s="142"/>
      <c r="E49" s="108"/>
      <c r="F49" s="281" t="str">
        <f>IF(D49="","",VLOOKUP(D49,'G-6 Hedgerow Data'!$B$2:$AG$15,2,FALSE))</f>
        <v/>
      </c>
      <c r="G49" s="282" t="str">
        <f>IF(D49="","",VLOOKUP(D49,'G-6 Hedgerow Data'!$B$2:$AG$15,3,FALSE))</f>
        <v/>
      </c>
      <c r="H49" s="105"/>
      <c r="I49" s="282" t="str">
        <f>IFERROR(IF(AND(D49&lt;&gt;"",H49=""), "Check data ⚠",(IF(H49="","",IF(AND(D49="Non-native and ornamental hedgerow", H49&lt;&gt;"Poor"),"Not possible ▲", (IF(AND(F49="V.Low",OR(H49="Good",H49="Moderate")),"Error ▲",VLOOKUP(H49,'G-1 All Habitats'!$Z$2:$AA$9,2,FALSE))))))),"")</f>
        <v/>
      </c>
      <c r="J49" s="109"/>
      <c r="K49" s="301" t="str">
        <f>IF(AND(J49="",D49&lt;&gt;""),"Check data ⚠",IF(J49="","",IF(VLOOKUP(J49,'G-3 Multipliers'!$L$3:$N$6,2,FALSE)=0,"Spatial Data Missing ⚠",VLOOKUP(J49,'G-3 Multipliers'!$L$3:$N$6,2,FALSE))))</f>
        <v/>
      </c>
      <c r="L49" s="305" t="str">
        <f>IF(J49="","",IF(VLOOKUP(J49,'G-3 Multipliers'!$L$3:$N$6,3,FALSE)=0,"Spatial Data Missing ⚠",VLOOKUP(J49,'G-3 Multipliers'!$L$3:$N$6,3,FALSE)))</f>
        <v/>
      </c>
      <c r="M49" s="342" t="str">
        <f>IF(D49="","",VLOOKUP(D49,'G-6 Hedgerow Data'!$B$1:$AH$15,33,FALSE))</f>
        <v/>
      </c>
      <c r="N49" s="295" t="str">
        <f t="shared" si="3"/>
        <v/>
      </c>
      <c r="O49" s="403"/>
      <c r="P49" s="287" t="str">
        <f>IF(O49="","",IF(VLOOKUP(O49,'G-3 Multipliers'!$S$3:$T$10,2,FALSE)=0,"Spatial Data Missing ⚠",VLOOKUP(O49,'G-3 Multipliers'!$S$3:$T$10,2,FALSE)))</f>
        <v/>
      </c>
      <c r="Q49" s="295" t="str">
        <f t="shared" si="4"/>
        <v/>
      </c>
      <c r="R49" s="32"/>
      <c r="S49" s="105"/>
      <c r="T49" s="112"/>
      <c r="U49" s="289" t="str">
        <f t="shared" si="5"/>
        <v/>
      </c>
      <c r="V49" s="289" t="str">
        <f t="shared" si="6"/>
        <v/>
      </c>
      <c r="W49" s="293" t="str">
        <f t="shared" si="7"/>
        <v/>
      </c>
      <c r="X49" s="297" t="str">
        <f t="shared" si="8"/>
        <v/>
      </c>
      <c r="Y49" s="109"/>
      <c r="Z49" s="108"/>
      <c r="AA49" s="108"/>
      <c r="AB49" s="108"/>
      <c r="AE49" s="30" t="str">
        <f>IFERROR(INDEX('G-6 Hedgerow Data'!$BJ$3:$BJ$15,MATCH(D49,'G-6 Hedgerow Data'!$B$3:$B$15,0)),"")</f>
        <v/>
      </c>
      <c r="AH49" s="111" t="str">
        <f t="shared" si="0"/>
        <v/>
      </c>
      <c r="AI49" s="111" t="str">
        <f t="shared" si="1"/>
        <v/>
      </c>
      <c r="AK49" s="111">
        <v>40</v>
      </c>
      <c r="AM49" s="111" t="str">
        <f t="array" ref="AM49">IFERROR(INDEX($AK$10:$AK$258, MATCH(0, IF(TRUE=$AH$10:$AH$258, COUNTIF($AM$9:$AM48, $AK$10:$AK$258), ""), 0)),"")</f>
        <v/>
      </c>
      <c r="AN49" s="111" t="str">
        <f t="array" ref="AN49">IFERROR(INDEX($AK$10:$AK$258, MATCH(0, IF(TRUE=$AI$10:$AI$258, COUNTIF($AN$9:$AN48, $AK$10:$AK$258), ""), 0)),"")</f>
        <v/>
      </c>
      <c r="AY49" s="289" t="str">
        <f t="shared" si="2"/>
        <v/>
      </c>
    </row>
    <row r="50" spans="2:51" ht="13.8" x14ac:dyDescent="0.25">
      <c r="B50" s="101">
        <v>41</v>
      </c>
      <c r="C50" s="142"/>
      <c r="D50" s="142"/>
      <c r="E50" s="108"/>
      <c r="F50" s="281" t="str">
        <f>IF(D50="","",VLOOKUP(D50,'G-6 Hedgerow Data'!$B$2:$AG$15,2,FALSE))</f>
        <v/>
      </c>
      <c r="G50" s="282" t="str">
        <f>IF(D50="","",VLOOKUP(D50,'G-6 Hedgerow Data'!$B$2:$AG$15,3,FALSE))</f>
        <v/>
      </c>
      <c r="H50" s="105"/>
      <c r="I50" s="282" t="str">
        <f>IFERROR(IF(AND(D50&lt;&gt;"",H50=""), "Check data ⚠",(IF(H50="","",IF(AND(D50="Non-native and ornamental hedgerow", H50&lt;&gt;"Poor"),"Not possible ▲", (IF(AND(F50="V.Low",OR(H50="Good",H50="Moderate")),"Error ▲",VLOOKUP(H50,'G-1 All Habitats'!$Z$2:$AA$9,2,FALSE))))))),"")</f>
        <v/>
      </c>
      <c r="J50" s="109"/>
      <c r="K50" s="301" t="str">
        <f>IF(AND(J50="",D50&lt;&gt;""),"Check data ⚠",IF(J50="","",IF(VLOOKUP(J50,'G-3 Multipliers'!$L$3:$N$6,2,FALSE)=0,"Spatial Data Missing ⚠",VLOOKUP(J50,'G-3 Multipliers'!$L$3:$N$6,2,FALSE))))</f>
        <v/>
      </c>
      <c r="L50" s="305" t="str">
        <f>IF(J50="","",IF(VLOOKUP(J50,'G-3 Multipliers'!$L$3:$N$6,3,FALSE)=0,"Spatial Data Missing ⚠",VLOOKUP(J50,'G-3 Multipliers'!$L$3:$N$6,3,FALSE)))</f>
        <v/>
      </c>
      <c r="M50" s="342" t="str">
        <f>IF(D50="","",VLOOKUP(D50,'G-6 Hedgerow Data'!$B$1:$AH$15,33,FALSE))</f>
        <v/>
      </c>
      <c r="N50" s="295" t="str">
        <f t="shared" si="3"/>
        <v/>
      </c>
      <c r="O50" s="403"/>
      <c r="P50" s="287" t="str">
        <f>IF(O50="","",IF(VLOOKUP(O50,'G-3 Multipliers'!$S$3:$T$10,2,FALSE)=0,"Spatial Data Missing ⚠",VLOOKUP(O50,'G-3 Multipliers'!$S$3:$T$10,2,FALSE)))</f>
        <v/>
      </c>
      <c r="Q50" s="295" t="str">
        <f t="shared" si="4"/>
        <v/>
      </c>
      <c r="R50" s="32"/>
      <c r="S50" s="105"/>
      <c r="T50" s="112"/>
      <c r="U50" s="289" t="str">
        <f t="shared" si="5"/>
        <v/>
      </c>
      <c r="V50" s="289" t="str">
        <f t="shared" si="6"/>
        <v/>
      </c>
      <c r="W50" s="293" t="str">
        <f t="shared" si="7"/>
        <v/>
      </c>
      <c r="X50" s="297" t="str">
        <f t="shared" si="8"/>
        <v/>
      </c>
      <c r="Y50" s="109"/>
      <c r="Z50" s="108"/>
      <c r="AA50" s="108"/>
      <c r="AB50" s="108"/>
      <c r="AE50" s="30" t="str">
        <f>IFERROR(INDEX('G-6 Hedgerow Data'!$BJ$3:$BJ$15,MATCH(D50,'G-6 Hedgerow Data'!$B$3:$B$15,0)),"")</f>
        <v/>
      </c>
      <c r="AH50" s="111" t="str">
        <f t="shared" si="0"/>
        <v/>
      </c>
      <c r="AI50" s="111" t="str">
        <f t="shared" si="1"/>
        <v/>
      </c>
      <c r="AK50" s="111">
        <v>41</v>
      </c>
      <c r="AM50" s="111" t="str">
        <f t="array" ref="AM50">IFERROR(INDEX($AK$10:$AK$258, MATCH(0, IF(TRUE=$AH$10:$AH$258, COUNTIF($AM$9:$AM49, $AK$10:$AK$258), ""), 0)),"")</f>
        <v/>
      </c>
      <c r="AN50" s="111" t="str">
        <f t="array" ref="AN50">IFERROR(INDEX($AK$10:$AK$258, MATCH(0, IF(TRUE=$AI$10:$AI$258, COUNTIF($AN$9:$AN49, $AK$10:$AK$258), ""), 0)),"")</f>
        <v/>
      </c>
      <c r="AY50" s="289" t="str">
        <f t="shared" si="2"/>
        <v/>
      </c>
    </row>
    <row r="51" spans="2:51" ht="13.8" x14ac:dyDescent="0.25">
      <c r="B51" s="101">
        <v>42</v>
      </c>
      <c r="C51" s="142"/>
      <c r="D51" s="142"/>
      <c r="E51" s="108"/>
      <c r="F51" s="281" t="str">
        <f>IF(D51="","",VLOOKUP(D51,'G-6 Hedgerow Data'!$B$2:$AG$15,2,FALSE))</f>
        <v/>
      </c>
      <c r="G51" s="282" t="str">
        <f>IF(D51="","",VLOOKUP(D51,'G-6 Hedgerow Data'!$B$2:$AG$15,3,FALSE))</f>
        <v/>
      </c>
      <c r="H51" s="105"/>
      <c r="I51" s="282" t="str">
        <f>IFERROR(IF(AND(D51&lt;&gt;"",H51=""), "Check data ⚠",(IF(H51="","",IF(AND(D51="Non-native and ornamental hedgerow", H51&lt;&gt;"Poor"),"Not possible ▲", (IF(AND(F51="V.Low",OR(H51="Good",H51="Moderate")),"Error ▲",VLOOKUP(H51,'G-1 All Habitats'!$Z$2:$AA$9,2,FALSE))))))),"")</f>
        <v/>
      </c>
      <c r="J51" s="109"/>
      <c r="K51" s="301" t="str">
        <f>IF(AND(J51="",D51&lt;&gt;""),"Check data ⚠",IF(J51="","",IF(VLOOKUP(J51,'G-3 Multipliers'!$L$3:$N$6,2,FALSE)=0,"Spatial Data Missing ⚠",VLOOKUP(J51,'G-3 Multipliers'!$L$3:$N$6,2,FALSE))))</f>
        <v/>
      </c>
      <c r="L51" s="305" t="str">
        <f>IF(J51="","",IF(VLOOKUP(J51,'G-3 Multipliers'!$L$3:$N$6,3,FALSE)=0,"Spatial Data Missing ⚠",VLOOKUP(J51,'G-3 Multipliers'!$L$3:$N$6,3,FALSE)))</f>
        <v/>
      </c>
      <c r="M51" s="342" t="str">
        <f>IF(D51="","",VLOOKUP(D51,'G-6 Hedgerow Data'!$B$1:$AH$15,33,FALSE))</f>
        <v/>
      </c>
      <c r="N51" s="295" t="str">
        <f t="shared" si="3"/>
        <v/>
      </c>
      <c r="O51" s="403"/>
      <c r="P51" s="287" t="str">
        <f>IF(O51="","",IF(VLOOKUP(O51,'G-3 Multipliers'!$S$3:$T$10,2,FALSE)=0,"Spatial Data Missing ⚠",VLOOKUP(O51,'G-3 Multipliers'!$S$3:$T$10,2,FALSE)))</f>
        <v/>
      </c>
      <c r="Q51" s="295" t="str">
        <f t="shared" si="4"/>
        <v/>
      </c>
      <c r="R51" s="32"/>
      <c r="S51" s="105"/>
      <c r="T51" s="112"/>
      <c r="U51" s="289" t="str">
        <f t="shared" si="5"/>
        <v/>
      </c>
      <c r="V51" s="289" t="str">
        <f t="shared" si="6"/>
        <v/>
      </c>
      <c r="W51" s="293" t="str">
        <f t="shared" si="7"/>
        <v/>
      </c>
      <c r="X51" s="297" t="str">
        <f t="shared" si="8"/>
        <v/>
      </c>
      <c r="Y51" s="109"/>
      <c r="Z51" s="108"/>
      <c r="AA51" s="108"/>
      <c r="AB51" s="108"/>
      <c r="AE51" s="30" t="str">
        <f>IFERROR(INDEX('G-6 Hedgerow Data'!$BJ$3:$BJ$15,MATCH(D51,'G-6 Hedgerow Data'!$B$3:$B$15,0)),"")</f>
        <v/>
      </c>
      <c r="AH51" s="111" t="str">
        <f t="shared" si="0"/>
        <v/>
      </c>
      <c r="AI51" s="111" t="str">
        <f t="shared" si="1"/>
        <v/>
      </c>
      <c r="AK51" s="111">
        <v>42</v>
      </c>
      <c r="AM51" s="111" t="str">
        <f t="array" ref="AM51">IFERROR(INDEX($AK$10:$AK$258, MATCH(0, IF(TRUE=$AH$10:$AH$258, COUNTIF($AM$9:$AM50, $AK$10:$AK$258), ""), 0)),"")</f>
        <v/>
      </c>
      <c r="AN51" s="111" t="str">
        <f t="array" ref="AN51">IFERROR(INDEX($AK$10:$AK$258, MATCH(0, IF(TRUE=$AI$10:$AI$258, COUNTIF($AN$9:$AN50, $AK$10:$AK$258), ""), 0)),"")</f>
        <v/>
      </c>
      <c r="AY51" s="289" t="str">
        <f t="shared" si="2"/>
        <v/>
      </c>
    </row>
    <row r="52" spans="2:51" ht="13.8" x14ac:dyDescent="0.25">
      <c r="B52" s="101">
        <v>43</v>
      </c>
      <c r="C52" s="142"/>
      <c r="D52" s="142"/>
      <c r="E52" s="108"/>
      <c r="F52" s="281" t="str">
        <f>IF(D52="","",VLOOKUP(D52,'G-6 Hedgerow Data'!$B$2:$AG$15,2,FALSE))</f>
        <v/>
      </c>
      <c r="G52" s="282" t="str">
        <f>IF(D52="","",VLOOKUP(D52,'G-6 Hedgerow Data'!$B$2:$AG$15,3,FALSE))</f>
        <v/>
      </c>
      <c r="H52" s="105"/>
      <c r="I52" s="282" t="str">
        <f>IFERROR(IF(AND(D52&lt;&gt;"",H52=""), "Check data ⚠",(IF(H52="","",IF(AND(D52="Non-native and ornamental hedgerow", H52&lt;&gt;"Poor"),"Not possible ▲", (IF(AND(F52="V.Low",OR(H52="Good",H52="Moderate")),"Error ▲",VLOOKUP(H52,'G-1 All Habitats'!$Z$2:$AA$9,2,FALSE))))))),"")</f>
        <v/>
      </c>
      <c r="J52" s="109"/>
      <c r="K52" s="301" t="str">
        <f>IF(AND(J52="",D52&lt;&gt;""),"Check data ⚠",IF(J52="","",IF(VLOOKUP(J52,'G-3 Multipliers'!$L$3:$N$6,2,FALSE)=0,"Spatial Data Missing ⚠",VLOOKUP(J52,'G-3 Multipliers'!$L$3:$N$6,2,FALSE))))</f>
        <v/>
      </c>
      <c r="L52" s="305" t="str">
        <f>IF(J52="","",IF(VLOOKUP(J52,'G-3 Multipliers'!$L$3:$N$6,3,FALSE)=0,"Spatial Data Missing ⚠",VLOOKUP(J52,'G-3 Multipliers'!$L$3:$N$6,3,FALSE)))</f>
        <v/>
      </c>
      <c r="M52" s="342" t="str">
        <f>IF(D52="","",VLOOKUP(D52,'G-6 Hedgerow Data'!$B$1:$AH$15,33,FALSE))</f>
        <v/>
      </c>
      <c r="N52" s="295" t="str">
        <f t="shared" si="3"/>
        <v/>
      </c>
      <c r="O52" s="403"/>
      <c r="P52" s="287" t="str">
        <f>IF(O52="","",IF(VLOOKUP(O52,'G-3 Multipliers'!$S$3:$T$10,2,FALSE)=0,"Spatial Data Missing ⚠",VLOOKUP(O52,'G-3 Multipliers'!$S$3:$T$10,2,FALSE)))</f>
        <v/>
      </c>
      <c r="Q52" s="295" t="str">
        <f t="shared" si="4"/>
        <v/>
      </c>
      <c r="R52" s="32"/>
      <c r="S52" s="105"/>
      <c r="T52" s="112"/>
      <c r="U52" s="289" t="str">
        <f t="shared" si="5"/>
        <v/>
      </c>
      <c r="V52" s="289" t="str">
        <f t="shared" si="6"/>
        <v/>
      </c>
      <c r="W52" s="293" t="str">
        <f t="shared" si="7"/>
        <v/>
      </c>
      <c r="X52" s="297" t="str">
        <f t="shared" si="8"/>
        <v/>
      </c>
      <c r="Y52" s="109"/>
      <c r="Z52" s="108"/>
      <c r="AA52" s="108"/>
      <c r="AB52" s="108"/>
      <c r="AE52" s="30" t="str">
        <f>IFERROR(INDEX('G-6 Hedgerow Data'!$BJ$3:$BJ$15,MATCH(D52,'G-6 Hedgerow Data'!$B$3:$B$15,0)),"")</f>
        <v/>
      </c>
      <c r="AH52" s="111" t="str">
        <f t="shared" si="0"/>
        <v/>
      </c>
      <c r="AI52" s="111" t="str">
        <f t="shared" si="1"/>
        <v/>
      </c>
      <c r="AK52" s="111">
        <v>43</v>
      </c>
      <c r="AM52" s="111" t="str">
        <f t="array" ref="AM52">IFERROR(INDEX($AK$10:$AK$258, MATCH(0, IF(TRUE=$AH$10:$AH$258, COUNTIF($AM$9:$AM51, $AK$10:$AK$258), ""), 0)),"")</f>
        <v/>
      </c>
      <c r="AN52" s="111" t="str">
        <f t="array" ref="AN52">IFERROR(INDEX($AK$10:$AK$258, MATCH(0, IF(TRUE=$AI$10:$AI$258, COUNTIF($AN$9:$AN51, $AK$10:$AK$258), ""), 0)),"")</f>
        <v/>
      </c>
      <c r="AY52" s="289" t="str">
        <f t="shared" si="2"/>
        <v/>
      </c>
    </row>
    <row r="53" spans="2:51" ht="13.8" x14ac:dyDescent="0.25">
      <c r="B53" s="101">
        <v>44</v>
      </c>
      <c r="C53" s="142"/>
      <c r="D53" s="142"/>
      <c r="E53" s="108"/>
      <c r="F53" s="281" t="str">
        <f>IF(D53="","",VLOOKUP(D53,'G-6 Hedgerow Data'!$B$2:$AG$15,2,FALSE))</f>
        <v/>
      </c>
      <c r="G53" s="282" t="str">
        <f>IF(D53="","",VLOOKUP(D53,'G-6 Hedgerow Data'!$B$2:$AG$15,3,FALSE))</f>
        <v/>
      </c>
      <c r="H53" s="105"/>
      <c r="I53" s="282" t="str">
        <f>IFERROR(IF(AND(D53&lt;&gt;"",H53=""), "Check data ⚠",(IF(H53="","",IF(AND(D53="Non-native and ornamental hedgerow", H53&lt;&gt;"Poor"),"Not possible ▲", (IF(AND(F53="V.Low",OR(H53="Good",H53="Moderate")),"Error ▲",VLOOKUP(H53,'G-1 All Habitats'!$Z$2:$AA$9,2,FALSE))))))),"")</f>
        <v/>
      </c>
      <c r="J53" s="109"/>
      <c r="K53" s="301" t="str">
        <f>IF(AND(J53="",D53&lt;&gt;""),"Check data ⚠",IF(J53="","",IF(VLOOKUP(J53,'G-3 Multipliers'!$L$3:$N$6,2,FALSE)=0,"Spatial Data Missing ⚠",VLOOKUP(J53,'G-3 Multipliers'!$L$3:$N$6,2,FALSE))))</f>
        <v/>
      </c>
      <c r="L53" s="305" t="str">
        <f>IF(J53="","",IF(VLOOKUP(J53,'G-3 Multipliers'!$L$3:$N$6,3,FALSE)=0,"Spatial Data Missing ⚠",VLOOKUP(J53,'G-3 Multipliers'!$L$3:$N$6,3,FALSE)))</f>
        <v/>
      </c>
      <c r="M53" s="342" t="str">
        <f>IF(D53="","",VLOOKUP(D53,'G-6 Hedgerow Data'!$B$1:$AH$15,33,FALSE))</f>
        <v/>
      </c>
      <c r="N53" s="295" t="str">
        <f t="shared" si="3"/>
        <v/>
      </c>
      <c r="O53" s="403"/>
      <c r="P53" s="287" t="str">
        <f>IF(O53="","",IF(VLOOKUP(O53,'G-3 Multipliers'!$S$3:$T$10,2,FALSE)=0,"Spatial Data Missing ⚠",VLOOKUP(O53,'G-3 Multipliers'!$S$3:$T$10,2,FALSE)))</f>
        <v/>
      </c>
      <c r="Q53" s="295" t="str">
        <f t="shared" si="4"/>
        <v/>
      </c>
      <c r="R53" s="32"/>
      <c r="S53" s="105"/>
      <c r="T53" s="112"/>
      <c r="U53" s="289" t="str">
        <f t="shared" si="5"/>
        <v/>
      </c>
      <c r="V53" s="289" t="str">
        <f t="shared" si="6"/>
        <v/>
      </c>
      <c r="W53" s="293" t="str">
        <f t="shared" si="7"/>
        <v/>
      </c>
      <c r="X53" s="297" t="str">
        <f t="shared" si="8"/>
        <v/>
      </c>
      <c r="Y53" s="109"/>
      <c r="Z53" s="108"/>
      <c r="AA53" s="108"/>
      <c r="AB53" s="108"/>
      <c r="AE53" s="30" t="str">
        <f>IFERROR(INDEX('G-6 Hedgerow Data'!$BJ$3:$BJ$15,MATCH(D53,'G-6 Hedgerow Data'!$B$3:$B$15,0)),"")</f>
        <v/>
      </c>
      <c r="AH53" s="111" t="str">
        <f t="shared" si="0"/>
        <v/>
      </c>
      <c r="AI53" s="111" t="str">
        <f t="shared" si="1"/>
        <v/>
      </c>
      <c r="AK53" s="111">
        <v>44</v>
      </c>
      <c r="AM53" s="111" t="str">
        <f t="array" ref="AM53">IFERROR(INDEX($AK$10:$AK$258, MATCH(0, IF(TRUE=$AH$10:$AH$258, COUNTIF($AM$9:$AM52, $AK$10:$AK$258), ""), 0)),"")</f>
        <v/>
      </c>
      <c r="AN53" s="111" t="str">
        <f t="array" ref="AN53">IFERROR(INDEX($AK$10:$AK$258, MATCH(0, IF(TRUE=$AI$10:$AI$258, COUNTIF($AN$9:$AN52, $AK$10:$AK$258), ""), 0)),"")</f>
        <v/>
      </c>
      <c r="AY53" s="289" t="str">
        <f t="shared" si="2"/>
        <v/>
      </c>
    </row>
    <row r="54" spans="2:51" ht="13.8" x14ac:dyDescent="0.25">
      <c r="B54" s="101">
        <v>45</v>
      </c>
      <c r="C54" s="142"/>
      <c r="D54" s="142"/>
      <c r="E54" s="108"/>
      <c r="F54" s="281" t="str">
        <f>IF(D54="","",VLOOKUP(D54,'G-6 Hedgerow Data'!$B$2:$AG$15,2,FALSE))</f>
        <v/>
      </c>
      <c r="G54" s="282" t="str">
        <f>IF(D54="","",VLOOKUP(D54,'G-6 Hedgerow Data'!$B$2:$AG$15,3,FALSE))</f>
        <v/>
      </c>
      <c r="H54" s="105"/>
      <c r="I54" s="282" t="str">
        <f>IFERROR(IF(AND(D54&lt;&gt;"",H54=""), "Check data ⚠",(IF(H54="","",IF(AND(D54="Non-native and ornamental hedgerow", H54&lt;&gt;"Poor"),"Not possible ▲", (IF(AND(F54="V.Low",OR(H54="Good",H54="Moderate")),"Error ▲",VLOOKUP(H54,'G-1 All Habitats'!$Z$2:$AA$9,2,FALSE))))))),"")</f>
        <v/>
      </c>
      <c r="J54" s="109"/>
      <c r="K54" s="301" t="str">
        <f>IF(AND(J54="",D54&lt;&gt;""),"Check data ⚠",IF(J54="","",IF(VLOOKUP(J54,'G-3 Multipliers'!$L$3:$N$6,2,FALSE)=0,"Spatial Data Missing ⚠",VLOOKUP(J54,'G-3 Multipliers'!$L$3:$N$6,2,FALSE))))</f>
        <v/>
      </c>
      <c r="L54" s="305" t="str">
        <f>IF(J54="","",IF(VLOOKUP(J54,'G-3 Multipliers'!$L$3:$N$6,3,FALSE)=0,"Spatial Data Missing ⚠",VLOOKUP(J54,'G-3 Multipliers'!$L$3:$N$6,3,FALSE)))</f>
        <v/>
      </c>
      <c r="M54" s="342" t="str">
        <f>IF(D54="","",VLOOKUP(D54,'G-6 Hedgerow Data'!$B$1:$AH$15,33,FALSE))</f>
        <v/>
      </c>
      <c r="N54" s="295" t="str">
        <f t="shared" si="3"/>
        <v/>
      </c>
      <c r="O54" s="403"/>
      <c r="P54" s="287" t="str">
        <f>IF(O54="","",IF(VLOOKUP(O54,'G-3 Multipliers'!$S$3:$T$10,2,FALSE)=0,"Spatial Data Missing ⚠",VLOOKUP(O54,'G-3 Multipliers'!$S$3:$T$10,2,FALSE)))</f>
        <v/>
      </c>
      <c r="Q54" s="295" t="str">
        <f t="shared" si="4"/>
        <v/>
      </c>
      <c r="R54" s="32"/>
      <c r="S54" s="105"/>
      <c r="T54" s="112"/>
      <c r="U54" s="289" t="str">
        <f t="shared" si="5"/>
        <v/>
      </c>
      <c r="V54" s="289" t="str">
        <f t="shared" si="6"/>
        <v/>
      </c>
      <c r="W54" s="293" t="str">
        <f t="shared" si="7"/>
        <v/>
      </c>
      <c r="X54" s="297" t="str">
        <f t="shared" si="8"/>
        <v/>
      </c>
      <c r="Y54" s="109"/>
      <c r="Z54" s="108"/>
      <c r="AA54" s="108"/>
      <c r="AB54" s="108"/>
      <c r="AE54" s="30" t="str">
        <f>IFERROR(INDEX('G-6 Hedgerow Data'!$BJ$3:$BJ$15,MATCH(D54,'G-6 Hedgerow Data'!$B$3:$B$15,0)),"")</f>
        <v/>
      </c>
      <c r="AH54" s="111" t="str">
        <f t="shared" si="0"/>
        <v/>
      </c>
      <c r="AI54" s="111" t="str">
        <f t="shared" si="1"/>
        <v/>
      </c>
      <c r="AK54" s="111">
        <v>45</v>
      </c>
      <c r="AM54" s="111" t="str">
        <f t="array" ref="AM54">IFERROR(INDEX($AK$10:$AK$258, MATCH(0, IF(TRUE=$AH$10:$AH$258, COUNTIF($AM$9:$AM53, $AK$10:$AK$258), ""), 0)),"")</f>
        <v/>
      </c>
      <c r="AN54" s="111" t="str">
        <f t="array" ref="AN54">IFERROR(INDEX($AK$10:$AK$258, MATCH(0, IF(TRUE=$AI$10:$AI$258, COUNTIF($AN$9:$AN53, $AK$10:$AK$258), ""), 0)),"")</f>
        <v/>
      </c>
      <c r="AY54" s="289" t="str">
        <f t="shared" si="2"/>
        <v/>
      </c>
    </row>
    <row r="55" spans="2:51" ht="13.8" x14ac:dyDescent="0.25">
      <c r="B55" s="101">
        <v>46</v>
      </c>
      <c r="C55" s="142"/>
      <c r="D55" s="142"/>
      <c r="E55" s="108"/>
      <c r="F55" s="281" t="str">
        <f>IF(D55="","",VLOOKUP(D55,'G-6 Hedgerow Data'!$B$2:$AG$15,2,FALSE))</f>
        <v/>
      </c>
      <c r="G55" s="282" t="str">
        <f>IF(D55="","",VLOOKUP(D55,'G-6 Hedgerow Data'!$B$2:$AG$15,3,FALSE))</f>
        <v/>
      </c>
      <c r="H55" s="105"/>
      <c r="I55" s="282" t="str">
        <f>IFERROR(IF(AND(D55&lt;&gt;"",H55=""), "Check data ⚠",(IF(H55="","",IF(AND(D55="Non-native and ornamental hedgerow", H55&lt;&gt;"Poor"),"Not possible ▲", (IF(AND(F55="V.Low",OR(H55="Good",H55="Moderate")),"Error ▲",VLOOKUP(H55,'G-1 All Habitats'!$Z$2:$AA$9,2,FALSE))))))),"")</f>
        <v/>
      </c>
      <c r="J55" s="109"/>
      <c r="K55" s="301" t="str">
        <f>IF(AND(J55="",D55&lt;&gt;""),"Check data ⚠",IF(J55="","",IF(VLOOKUP(J55,'G-3 Multipliers'!$L$3:$N$6,2,FALSE)=0,"Spatial Data Missing ⚠",VLOOKUP(J55,'G-3 Multipliers'!$L$3:$N$6,2,FALSE))))</f>
        <v/>
      </c>
      <c r="L55" s="305" t="str">
        <f>IF(J55="","",IF(VLOOKUP(J55,'G-3 Multipliers'!$L$3:$N$6,3,FALSE)=0,"Spatial Data Missing ⚠",VLOOKUP(J55,'G-3 Multipliers'!$L$3:$N$6,3,FALSE)))</f>
        <v/>
      </c>
      <c r="M55" s="342" t="str">
        <f>IF(D55="","",VLOOKUP(D55,'G-6 Hedgerow Data'!$B$1:$AH$15,33,FALSE))</f>
        <v/>
      </c>
      <c r="N55" s="295" t="str">
        <f t="shared" si="3"/>
        <v/>
      </c>
      <c r="O55" s="403"/>
      <c r="P55" s="287" t="str">
        <f>IF(O55="","",IF(VLOOKUP(O55,'G-3 Multipliers'!$S$3:$T$10,2,FALSE)=0,"Spatial Data Missing ⚠",VLOOKUP(O55,'G-3 Multipliers'!$S$3:$T$10,2,FALSE)))</f>
        <v/>
      </c>
      <c r="Q55" s="295" t="str">
        <f t="shared" si="4"/>
        <v/>
      </c>
      <c r="R55" s="32"/>
      <c r="S55" s="105"/>
      <c r="T55" s="112"/>
      <c r="U55" s="289" t="str">
        <f t="shared" si="5"/>
        <v/>
      </c>
      <c r="V55" s="289" t="str">
        <f t="shared" si="6"/>
        <v/>
      </c>
      <c r="W55" s="293" t="str">
        <f t="shared" si="7"/>
        <v/>
      </c>
      <c r="X55" s="297" t="str">
        <f t="shared" si="8"/>
        <v/>
      </c>
      <c r="Y55" s="109"/>
      <c r="Z55" s="108"/>
      <c r="AA55" s="108"/>
      <c r="AB55" s="108"/>
      <c r="AE55" s="30" t="str">
        <f>IFERROR(INDEX('G-6 Hedgerow Data'!$BJ$3:$BJ$15,MATCH(D55,'G-6 Hedgerow Data'!$B$3:$B$15,0)),"")</f>
        <v/>
      </c>
      <c r="AH55" s="111" t="str">
        <f t="shared" si="0"/>
        <v/>
      </c>
      <c r="AI55" s="111" t="str">
        <f t="shared" si="1"/>
        <v/>
      </c>
      <c r="AK55" s="111">
        <v>46</v>
      </c>
      <c r="AM55" s="111" t="str">
        <f t="array" ref="AM55">IFERROR(INDEX($AK$10:$AK$258, MATCH(0, IF(TRUE=$AH$10:$AH$258, COUNTIF($AM$9:$AM54, $AK$10:$AK$258), ""), 0)),"")</f>
        <v/>
      </c>
      <c r="AN55" s="111" t="str">
        <f t="array" ref="AN55">IFERROR(INDEX($AK$10:$AK$258, MATCH(0, IF(TRUE=$AI$10:$AI$258, COUNTIF($AN$9:$AN54, $AK$10:$AK$258), ""), 0)),"")</f>
        <v/>
      </c>
      <c r="AY55" s="289" t="str">
        <f t="shared" si="2"/>
        <v/>
      </c>
    </row>
    <row r="56" spans="2:51" ht="13.8" x14ac:dyDescent="0.25">
      <c r="B56" s="101">
        <v>47</v>
      </c>
      <c r="C56" s="142"/>
      <c r="D56" s="142"/>
      <c r="E56" s="108"/>
      <c r="F56" s="281" t="str">
        <f>IF(D56="","",VLOOKUP(D56,'G-6 Hedgerow Data'!$B$2:$AG$15,2,FALSE))</f>
        <v/>
      </c>
      <c r="G56" s="282" t="str">
        <f>IF(D56="","",VLOOKUP(D56,'G-6 Hedgerow Data'!$B$2:$AG$15,3,FALSE))</f>
        <v/>
      </c>
      <c r="H56" s="105"/>
      <c r="I56" s="282" t="str">
        <f>IFERROR(IF(AND(D56&lt;&gt;"",H56=""), "Check data ⚠",(IF(H56="","",IF(AND(D56="Non-native and ornamental hedgerow", H56&lt;&gt;"Poor"),"Not possible ▲", (IF(AND(F56="V.Low",OR(H56="Good",H56="Moderate")),"Error ▲",VLOOKUP(H56,'G-1 All Habitats'!$Z$2:$AA$9,2,FALSE))))))),"")</f>
        <v/>
      </c>
      <c r="J56" s="109"/>
      <c r="K56" s="301" t="str">
        <f>IF(AND(J56="",D56&lt;&gt;""),"Check data ⚠",IF(J56="","",IF(VLOOKUP(J56,'G-3 Multipliers'!$L$3:$N$6,2,FALSE)=0,"Spatial Data Missing ⚠",VLOOKUP(J56,'G-3 Multipliers'!$L$3:$N$6,2,FALSE))))</f>
        <v/>
      </c>
      <c r="L56" s="305" t="str">
        <f>IF(J56="","",IF(VLOOKUP(J56,'G-3 Multipliers'!$L$3:$N$6,3,FALSE)=0,"Spatial Data Missing ⚠",VLOOKUP(J56,'G-3 Multipliers'!$L$3:$N$6,3,FALSE)))</f>
        <v/>
      </c>
      <c r="M56" s="342" t="str">
        <f>IF(D56="","",VLOOKUP(D56,'G-6 Hedgerow Data'!$B$1:$AH$15,33,FALSE))</f>
        <v/>
      </c>
      <c r="N56" s="295" t="str">
        <f t="shared" si="3"/>
        <v/>
      </c>
      <c r="O56" s="403"/>
      <c r="P56" s="287" t="str">
        <f>IF(O56="","",IF(VLOOKUP(O56,'G-3 Multipliers'!$S$3:$T$10,2,FALSE)=0,"Spatial Data Missing ⚠",VLOOKUP(O56,'G-3 Multipliers'!$S$3:$T$10,2,FALSE)))</f>
        <v/>
      </c>
      <c r="Q56" s="295" t="str">
        <f t="shared" si="4"/>
        <v/>
      </c>
      <c r="R56" s="32"/>
      <c r="S56" s="105"/>
      <c r="T56" s="112"/>
      <c r="U56" s="289" t="str">
        <f t="shared" si="5"/>
        <v/>
      </c>
      <c r="V56" s="289" t="str">
        <f t="shared" si="6"/>
        <v/>
      </c>
      <c r="W56" s="293" t="str">
        <f t="shared" si="7"/>
        <v/>
      </c>
      <c r="X56" s="297" t="str">
        <f t="shared" si="8"/>
        <v/>
      </c>
      <c r="Y56" s="109"/>
      <c r="Z56" s="108"/>
      <c r="AA56" s="108"/>
      <c r="AB56" s="108"/>
      <c r="AE56" s="30" t="str">
        <f>IFERROR(INDEX('G-6 Hedgerow Data'!$BJ$3:$BJ$15,MATCH(D56,'G-6 Hedgerow Data'!$B$3:$B$15,0)),"")</f>
        <v/>
      </c>
      <c r="AH56" s="111" t="str">
        <f t="shared" si="0"/>
        <v/>
      </c>
      <c r="AI56" s="111" t="str">
        <f t="shared" si="1"/>
        <v/>
      </c>
      <c r="AK56" s="111">
        <v>47</v>
      </c>
      <c r="AM56" s="111" t="str">
        <f t="array" ref="AM56">IFERROR(INDEX($AK$10:$AK$258, MATCH(0, IF(TRUE=$AH$10:$AH$258, COUNTIF($AM$9:$AM55, $AK$10:$AK$258), ""), 0)),"")</f>
        <v/>
      </c>
      <c r="AN56" s="111" t="str">
        <f t="array" ref="AN56">IFERROR(INDEX($AK$10:$AK$258, MATCH(0, IF(TRUE=$AI$10:$AI$258, COUNTIF($AN$9:$AN55, $AK$10:$AK$258), ""), 0)),"")</f>
        <v/>
      </c>
      <c r="AY56" s="289" t="str">
        <f t="shared" si="2"/>
        <v/>
      </c>
    </row>
    <row r="57" spans="2:51" ht="13.8" x14ac:dyDescent="0.25">
      <c r="B57" s="101">
        <v>48</v>
      </c>
      <c r="C57" s="142"/>
      <c r="D57" s="142"/>
      <c r="E57" s="108"/>
      <c r="F57" s="281" t="str">
        <f>IF(D57="","",VLOOKUP(D57,'G-6 Hedgerow Data'!$B$2:$AG$15,2,FALSE))</f>
        <v/>
      </c>
      <c r="G57" s="282" t="str">
        <f>IF(D57="","",VLOOKUP(D57,'G-6 Hedgerow Data'!$B$2:$AG$15,3,FALSE))</f>
        <v/>
      </c>
      <c r="H57" s="105"/>
      <c r="I57" s="282" t="str">
        <f>IFERROR(IF(AND(D57&lt;&gt;"",H57=""), "Check data ⚠",(IF(H57="","",IF(AND(D57="Non-native and ornamental hedgerow", H57&lt;&gt;"Poor"),"Not possible ▲", (IF(AND(F57="V.Low",OR(H57="Good",H57="Moderate")),"Error ▲",VLOOKUP(H57,'G-1 All Habitats'!$Z$2:$AA$9,2,FALSE))))))),"")</f>
        <v/>
      </c>
      <c r="J57" s="109"/>
      <c r="K57" s="301" t="str">
        <f>IF(AND(J57="",D57&lt;&gt;""),"Check data ⚠",IF(J57="","",IF(VLOOKUP(J57,'G-3 Multipliers'!$L$3:$N$6,2,FALSE)=0,"Spatial Data Missing ⚠",VLOOKUP(J57,'G-3 Multipliers'!$L$3:$N$6,2,FALSE))))</f>
        <v/>
      </c>
      <c r="L57" s="305" t="str">
        <f>IF(J57="","",IF(VLOOKUP(J57,'G-3 Multipliers'!$L$3:$N$6,3,FALSE)=0,"Spatial Data Missing ⚠",VLOOKUP(J57,'G-3 Multipliers'!$L$3:$N$6,3,FALSE)))</f>
        <v/>
      </c>
      <c r="M57" s="342" t="str">
        <f>IF(D57="","",VLOOKUP(D57,'G-6 Hedgerow Data'!$B$1:$AH$15,33,FALSE))</f>
        <v/>
      </c>
      <c r="N57" s="295" t="str">
        <f t="shared" si="3"/>
        <v/>
      </c>
      <c r="O57" s="403"/>
      <c r="P57" s="287" t="str">
        <f>IF(O57="","",IF(VLOOKUP(O57,'G-3 Multipliers'!$S$3:$T$10,2,FALSE)=0,"Spatial Data Missing ⚠",VLOOKUP(O57,'G-3 Multipliers'!$S$3:$T$10,2,FALSE)))</f>
        <v/>
      </c>
      <c r="Q57" s="295" t="str">
        <f t="shared" si="4"/>
        <v/>
      </c>
      <c r="R57" s="32"/>
      <c r="S57" s="105"/>
      <c r="T57" s="112"/>
      <c r="U57" s="289" t="str">
        <f t="shared" si="5"/>
        <v/>
      </c>
      <c r="V57" s="289" t="str">
        <f t="shared" si="6"/>
        <v/>
      </c>
      <c r="W57" s="293" t="str">
        <f t="shared" si="7"/>
        <v/>
      </c>
      <c r="X57" s="297" t="str">
        <f t="shared" si="8"/>
        <v/>
      </c>
      <c r="Y57" s="109"/>
      <c r="Z57" s="108"/>
      <c r="AA57" s="108"/>
      <c r="AB57" s="108"/>
      <c r="AE57" s="30" t="str">
        <f>IFERROR(INDEX('G-6 Hedgerow Data'!$BJ$3:$BJ$15,MATCH(D57,'G-6 Hedgerow Data'!$B$3:$B$15,0)),"")</f>
        <v/>
      </c>
      <c r="AH57" s="111" t="str">
        <f t="shared" si="0"/>
        <v/>
      </c>
      <c r="AI57" s="111" t="str">
        <f t="shared" si="1"/>
        <v/>
      </c>
      <c r="AK57" s="111">
        <v>48</v>
      </c>
      <c r="AM57" s="111" t="str">
        <f t="array" ref="AM57">IFERROR(INDEX($AK$10:$AK$258, MATCH(0, IF(TRUE=$AH$10:$AH$258, COUNTIF($AM$9:$AM56, $AK$10:$AK$258), ""), 0)),"")</f>
        <v/>
      </c>
      <c r="AN57" s="111" t="str">
        <f t="array" ref="AN57">IFERROR(INDEX($AK$10:$AK$258, MATCH(0, IF(TRUE=$AI$10:$AI$258, COUNTIF($AN$9:$AN56, $AK$10:$AK$258), ""), 0)),"")</f>
        <v/>
      </c>
      <c r="AY57" s="289" t="str">
        <f t="shared" si="2"/>
        <v/>
      </c>
    </row>
    <row r="58" spans="2:51" ht="13.8" x14ac:dyDescent="0.25">
      <c r="B58" s="101">
        <v>49</v>
      </c>
      <c r="C58" s="142"/>
      <c r="D58" s="142"/>
      <c r="E58" s="108"/>
      <c r="F58" s="281" t="str">
        <f>IF(D58="","",VLOOKUP(D58,'G-6 Hedgerow Data'!$B$2:$AG$15,2,FALSE))</f>
        <v/>
      </c>
      <c r="G58" s="282" t="str">
        <f>IF(D58="","",VLOOKUP(D58,'G-6 Hedgerow Data'!$B$2:$AG$15,3,FALSE))</f>
        <v/>
      </c>
      <c r="H58" s="105"/>
      <c r="I58" s="282" t="str">
        <f>IFERROR(IF(AND(D58&lt;&gt;"",H58=""), "Check data ⚠",(IF(H58="","",IF(AND(D58="Non-native and ornamental hedgerow", H58&lt;&gt;"Poor"),"Not possible ▲", (IF(AND(F58="V.Low",OR(H58="Good",H58="Moderate")),"Error ▲",VLOOKUP(H58,'G-1 All Habitats'!$Z$2:$AA$9,2,FALSE))))))),"")</f>
        <v/>
      </c>
      <c r="J58" s="109"/>
      <c r="K58" s="301" t="str">
        <f>IF(AND(J58="",D58&lt;&gt;""),"Check data ⚠",IF(J58="","",IF(VLOOKUP(J58,'G-3 Multipliers'!$L$3:$N$6,2,FALSE)=0,"Spatial Data Missing ⚠",VLOOKUP(J58,'G-3 Multipliers'!$L$3:$N$6,2,FALSE))))</f>
        <v/>
      </c>
      <c r="L58" s="305" t="str">
        <f>IF(J58="","",IF(VLOOKUP(J58,'G-3 Multipliers'!$L$3:$N$6,3,FALSE)=0,"Spatial Data Missing ⚠",VLOOKUP(J58,'G-3 Multipliers'!$L$3:$N$6,3,FALSE)))</f>
        <v/>
      </c>
      <c r="M58" s="342" t="str">
        <f>IF(D58="","",VLOOKUP(D58,'G-6 Hedgerow Data'!$B$1:$AH$15,33,FALSE))</f>
        <v/>
      </c>
      <c r="N58" s="295" t="str">
        <f t="shared" si="3"/>
        <v/>
      </c>
      <c r="O58" s="403"/>
      <c r="P58" s="287" t="str">
        <f>IF(O58="","",IF(VLOOKUP(O58,'G-3 Multipliers'!$S$3:$T$10,2,FALSE)=0,"Spatial Data Missing ⚠",VLOOKUP(O58,'G-3 Multipliers'!$S$3:$T$10,2,FALSE)))</f>
        <v/>
      </c>
      <c r="Q58" s="295" t="str">
        <f t="shared" si="4"/>
        <v/>
      </c>
      <c r="R58" s="32"/>
      <c r="S58" s="105"/>
      <c r="T58" s="112"/>
      <c r="U58" s="289" t="str">
        <f t="shared" si="5"/>
        <v/>
      </c>
      <c r="V58" s="289" t="str">
        <f t="shared" si="6"/>
        <v/>
      </c>
      <c r="W58" s="293" t="str">
        <f t="shared" si="7"/>
        <v/>
      </c>
      <c r="X58" s="297" t="str">
        <f t="shared" si="8"/>
        <v/>
      </c>
      <c r="Y58" s="109"/>
      <c r="Z58" s="108"/>
      <c r="AA58" s="108"/>
      <c r="AB58" s="108"/>
      <c r="AE58" s="30" t="str">
        <f>IFERROR(INDEX('G-6 Hedgerow Data'!$BJ$3:$BJ$15,MATCH(D58,'G-6 Hedgerow Data'!$B$3:$B$15,0)),"")</f>
        <v/>
      </c>
      <c r="AH58" s="111" t="str">
        <f t="shared" si="0"/>
        <v/>
      </c>
      <c r="AI58" s="111" t="str">
        <f t="shared" si="1"/>
        <v/>
      </c>
      <c r="AK58" s="111">
        <v>49</v>
      </c>
      <c r="AM58" s="111" t="str">
        <f t="array" ref="AM58">IFERROR(INDEX($AK$10:$AK$258, MATCH(0, IF(TRUE=$AH$10:$AH$258, COUNTIF($AM$9:$AM57, $AK$10:$AK$258), ""), 0)),"")</f>
        <v/>
      </c>
      <c r="AN58" s="111" t="str">
        <f t="array" ref="AN58">IFERROR(INDEX($AK$10:$AK$258, MATCH(0, IF(TRUE=$AI$10:$AI$258, COUNTIF($AN$9:$AN57, $AK$10:$AK$258), ""), 0)),"")</f>
        <v/>
      </c>
      <c r="AY58" s="289" t="str">
        <f t="shared" si="2"/>
        <v/>
      </c>
    </row>
    <row r="59" spans="2:51" ht="13.8" x14ac:dyDescent="0.25">
      <c r="B59" s="101">
        <v>50</v>
      </c>
      <c r="C59" s="142"/>
      <c r="D59" s="142"/>
      <c r="E59" s="108"/>
      <c r="F59" s="281" t="str">
        <f>IF(D59="","",VLOOKUP(D59,'G-6 Hedgerow Data'!$B$2:$AG$15,2,FALSE))</f>
        <v/>
      </c>
      <c r="G59" s="282" t="str">
        <f>IF(D59="","",VLOOKUP(D59,'G-6 Hedgerow Data'!$B$2:$AG$15,3,FALSE))</f>
        <v/>
      </c>
      <c r="H59" s="105"/>
      <c r="I59" s="282" t="str">
        <f>IFERROR(IF(AND(D59&lt;&gt;"",H59=""), "Check data ⚠",(IF(H59="","",IF(AND(D59="Non-native and ornamental hedgerow", H59&lt;&gt;"Poor"),"Not possible ▲", (IF(AND(F59="V.Low",OR(H59="Good",H59="Moderate")),"Error ▲",VLOOKUP(H59,'G-1 All Habitats'!$Z$2:$AA$9,2,FALSE))))))),"")</f>
        <v/>
      </c>
      <c r="J59" s="109"/>
      <c r="K59" s="301" t="str">
        <f>IF(AND(J59="",D59&lt;&gt;""),"Check data ⚠",IF(J59="","",IF(VLOOKUP(J59,'G-3 Multipliers'!$L$3:$N$6,2,FALSE)=0,"Spatial Data Missing ⚠",VLOOKUP(J59,'G-3 Multipliers'!$L$3:$N$6,2,FALSE))))</f>
        <v/>
      </c>
      <c r="L59" s="305" t="str">
        <f>IF(J59="","",IF(VLOOKUP(J59,'G-3 Multipliers'!$L$3:$N$6,3,FALSE)=0,"Spatial Data Missing ⚠",VLOOKUP(J59,'G-3 Multipliers'!$L$3:$N$6,3,FALSE)))</f>
        <v/>
      </c>
      <c r="M59" s="342" t="str">
        <f>IF(D59="","",VLOOKUP(D59,'G-6 Hedgerow Data'!$B$1:$AH$15,33,FALSE))</f>
        <v/>
      </c>
      <c r="N59" s="295" t="str">
        <f t="shared" si="3"/>
        <v/>
      </c>
      <c r="O59" s="403"/>
      <c r="P59" s="287" t="str">
        <f>IF(O59="","",IF(VLOOKUP(O59,'G-3 Multipliers'!$S$3:$T$10,2,FALSE)=0,"Spatial Data Missing ⚠",VLOOKUP(O59,'G-3 Multipliers'!$S$3:$T$10,2,FALSE)))</f>
        <v/>
      </c>
      <c r="Q59" s="295" t="str">
        <f t="shared" si="4"/>
        <v/>
      </c>
      <c r="R59" s="32"/>
      <c r="S59" s="105"/>
      <c r="T59" s="112"/>
      <c r="U59" s="289" t="str">
        <f t="shared" si="5"/>
        <v/>
      </c>
      <c r="V59" s="289" t="str">
        <f t="shared" si="6"/>
        <v/>
      </c>
      <c r="W59" s="293" t="str">
        <f t="shared" si="7"/>
        <v/>
      </c>
      <c r="X59" s="297" t="str">
        <f t="shared" si="8"/>
        <v/>
      </c>
      <c r="Y59" s="109"/>
      <c r="Z59" s="108"/>
      <c r="AA59" s="108"/>
      <c r="AB59" s="108"/>
      <c r="AE59" s="30" t="str">
        <f>IFERROR(INDEX('G-6 Hedgerow Data'!$BJ$3:$BJ$15,MATCH(D59,'G-6 Hedgerow Data'!$B$3:$B$15,0)),"")</f>
        <v/>
      </c>
      <c r="AH59" s="111" t="str">
        <f t="shared" si="0"/>
        <v/>
      </c>
      <c r="AI59" s="111" t="str">
        <f t="shared" si="1"/>
        <v/>
      </c>
      <c r="AK59" s="111">
        <v>50</v>
      </c>
      <c r="AM59" s="111" t="str">
        <f t="array" ref="AM59">IFERROR(INDEX($AK$10:$AK$258, MATCH(0, IF(TRUE=$AH$10:$AH$258, COUNTIF($AM$9:$AM58, $AK$10:$AK$258), ""), 0)),"")</f>
        <v/>
      </c>
      <c r="AN59" s="111" t="str">
        <f t="array" ref="AN59">IFERROR(INDEX($AK$10:$AK$258, MATCH(0, IF(TRUE=$AI$10:$AI$258, COUNTIF($AN$9:$AN58, $AK$10:$AK$258), ""), 0)),"")</f>
        <v/>
      </c>
      <c r="AY59" s="289" t="str">
        <f t="shared" si="2"/>
        <v/>
      </c>
    </row>
    <row r="60" spans="2:51" ht="13.8" x14ac:dyDescent="0.25">
      <c r="B60" s="101">
        <v>51</v>
      </c>
      <c r="C60" s="142"/>
      <c r="D60" s="142"/>
      <c r="E60" s="108"/>
      <c r="F60" s="281" t="str">
        <f>IF(D60="","",VLOOKUP(D60,'G-6 Hedgerow Data'!$B$2:$AG$15,2,FALSE))</f>
        <v/>
      </c>
      <c r="G60" s="282" t="str">
        <f>IF(D60="","",VLOOKUP(D60,'G-6 Hedgerow Data'!$B$2:$AG$15,3,FALSE))</f>
        <v/>
      </c>
      <c r="H60" s="105"/>
      <c r="I60" s="282" t="str">
        <f>IFERROR(IF(AND(D60&lt;&gt;"",H60=""), "Check data ⚠",(IF(H60="","",IF(AND(D60="Non-native and ornamental hedgerow", H60&lt;&gt;"Poor"),"Not possible ▲", (IF(AND(F60="V.Low",OR(H60="Good",H60="Moderate")),"Error ▲",VLOOKUP(H60,'G-1 All Habitats'!$Z$2:$AA$9,2,FALSE))))))),"")</f>
        <v/>
      </c>
      <c r="J60" s="109"/>
      <c r="K60" s="301" t="str">
        <f>IF(AND(J60="",D60&lt;&gt;""),"Check data ⚠",IF(J60="","",IF(VLOOKUP(J60,'G-3 Multipliers'!$L$3:$N$6,2,FALSE)=0,"Spatial Data Missing ⚠",VLOOKUP(J60,'G-3 Multipliers'!$L$3:$N$6,2,FALSE))))</f>
        <v/>
      </c>
      <c r="L60" s="305" t="str">
        <f>IF(J60="","",IF(VLOOKUP(J60,'G-3 Multipliers'!$L$3:$N$6,3,FALSE)=0,"Spatial Data Missing ⚠",VLOOKUP(J60,'G-3 Multipliers'!$L$3:$N$6,3,FALSE)))</f>
        <v/>
      </c>
      <c r="M60" s="342" t="str">
        <f>IF(D60="","",VLOOKUP(D60,'G-6 Hedgerow Data'!$B$1:$AH$15,33,FALSE))</f>
        <v/>
      </c>
      <c r="N60" s="295" t="str">
        <f t="shared" si="3"/>
        <v/>
      </c>
      <c r="O60" s="403"/>
      <c r="P60" s="287" t="str">
        <f>IF(O60="","",IF(VLOOKUP(O60,'G-3 Multipliers'!$S$3:$T$10,2,FALSE)=0,"Spatial Data Missing ⚠",VLOOKUP(O60,'G-3 Multipliers'!$S$3:$T$10,2,FALSE)))</f>
        <v/>
      </c>
      <c r="Q60" s="295" t="str">
        <f t="shared" si="4"/>
        <v/>
      </c>
      <c r="R60" s="32"/>
      <c r="S60" s="105"/>
      <c r="T60" s="112"/>
      <c r="U60" s="289" t="str">
        <f t="shared" si="5"/>
        <v/>
      </c>
      <c r="V60" s="289" t="str">
        <f t="shared" si="6"/>
        <v/>
      </c>
      <c r="W60" s="293" t="str">
        <f t="shared" si="7"/>
        <v/>
      </c>
      <c r="X60" s="297" t="str">
        <f t="shared" si="8"/>
        <v/>
      </c>
      <c r="Y60" s="109"/>
      <c r="Z60" s="108"/>
      <c r="AA60" s="108"/>
      <c r="AB60" s="108"/>
      <c r="AE60" s="30" t="str">
        <f>IFERROR(INDEX('G-6 Hedgerow Data'!$BJ$3:$BJ$15,MATCH(D60,'G-6 Hedgerow Data'!$B$3:$B$15,0)),"")</f>
        <v/>
      </c>
      <c r="AH60" s="111" t="str">
        <f t="shared" si="0"/>
        <v/>
      </c>
      <c r="AI60" s="111" t="str">
        <f t="shared" si="1"/>
        <v/>
      </c>
      <c r="AK60" s="111">
        <v>51</v>
      </c>
      <c r="AM60" s="111" t="str">
        <f t="array" ref="AM60">IFERROR(INDEX($AK$10:$AK$258, MATCH(0, IF(TRUE=$AH$10:$AH$258, COUNTIF($AM$9:$AM59, $AK$10:$AK$258), ""), 0)),"")</f>
        <v/>
      </c>
      <c r="AN60" s="111" t="str">
        <f t="array" ref="AN60">IFERROR(INDEX($AK$10:$AK$258, MATCH(0, IF(TRUE=$AI$10:$AI$258, COUNTIF($AN$9:$AN59, $AK$10:$AK$258), ""), 0)),"")</f>
        <v/>
      </c>
      <c r="AY60" s="289" t="str">
        <f t="shared" si="2"/>
        <v/>
      </c>
    </row>
    <row r="61" spans="2:51" ht="13.8" x14ac:dyDescent="0.25">
      <c r="B61" s="101">
        <v>52</v>
      </c>
      <c r="C61" s="142"/>
      <c r="D61" s="142"/>
      <c r="E61" s="108"/>
      <c r="F61" s="281" t="str">
        <f>IF(D61="","",VLOOKUP(D61,'G-6 Hedgerow Data'!$B$2:$AG$15,2,FALSE))</f>
        <v/>
      </c>
      <c r="G61" s="282" t="str">
        <f>IF(D61="","",VLOOKUP(D61,'G-6 Hedgerow Data'!$B$2:$AG$15,3,FALSE))</f>
        <v/>
      </c>
      <c r="H61" s="105"/>
      <c r="I61" s="282" t="str">
        <f>IFERROR(IF(AND(D61&lt;&gt;"",H61=""), "Check data ⚠",(IF(H61="","",IF(AND(D61="Non-native and ornamental hedgerow", H61&lt;&gt;"Poor"),"Not possible ▲", (IF(AND(F61="V.Low",OR(H61="Good",H61="Moderate")),"Error ▲",VLOOKUP(H61,'G-1 All Habitats'!$Z$2:$AA$9,2,FALSE))))))),"")</f>
        <v/>
      </c>
      <c r="J61" s="109"/>
      <c r="K61" s="301" t="str">
        <f>IF(AND(J61="",D61&lt;&gt;""),"Check data ⚠",IF(J61="","",IF(VLOOKUP(J61,'G-3 Multipliers'!$L$3:$N$6,2,FALSE)=0,"Spatial Data Missing ⚠",VLOOKUP(J61,'G-3 Multipliers'!$L$3:$N$6,2,FALSE))))</f>
        <v/>
      </c>
      <c r="L61" s="305" t="str">
        <f>IF(J61="","",IF(VLOOKUP(J61,'G-3 Multipliers'!$L$3:$N$6,3,FALSE)=0,"Spatial Data Missing ⚠",VLOOKUP(J61,'G-3 Multipliers'!$L$3:$N$6,3,FALSE)))</f>
        <v/>
      </c>
      <c r="M61" s="342" t="str">
        <f>IF(D61="","",VLOOKUP(D61,'G-6 Hedgerow Data'!$B$1:$AH$15,33,FALSE))</f>
        <v/>
      </c>
      <c r="N61" s="295" t="str">
        <f t="shared" si="3"/>
        <v/>
      </c>
      <c r="O61" s="403"/>
      <c r="P61" s="287" t="str">
        <f>IF(O61="","",IF(VLOOKUP(O61,'G-3 Multipliers'!$S$3:$T$10,2,FALSE)=0,"Spatial Data Missing ⚠",VLOOKUP(O61,'G-3 Multipliers'!$S$3:$T$10,2,FALSE)))</f>
        <v/>
      </c>
      <c r="Q61" s="295" t="str">
        <f t="shared" si="4"/>
        <v/>
      </c>
      <c r="R61" s="32"/>
      <c r="S61" s="105"/>
      <c r="T61" s="112"/>
      <c r="U61" s="289" t="str">
        <f t="shared" si="5"/>
        <v/>
      </c>
      <c r="V61" s="289" t="str">
        <f t="shared" si="6"/>
        <v/>
      </c>
      <c r="W61" s="293" t="str">
        <f t="shared" si="7"/>
        <v/>
      </c>
      <c r="X61" s="297" t="str">
        <f t="shared" si="8"/>
        <v/>
      </c>
      <c r="Y61" s="109"/>
      <c r="Z61" s="108"/>
      <c r="AA61" s="108"/>
      <c r="AB61" s="108"/>
      <c r="AE61" s="30" t="str">
        <f>IFERROR(INDEX('G-6 Hedgerow Data'!$BJ$3:$BJ$15,MATCH(D61,'G-6 Hedgerow Data'!$B$3:$B$15,0)),"")</f>
        <v/>
      </c>
      <c r="AH61" s="111" t="str">
        <f t="shared" si="0"/>
        <v/>
      </c>
      <c r="AI61" s="111" t="str">
        <f t="shared" si="1"/>
        <v/>
      </c>
      <c r="AK61" s="111">
        <v>52</v>
      </c>
      <c r="AM61" s="111" t="str">
        <f t="array" ref="AM61">IFERROR(INDEX($AK$10:$AK$258, MATCH(0, IF(TRUE=$AH$10:$AH$258, COUNTIF($AM$9:$AM60, $AK$10:$AK$258), ""), 0)),"")</f>
        <v/>
      </c>
      <c r="AN61" s="111" t="str">
        <f t="array" ref="AN61">IFERROR(INDEX($AK$10:$AK$258, MATCH(0, IF(TRUE=$AI$10:$AI$258, COUNTIF($AN$9:$AN60, $AK$10:$AK$258), ""), 0)),"")</f>
        <v/>
      </c>
      <c r="AY61" s="289" t="str">
        <f t="shared" si="2"/>
        <v/>
      </c>
    </row>
    <row r="62" spans="2:51" ht="13.8" x14ac:dyDescent="0.25">
      <c r="B62" s="101">
        <v>53</v>
      </c>
      <c r="C62" s="142"/>
      <c r="D62" s="142"/>
      <c r="E62" s="108"/>
      <c r="F62" s="281" t="str">
        <f>IF(D62="","",VLOOKUP(D62,'G-6 Hedgerow Data'!$B$2:$AG$15,2,FALSE))</f>
        <v/>
      </c>
      <c r="G62" s="282" t="str">
        <f>IF(D62="","",VLOOKUP(D62,'G-6 Hedgerow Data'!$B$2:$AG$15,3,FALSE))</f>
        <v/>
      </c>
      <c r="H62" s="105"/>
      <c r="I62" s="282" t="str">
        <f>IFERROR(IF(AND(D62&lt;&gt;"",H62=""), "Check data ⚠",(IF(H62="","",IF(AND(D62="Non-native and ornamental hedgerow", H62&lt;&gt;"Poor"),"Not possible ▲", (IF(AND(F62="V.Low",OR(H62="Good",H62="Moderate")),"Error ▲",VLOOKUP(H62,'G-1 All Habitats'!$Z$2:$AA$9,2,FALSE))))))),"")</f>
        <v/>
      </c>
      <c r="J62" s="109"/>
      <c r="K62" s="301" t="str">
        <f>IF(AND(J62="",D62&lt;&gt;""),"Check data ⚠",IF(J62="","",IF(VLOOKUP(J62,'G-3 Multipliers'!$L$3:$N$6,2,FALSE)=0,"Spatial Data Missing ⚠",VLOOKUP(J62,'G-3 Multipliers'!$L$3:$N$6,2,FALSE))))</f>
        <v/>
      </c>
      <c r="L62" s="305" t="str">
        <f>IF(J62="","",IF(VLOOKUP(J62,'G-3 Multipliers'!$L$3:$N$6,3,FALSE)=0,"Spatial Data Missing ⚠",VLOOKUP(J62,'G-3 Multipliers'!$L$3:$N$6,3,FALSE)))</f>
        <v/>
      </c>
      <c r="M62" s="342" t="str">
        <f>IF(D62="","",VLOOKUP(D62,'G-6 Hedgerow Data'!$B$1:$AH$15,33,FALSE))</f>
        <v/>
      </c>
      <c r="N62" s="295" t="str">
        <f t="shared" si="3"/>
        <v/>
      </c>
      <c r="O62" s="403"/>
      <c r="P62" s="287" t="str">
        <f>IF(O62="","",IF(VLOOKUP(O62,'G-3 Multipliers'!$S$3:$T$10,2,FALSE)=0,"Spatial Data Missing ⚠",VLOOKUP(O62,'G-3 Multipliers'!$S$3:$T$10,2,FALSE)))</f>
        <v/>
      </c>
      <c r="Q62" s="295" t="str">
        <f t="shared" si="4"/>
        <v/>
      </c>
      <c r="R62" s="32"/>
      <c r="S62" s="105"/>
      <c r="T62" s="112"/>
      <c r="U62" s="289" t="str">
        <f t="shared" si="5"/>
        <v/>
      </c>
      <c r="V62" s="289" t="str">
        <f t="shared" si="6"/>
        <v/>
      </c>
      <c r="W62" s="293" t="str">
        <f t="shared" si="7"/>
        <v/>
      </c>
      <c r="X62" s="297" t="str">
        <f t="shared" si="8"/>
        <v/>
      </c>
      <c r="Y62" s="109"/>
      <c r="Z62" s="108"/>
      <c r="AA62" s="108"/>
      <c r="AB62" s="108"/>
      <c r="AE62" s="30" t="str">
        <f>IFERROR(INDEX('G-6 Hedgerow Data'!$BJ$3:$BJ$15,MATCH(D62,'G-6 Hedgerow Data'!$B$3:$B$15,0)),"")</f>
        <v/>
      </c>
      <c r="AH62" s="111" t="str">
        <f t="shared" si="0"/>
        <v/>
      </c>
      <c r="AI62" s="111" t="str">
        <f t="shared" si="1"/>
        <v/>
      </c>
      <c r="AK62" s="111">
        <v>53</v>
      </c>
      <c r="AM62" s="111" t="str">
        <f t="array" ref="AM62">IFERROR(INDEX($AK$10:$AK$258, MATCH(0, IF(TRUE=$AH$10:$AH$258, COUNTIF($AM$9:$AM61, $AK$10:$AK$258), ""), 0)),"")</f>
        <v/>
      </c>
      <c r="AN62" s="111" t="str">
        <f t="array" ref="AN62">IFERROR(INDEX($AK$10:$AK$258, MATCH(0, IF(TRUE=$AI$10:$AI$258, COUNTIF($AN$9:$AN61, $AK$10:$AK$258), ""), 0)),"")</f>
        <v/>
      </c>
      <c r="AY62" s="289" t="str">
        <f t="shared" si="2"/>
        <v/>
      </c>
    </row>
    <row r="63" spans="2:51" ht="13.8" x14ac:dyDescent="0.25">
      <c r="B63" s="101">
        <v>54</v>
      </c>
      <c r="C63" s="142"/>
      <c r="D63" s="142"/>
      <c r="E63" s="108"/>
      <c r="F63" s="281" t="str">
        <f>IF(D63="","",VLOOKUP(D63,'G-6 Hedgerow Data'!$B$2:$AG$15,2,FALSE))</f>
        <v/>
      </c>
      <c r="G63" s="282" t="str">
        <f>IF(D63="","",VLOOKUP(D63,'G-6 Hedgerow Data'!$B$2:$AG$15,3,FALSE))</f>
        <v/>
      </c>
      <c r="H63" s="105"/>
      <c r="I63" s="282" t="str">
        <f>IFERROR(IF(AND(D63&lt;&gt;"",H63=""), "Check data ⚠",(IF(H63="","",IF(AND(D63="Non-native and ornamental hedgerow", H63&lt;&gt;"Poor"),"Not possible ▲", (IF(AND(F63="V.Low",OR(H63="Good",H63="Moderate")),"Error ▲",VLOOKUP(H63,'G-1 All Habitats'!$Z$2:$AA$9,2,FALSE))))))),"")</f>
        <v/>
      </c>
      <c r="J63" s="109"/>
      <c r="K63" s="301" t="str">
        <f>IF(AND(J63="",D63&lt;&gt;""),"Check data ⚠",IF(J63="","",IF(VLOOKUP(J63,'G-3 Multipliers'!$L$3:$N$6,2,FALSE)=0,"Spatial Data Missing ⚠",VLOOKUP(J63,'G-3 Multipliers'!$L$3:$N$6,2,FALSE))))</f>
        <v/>
      </c>
      <c r="L63" s="305" t="str">
        <f>IF(J63="","",IF(VLOOKUP(J63,'G-3 Multipliers'!$L$3:$N$6,3,FALSE)=0,"Spatial Data Missing ⚠",VLOOKUP(J63,'G-3 Multipliers'!$L$3:$N$6,3,FALSE)))</f>
        <v/>
      </c>
      <c r="M63" s="342" t="str">
        <f>IF(D63="","",VLOOKUP(D63,'G-6 Hedgerow Data'!$B$1:$AH$15,33,FALSE))</f>
        <v/>
      </c>
      <c r="N63" s="295" t="str">
        <f t="shared" si="3"/>
        <v/>
      </c>
      <c r="O63" s="403"/>
      <c r="P63" s="287" t="str">
        <f>IF(O63="","",IF(VLOOKUP(O63,'G-3 Multipliers'!$S$3:$T$10,2,FALSE)=0,"Spatial Data Missing ⚠",VLOOKUP(O63,'G-3 Multipliers'!$S$3:$T$10,2,FALSE)))</f>
        <v/>
      </c>
      <c r="Q63" s="295" t="str">
        <f t="shared" si="4"/>
        <v/>
      </c>
      <c r="R63" s="32"/>
      <c r="S63" s="105"/>
      <c r="T63" s="112"/>
      <c r="U63" s="289" t="str">
        <f t="shared" si="5"/>
        <v/>
      </c>
      <c r="V63" s="289" t="str">
        <f t="shared" si="6"/>
        <v/>
      </c>
      <c r="W63" s="293" t="str">
        <f t="shared" si="7"/>
        <v/>
      </c>
      <c r="X63" s="297" t="str">
        <f t="shared" si="8"/>
        <v/>
      </c>
      <c r="Y63" s="109"/>
      <c r="Z63" s="108"/>
      <c r="AA63" s="108"/>
      <c r="AB63" s="108"/>
      <c r="AE63" s="30" t="str">
        <f>IFERROR(INDEX('G-6 Hedgerow Data'!$BJ$3:$BJ$15,MATCH(D63,'G-6 Hedgerow Data'!$B$3:$B$15,0)),"")</f>
        <v/>
      </c>
      <c r="AH63" s="111" t="str">
        <f t="shared" si="0"/>
        <v/>
      </c>
      <c r="AI63" s="111" t="str">
        <f t="shared" si="1"/>
        <v/>
      </c>
      <c r="AK63" s="111">
        <v>54</v>
      </c>
      <c r="AM63" s="111" t="str">
        <f t="array" ref="AM63">IFERROR(INDEX($AK$10:$AK$258, MATCH(0, IF(TRUE=$AH$10:$AH$258, COUNTIF($AM$9:$AM62, $AK$10:$AK$258), ""), 0)),"")</f>
        <v/>
      </c>
      <c r="AN63" s="111" t="str">
        <f t="array" ref="AN63">IFERROR(INDEX($AK$10:$AK$258, MATCH(0, IF(TRUE=$AI$10:$AI$258, COUNTIF($AN$9:$AN62, $AK$10:$AK$258), ""), 0)),"")</f>
        <v/>
      </c>
      <c r="AY63" s="289" t="str">
        <f t="shared" si="2"/>
        <v/>
      </c>
    </row>
    <row r="64" spans="2:51" ht="13.8" x14ac:dyDescent="0.25">
      <c r="B64" s="101">
        <v>55</v>
      </c>
      <c r="C64" s="142"/>
      <c r="D64" s="142"/>
      <c r="E64" s="108"/>
      <c r="F64" s="281" t="str">
        <f>IF(D64="","",VLOOKUP(D64,'G-6 Hedgerow Data'!$B$2:$AG$15,2,FALSE))</f>
        <v/>
      </c>
      <c r="G64" s="282" t="str">
        <f>IF(D64="","",VLOOKUP(D64,'G-6 Hedgerow Data'!$B$2:$AG$15,3,FALSE))</f>
        <v/>
      </c>
      <c r="H64" s="105"/>
      <c r="I64" s="282" t="str">
        <f>IFERROR(IF(AND(D64&lt;&gt;"",H64=""), "Check data ⚠",(IF(H64="","",IF(AND(D64="Non-native and ornamental hedgerow", H64&lt;&gt;"Poor"),"Not possible ▲", (IF(AND(F64="V.Low",OR(H64="Good",H64="Moderate")),"Error ▲",VLOOKUP(H64,'G-1 All Habitats'!$Z$2:$AA$9,2,FALSE))))))),"")</f>
        <v/>
      </c>
      <c r="J64" s="109"/>
      <c r="K64" s="301" t="str">
        <f>IF(AND(J64="",D64&lt;&gt;""),"Check data ⚠",IF(J64="","",IF(VLOOKUP(J64,'G-3 Multipliers'!$L$3:$N$6,2,FALSE)=0,"Spatial Data Missing ⚠",VLOOKUP(J64,'G-3 Multipliers'!$L$3:$N$6,2,FALSE))))</f>
        <v/>
      </c>
      <c r="L64" s="305" t="str">
        <f>IF(J64="","",IF(VLOOKUP(J64,'G-3 Multipliers'!$L$3:$N$6,3,FALSE)=0,"Spatial Data Missing ⚠",VLOOKUP(J64,'G-3 Multipliers'!$L$3:$N$6,3,FALSE)))</f>
        <v/>
      </c>
      <c r="M64" s="342" t="str">
        <f>IF(D64="","",VLOOKUP(D64,'G-6 Hedgerow Data'!$B$1:$AH$15,33,FALSE))</f>
        <v/>
      </c>
      <c r="N64" s="295" t="str">
        <f t="shared" si="3"/>
        <v/>
      </c>
      <c r="O64" s="403"/>
      <c r="P64" s="287" t="str">
        <f>IF(O64="","",IF(VLOOKUP(O64,'G-3 Multipliers'!$S$3:$T$10,2,FALSE)=0,"Spatial Data Missing ⚠",VLOOKUP(O64,'G-3 Multipliers'!$S$3:$T$10,2,FALSE)))</f>
        <v/>
      </c>
      <c r="Q64" s="295" t="str">
        <f t="shared" si="4"/>
        <v/>
      </c>
      <c r="R64" s="32"/>
      <c r="S64" s="105"/>
      <c r="T64" s="112"/>
      <c r="U64" s="289" t="str">
        <f t="shared" si="5"/>
        <v/>
      </c>
      <c r="V64" s="289" t="str">
        <f t="shared" si="6"/>
        <v/>
      </c>
      <c r="W64" s="293" t="str">
        <f t="shared" si="7"/>
        <v/>
      </c>
      <c r="X64" s="297" t="str">
        <f t="shared" si="8"/>
        <v/>
      </c>
      <c r="Y64" s="109"/>
      <c r="Z64" s="108"/>
      <c r="AA64" s="108"/>
      <c r="AB64" s="108"/>
      <c r="AE64" s="30" t="str">
        <f>IFERROR(INDEX('G-6 Hedgerow Data'!$BJ$3:$BJ$15,MATCH(D64,'G-6 Hedgerow Data'!$B$3:$B$15,0)),"")</f>
        <v/>
      </c>
      <c r="AH64" s="111" t="str">
        <f t="shared" si="0"/>
        <v/>
      </c>
      <c r="AI64" s="111" t="str">
        <f t="shared" si="1"/>
        <v/>
      </c>
      <c r="AK64" s="111">
        <v>55</v>
      </c>
      <c r="AM64" s="111" t="str">
        <f t="array" ref="AM64">IFERROR(INDEX($AK$10:$AK$258, MATCH(0, IF(TRUE=$AH$10:$AH$258, COUNTIF($AM$9:$AM63, $AK$10:$AK$258), ""), 0)),"")</f>
        <v/>
      </c>
      <c r="AN64" s="111" t="str">
        <f t="array" ref="AN64">IFERROR(INDEX($AK$10:$AK$258, MATCH(0, IF(TRUE=$AI$10:$AI$258, COUNTIF($AN$9:$AN63, $AK$10:$AK$258), ""), 0)),"")</f>
        <v/>
      </c>
      <c r="AY64" s="289" t="str">
        <f t="shared" si="2"/>
        <v/>
      </c>
    </row>
    <row r="65" spans="2:51" ht="13.8" x14ac:dyDescent="0.25">
      <c r="B65" s="101">
        <v>56</v>
      </c>
      <c r="C65" s="142"/>
      <c r="D65" s="142"/>
      <c r="E65" s="108"/>
      <c r="F65" s="281" t="str">
        <f>IF(D65="","",VLOOKUP(D65,'G-6 Hedgerow Data'!$B$2:$AG$15,2,FALSE))</f>
        <v/>
      </c>
      <c r="G65" s="282" t="str">
        <f>IF(D65="","",VLOOKUP(D65,'G-6 Hedgerow Data'!$B$2:$AG$15,3,FALSE))</f>
        <v/>
      </c>
      <c r="H65" s="105"/>
      <c r="I65" s="282" t="str">
        <f>IFERROR(IF(AND(D65&lt;&gt;"",H65=""), "Check data ⚠",(IF(H65="","",IF(AND(D65="Non-native and ornamental hedgerow", H65&lt;&gt;"Poor"),"Not possible ▲", (IF(AND(F65="V.Low",OR(H65="Good",H65="Moderate")),"Error ▲",VLOOKUP(H65,'G-1 All Habitats'!$Z$2:$AA$9,2,FALSE))))))),"")</f>
        <v/>
      </c>
      <c r="J65" s="109"/>
      <c r="K65" s="301" t="str">
        <f>IF(AND(J65="",D65&lt;&gt;""),"Check data ⚠",IF(J65="","",IF(VLOOKUP(J65,'G-3 Multipliers'!$L$3:$N$6,2,FALSE)=0,"Spatial Data Missing ⚠",VLOOKUP(J65,'G-3 Multipliers'!$L$3:$N$6,2,FALSE))))</f>
        <v/>
      </c>
      <c r="L65" s="305" t="str">
        <f>IF(J65="","",IF(VLOOKUP(J65,'G-3 Multipliers'!$L$3:$N$6,3,FALSE)=0,"Spatial Data Missing ⚠",VLOOKUP(J65,'G-3 Multipliers'!$L$3:$N$6,3,FALSE)))</f>
        <v/>
      </c>
      <c r="M65" s="342" t="str">
        <f>IF(D65="","",VLOOKUP(D65,'G-6 Hedgerow Data'!$B$1:$AH$15,33,FALSE))</f>
        <v/>
      </c>
      <c r="N65" s="295" t="str">
        <f t="shared" si="3"/>
        <v/>
      </c>
      <c r="O65" s="403"/>
      <c r="P65" s="287" t="str">
        <f>IF(O65="","",IF(VLOOKUP(O65,'G-3 Multipliers'!$S$3:$T$10,2,FALSE)=0,"Spatial Data Missing ⚠",VLOOKUP(O65,'G-3 Multipliers'!$S$3:$T$10,2,FALSE)))</f>
        <v/>
      </c>
      <c r="Q65" s="295" t="str">
        <f t="shared" si="4"/>
        <v/>
      </c>
      <c r="R65" s="32"/>
      <c r="S65" s="105"/>
      <c r="T65" s="112"/>
      <c r="U65" s="289" t="str">
        <f t="shared" si="5"/>
        <v/>
      </c>
      <c r="V65" s="289" t="str">
        <f t="shared" si="6"/>
        <v/>
      </c>
      <c r="W65" s="293" t="str">
        <f t="shared" si="7"/>
        <v/>
      </c>
      <c r="X65" s="297" t="str">
        <f t="shared" si="8"/>
        <v/>
      </c>
      <c r="Y65" s="109"/>
      <c r="Z65" s="108"/>
      <c r="AA65" s="108"/>
      <c r="AB65" s="108"/>
      <c r="AE65" s="30" t="str">
        <f>IFERROR(INDEX('G-6 Hedgerow Data'!$BJ$3:$BJ$15,MATCH(D65,'G-6 Hedgerow Data'!$B$3:$B$15,0)),"")</f>
        <v/>
      </c>
      <c r="AH65" s="111" t="str">
        <f t="shared" si="0"/>
        <v/>
      </c>
      <c r="AI65" s="111" t="str">
        <f t="shared" si="1"/>
        <v/>
      </c>
      <c r="AK65" s="111">
        <v>56</v>
      </c>
      <c r="AM65" s="111" t="str">
        <f t="array" ref="AM65">IFERROR(INDEX($AK$10:$AK$258, MATCH(0, IF(TRUE=$AH$10:$AH$258, COUNTIF($AM$9:$AM64, $AK$10:$AK$258), ""), 0)),"")</f>
        <v/>
      </c>
      <c r="AN65" s="111" t="str">
        <f t="array" ref="AN65">IFERROR(INDEX($AK$10:$AK$258, MATCH(0, IF(TRUE=$AI$10:$AI$258, COUNTIF($AN$9:$AN64, $AK$10:$AK$258), ""), 0)),"")</f>
        <v/>
      </c>
      <c r="AY65" s="289" t="str">
        <f t="shared" si="2"/>
        <v/>
      </c>
    </row>
    <row r="66" spans="2:51" ht="13.8" x14ac:dyDescent="0.25">
      <c r="B66" s="101">
        <v>57</v>
      </c>
      <c r="C66" s="142"/>
      <c r="D66" s="142"/>
      <c r="E66" s="108"/>
      <c r="F66" s="281" t="str">
        <f>IF(D66="","",VLOOKUP(D66,'G-6 Hedgerow Data'!$B$2:$AG$15,2,FALSE))</f>
        <v/>
      </c>
      <c r="G66" s="282" t="str">
        <f>IF(D66="","",VLOOKUP(D66,'G-6 Hedgerow Data'!$B$2:$AG$15,3,FALSE))</f>
        <v/>
      </c>
      <c r="H66" s="105"/>
      <c r="I66" s="282" t="str">
        <f>IFERROR(IF(AND(D66&lt;&gt;"",H66=""), "Check data ⚠",(IF(H66="","",IF(AND(D66="Non-native and ornamental hedgerow", H66&lt;&gt;"Poor"),"Not possible ▲", (IF(AND(F66="V.Low",OR(H66="Good",H66="Moderate")),"Error ▲",VLOOKUP(H66,'G-1 All Habitats'!$Z$2:$AA$9,2,FALSE))))))),"")</f>
        <v/>
      </c>
      <c r="J66" s="109"/>
      <c r="K66" s="301" t="str">
        <f>IF(AND(J66="",D66&lt;&gt;""),"Check data ⚠",IF(J66="","",IF(VLOOKUP(J66,'G-3 Multipliers'!$L$3:$N$6,2,FALSE)=0,"Spatial Data Missing ⚠",VLOOKUP(J66,'G-3 Multipliers'!$L$3:$N$6,2,FALSE))))</f>
        <v/>
      </c>
      <c r="L66" s="305" t="str">
        <f>IF(J66="","",IF(VLOOKUP(J66,'G-3 Multipliers'!$L$3:$N$6,3,FALSE)=0,"Spatial Data Missing ⚠",VLOOKUP(J66,'G-3 Multipliers'!$L$3:$N$6,3,FALSE)))</f>
        <v/>
      </c>
      <c r="M66" s="342" t="str">
        <f>IF(D66="","",VLOOKUP(D66,'G-6 Hedgerow Data'!$B$1:$AH$15,33,FALSE))</f>
        <v/>
      </c>
      <c r="N66" s="295" t="str">
        <f t="shared" si="3"/>
        <v/>
      </c>
      <c r="O66" s="403"/>
      <c r="P66" s="287" t="str">
        <f>IF(O66="","",IF(VLOOKUP(O66,'G-3 Multipliers'!$S$3:$T$10,2,FALSE)=0,"Spatial Data Missing ⚠",VLOOKUP(O66,'G-3 Multipliers'!$S$3:$T$10,2,FALSE)))</f>
        <v/>
      </c>
      <c r="Q66" s="295" t="str">
        <f t="shared" si="4"/>
        <v/>
      </c>
      <c r="R66" s="32"/>
      <c r="S66" s="105"/>
      <c r="T66" s="112"/>
      <c r="U66" s="289" t="str">
        <f t="shared" si="5"/>
        <v/>
      </c>
      <c r="V66" s="289" t="str">
        <f t="shared" si="6"/>
        <v/>
      </c>
      <c r="W66" s="293" t="str">
        <f t="shared" si="7"/>
        <v/>
      </c>
      <c r="X66" s="297" t="str">
        <f t="shared" si="8"/>
        <v/>
      </c>
      <c r="Y66" s="109"/>
      <c r="Z66" s="108"/>
      <c r="AA66" s="108"/>
      <c r="AB66" s="108"/>
      <c r="AE66" s="30" t="str">
        <f>IFERROR(INDEX('G-6 Hedgerow Data'!$BJ$3:$BJ$15,MATCH(D66,'G-6 Hedgerow Data'!$B$3:$B$15,0)),"")</f>
        <v/>
      </c>
      <c r="AH66" s="111" t="str">
        <f t="shared" si="0"/>
        <v/>
      </c>
      <c r="AI66" s="111" t="str">
        <f t="shared" si="1"/>
        <v/>
      </c>
      <c r="AK66" s="111">
        <v>57</v>
      </c>
      <c r="AM66" s="111" t="str">
        <f t="array" ref="AM66">IFERROR(INDEX($AK$10:$AK$258, MATCH(0, IF(TRUE=$AH$10:$AH$258, COUNTIF($AM$9:$AM65, $AK$10:$AK$258), ""), 0)),"")</f>
        <v/>
      </c>
      <c r="AN66" s="111" t="str">
        <f t="array" ref="AN66">IFERROR(INDEX($AK$10:$AK$258, MATCH(0, IF(TRUE=$AI$10:$AI$258, COUNTIF($AN$9:$AN65, $AK$10:$AK$258), ""), 0)),"")</f>
        <v/>
      </c>
      <c r="AY66" s="289" t="str">
        <f t="shared" si="2"/>
        <v/>
      </c>
    </row>
    <row r="67" spans="2:51" ht="13.8" x14ac:dyDescent="0.25">
      <c r="B67" s="101">
        <v>58</v>
      </c>
      <c r="C67" s="142"/>
      <c r="D67" s="142"/>
      <c r="E67" s="108"/>
      <c r="F67" s="281" t="str">
        <f>IF(D67="","",VLOOKUP(D67,'G-6 Hedgerow Data'!$B$2:$AG$15,2,FALSE))</f>
        <v/>
      </c>
      <c r="G67" s="282" t="str">
        <f>IF(D67="","",VLOOKUP(D67,'G-6 Hedgerow Data'!$B$2:$AG$15,3,FALSE))</f>
        <v/>
      </c>
      <c r="H67" s="105"/>
      <c r="I67" s="282" t="str">
        <f>IFERROR(IF(AND(D67&lt;&gt;"",H67=""), "Check data ⚠",(IF(H67="","",IF(AND(D67="Non-native and ornamental hedgerow", H67&lt;&gt;"Poor"),"Not possible ▲", (IF(AND(F67="V.Low",OR(H67="Good",H67="Moderate")),"Error ▲",VLOOKUP(H67,'G-1 All Habitats'!$Z$2:$AA$9,2,FALSE))))))),"")</f>
        <v/>
      </c>
      <c r="J67" s="109"/>
      <c r="K67" s="301" t="str">
        <f>IF(AND(J67="",D67&lt;&gt;""),"Check data ⚠",IF(J67="","",IF(VLOOKUP(J67,'G-3 Multipliers'!$L$3:$N$6,2,FALSE)=0,"Spatial Data Missing ⚠",VLOOKUP(J67,'G-3 Multipliers'!$L$3:$N$6,2,FALSE))))</f>
        <v/>
      </c>
      <c r="L67" s="305" t="str">
        <f>IF(J67="","",IF(VLOOKUP(J67,'G-3 Multipliers'!$L$3:$N$6,3,FALSE)=0,"Spatial Data Missing ⚠",VLOOKUP(J67,'G-3 Multipliers'!$L$3:$N$6,3,FALSE)))</f>
        <v/>
      </c>
      <c r="M67" s="342" t="str">
        <f>IF(D67="","",VLOOKUP(D67,'G-6 Hedgerow Data'!$B$1:$AH$15,33,FALSE))</f>
        <v/>
      </c>
      <c r="N67" s="295" t="str">
        <f t="shared" si="3"/>
        <v/>
      </c>
      <c r="O67" s="403"/>
      <c r="P67" s="287" t="str">
        <f>IF(O67="","",IF(VLOOKUP(O67,'G-3 Multipliers'!$S$3:$T$10,2,FALSE)=0,"Spatial Data Missing ⚠",VLOOKUP(O67,'G-3 Multipliers'!$S$3:$T$10,2,FALSE)))</f>
        <v/>
      </c>
      <c r="Q67" s="295" t="str">
        <f t="shared" si="4"/>
        <v/>
      </c>
      <c r="R67" s="32"/>
      <c r="S67" s="105"/>
      <c r="T67" s="112"/>
      <c r="U67" s="289" t="str">
        <f t="shared" si="5"/>
        <v/>
      </c>
      <c r="V67" s="289" t="str">
        <f t="shared" si="6"/>
        <v/>
      </c>
      <c r="W67" s="293" t="str">
        <f t="shared" si="7"/>
        <v/>
      </c>
      <c r="X67" s="297" t="str">
        <f t="shared" si="8"/>
        <v/>
      </c>
      <c r="Y67" s="109"/>
      <c r="Z67" s="108"/>
      <c r="AA67" s="108"/>
      <c r="AB67" s="108"/>
      <c r="AE67" s="30" t="str">
        <f>IFERROR(INDEX('G-6 Hedgerow Data'!$BJ$3:$BJ$15,MATCH(D67,'G-6 Hedgerow Data'!$B$3:$B$15,0)),"")</f>
        <v/>
      </c>
      <c r="AH67" s="111" t="str">
        <f t="shared" si="0"/>
        <v/>
      </c>
      <c r="AI67" s="111" t="str">
        <f t="shared" si="1"/>
        <v/>
      </c>
      <c r="AK67" s="111">
        <v>58</v>
      </c>
      <c r="AM67" s="111" t="str">
        <f t="array" ref="AM67">IFERROR(INDEX($AK$10:$AK$258, MATCH(0, IF(TRUE=$AH$10:$AH$258, COUNTIF($AM$9:$AM66, $AK$10:$AK$258), ""), 0)),"")</f>
        <v/>
      </c>
      <c r="AN67" s="111" t="str">
        <f t="array" ref="AN67">IFERROR(INDEX($AK$10:$AK$258, MATCH(0, IF(TRUE=$AI$10:$AI$258, COUNTIF($AN$9:$AN66, $AK$10:$AK$258), ""), 0)),"")</f>
        <v/>
      </c>
      <c r="AY67" s="289" t="str">
        <f t="shared" si="2"/>
        <v/>
      </c>
    </row>
    <row r="68" spans="2:51" ht="13.8" x14ac:dyDescent="0.25">
      <c r="B68" s="101">
        <v>59</v>
      </c>
      <c r="C68" s="142"/>
      <c r="D68" s="142"/>
      <c r="E68" s="108"/>
      <c r="F68" s="281" t="str">
        <f>IF(D68="","",VLOOKUP(D68,'G-6 Hedgerow Data'!$B$2:$AG$15,2,FALSE))</f>
        <v/>
      </c>
      <c r="G68" s="282" t="str">
        <f>IF(D68="","",VLOOKUP(D68,'G-6 Hedgerow Data'!$B$2:$AG$15,3,FALSE))</f>
        <v/>
      </c>
      <c r="H68" s="105"/>
      <c r="I68" s="282" t="str">
        <f>IFERROR(IF(AND(D68&lt;&gt;"",H68=""), "Check data ⚠",(IF(H68="","",IF(AND(D68="Non-native and ornamental hedgerow", H68&lt;&gt;"Poor"),"Not possible ▲", (IF(AND(F68="V.Low",OR(H68="Good",H68="Moderate")),"Error ▲",VLOOKUP(H68,'G-1 All Habitats'!$Z$2:$AA$9,2,FALSE))))))),"")</f>
        <v/>
      </c>
      <c r="J68" s="109"/>
      <c r="K68" s="301" t="str">
        <f>IF(AND(J68="",D68&lt;&gt;""),"Check data ⚠",IF(J68="","",IF(VLOOKUP(J68,'G-3 Multipliers'!$L$3:$N$6,2,FALSE)=0,"Spatial Data Missing ⚠",VLOOKUP(J68,'G-3 Multipliers'!$L$3:$N$6,2,FALSE))))</f>
        <v/>
      </c>
      <c r="L68" s="305" t="str">
        <f>IF(J68="","",IF(VLOOKUP(J68,'G-3 Multipliers'!$L$3:$N$6,3,FALSE)=0,"Spatial Data Missing ⚠",VLOOKUP(J68,'G-3 Multipliers'!$L$3:$N$6,3,FALSE)))</f>
        <v/>
      </c>
      <c r="M68" s="342" t="str">
        <f>IF(D68="","",VLOOKUP(D68,'G-6 Hedgerow Data'!$B$1:$AH$15,33,FALSE))</f>
        <v/>
      </c>
      <c r="N68" s="295" t="str">
        <f t="shared" si="3"/>
        <v/>
      </c>
      <c r="O68" s="403"/>
      <c r="P68" s="287" t="str">
        <f>IF(O68="","",IF(VLOOKUP(O68,'G-3 Multipliers'!$S$3:$T$10,2,FALSE)=0,"Spatial Data Missing ⚠",VLOOKUP(O68,'G-3 Multipliers'!$S$3:$T$10,2,FALSE)))</f>
        <v/>
      </c>
      <c r="Q68" s="295" t="str">
        <f t="shared" si="4"/>
        <v/>
      </c>
      <c r="R68" s="32"/>
      <c r="S68" s="105"/>
      <c r="T68" s="112"/>
      <c r="U68" s="289" t="str">
        <f t="shared" si="5"/>
        <v/>
      </c>
      <c r="V68" s="289" t="str">
        <f t="shared" si="6"/>
        <v/>
      </c>
      <c r="W68" s="293" t="str">
        <f t="shared" si="7"/>
        <v/>
      </c>
      <c r="X68" s="297" t="str">
        <f t="shared" si="8"/>
        <v/>
      </c>
      <c r="Y68" s="109"/>
      <c r="Z68" s="108"/>
      <c r="AA68" s="108"/>
      <c r="AB68" s="108"/>
      <c r="AE68" s="30" t="str">
        <f>IFERROR(INDEX('G-6 Hedgerow Data'!$BJ$3:$BJ$15,MATCH(D68,'G-6 Hedgerow Data'!$B$3:$B$15,0)),"")</f>
        <v/>
      </c>
      <c r="AH68" s="111" t="str">
        <f t="shared" si="0"/>
        <v/>
      </c>
      <c r="AI68" s="111" t="str">
        <f t="shared" si="1"/>
        <v/>
      </c>
      <c r="AK68" s="111">
        <v>59</v>
      </c>
      <c r="AM68" s="111" t="str">
        <f t="array" ref="AM68">IFERROR(INDEX($AK$10:$AK$258, MATCH(0, IF(TRUE=$AH$10:$AH$258, COUNTIF($AM$9:$AM67, $AK$10:$AK$258), ""), 0)),"")</f>
        <v/>
      </c>
      <c r="AN68" s="111" t="str">
        <f t="array" ref="AN68">IFERROR(INDEX($AK$10:$AK$258, MATCH(0, IF(TRUE=$AI$10:$AI$258, COUNTIF($AN$9:$AN67, $AK$10:$AK$258), ""), 0)),"")</f>
        <v/>
      </c>
      <c r="AY68" s="289" t="str">
        <f t="shared" si="2"/>
        <v/>
      </c>
    </row>
    <row r="69" spans="2:51" ht="13.8" x14ac:dyDescent="0.25">
      <c r="B69" s="101">
        <v>60</v>
      </c>
      <c r="C69" s="142"/>
      <c r="D69" s="142"/>
      <c r="E69" s="108"/>
      <c r="F69" s="281" t="str">
        <f>IF(D69="","",VLOOKUP(D69,'G-6 Hedgerow Data'!$B$2:$AG$15,2,FALSE))</f>
        <v/>
      </c>
      <c r="G69" s="282" t="str">
        <f>IF(D69="","",VLOOKUP(D69,'G-6 Hedgerow Data'!$B$2:$AG$15,3,FALSE))</f>
        <v/>
      </c>
      <c r="H69" s="105"/>
      <c r="I69" s="282" t="str">
        <f>IFERROR(IF(AND(D69&lt;&gt;"",H69=""), "Check data ⚠",(IF(H69="","",IF(AND(D69="Non-native and ornamental hedgerow", H69&lt;&gt;"Poor"),"Not possible ▲", (IF(AND(F69="V.Low",OR(H69="Good",H69="Moderate")),"Error ▲",VLOOKUP(H69,'G-1 All Habitats'!$Z$2:$AA$9,2,FALSE))))))),"")</f>
        <v/>
      </c>
      <c r="J69" s="109"/>
      <c r="K69" s="301" t="str">
        <f>IF(AND(J69="",D69&lt;&gt;""),"Check data ⚠",IF(J69="","",IF(VLOOKUP(J69,'G-3 Multipliers'!$L$3:$N$6,2,FALSE)=0,"Spatial Data Missing ⚠",VLOOKUP(J69,'G-3 Multipliers'!$L$3:$N$6,2,FALSE))))</f>
        <v/>
      </c>
      <c r="L69" s="305" t="str">
        <f>IF(J69="","",IF(VLOOKUP(J69,'G-3 Multipliers'!$L$3:$N$6,3,FALSE)=0,"Spatial Data Missing ⚠",VLOOKUP(J69,'G-3 Multipliers'!$L$3:$N$6,3,FALSE)))</f>
        <v/>
      </c>
      <c r="M69" s="342" t="str">
        <f>IF(D69="","",VLOOKUP(D69,'G-6 Hedgerow Data'!$B$1:$AH$15,33,FALSE))</f>
        <v/>
      </c>
      <c r="N69" s="295" t="str">
        <f t="shared" si="3"/>
        <v/>
      </c>
      <c r="O69" s="403"/>
      <c r="P69" s="287" t="str">
        <f>IF(O69="","",IF(VLOOKUP(O69,'G-3 Multipliers'!$S$3:$T$10,2,FALSE)=0,"Spatial Data Missing ⚠",VLOOKUP(O69,'G-3 Multipliers'!$S$3:$T$10,2,FALSE)))</f>
        <v/>
      </c>
      <c r="Q69" s="295" t="str">
        <f t="shared" si="4"/>
        <v/>
      </c>
      <c r="R69" s="32"/>
      <c r="S69" s="105"/>
      <c r="T69" s="112"/>
      <c r="U69" s="289" t="str">
        <f t="shared" si="5"/>
        <v/>
      </c>
      <c r="V69" s="289" t="str">
        <f t="shared" si="6"/>
        <v/>
      </c>
      <c r="W69" s="293" t="str">
        <f t="shared" si="7"/>
        <v/>
      </c>
      <c r="X69" s="297" t="str">
        <f t="shared" si="8"/>
        <v/>
      </c>
      <c r="Y69" s="109"/>
      <c r="Z69" s="108"/>
      <c r="AA69" s="108"/>
      <c r="AB69" s="108"/>
      <c r="AE69" s="30" t="str">
        <f>IFERROR(INDEX('G-6 Hedgerow Data'!$BJ$3:$BJ$15,MATCH(D69,'G-6 Hedgerow Data'!$B$3:$B$15,0)),"")</f>
        <v/>
      </c>
      <c r="AH69" s="111" t="str">
        <f t="shared" si="0"/>
        <v/>
      </c>
      <c r="AI69" s="111" t="str">
        <f t="shared" si="1"/>
        <v/>
      </c>
      <c r="AK69" s="111">
        <v>60</v>
      </c>
      <c r="AM69" s="111" t="str">
        <f t="array" ref="AM69">IFERROR(INDEX($AK$10:$AK$258, MATCH(0, IF(TRUE=$AH$10:$AH$258, COUNTIF($AM$9:$AM68, $AK$10:$AK$258), ""), 0)),"")</f>
        <v/>
      </c>
      <c r="AN69" s="111" t="str">
        <f t="array" ref="AN69">IFERROR(INDEX($AK$10:$AK$258, MATCH(0, IF(TRUE=$AI$10:$AI$258, COUNTIF($AN$9:$AN68, $AK$10:$AK$258), ""), 0)),"")</f>
        <v/>
      </c>
      <c r="AY69" s="289" t="str">
        <f t="shared" si="2"/>
        <v/>
      </c>
    </row>
    <row r="70" spans="2:51" ht="13.8" x14ac:dyDescent="0.25">
      <c r="B70" s="101">
        <v>61</v>
      </c>
      <c r="C70" s="142"/>
      <c r="D70" s="142"/>
      <c r="E70" s="108"/>
      <c r="F70" s="281" t="str">
        <f>IF(D70="","",VLOOKUP(D70,'G-6 Hedgerow Data'!$B$2:$AG$15,2,FALSE))</f>
        <v/>
      </c>
      <c r="G70" s="282" t="str">
        <f>IF(D70="","",VLOOKUP(D70,'G-6 Hedgerow Data'!$B$2:$AG$15,3,FALSE))</f>
        <v/>
      </c>
      <c r="H70" s="105"/>
      <c r="I70" s="282" t="str">
        <f>IFERROR(IF(AND(D70&lt;&gt;"",H70=""), "Check data ⚠",(IF(H70="","",IF(AND(D70="Non-native and ornamental hedgerow", H70&lt;&gt;"Poor"),"Not possible ▲", (IF(AND(F70="V.Low",OR(H70="Good",H70="Moderate")),"Error ▲",VLOOKUP(H70,'G-1 All Habitats'!$Z$2:$AA$9,2,FALSE))))))),"")</f>
        <v/>
      </c>
      <c r="J70" s="109"/>
      <c r="K70" s="301" t="str">
        <f>IF(AND(J70="",D70&lt;&gt;""),"Check data ⚠",IF(J70="","",IF(VLOOKUP(J70,'G-3 Multipliers'!$L$3:$N$6,2,FALSE)=0,"Spatial Data Missing ⚠",VLOOKUP(J70,'G-3 Multipliers'!$L$3:$N$6,2,FALSE))))</f>
        <v/>
      </c>
      <c r="L70" s="305" t="str">
        <f>IF(J70="","",IF(VLOOKUP(J70,'G-3 Multipliers'!$L$3:$N$6,3,FALSE)=0,"Spatial Data Missing ⚠",VLOOKUP(J70,'G-3 Multipliers'!$L$3:$N$6,3,FALSE)))</f>
        <v/>
      </c>
      <c r="M70" s="342" t="str">
        <f>IF(D70="","",VLOOKUP(D70,'G-6 Hedgerow Data'!$B$1:$AH$15,33,FALSE))</f>
        <v/>
      </c>
      <c r="N70" s="295" t="str">
        <f t="shared" si="3"/>
        <v/>
      </c>
      <c r="O70" s="403"/>
      <c r="P70" s="287" t="str">
        <f>IF(O70="","",IF(VLOOKUP(O70,'G-3 Multipliers'!$S$3:$T$10,2,FALSE)=0,"Spatial Data Missing ⚠",VLOOKUP(O70,'G-3 Multipliers'!$S$3:$T$10,2,FALSE)))</f>
        <v/>
      </c>
      <c r="Q70" s="295" t="str">
        <f t="shared" si="4"/>
        <v/>
      </c>
      <c r="R70" s="32"/>
      <c r="S70" s="105"/>
      <c r="T70" s="112"/>
      <c r="U70" s="289" t="str">
        <f t="shared" si="5"/>
        <v/>
      </c>
      <c r="V70" s="289" t="str">
        <f t="shared" si="6"/>
        <v/>
      </c>
      <c r="W70" s="293" t="str">
        <f t="shared" si="7"/>
        <v/>
      </c>
      <c r="X70" s="297" t="str">
        <f t="shared" si="8"/>
        <v/>
      </c>
      <c r="Y70" s="109"/>
      <c r="Z70" s="108"/>
      <c r="AA70" s="108"/>
      <c r="AB70" s="108"/>
      <c r="AE70" s="30" t="str">
        <f>IFERROR(INDEX('G-6 Hedgerow Data'!$BJ$3:$BJ$15,MATCH(D70,'G-6 Hedgerow Data'!$B$3:$B$15,0)),"")</f>
        <v/>
      </c>
      <c r="AH70" s="111" t="str">
        <f t="shared" si="0"/>
        <v/>
      </c>
      <c r="AI70" s="111" t="str">
        <f t="shared" si="1"/>
        <v/>
      </c>
      <c r="AK70" s="111">
        <v>61</v>
      </c>
      <c r="AM70" s="111" t="str">
        <f t="array" ref="AM70">IFERROR(INDEX($AK$10:$AK$258, MATCH(0, IF(TRUE=$AH$10:$AH$258, COUNTIF($AM$9:$AM69, $AK$10:$AK$258), ""), 0)),"")</f>
        <v/>
      </c>
      <c r="AN70" s="111" t="str">
        <f t="array" ref="AN70">IFERROR(INDEX($AK$10:$AK$258, MATCH(0, IF(TRUE=$AI$10:$AI$258, COUNTIF($AN$9:$AN69, $AK$10:$AK$258), ""), 0)),"")</f>
        <v/>
      </c>
      <c r="AY70" s="289" t="str">
        <f t="shared" si="2"/>
        <v/>
      </c>
    </row>
    <row r="71" spans="2:51" ht="13.8" x14ac:dyDescent="0.25">
      <c r="B71" s="101">
        <v>62</v>
      </c>
      <c r="C71" s="142"/>
      <c r="D71" s="142"/>
      <c r="E71" s="108"/>
      <c r="F71" s="281" t="str">
        <f>IF(D71="","",VLOOKUP(D71,'G-6 Hedgerow Data'!$B$2:$AG$15,2,FALSE))</f>
        <v/>
      </c>
      <c r="G71" s="282" t="str">
        <f>IF(D71="","",VLOOKUP(D71,'G-6 Hedgerow Data'!$B$2:$AG$15,3,FALSE))</f>
        <v/>
      </c>
      <c r="H71" s="105"/>
      <c r="I71" s="282" t="str">
        <f>IFERROR(IF(AND(D71&lt;&gt;"",H71=""), "Check data ⚠",(IF(H71="","",IF(AND(D71="Non-native and ornamental hedgerow", H71&lt;&gt;"Poor"),"Not possible ▲", (IF(AND(F71="V.Low",OR(H71="Good",H71="Moderate")),"Error ▲",VLOOKUP(H71,'G-1 All Habitats'!$Z$2:$AA$9,2,FALSE))))))),"")</f>
        <v/>
      </c>
      <c r="J71" s="109"/>
      <c r="K71" s="301" t="str">
        <f>IF(AND(J71="",D71&lt;&gt;""),"Check data ⚠",IF(J71="","",IF(VLOOKUP(J71,'G-3 Multipliers'!$L$3:$N$6,2,FALSE)=0,"Spatial Data Missing ⚠",VLOOKUP(J71,'G-3 Multipliers'!$L$3:$N$6,2,FALSE))))</f>
        <v/>
      </c>
      <c r="L71" s="305" t="str">
        <f>IF(J71="","",IF(VLOOKUP(J71,'G-3 Multipliers'!$L$3:$N$6,3,FALSE)=0,"Spatial Data Missing ⚠",VLOOKUP(J71,'G-3 Multipliers'!$L$3:$N$6,3,FALSE)))</f>
        <v/>
      </c>
      <c r="M71" s="342" t="str">
        <f>IF(D71="","",VLOOKUP(D71,'G-6 Hedgerow Data'!$B$1:$AH$15,33,FALSE))</f>
        <v/>
      </c>
      <c r="N71" s="295" t="str">
        <f t="shared" si="3"/>
        <v/>
      </c>
      <c r="O71" s="403"/>
      <c r="P71" s="287" t="str">
        <f>IF(O71="","",IF(VLOOKUP(O71,'G-3 Multipliers'!$S$3:$T$10,2,FALSE)=0,"Spatial Data Missing ⚠",VLOOKUP(O71,'G-3 Multipliers'!$S$3:$T$10,2,FALSE)))</f>
        <v/>
      </c>
      <c r="Q71" s="295" t="str">
        <f t="shared" si="4"/>
        <v/>
      </c>
      <c r="R71" s="32"/>
      <c r="S71" s="105"/>
      <c r="T71" s="112"/>
      <c r="U71" s="289" t="str">
        <f t="shared" si="5"/>
        <v/>
      </c>
      <c r="V71" s="289" t="str">
        <f t="shared" si="6"/>
        <v/>
      </c>
      <c r="W71" s="293" t="str">
        <f t="shared" si="7"/>
        <v/>
      </c>
      <c r="X71" s="297" t="str">
        <f t="shared" si="8"/>
        <v/>
      </c>
      <c r="Y71" s="109"/>
      <c r="Z71" s="108"/>
      <c r="AA71" s="108"/>
      <c r="AB71" s="108"/>
      <c r="AE71" s="30" t="str">
        <f>IFERROR(INDEX('G-6 Hedgerow Data'!$BJ$3:$BJ$15,MATCH(D71,'G-6 Hedgerow Data'!$B$3:$B$15,0)),"")</f>
        <v/>
      </c>
      <c r="AH71" s="111" t="str">
        <f t="shared" si="0"/>
        <v/>
      </c>
      <c r="AI71" s="111" t="str">
        <f t="shared" si="1"/>
        <v/>
      </c>
      <c r="AK71" s="111">
        <v>62</v>
      </c>
      <c r="AM71" s="111" t="str">
        <f t="array" ref="AM71">IFERROR(INDEX($AK$10:$AK$258, MATCH(0, IF(TRUE=$AH$10:$AH$258, COUNTIF($AM$9:$AM70, $AK$10:$AK$258), ""), 0)),"")</f>
        <v/>
      </c>
      <c r="AN71" s="111" t="str">
        <f t="array" ref="AN71">IFERROR(INDEX($AK$10:$AK$258, MATCH(0, IF(TRUE=$AI$10:$AI$258, COUNTIF($AN$9:$AN70, $AK$10:$AK$258), ""), 0)),"")</f>
        <v/>
      </c>
      <c r="AY71" s="289" t="str">
        <f t="shared" si="2"/>
        <v/>
      </c>
    </row>
    <row r="72" spans="2:51" ht="13.8" x14ac:dyDescent="0.25">
      <c r="B72" s="101">
        <v>63</v>
      </c>
      <c r="C72" s="142"/>
      <c r="D72" s="142"/>
      <c r="E72" s="108"/>
      <c r="F72" s="281" t="str">
        <f>IF(D72="","",VLOOKUP(D72,'G-6 Hedgerow Data'!$B$2:$AG$15,2,FALSE))</f>
        <v/>
      </c>
      <c r="G72" s="282" t="str">
        <f>IF(D72="","",VLOOKUP(D72,'G-6 Hedgerow Data'!$B$2:$AG$15,3,FALSE))</f>
        <v/>
      </c>
      <c r="H72" s="105"/>
      <c r="I72" s="282" t="str">
        <f>IFERROR(IF(AND(D72&lt;&gt;"",H72=""), "Check data ⚠",(IF(H72="","",IF(AND(D72="Non-native and ornamental hedgerow", H72&lt;&gt;"Poor"),"Not possible ▲", (IF(AND(F72="V.Low",OR(H72="Good",H72="Moderate")),"Error ▲",VLOOKUP(H72,'G-1 All Habitats'!$Z$2:$AA$9,2,FALSE))))))),"")</f>
        <v/>
      </c>
      <c r="J72" s="109"/>
      <c r="K72" s="301" t="str">
        <f>IF(AND(J72="",D72&lt;&gt;""),"Check data ⚠",IF(J72="","",IF(VLOOKUP(J72,'G-3 Multipliers'!$L$3:$N$6,2,FALSE)=0,"Spatial Data Missing ⚠",VLOOKUP(J72,'G-3 Multipliers'!$L$3:$N$6,2,FALSE))))</f>
        <v/>
      </c>
      <c r="L72" s="305" t="str">
        <f>IF(J72="","",IF(VLOOKUP(J72,'G-3 Multipliers'!$L$3:$N$6,3,FALSE)=0,"Spatial Data Missing ⚠",VLOOKUP(J72,'G-3 Multipliers'!$L$3:$N$6,3,FALSE)))</f>
        <v/>
      </c>
      <c r="M72" s="342" t="str">
        <f>IF(D72="","",VLOOKUP(D72,'G-6 Hedgerow Data'!$B$1:$AH$15,33,FALSE))</f>
        <v/>
      </c>
      <c r="N72" s="295" t="str">
        <f t="shared" si="3"/>
        <v/>
      </c>
      <c r="O72" s="403"/>
      <c r="P72" s="287" t="str">
        <f>IF(O72="","",IF(VLOOKUP(O72,'G-3 Multipliers'!$S$3:$T$10,2,FALSE)=0,"Spatial Data Missing ⚠",VLOOKUP(O72,'G-3 Multipliers'!$S$3:$T$10,2,FALSE)))</f>
        <v/>
      </c>
      <c r="Q72" s="295" t="str">
        <f t="shared" si="4"/>
        <v/>
      </c>
      <c r="R72" s="32"/>
      <c r="S72" s="105"/>
      <c r="T72" s="112"/>
      <c r="U72" s="289" t="str">
        <f t="shared" si="5"/>
        <v/>
      </c>
      <c r="V72" s="289" t="str">
        <f t="shared" si="6"/>
        <v/>
      </c>
      <c r="W72" s="293" t="str">
        <f t="shared" si="7"/>
        <v/>
      </c>
      <c r="X72" s="297" t="str">
        <f t="shared" si="8"/>
        <v/>
      </c>
      <c r="Y72" s="109"/>
      <c r="Z72" s="108"/>
      <c r="AA72" s="108"/>
      <c r="AB72" s="108"/>
      <c r="AE72" s="30" t="str">
        <f>IFERROR(INDEX('G-6 Hedgerow Data'!$BJ$3:$BJ$15,MATCH(D72,'G-6 Hedgerow Data'!$B$3:$B$15,0)),"")</f>
        <v/>
      </c>
      <c r="AH72" s="111" t="str">
        <f t="shared" si="0"/>
        <v/>
      </c>
      <c r="AI72" s="111" t="str">
        <f t="shared" si="1"/>
        <v/>
      </c>
      <c r="AK72" s="111">
        <v>63</v>
      </c>
      <c r="AM72" s="111" t="str">
        <f t="array" ref="AM72">IFERROR(INDEX($AK$10:$AK$258, MATCH(0, IF(TRUE=$AH$10:$AH$258, COUNTIF($AM$9:$AM71, $AK$10:$AK$258), ""), 0)),"")</f>
        <v/>
      </c>
      <c r="AN72" s="111" t="str">
        <f t="array" ref="AN72">IFERROR(INDEX($AK$10:$AK$258, MATCH(0, IF(TRUE=$AI$10:$AI$258, COUNTIF($AN$9:$AN71, $AK$10:$AK$258), ""), 0)),"")</f>
        <v/>
      </c>
      <c r="AY72" s="289" t="str">
        <f t="shared" si="2"/>
        <v/>
      </c>
    </row>
    <row r="73" spans="2:51" ht="13.8" x14ac:dyDescent="0.25">
      <c r="B73" s="101">
        <v>64</v>
      </c>
      <c r="C73" s="142"/>
      <c r="D73" s="142"/>
      <c r="E73" s="108"/>
      <c r="F73" s="281" t="str">
        <f>IF(D73="","",VLOOKUP(D73,'G-6 Hedgerow Data'!$B$2:$AG$15,2,FALSE))</f>
        <v/>
      </c>
      <c r="G73" s="282" t="str">
        <f>IF(D73="","",VLOOKUP(D73,'G-6 Hedgerow Data'!$B$2:$AG$15,3,FALSE))</f>
        <v/>
      </c>
      <c r="H73" s="105"/>
      <c r="I73" s="282" t="str">
        <f>IFERROR(IF(AND(D73&lt;&gt;"",H73=""), "Check data ⚠",(IF(H73="","",IF(AND(D73="Non-native and ornamental hedgerow", H73&lt;&gt;"Poor"),"Not possible ▲", (IF(AND(F73="V.Low",OR(H73="Good",H73="Moderate")),"Error ▲",VLOOKUP(H73,'G-1 All Habitats'!$Z$2:$AA$9,2,FALSE))))))),"")</f>
        <v/>
      </c>
      <c r="J73" s="109"/>
      <c r="K73" s="301" t="str">
        <f>IF(AND(J73="",D73&lt;&gt;""),"Check data ⚠",IF(J73="","",IF(VLOOKUP(J73,'G-3 Multipliers'!$L$3:$N$6,2,FALSE)=0,"Spatial Data Missing ⚠",VLOOKUP(J73,'G-3 Multipliers'!$L$3:$N$6,2,FALSE))))</f>
        <v/>
      </c>
      <c r="L73" s="305" t="str">
        <f>IF(J73="","",IF(VLOOKUP(J73,'G-3 Multipliers'!$L$3:$N$6,3,FALSE)=0,"Spatial Data Missing ⚠",VLOOKUP(J73,'G-3 Multipliers'!$L$3:$N$6,3,FALSE)))</f>
        <v/>
      </c>
      <c r="M73" s="342" t="str">
        <f>IF(D73="","",VLOOKUP(D73,'G-6 Hedgerow Data'!$B$1:$AH$15,33,FALSE))</f>
        <v/>
      </c>
      <c r="N73" s="295" t="str">
        <f t="shared" si="3"/>
        <v/>
      </c>
      <c r="O73" s="403"/>
      <c r="P73" s="287" t="str">
        <f>IF(O73="","",IF(VLOOKUP(O73,'G-3 Multipliers'!$S$3:$T$10,2,FALSE)=0,"Spatial Data Missing ⚠",VLOOKUP(O73,'G-3 Multipliers'!$S$3:$T$10,2,FALSE)))</f>
        <v/>
      </c>
      <c r="Q73" s="295" t="str">
        <f t="shared" si="4"/>
        <v/>
      </c>
      <c r="R73" s="32"/>
      <c r="S73" s="105"/>
      <c r="T73" s="112"/>
      <c r="U73" s="289" t="str">
        <f t="shared" si="5"/>
        <v/>
      </c>
      <c r="V73" s="289" t="str">
        <f t="shared" si="6"/>
        <v/>
      </c>
      <c r="W73" s="293" t="str">
        <f t="shared" si="7"/>
        <v/>
      </c>
      <c r="X73" s="297" t="str">
        <f t="shared" si="8"/>
        <v/>
      </c>
      <c r="Y73" s="109"/>
      <c r="Z73" s="108"/>
      <c r="AA73" s="108"/>
      <c r="AB73" s="108"/>
      <c r="AE73" s="30" t="str">
        <f>IFERROR(INDEX('G-6 Hedgerow Data'!$BJ$3:$BJ$15,MATCH(D73,'G-6 Hedgerow Data'!$B$3:$B$15,0)),"")</f>
        <v/>
      </c>
      <c r="AH73" s="111" t="str">
        <f t="shared" si="0"/>
        <v/>
      </c>
      <c r="AI73" s="111" t="str">
        <f t="shared" si="1"/>
        <v/>
      </c>
      <c r="AK73" s="111">
        <v>64</v>
      </c>
      <c r="AM73" s="111" t="str">
        <f t="array" ref="AM73">IFERROR(INDEX($AK$10:$AK$258, MATCH(0, IF(TRUE=$AH$10:$AH$258, COUNTIF($AM$9:$AM72, $AK$10:$AK$258), ""), 0)),"")</f>
        <v/>
      </c>
      <c r="AN73" s="111" t="str">
        <f t="array" ref="AN73">IFERROR(INDEX($AK$10:$AK$258, MATCH(0, IF(TRUE=$AI$10:$AI$258, COUNTIF($AN$9:$AN72, $AK$10:$AK$258), ""), 0)),"")</f>
        <v/>
      </c>
      <c r="AY73" s="289" t="str">
        <f t="shared" si="2"/>
        <v/>
      </c>
    </row>
    <row r="74" spans="2:51" ht="13.8" x14ac:dyDescent="0.25">
      <c r="B74" s="101">
        <v>65</v>
      </c>
      <c r="C74" s="142"/>
      <c r="D74" s="142"/>
      <c r="E74" s="108"/>
      <c r="F74" s="281" t="str">
        <f>IF(D74="","",VLOOKUP(D74,'G-6 Hedgerow Data'!$B$2:$AG$15,2,FALSE))</f>
        <v/>
      </c>
      <c r="G74" s="282" t="str">
        <f>IF(D74="","",VLOOKUP(D74,'G-6 Hedgerow Data'!$B$2:$AG$15,3,FALSE))</f>
        <v/>
      </c>
      <c r="H74" s="105"/>
      <c r="I74" s="282" t="str">
        <f>IFERROR(IF(AND(D74&lt;&gt;"",H74=""), "Check data ⚠",(IF(H74="","",IF(AND(D74="Non-native and ornamental hedgerow", H74&lt;&gt;"Poor"),"Not possible ▲", (IF(AND(F74="V.Low",OR(H74="Good",H74="Moderate")),"Error ▲",VLOOKUP(H74,'G-1 All Habitats'!$Z$2:$AA$9,2,FALSE))))))),"")</f>
        <v/>
      </c>
      <c r="J74" s="109"/>
      <c r="K74" s="301" t="str">
        <f>IF(AND(J74="",D74&lt;&gt;""),"Check data ⚠",IF(J74="","",IF(VLOOKUP(J74,'G-3 Multipliers'!$L$3:$N$6,2,FALSE)=0,"Spatial Data Missing ⚠",VLOOKUP(J74,'G-3 Multipliers'!$L$3:$N$6,2,FALSE))))</f>
        <v/>
      </c>
      <c r="L74" s="305" t="str">
        <f>IF(J74="","",IF(VLOOKUP(J74,'G-3 Multipliers'!$L$3:$N$6,3,FALSE)=0,"Spatial Data Missing ⚠",VLOOKUP(J74,'G-3 Multipliers'!$L$3:$N$6,3,FALSE)))</f>
        <v/>
      </c>
      <c r="M74" s="342" t="str">
        <f>IF(D74="","",VLOOKUP(D74,'G-6 Hedgerow Data'!$B$1:$AH$15,33,FALSE))</f>
        <v/>
      </c>
      <c r="N74" s="295" t="str">
        <f t="shared" si="3"/>
        <v/>
      </c>
      <c r="O74" s="403"/>
      <c r="P74" s="287" t="str">
        <f>IF(O74="","",IF(VLOOKUP(O74,'G-3 Multipliers'!$S$3:$T$10,2,FALSE)=0,"Spatial Data Missing ⚠",VLOOKUP(O74,'G-3 Multipliers'!$S$3:$T$10,2,FALSE)))</f>
        <v/>
      </c>
      <c r="Q74" s="295" t="str">
        <f t="shared" si="4"/>
        <v/>
      </c>
      <c r="R74" s="32"/>
      <c r="S74" s="105"/>
      <c r="T74" s="112"/>
      <c r="U74" s="289" t="str">
        <f t="shared" si="5"/>
        <v/>
      </c>
      <c r="V74" s="289" t="str">
        <f t="shared" si="6"/>
        <v/>
      </c>
      <c r="W74" s="293" t="str">
        <f t="shared" si="7"/>
        <v/>
      </c>
      <c r="X74" s="297" t="str">
        <f t="shared" si="8"/>
        <v/>
      </c>
      <c r="Y74" s="109"/>
      <c r="Z74" s="108"/>
      <c r="AA74" s="108"/>
      <c r="AB74" s="108"/>
      <c r="AE74" s="30" t="str">
        <f>IFERROR(INDEX('G-6 Hedgerow Data'!$BJ$3:$BJ$15,MATCH(D74,'G-6 Hedgerow Data'!$B$3:$B$15,0)),"")</f>
        <v/>
      </c>
      <c r="AH74" s="111" t="str">
        <f t="shared" ref="AH74:AH137" si="9">IF(D74="","",IF(S74&gt;0,TRUE,FALSE))</f>
        <v/>
      </c>
      <c r="AI74" s="111" t="str">
        <f t="shared" ref="AI74:AI137" si="10">IF(D74="","",IF(T74&gt;0,TRUE,FALSE))</f>
        <v/>
      </c>
      <c r="AK74" s="111">
        <v>65</v>
      </c>
      <c r="AM74" s="111" t="str">
        <f t="array" ref="AM74">IFERROR(INDEX($AK$10:$AK$258, MATCH(0, IF(TRUE=$AH$10:$AH$258, COUNTIF($AM$9:$AM73, $AK$10:$AK$258), ""), 0)),"")</f>
        <v/>
      </c>
      <c r="AN74" s="111" t="str">
        <f t="array" ref="AN74">IFERROR(INDEX($AK$10:$AK$258, MATCH(0, IF(TRUE=$AI$10:$AI$258, COUNTIF($AN$9:$AN73, $AK$10:$AK$258), ""), 0)),"")</f>
        <v/>
      </c>
      <c r="AY74" s="289" t="str">
        <f t="shared" si="2"/>
        <v/>
      </c>
    </row>
    <row r="75" spans="2:51" ht="13.8" x14ac:dyDescent="0.25">
      <c r="B75" s="101">
        <v>66</v>
      </c>
      <c r="C75" s="142"/>
      <c r="D75" s="142"/>
      <c r="E75" s="108"/>
      <c r="F75" s="281" t="str">
        <f>IF(D75="","",VLOOKUP(D75,'G-6 Hedgerow Data'!$B$2:$AG$15,2,FALSE))</f>
        <v/>
      </c>
      <c r="G75" s="282" t="str">
        <f>IF(D75="","",VLOOKUP(D75,'G-6 Hedgerow Data'!$B$2:$AG$15,3,FALSE))</f>
        <v/>
      </c>
      <c r="H75" s="105"/>
      <c r="I75" s="282" t="str">
        <f>IFERROR(IF(AND(D75&lt;&gt;"",H75=""), "Check data ⚠",(IF(H75="","",IF(AND(D75="Non-native and ornamental hedgerow", H75&lt;&gt;"Poor"),"Not possible ▲", (IF(AND(F75="V.Low",OR(H75="Good",H75="Moderate")),"Error ▲",VLOOKUP(H75,'G-1 All Habitats'!$Z$2:$AA$9,2,FALSE))))))),"")</f>
        <v/>
      </c>
      <c r="J75" s="109"/>
      <c r="K75" s="301" t="str">
        <f>IF(AND(J75="",D75&lt;&gt;""),"Check data ⚠",IF(J75="","",IF(VLOOKUP(J75,'G-3 Multipliers'!$L$3:$N$6,2,FALSE)=0,"Spatial Data Missing ⚠",VLOOKUP(J75,'G-3 Multipliers'!$L$3:$N$6,2,FALSE))))</f>
        <v/>
      </c>
      <c r="L75" s="305" t="str">
        <f>IF(J75="","",IF(VLOOKUP(J75,'G-3 Multipliers'!$L$3:$N$6,3,FALSE)=0,"Spatial Data Missing ⚠",VLOOKUP(J75,'G-3 Multipliers'!$L$3:$N$6,3,FALSE)))</f>
        <v/>
      </c>
      <c r="M75" s="342" t="str">
        <f>IF(D75="","",VLOOKUP(D75,'G-6 Hedgerow Data'!$B$1:$AH$15,33,FALSE))</f>
        <v/>
      </c>
      <c r="N75" s="295" t="str">
        <f t="shared" ref="N75:N138" si="11">IFERROR(IF(Q75="Check data ⚠", "Check data ⚠",(E75*G75*I75*L75*P75)),"")</f>
        <v/>
      </c>
      <c r="O75" s="403"/>
      <c r="P75" s="287" t="str">
        <f>IF(O75="","",IF(VLOOKUP(O75,'G-3 Multipliers'!$S$3:$T$10,2,FALSE)=0,"Spatial Data Missing ⚠",VLOOKUP(O75,'G-3 Multipliers'!$S$3:$T$10,2,FALSE)))</f>
        <v/>
      </c>
      <c r="Q75" s="295" t="str">
        <f t="shared" ref="Q75:Q138" si="12">IFERROR(IF(OR(K75="Check data ⚠", I75="Check data ⚠",W75="Error in lengths ▲"), "Check data ▲", (IF(AND(O75&lt;&gt;"",AB75=""), "Off-site reference required ▲",(IF(O75="", "", E75*G75*I75*L75))))),"")</f>
        <v/>
      </c>
      <c r="R75" s="32"/>
      <c r="S75" s="105"/>
      <c r="T75" s="112"/>
      <c r="U75" s="289" t="str">
        <f t="shared" ref="U75:U138" si="13">IFERROR(S75*G75*I75*L75,"")</f>
        <v/>
      </c>
      <c r="V75" s="289" t="str">
        <f t="shared" ref="V75:V138" si="14">IFERROR(T75*G75*I75*L75,"")</f>
        <v/>
      </c>
      <c r="W75" s="293" t="str">
        <f t="shared" ref="W75:W138" si="15">IF(D75="","",IF(E75&lt;S75+T75,"Error in Lengths ▲",E75-S75-T75))</f>
        <v/>
      </c>
      <c r="X75" s="297" t="str">
        <f t="shared" ref="X75:X138" si="16">IF(Q75="Check data ⚠","Check data ⚠",IF(OR(E75="",N75=""),"",IF(E75&lt;S75+T75,"Error in Lengths",Q75-U75-V75)))</f>
        <v/>
      </c>
      <c r="Y75" s="109"/>
      <c r="Z75" s="108"/>
      <c r="AA75" s="108"/>
      <c r="AB75" s="108"/>
      <c r="AE75" s="30" t="str">
        <f>IFERROR(INDEX('G-6 Hedgerow Data'!$BJ$3:$BJ$15,MATCH(D75,'G-6 Hedgerow Data'!$B$3:$B$15,0)),"")</f>
        <v/>
      </c>
      <c r="AH75" s="111" t="str">
        <f t="shared" si="9"/>
        <v/>
      </c>
      <c r="AI75" s="111" t="str">
        <f t="shared" si="10"/>
        <v/>
      </c>
      <c r="AK75" s="111">
        <v>66</v>
      </c>
      <c r="AM75" s="111" t="str">
        <f t="array" ref="AM75">IFERROR(INDEX($AK$10:$AK$258, MATCH(0, IF(TRUE=$AH$10:$AH$258, COUNTIF($AM$9:$AM74, $AK$10:$AK$258), ""), 0)),"")</f>
        <v/>
      </c>
      <c r="AN75" s="111" t="str">
        <f t="array" ref="AN75">IFERROR(INDEX($AK$10:$AK$258, MATCH(0, IF(TRUE=$AI$10:$AI$258, COUNTIF($AN$9:$AN74, $AK$10:$AK$258), ""), 0)),"")</f>
        <v/>
      </c>
      <c r="AY75" s="289" t="str">
        <f t="shared" ref="AY75:AY138" si="17">IFERROR(S75*G75*I75*L75*P75,"")</f>
        <v/>
      </c>
    </row>
    <row r="76" spans="2:51" ht="13.8" x14ac:dyDescent="0.25">
      <c r="B76" s="101">
        <v>67</v>
      </c>
      <c r="C76" s="142"/>
      <c r="D76" s="142"/>
      <c r="E76" s="108"/>
      <c r="F76" s="281" t="str">
        <f>IF(D76="","",VLOOKUP(D76,'G-6 Hedgerow Data'!$B$2:$AG$15,2,FALSE))</f>
        <v/>
      </c>
      <c r="G76" s="282" t="str">
        <f>IF(D76="","",VLOOKUP(D76,'G-6 Hedgerow Data'!$B$2:$AG$15,3,FALSE))</f>
        <v/>
      </c>
      <c r="H76" s="105"/>
      <c r="I76" s="282" t="str">
        <f>IFERROR(IF(AND(D76&lt;&gt;"",H76=""), "Check data ⚠",(IF(H76="","",IF(AND(D76="Non-native and ornamental hedgerow", H76&lt;&gt;"Poor"),"Not possible ▲", (IF(AND(F76="V.Low",OR(H76="Good",H76="Moderate")),"Error ▲",VLOOKUP(H76,'G-1 All Habitats'!$Z$2:$AA$9,2,FALSE))))))),"")</f>
        <v/>
      </c>
      <c r="J76" s="109"/>
      <c r="K76" s="301" t="str">
        <f>IF(AND(J76="",D76&lt;&gt;""),"Check data ⚠",IF(J76="","",IF(VLOOKUP(J76,'G-3 Multipliers'!$L$3:$N$6,2,FALSE)=0,"Spatial Data Missing ⚠",VLOOKUP(J76,'G-3 Multipliers'!$L$3:$N$6,2,FALSE))))</f>
        <v/>
      </c>
      <c r="L76" s="305" t="str">
        <f>IF(J76="","",IF(VLOOKUP(J76,'G-3 Multipliers'!$L$3:$N$6,3,FALSE)=0,"Spatial Data Missing ⚠",VLOOKUP(J76,'G-3 Multipliers'!$L$3:$N$6,3,FALSE)))</f>
        <v/>
      </c>
      <c r="M76" s="342" t="str">
        <f>IF(D76="","",VLOOKUP(D76,'G-6 Hedgerow Data'!$B$1:$AH$15,33,FALSE))</f>
        <v/>
      </c>
      <c r="N76" s="295" t="str">
        <f t="shared" si="11"/>
        <v/>
      </c>
      <c r="O76" s="403"/>
      <c r="P76" s="287" t="str">
        <f>IF(O76="","",IF(VLOOKUP(O76,'G-3 Multipliers'!$S$3:$T$10,2,FALSE)=0,"Spatial Data Missing ⚠",VLOOKUP(O76,'G-3 Multipliers'!$S$3:$T$10,2,FALSE)))</f>
        <v/>
      </c>
      <c r="Q76" s="295" t="str">
        <f t="shared" si="12"/>
        <v/>
      </c>
      <c r="R76" s="32"/>
      <c r="S76" s="105"/>
      <c r="T76" s="112"/>
      <c r="U76" s="289" t="str">
        <f t="shared" si="13"/>
        <v/>
      </c>
      <c r="V76" s="289" t="str">
        <f t="shared" si="14"/>
        <v/>
      </c>
      <c r="W76" s="293" t="str">
        <f t="shared" si="15"/>
        <v/>
      </c>
      <c r="X76" s="297" t="str">
        <f t="shared" si="16"/>
        <v/>
      </c>
      <c r="Y76" s="109"/>
      <c r="Z76" s="108"/>
      <c r="AA76" s="108"/>
      <c r="AB76" s="108"/>
      <c r="AE76" s="30" t="str">
        <f>IFERROR(INDEX('G-6 Hedgerow Data'!$BJ$3:$BJ$15,MATCH(D76,'G-6 Hedgerow Data'!$B$3:$B$15,0)),"")</f>
        <v/>
      </c>
      <c r="AH76" s="111" t="str">
        <f t="shared" si="9"/>
        <v/>
      </c>
      <c r="AI76" s="111" t="str">
        <f t="shared" si="10"/>
        <v/>
      </c>
      <c r="AK76" s="111">
        <v>67</v>
      </c>
      <c r="AM76" s="111" t="str">
        <f t="array" ref="AM76">IFERROR(INDEX($AK$10:$AK$258, MATCH(0, IF(TRUE=$AH$10:$AH$258, COUNTIF($AM$9:$AM75, $AK$10:$AK$258), ""), 0)),"")</f>
        <v/>
      </c>
      <c r="AN76" s="111" t="str">
        <f t="array" ref="AN76">IFERROR(INDEX($AK$10:$AK$258, MATCH(0, IF(TRUE=$AI$10:$AI$258, COUNTIF($AN$9:$AN75, $AK$10:$AK$258), ""), 0)),"")</f>
        <v/>
      </c>
      <c r="AY76" s="289" t="str">
        <f t="shared" si="17"/>
        <v/>
      </c>
    </row>
    <row r="77" spans="2:51" ht="13.8" x14ac:dyDescent="0.25">
      <c r="B77" s="101">
        <v>68</v>
      </c>
      <c r="C77" s="142"/>
      <c r="D77" s="142"/>
      <c r="E77" s="108"/>
      <c r="F77" s="281" t="str">
        <f>IF(D77="","",VLOOKUP(D77,'G-6 Hedgerow Data'!$B$2:$AG$15,2,FALSE))</f>
        <v/>
      </c>
      <c r="G77" s="282" t="str">
        <f>IF(D77="","",VLOOKUP(D77,'G-6 Hedgerow Data'!$B$2:$AG$15,3,FALSE))</f>
        <v/>
      </c>
      <c r="H77" s="105"/>
      <c r="I77" s="282" t="str">
        <f>IFERROR(IF(AND(D77&lt;&gt;"",H77=""), "Check data ⚠",(IF(H77="","",IF(AND(D77="Non-native and ornamental hedgerow", H77&lt;&gt;"Poor"),"Not possible ▲", (IF(AND(F77="V.Low",OR(H77="Good",H77="Moderate")),"Error ▲",VLOOKUP(H77,'G-1 All Habitats'!$Z$2:$AA$9,2,FALSE))))))),"")</f>
        <v/>
      </c>
      <c r="J77" s="109"/>
      <c r="K77" s="301" t="str">
        <f>IF(AND(J77="",D77&lt;&gt;""),"Check data ⚠",IF(J77="","",IF(VLOOKUP(J77,'G-3 Multipliers'!$L$3:$N$6,2,FALSE)=0,"Spatial Data Missing ⚠",VLOOKUP(J77,'G-3 Multipliers'!$L$3:$N$6,2,FALSE))))</f>
        <v/>
      </c>
      <c r="L77" s="305" t="str">
        <f>IF(J77="","",IF(VLOOKUP(J77,'G-3 Multipliers'!$L$3:$N$6,3,FALSE)=0,"Spatial Data Missing ⚠",VLOOKUP(J77,'G-3 Multipliers'!$L$3:$N$6,3,FALSE)))</f>
        <v/>
      </c>
      <c r="M77" s="342" t="str">
        <f>IF(D77="","",VLOOKUP(D77,'G-6 Hedgerow Data'!$B$1:$AH$15,33,FALSE))</f>
        <v/>
      </c>
      <c r="N77" s="295" t="str">
        <f t="shared" si="11"/>
        <v/>
      </c>
      <c r="O77" s="403"/>
      <c r="P77" s="287" t="str">
        <f>IF(O77="","",IF(VLOOKUP(O77,'G-3 Multipliers'!$S$3:$T$10,2,FALSE)=0,"Spatial Data Missing ⚠",VLOOKUP(O77,'G-3 Multipliers'!$S$3:$T$10,2,FALSE)))</f>
        <v/>
      </c>
      <c r="Q77" s="295" t="str">
        <f t="shared" si="12"/>
        <v/>
      </c>
      <c r="R77" s="32"/>
      <c r="S77" s="105"/>
      <c r="T77" s="112"/>
      <c r="U77" s="289" t="str">
        <f t="shared" si="13"/>
        <v/>
      </c>
      <c r="V77" s="289" t="str">
        <f t="shared" si="14"/>
        <v/>
      </c>
      <c r="W77" s="293" t="str">
        <f t="shared" si="15"/>
        <v/>
      </c>
      <c r="X77" s="297" t="str">
        <f t="shared" si="16"/>
        <v/>
      </c>
      <c r="Y77" s="109"/>
      <c r="Z77" s="108"/>
      <c r="AA77" s="108"/>
      <c r="AB77" s="108"/>
      <c r="AE77" s="30" t="str">
        <f>IFERROR(INDEX('G-6 Hedgerow Data'!$BJ$3:$BJ$15,MATCH(D77,'G-6 Hedgerow Data'!$B$3:$B$15,0)),"")</f>
        <v/>
      </c>
      <c r="AH77" s="111" t="str">
        <f t="shared" si="9"/>
        <v/>
      </c>
      <c r="AI77" s="111" t="str">
        <f t="shared" si="10"/>
        <v/>
      </c>
      <c r="AK77" s="111">
        <v>68</v>
      </c>
      <c r="AM77" s="111" t="str">
        <f t="array" ref="AM77">IFERROR(INDEX($AK$10:$AK$258, MATCH(0, IF(TRUE=$AH$10:$AH$258, COUNTIF($AM$9:$AM76, $AK$10:$AK$258), ""), 0)),"")</f>
        <v/>
      </c>
      <c r="AN77" s="111" t="str">
        <f t="array" ref="AN77">IFERROR(INDEX($AK$10:$AK$258, MATCH(0, IF(TRUE=$AI$10:$AI$258, COUNTIF($AN$9:$AN76, $AK$10:$AK$258), ""), 0)),"")</f>
        <v/>
      </c>
      <c r="AY77" s="289" t="str">
        <f t="shared" si="17"/>
        <v/>
      </c>
    </row>
    <row r="78" spans="2:51" ht="13.8" x14ac:dyDescent="0.25">
      <c r="B78" s="101">
        <v>69</v>
      </c>
      <c r="C78" s="142"/>
      <c r="D78" s="142"/>
      <c r="E78" s="108"/>
      <c r="F78" s="281" t="str">
        <f>IF(D78="","",VLOOKUP(D78,'G-6 Hedgerow Data'!$B$2:$AG$15,2,FALSE))</f>
        <v/>
      </c>
      <c r="G78" s="282" t="str">
        <f>IF(D78="","",VLOOKUP(D78,'G-6 Hedgerow Data'!$B$2:$AG$15,3,FALSE))</f>
        <v/>
      </c>
      <c r="H78" s="105"/>
      <c r="I78" s="282" t="str">
        <f>IFERROR(IF(AND(D78&lt;&gt;"",H78=""), "Check data ⚠",(IF(H78="","",IF(AND(D78="Non-native and ornamental hedgerow", H78&lt;&gt;"Poor"),"Not possible ▲", (IF(AND(F78="V.Low",OR(H78="Good",H78="Moderate")),"Error ▲",VLOOKUP(H78,'G-1 All Habitats'!$Z$2:$AA$9,2,FALSE))))))),"")</f>
        <v/>
      </c>
      <c r="J78" s="109"/>
      <c r="K78" s="301" t="str">
        <f>IF(AND(J78="",D78&lt;&gt;""),"Check data ⚠",IF(J78="","",IF(VLOOKUP(J78,'G-3 Multipliers'!$L$3:$N$6,2,FALSE)=0,"Spatial Data Missing ⚠",VLOOKUP(J78,'G-3 Multipliers'!$L$3:$N$6,2,FALSE))))</f>
        <v/>
      </c>
      <c r="L78" s="305" t="str">
        <f>IF(J78="","",IF(VLOOKUP(J78,'G-3 Multipliers'!$L$3:$N$6,3,FALSE)=0,"Spatial Data Missing ⚠",VLOOKUP(J78,'G-3 Multipliers'!$L$3:$N$6,3,FALSE)))</f>
        <v/>
      </c>
      <c r="M78" s="342" t="str">
        <f>IF(D78="","",VLOOKUP(D78,'G-6 Hedgerow Data'!$B$1:$AH$15,33,FALSE))</f>
        <v/>
      </c>
      <c r="N78" s="295" t="str">
        <f t="shared" si="11"/>
        <v/>
      </c>
      <c r="O78" s="403"/>
      <c r="P78" s="287" t="str">
        <f>IF(O78="","",IF(VLOOKUP(O78,'G-3 Multipliers'!$S$3:$T$10,2,FALSE)=0,"Spatial Data Missing ⚠",VLOOKUP(O78,'G-3 Multipliers'!$S$3:$T$10,2,FALSE)))</f>
        <v/>
      </c>
      <c r="Q78" s="295" t="str">
        <f t="shared" si="12"/>
        <v/>
      </c>
      <c r="R78" s="32"/>
      <c r="S78" s="105"/>
      <c r="T78" s="112"/>
      <c r="U78" s="289" t="str">
        <f t="shared" si="13"/>
        <v/>
      </c>
      <c r="V78" s="289" t="str">
        <f t="shared" si="14"/>
        <v/>
      </c>
      <c r="W78" s="293" t="str">
        <f t="shared" si="15"/>
        <v/>
      </c>
      <c r="X78" s="297" t="str">
        <f t="shared" si="16"/>
        <v/>
      </c>
      <c r="Y78" s="109"/>
      <c r="Z78" s="108"/>
      <c r="AA78" s="108"/>
      <c r="AB78" s="108"/>
      <c r="AE78" s="30" t="str">
        <f>IFERROR(INDEX('G-6 Hedgerow Data'!$BJ$3:$BJ$15,MATCH(D78,'G-6 Hedgerow Data'!$B$3:$B$15,0)),"")</f>
        <v/>
      </c>
      <c r="AH78" s="111" t="str">
        <f t="shared" si="9"/>
        <v/>
      </c>
      <c r="AI78" s="111" t="str">
        <f t="shared" si="10"/>
        <v/>
      </c>
      <c r="AK78" s="111">
        <v>69</v>
      </c>
      <c r="AM78" s="111" t="str">
        <f t="array" ref="AM78">IFERROR(INDEX($AK$10:$AK$258, MATCH(0, IF(TRUE=$AH$10:$AH$258, COUNTIF($AM$9:$AM77, $AK$10:$AK$258), ""), 0)),"")</f>
        <v/>
      </c>
      <c r="AN78" s="111" t="str">
        <f t="array" ref="AN78">IFERROR(INDEX($AK$10:$AK$258, MATCH(0, IF(TRUE=$AI$10:$AI$258, COUNTIF($AN$9:$AN77, $AK$10:$AK$258), ""), 0)),"")</f>
        <v/>
      </c>
      <c r="AY78" s="289" t="str">
        <f t="shared" si="17"/>
        <v/>
      </c>
    </row>
    <row r="79" spans="2:51" ht="13.8" x14ac:dyDescent="0.25">
      <c r="B79" s="101">
        <v>70</v>
      </c>
      <c r="C79" s="142"/>
      <c r="D79" s="142"/>
      <c r="E79" s="108"/>
      <c r="F79" s="281" t="str">
        <f>IF(D79="","",VLOOKUP(D79,'G-6 Hedgerow Data'!$B$2:$AG$15,2,FALSE))</f>
        <v/>
      </c>
      <c r="G79" s="282" t="str">
        <f>IF(D79="","",VLOOKUP(D79,'G-6 Hedgerow Data'!$B$2:$AG$15,3,FALSE))</f>
        <v/>
      </c>
      <c r="H79" s="105"/>
      <c r="I79" s="282" t="str">
        <f>IFERROR(IF(AND(D79&lt;&gt;"",H79=""), "Check data ⚠",(IF(H79="","",IF(AND(D79="Non-native and ornamental hedgerow", H79&lt;&gt;"Poor"),"Not possible ▲", (IF(AND(F79="V.Low",OR(H79="Good",H79="Moderate")),"Error ▲",VLOOKUP(H79,'G-1 All Habitats'!$Z$2:$AA$9,2,FALSE))))))),"")</f>
        <v/>
      </c>
      <c r="J79" s="109"/>
      <c r="K79" s="301" t="str">
        <f>IF(AND(J79="",D79&lt;&gt;""),"Check data ⚠",IF(J79="","",IF(VLOOKUP(J79,'G-3 Multipliers'!$L$3:$N$6,2,FALSE)=0,"Spatial Data Missing ⚠",VLOOKUP(J79,'G-3 Multipliers'!$L$3:$N$6,2,FALSE))))</f>
        <v/>
      </c>
      <c r="L79" s="305" t="str">
        <f>IF(J79="","",IF(VLOOKUP(J79,'G-3 Multipliers'!$L$3:$N$6,3,FALSE)=0,"Spatial Data Missing ⚠",VLOOKUP(J79,'G-3 Multipliers'!$L$3:$N$6,3,FALSE)))</f>
        <v/>
      </c>
      <c r="M79" s="342" t="str">
        <f>IF(D79="","",VLOOKUP(D79,'G-6 Hedgerow Data'!$B$1:$AH$15,33,FALSE))</f>
        <v/>
      </c>
      <c r="N79" s="295" t="str">
        <f t="shared" si="11"/>
        <v/>
      </c>
      <c r="O79" s="403"/>
      <c r="P79" s="287" t="str">
        <f>IF(O79="","",IF(VLOOKUP(O79,'G-3 Multipliers'!$S$3:$T$10,2,FALSE)=0,"Spatial Data Missing ⚠",VLOOKUP(O79,'G-3 Multipliers'!$S$3:$T$10,2,FALSE)))</f>
        <v/>
      </c>
      <c r="Q79" s="295" t="str">
        <f t="shared" si="12"/>
        <v/>
      </c>
      <c r="R79" s="32"/>
      <c r="S79" s="105"/>
      <c r="T79" s="112"/>
      <c r="U79" s="289" t="str">
        <f t="shared" si="13"/>
        <v/>
      </c>
      <c r="V79" s="289" t="str">
        <f t="shared" si="14"/>
        <v/>
      </c>
      <c r="W79" s="293" t="str">
        <f t="shared" si="15"/>
        <v/>
      </c>
      <c r="X79" s="297" t="str">
        <f t="shared" si="16"/>
        <v/>
      </c>
      <c r="Y79" s="109"/>
      <c r="Z79" s="108"/>
      <c r="AA79" s="108"/>
      <c r="AB79" s="108"/>
      <c r="AE79" s="30" t="str">
        <f>IFERROR(INDEX('G-6 Hedgerow Data'!$BJ$3:$BJ$15,MATCH(D79,'G-6 Hedgerow Data'!$B$3:$B$15,0)),"")</f>
        <v/>
      </c>
      <c r="AH79" s="111" t="str">
        <f t="shared" si="9"/>
        <v/>
      </c>
      <c r="AI79" s="111" t="str">
        <f t="shared" si="10"/>
        <v/>
      </c>
      <c r="AK79" s="111">
        <v>70</v>
      </c>
      <c r="AM79" s="111" t="str">
        <f t="array" ref="AM79">IFERROR(INDEX($AK$10:$AK$258, MATCH(0, IF(TRUE=$AH$10:$AH$258, COUNTIF($AM$9:$AM78, $AK$10:$AK$258), ""), 0)),"")</f>
        <v/>
      </c>
      <c r="AN79" s="111" t="str">
        <f t="array" ref="AN79">IFERROR(INDEX($AK$10:$AK$258, MATCH(0, IF(TRUE=$AI$10:$AI$258, COUNTIF($AN$9:$AN78, $AK$10:$AK$258), ""), 0)),"")</f>
        <v/>
      </c>
      <c r="AY79" s="289" t="str">
        <f t="shared" si="17"/>
        <v/>
      </c>
    </row>
    <row r="80" spans="2:51" ht="13.8" x14ac:dyDescent="0.25">
      <c r="B80" s="101">
        <v>71</v>
      </c>
      <c r="C80" s="142"/>
      <c r="D80" s="142"/>
      <c r="E80" s="108"/>
      <c r="F80" s="281" t="str">
        <f>IF(D80="","",VLOOKUP(D80,'G-6 Hedgerow Data'!$B$2:$AG$15,2,FALSE))</f>
        <v/>
      </c>
      <c r="G80" s="282" t="str">
        <f>IF(D80="","",VLOOKUP(D80,'G-6 Hedgerow Data'!$B$2:$AG$15,3,FALSE))</f>
        <v/>
      </c>
      <c r="H80" s="105"/>
      <c r="I80" s="282" t="str">
        <f>IFERROR(IF(AND(D80&lt;&gt;"",H80=""), "Check data ⚠",(IF(H80="","",IF(AND(D80="Non-native and ornamental hedgerow", H80&lt;&gt;"Poor"),"Not possible ▲", (IF(AND(F80="V.Low",OR(H80="Good",H80="Moderate")),"Error ▲",VLOOKUP(H80,'G-1 All Habitats'!$Z$2:$AA$9,2,FALSE))))))),"")</f>
        <v/>
      </c>
      <c r="J80" s="109"/>
      <c r="K80" s="301" t="str">
        <f>IF(AND(J80="",D80&lt;&gt;""),"Check data ⚠",IF(J80="","",IF(VLOOKUP(J80,'G-3 Multipliers'!$L$3:$N$6,2,FALSE)=0,"Spatial Data Missing ⚠",VLOOKUP(J80,'G-3 Multipliers'!$L$3:$N$6,2,FALSE))))</f>
        <v/>
      </c>
      <c r="L80" s="305" t="str">
        <f>IF(J80="","",IF(VLOOKUP(J80,'G-3 Multipliers'!$L$3:$N$6,3,FALSE)=0,"Spatial Data Missing ⚠",VLOOKUP(J80,'G-3 Multipliers'!$L$3:$N$6,3,FALSE)))</f>
        <v/>
      </c>
      <c r="M80" s="342" t="str">
        <f>IF(D80="","",VLOOKUP(D80,'G-6 Hedgerow Data'!$B$1:$AH$15,33,FALSE))</f>
        <v/>
      </c>
      <c r="N80" s="295" t="str">
        <f t="shared" si="11"/>
        <v/>
      </c>
      <c r="O80" s="403"/>
      <c r="P80" s="287" t="str">
        <f>IF(O80="","",IF(VLOOKUP(O80,'G-3 Multipliers'!$S$3:$T$10,2,FALSE)=0,"Spatial Data Missing ⚠",VLOOKUP(O80,'G-3 Multipliers'!$S$3:$T$10,2,FALSE)))</f>
        <v/>
      </c>
      <c r="Q80" s="295" t="str">
        <f t="shared" si="12"/>
        <v/>
      </c>
      <c r="R80" s="32"/>
      <c r="S80" s="105"/>
      <c r="T80" s="112"/>
      <c r="U80" s="289" t="str">
        <f t="shared" si="13"/>
        <v/>
      </c>
      <c r="V80" s="289" t="str">
        <f t="shared" si="14"/>
        <v/>
      </c>
      <c r="W80" s="293" t="str">
        <f t="shared" si="15"/>
        <v/>
      </c>
      <c r="X80" s="297" t="str">
        <f t="shared" si="16"/>
        <v/>
      </c>
      <c r="Y80" s="109"/>
      <c r="Z80" s="108"/>
      <c r="AA80" s="108"/>
      <c r="AB80" s="108"/>
      <c r="AE80" s="30" t="str">
        <f>IFERROR(INDEX('G-6 Hedgerow Data'!$BJ$3:$BJ$15,MATCH(D80,'G-6 Hedgerow Data'!$B$3:$B$15,0)),"")</f>
        <v/>
      </c>
      <c r="AH80" s="111" t="str">
        <f t="shared" si="9"/>
        <v/>
      </c>
      <c r="AI80" s="111" t="str">
        <f t="shared" si="10"/>
        <v/>
      </c>
      <c r="AK80" s="111">
        <v>71</v>
      </c>
      <c r="AM80" s="111" t="str">
        <f t="array" ref="AM80">IFERROR(INDEX($AK$10:$AK$258, MATCH(0, IF(TRUE=$AH$10:$AH$258, COUNTIF($AM$9:$AM79, $AK$10:$AK$258), ""), 0)),"")</f>
        <v/>
      </c>
      <c r="AN80" s="111" t="str">
        <f t="array" ref="AN80">IFERROR(INDEX($AK$10:$AK$258, MATCH(0, IF(TRUE=$AI$10:$AI$258, COUNTIF($AN$9:$AN79, $AK$10:$AK$258), ""), 0)),"")</f>
        <v/>
      </c>
      <c r="AY80" s="289" t="str">
        <f t="shared" si="17"/>
        <v/>
      </c>
    </row>
    <row r="81" spans="2:51" ht="13.8" x14ac:dyDescent="0.25">
      <c r="B81" s="101">
        <v>72</v>
      </c>
      <c r="C81" s="142"/>
      <c r="D81" s="142"/>
      <c r="E81" s="108"/>
      <c r="F81" s="281" t="str">
        <f>IF(D81="","",VLOOKUP(D81,'G-6 Hedgerow Data'!$B$2:$AG$15,2,FALSE))</f>
        <v/>
      </c>
      <c r="G81" s="282" t="str">
        <f>IF(D81="","",VLOOKUP(D81,'G-6 Hedgerow Data'!$B$2:$AG$15,3,FALSE))</f>
        <v/>
      </c>
      <c r="H81" s="105"/>
      <c r="I81" s="282" t="str">
        <f>IFERROR(IF(AND(D81&lt;&gt;"",H81=""), "Check data ⚠",(IF(H81="","",IF(AND(D81="Non-native and ornamental hedgerow", H81&lt;&gt;"Poor"),"Not possible ▲", (IF(AND(F81="V.Low",OR(H81="Good",H81="Moderate")),"Error ▲",VLOOKUP(H81,'G-1 All Habitats'!$Z$2:$AA$9,2,FALSE))))))),"")</f>
        <v/>
      </c>
      <c r="J81" s="109"/>
      <c r="K81" s="301" t="str">
        <f>IF(AND(J81="",D81&lt;&gt;""),"Check data ⚠",IF(J81="","",IF(VLOOKUP(J81,'G-3 Multipliers'!$L$3:$N$6,2,FALSE)=0,"Spatial Data Missing ⚠",VLOOKUP(J81,'G-3 Multipliers'!$L$3:$N$6,2,FALSE))))</f>
        <v/>
      </c>
      <c r="L81" s="305" t="str">
        <f>IF(J81="","",IF(VLOOKUP(J81,'G-3 Multipliers'!$L$3:$N$6,3,FALSE)=0,"Spatial Data Missing ⚠",VLOOKUP(J81,'G-3 Multipliers'!$L$3:$N$6,3,FALSE)))</f>
        <v/>
      </c>
      <c r="M81" s="342" t="str">
        <f>IF(D81="","",VLOOKUP(D81,'G-6 Hedgerow Data'!$B$1:$AH$15,33,FALSE))</f>
        <v/>
      </c>
      <c r="N81" s="295" t="str">
        <f t="shared" si="11"/>
        <v/>
      </c>
      <c r="O81" s="403"/>
      <c r="P81" s="287" t="str">
        <f>IF(O81="","",IF(VLOOKUP(O81,'G-3 Multipliers'!$S$3:$T$10,2,FALSE)=0,"Spatial Data Missing ⚠",VLOOKUP(O81,'G-3 Multipliers'!$S$3:$T$10,2,FALSE)))</f>
        <v/>
      </c>
      <c r="Q81" s="295" t="str">
        <f t="shared" si="12"/>
        <v/>
      </c>
      <c r="R81" s="32"/>
      <c r="S81" s="105"/>
      <c r="T81" s="112"/>
      <c r="U81" s="289" t="str">
        <f t="shared" si="13"/>
        <v/>
      </c>
      <c r="V81" s="289" t="str">
        <f t="shared" si="14"/>
        <v/>
      </c>
      <c r="W81" s="293" t="str">
        <f t="shared" si="15"/>
        <v/>
      </c>
      <c r="X81" s="297" t="str">
        <f t="shared" si="16"/>
        <v/>
      </c>
      <c r="Y81" s="109"/>
      <c r="Z81" s="108"/>
      <c r="AA81" s="108"/>
      <c r="AB81" s="108"/>
      <c r="AE81" s="30" t="str">
        <f>IFERROR(INDEX('G-6 Hedgerow Data'!$BJ$3:$BJ$15,MATCH(D81,'G-6 Hedgerow Data'!$B$3:$B$15,0)),"")</f>
        <v/>
      </c>
      <c r="AH81" s="111" t="str">
        <f t="shared" si="9"/>
        <v/>
      </c>
      <c r="AI81" s="111" t="str">
        <f t="shared" si="10"/>
        <v/>
      </c>
      <c r="AK81" s="111">
        <v>72</v>
      </c>
      <c r="AM81" s="111" t="str">
        <f t="array" ref="AM81">IFERROR(INDEX($AK$10:$AK$258, MATCH(0, IF(TRUE=$AH$10:$AH$258, COUNTIF($AM$9:$AM80, $AK$10:$AK$258), ""), 0)),"")</f>
        <v/>
      </c>
      <c r="AN81" s="111" t="str">
        <f t="array" ref="AN81">IFERROR(INDEX($AK$10:$AK$258, MATCH(0, IF(TRUE=$AI$10:$AI$258, COUNTIF($AN$9:$AN80, $AK$10:$AK$258), ""), 0)),"")</f>
        <v/>
      </c>
      <c r="AY81" s="289" t="str">
        <f t="shared" si="17"/>
        <v/>
      </c>
    </row>
    <row r="82" spans="2:51" ht="13.8" x14ac:dyDescent="0.25">
      <c r="B82" s="101">
        <v>73</v>
      </c>
      <c r="C82" s="142"/>
      <c r="D82" s="142"/>
      <c r="E82" s="108"/>
      <c r="F82" s="281" t="str">
        <f>IF(D82="","",VLOOKUP(D82,'G-6 Hedgerow Data'!$B$2:$AG$15,2,FALSE))</f>
        <v/>
      </c>
      <c r="G82" s="282" t="str">
        <f>IF(D82="","",VLOOKUP(D82,'G-6 Hedgerow Data'!$B$2:$AG$15,3,FALSE))</f>
        <v/>
      </c>
      <c r="H82" s="105"/>
      <c r="I82" s="282" t="str">
        <f>IFERROR(IF(AND(D82&lt;&gt;"",H82=""), "Check data ⚠",(IF(H82="","",IF(AND(D82="Non-native and ornamental hedgerow", H82&lt;&gt;"Poor"),"Not possible ▲", (IF(AND(F82="V.Low",OR(H82="Good",H82="Moderate")),"Error ▲",VLOOKUP(H82,'G-1 All Habitats'!$Z$2:$AA$9,2,FALSE))))))),"")</f>
        <v/>
      </c>
      <c r="J82" s="109"/>
      <c r="K82" s="301" t="str">
        <f>IF(AND(J82="",D82&lt;&gt;""),"Check data ⚠",IF(J82="","",IF(VLOOKUP(J82,'G-3 Multipliers'!$L$3:$N$6,2,FALSE)=0,"Spatial Data Missing ⚠",VLOOKUP(J82,'G-3 Multipliers'!$L$3:$N$6,2,FALSE))))</f>
        <v/>
      </c>
      <c r="L82" s="305" t="str">
        <f>IF(J82="","",IF(VLOOKUP(J82,'G-3 Multipliers'!$L$3:$N$6,3,FALSE)=0,"Spatial Data Missing ⚠",VLOOKUP(J82,'G-3 Multipliers'!$L$3:$N$6,3,FALSE)))</f>
        <v/>
      </c>
      <c r="M82" s="342" t="str">
        <f>IF(D82="","",VLOOKUP(D82,'G-6 Hedgerow Data'!$B$1:$AH$15,33,FALSE))</f>
        <v/>
      </c>
      <c r="N82" s="295" t="str">
        <f t="shared" si="11"/>
        <v/>
      </c>
      <c r="O82" s="403"/>
      <c r="P82" s="287" t="str">
        <f>IF(O82="","",IF(VLOOKUP(O82,'G-3 Multipliers'!$S$3:$T$10,2,FALSE)=0,"Spatial Data Missing ⚠",VLOOKUP(O82,'G-3 Multipliers'!$S$3:$T$10,2,FALSE)))</f>
        <v/>
      </c>
      <c r="Q82" s="295" t="str">
        <f t="shared" si="12"/>
        <v/>
      </c>
      <c r="R82" s="32"/>
      <c r="S82" s="105"/>
      <c r="T82" s="112"/>
      <c r="U82" s="289" t="str">
        <f t="shared" si="13"/>
        <v/>
      </c>
      <c r="V82" s="289" t="str">
        <f t="shared" si="14"/>
        <v/>
      </c>
      <c r="W82" s="293" t="str">
        <f t="shared" si="15"/>
        <v/>
      </c>
      <c r="X82" s="297" t="str">
        <f t="shared" si="16"/>
        <v/>
      </c>
      <c r="Y82" s="109"/>
      <c r="Z82" s="108"/>
      <c r="AA82" s="108"/>
      <c r="AB82" s="108"/>
      <c r="AE82" s="30" t="str">
        <f>IFERROR(INDEX('G-6 Hedgerow Data'!$BJ$3:$BJ$15,MATCH(D82,'G-6 Hedgerow Data'!$B$3:$B$15,0)),"")</f>
        <v/>
      </c>
      <c r="AH82" s="111" t="str">
        <f t="shared" si="9"/>
        <v/>
      </c>
      <c r="AI82" s="111" t="str">
        <f t="shared" si="10"/>
        <v/>
      </c>
      <c r="AK82" s="111">
        <v>73</v>
      </c>
      <c r="AM82" s="111" t="str">
        <f t="array" ref="AM82">IFERROR(INDEX($AK$10:$AK$258, MATCH(0, IF(TRUE=$AH$10:$AH$258, COUNTIF($AM$9:$AM81, $AK$10:$AK$258), ""), 0)),"")</f>
        <v/>
      </c>
      <c r="AN82" s="111" t="str">
        <f t="array" ref="AN82">IFERROR(INDEX($AK$10:$AK$258, MATCH(0, IF(TRUE=$AI$10:$AI$258, COUNTIF($AN$9:$AN81, $AK$10:$AK$258), ""), 0)),"")</f>
        <v/>
      </c>
      <c r="AY82" s="289" t="str">
        <f t="shared" si="17"/>
        <v/>
      </c>
    </row>
    <row r="83" spans="2:51" ht="13.8" x14ac:dyDescent="0.25">
      <c r="B83" s="101">
        <v>74</v>
      </c>
      <c r="C83" s="142"/>
      <c r="D83" s="142"/>
      <c r="E83" s="108"/>
      <c r="F83" s="281" t="str">
        <f>IF(D83="","",VLOOKUP(D83,'G-6 Hedgerow Data'!$B$2:$AG$15,2,FALSE))</f>
        <v/>
      </c>
      <c r="G83" s="282" t="str">
        <f>IF(D83="","",VLOOKUP(D83,'G-6 Hedgerow Data'!$B$2:$AG$15,3,FALSE))</f>
        <v/>
      </c>
      <c r="H83" s="105"/>
      <c r="I83" s="282" t="str">
        <f>IFERROR(IF(AND(D83&lt;&gt;"",H83=""), "Check data ⚠",(IF(H83="","",IF(AND(D83="Non-native and ornamental hedgerow", H83&lt;&gt;"Poor"),"Not possible ▲", (IF(AND(F83="V.Low",OR(H83="Good",H83="Moderate")),"Error ▲",VLOOKUP(H83,'G-1 All Habitats'!$Z$2:$AA$9,2,FALSE))))))),"")</f>
        <v/>
      </c>
      <c r="J83" s="109"/>
      <c r="K83" s="301" t="str">
        <f>IF(AND(J83="",D83&lt;&gt;""),"Check data ⚠",IF(J83="","",IF(VLOOKUP(J83,'G-3 Multipliers'!$L$3:$N$6,2,FALSE)=0,"Spatial Data Missing ⚠",VLOOKUP(J83,'G-3 Multipliers'!$L$3:$N$6,2,FALSE))))</f>
        <v/>
      </c>
      <c r="L83" s="305" t="str">
        <f>IF(J83="","",IF(VLOOKUP(J83,'G-3 Multipliers'!$L$3:$N$6,3,FALSE)=0,"Spatial Data Missing ⚠",VLOOKUP(J83,'G-3 Multipliers'!$L$3:$N$6,3,FALSE)))</f>
        <v/>
      </c>
      <c r="M83" s="342" t="str">
        <f>IF(D83="","",VLOOKUP(D83,'G-6 Hedgerow Data'!$B$1:$AH$15,33,FALSE))</f>
        <v/>
      </c>
      <c r="N83" s="295" t="str">
        <f t="shared" si="11"/>
        <v/>
      </c>
      <c r="O83" s="403"/>
      <c r="P83" s="287" t="str">
        <f>IF(O83="","",IF(VLOOKUP(O83,'G-3 Multipliers'!$S$3:$T$10,2,FALSE)=0,"Spatial Data Missing ⚠",VLOOKUP(O83,'G-3 Multipliers'!$S$3:$T$10,2,FALSE)))</f>
        <v/>
      </c>
      <c r="Q83" s="295" t="str">
        <f t="shared" si="12"/>
        <v/>
      </c>
      <c r="R83" s="32"/>
      <c r="S83" s="105"/>
      <c r="T83" s="112"/>
      <c r="U83" s="289" t="str">
        <f t="shared" si="13"/>
        <v/>
      </c>
      <c r="V83" s="289" t="str">
        <f t="shared" si="14"/>
        <v/>
      </c>
      <c r="W83" s="293" t="str">
        <f t="shared" si="15"/>
        <v/>
      </c>
      <c r="X83" s="297" t="str">
        <f t="shared" si="16"/>
        <v/>
      </c>
      <c r="Y83" s="109"/>
      <c r="Z83" s="108"/>
      <c r="AA83" s="108"/>
      <c r="AB83" s="108"/>
      <c r="AE83" s="30" t="str">
        <f>IFERROR(INDEX('G-6 Hedgerow Data'!$BJ$3:$BJ$15,MATCH(D83,'G-6 Hedgerow Data'!$B$3:$B$15,0)),"")</f>
        <v/>
      </c>
      <c r="AH83" s="111" t="str">
        <f t="shared" si="9"/>
        <v/>
      </c>
      <c r="AI83" s="111" t="str">
        <f t="shared" si="10"/>
        <v/>
      </c>
      <c r="AK83" s="111">
        <v>74</v>
      </c>
      <c r="AM83" s="111" t="str">
        <f t="array" ref="AM83">IFERROR(INDEX($AK$10:$AK$258, MATCH(0, IF(TRUE=$AH$10:$AH$258, COUNTIF($AM$9:$AM82, $AK$10:$AK$258), ""), 0)),"")</f>
        <v/>
      </c>
      <c r="AN83" s="111" t="str">
        <f t="array" ref="AN83">IFERROR(INDEX($AK$10:$AK$258, MATCH(0, IF(TRUE=$AI$10:$AI$258, COUNTIF($AN$9:$AN82, $AK$10:$AK$258), ""), 0)),"")</f>
        <v/>
      </c>
      <c r="AY83" s="289" t="str">
        <f t="shared" si="17"/>
        <v/>
      </c>
    </row>
    <row r="84" spans="2:51" ht="13.8" x14ac:dyDescent="0.25">
      <c r="B84" s="101">
        <v>75</v>
      </c>
      <c r="C84" s="142"/>
      <c r="D84" s="142"/>
      <c r="E84" s="108"/>
      <c r="F84" s="281" t="str">
        <f>IF(D84="","",VLOOKUP(D84,'G-6 Hedgerow Data'!$B$2:$AG$15,2,FALSE))</f>
        <v/>
      </c>
      <c r="G84" s="282" t="str">
        <f>IF(D84="","",VLOOKUP(D84,'G-6 Hedgerow Data'!$B$2:$AG$15,3,FALSE))</f>
        <v/>
      </c>
      <c r="H84" s="105"/>
      <c r="I84" s="282" t="str">
        <f>IFERROR(IF(AND(D84&lt;&gt;"",H84=""), "Check data ⚠",(IF(H84="","",IF(AND(D84="Non-native and ornamental hedgerow", H84&lt;&gt;"Poor"),"Not possible ▲", (IF(AND(F84="V.Low",OR(H84="Good",H84="Moderate")),"Error ▲",VLOOKUP(H84,'G-1 All Habitats'!$Z$2:$AA$9,2,FALSE))))))),"")</f>
        <v/>
      </c>
      <c r="J84" s="109"/>
      <c r="K84" s="301" t="str">
        <f>IF(AND(J84="",D84&lt;&gt;""),"Check data ⚠",IF(J84="","",IF(VLOOKUP(J84,'G-3 Multipliers'!$L$3:$N$6,2,FALSE)=0,"Spatial Data Missing ⚠",VLOOKUP(J84,'G-3 Multipliers'!$L$3:$N$6,2,FALSE))))</f>
        <v/>
      </c>
      <c r="L84" s="305" t="str">
        <f>IF(J84="","",IF(VLOOKUP(J84,'G-3 Multipliers'!$L$3:$N$6,3,FALSE)=0,"Spatial Data Missing ⚠",VLOOKUP(J84,'G-3 Multipliers'!$L$3:$N$6,3,FALSE)))</f>
        <v/>
      </c>
      <c r="M84" s="342" t="str">
        <f>IF(D84="","",VLOOKUP(D84,'G-6 Hedgerow Data'!$B$1:$AH$15,33,FALSE))</f>
        <v/>
      </c>
      <c r="N84" s="295" t="str">
        <f t="shared" si="11"/>
        <v/>
      </c>
      <c r="O84" s="403"/>
      <c r="P84" s="287" t="str">
        <f>IF(O84="","",IF(VLOOKUP(O84,'G-3 Multipliers'!$S$3:$T$10,2,FALSE)=0,"Spatial Data Missing ⚠",VLOOKUP(O84,'G-3 Multipliers'!$S$3:$T$10,2,FALSE)))</f>
        <v/>
      </c>
      <c r="Q84" s="295" t="str">
        <f t="shared" si="12"/>
        <v/>
      </c>
      <c r="R84" s="32"/>
      <c r="S84" s="105"/>
      <c r="T84" s="112"/>
      <c r="U84" s="289" t="str">
        <f t="shared" si="13"/>
        <v/>
      </c>
      <c r="V84" s="289" t="str">
        <f t="shared" si="14"/>
        <v/>
      </c>
      <c r="W84" s="293" t="str">
        <f t="shared" si="15"/>
        <v/>
      </c>
      <c r="X84" s="297" t="str">
        <f t="shared" si="16"/>
        <v/>
      </c>
      <c r="Y84" s="109"/>
      <c r="Z84" s="108"/>
      <c r="AA84" s="108"/>
      <c r="AB84" s="108"/>
      <c r="AE84" s="30" t="str">
        <f>IFERROR(INDEX('G-6 Hedgerow Data'!$BJ$3:$BJ$15,MATCH(D84,'G-6 Hedgerow Data'!$B$3:$B$15,0)),"")</f>
        <v/>
      </c>
      <c r="AH84" s="111" t="str">
        <f t="shared" si="9"/>
        <v/>
      </c>
      <c r="AI84" s="111" t="str">
        <f t="shared" si="10"/>
        <v/>
      </c>
      <c r="AK84" s="111">
        <v>75</v>
      </c>
      <c r="AM84" s="111" t="str">
        <f t="array" ref="AM84">IFERROR(INDEX($AK$10:$AK$258, MATCH(0, IF(TRUE=$AH$10:$AH$258, COUNTIF($AM$9:$AM83, $AK$10:$AK$258), ""), 0)),"")</f>
        <v/>
      </c>
      <c r="AN84" s="111" t="str">
        <f t="array" ref="AN84">IFERROR(INDEX($AK$10:$AK$258, MATCH(0, IF(TRUE=$AI$10:$AI$258, COUNTIF($AN$9:$AN83, $AK$10:$AK$258), ""), 0)),"")</f>
        <v/>
      </c>
      <c r="AY84" s="289" t="str">
        <f t="shared" si="17"/>
        <v/>
      </c>
    </row>
    <row r="85" spans="2:51" ht="13.8" x14ac:dyDescent="0.25">
      <c r="B85" s="101">
        <v>76</v>
      </c>
      <c r="C85" s="142"/>
      <c r="D85" s="142"/>
      <c r="E85" s="108"/>
      <c r="F85" s="281" t="str">
        <f>IF(D85="","",VLOOKUP(D85,'G-6 Hedgerow Data'!$B$2:$AG$15,2,FALSE))</f>
        <v/>
      </c>
      <c r="G85" s="282" t="str">
        <f>IF(D85="","",VLOOKUP(D85,'G-6 Hedgerow Data'!$B$2:$AG$15,3,FALSE))</f>
        <v/>
      </c>
      <c r="H85" s="105"/>
      <c r="I85" s="282" t="str">
        <f>IFERROR(IF(AND(D85&lt;&gt;"",H85=""), "Check data ⚠",(IF(H85="","",IF(AND(D85="Non-native and ornamental hedgerow", H85&lt;&gt;"Poor"),"Not possible ▲", (IF(AND(F85="V.Low",OR(H85="Good",H85="Moderate")),"Error ▲",VLOOKUP(H85,'G-1 All Habitats'!$Z$2:$AA$9,2,FALSE))))))),"")</f>
        <v/>
      </c>
      <c r="J85" s="109"/>
      <c r="K85" s="301" t="str">
        <f>IF(AND(J85="",D85&lt;&gt;""),"Check data ⚠",IF(J85="","",IF(VLOOKUP(J85,'G-3 Multipliers'!$L$3:$N$6,2,FALSE)=0,"Spatial Data Missing ⚠",VLOOKUP(J85,'G-3 Multipliers'!$L$3:$N$6,2,FALSE))))</f>
        <v/>
      </c>
      <c r="L85" s="305" t="str">
        <f>IF(J85="","",IF(VLOOKUP(J85,'G-3 Multipliers'!$L$3:$N$6,3,FALSE)=0,"Spatial Data Missing ⚠",VLOOKUP(J85,'G-3 Multipliers'!$L$3:$N$6,3,FALSE)))</f>
        <v/>
      </c>
      <c r="M85" s="342" t="str">
        <f>IF(D85="","",VLOOKUP(D85,'G-6 Hedgerow Data'!$B$1:$AH$15,33,FALSE))</f>
        <v/>
      </c>
      <c r="N85" s="295" t="str">
        <f t="shared" si="11"/>
        <v/>
      </c>
      <c r="O85" s="403"/>
      <c r="P85" s="287" t="str">
        <f>IF(O85="","",IF(VLOOKUP(O85,'G-3 Multipliers'!$S$3:$T$10,2,FALSE)=0,"Spatial Data Missing ⚠",VLOOKUP(O85,'G-3 Multipliers'!$S$3:$T$10,2,FALSE)))</f>
        <v/>
      </c>
      <c r="Q85" s="295" t="str">
        <f t="shared" si="12"/>
        <v/>
      </c>
      <c r="R85" s="32"/>
      <c r="S85" s="105"/>
      <c r="T85" s="112"/>
      <c r="U85" s="289" t="str">
        <f t="shared" si="13"/>
        <v/>
      </c>
      <c r="V85" s="289" t="str">
        <f t="shared" si="14"/>
        <v/>
      </c>
      <c r="W85" s="293" t="str">
        <f t="shared" si="15"/>
        <v/>
      </c>
      <c r="X85" s="297" t="str">
        <f t="shared" si="16"/>
        <v/>
      </c>
      <c r="Y85" s="109"/>
      <c r="Z85" s="108"/>
      <c r="AA85" s="108"/>
      <c r="AB85" s="108"/>
      <c r="AE85" s="30" t="str">
        <f>IFERROR(INDEX('G-6 Hedgerow Data'!$BJ$3:$BJ$15,MATCH(D85,'G-6 Hedgerow Data'!$B$3:$B$15,0)),"")</f>
        <v/>
      </c>
      <c r="AH85" s="111" t="str">
        <f t="shared" si="9"/>
        <v/>
      </c>
      <c r="AI85" s="111" t="str">
        <f t="shared" si="10"/>
        <v/>
      </c>
      <c r="AK85" s="111">
        <v>76</v>
      </c>
      <c r="AM85" s="111" t="str">
        <f t="array" ref="AM85">IFERROR(INDEX($AK$10:$AK$258, MATCH(0, IF(TRUE=$AH$10:$AH$258, COUNTIF($AM$9:$AM84, $AK$10:$AK$258), ""), 0)),"")</f>
        <v/>
      </c>
      <c r="AN85" s="111" t="str">
        <f t="array" ref="AN85">IFERROR(INDEX($AK$10:$AK$258, MATCH(0, IF(TRUE=$AI$10:$AI$258, COUNTIF($AN$9:$AN84, $AK$10:$AK$258), ""), 0)),"")</f>
        <v/>
      </c>
      <c r="AY85" s="289" t="str">
        <f t="shared" si="17"/>
        <v/>
      </c>
    </row>
    <row r="86" spans="2:51" ht="13.8" x14ac:dyDescent="0.25">
      <c r="B86" s="101">
        <v>77</v>
      </c>
      <c r="C86" s="142"/>
      <c r="D86" s="142"/>
      <c r="E86" s="108"/>
      <c r="F86" s="281" t="str">
        <f>IF(D86="","",VLOOKUP(D86,'G-6 Hedgerow Data'!$B$2:$AG$15,2,FALSE))</f>
        <v/>
      </c>
      <c r="G86" s="282" t="str">
        <f>IF(D86="","",VLOOKUP(D86,'G-6 Hedgerow Data'!$B$2:$AG$15,3,FALSE))</f>
        <v/>
      </c>
      <c r="H86" s="105"/>
      <c r="I86" s="282" t="str">
        <f>IFERROR(IF(AND(D86&lt;&gt;"",H86=""), "Check data ⚠",(IF(H86="","",IF(AND(D86="Non-native and ornamental hedgerow", H86&lt;&gt;"Poor"),"Not possible ▲", (IF(AND(F86="V.Low",OR(H86="Good",H86="Moderate")),"Error ▲",VLOOKUP(H86,'G-1 All Habitats'!$Z$2:$AA$9,2,FALSE))))))),"")</f>
        <v/>
      </c>
      <c r="J86" s="109"/>
      <c r="K86" s="301" t="str">
        <f>IF(AND(J86="",D86&lt;&gt;""),"Check data ⚠",IF(J86="","",IF(VLOOKUP(J86,'G-3 Multipliers'!$L$3:$N$6,2,FALSE)=0,"Spatial Data Missing ⚠",VLOOKUP(J86,'G-3 Multipliers'!$L$3:$N$6,2,FALSE))))</f>
        <v/>
      </c>
      <c r="L86" s="305" t="str">
        <f>IF(J86="","",IF(VLOOKUP(J86,'G-3 Multipliers'!$L$3:$N$6,3,FALSE)=0,"Spatial Data Missing ⚠",VLOOKUP(J86,'G-3 Multipliers'!$L$3:$N$6,3,FALSE)))</f>
        <v/>
      </c>
      <c r="M86" s="342" t="str">
        <f>IF(D86="","",VLOOKUP(D86,'G-6 Hedgerow Data'!$B$1:$AH$15,33,FALSE))</f>
        <v/>
      </c>
      <c r="N86" s="295" t="str">
        <f t="shared" si="11"/>
        <v/>
      </c>
      <c r="O86" s="403"/>
      <c r="P86" s="287" t="str">
        <f>IF(O86="","",IF(VLOOKUP(O86,'G-3 Multipliers'!$S$3:$T$10,2,FALSE)=0,"Spatial Data Missing ⚠",VLOOKUP(O86,'G-3 Multipliers'!$S$3:$T$10,2,FALSE)))</f>
        <v/>
      </c>
      <c r="Q86" s="295" t="str">
        <f t="shared" si="12"/>
        <v/>
      </c>
      <c r="R86" s="32"/>
      <c r="S86" s="105"/>
      <c r="T86" s="112"/>
      <c r="U86" s="289" t="str">
        <f t="shared" si="13"/>
        <v/>
      </c>
      <c r="V86" s="289" t="str">
        <f t="shared" si="14"/>
        <v/>
      </c>
      <c r="W86" s="293" t="str">
        <f t="shared" si="15"/>
        <v/>
      </c>
      <c r="X86" s="297" t="str">
        <f t="shared" si="16"/>
        <v/>
      </c>
      <c r="Y86" s="109"/>
      <c r="Z86" s="108"/>
      <c r="AA86" s="108"/>
      <c r="AB86" s="108"/>
      <c r="AE86" s="30" t="str">
        <f>IFERROR(INDEX('G-6 Hedgerow Data'!$BJ$3:$BJ$15,MATCH(D86,'G-6 Hedgerow Data'!$B$3:$B$15,0)),"")</f>
        <v/>
      </c>
      <c r="AH86" s="111" t="str">
        <f t="shared" si="9"/>
        <v/>
      </c>
      <c r="AI86" s="111" t="str">
        <f t="shared" si="10"/>
        <v/>
      </c>
      <c r="AK86" s="111">
        <v>77</v>
      </c>
      <c r="AM86" s="111" t="str">
        <f t="array" ref="AM86">IFERROR(INDEX($AK$10:$AK$258, MATCH(0, IF(TRUE=$AH$10:$AH$258, COUNTIF($AM$9:$AM85, $AK$10:$AK$258), ""), 0)),"")</f>
        <v/>
      </c>
      <c r="AN86" s="111" t="str">
        <f t="array" ref="AN86">IFERROR(INDEX($AK$10:$AK$258, MATCH(0, IF(TRUE=$AI$10:$AI$258, COUNTIF($AN$9:$AN85, $AK$10:$AK$258), ""), 0)),"")</f>
        <v/>
      </c>
      <c r="AY86" s="289" t="str">
        <f t="shared" si="17"/>
        <v/>
      </c>
    </row>
    <row r="87" spans="2:51" ht="13.8" x14ac:dyDescent="0.25">
      <c r="B87" s="101">
        <v>78</v>
      </c>
      <c r="C87" s="142"/>
      <c r="D87" s="142"/>
      <c r="E87" s="108"/>
      <c r="F87" s="281" t="str">
        <f>IF(D87="","",VLOOKUP(D87,'G-6 Hedgerow Data'!$B$2:$AG$15,2,FALSE))</f>
        <v/>
      </c>
      <c r="G87" s="282" t="str">
        <f>IF(D87="","",VLOOKUP(D87,'G-6 Hedgerow Data'!$B$2:$AG$15,3,FALSE))</f>
        <v/>
      </c>
      <c r="H87" s="105"/>
      <c r="I87" s="282" t="str">
        <f>IFERROR(IF(AND(D87&lt;&gt;"",H87=""), "Check data ⚠",(IF(H87="","",IF(AND(D87="Non-native and ornamental hedgerow", H87&lt;&gt;"Poor"),"Not possible ▲", (IF(AND(F87="V.Low",OR(H87="Good",H87="Moderate")),"Error ▲",VLOOKUP(H87,'G-1 All Habitats'!$Z$2:$AA$9,2,FALSE))))))),"")</f>
        <v/>
      </c>
      <c r="J87" s="109"/>
      <c r="K87" s="301" t="str">
        <f>IF(AND(J87="",D87&lt;&gt;""),"Check data ⚠",IF(J87="","",IF(VLOOKUP(J87,'G-3 Multipliers'!$L$3:$N$6,2,FALSE)=0,"Spatial Data Missing ⚠",VLOOKUP(J87,'G-3 Multipliers'!$L$3:$N$6,2,FALSE))))</f>
        <v/>
      </c>
      <c r="L87" s="305" t="str">
        <f>IF(J87="","",IF(VLOOKUP(J87,'G-3 Multipliers'!$L$3:$N$6,3,FALSE)=0,"Spatial Data Missing ⚠",VLOOKUP(J87,'G-3 Multipliers'!$L$3:$N$6,3,FALSE)))</f>
        <v/>
      </c>
      <c r="M87" s="342" t="str">
        <f>IF(D87="","",VLOOKUP(D87,'G-6 Hedgerow Data'!$B$1:$AH$15,33,FALSE))</f>
        <v/>
      </c>
      <c r="N87" s="295" t="str">
        <f t="shared" si="11"/>
        <v/>
      </c>
      <c r="O87" s="403"/>
      <c r="P87" s="287" t="str">
        <f>IF(O87="","",IF(VLOOKUP(O87,'G-3 Multipliers'!$S$3:$T$10,2,FALSE)=0,"Spatial Data Missing ⚠",VLOOKUP(O87,'G-3 Multipliers'!$S$3:$T$10,2,FALSE)))</f>
        <v/>
      </c>
      <c r="Q87" s="295" t="str">
        <f t="shared" si="12"/>
        <v/>
      </c>
      <c r="R87" s="32"/>
      <c r="S87" s="105"/>
      <c r="T87" s="112"/>
      <c r="U87" s="289" t="str">
        <f t="shared" si="13"/>
        <v/>
      </c>
      <c r="V87" s="289" t="str">
        <f t="shared" si="14"/>
        <v/>
      </c>
      <c r="W87" s="293" t="str">
        <f t="shared" si="15"/>
        <v/>
      </c>
      <c r="X87" s="297" t="str">
        <f t="shared" si="16"/>
        <v/>
      </c>
      <c r="Y87" s="109"/>
      <c r="Z87" s="108"/>
      <c r="AA87" s="108"/>
      <c r="AB87" s="108"/>
      <c r="AE87" s="30" t="str">
        <f>IFERROR(INDEX('G-6 Hedgerow Data'!$BJ$3:$BJ$15,MATCH(D87,'G-6 Hedgerow Data'!$B$3:$B$15,0)),"")</f>
        <v/>
      </c>
      <c r="AH87" s="111" t="str">
        <f t="shared" si="9"/>
        <v/>
      </c>
      <c r="AI87" s="111" t="str">
        <f t="shared" si="10"/>
        <v/>
      </c>
      <c r="AK87" s="111">
        <v>78</v>
      </c>
      <c r="AM87" s="111" t="str">
        <f t="array" ref="AM87">IFERROR(INDEX($AK$10:$AK$258, MATCH(0, IF(TRUE=$AH$10:$AH$258, COUNTIF($AM$9:$AM86, $AK$10:$AK$258), ""), 0)),"")</f>
        <v/>
      </c>
      <c r="AN87" s="111" t="str">
        <f t="array" ref="AN87">IFERROR(INDEX($AK$10:$AK$258, MATCH(0, IF(TRUE=$AI$10:$AI$258, COUNTIF($AN$9:$AN86, $AK$10:$AK$258), ""), 0)),"")</f>
        <v/>
      </c>
      <c r="AY87" s="289" t="str">
        <f t="shared" si="17"/>
        <v/>
      </c>
    </row>
    <row r="88" spans="2:51" ht="13.8" x14ac:dyDescent="0.25">
      <c r="B88" s="101">
        <v>79</v>
      </c>
      <c r="C88" s="142"/>
      <c r="D88" s="142"/>
      <c r="E88" s="108"/>
      <c r="F88" s="281" t="str">
        <f>IF(D88="","",VLOOKUP(D88,'G-6 Hedgerow Data'!$B$2:$AG$15,2,FALSE))</f>
        <v/>
      </c>
      <c r="G88" s="282" t="str">
        <f>IF(D88="","",VLOOKUP(D88,'G-6 Hedgerow Data'!$B$2:$AG$15,3,FALSE))</f>
        <v/>
      </c>
      <c r="H88" s="105"/>
      <c r="I88" s="282" t="str">
        <f>IFERROR(IF(AND(D88&lt;&gt;"",H88=""), "Check data ⚠",(IF(H88="","",IF(AND(D88="Non-native and ornamental hedgerow", H88&lt;&gt;"Poor"),"Not possible ▲", (IF(AND(F88="V.Low",OR(H88="Good",H88="Moderate")),"Error ▲",VLOOKUP(H88,'G-1 All Habitats'!$Z$2:$AA$9,2,FALSE))))))),"")</f>
        <v/>
      </c>
      <c r="J88" s="109"/>
      <c r="K88" s="301" t="str">
        <f>IF(AND(J88="",D88&lt;&gt;""),"Check data ⚠",IF(J88="","",IF(VLOOKUP(J88,'G-3 Multipliers'!$L$3:$N$6,2,FALSE)=0,"Spatial Data Missing ⚠",VLOOKUP(J88,'G-3 Multipliers'!$L$3:$N$6,2,FALSE))))</f>
        <v/>
      </c>
      <c r="L88" s="305" t="str">
        <f>IF(J88="","",IF(VLOOKUP(J88,'G-3 Multipliers'!$L$3:$N$6,3,FALSE)=0,"Spatial Data Missing ⚠",VLOOKUP(J88,'G-3 Multipliers'!$L$3:$N$6,3,FALSE)))</f>
        <v/>
      </c>
      <c r="M88" s="342" t="str">
        <f>IF(D88="","",VLOOKUP(D88,'G-6 Hedgerow Data'!$B$1:$AH$15,33,FALSE))</f>
        <v/>
      </c>
      <c r="N88" s="295" t="str">
        <f t="shared" si="11"/>
        <v/>
      </c>
      <c r="O88" s="403"/>
      <c r="P88" s="287" t="str">
        <f>IF(O88="","",IF(VLOOKUP(O88,'G-3 Multipliers'!$S$3:$T$10,2,FALSE)=0,"Spatial Data Missing ⚠",VLOOKUP(O88,'G-3 Multipliers'!$S$3:$T$10,2,FALSE)))</f>
        <v/>
      </c>
      <c r="Q88" s="295" t="str">
        <f t="shared" si="12"/>
        <v/>
      </c>
      <c r="R88" s="32"/>
      <c r="S88" s="105"/>
      <c r="T88" s="112"/>
      <c r="U88" s="289" t="str">
        <f t="shared" si="13"/>
        <v/>
      </c>
      <c r="V88" s="289" t="str">
        <f t="shared" si="14"/>
        <v/>
      </c>
      <c r="W88" s="293" t="str">
        <f t="shared" si="15"/>
        <v/>
      </c>
      <c r="X88" s="297" t="str">
        <f t="shared" si="16"/>
        <v/>
      </c>
      <c r="Y88" s="109"/>
      <c r="Z88" s="108"/>
      <c r="AA88" s="108"/>
      <c r="AB88" s="108"/>
      <c r="AE88" s="30" t="str">
        <f>IFERROR(INDEX('G-6 Hedgerow Data'!$BJ$3:$BJ$15,MATCH(D88,'G-6 Hedgerow Data'!$B$3:$B$15,0)),"")</f>
        <v/>
      </c>
      <c r="AH88" s="111" t="str">
        <f t="shared" si="9"/>
        <v/>
      </c>
      <c r="AI88" s="111" t="str">
        <f t="shared" si="10"/>
        <v/>
      </c>
      <c r="AK88" s="111">
        <v>79</v>
      </c>
      <c r="AM88" s="111" t="str">
        <f t="array" ref="AM88">IFERROR(INDEX($AK$10:$AK$258, MATCH(0, IF(TRUE=$AH$10:$AH$258, COUNTIF($AM$9:$AM87, $AK$10:$AK$258), ""), 0)),"")</f>
        <v/>
      </c>
      <c r="AN88" s="111" t="str">
        <f t="array" ref="AN88">IFERROR(INDEX($AK$10:$AK$258, MATCH(0, IF(TRUE=$AI$10:$AI$258, COUNTIF($AN$9:$AN87, $AK$10:$AK$258), ""), 0)),"")</f>
        <v/>
      </c>
      <c r="AY88" s="289" t="str">
        <f t="shared" si="17"/>
        <v/>
      </c>
    </row>
    <row r="89" spans="2:51" ht="13.8" x14ac:dyDescent="0.25">
      <c r="B89" s="101">
        <v>80</v>
      </c>
      <c r="C89" s="142"/>
      <c r="D89" s="142"/>
      <c r="E89" s="108"/>
      <c r="F89" s="281" t="str">
        <f>IF(D89="","",VLOOKUP(D89,'G-6 Hedgerow Data'!$B$2:$AG$15,2,FALSE))</f>
        <v/>
      </c>
      <c r="G89" s="282" t="str">
        <f>IF(D89="","",VLOOKUP(D89,'G-6 Hedgerow Data'!$B$2:$AG$15,3,FALSE))</f>
        <v/>
      </c>
      <c r="H89" s="105"/>
      <c r="I89" s="282" t="str">
        <f>IFERROR(IF(AND(D89&lt;&gt;"",H89=""), "Check data ⚠",(IF(H89="","",IF(AND(D89="Non-native and ornamental hedgerow", H89&lt;&gt;"Poor"),"Not possible ▲", (IF(AND(F89="V.Low",OR(H89="Good",H89="Moderate")),"Error ▲",VLOOKUP(H89,'G-1 All Habitats'!$Z$2:$AA$9,2,FALSE))))))),"")</f>
        <v/>
      </c>
      <c r="J89" s="109"/>
      <c r="K89" s="301" t="str">
        <f>IF(AND(J89="",D89&lt;&gt;""),"Check data ⚠",IF(J89="","",IF(VLOOKUP(J89,'G-3 Multipliers'!$L$3:$N$6,2,FALSE)=0,"Spatial Data Missing ⚠",VLOOKUP(J89,'G-3 Multipliers'!$L$3:$N$6,2,FALSE))))</f>
        <v/>
      </c>
      <c r="L89" s="305" t="str">
        <f>IF(J89="","",IF(VLOOKUP(J89,'G-3 Multipliers'!$L$3:$N$6,3,FALSE)=0,"Spatial Data Missing ⚠",VLOOKUP(J89,'G-3 Multipliers'!$L$3:$N$6,3,FALSE)))</f>
        <v/>
      </c>
      <c r="M89" s="342" t="str">
        <f>IF(D89="","",VLOOKUP(D89,'G-6 Hedgerow Data'!$B$1:$AH$15,33,FALSE))</f>
        <v/>
      </c>
      <c r="N89" s="295" t="str">
        <f t="shared" si="11"/>
        <v/>
      </c>
      <c r="O89" s="403"/>
      <c r="P89" s="287" t="str">
        <f>IF(O89="","",IF(VLOOKUP(O89,'G-3 Multipliers'!$S$3:$T$10,2,FALSE)=0,"Spatial Data Missing ⚠",VLOOKUP(O89,'G-3 Multipliers'!$S$3:$T$10,2,FALSE)))</f>
        <v/>
      </c>
      <c r="Q89" s="295" t="str">
        <f t="shared" si="12"/>
        <v/>
      </c>
      <c r="R89" s="32"/>
      <c r="S89" s="105"/>
      <c r="T89" s="112"/>
      <c r="U89" s="289" t="str">
        <f t="shared" si="13"/>
        <v/>
      </c>
      <c r="V89" s="289" t="str">
        <f t="shared" si="14"/>
        <v/>
      </c>
      <c r="W89" s="293" t="str">
        <f t="shared" si="15"/>
        <v/>
      </c>
      <c r="X89" s="297" t="str">
        <f t="shared" si="16"/>
        <v/>
      </c>
      <c r="Y89" s="109"/>
      <c r="Z89" s="108"/>
      <c r="AA89" s="108"/>
      <c r="AB89" s="108"/>
      <c r="AE89" s="30" t="str">
        <f>IFERROR(INDEX('G-6 Hedgerow Data'!$BJ$3:$BJ$15,MATCH(D89,'G-6 Hedgerow Data'!$B$3:$B$15,0)),"")</f>
        <v/>
      </c>
      <c r="AH89" s="111" t="str">
        <f t="shared" si="9"/>
        <v/>
      </c>
      <c r="AI89" s="111" t="str">
        <f t="shared" si="10"/>
        <v/>
      </c>
      <c r="AK89" s="111">
        <v>80</v>
      </c>
      <c r="AM89" s="111" t="str">
        <f t="array" ref="AM89">IFERROR(INDEX($AK$10:$AK$258, MATCH(0, IF(TRUE=$AH$10:$AH$258, COUNTIF($AM$9:$AM88, $AK$10:$AK$258), ""), 0)),"")</f>
        <v/>
      </c>
      <c r="AN89" s="111" t="str">
        <f t="array" ref="AN89">IFERROR(INDEX($AK$10:$AK$258, MATCH(0, IF(TRUE=$AI$10:$AI$258, COUNTIF($AN$9:$AN88, $AK$10:$AK$258), ""), 0)),"")</f>
        <v/>
      </c>
      <c r="AY89" s="289" t="str">
        <f t="shared" si="17"/>
        <v/>
      </c>
    </row>
    <row r="90" spans="2:51" ht="13.8" x14ac:dyDescent="0.25">
      <c r="B90" s="101">
        <v>81</v>
      </c>
      <c r="C90" s="142"/>
      <c r="D90" s="142"/>
      <c r="E90" s="108"/>
      <c r="F90" s="281" t="str">
        <f>IF(D90="","",VLOOKUP(D90,'G-6 Hedgerow Data'!$B$2:$AG$15,2,FALSE))</f>
        <v/>
      </c>
      <c r="G90" s="282" t="str">
        <f>IF(D90="","",VLOOKUP(D90,'G-6 Hedgerow Data'!$B$2:$AG$15,3,FALSE))</f>
        <v/>
      </c>
      <c r="H90" s="105"/>
      <c r="I90" s="282" t="str">
        <f>IFERROR(IF(AND(D90&lt;&gt;"",H90=""), "Check data ⚠",(IF(H90="","",IF(AND(D90="Non-native and ornamental hedgerow", H90&lt;&gt;"Poor"),"Not possible ▲", (IF(AND(F90="V.Low",OR(H90="Good",H90="Moderate")),"Error ▲",VLOOKUP(H90,'G-1 All Habitats'!$Z$2:$AA$9,2,FALSE))))))),"")</f>
        <v/>
      </c>
      <c r="J90" s="109"/>
      <c r="K90" s="301" t="str">
        <f>IF(AND(J90="",D90&lt;&gt;""),"Check data ⚠",IF(J90="","",IF(VLOOKUP(J90,'G-3 Multipliers'!$L$3:$N$6,2,FALSE)=0,"Spatial Data Missing ⚠",VLOOKUP(J90,'G-3 Multipliers'!$L$3:$N$6,2,FALSE))))</f>
        <v/>
      </c>
      <c r="L90" s="305" t="str">
        <f>IF(J90="","",IF(VLOOKUP(J90,'G-3 Multipliers'!$L$3:$N$6,3,FALSE)=0,"Spatial Data Missing ⚠",VLOOKUP(J90,'G-3 Multipliers'!$L$3:$N$6,3,FALSE)))</f>
        <v/>
      </c>
      <c r="M90" s="342" t="str">
        <f>IF(D90="","",VLOOKUP(D90,'G-6 Hedgerow Data'!$B$1:$AH$15,33,FALSE))</f>
        <v/>
      </c>
      <c r="N90" s="295" t="str">
        <f t="shared" si="11"/>
        <v/>
      </c>
      <c r="O90" s="403"/>
      <c r="P90" s="287" t="str">
        <f>IF(O90="","",IF(VLOOKUP(O90,'G-3 Multipliers'!$S$3:$T$10,2,FALSE)=0,"Spatial Data Missing ⚠",VLOOKUP(O90,'G-3 Multipliers'!$S$3:$T$10,2,FALSE)))</f>
        <v/>
      </c>
      <c r="Q90" s="295" t="str">
        <f t="shared" si="12"/>
        <v/>
      </c>
      <c r="R90" s="32"/>
      <c r="S90" s="105"/>
      <c r="T90" s="112"/>
      <c r="U90" s="289" t="str">
        <f t="shared" si="13"/>
        <v/>
      </c>
      <c r="V90" s="289" t="str">
        <f t="shared" si="14"/>
        <v/>
      </c>
      <c r="W90" s="293" t="str">
        <f t="shared" si="15"/>
        <v/>
      </c>
      <c r="X90" s="297" t="str">
        <f t="shared" si="16"/>
        <v/>
      </c>
      <c r="Y90" s="109"/>
      <c r="Z90" s="108"/>
      <c r="AA90" s="108"/>
      <c r="AB90" s="108"/>
      <c r="AE90" s="30" t="str">
        <f>IFERROR(INDEX('G-6 Hedgerow Data'!$BJ$3:$BJ$15,MATCH(D90,'G-6 Hedgerow Data'!$B$3:$B$15,0)),"")</f>
        <v/>
      </c>
      <c r="AH90" s="111" t="str">
        <f t="shared" si="9"/>
        <v/>
      </c>
      <c r="AI90" s="111" t="str">
        <f t="shared" si="10"/>
        <v/>
      </c>
      <c r="AK90" s="111">
        <v>81</v>
      </c>
      <c r="AM90" s="111" t="str">
        <f t="array" ref="AM90">IFERROR(INDEX($AK$10:$AK$258, MATCH(0, IF(TRUE=$AH$10:$AH$258, COUNTIF($AM$9:$AM89, $AK$10:$AK$258), ""), 0)),"")</f>
        <v/>
      </c>
      <c r="AN90" s="111" t="str">
        <f t="array" ref="AN90">IFERROR(INDEX($AK$10:$AK$258, MATCH(0, IF(TRUE=$AI$10:$AI$258, COUNTIF($AN$9:$AN89, $AK$10:$AK$258), ""), 0)),"")</f>
        <v/>
      </c>
      <c r="AY90" s="289" t="str">
        <f t="shared" si="17"/>
        <v/>
      </c>
    </row>
    <row r="91" spans="2:51" ht="13.8" x14ac:dyDescent="0.25">
      <c r="B91" s="101">
        <v>82</v>
      </c>
      <c r="C91" s="142"/>
      <c r="D91" s="142"/>
      <c r="E91" s="108"/>
      <c r="F91" s="281" t="str">
        <f>IF(D91="","",VLOOKUP(D91,'G-6 Hedgerow Data'!$B$2:$AG$15,2,FALSE))</f>
        <v/>
      </c>
      <c r="G91" s="282" t="str">
        <f>IF(D91="","",VLOOKUP(D91,'G-6 Hedgerow Data'!$B$2:$AG$15,3,FALSE))</f>
        <v/>
      </c>
      <c r="H91" s="105"/>
      <c r="I91" s="282" t="str">
        <f>IFERROR(IF(AND(D91&lt;&gt;"",H91=""), "Check data ⚠",(IF(H91="","",IF(AND(D91="Non-native and ornamental hedgerow", H91&lt;&gt;"Poor"),"Not possible ▲", (IF(AND(F91="V.Low",OR(H91="Good",H91="Moderate")),"Error ▲",VLOOKUP(H91,'G-1 All Habitats'!$Z$2:$AA$9,2,FALSE))))))),"")</f>
        <v/>
      </c>
      <c r="J91" s="109"/>
      <c r="K91" s="301" t="str">
        <f>IF(AND(J91="",D91&lt;&gt;""),"Check data ⚠",IF(J91="","",IF(VLOOKUP(J91,'G-3 Multipliers'!$L$3:$N$6,2,FALSE)=0,"Spatial Data Missing ⚠",VLOOKUP(J91,'G-3 Multipliers'!$L$3:$N$6,2,FALSE))))</f>
        <v/>
      </c>
      <c r="L91" s="305" t="str">
        <f>IF(J91="","",IF(VLOOKUP(J91,'G-3 Multipliers'!$L$3:$N$6,3,FALSE)=0,"Spatial Data Missing ⚠",VLOOKUP(J91,'G-3 Multipliers'!$L$3:$N$6,3,FALSE)))</f>
        <v/>
      </c>
      <c r="M91" s="342" t="str">
        <f>IF(D91="","",VLOOKUP(D91,'G-6 Hedgerow Data'!$B$1:$AH$15,33,FALSE))</f>
        <v/>
      </c>
      <c r="N91" s="295" t="str">
        <f t="shared" si="11"/>
        <v/>
      </c>
      <c r="O91" s="403"/>
      <c r="P91" s="287" t="str">
        <f>IF(O91="","",IF(VLOOKUP(O91,'G-3 Multipliers'!$S$3:$T$10,2,FALSE)=0,"Spatial Data Missing ⚠",VLOOKUP(O91,'G-3 Multipliers'!$S$3:$T$10,2,FALSE)))</f>
        <v/>
      </c>
      <c r="Q91" s="295" t="str">
        <f t="shared" si="12"/>
        <v/>
      </c>
      <c r="R91" s="32"/>
      <c r="S91" s="105"/>
      <c r="T91" s="112"/>
      <c r="U91" s="289" t="str">
        <f t="shared" si="13"/>
        <v/>
      </c>
      <c r="V91" s="289" t="str">
        <f t="shared" si="14"/>
        <v/>
      </c>
      <c r="W91" s="293" t="str">
        <f t="shared" si="15"/>
        <v/>
      </c>
      <c r="X91" s="297" t="str">
        <f t="shared" si="16"/>
        <v/>
      </c>
      <c r="Y91" s="109"/>
      <c r="Z91" s="108"/>
      <c r="AA91" s="108"/>
      <c r="AB91" s="108"/>
      <c r="AE91" s="30" t="str">
        <f>IFERROR(INDEX('G-6 Hedgerow Data'!$BJ$3:$BJ$15,MATCH(D91,'G-6 Hedgerow Data'!$B$3:$B$15,0)),"")</f>
        <v/>
      </c>
      <c r="AH91" s="111" t="str">
        <f t="shared" si="9"/>
        <v/>
      </c>
      <c r="AI91" s="111" t="str">
        <f t="shared" si="10"/>
        <v/>
      </c>
      <c r="AK91" s="111">
        <v>82</v>
      </c>
      <c r="AM91" s="111" t="str">
        <f t="array" ref="AM91">IFERROR(INDEX($AK$10:$AK$258, MATCH(0, IF(TRUE=$AH$10:$AH$258, COUNTIF($AM$9:$AM90, $AK$10:$AK$258), ""), 0)),"")</f>
        <v/>
      </c>
      <c r="AN91" s="111" t="str">
        <f t="array" ref="AN91">IFERROR(INDEX($AK$10:$AK$258, MATCH(0, IF(TRUE=$AI$10:$AI$258, COUNTIF($AN$9:$AN90, $AK$10:$AK$258), ""), 0)),"")</f>
        <v/>
      </c>
      <c r="AY91" s="289" t="str">
        <f t="shared" si="17"/>
        <v/>
      </c>
    </row>
    <row r="92" spans="2:51" ht="13.8" x14ac:dyDescent="0.25">
      <c r="B92" s="101">
        <v>83</v>
      </c>
      <c r="C92" s="142"/>
      <c r="D92" s="142"/>
      <c r="E92" s="108"/>
      <c r="F92" s="281" t="str">
        <f>IF(D92="","",VLOOKUP(D92,'G-6 Hedgerow Data'!$B$2:$AG$15,2,FALSE))</f>
        <v/>
      </c>
      <c r="G92" s="282" t="str">
        <f>IF(D92="","",VLOOKUP(D92,'G-6 Hedgerow Data'!$B$2:$AG$15,3,FALSE))</f>
        <v/>
      </c>
      <c r="H92" s="105"/>
      <c r="I92" s="282" t="str">
        <f>IFERROR(IF(AND(D92&lt;&gt;"",H92=""), "Check data ⚠",(IF(H92="","",IF(AND(D92="Non-native and ornamental hedgerow", H92&lt;&gt;"Poor"),"Not possible ▲", (IF(AND(F92="V.Low",OR(H92="Good",H92="Moderate")),"Error ▲",VLOOKUP(H92,'G-1 All Habitats'!$Z$2:$AA$9,2,FALSE))))))),"")</f>
        <v/>
      </c>
      <c r="J92" s="109"/>
      <c r="K92" s="301" t="str">
        <f>IF(AND(J92="",D92&lt;&gt;""),"Check data ⚠",IF(J92="","",IF(VLOOKUP(J92,'G-3 Multipliers'!$L$3:$N$6,2,FALSE)=0,"Spatial Data Missing ⚠",VLOOKUP(J92,'G-3 Multipliers'!$L$3:$N$6,2,FALSE))))</f>
        <v/>
      </c>
      <c r="L92" s="305" t="str">
        <f>IF(J92="","",IF(VLOOKUP(J92,'G-3 Multipliers'!$L$3:$N$6,3,FALSE)=0,"Spatial Data Missing ⚠",VLOOKUP(J92,'G-3 Multipliers'!$L$3:$N$6,3,FALSE)))</f>
        <v/>
      </c>
      <c r="M92" s="342" t="str">
        <f>IF(D92="","",VLOOKUP(D92,'G-6 Hedgerow Data'!$B$1:$AH$15,33,FALSE))</f>
        <v/>
      </c>
      <c r="N92" s="295" t="str">
        <f t="shared" si="11"/>
        <v/>
      </c>
      <c r="O92" s="403"/>
      <c r="P92" s="287" t="str">
        <f>IF(O92="","",IF(VLOOKUP(O92,'G-3 Multipliers'!$S$3:$T$10,2,FALSE)=0,"Spatial Data Missing ⚠",VLOOKUP(O92,'G-3 Multipliers'!$S$3:$T$10,2,FALSE)))</f>
        <v/>
      </c>
      <c r="Q92" s="295" t="str">
        <f t="shared" si="12"/>
        <v/>
      </c>
      <c r="R92" s="32"/>
      <c r="S92" s="105"/>
      <c r="T92" s="112"/>
      <c r="U92" s="289" t="str">
        <f t="shared" si="13"/>
        <v/>
      </c>
      <c r="V92" s="289" t="str">
        <f t="shared" si="14"/>
        <v/>
      </c>
      <c r="W92" s="293" t="str">
        <f t="shared" si="15"/>
        <v/>
      </c>
      <c r="X92" s="297" t="str">
        <f t="shared" si="16"/>
        <v/>
      </c>
      <c r="Y92" s="109"/>
      <c r="Z92" s="108"/>
      <c r="AA92" s="108"/>
      <c r="AB92" s="108"/>
      <c r="AE92" s="30" t="str">
        <f>IFERROR(INDEX('G-6 Hedgerow Data'!$BJ$3:$BJ$15,MATCH(D92,'G-6 Hedgerow Data'!$B$3:$B$15,0)),"")</f>
        <v/>
      </c>
      <c r="AH92" s="111" t="str">
        <f t="shared" si="9"/>
        <v/>
      </c>
      <c r="AI92" s="111" t="str">
        <f t="shared" si="10"/>
        <v/>
      </c>
      <c r="AK92" s="111">
        <v>83</v>
      </c>
      <c r="AM92" s="111" t="str">
        <f t="array" ref="AM92">IFERROR(INDEX($AK$10:$AK$258, MATCH(0, IF(TRUE=$AH$10:$AH$258, COUNTIF($AM$9:$AM91, $AK$10:$AK$258), ""), 0)),"")</f>
        <v/>
      </c>
      <c r="AN92" s="111" t="str">
        <f t="array" ref="AN92">IFERROR(INDEX($AK$10:$AK$258, MATCH(0, IF(TRUE=$AI$10:$AI$258, COUNTIF($AN$9:$AN91, $AK$10:$AK$258), ""), 0)),"")</f>
        <v/>
      </c>
      <c r="AY92" s="289" t="str">
        <f t="shared" si="17"/>
        <v/>
      </c>
    </row>
    <row r="93" spans="2:51" ht="13.8" x14ac:dyDescent="0.25">
      <c r="B93" s="101">
        <v>84</v>
      </c>
      <c r="C93" s="142"/>
      <c r="D93" s="142"/>
      <c r="E93" s="108"/>
      <c r="F93" s="281" t="str">
        <f>IF(D93="","",VLOOKUP(D93,'G-6 Hedgerow Data'!$B$2:$AG$15,2,FALSE))</f>
        <v/>
      </c>
      <c r="G93" s="282" t="str">
        <f>IF(D93="","",VLOOKUP(D93,'G-6 Hedgerow Data'!$B$2:$AG$15,3,FALSE))</f>
        <v/>
      </c>
      <c r="H93" s="105"/>
      <c r="I93" s="282" t="str">
        <f>IFERROR(IF(AND(D93&lt;&gt;"",H93=""), "Check data ⚠",(IF(H93="","",IF(AND(D93="Non-native and ornamental hedgerow", H93&lt;&gt;"Poor"),"Not possible ▲", (IF(AND(F93="V.Low",OR(H93="Good",H93="Moderate")),"Error ▲",VLOOKUP(H93,'G-1 All Habitats'!$Z$2:$AA$9,2,FALSE))))))),"")</f>
        <v/>
      </c>
      <c r="J93" s="109"/>
      <c r="K93" s="301" t="str">
        <f>IF(AND(J93="",D93&lt;&gt;""),"Check data ⚠",IF(J93="","",IF(VLOOKUP(J93,'G-3 Multipliers'!$L$3:$N$6,2,FALSE)=0,"Spatial Data Missing ⚠",VLOOKUP(J93,'G-3 Multipliers'!$L$3:$N$6,2,FALSE))))</f>
        <v/>
      </c>
      <c r="L93" s="305" t="str">
        <f>IF(J93="","",IF(VLOOKUP(J93,'G-3 Multipliers'!$L$3:$N$6,3,FALSE)=0,"Spatial Data Missing ⚠",VLOOKUP(J93,'G-3 Multipliers'!$L$3:$N$6,3,FALSE)))</f>
        <v/>
      </c>
      <c r="M93" s="342" t="str">
        <f>IF(D93="","",VLOOKUP(D93,'G-6 Hedgerow Data'!$B$1:$AH$15,33,FALSE))</f>
        <v/>
      </c>
      <c r="N93" s="295" t="str">
        <f t="shared" si="11"/>
        <v/>
      </c>
      <c r="O93" s="403"/>
      <c r="P93" s="287" t="str">
        <f>IF(O93="","",IF(VLOOKUP(O93,'G-3 Multipliers'!$S$3:$T$10,2,FALSE)=0,"Spatial Data Missing ⚠",VLOOKUP(O93,'G-3 Multipliers'!$S$3:$T$10,2,FALSE)))</f>
        <v/>
      </c>
      <c r="Q93" s="295" t="str">
        <f t="shared" si="12"/>
        <v/>
      </c>
      <c r="R93" s="32"/>
      <c r="S93" s="105"/>
      <c r="T93" s="112"/>
      <c r="U93" s="289" t="str">
        <f t="shared" si="13"/>
        <v/>
      </c>
      <c r="V93" s="289" t="str">
        <f t="shared" si="14"/>
        <v/>
      </c>
      <c r="W93" s="293" t="str">
        <f t="shared" si="15"/>
        <v/>
      </c>
      <c r="X93" s="297" t="str">
        <f t="shared" si="16"/>
        <v/>
      </c>
      <c r="Y93" s="109"/>
      <c r="Z93" s="108"/>
      <c r="AA93" s="108"/>
      <c r="AB93" s="108"/>
      <c r="AE93" s="30" t="str">
        <f>IFERROR(INDEX('G-6 Hedgerow Data'!$BJ$3:$BJ$15,MATCH(D93,'G-6 Hedgerow Data'!$B$3:$B$15,0)),"")</f>
        <v/>
      </c>
      <c r="AH93" s="111" t="str">
        <f t="shared" si="9"/>
        <v/>
      </c>
      <c r="AI93" s="111" t="str">
        <f t="shared" si="10"/>
        <v/>
      </c>
      <c r="AK93" s="111">
        <v>84</v>
      </c>
      <c r="AM93" s="111" t="str">
        <f t="array" ref="AM93">IFERROR(INDEX($AK$10:$AK$258, MATCH(0, IF(TRUE=$AH$10:$AH$258, COUNTIF($AM$9:$AM92, $AK$10:$AK$258), ""), 0)),"")</f>
        <v/>
      </c>
      <c r="AN93" s="111" t="str">
        <f t="array" ref="AN93">IFERROR(INDEX($AK$10:$AK$258, MATCH(0, IF(TRUE=$AI$10:$AI$258, COUNTIF($AN$9:$AN92, $AK$10:$AK$258), ""), 0)),"")</f>
        <v/>
      </c>
      <c r="AY93" s="289" t="str">
        <f t="shared" si="17"/>
        <v/>
      </c>
    </row>
    <row r="94" spans="2:51" ht="13.8" x14ac:dyDescent="0.25">
      <c r="B94" s="101">
        <v>85</v>
      </c>
      <c r="C94" s="142"/>
      <c r="D94" s="142"/>
      <c r="E94" s="108"/>
      <c r="F94" s="281" t="str">
        <f>IF(D94="","",VLOOKUP(D94,'G-6 Hedgerow Data'!$B$2:$AG$15,2,FALSE))</f>
        <v/>
      </c>
      <c r="G94" s="282" t="str">
        <f>IF(D94="","",VLOOKUP(D94,'G-6 Hedgerow Data'!$B$2:$AG$15,3,FALSE))</f>
        <v/>
      </c>
      <c r="H94" s="105"/>
      <c r="I94" s="282" t="str">
        <f>IFERROR(IF(AND(D94&lt;&gt;"",H94=""), "Check data ⚠",(IF(H94="","",IF(AND(D94="Non-native and ornamental hedgerow", H94&lt;&gt;"Poor"),"Not possible ▲", (IF(AND(F94="V.Low",OR(H94="Good",H94="Moderate")),"Error ▲",VLOOKUP(H94,'G-1 All Habitats'!$Z$2:$AA$9,2,FALSE))))))),"")</f>
        <v/>
      </c>
      <c r="J94" s="109"/>
      <c r="K94" s="301" t="str">
        <f>IF(AND(J94="",D94&lt;&gt;""),"Check data ⚠",IF(J94="","",IF(VLOOKUP(J94,'G-3 Multipliers'!$L$3:$N$6,2,FALSE)=0,"Spatial Data Missing ⚠",VLOOKUP(J94,'G-3 Multipliers'!$L$3:$N$6,2,FALSE))))</f>
        <v/>
      </c>
      <c r="L94" s="305" t="str">
        <f>IF(J94="","",IF(VLOOKUP(J94,'G-3 Multipliers'!$L$3:$N$6,3,FALSE)=0,"Spatial Data Missing ⚠",VLOOKUP(J94,'G-3 Multipliers'!$L$3:$N$6,3,FALSE)))</f>
        <v/>
      </c>
      <c r="M94" s="342" t="str">
        <f>IF(D94="","",VLOOKUP(D94,'G-6 Hedgerow Data'!$B$1:$AH$15,33,FALSE))</f>
        <v/>
      </c>
      <c r="N94" s="295" t="str">
        <f t="shared" si="11"/>
        <v/>
      </c>
      <c r="O94" s="403"/>
      <c r="P94" s="287" t="str">
        <f>IF(O94="","",IF(VLOOKUP(O94,'G-3 Multipliers'!$S$3:$T$10,2,FALSE)=0,"Spatial Data Missing ⚠",VLOOKUP(O94,'G-3 Multipliers'!$S$3:$T$10,2,FALSE)))</f>
        <v/>
      </c>
      <c r="Q94" s="295" t="str">
        <f t="shared" si="12"/>
        <v/>
      </c>
      <c r="R94" s="32"/>
      <c r="S94" s="105"/>
      <c r="T94" s="112"/>
      <c r="U94" s="289" t="str">
        <f t="shared" si="13"/>
        <v/>
      </c>
      <c r="V94" s="289" t="str">
        <f t="shared" si="14"/>
        <v/>
      </c>
      <c r="W94" s="293" t="str">
        <f t="shared" si="15"/>
        <v/>
      </c>
      <c r="X94" s="297" t="str">
        <f t="shared" si="16"/>
        <v/>
      </c>
      <c r="Y94" s="109"/>
      <c r="Z94" s="108"/>
      <c r="AA94" s="108"/>
      <c r="AB94" s="108"/>
      <c r="AE94" s="30" t="str">
        <f>IFERROR(INDEX('G-6 Hedgerow Data'!$BJ$3:$BJ$15,MATCH(D94,'G-6 Hedgerow Data'!$B$3:$B$15,0)),"")</f>
        <v/>
      </c>
      <c r="AH94" s="111" t="str">
        <f t="shared" si="9"/>
        <v/>
      </c>
      <c r="AI94" s="111" t="str">
        <f t="shared" si="10"/>
        <v/>
      </c>
      <c r="AK94" s="111">
        <v>85</v>
      </c>
      <c r="AM94" s="111" t="str">
        <f t="array" ref="AM94">IFERROR(INDEX($AK$10:$AK$258, MATCH(0, IF(TRUE=$AH$10:$AH$258, COUNTIF($AM$9:$AM93, $AK$10:$AK$258), ""), 0)),"")</f>
        <v/>
      </c>
      <c r="AN94" s="111" t="str">
        <f t="array" ref="AN94">IFERROR(INDEX($AK$10:$AK$258, MATCH(0, IF(TRUE=$AI$10:$AI$258, COUNTIF($AN$9:$AN93, $AK$10:$AK$258), ""), 0)),"")</f>
        <v/>
      </c>
      <c r="AY94" s="289" t="str">
        <f t="shared" si="17"/>
        <v/>
      </c>
    </row>
    <row r="95" spans="2:51" ht="13.8" x14ac:dyDescent="0.25">
      <c r="B95" s="101">
        <v>86</v>
      </c>
      <c r="C95" s="142"/>
      <c r="D95" s="142"/>
      <c r="E95" s="108"/>
      <c r="F95" s="281" t="str">
        <f>IF(D95="","",VLOOKUP(D95,'G-6 Hedgerow Data'!$B$2:$AG$15,2,FALSE))</f>
        <v/>
      </c>
      <c r="G95" s="282" t="str">
        <f>IF(D95="","",VLOOKUP(D95,'G-6 Hedgerow Data'!$B$2:$AG$15,3,FALSE))</f>
        <v/>
      </c>
      <c r="H95" s="105"/>
      <c r="I95" s="282" t="str">
        <f>IFERROR(IF(AND(D95&lt;&gt;"",H95=""), "Check data ⚠",(IF(H95="","",IF(AND(D95="Non-native and ornamental hedgerow", H95&lt;&gt;"Poor"),"Not possible ▲", (IF(AND(F95="V.Low",OR(H95="Good",H95="Moderate")),"Error ▲",VLOOKUP(H95,'G-1 All Habitats'!$Z$2:$AA$9,2,FALSE))))))),"")</f>
        <v/>
      </c>
      <c r="J95" s="109"/>
      <c r="K95" s="301" t="str">
        <f>IF(AND(J95="",D95&lt;&gt;""),"Check data ⚠",IF(J95="","",IF(VLOOKUP(J95,'G-3 Multipliers'!$L$3:$N$6,2,FALSE)=0,"Spatial Data Missing ⚠",VLOOKUP(J95,'G-3 Multipliers'!$L$3:$N$6,2,FALSE))))</f>
        <v/>
      </c>
      <c r="L95" s="305" t="str">
        <f>IF(J95="","",IF(VLOOKUP(J95,'G-3 Multipliers'!$L$3:$N$6,3,FALSE)=0,"Spatial Data Missing ⚠",VLOOKUP(J95,'G-3 Multipliers'!$L$3:$N$6,3,FALSE)))</f>
        <v/>
      </c>
      <c r="M95" s="342" t="str">
        <f>IF(D95="","",VLOOKUP(D95,'G-6 Hedgerow Data'!$B$1:$AH$15,33,FALSE))</f>
        <v/>
      </c>
      <c r="N95" s="295" t="str">
        <f t="shared" si="11"/>
        <v/>
      </c>
      <c r="O95" s="403"/>
      <c r="P95" s="287" t="str">
        <f>IF(O95="","",IF(VLOOKUP(O95,'G-3 Multipliers'!$S$3:$T$10,2,FALSE)=0,"Spatial Data Missing ⚠",VLOOKUP(O95,'G-3 Multipliers'!$S$3:$T$10,2,FALSE)))</f>
        <v/>
      </c>
      <c r="Q95" s="295" t="str">
        <f t="shared" si="12"/>
        <v/>
      </c>
      <c r="R95" s="32"/>
      <c r="S95" s="105"/>
      <c r="T95" s="112"/>
      <c r="U95" s="289" t="str">
        <f t="shared" si="13"/>
        <v/>
      </c>
      <c r="V95" s="289" t="str">
        <f t="shared" si="14"/>
        <v/>
      </c>
      <c r="W95" s="293" t="str">
        <f t="shared" si="15"/>
        <v/>
      </c>
      <c r="X95" s="297" t="str">
        <f t="shared" si="16"/>
        <v/>
      </c>
      <c r="Y95" s="109"/>
      <c r="Z95" s="108"/>
      <c r="AA95" s="108"/>
      <c r="AB95" s="108"/>
      <c r="AE95" s="30" t="str">
        <f>IFERROR(INDEX('G-6 Hedgerow Data'!$BJ$3:$BJ$15,MATCH(D95,'G-6 Hedgerow Data'!$B$3:$B$15,0)),"")</f>
        <v/>
      </c>
      <c r="AH95" s="111" t="str">
        <f t="shared" si="9"/>
        <v/>
      </c>
      <c r="AI95" s="111" t="str">
        <f t="shared" si="10"/>
        <v/>
      </c>
      <c r="AK95" s="111">
        <v>86</v>
      </c>
      <c r="AM95" s="111" t="str">
        <f t="array" ref="AM95">IFERROR(INDEX($AK$10:$AK$258, MATCH(0, IF(TRUE=$AH$10:$AH$258, COUNTIF($AM$9:$AM94, $AK$10:$AK$258), ""), 0)),"")</f>
        <v/>
      </c>
      <c r="AN95" s="111" t="str">
        <f t="array" ref="AN95">IFERROR(INDEX($AK$10:$AK$258, MATCH(0, IF(TRUE=$AI$10:$AI$258, COUNTIF($AN$9:$AN94, $AK$10:$AK$258), ""), 0)),"")</f>
        <v/>
      </c>
      <c r="AY95" s="289" t="str">
        <f t="shared" si="17"/>
        <v/>
      </c>
    </row>
    <row r="96" spans="2:51" ht="13.8" x14ac:dyDescent="0.25">
      <c r="B96" s="101">
        <v>87</v>
      </c>
      <c r="C96" s="142"/>
      <c r="D96" s="142"/>
      <c r="E96" s="108"/>
      <c r="F96" s="281" t="str">
        <f>IF(D96="","",VLOOKUP(D96,'G-6 Hedgerow Data'!$B$2:$AG$15,2,FALSE))</f>
        <v/>
      </c>
      <c r="G96" s="282" t="str">
        <f>IF(D96="","",VLOOKUP(D96,'G-6 Hedgerow Data'!$B$2:$AG$15,3,FALSE))</f>
        <v/>
      </c>
      <c r="H96" s="105"/>
      <c r="I96" s="282" t="str">
        <f>IFERROR(IF(AND(D96&lt;&gt;"",H96=""), "Check data ⚠",(IF(H96="","",IF(AND(D96="Non-native and ornamental hedgerow", H96&lt;&gt;"Poor"),"Not possible ▲", (IF(AND(F96="V.Low",OR(H96="Good",H96="Moderate")),"Error ▲",VLOOKUP(H96,'G-1 All Habitats'!$Z$2:$AA$9,2,FALSE))))))),"")</f>
        <v/>
      </c>
      <c r="J96" s="109"/>
      <c r="K96" s="301" t="str">
        <f>IF(AND(J96="",D96&lt;&gt;""),"Check data ⚠",IF(J96="","",IF(VLOOKUP(J96,'G-3 Multipliers'!$L$3:$N$6,2,FALSE)=0,"Spatial Data Missing ⚠",VLOOKUP(J96,'G-3 Multipliers'!$L$3:$N$6,2,FALSE))))</f>
        <v/>
      </c>
      <c r="L96" s="305" t="str">
        <f>IF(J96="","",IF(VLOOKUP(J96,'G-3 Multipliers'!$L$3:$N$6,3,FALSE)=0,"Spatial Data Missing ⚠",VLOOKUP(J96,'G-3 Multipliers'!$L$3:$N$6,3,FALSE)))</f>
        <v/>
      </c>
      <c r="M96" s="342" t="str">
        <f>IF(D96="","",VLOOKUP(D96,'G-6 Hedgerow Data'!$B$1:$AH$15,33,FALSE))</f>
        <v/>
      </c>
      <c r="N96" s="295" t="str">
        <f t="shared" si="11"/>
        <v/>
      </c>
      <c r="O96" s="403"/>
      <c r="P96" s="287" t="str">
        <f>IF(O96="","",IF(VLOOKUP(O96,'G-3 Multipliers'!$S$3:$T$10,2,FALSE)=0,"Spatial Data Missing ⚠",VLOOKUP(O96,'G-3 Multipliers'!$S$3:$T$10,2,FALSE)))</f>
        <v/>
      </c>
      <c r="Q96" s="295" t="str">
        <f t="shared" si="12"/>
        <v/>
      </c>
      <c r="R96" s="32"/>
      <c r="S96" s="105"/>
      <c r="T96" s="112"/>
      <c r="U96" s="289" t="str">
        <f t="shared" si="13"/>
        <v/>
      </c>
      <c r="V96" s="289" t="str">
        <f t="shared" si="14"/>
        <v/>
      </c>
      <c r="W96" s="293" t="str">
        <f t="shared" si="15"/>
        <v/>
      </c>
      <c r="X96" s="297" t="str">
        <f t="shared" si="16"/>
        <v/>
      </c>
      <c r="Y96" s="109"/>
      <c r="Z96" s="108"/>
      <c r="AA96" s="108"/>
      <c r="AB96" s="108"/>
      <c r="AE96" s="30" t="str">
        <f>IFERROR(INDEX('G-6 Hedgerow Data'!$BJ$3:$BJ$15,MATCH(D96,'G-6 Hedgerow Data'!$B$3:$B$15,0)),"")</f>
        <v/>
      </c>
      <c r="AH96" s="111" t="str">
        <f t="shared" si="9"/>
        <v/>
      </c>
      <c r="AI96" s="111" t="str">
        <f t="shared" si="10"/>
        <v/>
      </c>
      <c r="AK96" s="111">
        <v>87</v>
      </c>
      <c r="AM96" s="111" t="str">
        <f t="array" ref="AM96">IFERROR(INDEX($AK$10:$AK$258, MATCH(0, IF(TRUE=$AH$10:$AH$258, COUNTIF($AM$9:$AM95, $AK$10:$AK$258), ""), 0)),"")</f>
        <v/>
      </c>
      <c r="AN96" s="111" t="str">
        <f t="array" ref="AN96">IFERROR(INDEX($AK$10:$AK$258, MATCH(0, IF(TRUE=$AI$10:$AI$258, COUNTIF($AN$9:$AN95, $AK$10:$AK$258), ""), 0)),"")</f>
        <v/>
      </c>
      <c r="AY96" s="289" t="str">
        <f t="shared" si="17"/>
        <v/>
      </c>
    </row>
    <row r="97" spans="2:51" ht="13.8" x14ac:dyDescent="0.25">
      <c r="B97" s="101">
        <v>88</v>
      </c>
      <c r="C97" s="142"/>
      <c r="D97" s="142"/>
      <c r="E97" s="108"/>
      <c r="F97" s="281" t="str">
        <f>IF(D97="","",VLOOKUP(D97,'G-6 Hedgerow Data'!$B$2:$AG$15,2,FALSE))</f>
        <v/>
      </c>
      <c r="G97" s="282" t="str">
        <f>IF(D97="","",VLOOKUP(D97,'G-6 Hedgerow Data'!$B$2:$AG$15,3,FALSE))</f>
        <v/>
      </c>
      <c r="H97" s="105"/>
      <c r="I97" s="282" t="str">
        <f>IFERROR(IF(AND(D97&lt;&gt;"",H97=""), "Check data ⚠",(IF(H97="","",IF(AND(D97="Non-native and ornamental hedgerow", H97&lt;&gt;"Poor"),"Not possible ▲", (IF(AND(F97="V.Low",OR(H97="Good",H97="Moderate")),"Error ▲",VLOOKUP(H97,'G-1 All Habitats'!$Z$2:$AA$9,2,FALSE))))))),"")</f>
        <v/>
      </c>
      <c r="J97" s="109"/>
      <c r="K97" s="301" t="str">
        <f>IF(AND(J97="",D97&lt;&gt;""),"Check data ⚠",IF(J97="","",IF(VLOOKUP(J97,'G-3 Multipliers'!$L$3:$N$6,2,FALSE)=0,"Spatial Data Missing ⚠",VLOOKUP(J97,'G-3 Multipliers'!$L$3:$N$6,2,FALSE))))</f>
        <v/>
      </c>
      <c r="L97" s="305" t="str">
        <f>IF(J97="","",IF(VLOOKUP(J97,'G-3 Multipliers'!$L$3:$N$6,3,FALSE)=0,"Spatial Data Missing ⚠",VLOOKUP(J97,'G-3 Multipliers'!$L$3:$N$6,3,FALSE)))</f>
        <v/>
      </c>
      <c r="M97" s="342" t="str">
        <f>IF(D97="","",VLOOKUP(D97,'G-6 Hedgerow Data'!$B$1:$AH$15,33,FALSE))</f>
        <v/>
      </c>
      <c r="N97" s="295" t="str">
        <f t="shared" si="11"/>
        <v/>
      </c>
      <c r="O97" s="403"/>
      <c r="P97" s="287" t="str">
        <f>IF(O97="","",IF(VLOOKUP(O97,'G-3 Multipliers'!$S$3:$T$10,2,FALSE)=0,"Spatial Data Missing ⚠",VLOOKUP(O97,'G-3 Multipliers'!$S$3:$T$10,2,FALSE)))</f>
        <v/>
      </c>
      <c r="Q97" s="295" t="str">
        <f t="shared" si="12"/>
        <v/>
      </c>
      <c r="R97" s="32"/>
      <c r="S97" s="105"/>
      <c r="T97" s="112"/>
      <c r="U97" s="289" t="str">
        <f t="shared" si="13"/>
        <v/>
      </c>
      <c r="V97" s="289" t="str">
        <f t="shared" si="14"/>
        <v/>
      </c>
      <c r="W97" s="293" t="str">
        <f t="shared" si="15"/>
        <v/>
      </c>
      <c r="X97" s="297" t="str">
        <f t="shared" si="16"/>
        <v/>
      </c>
      <c r="Y97" s="109"/>
      <c r="Z97" s="108"/>
      <c r="AA97" s="108"/>
      <c r="AB97" s="108"/>
      <c r="AE97" s="30" t="str">
        <f>IFERROR(INDEX('G-6 Hedgerow Data'!$BJ$3:$BJ$15,MATCH(D97,'G-6 Hedgerow Data'!$B$3:$B$15,0)),"")</f>
        <v/>
      </c>
      <c r="AH97" s="111" t="str">
        <f t="shared" si="9"/>
        <v/>
      </c>
      <c r="AI97" s="111" t="str">
        <f t="shared" si="10"/>
        <v/>
      </c>
      <c r="AK97" s="111">
        <v>88</v>
      </c>
      <c r="AM97" s="111" t="str">
        <f t="array" ref="AM97">IFERROR(INDEX($AK$10:$AK$258, MATCH(0, IF(TRUE=$AH$10:$AH$258, COUNTIF($AM$9:$AM96, $AK$10:$AK$258), ""), 0)),"")</f>
        <v/>
      </c>
      <c r="AN97" s="111" t="str">
        <f t="array" ref="AN97">IFERROR(INDEX($AK$10:$AK$258, MATCH(0, IF(TRUE=$AI$10:$AI$258, COUNTIF($AN$9:$AN96, $AK$10:$AK$258), ""), 0)),"")</f>
        <v/>
      </c>
      <c r="AY97" s="289" t="str">
        <f t="shared" si="17"/>
        <v/>
      </c>
    </row>
    <row r="98" spans="2:51" ht="13.8" x14ac:dyDescent="0.25">
      <c r="B98" s="101">
        <v>89</v>
      </c>
      <c r="C98" s="142"/>
      <c r="D98" s="142"/>
      <c r="E98" s="108"/>
      <c r="F98" s="281" t="str">
        <f>IF(D98="","",VLOOKUP(D98,'G-6 Hedgerow Data'!$B$2:$AG$15,2,FALSE))</f>
        <v/>
      </c>
      <c r="G98" s="282" t="str">
        <f>IF(D98="","",VLOOKUP(D98,'G-6 Hedgerow Data'!$B$2:$AG$15,3,FALSE))</f>
        <v/>
      </c>
      <c r="H98" s="105"/>
      <c r="I98" s="282" t="str">
        <f>IFERROR(IF(AND(D98&lt;&gt;"",H98=""), "Check data ⚠",(IF(H98="","",IF(AND(D98="Non-native and ornamental hedgerow", H98&lt;&gt;"Poor"),"Not possible ▲", (IF(AND(F98="V.Low",OR(H98="Good",H98="Moderate")),"Error ▲",VLOOKUP(H98,'G-1 All Habitats'!$Z$2:$AA$9,2,FALSE))))))),"")</f>
        <v/>
      </c>
      <c r="J98" s="109"/>
      <c r="K98" s="301" t="str">
        <f>IF(AND(J98="",D98&lt;&gt;""),"Check data ⚠",IF(J98="","",IF(VLOOKUP(J98,'G-3 Multipliers'!$L$3:$N$6,2,FALSE)=0,"Spatial Data Missing ⚠",VLOOKUP(J98,'G-3 Multipliers'!$L$3:$N$6,2,FALSE))))</f>
        <v/>
      </c>
      <c r="L98" s="305" t="str">
        <f>IF(J98="","",IF(VLOOKUP(J98,'G-3 Multipliers'!$L$3:$N$6,3,FALSE)=0,"Spatial Data Missing ⚠",VLOOKUP(J98,'G-3 Multipliers'!$L$3:$N$6,3,FALSE)))</f>
        <v/>
      </c>
      <c r="M98" s="342" t="str">
        <f>IF(D98="","",VLOOKUP(D98,'G-6 Hedgerow Data'!$B$1:$AH$15,33,FALSE))</f>
        <v/>
      </c>
      <c r="N98" s="295" t="str">
        <f t="shared" si="11"/>
        <v/>
      </c>
      <c r="O98" s="403"/>
      <c r="P98" s="287" t="str">
        <f>IF(O98="","",IF(VLOOKUP(O98,'G-3 Multipliers'!$S$3:$T$10,2,FALSE)=0,"Spatial Data Missing ⚠",VLOOKUP(O98,'G-3 Multipliers'!$S$3:$T$10,2,FALSE)))</f>
        <v/>
      </c>
      <c r="Q98" s="295" t="str">
        <f t="shared" si="12"/>
        <v/>
      </c>
      <c r="R98" s="32"/>
      <c r="S98" s="105"/>
      <c r="T98" s="112"/>
      <c r="U98" s="289" t="str">
        <f t="shared" si="13"/>
        <v/>
      </c>
      <c r="V98" s="289" t="str">
        <f t="shared" si="14"/>
        <v/>
      </c>
      <c r="W98" s="293" t="str">
        <f t="shared" si="15"/>
        <v/>
      </c>
      <c r="X98" s="297" t="str">
        <f t="shared" si="16"/>
        <v/>
      </c>
      <c r="Y98" s="109"/>
      <c r="Z98" s="108"/>
      <c r="AA98" s="108"/>
      <c r="AB98" s="108"/>
      <c r="AE98" s="30" t="str">
        <f>IFERROR(INDEX('G-6 Hedgerow Data'!$BJ$3:$BJ$15,MATCH(D98,'G-6 Hedgerow Data'!$B$3:$B$15,0)),"")</f>
        <v/>
      </c>
      <c r="AH98" s="111" t="str">
        <f t="shared" si="9"/>
        <v/>
      </c>
      <c r="AI98" s="111" t="str">
        <f t="shared" si="10"/>
        <v/>
      </c>
      <c r="AK98" s="111">
        <v>89</v>
      </c>
      <c r="AM98" s="111" t="str">
        <f t="array" ref="AM98">IFERROR(INDEX($AK$10:$AK$258, MATCH(0, IF(TRUE=$AH$10:$AH$258, COUNTIF($AM$9:$AM97, $AK$10:$AK$258), ""), 0)),"")</f>
        <v/>
      </c>
      <c r="AN98" s="111" t="str">
        <f t="array" ref="AN98">IFERROR(INDEX($AK$10:$AK$258, MATCH(0, IF(TRUE=$AI$10:$AI$258, COUNTIF($AN$9:$AN97, $AK$10:$AK$258), ""), 0)),"")</f>
        <v/>
      </c>
      <c r="AY98" s="289" t="str">
        <f t="shared" si="17"/>
        <v/>
      </c>
    </row>
    <row r="99" spans="2:51" ht="13.8" x14ac:dyDescent="0.25">
      <c r="B99" s="101">
        <v>90</v>
      </c>
      <c r="C99" s="142"/>
      <c r="D99" s="142"/>
      <c r="E99" s="108"/>
      <c r="F99" s="281" t="str">
        <f>IF(D99="","",VLOOKUP(D99,'G-6 Hedgerow Data'!$B$2:$AG$15,2,FALSE))</f>
        <v/>
      </c>
      <c r="G99" s="282" t="str">
        <f>IF(D99="","",VLOOKUP(D99,'G-6 Hedgerow Data'!$B$2:$AG$15,3,FALSE))</f>
        <v/>
      </c>
      <c r="H99" s="105"/>
      <c r="I99" s="282" t="str">
        <f>IFERROR(IF(AND(D99&lt;&gt;"",H99=""), "Check data ⚠",(IF(H99="","",IF(AND(D99="Non-native and ornamental hedgerow", H99&lt;&gt;"Poor"),"Not possible ▲", (IF(AND(F99="V.Low",OR(H99="Good",H99="Moderate")),"Error ▲",VLOOKUP(H99,'G-1 All Habitats'!$Z$2:$AA$9,2,FALSE))))))),"")</f>
        <v/>
      </c>
      <c r="J99" s="109"/>
      <c r="K99" s="301" t="str">
        <f>IF(AND(J99="",D99&lt;&gt;""),"Check data ⚠",IF(J99="","",IF(VLOOKUP(J99,'G-3 Multipliers'!$L$3:$N$6,2,FALSE)=0,"Spatial Data Missing ⚠",VLOOKUP(J99,'G-3 Multipliers'!$L$3:$N$6,2,FALSE))))</f>
        <v/>
      </c>
      <c r="L99" s="305" t="str">
        <f>IF(J99="","",IF(VLOOKUP(J99,'G-3 Multipliers'!$L$3:$N$6,3,FALSE)=0,"Spatial Data Missing ⚠",VLOOKUP(J99,'G-3 Multipliers'!$L$3:$N$6,3,FALSE)))</f>
        <v/>
      </c>
      <c r="M99" s="342" t="str">
        <f>IF(D99="","",VLOOKUP(D99,'G-6 Hedgerow Data'!$B$1:$AH$15,33,FALSE))</f>
        <v/>
      </c>
      <c r="N99" s="295" t="str">
        <f t="shared" si="11"/>
        <v/>
      </c>
      <c r="O99" s="403"/>
      <c r="P99" s="287" t="str">
        <f>IF(O99="","",IF(VLOOKUP(O99,'G-3 Multipliers'!$S$3:$T$10,2,FALSE)=0,"Spatial Data Missing ⚠",VLOOKUP(O99,'G-3 Multipliers'!$S$3:$T$10,2,FALSE)))</f>
        <v/>
      </c>
      <c r="Q99" s="295" t="str">
        <f t="shared" si="12"/>
        <v/>
      </c>
      <c r="R99" s="32"/>
      <c r="S99" s="105"/>
      <c r="T99" s="112"/>
      <c r="U99" s="289" t="str">
        <f t="shared" si="13"/>
        <v/>
      </c>
      <c r="V99" s="289" t="str">
        <f t="shared" si="14"/>
        <v/>
      </c>
      <c r="W99" s="293" t="str">
        <f t="shared" si="15"/>
        <v/>
      </c>
      <c r="X99" s="297" t="str">
        <f t="shared" si="16"/>
        <v/>
      </c>
      <c r="Y99" s="109"/>
      <c r="Z99" s="108"/>
      <c r="AA99" s="108"/>
      <c r="AB99" s="108"/>
      <c r="AE99" s="30" t="str">
        <f>IFERROR(INDEX('G-6 Hedgerow Data'!$BJ$3:$BJ$15,MATCH(D99,'G-6 Hedgerow Data'!$B$3:$B$15,0)),"")</f>
        <v/>
      </c>
      <c r="AH99" s="111" t="str">
        <f t="shared" si="9"/>
        <v/>
      </c>
      <c r="AI99" s="111" t="str">
        <f t="shared" si="10"/>
        <v/>
      </c>
      <c r="AK99" s="111">
        <v>90</v>
      </c>
      <c r="AM99" s="111" t="str">
        <f t="array" ref="AM99">IFERROR(INDEX($AK$10:$AK$258, MATCH(0, IF(TRUE=$AH$10:$AH$258, COUNTIF($AM$9:$AM98, $AK$10:$AK$258), ""), 0)),"")</f>
        <v/>
      </c>
      <c r="AN99" s="111" t="str">
        <f t="array" ref="AN99">IFERROR(INDEX($AK$10:$AK$258, MATCH(0, IF(TRUE=$AI$10:$AI$258, COUNTIF($AN$9:$AN98, $AK$10:$AK$258), ""), 0)),"")</f>
        <v/>
      </c>
      <c r="AY99" s="289" t="str">
        <f t="shared" si="17"/>
        <v/>
      </c>
    </row>
    <row r="100" spans="2:51" ht="13.8" x14ac:dyDescent="0.25">
      <c r="B100" s="101">
        <v>91</v>
      </c>
      <c r="C100" s="142"/>
      <c r="D100" s="142"/>
      <c r="E100" s="108"/>
      <c r="F100" s="281" t="str">
        <f>IF(D100="","",VLOOKUP(D100,'G-6 Hedgerow Data'!$B$2:$AG$15,2,FALSE))</f>
        <v/>
      </c>
      <c r="G100" s="282" t="str">
        <f>IF(D100="","",VLOOKUP(D100,'G-6 Hedgerow Data'!$B$2:$AG$15,3,FALSE))</f>
        <v/>
      </c>
      <c r="H100" s="105"/>
      <c r="I100" s="282" t="str">
        <f>IFERROR(IF(AND(D100&lt;&gt;"",H100=""), "Check data ⚠",(IF(H100="","",IF(AND(D100="Non-native and ornamental hedgerow", H100&lt;&gt;"Poor"),"Not possible ▲", (IF(AND(F100="V.Low",OR(H100="Good",H100="Moderate")),"Error ▲",VLOOKUP(H100,'G-1 All Habitats'!$Z$2:$AA$9,2,FALSE))))))),"")</f>
        <v/>
      </c>
      <c r="J100" s="109"/>
      <c r="K100" s="301" t="str">
        <f>IF(AND(J100="",D100&lt;&gt;""),"Check data ⚠",IF(J100="","",IF(VLOOKUP(J100,'G-3 Multipliers'!$L$3:$N$6,2,FALSE)=0,"Spatial Data Missing ⚠",VLOOKUP(J100,'G-3 Multipliers'!$L$3:$N$6,2,FALSE))))</f>
        <v/>
      </c>
      <c r="L100" s="305" t="str">
        <f>IF(J100="","",IF(VLOOKUP(J100,'G-3 Multipliers'!$L$3:$N$6,3,FALSE)=0,"Spatial Data Missing ⚠",VLOOKUP(J100,'G-3 Multipliers'!$L$3:$N$6,3,FALSE)))</f>
        <v/>
      </c>
      <c r="M100" s="342" t="str">
        <f>IF(D100="","",VLOOKUP(D100,'G-6 Hedgerow Data'!$B$1:$AH$15,33,FALSE))</f>
        <v/>
      </c>
      <c r="N100" s="295" t="str">
        <f t="shared" si="11"/>
        <v/>
      </c>
      <c r="O100" s="403"/>
      <c r="P100" s="287" t="str">
        <f>IF(O100="","",IF(VLOOKUP(O100,'G-3 Multipliers'!$S$3:$T$10,2,FALSE)=0,"Spatial Data Missing ⚠",VLOOKUP(O100,'G-3 Multipliers'!$S$3:$T$10,2,FALSE)))</f>
        <v/>
      </c>
      <c r="Q100" s="295" t="str">
        <f t="shared" si="12"/>
        <v/>
      </c>
      <c r="R100" s="32"/>
      <c r="S100" s="105"/>
      <c r="T100" s="112"/>
      <c r="U100" s="289" t="str">
        <f t="shared" si="13"/>
        <v/>
      </c>
      <c r="V100" s="289" t="str">
        <f t="shared" si="14"/>
        <v/>
      </c>
      <c r="W100" s="293" t="str">
        <f t="shared" si="15"/>
        <v/>
      </c>
      <c r="X100" s="297" t="str">
        <f t="shared" si="16"/>
        <v/>
      </c>
      <c r="Y100" s="109"/>
      <c r="Z100" s="108"/>
      <c r="AA100" s="108"/>
      <c r="AB100" s="108"/>
      <c r="AE100" s="30" t="str">
        <f>IFERROR(INDEX('G-6 Hedgerow Data'!$BJ$3:$BJ$15,MATCH(D100,'G-6 Hedgerow Data'!$B$3:$B$15,0)),"")</f>
        <v/>
      </c>
      <c r="AH100" s="111" t="str">
        <f t="shared" si="9"/>
        <v/>
      </c>
      <c r="AI100" s="111" t="str">
        <f t="shared" si="10"/>
        <v/>
      </c>
      <c r="AK100" s="111">
        <v>91</v>
      </c>
      <c r="AM100" s="111" t="str">
        <f t="array" ref="AM100">IFERROR(INDEX($AK$10:$AK$258, MATCH(0, IF(TRUE=$AH$10:$AH$258, COUNTIF($AM$9:$AM99, $AK$10:$AK$258), ""), 0)),"")</f>
        <v/>
      </c>
      <c r="AN100" s="111" t="str">
        <f t="array" ref="AN100">IFERROR(INDEX($AK$10:$AK$258, MATCH(0, IF(TRUE=$AI$10:$AI$258, COUNTIF($AN$9:$AN99, $AK$10:$AK$258), ""), 0)),"")</f>
        <v/>
      </c>
      <c r="AY100" s="289" t="str">
        <f t="shared" si="17"/>
        <v/>
      </c>
    </row>
    <row r="101" spans="2:51" ht="13.8" x14ac:dyDescent="0.25">
      <c r="B101" s="101">
        <v>92</v>
      </c>
      <c r="C101" s="142"/>
      <c r="D101" s="142"/>
      <c r="E101" s="108"/>
      <c r="F101" s="281" t="str">
        <f>IF(D101="","",VLOOKUP(D101,'G-6 Hedgerow Data'!$B$2:$AG$15,2,FALSE))</f>
        <v/>
      </c>
      <c r="G101" s="282" t="str">
        <f>IF(D101="","",VLOOKUP(D101,'G-6 Hedgerow Data'!$B$2:$AG$15,3,FALSE))</f>
        <v/>
      </c>
      <c r="H101" s="105"/>
      <c r="I101" s="282" t="str">
        <f>IFERROR(IF(AND(D101&lt;&gt;"",H101=""), "Check data ⚠",(IF(H101="","",IF(AND(D101="Non-native and ornamental hedgerow", H101&lt;&gt;"Poor"),"Not possible ▲", (IF(AND(F101="V.Low",OR(H101="Good",H101="Moderate")),"Error ▲",VLOOKUP(H101,'G-1 All Habitats'!$Z$2:$AA$9,2,FALSE))))))),"")</f>
        <v/>
      </c>
      <c r="J101" s="109"/>
      <c r="K101" s="301" t="str">
        <f>IF(AND(J101="",D101&lt;&gt;""),"Check data ⚠",IF(J101="","",IF(VLOOKUP(J101,'G-3 Multipliers'!$L$3:$N$6,2,FALSE)=0,"Spatial Data Missing ⚠",VLOOKUP(J101,'G-3 Multipliers'!$L$3:$N$6,2,FALSE))))</f>
        <v/>
      </c>
      <c r="L101" s="305" t="str">
        <f>IF(J101="","",IF(VLOOKUP(J101,'G-3 Multipliers'!$L$3:$N$6,3,FALSE)=0,"Spatial Data Missing ⚠",VLOOKUP(J101,'G-3 Multipliers'!$L$3:$N$6,3,FALSE)))</f>
        <v/>
      </c>
      <c r="M101" s="342" t="str">
        <f>IF(D101="","",VLOOKUP(D101,'G-6 Hedgerow Data'!$B$1:$AH$15,33,FALSE))</f>
        <v/>
      </c>
      <c r="N101" s="295" t="str">
        <f t="shared" si="11"/>
        <v/>
      </c>
      <c r="O101" s="403"/>
      <c r="P101" s="287" t="str">
        <f>IF(O101="","",IF(VLOOKUP(O101,'G-3 Multipliers'!$S$3:$T$10,2,FALSE)=0,"Spatial Data Missing ⚠",VLOOKUP(O101,'G-3 Multipliers'!$S$3:$T$10,2,FALSE)))</f>
        <v/>
      </c>
      <c r="Q101" s="295" t="str">
        <f t="shared" si="12"/>
        <v/>
      </c>
      <c r="R101" s="32"/>
      <c r="S101" s="105"/>
      <c r="T101" s="112"/>
      <c r="U101" s="289" t="str">
        <f t="shared" si="13"/>
        <v/>
      </c>
      <c r="V101" s="289" t="str">
        <f t="shared" si="14"/>
        <v/>
      </c>
      <c r="W101" s="293" t="str">
        <f t="shared" si="15"/>
        <v/>
      </c>
      <c r="X101" s="297" t="str">
        <f t="shared" si="16"/>
        <v/>
      </c>
      <c r="Y101" s="109"/>
      <c r="Z101" s="108"/>
      <c r="AA101" s="108"/>
      <c r="AB101" s="108"/>
      <c r="AE101" s="30" t="str">
        <f>IFERROR(INDEX('G-6 Hedgerow Data'!$BJ$3:$BJ$15,MATCH(D101,'G-6 Hedgerow Data'!$B$3:$B$15,0)),"")</f>
        <v/>
      </c>
      <c r="AH101" s="111" t="str">
        <f t="shared" si="9"/>
        <v/>
      </c>
      <c r="AI101" s="111" t="str">
        <f t="shared" si="10"/>
        <v/>
      </c>
      <c r="AK101" s="111">
        <v>92</v>
      </c>
      <c r="AM101" s="111" t="str">
        <f t="array" ref="AM101">IFERROR(INDEX($AK$10:$AK$258, MATCH(0, IF(TRUE=$AH$10:$AH$258, COUNTIF($AM$9:$AM100, $AK$10:$AK$258), ""), 0)),"")</f>
        <v/>
      </c>
      <c r="AN101" s="111" t="str">
        <f t="array" ref="AN101">IFERROR(INDEX($AK$10:$AK$258, MATCH(0, IF(TRUE=$AI$10:$AI$258, COUNTIF($AN$9:$AN100, $AK$10:$AK$258), ""), 0)),"")</f>
        <v/>
      </c>
      <c r="AY101" s="289" t="str">
        <f t="shared" si="17"/>
        <v/>
      </c>
    </row>
    <row r="102" spans="2:51" ht="13.8" x14ac:dyDescent="0.25">
      <c r="B102" s="101">
        <v>93</v>
      </c>
      <c r="C102" s="142"/>
      <c r="D102" s="142"/>
      <c r="E102" s="108"/>
      <c r="F102" s="281" t="str">
        <f>IF(D102="","",VLOOKUP(D102,'G-6 Hedgerow Data'!$B$2:$AG$15,2,FALSE))</f>
        <v/>
      </c>
      <c r="G102" s="282" t="str">
        <f>IF(D102="","",VLOOKUP(D102,'G-6 Hedgerow Data'!$B$2:$AG$15,3,FALSE))</f>
        <v/>
      </c>
      <c r="H102" s="105"/>
      <c r="I102" s="282" t="str">
        <f>IFERROR(IF(AND(D102&lt;&gt;"",H102=""), "Check data ⚠",(IF(H102="","",IF(AND(D102="Non-native and ornamental hedgerow", H102&lt;&gt;"Poor"),"Not possible ▲", (IF(AND(F102="V.Low",OR(H102="Good",H102="Moderate")),"Error ▲",VLOOKUP(H102,'G-1 All Habitats'!$Z$2:$AA$9,2,FALSE))))))),"")</f>
        <v/>
      </c>
      <c r="J102" s="109"/>
      <c r="K102" s="301" t="str">
        <f>IF(AND(J102="",D102&lt;&gt;""),"Check data ⚠",IF(J102="","",IF(VLOOKUP(J102,'G-3 Multipliers'!$L$3:$N$6,2,FALSE)=0,"Spatial Data Missing ⚠",VLOOKUP(J102,'G-3 Multipliers'!$L$3:$N$6,2,FALSE))))</f>
        <v/>
      </c>
      <c r="L102" s="305" t="str">
        <f>IF(J102="","",IF(VLOOKUP(J102,'G-3 Multipliers'!$L$3:$N$6,3,FALSE)=0,"Spatial Data Missing ⚠",VLOOKUP(J102,'G-3 Multipliers'!$L$3:$N$6,3,FALSE)))</f>
        <v/>
      </c>
      <c r="M102" s="342" t="str">
        <f>IF(D102="","",VLOOKUP(D102,'G-6 Hedgerow Data'!$B$1:$AH$15,33,FALSE))</f>
        <v/>
      </c>
      <c r="N102" s="295" t="str">
        <f t="shared" si="11"/>
        <v/>
      </c>
      <c r="O102" s="403"/>
      <c r="P102" s="287" t="str">
        <f>IF(O102="","",IF(VLOOKUP(O102,'G-3 Multipliers'!$S$3:$T$10,2,FALSE)=0,"Spatial Data Missing ⚠",VLOOKUP(O102,'G-3 Multipliers'!$S$3:$T$10,2,FALSE)))</f>
        <v/>
      </c>
      <c r="Q102" s="295" t="str">
        <f t="shared" si="12"/>
        <v/>
      </c>
      <c r="R102" s="32"/>
      <c r="S102" s="105"/>
      <c r="T102" s="112"/>
      <c r="U102" s="289" t="str">
        <f t="shared" si="13"/>
        <v/>
      </c>
      <c r="V102" s="289" t="str">
        <f t="shared" si="14"/>
        <v/>
      </c>
      <c r="W102" s="293" t="str">
        <f t="shared" si="15"/>
        <v/>
      </c>
      <c r="X102" s="297" t="str">
        <f t="shared" si="16"/>
        <v/>
      </c>
      <c r="Y102" s="109"/>
      <c r="Z102" s="108"/>
      <c r="AA102" s="108"/>
      <c r="AB102" s="108"/>
      <c r="AE102" s="30" t="str">
        <f>IFERROR(INDEX('G-6 Hedgerow Data'!$BJ$3:$BJ$15,MATCH(D102,'G-6 Hedgerow Data'!$B$3:$B$15,0)),"")</f>
        <v/>
      </c>
      <c r="AH102" s="111" t="str">
        <f t="shared" si="9"/>
        <v/>
      </c>
      <c r="AI102" s="111" t="str">
        <f t="shared" si="10"/>
        <v/>
      </c>
      <c r="AK102" s="111">
        <v>93</v>
      </c>
      <c r="AM102" s="111" t="str">
        <f t="array" ref="AM102">IFERROR(INDEX($AK$10:$AK$258, MATCH(0, IF(TRUE=$AH$10:$AH$258, COUNTIF($AM$9:$AM101, $AK$10:$AK$258), ""), 0)),"")</f>
        <v/>
      </c>
      <c r="AN102" s="111" t="str">
        <f t="array" ref="AN102">IFERROR(INDEX($AK$10:$AK$258, MATCH(0, IF(TRUE=$AI$10:$AI$258, COUNTIF($AN$9:$AN101, $AK$10:$AK$258), ""), 0)),"")</f>
        <v/>
      </c>
      <c r="AY102" s="289" t="str">
        <f t="shared" si="17"/>
        <v/>
      </c>
    </row>
    <row r="103" spans="2:51" ht="13.8" x14ac:dyDescent="0.25">
      <c r="B103" s="101">
        <v>94</v>
      </c>
      <c r="C103" s="142"/>
      <c r="D103" s="142"/>
      <c r="E103" s="108"/>
      <c r="F103" s="281" t="str">
        <f>IF(D103="","",VLOOKUP(D103,'G-6 Hedgerow Data'!$B$2:$AG$15,2,FALSE))</f>
        <v/>
      </c>
      <c r="G103" s="282" t="str">
        <f>IF(D103="","",VLOOKUP(D103,'G-6 Hedgerow Data'!$B$2:$AG$15,3,FALSE))</f>
        <v/>
      </c>
      <c r="H103" s="105"/>
      <c r="I103" s="282" t="str">
        <f>IFERROR(IF(AND(D103&lt;&gt;"",H103=""), "Check data ⚠",(IF(H103="","",IF(AND(D103="Non-native and ornamental hedgerow", H103&lt;&gt;"Poor"),"Not possible ▲", (IF(AND(F103="V.Low",OR(H103="Good",H103="Moderate")),"Error ▲",VLOOKUP(H103,'G-1 All Habitats'!$Z$2:$AA$9,2,FALSE))))))),"")</f>
        <v/>
      </c>
      <c r="J103" s="109"/>
      <c r="K103" s="301" t="str">
        <f>IF(AND(J103="",D103&lt;&gt;""),"Check data ⚠",IF(J103="","",IF(VLOOKUP(J103,'G-3 Multipliers'!$L$3:$N$6,2,FALSE)=0,"Spatial Data Missing ⚠",VLOOKUP(J103,'G-3 Multipliers'!$L$3:$N$6,2,FALSE))))</f>
        <v/>
      </c>
      <c r="L103" s="305" t="str">
        <f>IF(J103="","",IF(VLOOKUP(J103,'G-3 Multipliers'!$L$3:$N$6,3,FALSE)=0,"Spatial Data Missing ⚠",VLOOKUP(J103,'G-3 Multipliers'!$L$3:$N$6,3,FALSE)))</f>
        <v/>
      </c>
      <c r="M103" s="342" t="str">
        <f>IF(D103="","",VLOOKUP(D103,'G-6 Hedgerow Data'!$B$1:$AH$15,33,FALSE))</f>
        <v/>
      </c>
      <c r="N103" s="295" t="str">
        <f t="shared" si="11"/>
        <v/>
      </c>
      <c r="O103" s="403"/>
      <c r="P103" s="287" t="str">
        <f>IF(O103="","",IF(VLOOKUP(O103,'G-3 Multipliers'!$S$3:$T$10,2,FALSE)=0,"Spatial Data Missing ⚠",VLOOKUP(O103,'G-3 Multipliers'!$S$3:$T$10,2,FALSE)))</f>
        <v/>
      </c>
      <c r="Q103" s="295" t="str">
        <f t="shared" si="12"/>
        <v/>
      </c>
      <c r="R103" s="32"/>
      <c r="S103" s="105"/>
      <c r="T103" s="112"/>
      <c r="U103" s="289" t="str">
        <f t="shared" si="13"/>
        <v/>
      </c>
      <c r="V103" s="289" t="str">
        <f t="shared" si="14"/>
        <v/>
      </c>
      <c r="W103" s="293" t="str">
        <f t="shared" si="15"/>
        <v/>
      </c>
      <c r="X103" s="297" t="str">
        <f t="shared" si="16"/>
        <v/>
      </c>
      <c r="Y103" s="109"/>
      <c r="Z103" s="108"/>
      <c r="AA103" s="108"/>
      <c r="AB103" s="108"/>
      <c r="AE103" s="30" t="str">
        <f>IFERROR(INDEX('G-6 Hedgerow Data'!$BJ$3:$BJ$15,MATCH(D103,'G-6 Hedgerow Data'!$B$3:$B$15,0)),"")</f>
        <v/>
      </c>
      <c r="AH103" s="111" t="str">
        <f t="shared" si="9"/>
        <v/>
      </c>
      <c r="AI103" s="111" t="str">
        <f t="shared" si="10"/>
        <v/>
      </c>
      <c r="AK103" s="111">
        <v>94</v>
      </c>
      <c r="AM103" s="111" t="str">
        <f t="array" ref="AM103">IFERROR(INDEX($AK$10:$AK$258, MATCH(0, IF(TRUE=$AH$10:$AH$258, COUNTIF($AM$9:$AM102, $AK$10:$AK$258), ""), 0)),"")</f>
        <v/>
      </c>
      <c r="AN103" s="111" t="str">
        <f t="array" ref="AN103">IFERROR(INDEX($AK$10:$AK$258, MATCH(0, IF(TRUE=$AI$10:$AI$258, COUNTIF($AN$9:$AN102, $AK$10:$AK$258), ""), 0)),"")</f>
        <v/>
      </c>
      <c r="AY103" s="289" t="str">
        <f t="shared" si="17"/>
        <v/>
      </c>
    </row>
    <row r="104" spans="2:51" ht="13.8" x14ac:dyDescent="0.25">
      <c r="B104" s="101">
        <v>95</v>
      </c>
      <c r="C104" s="142"/>
      <c r="D104" s="142"/>
      <c r="E104" s="108"/>
      <c r="F104" s="281" t="str">
        <f>IF(D104="","",VLOOKUP(D104,'G-6 Hedgerow Data'!$B$2:$AG$15,2,FALSE))</f>
        <v/>
      </c>
      <c r="G104" s="282" t="str">
        <f>IF(D104="","",VLOOKUP(D104,'G-6 Hedgerow Data'!$B$2:$AG$15,3,FALSE))</f>
        <v/>
      </c>
      <c r="H104" s="105"/>
      <c r="I104" s="282" t="str">
        <f>IFERROR(IF(AND(D104&lt;&gt;"",H104=""), "Check data ⚠",(IF(H104="","",IF(AND(D104="Non-native and ornamental hedgerow", H104&lt;&gt;"Poor"),"Not possible ▲", (IF(AND(F104="V.Low",OR(H104="Good",H104="Moderate")),"Error ▲",VLOOKUP(H104,'G-1 All Habitats'!$Z$2:$AA$9,2,FALSE))))))),"")</f>
        <v/>
      </c>
      <c r="J104" s="109"/>
      <c r="K104" s="301" t="str">
        <f>IF(AND(J104="",D104&lt;&gt;""),"Check data ⚠",IF(J104="","",IF(VLOOKUP(J104,'G-3 Multipliers'!$L$3:$N$6,2,FALSE)=0,"Spatial Data Missing ⚠",VLOOKUP(J104,'G-3 Multipliers'!$L$3:$N$6,2,FALSE))))</f>
        <v/>
      </c>
      <c r="L104" s="305" t="str">
        <f>IF(J104="","",IF(VLOOKUP(J104,'G-3 Multipliers'!$L$3:$N$6,3,FALSE)=0,"Spatial Data Missing ⚠",VLOOKUP(J104,'G-3 Multipliers'!$L$3:$N$6,3,FALSE)))</f>
        <v/>
      </c>
      <c r="M104" s="342" t="str">
        <f>IF(D104="","",VLOOKUP(D104,'G-6 Hedgerow Data'!$B$1:$AH$15,33,FALSE))</f>
        <v/>
      </c>
      <c r="N104" s="295" t="str">
        <f t="shared" si="11"/>
        <v/>
      </c>
      <c r="O104" s="403"/>
      <c r="P104" s="287" t="str">
        <f>IF(O104="","",IF(VLOOKUP(O104,'G-3 Multipliers'!$S$3:$T$10,2,FALSE)=0,"Spatial Data Missing ⚠",VLOOKUP(O104,'G-3 Multipliers'!$S$3:$T$10,2,FALSE)))</f>
        <v/>
      </c>
      <c r="Q104" s="295" t="str">
        <f t="shared" si="12"/>
        <v/>
      </c>
      <c r="R104" s="32"/>
      <c r="S104" s="105"/>
      <c r="T104" s="112"/>
      <c r="U104" s="289" t="str">
        <f t="shared" si="13"/>
        <v/>
      </c>
      <c r="V104" s="289" t="str">
        <f t="shared" si="14"/>
        <v/>
      </c>
      <c r="W104" s="293" t="str">
        <f t="shared" si="15"/>
        <v/>
      </c>
      <c r="X104" s="297" t="str">
        <f t="shared" si="16"/>
        <v/>
      </c>
      <c r="Y104" s="109"/>
      <c r="Z104" s="108"/>
      <c r="AA104" s="108"/>
      <c r="AB104" s="108"/>
      <c r="AE104" s="30" t="str">
        <f>IFERROR(INDEX('G-6 Hedgerow Data'!$BJ$3:$BJ$15,MATCH(D104,'G-6 Hedgerow Data'!$B$3:$B$15,0)),"")</f>
        <v/>
      </c>
      <c r="AH104" s="111" t="str">
        <f t="shared" si="9"/>
        <v/>
      </c>
      <c r="AI104" s="111" t="str">
        <f t="shared" si="10"/>
        <v/>
      </c>
      <c r="AK104" s="111">
        <v>95</v>
      </c>
      <c r="AM104" s="111" t="str">
        <f t="array" ref="AM104">IFERROR(INDEX($AK$10:$AK$258, MATCH(0, IF(TRUE=$AH$10:$AH$258, COUNTIF($AM$9:$AM103, $AK$10:$AK$258), ""), 0)),"")</f>
        <v/>
      </c>
      <c r="AN104" s="111" t="str">
        <f t="array" ref="AN104">IFERROR(INDEX($AK$10:$AK$258, MATCH(0, IF(TRUE=$AI$10:$AI$258, COUNTIF($AN$9:$AN103, $AK$10:$AK$258), ""), 0)),"")</f>
        <v/>
      </c>
      <c r="AY104" s="289" t="str">
        <f t="shared" si="17"/>
        <v/>
      </c>
    </row>
    <row r="105" spans="2:51" ht="13.8" x14ac:dyDescent="0.25">
      <c r="B105" s="101">
        <v>96</v>
      </c>
      <c r="C105" s="142"/>
      <c r="D105" s="142"/>
      <c r="E105" s="108"/>
      <c r="F105" s="281" t="str">
        <f>IF(D105="","",VLOOKUP(D105,'G-6 Hedgerow Data'!$B$2:$AG$15,2,FALSE))</f>
        <v/>
      </c>
      <c r="G105" s="282" t="str">
        <f>IF(D105="","",VLOOKUP(D105,'G-6 Hedgerow Data'!$B$2:$AG$15,3,FALSE))</f>
        <v/>
      </c>
      <c r="H105" s="105"/>
      <c r="I105" s="282" t="str">
        <f>IFERROR(IF(AND(D105&lt;&gt;"",H105=""), "Check data ⚠",(IF(H105="","",IF(AND(D105="Non-native and ornamental hedgerow", H105&lt;&gt;"Poor"),"Not possible ▲", (IF(AND(F105="V.Low",OR(H105="Good",H105="Moderate")),"Error ▲",VLOOKUP(H105,'G-1 All Habitats'!$Z$2:$AA$9,2,FALSE))))))),"")</f>
        <v/>
      </c>
      <c r="J105" s="109"/>
      <c r="K105" s="301" t="str">
        <f>IF(AND(J105="",D105&lt;&gt;""),"Check data ⚠",IF(J105="","",IF(VLOOKUP(J105,'G-3 Multipliers'!$L$3:$N$6,2,FALSE)=0,"Spatial Data Missing ⚠",VLOOKUP(J105,'G-3 Multipliers'!$L$3:$N$6,2,FALSE))))</f>
        <v/>
      </c>
      <c r="L105" s="305" t="str">
        <f>IF(J105="","",IF(VLOOKUP(J105,'G-3 Multipliers'!$L$3:$N$6,3,FALSE)=0,"Spatial Data Missing ⚠",VLOOKUP(J105,'G-3 Multipliers'!$L$3:$N$6,3,FALSE)))</f>
        <v/>
      </c>
      <c r="M105" s="342" t="str">
        <f>IF(D105="","",VLOOKUP(D105,'G-6 Hedgerow Data'!$B$1:$AH$15,33,FALSE))</f>
        <v/>
      </c>
      <c r="N105" s="295" t="str">
        <f t="shared" si="11"/>
        <v/>
      </c>
      <c r="O105" s="403"/>
      <c r="P105" s="287" t="str">
        <f>IF(O105="","",IF(VLOOKUP(O105,'G-3 Multipliers'!$S$3:$T$10,2,FALSE)=0,"Spatial Data Missing ⚠",VLOOKUP(O105,'G-3 Multipliers'!$S$3:$T$10,2,FALSE)))</f>
        <v/>
      </c>
      <c r="Q105" s="295" t="str">
        <f t="shared" si="12"/>
        <v/>
      </c>
      <c r="R105" s="32"/>
      <c r="S105" s="105"/>
      <c r="T105" s="112"/>
      <c r="U105" s="289" t="str">
        <f t="shared" si="13"/>
        <v/>
      </c>
      <c r="V105" s="289" t="str">
        <f t="shared" si="14"/>
        <v/>
      </c>
      <c r="W105" s="293" t="str">
        <f t="shared" si="15"/>
        <v/>
      </c>
      <c r="X105" s="297" t="str">
        <f t="shared" si="16"/>
        <v/>
      </c>
      <c r="Y105" s="109"/>
      <c r="Z105" s="108"/>
      <c r="AA105" s="108"/>
      <c r="AB105" s="108"/>
      <c r="AE105" s="30" t="str">
        <f>IFERROR(INDEX('G-6 Hedgerow Data'!$BJ$3:$BJ$15,MATCH(D105,'G-6 Hedgerow Data'!$B$3:$B$15,0)),"")</f>
        <v/>
      </c>
      <c r="AH105" s="111" t="str">
        <f t="shared" si="9"/>
        <v/>
      </c>
      <c r="AI105" s="111" t="str">
        <f t="shared" si="10"/>
        <v/>
      </c>
      <c r="AK105" s="111">
        <v>96</v>
      </c>
      <c r="AM105" s="111" t="str">
        <f t="array" ref="AM105">IFERROR(INDEX($AK$10:$AK$258, MATCH(0, IF(TRUE=$AH$10:$AH$258, COUNTIF($AM$9:$AM104, $AK$10:$AK$258), ""), 0)),"")</f>
        <v/>
      </c>
      <c r="AN105" s="111" t="str">
        <f t="array" ref="AN105">IFERROR(INDEX($AK$10:$AK$258, MATCH(0, IF(TRUE=$AI$10:$AI$258, COUNTIF($AN$9:$AN104, $AK$10:$AK$258), ""), 0)),"")</f>
        <v/>
      </c>
      <c r="AY105" s="289" t="str">
        <f t="shared" si="17"/>
        <v/>
      </c>
    </row>
    <row r="106" spans="2:51" ht="13.8" x14ac:dyDescent="0.25">
      <c r="B106" s="101">
        <v>97</v>
      </c>
      <c r="C106" s="142"/>
      <c r="D106" s="142"/>
      <c r="E106" s="108"/>
      <c r="F106" s="281" t="str">
        <f>IF(D106="","",VLOOKUP(D106,'G-6 Hedgerow Data'!$B$2:$AG$15,2,FALSE))</f>
        <v/>
      </c>
      <c r="G106" s="282" t="str">
        <f>IF(D106="","",VLOOKUP(D106,'G-6 Hedgerow Data'!$B$2:$AG$15,3,FALSE))</f>
        <v/>
      </c>
      <c r="H106" s="105"/>
      <c r="I106" s="282" t="str">
        <f>IFERROR(IF(AND(D106&lt;&gt;"",H106=""), "Check data ⚠",(IF(H106="","",IF(AND(D106="Non-native and ornamental hedgerow", H106&lt;&gt;"Poor"),"Not possible ▲", (IF(AND(F106="V.Low",OR(H106="Good",H106="Moderate")),"Error ▲",VLOOKUP(H106,'G-1 All Habitats'!$Z$2:$AA$9,2,FALSE))))))),"")</f>
        <v/>
      </c>
      <c r="J106" s="109"/>
      <c r="K106" s="301" t="str">
        <f>IF(AND(J106="",D106&lt;&gt;""),"Check data ⚠",IF(J106="","",IF(VLOOKUP(J106,'G-3 Multipliers'!$L$3:$N$6,2,FALSE)=0,"Spatial Data Missing ⚠",VLOOKUP(J106,'G-3 Multipliers'!$L$3:$N$6,2,FALSE))))</f>
        <v/>
      </c>
      <c r="L106" s="305" t="str">
        <f>IF(J106="","",IF(VLOOKUP(J106,'G-3 Multipliers'!$L$3:$N$6,3,FALSE)=0,"Spatial Data Missing ⚠",VLOOKUP(J106,'G-3 Multipliers'!$L$3:$N$6,3,FALSE)))</f>
        <v/>
      </c>
      <c r="M106" s="342" t="str">
        <f>IF(D106="","",VLOOKUP(D106,'G-6 Hedgerow Data'!$B$1:$AH$15,33,FALSE))</f>
        <v/>
      </c>
      <c r="N106" s="295" t="str">
        <f t="shared" si="11"/>
        <v/>
      </c>
      <c r="O106" s="403"/>
      <c r="P106" s="287" t="str">
        <f>IF(O106="","",IF(VLOOKUP(O106,'G-3 Multipliers'!$S$3:$T$10,2,FALSE)=0,"Spatial Data Missing ⚠",VLOOKUP(O106,'G-3 Multipliers'!$S$3:$T$10,2,FALSE)))</f>
        <v/>
      </c>
      <c r="Q106" s="295" t="str">
        <f t="shared" si="12"/>
        <v/>
      </c>
      <c r="R106" s="32"/>
      <c r="S106" s="105"/>
      <c r="T106" s="112"/>
      <c r="U106" s="289" t="str">
        <f t="shared" si="13"/>
        <v/>
      </c>
      <c r="V106" s="289" t="str">
        <f t="shared" si="14"/>
        <v/>
      </c>
      <c r="W106" s="293" t="str">
        <f t="shared" si="15"/>
        <v/>
      </c>
      <c r="X106" s="297" t="str">
        <f t="shared" si="16"/>
        <v/>
      </c>
      <c r="Y106" s="109"/>
      <c r="Z106" s="108"/>
      <c r="AA106" s="108"/>
      <c r="AB106" s="108"/>
      <c r="AE106" s="30" t="str">
        <f>IFERROR(INDEX('G-6 Hedgerow Data'!$BJ$3:$BJ$15,MATCH(D106,'G-6 Hedgerow Data'!$B$3:$B$15,0)),"")</f>
        <v/>
      </c>
      <c r="AH106" s="111" t="str">
        <f t="shared" si="9"/>
        <v/>
      </c>
      <c r="AI106" s="111" t="str">
        <f t="shared" si="10"/>
        <v/>
      </c>
      <c r="AK106" s="111">
        <v>97</v>
      </c>
      <c r="AM106" s="111" t="str">
        <f t="array" ref="AM106">IFERROR(INDEX($AK$10:$AK$258, MATCH(0, IF(TRUE=$AH$10:$AH$258, COUNTIF($AM$9:$AM105, $AK$10:$AK$258), ""), 0)),"")</f>
        <v/>
      </c>
      <c r="AN106" s="111" t="str">
        <f t="array" ref="AN106">IFERROR(INDEX($AK$10:$AK$258, MATCH(0, IF(TRUE=$AI$10:$AI$258, COUNTIF($AN$9:$AN105, $AK$10:$AK$258), ""), 0)),"")</f>
        <v/>
      </c>
      <c r="AY106" s="289" t="str">
        <f t="shared" si="17"/>
        <v/>
      </c>
    </row>
    <row r="107" spans="2:51" ht="13.8" x14ac:dyDescent="0.25">
      <c r="B107" s="101">
        <v>98</v>
      </c>
      <c r="C107" s="142"/>
      <c r="D107" s="142"/>
      <c r="E107" s="108"/>
      <c r="F107" s="281" t="str">
        <f>IF(D107="","",VLOOKUP(D107,'G-6 Hedgerow Data'!$B$2:$AG$15,2,FALSE))</f>
        <v/>
      </c>
      <c r="G107" s="282" t="str">
        <f>IF(D107="","",VLOOKUP(D107,'G-6 Hedgerow Data'!$B$2:$AG$15,3,FALSE))</f>
        <v/>
      </c>
      <c r="H107" s="105"/>
      <c r="I107" s="282" t="str">
        <f>IFERROR(IF(AND(D107&lt;&gt;"",H107=""), "Check data ⚠",(IF(H107="","",IF(AND(D107="Non-native and ornamental hedgerow", H107&lt;&gt;"Poor"),"Not possible ▲", (IF(AND(F107="V.Low",OR(H107="Good",H107="Moderate")),"Error ▲",VLOOKUP(H107,'G-1 All Habitats'!$Z$2:$AA$9,2,FALSE))))))),"")</f>
        <v/>
      </c>
      <c r="J107" s="109"/>
      <c r="K107" s="301" t="str">
        <f>IF(AND(J107="",D107&lt;&gt;""),"Check data ⚠",IF(J107="","",IF(VLOOKUP(J107,'G-3 Multipliers'!$L$3:$N$6,2,FALSE)=0,"Spatial Data Missing ⚠",VLOOKUP(J107,'G-3 Multipliers'!$L$3:$N$6,2,FALSE))))</f>
        <v/>
      </c>
      <c r="L107" s="305" t="str">
        <f>IF(J107="","",IF(VLOOKUP(J107,'G-3 Multipliers'!$L$3:$N$6,3,FALSE)=0,"Spatial Data Missing ⚠",VLOOKUP(J107,'G-3 Multipliers'!$L$3:$N$6,3,FALSE)))</f>
        <v/>
      </c>
      <c r="M107" s="342" t="str">
        <f>IF(D107="","",VLOOKUP(D107,'G-6 Hedgerow Data'!$B$1:$AH$15,33,FALSE))</f>
        <v/>
      </c>
      <c r="N107" s="295" t="str">
        <f t="shared" si="11"/>
        <v/>
      </c>
      <c r="O107" s="403"/>
      <c r="P107" s="287" t="str">
        <f>IF(O107="","",IF(VLOOKUP(O107,'G-3 Multipliers'!$S$3:$T$10,2,FALSE)=0,"Spatial Data Missing ⚠",VLOOKUP(O107,'G-3 Multipliers'!$S$3:$T$10,2,FALSE)))</f>
        <v/>
      </c>
      <c r="Q107" s="295" t="str">
        <f t="shared" si="12"/>
        <v/>
      </c>
      <c r="R107" s="32"/>
      <c r="S107" s="105"/>
      <c r="T107" s="112"/>
      <c r="U107" s="289" t="str">
        <f t="shared" si="13"/>
        <v/>
      </c>
      <c r="V107" s="289" t="str">
        <f t="shared" si="14"/>
        <v/>
      </c>
      <c r="W107" s="293" t="str">
        <f t="shared" si="15"/>
        <v/>
      </c>
      <c r="X107" s="297" t="str">
        <f t="shared" si="16"/>
        <v/>
      </c>
      <c r="Y107" s="109"/>
      <c r="Z107" s="108"/>
      <c r="AA107" s="108"/>
      <c r="AB107" s="108"/>
      <c r="AE107" s="30" t="str">
        <f>IFERROR(INDEX('G-6 Hedgerow Data'!$BJ$3:$BJ$15,MATCH(D107,'G-6 Hedgerow Data'!$B$3:$B$15,0)),"")</f>
        <v/>
      </c>
      <c r="AH107" s="111" t="str">
        <f t="shared" si="9"/>
        <v/>
      </c>
      <c r="AI107" s="111" t="str">
        <f t="shared" si="10"/>
        <v/>
      </c>
      <c r="AK107" s="111">
        <v>98</v>
      </c>
      <c r="AM107" s="111" t="str">
        <f t="array" ref="AM107">IFERROR(INDEX($AK$10:$AK$258, MATCH(0, IF(TRUE=$AH$10:$AH$258, COUNTIF($AM$9:$AM106, $AK$10:$AK$258), ""), 0)),"")</f>
        <v/>
      </c>
      <c r="AN107" s="111" t="str">
        <f t="array" ref="AN107">IFERROR(INDEX($AK$10:$AK$258, MATCH(0, IF(TRUE=$AI$10:$AI$258, COUNTIF($AN$9:$AN106, $AK$10:$AK$258), ""), 0)),"")</f>
        <v/>
      </c>
      <c r="AY107" s="289" t="str">
        <f t="shared" si="17"/>
        <v/>
      </c>
    </row>
    <row r="108" spans="2:51" ht="13.8" x14ac:dyDescent="0.25">
      <c r="B108" s="101">
        <v>99</v>
      </c>
      <c r="C108" s="142"/>
      <c r="D108" s="142"/>
      <c r="E108" s="108"/>
      <c r="F108" s="281" t="str">
        <f>IF(D108="","",VLOOKUP(D108,'G-6 Hedgerow Data'!$B$2:$AG$15,2,FALSE))</f>
        <v/>
      </c>
      <c r="G108" s="282" t="str">
        <f>IF(D108="","",VLOOKUP(D108,'G-6 Hedgerow Data'!$B$2:$AG$15,3,FALSE))</f>
        <v/>
      </c>
      <c r="H108" s="105"/>
      <c r="I108" s="282" t="str">
        <f>IFERROR(IF(AND(D108&lt;&gt;"",H108=""), "Check data ⚠",(IF(H108="","",IF(AND(D108="Non-native and ornamental hedgerow", H108&lt;&gt;"Poor"),"Not possible ▲", (IF(AND(F108="V.Low",OR(H108="Good",H108="Moderate")),"Error ▲",VLOOKUP(H108,'G-1 All Habitats'!$Z$2:$AA$9,2,FALSE))))))),"")</f>
        <v/>
      </c>
      <c r="J108" s="109"/>
      <c r="K108" s="301" t="str">
        <f>IF(AND(J108="",D108&lt;&gt;""),"Check data ⚠",IF(J108="","",IF(VLOOKUP(J108,'G-3 Multipliers'!$L$3:$N$6,2,FALSE)=0,"Spatial Data Missing ⚠",VLOOKUP(J108,'G-3 Multipliers'!$L$3:$N$6,2,FALSE))))</f>
        <v/>
      </c>
      <c r="L108" s="305" t="str">
        <f>IF(J108="","",IF(VLOOKUP(J108,'G-3 Multipliers'!$L$3:$N$6,3,FALSE)=0,"Spatial Data Missing ⚠",VLOOKUP(J108,'G-3 Multipliers'!$L$3:$N$6,3,FALSE)))</f>
        <v/>
      </c>
      <c r="M108" s="342" t="str">
        <f>IF(D108="","",VLOOKUP(D108,'G-6 Hedgerow Data'!$B$1:$AH$15,33,FALSE))</f>
        <v/>
      </c>
      <c r="N108" s="295" t="str">
        <f t="shared" si="11"/>
        <v/>
      </c>
      <c r="O108" s="403"/>
      <c r="P108" s="287" t="str">
        <f>IF(O108="","",IF(VLOOKUP(O108,'G-3 Multipliers'!$S$3:$T$10,2,FALSE)=0,"Spatial Data Missing ⚠",VLOOKUP(O108,'G-3 Multipliers'!$S$3:$T$10,2,FALSE)))</f>
        <v/>
      </c>
      <c r="Q108" s="295" t="str">
        <f t="shared" si="12"/>
        <v/>
      </c>
      <c r="R108" s="32"/>
      <c r="S108" s="105"/>
      <c r="T108" s="112"/>
      <c r="U108" s="289" t="str">
        <f t="shared" si="13"/>
        <v/>
      </c>
      <c r="V108" s="289" t="str">
        <f t="shared" si="14"/>
        <v/>
      </c>
      <c r="W108" s="293" t="str">
        <f t="shared" si="15"/>
        <v/>
      </c>
      <c r="X108" s="297" t="str">
        <f t="shared" si="16"/>
        <v/>
      </c>
      <c r="Y108" s="109"/>
      <c r="Z108" s="108"/>
      <c r="AA108" s="108"/>
      <c r="AB108" s="108"/>
      <c r="AE108" s="30" t="str">
        <f>IFERROR(INDEX('G-6 Hedgerow Data'!$BJ$3:$BJ$15,MATCH(D108,'G-6 Hedgerow Data'!$B$3:$B$15,0)),"")</f>
        <v/>
      </c>
      <c r="AH108" s="111" t="str">
        <f t="shared" si="9"/>
        <v/>
      </c>
      <c r="AI108" s="111" t="str">
        <f t="shared" si="10"/>
        <v/>
      </c>
      <c r="AK108" s="111">
        <v>99</v>
      </c>
      <c r="AM108" s="111" t="str">
        <f t="array" ref="AM108">IFERROR(INDEX($AK$10:$AK$258, MATCH(0, IF(TRUE=$AH$10:$AH$258, COUNTIF($AM$9:$AM107, $AK$10:$AK$258), ""), 0)),"")</f>
        <v/>
      </c>
      <c r="AN108" s="111" t="str">
        <f t="array" ref="AN108">IFERROR(INDEX($AK$10:$AK$258, MATCH(0, IF(TRUE=$AI$10:$AI$258, COUNTIF($AN$9:$AN107, $AK$10:$AK$258), ""), 0)),"")</f>
        <v/>
      </c>
      <c r="AY108" s="289" t="str">
        <f t="shared" si="17"/>
        <v/>
      </c>
    </row>
    <row r="109" spans="2:51" ht="13.8" x14ac:dyDescent="0.25">
      <c r="B109" s="101">
        <v>100</v>
      </c>
      <c r="C109" s="142"/>
      <c r="D109" s="142"/>
      <c r="E109" s="108"/>
      <c r="F109" s="281" t="str">
        <f>IF(D109="","",VLOOKUP(D109,'G-6 Hedgerow Data'!$B$2:$AG$15,2,FALSE))</f>
        <v/>
      </c>
      <c r="G109" s="282" t="str">
        <f>IF(D109="","",VLOOKUP(D109,'G-6 Hedgerow Data'!$B$2:$AG$15,3,FALSE))</f>
        <v/>
      </c>
      <c r="H109" s="105"/>
      <c r="I109" s="282" t="str">
        <f>IFERROR(IF(AND(D109&lt;&gt;"",H109=""), "Check data ⚠",(IF(H109="","",IF(AND(D109="Non-native and ornamental hedgerow", H109&lt;&gt;"Poor"),"Not possible ▲", (IF(AND(F109="V.Low",OR(H109="Good",H109="Moderate")),"Error ▲",VLOOKUP(H109,'G-1 All Habitats'!$Z$2:$AA$9,2,FALSE))))))),"")</f>
        <v/>
      </c>
      <c r="J109" s="109"/>
      <c r="K109" s="301" t="str">
        <f>IF(AND(J109="",D109&lt;&gt;""),"Check data ⚠",IF(J109="","",IF(VLOOKUP(J109,'G-3 Multipliers'!$L$3:$N$6,2,FALSE)=0,"Spatial Data Missing ⚠",VLOOKUP(J109,'G-3 Multipliers'!$L$3:$N$6,2,FALSE))))</f>
        <v/>
      </c>
      <c r="L109" s="305" t="str">
        <f>IF(J109="","",IF(VLOOKUP(J109,'G-3 Multipliers'!$L$3:$N$6,3,FALSE)=0,"Spatial Data Missing ⚠",VLOOKUP(J109,'G-3 Multipliers'!$L$3:$N$6,3,FALSE)))</f>
        <v/>
      </c>
      <c r="M109" s="342" t="str">
        <f>IF(D109="","",VLOOKUP(D109,'G-6 Hedgerow Data'!$B$1:$AH$15,33,FALSE))</f>
        <v/>
      </c>
      <c r="N109" s="295" t="str">
        <f t="shared" si="11"/>
        <v/>
      </c>
      <c r="O109" s="403"/>
      <c r="P109" s="287" t="str">
        <f>IF(O109="","",IF(VLOOKUP(O109,'G-3 Multipliers'!$S$3:$T$10,2,FALSE)=0,"Spatial Data Missing ⚠",VLOOKUP(O109,'G-3 Multipliers'!$S$3:$T$10,2,FALSE)))</f>
        <v/>
      </c>
      <c r="Q109" s="295" t="str">
        <f t="shared" si="12"/>
        <v/>
      </c>
      <c r="R109" s="32"/>
      <c r="S109" s="105"/>
      <c r="T109" s="112"/>
      <c r="U109" s="289" t="str">
        <f t="shared" si="13"/>
        <v/>
      </c>
      <c r="V109" s="289" t="str">
        <f t="shared" si="14"/>
        <v/>
      </c>
      <c r="W109" s="293" t="str">
        <f t="shared" si="15"/>
        <v/>
      </c>
      <c r="X109" s="297" t="str">
        <f t="shared" si="16"/>
        <v/>
      </c>
      <c r="Y109" s="109"/>
      <c r="Z109" s="108"/>
      <c r="AA109" s="108"/>
      <c r="AB109" s="108"/>
      <c r="AE109" s="30" t="str">
        <f>IFERROR(INDEX('G-6 Hedgerow Data'!$BJ$3:$BJ$15,MATCH(D109,'G-6 Hedgerow Data'!$B$3:$B$15,0)),"")</f>
        <v/>
      </c>
      <c r="AH109" s="111" t="str">
        <f t="shared" si="9"/>
        <v/>
      </c>
      <c r="AI109" s="111" t="str">
        <f t="shared" si="10"/>
        <v/>
      </c>
      <c r="AK109" s="111">
        <v>100</v>
      </c>
      <c r="AM109" s="111" t="str">
        <f t="array" ref="AM109">IFERROR(INDEX($AK$10:$AK$258, MATCH(0, IF(TRUE=$AH$10:$AH$258, COUNTIF($AM$9:$AM108, $AK$10:$AK$258), ""), 0)),"")</f>
        <v/>
      </c>
      <c r="AN109" s="111" t="str">
        <f t="array" ref="AN109">IFERROR(INDEX($AK$10:$AK$258, MATCH(0, IF(TRUE=$AI$10:$AI$258, COUNTIF($AN$9:$AN108, $AK$10:$AK$258), ""), 0)),"")</f>
        <v/>
      </c>
      <c r="AY109" s="289" t="str">
        <f t="shared" si="17"/>
        <v/>
      </c>
    </row>
    <row r="110" spans="2:51" ht="13.8" x14ac:dyDescent="0.25">
      <c r="B110" s="101">
        <v>101</v>
      </c>
      <c r="C110" s="142"/>
      <c r="D110" s="142"/>
      <c r="E110" s="108"/>
      <c r="F110" s="281" t="str">
        <f>IF(D110="","",VLOOKUP(D110,'G-6 Hedgerow Data'!$B$2:$AG$15,2,FALSE))</f>
        <v/>
      </c>
      <c r="G110" s="282" t="str">
        <f>IF(D110="","",VLOOKUP(D110,'G-6 Hedgerow Data'!$B$2:$AG$15,3,FALSE))</f>
        <v/>
      </c>
      <c r="H110" s="105"/>
      <c r="I110" s="282" t="str">
        <f>IFERROR(IF(AND(D110&lt;&gt;"",H110=""), "Check data ⚠",(IF(H110="","",IF(AND(D110="Non-native and ornamental hedgerow", H110&lt;&gt;"Poor"),"Not possible ▲", (IF(AND(F110="V.Low",OR(H110="Good",H110="Moderate")),"Error ▲",VLOOKUP(H110,'G-1 All Habitats'!$Z$2:$AA$9,2,FALSE))))))),"")</f>
        <v/>
      </c>
      <c r="J110" s="109"/>
      <c r="K110" s="301" t="str">
        <f>IF(AND(J110="",D110&lt;&gt;""),"Check data ⚠",IF(J110="","",IF(VLOOKUP(J110,'G-3 Multipliers'!$L$3:$N$6,2,FALSE)=0,"Spatial Data Missing ⚠",VLOOKUP(J110,'G-3 Multipliers'!$L$3:$N$6,2,FALSE))))</f>
        <v/>
      </c>
      <c r="L110" s="305" t="str">
        <f>IF(J110="","",IF(VLOOKUP(J110,'G-3 Multipliers'!$L$3:$N$6,3,FALSE)=0,"Spatial Data Missing ⚠",VLOOKUP(J110,'G-3 Multipliers'!$L$3:$N$6,3,FALSE)))</f>
        <v/>
      </c>
      <c r="M110" s="342" t="str">
        <f>IF(D110="","",VLOOKUP(D110,'G-6 Hedgerow Data'!$B$1:$AH$15,33,FALSE))</f>
        <v/>
      </c>
      <c r="N110" s="295" t="str">
        <f t="shared" si="11"/>
        <v/>
      </c>
      <c r="O110" s="403"/>
      <c r="P110" s="287" t="str">
        <f>IF(O110="","",IF(VLOOKUP(O110,'G-3 Multipliers'!$S$3:$T$10,2,FALSE)=0,"Spatial Data Missing ⚠",VLOOKUP(O110,'G-3 Multipliers'!$S$3:$T$10,2,FALSE)))</f>
        <v/>
      </c>
      <c r="Q110" s="295" t="str">
        <f t="shared" si="12"/>
        <v/>
      </c>
      <c r="R110" s="32"/>
      <c r="S110" s="105"/>
      <c r="T110" s="112"/>
      <c r="U110" s="289" t="str">
        <f t="shared" si="13"/>
        <v/>
      </c>
      <c r="V110" s="289" t="str">
        <f t="shared" si="14"/>
        <v/>
      </c>
      <c r="W110" s="293" t="str">
        <f t="shared" si="15"/>
        <v/>
      </c>
      <c r="X110" s="297" t="str">
        <f t="shared" si="16"/>
        <v/>
      </c>
      <c r="Y110" s="109"/>
      <c r="Z110" s="108"/>
      <c r="AA110" s="108"/>
      <c r="AB110" s="108"/>
      <c r="AE110" s="30" t="str">
        <f>IFERROR(INDEX('G-6 Hedgerow Data'!$BJ$3:$BJ$15,MATCH(D110,'G-6 Hedgerow Data'!$B$3:$B$15,0)),"")</f>
        <v/>
      </c>
      <c r="AH110" s="111" t="str">
        <f t="shared" si="9"/>
        <v/>
      </c>
      <c r="AI110" s="111" t="str">
        <f t="shared" si="10"/>
        <v/>
      </c>
      <c r="AK110" s="111">
        <v>101</v>
      </c>
      <c r="AM110" s="111" t="str">
        <f t="array" ref="AM110">IFERROR(INDEX($AK$10:$AK$258, MATCH(0, IF(TRUE=$AH$10:$AH$258, COUNTIF($AM$9:$AM109, $AK$10:$AK$258), ""), 0)),"")</f>
        <v/>
      </c>
      <c r="AN110" s="111" t="str">
        <f t="array" ref="AN110">IFERROR(INDEX($AK$10:$AK$258, MATCH(0, IF(TRUE=$AI$10:$AI$258, COUNTIF($AN$9:$AN109, $AK$10:$AK$258), ""), 0)),"")</f>
        <v/>
      </c>
      <c r="AY110" s="289" t="str">
        <f t="shared" si="17"/>
        <v/>
      </c>
    </row>
    <row r="111" spans="2:51" ht="13.8" x14ac:dyDescent="0.25">
      <c r="B111" s="101">
        <v>102</v>
      </c>
      <c r="C111" s="142"/>
      <c r="D111" s="142"/>
      <c r="E111" s="108"/>
      <c r="F111" s="281" t="str">
        <f>IF(D111="","",VLOOKUP(D111,'G-6 Hedgerow Data'!$B$2:$AG$15,2,FALSE))</f>
        <v/>
      </c>
      <c r="G111" s="282" t="str">
        <f>IF(D111="","",VLOOKUP(D111,'G-6 Hedgerow Data'!$B$2:$AG$15,3,FALSE))</f>
        <v/>
      </c>
      <c r="H111" s="105"/>
      <c r="I111" s="282" t="str">
        <f>IFERROR(IF(AND(D111&lt;&gt;"",H111=""), "Check data ⚠",(IF(H111="","",IF(AND(D111="Non-native and ornamental hedgerow", H111&lt;&gt;"Poor"),"Not possible ▲", (IF(AND(F111="V.Low",OR(H111="Good",H111="Moderate")),"Error ▲",VLOOKUP(H111,'G-1 All Habitats'!$Z$2:$AA$9,2,FALSE))))))),"")</f>
        <v/>
      </c>
      <c r="J111" s="109"/>
      <c r="K111" s="301" t="str">
        <f>IF(AND(J111="",D111&lt;&gt;""),"Check data ⚠",IF(J111="","",IF(VLOOKUP(J111,'G-3 Multipliers'!$L$3:$N$6,2,FALSE)=0,"Spatial Data Missing ⚠",VLOOKUP(J111,'G-3 Multipliers'!$L$3:$N$6,2,FALSE))))</f>
        <v/>
      </c>
      <c r="L111" s="305" t="str">
        <f>IF(J111="","",IF(VLOOKUP(J111,'G-3 Multipliers'!$L$3:$N$6,3,FALSE)=0,"Spatial Data Missing ⚠",VLOOKUP(J111,'G-3 Multipliers'!$L$3:$N$6,3,FALSE)))</f>
        <v/>
      </c>
      <c r="M111" s="342" t="str">
        <f>IF(D111="","",VLOOKUP(D111,'G-6 Hedgerow Data'!$B$1:$AH$15,33,FALSE))</f>
        <v/>
      </c>
      <c r="N111" s="295" t="str">
        <f t="shared" si="11"/>
        <v/>
      </c>
      <c r="O111" s="403"/>
      <c r="P111" s="287" t="str">
        <f>IF(O111="","",IF(VLOOKUP(O111,'G-3 Multipliers'!$S$3:$T$10,2,FALSE)=0,"Spatial Data Missing ⚠",VLOOKUP(O111,'G-3 Multipliers'!$S$3:$T$10,2,FALSE)))</f>
        <v/>
      </c>
      <c r="Q111" s="295" t="str">
        <f t="shared" si="12"/>
        <v/>
      </c>
      <c r="R111" s="32"/>
      <c r="S111" s="105"/>
      <c r="T111" s="112"/>
      <c r="U111" s="289" t="str">
        <f t="shared" si="13"/>
        <v/>
      </c>
      <c r="V111" s="289" t="str">
        <f t="shared" si="14"/>
        <v/>
      </c>
      <c r="W111" s="293" t="str">
        <f t="shared" si="15"/>
        <v/>
      </c>
      <c r="X111" s="297" t="str">
        <f t="shared" si="16"/>
        <v/>
      </c>
      <c r="Y111" s="109"/>
      <c r="Z111" s="108"/>
      <c r="AA111" s="108"/>
      <c r="AB111" s="108"/>
      <c r="AE111" s="30" t="str">
        <f>IFERROR(INDEX('G-6 Hedgerow Data'!$BJ$3:$BJ$15,MATCH(D111,'G-6 Hedgerow Data'!$B$3:$B$15,0)),"")</f>
        <v/>
      </c>
      <c r="AH111" s="111" t="str">
        <f t="shared" si="9"/>
        <v/>
      </c>
      <c r="AI111" s="111" t="str">
        <f t="shared" si="10"/>
        <v/>
      </c>
      <c r="AK111" s="111">
        <v>102</v>
      </c>
      <c r="AM111" s="111" t="str">
        <f t="array" ref="AM111">IFERROR(INDEX($AK$10:$AK$258, MATCH(0, IF(TRUE=$AH$10:$AH$258, COUNTIF($AM$9:$AM110, $AK$10:$AK$258), ""), 0)),"")</f>
        <v/>
      </c>
      <c r="AN111" s="111" t="str">
        <f t="array" ref="AN111">IFERROR(INDEX($AK$10:$AK$258, MATCH(0, IF(TRUE=$AI$10:$AI$258, COUNTIF($AN$9:$AN110, $AK$10:$AK$258), ""), 0)),"")</f>
        <v/>
      </c>
      <c r="AY111" s="289" t="str">
        <f t="shared" si="17"/>
        <v/>
      </c>
    </row>
    <row r="112" spans="2:51" ht="13.8" x14ac:dyDescent="0.25">
      <c r="B112" s="101">
        <v>103</v>
      </c>
      <c r="C112" s="142"/>
      <c r="D112" s="142"/>
      <c r="E112" s="108"/>
      <c r="F112" s="281" t="str">
        <f>IF(D112="","",VLOOKUP(D112,'G-6 Hedgerow Data'!$B$2:$AG$15,2,FALSE))</f>
        <v/>
      </c>
      <c r="G112" s="282" t="str">
        <f>IF(D112="","",VLOOKUP(D112,'G-6 Hedgerow Data'!$B$2:$AG$15,3,FALSE))</f>
        <v/>
      </c>
      <c r="H112" s="105"/>
      <c r="I112" s="282" t="str">
        <f>IFERROR(IF(AND(D112&lt;&gt;"",H112=""), "Check data ⚠",(IF(H112="","",IF(AND(D112="Non-native and ornamental hedgerow", H112&lt;&gt;"Poor"),"Not possible ▲", (IF(AND(F112="V.Low",OR(H112="Good",H112="Moderate")),"Error ▲",VLOOKUP(H112,'G-1 All Habitats'!$Z$2:$AA$9,2,FALSE))))))),"")</f>
        <v/>
      </c>
      <c r="J112" s="109"/>
      <c r="K112" s="301" t="str">
        <f>IF(AND(J112="",D112&lt;&gt;""),"Check data ⚠",IF(J112="","",IF(VLOOKUP(J112,'G-3 Multipliers'!$L$3:$N$6,2,FALSE)=0,"Spatial Data Missing ⚠",VLOOKUP(J112,'G-3 Multipliers'!$L$3:$N$6,2,FALSE))))</f>
        <v/>
      </c>
      <c r="L112" s="305" t="str">
        <f>IF(J112="","",IF(VLOOKUP(J112,'G-3 Multipliers'!$L$3:$N$6,3,FALSE)=0,"Spatial Data Missing ⚠",VLOOKUP(J112,'G-3 Multipliers'!$L$3:$N$6,3,FALSE)))</f>
        <v/>
      </c>
      <c r="M112" s="342" t="str">
        <f>IF(D112="","",VLOOKUP(D112,'G-6 Hedgerow Data'!$B$1:$AH$15,33,FALSE))</f>
        <v/>
      </c>
      <c r="N112" s="295" t="str">
        <f t="shared" si="11"/>
        <v/>
      </c>
      <c r="O112" s="403"/>
      <c r="P112" s="287" t="str">
        <f>IF(O112="","",IF(VLOOKUP(O112,'G-3 Multipliers'!$S$3:$T$10,2,FALSE)=0,"Spatial Data Missing ⚠",VLOOKUP(O112,'G-3 Multipliers'!$S$3:$T$10,2,FALSE)))</f>
        <v/>
      </c>
      <c r="Q112" s="295" t="str">
        <f t="shared" si="12"/>
        <v/>
      </c>
      <c r="R112" s="32"/>
      <c r="S112" s="105"/>
      <c r="T112" s="112"/>
      <c r="U112" s="289" t="str">
        <f t="shared" si="13"/>
        <v/>
      </c>
      <c r="V112" s="289" t="str">
        <f t="shared" si="14"/>
        <v/>
      </c>
      <c r="W112" s="293" t="str">
        <f t="shared" si="15"/>
        <v/>
      </c>
      <c r="X112" s="297" t="str">
        <f t="shared" si="16"/>
        <v/>
      </c>
      <c r="Y112" s="109"/>
      <c r="Z112" s="108"/>
      <c r="AA112" s="108"/>
      <c r="AB112" s="108"/>
      <c r="AE112" s="30" t="str">
        <f>IFERROR(INDEX('G-6 Hedgerow Data'!$BJ$3:$BJ$15,MATCH(D112,'G-6 Hedgerow Data'!$B$3:$B$15,0)),"")</f>
        <v/>
      </c>
      <c r="AH112" s="111" t="str">
        <f t="shared" si="9"/>
        <v/>
      </c>
      <c r="AI112" s="111" t="str">
        <f t="shared" si="10"/>
        <v/>
      </c>
      <c r="AK112" s="111">
        <v>103</v>
      </c>
      <c r="AM112" s="111" t="str">
        <f t="array" ref="AM112">IFERROR(INDEX($AK$10:$AK$258, MATCH(0, IF(TRUE=$AH$10:$AH$258, COUNTIF($AM$9:$AM111, $AK$10:$AK$258), ""), 0)),"")</f>
        <v/>
      </c>
      <c r="AN112" s="111" t="str">
        <f t="array" ref="AN112">IFERROR(INDEX($AK$10:$AK$258, MATCH(0, IF(TRUE=$AI$10:$AI$258, COUNTIF($AN$9:$AN111, $AK$10:$AK$258), ""), 0)),"")</f>
        <v/>
      </c>
      <c r="AY112" s="289" t="str">
        <f t="shared" si="17"/>
        <v/>
      </c>
    </row>
    <row r="113" spans="2:51" ht="13.8" x14ac:dyDescent="0.25">
      <c r="B113" s="101">
        <v>104</v>
      </c>
      <c r="C113" s="142"/>
      <c r="D113" s="142"/>
      <c r="E113" s="108"/>
      <c r="F113" s="281" t="str">
        <f>IF(D113="","",VLOOKUP(D113,'G-6 Hedgerow Data'!$B$2:$AG$15,2,FALSE))</f>
        <v/>
      </c>
      <c r="G113" s="282" t="str">
        <f>IF(D113="","",VLOOKUP(D113,'G-6 Hedgerow Data'!$B$2:$AG$15,3,FALSE))</f>
        <v/>
      </c>
      <c r="H113" s="105"/>
      <c r="I113" s="282" t="str">
        <f>IFERROR(IF(AND(D113&lt;&gt;"",H113=""), "Check data ⚠",(IF(H113="","",IF(AND(D113="Non-native and ornamental hedgerow", H113&lt;&gt;"Poor"),"Not possible ▲", (IF(AND(F113="V.Low",OR(H113="Good",H113="Moderate")),"Error ▲",VLOOKUP(H113,'G-1 All Habitats'!$Z$2:$AA$9,2,FALSE))))))),"")</f>
        <v/>
      </c>
      <c r="J113" s="109"/>
      <c r="K113" s="301" t="str">
        <f>IF(AND(J113="",D113&lt;&gt;""),"Check data ⚠",IF(J113="","",IF(VLOOKUP(J113,'G-3 Multipliers'!$L$3:$N$6,2,FALSE)=0,"Spatial Data Missing ⚠",VLOOKUP(J113,'G-3 Multipliers'!$L$3:$N$6,2,FALSE))))</f>
        <v/>
      </c>
      <c r="L113" s="305" t="str">
        <f>IF(J113="","",IF(VLOOKUP(J113,'G-3 Multipliers'!$L$3:$N$6,3,FALSE)=0,"Spatial Data Missing ⚠",VLOOKUP(J113,'G-3 Multipliers'!$L$3:$N$6,3,FALSE)))</f>
        <v/>
      </c>
      <c r="M113" s="342" t="str">
        <f>IF(D113="","",VLOOKUP(D113,'G-6 Hedgerow Data'!$B$1:$AH$15,33,FALSE))</f>
        <v/>
      </c>
      <c r="N113" s="295" t="str">
        <f t="shared" si="11"/>
        <v/>
      </c>
      <c r="O113" s="403"/>
      <c r="P113" s="287" t="str">
        <f>IF(O113="","",IF(VLOOKUP(O113,'G-3 Multipliers'!$S$3:$T$10,2,FALSE)=0,"Spatial Data Missing ⚠",VLOOKUP(O113,'G-3 Multipliers'!$S$3:$T$10,2,FALSE)))</f>
        <v/>
      </c>
      <c r="Q113" s="295" t="str">
        <f t="shared" si="12"/>
        <v/>
      </c>
      <c r="R113" s="32"/>
      <c r="S113" s="105"/>
      <c r="T113" s="112"/>
      <c r="U113" s="289" t="str">
        <f t="shared" si="13"/>
        <v/>
      </c>
      <c r="V113" s="289" t="str">
        <f t="shared" si="14"/>
        <v/>
      </c>
      <c r="W113" s="293" t="str">
        <f t="shared" si="15"/>
        <v/>
      </c>
      <c r="X113" s="297" t="str">
        <f t="shared" si="16"/>
        <v/>
      </c>
      <c r="Y113" s="109"/>
      <c r="Z113" s="108"/>
      <c r="AA113" s="108"/>
      <c r="AB113" s="108"/>
      <c r="AE113" s="30" t="str">
        <f>IFERROR(INDEX('G-6 Hedgerow Data'!$BJ$3:$BJ$15,MATCH(D113,'G-6 Hedgerow Data'!$B$3:$B$15,0)),"")</f>
        <v/>
      </c>
      <c r="AH113" s="111" t="str">
        <f t="shared" si="9"/>
        <v/>
      </c>
      <c r="AI113" s="111" t="str">
        <f t="shared" si="10"/>
        <v/>
      </c>
      <c r="AK113" s="111">
        <v>104</v>
      </c>
      <c r="AM113" s="111" t="str">
        <f t="array" ref="AM113">IFERROR(INDEX($AK$10:$AK$258, MATCH(0, IF(TRUE=$AH$10:$AH$258, COUNTIF($AM$9:$AM112, $AK$10:$AK$258), ""), 0)),"")</f>
        <v/>
      </c>
      <c r="AN113" s="111" t="str">
        <f t="array" ref="AN113">IFERROR(INDEX($AK$10:$AK$258, MATCH(0, IF(TRUE=$AI$10:$AI$258, COUNTIF($AN$9:$AN112, $AK$10:$AK$258), ""), 0)),"")</f>
        <v/>
      </c>
      <c r="AY113" s="289" t="str">
        <f t="shared" si="17"/>
        <v/>
      </c>
    </row>
    <row r="114" spans="2:51" ht="13.8" x14ac:dyDescent="0.25">
      <c r="B114" s="101">
        <v>105</v>
      </c>
      <c r="C114" s="142"/>
      <c r="D114" s="142"/>
      <c r="E114" s="108"/>
      <c r="F114" s="281" t="str">
        <f>IF(D114="","",VLOOKUP(D114,'G-6 Hedgerow Data'!$B$2:$AG$15,2,FALSE))</f>
        <v/>
      </c>
      <c r="G114" s="282" t="str">
        <f>IF(D114="","",VLOOKUP(D114,'G-6 Hedgerow Data'!$B$2:$AG$15,3,FALSE))</f>
        <v/>
      </c>
      <c r="H114" s="105"/>
      <c r="I114" s="282" t="str">
        <f>IFERROR(IF(AND(D114&lt;&gt;"",H114=""), "Check data ⚠",(IF(H114="","",IF(AND(D114="Non-native and ornamental hedgerow", H114&lt;&gt;"Poor"),"Not possible ▲", (IF(AND(F114="V.Low",OR(H114="Good",H114="Moderate")),"Error ▲",VLOOKUP(H114,'G-1 All Habitats'!$Z$2:$AA$9,2,FALSE))))))),"")</f>
        <v/>
      </c>
      <c r="J114" s="109"/>
      <c r="K114" s="301" t="str">
        <f>IF(AND(J114="",D114&lt;&gt;""),"Check data ⚠",IF(J114="","",IF(VLOOKUP(J114,'G-3 Multipliers'!$L$3:$N$6,2,FALSE)=0,"Spatial Data Missing ⚠",VLOOKUP(J114,'G-3 Multipliers'!$L$3:$N$6,2,FALSE))))</f>
        <v/>
      </c>
      <c r="L114" s="305" t="str">
        <f>IF(J114="","",IF(VLOOKUP(J114,'G-3 Multipliers'!$L$3:$N$6,3,FALSE)=0,"Spatial Data Missing ⚠",VLOOKUP(J114,'G-3 Multipliers'!$L$3:$N$6,3,FALSE)))</f>
        <v/>
      </c>
      <c r="M114" s="342" t="str">
        <f>IF(D114="","",VLOOKUP(D114,'G-6 Hedgerow Data'!$B$1:$AH$15,33,FALSE))</f>
        <v/>
      </c>
      <c r="N114" s="295" t="str">
        <f t="shared" si="11"/>
        <v/>
      </c>
      <c r="O114" s="403"/>
      <c r="P114" s="287" t="str">
        <f>IF(O114="","",IF(VLOOKUP(O114,'G-3 Multipliers'!$S$3:$T$10,2,FALSE)=0,"Spatial Data Missing ⚠",VLOOKUP(O114,'G-3 Multipliers'!$S$3:$T$10,2,FALSE)))</f>
        <v/>
      </c>
      <c r="Q114" s="295" t="str">
        <f t="shared" si="12"/>
        <v/>
      </c>
      <c r="R114" s="32"/>
      <c r="S114" s="105"/>
      <c r="T114" s="112"/>
      <c r="U114" s="289" t="str">
        <f t="shared" si="13"/>
        <v/>
      </c>
      <c r="V114" s="289" t="str">
        <f t="shared" si="14"/>
        <v/>
      </c>
      <c r="W114" s="293" t="str">
        <f t="shared" si="15"/>
        <v/>
      </c>
      <c r="X114" s="297" t="str">
        <f t="shared" si="16"/>
        <v/>
      </c>
      <c r="Y114" s="109"/>
      <c r="Z114" s="108"/>
      <c r="AA114" s="108"/>
      <c r="AB114" s="108"/>
      <c r="AE114" s="30" t="str">
        <f>IFERROR(INDEX('G-6 Hedgerow Data'!$BJ$3:$BJ$15,MATCH(D114,'G-6 Hedgerow Data'!$B$3:$B$15,0)),"")</f>
        <v/>
      </c>
      <c r="AH114" s="111" t="str">
        <f t="shared" si="9"/>
        <v/>
      </c>
      <c r="AI114" s="111" t="str">
        <f t="shared" si="10"/>
        <v/>
      </c>
      <c r="AK114" s="111">
        <v>105</v>
      </c>
      <c r="AM114" s="111" t="str">
        <f t="array" ref="AM114">IFERROR(INDEX($AK$10:$AK$258, MATCH(0, IF(TRUE=$AH$10:$AH$258, COUNTIF($AM$9:$AM113, $AK$10:$AK$258), ""), 0)),"")</f>
        <v/>
      </c>
      <c r="AN114" s="111" t="str">
        <f t="array" ref="AN114">IFERROR(INDEX($AK$10:$AK$258, MATCH(0, IF(TRUE=$AI$10:$AI$258, COUNTIF($AN$9:$AN113, $AK$10:$AK$258), ""), 0)),"")</f>
        <v/>
      </c>
      <c r="AY114" s="289" t="str">
        <f t="shared" si="17"/>
        <v/>
      </c>
    </row>
    <row r="115" spans="2:51" ht="13.8" x14ac:dyDescent="0.25">
      <c r="B115" s="101">
        <v>106</v>
      </c>
      <c r="C115" s="142"/>
      <c r="D115" s="142"/>
      <c r="E115" s="108"/>
      <c r="F115" s="281" t="str">
        <f>IF(D115="","",VLOOKUP(D115,'G-6 Hedgerow Data'!$B$2:$AG$15,2,FALSE))</f>
        <v/>
      </c>
      <c r="G115" s="282" t="str">
        <f>IF(D115="","",VLOOKUP(D115,'G-6 Hedgerow Data'!$B$2:$AG$15,3,FALSE))</f>
        <v/>
      </c>
      <c r="H115" s="105"/>
      <c r="I115" s="282" t="str">
        <f>IFERROR(IF(AND(D115&lt;&gt;"",H115=""), "Check data ⚠",(IF(H115="","",IF(AND(D115="Non-native and ornamental hedgerow", H115&lt;&gt;"Poor"),"Not possible ▲", (IF(AND(F115="V.Low",OR(H115="Good",H115="Moderate")),"Error ▲",VLOOKUP(H115,'G-1 All Habitats'!$Z$2:$AA$9,2,FALSE))))))),"")</f>
        <v/>
      </c>
      <c r="J115" s="109"/>
      <c r="K115" s="301" t="str">
        <f>IF(AND(J115="",D115&lt;&gt;""),"Check data ⚠",IF(J115="","",IF(VLOOKUP(J115,'G-3 Multipliers'!$L$3:$N$6,2,FALSE)=0,"Spatial Data Missing ⚠",VLOOKUP(J115,'G-3 Multipliers'!$L$3:$N$6,2,FALSE))))</f>
        <v/>
      </c>
      <c r="L115" s="305" t="str">
        <f>IF(J115="","",IF(VLOOKUP(J115,'G-3 Multipliers'!$L$3:$N$6,3,FALSE)=0,"Spatial Data Missing ⚠",VLOOKUP(J115,'G-3 Multipliers'!$L$3:$N$6,3,FALSE)))</f>
        <v/>
      </c>
      <c r="M115" s="342" t="str">
        <f>IF(D115="","",VLOOKUP(D115,'G-6 Hedgerow Data'!$B$1:$AH$15,33,FALSE))</f>
        <v/>
      </c>
      <c r="N115" s="295" t="str">
        <f t="shared" si="11"/>
        <v/>
      </c>
      <c r="O115" s="403"/>
      <c r="P115" s="287" t="str">
        <f>IF(O115="","",IF(VLOOKUP(O115,'G-3 Multipliers'!$S$3:$T$10,2,FALSE)=0,"Spatial Data Missing ⚠",VLOOKUP(O115,'G-3 Multipliers'!$S$3:$T$10,2,FALSE)))</f>
        <v/>
      </c>
      <c r="Q115" s="295" t="str">
        <f t="shared" si="12"/>
        <v/>
      </c>
      <c r="R115" s="32"/>
      <c r="S115" s="105"/>
      <c r="T115" s="112"/>
      <c r="U115" s="289" t="str">
        <f t="shared" si="13"/>
        <v/>
      </c>
      <c r="V115" s="289" t="str">
        <f t="shared" si="14"/>
        <v/>
      </c>
      <c r="W115" s="293" t="str">
        <f t="shared" si="15"/>
        <v/>
      </c>
      <c r="X115" s="297" t="str">
        <f t="shared" si="16"/>
        <v/>
      </c>
      <c r="Y115" s="109"/>
      <c r="Z115" s="108"/>
      <c r="AA115" s="108"/>
      <c r="AB115" s="108"/>
      <c r="AE115" s="30" t="str">
        <f>IFERROR(INDEX('G-6 Hedgerow Data'!$BJ$3:$BJ$15,MATCH(D115,'G-6 Hedgerow Data'!$B$3:$B$15,0)),"")</f>
        <v/>
      </c>
      <c r="AH115" s="111" t="str">
        <f t="shared" si="9"/>
        <v/>
      </c>
      <c r="AI115" s="111" t="str">
        <f t="shared" si="10"/>
        <v/>
      </c>
      <c r="AK115" s="111">
        <v>106</v>
      </c>
      <c r="AM115" s="111" t="str">
        <f t="array" ref="AM115">IFERROR(INDEX($AK$10:$AK$258, MATCH(0, IF(TRUE=$AH$10:$AH$258, COUNTIF($AM$9:$AM114, $AK$10:$AK$258), ""), 0)),"")</f>
        <v/>
      </c>
      <c r="AN115" s="111" t="str">
        <f t="array" ref="AN115">IFERROR(INDEX($AK$10:$AK$258, MATCH(0, IF(TRUE=$AI$10:$AI$258, COUNTIF($AN$9:$AN114, $AK$10:$AK$258), ""), 0)),"")</f>
        <v/>
      </c>
      <c r="AY115" s="289" t="str">
        <f t="shared" si="17"/>
        <v/>
      </c>
    </row>
    <row r="116" spans="2:51" ht="13.8" x14ac:dyDescent="0.25">
      <c r="B116" s="101">
        <v>107</v>
      </c>
      <c r="C116" s="142"/>
      <c r="D116" s="142"/>
      <c r="E116" s="108"/>
      <c r="F116" s="281" t="str">
        <f>IF(D116="","",VLOOKUP(D116,'G-6 Hedgerow Data'!$B$2:$AG$15,2,FALSE))</f>
        <v/>
      </c>
      <c r="G116" s="282" t="str">
        <f>IF(D116="","",VLOOKUP(D116,'G-6 Hedgerow Data'!$B$2:$AG$15,3,FALSE))</f>
        <v/>
      </c>
      <c r="H116" s="105"/>
      <c r="I116" s="282" t="str">
        <f>IFERROR(IF(AND(D116&lt;&gt;"",H116=""), "Check data ⚠",(IF(H116="","",IF(AND(D116="Non-native and ornamental hedgerow", H116&lt;&gt;"Poor"),"Not possible ▲", (IF(AND(F116="V.Low",OR(H116="Good",H116="Moderate")),"Error ▲",VLOOKUP(H116,'G-1 All Habitats'!$Z$2:$AA$9,2,FALSE))))))),"")</f>
        <v/>
      </c>
      <c r="J116" s="109"/>
      <c r="K116" s="301" t="str">
        <f>IF(AND(J116="",D116&lt;&gt;""),"Check data ⚠",IF(J116="","",IF(VLOOKUP(J116,'G-3 Multipliers'!$L$3:$N$6,2,FALSE)=0,"Spatial Data Missing ⚠",VLOOKUP(J116,'G-3 Multipliers'!$L$3:$N$6,2,FALSE))))</f>
        <v/>
      </c>
      <c r="L116" s="305" t="str">
        <f>IF(J116="","",IF(VLOOKUP(J116,'G-3 Multipliers'!$L$3:$N$6,3,FALSE)=0,"Spatial Data Missing ⚠",VLOOKUP(J116,'G-3 Multipliers'!$L$3:$N$6,3,FALSE)))</f>
        <v/>
      </c>
      <c r="M116" s="342" t="str">
        <f>IF(D116="","",VLOOKUP(D116,'G-6 Hedgerow Data'!$B$1:$AH$15,33,FALSE))</f>
        <v/>
      </c>
      <c r="N116" s="295" t="str">
        <f t="shared" si="11"/>
        <v/>
      </c>
      <c r="O116" s="403"/>
      <c r="P116" s="287" t="str">
        <f>IF(O116="","",IF(VLOOKUP(O116,'G-3 Multipliers'!$S$3:$T$10,2,FALSE)=0,"Spatial Data Missing ⚠",VLOOKUP(O116,'G-3 Multipliers'!$S$3:$T$10,2,FALSE)))</f>
        <v/>
      </c>
      <c r="Q116" s="295" t="str">
        <f t="shared" si="12"/>
        <v/>
      </c>
      <c r="R116" s="32"/>
      <c r="S116" s="105"/>
      <c r="T116" s="112"/>
      <c r="U116" s="289" t="str">
        <f t="shared" si="13"/>
        <v/>
      </c>
      <c r="V116" s="289" t="str">
        <f t="shared" si="14"/>
        <v/>
      </c>
      <c r="W116" s="293" t="str">
        <f t="shared" si="15"/>
        <v/>
      </c>
      <c r="X116" s="297" t="str">
        <f t="shared" si="16"/>
        <v/>
      </c>
      <c r="Y116" s="109"/>
      <c r="Z116" s="108"/>
      <c r="AA116" s="108"/>
      <c r="AB116" s="108"/>
      <c r="AE116" s="30" t="str">
        <f>IFERROR(INDEX('G-6 Hedgerow Data'!$BJ$3:$BJ$15,MATCH(D116,'G-6 Hedgerow Data'!$B$3:$B$15,0)),"")</f>
        <v/>
      </c>
      <c r="AH116" s="111" t="str">
        <f t="shared" si="9"/>
        <v/>
      </c>
      <c r="AI116" s="111" t="str">
        <f t="shared" si="10"/>
        <v/>
      </c>
      <c r="AK116" s="111">
        <v>107</v>
      </c>
      <c r="AM116" s="111" t="str">
        <f t="array" ref="AM116">IFERROR(INDEX($AK$10:$AK$258, MATCH(0, IF(TRUE=$AH$10:$AH$258, COUNTIF($AM$9:$AM115, $AK$10:$AK$258), ""), 0)),"")</f>
        <v/>
      </c>
      <c r="AN116" s="111" t="str">
        <f t="array" ref="AN116">IFERROR(INDEX($AK$10:$AK$258, MATCH(0, IF(TRUE=$AI$10:$AI$258, COUNTIF($AN$9:$AN115, $AK$10:$AK$258), ""), 0)),"")</f>
        <v/>
      </c>
      <c r="AY116" s="289" t="str">
        <f t="shared" si="17"/>
        <v/>
      </c>
    </row>
    <row r="117" spans="2:51" ht="13.8" x14ac:dyDescent="0.25">
      <c r="B117" s="101">
        <v>108</v>
      </c>
      <c r="C117" s="142"/>
      <c r="D117" s="142"/>
      <c r="E117" s="108"/>
      <c r="F117" s="281" t="str">
        <f>IF(D117="","",VLOOKUP(D117,'G-6 Hedgerow Data'!$B$2:$AG$15,2,FALSE))</f>
        <v/>
      </c>
      <c r="G117" s="282" t="str">
        <f>IF(D117="","",VLOOKUP(D117,'G-6 Hedgerow Data'!$B$2:$AG$15,3,FALSE))</f>
        <v/>
      </c>
      <c r="H117" s="105"/>
      <c r="I117" s="282" t="str">
        <f>IFERROR(IF(AND(D117&lt;&gt;"",H117=""), "Check data ⚠",(IF(H117="","",IF(AND(D117="Non-native and ornamental hedgerow", H117&lt;&gt;"Poor"),"Not possible ▲", (IF(AND(F117="V.Low",OR(H117="Good",H117="Moderate")),"Error ▲",VLOOKUP(H117,'G-1 All Habitats'!$Z$2:$AA$9,2,FALSE))))))),"")</f>
        <v/>
      </c>
      <c r="J117" s="109"/>
      <c r="K117" s="301" t="str">
        <f>IF(AND(J117="",D117&lt;&gt;""),"Check data ⚠",IF(J117="","",IF(VLOOKUP(J117,'G-3 Multipliers'!$L$3:$N$6,2,FALSE)=0,"Spatial Data Missing ⚠",VLOOKUP(J117,'G-3 Multipliers'!$L$3:$N$6,2,FALSE))))</f>
        <v/>
      </c>
      <c r="L117" s="305" t="str">
        <f>IF(J117="","",IF(VLOOKUP(J117,'G-3 Multipliers'!$L$3:$N$6,3,FALSE)=0,"Spatial Data Missing ⚠",VLOOKUP(J117,'G-3 Multipliers'!$L$3:$N$6,3,FALSE)))</f>
        <v/>
      </c>
      <c r="M117" s="342" t="str">
        <f>IF(D117="","",VLOOKUP(D117,'G-6 Hedgerow Data'!$B$1:$AH$15,33,FALSE))</f>
        <v/>
      </c>
      <c r="N117" s="295" t="str">
        <f t="shared" si="11"/>
        <v/>
      </c>
      <c r="O117" s="403"/>
      <c r="P117" s="287" t="str">
        <f>IF(O117="","",IF(VLOOKUP(O117,'G-3 Multipliers'!$S$3:$T$10,2,FALSE)=0,"Spatial Data Missing ⚠",VLOOKUP(O117,'G-3 Multipliers'!$S$3:$T$10,2,FALSE)))</f>
        <v/>
      </c>
      <c r="Q117" s="295" t="str">
        <f t="shared" si="12"/>
        <v/>
      </c>
      <c r="R117" s="32"/>
      <c r="S117" s="105"/>
      <c r="T117" s="112"/>
      <c r="U117" s="289" t="str">
        <f t="shared" si="13"/>
        <v/>
      </c>
      <c r="V117" s="289" t="str">
        <f t="shared" si="14"/>
        <v/>
      </c>
      <c r="W117" s="293" t="str">
        <f t="shared" si="15"/>
        <v/>
      </c>
      <c r="X117" s="297" t="str">
        <f t="shared" si="16"/>
        <v/>
      </c>
      <c r="Y117" s="109"/>
      <c r="Z117" s="108"/>
      <c r="AA117" s="108"/>
      <c r="AB117" s="108"/>
      <c r="AE117" s="30" t="str">
        <f>IFERROR(INDEX('G-6 Hedgerow Data'!$BJ$3:$BJ$15,MATCH(D117,'G-6 Hedgerow Data'!$B$3:$B$15,0)),"")</f>
        <v/>
      </c>
      <c r="AH117" s="111" t="str">
        <f t="shared" si="9"/>
        <v/>
      </c>
      <c r="AI117" s="111" t="str">
        <f t="shared" si="10"/>
        <v/>
      </c>
      <c r="AK117" s="111">
        <v>108</v>
      </c>
      <c r="AM117" s="111" t="str">
        <f t="array" ref="AM117">IFERROR(INDEX($AK$10:$AK$258, MATCH(0, IF(TRUE=$AH$10:$AH$258, COUNTIF($AM$9:$AM116, $AK$10:$AK$258), ""), 0)),"")</f>
        <v/>
      </c>
      <c r="AN117" s="111" t="str">
        <f t="array" ref="AN117">IFERROR(INDEX($AK$10:$AK$258, MATCH(0, IF(TRUE=$AI$10:$AI$258, COUNTIF($AN$9:$AN116, $AK$10:$AK$258), ""), 0)),"")</f>
        <v/>
      </c>
      <c r="AY117" s="289" t="str">
        <f t="shared" si="17"/>
        <v/>
      </c>
    </row>
    <row r="118" spans="2:51" ht="13.8" x14ac:dyDescent="0.25">
      <c r="B118" s="101">
        <v>109</v>
      </c>
      <c r="C118" s="142"/>
      <c r="D118" s="142"/>
      <c r="E118" s="108"/>
      <c r="F118" s="281" t="str">
        <f>IF(D118="","",VLOOKUP(D118,'G-6 Hedgerow Data'!$B$2:$AG$15,2,FALSE))</f>
        <v/>
      </c>
      <c r="G118" s="282" t="str">
        <f>IF(D118="","",VLOOKUP(D118,'G-6 Hedgerow Data'!$B$2:$AG$15,3,FALSE))</f>
        <v/>
      </c>
      <c r="H118" s="105"/>
      <c r="I118" s="282" t="str">
        <f>IFERROR(IF(AND(D118&lt;&gt;"",H118=""), "Check data ⚠",(IF(H118="","",IF(AND(D118="Non-native and ornamental hedgerow", H118&lt;&gt;"Poor"),"Not possible ▲", (IF(AND(F118="V.Low",OR(H118="Good",H118="Moderate")),"Error ▲",VLOOKUP(H118,'G-1 All Habitats'!$Z$2:$AA$9,2,FALSE))))))),"")</f>
        <v/>
      </c>
      <c r="J118" s="109"/>
      <c r="K118" s="301" t="str">
        <f>IF(AND(J118="",D118&lt;&gt;""),"Check data ⚠",IF(J118="","",IF(VLOOKUP(J118,'G-3 Multipliers'!$L$3:$N$6,2,FALSE)=0,"Spatial Data Missing ⚠",VLOOKUP(J118,'G-3 Multipliers'!$L$3:$N$6,2,FALSE))))</f>
        <v/>
      </c>
      <c r="L118" s="305" t="str">
        <f>IF(J118="","",IF(VLOOKUP(J118,'G-3 Multipliers'!$L$3:$N$6,3,FALSE)=0,"Spatial Data Missing ⚠",VLOOKUP(J118,'G-3 Multipliers'!$L$3:$N$6,3,FALSE)))</f>
        <v/>
      </c>
      <c r="M118" s="342" t="str">
        <f>IF(D118="","",VLOOKUP(D118,'G-6 Hedgerow Data'!$B$1:$AH$15,33,FALSE))</f>
        <v/>
      </c>
      <c r="N118" s="295" t="str">
        <f t="shared" si="11"/>
        <v/>
      </c>
      <c r="O118" s="403"/>
      <c r="P118" s="287" t="str">
        <f>IF(O118="","",IF(VLOOKUP(O118,'G-3 Multipliers'!$S$3:$T$10,2,FALSE)=0,"Spatial Data Missing ⚠",VLOOKUP(O118,'G-3 Multipliers'!$S$3:$T$10,2,FALSE)))</f>
        <v/>
      </c>
      <c r="Q118" s="295" t="str">
        <f t="shared" si="12"/>
        <v/>
      </c>
      <c r="R118" s="32"/>
      <c r="S118" s="105"/>
      <c r="T118" s="112"/>
      <c r="U118" s="289" t="str">
        <f t="shared" si="13"/>
        <v/>
      </c>
      <c r="V118" s="289" t="str">
        <f t="shared" si="14"/>
        <v/>
      </c>
      <c r="W118" s="293" t="str">
        <f t="shared" si="15"/>
        <v/>
      </c>
      <c r="X118" s="297" t="str">
        <f t="shared" si="16"/>
        <v/>
      </c>
      <c r="Y118" s="109"/>
      <c r="Z118" s="108"/>
      <c r="AA118" s="108"/>
      <c r="AB118" s="108"/>
      <c r="AE118" s="30" t="str">
        <f>IFERROR(INDEX('G-6 Hedgerow Data'!$BJ$3:$BJ$15,MATCH(D118,'G-6 Hedgerow Data'!$B$3:$B$15,0)),"")</f>
        <v/>
      </c>
      <c r="AH118" s="111" t="str">
        <f t="shared" si="9"/>
        <v/>
      </c>
      <c r="AI118" s="111" t="str">
        <f t="shared" si="10"/>
        <v/>
      </c>
      <c r="AK118" s="111">
        <v>109</v>
      </c>
      <c r="AM118" s="111" t="str">
        <f t="array" ref="AM118">IFERROR(INDEX($AK$10:$AK$258, MATCH(0, IF(TRUE=$AH$10:$AH$258, COUNTIF($AM$9:$AM117, $AK$10:$AK$258), ""), 0)),"")</f>
        <v/>
      </c>
      <c r="AN118" s="111" t="str">
        <f t="array" ref="AN118">IFERROR(INDEX($AK$10:$AK$258, MATCH(0, IF(TRUE=$AI$10:$AI$258, COUNTIF($AN$9:$AN117, $AK$10:$AK$258), ""), 0)),"")</f>
        <v/>
      </c>
      <c r="AY118" s="289" t="str">
        <f t="shared" si="17"/>
        <v/>
      </c>
    </row>
    <row r="119" spans="2:51" ht="13.8" x14ac:dyDescent="0.25">
      <c r="B119" s="101">
        <v>110</v>
      </c>
      <c r="C119" s="142"/>
      <c r="D119" s="142"/>
      <c r="E119" s="108"/>
      <c r="F119" s="281" t="str">
        <f>IF(D119="","",VLOOKUP(D119,'G-6 Hedgerow Data'!$B$2:$AG$15,2,FALSE))</f>
        <v/>
      </c>
      <c r="G119" s="282" t="str">
        <f>IF(D119="","",VLOOKUP(D119,'G-6 Hedgerow Data'!$B$2:$AG$15,3,FALSE))</f>
        <v/>
      </c>
      <c r="H119" s="105"/>
      <c r="I119" s="282" t="str">
        <f>IFERROR(IF(AND(D119&lt;&gt;"",H119=""), "Check data ⚠",(IF(H119="","",IF(AND(D119="Non-native and ornamental hedgerow", H119&lt;&gt;"Poor"),"Not possible ▲", (IF(AND(F119="V.Low",OR(H119="Good",H119="Moderate")),"Error ▲",VLOOKUP(H119,'G-1 All Habitats'!$Z$2:$AA$9,2,FALSE))))))),"")</f>
        <v/>
      </c>
      <c r="J119" s="109"/>
      <c r="K119" s="301" t="str">
        <f>IF(AND(J119="",D119&lt;&gt;""),"Check data ⚠",IF(J119="","",IF(VLOOKUP(J119,'G-3 Multipliers'!$L$3:$N$6,2,FALSE)=0,"Spatial Data Missing ⚠",VLOOKUP(J119,'G-3 Multipliers'!$L$3:$N$6,2,FALSE))))</f>
        <v/>
      </c>
      <c r="L119" s="305" t="str">
        <f>IF(J119="","",IF(VLOOKUP(J119,'G-3 Multipliers'!$L$3:$N$6,3,FALSE)=0,"Spatial Data Missing ⚠",VLOOKUP(J119,'G-3 Multipliers'!$L$3:$N$6,3,FALSE)))</f>
        <v/>
      </c>
      <c r="M119" s="342" t="str">
        <f>IF(D119="","",VLOOKUP(D119,'G-6 Hedgerow Data'!$B$1:$AH$15,33,FALSE))</f>
        <v/>
      </c>
      <c r="N119" s="295" t="str">
        <f t="shared" si="11"/>
        <v/>
      </c>
      <c r="O119" s="403"/>
      <c r="P119" s="287" t="str">
        <f>IF(O119="","",IF(VLOOKUP(O119,'G-3 Multipliers'!$S$3:$T$10,2,FALSE)=0,"Spatial Data Missing ⚠",VLOOKUP(O119,'G-3 Multipliers'!$S$3:$T$10,2,FALSE)))</f>
        <v/>
      </c>
      <c r="Q119" s="295" t="str">
        <f t="shared" si="12"/>
        <v/>
      </c>
      <c r="R119" s="32"/>
      <c r="S119" s="105"/>
      <c r="T119" s="112"/>
      <c r="U119" s="289" t="str">
        <f t="shared" si="13"/>
        <v/>
      </c>
      <c r="V119" s="289" t="str">
        <f t="shared" si="14"/>
        <v/>
      </c>
      <c r="W119" s="293" t="str">
        <f t="shared" si="15"/>
        <v/>
      </c>
      <c r="X119" s="297" t="str">
        <f t="shared" si="16"/>
        <v/>
      </c>
      <c r="Y119" s="109"/>
      <c r="Z119" s="108"/>
      <c r="AA119" s="108"/>
      <c r="AB119" s="108"/>
      <c r="AE119" s="30" t="str">
        <f>IFERROR(INDEX('G-6 Hedgerow Data'!$BJ$3:$BJ$15,MATCH(D119,'G-6 Hedgerow Data'!$B$3:$B$15,0)),"")</f>
        <v/>
      </c>
      <c r="AH119" s="111" t="str">
        <f t="shared" si="9"/>
        <v/>
      </c>
      <c r="AI119" s="111" t="str">
        <f t="shared" si="10"/>
        <v/>
      </c>
      <c r="AK119" s="111">
        <v>110</v>
      </c>
      <c r="AM119" s="111" t="str">
        <f t="array" ref="AM119">IFERROR(INDEX($AK$10:$AK$258, MATCH(0, IF(TRUE=$AH$10:$AH$258, COUNTIF($AM$9:$AM118, $AK$10:$AK$258), ""), 0)),"")</f>
        <v/>
      </c>
      <c r="AN119" s="111" t="str">
        <f t="array" ref="AN119">IFERROR(INDEX($AK$10:$AK$258, MATCH(0, IF(TRUE=$AI$10:$AI$258, COUNTIF($AN$9:$AN118, $AK$10:$AK$258), ""), 0)),"")</f>
        <v/>
      </c>
      <c r="AY119" s="289" t="str">
        <f t="shared" si="17"/>
        <v/>
      </c>
    </row>
    <row r="120" spans="2:51" ht="13.8" x14ac:dyDescent="0.25">
      <c r="B120" s="101">
        <v>111</v>
      </c>
      <c r="C120" s="142"/>
      <c r="D120" s="142"/>
      <c r="E120" s="108"/>
      <c r="F120" s="281" t="str">
        <f>IF(D120="","",VLOOKUP(D120,'G-6 Hedgerow Data'!$B$2:$AG$15,2,FALSE))</f>
        <v/>
      </c>
      <c r="G120" s="282" t="str">
        <f>IF(D120="","",VLOOKUP(D120,'G-6 Hedgerow Data'!$B$2:$AG$15,3,FALSE))</f>
        <v/>
      </c>
      <c r="H120" s="105"/>
      <c r="I120" s="282" t="str">
        <f>IFERROR(IF(AND(D120&lt;&gt;"",H120=""), "Check data ⚠",(IF(H120="","",IF(AND(D120="Non-native and ornamental hedgerow", H120&lt;&gt;"Poor"),"Not possible ▲", (IF(AND(F120="V.Low",OR(H120="Good",H120="Moderate")),"Error ▲",VLOOKUP(H120,'G-1 All Habitats'!$Z$2:$AA$9,2,FALSE))))))),"")</f>
        <v/>
      </c>
      <c r="J120" s="109"/>
      <c r="K120" s="301" t="str">
        <f>IF(AND(J120="",D120&lt;&gt;""),"Check data ⚠",IF(J120="","",IF(VLOOKUP(J120,'G-3 Multipliers'!$L$3:$N$6,2,FALSE)=0,"Spatial Data Missing ⚠",VLOOKUP(J120,'G-3 Multipliers'!$L$3:$N$6,2,FALSE))))</f>
        <v/>
      </c>
      <c r="L120" s="305" t="str">
        <f>IF(J120="","",IF(VLOOKUP(J120,'G-3 Multipliers'!$L$3:$N$6,3,FALSE)=0,"Spatial Data Missing ⚠",VLOOKUP(J120,'G-3 Multipliers'!$L$3:$N$6,3,FALSE)))</f>
        <v/>
      </c>
      <c r="M120" s="342" t="str">
        <f>IF(D120="","",VLOOKUP(D120,'G-6 Hedgerow Data'!$B$1:$AH$15,33,FALSE))</f>
        <v/>
      </c>
      <c r="N120" s="295" t="str">
        <f t="shared" si="11"/>
        <v/>
      </c>
      <c r="O120" s="403"/>
      <c r="P120" s="287" t="str">
        <f>IF(O120="","",IF(VLOOKUP(O120,'G-3 Multipliers'!$S$3:$T$10,2,FALSE)=0,"Spatial Data Missing ⚠",VLOOKUP(O120,'G-3 Multipliers'!$S$3:$T$10,2,FALSE)))</f>
        <v/>
      </c>
      <c r="Q120" s="295" t="str">
        <f t="shared" si="12"/>
        <v/>
      </c>
      <c r="R120" s="32"/>
      <c r="S120" s="105"/>
      <c r="T120" s="112"/>
      <c r="U120" s="289" t="str">
        <f t="shared" si="13"/>
        <v/>
      </c>
      <c r="V120" s="289" t="str">
        <f t="shared" si="14"/>
        <v/>
      </c>
      <c r="W120" s="293" t="str">
        <f t="shared" si="15"/>
        <v/>
      </c>
      <c r="X120" s="297" t="str">
        <f t="shared" si="16"/>
        <v/>
      </c>
      <c r="Y120" s="109"/>
      <c r="Z120" s="108"/>
      <c r="AA120" s="108"/>
      <c r="AB120" s="108"/>
      <c r="AE120" s="30" t="str">
        <f>IFERROR(INDEX('G-6 Hedgerow Data'!$BJ$3:$BJ$15,MATCH(D120,'G-6 Hedgerow Data'!$B$3:$B$15,0)),"")</f>
        <v/>
      </c>
      <c r="AH120" s="111" t="str">
        <f t="shared" si="9"/>
        <v/>
      </c>
      <c r="AI120" s="111" t="str">
        <f t="shared" si="10"/>
        <v/>
      </c>
      <c r="AK120" s="111">
        <v>111</v>
      </c>
      <c r="AM120" s="111" t="str">
        <f t="array" ref="AM120">IFERROR(INDEX($AK$10:$AK$258, MATCH(0, IF(TRUE=$AH$10:$AH$258, COUNTIF($AM$9:$AM119, $AK$10:$AK$258), ""), 0)),"")</f>
        <v/>
      </c>
      <c r="AN120" s="111" t="str">
        <f t="array" ref="AN120">IFERROR(INDEX($AK$10:$AK$258, MATCH(0, IF(TRUE=$AI$10:$AI$258, COUNTIF($AN$9:$AN119, $AK$10:$AK$258), ""), 0)),"")</f>
        <v/>
      </c>
      <c r="AY120" s="289" t="str">
        <f t="shared" si="17"/>
        <v/>
      </c>
    </row>
    <row r="121" spans="2:51" ht="13.8" x14ac:dyDescent="0.25">
      <c r="B121" s="101">
        <v>112</v>
      </c>
      <c r="C121" s="142"/>
      <c r="D121" s="142"/>
      <c r="E121" s="108"/>
      <c r="F121" s="281" t="str">
        <f>IF(D121="","",VLOOKUP(D121,'G-6 Hedgerow Data'!$B$2:$AG$15,2,FALSE))</f>
        <v/>
      </c>
      <c r="G121" s="282" t="str">
        <f>IF(D121="","",VLOOKUP(D121,'G-6 Hedgerow Data'!$B$2:$AG$15,3,FALSE))</f>
        <v/>
      </c>
      <c r="H121" s="105"/>
      <c r="I121" s="282" t="str">
        <f>IFERROR(IF(AND(D121&lt;&gt;"",H121=""), "Check data ⚠",(IF(H121="","",IF(AND(D121="Non-native and ornamental hedgerow", H121&lt;&gt;"Poor"),"Not possible ▲", (IF(AND(F121="V.Low",OR(H121="Good",H121="Moderate")),"Error ▲",VLOOKUP(H121,'G-1 All Habitats'!$Z$2:$AA$9,2,FALSE))))))),"")</f>
        <v/>
      </c>
      <c r="J121" s="109"/>
      <c r="K121" s="301" t="str">
        <f>IF(AND(J121="",D121&lt;&gt;""),"Check data ⚠",IF(J121="","",IF(VLOOKUP(J121,'G-3 Multipliers'!$L$3:$N$6,2,FALSE)=0,"Spatial Data Missing ⚠",VLOOKUP(J121,'G-3 Multipliers'!$L$3:$N$6,2,FALSE))))</f>
        <v/>
      </c>
      <c r="L121" s="305" t="str">
        <f>IF(J121="","",IF(VLOOKUP(J121,'G-3 Multipliers'!$L$3:$N$6,3,FALSE)=0,"Spatial Data Missing ⚠",VLOOKUP(J121,'G-3 Multipliers'!$L$3:$N$6,3,FALSE)))</f>
        <v/>
      </c>
      <c r="M121" s="342" t="str">
        <f>IF(D121="","",VLOOKUP(D121,'G-6 Hedgerow Data'!$B$1:$AH$15,33,FALSE))</f>
        <v/>
      </c>
      <c r="N121" s="295" t="str">
        <f t="shared" si="11"/>
        <v/>
      </c>
      <c r="O121" s="403"/>
      <c r="P121" s="287" t="str">
        <f>IF(O121="","",IF(VLOOKUP(O121,'G-3 Multipliers'!$S$3:$T$10,2,FALSE)=0,"Spatial Data Missing ⚠",VLOOKUP(O121,'G-3 Multipliers'!$S$3:$T$10,2,FALSE)))</f>
        <v/>
      </c>
      <c r="Q121" s="295" t="str">
        <f t="shared" si="12"/>
        <v/>
      </c>
      <c r="R121" s="32"/>
      <c r="S121" s="105"/>
      <c r="T121" s="112"/>
      <c r="U121" s="289" t="str">
        <f t="shared" si="13"/>
        <v/>
      </c>
      <c r="V121" s="289" t="str">
        <f t="shared" si="14"/>
        <v/>
      </c>
      <c r="W121" s="293" t="str">
        <f t="shared" si="15"/>
        <v/>
      </c>
      <c r="X121" s="297" t="str">
        <f t="shared" si="16"/>
        <v/>
      </c>
      <c r="Y121" s="109"/>
      <c r="Z121" s="108"/>
      <c r="AA121" s="108"/>
      <c r="AB121" s="108"/>
      <c r="AE121" s="30" t="str">
        <f>IFERROR(INDEX('G-6 Hedgerow Data'!$BJ$3:$BJ$15,MATCH(D121,'G-6 Hedgerow Data'!$B$3:$B$15,0)),"")</f>
        <v/>
      </c>
      <c r="AH121" s="111" t="str">
        <f t="shared" si="9"/>
        <v/>
      </c>
      <c r="AI121" s="111" t="str">
        <f t="shared" si="10"/>
        <v/>
      </c>
      <c r="AK121" s="111">
        <v>112</v>
      </c>
      <c r="AM121" s="111" t="str">
        <f t="array" ref="AM121">IFERROR(INDEX($AK$10:$AK$258, MATCH(0, IF(TRUE=$AH$10:$AH$258, COUNTIF($AM$9:$AM120, $AK$10:$AK$258), ""), 0)),"")</f>
        <v/>
      </c>
      <c r="AN121" s="111" t="str">
        <f t="array" ref="AN121">IFERROR(INDEX($AK$10:$AK$258, MATCH(0, IF(TRUE=$AI$10:$AI$258, COUNTIF($AN$9:$AN120, $AK$10:$AK$258), ""), 0)),"")</f>
        <v/>
      </c>
      <c r="AY121" s="289" t="str">
        <f t="shared" si="17"/>
        <v/>
      </c>
    </row>
    <row r="122" spans="2:51" ht="13.8" x14ac:dyDescent="0.25">
      <c r="B122" s="101">
        <v>113</v>
      </c>
      <c r="C122" s="142"/>
      <c r="D122" s="142"/>
      <c r="E122" s="108"/>
      <c r="F122" s="281" t="str">
        <f>IF(D122="","",VLOOKUP(D122,'G-6 Hedgerow Data'!$B$2:$AG$15,2,FALSE))</f>
        <v/>
      </c>
      <c r="G122" s="282" t="str">
        <f>IF(D122="","",VLOOKUP(D122,'G-6 Hedgerow Data'!$B$2:$AG$15,3,FALSE))</f>
        <v/>
      </c>
      <c r="H122" s="105"/>
      <c r="I122" s="282" t="str">
        <f>IFERROR(IF(AND(D122&lt;&gt;"",H122=""), "Check data ⚠",(IF(H122="","",IF(AND(D122="Non-native and ornamental hedgerow", H122&lt;&gt;"Poor"),"Not possible ▲", (IF(AND(F122="V.Low",OR(H122="Good",H122="Moderate")),"Error ▲",VLOOKUP(H122,'G-1 All Habitats'!$Z$2:$AA$9,2,FALSE))))))),"")</f>
        <v/>
      </c>
      <c r="J122" s="109"/>
      <c r="K122" s="301" t="str">
        <f>IF(AND(J122="",D122&lt;&gt;""),"Check data ⚠",IF(J122="","",IF(VLOOKUP(J122,'G-3 Multipliers'!$L$3:$N$6,2,FALSE)=0,"Spatial Data Missing ⚠",VLOOKUP(J122,'G-3 Multipliers'!$L$3:$N$6,2,FALSE))))</f>
        <v/>
      </c>
      <c r="L122" s="305" t="str">
        <f>IF(J122="","",IF(VLOOKUP(J122,'G-3 Multipliers'!$L$3:$N$6,3,FALSE)=0,"Spatial Data Missing ⚠",VLOOKUP(J122,'G-3 Multipliers'!$L$3:$N$6,3,FALSE)))</f>
        <v/>
      </c>
      <c r="M122" s="342" t="str">
        <f>IF(D122="","",VLOOKUP(D122,'G-6 Hedgerow Data'!$B$1:$AH$15,33,FALSE))</f>
        <v/>
      </c>
      <c r="N122" s="295" t="str">
        <f t="shared" si="11"/>
        <v/>
      </c>
      <c r="O122" s="403"/>
      <c r="P122" s="287" t="str">
        <f>IF(O122="","",IF(VLOOKUP(O122,'G-3 Multipliers'!$S$3:$T$10,2,FALSE)=0,"Spatial Data Missing ⚠",VLOOKUP(O122,'G-3 Multipliers'!$S$3:$T$10,2,FALSE)))</f>
        <v/>
      </c>
      <c r="Q122" s="295" t="str">
        <f t="shared" si="12"/>
        <v/>
      </c>
      <c r="R122" s="32"/>
      <c r="S122" s="105"/>
      <c r="T122" s="112"/>
      <c r="U122" s="289" t="str">
        <f t="shared" si="13"/>
        <v/>
      </c>
      <c r="V122" s="289" t="str">
        <f t="shared" si="14"/>
        <v/>
      </c>
      <c r="W122" s="293" t="str">
        <f t="shared" si="15"/>
        <v/>
      </c>
      <c r="X122" s="297" t="str">
        <f t="shared" si="16"/>
        <v/>
      </c>
      <c r="Y122" s="109"/>
      <c r="Z122" s="108"/>
      <c r="AA122" s="108"/>
      <c r="AB122" s="108"/>
      <c r="AE122" s="30" t="str">
        <f>IFERROR(INDEX('G-6 Hedgerow Data'!$BJ$3:$BJ$15,MATCH(D122,'G-6 Hedgerow Data'!$B$3:$B$15,0)),"")</f>
        <v/>
      </c>
      <c r="AH122" s="111" t="str">
        <f t="shared" si="9"/>
        <v/>
      </c>
      <c r="AI122" s="111" t="str">
        <f t="shared" si="10"/>
        <v/>
      </c>
      <c r="AK122" s="111">
        <v>113</v>
      </c>
      <c r="AM122" s="111" t="str">
        <f t="array" ref="AM122">IFERROR(INDEX($AK$10:$AK$258, MATCH(0, IF(TRUE=$AH$10:$AH$258, COUNTIF($AM$9:$AM121, $AK$10:$AK$258), ""), 0)),"")</f>
        <v/>
      </c>
      <c r="AN122" s="111" t="str">
        <f t="array" ref="AN122">IFERROR(INDEX($AK$10:$AK$258, MATCH(0, IF(TRUE=$AI$10:$AI$258, COUNTIF($AN$9:$AN121, $AK$10:$AK$258), ""), 0)),"")</f>
        <v/>
      </c>
      <c r="AY122" s="289" t="str">
        <f t="shared" si="17"/>
        <v/>
      </c>
    </row>
    <row r="123" spans="2:51" ht="13.8" x14ac:dyDescent="0.25">
      <c r="B123" s="101">
        <v>114</v>
      </c>
      <c r="C123" s="142"/>
      <c r="D123" s="142"/>
      <c r="E123" s="108"/>
      <c r="F123" s="281" t="str">
        <f>IF(D123="","",VLOOKUP(D123,'G-6 Hedgerow Data'!$B$2:$AG$15,2,FALSE))</f>
        <v/>
      </c>
      <c r="G123" s="282" t="str">
        <f>IF(D123="","",VLOOKUP(D123,'G-6 Hedgerow Data'!$B$2:$AG$15,3,FALSE))</f>
        <v/>
      </c>
      <c r="H123" s="105"/>
      <c r="I123" s="282" t="str">
        <f>IFERROR(IF(AND(D123&lt;&gt;"",H123=""), "Check data ⚠",(IF(H123="","",IF(AND(D123="Non-native and ornamental hedgerow", H123&lt;&gt;"Poor"),"Not possible ▲", (IF(AND(F123="V.Low",OR(H123="Good",H123="Moderate")),"Error ▲",VLOOKUP(H123,'G-1 All Habitats'!$Z$2:$AA$9,2,FALSE))))))),"")</f>
        <v/>
      </c>
      <c r="J123" s="109"/>
      <c r="K123" s="301" t="str">
        <f>IF(AND(J123="",D123&lt;&gt;""),"Check data ⚠",IF(J123="","",IF(VLOOKUP(J123,'G-3 Multipliers'!$L$3:$N$6,2,FALSE)=0,"Spatial Data Missing ⚠",VLOOKUP(J123,'G-3 Multipliers'!$L$3:$N$6,2,FALSE))))</f>
        <v/>
      </c>
      <c r="L123" s="305" t="str">
        <f>IF(J123="","",IF(VLOOKUP(J123,'G-3 Multipliers'!$L$3:$N$6,3,FALSE)=0,"Spatial Data Missing ⚠",VLOOKUP(J123,'G-3 Multipliers'!$L$3:$N$6,3,FALSE)))</f>
        <v/>
      </c>
      <c r="M123" s="342" t="str">
        <f>IF(D123="","",VLOOKUP(D123,'G-6 Hedgerow Data'!$B$1:$AH$15,33,FALSE))</f>
        <v/>
      </c>
      <c r="N123" s="295" t="str">
        <f t="shared" si="11"/>
        <v/>
      </c>
      <c r="O123" s="403"/>
      <c r="P123" s="287" t="str">
        <f>IF(O123="","",IF(VLOOKUP(O123,'G-3 Multipliers'!$S$3:$T$10,2,FALSE)=0,"Spatial Data Missing ⚠",VLOOKUP(O123,'G-3 Multipliers'!$S$3:$T$10,2,FALSE)))</f>
        <v/>
      </c>
      <c r="Q123" s="295" t="str">
        <f t="shared" si="12"/>
        <v/>
      </c>
      <c r="R123" s="32"/>
      <c r="S123" s="105"/>
      <c r="T123" s="112"/>
      <c r="U123" s="289" t="str">
        <f t="shared" si="13"/>
        <v/>
      </c>
      <c r="V123" s="289" t="str">
        <f t="shared" si="14"/>
        <v/>
      </c>
      <c r="W123" s="293" t="str">
        <f t="shared" si="15"/>
        <v/>
      </c>
      <c r="X123" s="297" t="str">
        <f t="shared" si="16"/>
        <v/>
      </c>
      <c r="Y123" s="109"/>
      <c r="Z123" s="108"/>
      <c r="AA123" s="108"/>
      <c r="AB123" s="108"/>
      <c r="AE123" s="30" t="str">
        <f>IFERROR(INDEX('G-6 Hedgerow Data'!$BJ$3:$BJ$15,MATCH(D123,'G-6 Hedgerow Data'!$B$3:$B$15,0)),"")</f>
        <v/>
      </c>
      <c r="AH123" s="111" t="str">
        <f t="shared" si="9"/>
        <v/>
      </c>
      <c r="AI123" s="111" t="str">
        <f t="shared" si="10"/>
        <v/>
      </c>
      <c r="AK123" s="111">
        <v>114</v>
      </c>
      <c r="AM123" s="111" t="str">
        <f t="array" ref="AM123">IFERROR(INDEX($AK$10:$AK$258, MATCH(0, IF(TRUE=$AH$10:$AH$258, COUNTIF($AM$9:$AM122, $AK$10:$AK$258), ""), 0)),"")</f>
        <v/>
      </c>
      <c r="AN123" s="111" t="str">
        <f t="array" ref="AN123">IFERROR(INDEX($AK$10:$AK$258, MATCH(0, IF(TRUE=$AI$10:$AI$258, COUNTIF($AN$9:$AN122, $AK$10:$AK$258), ""), 0)),"")</f>
        <v/>
      </c>
      <c r="AY123" s="289" t="str">
        <f t="shared" si="17"/>
        <v/>
      </c>
    </row>
    <row r="124" spans="2:51" ht="13.8" x14ac:dyDescent="0.25">
      <c r="B124" s="101">
        <v>115</v>
      </c>
      <c r="C124" s="142"/>
      <c r="D124" s="142"/>
      <c r="E124" s="108"/>
      <c r="F124" s="281" t="str">
        <f>IF(D124="","",VLOOKUP(D124,'G-6 Hedgerow Data'!$B$2:$AG$15,2,FALSE))</f>
        <v/>
      </c>
      <c r="G124" s="282" t="str">
        <f>IF(D124="","",VLOOKUP(D124,'G-6 Hedgerow Data'!$B$2:$AG$15,3,FALSE))</f>
        <v/>
      </c>
      <c r="H124" s="105"/>
      <c r="I124" s="282" t="str">
        <f>IFERROR(IF(AND(D124&lt;&gt;"",H124=""), "Check data ⚠",(IF(H124="","",IF(AND(D124="Non-native and ornamental hedgerow", H124&lt;&gt;"Poor"),"Not possible ▲", (IF(AND(F124="V.Low",OR(H124="Good",H124="Moderate")),"Error ▲",VLOOKUP(H124,'G-1 All Habitats'!$Z$2:$AA$9,2,FALSE))))))),"")</f>
        <v/>
      </c>
      <c r="J124" s="109"/>
      <c r="K124" s="301" t="str">
        <f>IF(AND(J124="",D124&lt;&gt;""),"Check data ⚠",IF(J124="","",IF(VLOOKUP(J124,'G-3 Multipliers'!$L$3:$N$6,2,FALSE)=0,"Spatial Data Missing ⚠",VLOOKUP(J124,'G-3 Multipliers'!$L$3:$N$6,2,FALSE))))</f>
        <v/>
      </c>
      <c r="L124" s="305" t="str">
        <f>IF(J124="","",IF(VLOOKUP(J124,'G-3 Multipliers'!$L$3:$N$6,3,FALSE)=0,"Spatial Data Missing ⚠",VLOOKUP(J124,'G-3 Multipliers'!$L$3:$N$6,3,FALSE)))</f>
        <v/>
      </c>
      <c r="M124" s="342" t="str">
        <f>IF(D124="","",VLOOKUP(D124,'G-6 Hedgerow Data'!$B$1:$AH$15,33,FALSE))</f>
        <v/>
      </c>
      <c r="N124" s="295" t="str">
        <f t="shared" si="11"/>
        <v/>
      </c>
      <c r="O124" s="403"/>
      <c r="P124" s="287" t="str">
        <f>IF(O124="","",IF(VLOOKUP(O124,'G-3 Multipliers'!$S$3:$T$10,2,FALSE)=0,"Spatial Data Missing ⚠",VLOOKUP(O124,'G-3 Multipliers'!$S$3:$T$10,2,FALSE)))</f>
        <v/>
      </c>
      <c r="Q124" s="295" t="str">
        <f t="shared" si="12"/>
        <v/>
      </c>
      <c r="R124" s="32"/>
      <c r="S124" s="105"/>
      <c r="T124" s="112"/>
      <c r="U124" s="289" t="str">
        <f t="shared" si="13"/>
        <v/>
      </c>
      <c r="V124" s="289" t="str">
        <f t="shared" si="14"/>
        <v/>
      </c>
      <c r="W124" s="293" t="str">
        <f t="shared" si="15"/>
        <v/>
      </c>
      <c r="X124" s="297" t="str">
        <f t="shared" si="16"/>
        <v/>
      </c>
      <c r="Y124" s="109"/>
      <c r="Z124" s="108"/>
      <c r="AA124" s="108"/>
      <c r="AB124" s="108"/>
      <c r="AE124" s="30" t="str">
        <f>IFERROR(INDEX('G-6 Hedgerow Data'!$BJ$3:$BJ$15,MATCH(D124,'G-6 Hedgerow Data'!$B$3:$B$15,0)),"")</f>
        <v/>
      </c>
      <c r="AH124" s="111" t="str">
        <f t="shared" si="9"/>
        <v/>
      </c>
      <c r="AI124" s="111" t="str">
        <f t="shared" si="10"/>
        <v/>
      </c>
      <c r="AK124" s="111">
        <v>115</v>
      </c>
      <c r="AM124" s="111" t="str">
        <f t="array" ref="AM124">IFERROR(INDEX($AK$10:$AK$258, MATCH(0, IF(TRUE=$AH$10:$AH$258, COUNTIF($AM$9:$AM123, $AK$10:$AK$258), ""), 0)),"")</f>
        <v/>
      </c>
      <c r="AN124" s="111" t="str">
        <f t="array" ref="AN124">IFERROR(INDEX($AK$10:$AK$258, MATCH(0, IF(TRUE=$AI$10:$AI$258, COUNTIF($AN$9:$AN123, $AK$10:$AK$258), ""), 0)),"")</f>
        <v/>
      </c>
      <c r="AY124" s="289" t="str">
        <f t="shared" si="17"/>
        <v/>
      </c>
    </row>
    <row r="125" spans="2:51" ht="13.8" x14ac:dyDescent="0.25">
      <c r="B125" s="101">
        <v>116</v>
      </c>
      <c r="C125" s="142"/>
      <c r="D125" s="142"/>
      <c r="E125" s="108"/>
      <c r="F125" s="281" t="str">
        <f>IF(D125="","",VLOOKUP(D125,'G-6 Hedgerow Data'!$B$2:$AG$15,2,FALSE))</f>
        <v/>
      </c>
      <c r="G125" s="282" t="str">
        <f>IF(D125="","",VLOOKUP(D125,'G-6 Hedgerow Data'!$B$2:$AG$15,3,FALSE))</f>
        <v/>
      </c>
      <c r="H125" s="105"/>
      <c r="I125" s="282" t="str">
        <f>IFERROR(IF(AND(D125&lt;&gt;"",H125=""), "Check data ⚠",(IF(H125="","",IF(AND(D125="Non-native and ornamental hedgerow", H125&lt;&gt;"Poor"),"Not possible ▲", (IF(AND(F125="V.Low",OR(H125="Good",H125="Moderate")),"Error ▲",VLOOKUP(H125,'G-1 All Habitats'!$Z$2:$AA$9,2,FALSE))))))),"")</f>
        <v/>
      </c>
      <c r="J125" s="109"/>
      <c r="K125" s="301" t="str">
        <f>IF(AND(J125="",D125&lt;&gt;""),"Check data ⚠",IF(J125="","",IF(VLOOKUP(J125,'G-3 Multipliers'!$L$3:$N$6,2,FALSE)=0,"Spatial Data Missing ⚠",VLOOKUP(J125,'G-3 Multipliers'!$L$3:$N$6,2,FALSE))))</f>
        <v/>
      </c>
      <c r="L125" s="305" t="str">
        <f>IF(J125="","",IF(VLOOKUP(J125,'G-3 Multipliers'!$L$3:$N$6,3,FALSE)=0,"Spatial Data Missing ⚠",VLOOKUP(J125,'G-3 Multipliers'!$L$3:$N$6,3,FALSE)))</f>
        <v/>
      </c>
      <c r="M125" s="342" t="str">
        <f>IF(D125="","",VLOOKUP(D125,'G-6 Hedgerow Data'!$B$1:$AH$15,33,FALSE))</f>
        <v/>
      </c>
      <c r="N125" s="295" t="str">
        <f t="shared" si="11"/>
        <v/>
      </c>
      <c r="O125" s="403"/>
      <c r="P125" s="287" t="str">
        <f>IF(O125="","",IF(VLOOKUP(O125,'G-3 Multipliers'!$S$3:$T$10,2,FALSE)=0,"Spatial Data Missing ⚠",VLOOKUP(O125,'G-3 Multipliers'!$S$3:$T$10,2,FALSE)))</f>
        <v/>
      </c>
      <c r="Q125" s="295" t="str">
        <f t="shared" si="12"/>
        <v/>
      </c>
      <c r="R125" s="32"/>
      <c r="S125" s="105"/>
      <c r="T125" s="112"/>
      <c r="U125" s="289" t="str">
        <f t="shared" si="13"/>
        <v/>
      </c>
      <c r="V125" s="289" t="str">
        <f t="shared" si="14"/>
        <v/>
      </c>
      <c r="W125" s="293" t="str">
        <f t="shared" si="15"/>
        <v/>
      </c>
      <c r="X125" s="297" t="str">
        <f t="shared" si="16"/>
        <v/>
      </c>
      <c r="Y125" s="109"/>
      <c r="Z125" s="108"/>
      <c r="AA125" s="108"/>
      <c r="AB125" s="108"/>
      <c r="AE125" s="30" t="str">
        <f>IFERROR(INDEX('G-6 Hedgerow Data'!$BJ$3:$BJ$15,MATCH(D125,'G-6 Hedgerow Data'!$B$3:$B$15,0)),"")</f>
        <v/>
      </c>
      <c r="AH125" s="111" t="str">
        <f t="shared" si="9"/>
        <v/>
      </c>
      <c r="AI125" s="111" t="str">
        <f t="shared" si="10"/>
        <v/>
      </c>
      <c r="AK125" s="111">
        <v>116</v>
      </c>
      <c r="AM125" s="111" t="str">
        <f t="array" ref="AM125">IFERROR(INDEX($AK$10:$AK$258, MATCH(0, IF(TRUE=$AH$10:$AH$258, COUNTIF($AM$9:$AM124, $AK$10:$AK$258), ""), 0)),"")</f>
        <v/>
      </c>
      <c r="AN125" s="111" t="str">
        <f t="array" ref="AN125">IFERROR(INDEX($AK$10:$AK$258, MATCH(0, IF(TRUE=$AI$10:$AI$258, COUNTIF($AN$9:$AN124, $AK$10:$AK$258), ""), 0)),"")</f>
        <v/>
      </c>
      <c r="AY125" s="289" t="str">
        <f t="shared" si="17"/>
        <v/>
      </c>
    </row>
    <row r="126" spans="2:51" ht="13.8" x14ac:dyDescent="0.25">
      <c r="B126" s="101">
        <v>117</v>
      </c>
      <c r="C126" s="142"/>
      <c r="D126" s="142"/>
      <c r="E126" s="108"/>
      <c r="F126" s="281" t="str">
        <f>IF(D126="","",VLOOKUP(D126,'G-6 Hedgerow Data'!$B$2:$AG$15,2,FALSE))</f>
        <v/>
      </c>
      <c r="G126" s="282" t="str">
        <f>IF(D126="","",VLOOKUP(D126,'G-6 Hedgerow Data'!$B$2:$AG$15,3,FALSE))</f>
        <v/>
      </c>
      <c r="H126" s="105"/>
      <c r="I126" s="282" t="str">
        <f>IFERROR(IF(AND(D126&lt;&gt;"",H126=""), "Check data ⚠",(IF(H126="","",IF(AND(D126="Non-native and ornamental hedgerow", H126&lt;&gt;"Poor"),"Not possible ▲", (IF(AND(F126="V.Low",OR(H126="Good",H126="Moderate")),"Error ▲",VLOOKUP(H126,'G-1 All Habitats'!$Z$2:$AA$9,2,FALSE))))))),"")</f>
        <v/>
      </c>
      <c r="J126" s="109"/>
      <c r="K126" s="301" t="str">
        <f>IF(AND(J126="",D126&lt;&gt;""),"Check data ⚠",IF(J126="","",IF(VLOOKUP(J126,'G-3 Multipliers'!$L$3:$N$6,2,FALSE)=0,"Spatial Data Missing ⚠",VLOOKUP(J126,'G-3 Multipliers'!$L$3:$N$6,2,FALSE))))</f>
        <v/>
      </c>
      <c r="L126" s="305" t="str">
        <f>IF(J126="","",IF(VLOOKUP(J126,'G-3 Multipliers'!$L$3:$N$6,3,FALSE)=0,"Spatial Data Missing ⚠",VLOOKUP(J126,'G-3 Multipliers'!$L$3:$N$6,3,FALSE)))</f>
        <v/>
      </c>
      <c r="M126" s="342" t="str">
        <f>IF(D126="","",VLOOKUP(D126,'G-6 Hedgerow Data'!$B$1:$AH$15,33,FALSE))</f>
        <v/>
      </c>
      <c r="N126" s="295" t="str">
        <f t="shared" si="11"/>
        <v/>
      </c>
      <c r="O126" s="403"/>
      <c r="P126" s="287" t="str">
        <f>IF(O126="","",IF(VLOOKUP(O126,'G-3 Multipliers'!$S$3:$T$10,2,FALSE)=0,"Spatial Data Missing ⚠",VLOOKUP(O126,'G-3 Multipliers'!$S$3:$T$10,2,FALSE)))</f>
        <v/>
      </c>
      <c r="Q126" s="295" t="str">
        <f t="shared" si="12"/>
        <v/>
      </c>
      <c r="R126" s="32"/>
      <c r="S126" s="105"/>
      <c r="T126" s="112"/>
      <c r="U126" s="289" t="str">
        <f t="shared" si="13"/>
        <v/>
      </c>
      <c r="V126" s="289" t="str">
        <f t="shared" si="14"/>
        <v/>
      </c>
      <c r="W126" s="293" t="str">
        <f t="shared" si="15"/>
        <v/>
      </c>
      <c r="X126" s="297" t="str">
        <f t="shared" si="16"/>
        <v/>
      </c>
      <c r="Y126" s="109"/>
      <c r="Z126" s="108"/>
      <c r="AA126" s="108"/>
      <c r="AB126" s="108"/>
      <c r="AE126" s="30" t="str">
        <f>IFERROR(INDEX('G-6 Hedgerow Data'!$BJ$3:$BJ$15,MATCH(D126,'G-6 Hedgerow Data'!$B$3:$B$15,0)),"")</f>
        <v/>
      </c>
      <c r="AH126" s="111" t="str">
        <f t="shared" si="9"/>
        <v/>
      </c>
      <c r="AI126" s="111" t="str">
        <f t="shared" si="10"/>
        <v/>
      </c>
      <c r="AK126" s="111">
        <v>117</v>
      </c>
      <c r="AM126" s="111" t="str">
        <f t="array" ref="AM126">IFERROR(INDEX($AK$10:$AK$258, MATCH(0, IF(TRUE=$AH$10:$AH$258, COUNTIF($AM$9:$AM125, $AK$10:$AK$258), ""), 0)),"")</f>
        <v/>
      </c>
      <c r="AN126" s="111" t="str">
        <f t="array" ref="AN126">IFERROR(INDEX($AK$10:$AK$258, MATCH(0, IF(TRUE=$AI$10:$AI$258, COUNTIF($AN$9:$AN125, $AK$10:$AK$258), ""), 0)),"")</f>
        <v/>
      </c>
      <c r="AY126" s="289" t="str">
        <f t="shared" si="17"/>
        <v/>
      </c>
    </row>
    <row r="127" spans="2:51" ht="13.8" x14ac:dyDescent="0.25">
      <c r="B127" s="101">
        <v>118</v>
      </c>
      <c r="C127" s="142"/>
      <c r="D127" s="142"/>
      <c r="E127" s="108"/>
      <c r="F127" s="281" t="str">
        <f>IF(D127="","",VLOOKUP(D127,'G-6 Hedgerow Data'!$B$2:$AG$15,2,FALSE))</f>
        <v/>
      </c>
      <c r="G127" s="282" t="str">
        <f>IF(D127="","",VLOOKUP(D127,'G-6 Hedgerow Data'!$B$2:$AG$15,3,FALSE))</f>
        <v/>
      </c>
      <c r="H127" s="105"/>
      <c r="I127" s="282" t="str">
        <f>IFERROR(IF(AND(D127&lt;&gt;"",H127=""), "Check data ⚠",(IF(H127="","",IF(AND(D127="Non-native and ornamental hedgerow", H127&lt;&gt;"Poor"),"Not possible ▲", (IF(AND(F127="V.Low",OR(H127="Good",H127="Moderate")),"Error ▲",VLOOKUP(H127,'G-1 All Habitats'!$Z$2:$AA$9,2,FALSE))))))),"")</f>
        <v/>
      </c>
      <c r="J127" s="109"/>
      <c r="K127" s="301" t="str">
        <f>IF(AND(J127="",D127&lt;&gt;""),"Check data ⚠",IF(J127="","",IF(VLOOKUP(J127,'G-3 Multipliers'!$L$3:$N$6,2,FALSE)=0,"Spatial Data Missing ⚠",VLOOKUP(J127,'G-3 Multipliers'!$L$3:$N$6,2,FALSE))))</f>
        <v/>
      </c>
      <c r="L127" s="305" t="str">
        <f>IF(J127="","",IF(VLOOKUP(J127,'G-3 Multipliers'!$L$3:$N$6,3,FALSE)=0,"Spatial Data Missing ⚠",VLOOKUP(J127,'G-3 Multipliers'!$L$3:$N$6,3,FALSE)))</f>
        <v/>
      </c>
      <c r="M127" s="342" t="str">
        <f>IF(D127="","",VLOOKUP(D127,'G-6 Hedgerow Data'!$B$1:$AH$15,33,FALSE))</f>
        <v/>
      </c>
      <c r="N127" s="295" t="str">
        <f t="shared" si="11"/>
        <v/>
      </c>
      <c r="O127" s="403"/>
      <c r="P127" s="287" t="str">
        <f>IF(O127="","",IF(VLOOKUP(O127,'G-3 Multipliers'!$S$3:$T$10,2,FALSE)=0,"Spatial Data Missing ⚠",VLOOKUP(O127,'G-3 Multipliers'!$S$3:$T$10,2,FALSE)))</f>
        <v/>
      </c>
      <c r="Q127" s="295" t="str">
        <f t="shared" si="12"/>
        <v/>
      </c>
      <c r="R127" s="32"/>
      <c r="S127" s="105"/>
      <c r="T127" s="112"/>
      <c r="U127" s="289" t="str">
        <f t="shared" si="13"/>
        <v/>
      </c>
      <c r="V127" s="289" t="str">
        <f t="shared" si="14"/>
        <v/>
      </c>
      <c r="W127" s="293" t="str">
        <f t="shared" si="15"/>
        <v/>
      </c>
      <c r="X127" s="297" t="str">
        <f t="shared" si="16"/>
        <v/>
      </c>
      <c r="Y127" s="109"/>
      <c r="Z127" s="108"/>
      <c r="AA127" s="108"/>
      <c r="AB127" s="108"/>
      <c r="AE127" s="30" t="str">
        <f>IFERROR(INDEX('G-6 Hedgerow Data'!$BJ$3:$BJ$15,MATCH(D127,'G-6 Hedgerow Data'!$B$3:$B$15,0)),"")</f>
        <v/>
      </c>
      <c r="AH127" s="111" t="str">
        <f t="shared" si="9"/>
        <v/>
      </c>
      <c r="AI127" s="111" t="str">
        <f t="shared" si="10"/>
        <v/>
      </c>
      <c r="AK127" s="111">
        <v>118</v>
      </c>
      <c r="AM127" s="111" t="str">
        <f t="array" ref="AM127">IFERROR(INDEX($AK$10:$AK$258, MATCH(0, IF(TRUE=$AH$10:$AH$258, COUNTIF($AM$9:$AM126, $AK$10:$AK$258), ""), 0)),"")</f>
        <v/>
      </c>
      <c r="AN127" s="111" t="str">
        <f t="array" ref="AN127">IFERROR(INDEX($AK$10:$AK$258, MATCH(0, IF(TRUE=$AI$10:$AI$258, COUNTIF($AN$9:$AN126, $AK$10:$AK$258), ""), 0)),"")</f>
        <v/>
      </c>
      <c r="AY127" s="289" t="str">
        <f t="shared" si="17"/>
        <v/>
      </c>
    </row>
    <row r="128" spans="2:51" ht="13.8" x14ac:dyDescent="0.25">
      <c r="B128" s="101">
        <v>119</v>
      </c>
      <c r="C128" s="142"/>
      <c r="D128" s="142"/>
      <c r="E128" s="108"/>
      <c r="F128" s="281" t="str">
        <f>IF(D128="","",VLOOKUP(D128,'G-6 Hedgerow Data'!$B$2:$AG$15,2,FALSE))</f>
        <v/>
      </c>
      <c r="G128" s="282" t="str">
        <f>IF(D128="","",VLOOKUP(D128,'G-6 Hedgerow Data'!$B$2:$AG$15,3,FALSE))</f>
        <v/>
      </c>
      <c r="H128" s="105"/>
      <c r="I128" s="282" t="str">
        <f>IFERROR(IF(AND(D128&lt;&gt;"",H128=""), "Check data ⚠",(IF(H128="","",IF(AND(D128="Non-native and ornamental hedgerow", H128&lt;&gt;"Poor"),"Not possible ▲", (IF(AND(F128="V.Low",OR(H128="Good",H128="Moderate")),"Error ▲",VLOOKUP(H128,'G-1 All Habitats'!$Z$2:$AA$9,2,FALSE))))))),"")</f>
        <v/>
      </c>
      <c r="J128" s="109"/>
      <c r="K128" s="301" t="str">
        <f>IF(AND(J128="",D128&lt;&gt;""),"Check data ⚠",IF(J128="","",IF(VLOOKUP(J128,'G-3 Multipliers'!$L$3:$N$6,2,FALSE)=0,"Spatial Data Missing ⚠",VLOOKUP(J128,'G-3 Multipliers'!$L$3:$N$6,2,FALSE))))</f>
        <v/>
      </c>
      <c r="L128" s="305" t="str">
        <f>IF(J128="","",IF(VLOOKUP(J128,'G-3 Multipliers'!$L$3:$N$6,3,FALSE)=0,"Spatial Data Missing ⚠",VLOOKUP(J128,'G-3 Multipliers'!$L$3:$N$6,3,FALSE)))</f>
        <v/>
      </c>
      <c r="M128" s="342" t="str">
        <f>IF(D128="","",VLOOKUP(D128,'G-6 Hedgerow Data'!$B$1:$AH$15,33,FALSE))</f>
        <v/>
      </c>
      <c r="N128" s="295" t="str">
        <f t="shared" si="11"/>
        <v/>
      </c>
      <c r="O128" s="403"/>
      <c r="P128" s="287" t="str">
        <f>IF(O128="","",IF(VLOOKUP(O128,'G-3 Multipliers'!$S$3:$T$10,2,FALSE)=0,"Spatial Data Missing ⚠",VLOOKUP(O128,'G-3 Multipliers'!$S$3:$T$10,2,FALSE)))</f>
        <v/>
      </c>
      <c r="Q128" s="295" t="str">
        <f t="shared" si="12"/>
        <v/>
      </c>
      <c r="R128" s="32"/>
      <c r="S128" s="105"/>
      <c r="T128" s="112"/>
      <c r="U128" s="289" t="str">
        <f t="shared" si="13"/>
        <v/>
      </c>
      <c r="V128" s="289" t="str">
        <f t="shared" si="14"/>
        <v/>
      </c>
      <c r="W128" s="293" t="str">
        <f t="shared" si="15"/>
        <v/>
      </c>
      <c r="X128" s="297" t="str">
        <f t="shared" si="16"/>
        <v/>
      </c>
      <c r="Y128" s="109"/>
      <c r="Z128" s="108"/>
      <c r="AA128" s="108"/>
      <c r="AB128" s="108"/>
      <c r="AE128" s="30" t="str">
        <f>IFERROR(INDEX('G-6 Hedgerow Data'!$BJ$3:$BJ$15,MATCH(D128,'G-6 Hedgerow Data'!$B$3:$B$15,0)),"")</f>
        <v/>
      </c>
      <c r="AH128" s="111" t="str">
        <f t="shared" si="9"/>
        <v/>
      </c>
      <c r="AI128" s="111" t="str">
        <f t="shared" si="10"/>
        <v/>
      </c>
      <c r="AK128" s="111">
        <v>119</v>
      </c>
      <c r="AM128" s="111" t="str">
        <f t="array" ref="AM128">IFERROR(INDEX($AK$10:$AK$258, MATCH(0, IF(TRUE=$AH$10:$AH$258, COUNTIF($AM$9:$AM127, $AK$10:$AK$258), ""), 0)),"")</f>
        <v/>
      </c>
      <c r="AN128" s="111" t="str">
        <f t="array" ref="AN128">IFERROR(INDEX($AK$10:$AK$258, MATCH(0, IF(TRUE=$AI$10:$AI$258, COUNTIF($AN$9:$AN127, $AK$10:$AK$258), ""), 0)),"")</f>
        <v/>
      </c>
      <c r="AY128" s="289" t="str">
        <f t="shared" si="17"/>
        <v/>
      </c>
    </row>
    <row r="129" spans="2:51" ht="13.8" x14ac:dyDescent="0.25">
      <c r="B129" s="101">
        <v>120</v>
      </c>
      <c r="C129" s="142"/>
      <c r="D129" s="142"/>
      <c r="E129" s="108"/>
      <c r="F129" s="281" t="str">
        <f>IF(D129="","",VLOOKUP(D129,'G-6 Hedgerow Data'!$B$2:$AG$15,2,FALSE))</f>
        <v/>
      </c>
      <c r="G129" s="282" t="str">
        <f>IF(D129="","",VLOOKUP(D129,'G-6 Hedgerow Data'!$B$2:$AG$15,3,FALSE))</f>
        <v/>
      </c>
      <c r="H129" s="105"/>
      <c r="I129" s="282" t="str">
        <f>IFERROR(IF(AND(D129&lt;&gt;"",H129=""), "Check data ⚠",(IF(H129="","",IF(AND(D129="Non-native and ornamental hedgerow", H129&lt;&gt;"Poor"),"Not possible ▲", (IF(AND(F129="V.Low",OR(H129="Good",H129="Moderate")),"Error ▲",VLOOKUP(H129,'G-1 All Habitats'!$Z$2:$AA$9,2,FALSE))))))),"")</f>
        <v/>
      </c>
      <c r="J129" s="109"/>
      <c r="K129" s="301" t="str">
        <f>IF(AND(J129="",D129&lt;&gt;""),"Check data ⚠",IF(J129="","",IF(VLOOKUP(J129,'G-3 Multipliers'!$L$3:$N$6,2,FALSE)=0,"Spatial Data Missing ⚠",VLOOKUP(J129,'G-3 Multipliers'!$L$3:$N$6,2,FALSE))))</f>
        <v/>
      </c>
      <c r="L129" s="305" t="str">
        <f>IF(J129="","",IF(VLOOKUP(J129,'G-3 Multipliers'!$L$3:$N$6,3,FALSE)=0,"Spatial Data Missing ⚠",VLOOKUP(J129,'G-3 Multipliers'!$L$3:$N$6,3,FALSE)))</f>
        <v/>
      </c>
      <c r="M129" s="342" t="str">
        <f>IF(D129="","",VLOOKUP(D129,'G-6 Hedgerow Data'!$B$1:$AH$15,33,FALSE))</f>
        <v/>
      </c>
      <c r="N129" s="295" t="str">
        <f t="shared" si="11"/>
        <v/>
      </c>
      <c r="O129" s="403"/>
      <c r="P129" s="287" t="str">
        <f>IF(O129="","",IF(VLOOKUP(O129,'G-3 Multipliers'!$S$3:$T$10,2,FALSE)=0,"Spatial Data Missing ⚠",VLOOKUP(O129,'G-3 Multipliers'!$S$3:$T$10,2,FALSE)))</f>
        <v/>
      </c>
      <c r="Q129" s="295" t="str">
        <f t="shared" si="12"/>
        <v/>
      </c>
      <c r="R129" s="32"/>
      <c r="S129" s="105"/>
      <c r="T129" s="112"/>
      <c r="U129" s="289" t="str">
        <f t="shared" si="13"/>
        <v/>
      </c>
      <c r="V129" s="289" t="str">
        <f t="shared" si="14"/>
        <v/>
      </c>
      <c r="W129" s="293" t="str">
        <f t="shared" si="15"/>
        <v/>
      </c>
      <c r="X129" s="297" t="str">
        <f t="shared" si="16"/>
        <v/>
      </c>
      <c r="Y129" s="109"/>
      <c r="Z129" s="108"/>
      <c r="AA129" s="108"/>
      <c r="AB129" s="108"/>
      <c r="AE129" s="30" t="str">
        <f>IFERROR(INDEX('G-6 Hedgerow Data'!$BJ$3:$BJ$15,MATCH(D129,'G-6 Hedgerow Data'!$B$3:$B$15,0)),"")</f>
        <v/>
      </c>
      <c r="AH129" s="111" t="str">
        <f t="shared" si="9"/>
        <v/>
      </c>
      <c r="AI129" s="111" t="str">
        <f t="shared" si="10"/>
        <v/>
      </c>
      <c r="AK129" s="111">
        <v>120</v>
      </c>
      <c r="AM129" s="111" t="str">
        <f t="array" ref="AM129">IFERROR(INDEX($AK$10:$AK$258, MATCH(0, IF(TRUE=$AH$10:$AH$258, COUNTIF($AM$9:$AM128, $AK$10:$AK$258), ""), 0)),"")</f>
        <v/>
      </c>
      <c r="AN129" s="111" t="str">
        <f t="array" ref="AN129">IFERROR(INDEX($AK$10:$AK$258, MATCH(0, IF(TRUE=$AI$10:$AI$258, COUNTIF($AN$9:$AN128, $AK$10:$AK$258), ""), 0)),"")</f>
        <v/>
      </c>
      <c r="AY129" s="289" t="str">
        <f t="shared" si="17"/>
        <v/>
      </c>
    </row>
    <row r="130" spans="2:51" ht="13.8" x14ac:dyDescent="0.25">
      <c r="B130" s="101">
        <v>121</v>
      </c>
      <c r="C130" s="142"/>
      <c r="D130" s="142"/>
      <c r="E130" s="108"/>
      <c r="F130" s="281" t="str">
        <f>IF(D130="","",VLOOKUP(D130,'G-6 Hedgerow Data'!$B$2:$AG$15,2,FALSE))</f>
        <v/>
      </c>
      <c r="G130" s="282" t="str">
        <f>IF(D130="","",VLOOKUP(D130,'G-6 Hedgerow Data'!$B$2:$AG$15,3,FALSE))</f>
        <v/>
      </c>
      <c r="H130" s="105"/>
      <c r="I130" s="282" t="str">
        <f>IFERROR(IF(AND(D130&lt;&gt;"",H130=""), "Check data ⚠",(IF(H130="","",IF(AND(D130="Non-native and ornamental hedgerow", H130&lt;&gt;"Poor"),"Not possible ▲", (IF(AND(F130="V.Low",OR(H130="Good",H130="Moderate")),"Error ▲",VLOOKUP(H130,'G-1 All Habitats'!$Z$2:$AA$9,2,FALSE))))))),"")</f>
        <v/>
      </c>
      <c r="J130" s="109"/>
      <c r="K130" s="301" t="str">
        <f>IF(AND(J130="",D130&lt;&gt;""),"Check data ⚠",IF(J130="","",IF(VLOOKUP(J130,'G-3 Multipliers'!$L$3:$N$6,2,FALSE)=0,"Spatial Data Missing ⚠",VLOOKUP(J130,'G-3 Multipliers'!$L$3:$N$6,2,FALSE))))</f>
        <v/>
      </c>
      <c r="L130" s="305" t="str">
        <f>IF(J130="","",IF(VLOOKUP(J130,'G-3 Multipliers'!$L$3:$N$6,3,FALSE)=0,"Spatial Data Missing ⚠",VLOOKUP(J130,'G-3 Multipliers'!$L$3:$N$6,3,FALSE)))</f>
        <v/>
      </c>
      <c r="M130" s="342" t="str">
        <f>IF(D130="","",VLOOKUP(D130,'G-6 Hedgerow Data'!$B$1:$AH$15,33,FALSE))</f>
        <v/>
      </c>
      <c r="N130" s="295" t="str">
        <f t="shared" si="11"/>
        <v/>
      </c>
      <c r="O130" s="403"/>
      <c r="P130" s="287" t="str">
        <f>IF(O130="","",IF(VLOOKUP(O130,'G-3 Multipliers'!$S$3:$T$10,2,FALSE)=0,"Spatial Data Missing ⚠",VLOOKUP(O130,'G-3 Multipliers'!$S$3:$T$10,2,FALSE)))</f>
        <v/>
      </c>
      <c r="Q130" s="295" t="str">
        <f t="shared" si="12"/>
        <v/>
      </c>
      <c r="R130" s="32"/>
      <c r="S130" s="105"/>
      <c r="T130" s="112"/>
      <c r="U130" s="289" t="str">
        <f t="shared" si="13"/>
        <v/>
      </c>
      <c r="V130" s="289" t="str">
        <f t="shared" si="14"/>
        <v/>
      </c>
      <c r="W130" s="293" t="str">
        <f t="shared" si="15"/>
        <v/>
      </c>
      <c r="X130" s="297" t="str">
        <f t="shared" si="16"/>
        <v/>
      </c>
      <c r="Y130" s="109"/>
      <c r="Z130" s="108"/>
      <c r="AA130" s="108"/>
      <c r="AB130" s="108"/>
      <c r="AE130" s="30" t="str">
        <f>IFERROR(INDEX('G-6 Hedgerow Data'!$BJ$3:$BJ$15,MATCH(D130,'G-6 Hedgerow Data'!$B$3:$B$15,0)),"")</f>
        <v/>
      </c>
      <c r="AH130" s="111" t="str">
        <f t="shared" si="9"/>
        <v/>
      </c>
      <c r="AI130" s="111" t="str">
        <f t="shared" si="10"/>
        <v/>
      </c>
      <c r="AK130" s="111">
        <v>121</v>
      </c>
      <c r="AM130" s="111" t="str">
        <f t="array" ref="AM130">IFERROR(INDEX($AK$10:$AK$258, MATCH(0, IF(TRUE=$AH$10:$AH$258, COUNTIF($AM$9:$AM129, $AK$10:$AK$258), ""), 0)),"")</f>
        <v/>
      </c>
      <c r="AN130" s="111" t="str">
        <f t="array" ref="AN130">IFERROR(INDEX($AK$10:$AK$258, MATCH(0, IF(TRUE=$AI$10:$AI$258, COUNTIF($AN$9:$AN129, $AK$10:$AK$258), ""), 0)),"")</f>
        <v/>
      </c>
      <c r="AY130" s="289" t="str">
        <f t="shared" si="17"/>
        <v/>
      </c>
    </row>
    <row r="131" spans="2:51" ht="13.8" x14ac:dyDescent="0.25">
      <c r="B131" s="101">
        <v>122</v>
      </c>
      <c r="C131" s="142"/>
      <c r="D131" s="142"/>
      <c r="E131" s="108"/>
      <c r="F131" s="281" t="str">
        <f>IF(D131="","",VLOOKUP(D131,'G-6 Hedgerow Data'!$B$2:$AG$15,2,FALSE))</f>
        <v/>
      </c>
      <c r="G131" s="282" t="str">
        <f>IF(D131="","",VLOOKUP(D131,'G-6 Hedgerow Data'!$B$2:$AG$15,3,FALSE))</f>
        <v/>
      </c>
      <c r="H131" s="105"/>
      <c r="I131" s="282" t="str">
        <f>IFERROR(IF(AND(D131&lt;&gt;"",H131=""), "Check data ⚠",(IF(H131="","",IF(AND(D131="Non-native and ornamental hedgerow", H131&lt;&gt;"Poor"),"Not possible ▲", (IF(AND(F131="V.Low",OR(H131="Good",H131="Moderate")),"Error ▲",VLOOKUP(H131,'G-1 All Habitats'!$Z$2:$AA$9,2,FALSE))))))),"")</f>
        <v/>
      </c>
      <c r="J131" s="109"/>
      <c r="K131" s="301" t="str">
        <f>IF(AND(J131="",D131&lt;&gt;""),"Check data ⚠",IF(J131="","",IF(VLOOKUP(J131,'G-3 Multipliers'!$L$3:$N$6,2,FALSE)=0,"Spatial Data Missing ⚠",VLOOKUP(J131,'G-3 Multipliers'!$L$3:$N$6,2,FALSE))))</f>
        <v/>
      </c>
      <c r="L131" s="305" t="str">
        <f>IF(J131="","",IF(VLOOKUP(J131,'G-3 Multipliers'!$L$3:$N$6,3,FALSE)=0,"Spatial Data Missing ⚠",VLOOKUP(J131,'G-3 Multipliers'!$L$3:$N$6,3,FALSE)))</f>
        <v/>
      </c>
      <c r="M131" s="342" t="str">
        <f>IF(D131="","",VLOOKUP(D131,'G-6 Hedgerow Data'!$B$1:$AH$15,33,FALSE))</f>
        <v/>
      </c>
      <c r="N131" s="295" t="str">
        <f t="shared" si="11"/>
        <v/>
      </c>
      <c r="O131" s="403"/>
      <c r="P131" s="287" t="str">
        <f>IF(O131="","",IF(VLOOKUP(O131,'G-3 Multipliers'!$S$3:$T$10,2,FALSE)=0,"Spatial Data Missing ⚠",VLOOKUP(O131,'G-3 Multipliers'!$S$3:$T$10,2,FALSE)))</f>
        <v/>
      </c>
      <c r="Q131" s="295" t="str">
        <f t="shared" si="12"/>
        <v/>
      </c>
      <c r="R131" s="32"/>
      <c r="S131" s="105"/>
      <c r="T131" s="112"/>
      <c r="U131" s="289" t="str">
        <f t="shared" si="13"/>
        <v/>
      </c>
      <c r="V131" s="289" t="str">
        <f t="shared" si="14"/>
        <v/>
      </c>
      <c r="W131" s="293" t="str">
        <f t="shared" si="15"/>
        <v/>
      </c>
      <c r="X131" s="297" t="str">
        <f t="shared" si="16"/>
        <v/>
      </c>
      <c r="Y131" s="109"/>
      <c r="Z131" s="108"/>
      <c r="AA131" s="108"/>
      <c r="AB131" s="108"/>
      <c r="AE131" s="30" t="str">
        <f>IFERROR(INDEX('G-6 Hedgerow Data'!$BJ$3:$BJ$15,MATCH(D131,'G-6 Hedgerow Data'!$B$3:$B$15,0)),"")</f>
        <v/>
      </c>
      <c r="AH131" s="111" t="str">
        <f t="shared" si="9"/>
        <v/>
      </c>
      <c r="AI131" s="111" t="str">
        <f t="shared" si="10"/>
        <v/>
      </c>
      <c r="AK131" s="111">
        <v>122</v>
      </c>
      <c r="AM131" s="111" t="str">
        <f t="array" ref="AM131">IFERROR(INDEX($AK$10:$AK$258, MATCH(0, IF(TRUE=$AH$10:$AH$258, COUNTIF($AM$9:$AM130, $AK$10:$AK$258), ""), 0)),"")</f>
        <v/>
      </c>
      <c r="AN131" s="111" t="str">
        <f t="array" ref="AN131">IFERROR(INDEX($AK$10:$AK$258, MATCH(0, IF(TRUE=$AI$10:$AI$258, COUNTIF($AN$9:$AN130, $AK$10:$AK$258), ""), 0)),"")</f>
        <v/>
      </c>
      <c r="AY131" s="289" t="str">
        <f t="shared" si="17"/>
        <v/>
      </c>
    </row>
    <row r="132" spans="2:51" ht="13.8" x14ac:dyDescent="0.25">
      <c r="B132" s="101">
        <v>123</v>
      </c>
      <c r="C132" s="142"/>
      <c r="D132" s="142"/>
      <c r="E132" s="108"/>
      <c r="F132" s="281" t="str">
        <f>IF(D132="","",VLOOKUP(D132,'G-6 Hedgerow Data'!$B$2:$AG$15,2,FALSE))</f>
        <v/>
      </c>
      <c r="G132" s="282" t="str">
        <f>IF(D132="","",VLOOKUP(D132,'G-6 Hedgerow Data'!$B$2:$AG$15,3,FALSE))</f>
        <v/>
      </c>
      <c r="H132" s="105"/>
      <c r="I132" s="282" t="str">
        <f>IFERROR(IF(AND(D132&lt;&gt;"",H132=""), "Check data ⚠",(IF(H132="","",IF(AND(D132="Non-native and ornamental hedgerow", H132&lt;&gt;"Poor"),"Not possible ▲", (IF(AND(F132="V.Low",OR(H132="Good",H132="Moderate")),"Error ▲",VLOOKUP(H132,'G-1 All Habitats'!$Z$2:$AA$9,2,FALSE))))))),"")</f>
        <v/>
      </c>
      <c r="J132" s="109"/>
      <c r="K132" s="301" t="str">
        <f>IF(AND(J132="",D132&lt;&gt;""),"Check data ⚠",IF(J132="","",IF(VLOOKUP(J132,'G-3 Multipliers'!$L$3:$N$6,2,FALSE)=0,"Spatial Data Missing ⚠",VLOOKUP(J132,'G-3 Multipliers'!$L$3:$N$6,2,FALSE))))</f>
        <v/>
      </c>
      <c r="L132" s="305" t="str">
        <f>IF(J132="","",IF(VLOOKUP(J132,'G-3 Multipliers'!$L$3:$N$6,3,FALSE)=0,"Spatial Data Missing ⚠",VLOOKUP(J132,'G-3 Multipliers'!$L$3:$N$6,3,FALSE)))</f>
        <v/>
      </c>
      <c r="M132" s="342" t="str">
        <f>IF(D132="","",VLOOKUP(D132,'G-6 Hedgerow Data'!$B$1:$AH$15,33,FALSE))</f>
        <v/>
      </c>
      <c r="N132" s="295" t="str">
        <f t="shared" si="11"/>
        <v/>
      </c>
      <c r="O132" s="403"/>
      <c r="P132" s="287" t="str">
        <f>IF(O132="","",IF(VLOOKUP(O132,'G-3 Multipliers'!$S$3:$T$10,2,FALSE)=0,"Spatial Data Missing ⚠",VLOOKUP(O132,'G-3 Multipliers'!$S$3:$T$10,2,FALSE)))</f>
        <v/>
      </c>
      <c r="Q132" s="295" t="str">
        <f t="shared" si="12"/>
        <v/>
      </c>
      <c r="R132" s="32"/>
      <c r="S132" s="105"/>
      <c r="T132" s="112"/>
      <c r="U132" s="289" t="str">
        <f t="shared" si="13"/>
        <v/>
      </c>
      <c r="V132" s="289" t="str">
        <f t="shared" si="14"/>
        <v/>
      </c>
      <c r="W132" s="293" t="str">
        <f t="shared" si="15"/>
        <v/>
      </c>
      <c r="X132" s="297" t="str">
        <f t="shared" si="16"/>
        <v/>
      </c>
      <c r="Y132" s="109"/>
      <c r="Z132" s="108"/>
      <c r="AA132" s="108"/>
      <c r="AB132" s="108"/>
      <c r="AE132" s="30" t="str">
        <f>IFERROR(INDEX('G-6 Hedgerow Data'!$BJ$3:$BJ$15,MATCH(D132,'G-6 Hedgerow Data'!$B$3:$B$15,0)),"")</f>
        <v/>
      </c>
      <c r="AH132" s="111" t="str">
        <f t="shared" si="9"/>
        <v/>
      </c>
      <c r="AI132" s="111" t="str">
        <f t="shared" si="10"/>
        <v/>
      </c>
      <c r="AK132" s="111">
        <v>123</v>
      </c>
      <c r="AM132" s="111" t="str">
        <f t="array" ref="AM132">IFERROR(INDEX($AK$10:$AK$258, MATCH(0, IF(TRUE=$AH$10:$AH$258, COUNTIF($AM$9:$AM131, $AK$10:$AK$258), ""), 0)),"")</f>
        <v/>
      </c>
      <c r="AN132" s="111" t="str">
        <f t="array" ref="AN132">IFERROR(INDEX($AK$10:$AK$258, MATCH(0, IF(TRUE=$AI$10:$AI$258, COUNTIF($AN$9:$AN131, $AK$10:$AK$258), ""), 0)),"")</f>
        <v/>
      </c>
      <c r="AY132" s="289" t="str">
        <f t="shared" si="17"/>
        <v/>
      </c>
    </row>
    <row r="133" spans="2:51" ht="13.8" x14ac:dyDescent="0.25">
      <c r="B133" s="101">
        <v>124</v>
      </c>
      <c r="C133" s="142"/>
      <c r="D133" s="142"/>
      <c r="E133" s="108"/>
      <c r="F133" s="281" t="str">
        <f>IF(D133="","",VLOOKUP(D133,'G-6 Hedgerow Data'!$B$2:$AG$15,2,FALSE))</f>
        <v/>
      </c>
      <c r="G133" s="282" t="str">
        <f>IF(D133="","",VLOOKUP(D133,'G-6 Hedgerow Data'!$B$2:$AG$15,3,FALSE))</f>
        <v/>
      </c>
      <c r="H133" s="105"/>
      <c r="I133" s="282" t="str">
        <f>IFERROR(IF(AND(D133&lt;&gt;"",H133=""), "Check data ⚠",(IF(H133="","",IF(AND(D133="Non-native and ornamental hedgerow", H133&lt;&gt;"Poor"),"Not possible ▲", (IF(AND(F133="V.Low",OR(H133="Good",H133="Moderate")),"Error ▲",VLOOKUP(H133,'G-1 All Habitats'!$Z$2:$AA$9,2,FALSE))))))),"")</f>
        <v/>
      </c>
      <c r="J133" s="109"/>
      <c r="K133" s="301" t="str">
        <f>IF(AND(J133="",D133&lt;&gt;""),"Check data ⚠",IF(J133="","",IF(VLOOKUP(J133,'G-3 Multipliers'!$L$3:$N$6,2,FALSE)=0,"Spatial Data Missing ⚠",VLOOKUP(J133,'G-3 Multipliers'!$L$3:$N$6,2,FALSE))))</f>
        <v/>
      </c>
      <c r="L133" s="305" t="str">
        <f>IF(J133="","",IF(VLOOKUP(J133,'G-3 Multipliers'!$L$3:$N$6,3,FALSE)=0,"Spatial Data Missing ⚠",VLOOKUP(J133,'G-3 Multipliers'!$L$3:$N$6,3,FALSE)))</f>
        <v/>
      </c>
      <c r="M133" s="342" t="str">
        <f>IF(D133="","",VLOOKUP(D133,'G-6 Hedgerow Data'!$B$1:$AH$15,33,FALSE))</f>
        <v/>
      </c>
      <c r="N133" s="295" t="str">
        <f t="shared" si="11"/>
        <v/>
      </c>
      <c r="O133" s="403"/>
      <c r="P133" s="287" t="str">
        <f>IF(O133="","",IF(VLOOKUP(O133,'G-3 Multipliers'!$S$3:$T$10,2,FALSE)=0,"Spatial Data Missing ⚠",VLOOKUP(O133,'G-3 Multipliers'!$S$3:$T$10,2,FALSE)))</f>
        <v/>
      </c>
      <c r="Q133" s="295" t="str">
        <f t="shared" si="12"/>
        <v/>
      </c>
      <c r="R133" s="32"/>
      <c r="S133" s="105"/>
      <c r="T133" s="112"/>
      <c r="U133" s="289" t="str">
        <f t="shared" si="13"/>
        <v/>
      </c>
      <c r="V133" s="289" t="str">
        <f t="shared" si="14"/>
        <v/>
      </c>
      <c r="W133" s="293" t="str">
        <f t="shared" si="15"/>
        <v/>
      </c>
      <c r="X133" s="297" t="str">
        <f t="shared" si="16"/>
        <v/>
      </c>
      <c r="Y133" s="109"/>
      <c r="Z133" s="108"/>
      <c r="AA133" s="108"/>
      <c r="AB133" s="108"/>
      <c r="AE133" s="30" t="str">
        <f>IFERROR(INDEX('G-6 Hedgerow Data'!$BJ$3:$BJ$15,MATCH(D133,'G-6 Hedgerow Data'!$B$3:$B$15,0)),"")</f>
        <v/>
      </c>
      <c r="AH133" s="111" t="str">
        <f t="shared" si="9"/>
        <v/>
      </c>
      <c r="AI133" s="111" t="str">
        <f t="shared" si="10"/>
        <v/>
      </c>
      <c r="AK133" s="111">
        <v>124</v>
      </c>
      <c r="AM133" s="111" t="str">
        <f t="array" ref="AM133">IFERROR(INDEX($AK$10:$AK$258, MATCH(0, IF(TRUE=$AH$10:$AH$258, COUNTIF($AM$9:$AM132, $AK$10:$AK$258), ""), 0)),"")</f>
        <v/>
      </c>
      <c r="AN133" s="111" t="str">
        <f t="array" ref="AN133">IFERROR(INDEX($AK$10:$AK$258, MATCH(0, IF(TRUE=$AI$10:$AI$258, COUNTIF($AN$9:$AN132, $AK$10:$AK$258), ""), 0)),"")</f>
        <v/>
      </c>
      <c r="AY133" s="289" t="str">
        <f t="shared" si="17"/>
        <v/>
      </c>
    </row>
    <row r="134" spans="2:51" ht="13.8" x14ac:dyDescent="0.25">
      <c r="B134" s="101">
        <v>125</v>
      </c>
      <c r="C134" s="142"/>
      <c r="D134" s="142"/>
      <c r="E134" s="108"/>
      <c r="F134" s="281" t="str">
        <f>IF(D134="","",VLOOKUP(D134,'G-6 Hedgerow Data'!$B$2:$AG$15,2,FALSE))</f>
        <v/>
      </c>
      <c r="G134" s="282" t="str">
        <f>IF(D134="","",VLOOKUP(D134,'G-6 Hedgerow Data'!$B$2:$AG$15,3,FALSE))</f>
        <v/>
      </c>
      <c r="H134" s="105"/>
      <c r="I134" s="282" t="str">
        <f>IFERROR(IF(AND(D134&lt;&gt;"",H134=""), "Check data ⚠",(IF(H134="","",IF(AND(D134="Non-native and ornamental hedgerow", H134&lt;&gt;"Poor"),"Not possible ▲", (IF(AND(F134="V.Low",OR(H134="Good",H134="Moderate")),"Error ▲",VLOOKUP(H134,'G-1 All Habitats'!$Z$2:$AA$9,2,FALSE))))))),"")</f>
        <v/>
      </c>
      <c r="J134" s="109"/>
      <c r="K134" s="301" t="str">
        <f>IF(AND(J134="",D134&lt;&gt;""),"Check data ⚠",IF(J134="","",IF(VLOOKUP(J134,'G-3 Multipliers'!$L$3:$N$6,2,FALSE)=0,"Spatial Data Missing ⚠",VLOOKUP(J134,'G-3 Multipliers'!$L$3:$N$6,2,FALSE))))</f>
        <v/>
      </c>
      <c r="L134" s="305" t="str">
        <f>IF(J134="","",IF(VLOOKUP(J134,'G-3 Multipliers'!$L$3:$N$6,3,FALSE)=0,"Spatial Data Missing ⚠",VLOOKUP(J134,'G-3 Multipliers'!$L$3:$N$6,3,FALSE)))</f>
        <v/>
      </c>
      <c r="M134" s="342" t="str">
        <f>IF(D134="","",VLOOKUP(D134,'G-6 Hedgerow Data'!$B$1:$AH$15,33,FALSE))</f>
        <v/>
      </c>
      <c r="N134" s="295" t="str">
        <f t="shared" si="11"/>
        <v/>
      </c>
      <c r="O134" s="403"/>
      <c r="P134" s="287" t="str">
        <f>IF(O134="","",IF(VLOOKUP(O134,'G-3 Multipliers'!$S$3:$T$10,2,FALSE)=0,"Spatial Data Missing ⚠",VLOOKUP(O134,'G-3 Multipliers'!$S$3:$T$10,2,FALSE)))</f>
        <v/>
      </c>
      <c r="Q134" s="295" t="str">
        <f t="shared" si="12"/>
        <v/>
      </c>
      <c r="R134" s="32"/>
      <c r="S134" s="105"/>
      <c r="T134" s="112"/>
      <c r="U134" s="289" t="str">
        <f t="shared" si="13"/>
        <v/>
      </c>
      <c r="V134" s="289" t="str">
        <f t="shared" si="14"/>
        <v/>
      </c>
      <c r="W134" s="293" t="str">
        <f t="shared" si="15"/>
        <v/>
      </c>
      <c r="X134" s="297" t="str">
        <f t="shared" si="16"/>
        <v/>
      </c>
      <c r="Y134" s="109"/>
      <c r="Z134" s="108"/>
      <c r="AA134" s="108"/>
      <c r="AB134" s="108"/>
      <c r="AE134" s="30" t="str">
        <f>IFERROR(INDEX('G-6 Hedgerow Data'!$BJ$3:$BJ$15,MATCH(D134,'G-6 Hedgerow Data'!$B$3:$B$15,0)),"")</f>
        <v/>
      </c>
      <c r="AH134" s="111" t="str">
        <f t="shared" si="9"/>
        <v/>
      </c>
      <c r="AI134" s="111" t="str">
        <f t="shared" si="10"/>
        <v/>
      </c>
      <c r="AK134" s="111">
        <v>125</v>
      </c>
      <c r="AM134" s="111" t="str">
        <f t="array" ref="AM134">IFERROR(INDEX($AK$10:$AK$258, MATCH(0, IF(TRUE=$AH$10:$AH$258, COUNTIF($AM$9:$AM133, $AK$10:$AK$258), ""), 0)),"")</f>
        <v/>
      </c>
      <c r="AN134" s="111" t="str">
        <f t="array" ref="AN134">IFERROR(INDEX($AK$10:$AK$258, MATCH(0, IF(TRUE=$AI$10:$AI$258, COUNTIF($AN$9:$AN133, $AK$10:$AK$258), ""), 0)),"")</f>
        <v/>
      </c>
      <c r="AY134" s="289" t="str">
        <f t="shared" si="17"/>
        <v/>
      </c>
    </row>
    <row r="135" spans="2:51" ht="13.8" x14ac:dyDescent="0.25">
      <c r="B135" s="101">
        <v>126</v>
      </c>
      <c r="C135" s="142"/>
      <c r="D135" s="142"/>
      <c r="E135" s="108"/>
      <c r="F135" s="281" t="str">
        <f>IF(D135="","",VLOOKUP(D135,'G-6 Hedgerow Data'!$B$2:$AG$15,2,FALSE))</f>
        <v/>
      </c>
      <c r="G135" s="282" t="str">
        <f>IF(D135="","",VLOOKUP(D135,'G-6 Hedgerow Data'!$B$2:$AG$15,3,FALSE))</f>
        <v/>
      </c>
      <c r="H135" s="105"/>
      <c r="I135" s="282" t="str">
        <f>IFERROR(IF(AND(D135&lt;&gt;"",H135=""), "Check data ⚠",(IF(H135="","",IF(AND(D135="Non-native and ornamental hedgerow", H135&lt;&gt;"Poor"),"Not possible ▲", (IF(AND(F135="V.Low",OR(H135="Good",H135="Moderate")),"Error ▲",VLOOKUP(H135,'G-1 All Habitats'!$Z$2:$AA$9,2,FALSE))))))),"")</f>
        <v/>
      </c>
      <c r="J135" s="109"/>
      <c r="K135" s="301" t="str">
        <f>IF(AND(J135="",D135&lt;&gt;""),"Check data ⚠",IF(J135="","",IF(VLOOKUP(J135,'G-3 Multipliers'!$L$3:$N$6,2,FALSE)=0,"Spatial Data Missing ⚠",VLOOKUP(J135,'G-3 Multipliers'!$L$3:$N$6,2,FALSE))))</f>
        <v/>
      </c>
      <c r="L135" s="305" t="str">
        <f>IF(J135="","",IF(VLOOKUP(J135,'G-3 Multipliers'!$L$3:$N$6,3,FALSE)=0,"Spatial Data Missing ⚠",VLOOKUP(J135,'G-3 Multipliers'!$L$3:$N$6,3,FALSE)))</f>
        <v/>
      </c>
      <c r="M135" s="342" t="str">
        <f>IF(D135="","",VLOOKUP(D135,'G-6 Hedgerow Data'!$B$1:$AH$15,33,FALSE))</f>
        <v/>
      </c>
      <c r="N135" s="295" t="str">
        <f t="shared" si="11"/>
        <v/>
      </c>
      <c r="O135" s="403"/>
      <c r="P135" s="287" t="str">
        <f>IF(O135="","",IF(VLOOKUP(O135,'G-3 Multipliers'!$S$3:$T$10,2,FALSE)=0,"Spatial Data Missing ⚠",VLOOKUP(O135,'G-3 Multipliers'!$S$3:$T$10,2,FALSE)))</f>
        <v/>
      </c>
      <c r="Q135" s="295" t="str">
        <f t="shared" si="12"/>
        <v/>
      </c>
      <c r="R135" s="32"/>
      <c r="S135" s="105"/>
      <c r="T135" s="112"/>
      <c r="U135" s="289" t="str">
        <f t="shared" si="13"/>
        <v/>
      </c>
      <c r="V135" s="289" t="str">
        <f t="shared" si="14"/>
        <v/>
      </c>
      <c r="W135" s="293" t="str">
        <f t="shared" si="15"/>
        <v/>
      </c>
      <c r="X135" s="297" t="str">
        <f t="shared" si="16"/>
        <v/>
      </c>
      <c r="Y135" s="109"/>
      <c r="Z135" s="108"/>
      <c r="AA135" s="108"/>
      <c r="AB135" s="108"/>
      <c r="AE135" s="30" t="str">
        <f>IFERROR(INDEX('G-6 Hedgerow Data'!$BJ$3:$BJ$15,MATCH(D135,'G-6 Hedgerow Data'!$B$3:$B$15,0)),"")</f>
        <v/>
      </c>
      <c r="AH135" s="111" t="str">
        <f t="shared" si="9"/>
        <v/>
      </c>
      <c r="AI135" s="111" t="str">
        <f t="shared" si="10"/>
        <v/>
      </c>
      <c r="AK135" s="111">
        <v>126</v>
      </c>
      <c r="AM135" s="111" t="str">
        <f t="array" ref="AM135">IFERROR(INDEX($AK$10:$AK$258, MATCH(0, IF(TRUE=$AH$10:$AH$258, COUNTIF($AM$9:$AM134, $AK$10:$AK$258), ""), 0)),"")</f>
        <v/>
      </c>
      <c r="AN135" s="111" t="str">
        <f t="array" ref="AN135">IFERROR(INDEX($AK$10:$AK$258, MATCH(0, IF(TRUE=$AI$10:$AI$258, COUNTIF($AN$9:$AN134, $AK$10:$AK$258), ""), 0)),"")</f>
        <v/>
      </c>
      <c r="AY135" s="289" t="str">
        <f t="shared" si="17"/>
        <v/>
      </c>
    </row>
    <row r="136" spans="2:51" ht="13.8" x14ac:dyDescent="0.25">
      <c r="B136" s="101">
        <v>127</v>
      </c>
      <c r="C136" s="142"/>
      <c r="D136" s="142"/>
      <c r="E136" s="108"/>
      <c r="F136" s="281" t="str">
        <f>IF(D136="","",VLOOKUP(D136,'G-6 Hedgerow Data'!$B$2:$AG$15,2,FALSE))</f>
        <v/>
      </c>
      <c r="G136" s="282" t="str">
        <f>IF(D136="","",VLOOKUP(D136,'G-6 Hedgerow Data'!$B$2:$AG$15,3,FALSE))</f>
        <v/>
      </c>
      <c r="H136" s="105"/>
      <c r="I136" s="282" t="str">
        <f>IFERROR(IF(AND(D136&lt;&gt;"",H136=""), "Check data ⚠",(IF(H136="","",IF(AND(D136="Non-native and ornamental hedgerow", H136&lt;&gt;"Poor"),"Not possible ▲", (IF(AND(F136="V.Low",OR(H136="Good",H136="Moderate")),"Error ▲",VLOOKUP(H136,'G-1 All Habitats'!$Z$2:$AA$9,2,FALSE))))))),"")</f>
        <v/>
      </c>
      <c r="J136" s="109"/>
      <c r="K136" s="301" t="str">
        <f>IF(AND(J136="",D136&lt;&gt;""),"Check data ⚠",IF(J136="","",IF(VLOOKUP(J136,'G-3 Multipliers'!$L$3:$N$6,2,FALSE)=0,"Spatial Data Missing ⚠",VLOOKUP(J136,'G-3 Multipliers'!$L$3:$N$6,2,FALSE))))</f>
        <v/>
      </c>
      <c r="L136" s="305" t="str">
        <f>IF(J136="","",IF(VLOOKUP(J136,'G-3 Multipliers'!$L$3:$N$6,3,FALSE)=0,"Spatial Data Missing ⚠",VLOOKUP(J136,'G-3 Multipliers'!$L$3:$N$6,3,FALSE)))</f>
        <v/>
      </c>
      <c r="M136" s="342" t="str">
        <f>IF(D136="","",VLOOKUP(D136,'G-6 Hedgerow Data'!$B$1:$AH$15,33,FALSE))</f>
        <v/>
      </c>
      <c r="N136" s="295" t="str">
        <f t="shared" si="11"/>
        <v/>
      </c>
      <c r="O136" s="403"/>
      <c r="P136" s="287" t="str">
        <f>IF(O136="","",IF(VLOOKUP(O136,'G-3 Multipliers'!$S$3:$T$10,2,FALSE)=0,"Spatial Data Missing ⚠",VLOOKUP(O136,'G-3 Multipliers'!$S$3:$T$10,2,FALSE)))</f>
        <v/>
      </c>
      <c r="Q136" s="295" t="str">
        <f t="shared" si="12"/>
        <v/>
      </c>
      <c r="R136" s="32"/>
      <c r="S136" s="105"/>
      <c r="T136" s="112"/>
      <c r="U136" s="289" t="str">
        <f t="shared" si="13"/>
        <v/>
      </c>
      <c r="V136" s="289" t="str">
        <f t="shared" si="14"/>
        <v/>
      </c>
      <c r="W136" s="293" t="str">
        <f t="shared" si="15"/>
        <v/>
      </c>
      <c r="X136" s="297" t="str">
        <f t="shared" si="16"/>
        <v/>
      </c>
      <c r="Y136" s="109"/>
      <c r="Z136" s="108"/>
      <c r="AA136" s="108"/>
      <c r="AB136" s="108"/>
      <c r="AE136" s="30" t="str">
        <f>IFERROR(INDEX('G-6 Hedgerow Data'!$BJ$3:$BJ$15,MATCH(D136,'G-6 Hedgerow Data'!$B$3:$B$15,0)),"")</f>
        <v/>
      </c>
      <c r="AH136" s="111" t="str">
        <f t="shared" si="9"/>
        <v/>
      </c>
      <c r="AI136" s="111" t="str">
        <f t="shared" si="10"/>
        <v/>
      </c>
      <c r="AK136" s="111">
        <v>127</v>
      </c>
      <c r="AM136" s="111" t="str">
        <f t="array" ref="AM136">IFERROR(INDEX($AK$10:$AK$258, MATCH(0, IF(TRUE=$AH$10:$AH$258, COUNTIF($AM$9:$AM135, $AK$10:$AK$258), ""), 0)),"")</f>
        <v/>
      </c>
      <c r="AN136" s="111" t="str">
        <f t="array" ref="AN136">IFERROR(INDEX($AK$10:$AK$258, MATCH(0, IF(TRUE=$AI$10:$AI$258, COUNTIF($AN$9:$AN135, $AK$10:$AK$258), ""), 0)),"")</f>
        <v/>
      </c>
      <c r="AY136" s="289" t="str">
        <f t="shared" si="17"/>
        <v/>
      </c>
    </row>
    <row r="137" spans="2:51" ht="13.8" x14ac:dyDescent="0.25">
      <c r="B137" s="101">
        <v>128</v>
      </c>
      <c r="C137" s="142"/>
      <c r="D137" s="142"/>
      <c r="E137" s="108"/>
      <c r="F137" s="281" t="str">
        <f>IF(D137="","",VLOOKUP(D137,'G-6 Hedgerow Data'!$B$2:$AG$15,2,FALSE))</f>
        <v/>
      </c>
      <c r="G137" s="282" t="str">
        <f>IF(D137="","",VLOOKUP(D137,'G-6 Hedgerow Data'!$B$2:$AG$15,3,FALSE))</f>
        <v/>
      </c>
      <c r="H137" s="105"/>
      <c r="I137" s="282" t="str">
        <f>IFERROR(IF(AND(D137&lt;&gt;"",H137=""), "Check data ⚠",(IF(H137="","",IF(AND(D137="Non-native and ornamental hedgerow", H137&lt;&gt;"Poor"),"Not possible ▲", (IF(AND(F137="V.Low",OR(H137="Good",H137="Moderate")),"Error ▲",VLOOKUP(H137,'G-1 All Habitats'!$Z$2:$AA$9,2,FALSE))))))),"")</f>
        <v/>
      </c>
      <c r="J137" s="109"/>
      <c r="K137" s="301" t="str">
        <f>IF(AND(J137="",D137&lt;&gt;""),"Check data ⚠",IF(J137="","",IF(VLOOKUP(J137,'G-3 Multipliers'!$L$3:$N$6,2,FALSE)=0,"Spatial Data Missing ⚠",VLOOKUP(J137,'G-3 Multipliers'!$L$3:$N$6,2,FALSE))))</f>
        <v/>
      </c>
      <c r="L137" s="305" t="str">
        <f>IF(J137="","",IF(VLOOKUP(J137,'G-3 Multipliers'!$L$3:$N$6,3,FALSE)=0,"Spatial Data Missing ⚠",VLOOKUP(J137,'G-3 Multipliers'!$L$3:$N$6,3,FALSE)))</f>
        <v/>
      </c>
      <c r="M137" s="342" t="str">
        <f>IF(D137="","",VLOOKUP(D137,'G-6 Hedgerow Data'!$B$1:$AH$15,33,FALSE))</f>
        <v/>
      </c>
      <c r="N137" s="295" t="str">
        <f t="shared" si="11"/>
        <v/>
      </c>
      <c r="O137" s="403"/>
      <c r="P137" s="287" t="str">
        <f>IF(O137="","",IF(VLOOKUP(O137,'G-3 Multipliers'!$S$3:$T$10,2,FALSE)=0,"Spatial Data Missing ⚠",VLOOKUP(O137,'G-3 Multipliers'!$S$3:$T$10,2,FALSE)))</f>
        <v/>
      </c>
      <c r="Q137" s="295" t="str">
        <f t="shared" si="12"/>
        <v/>
      </c>
      <c r="R137" s="32"/>
      <c r="S137" s="105"/>
      <c r="T137" s="112"/>
      <c r="U137" s="289" t="str">
        <f t="shared" si="13"/>
        <v/>
      </c>
      <c r="V137" s="289" t="str">
        <f t="shared" si="14"/>
        <v/>
      </c>
      <c r="W137" s="293" t="str">
        <f t="shared" si="15"/>
        <v/>
      </c>
      <c r="X137" s="297" t="str">
        <f t="shared" si="16"/>
        <v/>
      </c>
      <c r="Y137" s="109"/>
      <c r="Z137" s="108"/>
      <c r="AA137" s="108"/>
      <c r="AB137" s="108"/>
      <c r="AE137" s="30" t="str">
        <f>IFERROR(INDEX('G-6 Hedgerow Data'!$BJ$3:$BJ$15,MATCH(D137,'G-6 Hedgerow Data'!$B$3:$B$15,0)),"")</f>
        <v/>
      </c>
      <c r="AH137" s="111" t="str">
        <f t="shared" si="9"/>
        <v/>
      </c>
      <c r="AI137" s="111" t="str">
        <f t="shared" si="10"/>
        <v/>
      </c>
      <c r="AK137" s="111">
        <v>128</v>
      </c>
      <c r="AM137" s="111" t="str">
        <f t="array" ref="AM137">IFERROR(INDEX($AK$10:$AK$258, MATCH(0, IF(TRUE=$AH$10:$AH$258, COUNTIF($AM$9:$AM136, $AK$10:$AK$258), ""), 0)),"")</f>
        <v/>
      </c>
      <c r="AN137" s="111" t="str">
        <f t="array" ref="AN137">IFERROR(INDEX($AK$10:$AK$258, MATCH(0, IF(TRUE=$AI$10:$AI$258, COUNTIF($AN$9:$AN136, $AK$10:$AK$258), ""), 0)),"")</f>
        <v/>
      </c>
      <c r="AY137" s="289" t="str">
        <f t="shared" si="17"/>
        <v/>
      </c>
    </row>
    <row r="138" spans="2:51" ht="13.8" x14ac:dyDescent="0.25">
      <c r="B138" s="101">
        <v>129</v>
      </c>
      <c r="C138" s="142"/>
      <c r="D138" s="142"/>
      <c r="E138" s="108"/>
      <c r="F138" s="281" t="str">
        <f>IF(D138="","",VLOOKUP(D138,'G-6 Hedgerow Data'!$B$2:$AG$15,2,FALSE))</f>
        <v/>
      </c>
      <c r="G138" s="282" t="str">
        <f>IF(D138="","",VLOOKUP(D138,'G-6 Hedgerow Data'!$B$2:$AG$15,3,FALSE))</f>
        <v/>
      </c>
      <c r="H138" s="105"/>
      <c r="I138" s="282" t="str">
        <f>IFERROR(IF(AND(D138&lt;&gt;"",H138=""), "Check data ⚠",(IF(H138="","",IF(AND(D138="Non-native and ornamental hedgerow", H138&lt;&gt;"Poor"),"Not possible ▲", (IF(AND(F138="V.Low",OR(H138="Good",H138="Moderate")),"Error ▲",VLOOKUP(H138,'G-1 All Habitats'!$Z$2:$AA$9,2,FALSE))))))),"")</f>
        <v/>
      </c>
      <c r="J138" s="109"/>
      <c r="K138" s="301" t="str">
        <f>IF(AND(J138="",D138&lt;&gt;""),"Check data ⚠",IF(J138="","",IF(VLOOKUP(J138,'G-3 Multipliers'!$L$3:$N$6,2,FALSE)=0,"Spatial Data Missing ⚠",VLOOKUP(J138,'G-3 Multipliers'!$L$3:$N$6,2,FALSE))))</f>
        <v/>
      </c>
      <c r="L138" s="305" t="str">
        <f>IF(J138="","",IF(VLOOKUP(J138,'G-3 Multipliers'!$L$3:$N$6,3,FALSE)=0,"Spatial Data Missing ⚠",VLOOKUP(J138,'G-3 Multipliers'!$L$3:$N$6,3,FALSE)))</f>
        <v/>
      </c>
      <c r="M138" s="342" t="str">
        <f>IF(D138="","",VLOOKUP(D138,'G-6 Hedgerow Data'!$B$1:$AH$15,33,FALSE))</f>
        <v/>
      </c>
      <c r="N138" s="295" t="str">
        <f t="shared" si="11"/>
        <v/>
      </c>
      <c r="O138" s="403"/>
      <c r="P138" s="287" t="str">
        <f>IF(O138="","",IF(VLOOKUP(O138,'G-3 Multipliers'!$S$3:$T$10,2,FALSE)=0,"Spatial Data Missing ⚠",VLOOKUP(O138,'G-3 Multipliers'!$S$3:$T$10,2,FALSE)))</f>
        <v/>
      </c>
      <c r="Q138" s="295" t="str">
        <f t="shared" si="12"/>
        <v/>
      </c>
      <c r="R138" s="32"/>
      <c r="S138" s="105"/>
      <c r="T138" s="112"/>
      <c r="U138" s="289" t="str">
        <f t="shared" si="13"/>
        <v/>
      </c>
      <c r="V138" s="289" t="str">
        <f t="shared" si="14"/>
        <v/>
      </c>
      <c r="W138" s="293" t="str">
        <f t="shared" si="15"/>
        <v/>
      </c>
      <c r="X138" s="297" t="str">
        <f t="shared" si="16"/>
        <v/>
      </c>
      <c r="Y138" s="109"/>
      <c r="Z138" s="108"/>
      <c r="AA138" s="108"/>
      <c r="AB138" s="108"/>
      <c r="AE138" s="30" t="str">
        <f>IFERROR(INDEX('G-6 Hedgerow Data'!$BJ$3:$BJ$15,MATCH(D138,'G-6 Hedgerow Data'!$B$3:$B$15,0)),"")</f>
        <v/>
      </c>
      <c r="AH138" s="111" t="str">
        <f t="shared" ref="AH138:AH201" si="18">IF(D138="","",IF(S138&gt;0,TRUE,FALSE))</f>
        <v/>
      </c>
      <c r="AI138" s="111" t="str">
        <f t="shared" ref="AI138:AI201" si="19">IF(D138="","",IF(T138&gt;0,TRUE,FALSE))</f>
        <v/>
      </c>
      <c r="AK138" s="111">
        <v>129</v>
      </c>
      <c r="AM138" s="111" t="str">
        <f t="array" ref="AM138">IFERROR(INDEX($AK$10:$AK$258, MATCH(0, IF(TRUE=$AH$10:$AH$258, COUNTIF($AM$9:$AM137, $AK$10:$AK$258), ""), 0)),"")</f>
        <v/>
      </c>
      <c r="AN138" s="111" t="str">
        <f t="array" ref="AN138">IFERROR(INDEX($AK$10:$AK$258, MATCH(0, IF(TRUE=$AI$10:$AI$258, COUNTIF($AN$9:$AN137, $AK$10:$AK$258), ""), 0)),"")</f>
        <v/>
      </c>
      <c r="AY138" s="289" t="str">
        <f t="shared" si="17"/>
        <v/>
      </c>
    </row>
    <row r="139" spans="2:51" ht="13.8" x14ac:dyDescent="0.25">
      <c r="B139" s="101">
        <v>130</v>
      </c>
      <c r="C139" s="142"/>
      <c r="D139" s="142"/>
      <c r="E139" s="108"/>
      <c r="F139" s="281" t="str">
        <f>IF(D139="","",VLOOKUP(D139,'G-6 Hedgerow Data'!$B$2:$AG$15,2,FALSE))</f>
        <v/>
      </c>
      <c r="G139" s="282" t="str">
        <f>IF(D139="","",VLOOKUP(D139,'G-6 Hedgerow Data'!$B$2:$AG$15,3,FALSE))</f>
        <v/>
      </c>
      <c r="H139" s="105"/>
      <c r="I139" s="282" t="str">
        <f>IFERROR(IF(AND(D139&lt;&gt;"",H139=""), "Check data ⚠",(IF(H139="","",IF(AND(D139="Non-native and ornamental hedgerow", H139&lt;&gt;"Poor"),"Not possible ▲", (IF(AND(F139="V.Low",OR(H139="Good",H139="Moderate")),"Error ▲",VLOOKUP(H139,'G-1 All Habitats'!$Z$2:$AA$9,2,FALSE))))))),"")</f>
        <v/>
      </c>
      <c r="J139" s="109"/>
      <c r="K139" s="301" t="str">
        <f>IF(AND(J139="",D139&lt;&gt;""),"Check data ⚠",IF(J139="","",IF(VLOOKUP(J139,'G-3 Multipliers'!$L$3:$N$6,2,FALSE)=0,"Spatial Data Missing ⚠",VLOOKUP(J139,'G-3 Multipliers'!$L$3:$N$6,2,FALSE))))</f>
        <v/>
      </c>
      <c r="L139" s="305" t="str">
        <f>IF(J139="","",IF(VLOOKUP(J139,'G-3 Multipliers'!$L$3:$N$6,3,FALSE)=0,"Spatial Data Missing ⚠",VLOOKUP(J139,'G-3 Multipliers'!$L$3:$N$6,3,FALSE)))</f>
        <v/>
      </c>
      <c r="M139" s="342" t="str">
        <f>IF(D139="","",VLOOKUP(D139,'G-6 Hedgerow Data'!$B$1:$AH$15,33,FALSE))</f>
        <v/>
      </c>
      <c r="N139" s="295" t="str">
        <f t="shared" ref="N139:N202" si="20">IFERROR(IF(Q139="Check data ⚠", "Check data ⚠",(E139*G139*I139*L139*P139)),"")</f>
        <v/>
      </c>
      <c r="O139" s="403"/>
      <c r="P139" s="287" t="str">
        <f>IF(O139="","",IF(VLOOKUP(O139,'G-3 Multipliers'!$S$3:$T$10,2,FALSE)=0,"Spatial Data Missing ⚠",VLOOKUP(O139,'G-3 Multipliers'!$S$3:$T$10,2,FALSE)))</f>
        <v/>
      </c>
      <c r="Q139" s="295" t="str">
        <f t="shared" ref="Q139:Q202" si="21">IFERROR(IF(OR(K139="Check data ⚠", I139="Check data ⚠",W139="Error in lengths ▲"), "Check data ▲", (IF(AND(O139&lt;&gt;"",AB139=""), "Off-site reference required ▲",(IF(O139="", "", E139*G139*I139*L139))))),"")</f>
        <v/>
      </c>
      <c r="R139" s="32"/>
      <c r="S139" s="105"/>
      <c r="T139" s="112"/>
      <c r="U139" s="289" t="str">
        <f t="shared" ref="U139:U202" si="22">IFERROR(S139*G139*I139*L139,"")</f>
        <v/>
      </c>
      <c r="V139" s="289" t="str">
        <f t="shared" ref="V139:V202" si="23">IFERROR(T139*G139*I139*L139,"")</f>
        <v/>
      </c>
      <c r="W139" s="293" t="str">
        <f t="shared" ref="W139:W202" si="24">IF(D139="","",IF(E139&lt;S139+T139,"Error in Lengths ▲",E139-S139-T139))</f>
        <v/>
      </c>
      <c r="X139" s="297" t="str">
        <f t="shared" ref="X139:X202" si="25">IF(Q139="Check data ⚠","Check data ⚠",IF(OR(E139="",N139=""),"",IF(E139&lt;S139+T139,"Error in Lengths",Q139-U139-V139)))</f>
        <v/>
      </c>
      <c r="Y139" s="109"/>
      <c r="Z139" s="108"/>
      <c r="AA139" s="108"/>
      <c r="AB139" s="108"/>
      <c r="AE139" s="30" t="str">
        <f>IFERROR(INDEX('G-6 Hedgerow Data'!$BJ$3:$BJ$15,MATCH(D139,'G-6 Hedgerow Data'!$B$3:$B$15,0)),"")</f>
        <v/>
      </c>
      <c r="AH139" s="111" t="str">
        <f t="shared" si="18"/>
        <v/>
      </c>
      <c r="AI139" s="111" t="str">
        <f t="shared" si="19"/>
        <v/>
      </c>
      <c r="AK139" s="111">
        <v>130</v>
      </c>
      <c r="AM139" s="111" t="str">
        <f t="array" ref="AM139">IFERROR(INDEX($AK$10:$AK$258, MATCH(0, IF(TRUE=$AH$10:$AH$258, COUNTIF($AM$9:$AM138, $AK$10:$AK$258), ""), 0)),"")</f>
        <v/>
      </c>
      <c r="AN139" s="111" t="str">
        <f t="array" ref="AN139">IFERROR(INDEX($AK$10:$AK$258, MATCH(0, IF(TRUE=$AI$10:$AI$258, COUNTIF($AN$9:$AN138, $AK$10:$AK$258), ""), 0)),"")</f>
        <v/>
      </c>
      <c r="AY139" s="289" t="str">
        <f t="shared" ref="AY139:AY202" si="26">IFERROR(S139*G139*I139*L139*P139,"")</f>
        <v/>
      </c>
    </row>
    <row r="140" spans="2:51" ht="13.8" x14ac:dyDescent="0.25">
      <c r="B140" s="101">
        <v>131</v>
      </c>
      <c r="C140" s="142"/>
      <c r="D140" s="142"/>
      <c r="E140" s="108"/>
      <c r="F140" s="281" t="str">
        <f>IF(D140="","",VLOOKUP(D140,'G-6 Hedgerow Data'!$B$2:$AG$15,2,FALSE))</f>
        <v/>
      </c>
      <c r="G140" s="282" t="str">
        <f>IF(D140="","",VLOOKUP(D140,'G-6 Hedgerow Data'!$B$2:$AG$15,3,FALSE))</f>
        <v/>
      </c>
      <c r="H140" s="105"/>
      <c r="I140" s="282" t="str">
        <f>IFERROR(IF(AND(D140&lt;&gt;"",H140=""), "Check data ⚠",(IF(H140="","",IF(AND(D140="Non-native and ornamental hedgerow", H140&lt;&gt;"Poor"),"Not possible ▲", (IF(AND(F140="V.Low",OR(H140="Good",H140="Moderate")),"Error ▲",VLOOKUP(H140,'G-1 All Habitats'!$Z$2:$AA$9,2,FALSE))))))),"")</f>
        <v/>
      </c>
      <c r="J140" s="109"/>
      <c r="K140" s="301" t="str">
        <f>IF(AND(J140="",D140&lt;&gt;""),"Check data ⚠",IF(J140="","",IF(VLOOKUP(J140,'G-3 Multipliers'!$L$3:$N$6,2,FALSE)=0,"Spatial Data Missing ⚠",VLOOKUP(J140,'G-3 Multipliers'!$L$3:$N$6,2,FALSE))))</f>
        <v/>
      </c>
      <c r="L140" s="305" t="str">
        <f>IF(J140="","",IF(VLOOKUP(J140,'G-3 Multipliers'!$L$3:$N$6,3,FALSE)=0,"Spatial Data Missing ⚠",VLOOKUP(J140,'G-3 Multipliers'!$L$3:$N$6,3,FALSE)))</f>
        <v/>
      </c>
      <c r="M140" s="342" t="str">
        <f>IF(D140="","",VLOOKUP(D140,'G-6 Hedgerow Data'!$B$1:$AH$15,33,FALSE))</f>
        <v/>
      </c>
      <c r="N140" s="295" t="str">
        <f t="shared" si="20"/>
        <v/>
      </c>
      <c r="O140" s="403"/>
      <c r="P140" s="287" t="str">
        <f>IF(O140="","",IF(VLOOKUP(O140,'G-3 Multipliers'!$S$3:$T$10,2,FALSE)=0,"Spatial Data Missing ⚠",VLOOKUP(O140,'G-3 Multipliers'!$S$3:$T$10,2,FALSE)))</f>
        <v/>
      </c>
      <c r="Q140" s="295" t="str">
        <f t="shared" si="21"/>
        <v/>
      </c>
      <c r="R140" s="32"/>
      <c r="S140" s="105"/>
      <c r="T140" s="112"/>
      <c r="U140" s="289" t="str">
        <f t="shared" si="22"/>
        <v/>
      </c>
      <c r="V140" s="289" t="str">
        <f t="shared" si="23"/>
        <v/>
      </c>
      <c r="W140" s="293" t="str">
        <f t="shared" si="24"/>
        <v/>
      </c>
      <c r="X140" s="297" t="str">
        <f t="shared" si="25"/>
        <v/>
      </c>
      <c r="Y140" s="109"/>
      <c r="Z140" s="108"/>
      <c r="AA140" s="108"/>
      <c r="AB140" s="108"/>
      <c r="AE140" s="30" t="str">
        <f>IFERROR(INDEX('G-6 Hedgerow Data'!$BJ$3:$BJ$15,MATCH(D140,'G-6 Hedgerow Data'!$B$3:$B$15,0)),"")</f>
        <v/>
      </c>
      <c r="AH140" s="111" t="str">
        <f t="shared" si="18"/>
        <v/>
      </c>
      <c r="AI140" s="111" t="str">
        <f t="shared" si="19"/>
        <v/>
      </c>
      <c r="AK140" s="111">
        <v>131</v>
      </c>
      <c r="AM140" s="111" t="str">
        <f t="array" ref="AM140">IFERROR(INDEX($AK$10:$AK$258, MATCH(0, IF(TRUE=$AH$10:$AH$258, COUNTIF($AM$9:$AM139, $AK$10:$AK$258), ""), 0)),"")</f>
        <v/>
      </c>
      <c r="AN140" s="111" t="str">
        <f t="array" ref="AN140">IFERROR(INDEX($AK$10:$AK$258, MATCH(0, IF(TRUE=$AI$10:$AI$258, COUNTIF($AN$9:$AN139, $AK$10:$AK$258), ""), 0)),"")</f>
        <v/>
      </c>
      <c r="AY140" s="289" t="str">
        <f t="shared" si="26"/>
        <v/>
      </c>
    </row>
    <row r="141" spans="2:51" ht="13.8" x14ac:dyDescent="0.25">
      <c r="B141" s="101">
        <v>132</v>
      </c>
      <c r="C141" s="142"/>
      <c r="D141" s="142"/>
      <c r="E141" s="108"/>
      <c r="F141" s="281" t="str">
        <f>IF(D141="","",VLOOKUP(D141,'G-6 Hedgerow Data'!$B$2:$AG$15,2,FALSE))</f>
        <v/>
      </c>
      <c r="G141" s="282" t="str">
        <f>IF(D141="","",VLOOKUP(D141,'G-6 Hedgerow Data'!$B$2:$AG$15,3,FALSE))</f>
        <v/>
      </c>
      <c r="H141" s="105"/>
      <c r="I141" s="282" t="str">
        <f>IFERROR(IF(AND(D141&lt;&gt;"",H141=""), "Check data ⚠",(IF(H141="","",IF(AND(D141="Non-native and ornamental hedgerow", H141&lt;&gt;"Poor"),"Not possible ▲", (IF(AND(F141="V.Low",OR(H141="Good",H141="Moderate")),"Error ▲",VLOOKUP(H141,'G-1 All Habitats'!$Z$2:$AA$9,2,FALSE))))))),"")</f>
        <v/>
      </c>
      <c r="J141" s="109"/>
      <c r="K141" s="301" t="str">
        <f>IF(AND(J141="",D141&lt;&gt;""),"Check data ⚠",IF(J141="","",IF(VLOOKUP(J141,'G-3 Multipliers'!$L$3:$N$6,2,FALSE)=0,"Spatial Data Missing ⚠",VLOOKUP(J141,'G-3 Multipliers'!$L$3:$N$6,2,FALSE))))</f>
        <v/>
      </c>
      <c r="L141" s="305" t="str">
        <f>IF(J141="","",IF(VLOOKUP(J141,'G-3 Multipliers'!$L$3:$N$6,3,FALSE)=0,"Spatial Data Missing ⚠",VLOOKUP(J141,'G-3 Multipliers'!$L$3:$N$6,3,FALSE)))</f>
        <v/>
      </c>
      <c r="M141" s="342" t="str">
        <f>IF(D141="","",VLOOKUP(D141,'G-6 Hedgerow Data'!$B$1:$AH$15,33,FALSE))</f>
        <v/>
      </c>
      <c r="N141" s="295" t="str">
        <f t="shared" si="20"/>
        <v/>
      </c>
      <c r="O141" s="403"/>
      <c r="P141" s="287" t="str">
        <f>IF(O141="","",IF(VLOOKUP(O141,'G-3 Multipliers'!$S$3:$T$10,2,FALSE)=0,"Spatial Data Missing ⚠",VLOOKUP(O141,'G-3 Multipliers'!$S$3:$T$10,2,FALSE)))</f>
        <v/>
      </c>
      <c r="Q141" s="295" t="str">
        <f t="shared" si="21"/>
        <v/>
      </c>
      <c r="R141" s="32"/>
      <c r="S141" s="105"/>
      <c r="T141" s="112"/>
      <c r="U141" s="289" t="str">
        <f t="shared" si="22"/>
        <v/>
      </c>
      <c r="V141" s="289" t="str">
        <f t="shared" si="23"/>
        <v/>
      </c>
      <c r="W141" s="293" t="str">
        <f t="shared" si="24"/>
        <v/>
      </c>
      <c r="X141" s="297" t="str">
        <f t="shared" si="25"/>
        <v/>
      </c>
      <c r="Y141" s="109"/>
      <c r="Z141" s="108"/>
      <c r="AA141" s="108"/>
      <c r="AB141" s="108"/>
      <c r="AE141" s="30" t="str">
        <f>IFERROR(INDEX('G-6 Hedgerow Data'!$BJ$3:$BJ$15,MATCH(D141,'G-6 Hedgerow Data'!$B$3:$B$15,0)),"")</f>
        <v/>
      </c>
      <c r="AH141" s="111" t="str">
        <f t="shared" si="18"/>
        <v/>
      </c>
      <c r="AI141" s="111" t="str">
        <f t="shared" si="19"/>
        <v/>
      </c>
      <c r="AK141" s="111">
        <v>132</v>
      </c>
      <c r="AM141" s="111" t="str">
        <f t="array" ref="AM141">IFERROR(INDEX($AK$10:$AK$258, MATCH(0, IF(TRUE=$AH$10:$AH$258, COUNTIF($AM$9:$AM140, $AK$10:$AK$258), ""), 0)),"")</f>
        <v/>
      </c>
      <c r="AN141" s="111" t="str">
        <f t="array" ref="AN141">IFERROR(INDEX($AK$10:$AK$258, MATCH(0, IF(TRUE=$AI$10:$AI$258, COUNTIF($AN$9:$AN140, $AK$10:$AK$258), ""), 0)),"")</f>
        <v/>
      </c>
      <c r="AY141" s="289" t="str">
        <f t="shared" si="26"/>
        <v/>
      </c>
    </row>
    <row r="142" spans="2:51" ht="13.8" x14ac:dyDescent="0.25">
      <c r="B142" s="101">
        <v>133</v>
      </c>
      <c r="C142" s="142"/>
      <c r="D142" s="142"/>
      <c r="E142" s="108"/>
      <c r="F142" s="281" t="str">
        <f>IF(D142="","",VLOOKUP(D142,'G-6 Hedgerow Data'!$B$2:$AG$15,2,FALSE))</f>
        <v/>
      </c>
      <c r="G142" s="282" t="str">
        <f>IF(D142="","",VLOOKUP(D142,'G-6 Hedgerow Data'!$B$2:$AG$15,3,FALSE))</f>
        <v/>
      </c>
      <c r="H142" s="105"/>
      <c r="I142" s="282" t="str">
        <f>IFERROR(IF(AND(D142&lt;&gt;"",H142=""), "Check data ⚠",(IF(H142="","",IF(AND(D142="Non-native and ornamental hedgerow", H142&lt;&gt;"Poor"),"Not possible ▲", (IF(AND(F142="V.Low",OR(H142="Good",H142="Moderate")),"Error ▲",VLOOKUP(H142,'G-1 All Habitats'!$Z$2:$AA$9,2,FALSE))))))),"")</f>
        <v/>
      </c>
      <c r="J142" s="109"/>
      <c r="K142" s="301" t="str">
        <f>IF(AND(J142="",D142&lt;&gt;""),"Check data ⚠",IF(J142="","",IF(VLOOKUP(J142,'G-3 Multipliers'!$L$3:$N$6,2,FALSE)=0,"Spatial Data Missing ⚠",VLOOKUP(J142,'G-3 Multipliers'!$L$3:$N$6,2,FALSE))))</f>
        <v/>
      </c>
      <c r="L142" s="305" t="str">
        <f>IF(J142="","",IF(VLOOKUP(J142,'G-3 Multipliers'!$L$3:$N$6,3,FALSE)=0,"Spatial Data Missing ⚠",VLOOKUP(J142,'G-3 Multipliers'!$L$3:$N$6,3,FALSE)))</f>
        <v/>
      </c>
      <c r="M142" s="342" t="str">
        <f>IF(D142="","",VLOOKUP(D142,'G-6 Hedgerow Data'!$B$1:$AH$15,33,FALSE))</f>
        <v/>
      </c>
      <c r="N142" s="295" t="str">
        <f t="shared" si="20"/>
        <v/>
      </c>
      <c r="O142" s="403"/>
      <c r="P142" s="287" t="str">
        <f>IF(O142="","",IF(VLOOKUP(O142,'G-3 Multipliers'!$S$3:$T$10,2,FALSE)=0,"Spatial Data Missing ⚠",VLOOKUP(O142,'G-3 Multipliers'!$S$3:$T$10,2,FALSE)))</f>
        <v/>
      </c>
      <c r="Q142" s="295" t="str">
        <f t="shared" si="21"/>
        <v/>
      </c>
      <c r="R142" s="32"/>
      <c r="S142" s="105"/>
      <c r="T142" s="112"/>
      <c r="U142" s="289" t="str">
        <f t="shared" si="22"/>
        <v/>
      </c>
      <c r="V142" s="289" t="str">
        <f t="shared" si="23"/>
        <v/>
      </c>
      <c r="W142" s="293" t="str">
        <f t="shared" si="24"/>
        <v/>
      </c>
      <c r="X142" s="297" t="str">
        <f t="shared" si="25"/>
        <v/>
      </c>
      <c r="Y142" s="109"/>
      <c r="Z142" s="108"/>
      <c r="AA142" s="108"/>
      <c r="AB142" s="108"/>
      <c r="AE142" s="30" t="str">
        <f>IFERROR(INDEX('G-6 Hedgerow Data'!$BJ$3:$BJ$15,MATCH(D142,'G-6 Hedgerow Data'!$B$3:$B$15,0)),"")</f>
        <v/>
      </c>
      <c r="AH142" s="111" t="str">
        <f t="shared" si="18"/>
        <v/>
      </c>
      <c r="AI142" s="111" t="str">
        <f t="shared" si="19"/>
        <v/>
      </c>
      <c r="AK142" s="111">
        <v>133</v>
      </c>
      <c r="AM142" s="111" t="str">
        <f t="array" ref="AM142">IFERROR(INDEX($AK$10:$AK$258, MATCH(0, IF(TRUE=$AH$10:$AH$258, COUNTIF($AM$9:$AM141, $AK$10:$AK$258), ""), 0)),"")</f>
        <v/>
      </c>
      <c r="AN142" s="111" t="str">
        <f t="array" ref="AN142">IFERROR(INDEX($AK$10:$AK$258, MATCH(0, IF(TRUE=$AI$10:$AI$258, COUNTIF($AN$9:$AN141, $AK$10:$AK$258), ""), 0)),"")</f>
        <v/>
      </c>
      <c r="AY142" s="289" t="str">
        <f t="shared" si="26"/>
        <v/>
      </c>
    </row>
    <row r="143" spans="2:51" ht="13.8" x14ac:dyDescent="0.25">
      <c r="B143" s="101">
        <v>134</v>
      </c>
      <c r="C143" s="142"/>
      <c r="D143" s="142"/>
      <c r="E143" s="108"/>
      <c r="F143" s="281" t="str">
        <f>IF(D143="","",VLOOKUP(D143,'G-6 Hedgerow Data'!$B$2:$AG$15,2,FALSE))</f>
        <v/>
      </c>
      <c r="G143" s="282" t="str">
        <f>IF(D143="","",VLOOKUP(D143,'G-6 Hedgerow Data'!$B$2:$AG$15,3,FALSE))</f>
        <v/>
      </c>
      <c r="H143" s="105"/>
      <c r="I143" s="282" t="str">
        <f>IFERROR(IF(AND(D143&lt;&gt;"",H143=""), "Check data ⚠",(IF(H143="","",IF(AND(D143="Non-native and ornamental hedgerow", H143&lt;&gt;"Poor"),"Not possible ▲", (IF(AND(F143="V.Low",OR(H143="Good",H143="Moderate")),"Error ▲",VLOOKUP(H143,'G-1 All Habitats'!$Z$2:$AA$9,2,FALSE))))))),"")</f>
        <v/>
      </c>
      <c r="J143" s="109"/>
      <c r="K143" s="301" t="str">
        <f>IF(AND(J143="",D143&lt;&gt;""),"Check data ⚠",IF(J143="","",IF(VLOOKUP(J143,'G-3 Multipliers'!$L$3:$N$6,2,FALSE)=0,"Spatial Data Missing ⚠",VLOOKUP(J143,'G-3 Multipliers'!$L$3:$N$6,2,FALSE))))</f>
        <v/>
      </c>
      <c r="L143" s="305" t="str">
        <f>IF(J143="","",IF(VLOOKUP(J143,'G-3 Multipliers'!$L$3:$N$6,3,FALSE)=0,"Spatial Data Missing ⚠",VLOOKUP(J143,'G-3 Multipliers'!$L$3:$N$6,3,FALSE)))</f>
        <v/>
      </c>
      <c r="M143" s="342" t="str">
        <f>IF(D143="","",VLOOKUP(D143,'G-6 Hedgerow Data'!$B$1:$AH$15,33,FALSE))</f>
        <v/>
      </c>
      <c r="N143" s="295" t="str">
        <f t="shared" si="20"/>
        <v/>
      </c>
      <c r="O143" s="403"/>
      <c r="P143" s="287" t="str">
        <f>IF(O143="","",IF(VLOOKUP(O143,'G-3 Multipliers'!$S$3:$T$10,2,FALSE)=0,"Spatial Data Missing ⚠",VLOOKUP(O143,'G-3 Multipliers'!$S$3:$T$10,2,FALSE)))</f>
        <v/>
      </c>
      <c r="Q143" s="295" t="str">
        <f t="shared" si="21"/>
        <v/>
      </c>
      <c r="R143" s="32"/>
      <c r="S143" s="105"/>
      <c r="T143" s="112"/>
      <c r="U143" s="289" t="str">
        <f t="shared" si="22"/>
        <v/>
      </c>
      <c r="V143" s="289" t="str">
        <f t="shared" si="23"/>
        <v/>
      </c>
      <c r="W143" s="293" t="str">
        <f t="shared" si="24"/>
        <v/>
      </c>
      <c r="X143" s="297" t="str">
        <f t="shared" si="25"/>
        <v/>
      </c>
      <c r="Y143" s="109"/>
      <c r="Z143" s="108"/>
      <c r="AA143" s="108"/>
      <c r="AB143" s="108"/>
      <c r="AE143" s="30" t="str">
        <f>IFERROR(INDEX('G-6 Hedgerow Data'!$BJ$3:$BJ$15,MATCH(D143,'G-6 Hedgerow Data'!$B$3:$B$15,0)),"")</f>
        <v/>
      </c>
      <c r="AH143" s="111" t="str">
        <f t="shared" si="18"/>
        <v/>
      </c>
      <c r="AI143" s="111" t="str">
        <f t="shared" si="19"/>
        <v/>
      </c>
      <c r="AK143" s="111">
        <v>134</v>
      </c>
      <c r="AM143" s="111" t="str">
        <f t="array" ref="AM143">IFERROR(INDEX($AK$10:$AK$258, MATCH(0, IF(TRUE=$AH$10:$AH$258, COUNTIF($AM$9:$AM142, $AK$10:$AK$258), ""), 0)),"")</f>
        <v/>
      </c>
      <c r="AN143" s="111" t="str">
        <f t="array" ref="AN143">IFERROR(INDEX($AK$10:$AK$258, MATCH(0, IF(TRUE=$AI$10:$AI$258, COUNTIF($AN$9:$AN142, $AK$10:$AK$258), ""), 0)),"")</f>
        <v/>
      </c>
      <c r="AY143" s="289" t="str">
        <f t="shared" si="26"/>
        <v/>
      </c>
    </row>
    <row r="144" spans="2:51" ht="13.8" x14ac:dyDescent="0.25">
      <c r="B144" s="101">
        <v>135</v>
      </c>
      <c r="C144" s="142"/>
      <c r="D144" s="142"/>
      <c r="E144" s="108"/>
      <c r="F144" s="281" t="str">
        <f>IF(D144="","",VLOOKUP(D144,'G-6 Hedgerow Data'!$B$2:$AG$15,2,FALSE))</f>
        <v/>
      </c>
      <c r="G144" s="282" t="str">
        <f>IF(D144="","",VLOOKUP(D144,'G-6 Hedgerow Data'!$B$2:$AG$15,3,FALSE))</f>
        <v/>
      </c>
      <c r="H144" s="105"/>
      <c r="I144" s="282" t="str">
        <f>IFERROR(IF(AND(D144&lt;&gt;"",H144=""), "Check data ⚠",(IF(H144="","",IF(AND(D144="Non-native and ornamental hedgerow", H144&lt;&gt;"Poor"),"Not possible ▲", (IF(AND(F144="V.Low",OR(H144="Good",H144="Moderate")),"Error ▲",VLOOKUP(H144,'G-1 All Habitats'!$Z$2:$AA$9,2,FALSE))))))),"")</f>
        <v/>
      </c>
      <c r="J144" s="109"/>
      <c r="K144" s="301" t="str">
        <f>IF(AND(J144="",D144&lt;&gt;""),"Check data ⚠",IF(J144="","",IF(VLOOKUP(J144,'G-3 Multipliers'!$L$3:$N$6,2,FALSE)=0,"Spatial Data Missing ⚠",VLOOKUP(J144,'G-3 Multipliers'!$L$3:$N$6,2,FALSE))))</f>
        <v/>
      </c>
      <c r="L144" s="305" t="str">
        <f>IF(J144="","",IF(VLOOKUP(J144,'G-3 Multipliers'!$L$3:$N$6,3,FALSE)=0,"Spatial Data Missing ⚠",VLOOKUP(J144,'G-3 Multipliers'!$L$3:$N$6,3,FALSE)))</f>
        <v/>
      </c>
      <c r="M144" s="342" t="str">
        <f>IF(D144="","",VLOOKUP(D144,'G-6 Hedgerow Data'!$B$1:$AH$15,33,FALSE))</f>
        <v/>
      </c>
      <c r="N144" s="295" t="str">
        <f t="shared" si="20"/>
        <v/>
      </c>
      <c r="O144" s="403"/>
      <c r="P144" s="287" t="str">
        <f>IF(O144="","",IF(VLOOKUP(O144,'G-3 Multipliers'!$S$3:$T$10,2,FALSE)=0,"Spatial Data Missing ⚠",VLOOKUP(O144,'G-3 Multipliers'!$S$3:$T$10,2,FALSE)))</f>
        <v/>
      </c>
      <c r="Q144" s="295" t="str">
        <f t="shared" si="21"/>
        <v/>
      </c>
      <c r="R144" s="32"/>
      <c r="S144" s="105"/>
      <c r="T144" s="112"/>
      <c r="U144" s="289" t="str">
        <f t="shared" si="22"/>
        <v/>
      </c>
      <c r="V144" s="289" t="str">
        <f t="shared" si="23"/>
        <v/>
      </c>
      <c r="W144" s="293" t="str">
        <f t="shared" si="24"/>
        <v/>
      </c>
      <c r="X144" s="297" t="str">
        <f t="shared" si="25"/>
        <v/>
      </c>
      <c r="Y144" s="109"/>
      <c r="Z144" s="108"/>
      <c r="AA144" s="108"/>
      <c r="AB144" s="108"/>
      <c r="AE144" s="30" t="str">
        <f>IFERROR(INDEX('G-6 Hedgerow Data'!$BJ$3:$BJ$15,MATCH(D144,'G-6 Hedgerow Data'!$B$3:$B$15,0)),"")</f>
        <v/>
      </c>
      <c r="AH144" s="111" t="str">
        <f t="shared" si="18"/>
        <v/>
      </c>
      <c r="AI144" s="111" t="str">
        <f t="shared" si="19"/>
        <v/>
      </c>
      <c r="AK144" s="111">
        <v>135</v>
      </c>
      <c r="AM144" s="111" t="str">
        <f t="array" ref="AM144">IFERROR(INDEX($AK$10:$AK$258, MATCH(0, IF(TRUE=$AH$10:$AH$258, COUNTIF($AM$9:$AM143, $AK$10:$AK$258), ""), 0)),"")</f>
        <v/>
      </c>
      <c r="AN144" s="111" t="str">
        <f t="array" ref="AN144">IFERROR(INDEX($AK$10:$AK$258, MATCH(0, IF(TRUE=$AI$10:$AI$258, COUNTIF($AN$9:$AN143, $AK$10:$AK$258), ""), 0)),"")</f>
        <v/>
      </c>
      <c r="AY144" s="289" t="str">
        <f t="shared" si="26"/>
        <v/>
      </c>
    </row>
    <row r="145" spans="2:51" ht="13.8" x14ac:dyDescent="0.25">
      <c r="B145" s="101">
        <v>136</v>
      </c>
      <c r="C145" s="142"/>
      <c r="D145" s="142"/>
      <c r="E145" s="108"/>
      <c r="F145" s="281" t="str">
        <f>IF(D145="","",VLOOKUP(D145,'G-6 Hedgerow Data'!$B$2:$AG$15,2,FALSE))</f>
        <v/>
      </c>
      <c r="G145" s="282" t="str">
        <f>IF(D145="","",VLOOKUP(D145,'G-6 Hedgerow Data'!$B$2:$AG$15,3,FALSE))</f>
        <v/>
      </c>
      <c r="H145" s="105"/>
      <c r="I145" s="282" t="str">
        <f>IFERROR(IF(AND(D145&lt;&gt;"",H145=""), "Check data ⚠",(IF(H145="","",IF(AND(D145="Non-native and ornamental hedgerow", H145&lt;&gt;"Poor"),"Not possible ▲", (IF(AND(F145="V.Low",OR(H145="Good",H145="Moderate")),"Error ▲",VLOOKUP(H145,'G-1 All Habitats'!$Z$2:$AA$9,2,FALSE))))))),"")</f>
        <v/>
      </c>
      <c r="J145" s="109"/>
      <c r="K145" s="301" t="str">
        <f>IF(AND(J145="",D145&lt;&gt;""),"Check data ⚠",IF(J145="","",IF(VLOOKUP(J145,'G-3 Multipliers'!$L$3:$N$6,2,FALSE)=0,"Spatial Data Missing ⚠",VLOOKUP(J145,'G-3 Multipliers'!$L$3:$N$6,2,FALSE))))</f>
        <v/>
      </c>
      <c r="L145" s="305" t="str">
        <f>IF(J145="","",IF(VLOOKUP(J145,'G-3 Multipliers'!$L$3:$N$6,3,FALSE)=0,"Spatial Data Missing ⚠",VLOOKUP(J145,'G-3 Multipliers'!$L$3:$N$6,3,FALSE)))</f>
        <v/>
      </c>
      <c r="M145" s="342" t="str">
        <f>IF(D145="","",VLOOKUP(D145,'G-6 Hedgerow Data'!$B$1:$AH$15,33,FALSE))</f>
        <v/>
      </c>
      <c r="N145" s="295" t="str">
        <f t="shared" si="20"/>
        <v/>
      </c>
      <c r="O145" s="403"/>
      <c r="P145" s="287" t="str">
        <f>IF(O145="","",IF(VLOOKUP(O145,'G-3 Multipliers'!$S$3:$T$10,2,FALSE)=0,"Spatial Data Missing ⚠",VLOOKUP(O145,'G-3 Multipliers'!$S$3:$T$10,2,FALSE)))</f>
        <v/>
      </c>
      <c r="Q145" s="295" t="str">
        <f t="shared" si="21"/>
        <v/>
      </c>
      <c r="R145" s="32"/>
      <c r="S145" s="105"/>
      <c r="T145" s="112"/>
      <c r="U145" s="289" t="str">
        <f t="shared" si="22"/>
        <v/>
      </c>
      <c r="V145" s="289" t="str">
        <f t="shared" si="23"/>
        <v/>
      </c>
      <c r="W145" s="293" t="str">
        <f t="shared" si="24"/>
        <v/>
      </c>
      <c r="X145" s="297" t="str">
        <f t="shared" si="25"/>
        <v/>
      </c>
      <c r="Y145" s="109"/>
      <c r="Z145" s="108"/>
      <c r="AA145" s="108"/>
      <c r="AB145" s="108"/>
      <c r="AE145" s="30" t="str">
        <f>IFERROR(INDEX('G-6 Hedgerow Data'!$BJ$3:$BJ$15,MATCH(D145,'G-6 Hedgerow Data'!$B$3:$B$15,0)),"")</f>
        <v/>
      </c>
      <c r="AH145" s="111" t="str">
        <f t="shared" si="18"/>
        <v/>
      </c>
      <c r="AI145" s="111" t="str">
        <f t="shared" si="19"/>
        <v/>
      </c>
      <c r="AK145" s="111">
        <v>136</v>
      </c>
      <c r="AM145" s="111" t="str">
        <f t="array" ref="AM145">IFERROR(INDEX($AK$10:$AK$258, MATCH(0, IF(TRUE=$AH$10:$AH$258, COUNTIF($AM$9:$AM144, $AK$10:$AK$258), ""), 0)),"")</f>
        <v/>
      </c>
      <c r="AN145" s="111" t="str">
        <f t="array" ref="AN145">IFERROR(INDEX($AK$10:$AK$258, MATCH(0, IF(TRUE=$AI$10:$AI$258, COUNTIF($AN$9:$AN144, $AK$10:$AK$258), ""), 0)),"")</f>
        <v/>
      </c>
      <c r="AY145" s="289" t="str">
        <f t="shared" si="26"/>
        <v/>
      </c>
    </row>
    <row r="146" spans="2:51" ht="13.8" x14ac:dyDescent="0.25">
      <c r="B146" s="101">
        <v>137</v>
      </c>
      <c r="C146" s="142"/>
      <c r="D146" s="142"/>
      <c r="E146" s="108"/>
      <c r="F146" s="281" t="str">
        <f>IF(D146="","",VLOOKUP(D146,'G-6 Hedgerow Data'!$B$2:$AG$15,2,FALSE))</f>
        <v/>
      </c>
      <c r="G146" s="282" t="str">
        <f>IF(D146="","",VLOOKUP(D146,'G-6 Hedgerow Data'!$B$2:$AG$15,3,FALSE))</f>
        <v/>
      </c>
      <c r="H146" s="105"/>
      <c r="I146" s="282" t="str">
        <f>IFERROR(IF(AND(D146&lt;&gt;"",H146=""), "Check data ⚠",(IF(H146="","",IF(AND(D146="Non-native and ornamental hedgerow", H146&lt;&gt;"Poor"),"Not possible ▲", (IF(AND(F146="V.Low",OR(H146="Good",H146="Moderate")),"Error ▲",VLOOKUP(H146,'G-1 All Habitats'!$Z$2:$AA$9,2,FALSE))))))),"")</f>
        <v/>
      </c>
      <c r="J146" s="109"/>
      <c r="K146" s="301" t="str">
        <f>IF(AND(J146="",D146&lt;&gt;""),"Check data ⚠",IF(J146="","",IF(VLOOKUP(J146,'G-3 Multipliers'!$L$3:$N$6,2,FALSE)=0,"Spatial Data Missing ⚠",VLOOKUP(J146,'G-3 Multipliers'!$L$3:$N$6,2,FALSE))))</f>
        <v/>
      </c>
      <c r="L146" s="305" t="str">
        <f>IF(J146="","",IF(VLOOKUP(J146,'G-3 Multipliers'!$L$3:$N$6,3,FALSE)=0,"Spatial Data Missing ⚠",VLOOKUP(J146,'G-3 Multipliers'!$L$3:$N$6,3,FALSE)))</f>
        <v/>
      </c>
      <c r="M146" s="342" t="str">
        <f>IF(D146="","",VLOOKUP(D146,'G-6 Hedgerow Data'!$B$1:$AH$15,33,FALSE))</f>
        <v/>
      </c>
      <c r="N146" s="295" t="str">
        <f t="shared" si="20"/>
        <v/>
      </c>
      <c r="O146" s="403"/>
      <c r="P146" s="287" t="str">
        <f>IF(O146="","",IF(VLOOKUP(O146,'G-3 Multipliers'!$S$3:$T$10,2,FALSE)=0,"Spatial Data Missing ⚠",VLOOKUP(O146,'G-3 Multipliers'!$S$3:$T$10,2,FALSE)))</f>
        <v/>
      </c>
      <c r="Q146" s="295" t="str">
        <f t="shared" si="21"/>
        <v/>
      </c>
      <c r="R146" s="32"/>
      <c r="S146" s="105"/>
      <c r="T146" s="112"/>
      <c r="U146" s="289" t="str">
        <f t="shared" si="22"/>
        <v/>
      </c>
      <c r="V146" s="289" t="str">
        <f t="shared" si="23"/>
        <v/>
      </c>
      <c r="W146" s="293" t="str">
        <f t="shared" si="24"/>
        <v/>
      </c>
      <c r="X146" s="297" t="str">
        <f t="shared" si="25"/>
        <v/>
      </c>
      <c r="Y146" s="109"/>
      <c r="Z146" s="108"/>
      <c r="AA146" s="108"/>
      <c r="AB146" s="108"/>
      <c r="AE146" s="30" t="str">
        <f>IFERROR(INDEX('G-6 Hedgerow Data'!$BJ$3:$BJ$15,MATCH(D146,'G-6 Hedgerow Data'!$B$3:$B$15,0)),"")</f>
        <v/>
      </c>
      <c r="AH146" s="111" t="str">
        <f t="shared" si="18"/>
        <v/>
      </c>
      <c r="AI146" s="111" t="str">
        <f t="shared" si="19"/>
        <v/>
      </c>
      <c r="AK146" s="111">
        <v>137</v>
      </c>
      <c r="AM146" s="111" t="str">
        <f t="array" ref="AM146">IFERROR(INDEX($AK$10:$AK$258, MATCH(0, IF(TRUE=$AH$10:$AH$258, COUNTIF($AM$9:$AM145, $AK$10:$AK$258), ""), 0)),"")</f>
        <v/>
      </c>
      <c r="AN146" s="111" t="str">
        <f t="array" ref="AN146">IFERROR(INDEX($AK$10:$AK$258, MATCH(0, IF(TRUE=$AI$10:$AI$258, COUNTIF($AN$9:$AN145, $AK$10:$AK$258), ""), 0)),"")</f>
        <v/>
      </c>
      <c r="AY146" s="289" t="str">
        <f t="shared" si="26"/>
        <v/>
      </c>
    </row>
    <row r="147" spans="2:51" ht="13.8" x14ac:dyDescent="0.25">
      <c r="B147" s="101">
        <v>138</v>
      </c>
      <c r="C147" s="142"/>
      <c r="D147" s="142"/>
      <c r="E147" s="108"/>
      <c r="F147" s="281" t="str">
        <f>IF(D147="","",VLOOKUP(D147,'G-6 Hedgerow Data'!$B$2:$AG$15,2,FALSE))</f>
        <v/>
      </c>
      <c r="G147" s="282" t="str">
        <f>IF(D147="","",VLOOKUP(D147,'G-6 Hedgerow Data'!$B$2:$AG$15,3,FALSE))</f>
        <v/>
      </c>
      <c r="H147" s="105"/>
      <c r="I147" s="282" t="str">
        <f>IFERROR(IF(AND(D147&lt;&gt;"",H147=""), "Check data ⚠",(IF(H147="","",IF(AND(D147="Non-native and ornamental hedgerow", H147&lt;&gt;"Poor"),"Not possible ▲", (IF(AND(F147="V.Low",OR(H147="Good",H147="Moderate")),"Error ▲",VLOOKUP(H147,'G-1 All Habitats'!$Z$2:$AA$9,2,FALSE))))))),"")</f>
        <v/>
      </c>
      <c r="J147" s="109"/>
      <c r="K147" s="301" t="str">
        <f>IF(AND(J147="",D147&lt;&gt;""),"Check data ⚠",IF(J147="","",IF(VLOOKUP(J147,'G-3 Multipliers'!$L$3:$N$6,2,FALSE)=0,"Spatial Data Missing ⚠",VLOOKUP(J147,'G-3 Multipliers'!$L$3:$N$6,2,FALSE))))</f>
        <v/>
      </c>
      <c r="L147" s="305" t="str">
        <f>IF(J147="","",IF(VLOOKUP(J147,'G-3 Multipliers'!$L$3:$N$6,3,FALSE)=0,"Spatial Data Missing ⚠",VLOOKUP(J147,'G-3 Multipliers'!$L$3:$N$6,3,FALSE)))</f>
        <v/>
      </c>
      <c r="M147" s="342" t="str">
        <f>IF(D147="","",VLOOKUP(D147,'G-6 Hedgerow Data'!$B$1:$AH$15,33,FALSE))</f>
        <v/>
      </c>
      <c r="N147" s="295" t="str">
        <f t="shared" si="20"/>
        <v/>
      </c>
      <c r="O147" s="403"/>
      <c r="P147" s="287" t="str">
        <f>IF(O147="","",IF(VLOOKUP(O147,'G-3 Multipliers'!$S$3:$T$10,2,FALSE)=0,"Spatial Data Missing ⚠",VLOOKUP(O147,'G-3 Multipliers'!$S$3:$T$10,2,FALSE)))</f>
        <v/>
      </c>
      <c r="Q147" s="295" t="str">
        <f t="shared" si="21"/>
        <v/>
      </c>
      <c r="R147" s="32"/>
      <c r="S147" s="105"/>
      <c r="T147" s="112"/>
      <c r="U147" s="289" t="str">
        <f t="shared" si="22"/>
        <v/>
      </c>
      <c r="V147" s="289" t="str">
        <f t="shared" si="23"/>
        <v/>
      </c>
      <c r="W147" s="293" t="str">
        <f t="shared" si="24"/>
        <v/>
      </c>
      <c r="X147" s="297" t="str">
        <f t="shared" si="25"/>
        <v/>
      </c>
      <c r="Y147" s="109"/>
      <c r="Z147" s="108"/>
      <c r="AA147" s="108"/>
      <c r="AB147" s="108"/>
      <c r="AE147" s="30" t="str">
        <f>IFERROR(INDEX('G-6 Hedgerow Data'!$BJ$3:$BJ$15,MATCH(D147,'G-6 Hedgerow Data'!$B$3:$B$15,0)),"")</f>
        <v/>
      </c>
      <c r="AH147" s="111" t="str">
        <f t="shared" si="18"/>
        <v/>
      </c>
      <c r="AI147" s="111" t="str">
        <f t="shared" si="19"/>
        <v/>
      </c>
      <c r="AK147" s="111">
        <v>138</v>
      </c>
      <c r="AM147" s="111" t="str">
        <f t="array" ref="AM147">IFERROR(INDEX($AK$10:$AK$258, MATCH(0, IF(TRUE=$AH$10:$AH$258, COUNTIF($AM$9:$AM146, $AK$10:$AK$258), ""), 0)),"")</f>
        <v/>
      </c>
      <c r="AN147" s="111" t="str">
        <f t="array" ref="AN147">IFERROR(INDEX($AK$10:$AK$258, MATCH(0, IF(TRUE=$AI$10:$AI$258, COUNTIF($AN$9:$AN146, $AK$10:$AK$258), ""), 0)),"")</f>
        <v/>
      </c>
      <c r="AY147" s="289" t="str">
        <f t="shared" si="26"/>
        <v/>
      </c>
    </row>
    <row r="148" spans="2:51" ht="13.8" x14ac:dyDescent="0.25">
      <c r="B148" s="101">
        <v>139</v>
      </c>
      <c r="C148" s="142"/>
      <c r="D148" s="142"/>
      <c r="E148" s="108"/>
      <c r="F148" s="281" t="str">
        <f>IF(D148="","",VLOOKUP(D148,'G-6 Hedgerow Data'!$B$2:$AG$15,2,FALSE))</f>
        <v/>
      </c>
      <c r="G148" s="282" t="str">
        <f>IF(D148="","",VLOOKUP(D148,'G-6 Hedgerow Data'!$B$2:$AG$15,3,FALSE))</f>
        <v/>
      </c>
      <c r="H148" s="105"/>
      <c r="I148" s="282" t="str">
        <f>IFERROR(IF(AND(D148&lt;&gt;"",H148=""), "Check data ⚠",(IF(H148="","",IF(AND(D148="Non-native and ornamental hedgerow", H148&lt;&gt;"Poor"),"Not possible ▲", (IF(AND(F148="V.Low",OR(H148="Good",H148="Moderate")),"Error ▲",VLOOKUP(H148,'G-1 All Habitats'!$Z$2:$AA$9,2,FALSE))))))),"")</f>
        <v/>
      </c>
      <c r="J148" s="109"/>
      <c r="K148" s="301" t="str">
        <f>IF(AND(J148="",D148&lt;&gt;""),"Check data ⚠",IF(J148="","",IF(VLOOKUP(J148,'G-3 Multipliers'!$L$3:$N$6,2,FALSE)=0,"Spatial Data Missing ⚠",VLOOKUP(J148,'G-3 Multipliers'!$L$3:$N$6,2,FALSE))))</f>
        <v/>
      </c>
      <c r="L148" s="305" t="str">
        <f>IF(J148="","",IF(VLOOKUP(J148,'G-3 Multipliers'!$L$3:$N$6,3,FALSE)=0,"Spatial Data Missing ⚠",VLOOKUP(J148,'G-3 Multipliers'!$L$3:$N$6,3,FALSE)))</f>
        <v/>
      </c>
      <c r="M148" s="342" t="str">
        <f>IF(D148="","",VLOOKUP(D148,'G-6 Hedgerow Data'!$B$1:$AH$15,33,FALSE))</f>
        <v/>
      </c>
      <c r="N148" s="295" t="str">
        <f t="shared" si="20"/>
        <v/>
      </c>
      <c r="O148" s="403"/>
      <c r="P148" s="287" t="str">
        <f>IF(O148="","",IF(VLOOKUP(O148,'G-3 Multipliers'!$S$3:$T$10,2,FALSE)=0,"Spatial Data Missing ⚠",VLOOKUP(O148,'G-3 Multipliers'!$S$3:$T$10,2,FALSE)))</f>
        <v/>
      </c>
      <c r="Q148" s="295" t="str">
        <f t="shared" si="21"/>
        <v/>
      </c>
      <c r="R148" s="32"/>
      <c r="S148" s="105"/>
      <c r="T148" s="112"/>
      <c r="U148" s="289" t="str">
        <f t="shared" si="22"/>
        <v/>
      </c>
      <c r="V148" s="289" t="str">
        <f t="shared" si="23"/>
        <v/>
      </c>
      <c r="W148" s="293" t="str">
        <f t="shared" si="24"/>
        <v/>
      </c>
      <c r="X148" s="297" t="str">
        <f t="shared" si="25"/>
        <v/>
      </c>
      <c r="Y148" s="109"/>
      <c r="Z148" s="108"/>
      <c r="AA148" s="108"/>
      <c r="AB148" s="108"/>
      <c r="AE148" s="30" t="str">
        <f>IFERROR(INDEX('G-6 Hedgerow Data'!$BJ$3:$BJ$15,MATCH(D148,'G-6 Hedgerow Data'!$B$3:$B$15,0)),"")</f>
        <v/>
      </c>
      <c r="AH148" s="111" t="str">
        <f t="shared" si="18"/>
        <v/>
      </c>
      <c r="AI148" s="111" t="str">
        <f t="shared" si="19"/>
        <v/>
      </c>
      <c r="AK148" s="111">
        <v>139</v>
      </c>
      <c r="AM148" s="111" t="str">
        <f t="array" ref="AM148">IFERROR(INDEX($AK$10:$AK$258, MATCH(0, IF(TRUE=$AH$10:$AH$258, COUNTIF($AM$9:$AM147, $AK$10:$AK$258), ""), 0)),"")</f>
        <v/>
      </c>
      <c r="AN148" s="111" t="str">
        <f t="array" ref="AN148">IFERROR(INDEX($AK$10:$AK$258, MATCH(0, IF(TRUE=$AI$10:$AI$258, COUNTIF($AN$9:$AN147, $AK$10:$AK$258), ""), 0)),"")</f>
        <v/>
      </c>
      <c r="AY148" s="289" t="str">
        <f t="shared" si="26"/>
        <v/>
      </c>
    </row>
    <row r="149" spans="2:51" ht="13.8" x14ac:dyDescent="0.25">
      <c r="B149" s="101">
        <v>140</v>
      </c>
      <c r="C149" s="142"/>
      <c r="D149" s="142"/>
      <c r="E149" s="108"/>
      <c r="F149" s="281" t="str">
        <f>IF(D149="","",VLOOKUP(D149,'G-6 Hedgerow Data'!$B$2:$AG$15,2,FALSE))</f>
        <v/>
      </c>
      <c r="G149" s="282" t="str">
        <f>IF(D149="","",VLOOKUP(D149,'G-6 Hedgerow Data'!$B$2:$AG$15,3,FALSE))</f>
        <v/>
      </c>
      <c r="H149" s="105"/>
      <c r="I149" s="282" t="str">
        <f>IFERROR(IF(AND(D149&lt;&gt;"",H149=""), "Check data ⚠",(IF(H149="","",IF(AND(D149="Non-native and ornamental hedgerow", H149&lt;&gt;"Poor"),"Not possible ▲", (IF(AND(F149="V.Low",OR(H149="Good",H149="Moderate")),"Error ▲",VLOOKUP(H149,'G-1 All Habitats'!$Z$2:$AA$9,2,FALSE))))))),"")</f>
        <v/>
      </c>
      <c r="J149" s="109"/>
      <c r="K149" s="301" t="str">
        <f>IF(AND(J149="",D149&lt;&gt;""),"Check data ⚠",IF(J149="","",IF(VLOOKUP(J149,'G-3 Multipliers'!$L$3:$N$6,2,FALSE)=0,"Spatial Data Missing ⚠",VLOOKUP(J149,'G-3 Multipliers'!$L$3:$N$6,2,FALSE))))</f>
        <v/>
      </c>
      <c r="L149" s="305" t="str">
        <f>IF(J149="","",IF(VLOOKUP(J149,'G-3 Multipliers'!$L$3:$N$6,3,FALSE)=0,"Spatial Data Missing ⚠",VLOOKUP(J149,'G-3 Multipliers'!$L$3:$N$6,3,FALSE)))</f>
        <v/>
      </c>
      <c r="M149" s="342" t="str">
        <f>IF(D149="","",VLOOKUP(D149,'G-6 Hedgerow Data'!$B$1:$AH$15,33,FALSE))</f>
        <v/>
      </c>
      <c r="N149" s="295" t="str">
        <f t="shared" si="20"/>
        <v/>
      </c>
      <c r="O149" s="403"/>
      <c r="P149" s="287" t="str">
        <f>IF(O149="","",IF(VLOOKUP(O149,'G-3 Multipliers'!$S$3:$T$10,2,FALSE)=0,"Spatial Data Missing ⚠",VLOOKUP(O149,'G-3 Multipliers'!$S$3:$T$10,2,FALSE)))</f>
        <v/>
      </c>
      <c r="Q149" s="295" t="str">
        <f t="shared" si="21"/>
        <v/>
      </c>
      <c r="R149" s="32"/>
      <c r="S149" s="105"/>
      <c r="T149" s="112"/>
      <c r="U149" s="289" t="str">
        <f t="shared" si="22"/>
        <v/>
      </c>
      <c r="V149" s="289" t="str">
        <f t="shared" si="23"/>
        <v/>
      </c>
      <c r="W149" s="293" t="str">
        <f t="shared" si="24"/>
        <v/>
      </c>
      <c r="X149" s="297" t="str">
        <f t="shared" si="25"/>
        <v/>
      </c>
      <c r="Y149" s="109"/>
      <c r="Z149" s="108"/>
      <c r="AA149" s="108"/>
      <c r="AB149" s="108"/>
      <c r="AE149" s="30" t="str">
        <f>IFERROR(INDEX('G-6 Hedgerow Data'!$BJ$3:$BJ$15,MATCH(D149,'G-6 Hedgerow Data'!$B$3:$B$15,0)),"")</f>
        <v/>
      </c>
      <c r="AH149" s="111" t="str">
        <f t="shared" si="18"/>
        <v/>
      </c>
      <c r="AI149" s="111" t="str">
        <f t="shared" si="19"/>
        <v/>
      </c>
      <c r="AK149" s="111">
        <v>140</v>
      </c>
      <c r="AM149" s="111" t="str">
        <f t="array" ref="AM149">IFERROR(INDEX($AK$10:$AK$258, MATCH(0, IF(TRUE=$AH$10:$AH$258, COUNTIF($AM$9:$AM148, $AK$10:$AK$258), ""), 0)),"")</f>
        <v/>
      </c>
      <c r="AN149" s="111" t="str">
        <f t="array" ref="AN149">IFERROR(INDEX($AK$10:$AK$258, MATCH(0, IF(TRUE=$AI$10:$AI$258, COUNTIF($AN$9:$AN148, $AK$10:$AK$258), ""), 0)),"")</f>
        <v/>
      </c>
      <c r="AY149" s="289" t="str">
        <f t="shared" si="26"/>
        <v/>
      </c>
    </row>
    <row r="150" spans="2:51" ht="13.8" x14ac:dyDescent="0.25">
      <c r="B150" s="101">
        <v>141</v>
      </c>
      <c r="C150" s="142"/>
      <c r="D150" s="142"/>
      <c r="E150" s="108"/>
      <c r="F150" s="281" t="str">
        <f>IF(D150="","",VLOOKUP(D150,'G-6 Hedgerow Data'!$B$2:$AG$15,2,FALSE))</f>
        <v/>
      </c>
      <c r="G150" s="282" t="str">
        <f>IF(D150="","",VLOOKUP(D150,'G-6 Hedgerow Data'!$B$2:$AG$15,3,FALSE))</f>
        <v/>
      </c>
      <c r="H150" s="105"/>
      <c r="I150" s="282" t="str">
        <f>IFERROR(IF(AND(D150&lt;&gt;"",H150=""), "Check data ⚠",(IF(H150="","",IF(AND(D150="Non-native and ornamental hedgerow", H150&lt;&gt;"Poor"),"Not possible ▲", (IF(AND(F150="V.Low",OR(H150="Good",H150="Moderate")),"Error ▲",VLOOKUP(H150,'G-1 All Habitats'!$Z$2:$AA$9,2,FALSE))))))),"")</f>
        <v/>
      </c>
      <c r="J150" s="109"/>
      <c r="K150" s="301" t="str">
        <f>IF(AND(J150="",D150&lt;&gt;""),"Check data ⚠",IF(J150="","",IF(VLOOKUP(J150,'G-3 Multipliers'!$L$3:$N$6,2,FALSE)=0,"Spatial Data Missing ⚠",VLOOKUP(J150,'G-3 Multipliers'!$L$3:$N$6,2,FALSE))))</f>
        <v/>
      </c>
      <c r="L150" s="305" t="str">
        <f>IF(J150="","",IF(VLOOKUP(J150,'G-3 Multipliers'!$L$3:$N$6,3,FALSE)=0,"Spatial Data Missing ⚠",VLOOKUP(J150,'G-3 Multipliers'!$L$3:$N$6,3,FALSE)))</f>
        <v/>
      </c>
      <c r="M150" s="342" t="str">
        <f>IF(D150="","",VLOOKUP(D150,'G-6 Hedgerow Data'!$B$1:$AH$15,33,FALSE))</f>
        <v/>
      </c>
      <c r="N150" s="295" t="str">
        <f t="shared" si="20"/>
        <v/>
      </c>
      <c r="O150" s="403"/>
      <c r="P150" s="287" t="str">
        <f>IF(O150="","",IF(VLOOKUP(O150,'G-3 Multipliers'!$S$3:$T$10,2,FALSE)=0,"Spatial Data Missing ⚠",VLOOKUP(O150,'G-3 Multipliers'!$S$3:$T$10,2,FALSE)))</f>
        <v/>
      </c>
      <c r="Q150" s="295" t="str">
        <f t="shared" si="21"/>
        <v/>
      </c>
      <c r="R150" s="32"/>
      <c r="S150" s="105"/>
      <c r="T150" s="112"/>
      <c r="U150" s="289" t="str">
        <f t="shared" si="22"/>
        <v/>
      </c>
      <c r="V150" s="289" t="str">
        <f t="shared" si="23"/>
        <v/>
      </c>
      <c r="W150" s="293" t="str">
        <f t="shared" si="24"/>
        <v/>
      </c>
      <c r="X150" s="297" t="str">
        <f t="shared" si="25"/>
        <v/>
      </c>
      <c r="Y150" s="109"/>
      <c r="Z150" s="108"/>
      <c r="AA150" s="108"/>
      <c r="AB150" s="108"/>
      <c r="AE150" s="30" t="str">
        <f>IFERROR(INDEX('G-6 Hedgerow Data'!$BJ$3:$BJ$15,MATCH(D150,'G-6 Hedgerow Data'!$B$3:$B$15,0)),"")</f>
        <v/>
      </c>
      <c r="AH150" s="111" t="str">
        <f t="shared" si="18"/>
        <v/>
      </c>
      <c r="AI150" s="111" t="str">
        <f t="shared" si="19"/>
        <v/>
      </c>
      <c r="AK150" s="111">
        <v>141</v>
      </c>
      <c r="AM150" s="111" t="str">
        <f t="array" ref="AM150">IFERROR(INDEX($AK$10:$AK$258, MATCH(0, IF(TRUE=$AH$10:$AH$258, COUNTIF($AM$9:$AM149, $AK$10:$AK$258), ""), 0)),"")</f>
        <v/>
      </c>
      <c r="AN150" s="111" t="str">
        <f t="array" ref="AN150">IFERROR(INDEX($AK$10:$AK$258, MATCH(0, IF(TRUE=$AI$10:$AI$258, COUNTIF($AN$9:$AN149, $AK$10:$AK$258), ""), 0)),"")</f>
        <v/>
      </c>
      <c r="AY150" s="289" t="str">
        <f t="shared" si="26"/>
        <v/>
      </c>
    </row>
    <row r="151" spans="2:51" ht="13.8" x14ac:dyDescent="0.25">
      <c r="B151" s="101">
        <v>142</v>
      </c>
      <c r="C151" s="142"/>
      <c r="D151" s="142"/>
      <c r="E151" s="108"/>
      <c r="F151" s="281" t="str">
        <f>IF(D151="","",VLOOKUP(D151,'G-6 Hedgerow Data'!$B$2:$AG$15,2,FALSE))</f>
        <v/>
      </c>
      <c r="G151" s="282" t="str">
        <f>IF(D151="","",VLOOKUP(D151,'G-6 Hedgerow Data'!$B$2:$AG$15,3,FALSE))</f>
        <v/>
      </c>
      <c r="H151" s="105"/>
      <c r="I151" s="282" t="str">
        <f>IFERROR(IF(AND(D151&lt;&gt;"",H151=""), "Check data ⚠",(IF(H151="","",IF(AND(D151="Non-native and ornamental hedgerow", H151&lt;&gt;"Poor"),"Not possible ▲", (IF(AND(F151="V.Low",OR(H151="Good",H151="Moderate")),"Error ▲",VLOOKUP(H151,'G-1 All Habitats'!$Z$2:$AA$9,2,FALSE))))))),"")</f>
        <v/>
      </c>
      <c r="J151" s="109"/>
      <c r="K151" s="301" t="str">
        <f>IF(AND(J151="",D151&lt;&gt;""),"Check data ⚠",IF(J151="","",IF(VLOOKUP(J151,'G-3 Multipliers'!$L$3:$N$6,2,FALSE)=0,"Spatial Data Missing ⚠",VLOOKUP(J151,'G-3 Multipliers'!$L$3:$N$6,2,FALSE))))</f>
        <v/>
      </c>
      <c r="L151" s="305" t="str">
        <f>IF(J151="","",IF(VLOOKUP(J151,'G-3 Multipliers'!$L$3:$N$6,3,FALSE)=0,"Spatial Data Missing ⚠",VLOOKUP(J151,'G-3 Multipliers'!$L$3:$N$6,3,FALSE)))</f>
        <v/>
      </c>
      <c r="M151" s="342" t="str">
        <f>IF(D151="","",VLOOKUP(D151,'G-6 Hedgerow Data'!$B$1:$AH$15,33,FALSE))</f>
        <v/>
      </c>
      <c r="N151" s="295" t="str">
        <f t="shared" si="20"/>
        <v/>
      </c>
      <c r="O151" s="403"/>
      <c r="P151" s="287" t="str">
        <f>IF(O151="","",IF(VLOOKUP(O151,'G-3 Multipliers'!$S$3:$T$10,2,FALSE)=0,"Spatial Data Missing ⚠",VLOOKUP(O151,'G-3 Multipliers'!$S$3:$T$10,2,FALSE)))</f>
        <v/>
      </c>
      <c r="Q151" s="295" t="str">
        <f t="shared" si="21"/>
        <v/>
      </c>
      <c r="R151" s="32"/>
      <c r="S151" s="105"/>
      <c r="T151" s="112"/>
      <c r="U151" s="289" t="str">
        <f t="shared" si="22"/>
        <v/>
      </c>
      <c r="V151" s="289" t="str">
        <f t="shared" si="23"/>
        <v/>
      </c>
      <c r="W151" s="293" t="str">
        <f t="shared" si="24"/>
        <v/>
      </c>
      <c r="X151" s="297" t="str">
        <f t="shared" si="25"/>
        <v/>
      </c>
      <c r="Y151" s="109"/>
      <c r="Z151" s="108"/>
      <c r="AA151" s="108"/>
      <c r="AB151" s="108"/>
      <c r="AE151" s="30" t="str">
        <f>IFERROR(INDEX('G-6 Hedgerow Data'!$BJ$3:$BJ$15,MATCH(D151,'G-6 Hedgerow Data'!$B$3:$B$15,0)),"")</f>
        <v/>
      </c>
      <c r="AH151" s="111" t="str">
        <f t="shared" si="18"/>
        <v/>
      </c>
      <c r="AI151" s="111" t="str">
        <f t="shared" si="19"/>
        <v/>
      </c>
      <c r="AK151" s="111">
        <v>142</v>
      </c>
      <c r="AM151" s="111" t="str">
        <f t="array" ref="AM151">IFERROR(INDEX($AK$10:$AK$258, MATCH(0, IF(TRUE=$AH$10:$AH$258, COUNTIF($AM$9:$AM150, $AK$10:$AK$258), ""), 0)),"")</f>
        <v/>
      </c>
      <c r="AN151" s="111" t="str">
        <f t="array" ref="AN151">IFERROR(INDEX($AK$10:$AK$258, MATCH(0, IF(TRUE=$AI$10:$AI$258, COUNTIF($AN$9:$AN150, $AK$10:$AK$258), ""), 0)),"")</f>
        <v/>
      </c>
      <c r="AY151" s="289" t="str">
        <f t="shared" si="26"/>
        <v/>
      </c>
    </row>
    <row r="152" spans="2:51" ht="13.8" x14ac:dyDescent="0.25">
      <c r="B152" s="101">
        <v>143</v>
      </c>
      <c r="C152" s="142"/>
      <c r="D152" s="142"/>
      <c r="E152" s="108"/>
      <c r="F152" s="281" t="str">
        <f>IF(D152="","",VLOOKUP(D152,'G-6 Hedgerow Data'!$B$2:$AG$15,2,FALSE))</f>
        <v/>
      </c>
      <c r="G152" s="282" t="str">
        <f>IF(D152="","",VLOOKUP(D152,'G-6 Hedgerow Data'!$B$2:$AG$15,3,FALSE))</f>
        <v/>
      </c>
      <c r="H152" s="105"/>
      <c r="I152" s="282" t="str">
        <f>IFERROR(IF(AND(D152&lt;&gt;"",H152=""), "Check data ⚠",(IF(H152="","",IF(AND(D152="Non-native and ornamental hedgerow", H152&lt;&gt;"Poor"),"Not possible ▲", (IF(AND(F152="V.Low",OR(H152="Good",H152="Moderate")),"Error ▲",VLOOKUP(H152,'G-1 All Habitats'!$Z$2:$AA$9,2,FALSE))))))),"")</f>
        <v/>
      </c>
      <c r="J152" s="109"/>
      <c r="K152" s="301" t="str">
        <f>IF(AND(J152="",D152&lt;&gt;""),"Check data ⚠",IF(J152="","",IF(VLOOKUP(J152,'G-3 Multipliers'!$L$3:$N$6,2,FALSE)=0,"Spatial Data Missing ⚠",VLOOKUP(J152,'G-3 Multipliers'!$L$3:$N$6,2,FALSE))))</f>
        <v/>
      </c>
      <c r="L152" s="305" t="str">
        <f>IF(J152="","",IF(VLOOKUP(J152,'G-3 Multipliers'!$L$3:$N$6,3,FALSE)=0,"Spatial Data Missing ⚠",VLOOKUP(J152,'G-3 Multipliers'!$L$3:$N$6,3,FALSE)))</f>
        <v/>
      </c>
      <c r="M152" s="342" t="str">
        <f>IF(D152="","",VLOOKUP(D152,'G-6 Hedgerow Data'!$B$1:$AH$15,33,FALSE))</f>
        <v/>
      </c>
      <c r="N152" s="295" t="str">
        <f t="shared" si="20"/>
        <v/>
      </c>
      <c r="O152" s="403"/>
      <c r="P152" s="287" t="str">
        <f>IF(O152="","",IF(VLOOKUP(O152,'G-3 Multipliers'!$S$3:$T$10,2,FALSE)=0,"Spatial Data Missing ⚠",VLOOKUP(O152,'G-3 Multipliers'!$S$3:$T$10,2,FALSE)))</f>
        <v/>
      </c>
      <c r="Q152" s="295" t="str">
        <f t="shared" si="21"/>
        <v/>
      </c>
      <c r="R152" s="32"/>
      <c r="S152" s="105"/>
      <c r="T152" s="112"/>
      <c r="U152" s="289" t="str">
        <f t="shared" si="22"/>
        <v/>
      </c>
      <c r="V152" s="289" t="str">
        <f t="shared" si="23"/>
        <v/>
      </c>
      <c r="W152" s="293" t="str">
        <f t="shared" si="24"/>
        <v/>
      </c>
      <c r="X152" s="297" t="str">
        <f t="shared" si="25"/>
        <v/>
      </c>
      <c r="Y152" s="109"/>
      <c r="Z152" s="108"/>
      <c r="AA152" s="108"/>
      <c r="AB152" s="108"/>
      <c r="AE152" s="30" t="str">
        <f>IFERROR(INDEX('G-6 Hedgerow Data'!$BJ$3:$BJ$15,MATCH(D152,'G-6 Hedgerow Data'!$B$3:$B$15,0)),"")</f>
        <v/>
      </c>
      <c r="AH152" s="111" t="str">
        <f t="shared" si="18"/>
        <v/>
      </c>
      <c r="AI152" s="111" t="str">
        <f t="shared" si="19"/>
        <v/>
      </c>
      <c r="AK152" s="111">
        <v>143</v>
      </c>
      <c r="AM152" s="111" t="str">
        <f t="array" ref="AM152">IFERROR(INDEX($AK$10:$AK$258, MATCH(0, IF(TRUE=$AH$10:$AH$258, COUNTIF($AM$9:$AM151, $AK$10:$AK$258), ""), 0)),"")</f>
        <v/>
      </c>
      <c r="AN152" s="111" t="str">
        <f t="array" ref="AN152">IFERROR(INDEX($AK$10:$AK$258, MATCH(0, IF(TRUE=$AI$10:$AI$258, COUNTIF($AN$9:$AN151, $AK$10:$AK$258), ""), 0)),"")</f>
        <v/>
      </c>
      <c r="AY152" s="289" t="str">
        <f t="shared" si="26"/>
        <v/>
      </c>
    </row>
    <row r="153" spans="2:51" ht="13.8" x14ac:dyDescent="0.25">
      <c r="B153" s="101">
        <v>144</v>
      </c>
      <c r="C153" s="142"/>
      <c r="D153" s="142"/>
      <c r="E153" s="108"/>
      <c r="F153" s="281" t="str">
        <f>IF(D153="","",VLOOKUP(D153,'G-6 Hedgerow Data'!$B$2:$AG$15,2,FALSE))</f>
        <v/>
      </c>
      <c r="G153" s="282" t="str">
        <f>IF(D153="","",VLOOKUP(D153,'G-6 Hedgerow Data'!$B$2:$AG$15,3,FALSE))</f>
        <v/>
      </c>
      <c r="H153" s="105"/>
      <c r="I153" s="282" t="str">
        <f>IFERROR(IF(AND(D153&lt;&gt;"",H153=""), "Check data ⚠",(IF(H153="","",IF(AND(D153="Non-native and ornamental hedgerow", H153&lt;&gt;"Poor"),"Not possible ▲", (IF(AND(F153="V.Low",OR(H153="Good",H153="Moderate")),"Error ▲",VLOOKUP(H153,'G-1 All Habitats'!$Z$2:$AA$9,2,FALSE))))))),"")</f>
        <v/>
      </c>
      <c r="J153" s="109"/>
      <c r="K153" s="301" t="str">
        <f>IF(AND(J153="",D153&lt;&gt;""),"Check data ⚠",IF(J153="","",IF(VLOOKUP(J153,'G-3 Multipliers'!$L$3:$N$6,2,FALSE)=0,"Spatial Data Missing ⚠",VLOOKUP(J153,'G-3 Multipliers'!$L$3:$N$6,2,FALSE))))</f>
        <v/>
      </c>
      <c r="L153" s="305" t="str">
        <f>IF(J153="","",IF(VLOOKUP(J153,'G-3 Multipliers'!$L$3:$N$6,3,FALSE)=0,"Spatial Data Missing ⚠",VLOOKUP(J153,'G-3 Multipliers'!$L$3:$N$6,3,FALSE)))</f>
        <v/>
      </c>
      <c r="M153" s="342" t="str">
        <f>IF(D153="","",VLOOKUP(D153,'G-6 Hedgerow Data'!$B$1:$AH$15,33,FALSE))</f>
        <v/>
      </c>
      <c r="N153" s="295" t="str">
        <f t="shared" si="20"/>
        <v/>
      </c>
      <c r="O153" s="403"/>
      <c r="P153" s="287" t="str">
        <f>IF(O153="","",IF(VLOOKUP(O153,'G-3 Multipliers'!$S$3:$T$10,2,FALSE)=0,"Spatial Data Missing ⚠",VLOOKUP(O153,'G-3 Multipliers'!$S$3:$T$10,2,FALSE)))</f>
        <v/>
      </c>
      <c r="Q153" s="295" t="str">
        <f t="shared" si="21"/>
        <v/>
      </c>
      <c r="R153" s="32"/>
      <c r="S153" s="105"/>
      <c r="T153" s="112"/>
      <c r="U153" s="289" t="str">
        <f t="shared" si="22"/>
        <v/>
      </c>
      <c r="V153" s="289" t="str">
        <f t="shared" si="23"/>
        <v/>
      </c>
      <c r="W153" s="293" t="str">
        <f t="shared" si="24"/>
        <v/>
      </c>
      <c r="X153" s="297" t="str">
        <f t="shared" si="25"/>
        <v/>
      </c>
      <c r="Y153" s="109"/>
      <c r="Z153" s="108"/>
      <c r="AA153" s="108"/>
      <c r="AB153" s="108"/>
      <c r="AE153" s="30" t="str">
        <f>IFERROR(INDEX('G-6 Hedgerow Data'!$BJ$3:$BJ$15,MATCH(D153,'G-6 Hedgerow Data'!$B$3:$B$15,0)),"")</f>
        <v/>
      </c>
      <c r="AH153" s="111" t="str">
        <f t="shared" si="18"/>
        <v/>
      </c>
      <c r="AI153" s="111" t="str">
        <f t="shared" si="19"/>
        <v/>
      </c>
      <c r="AK153" s="111">
        <v>144</v>
      </c>
      <c r="AM153" s="111" t="str">
        <f t="array" ref="AM153">IFERROR(INDEX($AK$10:$AK$258, MATCH(0, IF(TRUE=$AH$10:$AH$258, COUNTIF($AM$9:$AM152, $AK$10:$AK$258), ""), 0)),"")</f>
        <v/>
      </c>
      <c r="AN153" s="111" t="str">
        <f t="array" ref="AN153">IFERROR(INDEX($AK$10:$AK$258, MATCH(0, IF(TRUE=$AI$10:$AI$258, COUNTIF($AN$9:$AN152, $AK$10:$AK$258), ""), 0)),"")</f>
        <v/>
      </c>
      <c r="AY153" s="289" t="str">
        <f t="shared" si="26"/>
        <v/>
      </c>
    </row>
    <row r="154" spans="2:51" ht="13.8" x14ac:dyDescent="0.25">
      <c r="B154" s="101">
        <v>145</v>
      </c>
      <c r="C154" s="142"/>
      <c r="D154" s="142"/>
      <c r="E154" s="108"/>
      <c r="F154" s="281" t="str">
        <f>IF(D154="","",VLOOKUP(D154,'G-6 Hedgerow Data'!$B$2:$AG$15,2,FALSE))</f>
        <v/>
      </c>
      <c r="G154" s="282" t="str">
        <f>IF(D154="","",VLOOKUP(D154,'G-6 Hedgerow Data'!$B$2:$AG$15,3,FALSE))</f>
        <v/>
      </c>
      <c r="H154" s="105"/>
      <c r="I154" s="282" t="str">
        <f>IFERROR(IF(AND(D154&lt;&gt;"",H154=""), "Check data ⚠",(IF(H154="","",IF(AND(D154="Non-native and ornamental hedgerow", H154&lt;&gt;"Poor"),"Not possible ▲", (IF(AND(F154="V.Low",OR(H154="Good",H154="Moderate")),"Error ▲",VLOOKUP(H154,'G-1 All Habitats'!$Z$2:$AA$9,2,FALSE))))))),"")</f>
        <v/>
      </c>
      <c r="J154" s="109"/>
      <c r="K154" s="301" t="str">
        <f>IF(AND(J154="",D154&lt;&gt;""),"Check data ⚠",IF(J154="","",IF(VLOOKUP(J154,'G-3 Multipliers'!$L$3:$N$6,2,FALSE)=0,"Spatial Data Missing ⚠",VLOOKUP(J154,'G-3 Multipliers'!$L$3:$N$6,2,FALSE))))</f>
        <v/>
      </c>
      <c r="L154" s="305" t="str">
        <f>IF(J154="","",IF(VLOOKUP(J154,'G-3 Multipliers'!$L$3:$N$6,3,FALSE)=0,"Spatial Data Missing ⚠",VLOOKUP(J154,'G-3 Multipliers'!$L$3:$N$6,3,FALSE)))</f>
        <v/>
      </c>
      <c r="M154" s="342" t="str">
        <f>IF(D154="","",VLOOKUP(D154,'G-6 Hedgerow Data'!$B$1:$AH$15,33,FALSE))</f>
        <v/>
      </c>
      <c r="N154" s="295" t="str">
        <f t="shared" si="20"/>
        <v/>
      </c>
      <c r="O154" s="403"/>
      <c r="P154" s="287" t="str">
        <f>IF(O154="","",IF(VLOOKUP(O154,'G-3 Multipliers'!$S$3:$T$10,2,FALSE)=0,"Spatial Data Missing ⚠",VLOOKUP(O154,'G-3 Multipliers'!$S$3:$T$10,2,FALSE)))</f>
        <v/>
      </c>
      <c r="Q154" s="295" t="str">
        <f t="shared" si="21"/>
        <v/>
      </c>
      <c r="R154" s="32"/>
      <c r="S154" s="105"/>
      <c r="T154" s="112"/>
      <c r="U154" s="289" t="str">
        <f t="shared" si="22"/>
        <v/>
      </c>
      <c r="V154" s="289" t="str">
        <f t="shared" si="23"/>
        <v/>
      </c>
      <c r="W154" s="293" t="str">
        <f t="shared" si="24"/>
        <v/>
      </c>
      <c r="X154" s="297" t="str">
        <f t="shared" si="25"/>
        <v/>
      </c>
      <c r="Y154" s="109"/>
      <c r="Z154" s="108"/>
      <c r="AA154" s="108"/>
      <c r="AB154" s="108"/>
      <c r="AE154" s="30" t="str">
        <f>IFERROR(INDEX('G-6 Hedgerow Data'!$BJ$3:$BJ$15,MATCH(D154,'G-6 Hedgerow Data'!$B$3:$B$15,0)),"")</f>
        <v/>
      </c>
      <c r="AH154" s="111" t="str">
        <f t="shared" si="18"/>
        <v/>
      </c>
      <c r="AI154" s="111" t="str">
        <f t="shared" si="19"/>
        <v/>
      </c>
      <c r="AK154" s="111">
        <v>145</v>
      </c>
      <c r="AM154" s="111" t="str">
        <f t="array" ref="AM154">IFERROR(INDEX($AK$10:$AK$258, MATCH(0, IF(TRUE=$AH$10:$AH$258, COUNTIF($AM$9:$AM153, $AK$10:$AK$258), ""), 0)),"")</f>
        <v/>
      </c>
      <c r="AN154" s="111" t="str">
        <f t="array" ref="AN154">IFERROR(INDEX($AK$10:$AK$258, MATCH(0, IF(TRUE=$AI$10:$AI$258, COUNTIF($AN$9:$AN153, $AK$10:$AK$258), ""), 0)),"")</f>
        <v/>
      </c>
      <c r="AY154" s="289" t="str">
        <f t="shared" si="26"/>
        <v/>
      </c>
    </row>
    <row r="155" spans="2:51" ht="13.8" x14ac:dyDescent="0.25">
      <c r="B155" s="101">
        <v>146</v>
      </c>
      <c r="C155" s="142"/>
      <c r="D155" s="142"/>
      <c r="E155" s="108"/>
      <c r="F155" s="281" t="str">
        <f>IF(D155="","",VLOOKUP(D155,'G-6 Hedgerow Data'!$B$2:$AG$15,2,FALSE))</f>
        <v/>
      </c>
      <c r="G155" s="282" t="str">
        <f>IF(D155="","",VLOOKUP(D155,'G-6 Hedgerow Data'!$B$2:$AG$15,3,FALSE))</f>
        <v/>
      </c>
      <c r="H155" s="105"/>
      <c r="I155" s="282" t="str">
        <f>IFERROR(IF(AND(D155&lt;&gt;"",H155=""), "Check data ⚠",(IF(H155="","",IF(AND(D155="Non-native and ornamental hedgerow", H155&lt;&gt;"Poor"),"Not possible ▲", (IF(AND(F155="V.Low",OR(H155="Good",H155="Moderate")),"Error ▲",VLOOKUP(H155,'G-1 All Habitats'!$Z$2:$AA$9,2,FALSE))))))),"")</f>
        <v/>
      </c>
      <c r="J155" s="109"/>
      <c r="K155" s="301" t="str">
        <f>IF(AND(J155="",D155&lt;&gt;""),"Check data ⚠",IF(J155="","",IF(VLOOKUP(J155,'G-3 Multipliers'!$L$3:$N$6,2,FALSE)=0,"Spatial Data Missing ⚠",VLOOKUP(J155,'G-3 Multipliers'!$L$3:$N$6,2,FALSE))))</f>
        <v/>
      </c>
      <c r="L155" s="305" t="str">
        <f>IF(J155="","",IF(VLOOKUP(J155,'G-3 Multipliers'!$L$3:$N$6,3,FALSE)=0,"Spatial Data Missing ⚠",VLOOKUP(J155,'G-3 Multipliers'!$L$3:$N$6,3,FALSE)))</f>
        <v/>
      </c>
      <c r="M155" s="342" t="str">
        <f>IF(D155="","",VLOOKUP(D155,'G-6 Hedgerow Data'!$B$1:$AH$15,33,FALSE))</f>
        <v/>
      </c>
      <c r="N155" s="295" t="str">
        <f t="shared" si="20"/>
        <v/>
      </c>
      <c r="O155" s="403"/>
      <c r="P155" s="287" t="str">
        <f>IF(O155="","",IF(VLOOKUP(O155,'G-3 Multipliers'!$S$3:$T$10,2,FALSE)=0,"Spatial Data Missing ⚠",VLOOKUP(O155,'G-3 Multipliers'!$S$3:$T$10,2,FALSE)))</f>
        <v/>
      </c>
      <c r="Q155" s="295" t="str">
        <f t="shared" si="21"/>
        <v/>
      </c>
      <c r="R155" s="32"/>
      <c r="S155" s="105"/>
      <c r="T155" s="112"/>
      <c r="U155" s="289" t="str">
        <f t="shared" si="22"/>
        <v/>
      </c>
      <c r="V155" s="289" t="str">
        <f t="shared" si="23"/>
        <v/>
      </c>
      <c r="W155" s="293" t="str">
        <f t="shared" si="24"/>
        <v/>
      </c>
      <c r="X155" s="297" t="str">
        <f t="shared" si="25"/>
        <v/>
      </c>
      <c r="Y155" s="109"/>
      <c r="Z155" s="108"/>
      <c r="AA155" s="108"/>
      <c r="AB155" s="108"/>
      <c r="AE155" s="30" t="str">
        <f>IFERROR(INDEX('G-6 Hedgerow Data'!$BJ$3:$BJ$15,MATCH(D155,'G-6 Hedgerow Data'!$B$3:$B$15,0)),"")</f>
        <v/>
      </c>
      <c r="AH155" s="111" t="str">
        <f t="shared" si="18"/>
        <v/>
      </c>
      <c r="AI155" s="111" t="str">
        <f t="shared" si="19"/>
        <v/>
      </c>
      <c r="AK155" s="111">
        <v>146</v>
      </c>
      <c r="AM155" s="111" t="str">
        <f t="array" ref="AM155">IFERROR(INDEX($AK$10:$AK$258, MATCH(0, IF(TRUE=$AH$10:$AH$258, COUNTIF($AM$9:$AM154, $AK$10:$AK$258), ""), 0)),"")</f>
        <v/>
      </c>
      <c r="AN155" s="111" t="str">
        <f t="array" ref="AN155">IFERROR(INDEX($AK$10:$AK$258, MATCH(0, IF(TRUE=$AI$10:$AI$258, COUNTIF($AN$9:$AN154, $AK$10:$AK$258), ""), 0)),"")</f>
        <v/>
      </c>
      <c r="AY155" s="289" t="str">
        <f t="shared" si="26"/>
        <v/>
      </c>
    </row>
    <row r="156" spans="2:51" ht="13.8" x14ac:dyDescent="0.25">
      <c r="B156" s="101">
        <v>147</v>
      </c>
      <c r="C156" s="142"/>
      <c r="D156" s="142"/>
      <c r="E156" s="108"/>
      <c r="F156" s="281" t="str">
        <f>IF(D156="","",VLOOKUP(D156,'G-6 Hedgerow Data'!$B$2:$AG$15,2,FALSE))</f>
        <v/>
      </c>
      <c r="G156" s="282" t="str">
        <f>IF(D156="","",VLOOKUP(D156,'G-6 Hedgerow Data'!$B$2:$AG$15,3,FALSE))</f>
        <v/>
      </c>
      <c r="H156" s="105"/>
      <c r="I156" s="282" t="str">
        <f>IFERROR(IF(AND(D156&lt;&gt;"",H156=""), "Check data ⚠",(IF(H156="","",IF(AND(D156="Non-native and ornamental hedgerow", H156&lt;&gt;"Poor"),"Not possible ▲", (IF(AND(F156="V.Low",OR(H156="Good",H156="Moderate")),"Error ▲",VLOOKUP(H156,'G-1 All Habitats'!$Z$2:$AA$9,2,FALSE))))))),"")</f>
        <v/>
      </c>
      <c r="J156" s="109"/>
      <c r="K156" s="301" t="str">
        <f>IF(AND(J156="",D156&lt;&gt;""),"Check data ⚠",IF(J156="","",IF(VLOOKUP(J156,'G-3 Multipliers'!$L$3:$N$6,2,FALSE)=0,"Spatial Data Missing ⚠",VLOOKUP(J156,'G-3 Multipliers'!$L$3:$N$6,2,FALSE))))</f>
        <v/>
      </c>
      <c r="L156" s="305" t="str">
        <f>IF(J156="","",IF(VLOOKUP(J156,'G-3 Multipliers'!$L$3:$N$6,3,FALSE)=0,"Spatial Data Missing ⚠",VLOOKUP(J156,'G-3 Multipliers'!$L$3:$N$6,3,FALSE)))</f>
        <v/>
      </c>
      <c r="M156" s="342" t="str">
        <f>IF(D156="","",VLOOKUP(D156,'G-6 Hedgerow Data'!$B$1:$AH$15,33,FALSE))</f>
        <v/>
      </c>
      <c r="N156" s="295" t="str">
        <f t="shared" si="20"/>
        <v/>
      </c>
      <c r="O156" s="403"/>
      <c r="P156" s="287" t="str">
        <f>IF(O156="","",IF(VLOOKUP(O156,'G-3 Multipliers'!$S$3:$T$10,2,FALSE)=0,"Spatial Data Missing ⚠",VLOOKUP(O156,'G-3 Multipliers'!$S$3:$T$10,2,FALSE)))</f>
        <v/>
      </c>
      <c r="Q156" s="295" t="str">
        <f t="shared" si="21"/>
        <v/>
      </c>
      <c r="R156" s="32"/>
      <c r="S156" s="105"/>
      <c r="T156" s="112"/>
      <c r="U156" s="289" t="str">
        <f t="shared" si="22"/>
        <v/>
      </c>
      <c r="V156" s="289" t="str">
        <f t="shared" si="23"/>
        <v/>
      </c>
      <c r="W156" s="293" t="str">
        <f t="shared" si="24"/>
        <v/>
      </c>
      <c r="X156" s="297" t="str">
        <f t="shared" si="25"/>
        <v/>
      </c>
      <c r="Y156" s="109"/>
      <c r="Z156" s="108"/>
      <c r="AA156" s="108"/>
      <c r="AB156" s="108"/>
      <c r="AE156" s="30" t="str">
        <f>IFERROR(INDEX('G-6 Hedgerow Data'!$BJ$3:$BJ$15,MATCH(D156,'G-6 Hedgerow Data'!$B$3:$B$15,0)),"")</f>
        <v/>
      </c>
      <c r="AH156" s="111" t="str">
        <f t="shared" si="18"/>
        <v/>
      </c>
      <c r="AI156" s="111" t="str">
        <f t="shared" si="19"/>
        <v/>
      </c>
      <c r="AK156" s="111">
        <v>147</v>
      </c>
      <c r="AM156" s="111" t="str">
        <f t="array" ref="AM156">IFERROR(INDEX($AK$10:$AK$258, MATCH(0, IF(TRUE=$AH$10:$AH$258, COUNTIF($AM$9:$AM155, $AK$10:$AK$258), ""), 0)),"")</f>
        <v/>
      </c>
      <c r="AN156" s="111" t="str">
        <f t="array" ref="AN156">IFERROR(INDEX($AK$10:$AK$258, MATCH(0, IF(TRUE=$AI$10:$AI$258, COUNTIF($AN$9:$AN155, $AK$10:$AK$258), ""), 0)),"")</f>
        <v/>
      </c>
      <c r="AY156" s="289" t="str">
        <f t="shared" si="26"/>
        <v/>
      </c>
    </row>
    <row r="157" spans="2:51" ht="13.8" x14ac:dyDescent="0.25">
      <c r="B157" s="101">
        <v>148</v>
      </c>
      <c r="C157" s="142"/>
      <c r="D157" s="142"/>
      <c r="E157" s="108"/>
      <c r="F157" s="281" t="str">
        <f>IF(D157="","",VLOOKUP(D157,'G-6 Hedgerow Data'!$B$2:$AG$15,2,FALSE))</f>
        <v/>
      </c>
      <c r="G157" s="282" t="str">
        <f>IF(D157="","",VLOOKUP(D157,'G-6 Hedgerow Data'!$B$2:$AG$15,3,FALSE))</f>
        <v/>
      </c>
      <c r="H157" s="105"/>
      <c r="I157" s="282" t="str">
        <f>IFERROR(IF(AND(D157&lt;&gt;"",H157=""), "Check data ⚠",(IF(H157="","",IF(AND(D157="Non-native and ornamental hedgerow", H157&lt;&gt;"Poor"),"Not possible ▲", (IF(AND(F157="V.Low",OR(H157="Good",H157="Moderate")),"Error ▲",VLOOKUP(H157,'G-1 All Habitats'!$Z$2:$AA$9,2,FALSE))))))),"")</f>
        <v/>
      </c>
      <c r="J157" s="109"/>
      <c r="K157" s="301" t="str">
        <f>IF(AND(J157="",D157&lt;&gt;""),"Check data ⚠",IF(J157="","",IF(VLOOKUP(J157,'G-3 Multipliers'!$L$3:$N$6,2,FALSE)=0,"Spatial Data Missing ⚠",VLOOKUP(J157,'G-3 Multipliers'!$L$3:$N$6,2,FALSE))))</f>
        <v/>
      </c>
      <c r="L157" s="305" t="str">
        <f>IF(J157="","",IF(VLOOKUP(J157,'G-3 Multipliers'!$L$3:$N$6,3,FALSE)=0,"Spatial Data Missing ⚠",VLOOKUP(J157,'G-3 Multipliers'!$L$3:$N$6,3,FALSE)))</f>
        <v/>
      </c>
      <c r="M157" s="342" t="str">
        <f>IF(D157="","",VLOOKUP(D157,'G-6 Hedgerow Data'!$B$1:$AH$15,33,FALSE))</f>
        <v/>
      </c>
      <c r="N157" s="295" t="str">
        <f t="shared" si="20"/>
        <v/>
      </c>
      <c r="O157" s="403"/>
      <c r="P157" s="287" t="str">
        <f>IF(O157="","",IF(VLOOKUP(O157,'G-3 Multipliers'!$S$3:$T$10,2,FALSE)=0,"Spatial Data Missing ⚠",VLOOKUP(O157,'G-3 Multipliers'!$S$3:$T$10,2,FALSE)))</f>
        <v/>
      </c>
      <c r="Q157" s="295" t="str">
        <f t="shared" si="21"/>
        <v/>
      </c>
      <c r="R157" s="32"/>
      <c r="S157" s="105"/>
      <c r="T157" s="112"/>
      <c r="U157" s="289" t="str">
        <f t="shared" si="22"/>
        <v/>
      </c>
      <c r="V157" s="289" t="str">
        <f t="shared" si="23"/>
        <v/>
      </c>
      <c r="W157" s="293" t="str">
        <f t="shared" si="24"/>
        <v/>
      </c>
      <c r="X157" s="297" t="str">
        <f t="shared" si="25"/>
        <v/>
      </c>
      <c r="Y157" s="109"/>
      <c r="Z157" s="108"/>
      <c r="AA157" s="108"/>
      <c r="AB157" s="108"/>
      <c r="AE157" s="30" t="str">
        <f>IFERROR(INDEX('G-6 Hedgerow Data'!$BJ$3:$BJ$15,MATCH(D157,'G-6 Hedgerow Data'!$B$3:$B$15,0)),"")</f>
        <v/>
      </c>
      <c r="AH157" s="111" t="str">
        <f t="shared" si="18"/>
        <v/>
      </c>
      <c r="AI157" s="111" t="str">
        <f t="shared" si="19"/>
        <v/>
      </c>
      <c r="AK157" s="111">
        <v>148</v>
      </c>
      <c r="AM157" s="111" t="str">
        <f t="array" ref="AM157">IFERROR(INDEX($AK$10:$AK$258, MATCH(0, IF(TRUE=$AH$10:$AH$258, COUNTIF($AM$9:$AM156, $AK$10:$AK$258), ""), 0)),"")</f>
        <v/>
      </c>
      <c r="AN157" s="111" t="str">
        <f t="array" ref="AN157">IFERROR(INDEX($AK$10:$AK$258, MATCH(0, IF(TRUE=$AI$10:$AI$258, COUNTIF($AN$9:$AN156, $AK$10:$AK$258), ""), 0)),"")</f>
        <v/>
      </c>
      <c r="AY157" s="289" t="str">
        <f t="shared" si="26"/>
        <v/>
      </c>
    </row>
    <row r="158" spans="2:51" ht="13.8" x14ac:dyDescent="0.25">
      <c r="B158" s="101">
        <v>149</v>
      </c>
      <c r="C158" s="142"/>
      <c r="D158" s="142"/>
      <c r="E158" s="108"/>
      <c r="F158" s="281" t="str">
        <f>IF(D158="","",VLOOKUP(D158,'G-6 Hedgerow Data'!$B$2:$AG$15,2,FALSE))</f>
        <v/>
      </c>
      <c r="G158" s="282" t="str">
        <f>IF(D158="","",VLOOKUP(D158,'G-6 Hedgerow Data'!$B$2:$AG$15,3,FALSE))</f>
        <v/>
      </c>
      <c r="H158" s="105"/>
      <c r="I158" s="282" t="str">
        <f>IFERROR(IF(AND(D158&lt;&gt;"",H158=""), "Check data ⚠",(IF(H158="","",IF(AND(D158="Non-native and ornamental hedgerow", H158&lt;&gt;"Poor"),"Not possible ▲", (IF(AND(F158="V.Low",OR(H158="Good",H158="Moderate")),"Error ▲",VLOOKUP(H158,'G-1 All Habitats'!$Z$2:$AA$9,2,FALSE))))))),"")</f>
        <v/>
      </c>
      <c r="J158" s="109"/>
      <c r="K158" s="301" t="str">
        <f>IF(AND(J158="",D158&lt;&gt;""),"Check data ⚠",IF(J158="","",IF(VLOOKUP(J158,'G-3 Multipliers'!$L$3:$N$6,2,FALSE)=0,"Spatial Data Missing ⚠",VLOOKUP(J158,'G-3 Multipliers'!$L$3:$N$6,2,FALSE))))</f>
        <v/>
      </c>
      <c r="L158" s="305" t="str">
        <f>IF(J158="","",IF(VLOOKUP(J158,'G-3 Multipliers'!$L$3:$N$6,3,FALSE)=0,"Spatial Data Missing ⚠",VLOOKUP(J158,'G-3 Multipliers'!$L$3:$N$6,3,FALSE)))</f>
        <v/>
      </c>
      <c r="M158" s="342" t="str">
        <f>IF(D158="","",VLOOKUP(D158,'G-6 Hedgerow Data'!$B$1:$AH$15,33,FALSE))</f>
        <v/>
      </c>
      <c r="N158" s="295" t="str">
        <f t="shared" si="20"/>
        <v/>
      </c>
      <c r="O158" s="403"/>
      <c r="P158" s="287" t="str">
        <f>IF(O158="","",IF(VLOOKUP(O158,'G-3 Multipliers'!$S$3:$T$10,2,FALSE)=0,"Spatial Data Missing ⚠",VLOOKUP(O158,'G-3 Multipliers'!$S$3:$T$10,2,FALSE)))</f>
        <v/>
      </c>
      <c r="Q158" s="295" t="str">
        <f t="shared" si="21"/>
        <v/>
      </c>
      <c r="R158" s="32"/>
      <c r="S158" s="105"/>
      <c r="T158" s="112"/>
      <c r="U158" s="289" t="str">
        <f t="shared" si="22"/>
        <v/>
      </c>
      <c r="V158" s="289" t="str">
        <f t="shared" si="23"/>
        <v/>
      </c>
      <c r="W158" s="293" t="str">
        <f t="shared" si="24"/>
        <v/>
      </c>
      <c r="X158" s="297" t="str">
        <f t="shared" si="25"/>
        <v/>
      </c>
      <c r="Y158" s="109"/>
      <c r="Z158" s="108"/>
      <c r="AA158" s="108"/>
      <c r="AB158" s="108"/>
      <c r="AE158" s="30" t="str">
        <f>IFERROR(INDEX('G-6 Hedgerow Data'!$BJ$3:$BJ$15,MATCH(D158,'G-6 Hedgerow Data'!$B$3:$B$15,0)),"")</f>
        <v/>
      </c>
      <c r="AH158" s="111" t="str">
        <f t="shared" si="18"/>
        <v/>
      </c>
      <c r="AI158" s="111" t="str">
        <f t="shared" si="19"/>
        <v/>
      </c>
      <c r="AK158" s="111">
        <v>149</v>
      </c>
      <c r="AM158" s="111" t="str">
        <f t="array" ref="AM158">IFERROR(INDEX($AK$10:$AK$258, MATCH(0, IF(TRUE=$AH$10:$AH$258, COUNTIF($AM$9:$AM157, $AK$10:$AK$258), ""), 0)),"")</f>
        <v/>
      </c>
      <c r="AN158" s="111" t="str">
        <f t="array" ref="AN158">IFERROR(INDEX($AK$10:$AK$258, MATCH(0, IF(TRUE=$AI$10:$AI$258, COUNTIF($AN$9:$AN157, $AK$10:$AK$258), ""), 0)),"")</f>
        <v/>
      </c>
      <c r="AY158" s="289" t="str">
        <f t="shared" si="26"/>
        <v/>
      </c>
    </row>
    <row r="159" spans="2:51" ht="13.8" x14ac:dyDescent="0.25">
      <c r="B159" s="101">
        <v>150</v>
      </c>
      <c r="C159" s="142"/>
      <c r="D159" s="142"/>
      <c r="E159" s="108"/>
      <c r="F159" s="281" t="str">
        <f>IF(D159="","",VLOOKUP(D159,'G-6 Hedgerow Data'!$B$2:$AG$15,2,FALSE))</f>
        <v/>
      </c>
      <c r="G159" s="282" t="str">
        <f>IF(D159="","",VLOOKUP(D159,'G-6 Hedgerow Data'!$B$2:$AG$15,3,FALSE))</f>
        <v/>
      </c>
      <c r="H159" s="105"/>
      <c r="I159" s="282" t="str">
        <f>IFERROR(IF(AND(D159&lt;&gt;"",H159=""), "Check data ⚠",(IF(H159="","",IF(AND(D159="Non-native and ornamental hedgerow", H159&lt;&gt;"Poor"),"Not possible ▲", (IF(AND(F159="V.Low",OR(H159="Good",H159="Moderate")),"Error ▲",VLOOKUP(H159,'G-1 All Habitats'!$Z$2:$AA$9,2,FALSE))))))),"")</f>
        <v/>
      </c>
      <c r="J159" s="109"/>
      <c r="K159" s="301" t="str">
        <f>IF(AND(J159="",D159&lt;&gt;""),"Check data ⚠",IF(J159="","",IF(VLOOKUP(J159,'G-3 Multipliers'!$L$3:$N$6,2,FALSE)=0,"Spatial Data Missing ⚠",VLOOKUP(J159,'G-3 Multipliers'!$L$3:$N$6,2,FALSE))))</f>
        <v/>
      </c>
      <c r="L159" s="305" t="str">
        <f>IF(J159="","",IF(VLOOKUP(J159,'G-3 Multipliers'!$L$3:$N$6,3,FALSE)=0,"Spatial Data Missing ⚠",VLOOKUP(J159,'G-3 Multipliers'!$L$3:$N$6,3,FALSE)))</f>
        <v/>
      </c>
      <c r="M159" s="342" t="str">
        <f>IF(D159="","",VLOOKUP(D159,'G-6 Hedgerow Data'!$B$1:$AH$15,33,FALSE))</f>
        <v/>
      </c>
      <c r="N159" s="295" t="str">
        <f t="shared" si="20"/>
        <v/>
      </c>
      <c r="O159" s="403"/>
      <c r="P159" s="287" t="str">
        <f>IF(O159="","",IF(VLOOKUP(O159,'G-3 Multipliers'!$S$3:$T$10,2,FALSE)=0,"Spatial Data Missing ⚠",VLOOKUP(O159,'G-3 Multipliers'!$S$3:$T$10,2,FALSE)))</f>
        <v/>
      </c>
      <c r="Q159" s="295" t="str">
        <f t="shared" si="21"/>
        <v/>
      </c>
      <c r="R159" s="32"/>
      <c r="S159" s="105"/>
      <c r="T159" s="112"/>
      <c r="U159" s="289" t="str">
        <f t="shared" si="22"/>
        <v/>
      </c>
      <c r="V159" s="289" t="str">
        <f t="shared" si="23"/>
        <v/>
      </c>
      <c r="W159" s="293" t="str">
        <f t="shared" si="24"/>
        <v/>
      </c>
      <c r="X159" s="297" t="str">
        <f t="shared" si="25"/>
        <v/>
      </c>
      <c r="Y159" s="109"/>
      <c r="Z159" s="108"/>
      <c r="AA159" s="108"/>
      <c r="AB159" s="108"/>
      <c r="AE159" s="30" t="str">
        <f>IFERROR(INDEX('G-6 Hedgerow Data'!$BJ$3:$BJ$15,MATCH(D159,'G-6 Hedgerow Data'!$B$3:$B$15,0)),"")</f>
        <v/>
      </c>
      <c r="AH159" s="111" t="str">
        <f t="shared" si="18"/>
        <v/>
      </c>
      <c r="AI159" s="111" t="str">
        <f t="shared" si="19"/>
        <v/>
      </c>
      <c r="AK159" s="111">
        <v>150</v>
      </c>
      <c r="AM159" s="111" t="str">
        <f t="array" ref="AM159">IFERROR(INDEX($AK$10:$AK$258, MATCH(0, IF(TRUE=$AH$10:$AH$258, COUNTIF($AM$9:$AM158, $AK$10:$AK$258), ""), 0)),"")</f>
        <v/>
      </c>
      <c r="AN159" s="111" t="str">
        <f t="array" ref="AN159">IFERROR(INDEX($AK$10:$AK$258, MATCH(0, IF(TRUE=$AI$10:$AI$258, COUNTIF($AN$9:$AN158, $AK$10:$AK$258), ""), 0)),"")</f>
        <v/>
      </c>
      <c r="AY159" s="289" t="str">
        <f t="shared" si="26"/>
        <v/>
      </c>
    </row>
    <row r="160" spans="2:51" ht="13.8" x14ac:dyDescent="0.25">
      <c r="B160" s="101">
        <v>151</v>
      </c>
      <c r="C160" s="142"/>
      <c r="D160" s="142"/>
      <c r="E160" s="108"/>
      <c r="F160" s="281" t="str">
        <f>IF(D160="","",VLOOKUP(D160,'G-6 Hedgerow Data'!$B$2:$AG$15,2,FALSE))</f>
        <v/>
      </c>
      <c r="G160" s="282" t="str">
        <f>IF(D160="","",VLOOKUP(D160,'G-6 Hedgerow Data'!$B$2:$AG$15,3,FALSE))</f>
        <v/>
      </c>
      <c r="H160" s="105"/>
      <c r="I160" s="282" t="str">
        <f>IFERROR(IF(AND(D160&lt;&gt;"",H160=""), "Check data ⚠",(IF(H160="","",IF(AND(D160="Non-native and ornamental hedgerow", H160&lt;&gt;"Poor"),"Not possible ▲", (IF(AND(F160="V.Low",OR(H160="Good",H160="Moderate")),"Error ▲",VLOOKUP(H160,'G-1 All Habitats'!$Z$2:$AA$9,2,FALSE))))))),"")</f>
        <v/>
      </c>
      <c r="J160" s="109"/>
      <c r="K160" s="301" t="str">
        <f>IF(AND(J160="",D160&lt;&gt;""),"Check data ⚠",IF(J160="","",IF(VLOOKUP(J160,'G-3 Multipliers'!$L$3:$N$6,2,FALSE)=0,"Spatial Data Missing ⚠",VLOOKUP(J160,'G-3 Multipliers'!$L$3:$N$6,2,FALSE))))</f>
        <v/>
      </c>
      <c r="L160" s="305" t="str">
        <f>IF(J160="","",IF(VLOOKUP(J160,'G-3 Multipliers'!$L$3:$N$6,3,FALSE)=0,"Spatial Data Missing ⚠",VLOOKUP(J160,'G-3 Multipliers'!$L$3:$N$6,3,FALSE)))</f>
        <v/>
      </c>
      <c r="M160" s="342" t="str">
        <f>IF(D160="","",VLOOKUP(D160,'G-6 Hedgerow Data'!$B$1:$AH$15,33,FALSE))</f>
        <v/>
      </c>
      <c r="N160" s="295" t="str">
        <f t="shared" si="20"/>
        <v/>
      </c>
      <c r="O160" s="403"/>
      <c r="P160" s="287" t="str">
        <f>IF(O160="","",IF(VLOOKUP(O160,'G-3 Multipliers'!$S$3:$T$10,2,FALSE)=0,"Spatial Data Missing ⚠",VLOOKUP(O160,'G-3 Multipliers'!$S$3:$T$10,2,FALSE)))</f>
        <v/>
      </c>
      <c r="Q160" s="295" t="str">
        <f t="shared" si="21"/>
        <v/>
      </c>
      <c r="R160" s="32"/>
      <c r="S160" s="105"/>
      <c r="T160" s="112"/>
      <c r="U160" s="289" t="str">
        <f t="shared" si="22"/>
        <v/>
      </c>
      <c r="V160" s="289" t="str">
        <f t="shared" si="23"/>
        <v/>
      </c>
      <c r="W160" s="293" t="str">
        <f t="shared" si="24"/>
        <v/>
      </c>
      <c r="X160" s="297" t="str">
        <f t="shared" si="25"/>
        <v/>
      </c>
      <c r="Y160" s="109"/>
      <c r="Z160" s="108"/>
      <c r="AA160" s="108"/>
      <c r="AB160" s="108"/>
      <c r="AE160" s="30" t="str">
        <f>IFERROR(INDEX('G-6 Hedgerow Data'!$BJ$3:$BJ$15,MATCH(D160,'G-6 Hedgerow Data'!$B$3:$B$15,0)),"")</f>
        <v/>
      </c>
      <c r="AH160" s="111" t="str">
        <f t="shared" si="18"/>
        <v/>
      </c>
      <c r="AI160" s="111" t="str">
        <f t="shared" si="19"/>
        <v/>
      </c>
      <c r="AK160" s="111">
        <v>151</v>
      </c>
      <c r="AM160" s="111" t="str">
        <f t="array" ref="AM160">IFERROR(INDEX($AK$10:$AK$258, MATCH(0, IF(TRUE=$AH$10:$AH$258, COUNTIF($AM$9:$AM159, $AK$10:$AK$258), ""), 0)),"")</f>
        <v/>
      </c>
      <c r="AN160" s="111" t="str">
        <f t="array" ref="AN160">IFERROR(INDEX($AK$10:$AK$258, MATCH(0, IF(TRUE=$AI$10:$AI$258, COUNTIF($AN$9:$AN159, $AK$10:$AK$258), ""), 0)),"")</f>
        <v/>
      </c>
      <c r="AY160" s="289" t="str">
        <f t="shared" si="26"/>
        <v/>
      </c>
    </row>
    <row r="161" spans="2:51" ht="13.8" x14ac:dyDescent="0.25">
      <c r="B161" s="101">
        <v>152</v>
      </c>
      <c r="C161" s="142"/>
      <c r="D161" s="142"/>
      <c r="E161" s="108"/>
      <c r="F161" s="281" t="str">
        <f>IF(D161="","",VLOOKUP(D161,'G-6 Hedgerow Data'!$B$2:$AG$15,2,FALSE))</f>
        <v/>
      </c>
      <c r="G161" s="282" t="str">
        <f>IF(D161="","",VLOOKUP(D161,'G-6 Hedgerow Data'!$B$2:$AG$15,3,FALSE))</f>
        <v/>
      </c>
      <c r="H161" s="105"/>
      <c r="I161" s="282" t="str">
        <f>IFERROR(IF(AND(D161&lt;&gt;"",H161=""), "Check data ⚠",(IF(H161="","",IF(AND(D161="Non-native and ornamental hedgerow", H161&lt;&gt;"Poor"),"Not possible ▲", (IF(AND(F161="V.Low",OR(H161="Good",H161="Moderate")),"Error ▲",VLOOKUP(H161,'G-1 All Habitats'!$Z$2:$AA$9,2,FALSE))))))),"")</f>
        <v/>
      </c>
      <c r="J161" s="109"/>
      <c r="K161" s="301" t="str">
        <f>IF(AND(J161="",D161&lt;&gt;""),"Check data ⚠",IF(J161="","",IF(VLOOKUP(J161,'G-3 Multipliers'!$L$3:$N$6,2,FALSE)=0,"Spatial Data Missing ⚠",VLOOKUP(J161,'G-3 Multipliers'!$L$3:$N$6,2,FALSE))))</f>
        <v/>
      </c>
      <c r="L161" s="305" t="str">
        <f>IF(J161="","",IF(VLOOKUP(J161,'G-3 Multipliers'!$L$3:$N$6,3,FALSE)=0,"Spatial Data Missing ⚠",VLOOKUP(J161,'G-3 Multipliers'!$L$3:$N$6,3,FALSE)))</f>
        <v/>
      </c>
      <c r="M161" s="342" t="str">
        <f>IF(D161="","",VLOOKUP(D161,'G-6 Hedgerow Data'!$B$1:$AH$15,33,FALSE))</f>
        <v/>
      </c>
      <c r="N161" s="295" t="str">
        <f t="shared" si="20"/>
        <v/>
      </c>
      <c r="O161" s="403"/>
      <c r="P161" s="287" t="str">
        <f>IF(O161="","",IF(VLOOKUP(O161,'G-3 Multipliers'!$S$3:$T$10,2,FALSE)=0,"Spatial Data Missing ⚠",VLOOKUP(O161,'G-3 Multipliers'!$S$3:$T$10,2,FALSE)))</f>
        <v/>
      </c>
      <c r="Q161" s="295" t="str">
        <f t="shared" si="21"/>
        <v/>
      </c>
      <c r="R161" s="32"/>
      <c r="S161" s="105"/>
      <c r="T161" s="112"/>
      <c r="U161" s="289" t="str">
        <f t="shared" si="22"/>
        <v/>
      </c>
      <c r="V161" s="289" t="str">
        <f t="shared" si="23"/>
        <v/>
      </c>
      <c r="W161" s="293" t="str">
        <f t="shared" si="24"/>
        <v/>
      </c>
      <c r="X161" s="297" t="str">
        <f t="shared" si="25"/>
        <v/>
      </c>
      <c r="Y161" s="109"/>
      <c r="Z161" s="108"/>
      <c r="AA161" s="108"/>
      <c r="AB161" s="108"/>
      <c r="AE161" s="30" t="str">
        <f>IFERROR(INDEX('G-6 Hedgerow Data'!$BJ$3:$BJ$15,MATCH(D161,'G-6 Hedgerow Data'!$B$3:$B$15,0)),"")</f>
        <v/>
      </c>
      <c r="AH161" s="111" t="str">
        <f t="shared" si="18"/>
        <v/>
      </c>
      <c r="AI161" s="111" t="str">
        <f t="shared" si="19"/>
        <v/>
      </c>
      <c r="AK161" s="111">
        <v>152</v>
      </c>
      <c r="AM161" s="111" t="str">
        <f t="array" ref="AM161">IFERROR(INDEX($AK$10:$AK$258, MATCH(0, IF(TRUE=$AH$10:$AH$258, COUNTIF($AM$9:$AM160, $AK$10:$AK$258), ""), 0)),"")</f>
        <v/>
      </c>
      <c r="AN161" s="111" t="str">
        <f t="array" ref="AN161">IFERROR(INDEX($AK$10:$AK$258, MATCH(0, IF(TRUE=$AI$10:$AI$258, COUNTIF($AN$9:$AN160, $AK$10:$AK$258), ""), 0)),"")</f>
        <v/>
      </c>
      <c r="AY161" s="289" t="str">
        <f t="shared" si="26"/>
        <v/>
      </c>
    </row>
    <row r="162" spans="2:51" ht="13.8" x14ac:dyDescent="0.25">
      <c r="B162" s="101">
        <v>153</v>
      </c>
      <c r="C162" s="142"/>
      <c r="D162" s="142"/>
      <c r="E162" s="108"/>
      <c r="F162" s="281" t="str">
        <f>IF(D162="","",VLOOKUP(D162,'G-6 Hedgerow Data'!$B$2:$AG$15,2,FALSE))</f>
        <v/>
      </c>
      <c r="G162" s="282" t="str">
        <f>IF(D162="","",VLOOKUP(D162,'G-6 Hedgerow Data'!$B$2:$AG$15,3,FALSE))</f>
        <v/>
      </c>
      <c r="H162" s="105"/>
      <c r="I162" s="282" t="str">
        <f>IFERROR(IF(AND(D162&lt;&gt;"",H162=""), "Check data ⚠",(IF(H162="","",IF(AND(D162="Non-native and ornamental hedgerow", H162&lt;&gt;"Poor"),"Not possible ▲", (IF(AND(F162="V.Low",OR(H162="Good",H162="Moderate")),"Error ▲",VLOOKUP(H162,'G-1 All Habitats'!$Z$2:$AA$9,2,FALSE))))))),"")</f>
        <v/>
      </c>
      <c r="J162" s="109"/>
      <c r="K162" s="301" t="str">
        <f>IF(AND(J162="",D162&lt;&gt;""),"Check data ⚠",IF(J162="","",IF(VLOOKUP(J162,'G-3 Multipliers'!$L$3:$N$6,2,FALSE)=0,"Spatial Data Missing ⚠",VLOOKUP(J162,'G-3 Multipliers'!$L$3:$N$6,2,FALSE))))</f>
        <v/>
      </c>
      <c r="L162" s="305" t="str">
        <f>IF(J162="","",IF(VLOOKUP(J162,'G-3 Multipliers'!$L$3:$N$6,3,FALSE)=0,"Spatial Data Missing ⚠",VLOOKUP(J162,'G-3 Multipliers'!$L$3:$N$6,3,FALSE)))</f>
        <v/>
      </c>
      <c r="M162" s="342" t="str">
        <f>IF(D162="","",VLOOKUP(D162,'G-6 Hedgerow Data'!$B$1:$AH$15,33,FALSE))</f>
        <v/>
      </c>
      <c r="N162" s="295" t="str">
        <f t="shared" si="20"/>
        <v/>
      </c>
      <c r="O162" s="403"/>
      <c r="P162" s="287" t="str">
        <f>IF(O162="","",IF(VLOOKUP(O162,'G-3 Multipliers'!$S$3:$T$10,2,FALSE)=0,"Spatial Data Missing ⚠",VLOOKUP(O162,'G-3 Multipliers'!$S$3:$T$10,2,FALSE)))</f>
        <v/>
      </c>
      <c r="Q162" s="295" t="str">
        <f t="shared" si="21"/>
        <v/>
      </c>
      <c r="R162" s="32"/>
      <c r="S162" s="105"/>
      <c r="T162" s="112"/>
      <c r="U162" s="289" t="str">
        <f t="shared" si="22"/>
        <v/>
      </c>
      <c r="V162" s="289" t="str">
        <f t="shared" si="23"/>
        <v/>
      </c>
      <c r="W162" s="293" t="str">
        <f t="shared" si="24"/>
        <v/>
      </c>
      <c r="X162" s="297" t="str">
        <f t="shared" si="25"/>
        <v/>
      </c>
      <c r="Y162" s="109"/>
      <c r="Z162" s="108"/>
      <c r="AA162" s="108"/>
      <c r="AB162" s="108"/>
      <c r="AE162" s="30" t="str">
        <f>IFERROR(INDEX('G-6 Hedgerow Data'!$BJ$3:$BJ$15,MATCH(D162,'G-6 Hedgerow Data'!$B$3:$B$15,0)),"")</f>
        <v/>
      </c>
      <c r="AH162" s="111" t="str">
        <f t="shared" si="18"/>
        <v/>
      </c>
      <c r="AI162" s="111" t="str">
        <f t="shared" si="19"/>
        <v/>
      </c>
      <c r="AK162" s="111">
        <v>153</v>
      </c>
      <c r="AM162" s="111" t="str">
        <f t="array" ref="AM162">IFERROR(INDEX($AK$10:$AK$258, MATCH(0, IF(TRUE=$AH$10:$AH$258, COUNTIF($AM$9:$AM161, $AK$10:$AK$258), ""), 0)),"")</f>
        <v/>
      </c>
      <c r="AN162" s="111" t="str">
        <f t="array" ref="AN162">IFERROR(INDEX($AK$10:$AK$258, MATCH(0, IF(TRUE=$AI$10:$AI$258, COUNTIF($AN$9:$AN161, $AK$10:$AK$258), ""), 0)),"")</f>
        <v/>
      </c>
      <c r="AY162" s="289" t="str">
        <f t="shared" si="26"/>
        <v/>
      </c>
    </row>
    <row r="163" spans="2:51" ht="13.8" x14ac:dyDescent="0.25">
      <c r="B163" s="101">
        <v>154</v>
      </c>
      <c r="C163" s="142"/>
      <c r="D163" s="142"/>
      <c r="E163" s="108"/>
      <c r="F163" s="281" t="str">
        <f>IF(D163="","",VLOOKUP(D163,'G-6 Hedgerow Data'!$B$2:$AG$15,2,FALSE))</f>
        <v/>
      </c>
      <c r="G163" s="282" t="str">
        <f>IF(D163="","",VLOOKUP(D163,'G-6 Hedgerow Data'!$B$2:$AG$15,3,FALSE))</f>
        <v/>
      </c>
      <c r="H163" s="105"/>
      <c r="I163" s="282" t="str">
        <f>IFERROR(IF(AND(D163&lt;&gt;"",H163=""), "Check data ⚠",(IF(H163="","",IF(AND(D163="Non-native and ornamental hedgerow", H163&lt;&gt;"Poor"),"Not possible ▲", (IF(AND(F163="V.Low",OR(H163="Good",H163="Moderate")),"Error ▲",VLOOKUP(H163,'G-1 All Habitats'!$Z$2:$AA$9,2,FALSE))))))),"")</f>
        <v/>
      </c>
      <c r="J163" s="109"/>
      <c r="K163" s="301" t="str">
        <f>IF(AND(J163="",D163&lt;&gt;""),"Check data ⚠",IF(J163="","",IF(VLOOKUP(J163,'G-3 Multipliers'!$L$3:$N$6,2,FALSE)=0,"Spatial Data Missing ⚠",VLOOKUP(J163,'G-3 Multipliers'!$L$3:$N$6,2,FALSE))))</f>
        <v/>
      </c>
      <c r="L163" s="305" t="str">
        <f>IF(J163="","",IF(VLOOKUP(J163,'G-3 Multipliers'!$L$3:$N$6,3,FALSE)=0,"Spatial Data Missing ⚠",VLOOKUP(J163,'G-3 Multipliers'!$L$3:$N$6,3,FALSE)))</f>
        <v/>
      </c>
      <c r="M163" s="342" t="str">
        <f>IF(D163="","",VLOOKUP(D163,'G-6 Hedgerow Data'!$B$1:$AH$15,33,FALSE))</f>
        <v/>
      </c>
      <c r="N163" s="295" t="str">
        <f t="shared" si="20"/>
        <v/>
      </c>
      <c r="O163" s="403"/>
      <c r="P163" s="287" t="str">
        <f>IF(O163="","",IF(VLOOKUP(O163,'G-3 Multipliers'!$S$3:$T$10,2,FALSE)=0,"Spatial Data Missing ⚠",VLOOKUP(O163,'G-3 Multipliers'!$S$3:$T$10,2,FALSE)))</f>
        <v/>
      </c>
      <c r="Q163" s="295" t="str">
        <f t="shared" si="21"/>
        <v/>
      </c>
      <c r="R163" s="32"/>
      <c r="S163" s="105"/>
      <c r="T163" s="112"/>
      <c r="U163" s="289" t="str">
        <f t="shared" si="22"/>
        <v/>
      </c>
      <c r="V163" s="289" t="str">
        <f t="shared" si="23"/>
        <v/>
      </c>
      <c r="W163" s="293" t="str">
        <f t="shared" si="24"/>
        <v/>
      </c>
      <c r="X163" s="297" t="str">
        <f t="shared" si="25"/>
        <v/>
      </c>
      <c r="Y163" s="109"/>
      <c r="Z163" s="108"/>
      <c r="AA163" s="108"/>
      <c r="AB163" s="108"/>
      <c r="AE163" s="30" t="str">
        <f>IFERROR(INDEX('G-6 Hedgerow Data'!$BJ$3:$BJ$15,MATCH(D163,'G-6 Hedgerow Data'!$B$3:$B$15,0)),"")</f>
        <v/>
      </c>
      <c r="AH163" s="111" t="str">
        <f t="shared" si="18"/>
        <v/>
      </c>
      <c r="AI163" s="111" t="str">
        <f t="shared" si="19"/>
        <v/>
      </c>
      <c r="AK163" s="111">
        <v>154</v>
      </c>
      <c r="AM163" s="111" t="str">
        <f t="array" ref="AM163">IFERROR(INDEX($AK$10:$AK$258, MATCH(0, IF(TRUE=$AH$10:$AH$258, COUNTIF($AM$9:$AM162, $AK$10:$AK$258), ""), 0)),"")</f>
        <v/>
      </c>
      <c r="AN163" s="111" t="str">
        <f t="array" ref="AN163">IFERROR(INDEX($AK$10:$AK$258, MATCH(0, IF(TRUE=$AI$10:$AI$258, COUNTIF($AN$9:$AN162, $AK$10:$AK$258), ""), 0)),"")</f>
        <v/>
      </c>
      <c r="AY163" s="289" t="str">
        <f t="shared" si="26"/>
        <v/>
      </c>
    </row>
    <row r="164" spans="2:51" ht="13.8" x14ac:dyDescent="0.25">
      <c r="B164" s="101">
        <v>155</v>
      </c>
      <c r="C164" s="142"/>
      <c r="D164" s="142"/>
      <c r="E164" s="108"/>
      <c r="F164" s="281" t="str">
        <f>IF(D164="","",VLOOKUP(D164,'G-6 Hedgerow Data'!$B$2:$AG$15,2,FALSE))</f>
        <v/>
      </c>
      <c r="G164" s="282" t="str">
        <f>IF(D164="","",VLOOKUP(D164,'G-6 Hedgerow Data'!$B$2:$AG$15,3,FALSE))</f>
        <v/>
      </c>
      <c r="H164" s="105"/>
      <c r="I164" s="282" t="str">
        <f>IFERROR(IF(AND(D164&lt;&gt;"",H164=""), "Check data ⚠",(IF(H164="","",IF(AND(D164="Non-native and ornamental hedgerow", H164&lt;&gt;"Poor"),"Not possible ▲", (IF(AND(F164="V.Low",OR(H164="Good",H164="Moderate")),"Error ▲",VLOOKUP(H164,'G-1 All Habitats'!$Z$2:$AA$9,2,FALSE))))))),"")</f>
        <v/>
      </c>
      <c r="J164" s="109"/>
      <c r="K164" s="301" t="str">
        <f>IF(AND(J164="",D164&lt;&gt;""),"Check data ⚠",IF(J164="","",IF(VLOOKUP(J164,'G-3 Multipliers'!$L$3:$N$6,2,FALSE)=0,"Spatial Data Missing ⚠",VLOOKUP(J164,'G-3 Multipliers'!$L$3:$N$6,2,FALSE))))</f>
        <v/>
      </c>
      <c r="L164" s="305" t="str">
        <f>IF(J164="","",IF(VLOOKUP(J164,'G-3 Multipliers'!$L$3:$N$6,3,FALSE)=0,"Spatial Data Missing ⚠",VLOOKUP(J164,'G-3 Multipliers'!$L$3:$N$6,3,FALSE)))</f>
        <v/>
      </c>
      <c r="M164" s="342" t="str">
        <f>IF(D164="","",VLOOKUP(D164,'G-6 Hedgerow Data'!$B$1:$AH$15,33,FALSE))</f>
        <v/>
      </c>
      <c r="N164" s="295" t="str">
        <f t="shared" si="20"/>
        <v/>
      </c>
      <c r="O164" s="403"/>
      <c r="P164" s="287" t="str">
        <f>IF(O164="","",IF(VLOOKUP(O164,'G-3 Multipliers'!$S$3:$T$10,2,FALSE)=0,"Spatial Data Missing ⚠",VLOOKUP(O164,'G-3 Multipliers'!$S$3:$T$10,2,FALSE)))</f>
        <v/>
      </c>
      <c r="Q164" s="295" t="str">
        <f t="shared" si="21"/>
        <v/>
      </c>
      <c r="R164" s="32"/>
      <c r="S164" s="105"/>
      <c r="T164" s="112"/>
      <c r="U164" s="289" t="str">
        <f t="shared" si="22"/>
        <v/>
      </c>
      <c r="V164" s="289" t="str">
        <f t="shared" si="23"/>
        <v/>
      </c>
      <c r="W164" s="293" t="str">
        <f t="shared" si="24"/>
        <v/>
      </c>
      <c r="X164" s="297" t="str">
        <f t="shared" si="25"/>
        <v/>
      </c>
      <c r="Y164" s="109"/>
      <c r="Z164" s="108"/>
      <c r="AA164" s="108"/>
      <c r="AB164" s="108"/>
      <c r="AE164" s="30" t="str">
        <f>IFERROR(INDEX('G-6 Hedgerow Data'!$BJ$3:$BJ$15,MATCH(D164,'G-6 Hedgerow Data'!$B$3:$B$15,0)),"")</f>
        <v/>
      </c>
      <c r="AH164" s="111" t="str">
        <f t="shared" si="18"/>
        <v/>
      </c>
      <c r="AI164" s="111" t="str">
        <f t="shared" si="19"/>
        <v/>
      </c>
      <c r="AK164" s="111">
        <v>155</v>
      </c>
      <c r="AM164" s="111" t="str">
        <f t="array" ref="AM164">IFERROR(INDEX($AK$10:$AK$258, MATCH(0, IF(TRUE=$AH$10:$AH$258, COUNTIF($AM$9:$AM163, $AK$10:$AK$258), ""), 0)),"")</f>
        <v/>
      </c>
      <c r="AN164" s="111" t="str">
        <f t="array" ref="AN164">IFERROR(INDEX($AK$10:$AK$258, MATCH(0, IF(TRUE=$AI$10:$AI$258, COUNTIF($AN$9:$AN163, $AK$10:$AK$258), ""), 0)),"")</f>
        <v/>
      </c>
      <c r="AY164" s="289" t="str">
        <f t="shared" si="26"/>
        <v/>
      </c>
    </row>
    <row r="165" spans="2:51" ht="13.8" x14ac:dyDescent="0.25">
      <c r="B165" s="101">
        <v>156</v>
      </c>
      <c r="C165" s="142"/>
      <c r="D165" s="142"/>
      <c r="E165" s="108"/>
      <c r="F165" s="281" t="str">
        <f>IF(D165="","",VLOOKUP(D165,'G-6 Hedgerow Data'!$B$2:$AG$15,2,FALSE))</f>
        <v/>
      </c>
      <c r="G165" s="282" t="str">
        <f>IF(D165="","",VLOOKUP(D165,'G-6 Hedgerow Data'!$B$2:$AG$15,3,FALSE))</f>
        <v/>
      </c>
      <c r="H165" s="105"/>
      <c r="I165" s="282" t="str">
        <f>IFERROR(IF(AND(D165&lt;&gt;"",H165=""), "Check data ⚠",(IF(H165="","",IF(AND(D165="Non-native and ornamental hedgerow", H165&lt;&gt;"Poor"),"Not possible ▲", (IF(AND(F165="V.Low",OR(H165="Good",H165="Moderate")),"Error ▲",VLOOKUP(H165,'G-1 All Habitats'!$Z$2:$AA$9,2,FALSE))))))),"")</f>
        <v/>
      </c>
      <c r="J165" s="109"/>
      <c r="K165" s="301" t="str">
        <f>IF(AND(J165="",D165&lt;&gt;""),"Check data ⚠",IF(J165="","",IF(VLOOKUP(J165,'G-3 Multipliers'!$L$3:$N$6,2,FALSE)=0,"Spatial Data Missing ⚠",VLOOKUP(J165,'G-3 Multipliers'!$L$3:$N$6,2,FALSE))))</f>
        <v/>
      </c>
      <c r="L165" s="305" t="str">
        <f>IF(J165="","",IF(VLOOKUP(J165,'G-3 Multipliers'!$L$3:$N$6,3,FALSE)=0,"Spatial Data Missing ⚠",VLOOKUP(J165,'G-3 Multipliers'!$L$3:$N$6,3,FALSE)))</f>
        <v/>
      </c>
      <c r="M165" s="342" t="str">
        <f>IF(D165="","",VLOOKUP(D165,'G-6 Hedgerow Data'!$B$1:$AH$15,33,FALSE))</f>
        <v/>
      </c>
      <c r="N165" s="295" t="str">
        <f t="shared" si="20"/>
        <v/>
      </c>
      <c r="O165" s="403"/>
      <c r="P165" s="287" t="str">
        <f>IF(O165="","",IF(VLOOKUP(O165,'G-3 Multipliers'!$S$3:$T$10,2,FALSE)=0,"Spatial Data Missing ⚠",VLOOKUP(O165,'G-3 Multipliers'!$S$3:$T$10,2,FALSE)))</f>
        <v/>
      </c>
      <c r="Q165" s="295" t="str">
        <f t="shared" si="21"/>
        <v/>
      </c>
      <c r="R165" s="32"/>
      <c r="S165" s="105"/>
      <c r="T165" s="112"/>
      <c r="U165" s="289" t="str">
        <f t="shared" si="22"/>
        <v/>
      </c>
      <c r="V165" s="289" t="str">
        <f t="shared" si="23"/>
        <v/>
      </c>
      <c r="W165" s="293" t="str">
        <f t="shared" si="24"/>
        <v/>
      </c>
      <c r="X165" s="297" t="str">
        <f t="shared" si="25"/>
        <v/>
      </c>
      <c r="Y165" s="109"/>
      <c r="Z165" s="108"/>
      <c r="AA165" s="108"/>
      <c r="AB165" s="108"/>
      <c r="AE165" s="30" t="str">
        <f>IFERROR(INDEX('G-6 Hedgerow Data'!$BJ$3:$BJ$15,MATCH(D165,'G-6 Hedgerow Data'!$B$3:$B$15,0)),"")</f>
        <v/>
      </c>
      <c r="AH165" s="111" t="str">
        <f t="shared" si="18"/>
        <v/>
      </c>
      <c r="AI165" s="111" t="str">
        <f t="shared" si="19"/>
        <v/>
      </c>
      <c r="AK165" s="111">
        <v>156</v>
      </c>
      <c r="AM165" s="111" t="str">
        <f t="array" ref="AM165">IFERROR(INDEX($AK$10:$AK$258, MATCH(0, IF(TRUE=$AH$10:$AH$258, COUNTIF($AM$9:$AM164, $AK$10:$AK$258), ""), 0)),"")</f>
        <v/>
      </c>
      <c r="AN165" s="111" t="str">
        <f t="array" ref="AN165">IFERROR(INDEX($AK$10:$AK$258, MATCH(0, IF(TRUE=$AI$10:$AI$258, COUNTIF($AN$9:$AN164, $AK$10:$AK$258), ""), 0)),"")</f>
        <v/>
      </c>
      <c r="AY165" s="289" t="str">
        <f t="shared" si="26"/>
        <v/>
      </c>
    </row>
    <row r="166" spans="2:51" ht="13.8" x14ac:dyDescent="0.25">
      <c r="B166" s="101">
        <v>157</v>
      </c>
      <c r="C166" s="142"/>
      <c r="D166" s="142"/>
      <c r="E166" s="108"/>
      <c r="F166" s="281" t="str">
        <f>IF(D166="","",VLOOKUP(D166,'G-6 Hedgerow Data'!$B$2:$AG$15,2,FALSE))</f>
        <v/>
      </c>
      <c r="G166" s="282" t="str">
        <f>IF(D166="","",VLOOKUP(D166,'G-6 Hedgerow Data'!$B$2:$AG$15,3,FALSE))</f>
        <v/>
      </c>
      <c r="H166" s="105"/>
      <c r="I166" s="282" t="str">
        <f>IFERROR(IF(AND(D166&lt;&gt;"",H166=""), "Check data ⚠",(IF(H166="","",IF(AND(D166="Non-native and ornamental hedgerow", H166&lt;&gt;"Poor"),"Not possible ▲", (IF(AND(F166="V.Low",OR(H166="Good",H166="Moderate")),"Error ▲",VLOOKUP(H166,'G-1 All Habitats'!$Z$2:$AA$9,2,FALSE))))))),"")</f>
        <v/>
      </c>
      <c r="J166" s="109"/>
      <c r="K166" s="301" t="str">
        <f>IF(AND(J166="",D166&lt;&gt;""),"Check data ⚠",IF(J166="","",IF(VLOOKUP(J166,'G-3 Multipliers'!$L$3:$N$6,2,FALSE)=0,"Spatial Data Missing ⚠",VLOOKUP(J166,'G-3 Multipliers'!$L$3:$N$6,2,FALSE))))</f>
        <v/>
      </c>
      <c r="L166" s="305" t="str">
        <f>IF(J166="","",IF(VLOOKUP(J166,'G-3 Multipliers'!$L$3:$N$6,3,FALSE)=0,"Spatial Data Missing ⚠",VLOOKUP(J166,'G-3 Multipliers'!$L$3:$N$6,3,FALSE)))</f>
        <v/>
      </c>
      <c r="M166" s="342" t="str">
        <f>IF(D166="","",VLOOKUP(D166,'G-6 Hedgerow Data'!$B$1:$AH$15,33,FALSE))</f>
        <v/>
      </c>
      <c r="N166" s="295" t="str">
        <f t="shared" si="20"/>
        <v/>
      </c>
      <c r="O166" s="403"/>
      <c r="P166" s="287" t="str">
        <f>IF(O166="","",IF(VLOOKUP(O166,'G-3 Multipliers'!$S$3:$T$10,2,FALSE)=0,"Spatial Data Missing ⚠",VLOOKUP(O166,'G-3 Multipliers'!$S$3:$T$10,2,FALSE)))</f>
        <v/>
      </c>
      <c r="Q166" s="295" t="str">
        <f t="shared" si="21"/>
        <v/>
      </c>
      <c r="R166" s="32"/>
      <c r="S166" s="105"/>
      <c r="T166" s="112"/>
      <c r="U166" s="289" t="str">
        <f t="shared" si="22"/>
        <v/>
      </c>
      <c r="V166" s="289" t="str">
        <f t="shared" si="23"/>
        <v/>
      </c>
      <c r="W166" s="293" t="str">
        <f t="shared" si="24"/>
        <v/>
      </c>
      <c r="X166" s="297" t="str">
        <f t="shared" si="25"/>
        <v/>
      </c>
      <c r="Y166" s="109"/>
      <c r="Z166" s="108"/>
      <c r="AA166" s="108"/>
      <c r="AB166" s="108"/>
      <c r="AE166" s="30" t="str">
        <f>IFERROR(INDEX('G-6 Hedgerow Data'!$BJ$3:$BJ$15,MATCH(D166,'G-6 Hedgerow Data'!$B$3:$B$15,0)),"")</f>
        <v/>
      </c>
      <c r="AH166" s="111" t="str">
        <f t="shared" si="18"/>
        <v/>
      </c>
      <c r="AI166" s="111" t="str">
        <f t="shared" si="19"/>
        <v/>
      </c>
      <c r="AK166" s="111">
        <v>157</v>
      </c>
      <c r="AM166" s="111" t="str">
        <f t="array" ref="AM166">IFERROR(INDEX($AK$10:$AK$258, MATCH(0, IF(TRUE=$AH$10:$AH$258, COUNTIF($AM$9:$AM165, $AK$10:$AK$258), ""), 0)),"")</f>
        <v/>
      </c>
      <c r="AN166" s="111" t="str">
        <f t="array" ref="AN166">IFERROR(INDEX($AK$10:$AK$258, MATCH(0, IF(TRUE=$AI$10:$AI$258, COUNTIF($AN$9:$AN165, $AK$10:$AK$258), ""), 0)),"")</f>
        <v/>
      </c>
      <c r="AY166" s="289" t="str">
        <f t="shared" si="26"/>
        <v/>
      </c>
    </row>
    <row r="167" spans="2:51" ht="13.8" x14ac:dyDescent="0.25">
      <c r="B167" s="101">
        <v>158</v>
      </c>
      <c r="C167" s="142"/>
      <c r="D167" s="142"/>
      <c r="E167" s="108"/>
      <c r="F167" s="281" t="str">
        <f>IF(D167="","",VLOOKUP(D167,'G-6 Hedgerow Data'!$B$2:$AG$15,2,FALSE))</f>
        <v/>
      </c>
      <c r="G167" s="282" t="str">
        <f>IF(D167="","",VLOOKUP(D167,'G-6 Hedgerow Data'!$B$2:$AG$15,3,FALSE))</f>
        <v/>
      </c>
      <c r="H167" s="105"/>
      <c r="I167" s="282" t="str">
        <f>IFERROR(IF(AND(D167&lt;&gt;"",H167=""), "Check data ⚠",(IF(H167="","",IF(AND(D167="Non-native and ornamental hedgerow", H167&lt;&gt;"Poor"),"Not possible ▲", (IF(AND(F167="V.Low",OR(H167="Good",H167="Moderate")),"Error ▲",VLOOKUP(H167,'G-1 All Habitats'!$Z$2:$AA$9,2,FALSE))))))),"")</f>
        <v/>
      </c>
      <c r="J167" s="109"/>
      <c r="K167" s="301" t="str">
        <f>IF(AND(J167="",D167&lt;&gt;""),"Check data ⚠",IF(J167="","",IF(VLOOKUP(J167,'G-3 Multipliers'!$L$3:$N$6,2,FALSE)=0,"Spatial Data Missing ⚠",VLOOKUP(J167,'G-3 Multipliers'!$L$3:$N$6,2,FALSE))))</f>
        <v/>
      </c>
      <c r="L167" s="305" t="str">
        <f>IF(J167="","",IF(VLOOKUP(J167,'G-3 Multipliers'!$L$3:$N$6,3,FALSE)=0,"Spatial Data Missing ⚠",VLOOKUP(J167,'G-3 Multipliers'!$L$3:$N$6,3,FALSE)))</f>
        <v/>
      </c>
      <c r="M167" s="342" t="str">
        <f>IF(D167="","",VLOOKUP(D167,'G-6 Hedgerow Data'!$B$1:$AH$15,33,FALSE))</f>
        <v/>
      </c>
      <c r="N167" s="295" t="str">
        <f t="shared" si="20"/>
        <v/>
      </c>
      <c r="O167" s="403"/>
      <c r="P167" s="287" t="str">
        <f>IF(O167="","",IF(VLOOKUP(O167,'G-3 Multipliers'!$S$3:$T$10,2,FALSE)=0,"Spatial Data Missing ⚠",VLOOKUP(O167,'G-3 Multipliers'!$S$3:$T$10,2,FALSE)))</f>
        <v/>
      </c>
      <c r="Q167" s="295" t="str">
        <f t="shared" si="21"/>
        <v/>
      </c>
      <c r="R167" s="32"/>
      <c r="S167" s="105"/>
      <c r="T167" s="112"/>
      <c r="U167" s="289" t="str">
        <f t="shared" si="22"/>
        <v/>
      </c>
      <c r="V167" s="289" t="str">
        <f t="shared" si="23"/>
        <v/>
      </c>
      <c r="W167" s="293" t="str">
        <f t="shared" si="24"/>
        <v/>
      </c>
      <c r="X167" s="297" t="str">
        <f t="shared" si="25"/>
        <v/>
      </c>
      <c r="Y167" s="109"/>
      <c r="Z167" s="108"/>
      <c r="AA167" s="108"/>
      <c r="AB167" s="108"/>
      <c r="AE167" s="30" t="str">
        <f>IFERROR(INDEX('G-6 Hedgerow Data'!$BJ$3:$BJ$15,MATCH(D167,'G-6 Hedgerow Data'!$B$3:$B$15,0)),"")</f>
        <v/>
      </c>
      <c r="AH167" s="111" t="str">
        <f t="shared" si="18"/>
        <v/>
      </c>
      <c r="AI167" s="111" t="str">
        <f t="shared" si="19"/>
        <v/>
      </c>
      <c r="AK167" s="111">
        <v>158</v>
      </c>
      <c r="AM167" s="111" t="str">
        <f t="array" ref="AM167">IFERROR(INDEX($AK$10:$AK$258, MATCH(0, IF(TRUE=$AH$10:$AH$258, COUNTIF($AM$9:$AM166, $AK$10:$AK$258), ""), 0)),"")</f>
        <v/>
      </c>
      <c r="AN167" s="111" t="str">
        <f t="array" ref="AN167">IFERROR(INDEX($AK$10:$AK$258, MATCH(0, IF(TRUE=$AI$10:$AI$258, COUNTIF($AN$9:$AN166, $AK$10:$AK$258), ""), 0)),"")</f>
        <v/>
      </c>
      <c r="AY167" s="289" t="str">
        <f t="shared" si="26"/>
        <v/>
      </c>
    </row>
    <row r="168" spans="2:51" ht="13.8" x14ac:dyDescent="0.25">
      <c r="B168" s="101">
        <v>159</v>
      </c>
      <c r="C168" s="142"/>
      <c r="D168" s="142"/>
      <c r="E168" s="108"/>
      <c r="F168" s="281" t="str">
        <f>IF(D168="","",VLOOKUP(D168,'G-6 Hedgerow Data'!$B$2:$AG$15,2,FALSE))</f>
        <v/>
      </c>
      <c r="G168" s="282" t="str">
        <f>IF(D168="","",VLOOKUP(D168,'G-6 Hedgerow Data'!$B$2:$AG$15,3,FALSE))</f>
        <v/>
      </c>
      <c r="H168" s="105"/>
      <c r="I168" s="282" t="str">
        <f>IFERROR(IF(AND(D168&lt;&gt;"",H168=""), "Check data ⚠",(IF(H168="","",IF(AND(D168="Non-native and ornamental hedgerow", H168&lt;&gt;"Poor"),"Not possible ▲", (IF(AND(F168="V.Low",OR(H168="Good",H168="Moderate")),"Error ▲",VLOOKUP(H168,'G-1 All Habitats'!$Z$2:$AA$9,2,FALSE))))))),"")</f>
        <v/>
      </c>
      <c r="J168" s="109"/>
      <c r="K168" s="301" t="str">
        <f>IF(AND(J168="",D168&lt;&gt;""),"Check data ⚠",IF(J168="","",IF(VLOOKUP(J168,'G-3 Multipliers'!$L$3:$N$6,2,FALSE)=0,"Spatial Data Missing ⚠",VLOOKUP(J168,'G-3 Multipliers'!$L$3:$N$6,2,FALSE))))</f>
        <v/>
      </c>
      <c r="L168" s="305" t="str">
        <f>IF(J168="","",IF(VLOOKUP(J168,'G-3 Multipliers'!$L$3:$N$6,3,FALSE)=0,"Spatial Data Missing ⚠",VLOOKUP(J168,'G-3 Multipliers'!$L$3:$N$6,3,FALSE)))</f>
        <v/>
      </c>
      <c r="M168" s="342" t="str">
        <f>IF(D168="","",VLOOKUP(D168,'G-6 Hedgerow Data'!$B$1:$AH$15,33,FALSE))</f>
        <v/>
      </c>
      <c r="N168" s="295" t="str">
        <f t="shared" si="20"/>
        <v/>
      </c>
      <c r="O168" s="403"/>
      <c r="P168" s="287" t="str">
        <f>IF(O168="","",IF(VLOOKUP(O168,'G-3 Multipliers'!$S$3:$T$10,2,FALSE)=0,"Spatial Data Missing ⚠",VLOOKUP(O168,'G-3 Multipliers'!$S$3:$T$10,2,FALSE)))</f>
        <v/>
      </c>
      <c r="Q168" s="295" t="str">
        <f t="shared" si="21"/>
        <v/>
      </c>
      <c r="R168" s="32"/>
      <c r="S168" s="105"/>
      <c r="T168" s="112"/>
      <c r="U168" s="289" t="str">
        <f t="shared" si="22"/>
        <v/>
      </c>
      <c r="V168" s="289" t="str">
        <f t="shared" si="23"/>
        <v/>
      </c>
      <c r="W168" s="293" t="str">
        <f t="shared" si="24"/>
        <v/>
      </c>
      <c r="X168" s="297" t="str">
        <f t="shared" si="25"/>
        <v/>
      </c>
      <c r="Y168" s="109"/>
      <c r="Z168" s="108"/>
      <c r="AA168" s="108"/>
      <c r="AB168" s="108"/>
      <c r="AE168" s="30" t="str">
        <f>IFERROR(INDEX('G-6 Hedgerow Data'!$BJ$3:$BJ$15,MATCH(D168,'G-6 Hedgerow Data'!$B$3:$B$15,0)),"")</f>
        <v/>
      </c>
      <c r="AH168" s="111" t="str">
        <f t="shared" si="18"/>
        <v/>
      </c>
      <c r="AI168" s="111" t="str">
        <f t="shared" si="19"/>
        <v/>
      </c>
      <c r="AK168" s="111">
        <v>159</v>
      </c>
      <c r="AM168" s="111" t="str">
        <f t="array" ref="AM168">IFERROR(INDEX($AK$10:$AK$258, MATCH(0, IF(TRUE=$AH$10:$AH$258, COUNTIF($AM$9:$AM167, $AK$10:$AK$258), ""), 0)),"")</f>
        <v/>
      </c>
      <c r="AN168" s="111" t="str">
        <f t="array" ref="AN168">IFERROR(INDEX($AK$10:$AK$258, MATCH(0, IF(TRUE=$AI$10:$AI$258, COUNTIF($AN$9:$AN167, $AK$10:$AK$258), ""), 0)),"")</f>
        <v/>
      </c>
      <c r="AY168" s="289" t="str">
        <f t="shared" si="26"/>
        <v/>
      </c>
    </row>
    <row r="169" spans="2:51" ht="13.8" x14ac:dyDescent="0.25">
      <c r="B169" s="101">
        <v>160</v>
      </c>
      <c r="C169" s="142"/>
      <c r="D169" s="142"/>
      <c r="E169" s="108"/>
      <c r="F169" s="281" t="str">
        <f>IF(D169="","",VLOOKUP(D169,'G-6 Hedgerow Data'!$B$2:$AG$15,2,FALSE))</f>
        <v/>
      </c>
      <c r="G169" s="282" t="str">
        <f>IF(D169="","",VLOOKUP(D169,'G-6 Hedgerow Data'!$B$2:$AG$15,3,FALSE))</f>
        <v/>
      </c>
      <c r="H169" s="105"/>
      <c r="I169" s="282" t="str">
        <f>IFERROR(IF(AND(D169&lt;&gt;"",H169=""), "Check data ⚠",(IF(H169="","",IF(AND(D169="Non-native and ornamental hedgerow", H169&lt;&gt;"Poor"),"Not possible ▲", (IF(AND(F169="V.Low",OR(H169="Good",H169="Moderate")),"Error ▲",VLOOKUP(H169,'G-1 All Habitats'!$Z$2:$AA$9,2,FALSE))))))),"")</f>
        <v/>
      </c>
      <c r="J169" s="109"/>
      <c r="K169" s="301" t="str">
        <f>IF(AND(J169="",D169&lt;&gt;""),"Check data ⚠",IF(J169="","",IF(VLOOKUP(J169,'G-3 Multipliers'!$L$3:$N$6,2,FALSE)=0,"Spatial Data Missing ⚠",VLOOKUP(J169,'G-3 Multipliers'!$L$3:$N$6,2,FALSE))))</f>
        <v/>
      </c>
      <c r="L169" s="305" t="str">
        <f>IF(J169="","",IF(VLOOKUP(J169,'G-3 Multipliers'!$L$3:$N$6,3,FALSE)=0,"Spatial Data Missing ⚠",VLOOKUP(J169,'G-3 Multipliers'!$L$3:$N$6,3,FALSE)))</f>
        <v/>
      </c>
      <c r="M169" s="342" t="str">
        <f>IF(D169="","",VLOOKUP(D169,'G-6 Hedgerow Data'!$B$1:$AH$15,33,FALSE))</f>
        <v/>
      </c>
      <c r="N169" s="295" t="str">
        <f t="shared" si="20"/>
        <v/>
      </c>
      <c r="O169" s="403"/>
      <c r="P169" s="287" t="str">
        <f>IF(O169="","",IF(VLOOKUP(O169,'G-3 Multipliers'!$S$3:$T$10,2,FALSE)=0,"Spatial Data Missing ⚠",VLOOKUP(O169,'G-3 Multipliers'!$S$3:$T$10,2,FALSE)))</f>
        <v/>
      </c>
      <c r="Q169" s="295" t="str">
        <f t="shared" si="21"/>
        <v/>
      </c>
      <c r="R169" s="32"/>
      <c r="S169" s="105"/>
      <c r="T169" s="112"/>
      <c r="U169" s="289" t="str">
        <f t="shared" si="22"/>
        <v/>
      </c>
      <c r="V169" s="289" t="str">
        <f t="shared" si="23"/>
        <v/>
      </c>
      <c r="W169" s="293" t="str">
        <f t="shared" si="24"/>
        <v/>
      </c>
      <c r="X169" s="297" t="str">
        <f t="shared" si="25"/>
        <v/>
      </c>
      <c r="Y169" s="109"/>
      <c r="Z169" s="108"/>
      <c r="AA169" s="108"/>
      <c r="AB169" s="108"/>
      <c r="AE169" s="30" t="str">
        <f>IFERROR(INDEX('G-6 Hedgerow Data'!$BJ$3:$BJ$15,MATCH(D169,'G-6 Hedgerow Data'!$B$3:$B$15,0)),"")</f>
        <v/>
      </c>
      <c r="AH169" s="111" t="str">
        <f t="shared" si="18"/>
        <v/>
      </c>
      <c r="AI169" s="111" t="str">
        <f t="shared" si="19"/>
        <v/>
      </c>
      <c r="AK169" s="111">
        <v>160</v>
      </c>
      <c r="AM169" s="111" t="str">
        <f t="array" ref="AM169">IFERROR(INDEX($AK$10:$AK$258, MATCH(0, IF(TRUE=$AH$10:$AH$258, COUNTIF($AM$9:$AM168, $AK$10:$AK$258), ""), 0)),"")</f>
        <v/>
      </c>
      <c r="AN169" s="111" t="str">
        <f t="array" ref="AN169">IFERROR(INDEX($AK$10:$AK$258, MATCH(0, IF(TRUE=$AI$10:$AI$258, COUNTIF($AN$9:$AN168, $AK$10:$AK$258), ""), 0)),"")</f>
        <v/>
      </c>
      <c r="AY169" s="289" t="str">
        <f t="shared" si="26"/>
        <v/>
      </c>
    </row>
    <row r="170" spans="2:51" ht="13.8" x14ac:dyDescent="0.25">
      <c r="B170" s="101">
        <v>161</v>
      </c>
      <c r="C170" s="142"/>
      <c r="D170" s="142"/>
      <c r="E170" s="108"/>
      <c r="F170" s="281" t="str">
        <f>IF(D170="","",VLOOKUP(D170,'G-6 Hedgerow Data'!$B$2:$AG$15,2,FALSE))</f>
        <v/>
      </c>
      <c r="G170" s="282" t="str">
        <f>IF(D170="","",VLOOKUP(D170,'G-6 Hedgerow Data'!$B$2:$AG$15,3,FALSE))</f>
        <v/>
      </c>
      <c r="H170" s="105"/>
      <c r="I170" s="282" t="str">
        <f>IFERROR(IF(AND(D170&lt;&gt;"",H170=""), "Check data ⚠",(IF(H170="","",IF(AND(D170="Non-native and ornamental hedgerow", H170&lt;&gt;"Poor"),"Not possible ▲", (IF(AND(F170="V.Low",OR(H170="Good",H170="Moderate")),"Error ▲",VLOOKUP(H170,'G-1 All Habitats'!$Z$2:$AA$9,2,FALSE))))))),"")</f>
        <v/>
      </c>
      <c r="J170" s="109"/>
      <c r="K170" s="301" t="str">
        <f>IF(AND(J170="",D170&lt;&gt;""),"Check data ⚠",IF(J170="","",IF(VLOOKUP(J170,'G-3 Multipliers'!$L$3:$N$6,2,FALSE)=0,"Spatial Data Missing ⚠",VLOOKUP(J170,'G-3 Multipliers'!$L$3:$N$6,2,FALSE))))</f>
        <v/>
      </c>
      <c r="L170" s="305" t="str">
        <f>IF(J170="","",IF(VLOOKUP(J170,'G-3 Multipliers'!$L$3:$N$6,3,FALSE)=0,"Spatial Data Missing ⚠",VLOOKUP(J170,'G-3 Multipliers'!$L$3:$N$6,3,FALSE)))</f>
        <v/>
      </c>
      <c r="M170" s="342" t="str">
        <f>IF(D170="","",VLOOKUP(D170,'G-6 Hedgerow Data'!$B$1:$AH$15,33,FALSE))</f>
        <v/>
      </c>
      <c r="N170" s="295" t="str">
        <f t="shared" si="20"/>
        <v/>
      </c>
      <c r="O170" s="403"/>
      <c r="P170" s="287" t="str">
        <f>IF(O170="","",IF(VLOOKUP(O170,'G-3 Multipliers'!$S$3:$T$10,2,FALSE)=0,"Spatial Data Missing ⚠",VLOOKUP(O170,'G-3 Multipliers'!$S$3:$T$10,2,FALSE)))</f>
        <v/>
      </c>
      <c r="Q170" s="295" t="str">
        <f t="shared" si="21"/>
        <v/>
      </c>
      <c r="R170" s="32"/>
      <c r="S170" s="105"/>
      <c r="T170" s="112"/>
      <c r="U170" s="289" t="str">
        <f t="shared" si="22"/>
        <v/>
      </c>
      <c r="V170" s="289" t="str">
        <f t="shared" si="23"/>
        <v/>
      </c>
      <c r="W170" s="293" t="str">
        <f t="shared" si="24"/>
        <v/>
      </c>
      <c r="X170" s="297" t="str">
        <f t="shared" si="25"/>
        <v/>
      </c>
      <c r="Y170" s="109"/>
      <c r="Z170" s="108"/>
      <c r="AA170" s="108"/>
      <c r="AB170" s="108"/>
      <c r="AE170" s="30" t="str">
        <f>IFERROR(INDEX('G-6 Hedgerow Data'!$BJ$3:$BJ$15,MATCH(D170,'G-6 Hedgerow Data'!$B$3:$B$15,0)),"")</f>
        <v/>
      </c>
      <c r="AH170" s="111" t="str">
        <f t="shared" si="18"/>
        <v/>
      </c>
      <c r="AI170" s="111" t="str">
        <f t="shared" si="19"/>
        <v/>
      </c>
      <c r="AK170" s="111">
        <v>161</v>
      </c>
      <c r="AM170" s="111" t="str">
        <f t="array" ref="AM170">IFERROR(INDEX($AK$10:$AK$258, MATCH(0, IF(TRUE=$AH$10:$AH$258, COUNTIF($AM$9:$AM169, $AK$10:$AK$258), ""), 0)),"")</f>
        <v/>
      </c>
      <c r="AN170" s="111" t="str">
        <f t="array" ref="AN170">IFERROR(INDEX($AK$10:$AK$258, MATCH(0, IF(TRUE=$AI$10:$AI$258, COUNTIF($AN$9:$AN169, $AK$10:$AK$258), ""), 0)),"")</f>
        <v/>
      </c>
      <c r="AY170" s="289" t="str">
        <f t="shared" si="26"/>
        <v/>
      </c>
    </row>
    <row r="171" spans="2:51" ht="13.8" x14ac:dyDescent="0.25">
      <c r="B171" s="101">
        <v>162</v>
      </c>
      <c r="C171" s="142"/>
      <c r="D171" s="142"/>
      <c r="E171" s="108"/>
      <c r="F171" s="281" t="str">
        <f>IF(D171="","",VLOOKUP(D171,'G-6 Hedgerow Data'!$B$2:$AG$15,2,FALSE))</f>
        <v/>
      </c>
      <c r="G171" s="282" t="str">
        <f>IF(D171="","",VLOOKUP(D171,'G-6 Hedgerow Data'!$B$2:$AG$15,3,FALSE))</f>
        <v/>
      </c>
      <c r="H171" s="105"/>
      <c r="I171" s="282" t="str">
        <f>IFERROR(IF(AND(D171&lt;&gt;"",H171=""), "Check data ⚠",(IF(H171="","",IF(AND(D171="Non-native and ornamental hedgerow", H171&lt;&gt;"Poor"),"Not possible ▲", (IF(AND(F171="V.Low",OR(H171="Good",H171="Moderate")),"Error ▲",VLOOKUP(H171,'G-1 All Habitats'!$Z$2:$AA$9,2,FALSE))))))),"")</f>
        <v/>
      </c>
      <c r="J171" s="109"/>
      <c r="K171" s="301" t="str">
        <f>IF(AND(J171="",D171&lt;&gt;""),"Check data ⚠",IF(J171="","",IF(VLOOKUP(J171,'G-3 Multipliers'!$L$3:$N$6,2,FALSE)=0,"Spatial Data Missing ⚠",VLOOKUP(J171,'G-3 Multipliers'!$L$3:$N$6,2,FALSE))))</f>
        <v/>
      </c>
      <c r="L171" s="305" t="str">
        <f>IF(J171="","",IF(VLOOKUP(J171,'G-3 Multipliers'!$L$3:$N$6,3,FALSE)=0,"Spatial Data Missing ⚠",VLOOKUP(J171,'G-3 Multipliers'!$L$3:$N$6,3,FALSE)))</f>
        <v/>
      </c>
      <c r="M171" s="342" t="str">
        <f>IF(D171="","",VLOOKUP(D171,'G-6 Hedgerow Data'!$B$1:$AH$15,33,FALSE))</f>
        <v/>
      </c>
      <c r="N171" s="295" t="str">
        <f t="shared" si="20"/>
        <v/>
      </c>
      <c r="O171" s="403"/>
      <c r="P171" s="287" t="str">
        <f>IF(O171="","",IF(VLOOKUP(O171,'G-3 Multipliers'!$S$3:$T$10,2,FALSE)=0,"Spatial Data Missing ⚠",VLOOKUP(O171,'G-3 Multipliers'!$S$3:$T$10,2,FALSE)))</f>
        <v/>
      </c>
      <c r="Q171" s="295" t="str">
        <f t="shared" si="21"/>
        <v/>
      </c>
      <c r="R171" s="32"/>
      <c r="S171" s="105"/>
      <c r="T171" s="112"/>
      <c r="U171" s="289" t="str">
        <f t="shared" si="22"/>
        <v/>
      </c>
      <c r="V171" s="289" t="str">
        <f t="shared" si="23"/>
        <v/>
      </c>
      <c r="W171" s="293" t="str">
        <f t="shared" si="24"/>
        <v/>
      </c>
      <c r="X171" s="297" t="str">
        <f t="shared" si="25"/>
        <v/>
      </c>
      <c r="Y171" s="109"/>
      <c r="Z171" s="108"/>
      <c r="AA171" s="108"/>
      <c r="AB171" s="108"/>
      <c r="AE171" s="30" t="str">
        <f>IFERROR(INDEX('G-6 Hedgerow Data'!$BJ$3:$BJ$15,MATCH(D171,'G-6 Hedgerow Data'!$B$3:$B$15,0)),"")</f>
        <v/>
      </c>
      <c r="AH171" s="111" t="str">
        <f t="shared" si="18"/>
        <v/>
      </c>
      <c r="AI171" s="111" t="str">
        <f t="shared" si="19"/>
        <v/>
      </c>
      <c r="AK171" s="111">
        <v>162</v>
      </c>
      <c r="AM171" s="111" t="str">
        <f t="array" ref="AM171">IFERROR(INDEX($AK$10:$AK$258, MATCH(0, IF(TRUE=$AH$10:$AH$258, COUNTIF($AM$9:$AM170, $AK$10:$AK$258), ""), 0)),"")</f>
        <v/>
      </c>
      <c r="AN171" s="111" t="str">
        <f t="array" ref="AN171">IFERROR(INDEX($AK$10:$AK$258, MATCH(0, IF(TRUE=$AI$10:$AI$258, COUNTIF($AN$9:$AN170, $AK$10:$AK$258), ""), 0)),"")</f>
        <v/>
      </c>
      <c r="AY171" s="289" t="str">
        <f t="shared" si="26"/>
        <v/>
      </c>
    </row>
    <row r="172" spans="2:51" ht="13.8" x14ac:dyDescent="0.25">
      <c r="B172" s="101">
        <v>163</v>
      </c>
      <c r="C172" s="142"/>
      <c r="D172" s="142"/>
      <c r="E172" s="108"/>
      <c r="F172" s="281" t="str">
        <f>IF(D172="","",VLOOKUP(D172,'G-6 Hedgerow Data'!$B$2:$AG$15,2,FALSE))</f>
        <v/>
      </c>
      <c r="G172" s="282" t="str">
        <f>IF(D172="","",VLOOKUP(D172,'G-6 Hedgerow Data'!$B$2:$AG$15,3,FALSE))</f>
        <v/>
      </c>
      <c r="H172" s="105"/>
      <c r="I172" s="282" t="str">
        <f>IFERROR(IF(AND(D172&lt;&gt;"",H172=""), "Check data ⚠",(IF(H172="","",IF(AND(D172="Non-native and ornamental hedgerow", H172&lt;&gt;"Poor"),"Not possible ▲", (IF(AND(F172="V.Low",OR(H172="Good",H172="Moderate")),"Error ▲",VLOOKUP(H172,'G-1 All Habitats'!$Z$2:$AA$9,2,FALSE))))))),"")</f>
        <v/>
      </c>
      <c r="J172" s="109"/>
      <c r="K172" s="301" t="str">
        <f>IF(AND(J172="",D172&lt;&gt;""),"Check data ⚠",IF(J172="","",IF(VLOOKUP(J172,'G-3 Multipliers'!$L$3:$N$6,2,FALSE)=0,"Spatial Data Missing ⚠",VLOOKUP(J172,'G-3 Multipliers'!$L$3:$N$6,2,FALSE))))</f>
        <v/>
      </c>
      <c r="L172" s="305" t="str">
        <f>IF(J172="","",IF(VLOOKUP(J172,'G-3 Multipliers'!$L$3:$N$6,3,FALSE)=0,"Spatial Data Missing ⚠",VLOOKUP(J172,'G-3 Multipliers'!$L$3:$N$6,3,FALSE)))</f>
        <v/>
      </c>
      <c r="M172" s="342" t="str">
        <f>IF(D172="","",VLOOKUP(D172,'G-6 Hedgerow Data'!$B$1:$AH$15,33,FALSE))</f>
        <v/>
      </c>
      <c r="N172" s="295" t="str">
        <f t="shared" si="20"/>
        <v/>
      </c>
      <c r="O172" s="403"/>
      <c r="P172" s="287" t="str">
        <f>IF(O172="","",IF(VLOOKUP(O172,'G-3 Multipliers'!$S$3:$T$10,2,FALSE)=0,"Spatial Data Missing ⚠",VLOOKUP(O172,'G-3 Multipliers'!$S$3:$T$10,2,FALSE)))</f>
        <v/>
      </c>
      <c r="Q172" s="295" t="str">
        <f t="shared" si="21"/>
        <v/>
      </c>
      <c r="R172" s="32"/>
      <c r="S172" s="105"/>
      <c r="T172" s="112"/>
      <c r="U172" s="289" t="str">
        <f t="shared" si="22"/>
        <v/>
      </c>
      <c r="V172" s="289" t="str">
        <f t="shared" si="23"/>
        <v/>
      </c>
      <c r="W172" s="293" t="str">
        <f t="shared" si="24"/>
        <v/>
      </c>
      <c r="X172" s="297" t="str">
        <f t="shared" si="25"/>
        <v/>
      </c>
      <c r="Y172" s="109"/>
      <c r="Z172" s="108"/>
      <c r="AA172" s="108"/>
      <c r="AB172" s="108"/>
      <c r="AE172" s="30" t="str">
        <f>IFERROR(INDEX('G-6 Hedgerow Data'!$BJ$3:$BJ$15,MATCH(D172,'G-6 Hedgerow Data'!$B$3:$B$15,0)),"")</f>
        <v/>
      </c>
      <c r="AH172" s="111" t="str">
        <f t="shared" si="18"/>
        <v/>
      </c>
      <c r="AI172" s="111" t="str">
        <f t="shared" si="19"/>
        <v/>
      </c>
      <c r="AK172" s="111">
        <v>163</v>
      </c>
      <c r="AM172" s="111" t="str">
        <f t="array" ref="AM172">IFERROR(INDEX($AK$10:$AK$258, MATCH(0, IF(TRUE=$AH$10:$AH$258, COUNTIF($AM$9:$AM171, $AK$10:$AK$258), ""), 0)),"")</f>
        <v/>
      </c>
      <c r="AN172" s="111" t="str">
        <f t="array" ref="AN172">IFERROR(INDEX($AK$10:$AK$258, MATCH(0, IF(TRUE=$AI$10:$AI$258, COUNTIF($AN$9:$AN171, $AK$10:$AK$258), ""), 0)),"")</f>
        <v/>
      </c>
      <c r="AY172" s="289" t="str">
        <f t="shared" si="26"/>
        <v/>
      </c>
    </row>
    <row r="173" spans="2:51" ht="13.8" x14ac:dyDescent="0.25">
      <c r="B173" s="101">
        <v>164</v>
      </c>
      <c r="C173" s="142"/>
      <c r="D173" s="142"/>
      <c r="E173" s="108"/>
      <c r="F173" s="281" t="str">
        <f>IF(D173="","",VLOOKUP(D173,'G-6 Hedgerow Data'!$B$2:$AG$15,2,FALSE))</f>
        <v/>
      </c>
      <c r="G173" s="282" t="str">
        <f>IF(D173="","",VLOOKUP(D173,'G-6 Hedgerow Data'!$B$2:$AG$15,3,FALSE))</f>
        <v/>
      </c>
      <c r="H173" s="105"/>
      <c r="I173" s="282" t="str">
        <f>IFERROR(IF(AND(D173&lt;&gt;"",H173=""), "Check data ⚠",(IF(H173="","",IF(AND(D173="Non-native and ornamental hedgerow", H173&lt;&gt;"Poor"),"Not possible ▲", (IF(AND(F173="V.Low",OR(H173="Good",H173="Moderate")),"Error ▲",VLOOKUP(H173,'G-1 All Habitats'!$Z$2:$AA$9,2,FALSE))))))),"")</f>
        <v/>
      </c>
      <c r="J173" s="109"/>
      <c r="K173" s="301" t="str">
        <f>IF(AND(J173="",D173&lt;&gt;""),"Check data ⚠",IF(J173="","",IF(VLOOKUP(J173,'G-3 Multipliers'!$L$3:$N$6,2,FALSE)=0,"Spatial Data Missing ⚠",VLOOKUP(J173,'G-3 Multipliers'!$L$3:$N$6,2,FALSE))))</f>
        <v/>
      </c>
      <c r="L173" s="305" t="str">
        <f>IF(J173="","",IF(VLOOKUP(J173,'G-3 Multipliers'!$L$3:$N$6,3,FALSE)=0,"Spatial Data Missing ⚠",VLOOKUP(J173,'G-3 Multipliers'!$L$3:$N$6,3,FALSE)))</f>
        <v/>
      </c>
      <c r="M173" s="342" t="str">
        <f>IF(D173="","",VLOOKUP(D173,'G-6 Hedgerow Data'!$B$1:$AH$15,33,FALSE))</f>
        <v/>
      </c>
      <c r="N173" s="295" t="str">
        <f t="shared" si="20"/>
        <v/>
      </c>
      <c r="O173" s="403"/>
      <c r="P173" s="287" t="str">
        <f>IF(O173="","",IF(VLOOKUP(O173,'G-3 Multipliers'!$S$3:$T$10,2,FALSE)=0,"Spatial Data Missing ⚠",VLOOKUP(O173,'G-3 Multipliers'!$S$3:$T$10,2,FALSE)))</f>
        <v/>
      </c>
      <c r="Q173" s="295" t="str">
        <f t="shared" si="21"/>
        <v/>
      </c>
      <c r="R173" s="32"/>
      <c r="S173" s="105"/>
      <c r="T173" s="112"/>
      <c r="U173" s="289" t="str">
        <f t="shared" si="22"/>
        <v/>
      </c>
      <c r="V173" s="289" t="str">
        <f t="shared" si="23"/>
        <v/>
      </c>
      <c r="W173" s="293" t="str">
        <f t="shared" si="24"/>
        <v/>
      </c>
      <c r="X173" s="297" t="str">
        <f t="shared" si="25"/>
        <v/>
      </c>
      <c r="Y173" s="109"/>
      <c r="Z173" s="108"/>
      <c r="AA173" s="108"/>
      <c r="AB173" s="108"/>
      <c r="AE173" s="30" t="str">
        <f>IFERROR(INDEX('G-6 Hedgerow Data'!$BJ$3:$BJ$15,MATCH(D173,'G-6 Hedgerow Data'!$B$3:$B$15,0)),"")</f>
        <v/>
      </c>
      <c r="AH173" s="111" t="str">
        <f t="shared" si="18"/>
        <v/>
      </c>
      <c r="AI173" s="111" t="str">
        <f t="shared" si="19"/>
        <v/>
      </c>
      <c r="AK173" s="111">
        <v>164</v>
      </c>
      <c r="AM173" s="111" t="str">
        <f t="array" ref="AM173">IFERROR(INDEX($AK$10:$AK$258, MATCH(0, IF(TRUE=$AH$10:$AH$258, COUNTIF($AM$9:$AM172, $AK$10:$AK$258), ""), 0)),"")</f>
        <v/>
      </c>
      <c r="AN173" s="111" t="str">
        <f t="array" ref="AN173">IFERROR(INDEX($AK$10:$AK$258, MATCH(0, IF(TRUE=$AI$10:$AI$258, COUNTIF($AN$9:$AN172, $AK$10:$AK$258), ""), 0)),"")</f>
        <v/>
      </c>
      <c r="AY173" s="289" t="str">
        <f t="shared" si="26"/>
        <v/>
      </c>
    </row>
    <row r="174" spans="2:51" ht="13.8" x14ac:dyDescent="0.25">
      <c r="B174" s="101">
        <v>165</v>
      </c>
      <c r="C174" s="142"/>
      <c r="D174" s="142"/>
      <c r="E174" s="108"/>
      <c r="F174" s="281" t="str">
        <f>IF(D174="","",VLOOKUP(D174,'G-6 Hedgerow Data'!$B$2:$AG$15,2,FALSE))</f>
        <v/>
      </c>
      <c r="G174" s="282" t="str">
        <f>IF(D174="","",VLOOKUP(D174,'G-6 Hedgerow Data'!$B$2:$AG$15,3,FALSE))</f>
        <v/>
      </c>
      <c r="H174" s="105"/>
      <c r="I174" s="282" t="str">
        <f>IFERROR(IF(AND(D174&lt;&gt;"",H174=""), "Check data ⚠",(IF(H174="","",IF(AND(D174="Non-native and ornamental hedgerow", H174&lt;&gt;"Poor"),"Not possible ▲", (IF(AND(F174="V.Low",OR(H174="Good",H174="Moderate")),"Error ▲",VLOOKUP(H174,'G-1 All Habitats'!$Z$2:$AA$9,2,FALSE))))))),"")</f>
        <v/>
      </c>
      <c r="J174" s="109"/>
      <c r="K174" s="301" t="str">
        <f>IF(AND(J174="",D174&lt;&gt;""),"Check data ⚠",IF(J174="","",IF(VLOOKUP(J174,'G-3 Multipliers'!$L$3:$N$6,2,FALSE)=0,"Spatial Data Missing ⚠",VLOOKUP(J174,'G-3 Multipliers'!$L$3:$N$6,2,FALSE))))</f>
        <v/>
      </c>
      <c r="L174" s="305" t="str">
        <f>IF(J174="","",IF(VLOOKUP(J174,'G-3 Multipliers'!$L$3:$N$6,3,FALSE)=0,"Spatial Data Missing ⚠",VLOOKUP(J174,'G-3 Multipliers'!$L$3:$N$6,3,FALSE)))</f>
        <v/>
      </c>
      <c r="M174" s="342" t="str">
        <f>IF(D174="","",VLOOKUP(D174,'G-6 Hedgerow Data'!$B$1:$AH$15,33,FALSE))</f>
        <v/>
      </c>
      <c r="N174" s="295" t="str">
        <f t="shared" si="20"/>
        <v/>
      </c>
      <c r="O174" s="403"/>
      <c r="P174" s="287" t="str">
        <f>IF(O174="","",IF(VLOOKUP(O174,'G-3 Multipliers'!$S$3:$T$10,2,FALSE)=0,"Spatial Data Missing ⚠",VLOOKUP(O174,'G-3 Multipliers'!$S$3:$T$10,2,FALSE)))</f>
        <v/>
      </c>
      <c r="Q174" s="295" t="str">
        <f t="shared" si="21"/>
        <v/>
      </c>
      <c r="R174" s="32"/>
      <c r="S174" s="105"/>
      <c r="T174" s="112"/>
      <c r="U174" s="289" t="str">
        <f t="shared" si="22"/>
        <v/>
      </c>
      <c r="V174" s="289" t="str">
        <f t="shared" si="23"/>
        <v/>
      </c>
      <c r="W174" s="293" t="str">
        <f t="shared" si="24"/>
        <v/>
      </c>
      <c r="X174" s="297" t="str">
        <f t="shared" si="25"/>
        <v/>
      </c>
      <c r="Y174" s="109"/>
      <c r="Z174" s="108"/>
      <c r="AA174" s="108"/>
      <c r="AB174" s="108"/>
      <c r="AE174" s="30" t="str">
        <f>IFERROR(INDEX('G-6 Hedgerow Data'!$BJ$3:$BJ$15,MATCH(D174,'G-6 Hedgerow Data'!$B$3:$B$15,0)),"")</f>
        <v/>
      </c>
      <c r="AH174" s="111" t="str">
        <f t="shared" si="18"/>
        <v/>
      </c>
      <c r="AI174" s="111" t="str">
        <f t="shared" si="19"/>
        <v/>
      </c>
      <c r="AK174" s="111">
        <v>165</v>
      </c>
      <c r="AM174" s="111" t="str">
        <f t="array" ref="AM174">IFERROR(INDEX($AK$10:$AK$258, MATCH(0, IF(TRUE=$AH$10:$AH$258, COUNTIF($AM$9:$AM173, $AK$10:$AK$258), ""), 0)),"")</f>
        <v/>
      </c>
      <c r="AN174" s="111" t="str">
        <f t="array" ref="AN174">IFERROR(INDEX($AK$10:$AK$258, MATCH(0, IF(TRUE=$AI$10:$AI$258, COUNTIF($AN$9:$AN173, $AK$10:$AK$258), ""), 0)),"")</f>
        <v/>
      </c>
      <c r="AY174" s="289" t="str">
        <f t="shared" si="26"/>
        <v/>
      </c>
    </row>
    <row r="175" spans="2:51" ht="13.8" x14ac:dyDescent="0.25">
      <c r="B175" s="101">
        <v>166</v>
      </c>
      <c r="C175" s="142"/>
      <c r="D175" s="142"/>
      <c r="E175" s="108"/>
      <c r="F175" s="281" t="str">
        <f>IF(D175="","",VLOOKUP(D175,'G-6 Hedgerow Data'!$B$2:$AG$15,2,FALSE))</f>
        <v/>
      </c>
      <c r="G175" s="282" t="str">
        <f>IF(D175="","",VLOOKUP(D175,'G-6 Hedgerow Data'!$B$2:$AG$15,3,FALSE))</f>
        <v/>
      </c>
      <c r="H175" s="105"/>
      <c r="I175" s="282" t="str">
        <f>IFERROR(IF(AND(D175&lt;&gt;"",H175=""), "Check data ⚠",(IF(H175="","",IF(AND(D175="Non-native and ornamental hedgerow", H175&lt;&gt;"Poor"),"Not possible ▲", (IF(AND(F175="V.Low",OR(H175="Good",H175="Moderate")),"Error ▲",VLOOKUP(H175,'G-1 All Habitats'!$Z$2:$AA$9,2,FALSE))))))),"")</f>
        <v/>
      </c>
      <c r="J175" s="109"/>
      <c r="K175" s="301" t="str">
        <f>IF(AND(J175="",D175&lt;&gt;""),"Check data ⚠",IF(J175="","",IF(VLOOKUP(J175,'G-3 Multipliers'!$L$3:$N$6,2,FALSE)=0,"Spatial Data Missing ⚠",VLOOKUP(J175,'G-3 Multipliers'!$L$3:$N$6,2,FALSE))))</f>
        <v/>
      </c>
      <c r="L175" s="305" t="str">
        <f>IF(J175="","",IF(VLOOKUP(J175,'G-3 Multipliers'!$L$3:$N$6,3,FALSE)=0,"Spatial Data Missing ⚠",VLOOKUP(J175,'G-3 Multipliers'!$L$3:$N$6,3,FALSE)))</f>
        <v/>
      </c>
      <c r="M175" s="342" t="str">
        <f>IF(D175="","",VLOOKUP(D175,'G-6 Hedgerow Data'!$B$1:$AH$15,33,FALSE))</f>
        <v/>
      </c>
      <c r="N175" s="295" t="str">
        <f t="shared" si="20"/>
        <v/>
      </c>
      <c r="O175" s="403"/>
      <c r="P175" s="287" t="str">
        <f>IF(O175="","",IF(VLOOKUP(O175,'G-3 Multipliers'!$S$3:$T$10,2,FALSE)=0,"Spatial Data Missing ⚠",VLOOKUP(O175,'G-3 Multipliers'!$S$3:$T$10,2,FALSE)))</f>
        <v/>
      </c>
      <c r="Q175" s="295" t="str">
        <f t="shared" si="21"/>
        <v/>
      </c>
      <c r="R175" s="32"/>
      <c r="S175" s="105"/>
      <c r="T175" s="112"/>
      <c r="U175" s="289" t="str">
        <f t="shared" si="22"/>
        <v/>
      </c>
      <c r="V175" s="289" t="str">
        <f t="shared" si="23"/>
        <v/>
      </c>
      <c r="W175" s="293" t="str">
        <f t="shared" si="24"/>
        <v/>
      </c>
      <c r="X175" s="297" t="str">
        <f t="shared" si="25"/>
        <v/>
      </c>
      <c r="Y175" s="109"/>
      <c r="Z175" s="108"/>
      <c r="AA175" s="108"/>
      <c r="AB175" s="108"/>
      <c r="AE175" s="30" t="str">
        <f>IFERROR(INDEX('G-6 Hedgerow Data'!$BJ$3:$BJ$15,MATCH(D175,'G-6 Hedgerow Data'!$B$3:$B$15,0)),"")</f>
        <v/>
      </c>
      <c r="AH175" s="111" t="str">
        <f t="shared" si="18"/>
        <v/>
      </c>
      <c r="AI175" s="111" t="str">
        <f t="shared" si="19"/>
        <v/>
      </c>
      <c r="AK175" s="111">
        <v>166</v>
      </c>
      <c r="AM175" s="111" t="str">
        <f t="array" ref="AM175">IFERROR(INDEX($AK$10:$AK$258, MATCH(0, IF(TRUE=$AH$10:$AH$258, COUNTIF($AM$9:$AM174, $AK$10:$AK$258), ""), 0)),"")</f>
        <v/>
      </c>
      <c r="AN175" s="111" t="str">
        <f t="array" ref="AN175">IFERROR(INDEX($AK$10:$AK$258, MATCH(0, IF(TRUE=$AI$10:$AI$258, COUNTIF($AN$9:$AN174, $AK$10:$AK$258), ""), 0)),"")</f>
        <v/>
      </c>
      <c r="AY175" s="289" t="str">
        <f t="shared" si="26"/>
        <v/>
      </c>
    </row>
    <row r="176" spans="2:51" ht="13.8" x14ac:dyDescent="0.25">
      <c r="B176" s="101">
        <v>167</v>
      </c>
      <c r="C176" s="142"/>
      <c r="D176" s="142"/>
      <c r="E176" s="108"/>
      <c r="F176" s="281" t="str">
        <f>IF(D176="","",VLOOKUP(D176,'G-6 Hedgerow Data'!$B$2:$AG$15,2,FALSE))</f>
        <v/>
      </c>
      <c r="G176" s="282" t="str">
        <f>IF(D176="","",VLOOKUP(D176,'G-6 Hedgerow Data'!$B$2:$AG$15,3,FALSE))</f>
        <v/>
      </c>
      <c r="H176" s="105"/>
      <c r="I176" s="282" t="str">
        <f>IFERROR(IF(AND(D176&lt;&gt;"",H176=""), "Check data ⚠",(IF(H176="","",IF(AND(D176="Non-native and ornamental hedgerow", H176&lt;&gt;"Poor"),"Not possible ▲", (IF(AND(F176="V.Low",OR(H176="Good",H176="Moderate")),"Error ▲",VLOOKUP(H176,'G-1 All Habitats'!$Z$2:$AA$9,2,FALSE))))))),"")</f>
        <v/>
      </c>
      <c r="J176" s="109"/>
      <c r="K176" s="301" t="str">
        <f>IF(AND(J176="",D176&lt;&gt;""),"Check data ⚠",IF(J176="","",IF(VLOOKUP(J176,'G-3 Multipliers'!$L$3:$N$6,2,FALSE)=0,"Spatial Data Missing ⚠",VLOOKUP(J176,'G-3 Multipliers'!$L$3:$N$6,2,FALSE))))</f>
        <v/>
      </c>
      <c r="L176" s="305" t="str">
        <f>IF(J176="","",IF(VLOOKUP(J176,'G-3 Multipliers'!$L$3:$N$6,3,FALSE)=0,"Spatial Data Missing ⚠",VLOOKUP(J176,'G-3 Multipliers'!$L$3:$N$6,3,FALSE)))</f>
        <v/>
      </c>
      <c r="M176" s="342" t="str">
        <f>IF(D176="","",VLOOKUP(D176,'G-6 Hedgerow Data'!$B$1:$AH$15,33,FALSE))</f>
        <v/>
      </c>
      <c r="N176" s="295" t="str">
        <f t="shared" si="20"/>
        <v/>
      </c>
      <c r="O176" s="403"/>
      <c r="P176" s="287" t="str">
        <f>IF(O176="","",IF(VLOOKUP(O176,'G-3 Multipliers'!$S$3:$T$10,2,FALSE)=0,"Spatial Data Missing ⚠",VLOOKUP(O176,'G-3 Multipliers'!$S$3:$T$10,2,FALSE)))</f>
        <v/>
      </c>
      <c r="Q176" s="295" t="str">
        <f t="shared" si="21"/>
        <v/>
      </c>
      <c r="R176" s="32"/>
      <c r="S176" s="105"/>
      <c r="T176" s="112"/>
      <c r="U176" s="289" t="str">
        <f t="shared" si="22"/>
        <v/>
      </c>
      <c r="V176" s="289" t="str">
        <f t="shared" si="23"/>
        <v/>
      </c>
      <c r="W176" s="293" t="str">
        <f t="shared" si="24"/>
        <v/>
      </c>
      <c r="X176" s="297" t="str">
        <f t="shared" si="25"/>
        <v/>
      </c>
      <c r="Y176" s="109"/>
      <c r="Z176" s="108"/>
      <c r="AA176" s="108"/>
      <c r="AB176" s="108"/>
      <c r="AE176" s="30" t="str">
        <f>IFERROR(INDEX('G-6 Hedgerow Data'!$BJ$3:$BJ$15,MATCH(D176,'G-6 Hedgerow Data'!$B$3:$B$15,0)),"")</f>
        <v/>
      </c>
      <c r="AH176" s="111" t="str">
        <f t="shared" si="18"/>
        <v/>
      </c>
      <c r="AI176" s="111" t="str">
        <f t="shared" si="19"/>
        <v/>
      </c>
      <c r="AK176" s="111">
        <v>167</v>
      </c>
      <c r="AM176" s="111" t="str">
        <f t="array" ref="AM176">IFERROR(INDEX($AK$10:$AK$258, MATCH(0, IF(TRUE=$AH$10:$AH$258, COUNTIF($AM$9:$AM175, $AK$10:$AK$258), ""), 0)),"")</f>
        <v/>
      </c>
      <c r="AN176" s="111" t="str">
        <f t="array" ref="AN176">IFERROR(INDEX($AK$10:$AK$258, MATCH(0, IF(TRUE=$AI$10:$AI$258, COUNTIF($AN$9:$AN175, $AK$10:$AK$258), ""), 0)),"")</f>
        <v/>
      </c>
      <c r="AY176" s="289" t="str">
        <f t="shared" si="26"/>
        <v/>
      </c>
    </row>
    <row r="177" spans="2:51" ht="13.8" x14ac:dyDescent="0.25">
      <c r="B177" s="101">
        <v>168</v>
      </c>
      <c r="C177" s="142"/>
      <c r="D177" s="142"/>
      <c r="E177" s="108"/>
      <c r="F177" s="281" t="str">
        <f>IF(D177="","",VLOOKUP(D177,'G-6 Hedgerow Data'!$B$2:$AG$15,2,FALSE))</f>
        <v/>
      </c>
      <c r="G177" s="282" t="str">
        <f>IF(D177="","",VLOOKUP(D177,'G-6 Hedgerow Data'!$B$2:$AG$15,3,FALSE))</f>
        <v/>
      </c>
      <c r="H177" s="105"/>
      <c r="I177" s="282" t="str">
        <f>IFERROR(IF(AND(D177&lt;&gt;"",H177=""), "Check data ⚠",(IF(H177="","",IF(AND(D177="Non-native and ornamental hedgerow", H177&lt;&gt;"Poor"),"Not possible ▲", (IF(AND(F177="V.Low",OR(H177="Good",H177="Moderate")),"Error ▲",VLOOKUP(H177,'G-1 All Habitats'!$Z$2:$AA$9,2,FALSE))))))),"")</f>
        <v/>
      </c>
      <c r="J177" s="109"/>
      <c r="K177" s="301" t="str">
        <f>IF(AND(J177="",D177&lt;&gt;""),"Check data ⚠",IF(J177="","",IF(VLOOKUP(J177,'G-3 Multipliers'!$L$3:$N$6,2,FALSE)=0,"Spatial Data Missing ⚠",VLOOKUP(J177,'G-3 Multipliers'!$L$3:$N$6,2,FALSE))))</f>
        <v/>
      </c>
      <c r="L177" s="305" t="str">
        <f>IF(J177="","",IF(VLOOKUP(J177,'G-3 Multipliers'!$L$3:$N$6,3,FALSE)=0,"Spatial Data Missing ⚠",VLOOKUP(J177,'G-3 Multipliers'!$L$3:$N$6,3,FALSE)))</f>
        <v/>
      </c>
      <c r="M177" s="342" t="str">
        <f>IF(D177="","",VLOOKUP(D177,'G-6 Hedgerow Data'!$B$1:$AH$15,33,FALSE))</f>
        <v/>
      </c>
      <c r="N177" s="295" t="str">
        <f t="shared" si="20"/>
        <v/>
      </c>
      <c r="O177" s="403"/>
      <c r="P177" s="287" t="str">
        <f>IF(O177="","",IF(VLOOKUP(O177,'G-3 Multipliers'!$S$3:$T$10,2,FALSE)=0,"Spatial Data Missing ⚠",VLOOKUP(O177,'G-3 Multipliers'!$S$3:$T$10,2,FALSE)))</f>
        <v/>
      </c>
      <c r="Q177" s="295" t="str">
        <f t="shared" si="21"/>
        <v/>
      </c>
      <c r="R177" s="32"/>
      <c r="S177" s="105"/>
      <c r="T177" s="112"/>
      <c r="U177" s="289" t="str">
        <f t="shared" si="22"/>
        <v/>
      </c>
      <c r="V177" s="289" t="str">
        <f t="shared" si="23"/>
        <v/>
      </c>
      <c r="W177" s="293" t="str">
        <f t="shared" si="24"/>
        <v/>
      </c>
      <c r="X177" s="297" t="str">
        <f t="shared" si="25"/>
        <v/>
      </c>
      <c r="Y177" s="109"/>
      <c r="Z177" s="108"/>
      <c r="AA177" s="108"/>
      <c r="AB177" s="108"/>
      <c r="AE177" s="30" t="str">
        <f>IFERROR(INDEX('G-6 Hedgerow Data'!$BJ$3:$BJ$15,MATCH(D177,'G-6 Hedgerow Data'!$B$3:$B$15,0)),"")</f>
        <v/>
      </c>
      <c r="AH177" s="111" t="str">
        <f t="shared" si="18"/>
        <v/>
      </c>
      <c r="AI177" s="111" t="str">
        <f t="shared" si="19"/>
        <v/>
      </c>
      <c r="AK177" s="111">
        <v>168</v>
      </c>
      <c r="AM177" s="111" t="str">
        <f t="array" ref="AM177">IFERROR(INDEX($AK$10:$AK$258, MATCH(0, IF(TRUE=$AH$10:$AH$258, COUNTIF($AM$9:$AM176, $AK$10:$AK$258), ""), 0)),"")</f>
        <v/>
      </c>
      <c r="AN177" s="111" t="str">
        <f t="array" ref="AN177">IFERROR(INDEX($AK$10:$AK$258, MATCH(0, IF(TRUE=$AI$10:$AI$258, COUNTIF($AN$9:$AN176, $AK$10:$AK$258), ""), 0)),"")</f>
        <v/>
      </c>
      <c r="AY177" s="289" t="str">
        <f t="shared" si="26"/>
        <v/>
      </c>
    </row>
    <row r="178" spans="2:51" ht="13.8" x14ac:dyDescent="0.25">
      <c r="B178" s="101">
        <v>169</v>
      </c>
      <c r="C178" s="142"/>
      <c r="D178" s="142"/>
      <c r="E178" s="108"/>
      <c r="F178" s="281" t="str">
        <f>IF(D178="","",VLOOKUP(D178,'G-6 Hedgerow Data'!$B$2:$AG$15,2,FALSE))</f>
        <v/>
      </c>
      <c r="G178" s="282" t="str">
        <f>IF(D178="","",VLOOKUP(D178,'G-6 Hedgerow Data'!$B$2:$AG$15,3,FALSE))</f>
        <v/>
      </c>
      <c r="H178" s="105"/>
      <c r="I178" s="282" t="str">
        <f>IFERROR(IF(AND(D178&lt;&gt;"",H178=""), "Check data ⚠",(IF(H178="","",IF(AND(D178="Non-native and ornamental hedgerow", H178&lt;&gt;"Poor"),"Not possible ▲", (IF(AND(F178="V.Low",OR(H178="Good",H178="Moderate")),"Error ▲",VLOOKUP(H178,'G-1 All Habitats'!$Z$2:$AA$9,2,FALSE))))))),"")</f>
        <v/>
      </c>
      <c r="J178" s="109"/>
      <c r="K178" s="301" t="str">
        <f>IF(AND(J178="",D178&lt;&gt;""),"Check data ⚠",IF(J178="","",IF(VLOOKUP(J178,'G-3 Multipliers'!$L$3:$N$6,2,FALSE)=0,"Spatial Data Missing ⚠",VLOOKUP(J178,'G-3 Multipliers'!$L$3:$N$6,2,FALSE))))</f>
        <v/>
      </c>
      <c r="L178" s="305" t="str">
        <f>IF(J178="","",IF(VLOOKUP(J178,'G-3 Multipliers'!$L$3:$N$6,3,FALSE)=0,"Spatial Data Missing ⚠",VLOOKUP(J178,'G-3 Multipliers'!$L$3:$N$6,3,FALSE)))</f>
        <v/>
      </c>
      <c r="M178" s="342" t="str">
        <f>IF(D178="","",VLOOKUP(D178,'G-6 Hedgerow Data'!$B$1:$AH$15,33,FALSE))</f>
        <v/>
      </c>
      <c r="N178" s="295" t="str">
        <f t="shared" si="20"/>
        <v/>
      </c>
      <c r="O178" s="403"/>
      <c r="P178" s="287" t="str">
        <f>IF(O178="","",IF(VLOOKUP(O178,'G-3 Multipliers'!$S$3:$T$10,2,FALSE)=0,"Spatial Data Missing ⚠",VLOOKUP(O178,'G-3 Multipliers'!$S$3:$T$10,2,FALSE)))</f>
        <v/>
      </c>
      <c r="Q178" s="295" t="str">
        <f t="shared" si="21"/>
        <v/>
      </c>
      <c r="R178" s="32"/>
      <c r="S178" s="105"/>
      <c r="T178" s="112"/>
      <c r="U178" s="289" t="str">
        <f t="shared" si="22"/>
        <v/>
      </c>
      <c r="V178" s="289" t="str">
        <f t="shared" si="23"/>
        <v/>
      </c>
      <c r="W178" s="293" t="str">
        <f t="shared" si="24"/>
        <v/>
      </c>
      <c r="X178" s="297" t="str">
        <f t="shared" si="25"/>
        <v/>
      </c>
      <c r="Y178" s="109"/>
      <c r="Z178" s="108"/>
      <c r="AA178" s="108"/>
      <c r="AB178" s="108"/>
      <c r="AE178" s="30" t="str">
        <f>IFERROR(INDEX('G-6 Hedgerow Data'!$BJ$3:$BJ$15,MATCH(D178,'G-6 Hedgerow Data'!$B$3:$B$15,0)),"")</f>
        <v/>
      </c>
      <c r="AH178" s="111" t="str">
        <f t="shared" si="18"/>
        <v/>
      </c>
      <c r="AI178" s="111" t="str">
        <f t="shared" si="19"/>
        <v/>
      </c>
      <c r="AK178" s="111">
        <v>169</v>
      </c>
      <c r="AM178" s="111" t="str">
        <f t="array" ref="AM178">IFERROR(INDEX($AK$10:$AK$258, MATCH(0, IF(TRUE=$AH$10:$AH$258, COUNTIF($AM$9:$AM177, $AK$10:$AK$258), ""), 0)),"")</f>
        <v/>
      </c>
      <c r="AN178" s="111" t="str">
        <f t="array" ref="AN178">IFERROR(INDEX($AK$10:$AK$258, MATCH(0, IF(TRUE=$AI$10:$AI$258, COUNTIF($AN$9:$AN177, $AK$10:$AK$258), ""), 0)),"")</f>
        <v/>
      </c>
      <c r="AY178" s="289" t="str">
        <f t="shared" si="26"/>
        <v/>
      </c>
    </row>
    <row r="179" spans="2:51" ht="13.8" x14ac:dyDescent="0.25">
      <c r="B179" s="101">
        <v>170</v>
      </c>
      <c r="C179" s="142"/>
      <c r="D179" s="142"/>
      <c r="E179" s="108"/>
      <c r="F179" s="281" t="str">
        <f>IF(D179="","",VLOOKUP(D179,'G-6 Hedgerow Data'!$B$2:$AG$15,2,FALSE))</f>
        <v/>
      </c>
      <c r="G179" s="282" t="str">
        <f>IF(D179="","",VLOOKUP(D179,'G-6 Hedgerow Data'!$B$2:$AG$15,3,FALSE))</f>
        <v/>
      </c>
      <c r="H179" s="105"/>
      <c r="I179" s="282" t="str">
        <f>IFERROR(IF(AND(D179&lt;&gt;"",H179=""), "Check data ⚠",(IF(H179="","",IF(AND(D179="Non-native and ornamental hedgerow", H179&lt;&gt;"Poor"),"Not possible ▲", (IF(AND(F179="V.Low",OR(H179="Good",H179="Moderate")),"Error ▲",VLOOKUP(H179,'G-1 All Habitats'!$Z$2:$AA$9,2,FALSE))))))),"")</f>
        <v/>
      </c>
      <c r="J179" s="109"/>
      <c r="K179" s="301" t="str">
        <f>IF(AND(J179="",D179&lt;&gt;""),"Check data ⚠",IF(J179="","",IF(VLOOKUP(J179,'G-3 Multipliers'!$L$3:$N$6,2,FALSE)=0,"Spatial Data Missing ⚠",VLOOKUP(J179,'G-3 Multipliers'!$L$3:$N$6,2,FALSE))))</f>
        <v/>
      </c>
      <c r="L179" s="305" t="str">
        <f>IF(J179="","",IF(VLOOKUP(J179,'G-3 Multipliers'!$L$3:$N$6,3,FALSE)=0,"Spatial Data Missing ⚠",VLOOKUP(J179,'G-3 Multipliers'!$L$3:$N$6,3,FALSE)))</f>
        <v/>
      </c>
      <c r="M179" s="342" t="str">
        <f>IF(D179="","",VLOOKUP(D179,'G-6 Hedgerow Data'!$B$1:$AH$15,33,FALSE))</f>
        <v/>
      </c>
      <c r="N179" s="295" t="str">
        <f t="shared" si="20"/>
        <v/>
      </c>
      <c r="O179" s="403"/>
      <c r="P179" s="287" t="str">
        <f>IF(O179="","",IF(VLOOKUP(O179,'G-3 Multipliers'!$S$3:$T$10,2,FALSE)=0,"Spatial Data Missing ⚠",VLOOKUP(O179,'G-3 Multipliers'!$S$3:$T$10,2,FALSE)))</f>
        <v/>
      </c>
      <c r="Q179" s="295" t="str">
        <f t="shared" si="21"/>
        <v/>
      </c>
      <c r="R179" s="32"/>
      <c r="S179" s="105"/>
      <c r="T179" s="112"/>
      <c r="U179" s="289" t="str">
        <f t="shared" si="22"/>
        <v/>
      </c>
      <c r="V179" s="289" t="str">
        <f t="shared" si="23"/>
        <v/>
      </c>
      <c r="W179" s="293" t="str">
        <f t="shared" si="24"/>
        <v/>
      </c>
      <c r="X179" s="297" t="str">
        <f t="shared" si="25"/>
        <v/>
      </c>
      <c r="Y179" s="109"/>
      <c r="Z179" s="108"/>
      <c r="AA179" s="108"/>
      <c r="AB179" s="108"/>
      <c r="AE179" s="30" t="str">
        <f>IFERROR(INDEX('G-6 Hedgerow Data'!$BJ$3:$BJ$15,MATCH(D179,'G-6 Hedgerow Data'!$B$3:$B$15,0)),"")</f>
        <v/>
      </c>
      <c r="AH179" s="111" t="str">
        <f t="shared" si="18"/>
        <v/>
      </c>
      <c r="AI179" s="111" t="str">
        <f t="shared" si="19"/>
        <v/>
      </c>
      <c r="AK179" s="111">
        <v>170</v>
      </c>
      <c r="AM179" s="111" t="str">
        <f t="array" ref="AM179">IFERROR(INDEX($AK$10:$AK$258, MATCH(0, IF(TRUE=$AH$10:$AH$258, COUNTIF($AM$9:$AM178, $AK$10:$AK$258), ""), 0)),"")</f>
        <v/>
      </c>
      <c r="AN179" s="111" t="str">
        <f t="array" ref="AN179">IFERROR(INDEX($AK$10:$AK$258, MATCH(0, IF(TRUE=$AI$10:$AI$258, COUNTIF($AN$9:$AN178, $AK$10:$AK$258), ""), 0)),"")</f>
        <v/>
      </c>
      <c r="AY179" s="289" t="str">
        <f t="shared" si="26"/>
        <v/>
      </c>
    </row>
    <row r="180" spans="2:51" ht="13.8" x14ac:dyDescent="0.25">
      <c r="B180" s="101">
        <v>171</v>
      </c>
      <c r="C180" s="142"/>
      <c r="D180" s="142"/>
      <c r="E180" s="108"/>
      <c r="F180" s="281" t="str">
        <f>IF(D180="","",VLOOKUP(D180,'G-6 Hedgerow Data'!$B$2:$AG$15,2,FALSE))</f>
        <v/>
      </c>
      <c r="G180" s="282" t="str">
        <f>IF(D180="","",VLOOKUP(D180,'G-6 Hedgerow Data'!$B$2:$AG$15,3,FALSE))</f>
        <v/>
      </c>
      <c r="H180" s="105"/>
      <c r="I180" s="282" t="str">
        <f>IFERROR(IF(AND(D180&lt;&gt;"",H180=""), "Check data ⚠",(IF(H180="","",IF(AND(D180="Non-native and ornamental hedgerow", H180&lt;&gt;"Poor"),"Not possible ▲", (IF(AND(F180="V.Low",OR(H180="Good",H180="Moderate")),"Error ▲",VLOOKUP(H180,'G-1 All Habitats'!$Z$2:$AA$9,2,FALSE))))))),"")</f>
        <v/>
      </c>
      <c r="J180" s="109"/>
      <c r="K180" s="301" t="str">
        <f>IF(AND(J180="",D180&lt;&gt;""),"Check data ⚠",IF(J180="","",IF(VLOOKUP(J180,'G-3 Multipliers'!$L$3:$N$6,2,FALSE)=0,"Spatial Data Missing ⚠",VLOOKUP(J180,'G-3 Multipliers'!$L$3:$N$6,2,FALSE))))</f>
        <v/>
      </c>
      <c r="L180" s="305" t="str">
        <f>IF(J180="","",IF(VLOOKUP(J180,'G-3 Multipliers'!$L$3:$N$6,3,FALSE)=0,"Spatial Data Missing ⚠",VLOOKUP(J180,'G-3 Multipliers'!$L$3:$N$6,3,FALSE)))</f>
        <v/>
      </c>
      <c r="M180" s="342" t="str">
        <f>IF(D180="","",VLOOKUP(D180,'G-6 Hedgerow Data'!$B$1:$AH$15,33,FALSE))</f>
        <v/>
      </c>
      <c r="N180" s="295" t="str">
        <f t="shared" si="20"/>
        <v/>
      </c>
      <c r="O180" s="403"/>
      <c r="P180" s="287" t="str">
        <f>IF(O180="","",IF(VLOOKUP(O180,'G-3 Multipliers'!$S$3:$T$10,2,FALSE)=0,"Spatial Data Missing ⚠",VLOOKUP(O180,'G-3 Multipliers'!$S$3:$T$10,2,FALSE)))</f>
        <v/>
      </c>
      <c r="Q180" s="295" t="str">
        <f t="shared" si="21"/>
        <v/>
      </c>
      <c r="R180" s="32"/>
      <c r="S180" s="105"/>
      <c r="T180" s="112"/>
      <c r="U180" s="289" t="str">
        <f t="shared" si="22"/>
        <v/>
      </c>
      <c r="V180" s="289" t="str">
        <f t="shared" si="23"/>
        <v/>
      </c>
      <c r="W180" s="293" t="str">
        <f t="shared" si="24"/>
        <v/>
      </c>
      <c r="X180" s="297" t="str">
        <f t="shared" si="25"/>
        <v/>
      </c>
      <c r="Y180" s="109"/>
      <c r="Z180" s="108"/>
      <c r="AA180" s="108"/>
      <c r="AB180" s="108"/>
      <c r="AE180" s="30" t="str">
        <f>IFERROR(INDEX('G-6 Hedgerow Data'!$BJ$3:$BJ$15,MATCH(D180,'G-6 Hedgerow Data'!$B$3:$B$15,0)),"")</f>
        <v/>
      </c>
      <c r="AH180" s="111" t="str">
        <f t="shared" si="18"/>
        <v/>
      </c>
      <c r="AI180" s="111" t="str">
        <f t="shared" si="19"/>
        <v/>
      </c>
      <c r="AK180" s="111">
        <v>171</v>
      </c>
      <c r="AM180" s="111" t="str">
        <f t="array" ref="AM180">IFERROR(INDEX($AK$10:$AK$258, MATCH(0, IF(TRUE=$AH$10:$AH$258, COUNTIF($AM$9:$AM179, $AK$10:$AK$258), ""), 0)),"")</f>
        <v/>
      </c>
      <c r="AN180" s="111" t="str">
        <f t="array" ref="AN180">IFERROR(INDEX($AK$10:$AK$258, MATCH(0, IF(TRUE=$AI$10:$AI$258, COUNTIF($AN$9:$AN179, $AK$10:$AK$258), ""), 0)),"")</f>
        <v/>
      </c>
      <c r="AY180" s="289" t="str">
        <f t="shared" si="26"/>
        <v/>
      </c>
    </row>
    <row r="181" spans="2:51" ht="13.8" x14ac:dyDescent="0.25">
      <c r="B181" s="101">
        <v>172</v>
      </c>
      <c r="C181" s="142"/>
      <c r="D181" s="142"/>
      <c r="E181" s="108"/>
      <c r="F181" s="281" t="str">
        <f>IF(D181="","",VLOOKUP(D181,'G-6 Hedgerow Data'!$B$2:$AG$15,2,FALSE))</f>
        <v/>
      </c>
      <c r="G181" s="282" t="str">
        <f>IF(D181="","",VLOOKUP(D181,'G-6 Hedgerow Data'!$B$2:$AG$15,3,FALSE))</f>
        <v/>
      </c>
      <c r="H181" s="105"/>
      <c r="I181" s="282" t="str">
        <f>IFERROR(IF(AND(D181&lt;&gt;"",H181=""), "Check data ⚠",(IF(H181="","",IF(AND(D181="Non-native and ornamental hedgerow", H181&lt;&gt;"Poor"),"Not possible ▲", (IF(AND(F181="V.Low",OR(H181="Good",H181="Moderate")),"Error ▲",VLOOKUP(H181,'G-1 All Habitats'!$Z$2:$AA$9,2,FALSE))))))),"")</f>
        <v/>
      </c>
      <c r="J181" s="109"/>
      <c r="K181" s="301" t="str">
        <f>IF(AND(J181="",D181&lt;&gt;""),"Check data ⚠",IF(J181="","",IF(VLOOKUP(J181,'G-3 Multipliers'!$L$3:$N$6,2,FALSE)=0,"Spatial Data Missing ⚠",VLOOKUP(J181,'G-3 Multipliers'!$L$3:$N$6,2,FALSE))))</f>
        <v/>
      </c>
      <c r="L181" s="305" t="str">
        <f>IF(J181="","",IF(VLOOKUP(J181,'G-3 Multipliers'!$L$3:$N$6,3,FALSE)=0,"Spatial Data Missing ⚠",VLOOKUP(J181,'G-3 Multipliers'!$L$3:$N$6,3,FALSE)))</f>
        <v/>
      </c>
      <c r="M181" s="342" t="str">
        <f>IF(D181="","",VLOOKUP(D181,'G-6 Hedgerow Data'!$B$1:$AH$15,33,FALSE))</f>
        <v/>
      </c>
      <c r="N181" s="295" t="str">
        <f t="shared" si="20"/>
        <v/>
      </c>
      <c r="O181" s="403"/>
      <c r="P181" s="287" t="str">
        <f>IF(O181="","",IF(VLOOKUP(O181,'G-3 Multipliers'!$S$3:$T$10,2,FALSE)=0,"Spatial Data Missing ⚠",VLOOKUP(O181,'G-3 Multipliers'!$S$3:$T$10,2,FALSE)))</f>
        <v/>
      </c>
      <c r="Q181" s="295" t="str">
        <f t="shared" si="21"/>
        <v/>
      </c>
      <c r="R181" s="32"/>
      <c r="S181" s="105"/>
      <c r="T181" s="112"/>
      <c r="U181" s="289" t="str">
        <f t="shared" si="22"/>
        <v/>
      </c>
      <c r="V181" s="289" t="str">
        <f t="shared" si="23"/>
        <v/>
      </c>
      <c r="W181" s="293" t="str">
        <f t="shared" si="24"/>
        <v/>
      </c>
      <c r="X181" s="297" t="str">
        <f t="shared" si="25"/>
        <v/>
      </c>
      <c r="Y181" s="109"/>
      <c r="Z181" s="108"/>
      <c r="AA181" s="108"/>
      <c r="AB181" s="108"/>
      <c r="AE181" s="30" t="str">
        <f>IFERROR(INDEX('G-6 Hedgerow Data'!$BJ$3:$BJ$15,MATCH(D181,'G-6 Hedgerow Data'!$B$3:$B$15,0)),"")</f>
        <v/>
      </c>
      <c r="AH181" s="111" t="str">
        <f t="shared" si="18"/>
        <v/>
      </c>
      <c r="AI181" s="111" t="str">
        <f t="shared" si="19"/>
        <v/>
      </c>
      <c r="AK181" s="111">
        <v>172</v>
      </c>
      <c r="AM181" s="111" t="str">
        <f t="array" ref="AM181">IFERROR(INDEX($AK$10:$AK$258, MATCH(0, IF(TRUE=$AH$10:$AH$258, COUNTIF($AM$9:$AM180, $AK$10:$AK$258), ""), 0)),"")</f>
        <v/>
      </c>
      <c r="AN181" s="111" t="str">
        <f t="array" ref="AN181">IFERROR(INDEX($AK$10:$AK$258, MATCH(0, IF(TRUE=$AI$10:$AI$258, COUNTIF($AN$9:$AN180, $AK$10:$AK$258), ""), 0)),"")</f>
        <v/>
      </c>
      <c r="AY181" s="289" t="str">
        <f t="shared" si="26"/>
        <v/>
      </c>
    </row>
    <row r="182" spans="2:51" ht="13.8" x14ac:dyDescent="0.25">
      <c r="B182" s="101">
        <v>173</v>
      </c>
      <c r="C182" s="142"/>
      <c r="D182" s="142"/>
      <c r="E182" s="108"/>
      <c r="F182" s="281" t="str">
        <f>IF(D182="","",VLOOKUP(D182,'G-6 Hedgerow Data'!$B$2:$AG$15,2,FALSE))</f>
        <v/>
      </c>
      <c r="G182" s="282" t="str">
        <f>IF(D182="","",VLOOKUP(D182,'G-6 Hedgerow Data'!$B$2:$AG$15,3,FALSE))</f>
        <v/>
      </c>
      <c r="H182" s="105"/>
      <c r="I182" s="282" t="str">
        <f>IFERROR(IF(AND(D182&lt;&gt;"",H182=""), "Check data ⚠",(IF(H182="","",IF(AND(D182="Non-native and ornamental hedgerow", H182&lt;&gt;"Poor"),"Not possible ▲", (IF(AND(F182="V.Low",OR(H182="Good",H182="Moderate")),"Error ▲",VLOOKUP(H182,'G-1 All Habitats'!$Z$2:$AA$9,2,FALSE))))))),"")</f>
        <v/>
      </c>
      <c r="J182" s="109"/>
      <c r="K182" s="301" t="str">
        <f>IF(AND(J182="",D182&lt;&gt;""),"Check data ⚠",IF(J182="","",IF(VLOOKUP(J182,'G-3 Multipliers'!$L$3:$N$6,2,FALSE)=0,"Spatial Data Missing ⚠",VLOOKUP(J182,'G-3 Multipliers'!$L$3:$N$6,2,FALSE))))</f>
        <v/>
      </c>
      <c r="L182" s="305" t="str">
        <f>IF(J182="","",IF(VLOOKUP(J182,'G-3 Multipliers'!$L$3:$N$6,3,FALSE)=0,"Spatial Data Missing ⚠",VLOOKUP(J182,'G-3 Multipliers'!$L$3:$N$6,3,FALSE)))</f>
        <v/>
      </c>
      <c r="M182" s="342" t="str">
        <f>IF(D182="","",VLOOKUP(D182,'G-6 Hedgerow Data'!$B$1:$AH$15,33,FALSE))</f>
        <v/>
      </c>
      <c r="N182" s="295" t="str">
        <f t="shared" si="20"/>
        <v/>
      </c>
      <c r="O182" s="403"/>
      <c r="P182" s="287" t="str">
        <f>IF(O182="","",IF(VLOOKUP(O182,'G-3 Multipliers'!$S$3:$T$10,2,FALSE)=0,"Spatial Data Missing ⚠",VLOOKUP(O182,'G-3 Multipliers'!$S$3:$T$10,2,FALSE)))</f>
        <v/>
      </c>
      <c r="Q182" s="295" t="str">
        <f t="shared" si="21"/>
        <v/>
      </c>
      <c r="R182" s="32"/>
      <c r="S182" s="105"/>
      <c r="T182" s="112"/>
      <c r="U182" s="289" t="str">
        <f t="shared" si="22"/>
        <v/>
      </c>
      <c r="V182" s="289" t="str">
        <f t="shared" si="23"/>
        <v/>
      </c>
      <c r="W182" s="293" t="str">
        <f t="shared" si="24"/>
        <v/>
      </c>
      <c r="X182" s="297" t="str">
        <f t="shared" si="25"/>
        <v/>
      </c>
      <c r="Y182" s="109"/>
      <c r="Z182" s="108"/>
      <c r="AA182" s="108"/>
      <c r="AB182" s="108"/>
      <c r="AE182" s="30" t="str">
        <f>IFERROR(INDEX('G-6 Hedgerow Data'!$BJ$3:$BJ$15,MATCH(D182,'G-6 Hedgerow Data'!$B$3:$B$15,0)),"")</f>
        <v/>
      </c>
      <c r="AH182" s="111" t="str">
        <f t="shared" si="18"/>
        <v/>
      </c>
      <c r="AI182" s="111" t="str">
        <f t="shared" si="19"/>
        <v/>
      </c>
      <c r="AK182" s="111">
        <v>173</v>
      </c>
      <c r="AM182" s="111" t="str">
        <f t="array" ref="AM182">IFERROR(INDEX($AK$10:$AK$258, MATCH(0, IF(TRUE=$AH$10:$AH$258, COUNTIF($AM$9:$AM181, $AK$10:$AK$258), ""), 0)),"")</f>
        <v/>
      </c>
      <c r="AN182" s="111" t="str">
        <f t="array" ref="AN182">IFERROR(INDEX($AK$10:$AK$258, MATCH(0, IF(TRUE=$AI$10:$AI$258, COUNTIF($AN$9:$AN181, $AK$10:$AK$258), ""), 0)),"")</f>
        <v/>
      </c>
      <c r="AY182" s="289" t="str">
        <f t="shared" si="26"/>
        <v/>
      </c>
    </row>
    <row r="183" spans="2:51" ht="13.8" x14ac:dyDescent="0.25">
      <c r="B183" s="101">
        <v>174</v>
      </c>
      <c r="C183" s="142"/>
      <c r="D183" s="142"/>
      <c r="E183" s="108"/>
      <c r="F183" s="281" t="str">
        <f>IF(D183="","",VLOOKUP(D183,'G-6 Hedgerow Data'!$B$2:$AG$15,2,FALSE))</f>
        <v/>
      </c>
      <c r="G183" s="282" t="str">
        <f>IF(D183="","",VLOOKUP(D183,'G-6 Hedgerow Data'!$B$2:$AG$15,3,FALSE))</f>
        <v/>
      </c>
      <c r="H183" s="105"/>
      <c r="I183" s="282" t="str">
        <f>IFERROR(IF(AND(D183&lt;&gt;"",H183=""), "Check data ⚠",(IF(H183="","",IF(AND(D183="Non-native and ornamental hedgerow", H183&lt;&gt;"Poor"),"Not possible ▲", (IF(AND(F183="V.Low",OR(H183="Good",H183="Moderate")),"Error ▲",VLOOKUP(H183,'G-1 All Habitats'!$Z$2:$AA$9,2,FALSE))))))),"")</f>
        <v/>
      </c>
      <c r="J183" s="109"/>
      <c r="K183" s="301" t="str">
        <f>IF(AND(J183="",D183&lt;&gt;""),"Check data ⚠",IF(J183="","",IF(VLOOKUP(J183,'G-3 Multipliers'!$L$3:$N$6,2,FALSE)=0,"Spatial Data Missing ⚠",VLOOKUP(J183,'G-3 Multipliers'!$L$3:$N$6,2,FALSE))))</f>
        <v/>
      </c>
      <c r="L183" s="305" t="str">
        <f>IF(J183="","",IF(VLOOKUP(J183,'G-3 Multipliers'!$L$3:$N$6,3,FALSE)=0,"Spatial Data Missing ⚠",VLOOKUP(J183,'G-3 Multipliers'!$L$3:$N$6,3,FALSE)))</f>
        <v/>
      </c>
      <c r="M183" s="342" t="str">
        <f>IF(D183="","",VLOOKUP(D183,'G-6 Hedgerow Data'!$B$1:$AH$15,33,FALSE))</f>
        <v/>
      </c>
      <c r="N183" s="295" t="str">
        <f t="shared" si="20"/>
        <v/>
      </c>
      <c r="O183" s="403"/>
      <c r="P183" s="287" t="str">
        <f>IF(O183="","",IF(VLOOKUP(O183,'G-3 Multipliers'!$S$3:$T$10,2,FALSE)=0,"Spatial Data Missing ⚠",VLOOKUP(O183,'G-3 Multipliers'!$S$3:$T$10,2,FALSE)))</f>
        <v/>
      </c>
      <c r="Q183" s="295" t="str">
        <f t="shared" si="21"/>
        <v/>
      </c>
      <c r="R183" s="32"/>
      <c r="S183" s="105"/>
      <c r="T183" s="112"/>
      <c r="U183" s="289" t="str">
        <f t="shared" si="22"/>
        <v/>
      </c>
      <c r="V183" s="289" t="str">
        <f t="shared" si="23"/>
        <v/>
      </c>
      <c r="W183" s="293" t="str">
        <f t="shared" si="24"/>
        <v/>
      </c>
      <c r="X183" s="297" t="str">
        <f t="shared" si="25"/>
        <v/>
      </c>
      <c r="Y183" s="109"/>
      <c r="Z183" s="108"/>
      <c r="AA183" s="108"/>
      <c r="AB183" s="108"/>
      <c r="AE183" s="30" t="str">
        <f>IFERROR(INDEX('G-6 Hedgerow Data'!$BJ$3:$BJ$15,MATCH(D183,'G-6 Hedgerow Data'!$B$3:$B$15,0)),"")</f>
        <v/>
      </c>
      <c r="AH183" s="111" t="str">
        <f t="shared" si="18"/>
        <v/>
      </c>
      <c r="AI183" s="111" t="str">
        <f t="shared" si="19"/>
        <v/>
      </c>
      <c r="AK183" s="111">
        <v>174</v>
      </c>
      <c r="AM183" s="111" t="str">
        <f t="array" ref="AM183">IFERROR(INDEX($AK$10:$AK$258, MATCH(0, IF(TRUE=$AH$10:$AH$258, COUNTIF($AM$9:$AM182, $AK$10:$AK$258), ""), 0)),"")</f>
        <v/>
      </c>
      <c r="AN183" s="111" t="str">
        <f t="array" ref="AN183">IFERROR(INDEX($AK$10:$AK$258, MATCH(0, IF(TRUE=$AI$10:$AI$258, COUNTIF($AN$9:$AN182, $AK$10:$AK$258), ""), 0)),"")</f>
        <v/>
      </c>
      <c r="AY183" s="289" t="str">
        <f t="shared" si="26"/>
        <v/>
      </c>
    </row>
    <row r="184" spans="2:51" ht="13.8" x14ac:dyDescent="0.25">
      <c r="B184" s="101">
        <v>175</v>
      </c>
      <c r="C184" s="142"/>
      <c r="D184" s="142"/>
      <c r="E184" s="108"/>
      <c r="F184" s="281" t="str">
        <f>IF(D184="","",VLOOKUP(D184,'G-6 Hedgerow Data'!$B$2:$AG$15,2,FALSE))</f>
        <v/>
      </c>
      <c r="G184" s="282" t="str">
        <f>IF(D184="","",VLOOKUP(D184,'G-6 Hedgerow Data'!$B$2:$AG$15,3,FALSE))</f>
        <v/>
      </c>
      <c r="H184" s="105"/>
      <c r="I184" s="282" t="str">
        <f>IFERROR(IF(AND(D184&lt;&gt;"",H184=""), "Check data ⚠",(IF(H184="","",IF(AND(D184="Non-native and ornamental hedgerow", H184&lt;&gt;"Poor"),"Not possible ▲", (IF(AND(F184="V.Low",OR(H184="Good",H184="Moderate")),"Error ▲",VLOOKUP(H184,'G-1 All Habitats'!$Z$2:$AA$9,2,FALSE))))))),"")</f>
        <v/>
      </c>
      <c r="J184" s="109"/>
      <c r="K184" s="301" t="str">
        <f>IF(AND(J184="",D184&lt;&gt;""),"Check data ⚠",IF(J184="","",IF(VLOOKUP(J184,'G-3 Multipliers'!$L$3:$N$6,2,FALSE)=0,"Spatial Data Missing ⚠",VLOOKUP(J184,'G-3 Multipliers'!$L$3:$N$6,2,FALSE))))</f>
        <v/>
      </c>
      <c r="L184" s="305" t="str">
        <f>IF(J184="","",IF(VLOOKUP(J184,'G-3 Multipliers'!$L$3:$N$6,3,FALSE)=0,"Spatial Data Missing ⚠",VLOOKUP(J184,'G-3 Multipliers'!$L$3:$N$6,3,FALSE)))</f>
        <v/>
      </c>
      <c r="M184" s="342" t="str">
        <f>IF(D184="","",VLOOKUP(D184,'G-6 Hedgerow Data'!$B$1:$AH$15,33,FALSE))</f>
        <v/>
      </c>
      <c r="N184" s="295" t="str">
        <f t="shared" si="20"/>
        <v/>
      </c>
      <c r="O184" s="403"/>
      <c r="P184" s="287" t="str">
        <f>IF(O184="","",IF(VLOOKUP(O184,'G-3 Multipliers'!$S$3:$T$10,2,FALSE)=0,"Spatial Data Missing ⚠",VLOOKUP(O184,'G-3 Multipliers'!$S$3:$T$10,2,FALSE)))</f>
        <v/>
      </c>
      <c r="Q184" s="295" t="str">
        <f t="shared" si="21"/>
        <v/>
      </c>
      <c r="R184" s="32"/>
      <c r="S184" s="105"/>
      <c r="T184" s="112"/>
      <c r="U184" s="289" t="str">
        <f t="shared" si="22"/>
        <v/>
      </c>
      <c r="V184" s="289" t="str">
        <f t="shared" si="23"/>
        <v/>
      </c>
      <c r="W184" s="293" t="str">
        <f t="shared" si="24"/>
        <v/>
      </c>
      <c r="X184" s="297" t="str">
        <f t="shared" si="25"/>
        <v/>
      </c>
      <c r="Y184" s="109"/>
      <c r="Z184" s="108"/>
      <c r="AA184" s="108"/>
      <c r="AB184" s="108"/>
      <c r="AE184" s="30" t="str">
        <f>IFERROR(INDEX('G-6 Hedgerow Data'!$BJ$3:$BJ$15,MATCH(D184,'G-6 Hedgerow Data'!$B$3:$B$15,0)),"")</f>
        <v/>
      </c>
      <c r="AH184" s="111" t="str">
        <f t="shared" si="18"/>
        <v/>
      </c>
      <c r="AI184" s="111" t="str">
        <f t="shared" si="19"/>
        <v/>
      </c>
      <c r="AK184" s="111">
        <v>175</v>
      </c>
      <c r="AM184" s="111" t="str">
        <f t="array" ref="AM184">IFERROR(INDEX($AK$10:$AK$258, MATCH(0, IF(TRUE=$AH$10:$AH$258, COUNTIF($AM$9:$AM183, $AK$10:$AK$258), ""), 0)),"")</f>
        <v/>
      </c>
      <c r="AN184" s="111" t="str">
        <f t="array" ref="AN184">IFERROR(INDEX($AK$10:$AK$258, MATCH(0, IF(TRUE=$AI$10:$AI$258, COUNTIF($AN$9:$AN183, $AK$10:$AK$258), ""), 0)),"")</f>
        <v/>
      </c>
      <c r="AY184" s="289" t="str">
        <f t="shared" si="26"/>
        <v/>
      </c>
    </row>
    <row r="185" spans="2:51" ht="13.8" x14ac:dyDescent="0.25">
      <c r="B185" s="101">
        <v>176</v>
      </c>
      <c r="C185" s="142"/>
      <c r="D185" s="142"/>
      <c r="E185" s="108"/>
      <c r="F185" s="281" t="str">
        <f>IF(D185="","",VLOOKUP(D185,'G-6 Hedgerow Data'!$B$2:$AG$15,2,FALSE))</f>
        <v/>
      </c>
      <c r="G185" s="282" t="str">
        <f>IF(D185="","",VLOOKUP(D185,'G-6 Hedgerow Data'!$B$2:$AG$15,3,FALSE))</f>
        <v/>
      </c>
      <c r="H185" s="105"/>
      <c r="I185" s="282" t="str">
        <f>IFERROR(IF(AND(D185&lt;&gt;"",H185=""), "Check data ⚠",(IF(H185="","",IF(AND(D185="Non-native and ornamental hedgerow", H185&lt;&gt;"Poor"),"Not possible ▲", (IF(AND(F185="V.Low",OR(H185="Good",H185="Moderate")),"Error ▲",VLOOKUP(H185,'G-1 All Habitats'!$Z$2:$AA$9,2,FALSE))))))),"")</f>
        <v/>
      </c>
      <c r="J185" s="109"/>
      <c r="K185" s="301" t="str">
        <f>IF(AND(J185="",D185&lt;&gt;""),"Check data ⚠",IF(J185="","",IF(VLOOKUP(J185,'G-3 Multipliers'!$L$3:$N$6,2,FALSE)=0,"Spatial Data Missing ⚠",VLOOKUP(J185,'G-3 Multipliers'!$L$3:$N$6,2,FALSE))))</f>
        <v/>
      </c>
      <c r="L185" s="305" t="str">
        <f>IF(J185="","",IF(VLOOKUP(J185,'G-3 Multipliers'!$L$3:$N$6,3,FALSE)=0,"Spatial Data Missing ⚠",VLOOKUP(J185,'G-3 Multipliers'!$L$3:$N$6,3,FALSE)))</f>
        <v/>
      </c>
      <c r="M185" s="342" t="str">
        <f>IF(D185="","",VLOOKUP(D185,'G-6 Hedgerow Data'!$B$1:$AH$15,33,FALSE))</f>
        <v/>
      </c>
      <c r="N185" s="295" t="str">
        <f t="shared" si="20"/>
        <v/>
      </c>
      <c r="O185" s="403"/>
      <c r="P185" s="287" t="str">
        <f>IF(O185="","",IF(VLOOKUP(O185,'G-3 Multipliers'!$S$3:$T$10,2,FALSE)=0,"Spatial Data Missing ⚠",VLOOKUP(O185,'G-3 Multipliers'!$S$3:$T$10,2,FALSE)))</f>
        <v/>
      </c>
      <c r="Q185" s="295" t="str">
        <f t="shared" si="21"/>
        <v/>
      </c>
      <c r="R185" s="32"/>
      <c r="S185" s="105"/>
      <c r="T185" s="112"/>
      <c r="U185" s="289" t="str">
        <f t="shared" si="22"/>
        <v/>
      </c>
      <c r="V185" s="289" t="str">
        <f t="shared" si="23"/>
        <v/>
      </c>
      <c r="W185" s="293" t="str">
        <f t="shared" si="24"/>
        <v/>
      </c>
      <c r="X185" s="297" t="str">
        <f t="shared" si="25"/>
        <v/>
      </c>
      <c r="Y185" s="109"/>
      <c r="Z185" s="108"/>
      <c r="AA185" s="108"/>
      <c r="AB185" s="108"/>
      <c r="AE185" s="30" t="str">
        <f>IFERROR(INDEX('G-6 Hedgerow Data'!$BJ$3:$BJ$15,MATCH(D185,'G-6 Hedgerow Data'!$B$3:$B$15,0)),"")</f>
        <v/>
      </c>
      <c r="AH185" s="111" t="str">
        <f t="shared" si="18"/>
        <v/>
      </c>
      <c r="AI185" s="111" t="str">
        <f t="shared" si="19"/>
        <v/>
      </c>
      <c r="AK185" s="111">
        <v>176</v>
      </c>
      <c r="AM185" s="111" t="str">
        <f t="array" ref="AM185">IFERROR(INDEX($AK$10:$AK$258, MATCH(0, IF(TRUE=$AH$10:$AH$258, COUNTIF($AM$9:$AM184, $AK$10:$AK$258), ""), 0)),"")</f>
        <v/>
      </c>
      <c r="AN185" s="111" t="str">
        <f t="array" ref="AN185">IFERROR(INDEX($AK$10:$AK$258, MATCH(0, IF(TRUE=$AI$10:$AI$258, COUNTIF($AN$9:$AN184, $AK$10:$AK$258), ""), 0)),"")</f>
        <v/>
      </c>
      <c r="AY185" s="289" t="str">
        <f t="shared" si="26"/>
        <v/>
      </c>
    </row>
    <row r="186" spans="2:51" ht="13.8" x14ac:dyDescent="0.25">
      <c r="B186" s="101">
        <v>177</v>
      </c>
      <c r="C186" s="142"/>
      <c r="D186" s="142"/>
      <c r="E186" s="108"/>
      <c r="F186" s="281" t="str">
        <f>IF(D186="","",VLOOKUP(D186,'G-6 Hedgerow Data'!$B$2:$AG$15,2,FALSE))</f>
        <v/>
      </c>
      <c r="G186" s="282" t="str">
        <f>IF(D186="","",VLOOKUP(D186,'G-6 Hedgerow Data'!$B$2:$AG$15,3,FALSE))</f>
        <v/>
      </c>
      <c r="H186" s="105"/>
      <c r="I186" s="282" t="str">
        <f>IFERROR(IF(AND(D186&lt;&gt;"",H186=""), "Check data ⚠",(IF(H186="","",IF(AND(D186="Non-native and ornamental hedgerow", H186&lt;&gt;"Poor"),"Not possible ▲", (IF(AND(F186="V.Low",OR(H186="Good",H186="Moderate")),"Error ▲",VLOOKUP(H186,'G-1 All Habitats'!$Z$2:$AA$9,2,FALSE))))))),"")</f>
        <v/>
      </c>
      <c r="J186" s="109"/>
      <c r="K186" s="301" t="str">
        <f>IF(AND(J186="",D186&lt;&gt;""),"Check data ⚠",IF(J186="","",IF(VLOOKUP(J186,'G-3 Multipliers'!$L$3:$N$6,2,FALSE)=0,"Spatial Data Missing ⚠",VLOOKUP(J186,'G-3 Multipliers'!$L$3:$N$6,2,FALSE))))</f>
        <v/>
      </c>
      <c r="L186" s="305" t="str">
        <f>IF(J186="","",IF(VLOOKUP(J186,'G-3 Multipliers'!$L$3:$N$6,3,FALSE)=0,"Spatial Data Missing ⚠",VLOOKUP(J186,'G-3 Multipliers'!$L$3:$N$6,3,FALSE)))</f>
        <v/>
      </c>
      <c r="M186" s="342" t="str">
        <f>IF(D186="","",VLOOKUP(D186,'G-6 Hedgerow Data'!$B$1:$AH$15,33,FALSE))</f>
        <v/>
      </c>
      <c r="N186" s="295" t="str">
        <f t="shared" si="20"/>
        <v/>
      </c>
      <c r="O186" s="403"/>
      <c r="P186" s="287" t="str">
        <f>IF(O186="","",IF(VLOOKUP(O186,'G-3 Multipliers'!$S$3:$T$10,2,FALSE)=0,"Spatial Data Missing ⚠",VLOOKUP(O186,'G-3 Multipliers'!$S$3:$T$10,2,FALSE)))</f>
        <v/>
      </c>
      <c r="Q186" s="295" t="str">
        <f t="shared" si="21"/>
        <v/>
      </c>
      <c r="R186" s="32"/>
      <c r="S186" s="105"/>
      <c r="T186" s="112"/>
      <c r="U186" s="289" t="str">
        <f t="shared" si="22"/>
        <v/>
      </c>
      <c r="V186" s="289" t="str">
        <f t="shared" si="23"/>
        <v/>
      </c>
      <c r="W186" s="293" t="str">
        <f t="shared" si="24"/>
        <v/>
      </c>
      <c r="X186" s="297" t="str">
        <f t="shared" si="25"/>
        <v/>
      </c>
      <c r="Y186" s="109"/>
      <c r="Z186" s="108"/>
      <c r="AA186" s="108"/>
      <c r="AB186" s="108"/>
      <c r="AE186" s="30" t="str">
        <f>IFERROR(INDEX('G-6 Hedgerow Data'!$BJ$3:$BJ$15,MATCH(D186,'G-6 Hedgerow Data'!$B$3:$B$15,0)),"")</f>
        <v/>
      </c>
      <c r="AH186" s="111" t="str">
        <f t="shared" si="18"/>
        <v/>
      </c>
      <c r="AI186" s="111" t="str">
        <f t="shared" si="19"/>
        <v/>
      </c>
      <c r="AK186" s="111">
        <v>177</v>
      </c>
      <c r="AM186" s="111" t="str">
        <f t="array" ref="AM186">IFERROR(INDEX($AK$10:$AK$258, MATCH(0, IF(TRUE=$AH$10:$AH$258, COUNTIF($AM$9:$AM185, $AK$10:$AK$258), ""), 0)),"")</f>
        <v/>
      </c>
      <c r="AN186" s="111" t="str">
        <f t="array" ref="AN186">IFERROR(INDEX($AK$10:$AK$258, MATCH(0, IF(TRUE=$AI$10:$AI$258, COUNTIF($AN$9:$AN185, $AK$10:$AK$258), ""), 0)),"")</f>
        <v/>
      </c>
      <c r="AY186" s="289" t="str">
        <f t="shared" si="26"/>
        <v/>
      </c>
    </row>
    <row r="187" spans="2:51" ht="13.8" x14ac:dyDescent="0.25">
      <c r="B187" s="101">
        <v>178</v>
      </c>
      <c r="C187" s="142"/>
      <c r="D187" s="142"/>
      <c r="E187" s="108"/>
      <c r="F187" s="281" t="str">
        <f>IF(D187="","",VLOOKUP(D187,'G-6 Hedgerow Data'!$B$2:$AG$15,2,FALSE))</f>
        <v/>
      </c>
      <c r="G187" s="282" t="str">
        <f>IF(D187="","",VLOOKUP(D187,'G-6 Hedgerow Data'!$B$2:$AG$15,3,FALSE))</f>
        <v/>
      </c>
      <c r="H187" s="105"/>
      <c r="I187" s="282" t="str">
        <f>IFERROR(IF(AND(D187&lt;&gt;"",H187=""), "Check data ⚠",(IF(H187="","",IF(AND(D187="Non-native and ornamental hedgerow", H187&lt;&gt;"Poor"),"Not possible ▲", (IF(AND(F187="V.Low",OR(H187="Good",H187="Moderate")),"Error ▲",VLOOKUP(H187,'G-1 All Habitats'!$Z$2:$AA$9,2,FALSE))))))),"")</f>
        <v/>
      </c>
      <c r="J187" s="109"/>
      <c r="K187" s="301" t="str">
        <f>IF(AND(J187="",D187&lt;&gt;""),"Check data ⚠",IF(J187="","",IF(VLOOKUP(J187,'G-3 Multipliers'!$L$3:$N$6,2,FALSE)=0,"Spatial Data Missing ⚠",VLOOKUP(J187,'G-3 Multipliers'!$L$3:$N$6,2,FALSE))))</f>
        <v/>
      </c>
      <c r="L187" s="305" t="str">
        <f>IF(J187="","",IF(VLOOKUP(J187,'G-3 Multipliers'!$L$3:$N$6,3,FALSE)=0,"Spatial Data Missing ⚠",VLOOKUP(J187,'G-3 Multipliers'!$L$3:$N$6,3,FALSE)))</f>
        <v/>
      </c>
      <c r="M187" s="342" t="str">
        <f>IF(D187="","",VLOOKUP(D187,'G-6 Hedgerow Data'!$B$1:$AH$15,33,FALSE))</f>
        <v/>
      </c>
      <c r="N187" s="295" t="str">
        <f t="shared" si="20"/>
        <v/>
      </c>
      <c r="O187" s="403"/>
      <c r="P187" s="287" t="str">
        <f>IF(O187="","",IF(VLOOKUP(O187,'G-3 Multipliers'!$S$3:$T$10,2,FALSE)=0,"Spatial Data Missing ⚠",VLOOKUP(O187,'G-3 Multipliers'!$S$3:$T$10,2,FALSE)))</f>
        <v/>
      </c>
      <c r="Q187" s="295" t="str">
        <f t="shared" si="21"/>
        <v/>
      </c>
      <c r="R187" s="32"/>
      <c r="S187" s="105"/>
      <c r="T187" s="112"/>
      <c r="U187" s="289" t="str">
        <f t="shared" si="22"/>
        <v/>
      </c>
      <c r="V187" s="289" t="str">
        <f t="shared" si="23"/>
        <v/>
      </c>
      <c r="W187" s="293" t="str">
        <f t="shared" si="24"/>
        <v/>
      </c>
      <c r="X187" s="297" t="str">
        <f t="shared" si="25"/>
        <v/>
      </c>
      <c r="Y187" s="109"/>
      <c r="Z187" s="108"/>
      <c r="AA187" s="108"/>
      <c r="AB187" s="108"/>
      <c r="AE187" s="30" t="str">
        <f>IFERROR(INDEX('G-6 Hedgerow Data'!$BJ$3:$BJ$15,MATCH(D187,'G-6 Hedgerow Data'!$B$3:$B$15,0)),"")</f>
        <v/>
      </c>
      <c r="AH187" s="111" t="str">
        <f t="shared" si="18"/>
        <v/>
      </c>
      <c r="AI187" s="111" t="str">
        <f t="shared" si="19"/>
        <v/>
      </c>
      <c r="AK187" s="111">
        <v>178</v>
      </c>
      <c r="AM187" s="111" t="str">
        <f t="array" ref="AM187">IFERROR(INDEX($AK$10:$AK$258, MATCH(0, IF(TRUE=$AH$10:$AH$258, COUNTIF($AM$9:$AM186, $AK$10:$AK$258), ""), 0)),"")</f>
        <v/>
      </c>
      <c r="AN187" s="111" t="str">
        <f t="array" ref="AN187">IFERROR(INDEX($AK$10:$AK$258, MATCH(0, IF(TRUE=$AI$10:$AI$258, COUNTIF($AN$9:$AN186, $AK$10:$AK$258), ""), 0)),"")</f>
        <v/>
      </c>
      <c r="AY187" s="289" t="str">
        <f t="shared" si="26"/>
        <v/>
      </c>
    </row>
    <row r="188" spans="2:51" ht="13.8" x14ac:dyDescent="0.25">
      <c r="B188" s="101">
        <v>179</v>
      </c>
      <c r="C188" s="142"/>
      <c r="D188" s="142"/>
      <c r="E188" s="108"/>
      <c r="F188" s="281" t="str">
        <f>IF(D188="","",VLOOKUP(D188,'G-6 Hedgerow Data'!$B$2:$AG$15,2,FALSE))</f>
        <v/>
      </c>
      <c r="G188" s="282" t="str">
        <f>IF(D188="","",VLOOKUP(D188,'G-6 Hedgerow Data'!$B$2:$AG$15,3,FALSE))</f>
        <v/>
      </c>
      <c r="H188" s="105"/>
      <c r="I188" s="282" t="str">
        <f>IFERROR(IF(AND(D188&lt;&gt;"",H188=""), "Check data ⚠",(IF(H188="","",IF(AND(D188="Non-native and ornamental hedgerow", H188&lt;&gt;"Poor"),"Not possible ▲", (IF(AND(F188="V.Low",OR(H188="Good",H188="Moderate")),"Error ▲",VLOOKUP(H188,'G-1 All Habitats'!$Z$2:$AA$9,2,FALSE))))))),"")</f>
        <v/>
      </c>
      <c r="J188" s="109"/>
      <c r="K188" s="301" t="str">
        <f>IF(AND(J188="",D188&lt;&gt;""),"Check data ⚠",IF(J188="","",IF(VLOOKUP(J188,'G-3 Multipliers'!$L$3:$N$6,2,FALSE)=0,"Spatial Data Missing ⚠",VLOOKUP(J188,'G-3 Multipliers'!$L$3:$N$6,2,FALSE))))</f>
        <v/>
      </c>
      <c r="L188" s="305" t="str">
        <f>IF(J188="","",IF(VLOOKUP(J188,'G-3 Multipliers'!$L$3:$N$6,3,FALSE)=0,"Spatial Data Missing ⚠",VLOOKUP(J188,'G-3 Multipliers'!$L$3:$N$6,3,FALSE)))</f>
        <v/>
      </c>
      <c r="M188" s="342" t="str">
        <f>IF(D188="","",VLOOKUP(D188,'G-6 Hedgerow Data'!$B$1:$AH$15,33,FALSE))</f>
        <v/>
      </c>
      <c r="N188" s="295" t="str">
        <f t="shared" si="20"/>
        <v/>
      </c>
      <c r="O188" s="403"/>
      <c r="P188" s="287" t="str">
        <f>IF(O188="","",IF(VLOOKUP(O188,'G-3 Multipliers'!$S$3:$T$10,2,FALSE)=0,"Spatial Data Missing ⚠",VLOOKUP(O188,'G-3 Multipliers'!$S$3:$T$10,2,FALSE)))</f>
        <v/>
      </c>
      <c r="Q188" s="295" t="str">
        <f t="shared" si="21"/>
        <v/>
      </c>
      <c r="R188" s="32"/>
      <c r="S188" s="105"/>
      <c r="T188" s="112"/>
      <c r="U188" s="289" t="str">
        <f t="shared" si="22"/>
        <v/>
      </c>
      <c r="V188" s="289" t="str">
        <f t="shared" si="23"/>
        <v/>
      </c>
      <c r="W188" s="293" t="str">
        <f t="shared" si="24"/>
        <v/>
      </c>
      <c r="X188" s="297" t="str">
        <f t="shared" si="25"/>
        <v/>
      </c>
      <c r="Y188" s="109"/>
      <c r="Z188" s="108"/>
      <c r="AA188" s="108"/>
      <c r="AB188" s="108"/>
      <c r="AE188" s="30" t="str">
        <f>IFERROR(INDEX('G-6 Hedgerow Data'!$BJ$3:$BJ$15,MATCH(D188,'G-6 Hedgerow Data'!$B$3:$B$15,0)),"")</f>
        <v/>
      </c>
      <c r="AH188" s="111" t="str">
        <f t="shared" si="18"/>
        <v/>
      </c>
      <c r="AI188" s="111" t="str">
        <f t="shared" si="19"/>
        <v/>
      </c>
      <c r="AK188" s="111">
        <v>179</v>
      </c>
      <c r="AM188" s="111" t="str">
        <f t="array" ref="AM188">IFERROR(INDEX($AK$10:$AK$258, MATCH(0, IF(TRUE=$AH$10:$AH$258, COUNTIF($AM$9:$AM187, $AK$10:$AK$258), ""), 0)),"")</f>
        <v/>
      </c>
      <c r="AN188" s="111" t="str">
        <f t="array" ref="AN188">IFERROR(INDEX($AK$10:$AK$258, MATCH(0, IF(TRUE=$AI$10:$AI$258, COUNTIF($AN$9:$AN187, $AK$10:$AK$258), ""), 0)),"")</f>
        <v/>
      </c>
      <c r="AY188" s="289" t="str">
        <f t="shared" si="26"/>
        <v/>
      </c>
    </row>
    <row r="189" spans="2:51" ht="13.8" x14ac:dyDescent="0.25">
      <c r="B189" s="101">
        <v>180</v>
      </c>
      <c r="C189" s="142"/>
      <c r="D189" s="142"/>
      <c r="E189" s="108"/>
      <c r="F189" s="281" t="str">
        <f>IF(D189="","",VLOOKUP(D189,'G-6 Hedgerow Data'!$B$2:$AG$15,2,FALSE))</f>
        <v/>
      </c>
      <c r="G189" s="282" t="str">
        <f>IF(D189="","",VLOOKUP(D189,'G-6 Hedgerow Data'!$B$2:$AG$15,3,FALSE))</f>
        <v/>
      </c>
      <c r="H189" s="105"/>
      <c r="I189" s="282" t="str">
        <f>IFERROR(IF(AND(D189&lt;&gt;"",H189=""), "Check data ⚠",(IF(H189="","",IF(AND(D189="Non-native and ornamental hedgerow", H189&lt;&gt;"Poor"),"Not possible ▲", (IF(AND(F189="V.Low",OR(H189="Good",H189="Moderate")),"Error ▲",VLOOKUP(H189,'G-1 All Habitats'!$Z$2:$AA$9,2,FALSE))))))),"")</f>
        <v/>
      </c>
      <c r="J189" s="109"/>
      <c r="K189" s="301" t="str">
        <f>IF(AND(J189="",D189&lt;&gt;""),"Check data ⚠",IF(J189="","",IF(VLOOKUP(J189,'G-3 Multipliers'!$L$3:$N$6,2,FALSE)=0,"Spatial Data Missing ⚠",VLOOKUP(J189,'G-3 Multipliers'!$L$3:$N$6,2,FALSE))))</f>
        <v/>
      </c>
      <c r="L189" s="305" t="str">
        <f>IF(J189="","",IF(VLOOKUP(J189,'G-3 Multipliers'!$L$3:$N$6,3,FALSE)=0,"Spatial Data Missing ⚠",VLOOKUP(J189,'G-3 Multipliers'!$L$3:$N$6,3,FALSE)))</f>
        <v/>
      </c>
      <c r="M189" s="342" t="str">
        <f>IF(D189="","",VLOOKUP(D189,'G-6 Hedgerow Data'!$B$1:$AH$15,33,FALSE))</f>
        <v/>
      </c>
      <c r="N189" s="295" t="str">
        <f t="shared" si="20"/>
        <v/>
      </c>
      <c r="O189" s="403"/>
      <c r="P189" s="287" t="str">
        <f>IF(O189="","",IF(VLOOKUP(O189,'G-3 Multipliers'!$S$3:$T$10,2,FALSE)=0,"Spatial Data Missing ⚠",VLOOKUP(O189,'G-3 Multipliers'!$S$3:$T$10,2,FALSE)))</f>
        <v/>
      </c>
      <c r="Q189" s="295" t="str">
        <f t="shared" si="21"/>
        <v/>
      </c>
      <c r="R189" s="32"/>
      <c r="S189" s="105"/>
      <c r="T189" s="112"/>
      <c r="U189" s="289" t="str">
        <f t="shared" si="22"/>
        <v/>
      </c>
      <c r="V189" s="289" t="str">
        <f t="shared" si="23"/>
        <v/>
      </c>
      <c r="W189" s="293" t="str">
        <f t="shared" si="24"/>
        <v/>
      </c>
      <c r="X189" s="297" t="str">
        <f t="shared" si="25"/>
        <v/>
      </c>
      <c r="Y189" s="109"/>
      <c r="Z189" s="108"/>
      <c r="AA189" s="108"/>
      <c r="AB189" s="108"/>
      <c r="AE189" s="30" t="str">
        <f>IFERROR(INDEX('G-6 Hedgerow Data'!$BJ$3:$BJ$15,MATCH(D189,'G-6 Hedgerow Data'!$B$3:$B$15,0)),"")</f>
        <v/>
      </c>
      <c r="AH189" s="111" t="str">
        <f t="shared" si="18"/>
        <v/>
      </c>
      <c r="AI189" s="111" t="str">
        <f t="shared" si="19"/>
        <v/>
      </c>
      <c r="AK189" s="111">
        <v>180</v>
      </c>
      <c r="AM189" s="111" t="str">
        <f t="array" ref="AM189">IFERROR(INDEX($AK$10:$AK$258, MATCH(0, IF(TRUE=$AH$10:$AH$258, COUNTIF($AM$9:$AM188, $AK$10:$AK$258), ""), 0)),"")</f>
        <v/>
      </c>
      <c r="AN189" s="111" t="str">
        <f t="array" ref="AN189">IFERROR(INDEX($AK$10:$AK$258, MATCH(0, IF(TRUE=$AI$10:$AI$258, COUNTIF($AN$9:$AN188, $AK$10:$AK$258), ""), 0)),"")</f>
        <v/>
      </c>
      <c r="AY189" s="289" t="str">
        <f t="shared" si="26"/>
        <v/>
      </c>
    </row>
    <row r="190" spans="2:51" ht="13.8" x14ac:dyDescent="0.25">
      <c r="B190" s="101">
        <v>181</v>
      </c>
      <c r="C190" s="142"/>
      <c r="D190" s="142"/>
      <c r="E190" s="108"/>
      <c r="F190" s="281" t="str">
        <f>IF(D190="","",VLOOKUP(D190,'G-6 Hedgerow Data'!$B$2:$AG$15,2,FALSE))</f>
        <v/>
      </c>
      <c r="G190" s="282" t="str">
        <f>IF(D190="","",VLOOKUP(D190,'G-6 Hedgerow Data'!$B$2:$AG$15,3,FALSE))</f>
        <v/>
      </c>
      <c r="H190" s="105"/>
      <c r="I190" s="282" t="str">
        <f>IFERROR(IF(AND(D190&lt;&gt;"",H190=""), "Check data ⚠",(IF(H190="","",IF(AND(D190="Non-native and ornamental hedgerow", H190&lt;&gt;"Poor"),"Not possible ▲", (IF(AND(F190="V.Low",OR(H190="Good",H190="Moderate")),"Error ▲",VLOOKUP(H190,'G-1 All Habitats'!$Z$2:$AA$9,2,FALSE))))))),"")</f>
        <v/>
      </c>
      <c r="J190" s="109"/>
      <c r="K190" s="301" t="str">
        <f>IF(AND(J190="",D190&lt;&gt;""),"Check data ⚠",IF(J190="","",IF(VLOOKUP(J190,'G-3 Multipliers'!$L$3:$N$6,2,FALSE)=0,"Spatial Data Missing ⚠",VLOOKUP(J190,'G-3 Multipliers'!$L$3:$N$6,2,FALSE))))</f>
        <v/>
      </c>
      <c r="L190" s="305" t="str">
        <f>IF(J190="","",IF(VLOOKUP(J190,'G-3 Multipliers'!$L$3:$N$6,3,FALSE)=0,"Spatial Data Missing ⚠",VLOOKUP(J190,'G-3 Multipliers'!$L$3:$N$6,3,FALSE)))</f>
        <v/>
      </c>
      <c r="M190" s="342" t="str">
        <f>IF(D190="","",VLOOKUP(D190,'G-6 Hedgerow Data'!$B$1:$AH$15,33,FALSE))</f>
        <v/>
      </c>
      <c r="N190" s="295" t="str">
        <f t="shared" si="20"/>
        <v/>
      </c>
      <c r="O190" s="403"/>
      <c r="P190" s="287" t="str">
        <f>IF(O190="","",IF(VLOOKUP(O190,'G-3 Multipliers'!$S$3:$T$10,2,FALSE)=0,"Spatial Data Missing ⚠",VLOOKUP(O190,'G-3 Multipliers'!$S$3:$T$10,2,FALSE)))</f>
        <v/>
      </c>
      <c r="Q190" s="295" t="str">
        <f t="shared" si="21"/>
        <v/>
      </c>
      <c r="R190" s="32"/>
      <c r="S190" s="105"/>
      <c r="T190" s="112"/>
      <c r="U190" s="289" t="str">
        <f t="shared" si="22"/>
        <v/>
      </c>
      <c r="V190" s="289" t="str">
        <f t="shared" si="23"/>
        <v/>
      </c>
      <c r="W190" s="293" t="str">
        <f t="shared" si="24"/>
        <v/>
      </c>
      <c r="X190" s="297" t="str">
        <f t="shared" si="25"/>
        <v/>
      </c>
      <c r="Y190" s="109"/>
      <c r="Z190" s="108"/>
      <c r="AA190" s="108"/>
      <c r="AB190" s="108"/>
      <c r="AE190" s="30" t="str">
        <f>IFERROR(INDEX('G-6 Hedgerow Data'!$BJ$3:$BJ$15,MATCH(D190,'G-6 Hedgerow Data'!$B$3:$B$15,0)),"")</f>
        <v/>
      </c>
      <c r="AH190" s="111" t="str">
        <f t="shared" si="18"/>
        <v/>
      </c>
      <c r="AI190" s="111" t="str">
        <f t="shared" si="19"/>
        <v/>
      </c>
      <c r="AK190" s="111">
        <v>181</v>
      </c>
      <c r="AM190" s="111" t="str">
        <f t="array" ref="AM190">IFERROR(INDEX($AK$10:$AK$258, MATCH(0, IF(TRUE=$AH$10:$AH$258, COUNTIF($AM$9:$AM189, $AK$10:$AK$258), ""), 0)),"")</f>
        <v/>
      </c>
      <c r="AN190" s="111" t="str">
        <f t="array" ref="AN190">IFERROR(INDEX($AK$10:$AK$258, MATCH(0, IF(TRUE=$AI$10:$AI$258, COUNTIF($AN$9:$AN189, $AK$10:$AK$258), ""), 0)),"")</f>
        <v/>
      </c>
      <c r="AY190" s="289" t="str">
        <f t="shared" si="26"/>
        <v/>
      </c>
    </row>
    <row r="191" spans="2:51" ht="13.8" x14ac:dyDescent="0.25">
      <c r="B191" s="101">
        <v>182</v>
      </c>
      <c r="C191" s="142"/>
      <c r="D191" s="142"/>
      <c r="E191" s="108"/>
      <c r="F191" s="281" t="str">
        <f>IF(D191="","",VLOOKUP(D191,'G-6 Hedgerow Data'!$B$2:$AG$15,2,FALSE))</f>
        <v/>
      </c>
      <c r="G191" s="282" t="str">
        <f>IF(D191="","",VLOOKUP(D191,'G-6 Hedgerow Data'!$B$2:$AG$15,3,FALSE))</f>
        <v/>
      </c>
      <c r="H191" s="105"/>
      <c r="I191" s="282" t="str">
        <f>IFERROR(IF(AND(D191&lt;&gt;"",H191=""), "Check data ⚠",(IF(H191="","",IF(AND(D191="Non-native and ornamental hedgerow", H191&lt;&gt;"Poor"),"Not possible ▲", (IF(AND(F191="V.Low",OR(H191="Good",H191="Moderate")),"Error ▲",VLOOKUP(H191,'G-1 All Habitats'!$Z$2:$AA$9,2,FALSE))))))),"")</f>
        <v/>
      </c>
      <c r="J191" s="109"/>
      <c r="K191" s="301" t="str">
        <f>IF(AND(J191="",D191&lt;&gt;""),"Check data ⚠",IF(J191="","",IF(VLOOKUP(J191,'G-3 Multipliers'!$L$3:$N$6,2,FALSE)=0,"Spatial Data Missing ⚠",VLOOKUP(J191,'G-3 Multipliers'!$L$3:$N$6,2,FALSE))))</f>
        <v/>
      </c>
      <c r="L191" s="305" t="str">
        <f>IF(J191="","",IF(VLOOKUP(J191,'G-3 Multipliers'!$L$3:$N$6,3,FALSE)=0,"Spatial Data Missing ⚠",VLOOKUP(J191,'G-3 Multipliers'!$L$3:$N$6,3,FALSE)))</f>
        <v/>
      </c>
      <c r="M191" s="342" t="str">
        <f>IF(D191="","",VLOOKUP(D191,'G-6 Hedgerow Data'!$B$1:$AH$15,33,FALSE))</f>
        <v/>
      </c>
      <c r="N191" s="295" t="str">
        <f t="shared" si="20"/>
        <v/>
      </c>
      <c r="O191" s="403"/>
      <c r="P191" s="287" t="str">
        <f>IF(O191="","",IF(VLOOKUP(O191,'G-3 Multipliers'!$S$3:$T$10,2,FALSE)=0,"Spatial Data Missing ⚠",VLOOKUP(O191,'G-3 Multipliers'!$S$3:$T$10,2,FALSE)))</f>
        <v/>
      </c>
      <c r="Q191" s="295" t="str">
        <f t="shared" si="21"/>
        <v/>
      </c>
      <c r="R191" s="32"/>
      <c r="S191" s="105"/>
      <c r="T191" s="112"/>
      <c r="U191" s="289" t="str">
        <f t="shared" si="22"/>
        <v/>
      </c>
      <c r="V191" s="289" t="str">
        <f t="shared" si="23"/>
        <v/>
      </c>
      <c r="W191" s="293" t="str">
        <f t="shared" si="24"/>
        <v/>
      </c>
      <c r="X191" s="297" t="str">
        <f t="shared" si="25"/>
        <v/>
      </c>
      <c r="Y191" s="109"/>
      <c r="Z191" s="108"/>
      <c r="AA191" s="108"/>
      <c r="AB191" s="108"/>
      <c r="AE191" s="30" t="str">
        <f>IFERROR(INDEX('G-6 Hedgerow Data'!$BJ$3:$BJ$15,MATCH(D191,'G-6 Hedgerow Data'!$B$3:$B$15,0)),"")</f>
        <v/>
      </c>
      <c r="AH191" s="111" t="str">
        <f t="shared" si="18"/>
        <v/>
      </c>
      <c r="AI191" s="111" t="str">
        <f t="shared" si="19"/>
        <v/>
      </c>
      <c r="AK191" s="111">
        <v>182</v>
      </c>
      <c r="AM191" s="111" t="str">
        <f t="array" ref="AM191">IFERROR(INDEX($AK$10:$AK$258, MATCH(0, IF(TRUE=$AH$10:$AH$258, COUNTIF($AM$9:$AM190, $AK$10:$AK$258), ""), 0)),"")</f>
        <v/>
      </c>
      <c r="AN191" s="111" t="str">
        <f t="array" ref="AN191">IFERROR(INDEX($AK$10:$AK$258, MATCH(0, IF(TRUE=$AI$10:$AI$258, COUNTIF($AN$9:$AN190, $AK$10:$AK$258), ""), 0)),"")</f>
        <v/>
      </c>
      <c r="AY191" s="289" t="str">
        <f t="shared" si="26"/>
        <v/>
      </c>
    </row>
    <row r="192" spans="2:51" ht="13.8" x14ac:dyDescent="0.25">
      <c r="B192" s="101">
        <v>183</v>
      </c>
      <c r="C192" s="142"/>
      <c r="D192" s="142"/>
      <c r="E192" s="108"/>
      <c r="F192" s="281" t="str">
        <f>IF(D192="","",VLOOKUP(D192,'G-6 Hedgerow Data'!$B$2:$AG$15,2,FALSE))</f>
        <v/>
      </c>
      <c r="G192" s="282" t="str">
        <f>IF(D192="","",VLOOKUP(D192,'G-6 Hedgerow Data'!$B$2:$AG$15,3,FALSE))</f>
        <v/>
      </c>
      <c r="H192" s="105"/>
      <c r="I192" s="282" t="str">
        <f>IFERROR(IF(AND(D192&lt;&gt;"",H192=""), "Check data ⚠",(IF(H192="","",IF(AND(D192="Non-native and ornamental hedgerow", H192&lt;&gt;"Poor"),"Not possible ▲", (IF(AND(F192="V.Low",OR(H192="Good",H192="Moderate")),"Error ▲",VLOOKUP(H192,'G-1 All Habitats'!$Z$2:$AA$9,2,FALSE))))))),"")</f>
        <v/>
      </c>
      <c r="J192" s="109"/>
      <c r="K192" s="301" t="str">
        <f>IF(AND(J192="",D192&lt;&gt;""),"Check data ⚠",IF(J192="","",IF(VLOOKUP(J192,'G-3 Multipliers'!$L$3:$N$6,2,FALSE)=0,"Spatial Data Missing ⚠",VLOOKUP(J192,'G-3 Multipliers'!$L$3:$N$6,2,FALSE))))</f>
        <v/>
      </c>
      <c r="L192" s="305" t="str">
        <f>IF(J192="","",IF(VLOOKUP(J192,'G-3 Multipliers'!$L$3:$N$6,3,FALSE)=0,"Spatial Data Missing ⚠",VLOOKUP(J192,'G-3 Multipliers'!$L$3:$N$6,3,FALSE)))</f>
        <v/>
      </c>
      <c r="M192" s="342" t="str">
        <f>IF(D192="","",VLOOKUP(D192,'G-6 Hedgerow Data'!$B$1:$AH$15,33,FALSE))</f>
        <v/>
      </c>
      <c r="N192" s="295" t="str">
        <f t="shared" si="20"/>
        <v/>
      </c>
      <c r="O192" s="403"/>
      <c r="P192" s="287" t="str">
        <f>IF(O192="","",IF(VLOOKUP(O192,'G-3 Multipliers'!$S$3:$T$10,2,FALSE)=0,"Spatial Data Missing ⚠",VLOOKUP(O192,'G-3 Multipliers'!$S$3:$T$10,2,FALSE)))</f>
        <v/>
      </c>
      <c r="Q192" s="295" t="str">
        <f t="shared" si="21"/>
        <v/>
      </c>
      <c r="R192" s="32"/>
      <c r="S192" s="105"/>
      <c r="T192" s="112"/>
      <c r="U192" s="289" t="str">
        <f t="shared" si="22"/>
        <v/>
      </c>
      <c r="V192" s="289" t="str">
        <f t="shared" si="23"/>
        <v/>
      </c>
      <c r="W192" s="293" t="str">
        <f t="shared" si="24"/>
        <v/>
      </c>
      <c r="X192" s="297" t="str">
        <f t="shared" si="25"/>
        <v/>
      </c>
      <c r="Y192" s="109"/>
      <c r="Z192" s="108"/>
      <c r="AA192" s="108"/>
      <c r="AB192" s="108"/>
      <c r="AE192" s="30" t="str">
        <f>IFERROR(INDEX('G-6 Hedgerow Data'!$BJ$3:$BJ$15,MATCH(D192,'G-6 Hedgerow Data'!$B$3:$B$15,0)),"")</f>
        <v/>
      </c>
      <c r="AH192" s="111" t="str">
        <f t="shared" si="18"/>
        <v/>
      </c>
      <c r="AI192" s="111" t="str">
        <f t="shared" si="19"/>
        <v/>
      </c>
      <c r="AK192" s="111">
        <v>183</v>
      </c>
      <c r="AM192" s="111" t="str">
        <f t="array" ref="AM192">IFERROR(INDEX($AK$10:$AK$258, MATCH(0, IF(TRUE=$AH$10:$AH$258, COUNTIF($AM$9:$AM191, $AK$10:$AK$258), ""), 0)),"")</f>
        <v/>
      </c>
      <c r="AN192" s="111" t="str">
        <f t="array" ref="AN192">IFERROR(INDEX($AK$10:$AK$258, MATCH(0, IF(TRUE=$AI$10:$AI$258, COUNTIF($AN$9:$AN191, $AK$10:$AK$258), ""), 0)),"")</f>
        <v/>
      </c>
      <c r="AY192" s="289" t="str">
        <f t="shared" si="26"/>
        <v/>
      </c>
    </row>
    <row r="193" spans="2:51" ht="13.8" x14ac:dyDescent="0.25">
      <c r="B193" s="101">
        <v>184</v>
      </c>
      <c r="C193" s="142"/>
      <c r="D193" s="142"/>
      <c r="E193" s="108"/>
      <c r="F193" s="281" t="str">
        <f>IF(D193="","",VLOOKUP(D193,'G-6 Hedgerow Data'!$B$2:$AG$15,2,FALSE))</f>
        <v/>
      </c>
      <c r="G193" s="282" t="str">
        <f>IF(D193="","",VLOOKUP(D193,'G-6 Hedgerow Data'!$B$2:$AG$15,3,FALSE))</f>
        <v/>
      </c>
      <c r="H193" s="105"/>
      <c r="I193" s="282" t="str">
        <f>IFERROR(IF(AND(D193&lt;&gt;"",H193=""), "Check data ⚠",(IF(H193="","",IF(AND(D193="Non-native and ornamental hedgerow", H193&lt;&gt;"Poor"),"Not possible ▲", (IF(AND(F193="V.Low",OR(H193="Good",H193="Moderate")),"Error ▲",VLOOKUP(H193,'G-1 All Habitats'!$Z$2:$AA$9,2,FALSE))))))),"")</f>
        <v/>
      </c>
      <c r="J193" s="109"/>
      <c r="K193" s="301" t="str">
        <f>IF(AND(J193="",D193&lt;&gt;""),"Check data ⚠",IF(J193="","",IF(VLOOKUP(J193,'G-3 Multipliers'!$L$3:$N$6,2,FALSE)=0,"Spatial Data Missing ⚠",VLOOKUP(J193,'G-3 Multipliers'!$L$3:$N$6,2,FALSE))))</f>
        <v/>
      </c>
      <c r="L193" s="305" t="str">
        <f>IF(J193="","",IF(VLOOKUP(J193,'G-3 Multipliers'!$L$3:$N$6,3,FALSE)=0,"Spatial Data Missing ⚠",VLOOKUP(J193,'G-3 Multipliers'!$L$3:$N$6,3,FALSE)))</f>
        <v/>
      </c>
      <c r="M193" s="342" t="str">
        <f>IF(D193="","",VLOOKUP(D193,'G-6 Hedgerow Data'!$B$1:$AH$15,33,FALSE))</f>
        <v/>
      </c>
      <c r="N193" s="295" t="str">
        <f t="shared" si="20"/>
        <v/>
      </c>
      <c r="O193" s="403"/>
      <c r="P193" s="287" t="str">
        <f>IF(O193="","",IF(VLOOKUP(O193,'G-3 Multipliers'!$S$3:$T$10,2,FALSE)=0,"Spatial Data Missing ⚠",VLOOKUP(O193,'G-3 Multipliers'!$S$3:$T$10,2,FALSE)))</f>
        <v/>
      </c>
      <c r="Q193" s="295" t="str">
        <f t="shared" si="21"/>
        <v/>
      </c>
      <c r="R193" s="32"/>
      <c r="S193" s="105"/>
      <c r="T193" s="112"/>
      <c r="U193" s="289" t="str">
        <f t="shared" si="22"/>
        <v/>
      </c>
      <c r="V193" s="289" t="str">
        <f t="shared" si="23"/>
        <v/>
      </c>
      <c r="W193" s="293" t="str">
        <f t="shared" si="24"/>
        <v/>
      </c>
      <c r="X193" s="297" t="str">
        <f t="shared" si="25"/>
        <v/>
      </c>
      <c r="Y193" s="109"/>
      <c r="Z193" s="108"/>
      <c r="AA193" s="108"/>
      <c r="AB193" s="108"/>
      <c r="AE193" s="30" t="str">
        <f>IFERROR(INDEX('G-6 Hedgerow Data'!$BJ$3:$BJ$15,MATCH(D193,'G-6 Hedgerow Data'!$B$3:$B$15,0)),"")</f>
        <v/>
      </c>
      <c r="AH193" s="111" t="str">
        <f t="shared" si="18"/>
        <v/>
      </c>
      <c r="AI193" s="111" t="str">
        <f t="shared" si="19"/>
        <v/>
      </c>
      <c r="AK193" s="111">
        <v>184</v>
      </c>
      <c r="AM193" s="111" t="str">
        <f t="array" ref="AM193">IFERROR(INDEX($AK$10:$AK$258, MATCH(0, IF(TRUE=$AH$10:$AH$258, COUNTIF($AM$9:$AM192, $AK$10:$AK$258), ""), 0)),"")</f>
        <v/>
      </c>
      <c r="AN193" s="111" t="str">
        <f t="array" ref="AN193">IFERROR(INDEX($AK$10:$AK$258, MATCH(0, IF(TRUE=$AI$10:$AI$258, COUNTIF($AN$9:$AN192, $AK$10:$AK$258), ""), 0)),"")</f>
        <v/>
      </c>
      <c r="AY193" s="289" t="str">
        <f t="shared" si="26"/>
        <v/>
      </c>
    </row>
    <row r="194" spans="2:51" ht="13.8" x14ac:dyDescent="0.25">
      <c r="B194" s="101">
        <v>185</v>
      </c>
      <c r="C194" s="142"/>
      <c r="D194" s="142"/>
      <c r="E194" s="108"/>
      <c r="F194" s="281" t="str">
        <f>IF(D194="","",VLOOKUP(D194,'G-6 Hedgerow Data'!$B$2:$AG$15,2,FALSE))</f>
        <v/>
      </c>
      <c r="G194" s="282" t="str">
        <f>IF(D194="","",VLOOKUP(D194,'G-6 Hedgerow Data'!$B$2:$AG$15,3,FALSE))</f>
        <v/>
      </c>
      <c r="H194" s="105"/>
      <c r="I194" s="282" t="str">
        <f>IFERROR(IF(AND(D194&lt;&gt;"",H194=""), "Check data ⚠",(IF(H194="","",IF(AND(D194="Non-native and ornamental hedgerow", H194&lt;&gt;"Poor"),"Not possible ▲", (IF(AND(F194="V.Low",OR(H194="Good",H194="Moderate")),"Error ▲",VLOOKUP(H194,'G-1 All Habitats'!$Z$2:$AA$9,2,FALSE))))))),"")</f>
        <v/>
      </c>
      <c r="J194" s="109"/>
      <c r="K194" s="301" t="str">
        <f>IF(AND(J194="",D194&lt;&gt;""),"Check data ⚠",IF(J194="","",IF(VLOOKUP(J194,'G-3 Multipliers'!$L$3:$N$6,2,FALSE)=0,"Spatial Data Missing ⚠",VLOOKUP(J194,'G-3 Multipliers'!$L$3:$N$6,2,FALSE))))</f>
        <v/>
      </c>
      <c r="L194" s="305" t="str">
        <f>IF(J194="","",IF(VLOOKUP(J194,'G-3 Multipliers'!$L$3:$N$6,3,FALSE)=0,"Spatial Data Missing ⚠",VLOOKUP(J194,'G-3 Multipliers'!$L$3:$N$6,3,FALSE)))</f>
        <v/>
      </c>
      <c r="M194" s="342" t="str">
        <f>IF(D194="","",VLOOKUP(D194,'G-6 Hedgerow Data'!$B$1:$AH$15,33,FALSE))</f>
        <v/>
      </c>
      <c r="N194" s="295" t="str">
        <f t="shared" si="20"/>
        <v/>
      </c>
      <c r="O194" s="403"/>
      <c r="P194" s="287" t="str">
        <f>IF(O194="","",IF(VLOOKUP(O194,'G-3 Multipliers'!$S$3:$T$10,2,FALSE)=0,"Spatial Data Missing ⚠",VLOOKUP(O194,'G-3 Multipliers'!$S$3:$T$10,2,FALSE)))</f>
        <v/>
      </c>
      <c r="Q194" s="295" t="str">
        <f t="shared" si="21"/>
        <v/>
      </c>
      <c r="R194" s="32"/>
      <c r="S194" s="105"/>
      <c r="T194" s="112"/>
      <c r="U194" s="289" t="str">
        <f t="shared" si="22"/>
        <v/>
      </c>
      <c r="V194" s="289" t="str">
        <f t="shared" si="23"/>
        <v/>
      </c>
      <c r="W194" s="293" t="str">
        <f t="shared" si="24"/>
        <v/>
      </c>
      <c r="X194" s="297" t="str">
        <f t="shared" si="25"/>
        <v/>
      </c>
      <c r="Y194" s="109"/>
      <c r="Z194" s="108"/>
      <c r="AA194" s="108"/>
      <c r="AB194" s="108"/>
      <c r="AE194" s="30" t="str">
        <f>IFERROR(INDEX('G-6 Hedgerow Data'!$BJ$3:$BJ$15,MATCH(D194,'G-6 Hedgerow Data'!$B$3:$B$15,0)),"")</f>
        <v/>
      </c>
      <c r="AH194" s="111" t="str">
        <f t="shared" si="18"/>
        <v/>
      </c>
      <c r="AI194" s="111" t="str">
        <f t="shared" si="19"/>
        <v/>
      </c>
      <c r="AK194" s="111">
        <v>185</v>
      </c>
      <c r="AM194" s="111" t="str">
        <f t="array" ref="AM194">IFERROR(INDEX($AK$10:$AK$258, MATCH(0, IF(TRUE=$AH$10:$AH$258, COUNTIF($AM$9:$AM193, $AK$10:$AK$258), ""), 0)),"")</f>
        <v/>
      </c>
      <c r="AN194" s="111" t="str">
        <f t="array" ref="AN194">IFERROR(INDEX($AK$10:$AK$258, MATCH(0, IF(TRUE=$AI$10:$AI$258, COUNTIF($AN$9:$AN193, $AK$10:$AK$258), ""), 0)),"")</f>
        <v/>
      </c>
      <c r="AY194" s="289" t="str">
        <f t="shared" si="26"/>
        <v/>
      </c>
    </row>
    <row r="195" spans="2:51" ht="13.8" x14ac:dyDescent="0.25">
      <c r="B195" s="101">
        <v>186</v>
      </c>
      <c r="C195" s="142"/>
      <c r="D195" s="142"/>
      <c r="E195" s="108"/>
      <c r="F195" s="281" t="str">
        <f>IF(D195="","",VLOOKUP(D195,'G-6 Hedgerow Data'!$B$2:$AG$15,2,FALSE))</f>
        <v/>
      </c>
      <c r="G195" s="282" t="str">
        <f>IF(D195="","",VLOOKUP(D195,'G-6 Hedgerow Data'!$B$2:$AG$15,3,FALSE))</f>
        <v/>
      </c>
      <c r="H195" s="105"/>
      <c r="I195" s="282" t="str">
        <f>IFERROR(IF(AND(D195&lt;&gt;"",H195=""), "Check data ⚠",(IF(H195="","",IF(AND(D195="Non-native and ornamental hedgerow", H195&lt;&gt;"Poor"),"Not possible ▲", (IF(AND(F195="V.Low",OR(H195="Good",H195="Moderate")),"Error ▲",VLOOKUP(H195,'G-1 All Habitats'!$Z$2:$AA$9,2,FALSE))))))),"")</f>
        <v/>
      </c>
      <c r="J195" s="109"/>
      <c r="K195" s="301" t="str">
        <f>IF(AND(J195="",D195&lt;&gt;""),"Check data ⚠",IF(J195="","",IF(VLOOKUP(J195,'G-3 Multipliers'!$L$3:$N$6,2,FALSE)=0,"Spatial Data Missing ⚠",VLOOKUP(J195,'G-3 Multipliers'!$L$3:$N$6,2,FALSE))))</f>
        <v/>
      </c>
      <c r="L195" s="305" t="str">
        <f>IF(J195="","",IF(VLOOKUP(J195,'G-3 Multipliers'!$L$3:$N$6,3,FALSE)=0,"Spatial Data Missing ⚠",VLOOKUP(J195,'G-3 Multipliers'!$L$3:$N$6,3,FALSE)))</f>
        <v/>
      </c>
      <c r="M195" s="342" t="str">
        <f>IF(D195="","",VLOOKUP(D195,'G-6 Hedgerow Data'!$B$1:$AH$15,33,FALSE))</f>
        <v/>
      </c>
      <c r="N195" s="295" t="str">
        <f t="shared" si="20"/>
        <v/>
      </c>
      <c r="O195" s="403"/>
      <c r="P195" s="287" t="str">
        <f>IF(O195="","",IF(VLOOKUP(O195,'G-3 Multipliers'!$S$3:$T$10,2,FALSE)=0,"Spatial Data Missing ⚠",VLOOKUP(O195,'G-3 Multipliers'!$S$3:$T$10,2,FALSE)))</f>
        <v/>
      </c>
      <c r="Q195" s="295" t="str">
        <f t="shared" si="21"/>
        <v/>
      </c>
      <c r="R195" s="32"/>
      <c r="S195" s="105"/>
      <c r="T195" s="112"/>
      <c r="U195" s="289" t="str">
        <f t="shared" si="22"/>
        <v/>
      </c>
      <c r="V195" s="289" t="str">
        <f t="shared" si="23"/>
        <v/>
      </c>
      <c r="W195" s="293" t="str">
        <f t="shared" si="24"/>
        <v/>
      </c>
      <c r="X195" s="297" t="str">
        <f t="shared" si="25"/>
        <v/>
      </c>
      <c r="Y195" s="109"/>
      <c r="Z195" s="108"/>
      <c r="AA195" s="108"/>
      <c r="AB195" s="108"/>
      <c r="AE195" s="30" t="str">
        <f>IFERROR(INDEX('G-6 Hedgerow Data'!$BJ$3:$BJ$15,MATCH(D195,'G-6 Hedgerow Data'!$B$3:$B$15,0)),"")</f>
        <v/>
      </c>
      <c r="AH195" s="111" t="str">
        <f t="shared" si="18"/>
        <v/>
      </c>
      <c r="AI195" s="111" t="str">
        <f t="shared" si="19"/>
        <v/>
      </c>
      <c r="AK195" s="111">
        <v>186</v>
      </c>
      <c r="AM195" s="111" t="str">
        <f t="array" ref="AM195">IFERROR(INDEX($AK$10:$AK$258, MATCH(0, IF(TRUE=$AH$10:$AH$258, COUNTIF($AM$9:$AM194, $AK$10:$AK$258), ""), 0)),"")</f>
        <v/>
      </c>
      <c r="AN195" s="111" t="str">
        <f t="array" ref="AN195">IFERROR(INDEX($AK$10:$AK$258, MATCH(0, IF(TRUE=$AI$10:$AI$258, COUNTIF($AN$9:$AN194, $AK$10:$AK$258), ""), 0)),"")</f>
        <v/>
      </c>
      <c r="AY195" s="289" t="str">
        <f t="shared" si="26"/>
        <v/>
      </c>
    </row>
    <row r="196" spans="2:51" ht="13.8" x14ac:dyDescent="0.25">
      <c r="B196" s="101">
        <v>187</v>
      </c>
      <c r="C196" s="142"/>
      <c r="D196" s="142"/>
      <c r="E196" s="108"/>
      <c r="F196" s="281" t="str">
        <f>IF(D196="","",VLOOKUP(D196,'G-6 Hedgerow Data'!$B$2:$AG$15,2,FALSE))</f>
        <v/>
      </c>
      <c r="G196" s="282" t="str">
        <f>IF(D196="","",VLOOKUP(D196,'G-6 Hedgerow Data'!$B$2:$AG$15,3,FALSE))</f>
        <v/>
      </c>
      <c r="H196" s="105"/>
      <c r="I196" s="282" t="str">
        <f>IFERROR(IF(AND(D196&lt;&gt;"",H196=""), "Check data ⚠",(IF(H196="","",IF(AND(D196="Non-native and ornamental hedgerow", H196&lt;&gt;"Poor"),"Not possible ▲", (IF(AND(F196="V.Low",OR(H196="Good",H196="Moderate")),"Error ▲",VLOOKUP(H196,'G-1 All Habitats'!$Z$2:$AA$9,2,FALSE))))))),"")</f>
        <v/>
      </c>
      <c r="J196" s="109"/>
      <c r="K196" s="301" t="str">
        <f>IF(AND(J196="",D196&lt;&gt;""),"Check data ⚠",IF(J196="","",IF(VLOOKUP(J196,'G-3 Multipliers'!$L$3:$N$6,2,FALSE)=0,"Spatial Data Missing ⚠",VLOOKUP(J196,'G-3 Multipliers'!$L$3:$N$6,2,FALSE))))</f>
        <v/>
      </c>
      <c r="L196" s="305" t="str">
        <f>IF(J196="","",IF(VLOOKUP(J196,'G-3 Multipliers'!$L$3:$N$6,3,FALSE)=0,"Spatial Data Missing ⚠",VLOOKUP(J196,'G-3 Multipliers'!$L$3:$N$6,3,FALSE)))</f>
        <v/>
      </c>
      <c r="M196" s="342" t="str">
        <f>IF(D196="","",VLOOKUP(D196,'G-6 Hedgerow Data'!$B$1:$AH$15,33,FALSE))</f>
        <v/>
      </c>
      <c r="N196" s="295" t="str">
        <f t="shared" si="20"/>
        <v/>
      </c>
      <c r="O196" s="403"/>
      <c r="P196" s="287" t="str">
        <f>IF(O196="","",IF(VLOOKUP(O196,'G-3 Multipliers'!$S$3:$T$10,2,FALSE)=0,"Spatial Data Missing ⚠",VLOOKUP(O196,'G-3 Multipliers'!$S$3:$T$10,2,FALSE)))</f>
        <v/>
      </c>
      <c r="Q196" s="295" t="str">
        <f t="shared" si="21"/>
        <v/>
      </c>
      <c r="R196" s="32"/>
      <c r="S196" s="105"/>
      <c r="T196" s="112"/>
      <c r="U196" s="289" t="str">
        <f t="shared" si="22"/>
        <v/>
      </c>
      <c r="V196" s="289" t="str">
        <f t="shared" si="23"/>
        <v/>
      </c>
      <c r="W196" s="293" t="str">
        <f t="shared" si="24"/>
        <v/>
      </c>
      <c r="X196" s="297" t="str">
        <f t="shared" si="25"/>
        <v/>
      </c>
      <c r="Y196" s="109"/>
      <c r="Z196" s="108"/>
      <c r="AA196" s="108"/>
      <c r="AB196" s="108"/>
      <c r="AE196" s="30" t="str">
        <f>IFERROR(INDEX('G-6 Hedgerow Data'!$BJ$3:$BJ$15,MATCH(D196,'G-6 Hedgerow Data'!$B$3:$B$15,0)),"")</f>
        <v/>
      </c>
      <c r="AH196" s="111" t="str">
        <f t="shared" si="18"/>
        <v/>
      </c>
      <c r="AI196" s="111" t="str">
        <f t="shared" si="19"/>
        <v/>
      </c>
      <c r="AK196" s="111">
        <v>187</v>
      </c>
      <c r="AM196" s="111" t="str">
        <f t="array" ref="AM196">IFERROR(INDEX($AK$10:$AK$258, MATCH(0, IF(TRUE=$AH$10:$AH$258, COUNTIF($AM$9:$AM195, $AK$10:$AK$258), ""), 0)),"")</f>
        <v/>
      </c>
      <c r="AN196" s="111" t="str">
        <f t="array" ref="AN196">IFERROR(INDEX($AK$10:$AK$258, MATCH(0, IF(TRUE=$AI$10:$AI$258, COUNTIF($AN$9:$AN195, $AK$10:$AK$258), ""), 0)),"")</f>
        <v/>
      </c>
      <c r="AY196" s="289" t="str">
        <f t="shared" si="26"/>
        <v/>
      </c>
    </row>
    <row r="197" spans="2:51" ht="13.8" x14ac:dyDescent="0.25">
      <c r="B197" s="101">
        <v>188</v>
      </c>
      <c r="C197" s="142"/>
      <c r="D197" s="142"/>
      <c r="E197" s="108"/>
      <c r="F197" s="281" t="str">
        <f>IF(D197="","",VLOOKUP(D197,'G-6 Hedgerow Data'!$B$2:$AG$15,2,FALSE))</f>
        <v/>
      </c>
      <c r="G197" s="282" t="str">
        <f>IF(D197="","",VLOOKUP(D197,'G-6 Hedgerow Data'!$B$2:$AG$15,3,FALSE))</f>
        <v/>
      </c>
      <c r="H197" s="105"/>
      <c r="I197" s="282" t="str">
        <f>IFERROR(IF(AND(D197&lt;&gt;"",H197=""), "Check data ⚠",(IF(H197="","",IF(AND(D197="Non-native and ornamental hedgerow", H197&lt;&gt;"Poor"),"Not possible ▲", (IF(AND(F197="V.Low",OR(H197="Good",H197="Moderate")),"Error ▲",VLOOKUP(H197,'G-1 All Habitats'!$Z$2:$AA$9,2,FALSE))))))),"")</f>
        <v/>
      </c>
      <c r="J197" s="109"/>
      <c r="K197" s="301" t="str">
        <f>IF(AND(J197="",D197&lt;&gt;""),"Check data ⚠",IF(J197="","",IF(VLOOKUP(J197,'G-3 Multipliers'!$L$3:$N$6,2,FALSE)=0,"Spatial Data Missing ⚠",VLOOKUP(J197,'G-3 Multipliers'!$L$3:$N$6,2,FALSE))))</f>
        <v/>
      </c>
      <c r="L197" s="305" t="str">
        <f>IF(J197="","",IF(VLOOKUP(J197,'G-3 Multipliers'!$L$3:$N$6,3,FALSE)=0,"Spatial Data Missing ⚠",VLOOKUP(J197,'G-3 Multipliers'!$L$3:$N$6,3,FALSE)))</f>
        <v/>
      </c>
      <c r="M197" s="342" t="str">
        <f>IF(D197="","",VLOOKUP(D197,'G-6 Hedgerow Data'!$B$1:$AH$15,33,FALSE))</f>
        <v/>
      </c>
      <c r="N197" s="295" t="str">
        <f t="shared" si="20"/>
        <v/>
      </c>
      <c r="O197" s="403"/>
      <c r="P197" s="287" t="str">
        <f>IF(O197="","",IF(VLOOKUP(O197,'G-3 Multipliers'!$S$3:$T$10,2,FALSE)=0,"Spatial Data Missing ⚠",VLOOKUP(O197,'G-3 Multipliers'!$S$3:$T$10,2,FALSE)))</f>
        <v/>
      </c>
      <c r="Q197" s="295" t="str">
        <f t="shared" si="21"/>
        <v/>
      </c>
      <c r="R197" s="32"/>
      <c r="S197" s="105"/>
      <c r="T197" s="112"/>
      <c r="U197" s="289" t="str">
        <f t="shared" si="22"/>
        <v/>
      </c>
      <c r="V197" s="289" t="str">
        <f t="shared" si="23"/>
        <v/>
      </c>
      <c r="W197" s="293" t="str">
        <f t="shared" si="24"/>
        <v/>
      </c>
      <c r="X197" s="297" t="str">
        <f t="shared" si="25"/>
        <v/>
      </c>
      <c r="Y197" s="109"/>
      <c r="Z197" s="108"/>
      <c r="AA197" s="108"/>
      <c r="AB197" s="108"/>
      <c r="AE197" s="30" t="str">
        <f>IFERROR(INDEX('G-6 Hedgerow Data'!$BJ$3:$BJ$15,MATCH(D197,'G-6 Hedgerow Data'!$B$3:$B$15,0)),"")</f>
        <v/>
      </c>
      <c r="AH197" s="111" t="str">
        <f t="shared" si="18"/>
        <v/>
      </c>
      <c r="AI197" s="111" t="str">
        <f t="shared" si="19"/>
        <v/>
      </c>
      <c r="AK197" s="111">
        <v>188</v>
      </c>
      <c r="AM197" s="111" t="str">
        <f t="array" ref="AM197">IFERROR(INDEX($AK$10:$AK$258, MATCH(0, IF(TRUE=$AH$10:$AH$258, COUNTIF($AM$9:$AM196, $AK$10:$AK$258), ""), 0)),"")</f>
        <v/>
      </c>
      <c r="AN197" s="111" t="str">
        <f t="array" ref="AN197">IFERROR(INDEX($AK$10:$AK$258, MATCH(0, IF(TRUE=$AI$10:$AI$258, COUNTIF($AN$9:$AN196, $AK$10:$AK$258), ""), 0)),"")</f>
        <v/>
      </c>
      <c r="AY197" s="289" t="str">
        <f t="shared" si="26"/>
        <v/>
      </c>
    </row>
    <row r="198" spans="2:51" ht="13.8" x14ac:dyDescent="0.25">
      <c r="B198" s="101">
        <v>189</v>
      </c>
      <c r="C198" s="142"/>
      <c r="D198" s="142"/>
      <c r="E198" s="108"/>
      <c r="F198" s="281" t="str">
        <f>IF(D198="","",VLOOKUP(D198,'G-6 Hedgerow Data'!$B$2:$AG$15,2,FALSE))</f>
        <v/>
      </c>
      <c r="G198" s="282" t="str">
        <f>IF(D198="","",VLOOKUP(D198,'G-6 Hedgerow Data'!$B$2:$AG$15,3,FALSE))</f>
        <v/>
      </c>
      <c r="H198" s="105"/>
      <c r="I198" s="282" t="str">
        <f>IFERROR(IF(AND(D198&lt;&gt;"",H198=""), "Check data ⚠",(IF(H198="","",IF(AND(D198="Non-native and ornamental hedgerow", H198&lt;&gt;"Poor"),"Not possible ▲", (IF(AND(F198="V.Low",OR(H198="Good",H198="Moderate")),"Error ▲",VLOOKUP(H198,'G-1 All Habitats'!$Z$2:$AA$9,2,FALSE))))))),"")</f>
        <v/>
      </c>
      <c r="J198" s="109"/>
      <c r="K198" s="301" t="str">
        <f>IF(AND(J198="",D198&lt;&gt;""),"Check data ⚠",IF(J198="","",IF(VLOOKUP(J198,'G-3 Multipliers'!$L$3:$N$6,2,FALSE)=0,"Spatial Data Missing ⚠",VLOOKUP(J198,'G-3 Multipliers'!$L$3:$N$6,2,FALSE))))</f>
        <v/>
      </c>
      <c r="L198" s="305" t="str">
        <f>IF(J198="","",IF(VLOOKUP(J198,'G-3 Multipliers'!$L$3:$N$6,3,FALSE)=0,"Spatial Data Missing ⚠",VLOOKUP(J198,'G-3 Multipliers'!$L$3:$N$6,3,FALSE)))</f>
        <v/>
      </c>
      <c r="M198" s="342" t="str">
        <f>IF(D198="","",VLOOKUP(D198,'G-6 Hedgerow Data'!$B$1:$AH$15,33,FALSE))</f>
        <v/>
      </c>
      <c r="N198" s="295" t="str">
        <f t="shared" si="20"/>
        <v/>
      </c>
      <c r="O198" s="403"/>
      <c r="P198" s="287" t="str">
        <f>IF(O198="","",IF(VLOOKUP(O198,'G-3 Multipliers'!$S$3:$T$10,2,FALSE)=0,"Spatial Data Missing ⚠",VLOOKUP(O198,'G-3 Multipliers'!$S$3:$T$10,2,FALSE)))</f>
        <v/>
      </c>
      <c r="Q198" s="295" t="str">
        <f t="shared" si="21"/>
        <v/>
      </c>
      <c r="R198" s="32"/>
      <c r="S198" s="105"/>
      <c r="T198" s="112"/>
      <c r="U198" s="289" t="str">
        <f t="shared" si="22"/>
        <v/>
      </c>
      <c r="V198" s="289" t="str">
        <f t="shared" si="23"/>
        <v/>
      </c>
      <c r="W198" s="293" t="str">
        <f t="shared" si="24"/>
        <v/>
      </c>
      <c r="X198" s="297" t="str">
        <f t="shared" si="25"/>
        <v/>
      </c>
      <c r="Y198" s="109"/>
      <c r="Z198" s="108"/>
      <c r="AA198" s="108"/>
      <c r="AB198" s="108"/>
      <c r="AE198" s="30" t="str">
        <f>IFERROR(INDEX('G-6 Hedgerow Data'!$BJ$3:$BJ$15,MATCH(D198,'G-6 Hedgerow Data'!$B$3:$B$15,0)),"")</f>
        <v/>
      </c>
      <c r="AH198" s="111" t="str">
        <f t="shared" si="18"/>
        <v/>
      </c>
      <c r="AI198" s="111" t="str">
        <f t="shared" si="19"/>
        <v/>
      </c>
      <c r="AK198" s="111">
        <v>189</v>
      </c>
      <c r="AM198" s="111" t="str">
        <f t="array" ref="AM198">IFERROR(INDEX($AK$10:$AK$258, MATCH(0, IF(TRUE=$AH$10:$AH$258, COUNTIF($AM$9:$AM197, $AK$10:$AK$258), ""), 0)),"")</f>
        <v/>
      </c>
      <c r="AN198" s="111" t="str">
        <f t="array" ref="AN198">IFERROR(INDEX($AK$10:$AK$258, MATCH(0, IF(TRUE=$AI$10:$AI$258, COUNTIF($AN$9:$AN197, $AK$10:$AK$258), ""), 0)),"")</f>
        <v/>
      </c>
      <c r="AY198" s="289" t="str">
        <f t="shared" si="26"/>
        <v/>
      </c>
    </row>
    <row r="199" spans="2:51" ht="13.8" x14ac:dyDescent="0.25">
      <c r="B199" s="101">
        <v>190</v>
      </c>
      <c r="C199" s="142"/>
      <c r="D199" s="142"/>
      <c r="E199" s="108"/>
      <c r="F199" s="281" t="str">
        <f>IF(D199="","",VLOOKUP(D199,'G-6 Hedgerow Data'!$B$2:$AG$15,2,FALSE))</f>
        <v/>
      </c>
      <c r="G199" s="282" t="str">
        <f>IF(D199="","",VLOOKUP(D199,'G-6 Hedgerow Data'!$B$2:$AG$15,3,FALSE))</f>
        <v/>
      </c>
      <c r="H199" s="105"/>
      <c r="I199" s="282" t="str">
        <f>IFERROR(IF(AND(D199&lt;&gt;"",H199=""), "Check data ⚠",(IF(H199="","",IF(AND(D199="Non-native and ornamental hedgerow", H199&lt;&gt;"Poor"),"Not possible ▲", (IF(AND(F199="V.Low",OR(H199="Good",H199="Moderate")),"Error ▲",VLOOKUP(H199,'G-1 All Habitats'!$Z$2:$AA$9,2,FALSE))))))),"")</f>
        <v/>
      </c>
      <c r="J199" s="109"/>
      <c r="K199" s="301" t="str">
        <f>IF(AND(J199="",D199&lt;&gt;""),"Check data ⚠",IF(J199="","",IF(VLOOKUP(J199,'G-3 Multipliers'!$L$3:$N$6,2,FALSE)=0,"Spatial Data Missing ⚠",VLOOKUP(J199,'G-3 Multipliers'!$L$3:$N$6,2,FALSE))))</f>
        <v/>
      </c>
      <c r="L199" s="305" t="str">
        <f>IF(J199="","",IF(VLOOKUP(J199,'G-3 Multipliers'!$L$3:$N$6,3,FALSE)=0,"Spatial Data Missing ⚠",VLOOKUP(J199,'G-3 Multipliers'!$L$3:$N$6,3,FALSE)))</f>
        <v/>
      </c>
      <c r="M199" s="342" t="str">
        <f>IF(D199="","",VLOOKUP(D199,'G-6 Hedgerow Data'!$B$1:$AH$15,33,FALSE))</f>
        <v/>
      </c>
      <c r="N199" s="295" t="str">
        <f t="shared" si="20"/>
        <v/>
      </c>
      <c r="O199" s="403"/>
      <c r="P199" s="287" t="str">
        <f>IF(O199="","",IF(VLOOKUP(O199,'G-3 Multipliers'!$S$3:$T$10,2,FALSE)=0,"Spatial Data Missing ⚠",VLOOKUP(O199,'G-3 Multipliers'!$S$3:$T$10,2,FALSE)))</f>
        <v/>
      </c>
      <c r="Q199" s="295" t="str">
        <f t="shared" si="21"/>
        <v/>
      </c>
      <c r="R199" s="32"/>
      <c r="S199" s="105"/>
      <c r="T199" s="112"/>
      <c r="U199" s="289" t="str">
        <f t="shared" si="22"/>
        <v/>
      </c>
      <c r="V199" s="289" t="str">
        <f t="shared" si="23"/>
        <v/>
      </c>
      <c r="W199" s="293" t="str">
        <f t="shared" si="24"/>
        <v/>
      </c>
      <c r="X199" s="297" t="str">
        <f t="shared" si="25"/>
        <v/>
      </c>
      <c r="Y199" s="109"/>
      <c r="Z199" s="108"/>
      <c r="AA199" s="108"/>
      <c r="AB199" s="108"/>
      <c r="AE199" s="30" t="str">
        <f>IFERROR(INDEX('G-6 Hedgerow Data'!$BJ$3:$BJ$15,MATCH(D199,'G-6 Hedgerow Data'!$B$3:$B$15,0)),"")</f>
        <v/>
      </c>
      <c r="AH199" s="111" t="str">
        <f t="shared" si="18"/>
        <v/>
      </c>
      <c r="AI199" s="111" t="str">
        <f t="shared" si="19"/>
        <v/>
      </c>
      <c r="AK199" s="111">
        <v>190</v>
      </c>
      <c r="AM199" s="111" t="str">
        <f t="array" ref="AM199">IFERROR(INDEX($AK$10:$AK$258, MATCH(0, IF(TRUE=$AH$10:$AH$258, COUNTIF($AM$9:$AM198, $AK$10:$AK$258), ""), 0)),"")</f>
        <v/>
      </c>
      <c r="AN199" s="111" t="str">
        <f t="array" ref="AN199">IFERROR(INDEX($AK$10:$AK$258, MATCH(0, IF(TRUE=$AI$10:$AI$258, COUNTIF($AN$9:$AN198, $AK$10:$AK$258), ""), 0)),"")</f>
        <v/>
      </c>
      <c r="AY199" s="289" t="str">
        <f t="shared" si="26"/>
        <v/>
      </c>
    </row>
    <row r="200" spans="2:51" ht="13.8" x14ac:dyDescent="0.25">
      <c r="B200" s="101">
        <v>191</v>
      </c>
      <c r="C200" s="142"/>
      <c r="D200" s="142"/>
      <c r="E200" s="108"/>
      <c r="F200" s="281" t="str">
        <f>IF(D200="","",VLOOKUP(D200,'G-6 Hedgerow Data'!$B$2:$AG$15,2,FALSE))</f>
        <v/>
      </c>
      <c r="G200" s="282" t="str">
        <f>IF(D200="","",VLOOKUP(D200,'G-6 Hedgerow Data'!$B$2:$AG$15,3,FALSE))</f>
        <v/>
      </c>
      <c r="H200" s="105"/>
      <c r="I200" s="282" t="str">
        <f>IFERROR(IF(AND(D200&lt;&gt;"",H200=""), "Check data ⚠",(IF(H200="","",IF(AND(D200="Non-native and ornamental hedgerow", H200&lt;&gt;"Poor"),"Not possible ▲", (IF(AND(F200="V.Low",OR(H200="Good",H200="Moderate")),"Error ▲",VLOOKUP(H200,'G-1 All Habitats'!$Z$2:$AA$9,2,FALSE))))))),"")</f>
        <v/>
      </c>
      <c r="J200" s="109"/>
      <c r="K200" s="301" t="str">
        <f>IF(AND(J200="",D200&lt;&gt;""),"Check data ⚠",IF(J200="","",IF(VLOOKUP(J200,'G-3 Multipliers'!$L$3:$N$6,2,FALSE)=0,"Spatial Data Missing ⚠",VLOOKUP(J200,'G-3 Multipliers'!$L$3:$N$6,2,FALSE))))</f>
        <v/>
      </c>
      <c r="L200" s="305" t="str">
        <f>IF(J200="","",IF(VLOOKUP(J200,'G-3 Multipliers'!$L$3:$N$6,3,FALSE)=0,"Spatial Data Missing ⚠",VLOOKUP(J200,'G-3 Multipliers'!$L$3:$N$6,3,FALSE)))</f>
        <v/>
      </c>
      <c r="M200" s="342" t="str">
        <f>IF(D200="","",VLOOKUP(D200,'G-6 Hedgerow Data'!$B$1:$AH$15,33,FALSE))</f>
        <v/>
      </c>
      <c r="N200" s="295" t="str">
        <f t="shared" si="20"/>
        <v/>
      </c>
      <c r="O200" s="403"/>
      <c r="P200" s="287" t="str">
        <f>IF(O200="","",IF(VLOOKUP(O200,'G-3 Multipliers'!$S$3:$T$10,2,FALSE)=0,"Spatial Data Missing ⚠",VLOOKUP(O200,'G-3 Multipliers'!$S$3:$T$10,2,FALSE)))</f>
        <v/>
      </c>
      <c r="Q200" s="295" t="str">
        <f t="shared" si="21"/>
        <v/>
      </c>
      <c r="R200" s="32"/>
      <c r="S200" s="105"/>
      <c r="T200" s="112"/>
      <c r="U200" s="289" t="str">
        <f t="shared" si="22"/>
        <v/>
      </c>
      <c r="V200" s="289" t="str">
        <f t="shared" si="23"/>
        <v/>
      </c>
      <c r="W200" s="293" t="str">
        <f t="shared" si="24"/>
        <v/>
      </c>
      <c r="X200" s="297" t="str">
        <f t="shared" si="25"/>
        <v/>
      </c>
      <c r="Y200" s="109"/>
      <c r="Z200" s="108"/>
      <c r="AA200" s="108"/>
      <c r="AB200" s="108"/>
      <c r="AE200" s="30" t="str">
        <f>IFERROR(INDEX('G-6 Hedgerow Data'!$BJ$3:$BJ$15,MATCH(D200,'G-6 Hedgerow Data'!$B$3:$B$15,0)),"")</f>
        <v/>
      </c>
      <c r="AH200" s="111" t="str">
        <f t="shared" si="18"/>
        <v/>
      </c>
      <c r="AI200" s="111" t="str">
        <f t="shared" si="19"/>
        <v/>
      </c>
      <c r="AK200" s="111">
        <v>191</v>
      </c>
      <c r="AM200" s="111" t="str">
        <f t="array" ref="AM200">IFERROR(INDEX($AK$10:$AK$258, MATCH(0, IF(TRUE=$AH$10:$AH$258, COUNTIF($AM$9:$AM199, $AK$10:$AK$258), ""), 0)),"")</f>
        <v/>
      </c>
      <c r="AN200" s="111" t="str">
        <f t="array" ref="AN200">IFERROR(INDEX($AK$10:$AK$258, MATCH(0, IF(TRUE=$AI$10:$AI$258, COUNTIF($AN$9:$AN199, $AK$10:$AK$258), ""), 0)),"")</f>
        <v/>
      </c>
      <c r="AY200" s="289" t="str">
        <f t="shared" si="26"/>
        <v/>
      </c>
    </row>
    <row r="201" spans="2:51" ht="13.8" x14ac:dyDescent="0.25">
      <c r="B201" s="101">
        <v>192</v>
      </c>
      <c r="C201" s="142"/>
      <c r="D201" s="142"/>
      <c r="E201" s="108"/>
      <c r="F201" s="281" t="str">
        <f>IF(D201="","",VLOOKUP(D201,'G-6 Hedgerow Data'!$B$2:$AG$15,2,FALSE))</f>
        <v/>
      </c>
      <c r="G201" s="282" t="str">
        <f>IF(D201="","",VLOOKUP(D201,'G-6 Hedgerow Data'!$B$2:$AG$15,3,FALSE))</f>
        <v/>
      </c>
      <c r="H201" s="105"/>
      <c r="I201" s="282" t="str">
        <f>IFERROR(IF(AND(D201&lt;&gt;"",H201=""), "Check data ⚠",(IF(H201="","",IF(AND(D201="Non-native and ornamental hedgerow", H201&lt;&gt;"Poor"),"Not possible ▲", (IF(AND(F201="V.Low",OR(H201="Good",H201="Moderate")),"Error ▲",VLOOKUP(H201,'G-1 All Habitats'!$Z$2:$AA$9,2,FALSE))))))),"")</f>
        <v/>
      </c>
      <c r="J201" s="109"/>
      <c r="K201" s="301" t="str">
        <f>IF(AND(J201="",D201&lt;&gt;""),"Check data ⚠",IF(J201="","",IF(VLOOKUP(J201,'G-3 Multipliers'!$L$3:$N$6,2,FALSE)=0,"Spatial Data Missing ⚠",VLOOKUP(J201,'G-3 Multipliers'!$L$3:$N$6,2,FALSE))))</f>
        <v/>
      </c>
      <c r="L201" s="305" t="str">
        <f>IF(J201="","",IF(VLOOKUP(J201,'G-3 Multipliers'!$L$3:$N$6,3,FALSE)=0,"Spatial Data Missing ⚠",VLOOKUP(J201,'G-3 Multipliers'!$L$3:$N$6,3,FALSE)))</f>
        <v/>
      </c>
      <c r="M201" s="342" t="str">
        <f>IF(D201="","",VLOOKUP(D201,'G-6 Hedgerow Data'!$B$1:$AH$15,33,FALSE))</f>
        <v/>
      </c>
      <c r="N201" s="295" t="str">
        <f t="shared" si="20"/>
        <v/>
      </c>
      <c r="O201" s="403"/>
      <c r="P201" s="287" t="str">
        <f>IF(O201="","",IF(VLOOKUP(O201,'G-3 Multipliers'!$S$3:$T$10,2,FALSE)=0,"Spatial Data Missing ⚠",VLOOKUP(O201,'G-3 Multipliers'!$S$3:$T$10,2,FALSE)))</f>
        <v/>
      </c>
      <c r="Q201" s="295" t="str">
        <f t="shared" si="21"/>
        <v/>
      </c>
      <c r="R201" s="32"/>
      <c r="S201" s="105"/>
      <c r="T201" s="112"/>
      <c r="U201" s="289" t="str">
        <f t="shared" si="22"/>
        <v/>
      </c>
      <c r="V201" s="289" t="str">
        <f t="shared" si="23"/>
        <v/>
      </c>
      <c r="W201" s="293" t="str">
        <f t="shared" si="24"/>
        <v/>
      </c>
      <c r="X201" s="297" t="str">
        <f t="shared" si="25"/>
        <v/>
      </c>
      <c r="Y201" s="109"/>
      <c r="Z201" s="108"/>
      <c r="AA201" s="108"/>
      <c r="AB201" s="108"/>
      <c r="AE201" s="30" t="str">
        <f>IFERROR(INDEX('G-6 Hedgerow Data'!$BJ$3:$BJ$15,MATCH(D201,'G-6 Hedgerow Data'!$B$3:$B$15,0)),"")</f>
        <v/>
      </c>
      <c r="AH201" s="111" t="str">
        <f t="shared" si="18"/>
        <v/>
      </c>
      <c r="AI201" s="111" t="str">
        <f t="shared" si="19"/>
        <v/>
      </c>
      <c r="AK201" s="111">
        <v>192</v>
      </c>
      <c r="AM201" s="111" t="str">
        <f t="array" ref="AM201">IFERROR(INDEX($AK$10:$AK$258, MATCH(0, IF(TRUE=$AH$10:$AH$258, COUNTIF($AM$9:$AM200, $AK$10:$AK$258), ""), 0)),"")</f>
        <v/>
      </c>
      <c r="AN201" s="111" t="str">
        <f t="array" ref="AN201">IFERROR(INDEX($AK$10:$AK$258, MATCH(0, IF(TRUE=$AI$10:$AI$258, COUNTIF($AN$9:$AN200, $AK$10:$AK$258), ""), 0)),"")</f>
        <v/>
      </c>
      <c r="AY201" s="289" t="str">
        <f t="shared" si="26"/>
        <v/>
      </c>
    </row>
    <row r="202" spans="2:51" ht="13.8" x14ac:dyDescent="0.25">
      <c r="B202" s="101">
        <v>193</v>
      </c>
      <c r="C202" s="142"/>
      <c r="D202" s="142"/>
      <c r="E202" s="108"/>
      <c r="F202" s="281" t="str">
        <f>IF(D202="","",VLOOKUP(D202,'G-6 Hedgerow Data'!$B$2:$AG$15,2,FALSE))</f>
        <v/>
      </c>
      <c r="G202" s="282" t="str">
        <f>IF(D202="","",VLOOKUP(D202,'G-6 Hedgerow Data'!$B$2:$AG$15,3,FALSE))</f>
        <v/>
      </c>
      <c r="H202" s="105"/>
      <c r="I202" s="282" t="str">
        <f>IFERROR(IF(AND(D202&lt;&gt;"",H202=""), "Check data ⚠",(IF(H202="","",IF(AND(D202="Non-native and ornamental hedgerow", H202&lt;&gt;"Poor"),"Not possible ▲", (IF(AND(F202="V.Low",OR(H202="Good",H202="Moderate")),"Error ▲",VLOOKUP(H202,'G-1 All Habitats'!$Z$2:$AA$9,2,FALSE))))))),"")</f>
        <v/>
      </c>
      <c r="J202" s="109"/>
      <c r="K202" s="301" t="str">
        <f>IF(AND(J202="",D202&lt;&gt;""),"Check data ⚠",IF(J202="","",IF(VLOOKUP(J202,'G-3 Multipliers'!$L$3:$N$6,2,FALSE)=0,"Spatial Data Missing ⚠",VLOOKUP(J202,'G-3 Multipliers'!$L$3:$N$6,2,FALSE))))</f>
        <v/>
      </c>
      <c r="L202" s="305" t="str">
        <f>IF(J202="","",IF(VLOOKUP(J202,'G-3 Multipliers'!$L$3:$N$6,3,FALSE)=0,"Spatial Data Missing ⚠",VLOOKUP(J202,'G-3 Multipliers'!$L$3:$N$6,3,FALSE)))</f>
        <v/>
      </c>
      <c r="M202" s="342" t="str">
        <f>IF(D202="","",VLOOKUP(D202,'G-6 Hedgerow Data'!$B$1:$AH$15,33,FALSE))</f>
        <v/>
      </c>
      <c r="N202" s="295" t="str">
        <f t="shared" si="20"/>
        <v/>
      </c>
      <c r="O202" s="403"/>
      <c r="P202" s="287" t="str">
        <f>IF(O202="","",IF(VLOOKUP(O202,'G-3 Multipliers'!$S$3:$T$10,2,FALSE)=0,"Spatial Data Missing ⚠",VLOOKUP(O202,'G-3 Multipliers'!$S$3:$T$10,2,FALSE)))</f>
        <v/>
      </c>
      <c r="Q202" s="295" t="str">
        <f t="shared" si="21"/>
        <v/>
      </c>
      <c r="R202" s="32"/>
      <c r="S202" s="105"/>
      <c r="T202" s="112"/>
      <c r="U202" s="289" t="str">
        <f t="shared" si="22"/>
        <v/>
      </c>
      <c r="V202" s="289" t="str">
        <f t="shared" si="23"/>
        <v/>
      </c>
      <c r="W202" s="293" t="str">
        <f t="shared" si="24"/>
        <v/>
      </c>
      <c r="X202" s="297" t="str">
        <f t="shared" si="25"/>
        <v/>
      </c>
      <c r="Y202" s="109"/>
      <c r="Z202" s="108"/>
      <c r="AA202" s="108"/>
      <c r="AB202" s="108"/>
      <c r="AE202" s="30" t="str">
        <f>IFERROR(INDEX('G-6 Hedgerow Data'!$BJ$3:$BJ$15,MATCH(D202,'G-6 Hedgerow Data'!$B$3:$B$15,0)),"")</f>
        <v/>
      </c>
      <c r="AH202" s="111" t="str">
        <f t="shared" ref="AH202:AH257" si="27">IF(D202="","",IF(S202&gt;0,TRUE,FALSE))</f>
        <v/>
      </c>
      <c r="AI202" s="111" t="str">
        <f t="shared" ref="AI202:AI257" si="28">IF(D202="","",IF(T202&gt;0,TRUE,FALSE))</f>
        <v/>
      </c>
      <c r="AK202" s="111">
        <v>193</v>
      </c>
      <c r="AM202" s="111" t="str">
        <f t="array" ref="AM202">IFERROR(INDEX($AK$10:$AK$258, MATCH(0, IF(TRUE=$AH$10:$AH$258, COUNTIF($AM$9:$AM201, $AK$10:$AK$258), ""), 0)),"")</f>
        <v/>
      </c>
      <c r="AN202" s="111" t="str">
        <f t="array" ref="AN202">IFERROR(INDEX($AK$10:$AK$258, MATCH(0, IF(TRUE=$AI$10:$AI$258, COUNTIF($AN$9:$AN201, $AK$10:$AK$258), ""), 0)),"")</f>
        <v/>
      </c>
      <c r="AY202" s="289" t="str">
        <f t="shared" si="26"/>
        <v/>
      </c>
    </row>
    <row r="203" spans="2:51" ht="13.8" x14ac:dyDescent="0.25">
      <c r="B203" s="101">
        <v>194</v>
      </c>
      <c r="C203" s="142"/>
      <c r="D203" s="142"/>
      <c r="E203" s="108"/>
      <c r="F203" s="281" t="str">
        <f>IF(D203="","",VLOOKUP(D203,'G-6 Hedgerow Data'!$B$2:$AG$15,2,FALSE))</f>
        <v/>
      </c>
      <c r="G203" s="282" t="str">
        <f>IF(D203="","",VLOOKUP(D203,'G-6 Hedgerow Data'!$B$2:$AG$15,3,FALSE))</f>
        <v/>
      </c>
      <c r="H203" s="105"/>
      <c r="I203" s="282" t="str">
        <f>IFERROR(IF(AND(D203&lt;&gt;"",H203=""), "Check data ⚠",(IF(H203="","",IF(AND(D203="Non-native and ornamental hedgerow", H203&lt;&gt;"Poor"),"Not possible ▲", (IF(AND(F203="V.Low",OR(H203="Good",H203="Moderate")),"Error ▲",VLOOKUP(H203,'G-1 All Habitats'!$Z$2:$AA$9,2,FALSE))))))),"")</f>
        <v/>
      </c>
      <c r="J203" s="109"/>
      <c r="K203" s="301" t="str">
        <f>IF(AND(J203="",D203&lt;&gt;""),"Check data ⚠",IF(J203="","",IF(VLOOKUP(J203,'G-3 Multipliers'!$L$3:$N$6,2,FALSE)=0,"Spatial Data Missing ⚠",VLOOKUP(J203,'G-3 Multipliers'!$L$3:$N$6,2,FALSE))))</f>
        <v/>
      </c>
      <c r="L203" s="305" t="str">
        <f>IF(J203="","",IF(VLOOKUP(J203,'G-3 Multipliers'!$L$3:$N$6,3,FALSE)=0,"Spatial Data Missing ⚠",VLOOKUP(J203,'G-3 Multipliers'!$L$3:$N$6,3,FALSE)))</f>
        <v/>
      </c>
      <c r="M203" s="342" t="str">
        <f>IF(D203="","",VLOOKUP(D203,'G-6 Hedgerow Data'!$B$1:$AH$15,33,FALSE))</f>
        <v/>
      </c>
      <c r="N203" s="295" t="str">
        <f t="shared" ref="N203:N257" si="29">IFERROR(IF(Q203="Check data ⚠", "Check data ⚠",(E203*G203*I203*L203*P203)),"")</f>
        <v/>
      </c>
      <c r="O203" s="403"/>
      <c r="P203" s="287" t="str">
        <f>IF(O203="","",IF(VLOOKUP(O203,'G-3 Multipliers'!$S$3:$T$10,2,FALSE)=0,"Spatial Data Missing ⚠",VLOOKUP(O203,'G-3 Multipliers'!$S$3:$T$10,2,FALSE)))</f>
        <v/>
      </c>
      <c r="Q203" s="295" t="str">
        <f t="shared" ref="Q203:Q257" si="30">IFERROR(IF(OR(K203="Check data ⚠", I203="Check data ⚠",W203="Error in lengths ▲"), "Check data ▲", (IF(AND(O203&lt;&gt;"",AB203=""), "Off-site reference required ▲",(IF(O203="", "", E203*G203*I203*L203))))),"")</f>
        <v/>
      </c>
      <c r="R203" s="32"/>
      <c r="S203" s="105"/>
      <c r="T203" s="112"/>
      <c r="U203" s="289" t="str">
        <f t="shared" ref="U203:U257" si="31">IFERROR(S203*G203*I203*L203,"")</f>
        <v/>
      </c>
      <c r="V203" s="289" t="str">
        <f t="shared" ref="V203:V257" si="32">IFERROR(T203*G203*I203*L203,"")</f>
        <v/>
      </c>
      <c r="W203" s="293" t="str">
        <f t="shared" ref="W203:W257" si="33">IF(D203="","",IF(E203&lt;S203+T203,"Error in Lengths ▲",E203-S203-T203))</f>
        <v/>
      </c>
      <c r="X203" s="297" t="str">
        <f t="shared" ref="X203:X257" si="34">IF(Q203="Check data ⚠","Check data ⚠",IF(OR(E203="",N203=""),"",IF(E203&lt;S203+T203,"Error in Lengths",Q203-U203-V203)))</f>
        <v/>
      </c>
      <c r="Y203" s="109"/>
      <c r="Z203" s="108"/>
      <c r="AA203" s="108"/>
      <c r="AB203" s="108"/>
      <c r="AE203" s="30" t="str">
        <f>IFERROR(INDEX('G-6 Hedgerow Data'!$BJ$3:$BJ$15,MATCH(D203,'G-6 Hedgerow Data'!$B$3:$B$15,0)),"")</f>
        <v/>
      </c>
      <c r="AH203" s="111" t="str">
        <f t="shared" si="27"/>
        <v/>
      </c>
      <c r="AI203" s="111" t="str">
        <f t="shared" si="28"/>
        <v/>
      </c>
      <c r="AK203" s="111">
        <v>194</v>
      </c>
      <c r="AM203" s="111" t="str">
        <f t="array" ref="AM203">IFERROR(INDEX($AK$10:$AK$258, MATCH(0, IF(TRUE=$AH$10:$AH$258, COUNTIF($AM$9:$AM202, $AK$10:$AK$258), ""), 0)),"")</f>
        <v/>
      </c>
      <c r="AN203" s="111" t="str">
        <f t="array" ref="AN203">IFERROR(INDEX($AK$10:$AK$258, MATCH(0, IF(TRUE=$AI$10:$AI$258, COUNTIF($AN$9:$AN202, $AK$10:$AK$258), ""), 0)),"")</f>
        <v/>
      </c>
      <c r="AY203" s="289" t="str">
        <f t="shared" ref="AY203:AY257" si="35">IFERROR(S203*G203*I203*L203*P203,"")</f>
        <v/>
      </c>
    </row>
    <row r="204" spans="2:51" ht="13.8" x14ac:dyDescent="0.25">
      <c r="B204" s="101">
        <v>195</v>
      </c>
      <c r="C204" s="142"/>
      <c r="D204" s="142"/>
      <c r="E204" s="108"/>
      <c r="F204" s="281" t="str">
        <f>IF(D204="","",VLOOKUP(D204,'G-6 Hedgerow Data'!$B$2:$AG$15,2,FALSE))</f>
        <v/>
      </c>
      <c r="G204" s="282" t="str">
        <f>IF(D204="","",VLOOKUP(D204,'G-6 Hedgerow Data'!$B$2:$AG$15,3,FALSE))</f>
        <v/>
      </c>
      <c r="H204" s="105"/>
      <c r="I204" s="282" t="str">
        <f>IFERROR(IF(AND(D204&lt;&gt;"",H204=""), "Check data ⚠",(IF(H204="","",IF(AND(D204="Non-native and ornamental hedgerow", H204&lt;&gt;"Poor"),"Not possible ▲", (IF(AND(F204="V.Low",OR(H204="Good",H204="Moderate")),"Error ▲",VLOOKUP(H204,'G-1 All Habitats'!$Z$2:$AA$9,2,FALSE))))))),"")</f>
        <v/>
      </c>
      <c r="J204" s="109"/>
      <c r="K204" s="301" t="str">
        <f>IF(AND(J204="",D204&lt;&gt;""),"Check data ⚠",IF(J204="","",IF(VLOOKUP(J204,'G-3 Multipliers'!$L$3:$N$6,2,FALSE)=0,"Spatial Data Missing ⚠",VLOOKUP(J204,'G-3 Multipliers'!$L$3:$N$6,2,FALSE))))</f>
        <v/>
      </c>
      <c r="L204" s="305" t="str">
        <f>IF(J204="","",IF(VLOOKUP(J204,'G-3 Multipliers'!$L$3:$N$6,3,FALSE)=0,"Spatial Data Missing ⚠",VLOOKUP(J204,'G-3 Multipliers'!$L$3:$N$6,3,FALSE)))</f>
        <v/>
      </c>
      <c r="M204" s="342" t="str">
        <f>IF(D204="","",VLOOKUP(D204,'G-6 Hedgerow Data'!$B$1:$AH$15,33,FALSE))</f>
        <v/>
      </c>
      <c r="N204" s="295" t="str">
        <f t="shared" si="29"/>
        <v/>
      </c>
      <c r="O204" s="403"/>
      <c r="P204" s="287" t="str">
        <f>IF(O204="","",IF(VLOOKUP(O204,'G-3 Multipliers'!$S$3:$T$10,2,FALSE)=0,"Spatial Data Missing ⚠",VLOOKUP(O204,'G-3 Multipliers'!$S$3:$T$10,2,FALSE)))</f>
        <v/>
      </c>
      <c r="Q204" s="295" t="str">
        <f t="shared" si="30"/>
        <v/>
      </c>
      <c r="R204" s="32"/>
      <c r="S204" s="105"/>
      <c r="T204" s="112"/>
      <c r="U204" s="289" t="str">
        <f t="shared" si="31"/>
        <v/>
      </c>
      <c r="V204" s="289" t="str">
        <f t="shared" si="32"/>
        <v/>
      </c>
      <c r="W204" s="293" t="str">
        <f t="shared" si="33"/>
        <v/>
      </c>
      <c r="X204" s="297" t="str">
        <f t="shared" si="34"/>
        <v/>
      </c>
      <c r="Y204" s="109"/>
      <c r="Z204" s="108"/>
      <c r="AA204" s="108"/>
      <c r="AB204" s="108"/>
      <c r="AE204" s="30" t="str">
        <f>IFERROR(INDEX('G-6 Hedgerow Data'!$BJ$3:$BJ$15,MATCH(D204,'G-6 Hedgerow Data'!$B$3:$B$15,0)),"")</f>
        <v/>
      </c>
      <c r="AH204" s="111" t="str">
        <f t="shared" si="27"/>
        <v/>
      </c>
      <c r="AI204" s="111" t="str">
        <f t="shared" si="28"/>
        <v/>
      </c>
      <c r="AK204" s="111">
        <v>195</v>
      </c>
      <c r="AM204" s="111" t="str">
        <f t="array" ref="AM204">IFERROR(INDEX($AK$10:$AK$258, MATCH(0, IF(TRUE=$AH$10:$AH$258, COUNTIF($AM$9:$AM203, $AK$10:$AK$258), ""), 0)),"")</f>
        <v/>
      </c>
      <c r="AN204" s="111" t="str">
        <f t="array" ref="AN204">IFERROR(INDEX($AK$10:$AK$258, MATCH(0, IF(TRUE=$AI$10:$AI$258, COUNTIF($AN$9:$AN203, $AK$10:$AK$258), ""), 0)),"")</f>
        <v/>
      </c>
      <c r="AY204" s="289" t="str">
        <f t="shared" si="35"/>
        <v/>
      </c>
    </row>
    <row r="205" spans="2:51" ht="13.8" x14ac:dyDescent="0.25">
      <c r="B205" s="101">
        <v>196</v>
      </c>
      <c r="C205" s="142"/>
      <c r="D205" s="142"/>
      <c r="E205" s="108"/>
      <c r="F205" s="281" t="str">
        <f>IF(D205="","",VLOOKUP(D205,'G-6 Hedgerow Data'!$B$2:$AG$15,2,FALSE))</f>
        <v/>
      </c>
      <c r="G205" s="282" t="str">
        <f>IF(D205="","",VLOOKUP(D205,'G-6 Hedgerow Data'!$B$2:$AG$15,3,FALSE))</f>
        <v/>
      </c>
      <c r="H205" s="105"/>
      <c r="I205" s="282" t="str">
        <f>IFERROR(IF(AND(D205&lt;&gt;"",H205=""), "Check data ⚠",(IF(H205="","",IF(AND(D205="Non-native and ornamental hedgerow", H205&lt;&gt;"Poor"),"Not possible ▲", (IF(AND(F205="V.Low",OR(H205="Good",H205="Moderate")),"Error ▲",VLOOKUP(H205,'G-1 All Habitats'!$Z$2:$AA$9,2,FALSE))))))),"")</f>
        <v/>
      </c>
      <c r="J205" s="109"/>
      <c r="K205" s="301" t="str">
        <f>IF(AND(J205="",D205&lt;&gt;""),"Check data ⚠",IF(J205="","",IF(VLOOKUP(J205,'G-3 Multipliers'!$L$3:$N$6,2,FALSE)=0,"Spatial Data Missing ⚠",VLOOKUP(J205,'G-3 Multipliers'!$L$3:$N$6,2,FALSE))))</f>
        <v/>
      </c>
      <c r="L205" s="305" t="str">
        <f>IF(J205="","",IF(VLOOKUP(J205,'G-3 Multipliers'!$L$3:$N$6,3,FALSE)=0,"Spatial Data Missing ⚠",VLOOKUP(J205,'G-3 Multipliers'!$L$3:$N$6,3,FALSE)))</f>
        <v/>
      </c>
      <c r="M205" s="342" t="str">
        <f>IF(D205="","",VLOOKUP(D205,'G-6 Hedgerow Data'!$B$1:$AH$15,33,FALSE))</f>
        <v/>
      </c>
      <c r="N205" s="295" t="str">
        <f t="shared" si="29"/>
        <v/>
      </c>
      <c r="O205" s="403"/>
      <c r="P205" s="287" t="str">
        <f>IF(O205="","",IF(VLOOKUP(O205,'G-3 Multipliers'!$S$3:$T$10,2,FALSE)=0,"Spatial Data Missing ⚠",VLOOKUP(O205,'G-3 Multipliers'!$S$3:$T$10,2,FALSE)))</f>
        <v/>
      </c>
      <c r="Q205" s="295" t="str">
        <f t="shared" si="30"/>
        <v/>
      </c>
      <c r="R205" s="32"/>
      <c r="S205" s="105"/>
      <c r="T205" s="112"/>
      <c r="U205" s="289" t="str">
        <f t="shared" si="31"/>
        <v/>
      </c>
      <c r="V205" s="289" t="str">
        <f t="shared" si="32"/>
        <v/>
      </c>
      <c r="W205" s="293" t="str">
        <f t="shared" si="33"/>
        <v/>
      </c>
      <c r="X205" s="297" t="str">
        <f t="shared" si="34"/>
        <v/>
      </c>
      <c r="Y205" s="109"/>
      <c r="Z205" s="108"/>
      <c r="AA205" s="108"/>
      <c r="AB205" s="108"/>
      <c r="AE205" s="30" t="str">
        <f>IFERROR(INDEX('G-6 Hedgerow Data'!$BJ$3:$BJ$15,MATCH(D205,'G-6 Hedgerow Data'!$B$3:$B$15,0)),"")</f>
        <v/>
      </c>
      <c r="AH205" s="111" t="str">
        <f t="shared" si="27"/>
        <v/>
      </c>
      <c r="AI205" s="111" t="str">
        <f t="shared" si="28"/>
        <v/>
      </c>
      <c r="AK205" s="111">
        <v>196</v>
      </c>
      <c r="AM205" s="111" t="str">
        <f t="array" ref="AM205">IFERROR(INDEX($AK$10:$AK$258, MATCH(0, IF(TRUE=$AH$10:$AH$258, COUNTIF($AM$9:$AM204, $AK$10:$AK$258), ""), 0)),"")</f>
        <v/>
      </c>
      <c r="AN205" s="111" t="str">
        <f t="array" ref="AN205">IFERROR(INDEX($AK$10:$AK$258, MATCH(0, IF(TRUE=$AI$10:$AI$258, COUNTIF($AN$9:$AN204, $AK$10:$AK$258), ""), 0)),"")</f>
        <v/>
      </c>
      <c r="AY205" s="289" t="str">
        <f t="shared" si="35"/>
        <v/>
      </c>
    </row>
    <row r="206" spans="2:51" ht="13.8" x14ac:dyDescent="0.25">
      <c r="B206" s="101">
        <v>197</v>
      </c>
      <c r="C206" s="142"/>
      <c r="D206" s="142"/>
      <c r="E206" s="108"/>
      <c r="F206" s="281" t="str">
        <f>IF(D206="","",VLOOKUP(D206,'G-6 Hedgerow Data'!$B$2:$AG$15,2,FALSE))</f>
        <v/>
      </c>
      <c r="G206" s="282" t="str">
        <f>IF(D206="","",VLOOKUP(D206,'G-6 Hedgerow Data'!$B$2:$AG$15,3,FALSE))</f>
        <v/>
      </c>
      <c r="H206" s="105"/>
      <c r="I206" s="282" t="str">
        <f>IFERROR(IF(AND(D206&lt;&gt;"",H206=""), "Check data ⚠",(IF(H206="","",IF(AND(D206="Non-native and ornamental hedgerow", H206&lt;&gt;"Poor"),"Not possible ▲", (IF(AND(F206="V.Low",OR(H206="Good",H206="Moderate")),"Error ▲",VLOOKUP(H206,'G-1 All Habitats'!$Z$2:$AA$9,2,FALSE))))))),"")</f>
        <v/>
      </c>
      <c r="J206" s="109"/>
      <c r="K206" s="301" t="str">
        <f>IF(AND(J206="",D206&lt;&gt;""),"Check data ⚠",IF(J206="","",IF(VLOOKUP(J206,'G-3 Multipliers'!$L$3:$N$6,2,FALSE)=0,"Spatial Data Missing ⚠",VLOOKUP(J206,'G-3 Multipliers'!$L$3:$N$6,2,FALSE))))</f>
        <v/>
      </c>
      <c r="L206" s="305" t="str">
        <f>IF(J206="","",IF(VLOOKUP(J206,'G-3 Multipliers'!$L$3:$N$6,3,FALSE)=0,"Spatial Data Missing ⚠",VLOOKUP(J206,'G-3 Multipliers'!$L$3:$N$6,3,FALSE)))</f>
        <v/>
      </c>
      <c r="M206" s="342" t="str">
        <f>IF(D206="","",VLOOKUP(D206,'G-6 Hedgerow Data'!$B$1:$AH$15,33,FALSE))</f>
        <v/>
      </c>
      <c r="N206" s="295" t="str">
        <f t="shared" si="29"/>
        <v/>
      </c>
      <c r="O206" s="403"/>
      <c r="P206" s="287" t="str">
        <f>IF(O206="","",IF(VLOOKUP(O206,'G-3 Multipliers'!$S$3:$T$10,2,FALSE)=0,"Spatial Data Missing ⚠",VLOOKUP(O206,'G-3 Multipliers'!$S$3:$T$10,2,FALSE)))</f>
        <v/>
      </c>
      <c r="Q206" s="295" t="str">
        <f t="shared" si="30"/>
        <v/>
      </c>
      <c r="R206" s="32"/>
      <c r="S206" s="105"/>
      <c r="T206" s="112"/>
      <c r="U206" s="289" t="str">
        <f t="shared" si="31"/>
        <v/>
      </c>
      <c r="V206" s="289" t="str">
        <f t="shared" si="32"/>
        <v/>
      </c>
      <c r="W206" s="293" t="str">
        <f t="shared" si="33"/>
        <v/>
      </c>
      <c r="X206" s="297" t="str">
        <f t="shared" si="34"/>
        <v/>
      </c>
      <c r="Y206" s="109"/>
      <c r="Z206" s="108"/>
      <c r="AA206" s="108"/>
      <c r="AB206" s="108"/>
      <c r="AE206" s="30" t="str">
        <f>IFERROR(INDEX('G-6 Hedgerow Data'!$BJ$3:$BJ$15,MATCH(D206,'G-6 Hedgerow Data'!$B$3:$B$15,0)),"")</f>
        <v/>
      </c>
      <c r="AH206" s="111" t="str">
        <f t="shared" si="27"/>
        <v/>
      </c>
      <c r="AI206" s="111" t="str">
        <f t="shared" si="28"/>
        <v/>
      </c>
      <c r="AK206" s="111">
        <v>197</v>
      </c>
      <c r="AM206" s="111" t="str">
        <f t="array" ref="AM206">IFERROR(INDEX($AK$10:$AK$258, MATCH(0, IF(TRUE=$AH$10:$AH$258, COUNTIF($AM$9:$AM205, $AK$10:$AK$258), ""), 0)),"")</f>
        <v/>
      </c>
      <c r="AN206" s="111" t="str">
        <f t="array" ref="AN206">IFERROR(INDEX($AK$10:$AK$258, MATCH(0, IF(TRUE=$AI$10:$AI$258, COUNTIF($AN$9:$AN205, $AK$10:$AK$258), ""), 0)),"")</f>
        <v/>
      </c>
      <c r="AY206" s="289" t="str">
        <f t="shared" si="35"/>
        <v/>
      </c>
    </row>
    <row r="207" spans="2:51" ht="13.8" x14ac:dyDescent="0.25">
      <c r="B207" s="101">
        <v>198</v>
      </c>
      <c r="C207" s="142"/>
      <c r="D207" s="142"/>
      <c r="E207" s="108"/>
      <c r="F207" s="281" t="str">
        <f>IF(D207="","",VLOOKUP(D207,'G-6 Hedgerow Data'!$B$2:$AG$15,2,FALSE))</f>
        <v/>
      </c>
      <c r="G207" s="282" t="str">
        <f>IF(D207="","",VLOOKUP(D207,'G-6 Hedgerow Data'!$B$2:$AG$15,3,FALSE))</f>
        <v/>
      </c>
      <c r="H207" s="105"/>
      <c r="I207" s="282" t="str">
        <f>IFERROR(IF(AND(D207&lt;&gt;"",H207=""), "Check data ⚠",(IF(H207="","",IF(AND(D207="Non-native and ornamental hedgerow", H207&lt;&gt;"Poor"),"Not possible ▲", (IF(AND(F207="V.Low",OR(H207="Good",H207="Moderate")),"Error ▲",VLOOKUP(H207,'G-1 All Habitats'!$Z$2:$AA$9,2,FALSE))))))),"")</f>
        <v/>
      </c>
      <c r="J207" s="109"/>
      <c r="K207" s="301" t="str">
        <f>IF(AND(J207="",D207&lt;&gt;""),"Check data ⚠",IF(J207="","",IF(VLOOKUP(J207,'G-3 Multipliers'!$L$3:$N$6,2,FALSE)=0,"Spatial Data Missing ⚠",VLOOKUP(J207,'G-3 Multipliers'!$L$3:$N$6,2,FALSE))))</f>
        <v/>
      </c>
      <c r="L207" s="305" t="str">
        <f>IF(J207="","",IF(VLOOKUP(J207,'G-3 Multipliers'!$L$3:$N$6,3,FALSE)=0,"Spatial Data Missing ⚠",VLOOKUP(J207,'G-3 Multipliers'!$L$3:$N$6,3,FALSE)))</f>
        <v/>
      </c>
      <c r="M207" s="342" t="str">
        <f>IF(D207="","",VLOOKUP(D207,'G-6 Hedgerow Data'!$B$1:$AH$15,33,FALSE))</f>
        <v/>
      </c>
      <c r="N207" s="295" t="str">
        <f t="shared" si="29"/>
        <v/>
      </c>
      <c r="O207" s="403"/>
      <c r="P207" s="287" t="str">
        <f>IF(O207="","",IF(VLOOKUP(O207,'G-3 Multipliers'!$S$3:$T$10,2,FALSE)=0,"Spatial Data Missing ⚠",VLOOKUP(O207,'G-3 Multipliers'!$S$3:$T$10,2,FALSE)))</f>
        <v/>
      </c>
      <c r="Q207" s="295" t="str">
        <f t="shared" si="30"/>
        <v/>
      </c>
      <c r="R207" s="32"/>
      <c r="S207" s="105"/>
      <c r="T207" s="112"/>
      <c r="U207" s="289" t="str">
        <f t="shared" si="31"/>
        <v/>
      </c>
      <c r="V207" s="289" t="str">
        <f t="shared" si="32"/>
        <v/>
      </c>
      <c r="W207" s="293" t="str">
        <f t="shared" si="33"/>
        <v/>
      </c>
      <c r="X207" s="297" t="str">
        <f t="shared" si="34"/>
        <v/>
      </c>
      <c r="Y207" s="109"/>
      <c r="Z207" s="108"/>
      <c r="AA207" s="108"/>
      <c r="AB207" s="108"/>
      <c r="AE207" s="30" t="str">
        <f>IFERROR(INDEX('G-6 Hedgerow Data'!$BJ$3:$BJ$15,MATCH(D207,'G-6 Hedgerow Data'!$B$3:$B$15,0)),"")</f>
        <v/>
      </c>
      <c r="AH207" s="111" t="str">
        <f t="shared" si="27"/>
        <v/>
      </c>
      <c r="AI207" s="111" t="str">
        <f t="shared" si="28"/>
        <v/>
      </c>
      <c r="AK207" s="111">
        <v>198</v>
      </c>
      <c r="AM207" s="111" t="str">
        <f t="array" ref="AM207">IFERROR(INDEX($AK$10:$AK$258, MATCH(0, IF(TRUE=$AH$10:$AH$258, COUNTIF($AM$9:$AM206, $AK$10:$AK$258), ""), 0)),"")</f>
        <v/>
      </c>
      <c r="AN207" s="111" t="str">
        <f t="array" ref="AN207">IFERROR(INDEX($AK$10:$AK$258, MATCH(0, IF(TRUE=$AI$10:$AI$258, COUNTIF($AN$9:$AN206, $AK$10:$AK$258), ""), 0)),"")</f>
        <v/>
      </c>
      <c r="AY207" s="289" t="str">
        <f t="shared" si="35"/>
        <v/>
      </c>
    </row>
    <row r="208" spans="2:51" ht="13.8" x14ac:dyDescent="0.25">
      <c r="B208" s="101">
        <v>199</v>
      </c>
      <c r="C208" s="142"/>
      <c r="D208" s="142"/>
      <c r="E208" s="108"/>
      <c r="F208" s="281" t="str">
        <f>IF(D208="","",VLOOKUP(D208,'G-6 Hedgerow Data'!$B$2:$AG$15,2,FALSE))</f>
        <v/>
      </c>
      <c r="G208" s="282" t="str">
        <f>IF(D208="","",VLOOKUP(D208,'G-6 Hedgerow Data'!$B$2:$AG$15,3,FALSE))</f>
        <v/>
      </c>
      <c r="H208" s="105"/>
      <c r="I208" s="282" t="str">
        <f>IFERROR(IF(AND(D208&lt;&gt;"",H208=""), "Check data ⚠",(IF(H208="","",IF(AND(D208="Non-native and ornamental hedgerow", H208&lt;&gt;"Poor"),"Not possible ▲", (IF(AND(F208="V.Low",OR(H208="Good",H208="Moderate")),"Error ▲",VLOOKUP(H208,'G-1 All Habitats'!$Z$2:$AA$9,2,FALSE))))))),"")</f>
        <v/>
      </c>
      <c r="J208" s="109"/>
      <c r="K208" s="301" t="str">
        <f>IF(AND(J208="",D208&lt;&gt;""),"Check data ⚠",IF(J208="","",IF(VLOOKUP(J208,'G-3 Multipliers'!$L$3:$N$6,2,FALSE)=0,"Spatial Data Missing ⚠",VLOOKUP(J208,'G-3 Multipliers'!$L$3:$N$6,2,FALSE))))</f>
        <v/>
      </c>
      <c r="L208" s="305" t="str">
        <f>IF(J208="","",IF(VLOOKUP(J208,'G-3 Multipliers'!$L$3:$N$6,3,FALSE)=0,"Spatial Data Missing ⚠",VLOOKUP(J208,'G-3 Multipliers'!$L$3:$N$6,3,FALSE)))</f>
        <v/>
      </c>
      <c r="M208" s="342" t="str">
        <f>IF(D208="","",VLOOKUP(D208,'G-6 Hedgerow Data'!$B$1:$AH$15,33,FALSE))</f>
        <v/>
      </c>
      <c r="N208" s="295" t="str">
        <f t="shared" si="29"/>
        <v/>
      </c>
      <c r="O208" s="403"/>
      <c r="P208" s="287" t="str">
        <f>IF(O208="","",IF(VLOOKUP(O208,'G-3 Multipliers'!$S$3:$T$10,2,FALSE)=0,"Spatial Data Missing ⚠",VLOOKUP(O208,'G-3 Multipliers'!$S$3:$T$10,2,FALSE)))</f>
        <v/>
      </c>
      <c r="Q208" s="295" t="str">
        <f t="shared" si="30"/>
        <v/>
      </c>
      <c r="R208" s="32"/>
      <c r="S208" s="105"/>
      <c r="T208" s="112"/>
      <c r="U208" s="289" t="str">
        <f t="shared" si="31"/>
        <v/>
      </c>
      <c r="V208" s="289" t="str">
        <f t="shared" si="32"/>
        <v/>
      </c>
      <c r="W208" s="293" t="str">
        <f t="shared" si="33"/>
        <v/>
      </c>
      <c r="X208" s="297" t="str">
        <f t="shared" si="34"/>
        <v/>
      </c>
      <c r="Y208" s="109"/>
      <c r="Z208" s="108"/>
      <c r="AA208" s="108"/>
      <c r="AB208" s="108"/>
      <c r="AE208" s="30" t="str">
        <f>IFERROR(INDEX('G-6 Hedgerow Data'!$BJ$3:$BJ$15,MATCH(D208,'G-6 Hedgerow Data'!$B$3:$B$15,0)),"")</f>
        <v/>
      </c>
      <c r="AH208" s="111" t="str">
        <f t="shared" si="27"/>
        <v/>
      </c>
      <c r="AI208" s="111" t="str">
        <f t="shared" si="28"/>
        <v/>
      </c>
      <c r="AK208" s="111">
        <v>199</v>
      </c>
      <c r="AM208" s="111" t="str">
        <f t="array" ref="AM208">IFERROR(INDEX($AK$10:$AK$258, MATCH(0, IF(TRUE=$AH$10:$AH$258, COUNTIF($AM$9:$AM207, $AK$10:$AK$258), ""), 0)),"")</f>
        <v/>
      </c>
      <c r="AN208" s="111" t="str">
        <f t="array" ref="AN208">IFERROR(INDEX($AK$10:$AK$258, MATCH(0, IF(TRUE=$AI$10:$AI$258, COUNTIF($AN$9:$AN207, $AK$10:$AK$258), ""), 0)),"")</f>
        <v/>
      </c>
      <c r="AY208" s="289" t="str">
        <f t="shared" si="35"/>
        <v/>
      </c>
    </row>
    <row r="209" spans="2:51" ht="13.8" x14ac:dyDescent="0.25">
      <c r="B209" s="101">
        <v>200</v>
      </c>
      <c r="C209" s="142"/>
      <c r="D209" s="142"/>
      <c r="E209" s="108"/>
      <c r="F209" s="281" t="str">
        <f>IF(D209="","",VLOOKUP(D209,'G-6 Hedgerow Data'!$B$2:$AG$15,2,FALSE))</f>
        <v/>
      </c>
      <c r="G209" s="282" t="str">
        <f>IF(D209="","",VLOOKUP(D209,'G-6 Hedgerow Data'!$B$2:$AG$15,3,FALSE))</f>
        <v/>
      </c>
      <c r="H209" s="105"/>
      <c r="I209" s="282" t="str">
        <f>IFERROR(IF(AND(D209&lt;&gt;"",H209=""), "Check data ⚠",(IF(H209="","",IF(AND(D209="Non-native and ornamental hedgerow", H209&lt;&gt;"Poor"),"Not possible ▲", (IF(AND(F209="V.Low",OR(H209="Good",H209="Moderate")),"Error ▲",VLOOKUP(H209,'G-1 All Habitats'!$Z$2:$AA$9,2,FALSE))))))),"")</f>
        <v/>
      </c>
      <c r="J209" s="109"/>
      <c r="K209" s="301" t="str">
        <f>IF(AND(J209="",D209&lt;&gt;""),"Check data ⚠",IF(J209="","",IF(VLOOKUP(J209,'G-3 Multipliers'!$L$3:$N$6,2,FALSE)=0,"Spatial Data Missing ⚠",VLOOKUP(J209,'G-3 Multipliers'!$L$3:$N$6,2,FALSE))))</f>
        <v/>
      </c>
      <c r="L209" s="305" t="str">
        <f>IF(J209="","",IF(VLOOKUP(J209,'G-3 Multipliers'!$L$3:$N$6,3,FALSE)=0,"Spatial Data Missing ⚠",VLOOKUP(J209,'G-3 Multipliers'!$L$3:$N$6,3,FALSE)))</f>
        <v/>
      </c>
      <c r="M209" s="342" t="str">
        <f>IF(D209="","",VLOOKUP(D209,'G-6 Hedgerow Data'!$B$1:$AH$15,33,FALSE))</f>
        <v/>
      </c>
      <c r="N209" s="295" t="str">
        <f t="shared" si="29"/>
        <v/>
      </c>
      <c r="O209" s="403"/>
      <c r="P209" s="287" t="str">
        <f>IF(O209="","",IF(VLOOKUP(O209,'G-3 Multipliers'!$S$3:$T$10,2,FALSE)=0,"Spatial Data Missing ⚠",VLOOKUP(O209,'G-3 Multipliers'!$S$3:$T$10,2,FALSE)))</f>
        <v/>
      </c>
      <c r="Q209" s="295" t="str">
        <f t="shared" si="30"/>
        <v/>
      </c>
      <c r="R209" s="32"/>
      <c r="S209" s="105"/>
      <c r="T209" s="112"/>
      <c r="U209" s="289" t="str">
        <f t="shared" si="31"/>
        <v/>
      </c>
      <c r="V209" s="289" t="str">
        <f t="shared" si="32"/>
        <v/>
      </c>
      <c r="W209" s="293" t="str">
        <f t="shared" si="33"/>
        <v/>
      </c>
      <c r="X209" s="297" t="str">
        <f t="shared" si="34"/>
        <v/>
      </c>
      <c r="Y209" s="109"/>
      <c r="Z209" s="108"/>
      <c r="AA209" s="108"/>
      <c r="AB209" s="108"/>
      <c r="AE209" s="30" t="str">
        <f>IFERROR(INDEX('G-6 Hedgerow Data'!$BJ$3:$BJ$15,MATCH(D209,'G-6 Hedgerow Data'!$B$3:$B$15,0)),"")</f>
        <v/>
      </c>
      <c r="AH209" s="111" t="str">
        <f t="shared" si="27"/>
        <v/>
      </c>
      <c r="AI209" s="111" t="str">
        <f t="shared" si="28"/>
        <v/>
      </c>
      <c r="AK209" s="111">
        <v>200</v>
      </c>
      <c r="AM209" s="111" t="str">
        <f t="array" ref="AM209">IFERROR(INDEX($AK$10:$AK$258, MATCH(0, IF(TRUE=$AH$10:$AH$258, COUNTIF($AM$9:$AM208, $AK$10:$AK$258), ""), 0)),"")</f>
        <v/>
      </c>
      <c r="AN209" s="111" t="str">
        <f t="array" ref="AN209">IFERROR(INDEX($AK$10:$AK$258, MATCH(0, IF(TRUE=$AI$10:$AI$258, COUNTIF($AN$9:$AN208, $AK$10:$AK$258), ""), 0)),"")</f>
        <v/>
      </c>
      <c r="AY209" s="289" t="str">
        <f t="shared" si="35"/>
        <v/>
      </c>
    </row>
    <row r="210" spans="2:51" ht="13.8" x14ac:dyDescent="0.25">
      <c r="B210" s="101">
        <v>201</v>
      </c>
      <c r="C210" s="142"/>
      <c r="D210" s="142"/>
      <c r="E210" s="108"/>
      <c r="F210" s="281" t="str">
        <f>IF(D210="","",VLOOKUP(D210,'G-6 Hedgerow Data'!$B$2:$AG$15,2,FALSE))</f>
        <v/>
      </c>
      <c r="G210" s="282" t="str">
        <f>IF(D210="","",VLOOKUP(D210,'G-6 Hedgerow Data'!$B$2:$AG$15,3,FALSE))</f>
        <v/>
      </c>
      <c r="H210" s="105"/>
      <c r="I210" s="282" t="str">
        <f>IFERROR(IF(AND(D210&lt;&gt;"",H210=""), "Check data ⚠",(IF(H210="","",IF(AND(D210="Non-native and ornamental hedgerow", H210&lt;&gt;"Poor"),"Not possible ▲", (IF(AND(F210="V.Low",OR(H210="Good",H210="Moderate")),"Error ▲",VLOOKUP(H210,'G-1 All Habitats'!$Z$2:$AA$9,2,FALSE))))))),"")</f>
        <v/>
      </c>
      <c r="J210" s="109"/>
      <c r="K210" s="301" t="str">
        <f>IF(AND(J210="",D210&lt;&gt;""),"Check data ⚠",IF(J210="","",IF(VLOOKUP(J210,'G-3 Multipliers'!$L$3:$N$6,2,FALSE)=0,"Spatial Data Missing ⚠",VLOOKUP(J210,'G-3 Multipliers'!$L$3:$N$6,2,FALSE))))</f>
        <v/>
      </c>
      <c r="L210" s="305" t="str">
        <f>IF(J210="","",IF(VLOOKUP(J210,'G-3 Multipliers'!$L$3:$N$6,3,FALSE)=0,"Spatial Data Missing ⚠",VLOOKUP(J210,'G-3 Multipliers'!$L$3:$N$6,3,FALSE)))</f>
        <v/>
      </c>
      <c r="M210" s="342" t="str">
        <f>IF(D210="","",VLOOKUP(D210,'G-6 Hedgerow Data'!$B$1:$AH$15,33,FALSE))</f>
        <v/>
      </c>
      <c r="N210" s="295" t="str">
        <f t="shared" si="29"/>
        <v/>
      </c>
      <c r="O210" s="403"/>
      <c r="P210" s="287" t="str">
        <f>IF(O210="","",IF(VLOOKUP(O210,'G-3 Multipliers'!$S$3:$T$10,2,FALSE)=0,"Spatial Data Missing ⚠",VLOOKUP(O210,'G-3 Multipliers'!$S$3:$T$10,2,FALSE)))</f>
        <v/>
      </c>
      <c r="Q210" s="295" t="str">
        <f t="shared" si="30"/>
        <v/>
      </c>
      <c r="R210" s="32"/>
      <c r="S210" s="105"/>
      <c r="T210" s="112"/>
      <c r="U210" s="289" t="str">
        <f t="shared" si="31"/>
        <v/>
      </c>
      <c r="V210" s="289" t="str">
        <f t="shared" si="32"/>
        <v/>
      </c>
      <c r="W210" s="293" t="str">
        <f t="shared" si="33"/>
        <v/>
      </c>
      <c r="X210" s="297" t="str">
        <f t="shared" si="34"/>
        <v/>
      </c>
      <c r="Y210" s="109"/>
      <c r="Z210" s="108"/>
      <c r="AA210" s="108"/>
      <c r="AB210" s="108"/>
      <c r="AE210" s="30" t="str">
        <f>IFERROR(INDEX('G-6 Hedgerow Data'!$BJ$3:$BJ$15,MATCH(D210,'G-6 Hedgerow Data'!$B$3:$B$15,0)),"")</f>
        <v/>
      </c>
      <c r="AH210" s="111" t="str">
        <f t="shared" si="27"/>
        <v/>
      </c>
      <c r="AI210" s="111" t="str">
        <f t="shared" si="28"/>
        <v/>
      </c>
      <c r="AK210" s="111">
        <v>201</v>
      </c>
      <c r="AM210" s="111" t="str">
        <f t="array" ref="AM210">IFERROR(INDEX($AK$10:$AK$258, MATCH(0, IF(TRUE=$AH$10:$AH$258, COUNTIF($AM$9:$AM209, $AK$10:$AK$258), ""), 0)),"")</f>
        <v/>
      </c>
      <c r="AN210" s="111" t="str">
        <f t="array" ref="AN210">IFERROR(INDEX($AK$10:$AK$258, MATCH(0, IF(TRUE=$AI$10:$AI$258, COUNTIF($AN$9:$AN209, $AK$10:$AK$258), ""), 0)),"")</f>
        <v/>
      </c>
      <c r="AY210" s="289" t="str">
        <f t="shared" si="35"/>
        <v/>
      </c>
    </row>
    <row r="211" spans="2:51" ht="13.8" x14ac:dyDescent="0.25">
      <c r="B211" s="101">
        <v>202</v>
      </c>
      <c r="C211" s="142"/>
      <c r="D211" s="142"/>
      <c r="E211" s="108"/>
      <c r="F211" s="281" t="str">
        <f>IF(D211="","",VLOOKUP(D211,'G-6 Hedgerow Data'!$B$2:$AG$15,2,FALSE))</f>
        <v/>
      </c>
      <c r="G211" s="282" t="str">
        <f>IF(D211="","",VLOOKUP(D211,'G-6 Hedgerow Data'!$B$2:$AG$15,3,FALSE))</f>
        <v/>
      </c>
      <c r="H211" s="105"/>
      <c r="I211" s="282" t="str">
        <f>IFERROR(IF(AND(D211&lt;&gt;"",H211=""), "Check data ⚠",(IF(H211="","",IF(AND(D211="Non-native and ornamental hedgerow", H211&lt;&gt;"Poor"),"Not possible ▲", (IF(AND(F211="V.Low",OR(H211="Good",H211="Moderate")),"Error ▲",VLOOKUP(H211,'G-1 All Habitats'!$Z$2:$AA$9,2,FALSE))))))),"")</f>
        <v/>
      </c>
      <c r="J211" s="109"/>
      <c r="K211" s="301" t="str">
        <f>IF(AND(J211="",D211&lt;&gt;""),"Check data ⚠",IF(J211="","",IF(VLOOKUP(J211,'G-3 Multipliers'!$L$3:$N$6,2,FALSE)=0,"Spatial Data Missing ⚠",VLOOKUP(J211,'G-3 Multipliers'!$L$3:$N$6,2,FALSE))))</f>
        <v/>
      </c>
      <c r="L211" s="305" t="str">
        <f>IF(J211="","",IF(VLOOKUP(J211,'G-3 Multipliers'!$L$3:$N$6,3,FALSE)=0,"Spatial Data Missing ⚠",VLOOKUP(J211,'G-3 Multipliers'!$L$3:$N$6,3,FALSE)))</f>
        <v/>
      </c>
      <c r="M211" s="342" t="str">
        <f>IF(D211="","",VLOOKUP(D211,'G-6 Hedgerow Data'!$B$1:$AH$15,33,FALSE))</f>
        <v/>
      </c>
      <c r="N211" s="295" t="str">
        <f t="shared" si="29"/>
        <v/>
      </c>
      <c r="O211" s="403"/>
      <c r="P211" s="287" t="str">
        <f>IF(O211="","",IF(VLOOKUP(O211,'G-3 Multipliers'!$S$3:$T$10,2,FALSE)=0,"Spatial Data Missing ⚠",VLOOKUP(O211,'G-3 Multipliers'!$S$3:$T$10,2,FALSE)))</f>
        <v/>
      </c>
      <c r="Q211" s="295" t="str">
        <f t="shared" si="30"/>
        <v/>
      </c>
      <c r="R211" s="32"/>
      <c r="S211" s="105"/>
      <c r="T211" s="112"/>
      <c r="U211" s="289" t="str">
        <f t="shared" si="31"/>
        <v/>
      </c>
      <c r="V211" s="289" t="str">
        <f t="shared" si="32"/>
        <v/>
      </c>
      <c r="W211" s="293" t="str">
        <f t="shared" si="33"/>
        <v/>
      </c>
      <c r="X211" s="297" t="str">
        <f t="shared" si="34"/>
        <v/>
      </c>
      <c r="Y211" s="109"/>
      <c r="Z211" s="108"/>
      <c r="AA211" s="108"/>
      <c r="AB211" s="108"/>
      <c r="AE211" s="30" t="str">
        <f>IFERROR(INDEX('G-6 Hedgerow Data'!$BJ$3:$BJ$15,MATCH(D211,'G-6 Hedgerow Data'!$B$3:$B$15,0)),"")</f>
        <v/>
      </c>
      <c r="AH211" s="111" t="str">
        <f t="shared" si="27"/>
        <v/>
      </c>
      <c r="AI211" s="111" t="str">
        <f t="shared" si="28"/>
        <v/>
      </c>
      <c r="AK211" s="111">
        <v>202</v>
      </c>
      <c r="AM211" s="111" t="str">
        <f t="array" ref="AM211">IFERROR(INDEX($AK$10:$AK$258, MATCH(0, IF(TRUE=$AH$10:$AH$258, COUNTIF($AM$9:$AM210, $AK$10:$AK$258), ""), 0)),"")</f>
        <v/>
      </c>
      <c r="AN211" s="111" t="str">
        <f t="array" ref="AN211">IFERROR(INDEX($AK$10:$AK$258, MATCH(0, IF(TRUE=$AI$10:$AI$258, COUNTIF($AN$9:$AN210, $AK$10:$AK$258), ""), 0)),"")</f>
        <v/>
      </c>
      <c r="AY211" s="289" t="str">
        <f t="shared" si="35"/>
        <v/>
      </c>
    </row>
    <row r="212" spans="2:51" ht="13.8" x14ac:dyDescent="0.25">
      <c r="B212" s="101">
        <v>203</v>
      </c>
      <c r="C212" s="142"/>
      <c r="D212" s="142"/>
      <c r="E212" s="108"/>
      <c r="F212" s="281" t="str">
        <f>IF(D212="","",VLOOKUP(D212,'G-6 Hedgerow Data'!$B$2:$AG$15,2,FALSE))</f>
        <v/>
      </c>
      <c r="G212" s="282" t="str">
        <f>IF(D212="","",VLOOKUP(D212,'G-6 Hedgerow Data'!$B$2:$AG$15,3,FALSE))</f>
        <v/>
      </c>
      <c r="H212" s="105"/>
      <c r="I212" s="282" t="str">
        <f>IFERROR(IF(AND(D212&lt;&gt;"",H212=""), "Check data ⚠",(IF(H212="","",IF(AND(D212="Non-native and ornamental hedgerow", H212&lt;&gt;"Poor"),"Not possible ▲", (IF(AND(F212="V.Low",OR(H212="Good",H212="Moderate")),"Error ▲",VLOOKUP(H212,'G-1 All Habitats'!$Z$2:$AA$9,2,FALSE))))))),"")</f>
        <v/>
      </c>
      <c r="J212" s="109"/>
      <c r="K212" s="301" t="str">
        <f>IF(AND(J212="",D212&lt;&gt;""),"Check data ⚠",IF(J212="","",IF(VLOOKUP(J212,'G-3 Multipliers'!$L$3:$N$6,2,FALSE)=0,"Spatial Data Missing ⚠",VLOOKUP(J212,'G-3 Multipliers'!$L$3:$N$6,2,FALSE))))</f>
        <v/>
      </c>
      <c r="L212" s="305" t="str">
        <f>IF(J212="","",IF(VLOOKUP(J212,'G-3 Multipliers'!$L$3:$N$6,3,FALSE)=0,"Spatial Data Missing ⚠",VLOOKUP(J212,'G-3 Multipliers'!$L$3:$N$6,3,FALSE)))</f>
        <v/>
      </c>
      <c r="M212" s="342" t="str">
        <f>IF(D212="","",VLOOKUP(D212,'G-6 Hedgerow Data'!$B$1:$AH$15,33,FALSE))</f>
        <v/>
      </c>
      <c r="N212" s="295" t="str">
        <f t="shared" si="29"/>
        <v/>
      </c>
      <c r="O212" s="403"/>
      <c r="P212" s="287" t="str">
        <f>IF(O212="","",IF(VLOOKUP(O212,'G-3 Multipliers'!$S$3:$T$10,2,FALSE)=0,"Spatial Data Missing ⚠",VLOOKUP(O212,'G-3 Multipliers'!$S$3:$T$10,2,FALSE)))</f>
        <v/>
      </c>
      <c r="Q212" s="295" t="str">
        <f t="shared" si="30"/>
        <v/>
      </c>
      <c r="R212" s="32"/>
      <c r="S212" s="105"/>
      <c r="T212" s="112"/>
      <c r="U212" s="289" t="str">
        <f t="shared" si="31"/>
        <v/>
      </c>
      <c r="V212" s="289" t="str">
        <f t="shared" si="32"/>
        <v/>
      </c>
      <c r="W212" s="293" t="str">
        <f t="shared" si="33"/>
        <v/>
      </c>
      <c r="X212" s="297" t="str">
        <f t="shared" si="34"/>
        <v/>
      </c>
      <c r="Y212" s="109"/>
      <c r="Z212" s="108"/>
      <c r="AA212" s="108"/>
      <c r="AB212" s="108"/>
      <c r="AE212" s="30" t="str">
        <f>IFERROR(INDEX('G-6 Hedgerow Data'!$BJ$3:$BJ$15,MATCH(D212,'G-6 Hedgerow Data'!$B$3:$B$15,0)),"")</f>
        <v/>
      </c>
      <c r="AH212" s="111" t="str">
        <f t="shared" si="27"/>
        <v/>
      </c>
      <c r="AI212" s="111" t="str">
        <f t="shared" si="28"/>
        <v/>
      </c>
      <c r="AK212" s="111">
        <v>203</v>
      </c>
      <c r="AM212" s="111" t="str">
        <f t="array" ref="AM212">IFERROR(INDEX($AK$10:$AK$258, MATCH(0, IF(TRUE=$AH$10:$AH$258, COUNTIF($AM$9:$AM211, $AK$10:$AK$258), ""), 0)),"")</f>
        <v/>
      </c>
      <c r="AN212" s="111" t="str">
        <f t="array" ref="AN212">IFERROR(INDEX($AK$10:$AK$258, MATCH(0, IF(TRUE=$AI$10:$AI$258, COUNTIF($AN$9:$AN211, $AK$10:$AK$258), ""), 0)),"")</f>
        <v/>
      </c>
      <c r="AY212" s="289" t="str">
        <f t="shared" si="35"/>
        <v/>
      </c>
    </row>
    <row r="213" spans="2:51" ht="13.8" x14ac:dyDescent="0.25">
      <c r="B213" s="101">
        <v>204</v>
      </c>
      <c r="C213" s="142"/>
      <c r="D213" s="142"/>
      <c r="E213" s="108"/>
      <c r="F213" s="281" t="str">
        <f>IF(D213="","",VLOOKUP(D213,'G-6 Hedgerow Data'!$B$2:$AG$15,2,FALSE))</f>
        <v/>
      </c>
      <c r="G213" s="282" t="str">
        <f>IF(D213="","",VLOOKUP(D213,'G-6 Hedgerow Data'!$B$2:$AG$15,3,FALSE))</f>
        <v/>
      </c>
      <c r="H213" s="105"/>
      <c r="I213" s="282" t="str">
        <f>IFERROR(IF(AND(D213&lt;&gt;"",H213=""), "Check data ⚠",(IF(H213="","",IF(AND(D213="Non-native and ornamental hedgerow", H213&lt;&gt;"Poor"),"Not possible ▲", (IF(AND(F213="V.Low",OR(H213="Good",H213="Moderate")),"Error ▲",VLOOKUP(H213,'G-1 All Habitats'!$Z$2:$AA$9,2,FALSE))))))),"")</f>
        <v/>
      </c>
      <c r="J213" s="109"/>
      <c r="K213" s="301" t="str">
        <f>IF(AND(J213="",D213&lt;&gt;""),"Check data ⚠",IF(J213="","",IF(VLOOKUP(J213,'G-3 Multipliers'!$L$3:$N$6,2,FALSE)=0,"Spatial Data Missing ⚠",VLOOKUP(J213,'G-3 Multipliers'!$L$3:$N$6,2,FALSE))))</f>
        <v/>
      </c>
      <c r="L213" s="305" t="str">
        <f>IF(J213="","",IF(VLOOKUP(J213,'G-3 Multipliers'!$L$3:$N$6,3,FALSE)=0,"Spatial Data Missing ⚠",VLOOKUP(J213,'G-3 Multipliers'!$L$3:$N$6,3,FALSE)))</f>
        <v/>
      </c>
      <c r="M213" s="342" t="str">
        <f>IF(D213="","",VLOOKUP(D213,'G-6 Hedgerow Data'!$B$1:$AH$15,33,FALSE))</f>
        <v/>
      </c>
      <c r="N213" s="295" t="str">
        <f t="shared" si="29"/>
        <v/>
      </c>
      <c r="O213" s="403"/>
      <c r="P213" s="287" t="str">
        <f>IF(O213="","",IF(VLOOKUP(O213,'G-3 Multipliers'!$S$3:$T$10,2,FALSE)=0,"Spatial Data Missing ⚠",VLOOKUP(O213,'G-3 Multipliers'!$S$3:$T$10,2,FALSE)))</f>
        <v/>
      </c>
      <c r="Q213" s="295" t="str">
        <f t="shared" si="30"/>
        <v/>
      </c>
      <c r="R213" s="32"/>
      <c r="S213" s="105"/>
      <c r="T213" s="112"/>
      <c r="U213" s="289" t="str">
        <f t="shared" si="31"/>
        <v/>
      </c>
      <c r="V213" s="289" t="str">
        <f t="shared" si="32"/>
        <v/>
      </c>
      <c r="W213" s="293" t="str">
        <f t="shared" si="33"/>
        <v/>
      </c>
      <c r="X213" s="297" t="str">
        <f t="shared" si="34"/>
        <v/>
      </c>
      <c r="Y213" s="109"/>
      <c r="Z213" s="108"/>
      <c r="AA213" s="108"/>
      <c r="AB213" s="108"/>
      <c r="AE213" s="30" t="str">
        <f>IFERROR(INDEX('G-6 Hedgerow Data'!$BJ$3:$BJ$15,MATCH(D213,'G-6 Hedgerow Data'!$B$3:$B$15,0)),"")</f>
        <v/>
      </c>
      <c r="AH213" s="111" t="str">
        <f t="shared" si="27"/>
        <v/>
      </c>
      <c r="AI213" s="111" t="str">
        <f t="shared" si="28"/>
        <v/>
      </c>
      <c r="AK213" s="111">
        <v>204</v>
      </c>
      <c r="AM213" s="111" t="str">
        <f t="array" ref="AM213">IFERROR(INDEX($AK$10:$AK$258, MATCH(0, IF(TRUE=$AH$10:$AH$258, COUNTIF($AM$9:$AM212, $AK$10:$AK$258), ""), 0)),"")</f>
        <v/>
      </c>
      <c r="AN213" s="111" t="str">
        <f t="array" ref="AN213">IFERROR(INDEX($AK$10:$AK$258, MATCH(0, IF(TRUE=$AI$10:$AI$258, COUNTIF($AN$9:$AN212, $AK$10:$AK$258), ""), 0)),"")</f>
        <v/>
      </c>
      <c r="AY213" s="289" t="str">
        <f t="shared" si="35"/>
        <v/>
      </c>
    </row>
    <row r="214" spans="2:51" ht="13.8" x14ac:dyDescent="0.25">
      <c r="B214" s="101">
        <v>205</v>
      </c>
      <c r="C214" s="142"/>
      <c r="D214" s="142"/>
      <c r="E214" s="108"/>
      <c r="F214" s="281" t="str">
        <f>IF(D214="","",VLOOKUP(D214,'G-6 Hedgerow Data'!$B$2:$AG$15,2,FALSE))</f>
        <v/>
      </c>
      <c r="G214" s="282" t="str">
        <f>IF(D214="","",VLOOKUP(D214,'G-6 Hedgerow Data'!$B$2:$AG$15,3,FALSE))</f>
        <v/>
      </c>
      <c r="H214" s="105"/>
      <c r="I214" s="282" t="str">
        <f>IFERROR(IF(AND(D214&lt;&gt;"",H214=""), "Check data ⚠",(IF(H214="","",IF(AND(D214="Non-native and ornamental hedgerow", H214&lt;&gt;"Poor"),"Not possible ▲", (IF(AND(F214="V.Low",OR(H214="Good",H214="Moderate")),"Error ▲",VLOOKUP(H214,'G-1 All Habitats'!$Z$2:$AA$9,2,FALSE))))))),"")</f>
        <v/>
      </c>
      <c r="J214" s="109"/>
      <c r="K214" s="301" t="str">
        <f>IF(AND(J214="",D214&lt;&gt;""),"Check data ⚠",IF(J214="","",IF(VLOOKUP(J214,'G-3 Multipliers'!$L$3:$N$6,2,FALSE)=0,"Spatial Data Missing ⚠",VLOOKUP(J214,'G-3 Multipliers'!$L$3:$N$6,2,FALSE))))</f>
        <v/>
      </c>
      <c r="L214" s="305" t="str">
        <f>IF(J214="","",IF(VLOOKUP(J214,'G-3 Multipliers'!$L$3:$N$6,3,FALSE)=0,"Spatial Data Missing ⚠",VLOOKUP(J214,'G-3 Multipliers'!$L$3:$N$6,3,FALSE)))</f>
        <v/>
      </c>
      <c r="M214" s="342" t="str">
        <f>IF(D214="","",VLOOKUP(D214,'G-6 Hedgerow Data'!$B$1:$AH$15,33,FALSE))</f>
        <v/>
      </c>
      <c r="N214" s="295" t="str">
        <f t="shared" si="29"/>
        <v/>
      </c>
      <c r="O214" s="403"/>
      <c r="P214" s="287" t="str">
        <f>IF(O214="","",IF(VLOOKUP(O214,'G-3 Multipliers'!$S$3:$T$10,2,FALSE)=0,"Spatial Data Missing ⚠",VLOOKUP(O214,'G-3 Multipliers'!$S$3:$T$10,2,FALSE)))</f>
        <v/>
      </c>
      <c r="Q214" s="295" t="str">
        <f t="shared" si="30"/>
        <v/>
      </c>
      <c r="R214" s="32"/>
      <c r="S214" s="105"/>
      <c r="T214" s="112"/>
      <c r="U214" s="289" t="str">
        <f t="shared" si="31"/>
        <v/>
      </c>
      <c r="V214" s="289" t="str">
        <f t="shared" si="32"/>
        <v/>
      </c>
      <c r="W214" s="293" t="str">
        <f t="shared" si="33"/>
        <v/>
      </c>
      <c r="X214" s="297" t="str">
        <f t="shared" si="34"/>
        <v/>
      </c>
      <c r="Y214" s="109"/>
      <c r="Z214" s="108"/>
      <c r="AA214" s="108"/>
      <c r="AB214" s="108"/>
      <c r="AE214" s="30" t="str">
        <f>IFERROR(INDEX('G-6 Hedgerow Data'!$BJ$3:$BJ$15,MATCH(D214,'G-6 Hedgerow Data'!$B$3:$B$15,0)),"")</f>
        <v/>
      </c>
      <c r="AH214" s="111" t="str">
        <f t="shared" si="27"/>
        <v/>
      </c>
      <c r="AI214" s="111" t="str">
        <f t="shared" si="28"/>
        <v/>
      </c>
      <c r="AK214" s="111">
        <v>205</v>
      </c>
      <c r="AM214" s="111" t="str">
        <f t="array" ref="AM214">IFERROR(INDEX($AK$10:$AK$258, MATCH(0, IF(TRUE=$AH$10:$AH$258, COUNTIF($AM$9:$AM213, $AK$10:$AK$258), ""), 0)),"")</f>
        <v/>
      </c>
      <c r="AN214" s="111" t="str">
        <f t="array" ref="AN214">IFERROR(INDEX($AK$10:$AK$258, MATCH(0, IF(TRUE=$AI$10:$AI$258, COUNTIF($AN$9:$AN213, $AK$10:$AK$258), ""), 0)),"")</f>
        <v/>
      </c>
      <c r="AY214" s="289" t="str">
        <f t="shared" si="35"/>
        <v/>
      </c>
    </row>
    <row r="215" spans="2:51" ht="13.8" x14ac:dyDescent="0.25">
      <c r="B215" s="101">
        <v>206</v>
      </c>
      <c r="C215" s="142"/>
      <c r="D215" s="142"/>
      <c r="E215" s="108"/>
      <c r="F215" s="281" t="str">
        <f>IF(D215="","",VLOOKUP(D215,'G-6 Hedgerow Data'!$B$2:$AG$15,2,FALSE))</f>
        <v/>
      </c>
      <c r="G215" s="282" t="str">
        <f>IF(D215="","",VLOOKUP(D215,'G-6 Hedgerow Data'!$B$2:$AG$15,3,FALSE))</f>
        <v/>
      </c>
      <c r="H215" s="105"/>
      <c r="I215" s="282" t="str">
        <f>IFERROR(IF(AND(D215&lt;&gt;"",H215=""), "Check data ⚠",(IF(H215="","",IF(AND(D215="Non-native and ornamental hedgerow", H215&lt;&gt;"Poor"),"Not possible ▲", (IF(AND(F215="V.Low",OR(H215="Good",H215="Moderate")),"Error ▲",VLOOKUP(H215,'G-1 All Habitats'!$Z$2:$AA$9,2,FALSE))))))),"")</f>
        <v/>
      </c>
      <c r="J215" s="109"/>
      <c r="K215" s="301" t="str">
        <f>IF(AND(J215="",D215&lt;&gt;""),"Check data ⚠",IF(J215="","",IF(VLOOKUP(J215,'G-3 Multipliers'!$L$3:$N$6,2,FALSE)=0,"Spatial Data Missing ⚠",VLOOKUP(J215,'G-3 Multipliers'!$L$3:$N$6,2,FALSE))))</f>
        <v/>
      </c>
      <c r="L215" s="305" t="str">
        <f>IF(J215="","",IF(VLOOKUP(J215,'G-3 Multipliers'!$L$3:$N$6,3,FALSE)=0,"Spatial Data Missing ⚠",VLOOKUP(J215,'G-3 Multipliers'!$L$3:$N$6,3,FALSE)))</f>
        <v/>
      </c>
      <c r="M215" s="342" t="str">
        <f>IF(D215="","",VLOOKUP(D215,'G-6 Hedgerow Data'!$B$1:$AH$15,33,FALSE))</f>
        <v/>
      </c>
      <c r="N215" s="295" t="str">
        <f t="shared" si="29"/>
        <v/>
      </c>
      <c r="O215" s="403"/>
      <c r="P215" s="287" t="str">
        <f>IF(O215="","",IF(VLOOKUP(O215,'G-3 Multipliers'!$S$3:$T$10,2,FALSE)=0,"Spatial Data Missing ⚠",VLOOKUP(O215,'G-3 Multipliers'!$S$3:$T$10,2,FALSE)))</f>
        <v/>
      </c>
      <c r="Q215" s="295" t="str">
        <f t="shared" si="30"/>
        <v/>
      </c>
      <c r="R215" s="32"/>
      <c r="S215" s="105"/>
      <c r="T215" s="112"/>
      <c r="U215" s="289" t="str">
        <f t="shared" si="31"/>
        <v/>
      </c>
      <c r="V215" s="289" t="str">
        <f t="shared" si="32"/>
        <v/>
      </c>
      <c r="W215" s="293" t="str">
        <f t="shared" si="33"/>
        <v/>
      </c>
      <c r="X215" s="297" t="str">
        <f t="shared" si="34"/>
        <v/>
      </c>
      <c r="Y215" s="109"/>
      <c r="Z215" s="108"/>
      <c r="AA215" s="108"/>
      <c r="AB215" s="108"/>
      <c r="AE215" s="30" t="str">
        <f>IFERROR(INDEX('G-6 Hedgerow Data'!$BJ$3:$BJ$15,MATCH(D215,'G-6 Hedgerow Data'!$B$3:$B$15,0)),"")</f>
        <v/>
      </c>
      <c r="AH215" s="111" t="str">
        <f t="shared" si="27"/>
        <v/>
      </c>
      <c r="AI215" s="111" t="str">
        <f t="shared" si="28"/>
        <v/>
      </c>
      <c r="AK215" s="111">
        <v>206</v>
      </c>
      <c r="AM215" s="111" t="str">
        <f t="array" ref="AM215">IFERROR(INDEX($AK$10:$AK$258, MATCH(0, IF(TRUE=$AH$10:$AH$258, COUNTIF($AM$9:$AM214, $AK$10:$AK$258), ""), 0)),"")</f>
        <v/>
      </c>
      <c r="AN215" s="111" t="str">
        <f t="array" ref="AN215">IFERROR(INDEX($AK$10:$AK$258, MATCH(0, IF(TRUE=$AI$10:$AI$258, COUNTIF($AN$9:$AN214, $AK$10:$AK$258), ""), 0)),"")</f>
        <v/>
      </c>
      <c r="AY215" s="289" t="str">
        <f t="shared" si="35"/>
        <v/>
      </c>
    </row>
    <row r="216" spans="2:51" ht="13.8" x14ac:dyDescent="0.25">
      <c r="B216" s="101">
        <v>207</v>
      </c>
      <c r="C216" s="142"/>
      <c r="D216" s="142"/>
      <c r="E216" s="108"/>
      <c r="F216" s="281" t="str">
        <f>IF(D216="","",VLOOKUP(D216,'G-6 Hedgerow Data'!$B$2:$AG$15,2,FALSE))</f>
        <v/>
      </c>
      <c r="G216" s="282" t="str">
        <f>IF(D216="","",VLOOKUP(D216,'G-6 Hedgerow Data'!$B$2:$AG$15,3,FALSE))</f>
        <v/>
      </c>
      <c r="H216" s="105"/>
      <c r="I216" s="282" t="str">
        <f>IFERROR(IF(AND(D216&lt;&gt;"",H216=""), "Check data ⚠",(IF(H216="","",IF(AND(D216="Non-native and ornamental hedgerow", H216&lt;&gt;"Poor"),"Not possible ▲", (IF(AND(F216="V.Low",OR(H216="Good",H216="Moderate")),"Error ▲",VLOOKUP(H216,'G-1 All Habitats'!$Z$2:$AA$9,2,FALSE))))))),"")</f>
        <v/>
      </c>
      <c r="J216" s="109"/>
      <c r="K216" s="301" t="str">
        <f>IF(AND(J216="",D216&lt;&gt;""),"Check data ⚠",IF(J216="","",IF(VLOOKUP(J216,'G-3 Multipliers'!$L$3:$N$6,2,FALSE)=0,"Spatial Data Missing ⚠",VLOOKUP(J216,'G-3 Multipliers'!$L$3:$N$6,2,FALSE))))</f>
        <v/>
      </c>
      <c r="L216" s="305" t="str">
        <f>IF(J216="","",IF(VLOOKUP(J216,'G-3 Multipliers'!$L$3:$N$6,3,FALSE)=0,"Spatial Data Missing ⚠",VLOOKUP(J216,'G-3 Multipliers'!$L$3:$N$6,3,FALSE)))</f>
        <v/>
      </c>
      <c r="M216" s="342" t="str">
        <f>IF(D216="","",VLOOKUP(D216,'G-6 Hedgerow Data'!$B$1:$AH$15,33,FALSE))</f>
        <v/>
      </c>
      <c r="N216" s="295" t="str">
        <f t="shared" si="29"/>
        <v/>
      </c>
      <c r="O216" s="403"/>
      <c r="P216" s="287" t="str">
        <f>IF(O216="","",IF(VLOOKUP(O216,'G-3 Multipliers'!$S$3:$T$10,2,FALSE)=0,"Spatial Data Missing ⚠",VLOOKUP(O216,'G-3 Multipliers'!$S$3:$T$10,2,FALSE)))</f>
        <v/>
      </c>
      <c r="Q216" s="295" t="str">
        <f t="shared" si="30"/>
        <v/>
      </c>
      <c r="R216" s="32"/>
      <c r="S216" s="105"/>
      <c r="T216" s="112"/>
      <c r="U216" s="289" t="str">
        <f t="shared" si="31"/>
        <v/>
      </c>
      <c r="V216" s="289" t="str">
        <f t="shared" si="32"/>
        <v/>
      </c>
      <c r="W216" s="293" t="str">
        <f t="shared" si="33"/>
        <v/>
      </c>
      <c r="X216" s="297" t="str">
        <f t="shared" si="34"/>
        <v/>
      </c>
      <c r="Y216" s="109"/>
      <c r="Z216" s="108"/>
      <c r="AA216" s="108"/>
      <c r="AB216" s="108"/>
      <c r="AE216" s="30" t="str">
        <f>IFERROR(INDEX('G-6 Hedgerow Data'!$BJ$3:$BJ$15,MATCH(D216,'G-6 Hedgerow Data'!$B$3:$B$15,0)),"")</f>
        <v/>
      </c>
      <c r="AH216" s="111" t="str">
        <f t="shared" si="27"/>
        <v/>
      </c>
      <c r="AI216" s="111" t="str">
        <f t="shared" si="28"/>
        <v/>
      </c>
      <c r="AK216" s="111">
        <v>207</v>
      </c>
      <c r="AM216" s="111" t="str">
        <f t="array" ref="AM216">IFERROR(INDEX($AK$10:$AK$258, MATCH(0, IF(TRUE=$AH$10:$AH$258, COUNTIF($AM$9:$AM215, $AK$10:$AK$258), ""), 0)),"")</f>
        <v/>
      </c>
      <c r="AN216" s="111" t="str">
        <f t="array" ref="AN216">IFERROR(INDEX($AK$10:$AK$258, MATCH(0, IF(TRUE=$AI$10:$AI$258, COUNTIF($AN$9:$AN215, $AK$10:$AK$258), ""), 0)),"")</f>
        <v/>
      </c>
      <c r="AY216" s="289" t="str">
        <f t="shared" si="35"/>
        <v/>
      </c>
    </row>
    <row r="217" spans="2:51" ht="13.8" x14ac:dyDescent="0.25">
      <c r="B217" s="101">
        <v>208</v>
      </c>
      <c r="C217" s="142"/>
      <c r="D217" s="142"/>
      <c r="E217" s="108"/>
      <c r="F217" s="281" t="str">
        <f>IF(D217="","",VLOOKUP(D217,'G-6 Hedgerow Data'!$B$2:$AG$15,2,FALSE))</f>
        <v/>
      </c>
      <c r="G217" s="282" t="str">
        <f>IF(D217="","",VLOOKUP(D217,'G-6 Hedgerow Data'!$B$2:$AG$15,3,FALSE))</f>
        <v/>
      </c>
      <c r="H217" s="105"/>
      <c r="I217" s="282" t="str">
        <f>IFERROR(IF(AND(D217&lt;&gt;"",H217=""), "Check data ⚠",(IF(H217="","",IF(AND(D217="Non-native and ornamental hedgerow", H217&lt;&gt;"Poor"),"Not possible ▲", (IF(AND(F217="V.Low",OR(H217="Good",H217="Moderate")),"Error ▲",VLOOKUP(H217,'G-1 All Habitats'!$Z$2:$AA$9,2,FALSE))))))),"")</f>
        <v/>
      </c>
      <c r="J217" s="109"/>
      <c r="K217" s="301" t="str">
        <f>IF(AND(J217="",D217&lt;&gt;""),"Check data ⚠",IF(J217="","",IF(VLOOKUP(J217,'G-3 Multipliers'!$L$3:$N$6,2,FALSE)=0,"Spatial Data Missing ⚠",VLOOKUP(J217,'G-3 Multipliers'!$L$3:$N$6,2,FALSE))))</f>
        <v/>
      </c>
      <c r="L217" s="305" t="str">
        <f>IF(J217="","",IF(VLOOKUP(J217,'G-3 Multipliers'!$L$3:$N$6,3,FALSE)=0,"Spatial Data Missing ⚠",VLOOKUP(J217,'G-3 Multipliers'!$L$3:$N$6,3,FALSE)))</f>
        <v/>
      </c>
      <c r="M217" s="342" t="str">
        <f>IF(D217="","",VLOOKUP(D217,'G-6 Hedgerow Data'!$B$1:$AH$15,33,FALSE))</f>
        <v/>
      </c>
      <c r="N217" s="295" t="str">
        <f t="shared" si="29"/>
        <v/>
      </c>
      <c r="O217" s="403"/>
      <c r="P217" s="287" t="str">
        <f>IF(O217="","",IF(VLOOKUP(O217,'G-3 Multipliers'!$S$3:$T$10,2,FALSE)=0,"Spatial Data Missing ⚠",VLOOKUP(O217,'G-3 Multipliers'!$S$3:$T$10,2,FALSE)))</f>
        <v/>
      </c>
      <c r="Q217" s="295" t="str">
        <f t="shared" si="30"/>
        <v/>
      </c>
      <c r="R217" s="32"/>
      <c r="S217" s="105"/>
      <c r="T217" s="112"/>
      <c r="U217" s="289" t="str">
        <f t="shared" si="31"/>
        <v/>
      </c>
      <c r="V217" s="289" t="str">
        <f t="shared" si="32"/>
        <v/>
      </c>
      <c r="W217" s="293" t="str">
        <f t="shared" si="33"/>
        <v/>
      </c>
      <c r="X217" s="297" t="str">
        <f t="shared" si="34"/>
        <v/>
      </c>
      <c r="Y217" s="109"/>
      <c r="Z217" s="108"/>
      <c r="AA217" s="108"/>
      <c r="AB217" s="108"/>
      <c r="AE217" s="30" t="str">
        <f>IFERROR(INDEX('G-6 Hedgerow Data'!$BJ$3:$BJ$15,MATCH(D217,'G-6 Hedgerow Data'!$B$3:$B$15,0)),"")</f>
        <v/>
      </c>
      <c r="AH217" s="111" t="str">
        <f t="shared" si="27"/>
        <v/>
      </c>
      <c r="AI217" s="111" t="str">
        <f t="shared" si="28"/>
        <v/>
      </c>
      <c r="AK217" s="111">
        <v>208</v>
      </c>
      <c r="AM217" s="111" t="str">
        <f t="array" ref="AM217">IFERROR(INDEX($AK$10:$AK$258, MATCH(0, IF(TRUE=$AH$10:$AH$258, COUNTIF($AM$9:$AM216, $AK$10:$AK$258), ""), 0)),"")</f>
        <v/>
      </c>
      <c r="AN217" s="111" t="str">
        <f t="array" ref="AN217">IFERROR(INDEX($AK$10:$AK$258, MATCH(0, IF(TRUE=$AI$10:$AI$258, COUNTIF($AN$9:$AN216, $AK$10:$AK$258), ""), 0)),"")</f>
        <v/>
      </c>
      <c r="AY217" s="289" t="str">
        <f t="shared" si="35"/>
        <v/>
      </c>
    </row>
    <row r="218" spans="2:51" ht="13.8" x14ac:dyDescent="0.25">
      <c r="B218" s="101">
        <v>209</v>
      </c>
      <c r="C218" s="142"/>
      <c r="D218" s="142"/>
      <c r="E218" s="108"/>
      <c r="F218" s="281" t="str">
        <f>IF(D218="","",VLOOKUP(D218,'G-6 Hedgerow Data'!$B$2:$AG$15,2,FALSE))</f>
        <v/>
      </c>
      <c r="G218" s="282" t="str">
        <f>IF(D218="","",VLOOKUP(D218,'G-6 Hedgerow Data'!$B$2:$AG$15,3,FALSE))</f>
        <v/>
      </c>
      <c r="H218" s="105"/>
      <c r="I218" s="282" t="str">
        <f>IFERROR(IF(AND(D218&lt;&gt;"",H218=""), "Check data ⚠",(IF(H218="","",IF(AND(D218="Non-native and ornamental hedgerow", H218&lt;&gt;"Poor"),"Not possible ▲", (IF(AND(F218="V.Low",OR(H218="Good",H218="Moderate")),"Error ▲",VLOOKUP(H218,'G-1 All Habitats'!$Z$2:$AA$9,2,FALSE))))))),"")</f>
        <v/>
      </c>
      <c r="J218" s="109"/>
      <c r="K218" s="301" t="str">
        <f>IF(AND(J218="",D218&lt;&gt;""),"Check data ⚠",IF(J218="","",IF(VLOOKUP(J218,'G-3 Multipliers'!$L$3:$N$6,2,FALSE)=0,"Spatial Data Missing ⚠",VLOOKUP(J218,'G-3 Multipliers'!$L$3:$N$6,2,FALSE))))</f>
        <v/>
      </c>
      <c r="L218" s="305" t="str">
        <f>IF(J218="","",IF(VLOOKUP(J218,'G-3 Multipliers'!$L$3:$N$6,3,FALSE)=0,"Spatial Data Missing ⚠",VLOOKUP(J218,'G-3 Multipliers'!$L$3:$N$6,3,FALSE)))</f>
        <v/>
      </c>
      <c r="M218" s="342" t="str">
        <f>IF(D218="","",VLOOKUP(D218,'G-6 Hedgerow Data'!$B$1:$AH$15,33,FALSE))</f>
        <v/>
      </c>
      <c r="N218" s="295" t="str">
        <f t="shared" si="29"/>
        <v/>
      </c>
      <c r="O218" s="403"/>
      <c r="P218" s="287" t="str">
        <f>IF(O218="","",IF(VLOOKUP(O218,'G-3 Multipliers'!$S$3:$T$10,2,FALSE)=0,"Spatial Data Missing ⚠",VLOOKUP(O218,'G-3 Multipliers'!$S$3:$T$10,2,FALSE)))</f>
        <v/>
      </c>
      <c r="Q218" s="295" t="str">
        <f t="shared" si="30"/>
        <v/>
      </c>
      <c r="R218" s="32"/>
      <c r="S218" s="105"/>
      <c r="T218" s="112"/>
      <c r="U218" s="289" t="str">
        <f t="shared" si="31"/>
        <v/>
      </c>
      <c r="V218" s="289" t="str">
        <f t="shared" si="32"/>
        <v/>
      </c>
      <c r="W218" s="293" t="str">
        <f t="shared" si="33"/>
        <v/>
      </c>
      <c r="X218" s="297" t="str">
        <f t="shared" si="34"/>
        <v/>
      </c>
      <c r="Y218" s="109"/>
      <c r="Z218" s="108"/>
      <c r="AA218" s="108"/>
      <c r="AB218" s="108"/>
      <c r="AE218" s="30" t="str">
        <f>IFERROR(INDEX('G-6 Hedgerow Data'!$BJ$3:$BJ$15,MATCH(D218,'G-6 Hedgerow Data'!$B$3:$B$15,0)),"")</f>
        <v/>
      </c>
      <c r="AH218" s="111" t="str">
        <f t="shared" si="27"/>
        <v/>
      </c>
      <c r="AI218" s="111" t="str">
        <f t="shared" si="28"/>
        <v/>
      </c>
      <c r="AK218" s="111">
        <v>209</v>
      </c>
      <c r="AM218" s="111" t="str">
        <f t="array" ref="AM218">IFERROR(INDEX($AK$10:$AK$258, MATCH(0, IF(TRUE=$AH$10:$AH$258, COUNTIF($AM$9:$AM217, $AK$10:$AK$258), ""), 0)),"")</f>
        <v/>
      </c>
      <c r="AN218" s="111" t="str">
        <f t="array" ref="AN218">IFERROR(INDEX($AK$10:$AK$258, MATCH(0, IF(TRUE=$AI$10:$AI$258, COUNTIF($AN$9:$AN217, $AK$10:$AK$258), ""), 0)),"")</f>
        <v/>
      </c>
      <c r="AY218" s="289" t="str">
        <f t="shared" si="35"/>
        <v/>
      </c>
    </row>
    <row r="219" spans="2:51" ht="13.8" x14ac:dyDescent="0.25">
      <c r="B219" s="101">
        <v>210</v>
      </c>
      <c r="C219" s="142"/>
      <c r="D219" s="142"/>
      <c r="E219" s="108"/>
      <c r="F219" s="281" t="str">
        <f>IF(D219="","",VLOOKUP(D219,'G-6 Hedgerow Data'!$B$2:$AG$15,2,FALSE))</f>
        <v/>
      </c>
      <c r="G219" s="282" t="str">
        <f>IF(D219="","",VLOOKUP(D219,'G-6 Hedgerow Data'!$B$2:$AG$15,3,FALSE))</f>
        <v/>
      </c>
      <c r="H219" s="105"/>
      <c r="I219" s="282" t="str">
        <f>IFERROR(IF(AND(D219&lt;&gt;"",H219=""), "Check data ⚠",(IF(H219="","",IF(AND(D219="Non-native and ornamental hedgerow", H219&lt;&gt;"Poor"),"Not possible ▲", (IF(AND(F219="V.Low",OR(H219="Good",H219="Moderate")),"Error ▲",VLOOKUP(H219,'G-1 All Habitats'!$Z$2:$AA$9,2,FALSE))))))),"")</f>
        <v/>
      </c>
      <c r="J219" s="109"/>
      <c r="K219" s="301" t="str">
        <f>IF(AND(J219="",D219&lt;&gt;""),"Check data ⚠",IF(J219="","",IF(VLOOKUP(J219,'G-3 Multipliers'!$L$3:$N$6,2,FALSE)=0,"Spatial Data Missing ⚠",VLOOKUP(J219,'G-3 Multipliers'!$L$3:$N$6,2,FALSE))))</f>
        <v/>
      </c>
      <c r="L219" s="305" t="str">
        <f>IF(J219="","",IF(VLOOKUP(J219,'G-3 Multipliers'!$L$3:$N$6,3,FALSE)=0,"Spatial Data Missing ⚠",VLOOKUP(J219,'G-3 Multipliers'!$L$3:$N$6,3,FALSE)))</f>
        <v/>
      </c>
      <c r="M219" s="342" t="str">
        <f>IF(D219="","",VLOOKUP(D219,'G-6 Hedgerow Data'!$B$1:$AH$15,33,FALSE))</f>
        <v/>
      </c>
      <c r="N219" s="295" t="str">
        <f t="shared" si="29"/>
        <v/>
      </c>
      <c r="O219" s="403"/>
      <c r="P219" s="287" t="str">
        <f>IF(O219="","",IF(VLOOKUP(O219,'G-3 Multipliers'!$S$3:$T$10,2,FALSE)=0,"Spatial Data Missing ⚠",VLOOKUP(O219,'G-3 Multipliers'!$S$3:$T$10,2,FALSE)))</f>
        <v/>
      </c>
      <c r="Q219" s="295" t="str">
        <f t="shared" si="30"/>
        <v/>
      </c>
      <c r="R219" s="32"/>
      <c r="S219" s="105"/>
      <c r="T219" s="112"/>
      <c r="U219" s="289" t="str">
        <f t="shared" si="31"/>
        <v/>
      </c>
      <c r="V219" s="289" t="str">
        <f t="shared" si="32"/>
        <v/>
      </c>
      <c r="W219" s="293" t="str">
        <f t="shared" si="33"/>
        <v/>
      </c>
      <c r="X219" s="297" t="str">
        <f t="shared" si="34"/>
        <v/>
      </c>
      <c r="Y219" s="109"/>
      <c r="Z219" s="108"/>
      <c r="AA219" s="108"/>
      <c r="AB219" s="108"/>
      <c r="AE219" s="30" t="str">
        <f>IFERROR(INDEX('G-6 Hedgerow Data'!$BJ$3:$BJ$15,MATCH(D219,'G-6 Hedgerow Data'!$B$3:$B$15,0)),"")</f>
        <v/>
      </c>
      <c r="AH219" s="111" t="str">
        <f t="shared" si="27"/>
        <v/>
      </c>
      <c r="AI219" s="111" t="str">
        <f t="shared" si="28"/>
        <v/>
      </c>
      <c r="AK219" s="111">
        <v>210</v>
      </c>
      <c r="AM219" s="111" t="str">
        <f t="array" ref="AM219">IFERROR(INDEX($AK$10:$AK$258, MATCH(0, IF(TRUE=$AH$10:$AH$258, COUNTIF($AM$9:$AM218, $AK$10:$AK$258), ""), 0)),"")</f>
        <v/>
      </c>
      <c r="AN219" s="111" t="str">
        <f t="array" ref="AN219">IFERROR(INDEX($AK$10:$AK$258, MATCH(0, IF(TRUE=$AI$10:$AI$258, COUNTIF($AN$9:$AN218, $AK$10:$AK$258), ""), 0)),"")</f>
        <v/>
      </c>
      <c r="AY219" s="289" t="str">
        <f t="shared" si="35"/>
        <v/>
      </c>
    </row>
    <row r="220" spans="2:51" ht="13.8" x14ac:dyDescent="0.25">
      <c r="B220" s="101">
        <v>211</v>
      </c>
      <c r="C220" s="142"/>
      <c r="D220" s="142"/>
      <c r="E220" s="108"/>
      <c r="F220" s="281" t="str">
        <f>IF(D220="","",VLOOKUP(D220,'G-6 Hedgerow Data'!$B$2:$AG$15,2,FALSE))</f>
        <v/>
      </c>
      <c r="G220" s="282" t="str">
        <f>IF(D220="","",VLOOKUP(D220,'G-6 Hedgerow Data'!$B$2:$AG$15,3,FALSE))</f>
        <v/>
      </c>
      <c r="H220" s="105"/>
      <c r="I220" s="282" t="str">
        <f>IFERROR(IF(AND(D220&lt;&gt;"",H220=""), "Check data ⚠",(IF(H220="","",IF(AND(D220="Non-native and ornamental hedgerow", H220&lt;&gt;"Poor"),"Not possible ▲", (IF(AND(F220="V.Low",OR(H220="Good",H220="Moderate")),"Error ▲",VLOOKUP(H220,'G-1 All Habitats'!$Z$2:$AA$9,2,FALSE))))))),"")</f>
        <v/>
      </c>
      <c r="J220" s="109"/>
      <c r="K220" s="301" t="str">
        <f>IF(AND(J220="",D220&lt;&gt;""),"Check data ⚠",IF(J220="","",IF(VLOOKUP(J220,'G-3 Multipliers'!$L$3:$N$6,2,FALSE)=0,"Spatial Data Missing ⚠",VLOOKUP(J220,'G-3 Multipliers'!$L$3:$N$6,2,FALSE))))</f>
        <v/>
      </c>
      <c r="L220" s="305" t="str">
        <f>IF(J220="","",IF(VLOOKUP(J220,'G-3 Multipliers'!$L$3:$N$6,3,FALSE)=0,"Spatial Data Missing ⚠",VLOOKUP(J220,'G-3 Multipliers'!$L$3:$N$6,3,FALSE)))</f>
        <v/>
      </c>
      <c r="M220" s="342" t="str">
        <f>IF(D220="","",VLOOKUP(D220,'G-6 Hedgerow Data'!$B$1:$AH$15,33,FALSE))</f>
        <v/>
      </c>
      <c r="N220" s="295" t="str">
        <f t="shared" si="29"/>
        <v/>
      </c>
      <c r="O220" s="403"/>
      <c r="P220" s="287" t="str">
        <f>IF(O220="","",IF(VLOOKUP(O220,'G-3 Multipliers'!$S$3:$T$10,2,FALSE)=0,"Spatial Data Missing ⚠",VLOOKUP(O220,'G-3 Multipliers'!$S$3:$T$10,2,FALSE)))</f>
        <v/>
      </c>
      <c r="Q220" s="295" t="str">
        <f t="shared" si="30"/>
        <v/>
      </c>
      <c r="R220" s="32"/>
      <c r="S220" s="105"/>
      <c r="T220" s="112"/>
      <c r="U220" s="289" t="str">
        <f t="shared" si="31"/>
        <v/>
      </c>
      <c r="V220" s="289" t="str">
        <f t="shared" si="32"/>
        <v/>
      </c>
      <c r="W220" s="293" t="str">
        <f t="shared" si="33"/>
        <v/>
      </c>
      <c r="X220" s="297" t="str">
        <f t="shared" si="34"/>
        <v/>
      </c>
      <c r="Y220" s="109"/>
      <c r="Z220" s="108"/>
      <c r="AA220" s="108"/>
      <c r="AB220" s="108"/>
      <c r="AE220" s="30" t="str">
        <f>IFERROR(INDEX('G-6 Hedgerow Data'!$BJ$3:$BJ$15,MATCH(D220,'G-6 Hedgerow Data'!$B$3:$B$15,0)),"")</f>
        <v/>
      </c>
      <c r="AH220" s="111" t="str">
        <f t="shared" si="27"/>
        <v/>
      </c>
      <c r="AI220" s="111" t="str">
        <f t="shared" si="28"/>
        <v/>
      </c>
      <c r="AK220" s="111">
        <v>211</v>
      </c>
      <c r="AM220" s="111" t="str">
        <f t="array" ref="AM220">IFERROR(INDEX($AK$10:$AK$258, MATCH(0, IF(TRUE=$AH$10:$AH$258, COUNTIF($AM$9:$AM219, $AK$10:$AK$258), ""), 0)),"")</f>
        <v/>
      </c>
      <c r="AN220" s="111" t="str">
        <f t="array" ref="AN220">IFERROR(INDEX($AK$10:$AK$258, MATCH(0, IF(TRUE=$AI$10:$AI$258, COUNTIF($AN$9:$AN219, $AK$10:$AK$258), ""), 0)),"")</f>
        <v/>
      </c>
      <c r="AY220" s="289" t="str">
        <f t="shared" si="35"/>
        <v/>
      </c>
    </row>
    <row r="221" spans="2:51" ht="13.8" x14ac:dyDescent="0.25">
      <c r="B221" s="101">
        <v>212</v>
      </c>
      <c r="C221" s="142"/>
      <c r="D221" s="142"/>
      <c r="E221" s="108"/>
      <c r="F221" s="281" t="str">
        <f>IF(D221="","",VLOOKUP(D221,'G-6 Hedgerow Data'!$B$2:$AG$15,2,FALSE))</f>
        <v/>
      </c>
      <c r="G221" s="282" t="str">
        <f>IF(D221="","",VLOOKUP(D221,'G-6 Hedgerow Data'!$B$2:$AG$15,3,FALSE))</f>
        <v/>
      </c>
      <c r="H221" s="105"/>
      <c r="I221" s="282" t="str">
        <f>IFERROR(IF(AND(D221&lt;&gt;"",H221=""), "Check data ⚠",(IF(H221="","",IF(AND(D221="Non-native and ornamental hedgerow", H221&lt;&gt;"Poor"),"Not possible ▲", (IF(AND(F221="V.Low",OR(H221="Good",H221="Moderate")),"Error ▲",VLOOKUP(H221,'G-1 All Habitats'!$Z$2:$AA$9,2,FALSE))))))),"")</f>
        <v/>
      </c>
      <c r="J221" s="109"/>
      <c r="K221" s="301" t="str">
        <f>IF(AND(J221="",D221&lt;&gt;""),"Check data ⚠",IF(J221="","",IF(VLOOKUP(J221,'G-3 Multipliers'!$L$3:$N$6,2,FALSE)=0,"Spatial Data Missing ⚠",VLOOKUP(J221,'G-3 Multipliers'!$L$3:$N$6,2,FALSE))))</f>
        <v/>
      </c>
      <c r="L221" s="305" t="str">
        <f>IF(J221="","",IF(VLOOKUP(J221,'G-3 Multipliers'!$L$3:$N$6,3,FALSE)=0,"Spatial Data Missing ⚠",VLOOKUP(J221,'G-3 Multipliers'!$L$3:$N$6,3,FALSE)))</f>
        <v/>
      </c>
      <c r="M221" s="342" t="str">
        <f>IF(D221="","",VLOOKUP(D221,'G-6 Hedgerow Data'!$B$1:$AH$15,33,FALSE))</f>
        <v/>
      </c>
      <c r="N221" s="295" t="str">
        <f t="shared" si="29"/>
        <v/>
      </c>
      <c r="O221" s="403"/>
      <c r="P221" s="287" t="str">
        <f>IF(O221="","",IF(VLOOKUP(O221,'G-3 Multipliers'!$S$3:$T$10,2,FALSE)=0,"Spatial Data Missing ⚠",VLOOKUP(O221,'G-3 Multipliers'!$S$3:$T$10,2,FALSE)))</f>
        <v/>
      </c>
      <c r="Q221" s="295" t="str">
        <f t="shared" si="30"/>
        <v/>
      </c>
      <c r="R221" s="32"/>
      <c r="S221" s="105"/>
      <c r="T221" s="112"/>
      <c r="U221" s="289" t="str">
        <f t="shared" si="31"/>
        <v/>
      </c>
      <c r="V221" s="289" t="str">
        <f t="shared" si="32"/>
        <v/>
      </c>
      <c r="W221" s="293" t="str">
        <f t="shared" si="33"/>
        <v/>
      </c>
      <c r="X221" s="297" t="str">
        <f t="shared" si="34"/>
        <v/>
      </c>
      <c r="Y221" s="109"/>
      <c r="Z221" s="108"/>
      <c r="AA221" s="108"/>
      <c r="AB221" s="108"/>
      <c r="AE221" s="30" t="str">
        <f>IFERROR(INDEX('G-6 Hedgerow Data'!$BJ$3:$BJ$15,MATCH(D221,'G-6 Hedgerow Data'!$B$3:$B$15,0)),"")</f>
        <v/>
      </c>
      <c r="AH221" s="111" t="str">
        <f t="shared" si="27"/>
        <v/>
      </c>
      <c r="AI221" s="111" t="str">
        <f t="shared" si="28"/>
        <v/>
      </c>
      <c r="AK221" s="111">
        <v>212</v>
      </c>
      <c r="AM221" s="111" t="str">
        <f t="array" ref="AM221">IFERROR(INDEX($AK$10:$AK$258, MATCH(0, IF(TRUE=$AH$10:$AH$258, COUNTIF($AM$9:$AM220, $AK$10:$AK$258), ""), 0)),"")</f>
        <v/>
      </c>
      <c r="AN221" s="111" t="str">
        <f t="array" ref="AN221">IFERROR(INDEX($AK$10:$AK$258, MATCH(0, IF(TRUE=$AI$10:$AI$258, COUNTIF($AN$9:$AN220, $AK$10:$AK$258), ""), 0)),"")</f>
        <v/>
      </c>
      <c r="AY221" s="289" t="str">
        <f t="shared" si="35"/>
        <v/>
      </c>
    </row>
    <row r="222" spans="2:51" ht="13.8" x14ac:dyDescent="0.25">
      <c r="B222" s="101">
        <v>213</v>
      </c>
      <c r="C222" s="142"/>
      <c r="D222" s="142"/>
      <c r="E222" s="108"/>
      <c r="F222" s="281" t="str">
        <f>IF(D222="","",VLOOKUP(D222,'G-6 Hedgerow Data'!$B$2:$AG$15,2,FALSE))</f>
        <v/>
      </c>
      <c r="G222" s="282" t="str">
        <f>IF(D222="","",VLOOKUP(D222,'G-6 Hedgerow Data'!$B$2:$AG$15,3,FALSE))</f>
        <v/>
      </c>
      <c r="H222" s="105"/>
      <c r="I222" s="282" t="str">
        <f>IFERROR(IF(AND(D222&lt;&gt;"",H222=""), "Check data ⚠",(IF(H222="","",IF(AND(D222="Non-native and ornamental hedgerow", H222&lt;&gt;"Poor"),"Not possible ▲", (IF(AND(F222="V.Low",OR(H222="Good",H222="Moderate")),"Error ▲",VLOOKUP(H222,'G-1 All Habitats'!$Z$2:$AA$9,2,FALSE))))))),"")</f>
        <v/>
      </c>
      <c r="J222" s="109"/>
      <c r="K222" s="301" t="str">
        <f>IF(AND(J222="",D222&lt;&gt;""),"Check data ⚠",IF(J222="","",IF(VLOOKUP(J222,'G-3 Multipliers'!$L$3:$N$6,2,FALSE)=0,"Spatial Data Missing ⚠",VLOOKUP(J222,'G-3 Multipliers'!$L$3:$N$6,2,FALSE))))</f>
        <v/>
      </c>
      <c r="L222" s="305" t="str">
        <f>IF(J222="","",IF(VLOOKUP(J222,'G-3 Multipliers'!$L$3:$N$6,3,FALSE)=0,"Spatial Data Missing ⚠",VLOOKUP(J222,'G-3 Multipliers'!$L$3:$N$6,3,FALSE)))</f>
        <v/>
      </c>
      <c r="M222" s="342" t="str">
        <f>IF(D222="","",VLOOKUP(D222,'G-6 Hedgerow Data'!$B$1:$AH$15,33,FALSE))</f>
        <v/>
      </c>
      <c r="N222" s="295" t="str">
        <f t="shared" si="29"/>
        <v/>
      </c>
      <c r="O222" s="403"/>
      <c r="P222" s="287" t="str">
        <f>IF(O222="","",IF(VLOOKUP(O222,'G-3 Multipliers'!$S$3:$T$10,2,FALSE)=0,"Spatial Data Missing ⚠",VLOOKUP(O222,'G-3 Multipliers'!$S$3:$T$10,2,FALSE)))</f>
        <v/>
      </c>
      <c r="Q222" s="295" t="str">
        <f t="shared" si="30"/>
        <v/>
      </c>
      <c r="R222" s="32"/>
      <c r="S222" s="105"/>
      <c r="T222" s="112"/>
      <c r="U222" s="289" t="str">
        <f t="shared" si="31"/>
        <v/>
      </c>
      <c r="V222" s="289" t="str">
        <f t="shared" si="32"/>
        <v/>
      </c>
      <c r="W222" s="293" t="str">
        <f t="shared" si="33"/>
        <v/>
      </c>
      <c r="X222" s="297" t="str">
        <f t="shared" si="34"/>
        <v/>
      </c>
      <c r="Y222" s="109"/>
      <c r="Z222" s="108"/>
      <c r="AA222" s="108"/>
      <c r="AB222" s="108"/>
      <c r="AE222" s="30" t="str">
        <f>IFERROR(INDEX('G-6 Hedgerow Data'!$BJ$3:$BJ$15,MATCH(D222,'G-6 Hedgerow Data'!$B$3:$B$15,0)),"")</f>
        <v/>
      </c>
      <c r="AH222" s="111" t="str">
        <f t="shared" si="27"/>
        <v/>
      </c>
      <c r="AI222" s="111" t="str">
        <f t="shared" si="28"/>
        <v/>
      </c>
      <c r="AK222" s="111">
        <v>213</v>
      </c>
      <c r="AM222" s="111" t="str">
        <f t="array" ref="AM222">IFERROR(INDEX($AK$10:$AK$258, MATCH(0, IF(TRUE=$AH$10:$AH$258, COUNTIF($AM$9:$AM221, $AK$10:$AK$258), ""), 0)),"")</f>
        <v/>
      </c>
      <c r="AN222" s="111" t="str">
        <f t="array" ref="AN222">IFERROR(INDEX($AK$10:$AK$258, MATCH(0, IF(TRUE=$AI$10:$AI$258, COUNTIF($AN$9:$AN221, $AK$10:$AK$258), ""), 0)),"")</f>
        <v/>
      </c>
      <c r="AY222" s="289" t="str">
        <f t="shared" si="35"/>
        <v/>
      </c>
    </row>
    <row r="223" spans="2:51" ht="13.8" x14ac:dyDescent="0.25">
      <c r="B223" s="101">
        <v>214</v>
      </c>
      <c r="C223" s="142"/>
      <c r="D223" s="142"/>
      <c r="E223" s="108"/>
      <c r="F223" s="281" t="str">
        <f>IF(D223="","",VLOOKUP(D223,'G-6 Hedgerow Data'!$B$2:$AG$15,2,FALSE))</f>
        <v/>
      </c>
      <c r="G223" s="282" t="str">
        <f>IF(D223="","",VLOOKUP(D223,'G-6 Hedgerow Data'!$B$2:$AG$15,3,FALSE))</f>
        <v/>
      </c>
      <c r="H223" s="105"/>
      <c r="I223" s="282" t="str">
        <f>IFERROR(IF(AND(D223&lt;&gt;"",H223=""), "Check data ⚠",(IF(H223="","",IF(AND(D223="Non-native and ornamental hedgerow", H223&lt;&gt;"Poor"),"Not possible ▲", (IF(AND(F223="V.Low",OR(H223="Good",H223="Moderate")),"Error ▲",VLOOKUP(H223,'G-1 All Habitats'!$Z$2:$AA$9,2,FALSE))))))),"")</f>
        <v/>
      </c>
      <c r="J223" s="109"/>
      <c r="K223" s="301" t="str">
        <f>IF(AND(J223="",D223&lt;&gt;""),"Check data ⚠",IF(J223="","",IF(VLOOKUP(J223,'G-3 Multipliers'!$L$3:$N$6,2,FALSE)=0,"Spatial Data Missing ⚠",VLOOKUP(J223,'G-3 Multipliers'!$L$3:$N$6,2,FALSE))))</f>
        <v/>
      </c>
      <c r="L223" s="305" t="str">
        <f>IF(J223="","",IF(VLOOKUP(J223,'G-3 Multipliers'!$L$3:$N$6,3,FALSE)=0,"Spatial Data Missing ⚠",VLOOKUP(J223,'G-3 Multipliers'!$L$3:$N$6,3,FALSE)))</f>
        <v/>
      </c>
      <c r="M223" s="342" t="str">
        <f>IF(D223="","",VLOOKUP(D223,'G-6 Hedgerow Data'!$B$1:$AH$15,33,FALSE))</f>
        <v/>
      </c>
      <c r="N223" s="295" t="str">
        <f t="shared" si="29"/>
        <v/>
      </c>
      <c r="O223" s="403"/>
      <c r="P223" s="287" t="str">
        <f>IF(O223="","",IF(VLOOKUP(O223,'G-3 Multipliers'!$S$3:$T$10,2,FALSE)=0,"Spatial Data Missing ⚠",VLOOKUP(O223,'G-3 Multipliers'!$S$3:$T$10,2,FALSE)))</f>
        <v/>
      </c>
      <c r="Q223" s="295" t="str">
        <f t="shared" si="30"/>
        <v/>
      </c>
      <c r="R223" s="32"/>
      <c r="S223" s="105"/>
      <c r="T223" s="112"/>
      <c r="U223" s="289" t="str">
        <f t="shared" si="31"/>
        <v/>
      </c>
      <c r="V223" s="289" t="str">
        <f t="shared" si="32"/>
        <v/>
      </c>
      <c r="W223" s="293" t="str">
        <f t="shared" si="33"/>
        <v/>
      </c>
      <c r="X223" s="297" t="str">
        <f t="shared" si="34"/>
        <v/>
      </c>
      <c r="Y223" s="109"/>
      <c r="Z223" s="108"/>
      <c r="AA223" s="108"/>
      <c r="AB223" s="108"/>
      <c r="AE223" s="30" t="str">
        <f>IFERROR(INDEX('G-6 Hedgerow Data'!$BJ$3:$BJ$15,MATCH(D223,'G-6 Hedgerow Data'!$B$3:$B$15,0)),"")</f>
        <v/>
      </c>
      <c r="AH223" s="111" t="str">
        <f t="shared" si="27"/>
        <v/>
      </c>
      <c r="AI223" s="111" t="str">
        <f t="shared" si="28"/>
        <v/>
      </c>
      <c r="AK223" s="111">
        <v>214</v>
      </c>
      <c r="AM223" s="111" t="str">
        <f t="array" ref="AM223">IFERROR(INDEX($AK$10:$AK$258, MATCH(0, IF(TRUE=$AH$10:$AH$258, COUNTIF($AM$9:$AM222, $AK$10:$AK$258), ""), 0)),"")</f>
        <v/>
      </c>
      <c r="AN223" s="111" t="str">
        <f t="array" ref="AN223">IFERROR(INDEX($AK$10:$AK$258, MATCH(0, IF(TRUE=$AI$10:$AI$258, COUNTIF($AN$9:$AN222, $AK$10:$AK$258), ""), 0)),"")</f>
        <v/>
      </c>
      <c r="AY223" s="289" t="str">
        <f t="shared" si="35"/>
        <v/>
      </c>
    </row>
    <row r="224" spans="2:51" ht="13.8" x14ac:dyDescent="0.25">
      <c r="B224" s="101">
        <v>215</v>
      </c>
      <c r="C224" s="142"/>
      <c r="D224" s="142"/>
      <c r="E224" s="108"/>
      <c r="F224" s="281" t="str">
        <f>IF(D224="","",VLOOKUP(D224,'G-6 Hedgerow Data'!$B$2:$AG$15,2,FALSE))</f>
        <v/>
      </c>
      <c r="G224" s="282" t="str">
        <f>IF(D224="","",VLOOKUP(D224,'G-6 Hedgerow Data'!$B$2:$AG$15,3,FALSE))</f>
        <v/>
      </c>
      <c r="H224" s="105"/>
      <c r="I224" s="282" t="str">
        <f>IFERROR(IF(AND(D224&lt;&gt;"",H224=""), "Check data ⚠",(IF(H224="","",IF(AND(D224="Non-native and ornamental hedgerow", H224&lt;&gt;"Poor"),"Not possible ▲", (IF(AND(F224="V.Low",OR(H224="Good",H224="Moderate")),"Error ▲",VLOOKUP(H224,'G-1 All Habitats'!$Z$2:$AA$9,2,FALSE))))))),"")</f>
        <v/>
      </c>
      <c r="J224" s="109"/>
      <c r="K224" s="301" t="str">
        <f>IF(AND(J224="",D224&lt;&gt;""),"Check data ⚠",IF(J224="","",IF(VLOOKUP(J224,'G-3 Multipliers'!$L$3:$N$6,2,FALSE)=0,"Spatial Data Missing ⚠",VLOOKUP(J224,'G-3 Multipliers'!$L$3:$N$6,2,FALSE))))</f>
        <v/>
      </c>
      <c r="L224" s="305" t="str">
        <f>IF(J224="","",IF(VLOOKUP(J224,'G-3 Multipliers'!$L$3:$N$6,3,FALSE)=0,"Spatial Data Missing ⚠",VLOOKUP(J224,'G-3 Multipliers'!$L$3:$N$6,3,FALSE)))</f>
        <v/>
      </c>
      <c r="M224" s="342" t="str">
        <f>IF(D224="","",VLOOKUP(D224,'G-6 Hedgerow Data'!$B$1:$AH$15,33,FALSE))</f>
        <v/>
      </c>
      <c r="N224" s="295" t="str">
        <f t="shared" si="29"/>
        <v/>
      </c>
      <c r="O224" s="403"/>
      <c r="P224" s="287" t="str">
        <f>IF(O224="","",IF(VLOOKUP(O224,'G-3 Multipliers'!$S$3:$T$10,2,FALSE)=0,"Spatial Data Missing ⚠",VLOOKUP(O224,'G-3 Multipliers'!$S$3:$T$10,2,FALSE)))</f>
        <v/>
      </c>
      <c r="Q224" s="295" t="str">
        <f t="shared" si="30"/>
        <v/>
      </c>
      <c r="R224" s="32"/>
      <c r="S224" s="105"/>
      <c r="T224" s="112"/>
      <c r="U224" s="289" t="str">
        <f t="shared" si="31"/>
        <v/>
      </c>
      <c r="V224" s="289" t="str">
        <f t="shared" si="32"/>
        <v/>
      </c>
      <c r="W224" s="293" t="str">
        <f t="shared" si="33"/>
        <v/>
      </c>
      <c r="X224" s="297" t="str">
        <f t="shared" si="34"/>
        <v/>
      </c>
      <c r="Y224" s="109"/>
      <c r="Z224" s="108"/>
      <c r="AA224" s="108"/>
      <c r="AB224" s="108"/>
      <c r="AE224" s="30" t="str">
        <f>IFERROR(INDEX('G-6 Hedgerow Data'!$BJ$3:$BJ$15,MATCH(D224,'G-6 Hedgerow Data'!$B$3:$B$15,0)),"")</f>
        <v/>
      </c>
      <c r="AH224" s="111" t="str">
        <f t="shared" si="27"/>
        <v/>
      </c>
      <c r="AI224" s="111" t="str">
        <f t="shared" si="28"/>
        <v/>
      </c>
      <c r="AK224" s="111">
        <v>215</v>
      </c>
      <c r="AM224" s="111" t="str">
        <f t="array" ref="AM224">IFERROR(INDEX($AK$10:$AK$258, MATCH(0, IF(TRUE=$AH$10:$AH$258, COUNTIF($AM$9:$AM223, $AK$10:$AK$258), ""), 0)),"")</f>
        <v/>
      </c>
      <c r="AN224" s="111" t="str">
        <f t="array" ref="AN224">IFERROR(INDEX($AK$10:$AK$258, MATCH(0, IF(TRUE=$AI$10:$AI$258, COUNTIF($AN$9:$AN223, $AK$10:$AK$258), ""), 0)),"")</f>
        <v/>
      </c>
      <c r="AY224" s="289" t="str">
        <f t="shared" si="35"/>
        <v/>
      </c>
    </row>
    <row r="225" spans="2:51" ht="13.8" x14ac:dyDescent="0.25">
      <c r="B225" s="101">
        <v>216</v>
      </c>
      <c r="C225" s="142"/>
      <c r="D225" s="142"/>
      <c r="E225" s="108"/>
      <c r="F225" s="281" t="str">
        <f>IF(D225="","",VLOOKUP(D225,'G-6 Hedgerow Data'!$B$2:$AG$15,2,FALSE))</f>
        <v/>
      </c>
      <c r="G225" s="282" t="str">
        <f>IF(D225="","",VLOOKUP(D225,'G-6 Hedgerow Data'!$B$2:$AG$15,3,FALSE))</f>
        <v/>
      </c>
      <c r="H225" s="105"/>
      <c r="I225" s="282" t="str">
        <f>IFERROR(IF(AND(D225&lt;&gt;"",H225=""), "Check data ⚠",(IF(H225="","",IF(AND(D225="Non-native and ornamental hedgerow", H225&lt;&gt;"Poor"),"Not possible ▲", (IF(AND(F225="V.Low",OR(H225="Good",H225="Moderate")),"Error ▲",VLOOKUP(H225,'G-1 All Habitats'!$Z$2:$AA$9,2,FALSE))))))),"")</f>
        <v/>
      </c>
      <c r="J225" s="109"/>
      <c r="K225" s="301" t="str">
        <f>IF(AND(J225="",D225&lt;&gt;""),"Check data ⚠",IF(J225="","",IF(VLOOKUP(J225,'G-3 Multipliers'!$L$3:$N$6,2,FALSE)=0,"Spatial Data Missing ⚠",VLOOKUP(J225,'G-3 Multipliers'!$L$3:$N$6,2,FALSE))))</f>
        <v/>
      </c>
      <c r="L225" s="305" t="str">
        <f>IF(J225="","",IF(VLOOKUP(J225,'G-3 Multipliers'!$L$3:$N$6,3,FALSE)=0,"Spatial Data Missing ⚠",VLOOKUP(J225,'G-3 Multipliers'!$L$3:$N$6,3,FALSE)))</f>
        <v/>
      </c>
      <c r="M225" s="342" t="str">
        <f>IF(D225="","",VLOOKUP(D225,'G-6 Hedgerow Data'!$B$1:$AH$15,33,FALSE))</f>
        <v/>
      </c>
      <c r="N225" s="295" t="str">
        <f t="shared" si="29"/>
        <v/>
      </c>
      <c r="O225" s="403"/>
      <c r="P225" s="287" t="str">
        <f>IF(O225="","",IF(VLOOKUP(O225,'G-3 Multipliers'!$S$3:$T$10,2,FALSE)=0,"Spatial Data Missing ⚠",VLOOKUP(O225,'G-3 Multipliers'!$S$3:$T$10,2,FALSE)))</f>
        <v/>
      </c>
      <c r="Q225" s="295" t="str">
        <f t="shared" si="30"/>
        <v/>
      </c>
      <c r="R225" s="32"/>
      <c r="S225" s="105"/>
      <c r="T225" s="112"/>
      <c r="U225" s="289" t="str">
        <f t="shared" si="31"/>
        <v/>
      </c>
      <c r="V225" s="289" t="str">
        <f t="shared" si="32"/>
        <v/>
      </c>
      <c r="W225" s="293" t="str">
        <f t="shared" si="33"/>
        <v/>
      </c>
      <c r="X225" s="297" t="str">
        <f t="shared" si="34"/>
        <v/>
      </c>
      <c r="Y225" s="109"/>
      <c r="Z225" s="108"/>
      <c r="AA225" s="108"/>
      <c r="AB225" s="108"/>
      <c r="AE225" s="30" t="str">
        <f>IFERROR(INDEX('G-6 Hedgerow Data'!$BJ$3:$BJ$15,MATCH(D225,'G-6 Hedgerow Data'!$B$3:$B$15,0)),"")</f>
        <v/>
      </c>
      <c r="AH225" s="111" t="str">
        <f t="shared" si="27"/>
        <v/>
      </c>
      <c r="AI225" s="111" t="str">
        <f t="shared" si="28"/>
        <v/>
      </c>
      <c r="AK225" s="111">
        <v>216</v>
      </c>
      <c r="AM225" s="111" t="str">
        <f t="array" ref="AM225">IFERROR(INDEX($AK$10:$AK$258, MATCH(0, IF(TRUE=$AH$10:$AH$258, COUNTIF($AM$9:$AM224, $AK$10:$AK$258), ""), 0)),"")</f>
        <v/>
      </c>
      <c r="AN225" s="111" t="str">
        <f t="array" ref="AN225">IFERROR(INDEX($AK$10:$AK$258, MATCH(0, IF(TRUE=$AI$10:$AI$258, COUNTIF($AN$9:$AN224, $AK$10:$AK$258), ""), 0)),"")</f>
        <v/>
      </c>
      <c r="AY225" s="289" t="str">
        <f t="shared" si="35"/>
        <v/>
      </c>
    </row>
    <row r="226" spans="2:51" ht="13.8" x14ac:dyDescent="0.25">
      <c r="B226" s="101">
        <v>217</v>
      </c>
      <c r="C226" s="142"/>
      <c r="D226" s="142"/>
      <c r="E226" s="108"/>
      <c r="F226" s="281" t="str">
        <f>IF(D226="","",VLOOKUP(D226,'G-6 Hedgerow Data'!$B$2:$AG$15,2,FALSE))</f>
        <v/>
      </c>
      <c r="G226" s="282" t="str">
        <f>IF(D226="","",VLOOKUP(D226,'G-6 Hedgerow Data'!$B$2:$AG$15,3,FALSE))</f>
        <v/>
      </c>
      <c r="H226" s="105"/>
      <c r="I226" s="282" t="str">
        <f>IFERROR(IF(AND(D226&lt;&gt;"",H226=""), "Check data ⚠",(IF(H226="","",IF(AND(D226="Non-native and ornamental hedgerow", H226&lt;&gt;"Poor"),"Not possible ▲", (IF(AND(F226="V.Low",OR(H226="Good",H226="Moderate")),"Error ▲",VLOOKUP(H226,'G-1 All Habitats'!$Z$2:$AA$9,2,FALSE))))))),"")</f>
        <v/>
      </c>
      <c r="J226" s="109"/>
      <c r="K226" s="301" t="str">
        <f>IF(AND(J226="",D226&lt;&gt;""),"Check data ⚠",IF(J226="","",IF(VLOOKUP(J226,'G-3 Multipliers'!$L$3:$N$6,2,FALSE)=0,"Spatial Data Missing ⚠",VLOOKUP(J226,'G-3 Multipliers'!$L$3:$N$6,2,FALSE))))</f>
        <v/>
      </c>
      <c r="L226" s="305" t="str">
        <f>IF(J226="","",IF(VLOOKUP(J226,'G-3 Multipliers'!$L$3:$N$6,3,FALSE)=0,"Spatial Data Missing ⚠",VLOOKUP(J226,'G-3 Multipliers'!$L$3:$N$6,3,FALSE)))</f>
        <v/>
      </c>
      <c r="M226" s="342" t="str">
        <f>IF(D226="","",VLOOKUP(D226,'G-6 Hedgerow Data'!$B$1:$AH$15,33,FALSE))</f>
        <v/>
      </c>
      <c r="N226" s="295" t="str">
        <f t="shared" si="29"/>
        <v/>
      </c>
      <c r="O226" s="403"/>
      <c r="P226" s="287" t="str">
        <f>IF(O226="","",IF(VLOOKUP(O226,'G-3 Multipliers'!$S$3:$T$10,2,FALSE)=0,"Spatial Data Missing ⚠",VLOOKUP(O226,'G-3 Multipliers'!$S$3:$T$10,2,FALSE)))</f>
        <v/>
      </c>
      <c r="Q226" s="295" t="str">
        <f t="shared" si="30"/>
        <v/>
      </c>
      <c r="R226" s="32"/>
      <c r="S226" s="105"/>
      <c r="T226" s="112"/>
      <c r="U226" s="289" t="str">
        <f t="shared" si="31"/>
        <v/>
      </c>
      <c r="V226" s="289" t="str">
        <f t="shared" si="32"/>
        <v/>
      </c>
      <c r="W226" s="293" t="str">
        <f t="shared" si="33"/>
        <v/>
      </c>
      <c r="X226" s="297" t="str">
        <f t="shared" si="34"/>
        <v/>
      </c>
      <c r="Y226" s="109"/>
      <c r="Z226" s="108"/>
      <c r="AA226" s="108"/>
      <c r="AB226" s="108"/>
      <c r="AE226" s="30" t="str">
        <f>IFERROR(INDEX('G-6 Hedgerow Data'!$BJ$3:$BJ$15,MATCH(D226,'G-6 Hedgerow Data'!$B$3:$B$15,0)),"")</f>
        <v/>
      </c>
      <c r="AH226" s="111" t="str">
        <f t="shared" si="27"/>
        <v/>
      </c>
      <c r="AI226" s="111" t="str">
        <f t="shared" si="28"/>
        <v/>
      </c>
      <c r="AK226" s="111">
        <v>217</v>
      </c>
      <c r="AM226" s="111" t="str">
        <f t="array" ref="AM226">IFERROR(INDEX($AK$10:$AK$258, MATCH(0, IF(TRUE=$AH$10:$AH$258, COUNTIF($AM$9:$AM225, $AK$10:$AK$258), ""), 0)),"")</f>
        <v/>
      </c>
      <c r="AN226" s="111" t="str">
        <f t="array" ref="AN226">IFERROR(INDEX($AK$10:$AK$258, MATCH(0, IF(TRUE=$AI$10:$AI$258, COUNTIF($AN$9:$AN225, $AK$10:$AK$258), ""), 0)),"")</f>
        <v/>
      </c>
      <c r="AY226" s="289" t="str">
        <f t="shared" si="35"/>
        <v/>
      </c>
    </row>
    <row r="227" spans="2:51" ht="13.8" x14ac:dyDescent="0.25">
      <c r="B227" s="101">
        <v>218</v>
      </c>
      <c r="C227" s="142"/>
      <c r="D227" s="142"/>
      <c r="E227" s="108"/>
      <c r="F227" s="281" t="str">
        <f>IF(D227="","",VLOOKUP(D227,'G-6 Hedgerow Data'!$B$2:$AG$15,2,FALSE))</f>
        <v/>
      </c>
      <c r="G227" s="282" t="str">
        <f>IF(D227="","",VLOOKUP(D227,'G-6 Hedgerow Data'!$B$2:$AG$15,3,FALSE))</f>
        <v/>
      </c>
      <c r="H227" s="105"/>
      <c r="I227" s="282" t="str">
        <f>IFERROR(IF(AND(D227&lt;&gt;"",H227=""), "Check data ⚠",(IF(H227="","",IF(AND(D227="Non-native and ornamental hedgerow", H227&lt;&gt;"Poor"),"Not possible ▲", (IF(AND(F227="V.Low",OR(H227="Good",H227="Moderate")),"Error ▲",VLOOKUP(H227,'G-1 All Habitats'!$Z$2:$AA$9,2,FALSE))))))),"")</f>
        <v/>
      </c>
      <c r="J227" s="109"/>
      <c r="K227" s="301" t="str">
        <f>IF(AND(J227="",D227&lt;&gt;""),"Check data ⚠",IF(J227="","",IF(VLOOKUP(J227,'G-3 Multipliers'!$L$3:$N$6,2,FALSE)=0,"Spatial Data Missing ⚠",VLOOKUP(J227,'G-3 Multipliers'!$L$3:$N$6,2,FALSE))))</f>
        <v/>
      </c>
      <c r="L227" s="305" t="str">
        <f>IF(J227="","",IF(VLOOKUP(J227,'G-3 Multipliers'!$L$3:$N$6,3,FALSE)=0,"Spatial Data Missing ⚠",VLOOKUP(J227,'G-3 Multipliers'!$L$3:$N$6,3,FALSE)))</f>
        <v/>
      </c>
      <c r="M227" s="342" t="str">
        <f>IF(D227="","",VLOOKUP(D227,'G-6 Hedgerow Data'!$B$1:$AH$15,33,FALSE))</f>
        <v/>
      </c>
      <c r="N227" s="295" t="str">
        <f t="shared" si="29"/>
        <v/>
      </c>
      <c r="O227" s="403"/>
      <c r="P227" s="287" t="str">
        <f>IF(O227="","",IF(VLOOKUP(O227,'G-3 Multipliers'!$S$3:$T$10,2,FALSE)=0,"Spatial Data Missing ⚠",VLOOKUP(O227,'G-3 Multipliers'!$S$3:$T$10,2,FALSE)))</f>
        <v/>
      </c>
      <c r="Q227" s="295" t="str">
        <f t="shared" si="30"/>
        <v/>
      </c>
      <c r="R227" s="32"/>
      <c r="S227" s="105"/>
      <c r="T227" s="112"/>
      <c r="U227" s="289" t="str">
        <f t="shared" si="31"/>
        <v/>
      </c>
      <c r="V227" s="289" t="str">
        <f t="shared" si="32"/>
        <v/>
      </c>
      <c r="W227" s="293" t="str">
        <f t="shared" si="33"/>
        <v/>
      </c>
      <c r="X227" s="297" t="str">
        <f t="shared" si="34"/>
        <v/>
      </c>
      <c r="Y227" s="109"/>
      <c r="Z227" s="108"/>
      <c r="AA227" s="108"/>
      <c r="AB227" s="108"/>
      <c r="AE227" s="30" t="str">
        <f>IFERROR(INDEX('G-6 Hedgerow Data'!$BJ$3:$BJ$15,MATCH(D227,'G-6 Hedgerow Data'!$B$3:$B$15,0)),"")</f>
        <v/>
      </c>
      <c r="AH227" s="111" t="str">
        <f t="shared" si="27"/>
        <v/>
      </c>
      <c r="AI227" s="111" t="str">
        <f t="shared" si="28"/>
        <v/>
      </c>
      <c r="AK227" s="111">
        <v>218</v>
      </c>
      <c r="AM227" s="111" t="str">
        <f t="array" ref="AM227">IFERROR(INDEX($AK$10:$AK$258, MATCH(0, IF(TRUE=$AH$10:$AH$258, COUNTIF($AM$9:$AM226, $AK$10:$AK$258), ""), 0)),"")</f>
        <v/>
      </c>
      <c r="AN227" s="111" t="str">
        <f t="array" ref="AN227">IFERROR(INDEX($AK$10:$AK$258, MATCH(0, IF(TRUE=$AI$10:$AI$258, COUNTIF($AN$9:$AN226, $AK$10:$AK$258), ""), 0)),"")</f>
        <v/>
      </c>
      <c r="AY227" s="289" t="str">
        <f t="shared" si="35"/>
        <v/>
      </c>
    </row>
    <row r="228" spans="2:51" ht="13.8" x14ac:dyDescent="0.25">
      <c r="B228" s="101">
        <v>219</v>
      </c>
      <c r="C228" s="142"/>
      <c r="D228" s="142"/>
      <c r="E228" s="108"/>
      <c r="F228" s="281" t="str">
        <f>IF(D228="","",VLOOKUP(D228,'G-6 Hedgerow Data'!$B$2:$AG$15,2,FALSE))</f>
        <v/>
      </c>
      <c r="G228" s="282" t="str">
        <f>IF(D228="","",VLOOKUP(D228,'G-6 Hedgerow Data'!$B$2:$AG$15,3,FALSE))</f>
        <v/>
      </c>
      <c r="H228" s="105"/>
      <c r="I228" s="282" t="str">
        <f>IFERROR(IF(AND(D228&lt;&gt;"",H228=""), "Check data ⚠",(IF(H228="","",IF(AND(D228="Non-native and ornamental hedgerow", H228&lt;&gt;"Poor"),"Not possible ▲", (IF(AND(F228="V.Low",OR(H228="Good",H228="Moderate")),"Error ▲",VLOOKUP(H228,'G-1 All Habitats'!$Z$2:$AA$9,2,FALSE))))))),"")</f>
        <v/>
      </c>
      <c r="J228" s="109"/>
      <c r="K228" s="301" t="str">
        <f>IF(AND(J228="",D228&lt;&gt;""),"Check data ⚠",IF(J228="","",IF(VLOOKUP(J228,'G-3 Multipliers'!$L$3:$N$6,2,FALSE)=0,"Spatial Data Missing ⚠",VLOOKUP(J228,'G-3 Multipliers'!$L$3:$N$6,2,FALSE))))</f>
        <v/>
      </c>
      <c r="L228" s="305" t="str">
        <f>IF(J228="","",IF(VLOOKUP(J228,'G-3 Multipliers'!$L$3:$N$6,3,FALSE)=0,"Spatial Data Missing ⚠",VLOOKUP(J228,'G-3 Multipliers'!$L$3:$N$6,3,FALSE)))</f>
        <v/>
      </c>
      <c r="M228" s="342" t="str">
        <f>IF(D228="","",VLOOKUP(D228,'G-6 Hedgerow Data'!$B$1:$AH$15,33,FALSE))</f>
        <v/>
      </c>
      <c r="N228" s="295" t="str">
        <f t="shared" si="29"/>
        <v/>
      </c>
      <c r="O228" s="403"/>
      <c r="P228" s="287" t="str">
        <f>IF(O228="","",IF(VLOOKUP(O228,'G-3 Multipliers'!$S$3:$T$10,2,FALSE)=0,"Spatial Data Missing ⚠",VLOOKUP(O228,'G-3 Multipliers'!$S$3:$T$10,2,FALSE)))</f>
        <v/>
      </c>
      <c r="Q228" s="295" t="str">
        <f t="shared" si="30"/>
        <v/>
      </c>
      <c r="R228" s="32"/>
      <c r="S228" s="105"/>
      <c r="T228" s="112"/>
      <c r="U228" s="289" t="str">
        <f t="shared" si="31"/>
        <v/>
      </c>
      <c r="V228" s="289" t="str">
        <f t="shared" si="32"/>
        <v/>
      </c>
      <c r="W228" s="293" t="str">
        <f t="shared" si="33"/>
        <v/>
      </c>
      <c r="X228" s="297" t="str">
        <f t="shared" si="34"/>
        <v/>
      </c>
      <c r="Y228" s="109"/>
      <c r="Z228" s="108"/>
      <c r="AA228" s="108"/>
      <c r="AB228" s="108"/>
      <c r="AE228" s="30" t="str">
        <f>IFERROR(INDEX('G-6 Hedgerow Data'!$BJ$3:$BJ$15,MATCH(D228,'G-6 Hedgerow Data'!$B$3:$B$15,0)),"")</f>
        <v/>
      </c>
      <c r="AH228" s="111" t="str">
        <f t="shared" si="27"/>
        <v/>
      </c>
      <c r="AI228" s="111" t="str">
        <f t="shared" si="28"/>
        <v/>
      </c>
      <c r="AK228" s="111">
        <v>219</v>
      </c>
      <c r="AM228" s="111" t="str">
        <f t="array" ref="AM228">IFERROR(INDEX($AK$10:$AK$258, MATCH(0, IF(TRUE=$AH$10:$AH$258, COUNTIF($AM$9:$AM227, $AK$10:$AK$258), ""), 0)),"")</f>
        <v/>
      </c>
      <c r="AN228" s="111" t="str">
        <f t="array" ref="AN228">IFERROR(INDEX($AK$10:$AK$258, MATCH(0, IF(TRUE=$AI$10:$AI$258, COUNTIF($AN$9:$AN227, $AK$10:$AK$258), ""), 0)),"")</f>
        <v/>
      </c>
      <c r="AY228" s="289" t="str">
        <f t="shared" si="35"/>
        <v/>
      </c>
    </row>
    <row r="229" spans="2:51" ht="13.8" x14ac:dyDescent="0.25">
      <c r="B229" s="101">
        <v>220</v>
      </c>
      <c r="C229" s="142"/>
      <c r="D229" s="142"/>
      <c r="E229" s="108"/>
      <c r="F229" s="281" t="str">
        <f>IF(D229="","",VLOOKUP(D229,'G-6 Hedgerow Data'!$B$2:$AG$15,2,FALSE))</f>
        <v/>
      </c>
      <c r="G229" s="282" t="str">
        <f>IF(D229="","",VLOOKUP(D229,'G-6 Hedgerow Data'!$B$2:$AG$15,3,FALSE))</f>
        <v/>
      </c>
      <c r="H229" s="105"/>
      <c r="I229" s="282" t="str">
        <f>IFERROR(IF(AND(D229&lt;&gt;"",H229=""), "Check data ⚠",(IF(H229="","",IF(AND(D229="Non-native and ornamental hedgerow", H229&lt;&gt;"Poor"),"Not possible ▲", (IF(AND(F229="V.Low",OR(H229="Good",H229="Moderate")),"Error ▲",VLOOKUP(H229,'G-1 All Habitats'!$Z$2:$AA$9,2,FALSE))))))),"")</f>
        <v/>
      </c>
      <c r="J229" s="109"/>
      <c r="K229" s="301" t="str">
        <f>IF(AND(J229="",D229&lt;&gt;""),"Check data ⚠",IF(J229="","",IF(VLOOKUP(J229,'G-3 Multipliers'!$L$3:$N$6,2,FALSE)=0,"Spatial Data Missing ⚠",VLOOKUP(J229,'G-3 Multipliers'!$L$3:$N$6,2,FALSE))))</f>
        <v/>
      </c>
      <c r="L229" s="305" t="str">
        <f>IF(J229="","",IF(VLOOKUP(J229,'G-3 Multipliers'!$L$3:$N$6,3,FALSE)=0,"Spatial Data Missing ⚠",VLOOKUP(J229,'G-3 Multipliers'!$L$3:$N$6,3,FALSE)))</f>
        <v/>
      </c>
      <c r="M229" s="342" t="str">
        <f>IF(D229="","",VLOOKUP(D229,'G-6 Hedgerow Data'!$B$1:$AH$15,33,FALSE))</f>
        <v/>
      </c>
      <c r="N229" s="295" t="str">
        <f t="shared" si="29"/>
        <v/>
      </c>
      <c r="O229" s="403"/>
      <c r="P229" s="287" t="str">
        <f>IF(O229="","",IF(VLOOKUP(O229,'G-3 Multipliers'!$S$3:$T$10,2,FALSE)=0,"Spatial Data Missing ⚠",VLOOKUP(O229,'G-3 Multipliers'!$S$3:$T$10,2,FALSE)))</f>
        <v/>
      </c>
      <c r="Q229" s="295" t="str">
        <f t="shared" si="30"/>
        <v/>
      </c>
      <c r="R229" s="32"/>
      <c r="S229" s="105"/>
      <c r="T229" s="112"/>
      <c r="U229" s="289" t="str">
        <f t="shared" si="31"/>
        <v/>
      </c>
      <c r="V229" s="289" t="str">
        <f t="shared" si="32"/>
        <v/>
      </c>
      <c r="W229" s="293" t="str">
        <f t="shared" si="33"/>
        <v/>
      </c>
      <c r="X229" s="297" t="str">
        <f t="shared" si="34"/>
        <v/>
      </c>
      <c r="Y229" s="109"/>
      <c r="Z229" s="108"/>
      <c r="AA229" s="108"/>
      <c r="AB229" s="108"/>
      <c r="AE229" s="30" t="str">
        <f>IFERROR(INDEX('G-6 Hedgerow Data'!$BJ$3:$BJ$15,MATCH(D229,'G-6 Hedgerow Data'!$B$3:$B$15,0)),"")</f>
        <v/>
      </c>
      <c r="AH229" s="111" t="str">
        <f t="shared" si="27"/>
        <v/>
      </c>
      <c r="AI229" s="111" t="str">
        <f t="shared" si="28"/>
        <v/>
      </c>
      <c r="AK229" s="111">
        <v>220</v>
      </c>
      <c r="AM229" s="111" t="str">
        <f t="array" ref="AM229">IFERROR(INDEX($AK$10:$AK$258, MATCH(0, IF(TRUE=$AH$10:$AH$258, COUNTIF($AM$9:$AM228, $AK$10:$AK$258), ""), 0)),"")</f>
        <v/>
      </c>
      <c r="AN229" s="111" t="str">
        <f t="array" ref="AN229">IFERROR(INDEX($AK$10:$AK$258, MATCH(0, IF(TRUE=$AI$10:$AI$258, COUNTIF($AN$9:$AN228, $AK$10:$AK$258), ""), 0)),"")</f>
        <v/>
      </c>
      <c r="AY229" s="289" t="str">
        <f t="shared" si="35"/>
        <v/>
      </c>
    </row>
    <row r="230" spans="2:51" ht="13.8" x14ac:dyDescent="0.25">
      <c r="B230" s="101">
        <v>221</v>
      </c>
      <c r="C230" s="142"/>
      <c r="D230" s="142"/>
      <c r="E230" s="108"/>
      <c r="F230" s="281" t="str">
        <f>IF(D230="","",VLOOKUP(D230,'G-6 Hedgerow Data'!$B$2:$AG$15,2,FALSE))</f>
        <v/>
      </c>
      <c r="G230" s="282" t="str">
        <f>IF(D230="","",VLOOKUP(D230,'G-6 Hedgerow Data'!$B$2:$AG$15,3,FALSE))</f>
        <v/>
      </c>
      <c r="H230" s="105"/>
      <c r="I230" s="282" t="str">
        <f>IFERROR(IF(AND(D230&lt;&gt;"",H230=""), "Check data ⚠",(IF(H230="","",IF(AND(D230="Non-native and ornamental hedgerow", H230&lt;&gt;"Poor"),"Not possible ▲", (IF(AND(F230="V.Low",OR(H230="Good",H230="Moderate")),"Error ▲",VLOOKUP(H230,'G-1 All Habitats'!$Z$2:$AA$9,2,FALSE))))))),"")</f>
        <v/>
      </c>
      <c r="J230" s="109"/>
      <c r="K230" s="301" t="str">
        <f>IF(AND(J230="",D230&lt;&gt;""),"Check data ⚠",IF(J230="","",IF(VLOOKUP(J230,'G-3 Multipliers'!$L$3:$N$6,2,FALSE)=0,"Spatial Data Missing ⚠",VLOOKUP(J230,'G-3 Multipliers'!$L$3:$N$6,2,FALSE))))</f>
        <v/>
      </c>
      <c r="L230" s="305" t="str">
        <f>IF(J230="","",IF(VLOOKUP(J230,'G-3 Multipliers'!$L$3:$N$6,3,FALSE)=0,"Spatial Data Missing ⚠",VLOOKUP(J230,'G-3 Multipliers'!$L$3:$N$6,3,FALSE)))</f>
        <v/>
      </c>
      <c r="M230" s="342" t="str">
        <f>IF(D230="","",VLOOKUP(D230,'G-6 Hedgerow Data'!$B$1:$AH$15,33,FALSE))</f>
        <v/>
      </c>
      <c r="N230" s="295" t="str">
        <f t="shared" si="29"/>
        <v/>
      </c>
      <c r="O230" s="403"/>
      <c r="P230" s="287" t="str">
        <f>IF(O230="","",IF(VLOOKUP(O230,'G-3 Multipliers'!$S$3:$T$10,2,FALSE)=0,"Spatial Data Missing ⚠",VLOOKUP(O230,'G-3 Multipliers'!$S$3:$T$10,2,FALSE)))</f>
        <v/>
      </c>
      <c r="Q230" s="295" t="str">
        <f t="shared" si="30"/>
        <v/>
      </c>
      <c r="R230" s="32"/>
      <c r="S230" s="105"/>
      <c r="T230" s="112"/>
      <c r="U230" s="289" t="str">
        <f t="shared" si="31"/>
        <v/>
      </c>
      <c r="V230" s="289" t="str">
        <f t="shared" si="32"/>
        <v/>
      </c>
      <c r="W230" s="293" t="str">
        <f t="shared" si="33"/>
        <v/>
      </c>
      <c r="X230" s="297" t="str">
        <f t="shared" si="34"/>
        <v/>
      </c>
      <c r="Y230" s="109"/>
      <c r="Z230" s="108"/>
      <c r="AA230" s="108"/>
      <c r="AB230" s="108"/>
      <c r="AE230" s="30" t="str">
        <f>IFERROR(INDEX('G-6 Hedgerow Data'!$BJ$3:$BJ$15,MATCH(D230,'G-6 Hedgerow Data'!$B$3:$B$15,0)),"")</f>
        <v/>
      </c>
      <c r="AH230" s="111" t="str">
        <f t="shared" si="27"/>
        <v/>
      </c>
      <c r="AI230" s="111" t="str">
        <f t="shared" si="28"/>
        <v/>
      </c>
      <c r="AK230" s="111">
        <v>221</v>
      </c>
      <c r="AM230" s="111" t="str">
        <f t="array" ref="AM230">IFERROR(INDEX($AK$10:$AK$258, MATCH(0, IF(TRUE=$AH$10:$AH$258, COUNTIF($AM$9:$AM229, $AK$10:$AK$258), ""), 0)),"")</f>
        <v/>
      </c>
      <c r="AN230" s="111" t="str">
        <f t="array" ref="AN230">IFERROR(INDEX($AK$10:$AK$258, MATCH(0, IF(TRUE=$AI$10:$AI$258, COUNTIF($AN$9:$AN229, $AK$10:$AK$258), ""), 0)),"")</f>
        <v/>
      </c>
      <c r="AY230" s="289" t="str">
        <f t="shared" si="35"/>
        <v/>
      </c>
    </row>
    <row r="231" spans="2:51" ht="13.8" x14ac:dyDescent="0.25">
      <c r="B231" s="101">
        <v>222</v>
      </c>
      <c r="C231" s="142"/>
      <c r="D231" s="142"/>
      <c r="E231" s="108"/>
      <c r="F231" s="281" t="str">
        <f>IF(D231="","",VLOOKUP(D231,'G-6 Hedgerow Data'!$B$2:$AG$15,2,FALSE))</f>
        <v/>
      </c>
      <c r="G231" s="282" t="str">
        <f>IF(D231="","",VLOOKUP(D231,'G-6 Hedgerow Data'!$B$2:$AG$15,3,FALSE))</f>
        <v/>
      </c>
      <c r="H231" s="105"/>
      <c r="I231" s="282" t="str">
        <f>IFERROR(IF(AND(D231&lt;&gt;"",H231=""), "Check data ⚠",(IF(H231="","",IF(AND(D231="Non-native and ornamental hedgerow", H231&lt;&gt;"Poor"),"Not possible ▲", (IF(AND(F231="V.Low",OR(H231="Good",H231="Moderate")),"Error ▲",VLOOKUP(H231,'G-1 All Habitats'!$Z$2:$AA$9,2,FALSE))))))),"")</f>
        <v/>
      </c>
      <c r="J231" s="109"/>
      <c r="K231" s="301" t="str">
        <f>IF(AND(J231="",D231&lt;&gt;""),"Check data ⚠",IF(J231="","",IF(VLOOKUP(J231,'G-3 Multipliers'!$L$3:$N$6,2,FALSE)=0,"Spatial Data Missing ⚠",VLOOKUP(J231,'G-3 Multipliers'!$L$3:$N$6,2,FALSE))))</f>
        <v/>
      </c>
      <c r="L231" s="305" t="str">
        <f>IF(J231="","",IF(VLOOKUP(J231,'G-3 Multipliers'!$L$3:$N$6,3,FALSE)=0,"Spatial Data Missing ⚠",VLOOKUP(J231,'G-3 Multipliers'!$L$3:$N$6,3,FALSE)))</f>
        <v/>
      </c>
      <c r="M231" s="342" t="str">
        <f>IF(D231="","",VLOOKUP(D231,'G-6 Hedgerow Data'!$B$1:$AH$15,33,FALSE))</f>
        <v/>
      </c>
      <c r="N231" s="295" t="str">
        <f t="shared" si="29"/>
        <v/>
      </c>
      <c r="O231" s="403"/>
      <c r="P231" s="287" t="str">
        <f>IF(O231="","",IF(VLOOKUP(O231,'G-3 Multipliers'!$S$3:$T$10,2,FALSE)=0,"Spatial Data Missing ⚠",VLOOKUP(O231,'G-3 Multipliers'!$S$3:$T$10,2,FALSE)))</f>
        <v/>
      </c>
      <c r="Q231" s="295" t="str">
        <f t="shared" si="30"/>
        <v/>
      </c>
      <c r="R231" s="32"/>
      <c r="S231" s="105"/>
      <c r="T231" s="112"/>
      <c r="U231" s="289" t="str">
        <f t="shared" si="31"/>
        <v/>
      </c>
      <c r="V231" s="289" t="str">
        <f t="shared" si="32"/>
        <v/>
      </c>
      <c r="W231" s="293" t="str">
        <f t="shared" si="33"/>
        <v/>
      </c>
      <c r="X231" s="297" t="str">
        <f t="shared" si="34"/>
        <v/>
      </c>
      <c r="Y231" s="109"/>
      <c r="Z231" s="108"/>
      <c r="AA231" s="108"/>
      <c r="AB231" s="108"/>
      <c r="AE231" s="30" t="str">
        <f>IFERROR(INDEX('G-6 Hedgerow Data'!$BJ$3:$BJ$15,MATCH(D231,'G-6 Hedgerow Data'!$B$3:$B$15,0)),"")</f>
        <v/>
      </c>
      <c r="AH231" s="111" t="str">
        <f t="shared" si="27"/>
        <v/>
      </c>
      <c r="AI231" s="111" t="str">
        <f t="shared" si="28"/>
        <v/>
      </c>
      <c r="AK231" s="111">
        <v>222</v>
      </c>
      <c r="AM231" s="111" t="str">
        <f t="array" ref="AM231">IFERROR(INDEX($AK$10:$AK$258, MATCH(0, IF(TRUE=$AH$10:$AH$258, COUNTIF($AM$9:$AM230, $AK$10:$AK$258), ""), 0)),"")</f>
        <v/>
      </c>
      <c r="AN231" s="111" t="str">
        <f t="array" ref="AN231">IFERROR(INDEX($AK$10:$AK$258, MATCH(0, IF(TRUE=$AI$10:$AI$258, COUNTIF($AN$9:$AN230, $AK$10:$AK$258), ""), 0)),"")</f>
        <v/>
      </c>
      <c r="AY231" s="289" t="str">
        <f t="shared" si="35"/>
        <v/>
      </c>
    </row>
    <row r="232" spans="2:51" ht="13.8" x14ac:dyDescent="0.25">
      <c r="B232" s="101">
        <v>223</v>
      </c>
      <c r="C232" s="142"/>
      <c r="D232" s="142"/>
      <c r="E232" s="108"/>
      <c r="F232" s="281" t="str">
        <f>IF(D232="","",VLOOKUP(D232,'G-6 Hedgerow Data'!$B$2:$AG$15,2,FALSE))</f>
        <v/>
      </c>
      <c r="G232" s="282" t="str">
        <f>IF(D232="","",VLOOKUP(D232,'G-6 Hedgerow Data'!$B$2:$AG$15,3,FALSE))</f>
        <v/>
      </c>
      <c r="H232" s="105"/>
      <c r="I232" s="282" t="str">
        <f>IFERROR(IF(AND(D232&lt;&gt;"",H232=""), "Check data ⚠",(IF(H232="","",IF(AND(D232="Non-native and ornamental hedgerow", H232&lt;&gt;"Poor"),"Not possible ▲", (IF(AND(F232="V.Low",OR(H232="Good",H232="Moderate")),"Error ▲",VLOOKUP(H232,'G-1 All Habitats'!$Z$2:$AA$9,2,FALSE))))))),"")</f>
        <v/>
      </c>
      <c r="J232" s="109"/>
      <c r="K232" s="301" t="str">
        <f>IF(AND(J232="",D232&lt;&gt;""),"Check data ⚠",IF(J232="","",IF(VLOOKUP(J232,'G-3 Multipliers'!$L$3:$N$6,2,FALSE)=0,"Spatial Data Missing ⚠",VLOOKUP(J232,'G-3 Multipliers'!$L$3:$N$6,2,FALSE))))</f>
        <v/>
      </c>
      <c r="L232" s="305" t="str">
        <f>IF(J232="","",IF(VLOOKUP(J232,'G-3 Multipliers'!$L$3:$N$6,3,FALSE)=0,"Spatial Data Missing ⚠",VLOOKUP(J232,'G-3 Multipliers'!$L$3:$N$6,3,FALSE)))</f>
        <v/>
      </c>
      <c r="M232" s="342" t="str">
        <f>IF(D232="","",VLOOKUP(D232,'G-6 Hedgerow Data'!$B$1:$AH$15,33,FALSE))</f>
        <v/>
      </c>
      <c r="N232" s="295" t="str">
        <f t="shared" si="29"/>
        <v/>
      </c>
      <c r="O232" s="403"/>
      <c r="P232" s="287" t="str">
        <f>IF(O232="","",IF(VLOOKUP(O232,'G-3 Multipliers'!$S$3:$T$10,2,FALSE)=0,"Spatial Data Missing ⚠",VLOOKUP(O232,'G-3 Multipliers'!$S$3:$T$10,2,FALSE)))</f>
        <v/>
      </c>
      <c r="Q232" s="295" t="str">
        <f t="shared" si="30"/>
        <v/>
      </c>
      <c r="R232" s="32"/>
      <c r="S232" s="105"/>
      <c r="T232" s="112"/>
      <c r="U232" s="289" t="str">
        <f t="shared" si="31"/>
        <v/>
      </c>
      <c r="V232" s="289" t="str">
        <f t="shared" si="32"/>
        <v/>
      </c>
      <c r="W232" s="293" t="str">
        <f t="shared" si="33"/>
        <v/>
      </c>
      <c r="X232" s="297" t="str">
        <f t="shared" si="34"/>
        <v/>
      </c>
      <c r="Y232" s="109"/>
      <c r="Z232" s="108"/>
      <c r="AA232" s="108"/>
      <c r="AB232" s="108"/>
      <c r="AE232" s="30" t="str">
        <f>IFERROR(INDEX('G-6 Hedgerow Data'!$BJ$3:$BJ$15,MATCH(D232,'G-6 Hedgerow Data'!$B$3:$B$15,0)),"")</f>
        <v/>
      </c>
      <c r="AH232" s="111" t="str">
        <f t="shared" si="27"/>
        <v/>
      </c>
      <c r="AI232" s="111" t="str">
        <f t="shared" si="28"/>
        <v/>
      </c>
      <c r="AK232" s="111">
        <v>223</v>
      </c>
      <c r="AM232" s="111" t="str">
        <f t="array" ref="AM232">IFERROR(INDEX($AK$10:$AK$258, MATCH(0, IF(TRUE=$AH$10:$AH$258, COUNTIF($AM$9:$AM231, $AK$10:$AK$258), ""), 0)),"")</f>
        <v/>
      </c>
      <c r="AN232" s="111" t="str">
        <f t="array" ref="AN232">IFERROR(INDEX($AK$10:$AK$258, MATCH(0, IF(TRUE=$AI$10:$AI$258, COUNTIF($AN$9:$AN231, $AK$10:$AK$258), ""), 0)),"")</f>
        <v/>
      </c>
      <c r="AY232" s="289" t="str">
        <f t="shared" si="35"/>
        <v/>
      </c>
    </row>
    <row r="233" spans="2:51" ht="13.8" x14ac:dyDescent="0.25">
      <c r="B233" s="101">
        <v>224</v>
      </c>
      <c r="C233" s="142"/>
      <c r="D233" s="142"/>
      <c r="E233" s="108"/>
      <c r="F233" s="281" t="str">
        <f>IF(D233="","",VLOOKUP(D233,'G-6 Hedgerow Data'!$B$2:$AG$15,2,FALSE))</f>
        <v/>
      </c>
      <c r="G233" s="282" t="str">
        <f>IF(D233="","",VLOOKUP(D233,'G-6 Hedgerow Data'!$B$2:$AG$15,3,FALSE))</f>
        <v/>
      </c>
      <c r="H233" s="105"/>
      <c r="I233" s="282" t="str">
        <f>IFERROR(IF(AND(D233&lt;&gt;"",H233=""), "Check data ⚠",(IF(H233="","",IF(AND(D233="Non-native and ornamental hedgerow", H233&lt;&gt;"Poor"),"Not possible ▲", (IF(AND(F233="V.Low",OR(H233="Good",H233="Moderate")),"Error ▲",VLOOKUP(H233,'G-1 All Habitats'!$Z$2:$AA$9,2,FALSE))))))),"")</f>
        <v/>
      </c>
      <c r="J233" s="109"/>
      <c r="K233" s="301" t="str">
        <f>IF(AND(J233="",D233&lt;&gt;""),"Check data ⚠",IF(J233="","",IF(VLOOKUP(J233,'G-3 Multipliers'!$L$3:$N$6,2,FALSE)=0,"Spatial Data Missing ⚠",VLOOKUP(J233,'G-3 Multipliers'!$L$3:$N$6,2,FALSE))))</f>
        <v/>
      </c>
      <c r="L233" s="305" t="str">
        <f>IF(J233="","",IF(VLOOKUP(J233,'G-3 Multipliers'!$L$3:$N$6,3,FALSE)=0,"Spatial Data Missing ⚠",VLOOKUP(J233,'G-3 Multipliers'!$L$3:$N$6,3,FALSE)))</f>
        <v/>
      </c>
      <c r="M233" s="342" t="str">
        <f>IF(D233="","",VLOOKUP(D233,'G-6 Hedgerow Data'!$B$1:$AH$15,33,FALSE))</f>
        <v/>
      </c>
      <c r="N233" s="295" t="str">
        <f t="shared" si="29"/>
        <v/>
      </c>
      <c r="O233" s="403"/>
      <c r="P233" s="287" t="str">
        <f>IF(O233="","",IF(VLOOKUP(O233,'G-3 Multipliers'!$S$3:$T$10,2,FALSE)=0,"Spatial Data Missing ⚠",VLOOKUP(O233,'G-3 Multipliers'!$S$3:$T$10,2,FALSE)))</f>
        <v/>
      </c>
      <c r="Q233" s="295" t="str">
        <f t="shared" si="30"/>
        <v/>
      </c>
      <c r="R233" s="32"/>
      <c r="S233" s="105"/>
      <c r="T233" s="112"/>
      <c r="U233" s="289" t="str">
        <f t="shared" si="31"/>
        <v/>
      </c>
      <c r="V233" s="289" t="str">
        <f t="shared" si="32"/>
        <v/>
      </c>
      <c r="W233" s="293" t="str">
        <f t="shared" si="33"/>
        <v/>
      </c>
      <c r="X233" s="297" t="str">
        <f t="shared" si="34"/>
        <v/>
      </c>
      <c r="Y233" s="109"/>
      <c r="Z233" s="108"/>
      <c r="AA233" s="108"/>
      <c r="AB233" s="108"/>
      <c r="AE233" s="30" t="str">
        <f>IFERROR(INDEX('G-6 Hedgerow Data'!$BJ$3:$BJ$15,MATCH(D233,'G-6 Hedgerow Data'!$B$3:$B$15,0)),"")</f>
        <v/>
      </c>
      <c r="AH233" s="111" t="str">
        <f t="shared" si="27"/>
        <v/>
      </c>
      <c r="AI233" s="111" t="str">
        <f t="shared" si="28"/>
        <v/>
      </c>
      <c r="AK233" s="111">
        <v>224</v>
      </c>
      <c r="AM233" s="111" t="str">
        <f t="array" ref="AM233">IFERROR(INDEX($AK$10:$AK$258, MATCH(0, IF(TRUE=$AH$10:$AH$258, COUNTIF($AM$9:$AM232, $AK$10:$AK$258), ""), 0)),"")</f>
        <v/>
      </c>
      <c r="AN233" s="111" t="str">
        <f t="array" ref="AN233">IFERROR(INDEX($AK$10:$AK$258, MATCH(0, IF(TRUE=$AI$10:$AI$258, COUNTIF($AN$9:$AN232, $AK$10:$AK$258), ""), 0)),"")</f>
        <v/>
      </c>
      <c r="AY233" s="289" t="str">
        <f t="shared" si="35"/>
        <v/>
      </c>
    </row>
    <row r="234" spans="2:51" ht="13.8" x14ac:dyDescent="0.25">
      <c r="B234" s="101">
        <v>225</v>
      </c>
      <c r="C234" s="142"/>
      <c r="D234" s="142"/>
      <c r="E234" s="108"/>
      <c r="F234" s="281" t="str">
        <f>IF(D234="","",VLOOKUP(D234,'G-6 Hedgerow Data'!$B$2:$AG$15,2,FALSE))</f>
        <v/>
      </c>
      <c r="G234" s="282" t="str">
        <f>IF(D234="","",VLOOKUP(D234,'G-6 Hedgerow Data'!$B$2:$AG$15,3,FALSE))</f>
        <v/>
      </c>
      <c r="H234" s="105"/>
      <c r="I234" s="282" t="str">
        <f>IFERROR(IF(AND(D234&lt;&gt;"",H234=""), "Check data ⚠",(IF(H234="","",IF(AND(D234="Non-native and ornamental hedgerow", H234&lt;&gt;"Poor"),"Not possible ▲", (IF(AND(F234="V.Low",OR(H234="Good",H234="Moderate")),"Error ▲",VLOOKUP(H234,'G-1 All Habitats'!$Z$2:$AA$9,2,FALSE))))))),"")</f>
        <v/>
      </c>
      <c r="J234" s="109"/>
      <c r="K234" s="301" t="str">
        <f>IF(AND(J234="",D234&lt;&gt;""),"Check data ⚠",IF(J234="","",IF(VLOOKUP(J234,'G-3 Multipliers'!$L$3:$N$6,2,FALSE)=0,"Spatial Data Missing ⚠",VLOOKUP(J234,'G-3 Multipliers'!$L$3:$N$6,2,FALSE))))</f>
        <v/>
      </c>
      <c r="L234" s="305" t="str">
        <f>IF(J234="","",IF(VLOOKUP(J234,'G-3 Multipliers'!$L$3:$N$6,3,FALSE)=0,"Spatial Data Missing ⚠",VLOOKUP(J234,'G-3 Multipliers'!$L$3:$N$6,3,FALSE)))</f>
        <v/>
      </c>
      <c r="M234" s="342" t="str">
        <f>IF(D234="","",VLOOKUP(D234,'G-6 Hedgerow Data'!$B$1:$AH$15,33,FALSE))</f>
        <v/>
      </c>
      <c r="N234" s="295" t="str">
        <f t="shared" si="29"/>
        <v/>
      </c>
      <c r="O234" s="403"/>
      <c r="P234" s="287" t="str">
        <f>IF(O234="","",IF(VLOOKUP(O234,'G-3 Multipliers'!$S$3:$T$10,2,FALSE)=0,"Spatial Data Missing ⚠",VLOOKUP(O234,'G-3 Multipliers'!$S$3:$T$10,2,FALSE)))</f>
        <v/>
      </c>
      <c r="Q234" s="295" t="str">
        <f t="shared" si="30"/>
        <v/>
      </c>
      <c r="R234" s="32"/>
      <c r="S234" s="105"/>
      <c r="T234" s="112"/>
      <c r="U234" s="289" t="str">
        <f t="shared" si="31"/>
        <v/>
      </c>
      <c r="V234" s="289" t="str">
        <f t="shared" si="32"/>
        <v/>
      </c>
      <c r="W234" s="293" t="str">
        <f t="shared" si="33"/>
        <v/>
      </c>
      <c r="X234" s="297" t="str">
        <f t="shared" si="34"/>
        <v/>
      </c>
      <c r="Y234" s="109"/>
      <c r="Z234" s="108"/>
      <c r="AA234" s="108"/>
      <c r="AB234" s="108"/>
      <c r="AE234" s="30" t="str">
        <f>IFERROR(INDEX('G-6 Hedgerow Data'!$BJ$3:$BJ$15,MATCH(D234,'G-6 Hedgerow Data'!$B$3:$B$15,0)),"")</f>
        <v/>
      </c>
      <c r="AH234" s="111" t="str">
        <f t="shared" si="27"/>
        <v/>
      </c>
      <c r="AI234" s="111" t="str">
        <f t="shared" si="28"/>
        <v/>
      </c>
      <c r="AK234" s="111">
        <v>225</v>
      </c>
      <c r="AM234" s="111" t="str">
        <f t="array" ref="AM234">IFERROR(INDEX($AK$10:$AK$258, MATCH(0, IF(TRUE=$AH$10:$AH$258, COUNTIF($AM$9:$AM233, $AK$10:$AK$258), ""), 0)),"")</f>
        <v/>
      </c>
      <c r="AN234" s="111" t="str">
        <f t="array" ref="AN234">IFERROR(INDEX($AK$10:$AK$258, MATCH(0, IF(TRUE=$AI$10:$AI$258, COUNTIF($AN$9:$AN233, $AK$10:$AK$258), ""), 0)),"")</f>
        <v/>
      </c>
      <c r="AY234" s="289" t="str">
        <f t="shared" si="35"/>
        <v/>
      </c>
    </row>
    <row r="235" spans="2:51" ht="13.8" x14ac:dyDescent="0.25">
      <c r="B235" s="101">
        <v>226</v>
      </c>
      <c r="C235" s="142"/>
      <c r="D235" s="142"/>
      <c r="E235" s="108"/>
      <c r="F235" s="281" t="str">
        <f>IF(D235="","",VLOOKUP(D235,'G-6 Hedgerow Data'!$B$2:$AG$15,2,FALSE))</f>
        <v/>
      </c>
      <c r="G235" s="282" t="str">
        <f>IF(D235="","",VLOOKUP(D235,'G-6 Hedgerow Data'!$B$2:$AG$15,3,FALSE))</f>
        <v/>
      </c>
      <c r="H235" s="105"/>
      <c r="I235" s="282" t="str">
        <f>IFERROR(IF(AND(D235&lt;&gt;"",H235=""), "Check data ⚠",(IF(H235="","",IF(AND(D235="Non-native and ornamental hedgerow", H235&lt;&gt;"Poor"),"Not possible ▲", (IF(AND(F235="V.Low",OR(H235="Good",H235="Moderate")),"Error ▲",VLOOKUP(H235,'G-1 All Habitats'!$Z$2:$AA$9,2,FALSE))))))),"")</f>
        <v/>
      </c>
      <c r="J235" s="109"/>
      <c r="K235" s="301" t="str">
        <f>IF(AND(J235="",D235&lt;&gt;""),"Check data ⚠",IF(J235="","",IF(VLOOKUP(J235,'G-3 Multipliers'!$L$3:$N$6,2,FALSE)=0,"Spatial Data Missing ⚠",VLOOKUP(J235,'G-3 Multipliers'!$L$3:$N$6,2,FALSE))))</f>
        <v/>
      </c>
      <c r="L235" s="305" t="str">
        <f>IF(J235="","",IF(VLOOKUP(J235,'G-3 Multipliers'!$L$3:$N$6,3,FALSE)=0,"Spatial Data Missing ⚠",VLOOKUP(J235,'G-3 Multipliers'!$L$3:$N$6,3,FALSE)))</f>
        <v/>
      </c>
      <c r="M235" s="342" t="str">
        <f>IF(D235="","",VLOOKUP(D235,'G-6 Hedgerow Data'!$B$1:$AH$15,33,FALSE))</f>
        <v/>
      </c>
      <c r="N235" s="295" t="str">
        <f t="shared" si="29"/>
        <v/>
      </c>
      <c r="O235" s="403"/>
      <c r="P235" s="287" t="str">
        <f>IF(O235="","",IF(VLOOKUP(O235,'G-3 Multipliers'!$S$3:$T$10,2,FALSE)=0,"Spatial Data Missing ⚠",VLOOKUP(O235,'G-3 Multipliers'!$S$3:$T$10,2,FALSE)))</f>
        <v/>
      </c>
      <c r="Q235" s="295" t="str">
        <f t="shared" si="30"/>
        <v/>
      </c>
      <c r="R235" s="32"/>
      <c r="S235" s="105"/>
      <c r="T235" s="112"/>
      <c r="U235" s="289" t="str">
        <f t="shared" si="31"/>
        <v/>
      </c>
      <c r="V235" s="289" t="str">
        <f t="shared" si="32"/>
        <v/>
      </c>
      <c r="W235" s="293" t="str">
        <f t="shared" si="33"/>
        <v/>
      </c>
      <c r="X235" s="297" t="str">
        <f t="shared" si="34"/>
        <v/>
      </c>
      <c r="Y235" s="109"/>
      <c r="Z235" s="108"/>
      <c r="AA235" s="108"/>
      <c r="AB235" s="108"/>
      <c r="AE235" s="30" t="str">
        <f>IFERROR(INDEX('G-6 Hedgerow Data'!$BJ$3:$BJ$15,MATCH(D235,'G-6 Hedgerow Data'!$B$3:$B$15,0)),"")</f>
        <v/>
      </c>
      <c r="AH235" s="111" t="str">
        <f t="shared" si="27"/>
        <v/>
      </c>
      <c r="AI235" s="111" t="str">
        <f t="shared" si="28"/>
        <v/>
      </c>
      <c r="AK235" s="111">
        <v>226</v>
      </c>
      <c r="AM235" s="111" t="str">
        <f t="array" ref="AM235">IFERROR(INDEX($AK$10:$AK$258, MATCH(0, IF(TRUE=$AH$10:$AH$258, COUNTIF($AM$9:$AM234, $AK$10:$AK$258), ""), 0)),"")</f>
        <v/>
      </c>
      <c r="AN235" s="111" t="str">
        <f t="array" ref="AN235">IFERROR(INDEX($AK$10:$AK$258, MATCH(0, IF(TRUE=$AI$10:$AI$258, COUNTIF($AN$9:$AN234, $AK$10:$AK$258), ""), 0)),"")</f>
        <v/>
      </c>
      <c r="AY235" s="289" t="str">
        <f t="shared" si="35"/>
        <v/>
      </c>
    </row>
    <row r="236" spans="2:51" ht="13.8" x14ac:dyDescent="0.25">
      <c r="B236" s="101">
        <v>227</v>
      </c>
      <c r="C236" s="142"/>
      <c r="D236" s="142"/>
      <c r="E236" s="108"/>
      <c r="F236" s="281" t="str">
        <f>IF(D236="","",VLOOKUP(D236,'G-6 Hedgerow Data'!$B$2:$AG$15,2,FALSE))</f>
        <v/>
      </c>
      <c r="G236" s="282" t="str">
        <f>IF(D236="","",VLOOKUP(D236,'G-6 Hedgerow Data'!$B$2:$AG$15,3,FALSE))</f>
        <v/>
      </c>
      <c r="H236" s="105"/>
      <c r="I236" s="282" t="str">
        <f>IFERROR(IF(AND(D236&lt;&gt;"",H236=""), "Check data ⚠",(IF(H236="","",IF(AND(D236="Non-native and ornamental hedgerow", H236&lt;&gt;"Poor"),"Not possible ▲", (IF(AND(F236="V.Low",OR(H236="Good",H236="Moderate")),"Error ▲",VLOOKUP(H236,'G-1 All Habitats'!$Z$2:$AA$9,2,FALSE))))))),"")</f>
        <v/>
      </c>
      <c r="J236" s="109"/>
      <c r="K236" s="301" t="str">
        <f>IF(AND(J236="",D236&lt;&gt;""),"Check data ⚠",IF(J236="","",IF(VLOOKUP(J236,'G-3 Multipliers'!$L$3:$N$6,2,FALSE)=0,"Spatial Data Missing ⚠",VLOOKUP(J236,'G-3 Multipliers'!$L$3:$N$6,2,FALSE))))</f>
        <v/>
      </c>
      <c r="L236" s="305" t="str">
        <f>IF(J236="","",IF(VLOOKUP(J236,'G-3 Multipliers'!$L$3:$N$6,3,FALSE)=0,"Spatial Data Missing ⚠",VLOOKUP(J236,'G-3 Multipliers'!$L$3:$N$6,3,FALSE)))</f>
        <v/>
      </c>
      <c r="M236" s="342" t="str">
        <f>IF(D236="","",VLOOKUP(D236,'G-6 Hedgerow Data'!$B$1:$AH$15,33,FALSE))</f>
        <v/>
      </c>
      <c r="N236" s="295" t="str">
        <f t="shared" si="29"/>
        <v/>
      </c>
      <c r="O236" s="403"/>
      <c r="P236" s="287" t="str">
        <f>IF(O236="","",IF(VLOOKUP(O236,'G-3 Multipliers'!$S$3:$T$10,2,FALSE)=0,"Spatial Data Missing ⚠",VLOOKUP(O236,'G-3 Multipliers'!$S$3:$T$10,2,FALSE)))</f>
        <v/>
      </c>
      <c r="Q236" s="295" t="str">
        <f t="shared" si="30"/>
        <v/>
      </c>
      <c r="R236" s="32"/>
      <c r="S236" s="105"/>
      <c r="T236" s="112"/>
      <c r="U236" s="289" t="str">
        <f t="shared" si="31"/>
        <v/>
      </c>
      <c r="V236" s="289" t="str">
        <f t="shared" si="32"/>
        <v/>
      </c>
      <c r="W236" s="293" t="str">
        <f t="shared" si="33"/>
        <v/>
      </c>
      <c r="X236" s="297" t="str">
        <f t="shared" si="34"/>
        <v/>
      </c>
      <c r="Y236" s="109"/>
      <c r="Z236" s="108"/>
      <c r="AA236" s="108"/>
      <c r="AB236" s="108"/>
      <c r="AE236" s="30" t="str">
        <f>IFERROR(INDEX('G-6 Hedgerow Data'!$BJ$3:$BJ$15,MATCH(D236,'G-6 Hedgerow Data'!$B$3:$B$15,0)),"")</f>
        <v/>
      </c>
      <c r="AH236" s="111" t="str">
        <f t="shared" si="27"/>
        <v/>
      </c>
      <c r="AI236" s="111" t="str">
        <f t="shared" si="28"/>
        <v/>
      </c>
      <c r="AK236" s="111">
        <v>227</v>
      </c>
      <c r="AM236" s="111" t="str">
        <f t="array" ref="AM236">IFERROR(INDEX($AK$10:$AK$258, MATCH(0, IF(TRUE=$AH$10:$AH$258, COUNTIF($AM$9:$AM235, $AK$10:$AK$258), ""), 0)),"")</f>
        <v/>
      </c>
      <c r="AN236" s="111" t="str">
        <f t="array" ref="AN236">IFERROR(INDEX($AK$10:$AK$258, MATCH(0, IF(TRUE=$AI$10:$AI$258, COUNTIF($AN$9:$AN235, $AK$10:$AK$258), ""), 0)),"")</f>
        <v/>
      </c>
      <c r="AY236" s="289" t="str">
        <f t="shared" si="35"/>
        <v/>
      </c>
    </row>
    <row r="237" spans="2:51" ht="13.8" x14ac:dyDescent="0.25">
      <c r="B237" s="101">
        <v>228</v>
      </c>
      <c r="C237" s="142"/>
      <c r="D237" s="142"/>
      <c r="E237" s="108"/>
      <c r="F237" s="281" t="str">
        <f>IF(D237="","",VLOOKUP(D237,'G-6 Hedgerow Data'!$B$2:$AG$15,2,FALSE))</f>
        <v/>
      </c>
      <c r="G237" s="282" t="str">
        <f>IF(D237="","",VLOOKUP(D237,'G-6 Hedgerow Data'!$B$2:$AG$15,3,FALSE))</f>
        <v/>
      </c>
      <c r="H237" s="105"/>
      <c r="I237" s="282" t="str">
        <f>IFERROR(IF(AND(D237&lt;&gt;"",H237=""), "Check data ⚠",(IF(H237="","",IF(AND(D237="Non-native and ornamental hedgerow", H237&lt;&gt;"Poor"),"Not possible ▲", (IF(AND(F237="V.Low",OR(H237="Good",H237="Moderate")),"Error ▲",VLOOKUP(H237,'G-1 All Habitats'!$Z$2:$AA$9,2,FALSE))))))),"")</f>
        <v/>
      </c>
      <c r="J237" s="109"/>
      <c r="K237" s="301" t="str">
        <f>IF(AND(J237="",D237&lt;&gt;""),"Check data ⚠",IF(J237="","",IF(VLOOKUP(J237,'G-3 Multipliers'!$L$3:$N$6,2,FALSE)=0,"Spatial Data Missing ⚠",VLOOKUP(J237,'G-3 Multipliers'!$L$3:$N$6,2,FALSE))))</f>
        <v/>
      </c>
      <c r="L237" s="305" t="str">
        <f>IF(J237="","",IF(VLOOKUP(J237,'G-3 Multipliers'!$L$3:$N$6,3,FALSE)=0,"Spatial Data Missing ⚠",VLOOKUP(J237,'G-3 Multipliers'!$L$3:$N$6,3,FALSE)))</f>
        <v/>
      </c>
      <c r="M237" s="342" t="str">
        <f>IF(D237="","",VLOOKUP(D237,'G-6 Hedgerow Data'!$B$1:$AH$15,33,FALSE))</f>
        <v/>
      </c>
      <c r="N237" s="295" t="str">
        <f t="shared" si="29"/>
        <v/>
      </c>
      <c r="O237" s="403"/>
      <c r="P237" s="287" t="str">
        <f>IF(O237="","",IF(VLOOKUP(O237,'G-3 Multipliers'!$S$3:$T$10,2,FALSE)=0,"Spatial Data Missing ⚠",VLOOKUP(O237,'G-3 Multipliers'!$S$3:$T$10,2,FALSE)))</f>
        <v/>
      </c>
      <c r="Q237" s="295" t="str">
        <f t="shared" si="30"/>
        <v/>
      </c>
      <c r="R237" s="32"/>
      <c r="S237" s="105"/>
      <c r="T237" s="112"/>
      <c r="U237" s="289" t="str">
        <f t="shared" si="31"/>
        <v/>
      </c>
      <c r="V237" s="289" t="str">
        <f t="shared" si="32"/>
        <v/>
      </c>
      <c r="W237" s="293" t="str">
        <f t="shared" si="33"/>
        <v/>
      </c>
      <c r="X237" s="297" t="str">
        <f t="shared" si="34"/>
        <v/>
      </c>
      <c r="Y237" s="109"/>
      <c r="Z237" s="108"/>
      <c r="AA237" s="108"/>
      <c r="AB237" s="108"/>
      <c r="AE237" s="30" t="str">
        <f>IFERROR(INDEX('G-6 Hedgerow Data'!$BJ$3:$BJ$15,MATCH(D237,'G-6 Hedgerow Data'!$B$3:$B$15,0)),"")</f>
        <v/>
      </c>
      <c r="AH237" s="111" t="str">
        <f t="shared" si="27"/>
        <v/>
      </c>
      <c r="AI237" s="111" t="str">
        <f t="shared" si="28"/>
        <v/>
      </c>
      <c r="AK237" s="111">
        <v>228</v>
      </c>
      <c r="AM237" s="111" t="str">
        <f t="array" ref="AM237">IFERROR(INDEX($AK$10:$AK$258, MATCH(0, IF(TRUE=$AH$10:$AH$258, COUNTIF($AM$9:$AM236, $AK$10:$AK$258), ""), 0)),"")</f>
        <v/>
      </c>
      <c r="AN237" s="111" t="str">
        <f t="array" ref="AN237">IFERROR(INDEX($AK$10:$AK$258, MATCH(0, IF(TRUE=$AI$10:$AI$258, COUNTIF($AN$9:$AN236, $AK$10:$AK$258), ""), 0)),"")</f>
        <v/>
      </c>
      <c r="AY237" s="289" t="str">
        <f t="shared" si="35"/>
        <v/>
      </c>
    </row>
    <row r="238" spans="2:51" ht="13.8" x14ac:dyDescent="0.25">
      <c r="B238" s="101">
        <v>229</v>
      </c>
      <c r="C238" s="142"/>
      <c r="D238" s="142"/>
      <c r="E238" s="108"/>
      <c r="F238" s="281" t="str">
        <f>IF(D238="","",VLOOKUP(D238,'G-6 Hedgerow Data'!$B$2:$AG$15,2,FALSE))</f>
        <v/>
      </c>
      <c r="G238" s="282" t="str">
        <f>IF(D238="","",VLOOKUP(D238,'G-6 Hedgerow Data'!$B$2:$AG$15,3,FALSE))</f>
        <v/>
      </c>
      <c r="H238" s="105"/>
      <c r="I238" s="282" t="str">
        <f>IFERROR(IF(AND(D238&lt;&gt;"",H238=""), "Check data ⚠",(IF(H238="","",IF(AND(D238="Non-native and ornamental hedgerow", H238&lt;&gt;"Poor"),"Not possible ▲", (IF(AND(F238="V.Low",OR(H238="Good",H238="Moderate")),"Error ▲",VLOOKUP(H238,'G-1 All Habitats'!$Z$2:$AA$9,2,FALSE))))))),"")</f>
        <v/>
      </c>
      <c r="J238" s="109"/>
      <c r="K238" s="301" t="str">
        <f>IF(AND(J238="",D238&lt;&gt;""),"Check data ⚠",IF(J238="","",IF(VLOOKUP(J238,'G-3 Multipliers'!$L$3:$N$6,2,FALSE)=0,"Spatial Data Missing ⚠",VLOOKUP(J238,'G-3 Multipliers'!$L$3:$N$6,2,FALSE))))</f>
        <v/>
      </c>
      <c r="L238" s="305" t="str">
        <f>IF(J238="","",IF(VLOOKUP(J238,'G-3 Multipliers'!$L$3:$N$6,3,FALSE)=0,"Spatial Data Missing ⚠",VLOOKUP(J238,'G-3 Multipliers'!$L$3:$N$6,3,FALSE)))</f>
        <v/>
      </c>
      <c r="M238" s="342" t="str">
        <f>IF(D238="","",VLOOKUP(D238,'G-6 Hedgerow Data'!$B$1:$AH$15,33,FALSE))</f>
        <v/>
      </c>
      <c r="N238" s="295" t="str">
        <f t="shared" si="29"/>
        <v/>
      </c>
      <c r="O238" s="403"/>
      <c r="P238" s="287" t="str">
        <f>IF(O238="","",IF(VLOOKUP(O238,'G-3 Multipliers'!$S$3:$T$10,2,FALSE)=0,"Spatial Data Missing ⚠",VLOOKUP(O238,'G-3 Multipliers'!$S$3:$T$10,2,FALSE)))</f>
        <v/>
      </c>
      <c r="Q238" s="295" t="str">
        <f t="shared" si="30"/>
        <v/>
      </c>
      <c r="R238" s="32"/>
      <c r="S238" s="105"/>
      <c r="T238" s="112"/>
      <c r="U238" s="289" t="str">
        <f t="shared" si="31"/>
        <v/>
      </c>
      <c r="V238" s="289" t="str">
        <f t="shared" si="32"/>
        <v/>
      </c>
      <c r="W238" s="293" t="str">
        <f t="shared" si="33"/>
        <v/>
      </c>
      <c r="X238" s="297" t="str">
        <f t="shared" si="34"/>
        <v/>
      </c>
      <c r="Y238" s="109"/>
      <c r="Z238" s="108"/>
      <c r="AA238" s="108"/>
      <c r="AB238" s="108"/>
      <c r="AE238" s="30" t="str">
        <f>IFERROR(INDEX('G-6 Hedgerow Data'!$BJ$3:$BJ$15,MATCH(D238,'G-6 Hedgerow Data'!$B$3:$B$15,0)),"")</f>
        <v/>
      </c>
      <c r="AH238" s="111" t="str">
        <f t="shared" si="27"/>
        <v/>
      </c>
      <c r="AI238" s="111" t="str">
        <f t="shared" si="28"/>
        <v/>
      </c>
      <c r="AK238" s="111">
        <v>229</v>
      </c>
      <c r="AM238" s="111" t="str">
        <f t="array" ref="AM238">IFERROR(INDEX($AK$10:$AK$258, MATCH(0, IF(TRUE=$AH$10:$AH$258, COUNTIF($AM$9:$AM237, $AK$10:$AK$258), ""), 0)),"")</f>
        <v/>
      </c>
      <c r="AN238" s="111" t="str">
        <f t="array" ref="AN238">IFERROR(INDEX($AK$10:$AK$258, MATCH(0, IF(TRUE=$AI$10:$AI$258, COUNTIF($AN$9:$AN237, $AK$10:$AK$258), ""), 0)),"")</f>
        <v/>
      </c>
      <c r="AY238" s="289" t="str">
        <f t="shared" si="35"/>
        <v/>
      </c>
    </row>
    <row r="239" spans="2:51" ht="13.8" x14ac:dyDescent="0.25">
      <c r="B239" s="101">
        <v>230</v>
      </c>
      <c r="C239" s="142"/>
      <c r="D239" s="142"/>
      <c r="E239" s="108"/>
      <c r="F239" s="281" t="str">
        <f>IF(D239="","",VLOOKUP(D239,'G-6 Hedgerow Data'!$B$2:$AG$15,2,FALSE))</f>
        <v/>
      </c>
      <c r="G239" s="282" t="str">
        <f>IF(D239="","",VLOOKUP(D239,'G-6 Hedgerow Data'!$B$2:$AG$15,3,FALSE))</f>
        <v/>
      </c>
      <c r="H239" s="105"/>
      <c r="I239" s="282" t="str">
        <f>IFERROR(IF(AND(D239&lt;&gt;"",H239=""), "Check data ⚠",(IF(H239="","",IF(AND(D239="Non-native and ornamental hedgerow", H239&lt;&gt;"Poor"),"Not possible ▲", (IF(AND(F239="V.Low",OR(H239="Good",H239="Moderate")),"Error ▲",VLOOKUP(H239,'G-1 All Habitats'!$Z$2:$AA$9,2,FALSE))))))),"")</f>
        <v/>
      </c>
      <c r="J239" s="109"/>
      <c r="K239" s="301" t="str">
        <f>IF(AND(J239="",D239&lt;&gt;""),"Check data ⚠",IF(J239="","",IF(VLOOKUP(J239,'G-3 Multipliers'!$L$3:$N$6,2,FALSE)=0,"Spatial Data Missing ⚠",VLOOKUP(J239,'G-3 Multipliers'!$L$3:$N$6,2,FALSE))))</f>
        <v/>
      </c>
      <c r="L239" s="305" t="str">
        <f>IF(J239="","",IF(VLOOKUP(J239,'G-3 Multipliers'!$L$3:$N$6,3,FALSE)=0,"Spatial Data Missing ⚠",VLOOKUP(J239,'G-3 Multipliers'!$L$3:$N$6,3,FALSE)))</f>
        <v/>
      </c>
      <c r="M239" s="342" t="str">
        <f>IF(D239="","",VLOOKUP(D239,'G-6 Hedgerow Data'!$B$1:$AH$15,33,FALSE))</f>
        <v/>
      </c>
      <c r="N239" s="295" t="str">
        <f t="shared" si="29"/>
        <v/>
      </c>
      <c r="O239" s="403"/>
      <c r="P239" s="287" t="str">
        <f>IF(O239="","",IF(VLOOKUP(O239,'G-3 Multipliers'!$S$3:$T$10,2,FALSE)=0,"Spatial Data Missing ⚠",VLOOKUP(O239,'G-3 Multipliers'!$S$3:$T$10,2,FALSE)))</f>
        <v/>
      </c>
      <c r="Q239" s="295" t="str">
        <f t="shared" si="30"/>
        <v/>
      </c>
      <c r="R239" s="32"/>
      <c r="S239" s="105"/>
      <c r="T239" s="112"/>
      <c r="U239" s="289" t="str">
        <f t="shared" si="31"/>
        <v/>
      </c>
      <c r="V239" s="289" t="str">
        <f t="shared" si="32"/>
        <v/>
      </c>
      <c r="W239" s="293" t="str">
        <f t="shared" si="33"/>
        <v/>
      </c>
      <c r="X239" s="297" t="str">
        <f t="shared" si="34"/>
        <v/>
      </c>
      <c r="Y239" s="109"/>
      <c r="Z239" s="108"/>
      <c r="AA239" s="108"/>
      <c r="AB239" s="108"/>
      <c r="AE239" s="30" t="str">
        <f>IFERROR(INDEX('G-6 Hedgerow Data'!$BJ$3:$BJ$15,MATCH(D239,'G-6 Hedgerow Data'!$B$3:$B$15,0)),"")</f>
        <v/>
      </c>
      <c r="AH239" s="111" t="str">
        <f t="shared" si="27"/>
        <v/>
      </c>
      <c r="AI239" s="111" t="str">
        <f t="shared" si="28"/>
        <v/>
      </c>
      <c r="AK239" s="111">
        <v>230</v>
      </c>
      <c r="AM239" s="111" t="str">
        <f t="array" ref="AM239">IFERROR(INDEX($AK$10:$AK$258, MATCH(0, IF(TRUE=$AH$10:$AH$258, COUNTIF($AM$9:$AM238, $AK$10:$AK$258), ""), 0)),"")</f>
        <v/>
      </c>
      <c r="AN239" s="111" t="str">
        <f t="array" ref="AN239">IFERROR(INDEX($AK$10:$AK$258, MATCH(0, IF(TRUE=$AI$10:$AI$258, COUNTIF($AN$9:$AN238, $AK$10:$AK$258), ""), 0)),"")</f>
        <v/>
      </c>
      <c r="AY239" s="289" t="str">
        <f t="shared" si="35"/>
        <v/>
      </c>
    </row>
    <row r="240" spans="2:51" ht="13.8" x14ac:dyDescent="0.25">
      <c r="B240" s="101">
        <v>231</v>
      </c>
      <c r="C240" s="142"/>
      <c r="D240" s="142"/>
      <c r="E240" s="108"/>
      <c r="F240" s="281" t="str">
        <f>IF(D240="","",VLOOKUP(D240,'G-6 Hedgerow Data'!$B$2:$AG$15,2,FALSE))</f>
        <v/>
      </c>
      <c r="G240" s="282" t="str">
        <f>IF(D240="","",VLOOKUP(D240,'G-6 Hedgerow Data'!$B$2:$AG$15,3,FALSE))</f>
        <v/>
      </c>
      <c r="H240" s="105"/>
      <c r="I240" s="282" t="str">
        <f>IFERROR(IF(AND(D240&lt;&gt;"",H240=""), "Check data ⚠",(IF(H240="","",IF(AND(D240="Non-native and ornamental hedgerow", H240&lt;&gt;"Poor"),"Not possible ▲", (IF(AND(F240="V.Low",OR(H240="Good",H240="Moderate")),"Error ▲",VLOOKUP(H240,'G-1 All Habitats'!$Z$2:$AA$9,2,FALSE))))))),"")</f>
        <v/>
      </c>
      <c r="J240" s="109"/>
      <c r="K240" s="301" t="str">
        <f>IF(AND(J240="",D240&lt;&gt;""),"Check data ⚠",IF(J240="","",IF(VLOOKUP(J240,'G-3 Multipliers'!$L$3:$N$6,2,FALSE)=0,"Spatial Data Missing ⚠",VLOOKUP(J240,'G-3 Multipliers'!$L$3:$N$6,2,FALSE))))</f>
        <v/>
      </c>
      <c r="L240" s="305" t="str">
        <f>IF(J240="","",IF(VLOOKUP(J240,'G-3 Multipliers'!$L$3:$N$6,3,FALSE)=0,"Spatial Data Missing ⚠",VLOOKUP(J240,'G-3 Multipliers'!$L$3:$N$6,3,FALSE)))</f>
        <v/>
      </c>
      <c r="M240" s="342" t="str">
        <f>IF(D240="","",VLOOKUP(D240,'G-6 Hedgerow Data'!$B$1:$AH$15,33,FALSE))</f>
        <v/>
      </c>
      <c r="N240" s="295" t="str">
        <f t="shared" si="29"/>
        <v/>
      </c>
      <c r="O240" s="403"/>
      <c r="P240" s="287" t="str">
        <f>IF(O240="","",IF(VLOOKUP(O240,'G-3 Multipliers'!$S$3:$T$10,2,FALSE)=0,"Spatial Data Missing ⚠",VLOOKUP(O240,'G-3 Multipliers'!$S$3:$T$10,2,FALSE)))</f>
        <v/>
      </c>
      <c r="Q240" s="295" t="str">
        <f t="shared" si="30"/>
        <v/>
      </c>
      <c r="R240" s="32"/>
      <c r="S240" s="105"/>
      <c r="T240" s="112"/>
      <c r="U240" s="289" t="str">
        <f t="shared" si="31"/>
        <v/>
      </c>
      <c r="V240" s="289" t="str">
        <f t="shared" si="32"/>
        <v/>
      </c>
      <c r="W240" s="293" t="str">
        <f t="shared" si="33"/>
        <v/>
      </c>
      <c r="X240" s="297" t="str">
        <f t="shared" si="34"/>
        <v/>
      </c>
      <c r="Y240" s="109"/>
      <c r="Z240" s="108"/>
      <c r="AA240" s="108"/>
      <c r="AB240" s="108"/>
      <c r="AE240" s="30" t="str">
        <f>IFERROR(INDEX('G-6 Hedgerow Data'!$BJ$3:$BJ$15,MATCH(D240,'G-6 Hedgerow Data'!$B$3:$B$15,0)),"")</f>
        <v/>
      </c>
      <c r="AH240" s="111" t="str">
        <f t="shared" si="27"/>
        <v/>
      </c>
      <c r="AI240" s="111" t="str">
        <f t="shared" si="28"/>
        <v/>
      </c>
      <c r="AK240" s="111">
        <v>231</v>
      </c>
      <c r="AM240" s="111" t="str">
        <f t="array" ref="AM240">IFERROR(INDEX($AK$10:$AK$258, MATCH(0, IF(TRUE=$AH$10:$AH$258, COUNTIF($AM$9:$AM239, $AK$10:$AK$258), ""), 0)),"")</f>
        <v/>
      </c>
      <c r="AN240" s="111" t="str">
        <f t="array" ref="AN240">IFERROR(INDEX($AK$10:$AK$258, MATCH(0, IF(TRUE=$AI$10:$AI$258, COUNTIF($AN$9:$AN239, $AK$10:$AK$258), ""), 0)),"")</f>
        <v/>
      </c>
      <c r="AY240" s="289" t="str">
        <f t="shared" si="35"/>
        <v/>
      </c>
    </row>
    <row r="241" spans="2:51" ht="13.8" x14ac:dyDescent="0.25">
      <c r="B241" s="101">
        <v>232</v>
      </c>
      <c r="C241" s="142"/>
      <c r="D241" s="142"/>
      <c r="E241" s="108"/>
      <c r="F241" s="281" t="str">
        <f>IF(D241="","",VLOOKUP(D241,'G-6 Hedgerow Data'!$B$2:$AG$15,2,FALSE))</f>
        <v/>
      </c>
      <c r="G241" s="282" t="str">
        <f>IF(D241="","",VLOOKUP(D241,'G-6 Hedgerow Data'!$B$2:$AG$15,3,FALSE))</f>
        <v/>
      </c>
      <c r="H241" s="105"/>
      <c r="I241" s="282" t="str">
        <f>IFERROR(IF(AND(D241&lt;&gt;"",H241=""), "Check data ⚠",(IF(H241="","",IF(AND(D241="Non-native and ornamental hedgerow", H241&lt;&gt;"Poor"),"Not possible ▲", (IF(AND(F241="V.Low",OR(H241="Good",H241="Moderate")),"Error ▲",VLOOKUP(H241,'G-1 All Habitats'!$Z$2:$AA$9,2,FALSE))))))),"")</f>
        <v/>
      </c>
      <c r="J241" s="109"/>
      <c r="K241" s="301" t="str">
        <f>IF(AND(J241="",D241&lt;&gt;""),"Check data ⚠",IF(J241="","",IF(VLOOKUP(J241,'G-3 Multipliers'!$L$3:$N$6,2,FALSE)=0,"Spatial Data Missing ⚠",VLOOKUP(J241,'G-3 Multipliers'!$L$3:$N$6,2,FALSE))))</f>
        <v/>
      </c>
      <c r="L241" s="305" t="str">
        <f>IF(J241="","",IF(VLOOKUP(J241,'G-3 Multipliers'!$L$3:$N$6,3,FALSE)=0,"Spatial Data Missing ⚠",VLOOKUP(J241,'G-3 Multipliers'!$L$3:$N$6,3,FALSE)))</f>
        <v/>
      </c>
      <c r="M241" s="342" t="str">
        <f>IF(D241="","",VLOOKUP(D241,'G-6 Hedgerow Data'!$B$1:$AH$15,33,FALSE))</f>
        <v/>
      </c>
      <c r="N241" s="295" t="str">
        <f t="shared" si="29"/>
        <v/>
      </c>
      <c r="O241" s="403"/>
      <c r="P241" s="287" t="str">
        <f>IF(O241="","",IF(VLOOKUP(O241,'G-3 Multipliers'!$S$3:$T$10,2,FALSE)=0,"Spatial Data Missing ⚠",VLOOKUP(O241,'G-3 Multipliers'!$S$3:$T$10,2,FALSE)))</f>
        <v/>
      </c>
      <c r="Q241" s="295" t="str">
        <f t="shared" si="30"/>
        <v/>
      </c>
      <c r="R241" s="32"/>
      <c r="S241" s="105"/>
      <c r="T241" s="112"/>
      <c r="U241" s="289" t="str">
        <f t="shared" si="31"/>
        <v/>
      </c>
      <c r="V241" s="289" t="str">
        <f t="shared" si="32"/>
        <v/>
      </c>
      <c r="W241" s="293" t="str">
        <f t="shared" si="33"/>
        <v/>
      </c>
      <c r="X241" s="297" t="str">
        <f t="shared" si="34"/>
        <v/>
      </c>
      <c r="Y241" s="109"/>
      <c r="Z241" s="108"/>
      <c r="AA241" s="108"/>
      <c r="AB241" s="108"/>
      <c r="AE241" s="30" t="str">
        <f>IFERROR(INDEX('G-6 Hedgerow Data'!$BJ$3:$BJ$15,MATCH(D241,'G-6 Hedgerow Data'!$B$3:$B$15,0)),"")</f>
        <v/>
      </c>
      <c r="AH241" s="111" t="str">
        <f t="shared" si="27"/>
        <v/>
      </c>
      <c r="AI241" s="111" t="str">
        <f t="shared" si="28"/>
        <v/>
      </c>
      <c r="AK241" s="111">
        <v>232</v>
      </c>
      <c r="AM241" s="111" t="str">
        <f t="array" ref="AM241">IFERROR(INDEX($AK$10:$AK$258, MATCH(0, IF(TRUE=$AH$10:$AH$258, COUNTIF($AM$9:$AM240, $AK$10:$AK$258), ""), 0)),"")</f>
        <v/>
      </c>
      <c r="AN241" s="111" t="str">
        <f t="array" ref="AN241">IFERROR(INDEX($AK$10:$AK$258, MATCH(0, IF(TRUE=$AI$10:$AI$258, COUNTIF($AN$9:$AN240, $AK$10:$AK$258), ""), 0)),"")</f>
        <v/>
      </c>
      <c r="AY241" s="289" t="str">
        <f t="shared" si="35"/>
        <v/>
      </c>
    </row>
    <row r="242" spans="2:51" ht="13.8" x14ac:dyDescent="0.25">
      <c r="B242" s="101">
        <v>233</v>
      </c>
      <c r="C242" s="142"/>
      <c r="D242" s="142"/>
      <c r="E242" s="108"/>
      <c r="F242" s="281" t="str">
        <f>IF(D242="","",VLOOKUP(D242,'G-6 Hedgerow Data'!$B$2:$AG$15,2,FALSE))</f>
        <v/>
      </c>
      <c r="G242" s="282" t="str">
        <f>IF(D242="","",VLOOKUP(D242,'G-6 Hedgerow Data'!$B$2:$AG$15,3,FALSE))</f>
        <v/>
      </c>
      <c r="H242" s="105"/>
      <c r="I242" s="282" t="str">
        <f>IFERROR(IF(AND(D242&lt;&gt;"",H242=""), "Check data ⚠",(IF(H242="","",IF(AND(D242="Non-native and ornamental hedgerow", H242&lt;&gt;"Poor"),"Not possible ▲", (IF(AND(F242="V.Low",OR(H242="Good",H242="Moderate")),"Error ▲",VLOOKUP(H242,'G-1 All Habitats'!$Z$2:$AA$9,2,FALSE))))))),"")</f>
        <v/>
      </c>
      <c r="J242" s="109"/>
      <c r="K242" s="301" t="str">
        <f>IF(AND(J242="",D242&lt;&gt;""),"Check data ⚠",IF(J242="","",IF(VLOOKUP(J242,'G-3 Multipliers'!$L$3:$N$6,2,FALSE)=0,"Spatial Data Missing ⚠",VLOOKUP(J242,'G-3 Multipliers'!$L$3:$N$6,2,FALSE))))</f>
        <v/>
      </c>
      <c r="L242" s="305" t="str">
        <f>IF(J242="","",IF(VLOOKUP(J242,'G-3 Multipliers'!$L$3:$N$6,3,FALSE)=0,"Spatial Data Missing ⚠",VLOOKUP(J242,'G-3 Multipliers'!$L$3:$N$6,3,FALSE)))</f>
        <v/>
      </c>
      <c r="M242" s="342" t="str">
        <f>IF(D242="","",VLOOKUP(D242,'G-6 Hedgerow Data'!$B$1:$AH$15,33,FALSE))</f>
        <v/>
      </c>
      <c r="N242" s="295" t="str">
        <f t="shared" si="29"/>
        <v/>
      </c>
      <c r="O242" s="403"/>
      <c r="P242" s="287" t="str">
        <f>IF(O242="","",IF(VLOOKUP(O242,'G-3 Multipliers'!$S$3:$T$10,2,FALSE)=0,"Spatial Data Missing ⚠",VLOOKUP(O242,'G-3 Multipliers'!$S$3:$T$10,2,FALSE)))</f>
        <v/>
      </c>
      <c r="Q242" s="295" t="str">
        <f t="shared" si="30"/>
        <v/>
      </c>
      <c r="R242" s="32"/>
      <c r="S242" s="105"/>
      <c r="T242" s="112"/>
      <c r="U242" s="289" t="str">
        <f t="shared" si="31"/>
        <v/>
      </c>
      <c r="V242" s="289" t="str">
        <f t="shared" si="32"/>
        <v/>
      </c>
      <c r="W242" s="293" t="str">
        <f t="shared" si="33"/>
        <v/>
      </c>
      <c r="X242" s="297" t="str">
        <f t="shared" si="34"/>
        <v/>
      </c>
      <c r="Y242" s="109"/>
      <c r="Z242" s="108"/>
      <c r="AA242" s="108"/>
      <c r="AB242" s="108"/>
      <c r="AE242" s="30" t="str">
        <f>IFERROR(INDEX('G-6 Hedgerow Data'!$BJ$3:$BJ$15,MATCH(D242,'G-6 Hedgerow Data'!$B$3:$B$15,0)),"")</f>
        <v/>
      </c>
      <c r="AH242" s="111" t="str">
        <f t="shared" si="27"/>
        <v/>
      </c>
      <c r="AI242" s="111" t="str">
        <f t="shared" si="28"/>
        <v/>
      </c>
      <c r="AK242" s="111">
        <v>233</v>
      </c>
      <c r="AM242" s="111" t="str">
        <f t="array" ref="AM242">IFERROR(INDEX($AK$10:$AK$258, MATCH(0, IF(TRUE=$AH$10:$AH$258, COUNTIF($AM$9:$AM241, $AK$10:$AK$258), ""), 0)),"")</f>
        <v/>
      </c>
      <c r="AN242" s="111" t="str">
        <f t="array" ref="AN242">IFERROR(INDEX($AK$10:$AK$258, MATCH(0, IF(TRUE=$AI$10:$AI$258, COUNTIF($AN$9:$AN241, $AK$10:$AK$258), ""), 0)),"")</f>
        <v/>
      </c>
      <c r="AY242" s="289" t="str">
        <f t="shared" si="35"/>
        <v/>
      </c>
    </row>
    <row r="243" spans="2:51" ht="13.8" x14ac:dyDescent="0.25">
      <c r="B243" s="101">
        <v>234</v>
      </c>
      <c r="C243" s="142"/>
      <c r="D243" s="142"/>
      <c r="E243" s="108"/>
      <c r="F243" s="281" t="str">
        <f>IF(D243="","",VLOOKUP(D243,'G-6 Hedgerow Data'!$B$2:$AG$15,2,FALSE))</f>
        <v/>
      </c>
      <c r="G243" s="282" t="str">
        <f>IF(D243="","",VLOOKUP(D243,'G-6 Hedgerow Data'!$B$2:$AG$15,3,FALSE))</f>
        <v/>
      </c>
      <c r="H243" s="105"/>
      <c r="I243" s="282" t="str">
        <f>IFERROR(IF(AND(D243&lt;&gt;"",H243=""), "Check data ⚠",(IF(H243="","",IF(AND(D243="Non-native and ornamental hedgerow", H243&lt;&gt;"Poor"),"Not possible ▲", (IF(AND(F243="V.Low",OR(H243="Good",H243="Moderate")),"Error ▲",VLOOKUP(H243,'G-1 All Habitats'!$Z$2:$AA$9,2,FALSE))))))),"")</f>
        <v/>
      </c>
      <c r="J243" s="109"/>
      <c r="K243" s="301" t="str">
        <f>IF(AND(J243="",D243&lt;&gt;""),"Check data ⚠",IF(J243="","",IF(VLOOKUP(J243,'G-3 Multipliers'!$L$3:$N$6,2,FALSE)=0,"Spatial Data Missing ⚠",VLOOKUP(J243,'G-3 Multipliers'!$L$3:$N$6,2,FALSE))))</f>
        <v/>
      </c>
      <c r="L243" s="305" t="str">
        <f>IF(J243="","",IF(VLOOKUP(J243,'G-3 Multipliers'!$L$3:$N$6,3,FALSE)=0,"Spatial Data Missing ⚠",VLOOKUP(J243,'G-3 Multipliers'!$L$3:$N$6,3,FALSE)))</f>
        <v/>
      </c>
      <c r="M243" s="342" t="str">
        <f>IF(D243="","",VLOOKUP(D243,'G-6 Hedgerow Data'!$B$1:$AH$15,33,FALSE))</f>
        <v/>
      </c>
      <c r="N243" s="295" t="str">
        <f t="shared" si="29"/>
        <v/>
      </c>
      <c r="O243" s="403"/>
      <c r="P243" s="287" t="str">
        <f>IF(O243="","",IF(VLOOKUP(O243,'G-3 Multipliers'!$S$3:$T$10,2,FALSE)=0,"Spatial Data Missing ⚠",VLOOKUP(O243,'G-3 Multipliers'!$S$3:$T$10,2,FALSE)))</f>
        <v/>
      </c>
      <c r="Q243" s="295" t="str">
        <f t="shared" si="30"/>
        <v/>
      </c>
      <c r="R243" s="32"/>
      <c r="S243" s="105"/>
      <c r="T243" s="112"/>
      <c r="U243" s="289" t="str">
        <f t="shared" si="31"/>
        <v/>
      </c>
      <c r="V243" s="289" t="str">
        <f t="shared" si="32"/>
        <v/>
      </c>
      <c r="W243" s="293" t="str">
        <f t="shared" si="33"/>
        <v/>
      </c>
      <c r="X243" s="297" t="str">
        <f t="shared" si="34"/>
        <v/>
      </c>
      <c r="Y243" s="109"/>
      <c r="Z243" s="108"/>
      <c r="AA243" s="108"/>
      <c r="AB243" s="108"/>
      <c r="AE243" s="30" t="str">
        <f>IFERROR(INDEX('G-6 Hedgerow Data'!$BJ$3:$BJ$15,MATCH(D243,'G-6 Hedgerow Data'!$B$3:$B$15,0)),"")</f>
        <v/>
      </c>
      <c r="AH243" s="111" t="str">
        <f t="shared" si="27"/>
        <v/>
      </c>
      <c r="AI243" s="111" t="str">
        <f t="shared" si="28"/>
        <v/>
      </c>
      <c r="AK243" s="111">
        <v>234</v>
      </c>
      <c r="AM243" s="111" t="str">
        <f t="array" ref="AM243">IFERROR(INDEX($AK$10:$AK$258, MATCH(0, IF(TRUE=$AH$10:$AH$258, COUNTIF($AM$9:$AM242, $AK$10:$AK$258), ""), 0)),"")</f>
        <v/>
      </c>
      <c r="AN243" s="111" t="str">
        <f t="array" ref="AN243">IFERROR(INDEX($AK$10:$AK$258, MATCH(0, IF(TRUE=$AI$10:$AI$258, COUNTIF($AN$9:$AN242, $AK$10:$AK$258), ""), 0)),"")</f>
        <v/>
      </c>
      <c r="AY243" s="289" t="str">
        <f t="shared" si="35"/>
        <v/>
      </c>
    </row>
    <row r="244" spans="2:51" ht="13.8" x14ac:dyDescent="0.25">
      <c r="B244" s="101">
        <v>235</v>
      </c>
      <c r="C244" s="142"/>
      <c r="D244" s="142"/>
      <c r="E244" s="108"/>
      <c r="F244" s="281" t="str">
        <f>IF(D244="","",VLOOKUP(D244,'G-6 Hedgerow Data'!$B$2:$AG$15,2,FALSE))</f>
        <v/>
      </c>
      <c r="G244" s="282" t="str">
        <f>IF(D244="","",VLOOKUP(D244,'G-6 Hedgerow Data'!$B$2:$AG$15,3,FALSE))</f>
        <v/>
      </c>
      <c r="H244" s="105"/>
      <c r="I244" s="282" t="str">
        <f>IFERROR(IF(AND(D244&lt;&gt;"",H244=""), "Check data ⚠",(IF(H244="","",IF(AND(D244="Non-native and ornamental hedgerow", H244&lt;&gt;"Poor"),"Not possible ▲", (IF(AND(F244="V.Low",OR(H244="Good",H244="Moderate")),"Error ▲",VLOOKUP(H244,'G-1 All Habitats'!$Z$2:$AA$9,2,FALSE))))))),"")</f>
        <v/>
      </c>
      <c r="J244" s="109"/>
      <c r="K244" s="301" t="str">
        <f>IF(AND(J244="",D244&lt;&gt;""),"Check data ⚠",IF(J244="","",IF(VLOOKUP(J244,'G-3 Multipliers'!$L$3:$N$6,2,FALSE)=0,"Spatial Data Missing ⚠",VLOOKUP(J244,'G-3 Multipliers'!$L$3:$N$6,2,FALSE))))</f>
        <v/>
      </c>
      <c r="L244" s="305" t="str">
        <f>IF(J244="","",IF(VLOOKUP(J244,'G-3 Multipliers'!$L$3:$N$6,3,FALSE)=0,"Spatial Data Missing ⚠",VLOOKUP(J244,'G-3 Multipliers'!$L$3:$N$6,3,FALSE)))</f>
        <v/>
      </c>
      <c r="M244" s="342" t="str">
        <f>IF(D244="","",VLOOKUP(D244,'G-6 Hedgerow Data'!$B$1:$AH$15,33,FALSE))</f>
        <v/>
      </c>
      <c r="N244" s="295" t="str">
        <f t="shared" si="29"/>
        <v/>
      </c>
      <c r="O244" s="403"/>
      <c r="P244" s="287" t="str">
        <f>IF(O244="","",IF(VLOOKUP(O244,'G-3 Multipliers'!$S$3:$T$10,2,FALSE)=0,"Spatial Data Missing ⚠",VLOOKUP(O244,'G-3 Multipliers'!$S$3:$T$10,2,FALSE)))</f>
        <v/>
      </c>
      <c r="Q244" s="295" t="str">
        <f t="shared" si="30"/>
        <v/>
      </c>
      <c r="R244" s="32"/>
      <c r="S244" s="105"/>
      <c r="T244" s="112"/>
      <c r="U244" s="289" t="str">
        <f t="shared" si="31"/>
        <v/>
      </c>
      <c r="V244" s="289" t="str">
        <f t="shared" si="32"/>
        <v/>
      </c>
      <c r="W244" s="293" t="str">
        <f t="shared" si="33"/>
        <v/>
      </c>
      <c r="X244" s="297" t="str">
        <f t="shared" si="34"/>
        <v/>
      </c>
      <c r="Y244" s="109"/>
      <c r="Z244" s="108"/>
      <c r="AA244" s="108"/>
      <c r="AB244" s="108"/>
      <c r="AE244" s="30" t="str">
        <f>IFERROR(INDEX('G-6 Hedgerow Data'!$BJ$3:$BJ$15,MATCH(D244,'G-6 Hedgerow Data'!$B$3:$B$15,0)),"")</f>
        <v/>
      </c>
      <c r="AH244" s="111" t="str">
        <f t="shared" si="27"/>
        <v/>
      </c>
      <c r="AI244" s="111" t="str">
        <f t="shared" si="28"/>
        <v/>
      </c>
      <c r="AK244" s="111">
        <v>235</v>
      </c>
      <c r="AM244" s="111" t="str">
        <f t="array" ref="AM244">IFERROR(INDEX($AK$10:$AK$258, MATCH(0, IF(TRUE=$AH$10:$AH$258, COUNTIF($AM$9:$AM243, $AK$10:$AK$258), ""), 0)),"")</f>
        <v/>
      </c>
      <c r="AN244" s="111" t="str">
        <f t="array" ref="AN244">IFERROR(INDEX($AK$10:$AK$258, MATCH(0, IF(TRUE=$AI$10:$AI$258, COUNTIF($AN$9:$AN243, $AK$10:$AK$258), ""), 0)),"")</f>
        <v/>
      </c>
      <c r="AY244" s="289" t="str">
        <f t="shared" si="35"/>
        <v/>
      </c>
    </row>
    <row r="245" spans="2:51" ht="13.8" x14ac:dyDescent="0.25">
      <c r="B245" s="101">
        <v>236</v>
      </c>
      <c r="C245" s="142"/>
      <c r="D245" s="142"/>
      <c r="E245" s="108"/>
      <c r="F245" s="281" t="str">
        <f>IF(D245="","",VLOOKUP(D245,'G-6 Hedgerow Data'!$B$2:$AG$15,2,FALSE))</f>
        <v/>
      </c>
      <c r="G245" s="282" t="str">
        <f>IF(D245="","",VLOOKUP(D245,'G-6 Hedgerow Data'!$B$2:$AG$15,3,FALSE))</f>
        <v/>
      </c>
      <c r="H245" s="105"/>
      <c r="I245" s="282" t="str">
        <f>IFERROR(IF(AND(D245&lt;&gt;"",H245=""), "Check data ⚠",(IF(H245="","",IF(AND(D245="Non-native and ornamental hedgerow", H245&lt;&gt;"Poor"),"Not possible ▲", (IF(AND(F245="V.Low",OR(H245="Good",H245="Moderate")),"Error ▲",VLOOKUP(H245,'G-1 All Habitats'!$Z$2:$AA$9,2,FALSE))))))),"")</f>
        <v/>
      </c>
      <c r="J245" s="109"/>
      <c r="K245" s="301" t="str">
        <f>IF(AND(J245="",D245&lt;&gt;""),"Check data ⚠",IF(J245="","",IF(VLOOKUP(J245,'G-3 Multipliers'!$L$3:$N$6,2,FALSE)=0,"Spatial Data Missing ⚠",VLOOKUP(J245,'G-3 Multipliers'!$L$3:$N$6,2,FALSE))))</f>
        <v/>
      </c>
      <c r="L245" s="305" t="str">
        <f>IF(J245="","",IF(VLOOKUP(J245,'G-3 Multipliers'!$L$3:$N$6,3,FALSE)=0,"Spatial Data Missing ⚠",VLOOKUP(J245,'G-3 Multipliers'!$L$3:$N$6,3,FALSE)))</f>
        <v/>
      </c>
      <c r="M245" s="342" t="str">
        <f>IF(D245="","",VLOOKUP(D245,'G-6 Hedgerow Data'!$B$1:$AH$15,33,FALSE))</f>
        <v/>
      </c>
      <c r="N245" s="295" t="str">
        <f t="shared" si="29"/>
        <v/>
      </c>
      <c r="O245" s="403"/>
      <c r="P245" s="287" t="str">
        <f>IF(O245="","",IF(VLOOKUP(O245,'G-3 Multipliers'!$S$3:$T$10,2,FALSE)=0,"Spatial Data Missing ⚠",VLOOKUP(O245,'G-3 Multipliers'!$S$3:$T$10,2,FALSE)))</f>
        <v/>
      </c>
      <c r="Q245" s="295" t="str">
        <f t="shared" si="30"/>
        <v/>
      </c>
      <c r="R245" s="32"/>
      <c r="S245" s="105"/>
      <c r="T245" s="112"/>
      <c r="U245" s="289" t="str">
        <f t="shared" si="31"/>
        <v/>
      </c>
      <c r="V245" s="289" t="str">
        <f t="shared" si="32"/>
        <v/>
      </c>
      <c r="W245" s="293" t="str">
        <f t="shared" si="33"/>
        <v/>
      </c>
      <c r="X245" s="297" t="str">
        <f t="shared" si="34"/>
        <v/>
      </c>
      <c r="Y245" s="109"/>
      <c r="Z245" s="108"/>
      <c r="AA245" s="108"/>
      <c r="AB245" s="108"/>
      <c r="AE245" s="30" t="str">
        <f>IFERROR(INDEX('G-6 Hedgerow Data'!$BJ$3:$BJ$15,MATCH(D245,'G-6 Hedgerow Data'!$B$3:$B$15,0)),"")</f>
        <v/>
      </c>
      <c r="AH245" s="111" t="str">
        <f t="shared" si="27"/>
        <v/>
      </c>
      <c r="AI245" s="111" t="str">
        <f t="shared" si="28"/>
        <v/>
      </c>
      <c r="AK245" s="111">
        <v>236</v>
      </c>
      <c r="AM245" s="111" t="str">
        <f t="array" ref="AM245">IFERROR(INDEX($AK$10:$AK$258, MATCH(0, IF(TRUE=$AH$10:$AH$258, COUNTIF($AM$9:$AM244, $AK$10:$AK$258), ""), 0)),"")</f>
        <v/>
      </c>
      <c r="AN245" s="111" t="str">
        <f t="array" ref="AN245">IFERROR(INDEX($AK$10:$AK$258, MATCH(0, IF(TRUE=$AI$10:$AI$258, COUNTIF($AN$9:$AN244, $AK$10:$AK$258), ""), 0)),"")</f>
        <v/>
      </c>
      <c r="AY245" s="289" t="str">
        <f t="shared" si="35"/>
        <v/>
      </c>
    </row>
    <row r="246" spans="2:51" ht="13.8" x14ac:dyDescent="0.25">
      <c r="B246" s="101">
        <v>237</v>
      </c>
      <c r="C246" s="142"/>
      <c r="D246" s="142"/>
      <c r="E246" s="108"/>
      <c r="F246" s="281" t="str">
        <f>IF(D246="","",VLOOKUP(D246,'G-6 Hedgerow Data'!$B$2:$AG$15,2,FALSE))</f>
        <v/>
      </c>
      <c r="G246" s="282" t="str">
        <f>IF(D246="","",VLOOKUP(D246,'G-6 Hedgerow Data'!$B$2:$AG$15,3,FALSE))</f>
        <v/>
      </c>
      <c r="H246" s="105"/>
      <c r="I246" s="282" t="str">
        <f>IFERROR(IF(AND(D246&lt;&gt;"",H246=""), "Check data ⚠",(IF(H246="","",IF(AND(D246="Non-native and ornamental hedgerow", H246&lt;&gt;"Poor"),"Not possible ▲", (IF(AND(F246="V.Low",OR(H246="Good",H246="Moderate")),"Error ▲",VLOOKUP(H246,'G-1 All Habitats'!$Z$2:$AA$9,2,FALSE))))))),"")</f>
        <v/>
      </c>
      <c r="J246" s="109"/>
      <c r="K246" s="301" t="str">
        <f>IF(AND(J246="",D246&lt;&gt;""),"Check data ⚠",IF(J246="","",IF(VLOOKUP(J246,'G-3 Multipliers'!$L$3:$N$6,2,FALSE)=0,"Spatial Data Missing ⚠",VLOOKUP(J246,'G-3 Multipliers'!$L$3:$N$6,2,FALSE))))</f>
        <v/>
      </c>
      <c r="L246" s="305" t="str">
        <f>IF(J246="","",IF(VLOOKUP(J246,'G-3 Multipliers'!$L$3:$N$6,3,FALSE)=0,"Spatial Data Missing ⚠",VLOOKUP(J246,'G-3 Multipliers'!$L$3:$N$6,3,FALSE)))</f>
        <v/>
      </c>
      <c r="M246" s="342" t="str">
        <f>IF(D246="","",VLOOKUP(D246,'G-6 Hedgerow Data'!$B$1:$AH$15,33,FALSE))</f>
        <v/>
      </c>
      <c r="N246" s="295" t="str">
        <f t="shared" si="29"/>
        <v/>
      </c>
      <c r="O246" s="403"/>
      <c r="P246" s="287" t="str">
        <f>IF(O246="","",IF(VLOOKUP(O246,'G-3 Multipliers'!$S$3:$T$10,2,FALSE)=0,"Spatial Data Missing ⚠",VLOOKUP(O246,'G-3 Multipliers'!$S$3:$T$10,2,FALSE)))</f>
        <v/>
      </c>
      <c r="Q246" s="295" t="str">
        <f t="shared" si="30"/>
        <v/>
      </c>
      <c r="R246" s="32"/>
      <c r="S246" s="105"/>
      <c r="T246" s="112"/>
      <c r="U246" s="289" t="str">
        <f t="shared" si="31"/>
        <v/>
      </c>
      <c r="V246" s="289" t="str">
        <f t="shared" si="32"/>
        <v/>
      </c>
      <c r="W246" s="293" t="str">
        <f t="shared" si="33"/>
        <v/>
      </c>
      <c r="X246" s="297" t="str">
        <f t="shared" si="34"/>
        <v/>
      </c>
      <c r="Y246" s="109"/>
      <c r="Z246" s="108"/>
      <c r="AA246" s="108"/>
      <c r="AB246" s="108"/>
      <c r="AE246" s="30" t="str">
        <f>IFERROR(INDEX('G-6 Hedgerow Data'!$BJ$3:$BJ$15,MATCH(D246,'G-6 Hedgerow Data'!$B$3:$B$15,0)),"")</f>
        <v/>
      </c>
      <c r="AH246" s="111" t="str">
        <f t="shared" si="27"/>
        <v/>
      </c>
      <c r="AI246" s="111" t="str">
        <f t="shared" si="28"/>
        <v/>
      </c>
      <c r="AK246" s="111">
        <v>237</v>
      </c>
      <c r="AM246" s="111" t="str">
        <f t="array" ref="AM246">IFERROR(INDEX($AK$10:$AK$258, MATCH(0, IF(TRUE=$AH$10:$AH$258, COUNTIF($AM$9:$AM245, $AK$10:$AK$258), ""), 0)),"")</f>
        <v/>
      </c>
      <c r="AN246" s="111" t="str">
        <f t="array" ref="AN246">IFERROR(INDEX($AK$10:$AK$258, MATCH(0, IF(TRUE=$AI$10:$AI$258, COUNTIF($AN$9:$AN245, $AK$10:$AK$258), ""), 0)),"")</f>
        <v/>
      </c>
      <c r="AY246" s="289" t="str">
        <f t="shared" si="35"/>
        <v/>
      </c>
    </row>
    <row r="247" spans="2:51" ht="13.8" x14ac:dyDescent="0.25">
      <c r="B247" s="101">
        <v>238</v>
      </c>
      <c r="C247" s="142"/>
      <c r="D247" s="142"/>
      <c r="E247" s="108"/>
      <c r="F247" s="281" t="str">
        <f>IF(D247="","",VLOOKUP(D247,'G-6 Hedgerow Data'!$B$2:$AG$15,2,FALSE))</f>
        <v/>
      </c>
      <c r="G247" s="282" t="str">
        <f>IF(D247="","",VLOOKUP(D247,'G-6 Hedgerow Data'!$B$2:$AG$15,3,FALSE))</f>
        <v/>
      </c>
      <c r="H247" s="105"/>
      <c r="I247" s="282" t="str">
        <f>IFERROR(IF(AND(D247&lt;&gt;"",H247=""), "Check data ⚠",(IF(H247="","",IF(AND(D247="Non-native and ornamental hedgerow", H247&lt;&gt;"Poor"),"Not possible ▲", (IF(AND(F247="V.Low",OR(H247="Good",H247="Moderate")),"Error ▲",VLOOKUP(H247,'G-1 All Habitats'!$Z$2:$AA$9,2,FALSE))))))),"")</f>
        <v/>
      </c>
      <c r="J247" s="109"/>
      <c r="K247" s="301" t="str">
        <f>IF(AND(J247="",D247&lt;&gt;""),"Check data ⚠",IF(J247="","",IF(VLOOKUP(J247,'G-3 Multipliers'!$L$3:$N$6,2,FALSE)=0,"Spatial Data Missing ⚠",VLOOKUP(J247,'G-3 Multipliers'!$L$3:$N$6,2,FALSE))))</f>
        <v/>
      </c>
      <c r="L247" s="305" t="str">
        <f>IF(J247="","",IF(VLOOKUP(J247,'G-3 Multipliers'!$L$3:$N$6,3,FALSE)=0,"Spatial Data Missing ⚠",VLOOKUP(J247,'G-3 Multipliers'!$L$3:$N$6,3,FALSE)))</f>
        <v/>
      </c>
      <c r="M247" s="342" t="str">
        <f>IF(D247="","",VLOOKUP(D247,'G-6 Hedgerow Data'!$B$1:$AH$15,33,FALSE))</f>
        <v/>
      </c>
      <c r="N247" s="295" t="str">
        <f t="shared" si="29"/>
        <v/>
      </c>
      <c r="O247" s="403"/>
      <c r="P247" s="287" t="str">
        <f>IF(O247="","",IF(VLOOKUP(O247,'G-3 Multipliers'!$S$3:$T$10,2,FALSE)=0,"Spatial Data Missing ⚠",VLOOKUP(O247,'G-3 Multipliers'!$S$3:$T$10,2,FALSE)))</f>
        <v/>
      </c>
      <c r="Q247" s="295" t="str">
        <f t="shared" si="30"/>
        <v/>
      </c>
      <c r="R247" s="32"/>
      <c r="S247" s="105"/>
      <c r="T247" s="112"/>
      <c r="U247" s="289" t="str">
        <f t="shared" si="31"/>
        <v/>
      </c>
      <c r="V247" s="289" t="str">
        <f t="shared" si="32"/>
        <v/>
      </c>
      <c r="W247" s="293" t="str">
        <f t="shared" si="33"/>
        <v/>
      </c>
      <c r="X247" s="297" t="str">
        <f t="shared" si="34"/>
        <v/>
      </c>
      <c r="Y247" s="109"/>
      <c r="Z247" s="108"/>
      <c r="AA247" s="108"/>
      <c r="AB247" s="108"/>
      <c r="AE247" s="30" t="str">
        <f>IFERROR(INDEX('G-6 Hedgerow Data'!$BJ$3:$BJ$15,MATCH(D247,'G-6 Hedgerow Data'!$B$3:$B$15,0)),"")</f>
        <v/>
      </c>
      <c r="AH247" s="111" t="str">
        <f t="shared" si="27"/>
        <v/>
      </c>
      <c r="AI247" s="111" t="str">
        <f t="shared" si="28"/>
        <v/>
      </c>
      <c r="AK247" s="111">
        <v>238</v>
      </c>
      <c r="AM247" s="111" t="str">
        <f t="array" ref="AM247">IFERROR(INDEX($AK$10:$AK$258, MATCH(0, IF(TRUE=$AH$10:$AH$258, COUNTIF($AM$9:$AM246, $AK$10:$AK$258), ""), 0)),"")</f>
        <v/>
      </c>
      <c r="AN247" s="111" t="str">
        <f t="array" ref="AN247">IFERROR(INDEX($AK$10:$AK$258, MATCH(0, IF(TRUE=$AI$10:$AI$258, COUNTIF($AN$9:$AN246, $AK$10:$AK$258), ""), 0)),"")</f>
        <v/>
      </c>
      <c r="AY247" s="289" t="str">
        <f t="shared" si="35"/>
        <v/>
      </c>
    </row>
    <row r="248" spans="2:51" ht="13.8" x14ac:dyDescent="0.25">
      <c r="B248" s="101">
        <v>239</v>
      </c>
      <c r="C248" s="142"/>
      <c r="D248" s="142"/>
      <c r="E248" s="108"/>
      <c r="F248" s="281" t="str">
        <f>IF(D248="","",VLOOKUP(D248,'G-6 Hedgerow Data'!$B$2:$AG$15,2,FALSE))</f>
        <v/>
      </c>
      <c r="G248" s="282" t="str">
        <f>IF(D248="","",VLOOKUP(D248,'G-6 Hedgerow Data'!$B$2:$AG$15,3,FALSE))</f>
        <v/>
      </c>
      <c r="H248" s="105"/>
      <c r="I248" s="282" t="str">
        <f>IFERROR(IF(AND(D248&lt;&gt;"",H248=""), "Check data ⚠",(IF(H248="","",IF(AND(D248="Non-native and ornamental hedgerow", H248&lt;&gt;"Poor"),"Not possible ▲", (IF(AND(F248="V.Low",OR(H248="Good",H248="Moderate")),"Error ▲",VLOOKUP(H248,'G-1 All Habitats'!$Z$2:$AA$9,2,FALSE))))))),"")</f>
        <v/>
      </c>
      <c r="J248" s="109"/>
      <c r="K248" s="301" t="str">
        <f>IF(AND(J248="",D248&lt;&gt;""),"Check data ⚠",IF(J248="","",IF(VLOOKUP(J248,'G-3 Multipliers'!$L$3:$N$6,2,FALSE)=0,"Spatial Data Missing ⚠",VLOOKUP(J248,'G-3 Multipliers'!$L$3:$N$6,2,FALSE))))</f>
        <v/>
      </c>
      <c r="L248" s="305" t="str">
        <f>IF(J248="","",IF(VLOOKUP(J248,'G-3 Multipliers'!$L$3:$N$6,3,FALSE)=0,"Spatial Data Missing ⚠",VLOOKUP(J248,'G-3 Multipliers'!$L$3:$N$6,3,FALSE)))</f>
        <v/>
      </c>
      <c r="M248" s="342" t="str">
        <f>IF(D248="","",VLOOKUP(D248,'G-6 Hedgerow Data'!$B$1:$AH$15,33,FALSE))</f>
        <v/>
      </c>
      <c r="N248" s="295" t="str">
        <f t="shared" si="29"/>
        <v/>
      </c>
      <c r="O248" s="403"/>
      <c r="P248" s="287" t="str">
        <f>IF(O248="","",IF(VLOOKUP(O248,'G-3 Multipliers'!$S$3:$T$10,2,FALSE)=0,"Spatial Data Missing ⚠",VLOOKUP(O248,'G-3 Multipliers'!$S$3:$T$10,2,FALSE)))</f>
        <v/>
      </c>
      <c r="Q248" s="295" t="str">
        <f t="shared" si="30"/>
        <v/>
      </c>
      <c r="R248" s="32"/>
      <c r="S248" s="105"/>
      <c r="T248" s="112"/>
      <c r="U248" s="289" t="str">
        <f t="shared" si="31"/>
        <v/>
      </c>
      <c r="V248" s="289" t="str">
        <f t="shared" si="32"/>
        <v/>
      </c>
      <c r="W248" s="293" t="str">
        <f t="shared" si="33"/>
        <v/>
      </c>
      <c r="X248" s="297" t="str">
        <f t="shared" si="34"/>
        <v/>
      </c>
      <c r="Y248" s="109"/>
      <c r="Z248" s="108"/>
      <c r="AA248" s="108"/>
      <c r="AB248" s="108"/>
      <c r="AE248" s="30" t="str">
        <f>IFERROR(INDEX('G-6 Hedgerow Data'!$BJ$3:$BJ$15,MATCH(D248,'G-6 Hedgerow Data'!$B$3:$B$15,0)),"")</f>
        <v/>
      </c>
      <c r="AH248" s="111" t="str">
        <f t="shared" si="27"/>
        <v/>
      </c>
      <c r="AI248" s="111" t="str">
        <f t="shared" si="28"/>
        <v/>
      </c>
      <c r="AK248" s="111">
        <v>239</v>
      </c>
      <c r="AM248" s="111" t="str">
        <f t="array" ref="AM248">IFERROR(INDEX($AK$10:$AK$258, MATCH(0, IF(TRUE=$AH$10:$AH$258, COUNTIF($AM$9:$AM247, $AK$10:$AK$258), ""), 0)),"")</f>
        <v/>
      </c>
      <c r="AN248" s="111" t="str">
        <f t="array" ref="AN248">IFERROR(INDEX($AK$10:$AK$258, MATCH(0, IF(TRUE=$AI$10:$AI$258, COUNTIF($AN$9:$AN247, $AK$10:$AK$258), ""), 0)),"")</f>
        <v/>
      </c>
      <c r="AY248" s="289" t="str">
        <f t="shared" si="35"/>
        <v/>
      </c>
    </row>
    <row r="249" spans="2:51" ht="13.8" x14ac:dyDescent="0.25">
      <c r="B249" s="101">
        <v>240</v>
      </c>
      <c r="C249" s="142"/>
      <c r="D249" s="142"/>
      <c r="E249" s="108"/>
      <c r="F249" s="281" t="str">
        <f>IF(D249="","",VLOOKUP(D249,'G-6 Hedgerow Data'!$B$2:$AG$15,2,FALSE))</f>
        <v/>
      </c>
      <c r="G249" s="282" t="str">
        <f>IF(D249="","",VLOOKUP(D249,'G-6 Hedgerow Data'!$B$2:$AG$15,3,FALSE))</f>
        <v/>
      </c>
      <c r="H249" s="105"/>
      <c r="I249" s="282" t="str">
        <f>IFERROR(IF(AND(D249&lt;&gt;"",H249=""), "Check data ⚠",(IF(H249="","",IF(AND(D249="Non-native and ornamental hedgerow", H249&lt;&gt;"Poor"),"Not possible ▲", (IF(AND(F249="V.Low",OR(H249="Good",H249="Moderate")),"Error ▲",VLOOKUP(H249,'G-1 All Habitats'!$Z$2:$AA$9,2,FALSE))))))),"")</f>
        <v/>
      </c>
      <c r="J249" s="109"/>
      <c r="K249" s="301" t="str">
        <f>IF(AND(J249="",D249&lt;&gt;""),"Check data ⚠",IF(J249="","",IF(VLOOKUP(J249,'G-3 Multipliers'!$L$3:$N$6,2,FALSE)=0,"Spatial Data Missing ⚠",VLOOKUP(J249,'G-3 Multipliers'!$L$3:$N$6,2,FALSE))))</f>
        <v/>
      </c>
      <c r="L249" s="305" t="str">
        <f>IF(J249="","",IF(VLOOKUP(J249,'G-3 Multipliers'!$L$3:$N$6,3,FALSE)=0,"Spatial Data Missing ⚠",VLOOKUP(J249,'G-3 Multipliers'!$L$3:$N$6,3,FALSE)))</f>
        <v/>
      </c>
      <c r="M249" s="342" t="str">
        <f>IF(D249="","",VLOOKUP(D249,'G-6 Hedgerow Data'!$B$1:$AH$15,33,FALSE))</f>
        <v/>
      </c>
      <c r="N249" s="295" t="str">
        <f t="shared" si="29"/>
        <v/>
      </c>
      <c r="O249" s="403"/>
      <c r="P249" s="287" t="str">
        <f>IF(O249="","",IF(VLOOKUP(O249,'G-3 Multipliers'!$S$3:$T$10,2,FALSE)=0,"Spatial Data Missing ⚠",VLOOKUP(O249,'G-3 Multipliers'!$S$3:$T$10,2,FALSE)))</f>
        <v/>
      </c>
      <c r="Q249" s="295" t="str">
        <f t="shared" si="30"/>
        <v/>
      </c>
      <c r="R249" s="32"/>
      <c r="S249" s="105"/>
      <c r="T249" s="112"/>
      <c r="U249" s="289" t="str">
        <f t="shared" si="31"/>
        <v/>
      </c>
      <c r="V249" s="289" t="str">
        <f t="shared" si="32"/>
        <v/>
      </c>
      <c r="W249" s="293" t="str">
        <f t="shared" si="33"/>
        <v/>
      </c>
      <c r="X249" s="297" t="str">
        <f t="shared" si="34"/>
        <v/>
      </c>
      <c r="Y249" s="109"/>
      <c r="Z249" s="108"/>
      <c r="AA249" s="108"/>
      <c r="AB249" s="108"/>
      <c r="AE249" s="30" t="str">
        <f>IFERROR(INDEX('G-6 Hedgerow Data'!$BJ$3:$BJ$15,MATCH(D249,'G-6 Hedgerow Data'!$B$3:$B$15,0)),"")</f>
        <v/>
      </c>
      <c r="AH249" s="111" t="str">
        <f t="shared" si="27"/>
        <v/>
      </c>
      <c r="AI249" s="111" t="str">
        <f t="shared" si="28"/>
        <v/>
      </c>
      <c r="AK249" s="111">
        <v>240</v>
      </c>
      <c r="AM249" s="111" t="str">
        <f t="array" ref="AM249">IFERROR(INDEX($AK$10:$AK$258, MATCH(0, IF(TRUE=$AH$10:$AH$258, COUNTIF($AM$9:$AM248, $AK$10:$AK$258), ""), 0)),"")</f>
        <v/>
      </c>
      <c r="AN249" s="111" t="str">
        <f t="array" ref="AN249">IFERROR(INDEX($AK$10:$AK$258, MATCH(0, IF(TRUE=$AI$10:$AI$258, COUNTIF($AN$9:$AN248, $AK$10:$AK$258), ""), 0)),"")</f>
        <v/>
      </c>
      <c r="AY249" s="289" t="str">
        <f t="shared" si="35"/>
        <v/>
      </c>
    </row>
    <row r="250" spans="2:51" ht="13.8" x14ac:dyDescent="0.25">
      <c r="B250" s="101">
        <v>241</v>
      </c>
      <c r="C250" s="142"/>
      <c r="D250" s="142"/>
      <c r="E250" s="108"/>
      <c r="F250" s="281" t="str">
        <f>IF(D250="","",VLOOKUP(D250,'G-6 Hedgerow Data'!$B$2:$AG$15,2,FALSE))</f>
        <v/>
      </c>
      <c r="G250" s="282" t="str">
        <f>IF(D250="","",VLOOKUP(D250,'G-6 Hedgerow Data'!$B$2:$AG$15,3,FALSE))</f>
        <v/>
      </c>
      <c r="H250" s="105"/>
      <c r="I250" s="282" t="str">
        <f>IFERROR(IF(AND(D250&lt;&gt;"",H250=""), "Check data ⚠",(IF(H250="","",IF(AND(D250="Non-native and ornamental hedgerow", H250&lt;&gt;"Poor"),"Not possible ▲", (IF(AND(F250="V.Low",OR(H250="Good",H250="Moderate")),"Error ▲",VLOOKUP(H250,'G-1 All Habitats'!$Z$2:$AA$9,2,FALSE))))))),"")</f>
        <v/>
      </c>
      <c r="J250" s="109"/>
      <c r="K250" s="301" t="str">
        <f>IF(AND(J250="",D250&lt;&gt;""),"Check data ⚠",IF(J250="","",IF(VLOOKUP(J250,'G-3 Multipliers'!$L$3:$N$6,2,FALSE)=0,"Spatial Data Missing ⚠",VLOOKUP(J250,'G-3 Multipliers'!$L$3:$N$6,2,FALSE))))</f>
        <v/>
      </c>
      <c r="L250" s="305" t="str">
        <f>IF(J250="","",IF(VLOOKUP(J250,'G-3 Multipliers'!$L$3:$N$6,3,FALSE)=0,"Spatial Data Missing ⚠",VLOOKUP(J250,'G-3 Multipliers'!$L$3:$N$6,3,FALSE)))</f>
        <v/>
      </c>
      <c r="M250" s="342" t="str">
        <f>IF(D250="","",VLOOKUP(D250,'G-6 Hedgerow Data'!$B$1:$AH$15,33,FALSE))</f>
        <v/>
      </c>
      <c r="N250" s="295" t="str">
        <f t="shared" si="29"/>
        <v/>
      </c>
      <c r="O250" s="403"/>
      <c r="P250" s="287" t="str">
        <f>IF(O250="","",IF(VLOOKUP(O250,'G-3 Multipliers'!$S$3:$T$10,2,FALSE)=0,"Spatial Data Missing ⚠",VLOOKUP(O250,'G-3 Multipliers'!$S$3:$T$10,2,FALSE)))</f>
        <v/>
      </c>
      <c r="Q250" s="295" t="str">
        <f t="shared" si="30"/>
        <v/>
      </c>
      <c r="R250" s="32"/>
      <c r="S250" s="105"/>
      <c r="T250" s="112"/>
      <c r="U250" s="289" t="str">
        <f t="shared" si="31"/>
        <v/>
      </c>
      <c r="V250" s="289" t="str">
        <f t="shared" si="32"/>
        <v/>
      </c>
      <c r="W250" s="293" t="str">
        <f t="shared" si="33"/>
        <v/>
      </c>
      <c r="X250" s="297" t="str">
        <f t="shared" si="34"/>
        <v/>
      </c>
      <c r="Y250" s="109"/>
      <c r="Z250" s="108"/>
      <c r="AA250" s="108"/>
      <c r="AB250" s="108"/>
      <c r="AE250" s="30" t="str">
        <f>IFERROR(INDEX('G-6 Hedgerow Data'!$BJ$3:$BJ$15,MATCH(D250,'G-6 Hedgerow Data'!$B$3:$B$15,0)),"")</f>
        <v/>
      </c>
      <c r="AH250" s="111" t="str">
        <f t="shared" si="27"/>
        <v/>
      </c>
      <c r="AI250" s="111" t="str">
        <f t="shared" si="28"/>
        <v/>
      </c>
      <c r="AK250" s="111">
        <v>241</v>
      </c>
      <c r="AM250" s="111" t="str">
        <f t="array" ref="AM250">IFERROR(INDEX($AK$10:$AK$258, MATCH(0, IF(TRUE=$AH$10:$AH$258, COUNTIF($AM$9:$AM249, $AK$10:$AK$258), ""), 0)),"")</f>
        <v/>
      </c>
      <c r="AN250" s="111" t="str">
        <f t="array" ref="AN250">IFERROR(INDEX($AK$10:$AK$258, MATCH(0, IF(TRUE=$AI$10:$AI$258, COUNTIF($AN$9:$AN249, $AK$10:$AK$258), ""), 0)),"")</f>
        <v/>
      </c>
      <c r="AY250" s="289" t="str">
        <f t="shared" si="35"/>
        <v/>
      </c>
    </row>
    <row r="251" spans="2:51" ht="13.8" x14ac:dyDescent="0.25">
      <c r="B251" s="101">
        <v>242</v>
      </c>
      <c r="C251" s="142"/>
      <c r="D251" s="142"/>
      <c r="E251" s="108"/>
      <c r="F251" s="281" t="str">
        <f>IF(D251="","",VLOOKUP(D251,'G-6 Hedgerow Data'!$B$2:$AG$15,2,FALSE))</f>
        <v/>
      </c>
      <c r="G251" s="282" t="str">
        <f>IF(D251="","",VLOOKUP(D251,'G-6 Hedgerow Data'!$B$2:$AG$15,3,FALSE))</f>
        <v/>
      </c>
      <c r="H251" s="105"/>
      <c r="I251" s="282" t="str">
        <f>IFERROR(IF(AND(D251&lt;&gt;"",H251=""), "Check data ⚠",(IF(H251="","",IF(AND(D251="Non-native and ornamental hedgerow", H251&lt;&gt;"Poor"),"Not possible ▲", (IF(AND(F251="V.Low",OR(H251="Good",H251="Moderate")),"Error ▲",VLOOKUP(H251,'G-1 All Habitats'!$Z$2:$AA$9,2,FALSE))))))),"")</f>
        <v/>
      </c>
      <c r="J251" s="109"/>
      <c r="K251" s="301" t="str">
        <f>IF(AND(J251="",D251&lt;&gt;""),"Check data ⚠",IF(J251="","",IF(VLOOKUP(J251,'G-3 Multipliers'!$L$3:$N$6,2,FALSE)=0,"Spatial Data Missing ⚠",VLOOKUP(J251,'G-3 Multipliers'!$L$3:$N$6,2,FALSE))))</f>
        <v/>
      </c>
      <c r="L251" s="305" t="str">
        <f>IF(J251="","",IF(VLOOKUP(J251,'G-3 Multipliers'!$L$3:$N$6,3,FALSE)=0,"Spatial Data Missing ⚠",VLOOKUP(J251,'G-3 Multipliers'!$L$3:$N$6,3,FALSE)))</f>
        <v/>
      </c>
      <c r="M251" s="342" t="str">
        <f>IF(D251="","",VLOOKUP(D251,'G-6 Hedgerow Data'!$B$1:$AH$15,33,FALSE))</f>
        <v/>
      </c>
      <c r="N251" s="295" t="str">
        <f t="shared" si="29"/>
        <v/>
      </c>
      <c r="O251" s="403"/>
      <c r="P251" s="287" t="str">
        <f>IF(O251="","",IF(VLOOKUP(O251,'G-3 Multipliers'!$S$3:$T$10,2,FALSE)=0,"Spatial Data Missing ⚠",VLOOKUP(O251,'G-3 Multipliers'!$S$3:$T$10,2,FALSE)))</f>
        <v/>
      </c>
      <c r="Q251" s="295" t="str">
        <f t="shared" si="30"/>
        <v/>
      </c>
      <c r="R251" s="32"/>
      <c r="S251" s="105"/>
      <c r="T251" s="112"/>
      <c r="U251" s="289" t="str">
        <f t="shared" si="31"/>
        <v/>
      </c>
      <c r="V251" s="289" t="str">
        <f t="shared" si="32"/>
        <v/>
      </c>
      <c r="W251" s="293" t="str">
        <f t="shared" si="33"/>
        <v/>
      </c>
      <c r="X251" s="297" t="str">
        <f t="shared" si="34"/>
        <v/>
      </c>
      <c r="Y251" s="109"/>
      <c r="Z251" s="108"/>
      <c r="AA251" s="108"/>
      <c r="AB251" s="108"/>
      <c r="AE251" s="30" t="str">
        <f>IFERROR(INDEX('G-6 Hedgerow Data'!$BJ$3:$BJ$15,MATCH(D251,'G-6 Hedgerow Data'!$B$3:$B$15,0)),"")</f>
        <v/>
      </c>
      <c r="AH251" s="111" t="str">
        <f t="shared" si="27"/>
        <v/>
      </c>
      <c r="AI251" s="111" t="str">
        <f t="shared" si="28"/>
        <v/>
      </c>
      <c r="AK251" s="111">
        <v>242</v>
      </c>
      <c r="AM251" s="111" t="str">
        <f t="array" ref="AM251">IFERROR(INDEX($AK$10:$AK$258, MATCH(0, IF(TRUE=$AH$10:$AH$258, COUNTIF($AM$9:$AM250, $AK$10:$AK$258), ""), 0)),"")</f>
        <v/>
      </c>
      <c r="AN251" s="111" t="str">
        <f t="array" ref="AN251">IFERROR(INDEX($AK$10:$AK$258, MATCH(0, IF(TRUE=$AI$10:$AI$258, COUNTIF($AN$9:$AN250, $AK$10:$AK$258), ""), 0)),"")</f>
        <v/>
      </c>
      <c r="AY251" s="289" t="str">
        <f t="shared" si="35"/>
        <v/>
      </c>
    </row>
    <row r="252" spans="2:51" ht="13.8" x14ac:dyDescent="0.25">
      <c r="B252" s="101">
        <v>243</v>
      </c>
      <c r="C252" s="142"/>
      <c r="D252" s="142"/>
      <c r="E252" s="108"/>
      <c r="F252" s="281" t="str">
        <f>IF(D252="","",VLOOKUP(D252,'G-6 Hedgerow Data'!$B$2:$AG$15,2,FALSE))</f>
        <v/>
      </c>
      <c r="G252" s="282" t="str">
        <f>IF(D252="","",VLOOKUP(D252,'G-6 Hedgerow Data'!$B$2:$AG$15,3,FALSE))</f>
        <v/>
      </c>
      <c r="H252" s="105"/>
      <c r="I252" s="282" t="str">
        <f>IFERROR(IF(AND(D252&lt;&gt;"",H252=""), "Check data ⚠",(IF(H252="","",IF(AND(D252="Non-native and ornamental hedgerow", H252&lt;&gt;"Poor"),"Not possible ▲", (IF(AND(F252="V.Low",OR(H252="Good",H252="Moderate")),"Error ▲",VLOOKUP(H252,'G-1 All Habitats'!$Z$2:$AA$9,2,FALSE))))))),"")</f>
        <v/>
      </c>
      <c r="J252" s="109"/>
      <c r="K252" s="301" t="str">
        <f>IF(AND(J252="",D252&lt;&gt;""),"Check data ⚠",IF(J252="","",IF(VLOOKUP(J252,'G-3 Multipliers'!$L$3:$N$6,2,FALSE)=0,"Spatial Data Missing ⚠",VLOOKUP(J252,'G-3 Multipliers'!$L$3:$N$6,2,FALSE))))</f>
        <v/>
      </c>
      <c r="L252" s="305" t="str">
        <f>IF(J252="","",IF(VLOOKUP(J252,'G-3 Multipliers'!$L$3:$N$6,3,FALSE)=0,"Spatial Data Missing ⚠",VLOOKUP(J252,'G-3 Multipliers'!$L$3:$N$6,3,FALSE)))</f>
        <v/>
      </c>
      <c r="M252" s="342" t="str">
        <f>IF(D252="","",VLOOKUP(D252,'G-6 Hedgerow Data'!$B$1:$AH$15,33,FALSE))</f>
        <v/>
      </c>
      <c r="N252" s="295" t="str">
        <f t="shared" si="29"/>
        <v/>
      </c>
      <c r="O252" s="403"/>
      <c r="P252" s="287" t="str">
        <f>IF(O252="","",IF(VLOOKUP(O252,'G-3 Multipliers'!$S$3:$T$10,2,FALSE)=0,"Spatial Data Missing ⚠",VLOOKUP(O252,'G-3 Multipliers'!$S$3:$T$10,2,FALSE)))</f>
        <v/>
      </c>
      <c r="Q252" s="295" t="str">
        <f t="shared" si="30"/>
        <v/>
      </c>
      <c r="R252" s="32"/>
      <c r="S252" s="105"/>
      <c r="T252" s="112"/>
      <c r="U252" s="289" t="str">
        <f t="shared" si="31"/>
        <v/>
      </c>
      <c r="V252" s="289" t="str">
        <f t="shared" si="32"/>
        <v/>
      </c>
      <c r="W252" s="293" t="str">
        <f t="shared" si="33"/>
        <v/>
      </c>
      <c r="X252" s="297" t="str">
        <f t="shared" si="34"/>
        <v/>
      </c>
      <c r="Y252" s="109"/>
      <c r="Z252" s="108"/>
      <c r="AA252" s="108"/>
      <c r="AB252" s="108"/>
      <c r="AE252" s="30" t="str">
        <f>IFERROR(INDEX('G-6 Hedgerow Data'!$BJ$3:$BJ$15,MATCH(D252,'G-6 Hedgerow Data'!$B$3:$B$15,0)),"")</f>
        <v/>
      </c>
      <c r="AH252" s="111" t="str">
        <f t="shared" si="27"/>
        <v/>
      </c>
      <c r="AI252" s="111" t="str">
        <f t="shared" si="28"/>
        <v/>
      </c>
      <c r="AK252" s="111">
        <v>243</v>
      </c>
      <c r="AM252" s="111" t="str">
        <f t="array" ref="AM252">IFERROR(INDEX($AK$10:$AK$258, MATCH(0, IF(TRUE=$AH$10:$AH$258, COUNTIF($AM$9:$AM251, $AK$10:$AK$258), ""), 0)),"")</f>
        <v/>
      </c>
      <c r="AN252" s="111" t="str">
        <f t="array" ref="AN252">IFERROR(INDEX($AK$10:$AK$258, MATCH(0, IF(TRUE=$AI$10:$AI$258, COUNTIF($AN$9:$AN251, $AK$10:$AK$258), ""), 0)),"")</f>
        <v/>
      </c>
      <c r="AY252" s="289" t="str">
        <f t="shared" si="35"/>
        <v/>
      </c>
    </row>
    <row r="253" spans="2:51" ht="13.8" x14ac:dyDescent="0.25">
      <c r="B253" s="101">
        <v>244</v>
      </c>
      <c r="C253" s="142"/>
      <c r="D253" s="142"/>
      <c r="E253" s="108"/>
      <c r="F253" s="281" t="str">
        <f>IF(D253="","",VLOOKUP(D253,'G-6 Hedgerow Data'!$B$2:$AG$15,2,FALSE))</f>
        <v/>
      </c>
      <c r="G253" s="282" t="str">
        <f>IF(D253="","",VLOOKUP(D253,'G-6 Hedgerow Data'!$B$2:$AG$15,3,FALSE))</f>
        <v/>
      </c>
      <c r="H253" s="105"/>
      <c r="I253" s="282" t="str">
        <f>IFERROR(IF(AND(D253&lt;&gt;"",H253=""), "Check data ⚠",(IF(H253="","",IF(AND(D253="Non-native and ornamental hedgerow", H253&lt;&gt;"Poor"),"Not possible ▲", (IF(AND(F253="V.Low",OR(H253="Good",H253="Moderate")),"Error ▲",VLOOKUP(H253,'G-1 All Habitats'!$Z$2:$AA$9,2,FALSE))))))),"")</f>
        <v/>
      </c>
      <c r="J253" s="109"/>
      <c r="K253" s="301" t="str">
        <f>IF(AND(J253="",D253&lt;&gt;""),"Check data ⚠",IF(J253="","",IF(VLOOKUP(J253,'G-3 Multipliers'!$L$3:$N$6,2,FALSE)=0,"Spatial Data Missing ⚠",VLOOKUP(J253,'G-3 Multipliers'!$L$3:$N$6,2,FALSE))))</f>
        <v/>
      </c>
      <c r="L253" s="305" t="str">
        <f>IF(J253="","",IF(VLOOKUP(J253,'G-3 Multipliers'!$L$3:$N$6,3,FALSE)=0,"Spatial Data Missing ⚠",VLOOKUP(J253,'G-3 Multipliers'!$L$3:$N$6,3,FALSE)))</f>
        <v/>
      </c>
      <c r="M253" s="342" t="str">
        <f>IF(D253="","",VLOOKUP(D253,'G-6 Hedgerow Data'!$B$1:$AH$15,33,FALSE))</f>
        <v/>
      </c>
      <c r="N253" s="295" t="str">
        <f t="shared" si="29"/>
        <v/>
      </c>
      <c r="O253" s="403"/>
      <c r="P253" s="287" t="str">
        <f>IF(O253="","",IF(VLOOKUP(O253,'G-3 Multipliers'!$S$3:$T$10,2,FALSE)=0,"Spatial Data Missing ⚠",VLOOKUP(O253,'G-3 Multipliers'!$S$3:$T$10,2,FALSE)))</f>
        <v/>
      </c>
      <c r="Q253" s="295" t="str">
        <f t="shared" si="30"/>
        <v/>
      </c>
      <c r="R253" s="32"/>
      <c r="S253" s="105"/>
      <c r="T253" s="112"/>
      <c r="U253" s="289" t="str">
        <f t="shared" si="31"/>
        <v/>
      </c>
      <c r="V253" s="289" t="str">
        <f t="shared" si="32"/>
        <v/>
      </c>
      <c r="W253" s="293" t="str">
        <f t="shared" si="33"/>
        <v/>
      </c>
      <c r="X253" s="297" t="str">
        <f t="shared" si="34"/>
        <v/>
      </c>
      <c r="Y253" s="109"/>
      <c r="Z253" s="108"/>
      <c r="AA253" s="108"/>
      <c r="AB253" s="108"/>
      <c r="AE253" s="30" t="str">
        <f>IFERROR(INDEX('G-6 Hedgerow Data'!$BJ$3:$BJ$15,MATCH(D253,'G-6 Hedgerow Data'!$B$3:$B$15,0)),"")</f>
        <v/>
      </c>
      <c r="AH253" s="111" t="str">
        <f t="shared" si="27"/>
        <v/>
      </c>
      <c r="AI253" s="111" t="str">
        <f t="shared" si="28"/>
        <v/>
      </c>
      <c r="AK253" s="111">
        <v>244</v>
      </c>
      <c r="AM253" s="111" t="str">
        <f t="array" ref="AM253">IFERROR(INDEX($AK$10:$AK$258, MATCH(0, IF(TRUE=$AH$10:$AH$258, COUNTIF($AM$9:$AM252, $AK$10:$AK$258), ""), 0)),"")</f>
        <v/>
      </c>
      <c r="AN253" s="111" t="str">
        <f t="array" ref="AN253">IFERROR(INDEX($AK$10:$AK$258, MATCH(0, IF(TRUE=$AI$10:$AI$258, COUNTIF($AN$9:$AN252, $AK$10:$AK$258), ""), 0)),"")</f>
        <v/>
      </c>
      <c r="AY253" s="289" t="str">
        <f t="shared" si="35"/>
        <v/>
      </c>
    </row>
    <row r="254" spans="2:51" ht="13.8" x14ac:dyDescent="0.25">
      <c r="B254" s="101">
        <v>245</v>
      </c>
      <c r="C254" s="142"/>
      <c r="D254" s="142"/>
      <c r="E254" s="108"/>
      <c r="F254" s="281" t="str">
        <f>IF(D254="","",VLOOKUP(D254,'G-6 Hedgerow Data'!$B$2:$AG$15,2,FALSE))</f>
        <v/>
      </c>
      <c r="G254" s="282" t="str">
        <f>IF(D254="","",VLOOKUP(D254,'G-6 Hedgerow Data'!$B$2:$AG$15,3,FALSE))</f>
        <v/>
      </c>
      <c r="H254" s="105"/>
      <c r="I254" s="282" t="str">
        <f>IFERROR(IF(AND(D254&lt;&gt;"",H254=""), "Check data ⚠",(IF(H254="","",IF(AND(D254="Non-native and ornamental hedgerow", H254&lt;&gt;"Poor"),"Not possible ▲", (IF(AND(F254="V.Low",OR(H254="Good",H254="Moderate")),"Error ▲",VLOOKUP(H254,'G-1 All Habitats'!$Z$2:$AA$9,2,FALSE))))))),"")</f>
        <v/>
      </c>
      <c r="J254" s="109"/>
      <c r="K254" s="301" t="str">
        <f>IF(AND(J254="",D254&lt;&gt;""),"Check data ⚠",IF(J254="","",IF(VLOOKUP(J254,'G-3 Multipliers'!$L$3:$N$6,2,FALSE)=0,"Spatial Data Missing ⚠",VLOOKUP(J254,'G-3 Multipliers'!$L$3:$N$6,2,FALSE))))</f>
        <v/>
      </c>
      <c r="L254" s="305" t="str">
        <f>IF(J254="","",IF(VLOOKUP(J254,'G-3 Multipliers'!$L$3:$N$6,3,FALSE)=0,"Spatial Data Missing ⚠",VLOOKUP(J254,'G-3 Multipliers'!$L$3:$N$6,3,FALSE)))</f>
        <v/>
      </c>
      <c r="M254" s="342" t="str">
        <f>IF(D254="","",VLOOKUP(D254,'G-6 Hedgerow Data'!$B$1:$AH$15,33,FALSE))</f>
        <v/>
      </c>
      <c r="N254" s="295" t="str">
        <f t="shared" si="29"/>
        <v/>
      </c>
      <c r="O254" s="403"/>
      <c r="P254" s="287" t="str">
        <f>IF(O254="","",IF(VLOOKUP(O254,'G-3 Multipliers'!$S$3:$T$10,2,FALSE)=0,"Spatial Data Missing ⚠",VLOOKUP(O254,'G-3 Multipliers'!$S$3:$T$10,2,FALSE)))</f>
        <v/>
      </c>
      <c r="Q254" s="295" t="str">
        <f t="shared" si="30"/>
        <v/>
      </c>
      <c r="R254" s="32"/>
      <c r="S254" s="105"/>
      <c r="T254" s="112"/>
      <c r="U254" s="289" t="str">
        <f t="shared" si="31"/>
        <v/>
      </c>
      <c r="V254" s="289" t="str">
        <f t="shared" si="32"/>
        <v/>
      </c>
      <c r="W254" s="293" t="str">
        <f t="shared" si="33"/>
        <v/>
      </c>
      <c r="X254" s="297" t="str">
        <f t="shared" si="34"/>
        <v/>
      </c>
      <c r="Y254" s="109"/>
      <c r="Z254" s="108"/>
      <c r="AA254" s="108"/>
      <c r="AB254" s="108"/>
      <c r="AE254" s="30" t="str">
        <f>IFERROR(INDEX('G-6 Hedgerow Data'!$BJ$3:$BJ$15,MATCH(D254,'G-6 Hedgerow Data'!$B$3:$B$15,0)),"")</f>
        <v/>
      </c>
      <c r="AH254" s="111" t="str">
        <f t="shared" si="27"/>
        <v/>
      </c>
      <c r="AI254" s="111" t="str">
        <f t="shared" si="28"/>
        <v/>
      </c>
      <c r="AK254" s="111">
        <v>245</v>
      </c>
      <c r="AM254" s="111" t="str">
        <f t="array" ref="AM254">IFERROR(INDEX($AK$10:$AK$258, MATCH(0, IF(TRUE=$AH$10:$AH$258, COUNTIF($AM$9:$AM253, $AK$10:$AK$258), ""), 0)),"")</f>
        <v/>
      </c>
      <c r="AN254" s="111" t="str">
        <f t="array" ref="AN254">IFERROR(INDEX($AK$10:$AK$258, MATCH(0, IF(TRUE=$AI$10:$AI$258, COUNTIF($AN$9:$AN253, $AK$10:$AK$258), ""), 0)),"")</f>
        <v/>
      </c>
      <c r="AY254" s="289" t="str">
        <f t="shared" si="35"/>
        <v/>
      </c>
    </row>
    <row r="255" spans="2:51" ht="13.8" x14ac:dyDescent="0.25">
      <c r="B255" s="101">
        <v>246</v>
      </c>
      <c r="C255" s="142"/>
      <c r="D255" s="142"/>
      <c r="E255" s="108"/>
      <c r="F255" s="281" t="str">
        <f>IF(D255="","",VLOOKUP(D255,'G-6 Hedgerow Data'!$B$2:$AG$15,2,FALSE))</f>
        <v/>
      </c>
      <c r="G255" s="282" t="str">
        <f>IF(D255="","",VLOOKUP(D255,'G-6 Hedgerow Data'!$B$2:$AG$15,3,FALSE))</f>
        <v/>
      </c>
      <c r="H255" s="105"/>
      <c r="I255" s="282" t="str">
        <f>IFERROR(IF(AND(D255&lt;&gt;"",H255=""), "Check data ⚠",(IF(H255="","",IF(AND(D255="Non-native and ornamental hedgerow", H255&lt;&gt;"Poor"),"Not possible ▲", (IF(AND(F255="V.Low",OR(H255="Good",H255="Moderate")),"Error ▲",VLOOKUP(H255,'G-1 All Habitats'!$Z$2:$AA$9,2,FALSE))))))),"")</f>
        <v/>
      </c>
      <c r="J255" s="109"/>
      <c r="K255" s="301" t="str">
        <f>IF(AND(J255="",D255&lt;&gt;""),"Check data ⚠",IF(J255="","",IF(VLOOKUP(J255,'G-3 Multipliers'!$L$3:$N$6,2,FALSE)=0,"Spatial Data Missing ⚠",VLOOKUP(J255,'G-3 Multipliers'!$L$3:$N$6,2,FALSE))))</f>
        <v/>
      </c>
      <c r="L255" s="305" t="str">
        <f>IF(J255="","",IF(VLOOKUP(J255,'G-3 Multipliers'!$L$3:$N$6,3,FALSE)=0,"Spatial Data Missing ⚠",VLOOKUP(J255,'G-3 Multipliers'!$L$3:$N$6,3,FALSE)))</f>
        <v/>
      </c>
      <c r="M255" s="342" t="str">
        <f>IF(D255="","",VLOOKUP(D255,'G-6 Hedgerow Data'!$B$1:$AH$15,33,FALSE))</f>
        <v/>
      </c>
      <c r="N255" s="295" t="str">
        <f t="shared" si="29"/>
        <v/>
      </c>
      <c r="O255" s="403"/>
      <c r="P255" s="287" t="str">
        <f>IF(O255="","",IF(VLOOKUP(O255,'G-3 Multipliers'!$S$3:$T$10,2,FALSE)=0,"Spatial Data Missing ⚠",VLOOKUP(O255,'G-3 Multipliers'!$S$3:$T$10,2,FALSE)))</f>
        <v/>
      </c>
      <c r="Q255" s="295" t="str">
        <f t="shared" si="30"/>
        <v/>
      </c>
      <c r="R255" s="32"/>
      <c r="S255" s="105"/>
      <c r="T255" s="112"/>
      <c r="U255" s="289" t="str">
        <f t="shared" si="31"/>
        <v/>
      </c>
      <c r="V255" s="289" t="str">
        <f t="shared" si="32"/>
        <v/>
      </c>
      <c r="W255" s="293" t="str">
        <f t="shared" si="33"/>
        <v/>
      </c>
      <c r="X255" s="297" t="str">
        <f t="shared" si="34"/>
        <v/>
      </c>
      <c r="Y255" s="109"/>
      <c r="Z255" s="108"/>
      <c r="AA255" s="967"/>
      <c r="AB255" s="108"/>
      <c r="AE255" s="30" t="str">
        <f>IFERROR(INDEX('G-6 Hedgerow Data'!$BJ$3:$BJ$15,MATCH(D255,'G-6 Hedgerow Data'!$B$3:$B$15,0)),"")</f>
        <v/>
      </c>
      <c r="AH255" s="111" t="str">
        <f t="shared" si="27"/>
        <v/>
      </c>
      <c r="AI255" s="111" t="str">
        <f t="shared" si="28"/>
        <v/>
      </c>
      <c r="AK255" s="111">
        <v>246</v>
      </c>
      <c r="AM255" s="111" t="str">
        <f t="array" ref="AM255">IFERROR(INDEX($AK$10:$AK$258, MATCH(0, IF(TRUE=$AH$10:$AH$258, COUNTIF($AM$9:$AM254, $AK$10:$AK$258), ""), 0)),"")</f>
        <v/>
      </c>
      <c r="AN255" s="111" t="str">
        <f t="array" ref="AN255">IFERROR(INDEX($AK$10:$AK$258, MATCH(0, IF(TRUE=$AI$10:$AI$258, COUNTIF($AN$9:$AN254, $AK$10:$AK$258), ""), 0)),"")</f>
        <v/>
      </c>
      <c r="AY255" s="289" t="str">
        <f t="shared" si="35"/>
        <v/>
      </c>
    </row>
    <row r="256" spans="2:51" ht="13.8" x14ac:dyDescent="0.25">
      <c r="B256" s="101">
        <v>247</v>
      </c>
      <c r="C256" s="142"/>
      <c r="D256" s="142"/>
      <c r="E256" s="108"/>
      <c r="F256" s="281" t="str">
        <f>IF(D256="","",VLOOKUP(D256,'G-6 Hedgerow Data'!$B$2:$AG$15,2,FALSE))</f>
        <v/>
      </c>
      <c r="G256" s="282" t="str">
        <f>IF(D256="","",VLOOKUP(D256,'G-6 Hedgerow Data'!$B$2:$AG$15,3,FALSE))</f>
        <v/>
      </c>
      <c r="H256" s="105"/>
      <c r="I256" s="282" t="str">
        <f>IFERROR(IF(AND(D256&lt;&gt;"",H256=""), "Check data ⚠",(IF(H256="","",IF(AND(D256="Non-native and ornamental hedgerow", H256&lt;&gt;"Poor"),"Not possible ▲", (IF(AND(F256="V.Low",OR(H256="Good",H256="Moderate")),"Error ▲",VLOOKUP(H256,'G-1 All Habitats'!$Z$2:$AA$9,2,FALSE))))))),"")</f>
        <v/>
      </c>
      <c r="J256" s="109"/>
      <c r="K256" s="301" t="str">
        <f>IF(AND(J256="",D256&lt;&gt;""),"Check data ⚠",IF(J256="","",IF(VLOOKUP(J256,'G-3 Multipliers'!$L$3:$N$6,2,FALSE)=0,"Spatial Data Missing ⚠",VLOOKUP(J256,'G-3 Multipliers'!$L$3:$N$6,2,FALSE))))</f>
        <v/>
      </c>
      <c r="L256" s="305" t="str">
        <f>IF(J256="","",IF(VLOOKUP(J256,'G-3 Multipliers'!$L$3:$N$6,3,FALSE)=0,"Spatial Data Missing ⚠",VLOOKUP(J256,'G-3 Multipliers'!$L$3:$N$6,3,FALSE)))</f>
        <v/>
      </c>
      <c r="M256" s="342" t="str">
        <f>IF(D256="","",VLOOKUP(D256,'G-6 Hedgerow Data'!$B$1:$AH$15,33,FALSE))</f>
        <v/>
      </c>
      <c r="N256" s="295" t="str">
        <f t="shared" si="29"/>
        <v/>
      </c>
      <c r="O256" s="403"/>
      <c r="P256" s="287" t="str">
        <f>IF(O256="","",IF(VLOOKUP(O256,'G-3 Multipliers'!$S$3:$T$10,2,FALSE)=0,"Spatial Data Missing ⚠",VLOOKUP(O256,'G-3 Multipliers'!$S$3:$T$10,2,FALSE)))</f>
        <v/>
      </c>
      <c r="Q256" s="295" t="str">
        <f t="shared" si="30"/>
        <v/>
      </c>
      <c r="R256" s="32"/>
      <c r="S256" s="105"/>
      <c r="T256" s="112"/>
      <c r="U256" s="289" t="str">
        <f t="shared" si="31"/>
        <v/>
      </c>
      <c r="V256" s="289" t="str">
        <f t="shared" si="32"/>
        <v/>
      </c>
      <c r="W256" s="293" t="str">
        <f t="shared" si="33"/>
        <v/>
      </c>
      <c r="X256" s="297" t="str">
        <f t="shared" si="34"/>
        <v/>
      </c>
      <c r="Y256" s="109"/>
      <c r="Z256" s="108"/>
      <c r="AA256" s="119"/>
      <c r="AB256" s="119"/>
      <c r="AE256" s="30" t="str">
        <f>IFERROR(INDEX('G-6 Hedgerow Data'!$BJ$3:$BJ$15,MATCH(D256,'G-6 Hedgerow Data'!$B$3:$B$15,0)),"")</f>
        <v/>
      </c>
      <c r="AH256" s="111" t="str">
        <f t="shared" si="27"/>
        <v/>
      </c>
      <c r="AI256" s="111" t="str">
        <f t="shared" si="28"/>
        <v/>
      </c>
      <c r="AK256" s="111">
        <v>247</v>
      </c>
      <c r="AM256" s="111" t="str">
        <f t="array" ref="AM256">IFERROR(INDEX($AK$10:$AK$258, MATCH(0, IF(TRUE=$AH$10:$AH$258, COUNTIF($AM$9:$AM255, $AK$10:$AK$258), ""), 0)),"")</f>
        <v/>
      </c>
      <c r="AN256" s="111" t="str">
        <f t="array" ref="AN256">IFERROR(INDEX($AK$10:$AK$258, MATCH(0, IF(TRUE=$AI$10:$AI$258, COUNTIF($AN$9:$AN255, $AK$10:$AK$258), ""), 0)),"")</f>
        <v/>
      </c>
      <c r="AY256" s="289" t="str">
        <f t="shared" si="35"/>
        <v/>
      </c>
    </row>
    <row r="257" spans="2:51" ht="14.4" thickBot="1" x14ac:dyDescent="0.3">
      <c r="B257" s="113">
        <v>248</v>
      </c>
      <c r="C257" s="145"/>
      <c r="D257" s="145"/>
      <c r="E257" s="114"/>
      <c r="F257" s="565" t="str">
        <f>IF(D257="","",VLOOKUP(D257,'G-6 Hedgerow Data'!$B$2:$AG$15,2,FALSE))</f>
        <v/>
      </c>
      <c r="G257" s="566" t="str">
        <f>IF(D257="","",VLOOKUP(D257,'G-6 Hedgerow Data'!$B$2:$AG$15,3,FALSE))</f>
        <v/>
      </c>
      <c r="H257" s="635"/>
      <c r="I257" s="566" t="str">
        <f>IFERROR(IF(AND(D257&lt;&gt;"",H257=""), "Check data ⚠",(IF(H257="","",IF(AND(D257="Non-native and ornamental hedgerow", H257&lt;&gt;"Poor"),"Not possible ▲", (IF(AND(F257="V.Low",OR(H257="Good",H257="Moderate")),"Error ▲",VLOOKUP(H257,'G-1 All Habitats'!$Z$2:$AA$9,2,FALSE))))))),"")</f>
        <v/>
      </c>
      <c r="J257" s="115"/>
      <c r="K257" s="290" t="str">
        <f>IF(AND(J257="",D257&lt;&gt;""),"Check data ⚠",IF(J257="","",IF(VLOOKUP(J257,'G-3 Multipliers'!$L$3:$N$6,2,FALSE)=0,"Spatial Data Missing ⚠",VLOOKUP(J257,'G-3 Multipliers'!$L$3:$N$6,2,FALSE))))</f>
        <v/>
      </c>
      <c r="L257" s="284" t="str">
        <f>IF(J257="","",IF(VLOOKUP(J257,'G-3 Multipliers'!$L$3:$N$6,3,FALSE)=0,"Spatial Data Missing ⚠",VLOOKUP(J257,'G-3 Multipliers'!$L$3:$N$6,3,FALSE)))</f>
        <v/>
      </c>
      <c r="M257" s="445" t="str">
        <f>IF(D257="","",VLOOKUP(D257,'G-6 Hedgerow Data'!$B$1:$AH$15,33,FALSE))</f>
        <v/>
      </c>
      <c r="N257" s="273" t="str">
        <f t="shared" si="29"/>
        <v/>
      </c>
      <c r="O257" s="444"/>
      <c r="P257" s="587" t="str">
        <f>IF(O257="","",IF(VLOOKUP(O257,'G-3 Multipliers'!$S$3:$T$10,2,FALSE)=0,"Spatial Data Missing ⚠",VLOOKUP(O257,'G-3 Multipliers'!$S$3:$T$10,2,FALSE)))</f>
        <v/>
      </c>
      <c r="Q257" s="273" t="str">
        <f t="shared" si="30"/>
        <v/>
      </c>
      <c r="R257" s="32"/>
      <c r="S257" s="248"/>
      <c r="T257" s="249"/>
      <c r="U257" s="374" t="str">
        <f t="shared" si="31"/>
        <v/>
      </c>
      <c r="V257" s="374" t="str">
        <f t="shared" si="32"/>
        <v/>
      </c>
      <c r="W257" s="293" t="str">
        <f t="shared" si="33"/>
        <v/>
      </c>
      <c r="X257" s="297" t="str">
        <f t="shared" si="34"/>
        <v/>
      </c>
      <c r="Y257" s="115"/>
      <c r="Z257" s="114"/>
      <c r="AA257" s="959"/>
      <c r="AB257" s="114"/>
      <c r="AE257" s="30" t="str">
        <f>IFERROR(INDEX('G-6 Hedgerow Data'!$BJ$3:$BJ$15,MATCH(D257,'G-6 Hedgerow Data'!$B$3:$B$15,0)),"")</f>
        <v/>
      </c>
      <c r="AH257" s="111" t="str">
        <f t="shared" si="27"/>
        <v/>
      </c>
      <c r="AI257" s="111" t="str">
        <f t="shared" si="28"/>
        <v/>
      </c>
      <c r="AK257" s="111">
        <v>248</v>
      </c>
      <c r="AM257" s="111" t="str">
        <f t="array" ref="AM257">IFERROR(INDEX($AK$10:$AK$258, MATCH(0, IF(TRUE=$AH$10:$AH$258, COUNTIF($AM$9:$AM256, $AK$10:$AK$258), ""), 0)),"")</f>
        <v/>
      </c>
      <c r="AN257" s="111" t="str">
        <f t="array" ref="AN257">IFERROR(INDEX($AK$10:$AK$258, MATCH(0, IF(TRUE=$AI$10:$AI$258, COUNTIF($AN$9:$AN256, $AK$10:$AK$258), ""), 0)),"")</f>
        <v/>
      </c>
      <c r="AY257" s="289" t="str">
        <f t="shared" si="35"/>
        <v/>
      </c>
    </row>
    <row r="258" spans="2:51" ht="14.4" thickBot="1" x14ac:dyDescent="0.3">
      <c r="D258" s="622"/>
      <c r="E258" s="330">
        <f>SUM(E10:E257)</f>
        <v>0</v>
      </c>
      <c r="M258" s="98"/>
      <c r="N258" s="634">
        <f>SUM(N10:N257)</f>
        <v>0</v>
      </c>
      <c r="O258" s="59"/>
      <c r="P258" s="421"/>
      <c r="Q258" s="332">
        <f>SUM(Q10:Q257)</f>
        <v>0</v>
      </c>
      <c r="R258" s="117"/>
      <c r="S258" s="298">
        <f t="shared" ref="S258:X258" si="36">SUM(S10:S257)</f>
        <v>0</v>
      </c>
      <c r="T258" s="299">
        <f t="shared" si="36"/>
        <v>0</v>
      </c>
      <c r="U258" s="299" cm="1">
        <f t="array" ref="U258">IF(OR(W10:W257="Error in Lengths ▲",U10:U257="Error"),"Error ▲",SUM(U10:U257))</f>
        <v>0</v>
      </c>
      <c r="V258" s="299" cm="1">
        <f t="array" ref="V258">IF(OR(W10:W257="Error in Lengths ▲",V10:V257="Error"),"Error ▲",SUM(V10:V257))</f>
        <v>0</v>
      </c>
      <c r="W258" s="299">
        <f t="shared" si="36"/>
        <v>0</v>
      </c>
      <c r="X258" s="296">
        <f t="shared" si="36"/>
        <v>0</v>
      </c>
      <c r="AY258" s="299" cm="1">
        <f t="array" ref="AY258">IF(OR(W10:W257="Error in Lengths ▲",U10:U257="Error"),"Error ▲",SUM(AY10:AY257))</f>
        <v>0</v>
      </c>
    </row>
    <row r="259" spans="2:51" ht="13.8" x14ac:dyDescent="0.25">
      <c r="R259" s="117"/>
      <c r="S259" s="117"/>
      <c r="T259" s="117"/>
      <c r="U259" s="117"/>
      <c r="V259" s="117"/>
      <c r="W259" s="117"/>
      <c r="X259" s="117"/>
      <c r="AY259" s="117"/>
    </row>
    <row r="260" spans="2:51" ht="13.8" x14ac:dyDescent="0.25">
      <c r="B260" s="93"/>
      <c r="C260" s="93"/>
    </row>
    <row r="261" spans="2:51" ht="13.8" x14ac:dyDescent="0.25">
      <c r="B261" s="93"/>
      <c r="C261" s="93"/>
    </row>
    <row r="262" spans="2:51" ht="13.8" x14ac:dyDescent="0.25">
      <c r="B262" s="93"/>
      <c r="C262" s="93"/>
    </row>
    <row r="263" spans="2:51" ht="13.8" x14ac:dyDescent="0.25">
      <c r="B263" s="93"/>
      <c r="C263" s="93"/>
    </row>
    <row r="264" spans="2:51" ht="13.8" x14ac:dyDescent="0.25">
      <c r="B264" s="93"/>
      <c r="C264" s="93"/>
    </row>
    <row r="265" spans="2:51" ht="13.8" x14ac:dyDescent="0.25">
      <c r="B265" s="93"/>
      <c r="C265" s="93"/>
    </row>
    <row r="266" spans="2:51" ht="13.8" x14ac:dyDescent="0.25">
      <c r="B266" s="93"/>
      <c r="C266" s="93"/>
    </row>
    <row r="267" spans="2:51" ht="13.8" hidden="1" x14ac:dyDescent="0.25">
      <c r="B267" s="93"/>
      <c r="C267" s="93"/>
    </row>
    <row r="268" spans="2:51" ht="13.8" hidden="1" x14ac:dyDescent="0.25">
      <c r="B268" s="93"/>
      <c r="C268" s="93"/>
    </row>
    <row r="269" spans="2:51" ht="13.8" hidden="1" x14ac:dyDescent="0.25">
      <c r="B269" s="93"/>
      <c r="C269" s="93"/>
    </row>
    <row r="270" spans="2:51" ht="13.8" hidden="1" x14ac:dyDescent="0.25">
      <c r="B270" s="93"/>
      <c r="C270" s="93"/>
    </row>
    <row r="271" spans="2:51" ht="13.8" hidden="1" x14ac:dyDescent="0.25">
      <c r="B271" s="93"/>
      <c r="C271" s="93"/>
    </row>
    <row r="272" spans="2:51" ht="13.8" hidden="1" x14ac:dyDescent="0.25">
      <c r="B272" s="93"/>
      <c r="C272" s="93"/>
    </row>
  </sheetData>
  <sheetProtection algorithmName="SHA-512" hashValue="Stnxw5p2PuYpAM4cVNiZ7omIhtiJD5Pwn2HnYQhlM9ZseDjKKzOVOCjt2/8SLfw5KRc6DEne2KnDowwwtAwu/A==" saltValue="cA1YLw+e14evwH/Jvv3TW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B2:D2"/>
    <mergeCell ref="F2:J2"/>
    <mergeCell ref="C8:E8"/>
    <mergeCell ref="F8:G8"/>
    <mergeCell ref="H8:I8"/>
    <mergeCell ref="B3:D4"/>
    <mergeCell ref="J8:L8"/>
    <mergeCell ref="F3:H3"/>
    <mergeCell ref="F4:H4"/>
    <mergeCell ref="I3:J3"/>
    <mergeCell ref="I4:J4"/>
    <mergeCell ref="F5:H5"/>
    <mergeCell ref="I5:J5"/>
    <mergeCell ref="Y8:AB8"/>
    <mergeCell ref="O8:P8"/>
    <mergeCell ref="S8:X8"/>
    <mergeCell ref="M8:M9"/>
  </mergeCells>
  <conditionalFormatting sqref="I10:I257">
    <cfRule type="containsText" dxfId="573" priority="51" operator="containsText" text="Error">
      <formula>NOT(ISERROR(SEARCH("Error",I10)))</formula>
    </cfRule>
  </conditionalFormatting>
  <conditionalFormatting sqref="J9:L9 J36:L257 K10:L35">
    <cfRule type="containsText" dxfId="572" priority="50" operator="containsText" text="Spatial">
      <formula>NOT(ISERROR(SEARCH("Spatial",J9)))</formula>
    </cfRule>
  </conditionalFormatting>
  <conditionalFormatting sqref="M10:M257">
    <cfRule type="cellIs" dxfId="571" priority="47" operator="equal">
      <formula>"Like for like or better"</formula>
    </cfRule>
    <cfRule type="cellIs" dxfId="570" priority="48" operator="equal">
      <formula>"Like for like"</formula>
    </cfRule>
    <cfRule type="containsText" dxfId="569" priority="49" operator="containsText" text="Same distinctiveness">
      <formula>NOT(ISERROR(SEARCH("Same distinctiveness",M10)))</formula>
    </cfRule>
  </conditionalFormatting>
  <conditionalFormatting sqref="W10:X257">
    <cfRule type="containsText" dxfId="568" priority="46" operator="containsText" text="Error">
      <formula>NOT(ISERROR(SEARCH("Error",W10)))</formula>
    </cfRule>
  </conditionalFormatting>
  <conditionalFormatting sqref="I3">
    <cfRule type="containsText" dxfId="567" priority="44" operator="containsText" text="Error">
      <formula>NOT(ISERROR(SEARCH("Error",I3)))</formula>
    </cfRule>
    <cfRule type="containsText" dxfId="566" priority="45" operator="containsText" text="Check">
      <formula>NOT(ISERROR(SEARCH("Check",I3)))</formula>
    </cfRule>
  </conditionalFormatting>
  <conditionalFormatting sqref="I4">
    <cfRule type="containsText" dxfId="565" priority="3" operator="containsText" text="Error">
      <formula>NOT(ISERROR(SEARCH("Error",I4)))</formula>
    </cfRule>
    <cfRule type="containsText" dxfId="564" priority="14" operator="containsText" text="Check">
      <formula>NOT(ISERROR(SEARCH("Check",I4)))</formula>
    </cfRule>
  </conditionalFormatting>
  <conditionalFormatting sqref="I5">
    <cfRule type="containsText" dxfId="563" priority="38" operator="containsText" text="No">
      <formula>NOT(ISERROR(SEARCH("No",I5)))</formula>
    </cfRule>
    <cfRule type="containsText" dxfId="562" priority="39" operator="containsText" text="Yes">
      <formula>NOT(ISERROR(SEARCH("Yes",I5)))</formula>
    </cfRule>
  </conditionalFormatting>
  <conditionalFormatting sqref="O10:O257">
    <cfRule type="containsText" dxfId="561" priority="36" operator="containsText" text="Existing Value Not Required">
      <formula>NOT(ISERROR(SEARCH("Existing Value Not Required",O10)))</formula>
    </cfRule>
    <cfRule type="containsText" dxfId="560" priority="37" operator="containsText" text="Existing Value Required">
      <formula>NOT(ISERROR(SEARCH("Existing Value Required",O10)))</formula>
    </cfRule>
  </conditionalFormatting>
  <conditionalFormatting sqref="O10:P10 P11:P255 O11:O257">
    <cfRule type="containsText" dxfId="559" priority="32" operator="containsText" text="Check">
      <formula>NOT(ISERROR(SEARCH("Check",O10)))</formula>
    </cfRule>
    <cfRule type="containsText" dxfId="558" priority="33" operator="containsText" text="Error">
      <formula>NOT(ISERROR(SEARCH("Error",O10)))</formula>
    </cfRule>
  </conditionalFormatting>
  <conditionalFormatting sqref="P10:P255">
    <cfRule type="containsText" dxfId="557" priority="31" operator="containsText" text="Spatial">
      <formula>NOT(ISERROR(SEARCH("Spatial",P10)))</formula>
    </cfRule>
  </conditionalFormatting>
  <conditionalFormatting sqref="P256">
    <cfRule type="containsText" dxfId="556" priority="21" operator="containsText" text="Check">
      <formula>NOT(ISERROR(SEARCH("Check",P256)))</formula>
    </cfRule>
    <cfRule type="containsText" dxfId="555" priority="22" operator="containsText" text="Error">
      <formula>NOT(ISERROR(SEARCH("Error",P256)))</formula>
    </cfRule>
  </conditionalFormatting>
  <conditionalFormatting sqref="P256">
    <cfRule type="containsText" dxfId="554" priority="20" operator="containsText" text="Spatial">
      <formula>NOT(ISERROR(SEARCH("Spatial",P256)))</formula>
    </cfRule>
  </conditionalFormatting>
  <conditionalFormatting sqref="P257">
    <cfRule type="containsText" dxfId="553" priority="18" operator="containsText" text="Check">
      <formula>NOT(ISERROR(SEARCH("Check",P257)))</formula>
    </cfRule>
    <cfRule type="containsText" dxfId="552" priority="19" operator="containsText" text="Error">
      <formula>NOT(ISERROR(SEARCH("Error",P257)))</formula>
    </cfRule>
  </conditionalFormatting>
  <conditionalFormatting sqref="P257">
    <cfRule type="containsText" dxfId="551" priority="17" operator="containsText" text="Spatial">
      <formula>NOT(ISERROR(SEARCH("Spatial",P257)))</formula>
    </cfRule>
  </conditionalFormatting>
  <conditionalFormatting sqref="I10:I257">
    <cfRule type="containsText" dxfId="550" priority="16" operator="containsText" text="Not possible">
      <formula>NOT(ISERROR(SEARCH("Not possible",I10)))</formula>
    </cfRule>
  </conditionalFormatting>
  <conditionalFormatting sqref="U258:V258">
    <cfRule type="containsText" dxfId="549" priority="15" operator="containsText" text="Error">
      <formula>NOT(ISERROR(SEARCH("Error",U258)))</formula>
    </cfRule>
  </conditionalFormatting>
  <conditionalFormatting sqref="I4:J4">
    <cfRule type="cellIs" dxfId="548" priority="13" operator="equal">
      <formula>0</formula>
    </cfRule>
    <cfRule type="cellIs" dxfId="547" priority="449" operator="lessThan">
      <formula>0</formula>
    </cfRule>
  </conditionalFormatting>
  <conditionalFormatting sqref="AY258">
    <cfRule type="containsText" dxfId="546" priority="10" operator="containsText" text="Error">
      <formula>NOT(ISERROR(SEARCH("Error",AY258)))</formula>
    </cfRule>
  </conditionalFormatting>
  <conditionalFormatting sqref="I3:J5">
    <cfRule type="containsText" dxfId="545" priority="12" operator="containsText" text="N/A">
      <formula>NOT(ISERROR(SEARCH("N/A",I3)))</formula>
    </cfRule>
  </conditionalFormatting>
  <conditionalFormatting sqref="I1:I1048576">
    <cfRule type="containsText" dxfId="544" priority="11" operator="containsText" text="⚠">
      <formula>NOT(ISERROR(SEARCH("⚠",I1)))</formula>
    </cfRule>
  </conditionalFormatting>
  <conditionalFormatting sqref="K1:K1048576">
    <cfRule type="containsText" dxfId="543" priority="7" operator="containsText" text="⚠">
      <formula>NOT(ISERROR(SEARCH("⚠",K1)))</formula>
    </cfRule>
  </conditionalFormatting>
  <conditionalFormatting sqref="Q1:Q1048576">
    <cfRule type="containsText" dxfId="542" priority="2" operator="containsText" text="▲">
      <formula>NOT(ISERROR(SEARCH("▲",Q1)))</formula>
    </cfRule>
    <cfRule type="containsText" dxfId="541" priority="6" operator="containsText" text="⚠">
      <formula>NOT(ISERROR(SEARCH("⚠",Q1)))</formula>
    </cfRule>
  </conditionalFormatting>
  <conditionalFormatting sqref="X1:X1048576">
    <cfRule type="containsText" dxfId="540" priority="5" operator="containsText" text="⚠">
      <formula>NOT(ISERROR(SEARCH("⚠",X1)))</formula>
    </cfRule>
  </conditionalFormatting>
  <conditionalFormatting sqref="N1:N1048576">
    <cfRule type="containsText" dxfId="539" priority="4" operator="containsText" text="⚠">
      <formula>NOT(ISERROR(SEARCH("⚠",N1)))</formula>
    </cfRule>
  </conditionalFormatting>
  <conditionalFormatting sqref="AB10:AB257">
    <cfRule type="expression" dxfId="538" priority="1">
      <formula>$Q10="Off-site reference required ▲"</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8" id="{96CDC7E6-A1D4-4031-B828-8E8F23D29119}">
            <xm:f>'Headline Results'!$H$9:$I$9=0</xm:f>
            <x14:dxf>
              <font>
                <color auto="1"/>
              </font>
              <fill>
                <patternFill>
                  <bgColor rgb="FFE0DCD3"/>
                </patternFill>
              </fill>
            </x14:dxf>
          </x14:cfRule>
          <xm:sqref>I4:J4</xm:sqref>
        </x14:conditionalFormatting>
        <x14:conditionalFormatting xmlns:xm="http://schemas.microsoft.com/office/excel/2006/main">
          <x14:cfRule type="cellIs" priority="9" operator="lessThan" id="{800F3E3C-3EA1-44B0-B5B6-6ED146EB03B0}">
            <xm:f>Start!$F$22</xm:f>
            <x14:dxf>
              <font>
                <color rgb="FF383745"/>
              </font>
              <fill>
                <patternFill>
                  <bgColor rgb="FFFFC000"/>
                </patternFill>
              </fill>
            </x14:dxf>
          </x14:cfRule>
          <x14:cfRule type="cellIs" priority="450"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B1:AH264"/>
  <sheetViews>
    <sheetView zoomScale="80" zoomScaleNormal="80" workbookViewId="0">
      <pane ySplit="11" topLeftCell="A12" activePane="bottomLeft" state="frozen"/>
      <selection pane="bottomLeft"/>
    </sheetView>
  </sheetViews>
  <sheetFormatPr defaultColWidth="23.6640625" defaultRowHeight="42" customHeight="1" zeroHeight="1" x14ac:dyDescent="0.25"/>
  <cols>
    <col min="1" max="1" width="2.6640625" style="30" customWidth="1"/>
    <col min="2" max="2" width="11.33203125" style="30" customWidth="1"/>
    <col min="3" max="3" width="12.44140625" style="30" customWidth="1"/>
    <col min="4" max="4" width="60.6640625" style="30" customWidth="1"/>
    <col min="5" max="5" width="10.33203125" style="30" customWidth="1"/>
    <col min="6" max="6" width="19.33203125" style="30" customWidth="1"/>
    <col min="7" max="7" width="11.6640625" style="30" customWidth="1"/>
    <col min="8" max="8" width="11.5546875" style="30" customWidth="1"/>
    <col min="9" max="9" width="12.5546875" style="30" customWidth="1"/>
    <col min="10" max="10" width="41.6640625" style="30" customWidth="1"/>
    <col min="11" max="11" width="21.33203125" style="30" customWidth="1"/>
    <col min="12" max="12" width="15.44140625" style="30" customWidth="1"/>
    <col min="13" max="13" width="73.44140625" style="30" customWidth="1"/>
    <col min="14" max="14" width="8.33203125" style="30" hidden="1" customWidth="1"/>
    <col min="15" max="17" width="17.6640625" style="30" customWidth="1"/>
    <col min="18" max="18" width="35.5546875" style="30" customWidth="1"/>
    <col min="19" max="19" width="17.6640625" style="30" customWidth="1"/>
    <col min="20" max="20" width="15.33203125" style="30" customWidth="1"/>
    <col min="21" max="21" width="15.5546875" style="30" customWidth="1"/>
    <col min="22" max="22" width="25.33203125" style="30" customWidth="1"/>
    <col min="23" max="23" width="10.6640625" style="30" customWidth="1"/>
    <col min="24" max="24" width="12.5546875" style="30" customWidth="1"/>
    <col min="25" max="25" width="8.33203125" style="30" hidden="1" customWidth="1"/>
    <col min="26" max="26" width="12.6640625" style="30" customWidth="1"/>
    <col min="27" max="28" width="42.5546875" style="30" customWidth="1"/>
    <col min="29" max="29" width="14.6640625" style="30" customWidth="1"/>
    <col min="30" max="31" width="14" style="30" customWidth="1"/>
    <col min="32" max="32" width="23.6640625" style="30" customWidth="1"/>
    <col min="33" max="33" width="23.6640625" style="30" hidden="1" customWidth="1"/>
    <col min="34" max="16381" width="0" style="30" hidden="1" customWidth="1"/>
    <col min="16382" max="16384" width="23.6640625" style="30"/>
  </cols>
  <sheetData>
    <row r="1" spans="2:34" ht="15.75" customHeight="1" thickBot="1" x14ac:dyDescent="0.3"/>
    <row r="2" spans="2:34" ht="19.5" customHeight="1" thickBot="1" x14ac:dyDescent="0.35">
      <c r="B2" s="1740" t="str">
        <f>CONCATENATE("Project Name:", " ", Start!F12, "     ", "Map Reference:", " ", Start!K66)</f>
        <v xml:space="preserve">Project Name: Chickenhall Lane     Map Reference: </v>
      </c>
      <c r="C2" s="1741"/>
      <c r="D2" s="1741"/>
      <c r="E2" s="1742"/>
      <c r="I2" s="245"/>
      <c r="J2" s="1591" t="s">
        <v>502</v>
      </c>
      <c r="K2" s="1592"/>
      <c r="L2" s="1592"/>
      <c r="M2" s="1593"/>
      <c r="O2" s="1653" t="str">
        <f>IF(OR(COUNTIF($O$12:O259,"*30+*")&gt;0,COUNTIF($S$12:S259,"*30+*")&gt;0),"Note; Habitat selected has a time to target condition greater than 30 years. Non standard agreement may be required. ⚠","")</f>
        <v/>
      </c>
      <c r="P2" s="1653"/>
      <c r="Q2" s="1653"/>
      <c r="R2" s="1653"/>
      <c r="S2" s="1653"/>
      <c r="T2" s="1653"/>
    </row>
    <row r="3" spans="2:34" ht="15.75" customHeight="1" thickBot="1" x14ac:dyDescent="0.3">
      <c r="B3" s="1357" t="str">
        <f ca="1">MID(CELL("filename",A1),FIND("]",CELL("filename",A1))+1,256)</f>
        <v>E-2 Off-Site Hedge Creation</v>
      </c>
      <c r="C3" s="1358"/>
      <c r="D3" s="1358"/>
      <c r="E3" s="1359"/>
      <c r="I3" s="398"/>
      <c r="J3" s="1659" t="s">
        <v>389</v>
      </c>
      <c r="K3" s="1660"/>
      <c r="L3" s="1660"/>
      <c r="M3" s="400">
        <f ca="1">'Headline Results'!H48</f>
        <v>0.28841467762499995</v>
      </c>
      <c r="O3" s="1653"/>
      <c r="P3" s="1653"/>
      <c r="Q3" s="1653"/>
      <c r="R3" s="1653"/>
      <c r="S3" s="1653"/>
      <c r="T3" s="1653"/>
    </row>
    <row r="4" spans="2:34" ht="15.75" customHeight="1" thickBot="1" x14ac:dyDescent="0.3">
      <c r="B4" s="1357"/>
      <c r="C4" s="1358"/>
      <c r="D4" s="1358"/>
      <c r="E4" s="1359"/>
      <c r="I4" s="398"/>
      <c r="J4" s="1752" t="s">
        <v>391</v>
      </c>
      <c r="K4" s="1753"/>
      <c r="L4" s="1753"/>
      <c r="M4" s="401">
        <f ca="1">'Headline Results'!H52</f>
        <v>1.2378312344420599</v>
      </c>
      <c r="O4" s="1653"/>
      <c r="P4" s="1653"/>
      <c r="Q4" s="1653"/>
      <c r="R4" s="1653"/>
      <c r="S4" s="1653"/>
      <c r="T4" s="1653"/>
    </row>
    <row r="5" spans="2:34" ht="15.75" customHeight="1" thickBot="1" x14ac:dyDescent="0.3">
      <c r="J5" s="1754" t="s">
        <v>393</v>
      </c>
      <c r="K5" s="1729"/>
      <c r="L5" s="1729"/>
      <c r="M5" s="393" t="str" cm="1">
        <f t="array" aca="1" ref="M5" ca="1">IF(OR('Trading Summary Hedgerows'!F5:H9="No ▲"), "No - check trading summary ▲", "Yes ✓")</f>
        <v>Yes ✓</v>
      </c>
      <c r="N5" s="398"/>
      <c r="O5" s="1653"/>
      <c r="P5" s="1653"/>
      <c r="Q5" s="1653"/>
      <c r="R5" s="1653"/>
      <c r="S5" s="1653"/>
      <c r="T5" s="1653"/>
    </row>
    <row r="6" spans="2:34" ht="15.75" customHeight="1" x14ac:dyDescent="0.25">
      <c r="O6" s="247"/>
      <c r="P6" s="247"/>
      <c r="Q6" s="247"/>
      <c r="R6" s="247"/>
      <c r="S6" s="247"/>
    </row>
    <row r="7" spans="2:34" ht="15.75" customHeight="1" x14ac:dyDescent="0.25">
      <c r="B7" s="93"/>
      <c r="C7" s="93"/>
    </row>
    <row r="8" spans="2:34" ht="13.8" x14ac:dyDescent="0.25">
      <c r="J8" s="92"/>
      <c r="K8" s="92"/>
      <c r="L8" s="92"/>
      <c r="M8" s="92"/>
      <c r="N8" s="92"/>
      <c r="O8" s="92"/>
      <c r="P8" s="92"/>
      <c r="Q8" s="92"/>
      <c r="R8" s="92"/>
      <c r="S8" s="92"/>
      <c r="T8" s="92"/>
      <c r="V8" s="92"/>
      <c r="W8" s="92"/>
      <c r="X8" s="92"/>
    </row>
    <row r="9" spans="2:34" ht="15.75" customHeight="1" thickBot="1" x14ac:dyDescent="0.3">
      <c r="J9" s="92"/>
      <c r="K9" s="92"/>
      <c r="L9" s="92"/>
      <c r="M9" s="98"/>
      <c r="N9" s="98"/>
      <c r="O9" s="141"/>
      <c r="P9" s="141"/>
      <c r="Q9" s="141"/>
      <c r="R9" s="141"/>
      <c r="S9" s="141"/>
      <c r="T9" s="141"/>
      <c r="U9" s="141"/>
      <c r="V9" s="141"/>
      <c r="W9" s="141"/>
      <c r="X9" s="141"/>
    </row>
    <row r="10" spans="2:34" s="33" customFormat="1" ht="40.200000000000003" customHeight="1" thickBot="1" x14ac:dyDescent="0.3">
      <c r="B10" s="32"/>
      <c r="C10" s="32"/>
      <c r="D10" s="1711" t="s">
        <v>512</v>
      </c>
      <c r="E10" s="1425"/>
      <c r="F10" s="1732" t="s">
        <v>395</v>
      </c>
      <c r="G10" s="1738"/>
      <c r="H10" s="1738" t="s">
        <v>482</v>
      </c>
      <c r="I10" s="1749"/>
      <c r="J10" s="1711" t="s">
        <v>397</v>
      </c>
      <c r="K10" s="1432"/>
      <c r="L10" s="1425"/>
      <c r="M10" s="1732" t="s">
        <v>483</v>
      </c>
      <c r="N10" s="1738"/>
      <c r="O10" s="1738" t="s">
        <v>440</v>
      </c>
      <c r="P10" s="1738"/>
      <c r="Q10" s="1738"/>
      <c r="R10" s="1738"/>
      <c r="S10" s="1738"/>
      <c r="T10" s="1738"/>
      <c r="U10" s="1738" t="s">
        <v>462</v>
      </c>
      <c r="V10" s="1738"/>
      <c r="W10" s="1738"/>
      <c r="X10" s="1749"/>
      <c r="Y10" s="1688" t="s">
        <v>524</v>
      </c>
      <c r="Z10" s="1688" t="s">
        <v>513</v>
      </c>
      <c r="AA10" s="1689" t="s">
        <v>401</v>
      </c>
      <c r="AB10" s="1690"/>
      <c r="AC10" s="1690"/>
      <c r="AD10" s="1690"/>
      <c r="AE10" s="1691"/>
    </row>
    <row r="11" spans="2:34" ht="55.8" thickBot="1" x14ac:dyDescent="0.3">
      <c r="B11" s="522" t="s">
        <v>406</v>
      </c>
      <c r="C11" s="522" t="s">
        <v>514</v>
      </c>
      <c r="D11" s="120" t="s">
        <v>367</v>
      </c>
      <c r="E11" s="124" t="s">
        <v>505</v>
      </c>
      <c r="F11" s="120" t="s">
        <v>395</v>
      </c>
      <c r="G11" s="124" t="s">
        <v>411</v>
      </c>
      <c r="H11" s="992" t="s">
        <v>396</v>
      </c>
      <c r="I11" s="124" t="s">
        <v>411</v>
      </c>
      <c r="J11" s="120" t="s">
        <v>397</v>
      </c>
      <c r="K11" s="125" t="s">
        <v>397</v>
      </c>
      <c r="L11" s="124" t="s">
        <v>412</v>
      </c>
      <c r="M11" s="120" t="s">
        <v>486</v>
      </c>
      <c r="N11" s="124" t="s">
        <v>483</v>
      </c>
      <c r="O11" s="120" t="s">
        <v>515</v>
      </c>
      <c r="P11" s="125" t="s">
        <v>493</v>
      </c>
      <c r="Q11" s="125" t="s">
        <v>445</v>
      </c>
      <c r="R11" s="125" t="s">
        <v>446</v>
      </c>
      <c r="S11" s="125" t="s">
        <v>447</v>
      </c>
      <c r="T11" s="124" t="s">
        <v>520</v>
      </c>
      <c r="U11" s="120" t="s">
        <v>449</v>
      </c>
      <c r="V11" s="125" t="s">
        <v>450</v>
      </c>
      <c r="W11" s="125" t="s">
        <v>451</v>
      </c>
      <c r="X11" s="124" t="s">
        <v>452</v>
      </c>
      <c r="Y11" s="1760"/>
      <c r="Z11" s="1760"/>
      <c r="AA11" s="120" t="s">
        <v>385</v>
      </c>
      <c r="AB11" s="738" t="s">
        <v>362</v>
      </c>
      <c r="AC11" s="739" t="s">
        <v>487</v>
      </c>
      <c r="AD11" s="739" t="s">
        <v>488</v>
      </c>
      <c r="AE11" s="732" t="s">
        <v>463</v>
      </c>
      <c r="AH11" s="92" t="s">
        <v>405</v>
      </c>
    </row>
    <row r="12" spans="2:34" ht="13.8" x14ac:dyDescent="0.25">
      <c r="B12" s="232">
        <v>1</v>
      </c>
      <c r="C12" s="175"/>
      <c r="D12" s="137"/>
      <c r="E12" s="119"/>
      <c r="F12" s="281" t="str">
        <f>IF(D12="","",VLOOKUP(D12,'G-6 Hedgerow Data'!$B$2:$AG$15,2,FALSE))</f>
        <v/>
      </c>
      <c r="G12" s="282" t="str">
        <f>IF(D12="","",VLOOKUP(D12,'G-6 Hedgerow Data'!$B$2:$AG$15,3,FALSE))</f>
        <v/>
      </c>
      <c r="H12" s="53"/>
      <c r="I12" s="282" t="str">
        <f>IFERROR(IF(H12="","",IF(AND(D12="Non-native and ornamental hedgerow", H12&lt;&gt;"Poor"),"Not possible ▲", (IF(AND(F12="V.Low",OR(H12="Good",H12="Moderate")),"Error ▲",VLOOKUP(H12,'G-1 All Habitats'!$Z$2:$AA$9,2,FALSE))))),"")</f>
        <v/>
      </c>
      <c r="J12" s="52"/>
      <c r="K12" s="289" t="str">
        <f>IF(J12="","",IF(VLOOKUP(J12,'G-3 Multipliers'!$L$3:$N$6,2,FALSE)=0,"Spatial Data Missing",VLOOKUP(J12,'G-3 Multipliers'!$L$3:$N$6,2,FALSE)))</f>
        <v/>
      </c>
      <c r="L12" s="282" t="str">
        <f>IF(J12="","",IF(VLOOKUP(J12,'G-3 Multipliers'!$L$3:$N$6,3,FALSE)=0,"Spatial Data Missing",VLOOKUP(J12,'G-3 Multipliers'!$L$3:$N$6,3,FALSE)))</f>
        <v/>
      </c>
      <c r="M12" s="138"/>
      <c r="N12" s="282" t="str">
        <f>IF(M12="","",IF(VLOOKUP(M12,'G-3 Multipliers'!$S$3:$T$10,2,FALSE)=0,"Spatial Data Missing ⚠",VLOOKUP(M12,'G-3 Multipliers'!$S$3:$T$10,2,FALSE)))</f>
        <v/>
      </c>
      <c r="O12" s="281" t="str">
        <f>IF(OR(D12="",H12=""),"",(INDEX('G-6 Hedgerow Data'!$E$3:$I$15,MATCH(D12,'G-6 Hedgerow Data'!$B$3:$B$15,0),MATCH(H12,'G-6 Hedgerow Data'!$E$2:$I$2,0))))</f>
        <v/>
      </c>
      <c r="P12" s="137"/>
      <c r="Q12" s="137"/>
      <c r="R12" s="289"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02" t="str">
        <f>IF(O12="","",IF(R12="Error -both advance and delayed habitat creation ▲","Check Data ⚠",IF(O12="Not possible ▲", "Check data ⚠",IF(OR(P12="30+",P12="Habitat already in target condition"),0,IF(Q12="30+","30+",IF(AND(O12="30+",OR(P12="",P12=0)),"30+",IF(AND(O12="30+",P12&gt;0),30-P12,IF(O12+Q12&gt;30,"30+",IF(O12+Q12-P12&gt;0,O12+Q12-P12,IF(O12-P12&lt;0,0,O12+Q12-P12))))))))))</f>
        <v/>
      </c>
      <c r="T12" s="303" t="str">
        <f t="shared" ref="T12:T75" si="0">IF(D12="","",IF(S12="Check Data ⚠","Check Data ⚠",VLOOKUP(S12,TemporalMultipliers,3,FALSE)))</f>
        <v/>
      </c>
      <c r="U12" s="281" t="str">
        <f>IF(D12="","",VLOOKUP(D12,'G-6 Hedgerow Data'!$B$3:$AG$15,31,FALSE))</f>
        <v/>
      </c>
      <c r="V12" s="289" t="str">
        <f>IF(D12="","",IF(S12="Check Data ⚠","Check Data ⚠",IF(H12="","",IF($R12="Check details - Is there evidence that habitat has reached target condition? ⚠","Low Difficulty - only applicable if all habitat created before losses ⚠","Standard difficulty applied"))))</f>
        <v/>
      </c>
      <c r="W12" s="289" t="str">
        <f>(IF(AND(V12="Standard difficulty applied",O12&gt;P12),U12,IF(S12="Check data ⚠","Check data ⚠",IF(AND(V12="Low Difficulty - only applicable if all habitat created before losses ⚠",P12&gt;=O12),"Low",U12))))</f>
        <v/>
      </c>
      <c r="X12" s="282" t="str">
        <f>IF(F12="","",VLOOKUP(U12,'G-3 Multipliers'!$P$3:$Q$6,2,FALSE))</f>
        <v/>
      </c>
      <c r="Y12" s="309" t="str">
        <f>IFERROR(E12*G12*I12*L12*T12*X12*N12,"")</f>
        <v/>
      </c>
      <c r="Z12" s="309" t="str">
        <f>IFERROR(IF(AND(M12&lt;&gt;"",AD12=""), "Off-site reference required ▲",(IF(M12="","", E12*G12*I12*L12*T12*X12))),"")</f>
        <v/>
      </c>
      <c r="AA12" s="105"/>
      <c r="AB12" s="968"/>
      <c r="AC12" s="137"/>
      <c r="AD12" s="137"/>
      <c r="AE12" s="969"/>
      <c r="AH12" s="30" t="str">
        <f>IFERROR(INDEX('G-6 Hedgerow Data'!$BJ$3:$BJ$15,MATCH(D12,'G-6 Hedgerow Data'!$B$3:$B$15,0)),"")</f>
        <v/>
      </c>
    </row>
    <row r="13" spans="2:34" ht="13.8" x14ac:dyDescent="0.25">
      <c r="B13" s="101">
        <v>2</v>
      </c>
      <c r="C13" s="175"/>
      <c r="D13" s="137"/>
      <c r="E13" s="119"/>
      <c r="F13" s="281" t="str">
        <f>IF(D13="","",VLOOKUP(D13,'G-6 Hedgerow Data'!$B$2:$AG$15,2,FALSE))</f>
        <v/>
      </c>
      <c r="G13" s="305" t="str">
        <f>IF(D13="","",VLOOKUP(D13,'G-6 Hedgerow Data'!$B$2:$AG$15,3,FALSE))</f>
        <v/>
      </c>
      <c r="H13" s="53"/>
      <c r="I13" s="282" t="str">
        <f>IFERROR(IF(H13="","",IF(AND(D13="Non-native and ornamental hedgerow", H13&lt;&gt;"Poor"),"Not possible ▲", (IF(AND(F13="V.Low",OR(H13="Good",H13="Moderate")),"Error ▲",VLOOKUP(H13,'G-1 All Habitats'!$Z$2:$AA$9,2,FALSE))))),"")</f>
        <v/>
      </c>
      <c r="J13" s="106"/>
      <c r="K13" s="301" t="str">
        <f>IF(J13="","",IF(VLOOKUP(J13,'G-3 Multipliers'!$L$3:$N$6,2,FALSE)=0,"Spatial Data Missing",VLOOKUP(J13,'G-3 Multipliers'!$L$3:$N$6,2,FALSE)))</f>
        <v/>
      </c>
      <c r="L13" s="305" t="str">
        <f>IF(J13="","",IF(VLOOKUP(J13,'G-3 Multipliers'!$L$3:$N$6,3,FALSE)=0,"Spatial Data Missing",VLOOKUP(J13,'G-3 Multipliers'!$L$3:$N$6,3,FALSE)))</f>
        <v/>
      </c>
      <c r="M13" s="138"/>
      <c r="N13" s="282" t="str">
        <f>IF(M13="","",IF(VLOOKUP(M13,'G-3 Multipliers'!$S$3:$T$10,2,FALSE)=0,"Spatial Data Missing ⚠",VLOOKUP(M13,'G-3 Multipliers'!$S$3:$T$10,2,FALSE)))</f>
        <v/>
      </c>
      <c r="O13" s="281" t="str">
        <f>IF(OR(D13="",H13=""),"",(INDEX('G-6 Hedgerow Data'!$E$3:$I$15,MATCH(D13,'G-6 Hedgerow Data'!$B$3:$B$15,0),MATCH(H13,'G-6 Hedgerow Data'!$E$2:$I$2,0))))</f>
        <v/>
      </c>
      <c r="P13" s="137"/>
      <c r="Q13" s="137"/>
      <c r="R13" s="289"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02" t="str">
        <f t="shared" ref="S13:S76" si="2">IF(O13="","",IF(R13="Error -both advance and delayed habitat creation ▲","Check Data ⚠",IF(O13="Not possible ▲", "Check data ⚠",IF(OR(P13="30+",P13="Habitat already in target condition"),0,IF(Q13="30+","30+",IF(AND(O13="30+",OR(P13="",P13=0)),"30+",IF(AND(O13="30+",P13&gt;0),30-P13,IF(O13+Q13&gt;30,"30+",IF(O13+Q13-P13&gt;0,O13+Q13-P13,IF(O13-P13&lt;0,0,O13+Q13-P13))))))))))</f>
        <v/>
      </c>
      <c r="T13" s="303" t="str">
        <f t="shared" si="0"/>
        <v/>
      </c>
      <c r="U13" s="317" t="str">
        <f>IF(D13="","",VLOOKUP(D13,'G-6 Hedgerow Data'!$B$3:$AG$15,31,FALSE))</f>
        <v/>
      </c>
      <c r="V13" s="301" t="str">
        <f t="shared" ref="V13:V76" si="3">IF(D13="","",IF(S13="Check Data ⚠","Check Data ⚠",IF(H13="","",IF($R13="Check details - Is there evidence that habitat has reached target condition? ⚠","Low Difficulty - only applicable if all habitat created before losses ⚠","Standard difficulty applied"))))</f>
        <v/>
      </c>
      <c r="W13" s="289" t="str">
        <f t="shared" ref="W13:W76" si="4">(IF(AND(V13="Standard difficulty applied",O13&gt;P13),U13,IF(S13="Check data ⚠","Check data ⚠",IF(AND(V13="Low Difficulty - only applicable if all habitat created before losses ⚠",P13&gt;=O13),"Low",U13))))</f>
        <v/>
      </c>
      <c r="X13" s="305" t="str">
        <f>IF(F13="","",VLOOKUP(U13,'G-3 Multipliers'!$P$3:$Q$6,2,FALSE))</f>
        <v/>
      </c>
      <c r="Y13" s="309" t="str">
        <f t="shared" ref="Y13:Y76" si="5">IFERROR(E13*G13*I13*L13*T13*X13*N13,"")</f>
        <v/>
      </c>
      <c r="Z13" s="309" t="str">
        <f t="shared" ref="Z13:Z76" si="6">IFERROR(IF(AND(M13&lt;&gt;"",AD13=""), "Off-site reference required ▲",(IF(M13="","", E13*G13*I13*L13*T13*X13))),"")</f>
        <v/>
      </c>
      <c r="AA13" s="105"/>
      <c r="AB13" s="968"/>
      <c r="AC13" s="142"/>
      <c r="AD13" s="142"/>
      <c r="AE13" s="964"/>
      <c r="AH13" s="30" t="str">
        <f>IFERROR(INDEX('G-6 Hedgerow Data'!$BJ$3:$BJ$15,MATCH(D13,'G-6 Hedgerow Data'!$B$3:$B$15,0)),"")</f>
        <v/>
      </c>
    </row>
    <row r="14" spans="2:34" ht="13.8" x14ac:dyDescent="0.25">
      <c r="B14" s="101">
        <v>3</v>
      </c>
      <c r="C14" s="175"/>
      <c r="D14" s="137"/>
      <c r="E14" s="119"/>
      <c r="F14" s="281" t="str">
        <f>IF(D14="","",VLOOKUP(D14,'G-6 Hedgerow Data'!$B$2:$AG$15,2,FALSE))</f>
        <v/>
      </c>
      <c r="G14" s="305" t="str">
        <f>IF(D14="","",VLOOKUP(D14,'G-6 Hedgerow Data'!$B$2:$AG$15,3,FALSE))</f>
        <v/>
      </c>
      <c r="H14" s="53"/>
      <c r="I14" s="282" t="str">
        <f>IFERROR(IF(H14="","",IF(AND(D14="Non-native and ornamental hedgerow", H14&lt;&gt;"Poor"),"Not possible ▲", (IF(AND(F14="V.Low",OR(H14="Good",H14="Moderate")),"Error ▲",VLOOKUP(H14,'G-1 All Habitats'!$Z$2:$AA$9,2,FALSE))))),"")</f>
        <v/>
      </c>
      <c r="J14" s="106"/>
      <c r="K14" s="301" t="str">
        <f>IF(J14="","",IF(VLOOKUP(J14,'G-3 Multipliers'!$L$3:$N$6,2,FALSE)=0,"Spatial Data Missing",VLOOKUP(J14,'G-3 Multipliers'!$L$3:$N$6,2,FALSE)))</f>
        <v/>
      </c>
      <c r="L14" s="305" t="str">
        <f>IF(J14="","",IF(VLOOKUP(J14,'G-3 Multipliers'!$L$3:$N$6,3,FALSE)=0,"Spatial Data Missing",VLOOKUP(J14,'G-3 Multipliers'!$L$3:$N$6,3,FALSE)))</f>
        <v/>
      </c>
      <c r="M14" s="138"/>
      <c r="N14" s="282" t="str">
        <f>IF(M14="","",IF(VLOOKUP(M14,'G-3 Multipliers'!$S$3:$T$10,2,FALSE)=0,"Spatial Data Missing ⚠",VLOOKUP(M14,'G-3 Multipliers'!$S$3:$T$10,2,FALSE)))</f>
        <v/>
      </c>
      <c r="O14" s="281" t="str">
        <f>IF(OR(D14="",H14=""),"",(INDEX('G-6 Hedgerow Data'!$E$3:$I$15,MATCH(D14,'G-6 Hedgerow Data'!$B$3:$B$15,0),MATCH(H14,'G-6 Hedgerow Data'!$E$2:$I$2,0))))</f>
        <v/>
      </c>
      <c r="P14" s="137"/>
      <c r="Q14" s="137"/>
      <c r="R14" s="289" t="str">
        <f t="shared" si="1"/>
        <v/>
      </c>
      <c r="S14" s="302" t="str">
        <f t="shared" si="2"/>
        <v/>
      </c>
      <c r="T14" s="303" t="str">
        <f t="shared" si="0"/>
        <v/>
      </c>
      <c r="U14" s="317" t="str">
        <f>IF(D14="","",VLOOKUP(D14,'G-6 Hedgerow Data'!$B$3:$AG$15,31,FALSE))</f>
        <v/>
      </c>
      <c r="V14" s="301" t="str">
        <f t="shared" si="3"/>
        <v/>
      </c>
      <c r="W14" s="289" t="str">
        <f t="shared" si="4"/>
        <v/>
      </c>
      <c r="X14" s="305" t="str">
        <f>IF(F14="","",VLOOKUP(U14,'G-3 Multipliers'!$P$3:$Q$6,2,FALSE))</f>
        <v/>
      </c>
      <c r="Y14" s="309" t="str">
        <f t="shared" si="5"/>
        <v/>
      </c>
      <c r="Z14" s="309" t="str">
        <f t="shared" si="6"/>
        <v/>
      </c>
      <c r="AA14" s="105"/>
      <c r="AB14" s="968"/>
      <c r="AC14" s="142"/>
      <c r="AD14" s="142"/>
      <c r="AE14" s="964"/>
      <c r="AH14" s="30" t="str">
        <f>IFERROR(INDEX('G-6 Hedgerow Data'!$BJ$3:$BJ$15,MATCH(D14,'G-6 Hedgerow Data'!$B$3:$B$15,0)),"")</f>
        <v/>
      </c>
    </row>
    <row r="15" spans="2:34" ht="13.8" x14ac:dyDescent="0.25">
      <c r="B15" s="101">
        <v>4</v>
      </c>
      <c r="C15" s="175"/>
      <c r="D15" s="137"/>
      <c r="E15" s="119"/>
      <c r="F15" s="281" t="str">
        <f>IF(D15="","",VLOOKUP(D15,'G-6 Hedgerow Data'!$B$2:$AG$15,2,FALSE))</f>
        <v/>
      </c>
      <c r="G15" s="305" t="str">
        <f>IF(D15="","",VLOOKUP(D15,'G-6 Hedgerow Data'!$B$2:$AG$15,3,FALSE))</f>
        <v/>
      </c>
      <c r="H15" s="53"/>
      <c r="I15" s="282" t="str">
        <f>IFERROR(IF(H15="","",IF(AND(D15="Non-native and ornamental hedgerow", H15&lt;&gt;"Poor"),"Not possible ▲", (IF(AND(F15="V.Low",OR(H15="Good",H15="Moderate")),"Error ▲",VLOOKUP(H15,'G-1 All Habitats'!$Z$2:$AA$9,2,FALSE))))),"")</f>
        <v/>
      </c>
      <c r="J15" s="106"/>
      <c r="K15" s="301" t="str">
        <f>IF(J15="","",IF(VLOOKUP(J15,'G-3 Multipliers'!$L$3:$N$6,2,FALSE)=0,"Spatial Data Missing",VLOOKUP(J15,'G-3 Multipliers'!$L$3:$N$6,2,FALSE)))</f>
        <v/>
      </c>
      <c r="L15" s="305" t="str">
        <f>IF(J15="","",IF(VLOOKUP(J15,'G-3 Multipliers'!$L$3:$N$6,3,FALSE)=0,"Spatial Data Missing",VLOOKUP(J15,'G-3 Multipliers'!$L$3:$N$6,3,FALSE)))</f>
        <v/>
      </c>
      <c r="M15" s="138"/>
      <c r="N15" s="282" t="str">
        <f>IF(M15="","",IF(VLOOKUP(M15,'G-3 Multipliers'!$S$3:$T$10,2,FALSE)=0,"Spatial Data Missing ⚠",VLOOKUP(M15,'G-3 Multipliers'!$S$3:$T$10,2,FALSE)))</f>
        <v/>
      </c>
      <c r="O15" s="281" t="str">
        <f>IF(OR(D15="",H15=""),"",(INDEX('G-6 Hedgerow Data'!$E$3:$I$15,MATCH(D15,'G-6 Hedgerow Data'!$B$3:$B$15,0),MATCH(H15,'G-6 Hedgerow Data'!$E$2:$I$2,0))))</f>
        <v/>
      </c>
      <c r="P15" s="137"/>
      <c r="Q15" s="137"/>
      <c r="R15" s="289" t="str">
        <f t="shared" si="1"/>
        <v/>
      </c>
      <c r="S15" s="302" t="str">
        <f t="shared" si="2"/>
        <v/>
      </c>
      <c r="T15" s="303" t="str">
        <f t="shared" si="0"/>
        <v/>
      </c>
      <c r="U15" s="317" t="str">
        <f>IF(D15="","",VLOOKUP(D15,'G-6 Hedgerow Data'!$B$3:$AG$15,31,FALSE))</f>
        <v/>
      </c>
      <c r="V15" s="301" t="str">
        <f t="shared" si="3"/>
        <v/>
      </c>
      <c r="W15" s="289" t="str">
        <f t="shared" si="4"/>
        <v/>
      </c>
      <c r="X15" s="305" t="str">
        <f>IF(F15="","",VLOOKUP(U15,'G-3 Multipliers'!$P$3:$Q$6,2,FALSE))</f>
        <v/>
      </c>
      <c r="Y15" s="309" t="str">
        <f t="shared" si="5"/>
        <v/>
      </c>
      <c r="Z15" s="309" t="str">
        <f t="shared" si="6"/>
        <v/>
      </c>
      <c r="AA15" s="105"/>
      <c r="AB15" s="968"/>
      <c r="AC15" s="142"/>
      <c r="AD15" s="142"/>
      <c r="AE15" s="964"/>
      <c r="AH15" s="30" t="str">
        <f>IFERROR(INDEX('G-6 Hedgerow Data'!$BJ$3:$BJ$15,MATCH(D15,'G-6 Hedgerow Data'!$B$3:$B$15,0)),"")</f>
        <v/>
      </c>
    </row>
    <row r="16" spans="2:34" ht="13.8" x14ac:dyDescent="0.25">
      <c r="B16" s="101">
        <v>5</v>
      </c>
      <c r="C16" s="175"/>
      <c r="D16" s="137"/>
      <c r="E16" s="119"/>
      <c r="F16" s="281" t="str">
        <f>IF(D16="","",VLOOKUP(D16,'G-6 Hedgerow Data'!$B$2:$AG$15,2,FALSE))</f>
        <v/>
      </c>
      <c r="G16" s="305" t="str">
        <f>IF(D16="","",VLOOKUP(D16,'G-6 Hedgerow Data'!$B$2:$AG$15,3,FALSE))</f>
        <v/>
      </c>
      <c r="H16" s="53"/>
      <c r="I16" s="282" t="str">
        <f>IFERROR(IF(H16="","",IF(AND(D16="Non-native and ornamental hedgerow", H16&lt;&gt;"Poor"),"Not possible ▲", (IF(AND(F16="V.Low",OR(H16="Good",H16="Moderate")),"Error ▲",VLOOKUP(H16,'G-1 All Habitats'!$Z$2:$AA$9,2,FALSE))))),"")</f>
        <v/>
      </c>
      <c r="J16" s="106"/>
      <c r="K16" s="301" t="str">
        <f>IF(J16="","",IF(VLOOKUP(J16,'G-3 Multipliers'!$L$3:$N$6,2,FALSE)=0,"Spatial Data Missing",VLOOKUP(J16,'G-3 Multipliers'!$L$3:$N$6,2,FALSE)))</f>
        <v/>
      </c>
      <c r="L16" s="305" t="str">
        <f>IF(J16="","",IF(VLOOKUP(J16,'G-3 Multipliers'!$L$3:$N$6,3,FALSE)=0,"Spatial Data Missing",VLOOKUP(J16,'G-3 Multipliers'!$L$3:$N$6,3,FALSE)))</f>
        <v/>
      </c>
      <c r="M16" s="138"/>
      <c r="N16" s="282" t="str">
        <f>IF(M16="","",IF(VLOOKUP(M16,'G-3 Multipliers'!$S$3:$T$10,2,FALSE)=0,"Spatial Data Missing ⚠",VLOOKUP(M16,'G-3 Multipliers'!$S$3:$T$10,2,FALSE)))</f>
        <v/>
      </c>
      <c r="O16" s="281" t="str">
        <f>IF(OR(D16="",H16=""),"",(INDEX('G-6 Hedgerow Data'!$E$3:$I$15,MATCH(D16,'G-6 Hedgerow Data'!$B$3:$B$15,0),MATCH(H16,'G-6 Hedgerow Data'!$E$2:$I$2,0))))</f>
        <v/>
      </c>
      <c r="P16" s="137"/>
      <c r="Q16" s="137"/>
      <c r="R16" s="289" t="str">
        <f t="shared" si="1"/>
        <v/>
      </c>
      <c r="S16" s="302" t="str">
        <f t="shared" si="2"/>
        <v/>
      </c>
      <c r="T16" s="303" t="str">
        <f t="shared" si="0"/>
        <v/>
      </c>
      <c r="U16" s="317" t="str">
        <f>IF(D16="","",VLOOKUP(D16,'G-6 Hedgerow Data'!$B$3:$AG$15,31,FALSE))</f>
        <v/>
      </c>
      <c r="V16" s="301" t="str">
        <f t="shared" si="3"/>
        <v/>
      </c>
      <c r="W16" s="289" t="str">
        <f t="shared" si="4"/>
        <v/>
      </c>
      <c r="X16" s="305" t="str">
        <f>IF(F16="","",VLOOKUP(U16,'G-3 Multipliers'!$P$3:$Q$6,2,FALSE))</f>
        <v/>
      </c>
      <c r="Y16" s="309" t="str">
        <f t="shared" si="5"/>
        <v/>
      </c>
      <c r="Z16" s="309" t="str">
        <f t="shared" si="6"/>
        <v/>
      </c>
      <c r="AA16" s="105"/>
      <c r="AB16" s="968"/>
      <c r="AC16" s="142"/>
      <c r="AD16" s="142"/>
      <c r="AE16" s="964"/>
      <c r="AH16" s="30" t="str">
        <f>IFERROR(INDEX('G-6 Hedgerow Data'!$BJ$3:$BJ$15,MATCH(D16,'G-6 Hedgerow Data'!$B$3:$B$15,0)),"")</f>
        <v/>
      </c>
    </row>
    <row r="17" spans="2:34" ht="13.8" x14ac:dyDescent="0.25">
      <c r="B17" s="101">
        <v>6</v>
      </c>
      <c r="C17" s="175"/>
      <c r="D17" s="137"/>
      <c r="E17" s="119"/>
      <c r="F17" s="281" t="str">
        <f>IF(D17="","",VLOOKUP(D17,'G-6 Hedgerow Data'!$B$2:$AG$15,2,FALSE))</f>
        <v/>
      </c>
      <c r="G17" s="305" t="str">
        <f>IF(D17="","",VLOOKUP(D17,'G-6 Hedgerow Data'!$B$2:$AG$15,3,FALSE))</f>
        <v/>
      </c>
      <c r="H17" s="53"/>
      <c r="I17" s="282" t="str">
        <f>IFERROR(IF(H17="","",IF(AND(D17="Non-native and ornamental hedgerow", H17&lt;&gt;"Poor"),"Not possible ▲", (IF(AND(F17="V.Low",OR(H17="Good",H17="Moderate")),"Error ▲",VLOOKUP(H17,'G-1 All Habitats'!$Z$2:$AA$9,2,FALSE))))),"")</f>
        <v/>
      </c>
      <c r="J17" s="106"/>
      <c r="K17" s="301" t="str">
        <f>IF(J17="","",IF(VLOOKUP(J17,'G-3 Multipliers'!$L$3:$N$6,2,FALSE)=0,"Spatial Data Missing",VLOOKUP(J17,'G-3 Multipliers'!$L$3:$N$6,2,FALSE)))</f>
        <v/>
      </c>
      <c r="L17" s="305" t="str">
        <f>IF(J17="","",IF(VLOOKUP(J17,'G-3 Multipliers'!$L$3:$N$6,3,FALSE)=0,"Spatial Data Missing",VLOOKUP(J17,'G-3 Multipliers'!$L$3:$N$6,3,FALSE)))</f>
        <v/>
      </c>
      <c r="M17" s="138"/>
      <c r="N17" s="282" t="str">
        <f>IF(M17="","",IF(VLOOKUP(M17,'G-3 Multipliers'!$S$3:$T$10,2,FALSE)=0,"Spatial Data Missing ⚠",VLOOKUP(M17,'G-3 Multipliers'!$S$3:$T$10,2,FALSE)))</f>
        <v/>
      </c>
      <c r="O17" s="281" t="str">
        <f>IF(OR(D17="",H17=""),"",(INDEX('G-6 Hedgerow Data'!$E$3:$I$15,MATCH(D17,'G-6 Hedgerow Data'!$B$3:$B$15,0),MATCH(H17,'G-6 Hedgerow Data'!$E$2:$I$2,0))))</f>
        <v/>
      </c>
      <c r="P17" s="137"/>
      <c r="Q17" s="137"/>
      <c r="R17" s="289" t="str">
        <f t="shared" si="1"/>
        <v/>
      </c>
      <c r="S17" s="302" t="str">
        <f t="shared" si="2"/>
        <v/>
      </c>
      <c r="T17" s="303" t="str">
        <f t="shared" si="0"/>
        <v/>
      </c>
      <c r="U17" s="317" t="str">
        <f>IF(D17="","",VLOOKUP(D17,'G-6 Hedgerow Data'!$B$3:$AG$15,31,FALSE))</f>
        <v/>
      </c>
      <c r="V17" s="301" t="str">
        <f t="shared" si="3"/>
        <v/>
      </c>
      <c r="W17" s="289" t="str">
        <f t="shared" si="4"/>
        <v/>
      </c>
      <c r="X17" s="305" t="str">
        <f>IF(F17="","",VLOOKUP(U17,'G-3 Multipliers'!$P$3:$Q$6,2,FALSE))</f>
        <v/>
      </c>
      <c r="Y17" s="309" t="str">
        <f t="shared" si="5"/>
        <v/>
      </c>
      <c r="Z17" s="309" t="str">
        <f t="shared" si="6"/>
        <v/>
      </c>
      <c r="AA17" s="105"/>
      <c r="AB17" s="968"/>
      <c r="AC17" s="142"/>
      <c r="AD17" s="142"/>
      <c r="AE17" s="964"/>
      <c r="AH17" s="30" t="str">
        <f>IFERROR(INDEX('G-6 Hedgerow Data'!$BJ$3:$BJ$15,MATCH(D17,'G-6 Hedgerow Data'!$B$3:$B$15,0)),"")</f>
        <v/>
      </c>
    </row>
    <row r="18" spans="2:34" ht="13.8" x14ac:dyDescent="0.25">
      <c r="B18" s="101">
        <v>7</v>
      </c>
      <c r="C18" s="175"/>
      <c r="D18" s="137"/>
      <c r="E18" s="119"/>
      <c r="F18" s="281" t="str">
        <f>IF(D18="","",VLOOKUP(D18,'G-6 Hedgerow Data'!$B$2:$AG$15,2,FALSE))</f>
        <v/>
      </c>
      <c r="G18" s="305" t="str">
        <f>IF(D18="","",VLOOKUP(D18,'G-6 Hedgerow Data'!$B$2:$AG$15,3,FALSE))</f>
        <v/>
      </c>
      <c r="H18" s="53"/>
      <c r="I18" s="282" t="str">
        <f>IFERROR(IF(H18="","",IF(AND(D18="Non-native and ornamental hedgerow", H18&lt;&gt;"Poor"),"Not possible ▲", (IF(AND(F18="V.Low",OR(H18="Good",H18="Moderate")),"Error ▲",VLOOKUP(H18,'G-1 All Habitats'!$Z$2:$AA$9,2,FALSE))))),"")</f>
        <v/>
      </c>
      <c r="J18" s="106"/>
      <c r="K18" s="301" t="str">
        <f>IF(J18="","",IF(VLOOKUP(J18,'G-3 Multipliers'!$L$3:$N$6,2,FALSE)=0,"Spatial Data Missing",VLOOKUP(J18,'G-3 Multipliers'!$L$3:$N$6,2,FALSE)))</f>
        <v/>
      </c>
      <c r="L18" s="305" t="str">
        <f>IF(J18="","",IF(VLOOKUP(J18,'G-3 Multipliers'!$L$3:$N$6,3,FALSE)=0,"Spatial Data Missing",VLOOKUP(J18,'G-3 Multipliers'!$L$3:$N$6,3,FALSE)))</f>
        <v/>
      </c>
      <c r="M18" s="138"/>
      <c r="N18" s="282" t="str">
        <f>IF(M18="","",IF(VLOOKUP(M18,'G-3 Multipliers'!$S$3:$T$10,2,FALSE)=0,"Spatial Data Missing ⚠",VLOOKUP(M18,'G-3 Multipliers'!$S$3:$T$10,2,FALSE)))</f>
        <v/>
      </c>
      <c r="O18" s="281" t="str">
        <f>IF(OR(D18="",H18=""),"",(INDEX('G-6 Hedgerow Data'!$E$3:$I$15,MATCH(D18,'G-6 Hedgerow Data'!$B$3:$B$15,0),MATCH(H18,'G-6 Hedgerow Data'!$E$2:$I$2,0))))</f>
        <v/>
      </c>
      <c r="P18" s="137"/>
      <c r="Q18" s="137"/>
      <c r="R18" s="289" t="str">
        <f t="shared" si="1"/>
        <v/>
      </c>
      <c r="S18" s="302" t="str">
        <f t="shared" si="2"/>
        <v/>
      </c>
      <c r="T18" s="303" t="str">
        <f t="shared" si="0"/>
        <v/>
      </c>
      <c r="U18" s="317" t="str">
        <f>IF(D18="","",VLOOKUP(D18,'G-6 Hedgerow Data'!$B$3:$AG$15,31,FALSE))</f>
        <v/>
      </c>
      <c r="V18" s="301" t="str">
        <f t="shared" si="3"/>
        <v/>
      </c>
      <c r="W18" s="289" t="str">
        <f t="shared" si="4"/>
        <v/>
      </c>
      <c r="X18" s="305" t="str">
        <f>IF(F18="","",VLOOKUP(U18,'G-3 Multipliers'!$P$3:$Q$6,2,FALSE))</f>
        <v/>
      </c>
      <c r="Y18" s="309" t="str">
        <f t="shared" si="5"/>
        <v/>
      </c>
      <c r="Z18" s="309" t="str">
        <f t="shared" si="6"/>
        <v/>
      </c>
      <c r="AA18" s="105"/>
      <c r="AB18" s="968"/>
      <c r="AC18" s="142"/>
      <c r="AD18" s="142"/>
      <c r="AE18" s="964"/>
      <c r="AH18" s="30" t="str">
        <f>IFERROR(INDEX('G-6 Hedgerow Data'!$BJ$3:$BJ$15,MATCH(D18,'G-6 Hedgerow Data'!$B$3:$B$15,0)),"")</f>
        <v/>
      </c>
    </row>
    <row r="19" spans="2:34" ht="13.8" x14ac:dyDescent="0.25">
      <c r="B19" s="101">
        <v>8</v>
      </c>
      <c r="C19" s="175"/>
      <c r="D19" s="137"/>
      <c r="E19" s="119"/>
      <c r="F19" s="281" t="str">
        <f>IF(D19="","",VLOOKUP(D19,'G-6 Hedgerow Data'!$B$2:$AG$15,2,FALSE))</f>
        <v/>
      </c>
      <c r="G19" s="305" t="str">
        <f>IF(D19="","",VLOOKUP(D19,'G-6 Hedgerow Data'!$B$2:$AG$15,3,FALSE))</f>
        <v/>
      </c>
      <c r="H19" s="53"/>
      <c r="I19" s="282" t="str">
        <f>IFERROR(IF(H19="","",IF(AND(D19="Non-native and ornamental hedgerow", H19&lt;&gt;"Poor"),"Not possible ▲", (IF(AND(F19="V.Low",OR(H19="Good",H19="Moderate")),"Error ▲",VLOOKUP(H19,'G-1 All Habitats'!$Z$2:$AA$9,2,FALSE))))),"")</f>
        <v/>
      </c>
      <c r="J19" s="106"/>
      <c r="K19" s="301" t="str">
        <f>IF(J19="","",IF(VLOOKUP(J19,'G-3 Multipliers'!$L$3:$N$6,2,FALSE)=0,"Spatial Data Missing",VLOOKUP(J19,'G-3 Multipliers'!$L$3:$N$6,2,FALSE)))</f>
        <v/>
      </c>
      <c r="L19" s="305" t="str">
        <f>IF(J19="","",IF(VLOOKUP(J19,'G-3 Multipliers'!$L$3:$N$6,3,FALSE)=0,"Spatial Data Missing",VLOOKUP(J19,'G-3 Multipliers'!$L$3:$N$6,3,FALSE)))</f>
        <v/>
      </c>
      <c r="M19" s="138"/>
      <c r="N19" s="282" t="str">
        <f>IF(M19="","",IF(VLOOKUP(M19,'G-3 Multipliers'!$S$3:$T$10,2,FALSE)=0,"Spatial Data Missing ⚠",VLOOKUP(M19,'G-3 Multipliers'!$S$3:$T$10,2,FALSE)))</f>
        <v/>
      </c>
      <c r="O19" s="281" t="str">
        <f>IF(OR(D19="",H19=""),"",(INDEX('G-6 Hedgerow Data'!$E$3:$I$15,MATCH(D19,'G-6 Hedgerow Data'!$B$3:$B$15,0),MATCH(H19,'G-6 Hedgerow Data'!$E$2:$I$2,0))))</f>
        <v/>
      </c>
      <c r="P19" s="137"/>
      <c r="Q19" s="137"/>
      <c r="R19" s="289" t="str">
        <f t="shared" si="1"/>
        <v/>
      </c>
      <c r="S19" s="302" t="str">
        <f t="shared" si="2"/>
        <v/>
      </c>
      <c r="T19" s="303" t="str">
        <f t="shared" si="0"/>
        <v/>
      </c>
      <c r="U19" s="317" t="str">
        <f>IF(D19="","",VLOOKUP(D19,'G-6 Hedgerow Data'!$B$3:$AG$15,31,FALSE))</f>
        <v/>
      </c>
      <c r="V19" s="301" t="str">
        <f t="shared" si="3"/>
        <v/>
      </c>
      <c r="W19" s="289" t="str">
        <f t="shared" si="4"/>
        <v/>
      </c>
      <c r="X19" s="305" t="str">
        <f>IF(F19="","",VLOOKUP(U19,'G-3 Multipliers'!$P$3:$Q$6,2,FALSE))</f>
        <v/>
      </c>
      <c r="Y19" s="309" t="str">
        <f t="shared" si="5"/>
        <v/>
      </c>
      <c r="Z19" s="309" t="str">
        <f t="shared" si="6"/>
        <v/>
      </c>
      <c r="AA19" s="105"/>
      <c r="AB19" s="968"/>
      <c r="AC19" s="142"/>
      <c r="AD19" s="142"/>
      <c r="AE19" s="964"/>
      <c r="AH19" s="30" t="str">
        <f>IFERROR(INDEX('G-6 Hedgerow Data'!$BJ$3:$BJ$15,MATCH(D19,'G-6 Hedgerow Data'!$B$3:$B$15,0)),"")</f>
        <v/>
      </c>
    </row>
    <row r="20" spans="2:34" ht="13.8" x14ac:dyDescent="0.25">
      <c r="B20" s="101">
        <v>9</v>
      </c>
      <c r="C20" s="175"/>
      <c r="D20" s="137"/>
      <c r="E20" s="119"/>
      <c r="F20" s="281" t="str">
        <f>IF(D20="","",VLOOKUP(D20,'G-6 Hedgerow Data'!$B$2:$AG$15,2,FALSE))</f>
        <v/>
      </c>
      <c r="G20" s="305" t="str">
        <f>IF(D20="","",VLOOKUP(D20,'G-6 Hedgerow Data'!$B$2:$AG$15,3,FALSE))</f>
        <v/>
      </c>
      <c r="H20" s="53"/>
      <c r="I20" s="282" t="str">
        <f>IFERROR(IF(H20="","",IF(AND(D20="Non-native and ornamental hedgerow", H20&lt;&gt;"Poor"),"Not possible ▲", (IF(AND(F20="V.Low",OR(H20="Good",H20="Moderate")),"Error ▲",VLOOKUP(H20,'G-1 All Habitats'!$Z$2:$AA$9,2,FALSE))))),"")</f>
        <v/>
      </c>
      <c r="J20" s="106"/>
      <c r="K20" s="301" t="str">
        <f>IF(J20="","",IF(VLOOKUP(J20,'G-3 Multipliers'!$L$3:$N$6,2,FALSE)=0,"Spatial Data Missing",VLOOKUP(J20,'G-3 Multipliers'!$L$3:$N$6,2,FALSE)))</f>
        <v/>
      </c>
      <c r="L20" s="305" t="str">
        <f>IF(J20="","",IF(VLOOKUP(J20,'G-3 Multipliers'!$L$3:$N$6,3,FALSE)=0,"Spatial Data Missing",VLOOKUP(J20,'G-3 Multipliers'!$L$3:$N$6,3,FALSE)))</f>
        <v/>
      </c>
      <c r="M20" s="138"/>
      <c r="N20" s="282" t="str">
        <f>IF(M20="","",IF(VLOOKUP(M20,'G-3 Multipliers'!$S$3:$T$10,2,FALSE)=0,"Spatial Data Missing ⚠",VLOOKUP(M20,'G-3 Multipliers'!$S$3:$T$10,2,FALSE)))</f>
        <v/>
      </c>
      <c r="O20" s="281" t="str">
        <f>IF(OR(D20="",H20=""),"",(INDEX('G-6 Hedgerow Data'!$E$3:$I$15,MATCH(D20,'G-6 Hedgerow Data'!$B$3:$B$15,0),MATCH(H20,'G-6 Hedgerow Data'!$E$2:$I$2,0))))</f>
        <v/>
      </c>
      <c r="P20" s="137"/>
      <c r="Q20" s="137"/>
      <c r="R20" s="289" t="str">
        <f t="shared" si="1"/>
        <v/>
      </c>
      <c r="S20" s="302" t="str">
        <f t="shared" si="2"/>
        <v/>
      </c>
      <c r="T20" s="303" t="str">
        <f t="shared" si="0"/>
        <v/>
      </c>
      <c r="U20" s="317" t="str">
        <f>IF(D20="","",VLOOKUP(D20,'G-6 Hedgerow Data'!$B$3:$AG$15,31,FALSE))</f>
        <v/>
      </c>
      <c r="V20" s="301" t="str">
        <f t="shared" si="3"/>
        <v/>
      </c>
      <c r="W20" s="289" t="str">
        <f t="shared" si="4"/>
        <v/>
      </c>
      <c r="X20" s="305" t="str">
        <f>IF(F20="","",VLOOKUP(U20,'G-3 Multipliers'!$P$3:$Q$6,2,FALSE))</f>
        <v/>
      </c>
      <c r="Y20" s="309" t="str">
        <f t="shared" si="5"/>
        <v/>
      </c>
      <c r="Z20" s="309" t="str">
        <f t="shared" si="6"/>
        <v/>
      </c>
      <c r="AA20" s="105"/>
      <c r="AB20" s="968"/>
      <c r="AC20" s="142"/>
      <c r="AD20" s="142"/>
      <c r="AE20" s="964"/>
      <c r="AH20" s="30" t="str">
        <f>IFERROR(INDEX('G-6 Hedgerow Data'!$BJ$3:$BJ$15,MATCH(D20,'G-6 Hedgerow Data'!$B$3:$B$15,0)),"")</f>
        <v/>
      </c>
    </row>
    <row r="21" spans="2:34" ht="13.8" x14ac:dyDescent="0.25">
      <c r="B21" s="101">
        <v>10</v>
      </c>
      <c r="C21" s="175"/>
      <c r="D21" s="137"/>
      <c r="E21" s="119"/>
      <c r="F21" s="281" t="str">
        <f>IF(D21="","",VLOOKUP(D21,'G-6 Hedgerow Data'!$B$2:$AG$15,2,FALSE))</f>
        <v/>
      </c>
      <c r="G21" s="305" t="str">
        <f>IF(D21="","",VLOOKUP(D21,'G-6 Hedgerow Data'!$B$2:$AG$15,3,FALSE))</f>
        <v/>
      </c>
      <c r="H21" s="53"/>
      <c r="I21" s="282" t="str">
        <f>IFERROR(IF(H21="","",IF(AND(D21="Non-native and ornamental hedgerow", H21&lt;&gt;"Poor"),"Not possible ▲", (IF(AND(F21="V.Low",OR(H21="Good",H21="Moderate")),"Error ▲",VLOOKUP(H21,'G-1 All Habitats'!$Z$2:$AA$9,2,FALSE))))),"")</f>
        <v/>
      </c>
      <c r="J21" s="106"/>
      <c r="K21" s="301" t="str">
        <f>IF(J21="","",IF(VLOOKUP(J21,'G-3 Multipliers'!$L$3:$N$6,2,FALSE)=0,"Spatial Data Missing",VLOOKUP(J21,'G-3 Multipliers'!$L$3:$N$6,2,FALSE)))</f>
        <v/>
      </c>
      <c r="L21" s="305" t="str">
        <f>IF(J21="","",IF(VLOOKUP(J21,'G-3 Multipliers'!$L$3:$N$6,3,FALSE)=0,"Spatial Data Missing",VLOOKUP(J21,'G-3 Multipliers'!$L$3:$N$6,3,FALSE)))</f>
        <v/>
      </c>
      <c r="M21" s="138"/>
      <c r="N21" s="282" t="str">
        <f>IF(M21="","",IF(VLOOKUP(M21,'G-3 Multipliers'!$S$3:$T$10,2,FALSE)=0,"Spatial Data Missing ⚠",VLOOKUP(M21,'G-3 Multipliers'!$S$3:$T$10,2,FALSE)))</f>
        <v/>
      </c>
      <c r="O21" s="281" t="str">
        <f>IF(OR(D21="",H21=""),"",(INDEX('G-6 Hedgerow Data'!$E$3:$I$15,MATCH(D21,'G-6 Hedgerow Data'!$B$3:$B$15,0),MATCH(H21,'G-6 Hedgerow Data'!$E$2:$I$2,0))))</f>
        <v/>
      </c>
      <c r="P21" s="137"/>
      <c r="Q21" s="137"/>
      <c r="R21" s="289" t="str">
        <f t="shared" si="1"/>
        <v/>
      </c>
      <c r="S21" s="302" t="str">
        <f t="shared" si="2"/>
        <v/>
      </c>
      <c r="T21" s="303" t="str">
        <f t="shared" si="0"/>
        <v/>
      </c>
      <c r="U21" s="317" t="str">
        <f>IF(D21="","",VLOOKUP(D21,'G-6 Hedgerow Data'!$B$3:$AG$15,31,FALSE))</f>
        <v/>
      </c>
      <c r="V21" s="301" t="str">
        <f t="shared" si="3"/>
        <v/>
      </c>
      <c r="W21" s="289" t="str">
        <f t="shared" si="4"/>
        <v/>
      </c>
      <c r="X21" s="305" t="str">
        <f>IF(F21="","",VLOOKUP(U21,'G-3 Multipliers'!$P$3:$Q$6,2,FALSE))</f>
        <v/>
      </c>
      <c r="Y21" s="309" t="str">
        <f t="shared" si="5"/>
        <v/>
      </c>
      <c r="Z21" s="309" t="str">
        <f t="shared" si="6"/>
        <v/>
      </c>
      <c r="AA21" s="105"/>
      <c r="AB21" s="968"/>
      <c r="AC21" s="142"/>
      <c r="AD21" s="142"/>
      <c r="AE21" s="964"/>
      <c r="AH21" s="30" t="str">
        <f>IFERROR(INDEX('G-6 Hedgerow Data'!$BJ$3:$BJ$15,MATCH(D21,'G-6 Hedgerow Data'!$B$3:$B$15,0)),"")</f>
        <v/>
      </c>
    </row>
    <row r="22" spans="2:34" ht="13.8" x14ac:dyDescent="0.25">
      <c r="B22" s="101">
        <v>11</v>
      </c>
      <c r="C22" s="175"/>
      <c r="D22" s="137"/>
      <c r="E22" s="119"/>
      <c r="F22" s="281" t="str">
        <f>IF(D22="","",VLOOKUP(D22,'G-6 Hedgerow Data'!$B$2:$AG$15,2,FALSE))</f>
        <v/>
      </c>
      <c r="G22" s="305" t="str">
        <f>IF(D22="","",VLOOKUP(D22,'G-6 Hedgerow Data'!$B$2:$AG$15,3,FALSE))</f>
        <v/>
      </c>
      <c r="H22" s="53"/>
      <c r="I22" s="282" t="str">
        <f>IFERROR(IF(H22="","",IF(AND(D22="Non-native and ornamental hedgerow", H22&lt;&gt;"Poor"),"Not possible ▲", (IF(AND(F22="V.Low",OR(H22="Good",H22="Moderate")),"Error ▲",VLOOKUP(H22,'G-1 All Habitats'!$Z$2:$AA$9,2,FALSE))))),"")</f>
        <v/>
      </c>
      <c r="J22" s="106"/>
      <c r="K22" s="301" t="str">
        <f>IF(J22="","",IF(VLOOKUP(J22,'G-3 Multipliers'!$L$3:$N$6,2,FALSE)=0,"Spatial Data Missing",VLOOKUP(J22,'G-3 Multipliers'!$L$3:$N$6,2,FALSE)))</f>
        <v/>
      </c>
      <c r="L22" s="305" t="str">
        <f>IF(J22="","",IF(VLOOKUP(J22,'G-3 Multipliers'!$L$3:$N$6,3,FALSE)=0,"Spatial Data Missing",VLOOKUP(J22,'G-3 Multipliers'!$L$3:$N$6,3,FALSE)))</f>
        <v/>
      </c>
      <c r="M22" s="138"/>
      <c r="N22" s="282" t="str">
        <f>IF(M22="","",IF(VLOOKUP(M22,'G-3 Multipliers'!$S$3:$T$10,2,FALSE)=0,"Spatial Data Missing ⚠",VLOOKUP(M22,'G-3 Multipliers'!$S$3:$T$10,2,FALSE)))</f>
        <v/>
      </c>
      <c r="O22" s="281" t="str">
        <f>IF(OR(D22="",H22=""),"",(INDEX('G-6 Hedgerow Data'!$E$3:$I$15,MATCH(D22,'G-6 Hedgerow Data'!$B$3:$B$15,0),MATCH(H22,'G-6 Hedgerow Data'!$E$2:$I$2,0))))</f>
        <v/>
      </c>
      <c r="P22" s="137"/>
      <c r="Q22" s="137"/>
      <c r="R22" s="289" t="str">
        <f t="shared" si="1"/>
        <v/>
      </c>
      <c r="S22" s="302" t="str">
        <f t="shared" si="2"/>
        <v/>
      </c>
      <c r="T22" s="303" t="str">
        <f t="shared" si="0"/>
        <v/>
      </c>
      <c r="U22" s="317" t="str">
        <f>IF(D22="","",VLOOKUP(D22,'G-6 Hedgerow Data'!$B$3:$AG$15,31,FALSE))</f>
        <v/>
      </c>
      <c r="V22" s="301" t="str">
        <f t="shared" si="3"/>
        <v/>
      </c>
      <c r="W22" s="289" t="str">
        <f t="shared" si="4"/>
        <v/>
      </c>
      <c r="X22" s="305" t="str">
        <f>IF(F22="","",VLOOKUP(U22,'G-3 Multipliers'!$P$3:$Q$6,2,FALSE))</f>
        <v/>
      </c>
      <c r="Y22" s="309" t="str">
        <f t="shared" si="5"/>
        <v/>
      </c>
      <c r="Z22" s="309" t="str">
        <f t="shared" si="6"/>
        <v/>
      </c>
      <c r="AA22" s="105"/>
      <c r="AB22" s="968"/>
      <c r="AC22" s="142"/>
      <c r="AD22" s="142"/>
      <c r="AE22" s="964"/>
      <c r="AH22" s="30" t="str">
        <f>IFERROR(INDEX('G-6 Hedgerow Data'!$BJ$3:$BJ$15,MATCH(D22,'G-6 Hedgerow Data'!$B$3:$B$15,0)),"")</f>
        <v/>
      </c>
    </row>
    <row r="23" spans="2:34" ht="13.8" x14ac:dyDescent="0.25">
      <c r="B23" s="101">
        <v>12</v>
      </c>
      <c r="C23" s="175"/>
      <c r="D23" s="137"/>
      <c r="E23" s="119"/>
      <c r="F23" s="281" t="str">
        <f>IF(D23="","",VLOOKUP(D23,'G-6 Hedgerow Data'!$B$2:$AG$15,2,FALSE))</f>
        <v/>
      </c>
      <c r="G23" s="305" t="str">
        <f>IF(D23="","",VLOOKUP(D23,'G-6 Hedgerow Data'!$B$2:$AG$15,3,FALSE))</f>
        <v/>
      </c>
      <c r="H23" s="53"/>
      <c r="I23" s="282" t="str">
        <f>IFERROR(IF(H23="","",IF(AND(D23="Non-native and ornamental hedgerow", H23&lt;&gt;"Poor"),"Not possible ▲", (IF(AND(F23="V.Low",OR(H23="Good",H23="Moderate")),"Error ▲",VLOOKUP(H23,'G-1 All Habitats'!$Z$2:$AA$9,2,FALSE))))),"")</f>
        <v/>
      </c>
      <c r="J23" s="106"/>
      <c r="K23" s="301" t="str">
        <f>IF(J23="","",IF(VLOOKUP(J23,'G-3 Multipliers'!$L$3:$N$6,2,FALSE)=0,"Spatial Data Missing",VLOOKUP(J23,'G-3 Multipliers'!$L$3:$N$6,2,FALSE)))</f>
        <v/>
      </c>
      <c r="L23" s="305" t="str">
        <f>IF(J23="","",IF(VLOOKUP(J23,'G-3 Multipliers'!$L$3:$N$6,3,FALSE)=0,"Spatial Data Missing",VLOOKUP(J23,'G-3 Multipliers'!$L$3:$N$6,3,FALSE)))</f>
        <v/>
      </c>
      <c r="M23" s="138"/>
      <c r="N23" s="282" t="str">
        <f>IF(M23="","",IF(VLOOKUP(M23,'G-3 Multipliers'!$S$3:$T$10,2,FALSE)=0,"Spatial Data Missing ⚠",VLOOKUP(M23,'G-3 Multipliers'!$S$3:$T$10,2,FALSE)))</f>
        <v/>
      </c>
      <c r="O23" s="281" t="str">
        <f>IF(OR(D23="",H23=""),"",(INDEX('G-6 Hedgerow Data'!$E$3:$I$15,MATCH(D23,'G-6 Hedgerow Data'!$B$3:$B$15,0),MATCH(H23,'G-6 Hedgerow Data'!$E$2:$I$2,0))))</f>
        <v/>
      </c>
      <c r="P23" s="137"/>
      <c r="Q23" s="137"/>
      <c r="R23" s="289" t="str">
        <f t="shared" si="1"/>
        <v/>
      </c>
      <c r="S23" s="302" t="str">
        <f t="shared" si="2"/>
        <v/>
      </c>
      <c r="T23" s="303" t="str">
        <f t="shared" si="0"/>
        <v/>
      </c>
      <c r="U23" s="317" t="str">
        <f>IF(D23="","",VLOOKUP(D23,'G-6 Hedgerow Data'!$B$3:$AG$15,31,FALSE))</f>
        <v/>
      </c>
      <c r="V23" s="301" t="str">
        <f t="shared" si="3"/>
        <v/>
      </c>
      <c r="W23" s="289" t="str">
        <f t="shared" si="4"/>
        <v/>
      </c>
      <c r="X23" s="305" t="str">
        <f>IF(F23="","",VLOOKUP(U23,'G-3 Multipliers'!$P$3:$Q$6,2,FALSE))</f>
        <v/>
      </c>
      <c r="Y23" s="309" t="str">
        <f t="shared" si="5"/>
        <v/>
      </c>
      <c r="Z23" s="309" t="str">
        <f t="shared" si="6"/>
        <v/>
      </c>
      <c r="AA23" s="105"/>
      <c r="AB23" s="968"/>
      <c r="AC23" s="142"/>
      <c r="AD23" s="142"/>
      <c r="AE23" s="964"/>
      <c r="AH23" s="30" t="str">
        <f>IFERROR(INDEX('G-6 Hedgerow Data'!$BJ$3:$BJ$15,MATCH(D23,'G-6 Hedgerow Data'!$B$3:$B$15,0)),"")</f>
        <v/>
      </c>
    </row>
    <row r="24" spans="2:34" ht="13.8" x14ac:dyDescent="0.25">
      <c r="B24" s="101">
        <v>13</v>
      </c>
      <c r="C24" s="175"/>
      <c r="D24" s="137"/>
      <c r="E24" s="119"/>
      <c r="F24" s="281" t="str">
        <f>IF(D24="","",VLOOKUP(D24,'G-6 Hedgerow Data'!$B$2:$AG$15,2,FALSE))</f>
        <v/>
      </c>
      <c r="G24" s="305" t="str">
        <f>IF(D24="","",VLOOKUP(D24,'G-6 Hedgerow Data'!$B$2:$AG$15,3,FALSE))</f>
        <v/>
      </c>
      <c r="H24" s="53"/>
      <c r="I24" s="282" t="str">
        <f>IFERROR(IF(H24="","",IF(AND(D24="Non-native and ornamental hedgerow", H24&lt;&gt;"Poor"),"Not possible ▲", (IF(AND(F24="V.Low",OR(H24="Good",H24="Moderate")),"Error ▲",VLOOKUP(H24,'G-1 All Habitats'!$Z$2:$AA$9,2,FALSE))))),"")</f>
        <v/>
      </c>
      <c r="J24" s="106"/>
      <c r="K24" s="301" t="str">
        <f>IF(J24="","",IF(VLOOKUP(J24,'G-3 Multipliers'!$L$3:$N$6,2,FALSE)=0,"Spatial Data Missing",VLOOKUP(J24,'G-3 Multipliers'!$L$3:$N$6,2,FALSE)))</f>
        <v/>
      </c>
      <c r="L24" s="305" t="str">
        <f>IF(J24="","",IF(VLOOKUP(J24,'G-3 Multipliers'!$L$3:$N$6,3,FALSE)=0,"Spatial Data Missing",VLOOKUP(J24,'G-3 Multipliers'!$L$3:$N$6,3,FALSE)))</f>
        <v/>
      </c>
      <c r="M24" s="138"/>
      <c r="N24" s="282" t="str">
        <f>IF(M24="","",IF(VLOOKUP(M24,'G-3 Multipliers'!$S$3:$T$10,2,FALSE)=0,"Spatial Data Missing ⚠",VLOOKUP(M24,'G-3 Multipliers'!$S$3:$T$10,2,FALSE)))</f>
        <v/>
      </c>
      <c r="O24" s="281" t="str">
        <f>IF(OR(D24="",H24=""),"",(INDEX('G-6 Hedgerow Data'!$E$3:$I$15,MATCH(D24,'G-6 Hedgerow Data'!$B$3:$B$15,0),MATCH(H24,'G-6 Hedgerow Data'!$E$2:$I$2,0))))</f>
        <v/>
      </c>
      <c r="P24" s="137"/>
      <c r="Q24" s="137"/>
      <c r="R24" s="289" t="str">
        <f t="shared" si="1"/>
        <v/>
      </c>
      <c r="S24" s="302" t="str">
        <f t="shared" si="2"/>
        <v/>
      </c>
      <c r="T24" s="303" t="str">
        <f t="shared" si="0"/>
        <v/>
      </c>
      <c r="U24" s="317" t="str">
        <f>IF(D24="","",VLOOKUP(D24,'G-6 Hedgerow Data'!$B$3:$AG$15,31,FALSE))</f>
        <v/>
      </c>
      <c r="V24" s="301" t="str">
        <f t="shared" si="3"/>
        <v/>
      </c>
      <c r="W24" s="289" t="str">
        <f t="shared" si="4"/>
        <v/>
      </c>
      <c r="X24" s="305" t="str">
        <f>IF(F24="","",VLOOKUP(U24,'G-3 Multipliers'!$P$3:$Q$6,2,FALSE))</f>
        <v/>
      </c>
      <c r="Y24" s="309" t="str">
        <f t="shared" si="5"/>
        <v/>
      </c>
      <c r="Z24" s="309" t="str">
        <f t="shared" si="6"/>
        <v/>
      </c>
      <c r="AA24" s="105"/>
      <c r="AB24" s="968"/>
      <c r="AC24" s="142"/>
      <c r="AD24" s="142"/>
      <c r="AE24" s="964"/>
      <c r="AH24" s="30" t="str">
        <f>IFERROR(INDEX('G-6 Hedgerow Data'!$BJ$3:$BJ$15,MATCH(D24,'G-6 Hedgerow Data'!$B$3:$B$15,0)),"")</f>
        <v/>
      </c>
    </row>
    <row r="25" spans="2:34" ht="13.8" x14ac:dyDescent="0.25">
      <c r="B25" s="101">
        <v>14</v>
      </c>
      <c r="C25" s="175"/>
      <c r="D25" s="137"/>
      <c r="E25" s="119"/>
      <c r="F25" s="281" t="str">
        <f>IF(D25="","",VLOOKUP(D25,'G-6 Hedgerow Data'!$B$2:$AG$15,2,FALSE))</f>
        <v/>
      </c>
      <c r="G25" s="305" t="str">
        <f>IF(D25="","",VLOOKUP(D25,'G-6 Hedgerow Data'!$B$2:$AG$15,3,FALSE))</f>
        <v/>
      </c>
      <c r="H25" s="53"/>
      <c r="I25" s="282" t="str">
        <f>IFERROR(IF(H25="","",IF(AND(D25="Non-native and ornamental hedgerow", H25&lt;&gt;"Poor"),"Not possible ▲", (IF(AND(F25="V.Low",OR(H25="Good",H25="Moderate")),"Error ▲",VLOOKUP(H25,'G-1 All Habitats'!$Z$2:$AA$9,2,FALSE))))),"")</f>
        <v/>
      </c>
      <c r="J25" s="106"/>
      <c r="K25" s="301" t="str">
        <f>IF(J25="","",IF(VLOOKUP(J25,'G-3 Multipliers'!$L$3:$N$6,2,FALSE)=0,"Spatial Data Missing",VLOOKUP(J25,'G-3 Multipliers'!$L$3:$N$6,2,FALSE)))</f>
        <v/>
      </c>
      <c r="L25" s="305" t="str">
        <f>IF(J25="","",IF(VLOOKUP(J25,'G-3 Multipliers'!$L$3:$N$6,3,FALSE)=0,"Spatial Data Missing",VLOOKUP(J25,'G-3 Multipliers'!$L$3:$N$6,3,FALSE)))</f>
        <v/>
      </c>
      <c r="M25" s="138"/>
      <c r="N25" s="282" t="str">
        <f>IF(M25="","",IF(VLOOKUP(M25,'G-3 Multipliers'!$S$3:$T$10,2,FALSE)=0,"Spatial Data Missing ⚠",VLOOKUP(M25,'G-3 Multipliers'!$S$3:$T$10,2,FALSE)))</f>
        <v/>
      </c>
      <c r="O25" s="281" t="str">
        <f>IF(OR(D25="",H25=""),"",(INDEX('G-6 Hedgerow Data'!$E$3:$I$15,MATCH(D25,'G-6 Hedgerow Data'!$B$3:$B$15,0),MATCH(H25,'G-6 Hedgerow Data'!$E$2:$I$2,0))))</f>
        <v/>
      </c>
      <c r="P25" s="137"/>
      <c r="Q25" s="137"/>
      <c r="R25" s="289" t="str">
        <f t="shared" si="1"/>
        <v/>
      </c>
      <c r="S25" s="302" t="str">
        <f t="shared" si="2"/>
        <v/>
      </c>
      <c r="T25" s="303" t="str">
        <f t="shared" si="0"/>
        <v/>
      </c>
      <c r="U25" s="317" t="str">
        <f>IF(D25="","",VLOOKUP(D25,'G-6 Hedgerow Data'!$B$3:$AG$15,31,FALSE))</f>
        <v/>
      </c>
      <c r="V25" s="301" t="str">
        <f t="shared" si="3"/>
        <v/>
      </c>
      <c r="W25" s="289" t="str">
        <f t="shared" si="4"/>
        <v/>
      </c>
      <c r="X25" s="305" t="str">
        <f>IF(F25="","",VLOOKUP(U25,'G-3 Multipliers'!$P$3:$Q$6,2,FALSE))</f>
        <v/>
      </c>
      <c r="Y25" s="309" t="str">
        <f t="shared" si="5"/>
        <v/>
      </c>
      <c r="Z25" s="309" t="str">
        <f t="shared" si="6"/>
        <v/>
      </c>
      <c r="AA25" s="105"/>
      <c r="AB25" s="968"/>
      <c r="AC25" s="142"/>
      <c r="AD25" s="142"/>
      <c r="AE25" s="964"/>
      <c r="AH25" s="30" t="str">
        <f>IFERROR(INDEX('G-6 Hedgerow Data'!$BJ$3:$BJ$15,MATCH(D25,'G-6 Hedgerow Data'!$B$3:$B$15,0)),"")</f>
        <v/>
      </c>
    </row>
    <row r="26" spans="2:34" ht="13.8" x14ac:dyDescent="0.25">
      <c r="B26" s="101">
        <v>15</v>
      </c>
      <c r="C26" s="175"/>
      <c r="D26" s="137"/>
      <c r="E26" s="119"/>
      <c r="F26" s="281" t="str">
        <f>IF(D26="","",VLOOKUP(D26,'G-6 Hedgerow Data'!$B$2:$AG$15,2,FALSE))</f>
        <v/>
      </c>
      <c r="G26" s="305" t="str">
        <f>IF(D26="","",VLOOKUP(D26,'G-6 Hedgerow Data'!$B$2:$AG$15,3,FALSE))</f>
        <v/>
      </c>
      <c r="H26" s="53"/>
      <c r="I26" s="282" t="str">
        <f>IFERROR(IF(H26="","",IF(AND(D26="Non-native and ornamental hedgerow", H26&lt;&gt;"Poor"),"Not possible ▲", (IF(AND(F26="V.Low",OR(H26="Good",H26="Moderate")),"Error ▲",VLOOKUP(H26,'G-1 All Habitats'!$Z$2:$AA$9,2,FALSE))))),"")</f>
        <v/>
      </c>
      <c r="J26" s="106"/>
      <c r="K26" s="301" t="str">
        <f>IF(J26="","",IF(VLOOKUP(J26,'G-3 Multipliers'!$L$3:$N$6,2,FALSE)=0,"Spatial Data Missing",VLOOKUP(J26,'G-3 Multipliers'!$L$3:$N$6,2,FALSE)))</f>
        <v/>
      </c>
      <c r="L26" s="305" t="str">
        <f>IF(J26="","",IF(VLOOKUP(J26,'G-3 Multipliers'!$L$3:$N$6,3,FALSE)=0,"Spatial Data Missing",VLOOKUP(J26,'G-3 Multipliers'!$L$3:$N$6,3,FALSE)))</f>
        <v/>
      </c>
      <c r="M26" s="138"/>
      <c r="N26" s="282" t="str">
        <f>IF(M26="","",IF(VLOOKUP(M26,'G-3 Multipliers'!$S$3:$T$10,2,FALSE)=0,"Spatial Data Missing ⚠",VLOOKUP(M26,'G-3 Multipliers'!$S$3:$T$10,2,FALSE)))</f>
        <v/>
      </c>
      <c r="O26" s="281" t="str">
        <f>IF(OR(D26="",H26=""),"",(INDEX('G-6 Hedgerow Data'!$E$3:$I$15,MATCH(D26,'G-6 Hedgerow Data'!$B$3:$B$15,0),MATCH(H26,'G-6 Hedgerow Data'!$E$2:$I$2,0))))</f>
        <v/>
      </c>
      <c r="P26" s="137"/>
      <c r="Q26" s="137"/>
      <c r="R26" s="289" t="str">
        <f t="shared" si="1"/>
        <v/>
      </c>
      <c r="S26" s="302" t="str">
        <f t="shared" si="2"/>
        <v/>
      </c>
      <c r="T26" s="303" t="str">
        <f t="shared" si="0"/>
        <v/>
      </c>
      <c r="U26" s="317" t="str">
        <f>IF(D26="","",VLOOKUP(D26,'G-6 Hedgerow Data'!$B$3:$AG$15,31,FALSE))</f>
        <v/>
      </c>
      <c r="V26" s="301" t="str">
        <f t="shared" si="3"/>
        <v/>
      </c>
      <c r="W26" s="289" t="str">
        <f t="shared" si="4"/>
        <v/>
      </c>
      <c r="X26" s="305" t="str">
        <f>IF(F26="","",VLOOKUP(U26,'G-3 Multipliers'!$P$3:$Q$6,2,FALSE))</f>
        <v/>
      </c>
      <c r="Y26" s="309" t="str">
        <f t="shared" si="5"/>
        <v/>
      </c>
      <c r="Z26" s="309" t="str">
        <f t="shared" si="6"/>
        <v/>
      </c>
      <c r="AA26" s="105"/>
      <c r="AB26" s="968"/>
      <c r="AC26" s="142"/>
      <c r="AD26" s="142"/>
      <c r="AE26" s="964"/>
      <c r="AH26" s="30" t="str">
        <f>IFERROR(INDEX('G-6 Hedgerow Data'!$BJ$3:$BJ$15,MATCH(D26,'G-6 Hedgerow Data'!$B$3:$B$15,0)),"")</f>
        <v/>
      </c>
    </row>
    <row r="27" spans="2:34" ht="13.8" x14ac:dyDescent="0.25">
      <c r="B27" s="101">
        <v>16</v>
      </c>
      <c r="C27" s="175"/>
      <c r="D27" s="137"/>
      <c r="E27" s="119"/>
      <c r="F27" s="281" t="str">
        <f>IF(D27="","",VLOOKUP(D27,'G-6 Hedgerow Data'!$B$2:$AG$15,2,FALSE))</f>
        <v/>
      </c>
      <c r="G27" s="305" t="str">
        <f>IF(D27="","",VLOOKUP(D27,'G-6 Hedgerow Data'!$B$2:$AG$15,3,FALSE))</f>
        <v/>
      </c>
      <c r="H27" s="53"/>
      <c r="I27" s="282" t="str">
        <f>IFERROR(IF(H27="","",IF(AND(D27="Non-native and ornamental hedgerow", H27&lt;&gt;"Poor"),"Not possible ▲", (IF(AND(F27="V.Low",OR(H27="Good",H27="Moderate")),"Error ▲",VLOOKUP(H27,'G-1 All Habitats'!$Z$2:$AA$9,2,FALSE))))),"")</f>
        <v/>
      </c>
      <c r="J27" s="106"/>
      <c r="K27" s="301" t="str">
        <f>IF(J27="","",IF(VLOOKUP(J27,'G-3 Multipliers'!$L$3:$N$6,2,FALSE)=0,"Spatial Data Missing",VLOOKUP(J27,'G-3 Multipliers'!$L$3:$N$6,2,FALSE)))</f>
        <v/>
      </c>
      <c r="L27" s="305" t="str">
        <f>IF(J27="","",IF(VLOOKUP(J27,'G-3 Multipliers'!$L$3:$N$6,3,FALSE)=0,"Spatial Data Missing",VLOOKUP(J27,'G-3 Multipliers'!$L$3:$N$6,3,FALSE)))</f>
        <v/>
      </c>
      <c r="M27" s="138"/>
      <c r="N27" s="282" t="str">
        <f>IF(M27="","",IF(VLOOKUP(M27,'G-3 Multipliers'!$S$3:$T$10,2,FALSE)=0,"Spatial Data Missing ⚠",VLOOKUP(M27,'G-3 Multipliers'!$S$3:$T$10,2,FALSE)))</f>
        <v/>
      </c>
      <c r="O27" s="281" t="str">
        <f>IF(OR(D27="",H27=""),"",(INDEX('G-6 Hedgerow Data'!$E$3:$I$15,MATCH(D27,'G-6 Hedgerow Data'!$B$3:$B$15,0),MATCH(H27,'G-6 Hedgerow Data'!$E$2:$I$2,0))))</f>
        <v/>
      </c>
      <c r="P27" s="137"/>
      <c r="Q27" s="137"/>
      <c r="R27" s="289" t="str">
        <f t="shared" si="1"/>
        <v/>
      </c>
      <c r="S27" s="302" t="str">
        <f t="shared" si="2"/>
        <v/>
      </c>
      <c r="T27" s="303" t="str">
        <f t="shared" si="0"/>
        <v/>
      </c>
      <c r="U27" s="317" t="str">
        <f>IF(D27="","",VLOOKUP(D27,'G-6 Hedgerow Data'!$B$3:$AG$15,31,FALSE))</f>
        <v/>
      </c>
      <c r="V27" s="301" t="str">
        <f t="shared" si="3"/>
        <v/>
      </c>
      <c r="W27" s="289" t="str">
        <f t="shared" si="4"/>
        <v/>
      </c>
      <c r="X27" s="305" t="str">
        <f>IF(F27="","",VLOOKUP(U27,'G-3 Multipliers'!$P$3:$Q$6,2,FALSE))</f>
        <v/>
      </c>
      <c r="Y27" s="309" t="str">
        <f t="shared" si="5"/>
        <v/>
      </c>
      <c r="Z27" s="309" t="str">
        <f t="shared" si="6"/>
        <v/>
      </c>
      <c r="AA27" s="105"/>
      <c r="AB27" s="968"/>
      <c r="AC27" s="142"/>
      <c r="AD27" s="142"/>
      <c r="AE27" s="964"/>
      <c r="AH27" s="30" t="str">
        <f>IFERROR(INDEX('G-6 Hedgerow Data'!$BJ$3:$BJ$15,MATCH(D27,'G-6 Hedgerow Data'!$B$3:$B$15,0)),"")</f>
        <v/>
      </c>
    </row>
    <row r="28" spans="2:34" ht="13.8" x14ac:dyDescent="0.25">
      <c r="B28" s="101">
        <v>17</v>
      </c>
      <c r="C28" s="175"/>
      <c r="D28" s="58"/>
      <c r="E28" s="142"/>
      <c r="F28" s="281" t="str">
        <f>IF(D28="","",VLOOKUP(D28,'G-6 Hedgerow Data'!$B$2:$AG$15,2,FALSE))</f>
        <v/>
      </c>
      <c r="G28" s="305" t="str">
        <f>IF(D28="","",VLOOKUP(D28,'G-6 Hedgerow Data'!$B$2:$AG$15,3,FALSE))</f>
        <v/>
      </c>
      <c r="H28" s="53"/>
      <c r="I28" s="282" t="str">
        <f>IFERROR(IF(H28="","",IF(AND(D28="Non-native and ornamental hedgerow", H28&lt;&gt;"Poor"),"Not possible ▲", (IF(AND(F28="V.Low",OR(H28="Good",H28="Moderate")),"Error ▲",VLOOKUP(H28,'G-1 All Habitats'!$Z$2:$AA$9,2,FALSE))))),"")</f>
        <v/>
      </c>
      <c r="J28" s="106"/>
      <c r="K28" s="301" t="str">
        <f>IF(J28="","",IF(VLOOKUP(J28,'G-3 Multipliers'!$L$3:$N$6,2,FALSE)=0,"Spatial Data Missing",VLOOKUP(J28,'G-3 Multipliers'!$L$3:$N$6,2,FALSE)))</f>
        <v/>
      </c>
      <c r="L28" s="305" t="str">
        <f>IF(J28="","",IF(VLOOKUP(J28,'G-3 Multipliers'!$L$3:$N$6,3,FALSE)=0,"Spatial Data Missing",VLOOKUP(J28,'G-3 Multipliers'!$L$3:$N$6,3,FALSE)))</f>
        <v/>
      </c>
      <c r="M28" s="138"/>
      <c r="N28" s="282" t="str">
        <f>IF(M28="","",IF(VLOOKUP(M28,'G-3 Multipliers'!$S$3:$T$10,2,FALSE)=0,"Spatial Data Missing ⚠",VLOOKUP(M28,'G-3 Multipliers'!$S$3:$T$10,2,FALSE)))</f>
        <v/>
      </c>
      <c r="O28" s="281" t="str">
        <f>IF(OR(D28="",H28=""),"",(INDEX('G-6 Hedgerow Data'!$E$3:$I$15,MATCH(D28,'G-6 Hedgerow Data'!$B$3:$B$15,0),MATCH(H28,'G-6 Hedgerow Data'!$E$2:$I$2,0))))</f>
        <v/>
      </c>
      <c r="P28" s="137"/>
      <c r="Q28" s="137"/>
      <c r="R28" s="289" t="str">
        <f t="shared" si="1"/>
        <v/>
      </c>
      <c r="S28" s="302" t="str">
        <f t="shared" si="2"/>
        <v/>
      </c>
      <c r="T28" s="303" t="str">
        <f t="shared" si="0"/>
        <v/>
      </c>
      <c r="U28" s="317" t="str">
        <f>IF(D28="","",VLOOKUP(D28,'G-6 Hedgerow Data'!$B$3:$AG$15,31,FALSE))</f>
        <v/>
      </c>
      <c r="V28" s="301" t="str">
        <f t="shared" si="3"/>
        <v/>
      </c>
      <c r="W28" s="289" t="str">
        <f t="shared" si="4"/>
        <v/>
      </c>
      <c r="X28" s="305" t="str">
        <f>IF(F28="","",VLOOKUP(U28,'G-3 Multipliers'!$P$3:$Q$6,2,FALSE))</f>
        <v/>
      </c>
      <c r="Y28" s="309" t="str">
        <f t="shared" si="5"/>
        <v/>
      </c>
      <c r="Z28" s="309" t="str">
        <f t="shared" si="6"/>
        <v/>
      </c>
      <c r="AA28" s="105"/>
      <c r="AB28" s="968"/>
      <c r="AC28" s="142"/>
      <c r="AD28" s="142"/>
      <c r="AE28" s="964"/>
      <c r="AH28" s="30" t="str">
        <f>IFERROR(INDEX('G-6 Hedgerow Data'!$BJ$3:$BJ$15,MATCH(D28,'G-6 Hedgerow Data'!$B$3:$B$15,0)),"")</f>
        <v/>
      </c>
    </row>
    <row r="29" spans="2:34" ht="13.8" x14ac:dyDescent="0.25">
      <c r="B29" s="101">
        <v>18</v>
      </c>
      <c r="C29" s="175"/>
      <c r="D29" s="58"/>
      <c r="E29" s="142"/>
      <c r="F29" s="281" t="str">
        <f>IF(D29="","",VLOOKUP(D29,'G-6 Hedgerow Data'!$B$2:$AG$15,2,FALSE))</f>
        <v/>
      </c>
      <c r="G29" s="305" t="str">
        <f>IF(D29="","",VLOOKUP(D29,'G-6 Hedgerow Data'!$B$2:$AG$15,3,FALSE))</f>
        <v/>
      </c>
      <c r="H29" s="53"/>
      <c r="I29" s="282" t="str">
        <f>IFERROR(IF(H29="","",IF(AND(D29="Non-native and ornamental hedgerow", H29&lt;&gt;"Poor"),"Not possible ▲", (IF(AND(F29="V.Low",OR(H29="Good",H29="Moderate")),"Error ▲",VLOOKUP(H29,'G-1 All Habitats'!$Z$2:$AA$9,2,FALSE))))),"")</f>
        <v/>
      </c>
      <c r="J29" s="106"/>
      <c r="K29" s="301" t="str">
        <f>IF(J29="","",IF(VLOOKUP(J29,'G-3 Multipliers'!$L$3:$N$6,2,FALSE)=0,"Spatial Data Missing",VLOOKUP(J29,'G-3 Multipliers'!$L$3:$N$6,2,FALSE)))</f>
        <v/>
      </c>
      <c r="L29" s="305" t="str">
        <f>IF(J29="","",IF(VLOOKUP(J29,'G-3 Multipliers'!$L$3:$N$6,3,FALSE)=0,"Spatial Data Missing",VLOOKUP(J29,'G-3 Multipliers'!$L$3:$N$6,3,FALSE)))</f>
        <v/>
      </c>
      <c r="M29" s="138"/>
      <c r="N29" s="282" t="str">
        <f>IF(M29="","",IF(VLOOKUP(M29,'G-3 Multipliers'!$S$3:$T$10,2,FALSE)=0,"Spatial Data Missing ⚠",VLOOKUP(M29,'G-3 Multipliers'!$S$3:$T$10,2,FALSE)))</f>
        <v/>
      </c>
      <c r="O29" s="281" t="str">
        <f>IF(OR(D29="",H29=""),"",(INDEX('G-6 Hedgerow Data'!$E$3:$I$15,MATCH(D29,'G-6 Hedgerow Data'!$B$3:$B$15,0),MATCH(H29,'G-6 Hedgerow Data'!$E$2:$I$2,0))))</f>
        <v/>
      </c>
      <c r="P29" s="137"/>
      <c r="Q29" s="137"/>
      <c r="R29" s="289" t="str">
        <f t="shared" si="1"/>
        <v/>
      </c>
      <c r="S29" s="302" t="str">
        <f t="shared" si="2"/>
        <v/>
      </c>
      <c r="T29" s="303" t="str">
        <f t="shared" si="0"/>
        <v/>
      </c>
      <c r="U29" s="317" t="str">
        <f>IF(D29="","",VLOOKUP(D29,'G-6 Hedgerow Data'!$B$3:$AG$15,31,FALSE))</f>
        <v/>
      </c>
      <c r="V29" s="301" t="str">
        <f t="shared" si="3"/>
        <v/>
      </c>
      <c r="W29" s="289" t="str">
        <f t="shared" si="4"/>
        <v/>
      </c>
      <c r="X29" s="305" t="str">
        <f>IF(F29="","",VLOOKUP(U29,'G-3 Multipliers'!$P$3:$Q$6,2,FALSE))</f>
        <v/>
      </c>
      <c r="Y29" s="309" t="str">
        <f t="shared" si="5"/>
        <v/>
      </c>
      <c r="Z29" s="309" t="str">
        <f t="shared" si="6"/>
        <v/>
      </c>
      <c r="AA29" s="105"/>
      <c r="AB29" s="968"/>
      <c r="AC29" s="142"/>
      <c r="AD29" s="142"/>
      <c r="AE29" s="964"/>
      <c r="AH29" s="30" t="str">
        <f>IFERROR(INDEX('G-6 Hedgerow Data'!$BJ$3:$BJ$15,MATCH(D29,'G-6 Hedgerow Data'!$B$3:$B$15,0)),"")</f>
        <v/>
      </c>
    </row>
    <row r="30" spans="2:34" ht="13.8" x14ac:dyDescent="0.25">
      <c r="B30" s="101">
        <v>19</v>
      </c>
      <c r="C30" s="175"/>
      <c r="D30" s="58"/>
      <c r="E30" s="142"/>
      <c r="F30" s="281" t="str">
        <f>IF(D30="","",VLOOKUP(D30,'G-6 Hedgerow Data'!$B$2:$AG$15,2,FALSE))</f>
        <v/>
      </c>
      <c r="G30" s="305" t="str">
        <f>IF(D30="","",VLOOKUP(D30,'G-6 Hedgerow Data'!$B$2:$AG$15,3,FALSE))</f>
        <v/>
      </c>
      <c r="H30" s="53"/>
      <c r="I30" s="282" t="str">
        <f>IFERROR(IF(H30="","",IF(AND(D30="Non-native and ornamental hedgerow", H30&lt;&gt;"Poor"),"Not possible ▲", (IF(AND(F30="V.Low",OR(H30="Good",H30="Moderate")),"Error ▲",VLOOKUP(H30,'G-1 All Habitats'!$Z$2:$AA$9,2,FALSE))))),"")</f>
        <v/>
      </c>
      <c r="J30" s="106"/>
      <c r="K30" s="301" t="str">
        <f>IF(J30="","",IF(VLOOKUP(J30,'G-3 Multipliers'!$L$3:$N$6,2,FALSE)=0,"Spatial Data Missing",VLOOKUP(J30,'G-3 Multipliers'!$L$3:$N$6,2,FALSE)))</f>
        <v/>
      </c>
      <c r="L30" s="305" t="str">
        <f>IF(J30="","",IF(VLOOKUP(J30,'G-3 Multipliers'!$L$3:$N$6,3,FALSE)=0,"Spatial Data Missing",VLOOKUP(J30,'G-3 Multipliers'!$L$3:$N$6,3,FALSE)))</f>
        <v/>
      </c>
      <c r="M30" s="138"/>
      <c r="N30" s="282" t="str">
        <f>IF(M30="","",IF(VLOOKUP(M30,'G-3 Multipliers'!$S$3:$T$10,2,FALSE)=0,"Spatial Data Missing ⚠",VLOOKUP(M30,'G-3 Multipliers'!$S$3:$T$10,2,FALSE)))</f>
        <v/>
      </c>
      <c r="O30" s="281" t="str">
        <f>IF(OR(D30="",H30=""),"",(INDEX('G-6 Hedgerow Data'!$E$3:$I$15,MATCH(D30,'G-6 Hedgerow Data'!$B$3:$B$15,0),MATCH(H30,'G-6 Hedgerow Data'!$E$2:$I$2,0))))</f>
        <v/>
      </c>
      <c r="P30" s="137"/>
      <c r="Q30" s="137"/>
      <c r="R30" s="289" t="str">
        <f t="shared" si="1"/>
        <v/>
      </c>
      <c r="S30" s="302" t="str">
        <f t="shared" si="2"/>
        <v/>
      </c>
      <c r="T30" s="303" t="str">
        <f t="shared" si="0"/>
        <v/>
      </c>
      <c r="U30" s="317" t="str">
        <f>IF(D30="","",VLOOKUP(D30,'G-6 Hedgerow Data'!$B$3:$AG$15,31,FALSE))</f>
        <v/>
      </c>
      <c r="V30" s="301" t="str">
        <f t="shared" si="3"/>
        <v/>
      </c>
      <c r="W30" s="289" t="str">
        <f t="shared" si="4"/>
        <v/>
      </c>
      <c r="X30" s="305" t="str">
        <f>IF(F30="","",VLOOKUP(U30,'G-3 Multipliers'!$P$3:$Q$6,2,FALSE))</f>
        <v/>
      </c>
      <c r="Y30" s="309" t="str">
        <f t="shared" si="5"/>
        <v/>
      </c>
      <c r="Z30" s="309" t="str">
        <f t="shared" si="6"/>
        <v/>
      </c>
      <c r="AA30" s="105"/>
      <c r="AB30" s="968"/>
      <c r="AC30" s="142"/>
      <c r="AD30" s="142"/>
      <c r="AE30" s="964"/>
      <c r="AH30" s="30" t="str">
        <f>IFERROR(INDEX('G-6 Hedgerow Data'!$BJ$3:$BJ$15,MATCH(D30,'G-6 Hedgerow Data'!$B$3:$B$15,0)),"")</f>
        <v/>
      </c>
    </row>
    <row r="31" spans="2:34" ht="13.8" x14ac:dyDescent="0.25">
      <c r="B31" s="101">
        <v>20</v>
      </c>
      <c r="C31" s="175"/>
      <c r="D31" s="58"/>
      <c r="E31" s="142"/>
      <c r="F31" s="281" t="str">
        <f>IF(D31="","",VLOOKUP(D31,'G-6 Hedgerow Data'!$B$2:$AG$15,2,FALSE))</f>
        <v/>
      </c>
      <c r="G31" s="305" t="str">
        <f>IF(D31="","",VLOOKUP(D31,'G-6 Hedgerow Data'!$B$2:$AG$15,3,FALSE))</f>
        <v/>
      </c>
      <c r="H31" s="53"/>
      <c r="I31" s="282" t="str">
        <f>IFERROR(IF(H31="","",IF(AND(D31="Non-native and ornamental hedgerow", H31&lt;&gt;"Poor"),"Not possible ▲", (IF(AND(F31="V.Low",OR(H31="Good",H31="Moderate")),"Error ▲",VLOOKUP(H31,'G-1 All Habitats'!$Z$2:$AA$9,2,FALSE))))),"")</f>
        <v/>
      </c>
      <c r="J31" s="106"/>
      <c r="K31" s="301" t="str">
        <f>IF(J31="","",IF(VLOOKUP(J31,'G-3 Multipliers'!$L$3:$N$6,2,FALSE)=0,"Spatial Data Missing",VLOOKUP(J31,'G-3 Multipliers'!$L$3:$N$6,2,FALSE)))</f>
        <v/>
      </c>
      <c r="L31" s="305" t="str">
        <f>IF(J31="","",IF(VLOOKUP(J31,'G-3 Multipliers'!$L$3:$N$6,3,FALSE)=0,"Spatial Data Missing",VLOOKUP(J31,'G-3 Multipliers'!$L$3:$N$6,3,FALSE)))</f>
        <v/>
      </c>
      <c r="M31" s="138"/>
      <c r="N31" s="282" t="str">
        <f>IF(M31="","",IF(VLOOKUP(M31,'G-3 Multipliers'!$S$3:$T$10,2,FALSE)=0,"Spatial Data Missing ⚠",VLOOKUP(M31,'G-3 Multipliers'!$S$3:$T$10,2,FALSE)))</f>
        <v/>
      </c>
      <c r="O31" s="281" t="str">
        <f>IF(OR(D31="",H31=""),"",(INDEX('G-6 Hedgerow Data'!$E$3:$I$15,MATCH(D31,'G-6 Hedgerow Data'!$B$3:$B$15,0),MATCH(H31,'G-6 Hedgerow Data'!$E$2:$I$2,0))))</f>
        <v/>
      </c>
      <c r="P31" s="137"/>
      <c r="Q31" s="137"/>
      <c r="R31" s="289" t="str">
        <f t="shared" si="1"/>
        <v/>
      </c>
      <c r="S31" s="302" t="str">
        <f t="shared" si="2"/>
        <v/>
      </c>
      <c r="T31" s="303" t="str">
        <f t="shared" si="0"/>
        <v/>
      </c>
      <c r="U31" s="317" t="str">
        <f>IF(D31="","",VLOOKUP(D31,'G-6 Hedgerow Data'!$B$3:$AG$15,31,FALSE))</f>
        <v/>
      </c>
      <c r="V31" s="301" t="str">
        <f t="shared" si="3"/>
        <v/>
      </c>
      <c r="W31" s="289" t="str">
        <f t="shared" si="4"/>
        <v/>
      </c>
      <c r="X31" s="305" t="str">
        <f>IF(F31="","",VLOOKUP(U31,'G-3 Multipliers'!$P$3:$Q$6,2,FALSE))</f>
        <v/>
      </c>
      <c r="Y31" s="309" t="str">
        <f t="shared" si="5"/>
        <v/>
      </c>
      <c r="Z31" s="309" t="str">
        <f t="shared" si="6"/>
        <v/>
      </c>
      <c r="AA31" s="105"/>
      <c r="AB31" s="968"/>
      <c r="AC31" s="142"/>
      <c r="AD31" s="142"/>
      <c r="AE31" s="964"/>
      <c r="AH31" s="30" t="str">
        <f>IFERROR(INDEX('G-6 Hedgerow Data'!$BJ$3:$BJ$15,MATCH(D31,'G-6 Hedgerow Data'!$B$3:$B$15,0)),"")</f>
        <v/>
      </c>
    </row>
    <row r="32" spans="2:34" ht="13.8" x14ac:dyDescent="0.25">
      <c r="B32" s="101">
        <v>21</v>
      </c>
      <c r="C32" s="175"/>
      <c r="D32" s="58"/>
      <c r="E32" s="142"/>
      <c r="F32" s="281" t="str">
        <f>IF(D32="","",VLOOKUP(D32,'G-6 Hedgerow Data'!$B$2:$AG$15,2,FALSE))</f>
        <v/>
      </c>
      <c r="G32" s="305" t="str">
        <f>IF(D32="","",VLOOKUP(D32,'G-6 Hedgerow Data'!$B$2:$AG$15,3,FALSE))</f>
        <v/>
      </c>
      <c r="H32" s="53"/>
      <c r="I32" s="282" t="str">
        <f>IFERROR(IF(H32="","",IF(AND(D32="Non-native and ornamental hedgerow", H32&lt;&gt;"Poor"),"Not possible ▲", (IF(AND(F32="V.Low",OR(H32="Good",H32="Moderate")),"Error ▲",VLOOKUP(H32,'G-1 All Habitats'!$Z$2:$AA$9,2,FALSE))))),"")</f>
        <v/>
      </c>
      <c r="J32" s="106"/>
      <c r="K32" s="301" t="str">
        <f>IF(J32="","",IF(VLOOKUP(J32,'G-3 Multipliers'!$L$3:$N$6,2,FALSE)=0,"Spatial Data Missing",VLOOKUP(J32,'G-3 Multipliers'!$L$3:$N$6,2,FALSE)))</f>
        <v/>
      </c>
      <c r="L32" s="305" t="str">
        <f>IF(J32="","",IF(VLOOKUP(J32,'G-3 Multipliers'!$L$3:$N$6,3,FALSE)=0,"Spatial Data Missing",VLOOKUP(J32,'G-3 Multipliers'!$L$3:$N$6,3,FALSE)))</f>
        <v/>
      </c>
      <c r="M32" s="138"/>
      <c r="N32" s="282" t="str">
        <f>IF(M32="","",IF(VLOOKUP(M32,'G-3 Multipliers'!$S$3:$T$10,2,FALSE)=0,"Spatial Data Missing ⚠",VLOOKUP(M32,'G-3 Multipliers'!$S$3:$T$10,2,FALSE)))</f>
        <v/>
      </c>
      <c r="O32" s="281" t="str">
        <f>IF(OR(D32="",H32=""),"",(INDEX('G-6 Hedgerow Data'!$E$3:$I$15,MATCH(D32,'G-6 Hedgerow Data'!$B$3:$B$15,0),MATCH(H32,'G-6 Hedgerow Data'!$E$2:$I$2,0))))</f>
        <v/>
      </c>
      <c r="P32" s="137"/>
      <c r="Q32" s="137"/>
      <c r="R32" s="289" t="str">
        <f t="shared" si="1"/>
        <v/>
      </c>
      <c r="S32" s="302" t="str">
        <f t="shared" si="2"/>
        <v/>
      </c>
      <c r="T32" s="303" t="str">
        <f t="shared" si="0"/>
        <v/>
      </c>
      <c r="U32" s="317" t="str">
        <f>IF(D32="","",VLOOKUP(D32,'G-6 Hedgerow Data'!$B$3:$AG$15,31,FALSE))</f>
        <v/>
      </c>
      <c r="V32" s="301" t="str">
        <f t="shared" si="3"/>
        <v/>
      </c>
      <c r="W32" s="289" t="str">
        <f t="shared" si="4"/>
        <v/>
      </c>
      <c r="X32" s="305" t="str">
        <f>IF(F32="","",VLOOKUP(U32,'G-3 Multipliers'!$P$3:$Q$6,2,FALSE))</f>
        <v/>
      </c>
      <c r="Y32" s="309" t="str">
        <f t="shared" si="5"/>
        <v/>
      </c>
      <c r="Z32" s="309" t="str">
        <f t="shared" si="6"/>
        <v/>
      </c>
      <c r="AA32" s="105"/>
      <c r="AB32" s="968"/>
      <c r="AC32" s="142"/>
      <c r="AD32" s="142"/>
      <c r="AE32" s="964"/>
      <c r="AH32" s="30" t="str">
        <f>IFERROR(INDEX('G-6 Hedgerow Data'!$BJ$3:$BJ$15,MATCH(D32,'G-6 Hedgerow Data'!$B$3:$B$15,0)),"")</f>
        <v/>
      </c>
    </row>
    <row r="33" spans="2:34" ht="13.8" x14ac:dyDescent="0.25">
      <c r="B33" s="101">
        <v>22</v>
      </c>
      <c r="C33" s="175"/>
      <c r="D33" s="58"/>
      <c r="E33" s="142"/>
      <c r="F33" s="281" t="str">
        <f>IF(D33="","",VLOOKUP(D33,'G-6 Hedgerow Data'!$B$2:$AG$15,2,FALSE))</f>
        <v/>
      </c>
      <c r="G33" s="305" t="str">
        <f>IF(D33="","",VLOOKUP(D33,'G-6 Hedgerow Data'!$B$2:$AG$15,3,FALSE))</f>
        <v/>
      </c>
      <c r="H33" s="53"/>
      <c r="I33" s="282" t="str">
        <f>IFERROR(IF(H33="","",IF(AND(D33="Non-native and ornamental hedgerow", H33&lt;&gt;"Poor"),"Not possible ▲", (IF(AND(F33="V.Low",OR(H33="Good",H33="Moderate")),"Error ▲",VLOOKUP(H33,'G-1 All Habitats'!$Z$2:$AA$9,2,FALSE))))),"")</f>
        <v/>
      </c>
      <c r="J33" s="106"/>
      <c r="K33" s="301" t="str">
        <f>IF(J33="","",IF(VLOOKUP(J33,'G-3 Multipliers'!$L$3:$N$6,2,FALSE)=0,"Spatial Data Missing",VLOOKUP(J33,'G-3 Multipliers'!$L$3:$N$6,2,FALSE)))</f>
        <v/>
      </c>
      <c r="L33" s="305" t="str">
        <f>IF(J33="","",IF(VLOOKUP(J33,'G-3 Multipliers'!$L$3:$N$6,3,FALSE)=0,"Spatial Data Missing",VLOOKUP(J33,'G-3 Multipliers'!$L$3:$N$6,3,FALSE)))</f>
        <v/>
      </c>
      <c r="M33" s="138"/>
      <c r="N33" s="282" t="str">
        <f>IF(M33="","",IF(VLOOKUP(M33,'G-3 Multipliers'!$S$3:$T$10,2,FALSE)=0,"Spatial Data Missing ⚠",VLOOKUP(M33,'G-3 Multipliers'!$S$3:$T$10,2,FALSE)))</f>
        <v/>
      </c>
      <c r="O33" s="281" t="str">
        <f>IF(OR(D33="",H33=""),"",(INDEX('G-6 Hedgerow Data'!$E$3:$I$15,MATCH(D33,'G-6 Hedgerow Data'!$B$3:$B$15,0),MATCH(H33,'G-6 Hedgerow Data'!$E$2:$I$2,0))))</f>
        <v/>
      </c>
      <c r="P33" s="137"/>
      <c r="Q33" s="137"/>
      <c r="R33" s="289" t="str">
        <f t="shared" si="1"/>
        <v/>
      </c>
      <c r="S33" s="302" t="str">
        <f t="shared" si="2"/>
        <v/>
      </c>
      <c r="T33" s="303" t="str">
        <f t="shared" si="0"/>
        <v/>
      </c>
      <c r="U33" s="317" t="str">
        <f>IF(D33="","",VLOOKUP(D33,'G-6 Hedgerow Data'!$B$3:$AG$15,31,FALSE))</f>
        <v/>
      </c>
      <c r="V33" s="301" t="str">
        <f t="shared" si="3"/>
        <v/>
      </c>
      <c r="W33" s="289" t="str">
        <f t="shared" si="4"/>
        <v/>
      </c>
      <c r="X33" s="305" t="str">
        <f>IF(F33="","",VLOOKUP(U33,'G-3 Multipliers'!$P$3:$Q$6,2,FALSE))</f>
        <v/>
      </c>
      <c r="Y33" s="309" t="str">
        <f t="shared" si="5"/>
        <v/>
      </c>
      <c r="Z33" s="309" t="str">
        <f t="shared" si="6"/>
        <v/>
      </c>
      <c r="AA33" s="105"/>
      <c r="AB33" s="968"/>
      <c r="AC33" s="142"/>
      <c r="AD33" s="142"/>
      <c r="AE33" s="964"/>
      <c r="AH33" s="30" t="str">
        <f>IFERROR(INDEX('G-6 Hedgerow Data'!$BJ$3:$BJ$15,MATCH(D33,'G-6 Hedgerow Data'!$B$3:$B$15,0)),"")</f>
        <v/>
      </c>
    </row>
    <row r="34" spans="2:34" ht="13.8" x14ac:dyDescent="0.25">
      <c r="B34" s="101">
        <v>23</v>
      </c>
      <c r="C34" s="175"/>
      <c r="D34" s="58"/>
      <c r="E34" s="142"/>
      <c r="F34" s="281" t="str">
        <f>IF(D34="","",VLOOKUP(D34,'G-6 Hedgerow Data'!$B$2:$AG$15,2,FALSE))</f>
        <v/>
      </c>
      <c r="G34" s="305" t="str">
        <f>IF(D34="","",VLOOKUP(D34,'G-6 Hedgerow Data'!$B$2:$AG$15,3,FALSE))</f>
        <v/>
      </c>
      <c r="H34" s="53"/>
      <c r="I34" s="282" t="str">
        <f>IFERROR(IF(H34="","",IF(AND(D34="Non-native and ornamental hedgerow", H34&lt;&gt;"Poor"),"Not possible ▲", (IF(AND(F34="V.Low",OR(H34="Good",H34="Moderate")),"Error ▲",VLOOKUP(H34,'G-1 All Habitats'!$Z$2:$AA$9,2,FALSE))))),"")</f>
        <v/>
      </c>
      <c r="J34" s="106"/>
      <c r="K34" s="301" t="str">
        <f>IF(J34="","",IF(VLOOKUP(J34,'G-3 Multipliers'!$L$3:$N$6,2,FALSE)=0,"Spatial Data Missing",VLOOKUP(J34,'G-3 Multipliers'!$L$3:$N$6,2,FALSE)))</f>
        <v/>
      </c>
      <c r="L34" s="305" t="str">
        <f>IF(J34="","",IF(VLOOKUP(J34,'G-3 Multipliers'!$L$3:$N$6,3,FALSE)=0,"Spatial Data Missing",VLOOKUP(J34,'G-3 Multipliers'!$L$3:$N$6,3,FALSE)))</f>
        <v/>
      </c>
      <c r="M34" s="138"/>
      <c r="N34" s="282" t="str">
        <f>IF(M34="","",IF(VLOOKUP(M34,'G-3 Multipliers'!$S$3:$T$10,2,FALSE)=0,"Spatial Data Missing ⚠",VLOOKUP(M34,'G-3 Multipliers'!$S$3:$T$10,2,FALSE)))</f>
        <v/>
      </c>
      <c r="O34" s="281" t="str">
        <f>IF(OR(D34="",H34=""),"",(INDEX('G-6 Hedgerow Data'!$E$3:$I$15,MATCH(D34,'G-6 Hedgerow Data'!$B$3:$B$15,0),MATCH(H34,'G-6 Hedgerow Data'!$E$2:$I$2,0))))</f>
        <v/>
      </c>
      <c r="P34" s="137"/>
      <c r="Q34" s="137"/>
      <c r="R34" s="289" t="str">
        <f t="shared" si="1"/>
        <v/>
      </c>
      <c r="S34" s="302" t="str">
        <f t="shared" si="2"/>
        <v/>
      </c>
      <c r="T34" s="303" t="str">
        <f t="shared" si="0"/>
        <v/>
      </c>
      <c r="U34" s="317" t="str">
        <f>IF(D34="","",VLOOKUP(D34,'G-6 Hedgerow Data'!$B$3:$AG$15,31,FALSE))</f>
        <v/>
      </c>
      <c r="V34" s="301" t="str">
        <f t="shared" si="3"/>
        <v/>
      </c>
      <c r="W34" s="289" t="str">
        <f t="shared" si="4"/>
        <v/>
      </c>
      <c r="X34" s="305" t="str">
        <f>IF(F34="","",VLOOKUP(U34,'G-3 Multipliers'!$P$3:$Q$6,2,FALSE))</f>
        <v/>
      </c>
      <c r="Y34" s="309" t="str">
        <f t="shared" si="5"/>
        <v/>
      </c>
      <c r="Z34" s="309" t="str">
        <f t="shared" si="6"/>
        <v/>
      </c>
      <c r="AA34" s="105"/>
      <c r="AB34" s="968"/>
      <c r="AC34" s="142"/>
      <c r="AD34" s="142"/>
      <c r="AE34" s="964"/>
      <c r="AH34" s="30" t="str">
        <f>IFERROR(INDEX('G-6 Hedgerow Data'!$BJ$3:$BJ$15,MATCH(D34,'G-6 Hedgerow Data'!$B$3:$B$15,0)),"")</f>
        <v/>
      </c>
    </row>
    <row r="35" spans="2:34" ht="13.8" x14ac:dyDescent="0.25">
      <c r="B35" s="101">
        <v>24</v>
      </c>
      <c r="C35" s="175"/>
      <c r="D35" s="58"/>
      <c r="E35" s="142"/>
      <c r="F35" s="281" t="str">
        <f>IF(D35="","",VLOOKUP(D35,'G-6 Hedgerow Data'!$B$2:$AG$15,2,FALSE))</f>
        <v/>
      </c>
      <c r="G35" s="305" t="str">
        <f>IF(D35="","",VLOOKUP(D35,'G-6 Hedgerow Data'!$B$2:$AG$15,3,FALSE))</f>
        <v/>
      </c>
      <c r="H35" s="53"/>
      <c r="I35" s="282" t="str">
        <f>IFERROR(IF(H35="","",IF(AND(D35="Non-native and ornamental hedgerow", H35&lt;&gt;"Poor"),"Not possible ▲", (IF(AND(F35="V.Low",OR(H35="Good",H35="Moderate")),"Error ▲",VLOOKUP(H35,'G-1 All Habitats'!$Z$2:$AA$9,2,FALSE))))),"")</f>
        <v/>
      </c>
      <c r="J35" s="106"/>
      <c r="K35" s="301" t="str">
        <f>IF(J35="","",IF(VLOOKUP(J35,'G-3 Multipliers'!$L$3:$N$6,2,FALSE)=0,"Spatial Data Missing",VLOOKUP(J35,'G-3 Multipliers'!$L$3:$N$6,2,FALSE)))</f>
        <v/>
      </c>
      <c r="L35" s="305" t="str">
        <f>IF(J35="","",IF(VLOOKUP(J35,'G-3 Multipliers'!$L$3:$N$6,3,FALSE)=0,"Spatial Data Missing",VLOOKUP(J35,'G-3 Multipliers'!$L$3:$N$6,3,FALSE)))</f>
        <v/>
      </c>
      <c r="M35" s="138"/>
      <c r="N35" s="282" t="str">
        <f>IF(M35="","",IF(VLOOKUP(M35,'G-3 Multipliers'!$S$3:$T$10,2,FALSE)=0,"Spatial Data Missing ⚠",VLOOKUP(M35,'G-3 Multipliers'!$S$3:$T$10,2,FALSE)))</f>
        <v/>
      </c>
      <c r="O35" s="281" t="str">
        <f>IF(OR(D35="",H35=""),"",(INDEX('G-6 Hedgerow Data'!$E$3:$I$15,MATCH(D35,'G-6 Hedgerow Data'!$B$3:$B$15,0),MATCH(H35,'G-6 Hedgerow Data'!$E$2:$I$2,0))))</f>
        <v/>
      </c>
      <c r="P35" s="137"/>
      <c r="Q35" s="137"/>
      <c r="R35" s="289" t="str">
        <f t="shared" si="1"/>
        <v/>
      </c>
      <c r="S35" s="302" t="str">
        <f t="shared" si="2"/>
        <v/>
      </c>
      <c r="T35" s="303" t="str">
        <f t="shared" si="0"/>
        <v/>
      </c>
      <c r="U35" s="317" t="str">
        <f>IF(D35="","",VLOOKUP(D35,'G-6 Hedgerow Data'!$B$3:$AG$15,31,FALSE))</f>
        <v/>
      </c>
      <c r="V35" s="301" t="str">
        <f t="shared" si="3"/>
        <v/>
      </c>
      <c r="W35" s="289" t="str">
        <f t="shared" si="4"/>
        <v/>
      </c>
      <c r="X35" s="305" t="str">
        <f>IF(F35="","",VLOOKUP(U35,'G-3 Multipliers'!$P$3:$Q$6,2,FALSE))</f>
        <v/>
      </c>
      <c r="Y35" s="309" t="str">
        <f t="shared" si="5"/>
        <v/>
      </c>
      <c r="Z35" s="309" t="str">
        <f t="shared" si="6"/>
        <v/>
      </c>
      <c r="AA35" s="105"/>
      <c r="AB35" s="968"/>
      <c r="AC35" s="142"/>
      <c r="AD35" s="142"/>
      <c r="AE35" s="964"/>
      <c r="AH35" s="30" t="str">
        <f>IFERROR(INDEX('G-6 Hedgerow Data'!$BJ$3:$BJ$15,MATCH(D35,'G-6 Hedgerow Data'!$B$3:$B$15,0)),"")</f>
        <v/>
      </c>
    </row>
    <row r="36" spans="2:34" ht="13.8" x14ac:dyDescent="0.25">
      <c r="B36" s="101">
        <v>25</v>
      </c>
      <c r="C36" s="175"/>
      <c r="D36" s="58"/>
      <c r="E36" s="142"/>
      <c r="F36" s="281" t="str">
        <f>IF(D36="","",VLOOKUP(D36,'G-6 Hedgerow Data'!$B$2:$AG$15,2,FALSE))</f>
        <v/>
      </c>
      <c r="G36" s="305" t="str">
        <f>IF(D36="","",VLOOKUP(D36,'G-6 Hedgerow Data'!$B$2:$AG$15,3,FALSE))</f>
        <v/>
      </c>
      <c r="H36" s="53"/>
      <c r="I36" s="282" t="str">
        <f>IFERROR(IF(H36="","",IF(AND(D36="Non-native and ornamental hedgerow", H36&lt;&gt;"Poor"),"Not possible ▲", (IF(AND(F36="V.Low",OR(H36="Good",H36="Moderate")),"Error ▲",VLOOKUP(H36,'G-1 All Habitats'!$Z$2:$AA$9,2,FALSE))))),"")</f>
        <v/>
      </c>
      <c r="J36" s="106"/>
      <c r="K36" s="301" t="str">
        <f>IF(J36="","",IF(VLOOKUP(J36,'G-3 Multipliers'!$L$3:$N$6,2,FALSE)=0,"Spatial Data Missing",VLOOKUP(J36,'G-3 Multipliers'!$L$3:$N$6,2,FALSE)))</f>
        <v/>
      </c>
      <c r="L36" s="305" t="str">
        <f>IF(J36="","",IF(VLOOKUP(J36,'G-3 Multipliers'!$L$3:$N$6,3,FALSE)=0,"Spatial Data Missing",VLOOKUP(J36,'G-3 Multipliers'!$L$3:$N$6,3,FALSE)))</f>
        <v/>
      </c>
      <c r="M36" s="138"/>
      <c r="N36" s="282" t="str">
        <f>IF(M36="","",IF(VLOOKUP(M36,'G-3 Multipliers'!$S$3:$T$10,2,FALSE)=0,"Spatial Data Missing ⚠",VLOOKUP(M36,'G-3 Multipliers'!$S$3:$T$10,2,FALSE)))</f>
        <v/>
      </c>
      <c r="O36" s="281" t="str">
        <f>IF(OR(D36="",H36=""),"",(INDEX('G-6 Hedgerow Data'!$E$3:$I$15,MATCH(D36,'G-6 Hedgerow Data'!$B$3:$B$15,0),MATCH(H36,'G-6 Hedgerow Data'!$E$2:$I$2,0))))</f>
        <v/>
      </c>
      <c r="P36" s="137"/>
      <c r="Q36" s="137"/>
      <c r="R36" s="289" t="str">
        <f t="shared" si="1"/>
        <v/>
      </c>
      <c r="S36" s="302" t="str">
        <f t="shared" si="2"/>
        <v/>
      </c>
      <c r="T36" s="303" t="str">
        <f t="shared" si="0"/>
        <v/>
      </c>
      <c r="U36" s="317" t="str">
        <f>IF(D36="","",VLOOKUP(D36,'G-6 Hedgerow Data'!$B$3:$AG$15,31,FALSE))</f>
        <v/>
      </c>
      <c r="V36" s="301" t="str">
        <f t="shared" si="3"/>
        <v/>
      </c>
      <c r="W36" s="289" t="str">
        <f t="shared" si="4"/>
        <v/>
      </c>
      <c r="X36" s="305" t="str">
        <f>IF(F36="","",VLOOKUP(U36,'G-3 Multipliers'!$P$3:$Q$6,2,FALSE))</f>
        <v/>
      </c>
      <c r="Y36" s="309" t="str">
        <f t="shared" si="5"/>
        <v/>
      </c>
      <c r="Z36" s="309" t="str">
        <f t="shared" si="6"/>
        <v/>
      </c>
      <c r="AA36" s="105"/>
      <c r="AB36" s="968"/>
      <c r="AC36" s="142"/>
      <c r="AD36" s="142"/>
      <c r="AE36" s="964"/>
      <c r="AH36" s="30" t="str">
        <f>IFERROR(INDEX('G-6 Hedgerow Data'!$BJ$3:$BJ$15,MATCH(D36,'G-6 Hedgerow Data'!$B$3:$B$15,0)),"")</f>
        <v/>
      </c>
    </row>
    <row r="37" spans="2:34" ht="13.8" x14ac:dyDescent="0.25">
      <c r="B37" s="101">
        <v>26</v>
      </c>
      <c r="C37" s="175"/>
      <c r="D37" s="58"/>
      <c r="E37" s="142"/>
      <c r="F37" s="281" t="str">
        <f>IF(D37="","",VLOOKUP(D37,'G-6 Hedgerow Data'!$B$2:$AG$15,2,FALSE))</f>
        <v/>
      </c>
      <c r="G37" s="305" t="str">
        <f>IF(D37="","",VLOOKUP(D37,'G-6 Hedgerow Data'!$B$2:$AG$15,3,FALSE))</f>
        <v/>
      </c>
      <c r="H37" s="53"/>
      <c r="I37" s="282" t="str">
        <f>IFERROR(IF(H37="","",IF(AND(D37="Non-native and ornamental hedgerow", H37&lt;&gt;"Poor"),"Not possible ▲", (IF(AND(F37="V.Low",OR(H37="Good",H37="Moderate")),"Error ▲",VLOOKUP(H37,'G-1 All Habitats'!$Z$2:$AA$9,2,FALSE))))),"")</f>
        <v/>
      </c>
      <c r="J37" s="106"/>
      <c r="K37" s="301" t="str">
        <f>IF(J37="","",IF(VLOOKUP(J37,'G-3 Multipliers'!$L$3:$N$6,2,FALSE)=0,"Spatial Data Missing",VLOOKUP(J37,'G-3 Multipliers'!$L$3:$N$6,2,FALSE)))</f>
        <v/>
      </c>
      <c r="L37" s="305" t="str">
        <f>IF(J37="","",IF(VLOOKUP(J37,'G-3 Multipliers'!$L$3:$N$6,3,FALSE)=0,"Spatial Data Missing",VLOOKUP(J37,'G-3 Multipliers'!$L$3:$N$6,3,FALSE)))</f>
        <v/>
      </c>
      <c r="M37" s="138"/>
      <c r="N37" s="282" t="str">
        <f>IF(M37="","",IF(VLOOKUP(M37,'G-3 Multipliers'!$S$3:$T$10,2,FALSE)=0,"Spatial Data Missing ⚠",VLOOKUP(M37,'G-3 Multipliers'!$S$3:$T$10,2,FALSE)))</f>
        <v/>
      </c>
      <c r="O37" s="281" t="str">
        <f>IF(OR(D37="",H37=""),"",(INDEX('G-6 Hedgerow Data'!$E$3:$I$15,MATCH(D37,'G-6 Hedgerow Data'!$B$3:$B$15,0),MATCH(H37,'G-6 Hedgerow Data'!$E$2:$I$2,0))))</f>
        <v/>
      </c>
      <c r="P37" s="137"/>
      <c r="Q37" s="137"/>
      <c r="R37" s="289" t="str">
        <f t="shared" si="1"/>
        <v/>
      </c>
      <c r="S37" s="302" t="str">
        <f t="shared" si="2"/>
        <v/>
      </c>
      <c r="T37" s="303" t="str">
        <f t="shared" si="0"/>
        <v/>
      </c>
      <c r="U37" s="317" t="str">
        <f>IF(D37="","",VLOOKUP(D37,'G-6 Hedgerow Data'!$B$3:$AG$15,31,FALSE))</f>
        <v/>
      </c>
      <c r="V37" s="301" t="str">
        <f t="shared" si="3"/>
        <v/>
      </c>
      <c r="W37" s="289" t="str">
        <f t="shared" si="4"/>
        <v/>
      </c>
      <c r="X37" s="305" t="str">
        <f>IF(F37="","",VLOOKUP(U37,'G-3 Multipliers'!$P$3:$Q$6,2,FALSE))</f>
        <v/>
      </c>
      <c r="Y37" s="309" t="str">
        <f t="shared" si="5"/>
        <v/>
      </c>
      <c r="Z37" s="309" t="str">
        <f t="shared" si="6"/>
        <v/>
      </c>
      <c r="AA37" s="105"/>
      <c r="AB37" s="968"/>
      <c r="AC37" s="142"/>
      <c r="AD37" s="142"/>
      <c r="AE37" s="964"/>
      <c r="AH37" s="30" t="str">
        <f>IFERROR(INDEX('G-6 Hedgerow Data'!$BJ$3:$BJ$15,MATCH(D37,'G-6 Hedgerow Data'!$B$3:$B$15,0)),"")</f>
        <v/>
      </c>
    </row>
    <row r="38" spans="2:34" ht="13.8" x14ac:dyDescent="0.25">
      <c r="B38" s="101">
        <v>27</v>
      </c>
      <c r="C38" s="175"/>
      <c r="D38" s="58"/>
      <c r="E38" s="142"/>
      <c r="F38" s="281" t="str">
        <f>IF(D38="","",VLOOKUP(D38,'G-6 Hedgerow Data'!$B$2:$AG$15,2,FALSE))</f>
        <v/>
      </c>
      <c r="G38" s="305" t="str">
        <f>IF(D38="","",VLOOKUP(D38,'G-6 Hedgerow Data'!$B$2:$AG$15,3,FALSE))</f>
        <v/>
      </c>
      <c r="H38" s="53"/>
      <c r="I38" s="282" t="str">
        <f>IFERROR(IF(H38="","",IF(AND(D38="Non-native and ornamental hedgerow", H38&lt;&gt;"Poor"),"Not possible ▲", (IF(AND(F38="V.Low",OR(H38="Good",H38="Moderate")),"Error ▲",VLOOKUP(H38,'G-1 All Habitats'!$Z$2:$AA$9,2,FALSE))))),"")</f>
        <v/>
      </c>
      <c r="J38" s="106"/>
      <c r="K38" s="301" t="str">
        <f>IF(J38="","",IF(VLOOKUP(J38,'G-3 Multipliers'!$L$3:$N$6,2,FALSE)=0,"Spatial Data Missing",VLOOKUP(J38,'G-3 Multipliers'!$L$3:$N$6,2,FALSE)))</f>
        <v/>
      </c>
      <c r="L38" s="305" t="str">
        <f>IF(J38="","",IF(VLOOKUP(J38,'G-3 Multipliers'!$L$3:$N$6,3,FALSE)=0,"Spatial Data Missing",VLOOKUP(J38,'G-3 Multipliers'!$L$3:$N$6,3,FALSE)))</f>
        <v/>
      </c>
      <c r="M38" s="138"/>
      <c r="N38" s="282" t="str">
        <f>IF(M38="","",IF(VLOOKUP(M38,'G-3 Multipliers'!$S$3:$T$10,2,FALSE)=0,"Spatial Data Missing ⚠",VLOOKUP(M38,'G-3 Multipliers'!$S$3:$T$10,2,FALSE)))</f>
        <v/>
      </c>
      <c r="O38" s="281" t="str">
        <f>IF(OR(D38="",H38=""),"",(INDEX('G-6 Hedgerow Data'!$E$3:$I$15,MATCH(D38,'G-6 Hedgerow Data'!$B$3:$B$15,0),MATCH(H38,'G-6 Hedgerow Data'!$E$2:$I$2,0))))</f>
        <v/>
      </c>
      <c r="P38" s="137"/>
      <c r="Q38" s="137"/>
      <c r="R38" s="289" t="str">
        <f t="shared" si="1"/>
        <v/>
      </c>
      <c r="S38" s="302" t="str">
        <f t="shared" si="2"/>
        <v/>
      </c>
      <c r="T38" s="303" t="str">
        <f t="shared" si="0"/>
        <v/>
      </c>
      <c r="U38" s="317" t="str">
        <f>IF(D38="","",VLOOKUP(D38,'G-6 Hedgerow Data'!$B$3:$AG$15,31,FALSE))</f>
        <v/>
      </c>
      <c r="V38" s="301" t="str">
        <f t="shared" si="3"/>
        <v/>
      </c>
      <c r="W38" s="289" t="str">
        <f t="shared" si="4"/>
        <v/>
      </c>
      <c r="X38" s="305" t="str">
        <f>IF(F38="","",VLOOKUP(U38,'G-3 Multipliers'!$P$3:$Q$6,2,FALSE))</f>
        <v/>
      </c>
      <c r="Y38" s="309" t="str">
        <f t="shared" si="5"/>
        <v/>
      </c>
      <c r="Z38" s="309" t="str">
        <f t="shared" si="6"/>
        <v/>
      </c>
      <c r="AA38" s="105"/>
      <c r="AB38" s="968"/>
      <c r="AC38" s="142"/>
      <c r="AD38" s="142"/>
      <c r="AE38" s="964"/>
      <c r="AH38" s="30" t="str">
        <f>IFERROR(INDEX('G-6 Hedgerow Data'!$BJ$3:$BJ$15,MATCH(D38,'G-6 Hedgerow Data'!$B$3:$B$15,0)),"")</f>
        <v/>
      </c>
    </row>
    <row r="39" spans="2:34" ht="13.8" x14ac:dyDescent="0.25">
      <c r="B39" s="101">
        <v>28</v>
      </c>
      <c r="C39" s="175"/>
      <c r="D39" s="58"/>
      <c r="E39" s="142"/>
      <c r="F39" s="281" t="str">
        <f>IF(D39="","",VLOOKUP(D39,'G-6 Hedgerow Data'!$B$2:$AG$15,2,FALSE))</f>
        <v/>
      </c>
      <c r="G39" s="305" t="str">
        <f>IF(D39="","",VLOOKUP(D39,'G-6 Hedgerow Data'!$B$2:$AG$15,3,FALSE))</f>
        <v/>
      </c>
      <c r="H39" s="53"/>
      <c r="I39" s="282" t="str">
        <f>IFERROR(IF(H39="","",IF(AND(D39="Non-native and ornamental hedgerow", H39&lt;&gt;"Poor"),"Not possible ▲", (IF(AND(F39="V.Low",OR(H39="Good",H39="Moderate")),"Error ▲",VLOOKUP(H39,'G-1 All Habitats'!$Z$2:$AA$9,2,FALSE))))),"")</f>
        <v/>
      </c>
      <c r="J39" s="106"/>
      <c r="K39" s="301" t="str">
        <f>IF(J39="","",IF(VLOOKUP(J39,'G-3 Multipliers'!$L$3:$N$6,2,FALSE)=0,"Spatial Data Missing",VLOOKUP(J39,'G-3 Multipliers'!$L$3:$N$6,2,FALSE)))</f>
        <v/>
      </c>
      <c r="L39" s="305" t="str">
        <f>IF(J39="","",IF(VLOOKUP(J39,'G-3 Multipliers'!$L$3:$N$6,3,FALSE)=0,"Spatial Data Missing",VLOOKUP(J39,'G-3 Multipliers'!$L$3:$N$6,3,FALSE)))</f>
        <v/>
      </c>
      <c r="M39" s="138"/>
      <c r="N39" s="282" t="str">
        <f>IF(M39="","",IF(VLOOKUP(M39,'G-3 Multipliers'!$S$3:$T$10,2,FALSE)=0,"Spatial Data Missing ⚠",VLOOKUP(M39,'G-3 Multipliers'!$S$3:$T$10,2,FALSE)))</f>
        <v/>
      </c>
      <c r="O39" s="281" t="str">
        <f>IF(OR(D39="",H39=""),"",(INDEX('G-6 Hedgerow Data'!$E$3:$I$15,MATCH(D39,'G-6 Hedgerow Data'!$B$3:$B$15,0),MATCH(H39,'G-6 Hedgerow Data'!$E$2:$I$2,0))))</f>
        <v/>
      </c>
      <c r="P39" s="137"/>
      <c r="Q39" s="137"/>
      <c r="R39" s="289" t="str">
        <f t="shared" si="1"/>
        <v/>
      </c>
      <c r="S39" s="302" t="str">
        <f t="shared" si="2"/>
        <v/>
      </c>
      <c r="T39" s="303" t="str">
        <f t="shared" si="0"/>
        <v/>
      </c>
      <c r="U39" s="317" t="str">
        <f>IF(D39="","",VLOOKUP(D39,'G-6 Hedgerow Data'!$B$3:$AG$15,31,FALSE))</f>
        <v/>
      </c>
      <c r="V39" s="301" t="str">
        <f t="shared" si="3"/>
        <v/>
      </c>
      <c r="W39" s="289" t="str">
        <f t="shared" si="4"/>
        <v/>
      </c>
      <c r="X39" s="305" t="str">
        <f>IF(F39="","",VLOOKUP(U39,'G-3 Multipliers'!$P$3:$Q$6,2,FALSE))</f>
        <v/>
      </c>
      <c r="Y39" s="309" t="str">
        <f t="shared" si="5"/>
        <v/>
      </c>
      <c r="Z39" s="309" t="str">
        <f t="shared" si="6"/>
        <v/>
      </c>
      <c r="AA39" s="105"/>
      <c r="AB39" s="968"/>
      <c r="AC39" s="142"/>
      <c r="AD39" s="142"/>
      <c r="AE39" s="964"/>
      <c r="AH39" s="30" t="str">
        <f>IFERROR(INDEX('G-6 Hedgerow Data'!$BJ$3:$BJ$15,MATCH(D39,'G-6 Hedgerow Data'!$B$3:$B$15,0)),"")</f>
        <v/>
      </c>
    </row>
    <row r="40" spans="2:34" ht="13.8" x14ac:dyDescent="0.25">
      <c r="B40" s="101">
        <v>29</v>
      </c>
      <c r="C40" s="175"/>
      <c r="D40" s="58"/>
      <c r="E40" s="142"/>
      <c r="F40" s="281" t="str">
        <f>IF(D40="","",VLOOKUP(D40,'G-6 Hedgerow Data'!$B$2:$AG$15,2,FALSE))</f>
        <v/>
      </c>
      <c r="G40" s="305" t="str">
        <f>IF(D40="","",VLOOKUP(D40,'G-6 Hedgerow Data'!$B$2:$AG$15,3,FALSE))</f>
        <v/>
      </c>
      <c r="H40" s="53"/>
      <c r="I40" s="282" t="str">
        <f>IFERROR(IF(H40="","",IF(AND(D40="Non-native and ornamental hedgerow", H40&lt;&gt;"Poor"),"Not possible ▲", (IF(AND(F40="V.Low",OR(H40="Good",H40="Moderate")),"Error ▲",VLOOKUP(H40,'G-1 All Habitats'!$Z$2:$AA$9,2,FALSE))))),"")</f>
        <v/>
      </c>
      <c r="J40" s="106"/>
      <c r="K40" s="301" t="str">
        <f>IF(J40="","",IF(VLOOKUP(J40,'G-3 Multipliers'!$L$3:$N$6,2,FALSE)=0,"Spatial Data Missing",VLOOKUP(J40,'G-3 Multipliers'!$L$3:$N$6,2,FALSE)))</f>
        <v/>
      </c>
      <c r="L40" s="305" t="str">
        <f>IF(J40="","",IF(VLOOKUP(J40,'G-3 Multipliers'!$L$3:$N$6,3,FALSE)=0,"Spatial Data Missing",VLOOKUP(J40,'G-3 Multipliers'!$L$3:$N$6,3,FALSE)))</f>
        <v/>
      </c>
      <c r="M40" s="138"/>
      <c r="N40" s="282" t="str">
        <f>IF(M40="","",IF(VLOOKUP(M40,'G-3 Multipliers'!$S$3:$T$10,2,FALSE)=0,"Spatial Data Missing ⚠",VLOOKUP(M40,'G-3 Multipliers'!$S$3:$T$10,2,FALSE)))</f>
        <v/>
      </c>
      <c r="O40" s="281" t="str">
        <f>IF(OR(D40="",H40=""),"",(INDEX('G-6 Hedgerow Data'!$E$3:$I$15,MATCH(D40,'G-6 Hedgerow Data'!$B$3:$B$15,0),MATCH(H40,'G-6 Hedgerow Data'!$E$2:$I$2,0))))</f>
        <v/>
      </c>
      <c r="P40" s="137"/>
      <c r="Q40" s="137"/>
      <c r="R40" s="289" t="str">
        <f t="shared" si="1"/>
        <v/>
      </c>
      <c r="S40" s="302" t="str">
        <f t="shared" si="2"/>
        <v/>
      </c>
      <c r="T40" s="303" t="str">
        <f t="shared" si="0"/>
        <v/>
      </c>
      <c r="U40" s="317" t="str">
        <f>IF(D40="","",VLOOKUP(D40,'G-6 Hedgerow Data'!$B$3:$AG$15,31,FALSE))</f>
        <v/>
      </c>
      <c r="V40" s="301" t="str">
        <f t="shared" si="3"/>
        <v/>
      </c>
      <c r="W40" s="289" t="str">
        <f t="shared" si="4"/>
        <v/>
      </c>
      <c r="X40" s="305" t="str">
        <f>IF(F40="","",VLOOKUP(U40,'G-3 Multipliers'!$P$3:$Q$6,2,FALSE))</f>
        <v/>
      </c>
      <c r="Y40" s="309" t="str">
        <f t="shared" si="5"/>
        <v/>
      </c>
      <c r="Z40" s="309" t="str">
        <f t="shared" si="6"/>
        <v/>
      </c>
      <c r="AA40" s="105"/>
      <c r="AB40" s="968"/>
      <c r="AC40" s="142"/>
      <c r="AD40" s="142"/>
      <c r="AE40" s="964"/>
      <c r="AH40" s="30" t="str">
        <f>IFERROR(INDEX('G-6 Hedgerow Data'!$BJ$3:$BJ$15,MATCH(D40,'G-6 Hedgerow Data'!$B$3:$B$15,0)),"")</f>
        <v/>
      </c>
    </row>
    <row r="41" spans="2:34" ht="13.8" x14ac:dyDescent="0.25">
      <c r="B41" s="101">
        <v>30</v>
      </c>
      <c r="C41" s="175"/>
      <c r="D41" s="58"/>
      <c r="E41" s="142"/>
      <c r="F41" s="281" t="str">
        <f>IF(D41="","",VLOOKUP(D41,'G-6 Hedgerow Data'!$B$2:$AG$15,2,FALSE))</f>
        <v/>
      </c>
      <c r="G41" s="305" t="str">
        <f>IF(D41="","",VLOOKUP(D41,'G-6 Hedgerow Data'!$B$2:$AG$15,3,FALSE))</f>
        <v/>
      </c>
      <c r="H41" s="53"/>
      <c r="I41" s="282" t="str">
        <f>IFERROR(IF(H41="","",IF(AND(D41="Non-native and ornamental hedgerow", H41&lt;&gt;"Poor"),"Not possible ▲", (IF(AND(F41="V.Low",OR(H41="Good",H41="Moderate")),"Error ▲",VLOOKUP(H41,'G-1 All Habitats'!$Z$2:$AA$9,2,FALSE))))),"")</f>
        <v/>
      </c>
      <c r="J41" s="106"/>
      <c r="K41" s="301" t="str">
        <f>IF(J41="","",IF(VLOOKUP(J41,'G-3 Multipliers'!$L$3:$N$6,2,FALSE)=0,"Spatial Data Missing",VLOOKUP(J41,'G-3 Multipliers'!$L$3:$N$6,2,FALSE)))</f>
        <v/>
      </c>
      <c r="L41" s="305" t="str">
        <f>IF(J41="","",IF(VLOOKUP(J41,'G-3 Multipliers'!$L$3:$N$6,3,FALSE)=0,"Spatial Data Missing",VLOOKUP(J41,'G-3 Multipliers'!$L$3:$N$6,3,FALSE)))</f>
        <v/>
      </c>
      <c r="M41" s="138"/>
      <c r="N41" s="282" t="str">
        <f>IF(M41="","",IF(VLOOKUP(M41,'G-3 Multipliers'!$S$3:$T$10,2,FALSE)=0,"Spatial Data Missing ⚠",VLOOKUP(M41,'G-3 Multipliers'!$S$3:$T$10,2,FALSE)))</f>
        <v/>
      </c>
      <c r="O41" s="281" t="str">
        <f>IF(OR(D41="",H41=""),"",(INDEX('G-6 Hedgerow Data'!$E$3:$I$15,MATCH(D41,'G-6 Hedgerow Data'!$B$3:$B$15,0),MATCH(H41,'G-6 Hedgerow Data'!$E$2:$I$2,0))))</f>
        <v/>
      </c>
      <c r="P41" s="137"/>
      <c r="Q41" s="137"/>
      <c r="R41" s="289" t="str">
        <f t="shared" si="1"/>
        <v/>
      </c>
      <c r="S41" s="302" t="str">
        <f t="shared" si="2"/>
        <v/>
      </c>
      <c r="T41" s="303" t="str">
        <f t="shared" si="0"/>
        <v/>
      </c>
      <c r="U41" s="317" t="str">
        <f>IF(D41="","",VLOOKUP(D41,'G-6 Hedgerow Data'!$B$3:$AG$15,31,FALSE))</f>
        <v/>
      </c>
      <c r="V41" s="301" t="str">
        <f t="shared" si="3"/>
        <v/>
      </c>
      <c r="W41" s="289" t="str">
        <f t="shared" si="4"/>
        <v/>
      </c>
      <c r="X41" s="305" t="str">
        <f>IF(F41="","",VLOOKUP(U41,'G-3 Multipliers'!$P$3:$Q$6,2,FALSE))</f>
        <v/>
      </c>
      <c r="Y41" s="309" t="str">
        <f t="shared" si="5"/>
        <v/>
      </c>
      <c r="Z41" s="309" t="str">
        <f t="shared" si="6"/>
        <v/>
      </c>
      <c r="AA41" s="105"/>
      <c r="AB41" s="968"/>
      <c r="AC41" s="142"/>
      <c r="AD41" s="142"/>
      <c r="AE41" s="964"/>
      <c r="AH41" s="30" t="str">
        <f>IFERROR(INDEX('G-6 Hedgerow Data'!$BJ$3:$BJ$15,MATCH(D41,'G-6 Hedgerow Data'!$B$3:$B$15,0)),"")</f>
        <v/>
      </c>
    </row>
    <row r="42" spans="2:34" ht="13.8" x14ac:dyDescent="0.25">
      <c r="B42" s="101">
        <v>31</v>
      </c>
      <c r="C42" s="175"/>
      <c r="D42" s="58"/>
      <c r="E42" s="142"/>
      <c r="F42" s="281" t="str">
        <f>IF(D42="","",VLOOKUP(D42,'G-6 Hedgerow Data'!$B$2:$AG$15,2,FALSE))</f>
        <v/>
      </c>
      <c r="G42" s="305" t="str">
        <f>IF(D42="","",VLOOKUP(D42,'G-6 Hedgerow Data'!$B$2:$AG$15,3,FALSE))</f>
        <v/>
      </c>
      <c r="H42" s="53"/>
      <c r="I42" s="282" t="str">
        <f>IFERROR(IF(H42="","",IF(AND(D42="Non-native and ornamental hedgerow", H42&lt;&gt;"Poor"),"Not possible ▲", (IF(AND(F42="V.Low",OR(H42="Good",H42="Moderate")),"Error ▲",VLOOKUP(H42,'G-1 All Habitats'!$Z$2:$AA$9,2,FALSE))))),"")</f>
        <v/>
      </c>
      <c r="J42" s="106"/>
      <c r="K42" s="301" t="str">
        <f>IF(J42="","",IF(VLOOKUP(J42,'G-3 Multipliers'!$L$3:$N$6,2,FALSE)=0,"Spatial Data Missing",VLOOKUP(J42,'G-3 Multipliers'!$L$3:$N$6,2,FALSE)))</f>
        <v/>
      </c>
      <c r="L42" s="305" t="str">
        <f>IF(J42="","",IF(VLOOKUP(J42,'G-3 Multipliers'!$L$3:$N$6,3,FALSE)=0,"Spatial Data Missing",VLOOKUP(J42,'G-3 Multipliers'!$L$3:$N$6,3,FALSE)))</f>
        <v/>
      </c>
      <c r="M42" s="138"/>
      <c r="N42" s="282" t="str">
        <f>IF(M42="","",IF(VLOOKUP(M42,'G-3 Multipliers'!$S$3:$T$10,2,FALSE)=0,"Spatial Data Missing ⚠",VLOOKUP(M42,'G-3 Multipliers'!$S$3:$T$10,2,FALSE)))</f>
        <v/>
      </c>
      <c r="O42" s="281" t="str">
        <f>IF(OR(D42="",H42=""),"",(INDEX('G-6 Hedgerow Data'!$E$3:$I$15,MATCH(D42,'G-6 Hedgerow Data'!$B$3:$B$15,0),MATCH(H42,'G-6 Hedgerow Data'!$E$2:$I$2,0))))</f>
        <v/>
      </c>
      <c r="P42" s="137"/>
      <c r="Q42" s="137"/>
      <c r="R42" s="289" t="str">
        <f t="shared" si="1"/>
        <v/>
      </c>
      <c r="S42" s="302" t="str">
        <f t="shared" si="2"/>
        <v/>
      </c>
      <c r="T42" s="303" t="str">
        <f t="shared" si="0"/>
        <v/>
      </c>
      <c r="U42" s="317" t="str">
        <f>IF(D42="","",VLOOKUP(D42,'G-6 Hedgerow Data'!$B$3:$AG$15,31,FALSE))</f>
        <v/>
      </c>
      <c r="V42" s="301" t="str">
        <f t="shared" si="3"/>
        <v/>
      </c>
      <c r="W42" s="289" t="str">
        <f t="shared" si="4"/>
        <v/>
      </c>
      <c r="X42" s="305" t="str">
        <f>IF(F42="","",VLOOKUP(U42,'G-3 Multipliers'!$P$3:$Q$6,2,FALSE))</f>
        <v/>
      </c>
      <c r="Y42" s="309" t="str">
        <f t="shared" si="5"/>
        <v/>
      </c>
      <c r="Z42" s="309" t="str">
        <f t="shared" si="6"/>
        <v/>
      </c>
      <c r="AA42" s="105"/>
      <c r="AB42" s="968"/>
      <c r="AC42" s="142"/>
      <c r="AD42" s="142"/>
      <c r="AE42" s="964"/>
      <c r="AH42" s="30" t="str">
        <f>IFERROR(INDEX('G-6 Hedgerow Data'!$BJ$3:$BJ$15,MATCH(D42,'G-6 Hedgerow Data'!$B$3:$B$15,0)),"")</f>
        <v/>
      </c>
    </row>
    <row r="43" spans="2:34" ht="13.8" x14ac:dyDescent="0.25">
      <c r="B43" s="101">
        <v>32</v>
      </c>
      <c r="C43" s="175"/>
      <c r="D43" s="58"/>
      <c r="E43" s="142"/>
      <c r="F43" s="281" t="str">
        <f>IF(D43="","",VLOOKUP(D43,'G-6 Hedgerow Data'!$B$2:$AG$15,2,FALSE))</f>
        <v/>
      </c>
      <c r="G43" s="305" t="str">
        <f>IF(D43="","",VLOOKUP(D43,'G-6 Hedgerow Data'!$B$2:$AG$15,3,FALSE))</f>
        <v/>
      </c>
      <c r="H43" s="53"/>
      <c r="I43" s="282" t="str">
        <f>IFERROR(IF(H43="","",IF(AND(D43="Non-native and ornamental hedgerow", H43&lt;&gt;"Poor"),"Not possible ▲", (IF(AND(F43="V.Low",OR(H43="Good",H43="Moderate")),"Error ▲",VLOOKUP(H43,'G-1 All Habitats'!$Z$2:$AA$9,2,FALSE))))),"")</f>
        <v/>
      </c>
      <c r="J43" s="106"/>
      <c r="K43" s="301" t="str">
        <f>IF(J43="","",IF(VLOOKUP(J43,'G-3 Multipliers'!$L$3:$N$6,2,FALSE)=0,"Spatial Data Missing",VLOOKUP(J43,'G-3 Multipliers'!$L$3:$N$6,2,FALSE)))</f>
        <v/>
      </c>
      <c r="L43" s="305" t="str">
        <f>IF(J43="","",IF(VLOOKUP(J43,'G-3 Multipliers'!$L$3:$N$6,3,FALSE)=0,"Spatial Data Missing",VLOOKUP(J43,'G-3 Multipliers'!$L$3:$N$6,3,FALSE)))</f>
        <v/>
      </c>
      <c r="M43" s="138"/>
      <c r="N43" s="282" t="str">
        <f>IF(M43="","",IF(VLOOKUP(M43,'G-3 Multipliers'!$S$3:$T$10,2,FALSE)=0,"Spatial Data Missing ⚠",VLOOKUP(M43,'G-3 Multipliers'!$S$3:$T$10,2,FALSE)))</f>
        <v/>
      </c>
      <c r="O43" s="281" t="str">
        <f>IF(OR(D43="",H43=""),"",(INDEX('G-6 Hedgerow Data'!$E$3:$I$15,MATCH(D43,'G-6 Hedgerow Data'!$B$3:$B$15,0),MATCH(H43,'G-6 Hedgerow Data'!$E$2:$I$2,0))))</f>
        <v/>
      </c>
      <c r="P43" s="137"/>
      <c r="Q43" s="137"/>
      <c r="R43" s="289" t="str">
        <f t="shared" si="1"/>
        <v/>
      </c>
      <c r="S43" s="302" t="str">
        <f t="shared" si="2"/>
        <v/>
      </c>
      <c r="T43" s="303" t="str">
        <f t="shared" si="0"/>
        <v/>
      </c>
      <c r="U43" s="317" t="str">
        <f>IF(D43="","",VLOOKUP(D43,'G-6 Hedgerow Data'!$B$3:$AG$15,31,FALSE))</f>
        <v/>
      </c>
      <c r="V43" s="301" t="str">
        <f t="shared" si="3"/>
        <v/>
      </c>
      <c r="W43" s="289" t="str">
        <f t="shared" si="4"/>
        <v/>
      </c>
      <c r="X43" s="305" t="str">
        <f>IF(F43="","",VLOOKUP(U43,'G-3 Multipliers'!$P$3:$Q$6,2,FALSE))</f>
        <v/>
      </c>
      <c r="Y43" s="309" t="str">
        <f t="shared" si="5"/>
        <v/>
      </c>
      <c r="Z43" s="309" t="str">
        <f t="shared" si="6"/>
        <v/>
      </c>
      <c r="AA43" s="105"/>
      <c r="AB43" s="968"/>
      <c r="AC43" s="142"/>
      <c r="AD43" s="142"/>
      <c r="AE43" s="964"/>
      <c r="AH43" s="30" t="str">
        <f>IFERROR(INDEX('G-6 Hedgerow Data'!$BJ$3:$BJ$15,MATCH(D43,'G-6 Hedgerow Data'!$B$3:$B$15,0)),"")</f>
        <v/>
      </c>
    </row>
    <row r="44" spans="2:34" ht="13.8" x14ac:dyDescent="0.25">
      <c r="B44" s="101">
        <v>33</v>
      </c>
      <c r="C44" s="175"/>
      <c r="D44" s="58"/>
      <c r="E44" s="142"/>
      <c r="F44" s="281" t="str">
        <f>IF(D44="","",VLOOKUP(D44,'G-6 Hedgerow Data'!$B$2:$AG$15,2,FALSE))</f>
        <v/>
      </c>
      <c r="G44" s="305" t="str">
        <f>IF(D44="","",VLOOKUP(D44,'G-6 Hedgerow Data'!$B$2:$AG$15,3,FALSE))</f>
        <v/>
      </c>
      <c r="H44" s="53"/>
      <c r="I44" s="282" t="str">
        <f>IFERROR(IF(H44="","",IF(AND(D44="Non-native and ornamental hedgerow", H44&lt;&gt;"Poor"),"Not possible ▲", (IF(AND(F44="V.Low",OR(H44="Good",H44="Moderate")),"Error ▲",VLOOKUP(H44,'G-1 All Habitats'!$Z$2:$AA$9,2,FALSE))))),"")</f>
        <v/>
      </c>
      <c r="J44" s="106"/>
      <c r="K44" s="301" t="str">
        <f>IF(J44="","",IF(VLOOKUP(J44,'G-3 Multipliers'!$L$3:$N$6,2,FALSE)=0,"Spatial Data Missing",VLOOKUP(J44,'G-3 Multipliers'!$L$3:$N$6,2,FALSE)))</f>
        <v/>
      </c>
      <c r="L44" s="305" t="str">
        <f>IF(J44="","",IF(VLOOKUP(J44,'G-3 Multipliers'!$L$3:$N$6,3,FALSE)=0,"Spatial Data Missing",VLOOKUP(J44,'G-3 Multipliers'!$L$3:$N$6,3,FALSE)))</f>
        <v/>
      </c>
      <c r="M44" s="138"/>
      <c r="N44" s="282" t="str">
        <f>IF(M44="","",IF(VLOOKUP(M44,'G-3 Multipliers'!$S$3:$T$10,2,FALSE)=0,"Spatial Data Missing ⚠",VLOOKUP(M44,'G-3 Multipliers'!$S$3:$T$10,2,FALSE)))</f>
        <v/>
      </c>
      <c r="O44" s="281" t="str">
        <f>IF(OR(D44="",H44=""),"",(INDEX('G-6 Hedgerow Data'!$E$3:$I$15,MATCH(D44,'G-6 Hedgerow Data'!$B$3:$B$15,0),MATCH(H44,'G-6 Hedgerow Data'!$E$2:$I$2,0))))</f>
        <v/>
      </c>
      <c r="P44" s="137"/>
      <c r="Q44" s="137"/>
      <c r="R44" s="289" t="str">
        <f t="shared" si="1"/>
        <v/>
      </c>
      <c r="S44" s="302" t="str">
        <f t="shared" si="2"/>
        <v/>
      </c>
      <c r="T44" s="303" t="str">
        <f t="shared" si="0"/>
        <v/>
      </c>
      <c r="U44" s="317" t="str">
        <f>IF(D44="","",VLOOKUP(D44,'G-6 Hedgerow Data'!$B$3:$AG$15,31,FALSE))</f>
        <v/>
      </c>
      <c r="V44" s="301" t="str">
        <f t="shared" si="3"/>
        <v/>
      </c>
      <c r="W44" s="289" t="str">
        <f t="shared" si="4"/>
        <v/>
      </c>
      <c r="X44" s="305" t="str">
        <f>IF(F44="","",VLOOKUP(U44,'G-3 Multipliers'!$P$3:$Q$6,2,FALSE))</f>
        <v/>
      </c>
      <c r="Y44" s="309" t="str">
        <f t="shared" si="5"/>
        <v/>
      </c>
      <c r="Z44" s="309" t="str">
        <f t="shared" si="6"/>
        <v/>
      </c>
      <c r="AA44" s="105"/>
      <c r="AB44" s="968"/>
      <c r="AC44" s="142"/>
      <c r="AD44" s="142"/>
      <c r="AE44" s="964"/>
      <c r="AH44" s="30" t="str">
        <f>IFERROR(INDEX('G-6 Hedgerow Data'!$BJ$3:$BJ$15,MATCH(D44,'G-6 Hedgerow Data'!$B$3:$B$15,0)),"")</f>
        <v/>
      </c>
    </row>
    <row r="45" spans="2:34" ht="13.8" x14ac:dyDescent="0.25">
      <c r="B45" s="101">
        <v>34</v>
      </c>
      <c r="C45" s="175"/>
      <c r="D45" s="58"/>
      <c r="E45" s="142"/>
      <c r="F45" s="281" t="str">
        <f>IF(D45="","",VLOOKUP(D45,'G-6 Hedgerow Data'!$B$2:$AG$15,2,FALSE))</f>
        <v/>
      </c>
      <c r="G45" s="305" t="str">
        <f>IF(D45="","",VLOOKUP(D45,'G-6 Hedgerow Data'!$B$2:$AG$15,3,FALSE))</f>
        <v/>
      </c>
      <c r="H45" s="53"/>
      <c r="I45" s="282" t="str">
        <f>IFERROR(IF(H45="","",IF(AND(D45="Non-native and ornamental hedgerow", H45&lt;&gt;"Poor"),"Not possible ▲", (IF(AND(F45="V.Low",OR(H45="Good",H45="Moderate")),"Error ▲",VLOOKUP(H45,'G-1 All Habitats'!$Z$2:$AA$9,2,FALSE))))),"")</f>
        <v/>
      </c>
      <c r="J45" s="106"/>
      <c r="K45" s="301" t="str">
        <f>IF(J45="","",IF(VLOOKUP(J45,'G-3 Multipliers'!$L$3:$N$6,2,FALSE)=0,"Spatial Data Missing",VLOOKUP(J45,'G-3 Multipliers'!$L$3:$N$6,2,FALSE)))</f>
        <v/>
      </c>
      <c r="L45" s="305" t="str">
        <f>IF(J45="","",IF(VLOOKUP(J45,'G-3 Multipliers'!$L$3:$N$6,3,FALSE)=0,"Spatial Data Missing",VLOOKUP(J45,'G-3 Multipliers'!$L$3:$N$6,3,FALSE)))</f>
        <v/>
      </c>
      <c r="M45" s="138"/>
      <c r="N45" s="282" t="str">
        <f>IF(M45="","",IF(VLOOKUP(M45,'G-3 Multipliers'!$S$3:$T$10,2,FALSE)=0,"Spatial Data Missing ⚠",VLOOKUP(M45,'G-3 Multipliers'!$S$3:$T$10,2,FALSE)))</f>
        <v/>
      </c>
      <c r="O45" s="281" t="str">
        <f>IF(OR(D45="",H45=""),"",(INDEX('G-6 Hedgerow Data'!$E$3:$I$15,MATCH(D45,'G-6 Hedgerow Data'!$B$3:$B$15,0),MATCH(H45,'G-6 Hedgerow Data'!$E$2:$I$2,0))))</f>
        <v/>
      </c>
      <c r="P45" s="137"/>
      <c r="Q45" s="137"/>
      <c r="R45" s="289" t="str">
        <f t="shared" si="1"/>
        <v/>
      </c>
      <c r="S45" s="302" t="str">
        <f t="shared" si="2"/>
        <v/>
      </c>
      <c r="T45" s="303" t="str">
        <f t="shared" si="0"/>
        <v/>
      </c>
      <c r="U45" s="317" t="str">
        <f>IF(D45="","",VLOOKUP(D45,'G-6 Hedgerow Data'!$B$3:$AG$15,31,FALSE))</f>
        <v/>
      </c>
      <c r="V45" s="301" t="str">
        <f t="shared" si="3"/>
        <v/>
      </c>
      <c r="W45" s="289" t="str">
        <f t="shared" si="4"/>
        <v/>
      </c>
      <c r="X45" s="305" t="str">
        <f>IF(F45="","",VLOOKUP(U45,'G-3 Multipliers'!$P$3:$Q$6,2,FALSE))</f>
        <v/>
      </c>
      <c r="Y45" s="309" t="str">
        <f t="shared" si="5"/>
        <v/>
      </c>
      <c r="Z45" s="309" t="str">
        <f t="shared" si="6"/>
        <v/>
      </c>
      <c r="AA45" s="105"/>
      <c r="AB45" s="968"/>
      <c r="AC45" s="142"/>
      <c r="AD45" s="142"/>
      <c r="AE45" s="964"/>
      <c r="AH45" s="30" t="str">
        <f>IFERROR(INDEX('G-6 Hedgerow Data'!$BJ$3:$BJ$15,MATCH(D45,'G-6 Hedgerow Data'!$B$3:$B$15,0)),"")</f>
        <v/>
      </c>
    </row>
    <row r="46" spans="2:34" ht="13.8" x14ac:dyDescent="0.25">
      <c r="B46" s="101">
        <v>35</v>
      </c>
      <c r="C46" s="175"/>
      <c r="D46" s="58"/>
      <c r="E46" s="142"/>
      <c r="F46" s="281" t="str">
        <f>IF(D46="","",VLOOKUP(D46,'G-6 Hedgerow Data'!$B$2:$AG$15,2,FALSE))</f>
        <v/>
      </c>
      <c r="G46" s="305" t="str">
        <f>IF(D46="","",VLOOKUP(D46,'G-6 Hedgerow Data'!$B$2:$AG$15,3,FALSE))</f>
        <v/>
      </c>
      <c r="H46" s="53"/>
      <c r="I46" s="282" t="str">
        <f>IFERROR(IF(H46="","",IF(AND(D46="Non-native and ornamental hedgerow", H46&lt;&gt;"Poor"),"Not possible ▲", (IF(AND(F46="V.Low",OR(H46="Good",H46="Moderate")),"Error ▲",VLOOKUP(H46,'G-1 All Habitats'!$Z$2:$AA$9,2,FALSE))))),"")</f>
        <v/>
      </c>
      <c r="J46" s="106"/>
      <c r="K46" s="301" t="str">
        <f>IF(J46="","",IF(VLOOKUP(J46,'G-3 Multipliers'!$L$3:$N$6,2,FALSE)=0,"Spatial Data Missing",VLOOKUP(J46,'G-3 Multipliers'!$L$3:$N$6,2,FALSE)))</f>
        <v/>
      </c>
      <c r="L46" s="305" t="str">
        <f>IF(J46="","",IF(VLOOKUP(J46,'G-3 Multipliers'!$L$3:$N$6,3,FALSE)=0,"Spatial Data Missing",VLOOKUP(J46,'G-3 Multipliers'!$L$3:$N$6,3,FALSE)))</f>
        <v/>
      </c>
      <c r="M46" s="138"/>
      <c r="N46" s="282" t="str">
        <f>IF(M46="","",IF(VLOOKUP(M46,'G-3 Multipliers'!$S$3:$T$10,2,FALSE)=0,"Spatial Data Missing ⚠",VLOOKUP(M46,'G-3 Multipliers'!$S$3:$T$10,2,FALSE)))</f>
        <v/>
      </c>
      <c r="O46" s="281" t="str">
        <f>IF(OR(D46="",H46=""),"",(INDEX('G-6 Hedgerow Data'!$E$3:$I$15,MATCH(D46,'G-6 Hedgerow Data'!$B$3:$B$15,0),MATCH(H46,'G-6 Hedgerow Data'!$E$2:$I$2,0))))</f>
        <v/>
      </c>
      <c r="P46" s="137"/>
      <c r="Q46" s="137"/>
      <c r="R46" s="289" t="str">
        <f t="shared" si="1"/>
        <v/>
      </c>
      <c r="S46" s="302" t="str">
        <f t="shared" si="2"/>
        <v/>
      </c>
      <c r="T46" s="303" t="str">
        <f t="shared" si="0"/>
        <v/>
      </c>
      <c r="U46" s="317" t="str">
        <f>IF(D46="","",VLOOKUP(D46,'G-6 Hedgerow Data'!$B$3:$AG$15,31,FALSE))</f>
        <v/>
      </c>
      <c r="V46" s="301" t="str">
        <f t="shared" si="3"/>
        <v/>
      </c>
      <c r="W46" s="289" t="str">
        <f t="shared" si="4"/>
        <v/>
      </c>
      <c r="X46" s="305" t="str">
        <f>IF(F46="","",VLOOKUP(U46,'G-3 Multipliers'!$P$3:$Q$6,2,FALSE))</f>
        <v/>
      </c>
      <c r="Y46" s="309" t="str">
        <f t="shared" si="5"/>
        <v/>
      </c>
      <c r="Z46" s="309" t="str">
        <f t="shared" si="6"/>
        <v/>
      </c>
      <c r="AA46" s="105"/>
      <c r="AB46" s="968"/>
      <c r="AC46" s="142"/>
      <c r="AD46" s="142"/>
      <c r="AE46" s="964"/>
      <c r="AH46" s="30" t="str">
        <f>IFERROR(INDEX('G-6 Hedgerow Data'!$BJ$3:$BJ$15,MATCH(D46,'G-6 Hedgerow Data'!$B$3:$B$15,0)),"")</f>
        <v/>
      </c>
    </row>
    <row r="47" spans="2:34" ht="13.8" x14ac:dyDescent="0.25">
      <c r="B47" s="101">
        <v>36</v>
      </c>
      <c r="C47" s="175"/>
      <c r="D47" s="58"/>
      <c r="E47" s="142"/>
      <c r="F47" s="281" t="str">
        <f>IF(D47="","",VLOOKUP(D47,'G-6 Hedgerow Data'!$B$2:$AG$15,2,FALSE))</f>
        <v/>
      </c>
      <c r="G47" s="305" t="str">
        <f>IF(D47="","",VLOOKUP(D47,'G-6 Hedgerow Data'!$B$2:$AG$15,3,FALSE))</f>
        <v/>
      </c>
      <c r="H47" s="53"/>
      <c r="I47" s="282" t="str">
        <f>IFERROR(IF(H47="","",IF(AND(D47="Non-native and ornamental hedgerow", H47&lt;&gt;"Poor"),"Not possible ▲", (IF(AND(F47="V.Low",OR(H47="Good",H47="Moderate")),"Error ▲",VLOOKUP(H47,'G-1 All Habitats'!$Z$2:$AA$9,2,FALSE))))),"")</f>
        <v/>
      </c>
      <c r="J47" s="106"/>
      <c r="K47" s="301" t="str">
        <f>IF(J47="","",IF(VLOOKUP(J47,'G-3 Multipliers'!$L$3:$N$6,2,FALSE)=0,"Spatial Data Missing",VLOOKUP(J47,'G-3 Multipliers'!$L$3:$N$6,2,FALSE)))</f>
        <v/>
      </c>
      <c r="L47" s="305" t="str">
        <f>IF(J47="","",IF(VLOOKUP(J47,'G-3 Multipliers'!$L$3:$N$6,3,FALSE)=0,"Spatial Data Missing",VLOOKUP(J47,'G-3 Multipliers'!$L$3:$N$6,3,FALSE)))</f>
        <v/>
      </c>
      <c r="M47" s="138"/>
      <c r="N47" s="282" t="str">
        <f>IF(M47="","",IF(VLOOKUP(M47,'G-3 Multipliers'!$S$3:$T$10,2,FALSE)=0,"Spatial Data Missing ⚠",VLOOKUP(M47,'G-3 Multipliers'!$S$3:$T$10,2,FALSE)))</f>
        <v/>
      </c>
      <c r="O47" s="281" t="str">
        <f>IF(OR(D47="",H47=""),"",(INDEX('G-6 Hedgerow Data'!$E$3:$I$15,MATCH(D47,'G-6 Hedgerow Data'!$B$3:$B$15,0),MATCH(H47,'G-6 Hedgerow Data'!$E$2:$I$2,0))))</f>
        <v/>
      </c>
      <c r="P47" s="137"/>
      <c r="Q47" s="137"/>
      <c r="R47" s="289" t="str">
        <f t="shared" si="1"/>
        <v/>
      </c>
      <c r="S47" s="302" t="str">
        <f t="shared" si="2"/>
        <v/>
      </c>
      <c r="T47" s="303" t="str">
        <f t="shared" si="0"/>
        <v/>
      </c>
      <c r="U47" s="317" t="str">
        <f>IF(D47="","",VLOOKUP(D47,'G-6 Hedgerow Data'!$B$3:$AG$15,31,FALSE))</f>
        <v/>
      </c>
      <c r="V47" s="301" t="str">
        <f t="shared" si="3"/>
        <v/>
      </c>
      <c r="W47" s="289" t="str">
        <f t="shared" si="4"/>
        <v/>
      </c>
      <c r="X47" s="305" t="str">
        <f>IF(F47="","",VLOOKUP(U47,'G-3 Multipliers'!$P$3:$Q$6,2,FALSE))</f>
        <v/>
      </c>
      <c r="Y47" s="309" t="str">
        <f t="shared" si="5"/>
        <v/>
      </c>
      <c r="Z47" s="309" t="str">
        <f t="shared" si="6"/>
        <v/>
      </c>
      <c r="AA47" s="105"/>
      <c r="AB47" s="968"/>
      <c r="AC47" s="142"/>
      <c r="AD47" s="142"/>
      <c r="AE47" s="964"/>
      <c r="AH47" s="30" t="str">
        <f>IFERROR(INDEX('G-6 Hedgerow Data'!$BJ$3:$BJ$15,MATCH(D47,'G-6 Hedgerow Data'!$B$3:$B$15,0)),"")</f>
        <v/>
      </c>
    </row>
    <row r="48" spans="2:34" ht="13.8" x14ac:dyDescent="0.25">
      <c r="B48" s="101">
        <v>37</v>
      </c>
      <c r="C48" s="175"/>
      <c r="D48" s="58"/>
      <c r="E48" s="142"/>
      <c r="F48" s="281" t="str">
        <f>IF(D48="","",VLOOKUP(D48,'G-6 Hedgerow Data'!$B$2:$AG$15,2,FALSE))</f>
        <v/>
      </c>
      <c r="G48" s="305" t="str">
        <f>IF(D48="","",VLOOKUP(D48,'G-6 Hedgerow Data'!$B$2:$AG$15,3,FALSE))</f>
        <v/>
      </c>
      <c r="H48" s="53"/>
      <c r="I48" s="282" t="str">
        <f>IFERROR(IF(H48="","",IF(AND(D48="Non-native and ornamental hedgerow", H48&lt;&gt;"Poor"),"Not possible ▲", (IF(AND(F48="V.Low",OR(H48="Good",H48="Moderate")),"Error ▲",VLOOKUP(H48,'G-1 All Habitats'!$Z$2:$AA$9,2,FALSE))))),"")</f>
        <v/>
      </c>
      <c r="J48" s="106"/>
      <c r="K48" s="301" t="str">
        <f>IF(J48="","",IF(VLOOKUP(J48,'G-3 Multipliers'!$L$3:$N$6,2,FALSE)=0,"Spatial Data Missing",VLOOKUP(J48,'G-3 Multipliers'!$L$3:$N$6,2,FALSE)))</f>
        <v/>
      </c>
      <c r="L48" s="305" t="str">
        <f>IF(J48="","",IF(VLOOKUP(J48,'G-3 Multipliers'!$L$3:$N$6,3,FALSE)=0,"Spatial Data Missing",VLOOKUP(J48,'G-3 Multipliers'!$L$3:$N$6,3,FALSE)))</f>
        <v/>
      </c>
      <c r="M48" s="138"/>
      <c r="N48" s="282" t="str">
        <f>IF(M48="","",IF(VLOOKUP(M48,'G-3 Multipliers'!$S$3:$T$10,2,FALSE)=0,"Spatial Data Missing ⚠",VLOOKUP(M48,'G-3 Multipliers'!$S$3:$T$10,2,FALSE)))</f>
        <v/>
      </c>
      <c r="O48" s="281" t="str">
        <f>IF(OR(D48="",H48=""),"",(INDEX('G-6 Hedgerow Data'!$E$3:$I$15,MATCH(D48,'G-6 Hedgerow Data'!$B$3:$B$15,0),MATCH(H48,'G-6 Hedgerow Data'!$E$2:$I$2,0))))</f>
        <v/>
      </c>
      <c r="P48" s="137"/>
      <c r="Q48" s="137"/>
      <c r="R48" s="289" t="str">
        <f t="shared" si="1"/>
        <v/>
      </c>
      <c r="S48" s="302" t="str">
        <f t="shared" si="2"/>
        <v/>
      </c>
      <c r="T48" s="303" t="str">
        <f t="shared" si="0"/>
        <v/>
      </c>
      <c r="U48" s="317" t="str">
        <f>IF(D48="","",VLOOKUP(D48,'G-6 Hedgerow Data'!$B$3:$AG$15,31,FALSE))</f>
        <v/>
      </c>
      <c r="V48" s="301" t="str">
        <f t="shared" si="3"/>
        <v/>
      </c>
      <c r="W48" s="289" t="str">
        <f t="shared" si="4"/>
        <v/>
      </c>
      <c r="X48" s="305" t="str">
        <f>IF(F48="","",VLOOKUP(U48,'G-3 Multipliers'!$P$3:$Q$6,2,FALSE))</f>
        <v/>
      </c>
      <c r="Y48" s="309" t="str">
        <f t="shared" si="5"/>
        <v/>
      </c>
      <c r="Z48" s="309" t="str">
        <f t="shared" si="6"/>
        <v/>
      </c>
      <c r="AA48" s="105"/>
      <c r="AB48" s="968"/>
      <c r="AC48" s="142"/>
      <c r="AD48" s="142"/>
      <c r="AE48" s="964"/>
      <c r="AH48" s="30" t="str">
        <f>IFERROR(INDEX('G-6 Hedgerow Data'!$BJ$3:$BJ$15,MATCH(D48,'G-6 Hedgerow Data'!$B$3:$B$15,0)),"")</f>
        <v/>
      </c>
    </row>
    <row r="49" spans="2:34" ht="13.8" x14ac:dyDescent="0.25">
      <c r="B49" s="101">
        <v>38</v>
      </c>
      <c r="C49" s="175"/>
      <c r="D49" s="58"/>
      <c r="E49" s="142"/>
      <c r="F49" s="281" t="str">
        <f>IF(D49="","",VLOOKUP(D49,'G-6 Hedgerow Data'!$B$2:$AG$15,2,FALSE))</f>
        <v/>
      </c>
      <c r="G49" s="305" t="str">
        <f>IF(D49="","",VLOOKUP(D49,'G-6 Hedgerow Data'!$B$2:$AG$15,3,FALSE))</f>
        <v/>
      </c>
      <c r="H49" s="53"/>
      <c r="I49" s="282" t="str">
        <f>IFERROR(IF(H49="","",IF(AND(D49="Non-native and ornamental hedgerow", H49&lt;&gt;"Poor"),"Not possible ▲", (IF(AND(F49="V.Low",OR(H49="Good",H49="Moderate")),"Error ▲",VLOOKUP(H49,'G-1 All Habitats'!$Z$2:$AA$9,2,FALSE))))),"")</f>
        <v/>
      </c>
      <c r="J49" s="106"/>
      <c r="K49" s="301" t="str">
        <f>IF(J49="","",IF(VLOOKUP(J49,'G-3 Multipliers'!$L$3:$N$6,2,FALSE)=0,"Spatial Data Missing",VLOOKUP(J49,'G-3 Multipliers'!$L$3:$N$6,2,FALSE)))</f>
        <v/>
      </c>
      <c r="L49" s="305" t="str">
        <f>IF(J49="","",IF(VLOOKUP(J49,'G-3 Multipliers'!$L$3:$N$6,3,FALSE)=0,"Spatial Data Missing",VLOOKUP(J49,'G-3 Multipliers'!$L$3:$N$6,3,FALSE)))</f>
        <v/>
      </c>
      <c r="M49" s="138"/>
      <c r="N49" s="282" t="str">
        <f>IF(M49="","",IF(VLOOKUP(M49,'G-3 Multipliers'!$S$3:$T$10,2,FALSE)=0,"Spatial Data Missing ⚠",VLOOKUP(M49,'G-3 Multipliers'!$S$3:$T$10,2,FALSE)))</f>
        <v/>
      </c>
      <c r="O49" s="281" t="str">
        <f>IF(OR(D49="",H49=""),"",(INDEX('G-6 Hedgerow Data'!$E$3:$I$15,MATCH(D49,'G-6 Hedgerow Data'!$B$3:$B$15,0),MATCH(H49,'G-6 Hedgerow Data'!$E$2:$I$2,0))))</f>
        <v/>
      </c>
      <c r="P49" s="137"/>
      <c r="Q49" s="137"/>
      <c r="R49" s="289" t="str">
        <f t="shared" si="1"/>
        <v/>
      </c>
      <c r="S49" s="302" t="str">
        <f t="shared" si="2"/>
        <v/>
      </c>
      <c r="T49" s="303" t="str">
        <f t="shared" si="0"/>
        <v/>
      </c>
      <c r="U49" s="317" t="str">
        <f>IF(D49="","",VLOOKUP(D49,'G-6 Hedgerow Data'!$B$3:$AG$15,31,FALSE))</f>
        <v/>
      </c>
      <c r="V49" s="301" t="str">
        <f t="shared" si="3"/>
        <v/>
      </c>
      <c r="W49" s="289" t="str">
        <f t="shared" si="4"/>
        <v/>
      </c>
      <c r="X49" s="305" t="str">
        <f>IF(F49="","",VLOOKUP(U49,'G-3 Multipliers'!$P$3:$Q$6,2,FALSE))</f>
        <v/>
      </c>
      <c r="Y49" s="309" t="str">
        <f t="shared" si="5"/>
        <v/>
      </c>
      <c r="Z49" s="309" t="str">
        <f t="shared" si="6"/>
        <v/>
      </c>
      <c r="AA49" s="105"/>
      <c r="AB49" s="968"/>
      <c r="AC49" s="142"/>
      <c r="AD49" s="142"/>
      <c r="AE49" s="964"/>
      <c r="AH49" s="30" t="str">
        <f>IFERROR(INDEX('G-6 Hedgerow Data'!$BJ$3:$BJ$15,MATCH(D49,'G-6 Hedgerow Data'!$B$3:$B$15,0)),"")</f>
        <v/>
      </c>
    </row>
    <row r="50" spans="2:34" ht="13.8" x14ac:dyDescent="0.25">
      <c r="B50" s="101">
        <v>39</v>
      </c>
      <c r="C50" s="175"/>
      <c r="D50" s="58"/>
      <c r="E50" s="142"/>
      <c r="F50" s="281" t="str">
        <f>IF(D50="","",VLOOKUP(D50,'G-6 Hedgerow Data'!$B$2:$AG$15,2,FALSE))</f>
        <v/>
      </c>
      <c r="G50" s="305" t="str">
        <f>IF(D50="","",VLOOKUP(D50,'G-6 Hedgerow Data'!$B$2:$AG$15,3,FALSE))</f>
        <v/>
      </c>
      <c r="H50" s="53"/>
      <c r="I50" s="282" t="str">
        <f>IFERROR(IF(H50="","",IF(AND(D50="Non-native and ornamental hedgerow", H50&lt;&gt;"Poor"),"Not possible ▲", (IF(AND(F50="V.Low",OR(H50="Good",H50="Moderate")),"Error ▲",VLOOKUP(H50,'G-1 All Habitats'!$Z$2:$AA$9,2,FALSE))))),"")</f>
        <v/>
      </c>
      <c r="J50" s="106"/>
      <c r="K50" s="301" t="str">
        <f>IF(J50="","",IF(VLOOKUP(J50,'G-3 Multipliers'!$L$3:$N$6,2,FALSE)=0,"Spatial Data Missing",VLOOKUP(J50,'G-3 Multipliers'!$L$3:$N$6,2,FALSE)))</f>
        <v/>
      </c>
      <c r="L50" s="305" t="str">
        <f>IF(J50="","",IF(VLOOKUP(J50,'G-3 Multipliers'!$L$3:$N$6,3,FALSE)=0,"Spatial Data Missing",VLOOKUP(J50,'G-3 Multipliers'!$L$3:$N$6,3,FALSE)))</f>
        <v/>
      </c>
      <c r="M50" s="138"/>
      <c r="N50" s="282" t="str">
        <f>IF(M50="","",IF(VLOOKUP(M50,'G-3 Multipliers'!$S$3:$T$10,2,FALSE)=0,"Spatial Data Missing ⚠",VLOOKUP(M50,'G-3 Multipliers'!$S$3:$T$10,2,FALSE)))</f>
        <v/>
      </c>
      <c r="O50" s="281" t="str">
        <f>IF(OR(D50="",H50=""),"",(INDEX('G-6 Hedgerow Data'!$E$3:$I$15,MATCH(D50,'G-6 Hedgerow Data'!$B$3:$B$15,0),MATCH(H50,'G-6 Hedgerow Data'!$E$2:$I$2,0))))</f>
        <v/>
      </c>
      <c r="P50" s="137"/>
      <c r="Q50" s="137"/>
      <c r="R50" s="289" t="str">
        <f t="shared" si="1"/>
        <v/>
      </c>
      <c r="S50" s="302" t="str">
        <f t="shared" si="2"/>
        <v/>
      </c>
      <c r="T50" s="303" t="str">
        <f t="shared" si="0"/>
        <v/>
      </c>
      <c r="U50" s="317" t="str">
        <f>IF(D50="","",VLOOKUP(D50,'G-6 Hedgerow Data'!$B$3:$AG$15,31,FALSE))</f>
        <v/>
      </c>
      <c r="V50" s="301" t="str">
        <f t="shared" si="3"/>
        <v/>
      </c>
      <c r="W50" s="289" t="str">
        <f t="shared" si="4"/>
        <v/>
      </c>
      <c r="X50" s="305" t="str">
        <f>IF(F50="","",VLOOKUP(U50,'G-3 Multipliers'!$P$3:$Q$6,2,FALSE))</f>
        <v/>
      </c>
      <c r="Y50" s="309" t="str">
        <f t="shared" si="5"/>
        <v/>
      </c>
      <c r="Z50" s="309" t="str">
        <f t="shared" si="6"/>
        <v/>
      </c>
      <c r="AA50" s="105"/>
      <c r="AB50" s="968"/>
      <c r="AC50" s="142"/>
      <c r="AD50" s="142"/>
      <c r="AE50" s="964"/>
      <c r="AH50" s="30" t="str">
        <f>IFERROR(INDEX('G-6 Hedgerow Data'!$BJ$3:$BJ$15,MATCH(D50,'G-6 Hedgerow Data'!$B$3:$B$15,0)),"")</f>
        <v/>
      </c>
    </row>
    <row r="51" spans="2:34" ht="13.8" x14ac:dyDescent="0.25">
      <c r="B51" s="101">
        <v>40</v>
      </c>
      <c r="C51" s="175"/>
      <c r="D51" s="58"/>
      <c r="E51" s="142"/>
      <c r="F51" s="281" t="str">
        <f>IF(D51="","",VLOOKUP(D51,'G-6 Hedgerow Data'!$B$2:$AG$15,2,FALSE))</f>
        <v/>
      </c>
      <c r="G51" s="305" t="str">
        <f>IF(D51="","",VLOOKUP(D51,'G-6 Hedgerow Data'!$B$2:$AG$15,3,FALSE))</f>
        <v/>
      </c>
      <c r="H51" s="53"/>
      <c r="I51" s="282" t="str">
        <f>IFERROR(IF(H51="","",IF(AND(D51="Non-native and ornamental hedgerow", H51&lt;&gt;"Poor"),"Not possible ▲", (IF(AND(F51="V.Low",OR(H51="Good",H51="Moderate")),"Error ▲",VLOOKUP(H51,'G-1 All Habitats'!$Z$2:$AA$9,2,FALSE))))),"")</f>
        <v/>
      </c>
      <c r="J51" s="106"/>
      <c r="K51" s="301" t="str">
        <f>IF(J51="","",IF(VLOOKUP(J51,'G-3 Multipliers'!$L$3:$N$6,2,FALSE)=0,"Spatial Data Missing",VLOOKUP(J51,'G-3 Multipliers'!$L$3:$N$6,2,FALSE)))</f>
        <v/>
      </c>
      <c r="L51" s="305" t="str">
        <f>IF(J51="","",IF(VLOOKUP(J51,'G-3 Multipliers'!$L$3:$N$6,3,FALSE)=0,"Spatial Data Missing",VLOOKUP(J51,'G-3 Multipliers'!$L$3:$N$6,3,FALSE)))</f>
        <v/>
      </c>
      <c r="M51" s="138"/>
      <c r="N51" s="282" t="str">
        <f>IF(M51="","",IF(VLOOKUP(M51,'G-3 Multipliers'!$S$3:$T$10,2,FALSE)=0,"Spatial Data Missing ⚠",VLOOKUP(M51,'G-3 Multipliers'!$S$3:$T$10,2,FALSE)))</f>
        <v/>
      </c>
      <c r="O51" s="281" t="str">
        <f>IF(OR(D51="",H51=""),"",(INDEX('G-6 Hedgerow Data'!$E$3:$I$15,MATCH(D51,'G-6 Hedgerow Data'!$B$3:$B$15,0),MATCH(H51,'G-6 Hedgerow Data'!$E$2:$I$2,0))))</f>
        <v/>
      </c>
      <c r="P51" s="137"/>
      <c r="Q51" s="137"/>
      <c r="R51" s="289" t="str">
        <f t="shared" si="1"/>
        <v/>
      </c>
      <c r="S51" s="302" t="str">
        <f t="shared" si="2"/>
        <v/>
      </c>
      <c r="T51" s="303" t="str">
        <f t="shared" si="0"/>
        <v/>
      </c>
      <c r="U51" s="317" t="str">
        <f>IF(D51="","",VLOOKUP(D51,'G-6 Hedgerow Data'!$B$3:$AG$15,31,FALSE))</f>
        <v/>
      </c>
      <c r="V51" s="301" t="str">
        <f t="shared" si="3"/>
        <v/>
      </c>
      <c r="W51" s="289" t="str">
        <f t="shared" si="4"/>
        <v/>
      </c>
      <c r="X51" s="305" t="str">
        <f>IF(F51="","",VLOOKUP(U51,'G-3 Multipliers'!$P$3:$Q$6,2,FALSE))</f>
        <v/>
      </c>
      <c r="Y51" s="309" t="str">
        <f t="shared" si="5"/>
        <v/>
      </c>
      <c r="Z51" s="309" t="str">
        <f t="shared" si="6"/>
        <v/>
      </c>
      <c r="AA51" s="105"/>
      <c r="AB51" s="968"/>
      <c r="AC51" s="142"/>
      <c r="AD51" s="142"/>
      <c r="AE51" s="964"/>
      <c r="AH51" s="30" t="str">
        <f>IFERROR(INDEX('G-6 Hedgerow Data'!$BJ$3:$BJ$15,MATCH(D51,'G-6 Hedgerow Data'!$B$3:$B$15,0)),"")</f>
        <v/>
      </c>
    </row>
    <row r="52" spans="2:34" ht="13.8" x14ac:dyDescent="0.25">
      <c r="B52" s="101">
        <v>41</v>
      </c>
      <c r="C52" s="175"/>
      <c r="D52" s="58"/>
      <c r="E52" s="142"/>
      <c r="F52" s="281" t="str">
        <f>IF(D52="","",VLOOKUP(D52,'G-6 Hedgerow Data'!$B$2:$AG$15,2,FALSE))</f>
        <v/>
      </c>
      <c r="G52" s="305" t="str">
        <f>IF(D52="","",VLOOKUP(D52,'G-6 Hedgerow Data'!$B$2:$AG$15,3,FALSE))</f>
        <v/>
      </c>
      <c r="H52" s="53"/>
      <c r="I52" s="282" t="str">
        <f>IFERROR(IF(H52="","",IF(AND(D52="Non-native and ornamental hedgerow", H52&lt;&gt;"Poor"),"Not possible ▲", (IF(AND(F52="V.Low",OR(H52="Good",H52="Moderate")),"Error ▲",VLOOKUP(H52,'G-1 All Habitats'!$Z$2:$AA$9,2,FALSE))))),"")</f>
        <v/>
      </c>
      <c r="J52" s="106"/>
      <c r="K52" s="301" t="str">
        <f>IF(J52="","",IF(VLOOKUP(J52,'G-3 Multipliers'!$L$3:$N$6,2,FALSE)=0,"Spatial Data Missing",VLOOKUP(J52,'G-3 Multipliers'!$L$3:$N$6,2,FALSE)))</f>
        <v/>
      </c>
      <c r="L52" s="305" t="str">
        <f>IF(J52="","",IF(VLOOKUP(J52,'G-3 Multipliers'!$L$3:$N$6,3,FALSE)=0,"Spatial Data Missing",VLOOKUP(J52,'G-3 Multipliers'!$L$3:$N$6,3,FALSE)))</f>
        <v/>
      </c>
      <c r="M52" s="138"/>
      <c r="N52" s="282" t="str">
        <f>IF(M52="","",IF(VLOOKUP(M52,'G-3 Multipliers'!$S$3:$T$10,2,FALSE)=0,"Spatial Data Missing ⚠",VLOOKUP(M52,'G-3 Multipliers'!$S$3:$T$10,2,FALSE)))</f>
        <v/>
      </c>
      <c r="O52" s="281" t="str">
        <f>IF(OR(D52="",H52=""),"",(INDEX('G-6 Hedgerow Data'!$E$3:$I$15,MATCH(D52,'G-6 Hedgerow Data'!$B$3:$B$15,0),MATCH(H52,'G-6 Hedgerow Data'!$E$2:$I$2,0))))</f>
        <v/>
      </c>
      <c r="P52" s="137"/>
      <c r="Q52" s="137"/>
      <c r="R52" s="289" t="str">
        <f t="shared" si="1"/>
        <v/>
      </c>
      <c r="S52" s="302" t="str">
        <f t="shared" si="2"/>
        <v/>
      </c>
      <c r="T52" s="303" t="str">
        <f t="shared" si="0"/>
        <v/>
      </c>
      <c r="U52" s="317" t="str">
        <f>IF(D52="","",VLOOKUP(D52,'G-6 Hedgerow Data'!$B$3:$AG$15,31,FALSE))</f>
        <v/>
      </c>
      <c r="V52" s="301" t="str">
        <f t="shared" si="3"/>
        <v/>
      </c>
      <c r="W52" s="289" t="str">
        <f t="shared" si="4"/>
        <v/>
      </c>
      <c r="X52" s="305" t="str">
        <f>IF(F52="","",VLOOKUP(U52,'G-3 Multipliers'!$P$3:$Q$6,2,FALSE))</f>
        <v/>
      </c>
      <c r="Y52" s="309" t="str">
        <f t="shared" si="5"/>
        <v/>
      </c>
      <c r="Z52" s="309" t="str">
        <f t="shared" si="6"/>
        <v/>
      </c>
      <c r="AA52" s="105"/>
      <c r="AB52" s="968"/>
      <c r="AC52" s="142"/>
      <c r="AD52" s="142"/>
      <c r="AE52" s="964"/>
      <c r="AH52" s="30" t="str">
        <f>IFERROR(INDEX('G-6 Hedgerow Data'!$BJ$3:$BJ$15,MATCH(D52,'G-6 Hedgerow Data'!$B$3:$B$15,0)),"")</f>
        <v/>
      </c>
    </row>
    <row r="53" spans="2:34" ht="13.8" x14ac:dyDescent="0.25">
      <c r="B53" s="101">
        <v>42</v>
      </c>
      <c r="C53" s="175"/>
      <c r="D53" s="58"/>
      <c r="E53" s="142"/>
      <c r="F53" s="281" t="str">
        <f>IF(D53="","",VLOOKUP(D53,'G-6 Hedgerow Data'!$B$2:$AG$15,2,FALSE))</f>
        <v/>
      </c>
      <c r="G53" s="305" t="str">
        <f>IF(D53="","",VLOOKUP(D53,'G-6 Hedgerow Data'!$B$2:$AG$15,3,FALSE))</f>
        <v/>
      </c>
      <c r="H53" s="53"/>
      <c r="I53" s="282" t="str">
        <f>IFERROR(IF(H53="","",IF(AND(D53="Non-native and ornamental hedgerow", H53&lt;&gt;"Poor"),"Not possible ▲", (IF(AND(F53="V.Low",OR(H53="Good",H53="Moderate")),"Error ▲",VLOOKUP(H53,'G-1 All Habitats'!$Z$2:$AA$9,2,FALSE))))),"")</f>
        <v/>
      </c>
      <c r="J53" s="106"/>
      <c r="K53" s="301" t="str">
        <f>IF(J53="","",IF(VLOOKUP(J53,'G-3 Multipliers'!$L$3:$N$6,2,FALSE)=0,"Spatial Data Missing",VLOOKUP(J53,'G-3 Multipliers'!$L$3:$N$6,2,FALSE)))</f>
        <v/>
      </c>
      <c r="L53" s="305" t="str">
        <f>IF(J53="","",IF(VLOOKUP(J53,'G-3 Multipliers'!$L$3:$N$6,3,FALSE)=0,"Spatial Data Missing",VLOOKUP(J53,'G-3 Multipliers'!$L$3:$N$6,3,FALSE)))</f>
        <v/>
      </c>
      <c r="M53" s="138"/>
      <c r="N53" s="282" t="str">
        <f>IF(M53="","",IF(VLOOKUP(M53,'G-3 Multipliers'!$S$3:$T$10,2,FALSE)=0,"Spatial Data Missing ⚠",VLOOKUP(M53,'G-3 Multipliers'!$S$3:$T$10,2,FALSE)))</f>
        <v/>
      </c>
      <c r="O53" s="281" t="str">
        <f>IF(OR(D53="",H53=""),"",(INDEX('G-6 Hedgerow Data'!$E$3:$I$15,MATCH(D53,'G-6 Hedgerow Data'!$B$3:$B$15,0),MATCH(H53,'G-6 Hedgerow Data'!$E$2:$I$2,0))))</f>
        <v/>
      </c>
      <c r="P53" s="137"/>
      <c r="Q53" s="137"/>
      <c r="R53" s="289" t="str">
        <f t="shared" si="1"/>
        <v/>
      </c>
      <c r="S53" s="302" t="str">
        <f t="shared" si="2"/>
        <v/>
      </c>
      <c r="T53" s="303" t="str">
        <f t="shared" si="0"/>
        <v/>
      </c>
      <c r="U53" s="317" t="str">
        <f>IF(D53="","",VLOOKUP(D53,'G-6 Hedgerow Data'!$B$3:$AG$15,31,FALSE))</f>
        <v/>
      </c>
      <c r="V53" s="301" t="str">
        <f t="shared" si="3"/>
        <v/>
      </c>
      <c r="W53" s="289" t="str">
        <f t="shared" si="4"/>
        <v/>
      </c>
      <c r="X53" s="305" t="str">
        <f>IF(F53="","",VLOOKUP(U53,'G-3 Multipliers'!$P$3:$Q$6,2,FALSE))</f>
        <v/>
      </c>
      <c r="Y53" s="309" t="str">
        <f t="shared" si="5"/>
        <v/>
      </c>
      <c r="Z53" s="309" t="str">
        <f t="shared" si="6"/>
        <v/>
      </c>
      <c r="AA53" s="105"/>
      <c r="AB53" s="968"/>
      <c r="AC53" s="142"/>
      <c r="AD53" s="142"/>
      <c r="AE53" s="964"/>
      <c r="AH53" s="30" t="str">
        <f>IFERROR(INDEX('G-6 Hedgerow Data'!$BJ$3:$BJ$15,MATCH(D53,'G-6 Hedgerow Data'!$B$3:$B$15,0)),"")</f>
        <v/>
      </c>
    </row>
    <row r="54" spans="2:34" ht="13.8" x14ac:dyDescent="0.25">
      <c r="B54" s="101">
        <v>43</v>
      </c>
      <c r="C54" s="175"/>
      <c r="D54" s="58"/>
      <c r="E54" s="142"/>
      <c r="F54" s="281" t="str">
        <f>IF(D54="","",VLOOKUP(D54,'G-6 Hedgerow Data'!$B$2:$AG$15,2,FALSE))</f>
        <v/>
      </c>
      <c r="G54" s="305" t="str">
        <f>IF(D54="","",VLOOKUP(D54,'G-6 Hedgerow Data'!$B$2:$AG$15,3,FALSE))</f>
        <v/>
      </c>
      <c r="H54" s="53"/>
      <c r="I54" s="282" t="str">
        <f>IFERROR(IF(H54="","",IF(AND(D54="Non-native and ornamental hedgerow", H54&lt;&gt;"Poor"),"Not possible ▲", (IF(AND(F54="V.Low",OR(H54="Good",H54="Moderate")),"Error ▲",VLOOKUP(H54,'G-1 All Habitats'!$Z$2:$AA$9,2,FALSE))))),"")</f>
        <v/>
      </c>
      <c r="J54" s="106"/>
      <c r="K54" s="301" t="str">
        <f>IF(J54="","",IF(VLOOKUP(J54,'G-3 Multipliers'!$L$3:$N$6,2,FALSE)=0,"Spatial Data Missing",VLOOKUP(J54,'G-3 Multipliers'!$L$3:$N$6,2,FALSE)))</f>
        <v/>
      </c>
      <c r="L54" s="305" t="str">
        <f>IF(J54="","",IF(VLOOKUP(J54,'G-3 Multipliers'!$L$3:$N$6,3,FALSE)=0,"Spatial Data Missing",VLOOKUP(J54,'G-3 Multipliers'!$L$3:$N$6,3,FALSE)))</f>
        <v/>
      </c>
      <c r="M54" s="138"/>
      <c r="N54" s="282" t="str">
        <f>IF(M54="","",IF(VLOOKUP(M54,'G-3 Multipliers'!$S$3:$T$10,2,FALSE)=0,"Spatial Data Missing ⚠",VLOOKUP(M54,'G-3 Multipliers'!$S$3:$T$10,2,FALSE)))</f>
        <v/>
      </c>
      <c r="O54" s="281" t="str">
        <f>IF(OR(D54="",H54=""),"",(INDEX('G-6 Hedgerow Data'!$E$3:$I$15,MATCH(D54,'G-6 Hedgerow Data'!$B$3:$B$15,0),MATCH(H54,'G-6 Hedgerow Data'!$E$2:$I$2,0))))</f>
        <v/>
      </c>
      <c r="P54" s="137"/>
      <c r="Q54" s="137"/>
      <c r="R54" s="289" t="str">
        <f t="shared" si="1"/>
        <v/>
      </c>
      <c r="S54" s="302" t="str">
        <f t="shared" si="2"/>
        <v/>
      </c>
      <c r="T54" s="303" t="str">
        <f t="shared" si="0"/>
        <v/>
      </c>
      <c r="U54" s="317" t="str">
        <f>IF(D54="","",VLOOKUP(D54,'G-6 Hedgerow Data'!$B$3:$AG$15,31,FALSE))</f>
        <v/>
      </c>
      <c r="V54" s="301" t="str">
        <f t="shared" si="3"/>
        <v/>
      </c>
      <c r="W54" s="289" t="str">
        <f t="shared" si="4"/>
        <v/>
      </c>
      <c r="X54" s="305" t="str">
        <f>IF(F54="","",VLOOKUP(U54,'G-3 Multipliers'!$P$3:$Q$6,2,FALSE))</f>
        <v/>
      </c>
      <c r="Y54" s="309" t="str">
        <f t="shared" si="5"/>
        <v/>
      </c>
      <c r="Z54" s="309" t="str">
        <f t="shared" si="6"/>
        <v/>
      </c>
      <c r="AA54" s="105"/>
      <c r="AB54" s="968"/>
      <c r="AC54" s="142"/>
      <c r="AD54" s="142"/>
      <c r="AE54" s="964"/>
      <c r="AH54" s="30" t="str">
        <f>IFERROR(INDEX('G-6 Hedgerow Data'!$BJ$3:$BJ$15,MATCH(D54,'G-6 Hedgerow Data'!$B$3:$B$15,0)),"")</f>
        <v/>
      </c>
    </row>
    <row r="55" spans="2:34" ht="13.8" x14ac:dyDescent="0.25">
      <c r="B55" s="101">
        <v>44</v>
      </c>
      <c r="C55" s="175"/>
      <c r="D55" s="58"/>
      <c r="E55" s="142"/>
      <c r="F55" s="281" t="str">
        <f>IF(D55="","",VLOOKUP(D55,'G-6 Hedgerow Data'!$B$2:$AG$15,2,FALSE))</f>
        <v/>
      </c>
      <c r="G55" s="305" t="str">
        <f>IF(D55="","",VLOOKUP(D55,'G-6 Hedgerow Data'!$B$2:$AG$15,3,FALSE))</f>
        <v/>
      </c>
      <c r="H55" s="53"/>
      <c r="I55" s="282" t="str">
        <f>IFERROR(IF(H55="","",IF(AND(D55="Non-native and ornamental hedgerow", H55&lt;&gt;"Poor"),"Not possible ▲", (IF(AND(F55="V.Low",OR(H55="Good",H55="Moderate")),"Error ▲",VLOOKUP(H55,'G-1 All Habitats'!$Z$2:$AA$9,2,FALSE))))),"")</f>
        <v/>
      </c>
      <c r="J55" s="106"/>
      <c r="K55" s="301" t="str">
        <f>IF(J55="","",IF(VLOOKUP(J55,'G-3 Multipliers'!$L$3:$N$6,2,FALSE)=0,"Spatial Data Missing",VLOOKUP(J55,'G-3 Multipliers'!$L$3:$N$6,2,FALSE)))</f>
        <v/>
      </c>
      <c r="L55" s="305" t="str">
        <f>IF(J55="","",IF(VLOOKUP(J55,'G-3 Multipliers'!$L$3:$N$6,3,FALSE)=0,"Spatial Data Missing",VLOOKUP(J55,'G-3 Multipliers'!$L$3:$N$6,3,FALSE)))</f>
        <v/>
      </c>
      <c r="M55" s="138"/>
      <c r="N55" s="282" t="str">
        <f>IF(M55="","",IF(VLOOKUP(M55,'G-3 Multipliers'!$S$3:$T$10,2,FALSE)=0,"Spatial Data Missing ⚠",VLOOKUP(M55,'G-3 Multipliers'!$S$3:$T$10,2,FALSE)))</f>
        <v/>
      </c>
      <c r="O55" s="281" t="str">
        <f>IF(OR(D55="",H55=""),"",(INDEX('G-6 Hedgerow Data'!$E$3:$I$15,MATCH(D55,'G-6 Hedgerow Data'!$B$3:$B$15,0),MATCH(H55,'G-6 Hedgerow Data'!$E$2:$I$2,0))))</f>
        <v/>
      </c>
      <c r="P55" s="137"/>
      <c r="Q55" s="137"/>
      <c r="R55" s="289" t="str">
        <f t="shared" si="1"/>
        <v/>
      </c>
      <c r="S55" s="302" t="str">
        <f t="shared" si="2"/>
        <v/>
      </c>
      <c r="T55" s="303" t="str">
        <f t="shared" si="0"/>
        <v/>
      </c>
      <c r="U55" s="317" t="str">
        <f>IF(D55="","",VLOOKUP(D55,'G-6 Hedgerow Data'!$B$3:$AG$15,31,FALSE))</f>
        <v/>
      </c>
      <c r="V55" s="301" t="str">
        <f t="shared" si="3"/>
        <v/>
      </c>
      <c r="W55" s="289" t="str">
        <f t="shared" si="4"/>
        <v/>
      </c>
      <c r="X55" s="305" t="str">
        <f>IF(F55="","",VLOOKUP(U55,'G-3 Multipliers'!$P$3:$Q$6,2,FALSE))</f>
        <v/>
      </c>
      <c r="Y55" s="309" t="str">
        <f t="shared" si="5"/>
        <v/>
      </c>
      <c r="Z55" s="309" t="str">
        <f t="shared" si="6"/>
        <v/>
      </c>
      <c r="AA55" s="105"/>
      <c r="AB55" s="968"/>
      <c r="AC55" s="142"/>
      <c r="AD55" s="142"/>
      <c r="AE55" s="964"/>
      <c r="AH55" s="30" t="str">
        <f>IFERROR(INDEX('G-6 Hedgerow Data'!$BJ$3:$BJ$15,MATCH(D55,'G-6 Hedgerow Data'!$B$3:$B$15,0)),"")</f>
        <v/>
      </c>
    </row>
    <row r="56" spans="2:34" ht="13.8" x14ac:dyDescent="0.25">
      <c r="B56" s="101">
        <v>45</v>
      </c>
      <c r="C56" s="175"/>
      <c r="D56" s="58"/>
      <c r="E56" s="142"/>
      <c r="F56" s="281" t="str">
        <f>IF(D56="","",VLOOKUP(D56,'G-6 Hedgerow Data'!$B$2:$AG$15,2,FALSE))</f>
        <v/>
      </c>
      <c r="G56" s="305" t="str">
        <f>IF(D56="","",VLOOKUP(D56,'G-6 Hedgerow Data'!$B$2:$AG$15,3,FALSE))</f>
        <v/>
      </c>
      <c r="H56" s="53"/>
      <c r="I56" s="282" t="str">
        <f>IFERROR(IF(H56="","",IF(AND(D56="Non-native and ornamental hedgerow", H56&lt;&gt;"Poor"),"Not possible ▲", (IF(AND(F56="V.Low",OR(H56="Good",H56="Moderate")),"Error ▲",VLOOKUP(H56,'G-1 All Habitats'!$Z$2:$AA$9,2,FALSE))))),"")</f>
        <v/>
      </c>
      <c r="J56" s="106"/>
      <c r="K56" s="301" t="str">
        <f>IF(J56="","",IF(VLOOKUP(J56,'G-3 Multipliers'!$L$3:$N$6,2,FALSE)=0,"Spatial Data Missing",VLOOKUP(J56,'G-3 Multipliers'!$L$3:$N$6,2,FALSE)))</f>
        <v/>
      </c>
      <c r="L56" s="305" t="str">
        <f>IF(J56="","",IF(VLOOKUP(J56,'G-3 Multipliers'!$L$3:$N$6,3,FALSE)=0,"Spatial Data Missing",VLOOKUP(J56,'G-3 Multipliers'!$L$3:$N$6,3,FALSE)))</f>
        <v/>
      </c>
      <c r="M56" s="138"/>
      <c r="N56" s="282" t="str">
        <f>IF(M56="","",IF(VLOOKUP(M56,'G-3 Multipliers'!$S$3:$T$10,2,FALSE)=0,"Spatial Data Missing ⚠",VLOOKUP(M56,'G-3 Multipliers'!$S$3:$T$10,2,FALSE)))</f>
        <v/>
      </c>
      <c r="O56" s="281" t="str">
        <f>IF(OR(D56="",H56=""),"",(INDEX('G-6 Hedgerow Data'!$E$3:$I$15,MATCH(D56,'G-6 Hedgerow Data'!$B$3:$B$15,0),MATCH(H56,'G-6 Hedgerow Data'!$E$2:$I$2,0))))</f>
        <v/>
      </c>
      <c r="P56" s="137"/>
      <c r="Q56" s="137"/>
      <c r="R56" s="289" t="str">
        <f t="shared" si="1"/>
        <v/>
      </c>
      <c r="S56" s="302" t="str">
        <f t="shared" si="2"/>
        <v/>
      </c>
      <c r="T56" s="303" t="str">
        <f t="shared" si="0"/>
        <v/>
      </c>
      <c r="U56" s="317" t="str">
        <f>IF(D56="","",VLOOKUP(D56,'G-6 Hedgerow Data'!$B$3:$AG$15,31,FALSE))</f>
        <v/>
      </c>
      <c r="V56" s="301" t="str">
        <f t="shared" si="3"/>
        <v/>
      </c>
      <c r="W56" s="289" t="str">
        <f t="shared" si="4"/>
        <v/>
      </c>
      <c r="X56" s="305" t="str">
        <f>IF(F56="","",VLOOKUP(U56,'G-3 Multipliers'!$P$3:$Q$6,2,FALSE))</f>
        <v/>
      </c>
      <c r="Y56" s="309" t="str">
        <f t="shared" si="5"/>
        <v/>
      </c>
      <c r="Z56" s="309" t="str">
        <f t="shared" si="6"/>
        <v/>
      </c>
      <c r="AA56" s="105"/>
      <c r="AB56" s="968"/>
      <c r="AC56" s="142"/>
      <c r="AD56" s="142"/>
      <c r="AE56" s="964"/>
      <c r="AH56" s="30" t="str">
        <f>IFERROR(INDEX('G-6 Hedgerow Data'!$BJ$3:$BJ$15,MATCH(D56,'G-6 Hedgerow Data'!$B$3:$B$15,0)),"")</f>
        <v/>
      </c>
    </row>
    <row r="57" spans="2:34" ht="13.8" x14ac:dyDescent="0.25">
      <c r="B57" s="101">
        <v>46</v>
      </c>
      <c r="C57" s="175"/>
      <c r="D57" s="58"/>
      <c r="E57" s="142"/>
      <c r="F57" s="281" t="str">
        <f>IF(D57="","",VLOOKUP(D57,'G-6 Hedgerow Data'!$B$2:$AG$15,2,FALSE))</f>
        <v/>
      </c>
      <c r="G57" s="305" t="str">
        <f>IF(D57="","",VLOOKUP(D57,'G-6 Hedgerow Data'!$B$2:$AG$15,3,FALSE))</f>
        <v/>
      </c>
      <c r="H57" s="53"/>
      <c r="I57" s="282" t="str">
        <f>IFERROR(IF(H57="","",IF(AND(D57="Non-native and ornamental hedgerow", H57&lt;&gt;"Poor"),"Not possible ▲", (IF(AND(F57="V.Low",OR(H57="Good",H57="Moderate")),"Error ▲",VLOOKUP(H57,'G-1 All Habitats'!$Z$2:$AA$9,2,FALSE))))),"")</f>
        <v/>
      </c>
      <c r="J57" s="106"/>
      <c r="K57" s="301" t="str">
        <f>IF(J57="","",IF(VLOOKUP(J57,'G-3 Multipliers'!$L$3:$N$6,2,FALSE)=0,"Spatial Data Missing",VLOOKUP(J57,'G-3 Multipliers'!$L$3:$N$6,2,FALSE)))</f>
        <v/>
      </c>
      <c r="L57" s="305" t="str">
        <f>IF(J57="","",IF(VLOOKUP(J57,'G-3 Multipliers'!$L$3:$N$6,3,FALSE)=0,"Spatial Data Missing",VLOOKUP(J57,'G-3 Multipliers'!$L$3:$N$6,3,FALSE)))</f>
        <v/>
      </c>
      <c r="M57" s="138"/>
      <c r="N57" s="282" t="str">
        <f>IF(M57="","",IF(VLOOKUP(M57,'G-3 Multipliers'!$S$3:$T$10,2,FALSE)=0,"Spatial Data Missing ⚠",VLOOKUP(M57,'G-3 Multipliers'!$S$3:$T$10,2,FALSE)))</f>
        <v/>
      </c>
      <c r="O57" s="281" t="str">
        <f>IF(OR(D57="",H57=""),"",(INDEX('G-6 Hedgerow Data'!$E$3:$I$15,MATCH(D57,'G-6 Hedgerow Data'!$B$3:$B$15,0),MATCH(H57,'G-6 Hedgerow Data'!$E$2:$I$2,0))))</f>
        <v/>
      </c>
      <c r="P57" s="137"/>
      <c r="Q57" s="137"/>
      <c r="R57" s="289" t="str">
        <f t="shared" si="1"/>
        <v/>
      </c>
      <c r="S57" s="302" t="str">
        <f t="shared" si="2"/>
        <v/>
      </c>
      <c r="T57" s="303" t="str">
        <f t="shared" si="0"/>
        <v/>
      </c>
      <c r="U57" s="317" t="str">
        <f>IF(D57="","",VLOOKUP(D57,'G-6 Hedgerow Data'!$B$3:$AG$15,31,FALSE))</f>
        <v/>
      </c>
      <c r="V57" s="301" t="str">
        <f t="shared" si="3"/>
        <v/>
      </c>
      <c r="W57" s="289" t="str">
        <f t="shared" si="4"/>
        <v/>
      </c>
      <c r="X57" s="305" t="str">
        <f>IF(F57="","",VLOOKUP(U57,'G-3 Multipliers'!$P$3:$Q$6,2,FALSE))</f>
        <v/>
      </c>
      <c r="Y57" s="309" t="str">
        <f t="shared" si="5"/>
        <v/>
      </c>
      <c r="Z57" s="309" t="str">
        <f t="shared" si="6"/>
        <v/>
      </c>
      <c r="AA57" s="105"/>
      <c r="AB57" s="968"/>
      <c r="AC57" s="142"/>
      <c r="AD57" s="142"/>
      <c r="AE57" s="964"/>
      <c r="AH57" s="30" t="str">
        <f>IFERROR(INDEX('G-6 Hedgerow Data'!$BJ$3:$BJ$15,MATCH(D57,'G-6 Hedgerow Data'!$B$3:$B$15,0)),"")</f>
        <v/>
      </c>
    </row>
    <row r="58" spans="2:34" ht="13.8" x14ac:dyDescent="0.25">
      <c r="B58" s="101">
        <v>47</v>
      </c>
      <c r="C58" s="175"/>
      <c r="D58" s="58"/>
      <c r="E58" s="142"/>
      <c r="F58" s="281" t="str">
        <f>IF(D58="","",VLOOKUP(D58,'G-6 Hedgerow Data'!$B$2:$AG$15,2,FALSE))</f>
        <v/>
      </c>
      <c r="G58" s="305" t="str">
        <f>IF(D58="","",VLOOKUP(D58,'G-6 Hedgerow Data'!$B$2:$AG$15,3,FALSE))</f>
        <v/>
      </c>
      <c r="H58" s="53"/>
      <c r="I58" s="282" t="str">
        <f>IFERROR(IF(H58="","",IF(AND(D58="Non-native and ornamental hedgerow", H58&lt;&gt;"Poor"),"Not possible ▲", (IF(AND(F58="V.Low",OR(H58="Good",H58="Moderate")),"Error ▲",VLOOKUP(H58,'G-1 All Habitats'!$Z$2:$AA$9,2,FALSE))))),"")</f>
        <v/>
      </c>
      <c r="J58" s="106"/>
      <c r="K58" s="301" t="str">
        <f>IF(J58="","",IF(VLOOKUP(J58,'G-3 Multipliers'!$L$3:$N$6,2,FALSE)=0,"Spatial Data Missing",VLOOKUP(J58,'G-3 Multipliers'!$L$3:$N$6,2,FALSE)))</f>
        <v/>
      </c>
      <c r="L58" s="305" t="str">
        <f>IF(J58="","",IF(VLOOKUP(J58,'G-3 Multipliers'!$L$3:$N$6,3,FALSE)=0,"Spatial Data Missing",VLOOKUP(J58,'G-3 Multipliers'!$L$3:$N$6,3,FALSE)))</f>
        <v/>
      </c>
      <c r="M58" s="138"/>
      <c r="N58" s="282" t="str">
        <f>IF(M58="","",IF(VLOOKUP(M58,'G-3 Multipliers'!$S$3:$T$10,2,FALSE)=0,"Spatial Data Missing ⚠",VLOOKUP(M58,'G-3 Multipliers'!$S$3:$T$10,2,FALSE)))</f>
        <v/>
      </c>
      <c r="O58" s="281" t="str">
        <f>IF(OR(D58="",H58=""),"",(INDEX('G-6 Hedgerow Data'!$E$3:$I$15,MATCH(D58,'G-6 Hedgerow Data'!$B$3:$B$15,0),MATCH(H58,'G-6 Hedgerow Data'!$E$2:$I$2,0))))</f>
        <v/>
      </c>
      <c r="P58" s="137"/>
      <c r="Q58" s="137"/>
      <c r="R58" s="289" t="str">
        <f t="shared" si="1"/>
        <v/>
      </c>
      <c r="S58" s="302" t="str">
        <f t="shared" si="2"/>
        <v/>
      </c>
      <c r="T58" s="303" t="str">
        <f t="shared" si="0"/>
        <v/>
      </c>
      <c r="U58" s="317" t="str">
        <f>IF(D58="","",VLOOKUP(D58,'G-6 Hedgerow Data'!$B$3:$AG$15,31,FALSE))</f>
        <v/>
      </c>
      <c r="V58" s="301" t="str">
        <f t="shared" si="3"/>
        <v/>
      </c>
      <c r="W58" s="289" t="str">
        <f t="shared" si="4"/>
        <v/>
      </c>
      <c r="X58" s="305" t="str">
        <f>IF(F58="","",VLOOKUP(U58,'G-3 Multipliers'!$P$3:$Q$6,2,FALSE))</f>
        <v/>
      </c>
      <c r="Y58" s="309" t="str">
        <f t="shared" si="5"/>
        <v/>
      </c>
      <c r="Z58" s="309" t="str">
        <f t="shared" si="6"/>
        <v/>
      </c>
      <c r="AA58" s="105"/>
      <c r="AB58" s="968"/>
      <c r="AC58" s="142"/>
      <c r="AD58" s="142"/>
      <c r="AE58" s="964"/>
      <c r="AH58" s="30" t="str">
        <f>IFERROR(INDEX('G-6 Hedgerow Data'!$BJ$3:$BJ$15,MATCH(D58,'G-6 Hedgerow Data'!$B$3:$B$15,0)),"")</f>
        <v/>
      </c>
    </row>
    <row r="59" spans="2:34" ht="13.8" x14ac:dyDescent="0.25">
      <c r="B59" s="101">
        <v>48</v>
      </c>
      <c r="C59" s="175"/>
      <c r="D59" s="58"/>
      <c r="E59" s="142"/>
      <c r="F59" s="281" t="str">
        <f>IF(D59="","",VLOOKUP(D59,'G-6 Hedgerow Data'!$B$2:$AG$15,2,FALSE))</f>
        <v/>
      </c>
      <c r="G59" s="305" t="str">
        <f>IF(D59="","",VLOOKUP(D59,'G-6 Hedgerow Data'!$B$2:$AG$15,3,FALSE))</f>
        <v/>
      </c>
      <c r="H59" s="53"/>
      <c r="I59" s="282" t="str">
        <f>IFERROR(IF(H59="","",IF(AND(D59="Non-native and ornamental hedgerow", H59&lt;&gt;"Poor"),"Not possible ▲", (IF(AND(F59="V.Low",OR(H59="Good",H59="Moderate")),"Error ▲",VLOOKUP(H59,'G-1 All Habitats'!$Z$2:$AA$9,2,FALSE))))),"")</f>
        <v/>
      </c>
      <c r="J59" s="106"/>
      <c r="K59" s="301" t="str">
        <f>IF(J59="","",IF(VLOOKUP(J59,'G-3 Multipliers'!$L$3:$N$6,2,FALSE)=0,"Spatial Data Missing",VLOOKUP(J59,'G-3 Multipliers'!$L$3:$N$6,2,FALSE)))</f>
        <v/>
      </c>
      <c r="L59" s="305" t="str">
        <f>IF(J59="","",IF(VLOOKUP(J59,'G-3 Multipliers'!$L$3:$N$6,3,FALSE)=0,"Spatial Data Missing",VLOOKUP(J59,'G-3 Multipliers'!$L$3:$N$6,3,FALSE)))</f>
        <v/>
      </c>
      <c r="M59" s="138"/>
      <c r="N59" s="282" t="str">
        <f>IF(M59="","",IF(VLOOKUP(M59,'G-3 Multipliers'!$S$3:$T$10,2,FALSE)=0,"Spatial Data Missing ⚠",VLOOKUP(M59,'G-3 Multipliers'!$S$3:$T$10,2,FALSE)))</f>
        <v/>
      </c>
      <c r="O59" s="281" t="str">
        <f>IF(OR(D59="",H59=""),"",(INDEX('G-6 Hedgerow Data'!$E$3:$I$15,MATCH(D59,'G-6 Hedgerow Data'!$B$3:$B$15,0),MATCH(H59,'G-6 Hedgerow Data'!$E$2:$I$2,0))))</f>
        <v/>
      </c>
      <c r="P59" s="137"/>
      <c r="Q59" s="137"/>
      <c r="R59" s="289" t="str">
        <f t="shared" si="1"/>
        <v/>
      </c>
      <c r="S59" s="302" t="str">
        <f t="shared" si="2"/>
        <v/>
      </c>
      <c r="T59" s="303" t="str">
        <f t="shared" si="0"/>
        <v/>
      </c>
      <c r="U59" s="317" t="str">
        <f>IF(D59="","",VLOOKUP(D59,'G-6 Hedgerow Data'!$B$3:$AG$15,31,FALSE))</f>
        <v/>
      </c>
      <c r="V59" s="301" t="str">
        <f t="shared" si="3"/>
        <v/>
      </c>
      <c r="W59" s="289" t="str">
        <f t="shared" si="4"/>
        <v/>
      </c>
      <c r="X59" s="305" t="str">
        <f>IF(F59="","",VLOOKUP(U59,'G-3 Multipliers'!$P$3:$Q$6,2,FALSE))</f>
        <v/>
      </c>
      <c r="Y59" s="309" t="str">
        <f t="shared" si="5"/>
        <v/>
      </c>
      <c r="Z59" s="309" t="str">
        <f t="shared" si="6"/>
        <v/>
      </c>
      <c r="AA59" s="105"/>
      <c r="AB59" s="968"/>
      <c r="AC59" s="142"/>
      <c r="AD59" s="142"/>
      <c r="AE59" s="964"/>
      <c r="AH59" s="30" t="str">
        <f>IFERROR(INDEX('G-6 Hedgerow Data'!$BJ$3:$BJ$15,MATCH(D59,'G-6 Hedgerow Data'!$B$3:$B$15,0)),"")</f>
        <v/>
      </c>
    </row>
    <row r="60" spans="2:34" ht="13.8" x14ac:dyDescent="0.25">
      <c r="B60" s="101">
        <v>49</v>
      </c>
      <c r="C60" s="175"/>
      <c r="D60" s="58"/>
      <c r="E60" s="142"/>
      <c r="F60" s="281" t="str">
        <f>IF(D60="","",VLOOKUP(D60,'G-6 Hedgerow Data'!$B$2:$AG$15,2,FALSE))</f>
        <v/>
      </c>
      <c r="G60" s="305" t="str">
        <f>IF(D60="","",VLOOKUP(D60,'G-6 Hedgerow Data'!$B$2:$AG$15,3,FALSE))</f>
        <v/>
      </c>
      <c r="H60" s="53"/>
      <c r="I60" s="282" t="str">
        <f>IFERROR(IF(H60="","",IF(AND(D60="Non-native and ornamental hedgerow", H60&lt;&gt;"Poor"),"Not possible ▲", (IF(AND(F60="V.Low",OR(H60="Good",H60="Moderate")),"Error ▲",VLOOKUP(H60,'G-1 All Habitats'!$Z$2:$AA$9,2,FALSE))))),"")</f>
        <v/>
      </c>
      <c r="J60" s="106"/>
      <c r="K60" s="301" t="str">
        <f>IF(J60="","",IF(VLOOKUP(J60,'G-3 Multipliers'!$L$3:$N$6,2,FALSE)=0,"Spatial Data Missing",VLOOKUP(J60,'G-3 Multipliers'!$L$3:$N$6,2,FALSE)))</f>
        <v/>
      </c>
      <c r="L60" s="305" t="str">
        <f>IF(J60="","",IF(VLOOKUP(J60,'G-3 Multipliers'!$L$3:$N$6,3,FALSE)=0,"Spatial Data Missing",VLOOKUP(J60,'G-3 Multipliers'!$L$3:$N$6,3,FALSE)))</f>
        <v/>
      </c>
      <c r="M60" s="138"/>
      <c r="N60" s="282" t="str">
        <f>IF(M60="","",IF(VLOOKUP(M60,'G-3 Multipliers'!$S$3:$T$10,2,FALSE)=0,"Spatial Data Missing ⚠",VLOOKUP(M60,'G-3 Multipliers'!$S$3:$T$10,2,FALSE)))</f>
        <v/>
      </c>
      <c r="O60" s="281" t="str">
        <f>IF(OR(D60="",H60=""),"",(INDEX('G-6 Hedgerow Data'!$E$3:$I$15,MATCH(D60,'G-6 Hedgerow Data'!$B$3:$B$15,0),MATCH(H60,'G-6 Hedgerow Data'!$E$2:$I$2,0))))</f>
        <v/>
      </c>
      <c r="P60" s="137"/>
      <c r="Q60" s="137"/>
      <c r="R60" s="289" t="str">
        <f t="shared" si="1"/>
        <v/>
      </c>
      <c r="S60" s="302" t="str">
        <f t="shared" si="2"/>
        <v/>
      </c>
      <c r="T60" s="303" t="str">
        <f t="shared" si="0"/>
        <v/>
      </c>
      <c r="U60" s="317" t="str">
        <f>IF(D60="","",VLOOKUP(D60,'G-6 Hedgerow Data'!$B$3:$AG$15,31,FALSE))</f>
        <v/>
      </c>
      <c r="V60" s="301" t="str">
        <f t="shared" si="3"/>
        <v/>
      </c>
      <c r="W60" s="289" t="str">
        <f t="shared" si="4"/>
        <v/>
      </c>
      <c r="X60" s="305" t="str">
        <f>IF(F60="","",VLOOKUP(U60,'G-3 Multipliers'!$P$3:$Q$6,2,FALSE))</f>
        <v/>
      </c>
      <c r="Y60" s="309" t="str">
        <f t="shared" si="5"/>
        <v/>
      </c>
      <c r="Z60" s="309" t="str">
        <f t="shared" si="6"/>
        <v/>
      </c>
      <c r="AA60" s="105"/>
      <c r="AB60" s="968"/>
      <c r="AC60" s="142"/>
      <c r="AD60" s="142"/>
      <c r="AE60" s="964"/>
      <c r="AH60" s="30" t="str">
        <f>IFERROR(INDEX('G-6 Hedgerow Data'!$BJ$3:$BJ$15,MATCH(D60,'G-6 Hedgerow Data'!$B$3:$B$15,0)),"")</f>
        <v/>
      </c>
    </row>
    <row r="61" spans="2:34" ht="13.8" x14ac:dyDescent="0.25">
      <c r="B61" s="101">
        <v>50</v>
      </c>
      <c r="C61" s="175"/>
      <c r="D61" s="58"/>
      <c r="E61" s="142"/>
      <c r="F61" s="281" t="str">
        <f>IF(D61="","",VLOOKUP(D61,'G-6 Hedgerow Data'!$B$2:$AG$15,2,FALSE))</f>
        <v/>
      </c>
      <c r="G61" s="305" t="str">
        <f>IF(D61="","",VLOOKUP(D61,'G-6 Hedgerow Data'!$B$2:$AG$15,3,FALSE))</f>
        <v/>
      </c>
      <c r="H61" s="53"/>
      <c r="I61" s="282" t="str">
        <f>IFERROR(IF(H61="","",IF(AND(D61="Non-native and ornamental hedgerow", H61&lt;&gt;"Poor"),"Not possible ▲", (IF(AND(F61="V.Low",OR(H61="Good",H61="Moderate")),"Error ▲",VLOOKUP(H61,'G-1 All Habitats'!$Z$2:$AA$9,2,FALSE))))),"")</f>
        <v/>
      </c>
      <c r="J61" s="106"/>
      <c r="K61" s="301" t="str">
        <f>IF(J61="","",IF(VLOOKUP(J61,'G-3 Multipliers'!$L$3:$N$6,2,FALSE)=0,"Spatial Data Missing",VLOOKUP(J61,'G-3 Multipliers'!$L$3:$N$6,2,FALSE)))</f>
        <v/>
      </c>
      <c r="L61" s="305" t="str">
        <f>IF(J61="","",IF(VLOOKUP(J61,'G-3 Multipliers'!$L$3:$N$6,3,FALSE)=0,"Spatial Data Missing",VLOOKUP(J61,'G-3 Multipliers'!$L$3:$N$6,3,FALSE)))</f>
        <v/>
      </c>
      <c r="M61" s="138"/>
      <c r="N61" s="282" t="str">
        <f>IF(M61="","",IF(VLOOKUP(M61,'G-3 Multipliers'!$S$3:$T$10,2,FALSE)=0,"Spatial Data Missing ⚠",VLOOKUP(M61,'G-3 Multipliers'!$S$3:$T$10,2,FALSE)))</f>
        <v/>
      </c>
      <c r="O61" s="281" t="str">
        <f>IF(OR(D61="",H61=""),"",(INDEX('G-6 Hedgerow Data'!$E$3:$I$15,MATCH(D61,'G-6 Hedgerow Data'!$B$3:$B$15,0),MATCH(H61,'G-6 Hedgerow Data'!$E$2:$I$2,0))))</f>
        <v/>
      </c>
      <c r="P61" s="137"/>
      <c r="Q61" s="137"/>
      <c r="R61" s="289" t="str">
        <f t="shared" si="1"/>
        <v/>
      </c>
      <c r="S61" s="302" t="str">
        <f t="shared" si="2"/>
        <v/>
      </c>
      <c r="T61" s="303" t="str">
        <f t="shared" si="0"/>
        <v/>
      </c>
      <c r="U61" s="317" t="str">
        <f>IF(D61="","",VLOOKUP(D61,'G-6 Hedgerow Data'!$B$3:$AG$15,31,FALSE))</f>
        <v/>
      </c>
      <c r="V61" s="301" t="str">
        <f t="shared" si="3"/>
        <v/>
      </c>
      <c r="W61" s="289" t="str">
        <f t="shared" si="4"/>
        <v/>
      </c>
      <c r="X61" s="305" t="str">
        <f>IF(F61="","",VLOOKUP(U61,'G-3 Multipliers'!$P$3:$Q$6,2,FALSE))</f>
        <v/>
      </c>
      <c r="Y61" s="309" t="str">
        <f t="shared" si="5"/>
        <v/>
      </c>
      <c r="Z61" s="309" t="str">
        <f t="shared" si="6"/>
        <v/>
      </c>
      <c r="AA61" s="105"/>
      <c r="AB61" s="968"/>
      <c r="AC61" s="142"/>
      <c r="AD61" s="142"/>
      <c r="AE61" s="964"/>
      <c r="AH61" s="30" t="str">
        <f>IFERROR(INDEX('G-6 Hedgerow Data'!$BJ$3:$BJ$15,MATCH(D61,'G-6 Hedgerow Data'!$B$3:$B$15,0)),"")</f>
        <v/>
      </c>
    </row>
    <row r="62" spans="2:34" ht="13.8" x14ac:dyDescent="0.25">
      <c r="B62" s="101">
        <v>51</v>
      </c>
      <c r="C62" s="175"/>
      <c r="D62" s="58"/>
      <c r="E62" s="142"/>
      <c r="F62" s="281" t="str">
        <f>IF(D62="","",VLOOKUP(D62,'G-6 Hedgerow Data'!$B$2:$AG$15,2,FALSE))</f>
        <v/>
      </c>
      <c r="G62" s="305" t="str">
        <f>IF(D62="","",VLOOKUP(D62,'G-6 Hedgerow Data'!$B$2:$AG$15,3,FALSE))</f>
        <v/>
      </c>
      <c r="H62" s="53"/>
      <c r="I62" s="282" t="str">
        <f>IFERROR(IF(H62="","",IF(AND(D62="Non-native and ornamental hedgerow", H62&lt;&gt;"Poor"),"Not possible ▲", (IF(AND(F62="V.Low",OR(H62="Good",H62="Moderate")),"Error ▲",VLOOKUP(H62,'G-1 All Habitats'!$Z$2:$AA$9,2,FALSE))))),"")</f>
        <v/>
      </c>
      <c r="J62" s="106"/>
      <c r="K62" s="301" t="str">
        <f>IF(J62="","",IF(VLOOKUP(J62,'G-3 Multipliers'!$L$3:$N$6,2,FALSE)=0,"Spatial Data Missing",VLOOKUP(J62,'G-3 Multipliers'!$L$3:$N$6,2,FALSE)))</f>
        <v/>
      </c>
      <c r="L62" s="305" t="str">
        <f>IF(J62="","",IF(VLOOKUP(J62,'G-3 Multipliers'!$L$3:$N$6,3,FALSE)=0,"Spatial Data Missing",VLOOKUP(J62,'G-3 Multipliers'!$L$3:$N$6,3,FALSE)))</f>
        <v/>
      </c>
      <c r="M62" s="138"/>
      <c r="N62" s="282" t="str">
        <f>IF(M62="","",IF(VLOOKUP(M62,'G-3 Multipliers'!$S$3:$T$10,2,FALSE)=0,"Spatial Data Missing ⚠",VLOOKUP(M62,'G-3 Multipliers'!$S$3:$T$10,2,FALSE)))</f>
        <v/>
      </c>
      <c r="O62" s="281" t="str">
        <f>IF(OR(D62="",H62=""),"",(INDEX('G-6 Hedgerow Data'!$E$3:$I$15,MATCH(D62,'G-6 Hedgerow Data'!$B$3:$B$15,0),MATCH(H62,'G-6 Hedgerow Data'!$E$2:$I$2,0))))</f>
        <v/>
      </c>
      <c r="P62" s="137"/>
      <c r="Q62" s="137"/>
      <c r="R62" s="289" t="str">
        <f t="shared" si="1"/>
        <v/>
      </c>
      <c r="S62" s="302" t="str">
        <f t="shared" si="2"/>
        <v/>
      </c>
      <c r="T62" s="303" t="str">
        <f t="shared" si="0"/>
        <v/>
      </c>
      <c r="U62" s="317" t="str">
        <f>IF(D62="","",VLOOKUP(D62,'G-6 Hedgerow Data'!$B$3:$AG$15,31,FALSE))</f>
        <v/>
      </c>
      <c r="V62" s="301" t="str">
        <f t="shared" si="3"/>
        <v/>
      </c>
      <c r="W62" s="289" t="str">
        <f t="shared" si="4"/>
        <v/>
      </c>
      <c r="X62" s="305" t="str">
        <f>IF(F62="","",VLOOKUP(U62,'G-3 Multipliers'!$P$3:$Q$6,2,FALSE))</f>
        <v/>
      </c>
      <c r="Y62" s="309" t="str">
        <f t="shared" si="5"/>
        <v/>
      </c>
      <c r="Z62" s="309" t="str">
        <f t="shared" si="6"/>
        <v/>
      </c>
      <c r="AA62" s="105"/>
      <c r="AB62" s="968"/>
      <c r="AC62" s="142"/>
      <c r="AD62" s="142"/>
      <c r="AE62" s="964"/>
      <c r="AH62" s="30" t="str">
        <f>IFERROR(INDEX('G-6 Hedgerow Data'!$BJ$3:$BJ$15,MATCH(D62,'G-6 Hedgerow Data'!$B$3:$B$15,0)),"")</f>
        <v/>
      </c>
    </row>
    <row r="63" spans="2:34" ht="13.8" x14ac:dyDescent="0.25">
      <c r="B63" s="101">
        <v>52</v>
      </c>
      <c r="C63" s="175"/>
      <c r="D63" s="58"/>
      <c r="E63" s="142"/>
      <c r="F63" s="281" t="str">
        <f>IF(D63="","",VLOOKUP(D63,'G-6 Hedgerow Data'!$B$2:$AG$15,2,FALSE))</f>
        <v/>
      </c>
      <c r="G63" s="305" t="str">
        <f>IF(D63="","",VLOOKUP(D63,'G-6 Hedgerow Data'!$B$2:$AG$15,3,FALSE))</f>
        <v/>
      </c>
      <c r="H63" s="53"/>
      <c r="I63" s="282" t="str">
        <f>IFERROR(IF(H63="","",IF(AND(D63="Non-native and ornamental hedgerow", H63&lt;&gt;"Poor"),"Not possible ▲", (IF(AND(F63="V.Low",OR(H63="Good",H63="Moderate")),"Error ▲",VLOOKUP(H63,'G-1 All Habitats'!$Z$2:$AA$9,2,FALSE))))),"")</f>
        <v/>
      </c>
      <c r="J63" s="106"/>
      <c r="K63" s="301" t="str">
        <f>IF(J63="","",IF(VLOOKUP(J63,'G-3 Multipliers'!$L$3:$N$6,2,FALSE)=0,"Spatial Data Missing",VLOOKUP(J63,'G-3 Multipliers'!$L$3:$N$6,2,FALSE)))</f>
        <v/>
      </c>
      <c r="L63" s="305" t="str">
        <f>IF(J63="","",IF(VLOOKUP(J63,'G-3 Multipliers'!$L$3:$N$6,3,FALSE)=0,"Spatial Data Missing",VLOOKUP(J63,'G-3 Multipliers'!$L$3:$N$6,3,FALSE)))</f>
        <v/>
      </c>
      <c r="M63" s="138"/>
      <c r="N63" s="282" t="str">
        <f>IF(M63="","",IF(VLOOKUP(M63,'G-3 Multipliers'!$S$3:$T$10,2,FALSE)=0,"Spatial Data Missing ⚠",VLOOKUP(M63,'G-3 Multipliers'!$S$3:$T$10,2,FALSE)))</f>
        <v/>
      </c>
      <c r="O63" s="281" t="str">
        <f>IF(OR(D63="",H63=""),"",(INDEX('G-6 Hedgerow Data'!$E$3:$I$15,MATCH(D63,'G-6 Hedgerow Data'!$B$3:$B$15,0),MATCH(H63,'G-6 Hedgerow Data'!$E$2:$I$2,0))))</f>
        <v/>
      </c>
      <c r="P63" s="137"/>
      <c r="Q63" s="137"/>
      <c r="R63" s="289" t="str">
        <f t="shared" si="1"/>
        <v/>
      </c>
      <c r="S63" s="302" t="str">
        <f t="shared" si="2"/>
        <v/>
      </c>
      <c r="T63" s="303" t="str">
        <f t="shared" si="0"/>
        <v/>
      </c>
      <c r="U63" s="317" t="str">
        <f>IF(D63="","",VLOOKUP(D63,'G-6 Hedgerow Data'!$B$3:$AG$15,31,FALSE))</f>
        <v/>
      </c>
      <c r="V63" s="301" t="str">
        <f t="shared" si="3"/>
        <v/>
      </c>
      <c r="W63" s="289" t="str">
        <f t="shared" si="4"/>
        <v/>
      </c>
      <c r="X63" s="305" t="str">
        <f>IF(F63="","",VLOOKUP(U63,'G-3 Multipliers'!$P$3:$Q$6,2,FALSE))</f>
        <v/>
      </c>
      <c r="Y63" s="309" t="str">
        <f t="shared" si="5"/>
        <v/>
      </c>
      <c r="Z63" s="309" t="str">
        <f t="shared" si="6"/>
        <v/>
      </c>
      <c r="AA63" s="105"/>
      <c r="AB63" s="968"/>
      <c r="AC63" s="142"/>
      <c r="AD63" s="142"/>
      <c r="AE63" s="964"/>
      <c r="AH63" s="30" t="str">
        <f>IFERROR(INDEX('G-6 Hedgerow Data'!$BJ$3:$BJ$15,MATCH(D63,'G-6 Hedgerow Data'!$B$3:$B$15,0)),"")</f>
        <v/>
      </c>
    </row>
    <row r="64" spans="2:34" ht="13.8" x14ac:dyDescent="0.25">
      <c r="B64" s="101">
        <v>53</v>
      </c>
      <c r="C64" s="175"/>
      <c r="D64" s="58"/>
      <c r="E64" s="142"/>
      <c r="F64" s="281" t="str">
        <f>IF(D64="","",VLOOKUP(D64,'G-6 Hedgerow Data'!$B$2:$AG$15,2,FALSE))</f>
        <v/>
      </c>
      <c r="G64" s="305" t="str">
        <f>IF(D64="","",VLOOKUP(D64,'G-6 Hedgerow Data'!$B$2:$AG$15,3,FALSE))</f>
        <v/>
      </c>
      <c r="H64" s="53"/>
      <c r="I64" s="282" t="str">
        <f>IFERROR(IF(H64="","",IF(AND(D64="Non-native and ornamental hedgerow", H64&lt;&gt;"Poor"),"Not possible ▲", (IF(AND(F64="V.Low",OR(H64="Good",H64="Moderate")),"Error ▲",VLOOKUP(H64,'G-1 All Habitats'!$Z$2:$AA$9,2,FALSE))))),"")</f>
        <v/>
      </c>
      <c r="J64" s="106"/>
      <c r="K64" s="301" t="str">
        <f>IF(J64="","",IF(VLOOKUP(J64,'G-3 Multipliers'!$L$3:$N$6,2,FALSE)=0,"Spatial Data Missing",VLOOKUP(J64,'G-3 Multipliers'!$L$3:$N$6,2,FALSE)))</f>
        <v/>
      </c>
      <c r="L64" s="305" t="str">
        <f>IF(J64="","",IF(VLOOKUP(J64,'G-3 Multipliers'!$L$3:$N$6,3,FALSE)=0,"Spatial Data Missing",VLOOKUP(J64,'G-3 Multipliers'!$L$3:$N$6,3,FALSE)))</f>
        <v/>
      </c>
      <c r="M64" s="138"/>
      <c r="N64" s="282" t="str">
        <f>IF(M64="","",IF(VLOOKUP(M64,'G-3 Multipliers'!$S$3:$T$10,2,FALSE)=0,"Spatial Data Missing ⚠",VLOOKUP(M64,'G-3 Multipliers'!$S$3:$T$10,2,FALSE)))</f>
        <v/>
      </c>
      <c r="O64" s="281" t="str">
        <f>IF(OR(D64="",H64=""),"",(INDEX('G-6 Hedgerow Data'!$E$3:$I$15,MATCH(D64,'G-6 Hedgerow Data'!$B$3:$B$15,0),MATCH(H64,'G-6 Hedgerow Data'!$E$2:$I$2,0))))</f>
        <v/>
      </c>
      <c r="P64" s="137"/>
      <c r="Q64" s="137"/>
      <c r="R64" s="289" t="str">
        <f t="shared" si="1"/>
        <v/>
      </c>
      <c r="S64" s="302" t="str">
        <f t="shared" si="2"/>
        <v/>
      </c>
      <c r="T64" s="303" t="str">
        <f t="shared" si="0"/>
        <v/>
      </c>
      <c r="U64" s="317" t="str">
        <f>IF(D64="","",VLOOKUP(D64,'G-6 Hedgerow Data'!$B$3:$AG$15,31,FALSE))</f>
        <v/>
      </c>
      <c r="V64" s="301" t="str">
        <f t="shared" si="3"/>
        <v/>
      </c>
      <c r="W64" s="289" t="str">
        <f t="shared" si="4"/>
        <v/>
      </c>
      <c r="X64" s="305" t="str">
        <f>IF(F64="","",VLOOKUP(U64,'G-3 Multipliers'!$P$3:$Q$6,2,FALSE))</f>
        <v/>
      </c>
      <c r="Y64" s="309" t="str">
        <f t="shared" si="5"/>
        <v/>
      </c>
      <c r="Z64" s="309" t="str">
        <f t="shared" si="6"/>
        <v/>
      </c>
      <c r="AA64" s="105"/>
      <c r="AB64" s="968"/>
      <c r="AC64" s="142"/>
      <c r="AD64" s="142"/>
      <c r="AE64" s="964"/>
      <c r="AH64" s="30" t="str">
        <f>IFERROR(INDEX('G-6 Hedgerow Data'!$BJ$3:$BJ$15,MATCH(D64,'G-6 Hedgerow Data'!$B$3:$B$15,0)),"")</f>
        <v/>
      </c>
    </row>
    <row r="65" spans="2:34" ht="13.8" x14ac:dyDescent="0.25">
      <c r="B65" s="101">
        <v>54</v>
      </c>
      <c r="C65" s="175"/>
      <c r="D65" s="58"/>
      <c r="E65" s="142"/>
      <c r="F65" s="281" t="str">
        <f>IF(D65="","",VLOOKUP(D65,'G-6 Hedgerow Data'!$B$2:$AG$15,2,FALSE))</f>
        <v/>
      </c>
      <c r="G65" s="305" t="str">
        <f>IF(D65="","",VLOOKUP(D65,'G-6 Hedgerow Data'!$B$2:$AG$15,3,FALSE))</f>
        <v/>
      </c>
      <c r="H65" s="53"/>
      <c r="I65" s="282" t="str">
        <f>IFERROR(IF(H65="","",IF(AND(D65="Non-native and ornamental hedgerow", H65&lt;&gt;"Poor"),"Not possible ▲", (IF(AND(F65="V.Low",OR(H65="Good",H65="Moderate")),"Error ▲",VLOOKUP(H65,'G-1 All Habitats'!$Z$2:$AA$9,2,FALSE))))),"")</f>
        <v/>
      </c>
      <c r="J65" s="106"/>
      <c r="K65" s="301" t="str">
        <f>IF(J65="","",IF(VLOOKUP(J65,'G-3 Multipliers'!$L$3:$N$6,2,FALSE)=0,"Spatial Data Missing",VLOOKUP(J65,'G-3 Multipliers'!$L$3:$N$6,2,FALSE)))</f>
        <v/>
      </c>
      <c r="L65" s="305" t="str">
        <f>IF(J65="","",IF(VLOOKUP(J65,'G-3 Multipliers'!$L$3:$N$6,3,FALSE)=0,"Spatial Data Missing",VLOOKUP(J65,'G-3 Multipliers'!$L$3:$N$6,3,FALSE)))</f>
        <v/>
      </c>
      <c r="M65" s="138"/>
      <c r="N65" s="282" t="str">
        <f>IF(M65="","",IF(VLOOKUP(M65,'G-3 Multipliers'!$S$3:$T$10,2,FALSE)=0,"Spatial Data Missing ⚠",VLOOKUP(M65,'G-3 Multipliers'!$S$3:$T$10,2,FALSE)))</f>
        <v/>
      </c>
      <c r="O65" s="281" t="str">
        <f>IF(OR(D65="",H65=""),"",(INDEX('G-6 Hedgerow Data'!$E$3:$I$15,MATCH(D65,'G-6 Hedgerow Data'!$B$3:$B$15,0),MATCH(H65,'G-6 Hedgerow Data'!$E$2:$I$2,0))))</f>
        <v/>
      </c>
      <c r="P65" s="137"/>
      <c r="Q65" s="137"/>
      <c r="R65" s="289" t="str">
        <f t="shared" si="1"/>
        <v/>
      </c>
      <c r="S65" s="302" t="str">
        <f t="shared" si="2"/>
        <v/>
      </c>
      <c r="T65" s="303" t="str">
        <f t="shared" si="0"/>
        <v/>
      </c>
      <c r="U65" s="317" t="str">
        <f>IF(D65="","",VLOOKUP(D65,'G-6 Hedgerow Data'!$B$3:$AG$15,31,FALSE))</f>
        <v/>
      </c>
      <c r="V65" s="301" t="str">
        <f t="shared" si="3"/>
        <v/>
      </c>
      <c r="W65" s="289" t="str">
        <f t="shared" si="4"/>
        <v/>
      </c>
      <c r="X65" s="305" t="str">
        <f>IF(F65="","",VLOOKUP(U65,'G-3 Multipliers'!$P$3:$Q$6,2,FALSE))</f>
        <v/>
      </c>
      <c r="Y65" s="309" t="str">
        <f t="shared" si="5"/>
        <v/>
      </c>
      <c r="Z65" s="309" t="str">
        <f t="shared" si="6"/>
        <v/>
      </c>
      <c r="AA65" s="105"/>
      <c r="AB65" s="968"/>
      <c r="AC65" s="142"/>
      <c r="AD65" s="142"/>
      <c r="AE65" s="964"/>
      <c r="AH65" s="30" t="str">
        <f>IFERROR(INDEX('G-6 Hedgerow Data'!$BJ$3:$BJ$15,MATCH(D65,'G-6 Hedgerow Data'!$B$3:$B$15,0)),"")</f>
        <v/>
      </c>
    </row>
    <row r="66" spans="2:34" ht="13.8" x14ac:dyDescent="0.25">
      <c r="B66" s="101">
        <v>55</v>
      </c>
      <c r="C66" s="175"/>
      <c r="D66" s="58"/>
      <c r="E66" s="142"/>
      <c r="F66" s="281" t="str">
        <f>IF(D66="","",VLOOKUP(D66,'G-6 Hedgerow Data'!$B$2:$AG$15,2,FALSE))</f>
        <v/>
      </c>
      <c r="G66" s="305" t="str">
        <f>IF(D66="","",VLOOKUP(D66,'G-6 Hedgerow Data'!$B$2:$AG$15,3,FALSE))</f>
        <v/>
      </c>
      <c r="H66" s="53"/>
      <c r="I66" s="282" t="str">
        <f>IFERROR(IF(H66="","",IF(AND(D66="Non-native and ornamental hedgerow", H66&lt;&gt;"Poor"),"Not possible ▲", (IF(AND(F66="V.Low",OR(H66="Good",H66="Moderate")),"Error ▲",VLOOKUP(H66,'G-1 All Habitats'!$Z$2:$AA$9,2,FALSE))))),"")</f>
        <v/>
      </c>
      <c r="J66" s="106"/>
      <c r="K66" s="301" t="str">
        <f>IF(J66="","",IF(VLOOKUP(J66,'G-3 Multipliers'!$L$3:$N$6,2,FALSE)=0,"Spatial Data Missing",VLOOKUP(J66,'G-3 Multipliers'!$L$3:$N$6,2,FALSE)))</f>
        <v/>
      </c>
      <c r="L66" s="305" t="str">
        <f>IF(J66="","",IF(VLOOKUP(J66,'G-3 Multipliers'!$L$3:$N$6,3,FALSE)=0,"Spatial Data Missing",VLOOKUP(J66,'G-3 Multipliers'!$L$3:$N$6,3,FALSE)))</f>
        <v/>
      </c>
      <c r="M66" s="138"/>
      <c r="N66" s="282" t="str">
        <f>IF(M66="","",IF(VLOOKUP(M66,'G-3 Multipliers'!$S$3:$T$10,2,FALSE)=0,"Spatial Data Missing ⚠",VLOOKUP(M66,'G-3 Multipliers'!$S$3:$T$10,2,FALSE)))</f>
        <v/>
      </c>
      <c r="O66" s="281" t="str">
        <f>IF(OR(D66="",H66=""),"",(INDEX('G-6 Hedgerow Data'!$E$3:$I$15,MATCH(D66,'G-6 Hedgerow Data'!$B$3:$B$15,0),MATCH(H66,'G-6 Hedgerow Data'!$E$2:$I$2,0))))</f>
        <v/>
      </c>
      <c r="P66" s="137"/>
      <c r="Q66" s="137"/>
      <c r="R66" s="289" t="str">
        <f t="shared" si="1"/>
        <v/>
      </c>
      <c r="S66" s="302" t="str">
        <f t="shared" si="2"/>
        <v/>
      </c>
      <c r="T66" s="303" t="str">
        <f t="shared" si="0"/>
        <v/>
      </c>
      <c r="U66" s="317" t="str">
        <f>IF(D66="","",VLOOKUP(D66,'G-6 Hedgerow Data'!$B$3:$AG$15,31,FALSE))</f>
        <v/>
      </c>
      <c r="V66" s="301" t="str">
        <f t="shared" si="3"/>
        <v/>
      </c>
      <c r="W66" s="289" t="str">
        <f t="shared" si="4"/>
        <v/>
      </c>
      <c r="X66" s="305" t="str">
        <f>IF(F66="","",VLOOKUP(U66,'G-3 Multipliers'!$P$3:$Q$6,2,FALSE))</f>
        <v/>
      </c>
      <c r="Y66" s="309" t="str">
        <f t="shared" si="5"/>
        <v/>
      </c>
      <c r="Z66" s="309" t="str">
        <f t="shared" si="6"/>
        <v/>
      </c>
      <c r="AA66" s="105"/>
      <c r="AB66" s="968"/>
      <c r="AC66" s="142"/>
      <c r="AD66" s="142"/>
      <c r="AE66" s="964"/>
      <c r="AH66" s="30" t="str">
        <f>IFERROR(INDEX('G-6 Hedgerow Data'!$BJ$3:$BJ$15,MATCH(D66,'G-6 Hedgerow Data'!$B$3:$B$15,0)),"")</f>
        <v/>
      </c>
    </row>
    <row r="67" spans="2:34" ht="13.8" x14ac:dyDescent="0.25">
      <c r="B67" s="101">
        <v>56</v>
      </c>
      <c r="C67" s="175"/>
      <c r="D67" s="58"/>
      <c r="E67" s="142"/>
      <c r="F67" s="281" t="str">
        <f>IF(D67="","",VLOOKUP(D67,'G-6 Hedgerow Data'!$B$2:$AG$15,2,FALSE))</f>
        <v/>
      </c>
      <c r="G67" s="305" t="str">
        <f>IF(D67="","",VLOOKUP(D67,'G-6 Hedgerow Data'!$B$2:$AG$15,3,FALSE))</f>
        <v/>
      </c>
      <c r="H67" s="53"/>
      <c r="I67" s="282" t="str">
        <f>IFERROR(IF(H67="","",IF(AND(D67="Non-native and ornamental hedgerow", H67&lt;&gt;"Poor"),"Not possible ▲", (IF(AND(F67="V.Low",OR(H67="Good",H67="Moderate")),"Error ▲",VLOOKUP(H67,'G-1 All Habitats'!$Z$2:$AA$9,2,FALSE))))),"")</f>
        <v/>
      </c>
      <c r="J67" s="106"/>
      <c r="K67" s="301" t="str">
        <f>IF(J67="","",IF(VLOOKUP(J67,'G-3 Multipliers'!$L$3:$N$6,2,FALSE)=0,"Spatial Data Missing",VLOOKUP(J67,'G-3 Multipliers'!$L$3:$N$6,2,FALSE)))</f>
        <v/>
      </c>
      <c r="L67" s="305" t="str">
        <f>IF(J67="","",IF(VLOOKUP(J67,'G-3 Multipliers'!$L$3:$N$6,3,FALSE)=0,"Spatial Data Missing",VLOOKUP(J67,'G-3 Multipliers'!$L$3:$N$6,3,FALSE)))</f>
        <v/>
      </c>
      <c r="M67" s="138"/>
      <c r="N67" s="282" t="str">
        <f>IF(M67="","",IF(VLOOKUP(M67,'G-3 Multipliers'!$S$3:$T$10,2,FALSE)=0,"Spatial Data Missing ⚠",VLOOKUP(M67,'G-3 Multipliers'!$S$3:$T$10,2,FALSE)))</f>
        <v/>
      </c>
      <c r="O67" s="281" t="str">
        <f>IF(OR(D67="",H67=""),"",(INDEX('G-6 Hedgerow Data'!$E$3:$I$15,MATCH(D67,'G-6 Hedgerow Data'!$B$3:$B$15,0),MATCH(H67,'G-6 Hedgerow Data'!$E$2:$I$2,0))))</f>
        <v/>
      </c>
      <c r="P67" s="137"/>
      <c r="Q67" s="137"/>
      <c r="R67" s="289" t="str">
        <f t="shared" si="1"/>
        <v/>
      </c>
      <c r="S67" s="302" t="str">
        <f t="shared" si="2"/>
        <v/>
      </c>
      <c r="T67" s="303" t="str">
        <f t="shared" si="0"/>
        <v/>
      </c>
      <c r="U67" s="317" t="str">
        <f>IF(D67="","",VLOOKUP(D67,'G-6 Hedgerow Data'!$B$3:$AG$15,31,FALSE))</f>
        <v/>
      </c>
      <c r="V67" s="301" t="str">
        <f t="shared" si="3"/>
        <v/>
      </c>
      <c r="W67" s="289" t="str">
        <f t="shared" si="4"/>
        <v/>
      </c>
      <c r="X67" s="305" t="str">
        <f>IF(F67="","",VLOOKUP(U67,'G-3 Multipliers'!$P$3:$Q$6,2,FALSE))</f>
        <v/>
      </c>
      <c r="Y67" s="309" t="str">
        <f t="shared" si="5"/>
        <v/>
      </c>
      <c r="Z67" s="309" t="str">
        <f t="shared" si="6"/>
        <v/>
      </c>
      <c r="AA67" s="105"/>
      <c r="AB67" s="968"/>
      <c r="AC67" s="142"/>
      <c r="AD67" s="142"/>
      <c r="AE67" s="964"/>
      <c r="AH67" s="30" t="str">
        <f>IFERROR(INDEX('G-6 Hedgerow Data'!$BJ$3:$BJ$15,MATCH(D67,'G-6 Hedgerow Data'!$B$3:$B$15,0)),"")</f>
        <v/>
      </c>
    </row>
    <row r="68" spans="2:34" ht="13.8" x14ac:dyDescent="0.25">
      <c r="B68" s="101">
        <v>57</v>
      </c>
      <c r="C68" s="175"/>
      <c r="D68" s="58"/>
      <c r="E68" s="142"/>
      <c r="F68" s="281" t="str">
        <f>IF(D68="","",VLOOKUP(D68,'G-6 Hedgerow Data'!$B$2:$AG$15,2,FALSE))</f>
        <v/>
      </c>
      <c r="G68" s="305" t="str">
        <f>IF(D68="","",VLOOKUP(D68,'G-6 Hedgerow Data'!$B$2:$AG$15,3,FALSE))</f>
        <v/>
      </c>
      <c r="H68" s="53"/>
      <c r="I68" s="282" t="str">
        <f>IFERROR(IF(H68="","",IF(AND(D68="Non-native and ornamental hedgerow", H68&lt;&gt;"Poor"),"Not possible ▲", (IF(AND(F68="V.Low",OR(H68="Good",H68="Moderate")),"Error ▲",VLOOKUP(H68,'G-1 All Habitats'!$Z$2:$AA$9,2,FALSE))))),"")</f>
        <v/>
      </c>
      <c r="J68" s="106"/>
      <c r="K68" s="301" t="str">
        <f>IF(J68="","",IF(VLOOKUP(J68,'G-3 Multipliers'!$L$3:$N$6,2,FALSE)=0,"Spatial Data Missing",VLOOKUP(J68,'G-3 Multipliers'!$L$3:$N$6,2,FALSE)))</f>
        <v/>
      </c>
      <c r="L68" s="305" t="str">
        <f>IF(J68="","",IF(VLOOKUP(J68,'G-3 Multipliers'!$L$3:$N$6,3,FALSE)=0,"Spatial Data Missing",VLOOKUP(J68,'G-3 Multipliers'!$L$3:$N$6,3,FALSE)))</f>
        <v/>
      </c>
      <c r="M68" s="138"/>
      <c r="N68" s="282" t="str">
        <f>IF(M68="","",IF(VLOOKUP(M68,'G-3 Multipliers'!$S$3:$T$10,2,FALSE)=0,"Spatial Data Missing ⚠",VLOOKUP(M68,'G-3 Multipliers'!$S$3:$T$10,2,FALSE)))</f>
        <v/>
      </c>
      <c r="O68" s="281" t="str">
        <f>IF(OR(D68="",H68=""),"",(INDEX('G-6 Hedgerow Data'!$E$3:$I$15,MATCH(D68,'G-6 Hedgerow Data'!$B$3:$B$15,0),MATCH(H68,'G-6 Hedgerow Data'!$E$2:$I$2,0))))</f>
        <v/>
      </c>
      <c r="P68" s="137"/>
      <c r="Q68" s="137"/>
      <c r="R68" s="289" t="str">
        <f t="shared" si="1"/>
        <v/>
      </c>
      <c r="S68" s="302" t="str">
        <f t="shared" si="2"/>
        <v/>
      </c>
      <c r="T68" s="303" t="str">
        <f t="shared" si="0"/>
        <v/>
      </c>
      <c r="U68" s="317" t="str">
        <f>IF(D68="","",VLOOKUP(D68,'G-6 Hedgerow Data'!$B$3:$AG$15,31,FALSE))</f>
        <v/>
      </c>
      <c r="V68" s="301" t="str">
        <f t="shared" si="3"/>
        <v/>
      </c>
      <c r="W68" s="289" t="str">
        <f t="shared" si="4"/>
        <v/>
      </c>
      <c r="X68" s="305" t="str">
        <f>IF(F68="","",VLOOKUP(U68,'G-3 Multipliers'!$P$3:$Q$6,2,FALSE))</f>
        <v/>
      </c>
      <c r="Y68" s="309" t="str">
        <f t="shared" si="5"/>
        <v/>
      </c>
      <c r="Z68" s="309" t="str">
        <f t="shared" si="6"/>
        <v/>
      </c>
      <c r="AA68" s="105"/>
      <c r="AB68" s="968"/>
      <c r="AC68" s="142"/>
      <c r="AD68" s="142"/>
      <c r="AE68" s="964"/>
      <c r="AH68" s="30" t="str">
        <f>IFERROR(INDEX('G-6 Hedgerow Data'!$BJ$3:$BJ$15,MATCH(D68,'G-6 Hedgerow Data'!$B$3:$B$15,0)),"")</f>
        <v/>
      </c>
    </row>
    <row r="69" spans="2:34" ht="13.8" x14ac:dyDescent="0.25">
      <c r="B69" s="101">
        <v>58</v>
      </c>
      <c r="C69" s="175"/>
      <c r="D69" s="58"/>
      <c r="E69" s="142"/>
      <c r="F69" s="281" t="str">
        <f>IF(D69="","",VLOOKUP(D69,'G-6 Hedgerow Data'!$B$2:$AG$15,2,FALSE))</f>
        <v/>
      </c>
      <c r="G69" s="305" t="str">
        <f>IF(D69="","",VLOOKUP(D69,'G-6 Hedgerow Data'!$B$2:$AG$15,3,FALSE))</f>
        <v/>
      </c>
      <c r="H69" s="53"/>
      <c r="I69" s="282" t="str">
        <f>IFERROR(IF(H69="","",IF(AND(D69="Non-native and ornamental hedgerow", H69&lt;&gt;"Poor"),"Not possible ▲", (IF(AND(F69="V.Low",OR(H69="Good",H69="Moderate")),"Error ▲",VLOOKUP(H69,'G-1 All Habitats'!$Z$2:$AA$9,2,FALSE))))),"")</f>
        <v/>
      </c>
      <c r="J69" s="106"/>
      <c r="K69" s="301" t="str">
        <f>IF(J69="","",IF(VLOOKUP(J69,'G-3 Multipliers'!$L$3:$N$6,2,FALSE)=0,"Spatial Data Missing",VLOOKUP(J69,'G-3 Multipliers'!$L$3:$N$6,2,FALSE)))</f>
        <v/>
      </c>
      <c r="L69" s="305" t="str">
        <f>IF(J69="","",IF(VLOOKUP(J69,'G-3 Multipliers'!$L$3:$N$6,3,FALSE)=0,"Spatial Data Missing",VLOOKUP(J69,'G-3 Multipliers'!$L$3:$N$6,3,FALSE)))</f>
        <v/>
      </c>
      <c r="M69" s="138"/>
      <c r="N69" s="282" t="str">
        <f>IF(M69="","",IF(VLOOKUP(M69,'G-3 Multipliers'!$S$3:$T$10,2,FALSE)=0,"Spatial Data Missing ⚠",VLOOKUP(M69,'G-3 Multipliers'!$S$3:$T$10,2,FALSE)))</f>
        <v/>
      </c>
      <c r="O69" s="281" t="str">
        <f>IF(OR(D69="",H69=""),"",(INDEX('G-6 Hedgerow Data'!$E$3:$I$15,MATCH(D69,'G-6 Hedgerow Data'!$B$3:$B$15,0),MATCH(H69,'G-6 Hedgerow Data'!$E$2:$I$2,0))))</f>
        <v/>
      </c>
      <c r="P69" s="137"/>
      <c r="Q69" s="137"/>
      <c r="R69" s="289" t="str">
        <f t="shared" si="1"/>
        <v/>
      </c>
      <c r="S69" s="302" t="str">
        <f t="shared" si="2"/>
        <v/>
      </c>
      <c r="T69" s="303" t="str">
        <f t="shared" si="0"/>
        <v/>
      </c>
      <c r="U69" s="317" t="str">
        <f>IF(D69="","",VLOOKUP(D69,'G-6 Hedgerow Data'!$B$3:$AG$15,31,FALSE))</f>
        <v/>
      </c>
      <c r="V69" s="301" t="str">
        <f t="shared" si="3"/>
        <v/>
      </c>
      <c r="W69" s="289" t="str">
        <f t="shared" si="4"/>
        <v/>
      </c>
      <c r="X69" s="305" t="str">
        <f>IF(F69="","",VLOOKUP(U69,'G-3 Multipliers'!$P$3:$Q$6,2,FALSE))</f>
        <v/>
      </c>
      <c r="Y69" s="309" t="str">
        <f t="shared" si="5"/>
        <v/>
      </c>
      <c r="Z69" s="309" t="str">
        <f t="shared" si="6"/>
        <v/>
      </c>
      <c r="AA69" s="105"/>
      <c r="AB69" s="968"/>
      <c r="AC69" s="142"/>
      <c r="AD69" s="142"/>
      <c r="AE69" s="964"/>
      <c r="AH69" s="30" t="str">
        <f>IFERROR(INDEX('G-6 Hedgerow Data'!$BJ$3:$BJ$15,MATCH(D69,'G-6 Hedgerow Data'!$B$3:$B$15,0)),"")</f>
        <v/>
      </c>
    </row>
    <row r="70" spans="2:34" ht="13.8" x14ac:dyDescent="0.25">
      <c r="B70" s="101">
        <v>59</v>
      </c>
      <c r="C70" s="175"/>
      <c r="D70" s="58"/>
      <c r="E70" s="142"/>
      <c r="F70" s="281" t="str">
        <f>IF(D70="","",VLOOKUP(D70,'G-6 Hedgerow Data'!$B$2:$AG$15,2,FALSE))</f>
        <v/>
      </c>
      <c r="G70" s="305" t="str">
        <f>IF(D70="","",VLOOKUP(D70,'G-6 Hedgerow Data'!$B$2:$AG$15,3,FALSE))</f>
        <v/>
      </c>
      <c r="H70" s="53"/>
      <c r="I70" s="282" t="str">
        <f>IFERROR(IF(H70="","",IF(AND(D70="Non-native and ornamental hedgerow", H70&lt;&gt;"Poor"),"Not possible ▲", (IF(AND(F70="V.Low",OR(H70="Good",H70="Moderate")),"Error ▲",VLOOKUP(H70,'G-1 All Habitats'!$Z$2:$AA$9,2,FALSE))))),"")</f>
        <v/>
      </c>
      <c r="J70" s="106"/>
      <c r="K70" s="301" t="str">
        <f>IF(J70="","",IF(VLOOKUP(J70,'G-3 Multipliers'!$L$3:$N$6,2,FALSE)=0,"Spatial Data Missing",VLOOKUP(J70,'G-3 Multipliers'!$L$3:$N$6,2,FALSE)))</f>
        <v/>
      </c>
      <c r="L70" s="305" t="str">
        <f>IF(J70="","",IF(VLOOKUP(J70,'G-3 Multipliers'!$L$3:$N$6,3,FALSE)=0,"Spatial Data Missing",VLOOKUP(J70,'G-3 Multipliers'!$L$3:$N$6,3,FALSE)))</f>
        <v/>
      </c>
      <c r="M70" s="138"/>
      <c r="N70" s="282" t="str">
        <f>IF(M70="","",IF(VLOOKUP(M70,'G-3 Multipliers'!$S$3:$T$10,2,FALSE)=0,"Spatial Data Missing ⚠",VLOOKUP(M70,'G-3 Multipliers'!$S$3:$T$10,2,FALSE)))</f>
        <v/>
      </c>
      <c r="O70" s="281" t="str">
        <f>IF(OR(D70="",H70=""),"",(INDEX('G-6 Hedgerow Data'!$E$3:$I$15,MATCH(D70,'G-6 Hedgerow Data'!$B$3:$B$15,0),MATCH(H70,'G-6 Hedgerow Data'!$E$2:$I$2,0))))</f>
        <v/>
      </c>
      <c r="P70" s="137"/>
      <c r="Q70" s="137"/>
      <c r="R70" s="289" t="str">
        <f t="shared" si="1"/>
        <v/>
      </c>
      <c r="S70" s="302" t="str">
        <f t="shared" si="2"/>
        <v/>
      </c>
      <c r="T70" s="303" t="str">
        <f t="shared" si="0"/>
        <v/>
      </c>
      <c r="U70" s="317" t="str">
        <f>IF(D70="","",VLOOKUP(D70,'G-6 Hedgerow Data'!$B$3:$AG$15,31,FALSE))</f>
        <v/>
      </c>
      <c r="V70" s="301" t="str">
        <f t="shared" si="3"/>
        <v/>
      </c>
      <c r="W70" s="289" t="str">
        <f t="shared" si="4"/>
        <v/>
      </c>
      <c r="X70" s="305" t="str">
        <f>IF(F70="","",VLOOKUP(U70,'G-3 Multipliers'!$P$3:$Q$6,2,FALSE))</f>
        <v/>
      </c>
      <c r="Y70" s="309" t="str">
        <f t="shared" si="5"/>
        <v/>
      </c>
      <c r="Z70" s="309" t="str">
        <f t="shared" si="6"/>
        <v/>
      </c>
      <c r="AA70" s="105"/>
      <c r="AB70" s="968"/>
      <c r="AC70" s="142"/>
      <c r="AD70" s="142"/>
      <c r="AE70" s="964"/>
      <c r="AH70" s="30" t="str">
        <f>IFERROR(INDEX('G-6 Hedgerow Data'!$BJ$3:$BJ$15,MATCH(D70,'G-6 Hedgerow Data'!$B$3:$B$15,0)),"")</f>
        <v/>
      </c>
    </row>
    <row r="71" spans="2:34" ht="13.8" x14ac:dyDescent="0.25">
      <c r="B71" s="101">
        <v>60</v>
      </c>
      <c r="C71" s="175"/>
      <c r="D71" s="58"/>
      <c r="E71" s="142"/>
      <c r="F71" s="281" t="str">
        <f>IF(D71="","",VLOOKUP(D71,'G-6 Hedgerow Data'!$B$2:$AG$15,2,FALSE))</f>
        <v/>
      </c>
      <c r="G71" s="305" t="str">
        <f>IF(D71="","",VLOOKUP(D71,'G-6 Hedgerow Data'!$B$2:$AG$15,3,FALSE))</f>
        <v/>
      </c>
      <c r="H71" s="53"/>
      <c r="I71" s="282" t="str">
        <f>IFERROR(IF(H71="","",IF(AND(D71="Non-native and ornamental hedgerow", H71&lt;&gt;"Poor"),"Not possible ▲", (IF(AND(F71="V.Low",OR(H71="Good",H71="Moderate")),"Error ▲",VLOOKUP(H71,'G-1 All Habitats'!$Z$2:$AA$9,2,FALSE))))),"")</f>
        <v/>
      </c>
      <c r="J71" s="106"/>
      <c r="K71" s="301" t="str">
        <f>IF(J71="","",IF(VLOOKUP(J71,'G-3 Multipliers'!$L$3:$N$6,2,FALSE)=0,"Spatial Data Missing",VLOOKUP(J71,'G-3 Multipliers'!$L$3:$N$6,2,FALSE)))</f>
        <v/>
      </c>
      <c r="L71" s="305" t="str">
        <f>IF(J71="","",IF(VLOOKUP(J71,'G-3 Multipliers'!$L$3:$N$6,3,FALSE)=0,"Spatial Data Missing",VLOOKUP(J71,'G-3 Multipliers'!$L$3:$N$6,3,FALSE)))</f>
        <v/>
      </c>
      <c r="M71" s="138"/>
      <c r="N71" s="282" t="str">
        <f>IF(M71="","",IF(VLOOKUP(M71,'G-3 Multipliers'!$S$3:$T$10,2,FALSE)=0,"Spatial Data Missing ⚠",VLOOKUP(M71,'G-3 Multipliers'!$S$3:$T$10,2,FALSE)))</f>
        <v/>
      </c>
      <c r="O71" s="281" t="str">
        <f>IF(OR(D71="",H71=""),"",(INDEX('G-6 Hedgerow Data'!$E$3:$I$15,MATCH(D71,'G-6 Hedgerow Data'!$B$3:$B$15,0),MATCH(H71,'G-6 Hedgerow Data'!$E$2:$I$2,0))))</f>
        <v/>
      </c>
      <c r="P71" s="137"/>
      <c r="Q71" s="137"/>
      <c r="R71" s="289" t="str">
        <f t="shared" si="1"/>
        <v/>
      </c>
      <c r="S71" s="302" t="str">
        <f t="shared" si="2"/>
        <v/>
      </c>
      <c r="T71" s="303" t="str">
        <f t="shared" si="0"/>
        <v/>
      </c>
      <c r="U71" s="317" t="str">
        <f>IF(D71="","",VLOOKUP(D71,'G-6 Hedgerow Data'!$B$3:$AG$15,31,FALSE))</f>
        <v/>
      </c>
      <c r="V71" s="301" t="str">
        <f t="shared" si="3"/>
        <v/>
      </c>
      <c r="W71" s="289" t="str">
        <f t="shared" si="4"/>
        <v/>
      </c>
      <c r="X71" s="305" t="str">
        <f>IF(F71="","",VLOOKUP(U71,'G-3 Multipliers'!$P$3:$Q$6,2,FALSE))</f>
        <v/>
      </c>
      <c r="Y71" s="309" t="str">
        <f t="shared" si="5"/>
        <v/>
      </c>
      <c r="Z71" s="309" t="str">
        <f t="shared" si="6"/>
        <v/>
      </c>
      <c r="AA71" s="105"/>
      <c r="AB71" s="968"/>
      <c r="AC71" s="142"/>
      <c r="AD71" s="142"/>
      <c r="AE71" s="964"/>
      <c r="AH71" s="30" t="str">
        <f>IFERROR(INDEX('G-6 Hedgerow Data'!$BJ$3:$BJ$15,MATCH(D71,'G-6 Hedgerow Data'!$B$3:$B$15,0)),"")</f>
        <v/>
      </c>
    </row>
    <row r="72" spans="2:34" ht="13.8" x14ac:dyDescent="0.25">
      <c r="B72" s="101">
        <v>61</v>
      </c>
      <c r="C72" s="175"/>
      <c r="D72" s="58"/>
      <c r="E72" s="142"/>
      <c r="F72" s="281" t="str">
        <f>IF(D72="","",VLOOKUP(D72,'G-6 Hedgerow Data'!$B$2:$AG$15,2,FALSE))</f>
        <v/>
      </c>
      <c r="G72" s="305" t="str">
        <f>IF(D72="","",VLOOKUP(D72,'G-6 Hedgerow Data'!$B$2:$AG$15,3,FALSE))</f>
        <v/>
      </c>
      <c r="H72" s="53"/>
      <c r="I72" s="282" t="str">
        <f>IFERROR(IF(H72="","",IF(AND(D72="Non-native and ornamental hedgerow", H72&lt;&gt;"Poor"),"Not possible ▲", (IF(AND(F72="V.Low",OR(H72="Good",H72="Moderate")),"Error ▲",VLOOKUP(H72,'G-1 All Habitats'!$Z$2:$AA$9,2,FALSE))))),"")</f>
        <v/>
      </c>
      <c r="J72" s="106"/>
      <c r="K72" s="301" t="str">
        <f>IF(J72="","",IF(VLOOKUP(J72,'G-3 Multipliers'!$L$3:$N$6,2,FALSE)=0,"Spatial Data Missing",VLOOKUP(J72,'G-3 Multipliers'!$L$3:$N$6,2,FALSE)))</f>
        <v/>
      </c>
      <c r="L72" s="305" t="str">
        <f>IF(J72="","",IF(VLOOKUP(J72,'G-3 Multipliers'!$L$3:$N$6,3,FALSE)=0,"Spatial Data Missing",VLOOKUP(J72,'G-3 Multipliers'!$L$3:$N$6,3,FALSE)))</f>
        <v/>
      </c>
      <c r="M72" s="138"/>
      <c r="N72" s="282" t="str">
        <f>IF(M72="","",IF(VLOOKUP(M72,'G-3 Multipliers'!$S$3:$T$10,2,FALSE)=0,"Spatial Data Missing ⚠",VLOOKUP(M72,'G-3 Multipliers'!$S$3:$T$10,2,FALSE)))</f>
        <v/>
      </c>
      <c r="O72" s="281" t="str">
        <f>IF(OR(D72="",H72=""),"",(INDEX('G-6 Hedgerow Data'!$E$3:$I$15,MATCH(D72,'G-6 Hedgerow Data'!$B$3:$B$15,0),MATCH(H72,'G-6 Hedgerow Data'!$E$2:$I$2,0))))</f>
        <v/>
      </c>
      <c r="P72" s="137"/>
      <c r="Q72" s="137"/>
      <c r="R72" s="289" t="str">
        <f t="shared" si="1"/>
        <v/>
      </c>
      <c r="S72" s="302" t="str">
        <f t="shared" si="2"/>
        <v/>
      </c>
      <c r="T72" s="303" t="str">
        <f t="shared" si="0"/>
        <v/>
      </c>
      <c r="U72" s="317" t="str">
        <f>IF(D72="","",VLOOKUP(D72,'G-6 Hedgerow Data'!$B$3:$AG$15,31,FALSE))</f>
        <v/>
      </c>
      <c r="V72" s="301" t="str">
        <f t="shared" si="3"/>
        <v/>
      </c>
      <c r="W72" s="289" t="str">
        <f t="shared" si="4"/>
        <v/>
      </c>
      <c r="X72" s="305" t="str">
        <f>IF(F72="","",VLOOKUP(U72,'G-3 Multipliers'!$P$3:$Q$6,2,FALSE))</f>
        <v/>
      </c>
      <c r="Y72" s="309" t="str">
        <f t="shared" si="5"/>
        <v/>
      </c>
      <c r="Z72" s="309" t="str">
        <f t="shared" si="6"/>
        <v/>
      </c>
      <c r="AA72" s="105"/>
      <c r="AB72" s="968"/>
      <c r="AC72" s="142"/>
      <c r="AD72" s="142"/>
      <c r="AE72" s="964"/>
      <c r="AH72" s="30" t="str">
        <f>IFERROR(INDEX('G-6 Hedgerow Data'!$BJ$3:$BJ$15,MATCH(D72,'G-6 Hedgerow Data'!$B$3:$B$15,0)),"")</f>
        <v/>
      </c>
    </row>
    <row r="73" spans="2:34" ht="13.8" x14ac:dyDescent="0.25">
      <c r="B73" s="101">
        <v>62</v>
      </c>
      <c r="C73" s="175"/>
      <c r="D73" s="58"/>
      <c r="E73" s="142"/>
      <c r="F73" s="281" t="str">
        <f>IF(D73="","",VLOOKUP(D73,'G-6 Hedgerow Data'!$B$2:$AG$15,2,FALSE))</f>
        <v/>
      </c>
      <c r="G73" s="305" t="str">
        <f>IF(D73="","",VLOOKUP(D73,'G-6 Hedgerow Data'!$B$2:$AG$15,3,FALSE))</f>
        <v/>
      </c>
      <c r="H73" s="53"/>
      <c r="I73" s="282" t="str">
        <f>IFERROR(IF(H73="","",IF(AND(D73="Non-native and ornamental hedgerow", H73&lt;&gt;"Poor"),"Not possible ▲", (IF(AND(F73="V.Low",OR(H73="Good",H73="Moderate")),"Error ▲",VLOOKUP(H73,'G-1 All Habitats'!$Z$2:$AA$9,2,FALSE))))),"")</f>
        <v/>
      </c>
      <c r="J73" s="106"/>
      <c r="K73" s="301" t="str">
        <f>IF(J73="","",IF(VLOOKUP(J73,'G-3 Multipliers'!$L$3:$N$6,2,FALSE)=0,"Spatial Data Missing",VLOOKUP(J73,'G-3 Multipliers'!$L$3:$N$6,2,FALSE)))</f>
        <v/>
      </c>
      <c r="L73" s="305" t="str">
        <f>IF(J73="","",IF(VLOOKUP(J73,'G-3 Multipliers'!$L$3:$N$6,3,FALSE)=0,"Spatial Data Missing",VLOOKUP(J73,'G-3 Multipliers'!$L$3:$N$6,3,FALSE)))</f>
        <v/>
      </c>
      <c r="M73" s="138"/>
      <c r="N73" s="282" t="str">
        <f>IF(M73="","",IF(VLOOKUP(M73,'G-3 Multipliers'!$S$3:$T$10,2,FALSE)=0,"Spatial Data Missing ⚠",VLOOKUP(M73,'G-3 Multipliers'!$S$3:$T$10,2,FALSE)))</f>
        <v/>
      </c>
      <c r="O73" s="281" t="str">
        <f>IF(OR(D73="",H73=""),"",(INDEX('G-6 Hedgerow Data'!$E$3:$I$15,MATCH(D73,'G-6 Hedgerow Data'!$B$3:$B$15,0),MATCH(H73,'G-6 Hedgerow Data'!$E$2:$I$2,0))))</f>
        <v/>
      </c>
      <c r="P73" s="137"/>
      <c r="Q73" s="137"/>
      <c r="R73" s="289" t="str">
        <f t="shared" si="1"/>
        <v/>
      </c>
      <c r="S73" s="302" t="str">
        <f t="shared" si="2"/>
        <v/>
      </c>
      <c r="T73" s="303" t="str">
        <f t="shared" si="0"/>
        <v/>
      </c>
      <c r="U73" s="317" t="str">
        <f>IF(D73="","",VLOOKUP(D73,'G-6 Hedgerow Data'!$B$3:$AG$15,31,FALSE))</f>
        <v/>
      </c>
      <c r="V73" s="301" t="str">
        <f t="shared" si="3"/>
        <v/>
      </c>
      <c r="W73" s="289" t="str">
        <f t="shared" si="4"/>
        <v/>
      </c>
      <c r="X73" s="305" t="str">
        <f>IF(F73="","",VLOOKUP(U73,'G-3 Multipliers'!$P$3:$Q$6,2,FALSE))</f>
        <v/>
      </c>
      <c r="Y73" s="309" t="str">
        <f t="shared" si="5"/>
        <v/>
      </c>
      <c r="Z73" s="309" t="str">
        <f t="shared" si="6"/>
        <v/>
      </c>
      <c r="AA73" s="105"/>
      <c r="AB73" s="968"/>
      <c r="AC73" s="142"/>
      <c r="AD73" s="142"/>
      <c r="AE73" s="964"/>
      <c r="AH73" s="30" t="str">
        <f>IFERROR(INDEX('G-6 Hedgerow Data'!$BJ$3:$BJ$15,MATCH(D73,'G-6 Hedgerow Data'!$B$3:$B$15,0)),"")</f>
        <v/>
      </c>
    </row>
    <row r="74" spans="2:34" ht="13.8" x14ac:dyDescent="0.25">
      <c r="B74" s="101">
        <v>63</v>
      </c>
      <c r="C74" s="175"/>
      <c r="D74" s="58"/>
      <c r="E74" s="142"/>
      <c r="F74" s="281" t="str">
        <f>IF(D74="","",VLOOKUP(D74,'G-6 Hedgerow Data'!$B$2:$AG$15,2,FALSE))</f>
        <v/>
      </c>
      <c r="G74" s="305" t="str">
        <f>IF(D74="","",VLOOKUP(D74,'G-6 Hedgerow Data'!$B$2:$AG$15,3,FALSE))</f>
        <v/>
      </c>
      <c r="H74" s="53"/>
      <c r="I74" s="282" t="str">
        <f>IFERROR(IF(H74="","",IF(AND(D74="Non-native and ornamental hedgerow", H74&lt;&gt;"Poor"),"Not possible ▲", (IF(AND(F74="V.Low",OR(H74="Good",H74="Moderate")),"Error ▲",VLOOKUP(H74,'G-1 All Habitats'!$Z$2:$AA$9,2,FALSE))))),"")</f>
        <v/>
      </c>
      <c r="J74" s="106"/>
      <c r="K74" s="301" t="str">
        <f>IF(J74="","",IF(VLOOKUP(J74,'G-3 Multipliers'!$L$3:$N$6,2,FALSE)=0,"Spatial Data Missing",VLOOKUP(J74,'G-3 Multipliers'!$L$3:$N$6,2,FALSE)))</f>
        <v/>
      </c>
      <c r="L74" s="305" t="str">
        <f>IF(J74="","",IF(VLOOKUP(J74,'G-3 Multipliers'!$L$3:$N$6,3,FALSE)=0,"Spatial Data Missing",VLOOKUP(J74,'G-3 Multipliers'!$L$3:$N$6,3,FALSE)))</f>
        <v/>
      </c>
      <c r="M74" s="138"/>
      <c r="N74" s="282" t="str">
        <f>IF(M74="","",IF(VLOOKUP(M74,'G-3 Multipliers'!$S$3:$T$10,2,FALSE)=0,"Spatial Data Missing ⚠",VLOOKUP(M74,'G-3 Multipliers'!$S$3:$T$10,2,FALSE)))</f>
        <v/>
      </c>
      <c r="O74" s="281" t="str">
        <f>IF(OR(D74="",H74=""),"",(INDEX('G-6 Hedgerow Data'!$E$3:$I$15,MATCH(D74,'G-6 Hedgerow Data'!$B$3:$B$15,0),MATCH(H74,'G-6 Hedgerow Data'!$E$2:$I$2,0))))</f>
        <v/>
      </c>
      <c r="P74" s="137"/>
      <c r="Q74" s="137"/>
      <c r="R74" s="289" t="str">
        <f t="shared" si="1"/>
        <v/>
      </c>
      <c r="S74" s="302" t="str">
        <f t="shared" si="2"/>
        <v/>
      </c>
      <c r="T74" s="303" t="str">
        <f t="shared" si="0"/>
        <v/>
      </c>
      <c r="U74" s="317" t="str">
        <f>IF(D74="","",VLOOKUP(D74,'G-6 Hedgerow Data'!$B$3:$AG$15,31,FALSE))</f>
        <v/>
      </c>
      <c r="V74" s="301" t="str">
        <f t="shared" si="3"/>
        <v/>
      </c>
      <c r="W74" s="289" t="str">
        <f t="shared" si="4"/>
        <v/>
      </c>
      <c r="X74" s="305" t="str">
        <f>IF(F74="","",VLOOKUP(U74,'G-3 Multipliers'!$P$3:$Q$6,2,FALSE))</f>
        <v/>
      </c>
      <c r="Y74" s="309" t="str">
        <f t="shared" si="5"/>
        <v/>
      </c>
      <c r="Z74" s="309" t="str">
        <f t="shared" si="6"/>
        <v/>
      </c>
      <c r="AA74" s="105"/>
      <c r="AB74" s="968"/>
      <c r="AC74" s="142"/>
      <c r="AD74" s="142"/>
      <c r="AE74" s="964"/>
      <c r="AH74" s="30" t="str">
        <f>IFERROR(INDEX('G-6 Hedgerow Data'!$BJ$3:$BJ$15,MATCH(D74,'G-6 Hedgerow Data'!$B$3:$B$15,0)),"")</f>
        <v/>
      </c>
    </row>
    <row r="75" spans="2:34" ht="13.8" x14ac:dyDescent="0.25">
      <c r="B75" s="101">
        <v>64</v>
      </c>
      <c r="C75" s="175"/>
      <c r="D75" s="58"/>
      <c r="E75" s="142"/>
      <c r="F75" s="281" t="str">
        <f>IF(D75="","",VLOOKUP(D75,'G-6 Hedgerow Data'!$B$2:$AG$15,2,FALSE))</f>
        <v/>
      </c>
      <c r="G75" s="305" t="str">
        <f>IF(D75="","",VLOOKUP(D75,'G-6 Hedgerow Data'!$B$2:$AG$15,3,FALSE))</f>
        <v/>
      </c>
      <c r="H75" s="53"/>
      <c r="I75" s="282" t="str">
        <f>IFERROR(IF(H75="","",IF(AND(D75="Non-native and ornamental hedgerow", H75&lt;&gt;"Poor"),"Not possible ▲", (IF(AND(F75="V.Low",OR(H75="Good",H75="Moderate")),"Error ▲",VLOOKUP(H75,'G-1 All Habitats'!$Z$2:$AA$9,2,FALSE))))),"")</f>
        <v/>
      </c>
      <c r="J75" s="106"/>
      <c r="K75" s="301" t="str">
        <f>IF(J75="","",IF(VLOOKUP(J75,'G-3 Multipliers'!$L$3:$N$6,2,FALSE)=0,"Spatial Data Missing",VLOOKUP(J75,'G-3 Multipliers'!$L$3:$N$6,2,FALSE)))</f>
        <v/>
      </c>
      <c r="L75" s="305" t="str">
        <f>IF(J75="","",IF(VLOOKUP(J75,'G-3 Multipliers'!$L$3:$N$6,3,FALSE)=0,"Spatial Data Missing",VLOOKUP(J75,'G-3 Multipliers'!$L$3:$N$6,3,FALSE)))</f>
        <v/>
      </c>
      <c r="M75" s="138"/>
      <c r="N75" s="282" t="str">
        <f>IF(M75="","",IF(VLOOKUP(M75,'G-3 Multipliers'!$S$3:$T$10,2,FALSE)=0,"Spatial Data Missing ⚠",VLOOKUP(M75,'G-3 Multipliers'!$S$3:$T$10,2,FALSE)))</f>
        <v/>
      </c>
      <c r="O75" s="281" t="str">
        <f>IF(OR(D75="",H75=""),"",(INDEX('G-6 Hedgerow Data'!$E$3:$I$15,MATCH(D75,'G-6 Hedgerow Data'!$B$3:$B$15,0),MATCH(H75,'G-6 Hedgerow Data'!$E$2:$I$2,0))))</f>
        <v/>
      </c>
      <c r="P75" s="137"/>
      <c r="Q75" s="137"/>
      <c r="R75" s="289" t="str">
        <f t="shared" si="1"/>
        <v/>
      </c>
      <c r="S75" s="302" t="str">
        <f t="shared" si="2"/>
        <v/>
      </c>
      <c r="T75" s="303" t="str">
        <f t="shared" si="0"/>
        <v/>
      </c>
      <c r="U75" s="317" t="str">
        <f>IF(D75="","",VLOOKUP(D75,'G-6 Hedgerow Data'!$B$3:$AG$15,31,FALSE))</f>
        <v/>
      </c>
      <c r="V75" s="301" t="str">
        <f t="shared" si="3"/>
        <v/>
      </c>
      <c r="W75" s="289" t="str">
        <f t="shared" si="4"/>
        <v/>
      </c>
      <c r="X75" s="305" t="str">
        <f>IF(F75="","",VLOOKUP(U75,'G-3 Multipliers'!$P$3:$Q$6,2,FALSE))</f>
        <v/>
      </c>
      <c r="Y75" s="309" t="str">
        <f t="shared" si="5"/>
        <v/>
      </c>
      <c r="Z75" s="309" t="str">
        <f t="shared" si="6"/>
        <v/>
      </c>
      <c r="AA75" s="105"/>
      <c r="AB75" s="968"/>
      <c r="AC75" s="142"/>
      <c r="AD75" s="142"/>
      <c r="AE75" s="964"/>
      <c r="AH75" s="30" t="str">
        <f>IFERROR(INDEX('G-6 Hedgerow Data'!$BJ$3:$BJ$15,MATCH(D75,'G-6 Hedgerow Data'!$B$3:$B$15,0)),"")</f>
        <v/>
      </c>
    </row>
    <row r="76" spans="2:34" ht="13.8" x14ac:dyDescent="0.25">
      <c r="B76" s="101">
        <v>65</v>
      </c>
      <c r="C76" s="175"/>
      <c r="D76" s="58"/>
      <c r="E76" s="142"/>
      <c r="F76" s="281" t="str">
        <f>IF(D76="","",VLOOKUP(D76,'G-6 Hedgerow Data'!$B$2:$AG$15,2,FALSE))</f>
        <v/>
      </c>
      <c r="G76" s="305" t="str">
        <f>IF(D76="","",VLOOKUP(D76,'G-6 Hedgerow Data'!$B$2:$AG$15,3,FALSE))</f>
        <v/>
      </c>
      <c r="H76" s="53"/>
      <c r="I76" s="282" t="str">
        <f>IFERROR(IF(H76="","",IF(AND(D76="Non-native and ornamental hedgerow", H76&lt;&gt;"Poor"),"Not possible ▲", (IF(AND(F76="V.Low",OR(H76="Good",H76="Moderate")),"Error ▲",VLOOKUP(H76,'G-1 All Habitats'!$Z$2:$AA$9,2,FALSE))))),"")</f>
        <v/>
      </c>
      <c r="J76" s="106"/>
      <c r="K76" s="301" t="str">
        <f>IF(J76="","",IF(VLOOKUP(J76,'G-3 Multipliers'!$L$3:$N$6,2,FALSE)=0,"Spatial Data Missing",VLOOKUP(J76,'G-3 Multipliers'!$L$3:$N$6,2,FALSE)))</f>
        <v/>
      </c>
      <c r="L76" s="305" t="str">
        <f>IF(J76="","",IF(VLOOKUP(J76,'G-3 Multipliers'!$L$3:$N$6,3,FALSE)=0,"Spatial Data Missing",VLOOKUP(J76,'G-3 Multipliers'!$L$3:$N$6,3,FALSE)))</f>
        <v/>
      </c>
      <c r="M76" s="138"/>
      <c r="N76" s="282" t="str">
        <f>IF(M76="","",IF(VLOOKUP(M76,'G-3 Multipliers'!$S$3:$T$10,2,FALSE)=0,"Spatial Data Missing ⚠",VLOOKUP(M76,'G-3 Multipliers'!$S$3:$T$10,2,FALSE)))</f>
        <v/>
      </c>
      <c r="O76" s="281" t="str">
        <f>IF(OR(D76="",H76=""),"",(INDEX('G-6 Hedgerow Data'!$E$3:$I$15,MATCH(D76,'G-6 Hedgerow Data'!$B$3:$B$15,0),MATCH(H76,'G-6 Hedgerow Data'!$E$2:$I$2,0))))</f>
        <v/>
      </c>
      <c r="P76" s="137"/>
      <c r="Q76" s="137"/>
      <c r="R76" s="289" t="str">
        <f t="shared" si="1"/>
        <v/>
      </c>
      <c r="S76" s="302" t="str">
        <f t="shared" si="2"/>
        <v/>
      </c>
      <c r="T76" s="303" t="str">
        <f t="shared" ref="T76:T139" si="7">IF(D76="","",IF(S76="Check Data ⚠","Check Data ⚠",VLOOKUP(S76,TemporalMultipliers,3,FALSE)))</f>
        <v/>
      </c>
      <c r="U76" s="317" t="str">
        <f>IF(D76="","",VLOOKUP(D76,'G-6 Hedgerow Data'!$B$3:$AG$15,31,FALSE))</f>
        <v/>
      </c>
      <c r="V76" s="301" t="str">
        <f t="shared" si="3"/>
        <v/>
      </c>
      <c r="W76" s="289" t="str">
        <f t="shared" si="4"/>
        <v/>
      </c>
      <c r="X76" s="305" t="str">
        <f>IF(F76="","",VLOOKUP(U76,'G-3 Multipliers'!$P$3:$Q$6,2,FALSE))</f>
        <v/>
      </c>
      <c r="Y76" s="309" t="str">
        <f t="shared" si="5"/>
        <v/>
      </c>
      <c r="Z76" s="309" t="str">
        <f t="shared" si="6"/>
        <v/>
      </c>
      <c r="AA76" s="105"/>
      <c r="AB76" s="968"/>
      <c r="AC76" s="142"/>
      <c r="AD76" s="142"/>
      <c r="AE76" s="964"/>
      <c r="AH76" s="30" t="str">
        <f>IFERROR(INDEX('G-6 Hedgerow Data'!$BJ$3:$BJ$15,MATCH(D76,'G-6 Hedgerow Data'!$B$3:$B$15,0)),"")</f>
        <v/>
      </c>
    </row>
    <row r="77" spans="2:34" ht="13.8" x14ac:dyDescent="0.25">
      <c r="B77" s="101">
        <v>66</v>
      </c>
      <c r="C77" s="175"/>
      <c r="D77" s="58"/>
      <c r="E77" s="142"/>
      <c r="F77" s="281" t="str">
        <f>IF(D77="","",VLOOKUP(D77,'G-6 Hedgerow Data'!$B$2:$AG$15,2,FALSE))</f>
        <v/>
      </c>
      <c r="G77" s="305" t="str">
        <f>IF(D77="","",VLOOKUP(D77,'G-6 Hedgerow Data'!$B$2:$AG$15,3,FALSE))</f>
        <v/>
      </c>
      <c r="H77" s="53"/>
      <c r="I77" s="282" t="str">
        <f>IFERROR(IF(H77="","",IF(AND(D77="Non-native and ornamental hedgerow", H77&lt;&gt;"Poor"),"Not possible ▲", (IF(AND(F77="V.Low",OR(H77="Good",H77="Moderate")),"Error ▲",VLOOKUP(H77,'G-1 All Habitats'!$Z$2:$AA$9,2,FALSE))))),"")</f>
        <v/>
      </c>
      <c r="J77" s="106"/>
      <c r="K77" s="301" t="str">
        <f>IF(J77="","",IF(VLOOKUP(J77,'G-3 Multipliers'!$L$3:$N$6,2,FALSE)=0,"Spatial Data Missing",VLOOKUP(J77,'G-3 Multipliers'!$L$3:$N$6,2,FALSE)))</f>
        <v/>
      </c>
      <c r="L77" s="305" t="str">
        <f>IF(J77="","",IF(VLOOKUP(J77,'G-3 Multipliers'!$L$3:$N$6,3,FALSE)=0,"Spatial Data Missing",VLOOKUP(J77,'G-3 Multipliers'!$L$3:$N$6,3,FALSE)))</f>
        <v/>
      </c>
      <c r="M77" s="138"/>
      <c r="N77" s="282" t="str">
        <f>IF(M77="","",IF(VLOOKUP(M77,'G-3 Multipliers'!$S$3:$T$10,2,FALSE)=0,"Spatial Data Missing ⚠",VLOOKUP(M77,'G-3 Multipliers'!$S$3:$T$10,2,FALSE)))</f>
        <v/>
      </c>
      <c r="O77" s="281" t="str">
        <f>IF(OR(D77="",H77=""),"",(INDEX('G-6 Hedgerow Data'!$E$3:$I$15,MATCH(D77,'G-6 Hedgerow Data'!$B$3:$B$15,0),MATCH(H77,'G-6 Hedgerow Data'!$E$2:$I$2,0))))</f>
        <v/>
      </c>
      <c r="P77" s="137"/>
      <c r="Q77" s="137"/>
      <c r="R77" s="289"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02" t="str">
        <f t="shared" ref="S77:S140" si="9">IF(O77="","",IF(R77="Error -both advance and delayed habitat creation ▲","Check Data ⚠",IF(O77="Not possible ▲", "Check data ⚠",IF(OR(P77="30+",P77="Habitat already in target condition"),0,IF(Q77="30+","30+",IF(AND(O77="30+",OR(P77="",P77=0)),"30+",IF(AND(O77="30+",P77&gt;0),30-P77,IF(O77+Q77&gt;30,"30+",IF(O77+Q77-P77&gt;0,O77+Q77-P77,IF(O77-P77&lt;0,0,O77+Q77-P77))))))))))</f>
        <v/>
      </c>
      <c r="T77" s="303" t="str">
        <f t="shared" si="7"/>
        <v/>
      </c>
      <c r="U77" s="317" t="str">
        <f>IF(D77="","",VLOOKUP(D77,'G-6 Hedgerow Data'!$B$3:$AG$15,31,FALSE))</f>
        <v/>
      </c>
      <c r="V77" s="301" t="str">
        <f t="shared" ref="V77:V140" si="10">IF(D77="","",IF(S77="Check Data ⚠","Check Data ⚠",IF(H77="","",IF($R77="Check details - Is there evidence that habitat has reached target condition? ⚠","Low Difficulty - only applicable if all habitat created before losses ⚠","Standard difficulty applied"))))</f>
        <v/>
      </c>
      <c r="W77" s="289" t="str">
        <f t="shared" ref="W77:W140" si="11">(IF(AND(V77="Standard difficulty applied",O77&gt;P77),U77,IF(S77="Check data ⚠","Check data ⚠",IF(AND(V77="Low Difficulty - only applicable if all habitat created before losses ⚠",P77&gt;=O77),"Low",U77))))</f>
        <v/>
      </c>
      <c r="X77" s="305" t="str">
        <f>IF(F77="","",VLOOKUP(U77,'G-3 Multipliers'!$P$3:$Q$6,2,FALSE))</f>
        <v/>
      </c>
      <c r="Y77" s="309" t="str">
        <f t="shared" ref="Y77:Y140" si="12">IFERROR(E77*G77*I77*L77*T77*X77*N77,"")</f>
        <v/>
      </c>
      <c r="Z77" s="309" t="str">
        <f t="shared" ref="Z77:Z140" si="13">IFERROR(IF(AND(M77&lt;&gt;"",AD77=""), "Off-site reference required ▲",(IF(M77="","", E77*G77*I77*L77*T77*X77))),"")</f>
        <v/>
      </c>
      <c r="AA77" s="105"/>
      <c r="AB77" s="968"/>
      <c r="AC77" s="142"/>
      <c r="AD77" s="142"/>
      <c r="AE77" s="964"/>
      <c r="AH77" s="30" t="str">
        <f>IFERROR(INDEX('G-6 Hedgerow Data'!$BJ$3:$BJ$15,MATCH(D77,'G-6 Hedgerow Data'!$B$3:$B$15,0)),"")</f>
        <v/>
      </c>
    </row>
    <row r="78" spans="2:34" ht="13.8" x14ac:dyDescent="0.25">
      <c r="B78" s="101">
        <v>67</v>
      </c>
      <c r="C78" s="175"/>
      <c r="D78" s="58"/>
      <c r="E78" s="142"/>
      <c r="F78" s="281" t="str">
        <f>IF(D78="","",VLOOKUP(D78,'G-6 Hedgerow Data'!$B$2:$AG$15,2,FALSE))</f>
        <v/>
      </c>
      <c r="G78" s="305" t="str">
        <f>IF(D78="","",VLOOKUP(D78,'G-6 Hedgerow Data'!$B$2:$AG$15,3,FALSE))</f>
        <v/>
      </c>
      <c r="H78" s="53"/>
      <c r="I78" s="282" t="str">
        <f>IFERROR(IF(H78="","",IF(AND(D78="Non-native and ornamental hedgerow", H78&lt;&gt;"Poor"),"Not possible ▲", (IF(AND(F78="V.Low",OR(H78="Good",H78="Moderate")),"Error ▲",VLOOKUP(H78,'G-1 All Habitats'!$Z$2:$AA$9,2,FALSE))))),"")</f>
        <v/>
      </c>
      <c r="J78" s="106"/>
      <c r="K78" s="301" t="str">
        <f>IF(J78="","",IF(VLOOKUP(J78,'G-3 Multipliers'!$L$3:$N$6,2,FALSE)=0,"Spatial Data Missing",VLOOKUP(J78,'G-3 Multipliers'!$L$3:$N$6,2,FALSE)))</f>
        <v/>
      </c>
      <c r="L78" s="305" t="str">
        <f>IF(J78="","",IF(VLOOKUP(J78,'G-3 Multipliers'!$L$3:$N$6,3,FALSE)=0,"Spatial Data Missing",VLOOKUP(J78,'G-3 Multipliers'!$L$3:$N$6,3,FALSE)))</f>
        <v/>
      </c>
      <c r="M78" s="138"/>
      <c r="N78" s="282" t="str">
        <f>IF(M78="","",IF(VLOOKUP(M78,'G-3 Multipliers'!$S$3:$T$10,2,FALSE)=0,"Spatial Data Missing ⚠",VLOOKUP(M78,'G-3 Multipliers'!$S$3:$T$10,2,FALSE)))</f>
        <v/>
      </c>
      <c r="O78" s="281" t="str">
        <f>IF(OR(D78="",H78=""),"",(INDEX('G-6 Hedgerow Data'!$E$3:$I$15,MATCH(D78,'G-6 Hedgerow Data'!$B$3:$B$15,0),MATCH(H78,'G-6 Hedgerow Data'!$E$2:$I$2,0))))</f>
        <v/>
      </c>
      <c r="P78" s="137"/>
      <c r="Q78" s="137"/>
      <c r="R78" s="289" t="str">
        <f t="shared" si="8"/>
        <v/>
      </c>
      <c r="S78" s="302" t="str">
        <f t="shared" si="9"/>
        <v/>
      </c>
      <c r="T78" s="303" t="str">
        <f t="shared" si="7"/>
        <v/>
      </c>
      <c r="U78" s="317" t="str">
        <f>IF(D78="","",VLOOKUP(D78,'G-6 Hedgerow Data'!$B$3:$AG$15,31,FALSE))</f>
        <v/>
      </c>
      <c r="V78" s="301" t="str">
        <f t="shared" si="10"/>
        <v/>
      </c>
      <c r="W78" s="289" t="str">
        <f t="shared" si="11"/>
        <v/>
      </c>
      <c r="X78" s="305" t="str">
        <f>IF(F78="","",VLOOKUP(U78,'G-3 Multipliers'!$P$3:$Q$6,2,FALSE))</f>
        <v/>
      </c>
      <c r="Y78" s="309" t="str">
        <f t="shared" si="12"/>
        <v/>
      </c>
      <c r="Z78" s="309" t="str">
        <f t="shared" si="13"/>
        <v/>
      </c>
      <c r="AA78" s="105"/>
      <c r="AB78" s="968"/>
      <c r="AC78" s="142"/>
      <c r="AD78" s="142"/>
      <c r="AE78" s="964"/>
      <c r="AH78" s="30" t="str">
        <f>IFERROR(INDEX('G-6 Hedgerow Data'!$BJ$3:$BJ$15,MATCH(D78,'G-6 Hedgerow Data'!$B$3:$B$15,0)),"")</f>
        <v/>
      </c>
    </row>
    <row r="79" spans="2:34" ht="13.8" x14ac:dyDescent="0.25">
      <c r="B79" s="101">
        <v>68</v>
      </c>
      <c r="C79" s="175"/>
      <c r="D79" s="58"/>
      <c r="E79" s="142"/>
      <c r="F79" s="281" t="str">
        <f>IF(D79="","",VLOOKUP(D79,'G-6 Hedgerow Data'!$B$2:$AG$15,2,FALSE))</f>
        <v/>
      </c>
      <c r="G79" s="305" t="str">
        <f>IF(D79="","",VLOOKUP(D79,'G-6 Hedgerow Data'!$B$2:$AG$15,3,FALSE))</f>
        <v/>
      </c>
      <c r="H79" s="53"/>
      <c r="I79" s="282" t="str">
        <f>IFERROR(IF(H79="","",IF(AND(D79="Non-native and ornamental hedgerow", H79&lt;&gt;"Poor"),"Not possible ▲", (IF(AND(F79="V.Low",OR(H79="Good",H79="Moderate")),"Error ▲",VLOOKUP(H79,'G-1 All Habitats'!$Z$2:$AA$9,2,FALSE))))),"")</f>
        <v/>
      </c>
      <c r="J79" s="106"/>
      <c r="K79" s="301" t="str">
        <f>IF(J79="","",IF(VLOOKUP(J79,'G-3 Multipliers'!$L$3:$N$6,2,FALSE)=0,"Spatial Data Missing",VLOOKUP(J79,'G-3 Multipliers'!$L$3:$N$6,2,FALSE)))</f>
        <v/>
      </c>
      <c r="L79" s="305" t="str">
        <f>IF(J79="","",IF(VLOOKUP(J79,'G-3 Multipliers'!$L$3:$N$6,3,FALSE)=0,"Spatial Data Missing",VLOOKUP(J79,'G-3 Multipliers'!$L$3:$N$6,3,FALSE)))</f>
        <v/>
      </c>
      <c r="M79" s="138"/>
      <c r="N79" s="282" t="str">
        <f>IF(M79="","",IF(VLOOKUP(M79,'G-3 Multipliers'!$S$3:$T$10,2,FALSE)=0,"Spatial Data Missing ⚠",VLOOKUP(M79,'G-3 Multipliers'!$S$3:$T$10,2,FALSE)))</f>
        <v/>
      </c>
      <c r="O79" s="281" t="str">
        <f>IF(OR(D79="",H79=""),"",(INDEX('G-6 Hedgerow Data'!$E$3:$I$15,MATCH(D79,'G-6 Hedgerow Data'!$B$3:$B$15,0),MATCH(H79,'G-6 Hedgerow Data'!$E$2:$I$2,0))))</f>
        <v/>
      </c>
      <c r="P79" s="137"/>
      <c r="Q79" s="137"/>
      <c r="R79" s="289" t="str">
        <f t="shared" si="8"/>
        <v/>
      </c>
      <c r="S79" s="302" t="str">
        <f t="shared" si="9"/>
        <v/>
      </c>
      <c r="T79" s="303" t="str">
        <f t="shared" si="7"/>
        <v/>
      </c>
      <c r="U79" s="317" t="str">
        <f>IF(D79="","",VLOOKUP(D79,'G-6 Hedgerow Data'!$B$3:$AG$15,31,FALSE))</f>
        <v/>
      </c>
      <c r="V79" s="301" t="str">
        <f t="shared" si="10"/>
        <v/>
      </c>
      <c r="W79" s="289" t="str">
        <f t="shared" si="11"/>
        <v/>
      </c>
      <c r="X79" s="305" t="str">
        <f>IF(F79="","",VLOOKUP(U79,'G-3 Multipliers'!$P$3:$Q$6,2,FALSE))</f>
        <v/>
      </c>
      <c r="Y79" s="309" t="str">
        <f t="shared" si="12"/>
        <v/>
      </c>
      <c r="Z79" s="309" t="str">
        <f t="shared" si="13"/>
        <v/>
      </c>
      <c r="AA79" s="105"/>
      <c r="AB79" s="968"/>
      <c r="AC79" s="142"/>
      <c r="AD79" s="142"/>
      <c r="AE79" s="964"/>
      <c r="AH79" s="30" t="str">
        <f>IFERROR(INDEX('G-6 Hedgerow Data'!$BJ$3:$BJ$15,MATCH(D79,'G-6 Hedgerow Data'!$B$3:$B$15,0)),"")</f>
        <v/>
      </c>
    </row>
    <row r="80" spans="2:34" ht="13.8" x14ac:dyDescent="0.25">
      <c r="B80" s="101">
        <v>69</v>
      </c>
      <c r="C80" s="175"/>
      <c r="D80" s="58"/>
      <c r="E80" s="142"/>
      <c r="F80" s="281" t="str">
        <f>IF(D80="","",VLOOKUP(D80,'G-6 Hedgerow Data'!$B$2:$AG$15,2,FALSE))</f>
        <v/>
      </c>
      <c r="G80" s="305" t="str">
        <f>IF(D80="","",VLOOKUP(D80,'G-6 Hedgerow Data'!$B$2:$AG$15,3,FALSE))</f>
        <v/>
      </c>
      <c r="H80" s="53"/>
      <c r="I80" s="282" t="str">
        <f>IFERROR(IF(H80="","",IF(AND(D80="Non-native and ornamental hedgerow", H80&lt;&gt;"Poor"),"Not possible ▲", (IF(AND(F80="V.Low",OR(H80="Good",H80="Moderate")),"Error ▲",VLOOKUP(H80,'G-1 All Habitats'!$Z$2:$AA$9,2,FALSE))))),"")</f>
        <v/>
      </c>
      <c r="J80" s="106"/>
      <c r="K80" s="301" t="str">
        <f>IF(J80="","",IF(VLOOKUP(J80,'G-3 Multipliers'!$L$3:$N$6,2,FALSE)=0,"Spatial Data Missing",VLOOKUP(J80,'G-3 Multipliers'!$L$3:$N$6,2,FALSE)))</f>
        <v/>
      </c>
      <c r="L80" s="305" t="str">
        <f>IF(J80="","",IF(VLOOKUP(J80,'G-3 Multipliers'!$L$3:$N$6,3,FALSE)=0,"Spatial Data Missing",VLOOKUP(J80,'G-3 Multipliers'!$L$3:$N$6,3,FALSE)))</f>
        <v/>
      </c>
      <c r="M80" s="138"/>
      <c r="N80" s="282" t="str">
        <f>IF(M80="","",IF(VLOOKUP(M80,'G-3 Multipliers'!$S$3:$T$10,2,FALSE)=0,"Spatial Data Missing ⚠",VLOOKUP(M80,'G-3 Multipliers'!$S$3:$T$10,2,FALSE)))</f>
        <v/>
      </c>
      <c r="O80" s="281" t="str">
        <f>IF(OR(D80="",H80=""),"",(INDEX('G-6 Hedgerow Data'!$E$3:$I$15,MATCH(D80,'G-6 Hedgerow Data'!$B$3:$B$15,0),MATCH(H80,'G-6 Hedgerow Data'!$E$2:$I$2,0))))</f>
        <v/>
      </c>
      <c r="P80" s="137"/>
      <c r="Q80" s="137"/>
      <c r="R80" s="289" t="str">
        <f t="shared" si="8"/>
        <v/>
      </c>
      <c r="S80" s="302" t="str">
        <f t="shared" si="9"/>
        <v/>
      </c>
      <c r="T80" s="303" t="str">
        <f t="shared" si="7"/>
        <v/>
      </c>
      <c r="U80" s="317" t="str">
        <f>IF(D80="","",VLOOKUP(D80,'G-6 Hedgerow Data'!$B$3:$AG$15,31,FALSE))</f>
        <v/>
      </c>
      <c r="V80" s="301" t="str">
        <f t="shared" si="10"/>
        <v/>
      </c>
      <c r="W80" s="289" t="str">
        <f t="shared" si="11"/>
        <v/>
      </c>
      <c r="X80" s="305" t="str">
        <f>IF(F80="","",VLOOKUP(U80,'G-3 Multipliers'!$P$3:$Q$6,2,FALSE))</f>
        <v/>
      </c>
      <c r="Y80" s="309" t="str">
        <f t="shared" si="12"/>
        <v/>
      </c>
      <c r="Z80" s="309" t="str">
        <f t="shared" si="13"/>
        <v/>
      </c>
      <c r="AA80" s="105"/>
      <c r="AB80" s="968"/>
      <c r="AC80" s="142"/>
      <c r="AD80" s="142"/>
      <c r="AE80" s="964"/>
      <c r="AH80" s="30" t="str">
        <f>IFERROR(INDEX('G-6 Hedgerow Data'!$BJ$3:$BJ$15,MATCH(D80,'G-6 Hedgerow Data'!$B$3:$B$15,0)),"")</f>
        <v/>
      </c>
    </row>
    <row r="81" spans="2:34" ht="13.8" x14ac:dyDescent="0.25">
      <c r="B81" s="101">
        <v>70</v>
      </c>
      <c r="C81" s="175"/>
      <c r="D81" s="58"/>
      <c r="E81" s="142"/>
      <c r="F81" s="281" t="str">
        <f>IF(D81="","",VLOOKUP(D81,'G-6 Hedgerow Data'!$B$2:$AG$15,2,FALSE))</f>
        <v/>
      </c>
      <c r="G81" s="305" t="str">
        <f>IF(D81="","",VLOOKUP(D81,'G-6 Hedgerow Data'!$B$2:$AG$15,3,FALSE))</f>
        <v/>
      </c>
      <c r="H81" s="53"/>
      <c r="I81" s="282" t="str">
        <f>IFERROR(IF(H81="","",IF(AND(D81="Non-native and ornamental hedgerow", H81&lt;&gt;"Poor"),"Not possible ▲", (IF(AND(F81="V.Low",OR(H81="Good",H81="Moderate")),"Error ▲",VLOOKUP(H81,'G-1 All Habitats'!$Z$2:$AA$9,2,FALSE))))),"")</f>
        <v/>
      </c>
      <c r="J81" s="106"/>
      <c r="K81" s="301" t="str">
        <f>IF(J81="","",IF(VLOOKUP(J81,'G-3 Multipliers'!$L$3:$N$6,2,FALSE)=0,"Spatial Data Missing",VLOOKUP(J81,'G-3 Multipliers'!$L$3:$N$6,2,FALSE)))</f>
        <v/>
      </c>
      <c r="L81" s="305" t="str">
        <f>IF(J81="","",IF(VLOOKUP(J81,'G-3 Multipliers'!$L$3:$N$6,3,FALSE)=0,"Spatial Data Missing",VLOOKUP(J81,'G-3 Multipliers'!$L$3:$N$6,3,FALSE)))</f>
        <v/>
      </c>
      <c r="M81" s="138"/>
      <c r="N81" s="282" t="str">
        <f>IF(M81="","",IF(VLOOKUP(M81,'G-3 Multipliers'!$S$3:$T$10,2,FALSE)=0,"Spatial Data Missing ⚠",VLOOKUP(M81,'G-3 Multipliers'!$S$3:$T$10,2,FALSE)))</f>
        <v/>
      </c>
      <c r="O81" s="281" t="str">
        <f>IF(OR(D81="",H81=""),"",(INDEX('G-6 Hedgerow Data'!$E$3:$I$15,MATCH(D81,'G-6 Hedgerow Data'!$B$3:$B$15,0),MATCH(H81,'G-6 Hedgerow Data'!$E$2:$I$2,0))))</f>
        <v/>
      </c>
      <c r="P81" s="137"/>
      <c r="Q81" s="137"/>
      <c r="R81" s="289" t="str">
        <f t="shared" si="8"/>
        <v/>
      </c>
      <c r="S81" s="302" t="str">
        <f t="shared" si="9"/>
        <v/>
      </c>
      <c r="T81" s="303" t="str">
        <f t="shared" si="7"/>
        <v/>
      </c>
      <c r="U81" s="317" t="str">
        <f>IF(D81="","",VLOOKUP(D81,'G-6 Hedgerow Data'!$B$3:$AG$15,31,FALSE))</f>
        <v/>
      </c>
      <c r="V81" s="301" t="str">
        <f t="shared" si="10"/>
        <v/>
      </c>
      <c r="W81" s="289" t="str">
        <f t="shared" si="11"/>
        <v/>
      </c>
      <c r="X81" s="305" t="str">
        <f>IF(F81="","",VLOOKUP(U81,'G-3 Multipliers'!$P$3:$Q$6,2,FALSE))</f>
        <v/>
      </c>
      <c r="Y81" s="309" t="str">
        <f t="shared" si="12"/>
        <v/>
      </c>
      <c r="Z81" s="309" t="str">
        <f t="shared" si="13"/>
        <v/>
      </c>
      <c r="AA81" s="105"/>
      <c r="AB81" s="968"/>
      <c r="AC81" s="142"/>
      <c r="AD81" s="142"/>
      <c r="AE81" s="964"/>
      <c r="AH81" s="30" t="str">
        <f>IFERROR(INDEX('G-6 Hedgerow Data'!$BJ$3:$BJ$15,MATCH(D81,'G-6 Hedgerow Data'!$B$3:$B$15,0)),"")</f>
        <v/>
      </c>
    </row>
    <row r="82" spans="2:34" ht="13.8" x14ac:dyDescent="0.25">
      <c r="B82" s="101">
        <v>71</v>
      </c>
      <c r="C82" s="175"/>
      <c r="D82" s="58"/>
      <c r="E82" s="142"/>
      <c r="F82" s="281" t="str">
        <f>IF(D82="","",VLOOKUP(D82,'G-6 Hedgerow Data'!$B$2:$AG$15,2,FALSE))</f>
        <v/>
      </c>
      <c r="G82" s="305" t="str">
        <f>IF(D82="","",VLOOKUP(D82,'G-6 Hedgerow Data'!$B$2:$AG$15,3,FALSE))</f>
        <v/>
      </c>
      <c r="H82" s="53"/>
      <c r="I82" s="282" t="str">
        <f>IFERROR(IF(H82="","",IF(AND(D82="Non-native and ornamental hedgerow", H82&lt;&gt;"Poor"),"Not possible ▲", (IF(AND(F82="V.Low",OR(H82="Good",H82="Moderate")),"Error ▲",VLOOKUP(H82,'G-1 All Habitats'!$Z$2:$AA$9,2,FALSE))))),"")</f>
        <v/>
      </c>
      <c r="J82" s="106"/>
      <c r="K82" s="301" t="str">
        <f>IF(J82="","",IF(VLOOKUP(J82,'G-3 Multipliers'!$L$3:$N$6,2,FALSE)=0,"Spatial Data Missing",VLOOKUP(J82,'G-3 Multipliers'!$L$3:$N$6,2,FALSE)))</f>
        <v/>
      </c>
      <c r="L82" s="305" t="str">
        <f>IF(J82="","",IF(VLOOKUP(J82,'G-3 Multipliers'!$L$3:$N$6,3,FALSE)=0,"Spatial Data Missing",VLOOKUP(J82,'G-3 Multipliers'!$L$3:$N$6,3,FALSE)))</f>
        <v/>
      </c>
      <c r="M82" s="138"/>
      <c r="N82" s="282" t="str">
        <f>IF(M82="","",IF(VLOOKUP(M82,'G-3 Multipliers'!$S$3:$T$10,2,FALSE)=0,"Spatial Data Missing ⚠",VLOOKUP(M82,'G-3 Multipliers'!$S$3:$T$10,2,FALSE)))</f>
        <v/>
      </c>
      <c r="O82" s="281" t="str">
        <f>IF(OR(D82="",H82=""),"",(INDEX('G-6 Hedgerow Data'!$E$3:$I$15,MATCH(D82,'G-6 Hedgerow Data'!$B$3:$B$15,0),MATCH(H82,'G-6 Hedgerow Data'!$E$2:$I$2,0))))</f>
        <v/>
      </c>
      <c r="P82" s="137"/>
      <c r="Q82" s="137"/>
      <c r="R82" s="289" t="str">
        <f t="shared" si="8"/>
        <v/>
      </c>
      <c r="S82" s="302" t="str">
        <f t="shared" si="9"/>
        <v/>
      </c>
      <c r="T82" s="303" t="str">
        <f t="shared" si="7"/>
        <v/>
      </c>
      <c r="U82" s="317" t="str">
        <f>IF(D82="","",VLOOKUP(D82,'G-6 Hedgerow Data'!$B$3:$AG$15,31,FALSE))</f>
        <v/>
      </c>
      <c r="V82" s="301" t="str">
        <f t="shared" si="10"/>
        <v/>
      </c>
      <c r="W82" s="289" t="str">
        <f t="shared" si="11"/>
        <v/>
      </c>
      <c r="X82" s="305" t="str">
        <f>IF(F82="","",VLOOKUP(U82,'G-3 Multipliers'!$P$3:$Q$6,2,FALSE))</f>
        <v/>
      </c>
      <c r="Y82" s="309" t="str">
        <f t="shared" si="12"/>
        <v/>
      </c>
      <c r="Z82" s="309" t="str">
        <f t="shared" si="13"/>
        <v/>
      </c>
      <c r="AA82" s="105"/>
      <c r="AB82" s="968"/>
      <c r="AC82" s="142"/>
      <c r="AD82" s="142"/>
      <c r="AE82" s="964"/>
      <c r="AH82" s="30" t="str">
        <f>IFERROR(INDEX('G-6 Hedgerow Data'!$BJ$3:$BJ$15,MATCH(D82,'G-6 Hedgerow Data'!$B$3:$B$15,0)),"")</f>
        <v/>
      </c>
    </row>
    <row r="83" spans="2:34" ht="13.8" x14ac:dyDescent="0.25">
      <c r="B83" s="101">
        <v>72</v>
      </c>
      <c r="C83" s="175"/>
      <c r="D83" s="58"/>
      <c r="E83" s="142"/>
      <c r="F83" s="281" t="str">
        <f>IF(D83="","",VLOOKUP(D83,'G-6 Hedgerow Data'!$B$2:$AG$15,2,FALSE))</f>
        <v/>
      </c>
      <c r="G83" s="305" t="str">
        <f>IF(D83="","",VLOOKUP(D83,'G-6 Hedgerow Data'!$B$2:$AG$15,3,FALSE))</f>
        <v/>
      </c>
      <c r="H83" s="53"/>
      <c r="I83" s="282" t="str">
        <f>IFERROR(IF(H83="","",IF(AND(D83="Non-native and ornamental hedgerow", H83&lt;&gt;"Poor"),"Not possible ▲", (IF(AND(F83="V.Low",OR(H83="Good",H83="Moderate")),"Error ▲",VLOOKUP(H83,'G-1 All Habitats'!$Z$2:$AA$9,2,FALSE))))),"")</f>
        <v/>
      </c>
      <c r="J83" s="106"/>
      <c r="K83" s="301" t="str">
        <f>IF(J83="","",IF(VLOOKUP(J83,'G-3 Multipliers'!$L$3:$N$6,2,FALSE)=0,"Spatial Data Missing",VLOOKUP(J83,'G-3 Multipliers'!$L$3:$N$6,2,FALSE)))</f>
        <v/>
      </c>
      <c r="L83" s="305" t="str">
        <f>IF(J83="","",IF(VLOOKUP(J83,'G-3 Multipliers'!$L$3:$N$6,3,FALSE)=0,"Spatial Data Missing",VLOOKUP(J83,'G-3 Multipliers'!$L$3:$N$6,3,FALSE)))</f>
        <v/>
      </c>
      <c r="M83" s="138"/>
      <c r="N83" s="282" t="str">
        <f>IF(M83="","",IF(VLOOKUP(M83,'G-3 Multipliers'!$S$3:$T$10,2,FALSE)=0,"Spatial Data Missing ⚠",VLOOKUP(M83,'G-3 Multipliers'!$S$3:$T$10,2,FALSE)))</f>
        <v/>
      </c>
      <c r="O83" s="281" t="str">
        <f>IF(OR(D83="",H83=""),"",(INDEX('G-6 Hedgerow Data'!$E$3:$I$15,MATCH(D83,'G-6 Hedgerow Data'!$B$3:$B$15,0),MATCH(H83,'G-6 Hedgerow Data'!$E$2:$I$2,0))))</f>
        <v/>
      </c>
      <c r="P83" s="137"/>
      <c r="Q83" s="137"/>
      <c r="R83" s="289" t="str">
        <f t="shared" si="8"/>
        <v/>
      </c>
      <c r="S83" s="302" t="str">
        <f t="shared" si="9"/>
        <v/>
      </c>
      <c r="T83" s="303" t="str">
        <f t="shared" si="7"/>
        <v/>
      </c>
      <c r="U83" s="317" t="str">
        <f>IF(D83="","",VLOOKUP(D83,'G-6 Hedgerow Data'!$B$3:$AG$15,31,FALSE))</f>
        <v/>
      </c>
      <c r="V83" s="301" t="str">
        <f t="shared" si="10"/>
        <v/>
      </c>
      <c r="W83" s="289" t="str">
        <f t="shared" si="11"/>
        <v/>
      </c>
      <c r="X83" s="305" t="str">
        <f>IF(F83="","",VLOOKUP(U83,'G-3 Multipliers'!$P$3:$Q$6,2,FALSE))</f>
        <v/>
      </c>
      <c r="Y83" s="309" t="str">
        <f t="shared" si="12"/>
        <v/>
      </c>
      <c r="Z83" s="309" t="str">
        <f t="shared" si="13"/>
        <v/>
      </c>
      <c r="AA83" s="105"/>
      <c r="AB83" s="968"/>
      <c r="AC83" s="142"/>
      <c r="AD83" s="142"/>
      <c r="AE83" s="964"/>
      <c r="AH83" s="30" t="str">
        <f>IFERROR(INDEX('G-6 Hedgerow Data'!$BJ$3:$BJ$15,MATCH(D83,'G-6 Hedgerow Data'!$B$3:$B$15,0)),"")</f>
        <v/>
      </c>
    </row>
    <row r="84" spans="2:34" ht="13.8" x14ac:dyDescent="0.25">
      <c r="B84" s="101">
        <v>73</v>
      </c>
      <c r="C84" s="175"/>
      <c r="D84" s="58"/>
      <c r="E84" s="142"/>
      <c r="F84" s="281" t="str">
        <f>IF(D84="","",VLOOKUP(D84,'G-6 Hedgerow Data'!$B$2:$AG$15,2,FALSE))</f>
        <v/>
      </c>
      <c r="G84" s="305" t="str">
        <f>IF(D84="","",VLOOKUP(D84,'G-6 Hedgerow Data'!$B$2:$AG$15,3,FALSE))</f>
        <v/>
      </c>
      <c r="H84" s="53"/>
      <c r="I84" s="282" t="str">
        <f>IFERROR(IF(H84="","",IF(AND(D84="Non-native and ornamental hedgerow", H84&lt;&gt;"Poor"),"Not possible ▲", (IF(AND(F84="V.Low",OR(H84="Good",H84="Moderate")),"Error ▲",VLOOKUP(H84,'G-1 All Habitats'!$Z$2:$AA$9,2,FALSE))))),"")</f>
        <v/>
      </c>
      <c r="J84" s="106"/>
      <c r="K84" s="301" t="str">
        <f>IF(J84="","",IF(VLOOKUP(J84,'G-3 Multipliers'!$L$3:$N$6,2,FALSE)=0,"Spatial Data Missing",VLOOKUP(J84,'G-3 Multipliers'!$L$3:$N$6,2,FALSE)))</f>
        <v/>
      </c>
      <c r="L84" s="305" t="str">
        <f>IF(J84="","",IF(VLOOKUP(J84,'G-3 Multipliers'!$L$3:$N$6,3,FALSE)=0,"Spatial Data Missing",VLOOKUP(J84,'G-3 Multipliers'!$L$3:$N$6,3,FALSE)))</f>
        <v/>
      </c>
      <c r="M84" s="138"/>
      <c r="N84" s="282" t="str">
        <f>IF(M84="","",IF(VLOOKUP(M84,'G-3 Multipliers'!$S$3:$T$10,2,FALSE)=0,"Spatial Data Missing ⚠",VLOOKUP(M84,'G-3 Multipliers'!$S$3:$T$10,2,FALSE)))</f>
        <v/>
      </c>
      <c r="O84" s="281" t="str">
        <f>IF(OR(D84="",H84=""),"",(INDEX('G-6 Hedgerow Data'!$E$3:$I$15,MATCH(D84,'G-6 Hedgerow Data'!$B$3:$B$15,0),MATCH(H84,'G-6 Hedgerow Data'!$E$2:$I$2,0))))</f>
        <v/>
      </c>
      <c r="P84" s="137"/>
      <c r="Q84" s="137"/>
      <c r="R84" s="289" t="str">
        <f t="shared" si="8"/>
        <v/>
      </c>
      <c r="S84" s="302" t="str">
        <f t="shared" si="9"/>
        <v/>
      </c>
      <c r="T84" s="303" t="str">
        <f t="shared" si="7"/>
        <v/>
      </c>
      <c r="U84" s="317" t="str">
        <f>IF(D84="","",VLOOKUP(D84,'G-6 Hedgerow Data'!$B$3:$AG$15,31,FALSE))</f>
        <v/>
      </c>
      <c r="V84" s="301" t="str">
        <f t="shared" si="10"/>
        <v/>
      </c>
      <c r="W84" s="289" t="str">
        <f t="shared" si="11"/>
        <v/>
      </c>
      <c r="X84" s="305" t="str">
        <f>IF(F84="","",VLOOKUP(U84,'G-3 Multipliers'!$P$3:$Q$6,2,FALSE))</f>
        <v/>
      </c>
      <c r="Y84" s="309" t="str">
        <f t="shared" si="12"/>
        <v/>
      </c>
      <c r="Z84" s="309" t="str">
        <f t="shared" si="13"/>
        <v/>
      </c>
      <c r="AA84" s="105"/>
      <c r="AB84" s="968"/>
      <c r="AC84" s="142"/>
      <c r="AD84" s="142"/>
      <c r="AE84" s="964"/>
      <c r="AH84" s="30" t="str">
        <f>IFERROR(INDEX('G-6 Hedgerow Data'!$BJ$3:$BJ$15,MATCH(D84,'G-6 Hedgerow Data'!$B$3:$B$15,0)),"")</f>
        <v/>
      </c>
    </row>
    <row r="85" spans="2:34" ht="13.8" x14ac:dyDescent="0.25">
      <c r="B85" s="101">
        <v>74</v>
      </c>
      <c r="C85" s="175"/>
      <c r="D85" s="58"/>
      <c r="E85" s="142"/>
      <c r="F85" s="281" t="str">
        <f>IF(D85="","",VLOOKUP(D85,'G-6 Hedgerow Data'!$B$2:$AG$15,2,FALSE))</f>
        <v/>
      </c>
      <c r="G85" s="305" t="str">
        <f>IF(D85="","",VLOOKUP(D85,'G-6 Hedgerow Data'!$B$2:$AG$15,3,FALSE))</f>
        <v/>
      </c>
      <c r="H85" s="53"/>
      <c r="I85" s="282" t="str">
        <f>IFERROR(IF(H85="","",IF(AND(D85="Non-native and ornamental hedgerow", H85&lt;&gt;"Poor"),"Not possible ▲", (IF(AND(F85="V.Low",OR(H85="Good",H85="Moderate")),"Error ▲",VLOOKUP(H85,'G-1 All Habitats'!$Z$2:$AA$9,2,FALSE))))),"")</f>
        <v/>
      </c>
      <c r="J85" s="106"/>
      <c r="K85" s="301" t="str">
        <f>IF(J85="","",IF(VLOOKUP(J85,'G-3 Multipliers'!$L$3:$N$6,2,FALSE)=0,"Spatial Data Missing",VLOOKUP(J85,'G-3 Multipliers'!$L$3:$N$6,2,FALSE)))</f>
        <v/>
      </c>
      <c r="L85" s="305" t="str">
        <f>IF(J85="","",IF(VLOOKUP(J85,'G-3 Multipliers'!$L$3:$N$6,3,FALSE)=0,"Spatial Data Missing",VLOOKUP(J85,'G-3 Multipliers'!$L$3:$N$6,3,FALSE)))</f>
        <v/>
      </c>
      <c r="M85" s="138"/>
      <c r="N85" s="282" t="str">
        <f>IF(M85="","",IF(VLOOKUP(M85,'G-3 Multipliers'!$S$3:$T$10,2,FALSE)=0,"Spatial Data Missing ⚠",VLOOKUP(M85,'G-3 Multipliers'!$S$3:$T$10,2,FALSE)))</f>
        <v/>
      </c>
      <c r="O85" s="281" t="str">
        <f>IF(OR(D85="",H85=""),"",(INDEX('G-6 Hedgerow Data'!$E$3:$I$15,MATCH(D85,'G-6 Hedgerow Data'!$B$3:$B$15,0),MATCH(H85,'G-6 Hedgerow Data'!$E$2:$I$2,0))))</f>
        <v/>
      </c>
      <c r="P85" s="137"/>
      <c r="Q85" s="137"/>
      <c r="R85" s="289" t="str">
        <f t="shared" si="8"/>
        <v/>
      </c>
      <c r="S85" s="302" t="str">
        <f t="shared" si="9"/>
        <v/>
      </c>
      <c r="T85" s="303" t="str">
        <f t="shared" si="7"/>
        <v/>
      </c>
      <c r="U85" s="317" t="str">
        <f>IF(D85="","",VLOOKUP(D85,'G-6 Hedgerow Data'!$B$3:$AG$15,31,FALSE))</f>
        <v/>
      </c>
      <c r="V85" s="301" t="str">
        <f t="shared" si="10"/>
        <v/>
      </c>
      <c r="W85" s="289" t="str">
        <f t="shared" si="11"/>
        <v/>
      </c>
      <c r="X85" s="305" t="str">
        <f>IF(F85="","",VLOOKUP(U85,'G-3 Multipliers'!$P$3:$Q$6,2,FALSE))</f>
        <v/>
      </c>
      <c r="Y85" s="309" t="str">
        <f t="shared" si="12"/>
        <v/>
      </c>
      <c r="Z85" s="309" t="str">
        <f t="shared" si="13"/>
        <v/>
      </c>
      <c r="AA85" s="105"/>
      <c r="AB85" s="968"/>
      <c r="AC85" s="142"/>
      <c r="AD85" s="142"/>
      <c r="AE85" s="964"/>
      <c r="AH85" s="30" t="str">
        <f>IFERROR(INDEX('G-6 Hedgerow Data'!$BJ$3:$BJ$15,MATCH(D85,'G-6 Hedgerow Data'!$B$3:$B$15,0)),"")</f>
        <v/>
      </c>
    </row>
    <row r="86" spans="2:34" ht="13.8" x14ac:dyDescent="0.25">
      <c r="B86" s="101">
        <v>75</v>
      </c>
      <c r="C86" s="175"/>
      <c r="D86" s="58"/>
      <c r="E86" s="142"/>
      <c r="F86" s="281" t="str">
        <f>IF(D86="","",VLOOKUP(D86,'G-6 Hedgerow Data'!$B$2:$AG$15,2,FALSE))</f>
        <v/>
      </c>
      <c r="G86" s="305" t="str">
        <f>IF(D86="","",VLOOKUP(D86,'G-6 Hedgerow Data'!$B$2:$AG$15,3,FALSE))</f>
        <v/>
      </c>
      <c r="H86" s="53"/>
      <c r="I86" s="282" t="str">
        <f>IFERROR(IF(H86="","",IF(AND(D86="Non-native and ornamental hedgerow", H86&lt;&gt;"Poor"),"Not possible ▲", (IF(AND(F86="V.Low",OR(H86="Good",H86="Moderate")),"Error ▲",VLOOKUP(H86,'G-1 All Habitats'!$Z$2:$AA$9,2,FALSE))))),"")</f>
        <v/>
      </c>
      <c r="J86" s="106"/>
      <c r="K86" s="301" t="str">
        <f>IF(J86="","",IF(VLOOKUP(J86,'G-3 Multipliers'!$L$3:$N$6,2,FALSE)=0,"Spatial Data Missing",VLOOKUP(J86,'G-3 Multipliers'!$L$3:$N$6,2,FALSE)))</f>
        <v/>
      </c>
      <c r="L86" s="305" t="str">
        <f>IF(J86="","",IF(VLOOKUP(J86,'G-3 Multipliers'!$L$3:$N$6,3,FALSE)=0,"Spatial Data Missing",VLOOKUP(J86,'G-3 Multipliers'!$L$3:$N$6,3,FALSE)))</f>
        <v/>
      </c>
      <c r="M86" s="138"/>
      <c r="N86" s="282" t="str">
        <f>IF(M86="","",IF(VLOOKUP(M86,'G-3 Multipliers'!$S$3:$T$10,2,FALSE)=0,"Spatial Data Missing ⚠",VLOOKUP(M86,'G-3 Multipliers'!$S$3:$T$10,2,FALSE)))</f>
        <v/>
      </c>
      <c r="O86" s="281" t="str">
        <f>IF(OR(D86="",H86=""),"",(INDEX('G-6 Hedgerow Data'!$E$3:$I$15,MATCH(D86,'G-6 Hedgerow Data'!$B$3:$B$15,0),MATCH(H86,'G-6 Hedgerow Data'!$E$2:$I$2,0))))</f>
        <v/>
      </c>
      <c r="P86" s="137"/>
      <c r="Q86" s="137"/>
      <c r="R86" s="289" t="str">
        <f t="shared" si="8"/>
        <v/>
      </c>
      <c r="S86" s="302" t="str">
        <f t="shared" si="9"/>
        <v/>
      </c>
      <c r="T86" s="303" t="str">
        <f t="shared" si="7"/>
        <v/>
      </c>
      <c r="U86" s="317" t="str">
        <f>IF(D86="","",VLOOKUP(D86,'G-6 Hedgerow Data'!$B$3:$AG$15,31,FALSE))</f>
        <v/>
      </c>
      <c r="V86" s="301" t="str">
        <f t="shared" si="10"/>
        <v/>
      </c>
      <c r="W86" s="289" t="str">
        <f t="shared" si="11"/>
        <v/>
      </c>
      <c r="X86" s="305" t="str">
        <f>IF(F86="","",VLOOKUP(U86,'G-3 Multipliers'!$P$3:$Q$6,2,FALSE))</f>
        <v/>
      </c>
      <c r="Y86" s="309" t="str">
        <f t="shared" si="12"/>
        <v/>
      </c>
      <c r="Z86" s="309" t="str">
        <f t="shared" si="13"/>
        <v/>
      </c>
      <c r="AA86" s="105"/>
      <c r="AB86" s="968"/>
      <c r="AC86" s="142"/>
      <c r="AD86" s="142"/>
      <c r="AE86" s="964"/>
      <c r="AH86" s="30" t="str">
        <f>IFERROR(INDEX('G-6 Hedgerow Data'!$BJ$3:$BJ$15,MATCH(D86,'G-6 Hedgerow Data'!$B$3:$B$15,0)),"")</f>
        <v/>
      </c>
    </row>
    <row r="87" spans="2:34" ht="13.8" x14ac:dyDescent="0.25">
      <c r="B87" s="101">
        <v>76</v>
      </c>
      <c r="C87" s="175"/>
      <c r="D87" s="58"/>
      <c r="E87" s="142"/>
      <c r="F87" s="281" t="str">
        <f>IF(D87="","",VLOOKUP(D87,'G-6 Hedgerow Data'!$B$2:$AG$15,2,FALSE))</f>
        <v/>
      </c>
      <c r="G87" s="305" t="str">
        <f>IF(D87="","",VLOOKUP(D87,'G-6 Hedgerow Data'!$B$2:$AG$15,3,FALSE))</f>
        <v/>
      </c>
      <c r="H87" s="53"/>
      <c r="I87" s="282" t="str">
        <f>IFERROR(IF(H87="","",IF(AND(D87="Non-native and ornamental hedgerow", H87&lt;&gt;"Poor"),"Not possible ▲", (IF(AND(F87="V.Low",OR(H87="Good",H87="Moderate")),"Error ▲",VLOOKUP(H87,'G-1 All Habitats'!$Z$2:$AA$9,2,FALSE))))),"")</f>
        <v/>
      </c>
      <c r="J87" s="106"/>
      <c r="K87" s="301" t="str">
        <f>IF(J87="","",IF(VLOOKUP(J87,'G-3 Multipliers'!$L$3:$N$6,2,FALSE)=0,"Spatial Data Missing",VLOOKUP(J87,'G-3 Multipliers'!$L$3:$N$6,2,FALSE)))</f>
        <v/>
      </c>
      <c r="L87" s="305" t="str">
        <f>IF(J87="","",IF(VLOOKUP(J87,'G-3 Multipliers'!$L$3:$N$6,3,FALSE)=0,"Spatial Data Missing",VLOOKUP(J87,'G-3 Multipliers'!$L$3:$N$6,3,FALSE)))</f>
        <v/>
      </c>
      <c r="M87" s="138"/>
      <c r="N87" s="282" t="str">
        <f>IF(M87="","",IF(VLOOKUP(M87,'G-3 Multipliers'!$S$3:$T$10,2,FALSE)=0,"Spatial Data Missing ⚠",VLOOKUP(M87,'G-3 Multipliers'!$S$3:$T$10,2,FALSE)))</f>
        <v/>
      </c>
      <c r="O87" s="281" t="str">
        <f>IF(OR(D87="",H87=""),"",(INDEX('G-6 Hedgerow Data'!$E$3:$I$15,MATCH(D87,'G-6 Hedgerow Data'!$B$3:$B$15,0),MATCH(H87,'G-6 Hedgerow Data'!$E$2:$I$2,0))))</f>
        <v/>
      </c>
      <c r="P87" s="137"/>
      <c r="Q87" s="137"/>
      <c r="R87" s="289" t="str">
        <f t="shared" si="8"/>
        <v/>
      </c>
      <c r="S87" s="302" t="str">
        <f t="shared" si="9"/>
        <v/>
      </c>
      <c r="T87" s="303" t="str">
        <f t="shared" si="7"/>
        <v/>
      </c>
      <c r="U87" s="317" t="str">
        <f>IF(D87="","",VLOOKUP(D87,'G-6 Hedgerow Data'!$B$3:$AG$15,31,FALSE))</f>
        <v/>
      </c>
      <c r="V87" s="301" t="str">
        <f t="shared" si="10"/>
        <v/>
      </c>
      <c r="W87" s="289" t="str">
        <f t="shared" si="11"/>
        <v/>
      </c>
      <c r="X87" s="305" t="str">
        <f>IF(F87="","",VLOOKUP(U87,'G-3 Multipliers'!$P$3:$Q$6,2,FALSE))</f>
        <v/>
      </c>
      <c r="Y87" s="309" t="str">
        <f t="shared" si="12"/>
        <v/>
      </c>
      <c r="Z87" s="309" t="str">
        <f t="shared" si="13"/>
        <v/>
      </c>
      <c r="AA87" s="105"/>
      <c r="AB87" s="968"/>
      <c r="AC87" s="142"/>
      <c r="AD87" s="142"/>
      <c r="AE87" s="964"/>
      <c r="AH87" s="30" t="str">
        <f>IFERROR(INDEX('G-6 Hedgerow Data'!$BJ$3:$BJ$15,MATCH(D87,'G-6 Hedgerow Data'!$B$3:$B$15,0)),"")</f>
        <v/>
      </c>
    </row>
    <row r="88" spans="2:34" ht="13.8" x14ac:dyDescent="0.25">
      <c r="B88" s="101">
        <v>77</v>
      </c>
      <c r="C88" s="175"/>
      <c r="D88" s="58"/>
      <c r="E88" s="142"/>
      <c r="F88" s="281" t="str">
        <f>IF(D88="","",VLOOKUP(D88,'G-6 Hedgerow Data'!$B$2:$AG$15,2,FALSE))</f>
        <v/>
      </c>
      <c r="G88" s="305" t="str">
        <f>IF(D88="","",VLOOKUP(D88,'G-6 Hedgerow Data'!$B$2:$AG$15,3,FALSE))</f>
        <v/>
      </c>
      <c r="H88" s="53"/>
      <c r="I88" s="282" t="str">
        <f>IFERROR(IF(H88="","",IF(AND(D88="Non-native and ornamental hedgerow", H88&lt;&gt;"Poor"),"Not possible ▲", (IF(AND(F88="V.Low",OR(H88="Good",H88="Moderate")),"Error ▲",VLOOKUP(H88,'G-1 All Habitats'!$Z$2:$AA$9,2,FALSE))))),"")</f>
        <v/>
      </c>
      <c r="J88" s="106"/>
      <c r="K88" s="301" t="str">
        <f>IF(J88="","",IF(VLOOKUP(J88,'G-3 Multipliers'!$L$3:$N$6,2,FALSE)=0,"Spatial Data Missing",VLOOKUP(J88,'G-3 Multipliers'!$L$3:$N$6,2,FALSE)))</f>
        <v/>
      </c>
      <c r="L88" s="305" t="str">
        <f>IF(J88="","",IF(VLOOKUP(J88,'G-3 Multipliers'!$L$3:$N$6,3,FALSE)=0,"Spatial Data Missing",VLOOKUP(J88,'G-3 Multipliers'!$L$3:$N$6,3,FALSE)))</f>
        <v/>
      </c>
      <c r="M88" s="138"/>
      <c r="N88" s="282" t="str">
        <f>IF(M88="","",IF(VLOOKUP(M88,'G-3 Multipliers'!$S$3:$T$10,2,FALSE)=0,"Spatial Data Missing ⚠",VLOOKUP(M88,'G-3 Multipliers'!$S$3:$T$10,2,FALSE)))</f>
        <v/>
      </c>
      <c r="O88" s="281" t="str">
        <f>IF(OR(D88="",H88=""),"",(INDEX('G-6 Hedgerow Data'!$E$3:$I$15,MATCH(D88,'G-6 Hedgerow Data'!$B$3:$B$15,0),MATCH(H88,'G-6 Hedgerow Data'!$E$2:$I$2,0))))</f>
        <v/>
      </c>
      <c r="P88" s="137"/>
      <c r="Q88" s="137"/>
      <c r="R88" s="289" t="str">
        <f t="shared" si="8"/>
        <v/>
      </c>
      <c r="S88" s="302" t="str">
        <f t="shared" si="9"/>
        <v/>
      </c>
      <c r="T88" s="303" t="str">
        <f t="shared" si="7"/>
        <v/>
      </c>
      <c r="U88" s="317" t="str">
        <f>IF(D88="","",VLOOKUP(D88,'G-6 Hedgerow Data'!$B$3:$AG$15,31,FALSE))</f>
        <v/>
      </c>
      <c r="V88" s="301" t="str">
        <f t="shared" si="10"/>
        <v/>
      </c>
      <c r="W88" s="289" t="str">
        <f t="shared" si="11"/>
        <v/>
      </c>
      <c r="X88" s="305" t="str">
        <f>IF(F88="","",VLOOKUP(U88,'G-3 Multipliers'!$P$3:$Q$6,2,FALSE))</f>
        <v/>
      </c>
      <c r="Y88" s="309" t="str">
        <f t="shared" si="12"/>
        <v/>
      </c>
      <c r="Z88" s="309" t="str">
        <f t="shared" si="13"/>
        <v/>
      </c>
      <c r="AA88" s="105"/>
      <c r="AB88" s="968"/>
      <c r="AC88" s="142"/>
      <c r="AD88" s="142"/>
      <c r="AE88" s="964"/>
      <c r="AH88" s="30" t="str">
        <f>IFERROR(INDEX('G-6 Hedgerow Data'!$BJ$3:$BJ$15,MATCH(D88,'G-6 Hedgerow Data'!$B$3:$B$15,0)),"")</f>
        <v/>
      </c>
    </row>
    <row r="89" spans="2:34" ht="13.8" x14ac:dyDescent="0.25">
      <c r="B89" s="101">
        <v>78</v>
      </c>
      <c r="C89" s="175"/>
      <c r="D89" s="58"/>
      <c r="E89" s="142"/>
      <c r="F89" s="281" t="str">
        <f>IF(D89="","",VLOOKUP(D89,'G-6 Hedgerow Data'!$B$2:$AG$15,2,FALSE))</f>
        <v/>
      </c>
      <c r="G89" s="305" t="str">
        <f>IF(D89="","",VLOOKUP(D89,'G-6 Hedgerow Data'!$B$2:$AG$15,3,FALSE))</f>
        <v/>
      </c>
      <c r="H89" s="53"/>
      <c r="I89" s="282" t="str">
        <f>IFERROR(IF(H89="","",IF(AND(D89="Non-native and ornamental hedgerow", H89&lt;&gt;"Poor"),"Not possible ▲", (IF(AND(F89="V.Low",OR(H89="Good",H89="Moderate")),"Error ▲",VLOOKUP(H89,'G-1 All Habitats'!$Z$2:$AA$9,2,FALSE))))),"")</f>
        <v/>
      </c>
      <c r="J89" s="106"/>
      <c r="K89" s="301" t="str">
        <f>IF(J89="","",IF(VLOOKUP(J89,'G-3 Multipliers'!$L$3:$N$6,2,FALSE)=0,"Spatial Data Missing",VLOOKUP(J89,'G-3 Multipliers'!$L$3:$N$6,2,FALSE)))</f>
        <v/>
      </c>
      <c r="L89" s="305" t="str">
        <f>IF(J89="","",IF(VLOOKUP(J89,'G-3 Multipliers'!$L$3:$N$6,3,FALSE)=0,"Spatial Data Missing",VLOOKUP(J89,'G-3 Multipliers'!$L$3:$N$6,3,FALSE)))</f>
        <v/>
      </c>
      <c r="M89" s="138"/>
      <c r="N89" s="282" t="str">
        <f>IF(M89="","",IF(VLOOKUP(M89,'G-3 Multipliers'!$S$3:$T$10,2,FALSE)=0,"Spatial Data Missing ⚠",VLOOKUP(M89,'G-3 Multipliers'!$S$3:$T$10,2,FALSE)))</f>
        <v/>
      </c>
      <c r="O89" s="281" t="str">
        <f>IF(OR(D89="",H89=""),"",(INDEX('G-6 Hedgerow Data'!$E$3:$I$15,MATCH(D89,'G-6 Hedgerow Data'!$B$3:$B$15,0),MATCH(H89,'G-6 Hedgerow Data'!$E$2:$I$2,0))))</f>
        <v/>
      </c>
      <c r="P89" s="137"/>
      <c r="Q89" s="137"/>
      <c r="R89" s="289" t="str">
        <f t="shared" si="8"/>
        <v/>
      </c>
      <c r="S89" s="302" t="str">
        <f t="shared" si="9"/>
        <v/>
      </c>
      <c r="T89" s="303" t="str">
        <f t="shared" si="7"/>
        <v/>
      </c>
      <c r="U89" s="317" t="str">
        <f>IF(D89="","",VLOOKUP(D89,'G-6 Hedgerow Data'!$B$3:$AG$15,31,FALSE))</f>
        <v/>
      </c>
      <c r="V89" s="301" t="str">
        <f t="shared" si="10"/>
        <v/>
      </c>
      <c r="W89" s="289" t="str">
        <f t="shared" si="11"/>
        <v/>
      </c>
      <c r="X89" s="305" t="str">
        <f>IF(F89="","",VLOOKUP(U89,'G-3 Multipliers'!$P$3:$Q$6,2,FALSE))</f>
        <v/>
      </c>
      <c r="Y89" s="309" t="str">
        <f t="shared" si="12"/>
        <v/>
      </c>
      <c r="Z89" s="309" t="str">
        <f t="shared" si="13"/>
        <v/>
      </c>
      <c r="AA89" s="105"/>
      <c r="AB89" s="968"/>
      <c r="AC89" s="142"/>
      <c r="AD89" s="142"/>
      <c r="AE89" s="964"/>
      <c r="AH89" s="30" t="str">
        <f>IFERROR(INDEX('G-6 Hedgerow Data'!$BJ$3:$BJ$15,MATCH(D89,'G-6 Hedgerow Data'!$B$3:$B$15,0)),"")</f>
        <v/>
      </c>
    </row>
    <row r="90" spans="2:34" ht="13.8" x14ac:dyDescent="0.25">
      <c r="B90" s="101">
        <v>79</v>
      </c>
      <c r="C90" s="175"/>
      <c r="D90" s="58"/>
      <c r="E90" s="142"/>
      <c r="F90" s="281" t="str">
        <f>IF(D90="","",VLOOKUP(D90,'G-6 Hedgerow Data'!$B$2:$AG$15,2,FALSE))</f>
        <v/>
      </c>
      <c r="G90" s="305" t="str">
        <f>IF(D90="","",VLOOKUP(D90,'G-6 Hedgerow Data'!$B$2:$AG$15,3,FALSE))</f>
        <v/>
      </c>
      <c r="H90" s="53"/>
      <c r="I90" s="282" t="str">
        <f>IFERROR(IF(H90="","",IF(AND(D90="Non-native and ornamental hedgerow", H90&lt;&gt;"Poor"),"Not possible ▲", (IF(AND(F90="V.Low",OR(H90="Good",H90="Moderate")),"Error ▲",VLOOKUP(H90,'G-1 All Habitats'!$Z$2:$AA$9,2,FALSE))))),"")</f>
        <v/>
      </c>
      <c r="J90" s="106"/>
      <c r="K90" s="301" t="str">
        <f>IF(J90="","",IF(VLOOKUP(J90,'G-3 Multipliers'!$L$3:$N$6,2,FALSE)=0,"Spatial Data Missing",VLOOKUP(J90,'G-3 Multipliers'!$L$3:$N$6,2,FALSE)))</f>
        <v/>
      </c>
      <c r="L90" s="305" t="str">
        <f>IF(J90="","",IF(VLOOKUP(J90,'G-3 Multipliers'!$L$3:$N$6,3,FALSE)=0,"Spatial Data Missing",VLOOKUP(J90,'G-3 Multipliers'!$L$3:$N$6,3,FALSE)))</f>
        <v/>
      </c>
      <c r="M90" s="138"/>
      <c r="N90" s="282" t="str">
        <f>IF(M90="","",IF(VLOOKUP(M90,'G-3 Multipliers'!$S$3:$T$10,2,FALSE)=0,"Spatial Data Missing ⚠",VLOOKUP(M90,'G-3 Multipliers'!$S$3:$T$10,2,FALSE)))</f>
        <v/>
      </c>
      <c r="O90" s="281" t="str">
        <f>IF(OR(D90="",H90=""),"",(INDEX('G-6 Hedgerow Data'!$E$3:$I$15,MATCH(D90,'G-6 Hedgerow Data'!$B$3:$B$15,0),MATCH(H90,'G-6 Hedgerow Data'!$E$2:$I$2,0))))</f>
        <v/>
      </c>
      <c r="P90" s="137"/>
      <c r="Q90" s="137"/>
      <c r="R90" s="289" t="str">
        <f t="shared" si="8"/>
        <v/>
      </c>
      <c r="S90" s="302" t="str">
        <f t="shared" si="9"/>
        <v/>
      </c>
      <c r="T90" s="303" t="str">
        <f t="shared" si="7"/>
        <v/>
      </c>
      <c r="U90" s="317" t="str">
        <f>IF(D90="","",VLOOKUP(D90,'G-6 Hedgerow Data'!$B$3:$AG$15,31,FALSE))</f>
        <v/>
      </c>
      <c r="V90" s="301" t="str">
        <f t="shared" si="10"/>
        <v/>
      </c>
      <c r="W90" s="289" t="str">
        <f t="shared" si="11"/>
        <v/>
      </c>
      <c r="X90" s="305" t="str">
        <f>IF(F90="","",VLOOKUP(U90,'G-3 Multipliers'!$P$3:$Q$6,2,FALSE))</f>
        <v/>
      </c>
      <c r="Y90" s="309" t="str">
        <f t="shared" si="12"/>
        <v/>
      </c>
      <c r="Z90" s="309" t="str">
        <f t="shared" si="13"/>
        <v/>
      </c>
      <c r="AA90" s="105"/>
      <c r="AB90" s="968"/>
      <c r="AC90" s="142"/>
      <c r="AD90" s="142"/>
      <c r="AE90" s="964"/>
      <c r="AH90" s="30" t="str">
        <f>IFERROR(INDEX('G-6 Hedgerow Data'!$BJ$3:$BJ$15,MATCH(D90,'G-6 Hedgerow Data'!$B$3:$B$15,0)),"")</f>
        <v/>
      </c>
    </row>
    <row r="91" spans="2:34" ht="13.8" x14ac:dyDescent="0.25">
      <c r="B91" s="101">
        <v>80</v>
      </c>
      <c r="C91" s="175"/>
      <c r="D91" s="58"/>
      <c r="E91" s="142"/>
      <c r="F91" s="281" t="str">
        <f>IF(D91="","",VLOOKUP(D91,'G-6 Hedgerow Data'!$B$2:$AG$15,2,FALSE))</f>
        <v/>
      </c>
      <c r="G91" s="305" t="str">
        <f>IF(D91="","",VLOOKUP(D91,'G-6 Hedgerow Data'!$B$2:$AG$15,3,FALSE))</f>
        <v/>
      </c>
      <c r="H91" s="53"/>
      <c r="I91" s="282" t="str">
        <f>IFERROR(IF(H91="","",IF(AND(D91="Non-native and ornamental hedgerow", H91&lt;&gt;"Poor"),"Not possible ▲", (IF(AND(F91="V.Low",OR(H91="Good",H91="Moderate")),"Error ▲",VLOOKUP(H91,'G-1 All Habitats'!$Z$2:$AA$9,2,FALSE))))),"")</f>
        <v/>
      </c>
      <c r="J91" s="106"/>
      <c r="K91" s="301" t="str">
        <f>IF(J91="","",IF(VLOOKUP(J91,'G-3 Multipliers'!$L$3:$N$6,2,FALSE)=0,"Spatial Data Missing",VLOOKUP(J91,'G-3 Multipliers'!$L$3:$N$6,2,FALSE)))</f>
        <v/>
      </c>
      <c r="L91" s="305" t="str">
        <f>IF(J91="","",IF(VLOOKUP(J91,'G-3 Multipliers'!$L$3:$N$6,3,FALSE)=0,"Spatial Data Missing",VLOOKUP(J91,'G-3 Multipliers'!$L$3:$N$6,3,FALSE)))</f>
        <v/>
      </c>
      <c r="M91" s="138"/>
      <c r="N91" s="282" t="str">
        <f>IF(M91="","",IF(VLOOKUP(M91,'G-3 Multipliers'!$S$3:$T$10,2,FALSE)=0,"Spatial Data Missing ⚠",VLOOKUP(M91,'G-3 Multipliers'!$S$3:$T$10,2,FALSE)))</f>
        <v/>
      </c>
      <c r="O91" s="281" t="str">
        <f>IF(OR(D91="",H91=""),"",(INDEX('G-6 Hedgerow Data'!$E$3:$I$15,MATCH(D91,'G-6 Hedgerow Data'!$B$3:$B$15,0),MATCH(H91,'G-6 Hedgerow Data'!$E$2:$I$2,0))))</f>
        <v/>
      </c>
      <c r="P91" s="137"/>
      <c r="Q91" s="137"/>
      <c r="R91" s="289" t="str">
        <f t="shared" si="8"/>
        <v/>
      </c>
      <c r="S91" s="302" t="str">
        <f t="shared" si="9"/>
        <v/>
      </c>
      <c r="T91" s="303" t="str">
        <f t="shared" si="7"/>
        <v/>
      </c>
      <c r="U91" s="317" t="str">
        <f>IF(D91="","",VLOOKUP(D91,'G-6 Hedgerow Data'!$B$3:$AG$15,31,FALSE))</f>
        <v/>
      </c>
      <c r="V91" s="301" t="str">
        <f t="shared" si="10"/>
        <v/>
      </c>
      <c r="W91" s="289" t="str">
        <f t="shared" si="11"/>
        <v/>
      </c>
      <c r="X91" s="305" t="str">
        <f>IF(F91="","",VLOOKUP(U91,'G-3 Multipliers'!$P$3:$Q$6,2,FALSE))</f>
        <v/>
      </c>
      <c r="Y91" s="309" t="str">
        <f t="shared" si="12"/>
        <v/>
      </c>
      <c r="Z91" s="309" t="str">
        <f t="shared" si="13"/>
        <v/>
      </c>
      <c r="AA91" s="105"/>
      <c r="AB91" s="968"/>
      <c r="AC91" s="142"/>
      <c r="AD91" s="142"/>
      <c r="AE91" s="964"/>
      <c r="AH91" s="30" t="str">
        <f>IFERROR(INDEX('G-6 Hedgerow Data'!$BJ$3:$BJ$15,MATCH(D91,'G-6 Hedgerow Data'!$B$3:$B$15,0)),"")</f>
        <v/>
      </c>
    </row>
    <row r="92" spans="2:34" ht="13.8" x14ac:dyDescent="0.25">
      <c r="B92" s="101">
        <v>81</v>
      </c>
      <c r="C92" s="175"/>
      <c r="D92" s="58"/>
      <c r="E92" s="142"/>
      <c r="F92" s="281" t="str">
        <f>IF(D92="","",VLOOKUP(D92,'G-6 Hedgerow Data'!$B$2:$AG$15,2,FALSE))</f>
        <v/>
      </c>
      <c r="G92" s="305" t="str">
        <f>IF(D92="","",VLOOKUP(D92,'G-6 Hedgerow Data'!$B$2:$AG$15,3,FALSE))</f>
        <v/>
      </c>
      <c r="H92" s="53"/>
      <c r="I92" s="282" t="str">
        <f>IFERROR(IF(H92="","",IF(AND(D92="Non-native and ornamental hedgerow", H92&lt;&gt;"Poor"),"Not possible ▲", (IF(AND(F92="V.Low",OR(H92="Good",H92="Moderate")),"Error ▲",VLOOKUP(H92,'G-1 All Habitats'!$Z$2:$AA$9,2,FALSE))))),"")</f>
        <v/>
      </c>
      <c r="J92" s="106"/>
      <c r="K92" s="301" t="str">
        <f>IF(J92="","",IF(VLOOKUP(J92,'G-3 Multipliers'!$L$3:$N$6,2,FALSE)=0,"Spatial Data Missing",VLOOKUP(J92,'G-3 Multipliers'!$L$3:$N$6,2,FALSE)))</f>
        <v/>
      </c>
      <c r="L92" s="305" t="str">
        <f>IF(J92="","",IF(VLOOKUP(J92,'G-3 Multipliers'!$L$3:$N$6,3,FALSE)=0,"Spatial Data Missing",VLOOKUP(J92,'G-3 Multipliers'!$L$3:$N$6,3,FALSE)))</f>
        <v/>
      </c>
      <c r="M92" s="138"/>
      <c r="N92" s="282" t="str">
        <f>IF(M92="","",IF(VLOOKUP(M92,'G-3 Multipliers'!$S$3:$T$10,2,FALSE)=0,"Spatial Data Missing ⚠",VLOOKUP(M92,'G-3 Multipliers'!$S$3:$T$10,2,FALSE)))</f>
        <v/>
      </c>
      <c r="O92" s="281" t="str">
        <f>IF(OR(D92="",H92=""),"",(INDEX('G-6 Hedgerow Data'!$E$3:$I$15,MATCH(D92,'G-6 Hedgerow Data'!$B$3:$B$15,0),MATCH(H92,'G-6 Hedgerow Data'!$E$2:$I$2,0))))</f>
        <v/>
      </c>
      <c r="P92" s="137"/>
      <c r="Q92" s="137"/>
      <c r="R92" s="289" t="str">
        <f t="shared" si="8"/>
        <v/>
      </c>
      <c r="S92" s="302" t="str">
        <f t="shared" si="9"/>
        <v/>
      </c>
      <c r="T92" s="303" t="str">
        <f t="shared" si="7"/>
        <v/>
      </c>
      <c r="U92" s="317" t="str">
        <f>IF(D92="","",VLOOKUP(D92,'G-6 Hedgerow Data'!$B$3:$AG$15,31,FALSE))</f>
        <v/>
      </c>
      <c r="V92" s="301" t="str">
        <f t="shared" si="10"/>
        <v/>
      </c>
      <c r="W92" s="289" t="str">
        <f t="shared" si="11"/>
        <v/>
      </c>
      <c r="X92" s="305" t="str">
        <f>IF(F92="","",VLOOKUP(U92,'G-3 Multipliers'!$P$3:$Q$6,2,FALSE))</f>
        <v/>
      </c>
      <c r="Y92" s="309" t="str">
        <f t="shared" si="12"/>
        <v/>
      </c>
      <c r="Z92" s="309" t="str">
        <f t="shared" si="13"/>
        <v/>
      </c>
      <c r="AA92" s="105"/>
      <c r="AB92" s="968"/>
      <c r="AC92" s="142"/>
      <c r="AD92" s="142"/>
      <c r="AE92" s="964"/>
      <c r="AH92" s="30" t="str">
        <f>IFERROR(INDEX('G-6 Hedgerow Data'!$BJ$3:$BJ$15,MATCH(D92,'G-6 Hedgerow Data'!$B$3:$B$15,0)),"")</f>
        <v/>
      </c>
    </row>
    <row r="93" spans="2:34" ht="13.8" x14ac:dyDescent="0.25">
      <c r="B93" s="101">
        <v>82</v>
      </c>
      <c r="C93" s="175"/>
      <c r="D93" s="58"/>
      <c r="E93" s="142"/>
      <c r="F93" s="281" t="str">
        <f>IF(D93="","",VLOOKUP(D93,'G-6 Hedgerow Data'!$B$2:$AG$15,2,FALSE))</f>
        <v/>
      </c>
      <c r="G93" s="305" t="str">
        <f>IF(D93="","",VLOOKUP(D93,'G-6 Hedgerow Data'!$B$2:$AG$15,3,FALSE))</f>
        <v/>
      </c>
      <c r="H93" s="53"/>
      <c r="I93" s="282" t="str">
        <f>IFERROR(IF(H93="","",IF(AND(D93="Non-native and ornamental hedgerow", H93&lt;&gt;"Poor"),"Not possible ▲", (IF(AND(F93="V.Low",OR(H93="Good",H93="Moderate")),"Error ▲",VLOOKUP(H93,'G-1 All Habitats'!$Z$2:$AA$9,2,FALSE))))),"")</f>
        <v/>
      </c>
      <c r="J93" s="106"/>
      <c r="K93" s="301" t="str">
        <f>IF(J93="","",IF(VLOOKUP(J93,'G-3 Multipliers'!$L$3:$N$6,2,FALSE)=0,"Spatial Data Missing",VLOOKUP(J93,'G-3 Multipliers'!$L$3:$N$6,2,FALSE)))</f>
        <v/>
      </c>
      <c r="L93" s="305" t="str">
        <f>IF(J93="","",IF(VLOOKUP(J93,'G-3 Multipliers'!$L$3:$N$6,3,FALSE)=0,"Spatial Data Missing",VLOOKUP(J93,'G-3 Multipliers'!$L$3:$N$6,3,FALSE)))</f>
        <v/>
      </c>
      <c r="M93" s="138"/>
      <c r="N93" s="282" t="str">
        <f>IF(M93="","",IF(VLOOKUP(M93,'G-3 Multipliers'!$S$3:$T$10,2,FALSE)=0,"Spatial Data Missing ⚠",VLOOKUP(M93,'G-3 Multipliers'!$S$3:$T$10,2,FALSE)))</f>
        <v/>
      </c>
      <c r="O93" s="281" t="str">
        <f>IF(OR(D93="",H93=""),"",(INDEX('G-6 Hedgerow Data'!$E$3:$I$15,MATCH(D93,'G-6 Hedgerow Data'!$B$3:$B$15,0),MATCH(H93,'G-6 Hedgerow Data'!$E$2:$I$2,0))))</f>
        <v/>
      </c>
      <c r="P93" s="137"/>
      <c r="Q93" s="137"/>
      <c r="R93" s="289" t="str">
        <f t="shared" si="8"/>
        <v/>
      </c>
      <c r="S93" s="302" t="str">
        <f t="shared" si="9"/>
        <v/>
      </c>
      <c r="T93" s="303" t="str">
        <f t="shared" si="7"/>
        <v/>
      </c>
      <c r="U93" s="317" t="str">
        <f>IF(D93="","",VLOOKUP(D93,'G-6 Hedgerow Data'!$B$3:$AG$15,31,FALSE))</f>
        <v/>
      </c>
      <c r="V93" s="301" t="str">
        <f t="shared" si="10"/>
        <v/>
      </c>
      <c r="W93" s="289" t="str">
        <f t="shared" si="11"/>
        <v/>
      </c>
      <c r="X93" s="305" t="str">
        <f>IF(F93="","",VLOOKUP(U93,'G-3 Multipliers'!$P$3:$Q$6,2,FALSE))</f>
        <v/>
      </c>
      <c r="Y93" s="309" t="str">
        <f t="shared" si="12"/>
        <v/>
      </c>
      <c r="Z93" s="309" t="str">
        <f t="shared" si="13"/>
        <v/>
      </c>
      <c r="AA93" s="105"/>
      <c r="AB93" s="968"/>
      <c r="AC93" s="142"/>
      <c r="AD93" s="142"/>
      <c r="AE93" s="964"/>
      <c r="AH93" s="30" t="str">
        <f>IFERROR(INDEX('G-6 Hedgerow Data'!$BJ$3:$BJ$15,MATCH(D93,'G-6 Hedgerow Data'!$B$3:$B$15,0)),"")</f>
        <v/>
      </c>
    </row>
    <row r="94" spans="2:34" ht="13.8" x14ac:dyDescent="0.25">
      <c r="B94" s="101">
        <v>83</v>
      </c>
      <c r="C94" s="175"/>
      <c r="D94" s="58"/>
      <c r="E94" s="142"/>
      <c r="F94" s="281" t="str">
        <f>IF(D94="","",VLOOKUP(D94,'G-6 Hedgerow Data'!$B$2:$AG$15,2,FALSE))</f>
        <v/>
      </c>
      <c r="G94" s="305" t="str">
        <f>IF(D94="","",VLOOKUP(D94,'G-6 Hedgerow Data'!$B$2:$AG$15,3,FALSE))</f>
        <v/>
      </c>
      <c r="H94" s="53"/>
      <c r="I94" s="282" t="str">
        <f>IFERROR(IF(H94="","",IF(AND(D94="Non-native and ornamental hedgerow", H94&lt;&gt;"Poor"),"Not possible ▲", (IF(AND(F94="V.Low",OR(H94="Good",H94="Moderate")),"Error ▲",VLOOKUP(H94,'G-1 All Habitats'!$Z$2:$AA$9,2,FALSE))))),"")</f>
        <v/>
      </c>
      <c r="J94" s="106"/>
      <c r="K94" s="301" t="str">
        <f>IF(J94="","",IF(VLOOKUP(J94,'G-3 Multipliers'!$L$3:$N$6,2,FALSE)=0,"Spatial Data Missing",VLOOKUP(J94,'G-3 Multipliers'!$L$3:$N$6,2,FALSE)))</f>
        <v/>
      </c>
      <c r="L94" s="305" t="str">
        <f>IF(J94="","",IF(VLOOKUP(J94,'G-3 Multipliers'!$L$3:$N$6,3,FALSE)=0,"Spatial Data Missing",VLOOKUP(J94,'G-3 Multipliers'!$L$3:$N$6,3,FALSE)))</f>
        <v/>
      </c>
      <c r="M94" s="138"/>
      <c r="N94" s="282" t="str">
        <f>IF(M94="","",IF(VLOOKUP(M94,'G-3 Multipliers'!$S$3:$T$10,2,FALSE)=0,"Spatial Data Missing ⚠",VLOOKUP(M94,'G-3 Multipliers'!$S$3:$T$10,2,FALSE)))</f>
        <v/>
      </c>
      <c r="O94" s="281" t="str">
        <f>IF(OR(D94="",H94=""),"",(INDEX('G-6 Hedgerow Data'!$E$3:$I$15,MATCH(D94,'G-6 Hedgerow Data'!$B$3:$B$15,0),MATCH(H94,'G-6 Hedgerow Data'!$E$2:$I$2,0))))</f>
        <v/>
      </c>
      <c r="P94" s="137"/>
      <c r="Q94" s="137"/>
      <c r="R94" s="289" t="str">
        <f t="shared" si="8"/>
        <v/>
      </c>
      <c r="S94" s="302" t="str">
        <f t="shared" si="9"/>
        <v/>
      </c>
      <c r="T94" s="303" t="str">
        <f t="shared" si="7"/>
        <v/>
      </c>
      <c r="U94" s="317" t="str">
        <f>IF(D94="","",VLOOKUP(D94,'G-6 Hedgerow Data'!$B$3:$AG$15,31,FALSE))</f>
        <v/>
      </c>
      <c r="V94" s="301" t="str">
        <f t="shared" si="10"/>
        <v/>
      </c>
      <c r="W94" s="289" t="str">
        <f t="shared" si="11"/>
        <v/>
      </c>
      <c r="X94" s="305" t="str">
        <f>IF(F94="","",VLOOKUP(U94,'G-3 Multipliers'!$P$3:$Q$6,2,FALSE))</f>
        <v/>
      </c>
      <c r="Y94" s="309" t="str">
        <f t="shared" si="12"/>
        <v/>
      </c>
      <c r="Z94" s="309" t="str">
        <f t="shared" si="13"/>
        <v/>
      </c>
      <c r="AA94" s="105"/>
      <c r="AB94" s="968"/>
      <c r="AC94" s="142"/>
      <c r="AD94" s="142"/>
      <c r="AE94" s="964"/>
      <c r="AH94" s="30" t="str">
        <f>IFERROR(INDEX('G-6 Hedgerow Data'!$BJ$3:$BJ$15,MATCH(D94,'G-6 Hedgerow Data'!$B$3:$B$15,0)),"")</f>
        <v/>
      </c>
    </row>
    <row r="95" spans="2:34" ht="13.8" x14ac:dyDescent="0.25">
      <c r="B95" s="101">
        <v>84</v>
      </c>
      <c r="C95" s="175"/>
      <c r="D95" s="58"/>
      <c r="E95" s="142"/>
      <c r="F95" s="281" t="str">
        <f>IF(D95="","",VLOOKUP(D95,'G-6 Hedgerow Data'!$B$2:$AG$15,2,FALSE))</f>
        <v/>
      </c>
      <c r="G95" s="305" t="str">
        <f>IF(D95="","",VLOOKUP(D95,'G-6 Hedgerow Data'!$B$2:$AG$15,3,FALSE))</f>
        <v/>
      </c>
      <c r="H95" s="53"/>
      <c r="I95" s="282" t="str">
        <f>IFERROR(IF(H95="","",IF(AND(D95="Non-native and ornamental hedgerow", H95&lt;&gt;"Poor"),"Not possible ▲", (IF(AND(F95="V.Low",OR(H95="Good",H95="Moderate")),"Error ▲",VLOOKUP(H95,'G-1 All Habitats'!$Z$2:$AA$9,2,FALSE))))),"")</f>
        <v/>
      </c>
      <c r="J95" s="106"/>
      <c r="K95" s="301" t="str">
        <f>IF(J95="","",IF(VLOOKUP(J95,'G-3 Multipliers'!$L$3:$N$6,2,FALSE)=0,"Spatial Data Missing",VLOOKUP(J95,'G-3 Multipliers'!$L$3:$N$6,2,FALSE)))</f>
        <v/>
      </c>
      <c r="L95" s="305" t="str">
        <f>IF(J95="","",IF(VLOOKUP(J95,'G-3 Multipliers'!$L$3:$N$6,3,FALSE)=0,"Spatial Data Missing",VLOOKUP(J95,'G-3 Multipliers'!$L$3:$N$6,3,FALSE)))</f>
        <v/>
      </c>
      <c r="M95" s="138"/>
      <c r="N95" s="282" t="str">
        <f>IF(M95="","",IF(VLOOKUP(M95,'G-3 Multipliers'!$S$3:$T$10,2,FALSE)=0,"Spatial Data Missing ⚠",VLOOKUP(M95,'G-3 Multipliers'!$S$3:$T$10,2,FALSE)))</f>
        <v/>
      </c>
      <c r="O95" s="281" t="str">
        <f>IF(OR(D95="",H95=""),"",(INDEX('G-6 Hedgerow Data'!$E$3:$I$15,MATCH(D95,'G-6 Hedgerow Data'!$B$3:$B$15,0),MATCH(H95,'G-6 Hedgerow Data'!$E$2:$I$2,0))))</f>
        <v/>
      </c>
      <c r="P95" s="137"/>
      <c r="Q95" s="137"/>
      <c r="R95" s="289" t="str">
        <f t="shared" si="8"/>
        <v/>
      </c>
      <c r="S95" s="302" t="str">
        <f t="shared" si="9"/>
        <v/>
      </c>
      <c r="T95" s="303" t="str">
        <f t="shared" si="7"/>
        <v/>
      </c>
      <c r="U95" s="317" t="str">
        <f>IF(D95="","",VLOOKUP(D95,'G-6 Hedgerow Data'!$B$3:$AG$15,31,FALSE))</f>
        <v/>
      </c>
      <c r="V95" s="301" t="str">
        <f t="shared" si="10"/>
        <v/>
      </c>
      <c r="W95" s="289" t="str">
        <f t="shared" si="11"/>
        <v/>
      </c>
      <c r="X95" s="305" t="str">
        <f>IF(F95="","",VLOOKUP(U95,'G-3 Multipliers'!$P$3:$Q$6,2,FALSE))</f>
        <v/>
      </c>
      <c r="Y95" s="309" t="str">
        <f t="shared" si="12"/>
        <v/>
      </c>
      <c r="Z95" s="309" t="str">
        <f t="shared" si="13"/>
        <v/>
      </c>
      <c r="AA95" s="105"/>
      <c r="AB95" s="968"/>
      <c r="AC95" s="142"/>
      <c r="AD95" s="142"/>
      <c r="AE95" s="964"/>
      <c r="AH95" s="30" t="str">
        <f>IFERROR(INDEX('G-6 Hedgerow Data'!$BJ$3:$BJ$15,MATCH(D95,'G-6 Hedgerow Data'!$B$3:$B$15,0)),"")</f>
        <v/>
      </c>
    </row>
    <row r="96" spans="2:34" ht="13.8" x14ac:dyDescent="0.25">
      <c r="B96" s="101">
        <v>85</v>
      </c>
      <c r="C96" s="175"/>
      <c r="D96" s="58"/>
      <c r="E96" s="142"/>
      <c r="F96" s="281" t="str">
        <f>IF(D96="","",VLOOKUP(D96,'G-6 Hedgerow Data'!$B$2:$AG$15,2,FALSE))</f>
        <v/>
      </c>
      <c r="G96" s="305" t="str">
        <f>IF(D96="","",VLOOKUP(D96,'G-6 Hedgerow Data'!$B$2:$AG$15,3,FALSE))</f>
        <v/>
      </c>
      <c r="H96" s="53"/>
      <c r="I96" s="282" t="str">
        <f>IFERROR(IF(H96="","",IF(AND(D96="Non-native and ornamental hedgerow", H96&lt;&gt;"Poor"),"Not possible ▲", (IF(AND(F96="V.Low",OR(H96="Good",H96="Moderate")),"Error ▲",VLOOKUP(H96,'G-1 All Habitats'!$Z$2:$AA$9,2,FALSE))))),"")</f>
        <v/>
      </c>
      <c r="J96" s="106"/>
      <c r="K96" s="301" t="str">
        <f>IF(J96="","",IF(VLOOKUP(J96,'G-3 Multipliers'!$L$3:$N$6,2,FALSE)=0,"Spatial Data Missing",VLOOKUP(J96,'G-3 Multipliers'!$L$3:$N$6,2,FALSE)))</f>
        <v/>
      </c>
      <c r="L96" s="305" t="str">
        <f>IF(J96="","",IF(VLOOKUP(J96,'G-3 Multipliers'!$L$3:$N$6,3,FALSE)=0,"Spatial Data Missing",VLOOKUP(J96,'G-3 Multipliers'!$L$3:$N$6,3,FALSE)))</f>
        <v/>
      </c>
      <c r="M96" s="138"/>
      <c r="N96" s="282" t="str">
        <f>IF(M96="","",IF(VLOOKUP(M96,'G-3 Multipliers'!$S$3:$T$10,2,FALSE)=0,"Spatial Data Missing ⚠",VLOOKUP(M96,'G-3 Multipliers'!$S$3:$T$10,2,FALSE)))</f>
        <v/>
      </c>
      <c r="O96" s="281" t="str">
        <f>IF(OR(D96="",H96=""),"",(INDEX('G-6 Hedgerow Data'!$E$3:$I$15,MATCH(D96,'G-6 Hedgerow Data'!$B$3:$B$15,0),MATCH(H96,'G-6 Hedgerow Data'!$E$2:$I$2,0))))</f>
        <v/>
      </c>
      <c r="P96" s="137"/>
      <c r="Q96" s="137"/>
      <c r="R96" s="289" t="str">
        <f t="shared" si="8"/>
        <v/>
      </c>
      <c r="S96" s="302" t="str">
        <f t="shared" si="9"/>
        <v/>
      </c>
      <c r="T96" s="303" t="str">
        <f t="shared" si="7"/>
        <v/>
      </c>
      <c r="U96" s="317" t="str">
        <f>IF(D96="","",VLOOKUP(D96,'G-6 Hedgerow Data'!$B$3:$AG$15,31,FALSE))</f>
        <v/>
      </c>
      <c r="V96" s="301" t="str">
        <f t="shared" si="10"/>
        <v/>
      </c>
      <c r="W96" s="289" t="str">
        <f t="shared" si="11"/>
        <v/>
      </c>
      <c r="X96" s="305" t="str">
        <f>IF(F96="","",VLOOKUP(U96,'G-3 Multipliers'!$P$3:$Q$6,2,FALSE))</f>
        <v/>
      </c>
      <c r="Y96" s="309" t="str">
        <f t="shared" si="12"/>
        <v/>
      </c>
      <c r="Z96" s="309" t="str">
        <f t="shared" si="13"/>
        <v/>
      </c>
      <c r="AA96" s="105"/>
      <c r="AB96" s="968"/>
      <c r="AC96" s="142"/>
      <c r="AD96" s="142"/>
      <c r="AE96" s="964"/>
      <c r="AH96" s="30" t="str">
        <f>IFERROR(INDEX('G-6 Hedgerow Data'!$BJ$3:$BJ$15,MATCH(D96,'G-6 Hedgerow Data'!$B$3:$B$15,0)),"")</f>
        <v/>
      </c>
    </row>
    <row r="97" spans="2:34" ht="13.8" x14ac:dyDescent="0.25">
      <c r="B97" s="101">
        <v>86</v>
      </c>
      <c r="C97" s="175"/>
      <c r="D97" s="58"/>
      <c r="E97" s="142"/>
      <c r="F97" s="281" t="str">
        <f>IF(D97="","",VLOOKUP(D97,'G-6 Hedgerow Data'!$B$2:$AG$15,2,FALSE))</f>
        <v/>
      </c>
      <c r="G97" s="305" t="str">
        <f>IF(D97="","",VLOOKUP(D97,'G-6 Hedgerow Data'!$B$2:$AG$15,3,FALSE))</f>
        <v/>
      </c>
      <c r="H97" s="53"/>
      <c r="I97" s="282" t="str">
        <f>IFERROR(IF(H97="","",IF(AND(D97="Non-native and ornamental hedgerow", H97&lt;&gt;"Poor"),"Not possible ▲", (IF(AND(F97="V.Low",OR(H97="Good",H97="Moderate")),"Error ▲",VLOOKUP(H97,'G-1 All Habitats'!$Z$2:$AA$9,2,FALSE))))),"")</f>
        <v/>
      </c>
      <c r="J97" s="106"/>
      <c r="K97" s="301" t="str">
        <f>IF(J97="","",IF(VLOOKUP(J97,'G-3 Multipliers'!$L$3:$N$6,2,FALSE)=0,"Spatial Data Missing",VLOOKUP(J97,'G-3 Multipliers'!$L$3:$N$6,2,FALSE)))</f>
        <v/>
      </c>
      <c r="L97" s="305" t="str">
        <f>IF(J97="","",IF(VLOOKUP(J97,'G-3 Multipliers'!$L$3:$N$6,3,FALSE)=0,"Spatial Data Missing",VLOOKUP(J97,'G-3 Multipliers'!$L$3:$N$6,3,FALSE)))</f>
        <v/>
      </c>
      <c r="M97" s="138"/>
      <c r="N97" s="282" t="str">
        <f>IF(M97="","",IF(VLOOKUP(M97,'G-3 Multipliers'!$S$3:$T$10,2,FALSE)=0,"Spatial Data Missing ⚠",VLOOKUP(M97,'G-3 Multipliers'!$S$3:$T$10,2,FALSE)))</f>
        <v/>
      </c>
      <c r="O97" s="281" t="str">
        <f>IF(OR(D97="",H97=""),"",(INDEX('G-6 Hedgerow Data'!$E$3:$I$15,MATCH(D97,'G-6 Hedgerow Data'!$B$3:$B$15,0),MATCH(H97,'G-6 Hedgerow Data'!$E$2:$I$2,0))))</f>
        <v/>
      </c>
      <c r="P97" s="137"/>
      <c r="Q97" s="137"/>
      <c r="R97" s="289" t="str">
        <f t="shared" si="8"/>
        <v/>
      </c>
      <c r="S97" s="302" t="str">
        <f t="shared" si="9"/>
        <v/>
      </c>
      <c r="T97" s="303" t="str">
        <f t="shared" si="7"/>
        <v/>
      </c>
      <c r="U97" s="317" t="str">
        <f>IF(D97="","",VLOOKUP(D97,'G-6 Hedgerow Data'!$B$3:$AG$15,31,FALSE))</f>
        <v/>
      </c>
      <c r="V97" s="301" t="str">
        <f t="shared" si="10"/>
        <v/>
      </c>
      <c r="W97" s="289" t="str">
        <f t="shared" si="11"/>
        <v/>
      </c>
      <c r="X97" s="305" t="str">
        <f>IF(F97="","",VLOOKUP(U97,'G-3 Multipliers'!$P$3:$Q$6,2,FALSE))</f>
        <v/>
      </c>
      <c r="Y97" s="309" t="str">
        <f t="shared" si="12"/>
        <v/>
      </c>
      <c r="Z97" s="309" t="str">
        <f t="shared" si="13"/>
        <v/>
      </c>
      <c r="AA97" s="105"/>
      <c r="AB97" s="968"/>
      <c r="AC97" s="142"/>
      <c r="AD97" s="142"/>
      <c r="AE97" s="964"/>
      <c r="AH97" s="30" t="str">
        <f>IFERROR(INDEX('G-6 Hedgerow Data'!$BJ$3:$BJ$15,MATCH(D97,'G-6 Hedgerow Data'!$B$3:$B$15,0)),"")</f>
        <v/>
      </c>
    </row>
    <row r="98" spans="2:34" ht="13.8" x14ac:dyDescent="0.25">
      <c r="B98" s="101">
        <v>87</v>
      </c>
      <c r="C98" s="175"/>
      <c r="D98" s="58"/>
      <c r="E98" s="142"/>
      <c r="F98" s="281" t="str">
        <f>IF(D98="","",VLOOKUP(D98,'G-6 Hedgerow Data'!$B$2:$AG$15,2,FALSE))</f>
        <v/>
      </c>
      <c r="G98" s="305" t="str">
        <f>IF(D98="","",VLOOKUP(D98,'G-6 Hedgerow Data'!$B$2:$AG$15,3,FALSE))</f>
        <v/>
      </c>
      <c r="H98" s="53"/>
      <c r="I98" s="282" t="str">
        <f>IFERROR(IF(H98="","",IF(AND(D98="Non-native and ornamental hedgerow", H98&lt;&gt;"Poor"),"Not possible ▲", (IF(AND(F98="V.Low",OR(H98="Good",H98="Moderate")),"Error ▲",VLOOKUP(H98,'G-1 All Habitats'!$Z$2:$AA$9,2,FALSE))))),"")</f>
        <v/>
      </c>
      <c r="J98" s="106"/>
      <c r="K98" s="301" t="str">
        <f>IF(J98="","",IF(VLOOKUP(J98,'G-3 Multipliers'!$L$3:$N$6,2,FALSE)=0,"Spatial Data Missing",VLOOKUP(J98,'G-3 Multipliers'!$L$3:$N$6,2,FALSE)))</f>
        <v/>
      </c>
      <c r="L98" s="305" t="str">
        <f>IF(J98="","",IF(VLOOKUP(J98,'G-3 Multipliers'!$L$3:$N$6,3,FALSE)=0,"Spatial Data Missing",VLOOKUP(J98,'G-3 Multipliers'!$L$3:$N$6,3,FALSE)))</f>
        <v/>
      </c>
      <c r="M98" s="138"/>
      <c r="N98" s="282" t="str">
        <f>IF(M98="","",IF(VLOOKUP(M98,'G-3 Multipliers'!$S$3:$T$10,2,FALSE)=0,"Spatial Data Missing ⚠",VLOOKUP(M98,'G-3 Multipliers'!$S$3:$T$10,2,FALSE)))</f>
        <v/>
      </c>
      <c r="O98" s="281" t="str">
        <f>IF(OR(D98="",H98=""),"",(INDEX('G-6 Hedgerow Data'!$E$3:$I$15,MATCH(D98,'G-6 Hedgerow Data'!$B$3:$B$15,0),MATCH(H98,'G-6 Hedgerow Data'!$E$2:$I$2,0))))</f>
        <v/>
      </c>
      <c r="P98" s="137"/>
      <c r="Q98" s="137"/>
      <c r="R98" s="289" t="str">
        <f t="shared" si="8"/>
        <v/>
      </c>
      <c r="S98" s="302" t="str">
        <f t="shared" si="9"/>
        <v/>
      </c>
      <c r="T98" s="303" t="str">
        <f t="shared" si="7"/>
        <v/>
      </c>
      <c r="U98" s="317" t="str">
        <f>IF(D98="","",VLOOKUP(D98,'G-6 Hedgerow Data'!$B$3:$AG$15,31,FALSE))</f>
        <v/>
      </c>
      <c r="V98" s="301" t="str">
        <f t="shared" si="10"/>
        <v/>
      </c>
      <c r="W98" s="289" t="str">
        <f t="shared" si="11"/>
        <v/>
      </c>
      <c r="X98" s="305" t="str">
        <f>IF(F98="","",VLOOKUP(U98,'G-3 Multipliers'!$P$3:$Q$6,2,FALSE))</f>
        <v/>
      </c>
      <c r="Y98" s="309" t="str">
        <f t="shared" si="12"/>
        <v/>
      </c>
      <c r="Z98" s="309" t="str">
        <f t="shared" si="13"/>
        <v/>
      </c>
      <c r="AA98" s="105"/>
      <c r="AB98" s="968"/>
      <c r="AC98" s="142"/>
      <c r="AD98" s="142"/>
      <c r="AE98" s="964"/>
      <c r="AH98" s="30" t="str">
        <f>IFERROR(INDEX('G-6 Hedgerow Data'!$BJ$3:$BJ$15,MATCH(D98,'G-6 Hedgerow Data'!$B$3:$B$15,0)),"")</f>
        <v/>
      </c>
    </row>
    <row r="99" spans="2:34" ht="13.8" x14ac:dyDescent="0.25">
      <c r="B99" s="101">
        <v>88</v>
      </c>
      <c r="C99" s="175"/>
      <c r="D99" s="58"/>
      <c r="E99" s="142"/>
      <c r="F99" s="281" t="str">
        <f>IF(D99="","",VLOOKUP(D99,'G-6 Hedgerow Data'!$B$2:$AG$15,2,FALSE))</f>
        <v/>
      </c>
      <c r="G99" s="305" t="str">
        <f>IF(D99="","",VLOOKUP(D99,'G-6 Hedgerow Data'!$B$2:$AG$15,3,FALSE))</f>
        <v/>
      </c>
      <c r="H99" s="53"/>
      <c r="I99" s="282" t="str">
        <f>IFERROR(IF(H99="","",IF(AND(D99="Non-native and ornamental hedgerow", H99&lt;&gt;"Poor"),"Not possible ▲", (IF(AND(F99="V.Low",OR(H99="Good",H99="Moderate")),"Error ▲",VLOOKUP(H99,'G-1 All Habitats'!$Z$2:$AA$9,2,FALSE))))),"")</f>
        <v/>
      </c>
      <c r="J99" s="106"/>
      <c r="K99" s="301" t="str">
        <f>IF(J99="","",IF(VLOOKUP(J99,'G-3 Multipliers'!$L$3:$N$6,2,FALSE)=0,"Spatial Data Missing",VLOOKUP(J99,'G-3 Multipliers'!$L$3:$N$6,2,FALSE)))</f>
        <v/>
      </c>
      <c r="L99" s="305" t="str">
        <f>IF(J99="","",IF(VLOOKUP(J99,'G-3 Multipliers'!$L$3:$N$6,3,FALSE)=0,"Spatial Data Missing",VLOOKUP(J99,'G-3 Multipliers'!$L$3:$N$6,3,FALSE)))</f>
        <v/>
      </c>
      <c r="M99" s="138"/>
      <c r="N99" s="282" t="str">
        <f>IF(M99="","",IF(VLOOKUP(M99,'G-3 Multipliers'!$S$3:$T$10,2,FALSE)=0,"Spatial Data Missing ⚠",VLOOKUP(M99,'G-3 Multipliers'!$S$3:$T$10,2,FALSE)))</f>
        <v/>
      </c>
      <c r="O99" s="281" t="str">
        <f>IF(OR(D99="",H99=""),"",(INDEX('G-6 Hedgerow Data'!$E$3:$I$15,MATCH(D99,'G-6 Hedgerow Data'!$B$3:$B$15,0),MATCH(H99,'G-6 Hedgerow Data'!$E$2:$I$2,0))))</f>
        <v/>
      </c>
      <c r="P99" s="137"/>
      <c r="Q99" s="137"/>
      <c r="R99" s="289" t="str">
        <f t="shared" si="8"/>
        <v/>
      </c>
      <c r="S99" s="302" t="str">
        <f t="shared" si="9"/>
        <v/>
      </c>
      <c r="T99" s="303" t="str">
        <f t="shared" si="7"/>
        <v/>
      </c>
      <c r="U99" s="317" t="str">
        <f>IF(D99="","",VLOOKUP(D99,'G-6 Hedgerow Data'!$B$3:$AG$15,31,FALSE))</f>
        <v/>
      </c>
      <c r="V99" s="301" t="str">
        <f t="shared" si="10"/>
        <v/>
      </c>
      <c r="W99" s="289" t="str">
        <f t="shared" si="11"/>
        <v/>
      </c>
      <c r="X99" s="305" t="str">
        <f>IF(F99="","",VLOOKUP(U99,'G-3 Multipliers'!$P$3:$Q$6,2,FALSE))</f>
        <v/>
      </c>
      <c r="Y99" s="309" t="str">
        <f t="shared" si="12"/>
        <v/>
      </c>
      <c r="Z99" s="309" t="str">
        <f t="shared" si="13"/>
        <v/>
      </c>
      <c r="AA99" s="105"/>
      <c r="AB99" s="968"/>
      <c r="AC99" s="142"/>
      <c r="AD99" s="142"/>
      <c r="AE99" s="964"/>
      <c r="AH99" s="30" t="str">
        <f>IFERROR(INDEX('G-6 Hedgerow Data'!$BJ$3:$BJ$15,MATCH(D99,'G-6 Hedgerow Data'!$B$3:$B$15,0)),"")</f>
        <v/>
      </c>
    </row>
    <row r="100" spans="2:34" ht="13.8" x14ac:dyDescent="0.25">
      <c r="B100" s="101">
        <v>89</v>
      </c>
      <c r="C100" s="175"/>
      <c r="D100" s="58"/>
      <c r="E100" s="142"/>
      <c r="F100" s="281" t="str">
        <f>IF(D100="","",VLOOKUP(D100,'G-6 Hedgerow Data'!$B$2:$AG$15,2,FALSE))</f>
        <v/>
      </c>
      <c r="G100" s="305" t="str">
        <f>IF(D100="","",VLOOKUP(D100,'G-6 Hedgerow Data'!$B$2:$AG$15,3,FALSE))</f>
        <v/>
      </c>
      <c r="H100" s="53"/>
      <c r="I100" s="282" t="str">
        <f>IFERROR(IF(H100="","",IF(AND(D100="Non-native and ornamental hedgerow", H100&lt;&gt;"Poor"),"Not possible ▲", (IF(AND(F100="V.Low",OR(H100="Good",H100="Moderate")),"Error ▲",VLOOKUP(H100,'G-1 All Habitats'!$Z$2:$AA$9,2,FALSE))))),"")</f>
        <v/>
      </c>
      <c r="J100" s="106"/>
      <c r="K100" s="301" t="str">
        <f>IF(J100="","",IF(VLOOKUP(J100,'G-3 Multipliers'!$L$3:$N$6,2,FALSE)=0,"Spatial Data Missing",VLOOKUP(J100,'G-3 Multipliers'!$L$3:$N$6,2,FALSE)))</f>
        <v/>
      </c>
      <c r="L100" s="305" t="str">
        <f>IF(J100="","",IF(VLOOKUP(J100,'G-3 Multipliers'!$L$3:$N$6,3,FALSE)=0,"Spatial Data Missing",VLOOKUP(J100,'G-3 Multipliers'!$L$3:$N$6,3,FALSE)))</f>
        <v/>
      </c>
      <c r="M100" s="138"/>
      <c r="N100" s="282" t="str">
        <f>IF(M100="","",IF(VLOOKUP(M100,'G-3 Multipliers'!$S$3:$T$10,2,FALSE)=0,"Spatial Data Missing ⚠",VLOOKUP(M100,'G-3 Multipliers'!$S$3:$T$10,2,FALSE)))</f>
        <v/>
      </c>
      <c r="O100" s="281" t="str">
        <f>IF(OR(D100="",H100=""),"",(INDEX('G-6 Hedgerow Data'!$E$3:$I$15,MATCH(D100,'G-6 Hedgerow Data'!$B$3:$B$15,0),MATCH(H100,'G-6 Hedgerow Data'!$E$2:$I$2,0))))</f>
        <v/>
      </c>
      <c r="P100" s="137"/>
      <c r="Q100" s="137"/>
      <c r="R100" s="289" t="str">
        <f t="shared" si="8"/>
        <v/>
      </c>
      <c r="S100" s="302" t="str">
        <f t="shared" si="9"/>
        <v/>
      </c>
      <c r="T100" s="303" t="str">
        <f t="shared" si="7"/>
        <v/>
      </c>
      <c r="U100" s="317" t="str">
        <f>IF(D100="","",VLOOKUP(D100,'G-6 Hedgerow Data'!$B$3:$AG$15,31,FALSE))</f>
        <v/>
      </c>
      <c r="V100" s="301" t="str">
        <f t="shared" si="10"/>
        <v/>
      </c>
      <c r="W100" s="289" t="str">
        <f t="shared" si="11"/>
        <v/>
      </c>
      <c r="X100" s="305" t="str">
        <f>IF(F100="","",VLOOKUP(U100,'G-3 Multipliers'!$P$3:$Q$6,2,FALSE))</f>
        <v/>
      </c>
      <c r="Y100" s="309" t="str">
        <f t="shared" si="12"/>
        <v/>
      </c>
      <c r="Z100" s="309" t="str">
        <f t="shared" si="13"/>
        <v/>
      </c>
      <c r="AA100" s="105"/>
      <c r="AB100" s="968"/>
      <c r="AC100" s="142"/>
      <c r="AD100" s="142"/>
      <c r="AE100" s="964"/>
      <c r="AH100" s="30" t="str">
        <f>IFERROR(INDEX('G-6 Hedgerow Data'!$BJ$3:$BJ$15,MATCH(D100,'G-6 Hedgerow Data'!$B$3:$B$15,0)),"")</f>
        <v/>
      </c>
    </row>
    <row r="101" spans="2:34" ht="13.8" x14ac:dyDescent="0.25">
      <c r="B101" s="101">
        <v>90</v>
      </c>
      <c r="C101" s="175"/>
      <c r="D101" s="58"/>
      <c r="E101" s="142"/>
      <c r="F101" s="281" t="str">
        <f>IF(D101="","",VLOOKUP(D101,'G-6 Hedgerow Data'!$B$2:$AG$15,2,FALSE))</f>
        <v/>
      </c>
      <c r="G101" s="305" t="str">
        <f>IF(D101="","",VLOOKUP(D101,'G-6 Hedgerow Data'!$B$2:$AG$15,3,FALSE))</f>
        <v/>
      </c>
      <c r="H101" s="53"/>
      <c r="I101" s="282" t="str">
        <f>IFERROR(IF(H101="","",IF(AND(D101="Non-native and ornamental hedgerow", H101&lt;&gt;"Poor"),"Not possible ▲", (IF(AND(F101="V.Low",OR(H101="Good",H101="Moderate")),"Error ▲",VLOOKUP(H101,'G-1 All Habitats'!$Z$2:$AA$9,2,FALSE))))),"")</f>
        <v/>
      </c>
      <c r="J101" s="106"/>
      <c r="K101" s="301" t="str">
        <f>IF(J101="","",IF(VLOOKUP(J101,'G-3 Multipliers'!$L$3:$N$6,2,FALSE)=0,"Spatial Data Missing",VLOOKUP(J101,'G-3 Multipliers'!$L$3:$N$6,2,FALSE)))</f>
        <v/>
      </c>
      <c r="L101" s="305" t="str">
        <f>IF(J101="","",IF(VLOOKUP(J101,'G-3 Multipliers'!$L$3:$N$6,3,FALSE)=0,"Spatial Data Missing",VLOOKUP(J101,'G-3 Multipliers'!$L$3:$N$6,3,FALSE)))</f>
        <v/>
      </c>
      <c r="M101" s="138"/>
      <c r="N101" s="282" t="str">
        <f>IF(M101="","",IF(VLOOKUP(M101,'G-3 Multipliers'!$S$3:$T$10,2,FALSE)=0,"Spatial Data Missing ⚠",VLOOKUP(M101,'G-3 Multipliers'!$S$3:$T$10,2,FALSE)))</f>
        <v/>
      </c>
      <c r="O101" s="281" t="str">
        <f>IF(OR(D101="",H101=""),"",(INDEX('G-6 Hedgerow Data'!$E$3:$I$15,MATCH(D101,'G-6 Hedgerow Data'!$B$3:$B$15,0),MATCH(H101,'G-6 Hedgerow Data'!$E$2:$I$2,0))))</f>
        <v/>
      </c>
      <c r="P101" s="137"/>
      <c r="Q101" s="137"/>
      <c r="R101" s="289" t="str">
        <f t="shared" si="8"/>
        <v/>
      </c>
      <c r="S101" s="302" t="str">
        <f t="shared" si="9"/>
        <v/>
      </c>
      <c r="T101" s="303" t="str">
        <f t="shared" si="7"/>
        <v/>
      </c>
      <c r="U101" s="317" t="str">
        <f>IF(D101="","",VLOOKUP(D101,'G-6 Hedgerow Data'!$B$3:$AG$15,31,FALSE))</f>
        <v/>
      </c>
      <c r="V101" s="301" t="str">
        <f t="shared" si="10"/>
        <v/>
      </c>
      <c r="W101" s="289" t="str">
        <f t="shared" si="11"/>
        <v/>
      </c>
      <c r="X101" s="305" t="str">
        <f>IF(F101="","",VLOOKUP(U101,'G-3 Multipliers'!$P$3:$Q$6,2,FALSE))</f>
        <v/>
      </c>
      <c r="Y101" s="309" t="str">
        <f t="shared" si="12"/>
        <v/>
      </c>
      <c r="Z101" s="309" t="str">
        <f t="shared" si="13"/>
        <v/>
      </c>
      <c r="AA101" s="105"/>
      <c r="AB101" s="968"/>
      <c r="AC101" s="142"/>
      <c r="AD101" s="142"/>
      <c r="AE101" s="964"/>
      <c r="AH101" s="30" t="str">
        <f>IFERROR(INDEX('G-6 Hedgerow Data'!$BJ$3:$BJ$15,MATCH(D101,'G-6 Hedgerow Data'!$B$3:$B$15,0)),"")</f>
        <v/>
      </c>
    </row>
    <row r="102" spans="2:34" ht="13.8" x14ac:dyDescent="0.25">
      <c r="B102" s="101">
        <v>91</v>
      </c>
      <c r="C102" s="175"/>
      <c r="D102" s="58"/>
      <c r="E102" s="142"/>
      <c r="F102" s="281" t="str">
        <f>IF(D102="","",VLOOKUP(D102,'G-6 Hedgerow Data'!$B$2:$AG$15,2,FALSE))</f>
        <v/>
      </c>
      <c r="G102" s="305" t="str">
        <f>IF(D102="","",VLOOKUP(D102,'G-6 Hedgerow Data'!$B$2:$AG$15,3,FALSE))</f>
        <v/>
      </c>
      <c r="H102" s="53"/>
      <c r="I102" s="282" t="str">
        <f>IFERROR(IF(H102="","",IF(AND(D102="Non-native and ornamental hedgerow", H102&lt;&gt;"Poor"),"Not possible ▲", (IF(AND(F102="V.Low",OR(H102="Good",H102="Moderate")),"Error ▲",VLOOKUP(H102,'G-1 All Habitats'!$Z$2:$AA$9,2,FALSE))))),"")</f>
        <v/>
      </c>
      <c r="J102" s="106"/>
      <c r="K102" s="301" t="str">
        <f>IF(J102="","",IF(VLOOKUP(J102,'G-3 Multipliers'!$L$3:$N$6,2,FALSE)=0,"Spatial Data Missing",VLOOKUP(J102,'G-3 Multipliers'!$L$3:$N$6,2,FALSE)))</f>
        <v/>
      </c>
      <c r="L102" s="305" t="str">
        <f>IF(J102="","",IF(VLOOKUP(J102,'G-3 Multipliers'!$L$3:$N$6,3,FALSE)=0,"Spatial Data Missing",VLOOKUP(J102,'G-3 Multipliers'!$L$3:$N$6,3,FALSE)))</f>
        <v/>
      </c>
      <c r="M102" s="138"/>
      <c r="N102" s="282" t="str">
        <f>IF(M102="","",IF(VLOOKUP(M102,'G-3 Multipliers'!$S$3:$T$10,2,FALSE)=0,"Spatial Data Missing ⚠",VLOOKUP(M102,'G-3 Multipliers'!$S$3:$T$10,2,FALSE)))</f>
        <v/>
      </c>
      <c r="O102" s="281" t="str">
        <f>IF(OR(D102="",H102=""),"",(INDEX('G-6 Hedgerow Data'!$E$3:$I$15,MATCH(D102,'G-6 Hedgerow Data'!$B$3:$B$15,0),MATCH(H102,'G-6 Hedgerow Data'!$E$2:$I$2,0))))</f>
        <v/>
      </c>
      <c r="P102" s="137"/>
      <c r="Q102" s="137"/>
      <c r="R102" s="289" t="str">
        <f t="shared" si="8"/>
        <v/>
      </c>
      <c r="S102" s="302" t="str">
        <f t="shared" si="9"/>
        <v/>
      </c>
      <c r="T102" s="303" t="str">
        <f t="shared" si="7"/>
        <v/>
      </c>
      <c r="U102" s="317" t="str">
        <f>IF(D102="","",VLOOKUP(D102,'G-6 Hedgerow Data'!$B$3:$AG$15,31,FALSE))</f>
        <v/>
      </c>
      <c r="V102" s="301" t="str">
        <f t="shared" si="10"/>
        <v/>
      </c>
      <c r="W102" s="289" t="str">
        <f t="shared" si="11"/>
        <v/>
      </c>
      <c r="X102" s="305" t="str">
        <f>IF(F102="","",VLOOKUP(U102,'G-3 Multipliers'!$P$3:$Q$6,2,FALSE))</f>
        <v/>
      </c>
      <c r="Y102" s="309" t="str">
        <f t="shared" si="12"/>
        <v/>
      </c>
      <c r="Z102" s="309" t="str">
        <f t="shared" si="13"/>
        <v/>
      </c>
      <c r="AA102" s="105"/>
      <c r="AB102" s="968"/>
      <c r="AC102" s="142"/>
      <c r="AD102" s="142"/>
      <c r="AE102" s="964"/>
      <c r="AH102" s="30" t="str">
        <f>IFERROR(INDEX('G-6 Hedgerow Data'!$BJ$3:$BJ$15,MATCH(D102,'G-6 Hedgerow Data'!$B$3:$B$15,0)),"")</f>
        <v/>
      </c>
    </row>
    <row r="103" spans="2:34" ht="13.8" x14ac:dyDescent="0.25">
      <c r="B103" s="101">
        <v>92</v>
      </c>
      <c r="C103" s="175"/>
      <c r="D103" s="58"/>
      <c r="E103" s="142"/>
      <c r="F103" s="281" t="str">
        <f>IF(D103="","",VLOOKUP(D103,'G-6 Hedgerow Data'!$B$2:$AG$15,2,FALSE))</f>
        <v/>
      </c>
      <c r="G103" s="305" t="str">
        <f>IF(D103="","",VLOOKUP(D103,'G-6 Hedgerow Data'!$B$2:$AG$15,3,FALSE))</f>
        <v/>
      </c>
      <c r="H103" s="53"/>
      <c r="I103" s="282" t="str">
        <f>IFERROR(IF(H103="","",IF(AND(D103="Non-native and ornamental hedgerow", H103&lt;&gt;"Poor"),"Not possible ▲", (IF(AND(F103="V.Low",OR(H103="Good",H103="Moderate")),"Error ▲",VLOOKUP(H103,'G-1 All Habitats'!$Z$2:$AA$9,2,FALSE))))),"")</f>
        <v/>
      </c>
      <c r="J103" s="106"/>
      <c r="K103" s="301" t="str">
        <f>IF(J103="","",IF(VLOOKUP(J103,'G-3 Multipliers'!$L$3:$N$6,2,FALSE)=0,"Spatial Data Missing",VLOOKUP(J103,'G-3 Multipliers'!$L$3:$N$6,2,FALSE)))</f>
        <v/>
      </c>
      <c r="L103" s="305" t="str">
        <f>IF(J103="","",IF(VLOOKUP(J103,'G-3 Multipliers'!$L$3:$N$6,3,FALSE)=0,"Spatial Data Missing",VLOOKUP(J103,'G-3 Multipliers'!$L$3:$N$6,3,FALSE)))</f>
        <v/>
      </c>
      <c r="M103" s="138"/>
      <c r="N103" s="282" t="str">
        <f>IF(M103="","",IF(VLOOKUP(M103,'G-3 Multipliers'!$S$3:$T$10,2,FALSE)=0,"Spatial Data Missing ⚠",VLOOKUP(M103,'G-3 Multipliers'!$S$3:$T$10,2,FALSE)))</f>
        <v/>
      </c>
      <c r="O103" s="281" t="str">
        <f>IF(OR(D103="",H103=""),"",(INDEX('G-6 Hedgerow Data'!$E$3:$I$15,MATCH(D103,'G-6 Hedgerow Data'!$B$3:$B$15,0),MATCH(H103,'G-6 Hedgerow Data'!$E$2:$I$2,0))))</f>
        <v/>
      </c>
      <c r="P103" s="137"/>
      <c r="Q103" s="137"/>
      <c r="R103" s="289" t="str">
        <f t="shared" si="8"/>
        <v/>
      </c>
      <c r="S103" s="302" t="str">
        <f t="shared" si="9"/>
        <v/>
      </c>
      <c r="T103" s="303" t="str">
        <f t="shared" si="7"/>
        <v/>
      </c>
      <c r="U103" s="317" t="str">
        <f>IF(D103="","",VLOOKUP(D103,'G-6 Hedgerow Data'!$B$3:$AG$15,31,FALSE))</f>
        <v/>
      </c>
      <c r="V103" s="301" t="str">
        <f t="shared" si="10"/>
        <v/>
      </c>
      <c r="W103" s="289" t="str">
        <f t="shared" si="11"/>
        <v/>
      </c>
      <c r="X103" s="305" t="str">
        <f>IF(F103="","",VLOOKUP(U103,'G-3 Multipliers'!$P$3:$Q$6,2,FALSE))</f>
        <v/>
      </c>
      <c r="Y103" s="309" t="str">
        <f t="shared" si="12"/>
        <v/>
      </c>
      <c r="Z103" s="309" t="str">
        <f t="shared" si="13"/>
        <v/>
      </c>
      <c r="AA103" s="105"/>
      <c r="AB103" s="968"/>
      <c r="AC103" s="142"/>
      <c r="AD103" s="142"/>
      <c r="AE103" s="964"/>
      <c r="AH103" s="30" t="str">
        <f>IFERROR(INDEX('G-6 Hedgerow Data'!$BJ$3:$BJ$15,MATCH(D103,'G-6 Hedgerow Data'!$B$3:$B$15,0)),"")</f>
        <v/>
      </c>
    </row>
    <row r="104" spans="2:34" ht="13.8" x14ac:dyDescent="0.25">
      <c r="B104" s="101">
        <v>93</v>
      </c>
      <c r="C104" s="175"/>
      <c r="D104" s="58"/>
      <c r="E104" s="142"/>
      <c r="F104" s="281" t="str">
        <f>IF(D104="","",VLOOKUP(D104,'G-6 Hedgerow Data'!$B$2:$AG$15,2,FALSE))</f>
        <v/>
      </c>
      <c r="G104" s="305" t="str">
        <f>IF(D104="","",VLOOKUP(D104,'G-6 Hedgerow Data'!$B$2:$AG$15,3,FALSE))</f>
        <v/>
      </c>
      <c r="H104" s="53"/>
      <c r="I104" s="282" t="str">
        <f>IFERROR(IF(H104="","",IF(AND(D104="Non-native and ornamental hedgerow", H104&lt;&gt;"Poor"),"Not possible ▲", (IF(AND(F104="V.Low",OR(H104="Good",H104="Moderate")),"Error ▲",VLOOKUP(H104,'G-1 All Habitats'!$Z$2:$AA$9,2,FALSE))))),"")</f>
        <v/>
      </c>
      <c r="J104" s="106"/>
      <c r="K104" s="301" t="str">
        <f>IF(J104="","",IF(VLOOKUP(J104,'G-3 Multipliers'!$L$3:$N$6,2,FALSE)=0,"Spatial Data Missing",VLOOKUP(J104,'G-3 Multipliers'!$L$3:$N$6,2,FALSE)))</f>
        <v/>
      </c>
      <c r="L104" s="305" t="str">
        <f>IF(J104="","",IF(VLOOKUP(J104,'G-3 Multipliers'!$L$3:$N$6,3,FALSE)=0,"Spatial Data Missing",VLOOKUP(J104,'G-3 Multipliers'!$L$3:$N$6,3,FALSE)))</f>
        <v/>
      </c>
      <c r="M104" s="138"/>
      <c r="N104" s="282" t="str">
        <f>IF(M104="","",IF(VLOOKUP(M104,'G-3 Multipliers'!$S$3:$T$10,2,FALSE)=0,"Spatial Data Missing ⚠",VLOOKUP(M104,'G-3 Multipliers'!$S$3:$T$10,2,FALSE)))</f>
        <v/>
      </c>
      <c r="O104" s="281" t="str">
        <f>IF(OR(D104="",H104=""),"",(INDEX('G-6 Hedgerow Data'!$E$3:$I$15,MATCH(D104,'G-6 Hedgerow Data'!$B$3:$B$15,0),MATCH(H104,'G-6 Hedgerow Data'!$E$2:$I$2,0))))</f>
        <v/>
      </c>
      <c r="P104" s="137"/>
      <c r="Q104" s="137"/>
      <c r="R104" s="289" t="str">
        <f t="shared" si="8"/>
        <v/>
      </c>
      <c r="S104" s="302" t="str">
        <f t="shared" si="9"/>
        <v/>
      </c>
      <c r="T104" s="303" t="str">
        <f t="shared" si="7"/>
        <v/>
      </c>
      <c r="U104" s="317" t="str">
        <f>IF(D104="","",VLOOKUP(D104,'G-6 Hedgerow Data'!$B$3:$AG$15,31,FALSE))</f>
        <v/>
      </c>
      <c r="V104" s="301" t="str">
        <f t="shared" si="10"/>
        <v/>
      </c>
      <c r="W104" s="289" t="str">
        <f t="shared" si="11"/>
        <v/>
      </c>
      <c r="X104" s="305" t="str">
        <f>IF(F104="","",VLOOKUP(U104,'G-3 Multipliers'!$P$3:$Q$6,2,FALSE))</f>
        <v/>
      </c>
      <c r="Y104" s="309" t="str">
        <f t="shared" si="12"/>
        <v/>
      </c>
      <c r="Z104" s="309" t="str">
        <f t="shared" si="13"/>
        <v/>
      </c>
      <c r="AA104" s="105"/>
      <c r="AB104" s="968"/>
      <c r="AC104" s="142"/>
      <c r="AD104" s="142"/>
      <c r="AE104" s="964"/>
      <c r="AH104" s="30" t="str">
        <f>IFERROR(INDEX('G-6 Hedgerow Data'!$BJ$3:$BJ$15,MATCH(D104,'G-6 Hedgerow Data'!$B$3:$B$15,0)),"")</f>
        <v/>
      </c>
    </row>
    <row r="105" spans="2:34" ht="13.8" x14ac:dyDescent="0.25">
      <c r="B105" s="101">
        <v>94</v>
      </c>
      <c r="C105" s="175"/>
      <c r="D105" s="58"/>
      <c r="E105" s="142"/>
      <c r="F105" s="281" t="str">
        <f>IF(D105="","",VLOOKUP(D105,'G-6 Hedgerow Data'!$B$2:$AG$15,2,FALSE))</f>
        <v/>
      </c>
      <c r="G105" s="305" t="str">
        <f>IF(D105="","",VLOOKUP(D105,'G-6 Hedgerow Data'!$B$2:$AG$15,3,FALSE))</f>
        <v/>
      </c>
      <c r="H105" s="53"/>
      <c r="I105" s="282" t="str">
        <f>IFERROR(IF(H105="","",IF(AND(D105="Non-native and ornamental hedgerow", H105&lt;&gt;"Poor"),"Not possible ▲", (IF(AND(F105="V.Low",OR(H105="Good",H105="Moderate")),"Error ▲",VLOOKUP(H105,'G-1 All Habitats'!$Z$2:$AA$9,2,FALSE))))),"")</f>
        <v/>
      </c>
      <c r="J105" s="106"/>
      <c r="K105" s="301" t="str">
        <f>IF(J105="","",IF(VLOOKUP(J105,'G-3 Multipliers'!$L$3:$N$6,2,FALSE)=0,"Spatial Data Missing",VLOOKUP(J105,'G-3 Multipliers'!$L$3:$N$6,2,FALSE)))</f>
        <v/>
      </c>
      <c r="L105" s="305" t="str">
        <f>IF(J105="","",IF(VLOOKUP(J105,'G-3 Multipliers'!$L$3:$N$6,3,FALSE)=0,"Spatial Data Missing",VLOOKUP(J105,'G-3 Multipliers'!$L$3:$N$6,3,FALSE)))</f>
        <v/>
      </c>
      <c r="M105" s="138"/>
      <c r="N105" s="282" t="str">
        <f>IF(M105="","",IF(VLOOKUP(M105,'G-3 Multipliers'!$S$3:$T$10,2,FALSE)=0,"Spatial Data Missing ⚠",VLOOKUP(M105,'G-3 Multipliers'!$S$3:$T$10,2,FALSE)))</f>
        <v/>
      </c>
      <c r="O105" s="281" t="str">
        <f>IF(OR(D105="",H105=""),"",(INDEX('G-6 Hedgerow Data'!$E$3:$I$15,MATCH(D105,'G-6 Hedgerow Data'!$B$3:$B$15,0),MATCH(H105,'G-6 Hedgerow Data'!$E$2:$I$2,0))))</f>
        <v/>
      </c>
      <c r="P105" s="137"/>
      <c r="Q105" s="137"/>
      <c r="R105" s="289" t="str">
        <f t="shared" si="8"/>
        <v/>
      </c>
      <c r="S105" s="302" t="str">
        <f t="shared" si="9"/>
        <v/>
      </c>
      <c r="T105" s="303" t="str">
        <f t="shared" si="7"/>
        <v/>
      </c>
      <c r="U105" s="317" t="str">
        <f>IF(D105="","",VLOOKUP(D105,'G-6 Hedgerow Data'!$B$3:$AG$15,31,FALSE))</f>
        <v/>
      </c>
      <c r="V105" s="301" t="str">
        <f t="shared" si="10"/>
        <v/>
      </c>
      <c r="W105" s="289" t="str">
        <f t="shared" si="11"/>
        <v/>
      </c>
      <c r="X105" s="305" t="str">
        <f>IF(F105="","",VLOOKUP(U105,'G-3 Multipliers'!$P$3:$Q$6,2,FALSE))</f>
        <v/>
      </c>
      <c r="Y105" s="309" t="str">
        <f t="shared" si="12"/>
        <v/>
      </c>
      <c r="Z105" s="309" t="str">
        <f t="shared" si="13"/>
        <v/>
      </c>
      <c r="AA105" s="105"/>
      <c r="AB105" s="968"/>
      <c r="AC105" s="142"/>
      <c r="AD105" s="142"/>
      <c r="AE105" s="964"/>
      <c r="AH105" s="30" t="str">
        <f>IFERROR(INDEX('G-6 Hedgerow Data'!$BJ$3:$BJ$15,MATCH(D105,'G-6 Hedgerow Data'!$B$3:$B$15,0)),"")</f>
        <v/>
      </c>
    </row>
    <row r="106" spans="2:34" ht="13.8" x14ac:dyDescent="0.25">
      <c r="B106" s="101">
        <v>95</v>
      </c>
      <c r="C106" s="175"/>
      <c r="D106" s="58"/>
      <c r="E106" s="142"/>
      <c r="F106" s="281" t="str">
        <f>IF(D106="","",VLOOKUP(D106,'G-6 Hedgerow Data'!$B$2:$AG$15,2,FALSE))</f>
        <v/>
      </c>
      <c r="G106" s="305" t="str">
        <f>IF(D106="","",VLOOKUP(D106,'G-6 Hedgerow Data'!$B$2:$AG$15,3,FALSE))</f>
        <v/>
      </c>
      <c r="H106" s="53"/>
      <c r="I106" s="282" t="str">
        <f>IFERROR(IF(H106="","",IF(AND(D106="Non-native and ornamental hedgerow", H106&lt;&gt;"Poor"),"Not possible ▲", (IF(AND(F106="V.Low",OR(H106="Good",H106="Moderate")),"Error ▲",VLOOKUP(H106,'G-1 All Habitats'!$Z$2:$AA$9,2,FALSE))))),"")</f>
        <v/>
      </c>
      <c r="J106" s="106"/>
      <c r="K106" s="301" t="str">
        <f>IF(J106="","",IF(VLOOKUP(J106,'G-3 Multipliers'!$L$3:$N$6,2,FALSE)=0,"Spatial Data Missing",VLOOKUP(J106,'G-3 Multipliers'!$L$3:$N$6,2,FALSE)))</f>
        <v/>
      </c>
      <c r="L106" s="305" t="str">
        <f>IF(J106="","",IF(VLOOKUP(J106,'G-3 Multipliers'!$L$3:$N$6,3,FALSE)=0,"Spatial Data Missing",VLOOKUP(J106,'G-3 Multipliers'!$L$3:$N$6,3,FALSE)))</f>
        <v/>
      </c>
      <c r="M106" s="138"/>
      <c r="N106" s="282" t="str">
        <f>IF(M106="","",IF(VLOOKUP(M106,'G-3 Multipliers'!$S$3:$T$10,2,FALSE)=0,"Spatial Data Missing ⚠",VLOOKUP(M106,'G-3 Multipliers'!$S$3:$T$10,2,FALSE)))</f>
        <v/>
      </c>
      <c r="O106" s="281" t="str">
        <f>IF(OR(D106="",H106=""),"",(INDEX('G-6 Hedgerow Data'!$E$3:$I$15,MATCH(D106,'G-6 Hedgerow Data'!$B$3:$B$15,0),MATCH(H106,'G-6 Hedgerow Data'!$E$2:$I$2,0))))</f>
        <v/>
      </c>
      <c r="P106" s="137"/>
      <c r="Q106" s="137"/>
      <c r="R106" s="289" t="str">
        <f t="shared" si="8"/>
        <v/>
      </c>
      <c r="S106" s="302" t="str">
        <f t="shared" si="9"/>
        <v/>
      </c>
      <c r="T106" s="303" t="str">
        <f t="shared" si="7"/>
        <v/>
      </c>
      <c r="U106" s="317" t="str">
        <f>IF(D106="","",VLOOKUP(D106,'G-6 Hedgerow Data'!$B$3:$AG$15,31,FALSE))</f>
        <v/>
      </c>
      <c r="V106" s="301" t="str">
        <f t="shared" si="10"/>
        <v/>
      </c>
      <c r="W106" s="289" t="str">
        <f t="shared" si="11"/>
        <v/>
      </c>
      <c r="X106" s="305" t="str">
        <f>IF(F106="","",VLOOKUP(U106,'G-3 Multipliers'!$P$3:$Q$6,2,FALSE))</f>
        <v/>
      </c>
      <c r="Y106" s="309" t="str">
        <f t="shared" si="12"/>
        <v/>
      </c>
      <c r="Z106" s="309" t="str">
        <f t="shared" si="13"/>
        <v/>
      </c>
      <c r="AA106" s="105"/>
      <c r="AB106" s="968"/>
      <c r="AC106" s="142"/>
      <c r="AD106" s="142"/>
      <c r="AE106" s="964"/>
      <c r="AH106" s="30" t="str">
        <f>IFERROR(INDEX('G-6 Hedgerow Data'!$BJ$3:$BJ$15,MATCH(D106,'G-6 Hedgerow Data'!$B$3:$B$15,0)),"")</f>
        <v/>
      </c>
    </row>
    <row r="107" spans="2:34" ht="13.8" x14ac:dyDescent="0.25">
      <c r="B107" s="101">
        <v>96</v>
      </c>
      <c r="C107" s="175"/>
      <c r="D107" s="58"/>
      <c r="E107" s="142"/>
      <c r="F107" s="281" t="str">
        <f>IF(D107="","",VLOOKUP(D107,'G-6 Hedgerow Data'!$B$2:$AG$15,2,FALSE))</f>
        <v/>
      </c>
      <c r="G107" s="305" t="str">
        <f>IF(D107="","",VLOOKUP(D107,'G-6 Hedgerow Data'!$B$2:$AG$15,3,FALSE))</f>
        <v/>
      </c>
      <c r="H107" s="53"/>
      <c r="I107" s="282" t="str">
        <f>IFERROR(IF(H107="","",IF(AND(D107="Non-native and ornamental hedgerow", H107&lt;&gt;"Poor"),"Not possible ▲", (IF(AND(F107="V.Low",OR(H107="Good",H107="Moderate")),"Error ▲",VLOOKUP(H107,'G-1 All Habitats'!$Z$2:$AA$9,2,FALSE))))),"")</f>
        <v/>
      </c>
      <c r="J107" s="106"/>
      <c r="K107" s="301" t="str">
        <f>IF(J107="","",IF(VLOOKUP(J107,'G-3 Multipliers'!$L$3:$N$6,2,FALSE)=0,"Spatial Data Missing",VLOOKUP(J107,'G-3 Multipliers'!$L$3:$N$6,2,FALSE)))</f>
        <v/>
      </c>
      <c r="L107" s="305" t="str">
        <f>IF(J107="","",IF(VLOOKUP(J107,'G-3 Multipliers'!$L$3:$N$6,3,FALSE)=0,"Spatial Data Missing",VLOOKUP(J107,'G-3 Multipliers'!$L$3:$N$6,3,FALSE)))</f>
        <v/>
      </c>
      <c r="M107" s="138"/>
      <c r="N107" s="282" t="str">
        <f>IF(M107="","",IF(VLOOKUP(M107,'G-3 Multipliers'!$S$3:$T$10,2,FALSE)=0,"Spatial Data Missing ⚠",VLOOKUP(M107,'G-3 Multipliers'!$S$3:$T$10,2,FALSE)))</f>
        <v/>
      </c>
      <c r="O107" s="281" t="str">
        <f>IF(OR(D107="",H107=""),"",(INDEX('G-6 Hedgerow Data'!$E$3:$I$15,MATCH(D107,'G-6 Hedgerow Data'!$B$3:$B$15,0),MATCH(H107,'G-6 Hedgerow Data'!$E$2:$I$2,0))))</f>
        <v/>
      </c>
      <c r="P107" s="137"/>
      <c r="Q107" s="137"/>
      <c r="R107" s="289" t="str">
        <f t="shared" si="8"/>
        <v/>
      </c>
      <c r="S107" s="302" t="str">
        <f t="shared" si="9"/>
        <v/>
      </c>
      <c r="T107" s="303" t="str">
        <f t="shared" si="7"/>
        <v/>
      </c>
      <c r="U107" s="317" t="str">
        <f>IF(D107="","",VLOOKUP(D107,'G-6 Hedgerow Data'!$B$3:$AG$15,31,FALSE))</f>
        <v/>
      </c>
      <c r="V107" s="301" t="str">
        <f t="shared" si="10"/>
        <v/>
      </c>
      <c r="W107" s="289" t="str">
        <f t="shared" si="11"/>
        <v/>
      </c>
      <c r="X107" s="305" t="str">
        <f>IF(F107="","",VLOOKUP(U107,'G-3 Multipliers'!$P$3:$Q$6,2,FALSE))</f>
        <v/>
      </c>
      <c r="Y107" s="309" t="str">
        <f t="shared" si="12"/>
        <v/>
      </c>
      <c r="Z107" s="309" t="str">
        <f t="shared" si="13"/>
        <v/>
      </c>
      <c r="AA107" s="105"/>
      <c r="AB107" s="968"/>
      <c r="AC107" s="142"/>
      <c r="AD107" s="142"/>
      <c r="AE107" s="964"/>
      <c r="AH107" s="30" t="str">
        <f>IFERROR(INDEX('G-6 Hedgerow Data'!$BJ$3:$BJ$15,MATCH(D107,'G-6 Hedgerow Data'!$B$3:$B$15,0)),"")</f>
        <v/>
      </c>
    </row>
    <row r="108" spans="2:34" ht="13.8" x14ac:dyDescent="0.25">
      <c r="B108" s="101">
        <v>97</v>
      </c>
      <c r="C108" s="175"/>
      <c r="D108" s="58"/>
      <c r="E108" s="142"/>
      <c r="F108" s="281" t="str">
        <f>IF(D108="","",VLOOKUP(D108,'G-6 Hedgerow Data'!$B$2:$AG$15,2,FALSE))</f>
        <v/>
      </c>
      <c r="G108" s="305" t="str">
        <f>IF(D108="","",VLOOKUP(D108,'G-6 Hedgerow Data'!$B$2:$AG$15,3,FALSE))</f>
        <v/>
      </c>
      <c r="H108" s="53"/>
      <c r="I108" s="282" t="str">
        <f>IFERROR(IF(H108="","",IF(AND(D108="Non-native and ornamental hedgerow", H108&lt;&gt;"Poor"),"Not possible ▲", (IF(AND(F108="V.Low",OR(H108="Good",H108="Moderate")),"Error ▲",VLOOKUP(H108,'G-1 All Habitats'!$Z$2:$AA$9,2,FALSE))))),"")</f>
        <v/>
      </c>
      <c r="J108" s="106"/>
      <c r="K108" s="301" t="str">
        <f>IF(J108="","",IF(VLOOKUP(J108,'G-3 Multipliers'!$L$3:$N$6,2,FALSE)=0,"Spatial Data Missing",VLOOKUP(J108,'G-3 Multipliers'!$L$3:$N$6,2,FALSE)))</f>
        <v/>
      </c>
      <c r="L108" s="305" t="str">
        <f>IF(J108="","",IF(VLOOKUP(J108,'G-3 Multipliers'!$L$3:$N$6,3,FALSE)=0,"Spatial Data Missing",VLOOKUP(J108,'G-3 Multipliers'!$L$3:$N$6,3,FALSE)))</f>
        <v/>
      </c>
      <c r="M108" s="138"/>
      <c r="N108" s="282" t="str">
        <f>IF(M108="","",IF(VLOOKUP(M108,'G-3 Multipliers'!$S$3:$T$10,2,FALSE)=0,"Spatial Data Missing ⚠",VLOOKUP(M108,'G-3 Multipliers'!$S$3:$T$10,2,FALSE)))</f>
        <v/>
      </c>
      <c r="O108" s="281" t="str">
        <f>IF(OR(D108="",H108=""),"",(INDEX('G-6 Hedgerow Data'!$E$3:$I$15,MATCH(D108,'G-6 Hedgerow Data'!$B$3:$B$15,0),MATCH(H108,'G-6 Hedgerow Data'!$E$2:$I$2,0))))</f>
        <v/>
      </c>
      <c r="P108" s="137"/>
      <c r="Q108" s="137"/>
      <c r="R108" s="289" t="str">
        <f t="shared" si="8"/>
        <v/>
      </c>
      <c r="S108" s="302" t="str">
        <f t="shared" si="9"/>
        <v/>
      </c>
      <c r="T108" s="303" t="str">
        <f t="shared" si="7"/>
        <v/>
      </c>
      <c r="U108" s="317" t="str">
        <f>IF(D108="","",VLOOKUP(D108,'G-6 Hedgerow Data'!$B$3:$AG$15,31,FALSE))</f>
        <v/>
      </c>
      <c r="V108" s="301" t="str">
        <f t="shared" si="10"/>
        <v/>
      </c>
      <c r="W108" s="289" t="str">
        <f t="shared" si="11"/>
        <v/>
      </c>
      <c r="X108" s="305" t="str">
        <f>IF(F108="","",VLOOKUP(U108,'G-3 Multipliers'!$P$3:$Q$6,2,FALSE))</f>
        <v/>
      </c>
      <c r="Y108" s="309" t="str">
        <f t="shared" si="12"/>
        <v/>
      </c>
      <c r="Z108" s="309" t="str">
        <f t="shared" si="13"/>
        <v/>
      </c>
      <c r="AA108" s="105"/>
      <c r="AB108" s="968"/>
      <c r="AC108" s="142"/>
      <c r="AD108" s="142"/>
      <c r="AE108" s="964"/>
      <c r="AH108" s="30" t="str">
        <f>IFERROR(INDEX('G-6 Hedgerow Data'!$BJ$3:$BJ$15,MATCH(D108,'G-6 Hedgerow Data'!$B$3:$B$15,0)),"")</f>
        <v/>
      </c>
    </row>
    <row r="109" spans="2:34" ht="13.8" x14ac:dyDescent="0.25">
      <c r="B109" s="101">
        <v>98</v>
      </c>
      <c r="C109" s="175"/>
      <c r="D109" s="58"/>
      <c r="E109" s="142"/>
      <c r="F109" s="281" t="str">
        <f>IF(D109="","",VLOOKUP(D109,'G-6 Hedgerow Data'!$B$2:$AG$15,2,FALSE))</f>
        <v/>
      </c>
      <c r="G109" s="305" t="str">
        <f>IF(D109="","",VLOOKUP(D109,'G-6 Hedgerow Data'!$B$2:$AG$15,3,FALSE))</f>
        <v/>
      </c>
      <c r="H109" s="53"/>
      <c r="I109" s="282" t="str">
        <f>IFERROR(IF(H109="","",IF(AND(D109="Non-native and ornamental hedgerow", H109&lt;&gt;"Poor"),"Not possible ▲", (IF(AND(F109="V.Low",OR(H109="Good",H109="Moderate")),"Error ▲",VLOOKUP(H109,'G-1 All Habitats'!$Z$2:$AA$9,2,FALSE))))),"")</f>
        <v/>
      </c>
      <c r="J109" s="106"/>
      <c r="K109" s="301" t="str">
        <f>IF(J109="","",IF(VLOOKUP(J109,'G-3 Multipliers'!$L$3:$N$6,2,FALSE)=0,"Spatial Data Missing",VLOOKUP(J109,'G-3 Multipliers'!$L$3:$N$6,2,FALSE)))</f>
        <v/>
      </c>
      <c r="L109" s="305" t="str">
        <f>IF(J109="","",IF(VLOOKUP(J109,'G-3 Multipliers'!$L$3:$N$6,3,FALSE)=0,"Spatial Data Missing",VLOOKUP(J109,'G-3 Multipliers'!$L$3:$N$6,3,FALSE)))</f>
        <v/>
      </c>
      <c r="M109" s="138"/>
      <c r="N109" s="282" t="str">
        <f>IF(M109="","",IF(VLOOKUP(M109,'G-3 Multipliers'!$S$3:$T$10,2,FALSE)=0,"Spatial Data Missing ⚠",VLOOKUP(M109,'G-3 Multipliers'!$S$3:$T$10,2,FALSE)))</f>
        <v/>
      </c>
      <c r="O109" s="281" t="str">
        <f>IF(OR(D109="",H109=""),"",(INDEX('G-6 Hedgerow Data'!$E$3:$I$15,MATCH(D109,'G-6 Hedgerow Data'!$B$3:$B$15,0),MATCH(H109,'G-6 Hedgerow Data'!$E$2:$I$2,0))))</f>
        <v/>
      </c>
      <c r="P109" s="137"/>
      <c r="Q109" s="137"/>
      <c r="R109" s="289" t="str">
        <f t="shared" si="8"/>
        <v/>
      </c>
      <c r="S109" s="302" t="str">
        <f t="shared" si="9"/>
        <v/>
      </c>
      <c r="T109" s="303" t="str">
        <f t="shared" si="7"/>
        <v/>
      </c>
      <c r="U109" s="317" t="str">
        <f>IF(D109="","",VLOOKUP(D109,'G-6 Hedgerow Data'!$B$3:$AG$15,31,FALSE))</f>
        <v/>
      </c>
      <c r="V109" s="301" t="str">
        <f t="shared" si="10"/>
        <v/>
      </c>
      <c r="W109" s="289" t="str">
        <f t="shared" si="11"/>
        <v/>
      </c>
      <c r="X109" s="305" t="str">
        <f>IF(F109="","",VLOOKUP(U109,'G-3 Multipliers'!$P$3:$Q$6,2,FALSE))</f>
        <v/>
      </c>
      <c r="Y109" s="309" t="str">
        <f t="shared" si="12"/>
        <v/>
      </c>
      <c r="Z109" s="309" t="str">
        <f t="shared" si="13"/>
        <v/>
      </c>
      <c r="AA109" s="105"/>
      <c r="AB109" s="968"/>
      <c r="AC109" s="142"/>
      <c r="AD109" s="142"/>
      <c r="AE109" s="964"/>
      <c r="AH109" s="30" t="str">
        <f>IFERROR(INDEX('G-6 Hedgerow Data'!$BJ$3:$BJ$15,MATCH(D109,'G-6 Hedgerow Data'!$B$3:$B$15,0)),"")</f>
        <v/>
      </c>
    </row>
    <row r="110" spans="2:34" ht="13.8" x14ac:dyDescent="0.25">
      <c r="B110" s="101">
        <v>99</v>
      </c>
      <c r="C110" s="175"/>
      <c r="D110" s="58"/>
      <c r="E110" s="142"/>
      <c r="F110" s="281" t="str">
        <f>IF(D110="","",VLOOKUP(D110,'G-6 Hedgerow Data'!$B$2:$AG$15,2,FALSE))</f>
        <v/>
      </c>
      <c r="G110" s="305" t="str">
        <f>IF(D110="","",VLOOKUP(D110,'G-6 Hedgerow Data'!$B$2:$AG$15,3,FALSE))</f>
        <v/>
      </c>
      <c r="H110" s="53"/>
      <c r="I110" s="282" t="str">
        <f>IFERROR(IF(H110="","",IF(AND(D110="Non-native and ornamental hedgerow", H110&lt;&gt;"Poor"),"Not possible ▲", (IF(AND(F110="V.Low",OR(H110="Good",H110="Moderate")),"Error ▲",VLOOKUP(H110,'G-1 All Habitats'!$Z$2:$AA$9,2,FALSE))))),"")</f>
        <v/>
      </c>
      <c r="J110" s="106"/>
      <c r="K110" s="301" t="str">
        <f>IF(J110="","",IF(VLOOKUP(J110,'G-3 Multipliers'!$L$3:$N$6,2,FALSE)=0,"Spatial Data Missing",VLOOKUP(J110,'G-3 Multipliers'!$L$3:$N$6,2,FALSE)))</f>
        <v/>
      </c>
      <c r="L110" s="305" t="str">
        <f>IF(J110="","",IF(VLOOKUP(J110,'G-3 Multipliers'!$L$3:$N$6,3,FALSE)=0,"Spatial Data Missing",VLOOKUP(J110,'G-3 Multipliers'!$L$3:$N$6,3,FALSE)))</f>
        <v/>
      </c>
      <c r="M110" s="138"/>
      <c r="N110" s="282" t="str">
        <f>IF(M110="","",IF(VLOOKUP(M110,'G-3 Multipliers'!$S$3:$T$10,2,FALSE)=0,"Spatial Data Missing ⚠",VLOOKUP(M110,'G-3 Multipliers'!$S$3:$T$10,2,FALSE)))</f>
        <v/>
      </c>
      <c r="O110" s="281" t="str">
        <f>IF(OR(D110="",H110=""),"",(INDEX('G-6 Hedgerow Data'!$E$3:$I$15,MATCH(D110,'G-6 Hedgerow Data'!$B$3:$B$15,0),MATCH(H110,'G-6 Hedgerow Data'!$E$2:$I$2,0))))</f>
        <v/>
      </c>
      <c r="P110" s="137"/>
      <c r="Q110" s="137"/>
      <c r="R110" s="289" t="str">
        <f t="shared" si="8"/>
        <v/>
      </c>
      <c r="S110" s="302" t="str">
        <f t="shared" si="9"/>
        <v/>
      </c>
      <c r="T110" s="303" t="str">
        <f t="shared" si="7"/>
        <v/>
      </c>
      <c r="U110" s="317" t="str">
        <f>IF(D110="","",VLOOKUP(D110,'G-6 Hedgerow Data'!$B$3:$AG$15,31,FALSE))</f>
        <v/>
      </c>
      <c r="V110" s="301" t="str">
        <f t="shared" si="10"/>
        <v/>
      </c>
      <c r="W110" s="289" t="str">
        <f t="shared" si="11"/>
        <v/>
      </c>
      <c r="X110" s="305" t="str">
        <f>IF(F110="","",VLOOKUP(U110,'G-3 Multipliers'!$P$3:$Q$6,2,FALSE))</f>
        <v/>
      </c>
      <c r="Y110" s="309" t="str">
        <f t="shared" si="12"/>
        <v/>
      </c>
      <c r="Z110" s="309" t="str">
        <f t="shared" si="13"/>
        <v/>
      </c>
      <c r="AA110" s="105"/>
      <c r="AB110" s="968"/>
      <c r="AC110" s="142"/>
      <c r="AD110" s="142"/>
      <c r="AE110" s="964"/>
      <c r="AH110" s="30" t="str">
        <f>IFERROR(INDEX('G-6 Hedgerow Data'!$BJ$3:$BJ$15,MATCH(D110,'G-6 Hedgerow Data'!$B$3:$B$15,0)),"")</f>
        <v/>
      </c>
    </row>
    <row r="111" spans="2:34" ht="13.8" x14ac:dyDescent="0.25">
      <c r="B111" s="101">
        <v>100</v>
      </c>
      <c r="C111" s="175"/>
      <c r="D111" s="58"/>
      <c r="E111" s="142"/>
      <c r="F111" s="281" t="str">
        <f>IF(D111="","",VLOOKUP(D111,'G-6 Hedgerow Data'!$B$2:$AG$15,2,FALSE))</f>
        <v/>
      </c>
      <c r="G111" s="305" t="str">
        <f>IF(D111="","",VLOOKUP(D111,'G-6 Hedgerow Data'!$B$2:$AG$15,3,FALSE))</f>
        <v/>
      </c>
      <c r="H111" s="53"/>
      <c r="I111" s="282" t="str">
        <f>IFERROR(IF(H111="","",IF(AND(D111="Non-native and ornamental hedgerow", H111&lt;&gt;"Poor"),"Not possible ▲", (IF(AND(F111="V.Low",OR(H111="Good",H111="Moderate")),"Error ▲",VLOOKUP(H111,'G-1 All Habitats'!$Z$2:$AA$9,2,FALSE))))),"")</f>
        <v/>
      </c>
      <c r="J111" s="106"/>
      <c r="K111" s="301" t="str">
        <f>IF(J111="","",IF(VLOOKUP(J111,'G-3 Multipliers'!$L$3:$N$6,2,FALSE)=0,"Spatial Data Missing",VLOOKUP(J111,'G-3 Multipliers'!$L$3:$N$6,2,FALSE)))</f>
        <v/>
      </c>
      <c r="L111" s="305" t="str">
        <f>IF(J111="","",IF(VLOOKUP(J111,'G-3 Multipliers'!$L$3:$N$6,3,FALSE)=0,"Spatial Data Missing",VLOOKUP(J111,'G-3 Multipliers'!$L$3:$N$6,3,FALSE)))</f>
        <v/>
      </c>
      <c r="M111" s="138"/>
      <c r="N111" s="282" t="str">
        <f>IF(M111="","",IF(VLOOKUP(M111,'G-3 Multipliers'!$S$3:$T$10,2,FALSE)=0,"Spatial Data Missing ⚠",VLOOKUP(M111,'G-3 Multipliers'!$S$3:$T$10,2,FALSE)))</f>
        <v/>
      </c>
      <c r="O111" s="281" t="str">
        <f>IF(OR(D111="",H111=""),"",(INDEX('G-6 Hedgerow Data'!$E$3:$I$15,MATCH(D111,'G-6 Hedgerow Data'!$B$3:$B$15,0),MATCH(H111,'G-6 Hedgerow Data'!$E$2:$I$2,0))))</f>
        <v/>
      </c>
      <c r="P111" s="137"/>
      <c r="Q111" s="137"/>
      <c r="R111" s="289" t="str">
        <f t="shared" si="8"/>
        <v/>
      </c>
      <c r="S111" s="302" t="str">
        <f t="shared" si="9"/>
        <v/>
      </c>
      <c r="T111" s="303" t="str">
        <f t="shared" si="7"/>
        <v/>
      </c>
      <c r="U111" s="317" t="str">
        <f>IF(D111="","",VLOOKUP(D111,'G-6 Hedgerow Data'!$B$3:$AG$15,31,FALSE))</f>
        <v/>
      </c>
      <c r="V111" s="301" t="str">
        <f t="shared" si="10"/>
        <v/>
      </c>
      <c r="W111" s="289" t="str">
        <f t="shared" si="11"/>
        <v/>
      </c>
      <c r="X111" s="305" t="str">
        <f>IF(F111="","",VLOOKUP(U111,'G-3 Multipliers'!$P$3:$Q$6,2,FALSE))</f>
        <v/>
      </c>
      <c r="Y111" s="309" t="str">
        <f t="shared" si="12"/>
        <v/>
      </c>
      <c r="Z111" s="309" t="str">
        <f t="shared" si="13"/>
        <v/>
      </c>
      <c r="AA111" s="105"/>
      <c r="AB111" s="968"/>
      <c r="AC111" s="142"/>
      <c r="AD111" s="142"/>
      <c r="AE111" s="964"/>
      <c r="AH111" s="30" t="str">
        <f>IFERROR(INDEX('G-6 Hedgerow Data'!$BJ$3:$BJ$15,MATCH(D111,'G-6 Hedgerow Data'!$B$3:$B$15,0)),"")</f>
        <v/>
      </c>
    </row>
    <row r="112" spans="2:34" ht="13.8" x14ac:dyDescent="0.25">
      <c r="B112" s="101">
        <v>101</v>
      </c>
      <c r="C112" s="175"/>
      <c r="D112" s="58"/>
      <c r="E112" s="142"/>
      <c r="F112" s="281" t="str">
        <f>IF(D112="","",VLOOKUP(D112,'G-6 Hedgerow Data'!$B$2:$AG$15,2,FALSE))</f>
        <v/>
      </c>
      <c r="G112" s="305" t="str">
        <f>IF(D112="","",VLOOKUP(D112,'G-6 Hedgerow Data'!$B$2:$AG$15,3,FALSE))</f>
        <v/>
      </c>
      <c r="H112" s="53"/>
      <c r="I112" s="282" t="str">
        <f>IFERROR(IF(H112="","",IF(AND(D112="Non-native and ornamental hedgerow", H112&lt;&gt;"Poor"),"Not possible ▲", (IF(AND(F112="V.Low",OR(H112="Good",H112="Moderate")),"Error ▲",VLOOKUP(H112,'G-1 All Habitats'!$Z$2:$AA$9,2,FALSE))))),"")</f>
        <v/>
      </c>
      <c r="J112" s="106"/>
      <c r="K112" s="301" t="str">
        <f>IF(J112="","",IF(VLOOKUP(J112,'G-3 Multipliers'!$L$3:$N$6,2,FALSE)=0,"Spatial Data Missing",VLOOKUP(J112,'G-3 Multipliers'!$L$3:$N$6,2,FALSE)))</f>
        <v/>
      </c>
      <c r="L112" s="305" t="str">
        <f>IF(J112="","",IF(VLOOKUP(J112,'G-3 Multipliers'!$L$3:$N$6,3,FALSE)=0,"Spatial Data Missing",VLOOKUP(J112,'G-3 Multipliers'!$L$3:$N$6,3,FALSE)))</f>
        <v/>
      </c>
      <c r="M112" s="138"/>
      <c r="N112" s="282" t="str">
        <f>IF(M112="","",IF(VLOOKUP(M112,'G-3 Multipliers'!$S$3:$T$10,2,FALSE)=0,"Spatial Data Missing ⚠",VLOOKUP(M112,'G-3 Multipliers'!$S$3:$T$10,2,FALSE)))</f>
        <v/>
      </c>
      <c r="O112" s="281" t="str">
        <f>IF(OR(D112="",H112=""),"",(INDEX('G-6 Hedgerow Data'!$E$3:$I$15,MATCH(D112,'G-6 Hedgerow Data'!$B$3:$B$15,0),MATCH(H112,'G-6 Hedgerow Data'!$E$2:$I$2,0))))</f>
        <v/>
      </c>
      <c r="P112" s="137"/>
      <c r="Q112" s="137"/>
      <c r="R112" s="289" t="str">
        <f t="shared" si="8"/>
        <v/>
      </c>
      <c r="S112" s="302" t="str">
        <f t="shared" si="9"/>
        <v/>
      </c>
      <c r="T112" s="303" t="str">
        <f t="shared" si="7"/>
        <v/>
      </c>
      <c r="U112" s="317" t="str">
        <f>IF(D112="","",VLOOKUP(D112,'G-6 Hedgerow Data'!$B$3:$AG$15,31,FALSE))</f>
        <v/>
      </c>
      <c r="V112" s="301" t="str">
        <f t="shared" si="10"/>
        <v/>
      </c>
      <c r="W112" s="289" t="str">
        <f t="shared" si="11"/>
        <v/>
      </c>
      <c r="X112" s="305" t="str">
        <f>IF(F112="","",VLOOKUP(U112,'G-3 Multipliers'!$P$3:$Q$6,2,FALSE))</f>
        <v/>
      </c>
      <c r="Y112" s="309" t="str">
        <f t="shared" si="12"/>
        <v/>
      </c>
      <c r="Z112" s="309" t="str">
        <f t="shared" si="13"/>
        <v/>
      </c>
      <c r="AA112" s="105"/>
      <c r="AB112" s="968"/>
      <c r="AC112" s="142"/>
      <c r="AD112" s="142"/>
      <c r="AE112" s="964"/>
      <c r="AH112" s="30" t="str">
        <f>IFERROR(INDEX('G-6 Hedgerow Data'!$BJ$3:$BJ$15,MATCH(D112,'G-6 Hedgerow Data'!$B$3:$B$15,0)),"")</f>
        <v/>
      </c>
    </row>
    <row r="113" spans="2:34" ht="13.8" x14ac:dyDescent="0.25">
      <c r="B113" s="101">
        <v>102</v>
      </c>
      <c r="C113" s="175"/>
      <c r="D113" s="58"/>
      <c r="E113" s="142"/>
      <c r="F113" s="281" t="str">
        <f>IF(D113="","",VLOOKUP(D113,'G-6 Hedgerow Data'!$B$2:$AG$15,2,FALSE))</f>
        <v/>
      </c>
      <c r="G113" s="305" t="str">
        <f>IF(D113="","",VLOOKUP(D113,'G-6 Hedgerow Data'!$B$2:$AG$15,3,FALSE))</f>
        <v/>
      </c>
      <c r="H113" s="53"/>
      <c r="I113" s="282" t="str">
        <f>IFERROR(IF(H113="","",IF(AND(D113="Non-native and ornamental hedgerow", H113&lt;&gt;"Poor"),"Not possible ▲", (IF(AND(F113="V.Low",OR(H113="Good",H113="Moderate")),"Error ▲",VLOOKUP(H113,'G-1 All Habitats'!$Z$2:$AA$9,2,FALSE))))),"")</f>
        <v/>
      </c>
      <c r="J113" s="106"/>
      <c r="K113" s="301" t="str">
        <f>IF(J113="","",IF(VLOOKUP(J113,'G-3 Multipliers'!$L$3:$N$6,2,FALSE)=0,"Spatial Data Missing",VLOOKUP(J113,'G-3 Multipliers'!$L$3:$N$6,2,FALSE)))</f>
        <v/>
      </c>
      <c r="L113" s="305" t="str">
        <f>IF(J113="","",IF(VLOOKUP(J113,'G-3 Multipliers'!$L$3:$N$6,3,FALSE)=0,"Spatial Data Missing",VLOOKUP(J113,'G-3 Multipliers'!$L$3:$N$6,3,FALSE)))</f>
        <v/>
      </c>
      <c r="M113" s="138"/>
      <c r="N113" s="282" t="str">
        <f>IF(M113="","",IF(VLOOKUP(M113,'G-3 Multipliers'!$S$3:$T$10,2,FALSE)=0,"Spatial Data Missing ⚠",VLOOKUP(M113,'G-3 Multipliers'!$S$3:$T$10,2,FALSE)))</f>
        <v/>
      </c>
      <c r="O113" s="281" t="str">
        <f>IF(OR(D113="",H113=""),"",(INDEX('G-6 Hedgerow Data'!$E$3:$I$15,MATCH(D113,'G-6 Hedgerow Data'!$B$3:$B$15,0),MATCH(H113,'G-6 Hedgerow Data'!$E$2:$I$2,0))))</f>
        <v/>
      </c>
      <c r="P113" s="137"/>
      <c r="Q113" s="137"/>
      <c r="R113" s="289" t="str">
        <f t="shared" si="8"/>
        <v/>
      </c>
      <c r="S113" s="302" t="str">
        <f t="shared" si="9"/>
        <v/>
      </c>
      <c r="T113" s="303" t="str">
        <f t="shared" si="7"/>
        <v/>
      </c>
      <c r="U113" s="317" t="str">
        <f>IF(D113="","",VLOOKUP(D113,'G-6 Hedgerow Data'!$B$3:$AG$15,31,FALSE))</f>
        <v/>
      </c>
      <c r="V113" s="301" t="str">
        <f t="shared" si="10"/>
        <v/>
      </c>
      <c r="W113" s="289" t="str">
        <f t="shared" si="11"/>
        <v/>
      </c>
      <c r="X113" s="305" t="str">
        <f>IF(F113="","",VLOOKUP(U113,'G-3 Multipliers'!$P$3:$Q$6,2,FALSE))</f>
        <v/>
      </c>
      <c r="Y113" s="309" t="str">
        <f t="shared" si="12"/>
        <v/>
      </c>
      <c r="Z113" s="309" t="str">
        <f t="shared" si="13"/>
        <v/>
      </c>
      <c r="AA113" s="105"/>
      <c r="AB113" s="968"/>
      <c r="AC113" s="142"/>
      <c r="AD113" s="142"/>
      <c r="AE113" s="964"/>
      <c r="AH113" s="30" t="str">
        <f>IFERROR(INDEX('G-6 Hedgerow Data'!$BJ$3:$BJ$15,MATCH(D113,'G-6 Hedgerow Data'!$B$3:$B$15,0)),"")</f>
        <v/>
      </c>
    </row>
    <row r="114" spans="2:34" ht="13.8" x14ac:dyDescent="0.25">
      <c r="B114" s="101">
        <v>103</v>
      </c>
      <c r="C114" s="175"/>
      <c r="D114" s="58"/>
      <c r="E114" s="142"/>
      <c r="F114" s="281" t="str">
        <f>IF(D114="","",VLOOKUP(D114,'G-6 Hedgerow Data'!$B$2:$AG$15,2,FALSE))</f>
        <v/>
      </c>
      <c r="G114" s="305" t="str">
        <f>IF(D114="","",VLOOKUP(D114,'G-6 Hedgerow Data'!$B$2:$AG$15,3,FALSE))</f>
        <v/>
      </c>
      <c r="H114" s="53"/>
      <c r="I114" s="282" t="str">
        <f>IFERROR(IF(H114="","",IF(AND(D114="Non-native and ornamental hedgerow", H114&lt;&gt;"Poor"),"Not possible ▲", (IF(AND(F114="V.Low",OR(H114="Good",H114="Moderate")),"Error ▲",VLOOKUP(H114,'G-1 All Habitats'!$Z$2:$AA$9,2,FALSE))))),"")</f>
        <v/>
      </c>
      <c r="J114" s="106"/>
      <c r="K114" s="301" t="str">
        <f>IF(J114="","",IF(VLOOKUP(J114,'G-3 Multipliers'!$L$3:$N$6,2,FALSE)=0,"Spatial Data Missing",VLOOKUP(J114,'G-3 Multipliers'!$L$3:$N$6,2,FALSE)))</f>
        <v/>
      </c>
      <c r="L114" s="305" t="str">
        <f>IF(J114="","",IF(VLOOKUP(J114,'G-3 Multipliers'!$L$3:$N$6,3,FALSE)=0,"Spatial Data Missing",VLOOKUP(J114,'G-3 Multipliers'!$L$3:$N$6,3,FALSE)))</f>
        <v/>
      </c>
      <c r="M114" s="138"/>
      <c r="N114" s="282" t="str">
        <f>IF(M114="","",IF(VLOOKUP(M114,'G-3 Multipliers'!$S$3:$T$10,2,FALSE)=0,"Spatial Data Missing ⚠",VLOOKUP(M114,'G-3 Multipliers'!$S$3:$T$10,2,FALSE)))</f>
        <v/>
      </c>
      <c r="O114" s="281" t="str">
        <f>IF(OR(D114="",H114=""),"",(INDEX('G-6 Hedgerow Data'!$E$3:$I$15,MATCH(D114,'G-6 Hedgerow Data'!$B$3:$B$15,0),MATCH(H114,'G-6 Hedgerow Data'!$E$2:$I$2,0))))</f>
        <v/>
      </c>
      <c r="P114" s="137"/>
      <c r="Q114" s="137"/>
      <c r="R114" s="289" t="str">
        <f t="shared" si="8"/>
        <v/>
      </c>
      <c r="S114" s="302" t="str">
        <f t="shared" si="9"/>
        <v/>
      </c>
      <c r="T114" s="303" t="str">
        <f t="shared" si="7"/>
        <v/>
      </c>
      <c r="U114" s="317" t="str">
        <f>IF(D114="","",VLOOKUP(D114,'G-6 Hedgerow Data'!$B$3:$AG$15,31,FALSE))</f>
        <v/>
      </c>
      <c r="V114" s="301" t="str">
        <f t="shared" si="10"/>
        <v/>
      </c>
      <c r="W114" s="289" t="str">
        <f t="shared" si="11"/>
        <v/>
      </c>
      <c r="X114" s="305" t="str">
        <f>IF(F114="","",VLOOKUP(U114,'G-3 Multipliers'!$P$3:$Q$6,2,FALSE))</f>
        <v/>
      </c>
      <c r="Y114" s="309" t="str">
        <f t="shared" si="12"/>
        <v/>
      </c>
      <c r="Z114" s="309" t="str">
        <f t="shared" si="13"/>
        <v/>
      </c>
      <c r="AA114" s="105"/>
      <c r="AB114" s="968"/>
      <c r="AC114" s="142"/>
      <c r="AD114" s="142"/>
      <c r="AE114" s="964"/>
      <c r="AH114" s="30" t="str">
        <f>IFERROR(INDEX('G-6 Hedgerow Data'!$BJ$3:$BJ$15,MATCH(D114,'G-6 Hedgerow Data'!$B$3:$B$15,0)),"")</f>
        <v/>
      </c>
    </row>
    <row r="115" spans="2:34" ht="13.8" x14ac:dyDescent="0.25">
      <c r="B115" s="101">
        <v>104</v>
      </c>
      <c r="C115" s="175"/>
      <c r="D115" s="58"/>
      <c r="E115" s="142"/>
      <c r="F115" s="281" t="str">
        <f>IF(D115="","",VLOOKUP(D115,'G-6 Hedgerow Data'!$B$2:$AG$15,2,FALSE))</f>
        <v/>
      </c>
      <c r="G115" s="305" t="str">
        <f>IF(D115="","",VLOOKUP(D115,'G-6 Hedgerow Data'!$B$2:$AG$15,3,FALSE))</f>
        <v/>
      </c>
      <c r="H115" s="53"/>
      <c r="I115" s="282" t="str">
        <f>IFERROR(IF(H115="","",IF(AND(D115="Non-native and ornamental hedgerow", H115&lt;&gt;"Poor"),"Not possible ▲", (IF(AND(F115="V.Low",OR(H115="Good",H115="Moderate")),"Error ▲",VLOOKUP(H115,'G-1 All Habitats'!$Z$2:$AA$9,2,FALSE))))),"")</f>
        <v/>
      </c>
      <c r="J115" s="106"/>
      <c r="K115" s="301" t="str">
        <f>IF(J115="","",IF(VLOOKUP(J115,'G-3 Multipliers'!$L$3:$N$6,2,FALSE)=0,"Spatial Data Missing",VLOOKUP(J115,'G-3 Multipliers'!$L$3:$N$6,2,FALSE)))</f>
        <v/>
      </c>
      <c r="L115" s="305" t="str">
        <f>IF(J115="","",IF(VLOOKUP(J115,'G-3 Multipliers'!$L$3:$N$6,3,FALSE)=0,"Spatial Data Missing",VLOOKUP(J115,'G-3 Multipliers'!$L$3:$N$6,3,FALSE)))</f>
        <v/>
      </c>
      <c r="M115" s="138"/>
      <c r="N115" s="282" t="str">
        <f>IF(M115="","",IF(VLOOKUP(M115,'G-3 Multipliers'!$S$3:$T$10,2,FALSE)=0,"Spatial Data Missing ⚠",VLOOKUP(M115,'G-3 Multipliers'!$S$3:$T$10,2,FALSE)))</f>
        <v/>
      </c>
      <c r="O115" s="281" t="str">
        <f>IF(OR(D115="",H115=""),"",(INDEX('G-6 Hedgerow Data'!$E$3:$I$15,MATCH(D115,'G-6 Hedgerow Data'!$B$3:$B$15,0),MATCH(H115,'G-6 Hedgerow Data'!$E$2:$I$2,0))))</f>
        <v/>
      </c>
      <c r="P115" s="137"/>
      <c r="Q115" s="137"/>
      <c r="R115" s="289" t="str">
        <f t="shared" si="8"/>
        <v/>
      </c>
      <c r="S115" s="302" t="str">
        <f t="shared" si="9"/>
        <v/>
      </c>
      <c r="T115" s="303" t="str">
        <f t="shared" si="7"/>
        <v/>
      </c>
      <c r="U115" s="317" t="str">
        <f>IF(D115="","",VLOOKUP(D115,'G-6 Hedgerow Data'!$B$3:$AG$15,31,FALSE))</f>
        <v/>
      </c>
      <c r="V115" s="301" t="str">
        <f t="shared" si="10"/>
        <v/>
      </c>
      <c r="W115" s="289" t="str">
        <f t="shared" si="11"/>
        <v/>
      </c>
      <c r="X115" s="305" t="str">
        <f>IF(F115="","",VLOOKUP(U115,'G-3 Multipliers'!$P$3:$Q$6,2,FALSE))</f>
        <v/>
      </c>
      <c r="Y115" s="309" t="str">
        <f t="shared" si="12"/>
        <v/>
      </c>
      <c r="Z115" s="309" t="str">
        <f t="shared" si="13"/>
        <v/>
      </c>
      <c r="AA115" s="105"/>
      <c r="AB115" s="968"/>
      <c r="AC115" s="142"/>
      <c r="AD115" s="142"/>
      <c r="AE115" s="964"/>
      <c r="AH115" s="30" t="str">
        <f>IFERROR(INDEX('G-6 Hedgerow Data'!$BJ$3:$BJ$15,MATCH(D115,'G-6 Hedgerow Data'!$B$3:$B$15,0)),"")</f>
        <v/>
      </c>
    </row>
    <row r="116" spans="2:34" ht="13.8" x14ac:dyDescent="0.25">
      <c r="B116" s="101">
        <v>105</v>
      </c>
      <c r="C116" s="175"/>
      <c r="D116" s="58"/>
      <c r="E116" s="142"/>
      <c r="F116" s="281" t="str">
        <f>IF(D116="","",VLOOKUP(D116,'G-6 Hedgerow Data'!$B$2:$AG$15,2,FALSE))</f>
        <v/>
      </c>
      <c r="G116" s="305" t="str">
        <f>IF(D116="","",VLOOKUP(D116,'G-6 Hedgerow Data'!$B$2:$AG$15,3,FALSE))</f>
        <v/>
      </c>
      <c r="H116" s="53"/>
      <c r="I116" s="282" t="str">
        <f>IFERROR(IF(H116="","",IF(AND(D116="Non-native and ornamental hedgerow", H116&lt;&gt;"Poor"),"Not possible ▲", (IF(AND(F116="V.Low",OR(H116="Good",H116="Moderate")),"Error ▲",VLOOKUP(H116,'G-1 All Habitats'!$Z$2:$AA$9,2,FALSE))))),"")</f>
        <v/>
      </c>
      <c r="J116" s="106"/>
      <c r="K116" s="301" t="str">
        <f>IF(J116="","",IF(VLOOKUP(J116,'G-3 Multipliers'!$L$3:$N$6,2,FALSE)=0,"Spatial Data Missing",VLOOKUP(J116,'G-3 Multipliers'!$L$3:$N$6,2,FALSE)))</f>
        <v/>
      </c>
      <c r="L116" s="305" t="str">
        <f>IF(J116="","",IF(VLOOKUP(J116,'G-3 Multipliers'!$L$3:$N$6,3,FALSE)=0,"Spatial Data Missing",VLOOKUP(J116,'G-3 Multipliers'!$L$3:$N$6,3,FALSE)))</f>
        <v/>
      </c>
      <c r="M116" s="138"/>
      <c r="N116" s="282" t="str">
        <f>IF(M116="","",IF(VLOOKUP(M116,'G-3 Multipliers'!$S$3:$T$10,2,FALSE)=0,"Spatial Data Missing ⚠",VLOOKUP(M116,'G-3 Multipliers'!$S$3:$T$10,2,FALSE)))</f>
        <v/>
      </c>
      <c r="O116" s="281" t="str">
        <f>IF(OR(D116="",H116=""),"",(INDEX('G-6 Hedgerow Data'!$E$3:$I$15,MATCH(D116,'G-6 Hedgerow Data'!$B$3:$B$15,0),MATCH(H116,'G-6 Hedgerow Data'!$E$2:$I$2,0))))</f>
        <v/>
      </c>
      <c r="P116" s="137"/>
      <c r="Q116" s="137"/>
      <c r="R116" s="289" t="str">
        <f t="shared" si="8"/>
        <v/>
      </c>
      <c r="S116" s="302" t="str">
        <f t="shared" si="9"/>
        <v/>
      </c>
      <c r="T116" s="303" t="str">
        <f t="shared" si="7"/>
        <v/>
      </c>
      <c r="U116" s="317" t="str">
        <f>IF(D116="","",VLOOKUP(D116,'G-6 Hedgerow Data'!$B$3:$AG$15,31,FALSE))</f>
        <v/>
      </c>
      <c r="V116" s="301" t="str">
        <f t="shared" si="10"/>
        <v/>
      </c>
      <c r="W116" s="289" t="str">
        <f t="shared" si="11"/>
        <v/>
      </c>
      <c r="X116" s="305" t="str">
        <f>IF(F116="","",VLOOKUP(U116,'G-3 Multipliers'!$P$3:$Q$6,2,FALSE))</f>
        <v/>
      </c>
      <c r="Y116" s="309" t="str">
        <f t="shared" si="12"/>
        <v/>
      </c>
      <c r="Z116" s="309" t="str">
        <f t="shared" si="13"/>
        <v/>
      </c>
      <c r="AA116" s="105"/>
      <c r="AB116" s="968"/>
      <c r="AC116" s="142"/>
      <c r="AD116" s="142"/>
      <c r="AE116" s="964"/>
      <c r="AH116" s="30" t="str">
        <f>IFERROR(INDEX('G-6 Hedgerow Data'!$BJ$3:$BJ$15,MATCH(D116,'G-6 Hedgerow Data'!$B$3:$B$15,0)),"")</f>
        <v/>
      </c>
    </row>
    <row r="117" spans="2:34" ht="13.8" x14ac:dyDescent="0.25">
      <c r="B117" s="101">
        <v>106</v>
      </c>
      <c r="C117" s="175"/>
      <c r="D117" s="58"/>
      <c r="E117" s="142"/>
      <c r="F117" s="281" t="str">
        <f>IF(D117="","",VLOOKUP(D117,'G-6 Hedgerow Data'!$B$2:$AG$15,2,FALSE))</f>
        <v/>
      </c>
      <c r="G117" s="305" t="str">
        <f>IF(D117="","",VLOOKUP(D117,'G-6 Hedgerow Data'!$B$2:$AG$15,3,FALSE))</f>
        <v/>
      </c>
      <c r="H117" s="53"/>
      <c r="I117" s="282" t="str">
        <f>IFERROR(IF(H117="","",IF(AND(D117="Non-native and ornamental hedgerow", H117&lt;&gt;"Poor"),"Not possible ▲", (IF(AND(F117="V.Low",OR(H117="Good",H117="Moderate")),"Error ▲",VLOOKUP(H117,'G-1 All Habitats'!$Z$2:$AA$9,2,FALSE))))),"")</f>
        <v/>
      </c>
      <c r="J117" s="106"/>
      <c r="K117" s="301" t="str">
        <f>IF(J117="","",IF(VLOOKUP(J117,'G-3 Multipliers'!$L$3:$N$6,2,FALSE)=0,"Spatial Data Missing",VLOOKUP(J117,'G-3 Multipliers'!$L$3:$N$6,2,FALSE)))</f>
        <v/>
      </c>
      <c r="L117" s="305" t="str">
        <f>IF(J117="","",IF(VLOOKUP(J117,'G-3 Multipliers'!$L$3:$N$6,3,FALSE)=0,"Spatial Data Missing",VLOOKUP(J117,'G-3 Multipliers'!$L$3:$N$6,3,FALSE)))</f>
        <v/>
      </c>
      <c r="M117" s="138"/>
      <c r="N117" s="282" t="str">
        <f>IF(M117="","",IF(VLOOKUP(M117,'G-3 Multipliers'!$S$3:$T$10,2,FALSE)=0,"Spatial Data Missing ⚠",VLOOKUP(M117,'G-3 Multipliers'!$S$3:$T$10,2,FALSE)))</f>
        <v/>
      </c>
      <c r="O117" s="281" t="str">
        <f>IF(OR(D117="",H117=""),"",(INDEX('G-6 Hedgerow Data'!$E$3:$I$15,MATCH(D117,'G-6 Hedgerow Data'!$B$3:$B$15,0),MATCH(H117,'G-6 Hedgerow Data'!$E$2:$I$2,0))))</f>
        <v/>
      </c>
      <c r="P117" s="137"/>
      <c r="Q117" s="137"/>
      <c r="R117" s="289" t="str">
        <f t="shared" si="8"/>
        <v/>
      </c>
      <c r="S117" s="302" t="str">
        <f t="shared" si="9"/>
        <v/>
      </c>
      <c r="T117" s="303" t="str">
        <f t="shared" si="7"/>
        <v/>
      </c>
      <c r="U117" s="317" t="str">
        <f>IF(D117="","",VLOOKUP(D117,'G-6 Hedgerow Data'!$B$3:$AG$15,31,FALSE))</f>
        <v/>
      </c>
      <c r="V117" s="301" t="str">
        <f t="shared" si="10"/>
        <v/>
      </c>
      <c r="W117" s="289" t="str">
        <f t="shared" si="11"/>
        <v/>
      </c>
      <c r="X117" s="305" t="str">
        <f>IF(F117="","",VLOOKUP(U117,'G-3 Multipliers'!$P$3:$Q$6,2,FALSE))</f>
        <v/>
      </c>
      <c r="Y117" s="309" t="str">
        <f t="shared" si="12"/>
        <v/>
      </c>
      <c r="Z117" s="309" t="str">
        <f t="shared" si="13"/>
        <v/>
      </c>
      <c r="AA117" s="105"/>
      <c r="AB117" s="968"/>
      <c r="AC117" s="142"/>
      <c r="AD117" s="142"/>
      <c r="AE117" s="964"/>
      <c r="AH117" s="30" t="str">
        <f>IFERROR(INDEX('G-6 Hedgerow Data'!$BJ$3:$BJ$15,MATCH(D117,'G-6 Hedgerow Data'!$B$3:$B$15,0)),"")</f>
        <v/>
      </c>
    </row>
    <row r="118" spans="2:34" ht="13.8" x14ac:dyDescent="0.25">
      <c r="B118" s="101">
        <v>107</v>
      </c>
      <c r="C118" s="175"/>
      <c r="D118" s="58"/>
      <c r="E118" s="142"/>
      <c r="F118" s="281" t="str">
        <f>IF(D118="","",VLOOKUP(D118,'G-6 Hedgerow Data'!$B$2:$AG$15,2,FALSE))</f>
        <v/>
      </c>
      <c r="G118" s="305" t="str">
        <f>IF(D118="","",VLOOKUP(D118,'G-6 Hedgerow Data'!$B$2:$AG$15,3,FALSE))</f>
        <v/>
      </c>
      <c r="H118" s="53"/>
      <c r="I118" s="282" t="str">
        <f>IFERROR(IF(H118="","",IF(AND(D118="Non-native and ornamental hedgerow", H118&lt;&gt;"Poor"),"Not possible ▲", (IF(AND(F118="V.Low",OR(H118="Good",H118="Moderate")),"Error ▲",VLOOKUP(H118,'G-1 All Habitats'!$Z$2:$AA$9,2,FALSE))))),"")</f>
        <v/>
      </c>
      <c r="J118" s="106"/>
      <c r="K118" s="301" t="str">
        <f>IF(J118="","",IF(VLOOKUP(J118,'G-3 Multipliers'!$L$3:$N$6,2,FALSE)=0,"Spatial Data Missing",VLOOKUP(J118,'G-3 Multipliers'!$L$3:$N$6,2,FALSE)))</f>
        <v/>
      </c>
      <c r="L118" s="305" t="str">
        <f>IF(J118="","",IF(VLOOKUP(J118,'G-3 Multipliers'!$L$3:$N$6,3,FALSE)=0,"Spatial Data Missing",VLOOKUP(J118,'G-3 Multipliers'!$L$3:$N$6,3,FALSE)))</f>
        <v/>
      </c>
      <c r="M118" s="138"/>
      <c r="N118" s="282" t="str">
        <f>IF(M118="","",IF(VLOOKUP(M118,'G-3 Multipliers'!$S$3:$T$10,2,FALSE)=0,"Spatial Data Missing ⚠",VLOOKUP(M118,'G-3 Multipliers'!$S$3:$T$10,2,FALSE)))</f>
        <v/>
      </c>
      <c r="O118" s="281" t="str">
        <f>IF(OR(D118="",H118=""),"",(INDEX('G-6 Hedgerow Data'!$E$3:$I$15,MATCH(D118,'G-6 Hedgerow Data'!$B$3:$B$15,0),MATCH(H118,'G-6 Hedgerow Data'!$E$2:$I$2,0))))</f>
        <v/>
      </c>
      <c r="P118" s="137"/>
      <c r="Q118" s="137"/>
      <c r="R118" s="289" t="str">
        <f t="shared" si="8"/>
        <v/>
      </c>
      <c r="S118" s="302" t="str">
        <f t="shared" si="9"/>
        <v/>
      </c>
      <c r="T118" s="303" t="str">
        <f t="shared" si="7"/>
        <v/>
      </c>
      <c r="U118" s="317" t="str">
        <f>IF(D118="","",VLOOKUP(D118,'G-6 Hedgerow Data'!$B$3:$AG$15,31,FALSE))</f>
        <v/>
      </c>
      <c r="V118" s="301" t="str">
        <f t="shared" si="10"/>
        <v/>
      </c>
      <c r="W118" s="289" t="str">
        <f t="shared" si="11"/>
        <v/>
      </c>
      <c r="X118" s="305" t="str">
        <f>IF(F118="","",VLOOKUP(U118,'G-3 Multipliers'!$P$3:$Q$6,2,FALSE))</f>
        <v/>
      </c>
      <c r="Y118" s="309" t="str">
        <f t="shared" si="12"/>
        <v/>
      </c>
      <c r="Z118" s="309" t="str">
        <f t="shared" si="13"/>
        <v/>
      </c>
      <c r="AA118" s="105"/>
      <c r="AB118" s="968"/>
      <c r="AC118" s="142"/>
      <c r="AD118" s="142"/>
      <c r="AE118" s="964"/>
      <c r="AH118" s="30" t="str">
        <f>IFERROR(INDEX('G-6 Hedgerow Data'!$BJ$3:$BJ$15,MATCH(D118,'G-6 Hedgerow Data'!$B$3:$B$15,0)),"")</f>
        <v/>
      </c>
    </row>
    <row r="119" spans="2:34" ht="13.8" x14ac:dyDescent="0.25">
      <c r="B119" s="101">
        <v>108</v>
      </c>
      <c r="C119" s="175"/>
      <c r="D119" s="58"/>
      <c r="E119" s="142"/>
      <c r="F119" s="281" t="str">
        <f>IF(D119="","",VLOOKUP(D119,'G-6 Hedgerow Data'!$B$2:$AG$15,2,FALSE))</f>
        <v/>
      </c>
      <c r="G119" s="305" t="str">
        <f>IF(D119="","",VLOOKUP(D119,'G-6 Hedgerow Data'!$B$2:$AG$15,3,FALSE))</f>
        <v/>
      </c>
      <c r="H119" s="53"/>
      <c r="I119" s="282" t="str">
        <f>IFERROR(IF(H119="","",IF(AND(D119="Non-native and ornamental hedgerow", H119&lt;&gt;"Poor"),"Not possible ▲", (IF(AND(F119="V.Low",OR(H119="Good",H119="Moderate")),"Error ▲",VLOOKUP(H119,'G-1 All Habitats'!$Z$2:$AA$9,2,FALSE))))),"")</f>
        <v/>
      </c>
      <c r="J119" s="106"/>
      <c r="K119" s="301" t="str">
        <f>IF(J119="","",IF(VLOOKUP(J119,'G-3 Multipliers'!$L$3:$N$6,2,FALSE)=0,"Spatial Data Missing",VLOOKUP(J119,'G-3 Multipliers'!$L$3:$N$6,2,FALSE)))</f>
        <v/>
      </c>
      <c r="L119" s="305" t="str">
        <f>IF(J119="","",IF(VLOOKUP(J119,'G-3 Multipliers'!$L$3:$N$6,3,FALSE)=0,"Spatial Data Missing",VLOOKUP(J119,'G-3 Multipliers'!$L$3:$N$6,3,FALSE)))</f>
        <v/>
      </c>
      <c r="M119" s="138"/>
      <c r="N119" s="282" t="str">
        <f>IF(M119="","",IF(VLOOKUP(M119,'G-3 Multipliers'!$S$3:$T$10,2,FALSE)=0,"Spatial Data Missing ⚠",VLOOKUP(M119,'G-3 Multipliers'!$S$3:$T$10,2,FALSE)))</f>
        <v/>
      </c>
      <c r="O119" s="281" t="str">
        <f>IF(OR(D119="",H119=""),"",(INDEX('G-6 Hedgerow Data'!$E$3:$I$15,MATCH(D119,'G-6 Hedgerow Data'!$B$3:$B$15,0),MATCH(H119,'G-6 Hedgerow Data'!$E$2:$I$2,0))))</f>
        <v/>
      </c>
      <c r="P119" s="137"/>
      <c r="Q119" s="137"/>
      <c r="R119" s="289" t="str">
        <f t="shared" si="8"/>
        <v/>
      </c>
      <c r="S119" s="302" t="str">
        <f t="shared" si="9"/>
        <v/>
      </c>
      <c r="T119" s="303" t="str">
        <f t="shared" si="7"/>
        <v/>
      </c>
      <c r="U119" s="317" t="str">
        <f>IF(D119="","",VLOOKUP(D119,'G-6 Hedgerow Data'!$B$3:$AG$15,31,FALSE))</f>
        <v/>
      </c>
      <c r="V119" s="301" t="str">
        <f t="shared" si="10"/>
        <v/>
      </c>
      <c r="W119" s="289" t="str">
        <f t="shared" si="11"/>
        <v/>
      </c>
      <c r="X119" s="305" t="str">
        <f>IF(F119="","",VLOOKUP(U119,'G-3 Multipliers'!$P$3:$Q$6,2,FALSE))</f>
        <v/>
      </c>
      <c r="Y119" s="309" t="str">
        <f t="shared" si="12"/>
        <v/>
      </c>
      <c r="Z119" s="309" t="str">
        <f t="shared" si="13"/>
        <v/>
      </c>
      <c r="AA119" s="105"/>
      <c r="AB119" s="968"/>
      <c r="AC119" s="142"/>
      <c r="AD119" s="142"/>
      <c r="AE119" s="964"/>
      <c r="AH119" s="30" t="str">
        <f>IFERROR(INDEX('G-6 Hedgerow Data'!$BJ$3:$BJ$15,MATCH(D119,'G-6 Hedgerow Data'!$B$3:$B$15,0)),"")</f>
        <v/>
      </c>
    </row>
    <row r="120" spans="2:34" ht="13.8" x14ac:dyDescent="0.25">
      <c r="B120" s="101">
        <v>109</v>
      </c>
      <c r="C120" s="175"/>
      <c r="D120" s="58"/>
      <c r="E120" s="142"/>
      <c r="F120" s="281" t="str">
        <f>IF(D120="","",VLOOKUP(D120,'G-6 Hedgerow Data'!$B$2:$AG$15,2,FALSE))</f>
        <v/>
      </c>
      <c r="G120" s="305" t="str">
        <f>IF(D120="","",VLOOKUP(D120,'G-6 Hedgerow Data'!$B$2:$AG$15,3,FALSE))</f>
        <v/>
      </c>
      <c r="H120" s="53"/>
      <c r="I120" s="282" t="str">
        <f>IFERROR(IF(H120="","",IF(AND(D120="Non-native and ornamental hedgerow", H120&lt;&gt;"Poor"),"Not possible ▲", (IF(AND(F120="V.Low",OR(H120="Good",H120="Moderate")),"Error ▲",VLOOKUP(H120,'G-1 All Habitats'!$Z$2:$AA$9,2,FALSE))))),"")</f>
        <v/>
      </c>
      <c r="J120" s="106"/>
      <c r="K120" s="301" t="str">
        <f>IF(J120="","",IF(VLOOKUP(J120,'G-3 Multipliers'!$L$3:$N$6,2,FALSE)=0,"Spatial Data Missing",VLOOKUP(J120,'G-3 Multipliers'!$L$3:$N$6,2,FALSE)))</f>
        <v/>
      </c>
      <c r="L120" s="305" t="str">
        <f>IF(J120="","",IF(VLOOKUP(J120,'G-3 Multipliers'!$L$3:$N$6,3,FALSE)=0,"Spatial Data Missing",VLOOKUP(J120,'G-3 Multipliers'!$L$3:$N$6,3,FALSE)))</f>
        <v/>
      </c>
      <c r="M120" s="138"/>
      <c r="N120" s="282" t="str">
        <f>IF(M120="","",IF(VLOOKUP(M120,'G-3 Multipliers'!$S$3:$T$10,2,FALSE)=0,"Spatial Data Missing ⚠",VLOOKUP(M120,'G-3 Multipliers'!$S$3:$T$10,2,FALSE)))</f>
        <v/>
      </c>
      <c r="O120" s="281" t="str">
        <f>IF(OR(D120="",H120=""),"",(INDEX('G-6 Hedgerow Data'!$E$3:$I$15,MATCH(D120,'G-6 Hedgerow Data'!$B$3:$B$15,0),MATCH(H120,'G-6 Hedgerow Data'!$E$2:$I$2,0))))</f>
        <v/>
      </c>
      <c r="P120" s="137"/>
      <c r="Q120" s="137"/>
      <c r="R120" s="289" t="str">
        <f t="shared" si="8"/>
        <v/>
      </c>
      <c r="S120" s="302" t="str">
        <f t="shared" si="9"/>
        <v/>
      </c>
      <c r="T120" s="303" t="str">
        <f t="shared" si="7"/>
        <v/>
      </c>
      <c r="U120" s="317" t="str">
        <f>IF(D120="","",VLOOKUP(D120,'G-6 Hedgerow Data'!$B$3:$AG$15,31,FALSE))</f>
        <v/>
      </c>
      <c r="V120" s="301" t="str">
        <f t="shared" si="10"/>
        <v/>
      </c>
      <c r="W120" s="289" t="str">
        <f t="shared" si="11"/>
        <v/>
      </c>
      <c r="X120" s="305" t="str">
        <f>IF(F120="","",VLOOKUP(U120,'G-3 Multipliers'!$P$3:$Q$6,2,FALSE))</f>
        <v/>
      </c>
      <c r="Y120" s="309" t="str">
        <f t="shared" si="12"/>
        <v/>
      </c>
      <c r="Z120" s="309" t="str">
        <f t="shared" si="13"/>
        <v/>
      </c>
      <c r="AA120" s="105"/>
      <c r="AB120" s="968"/>
      <c r="AC120" s="142"/>
      <c r="AD120" s="142"/>
      <c r="AE120" s="964"/>
      <c r="AH120" s="30" t="str">
        <f>IFERROR(INDEX('G-6 Hedgerow Data'!$BJ$3:$BJ$15,MATCH(D120,'G-6 Hedgerow Data'!$B$3:$B$15,0)),"")</f>
        <v/>
      </c>
    </row>
    <row r="121" spans="2:34" ht="13.8" x14ac:dyDescent="0.25">
      <c r="B121" s="101">
        <v>110</v>
      </c>
      <c r="C121" s="175"/>
      <c r="D121" s="58"/>
      <c r="E121" s="142"/>
      <c r="F121" s="281" t="str">
        <f>IF(D121="","",VLOOKUP(D121,'G-6 Hedgerow Data'!$B$2:$AG$15,2,FALSE))</f>
        <v/>
      </c>
      <c r="G121" s="305" t="str">
        <f>IF(D121="","",VLOOKUP(D121,'G-6 Hedgerow Data'!$B$2:$AG$15,3,FALSE))</f>
        <v/>
      </c>
      <c r="H121" s="53"/>
      <c r="I121" s="282" t="str">
        <f>IFERROR(IF(H121="","",IF(AND(D121="Non-native and ornamental hedgerow", H121&lt;&gt;"Poor"),"Not possible ▲", (IF(AND(F121="V.Low",OR(H121="Good",H121="Moderate")),"Error ▲",VLOOKUP(H121,'G-1 All Habitats'!$Z$2:$AA$9,2,FALSE))))),"")</f>
        <v/>
      </c>
      <c r="J121" s="106"/>
      <c r="K121" s="301" t="str">
        <f>IF(J121="","",IF(VLOOKUP(J121,'G-3 Multipliers'!$L$3:$N$6,2,FALSE)=0,"Spatial Data Missing",VLOOKUP(J121,'G-3 Multipliers'!$L$3:$N$6,2,FALSE)))</f>
        <v/>
      </c>
      <c r="L121" s="305" t="str">
        <f>IF(J121="","",IF(VLOOKUP(J121,'G-3 Multipliers'!$L$3:$N$6,3,FALSE)=0,"Spatial Data Missing",VLOOKUP(J121,'G-3 Multipliers'!$L$3:$N$6,3,FALSE)))</f>
        <v/>
      </c>
      <c r="M121" s="138"/>
      <c r="N121" s="282" t="str">
        <f>IF(M121="","",IF(VLOOKUP(M121,'G-3 Multipliers'!$S$3:$T$10,2,FALSE)=0,"Spatial Data Missing ⚠",VLOOKUP(M121,'G-3 Multipliers'!$S$3:$T$10,2,FALSE)))</f>
        <v/>
      </c>
      <c r="O121" s="281" t="str">
        <f>IF(OR(D121="",H121=""),"",(INDEX('G-6 Hedgerow Data'!$E$3:$I$15,MATCH(D121,'G-6 Hedgerow Data'!$B$3:$B$15,0),MATCH(H121,'G-6 Hedgerow Data'!$E$2:$I$2,0))))</f>
        <v/>
      </c>
      <c r="P121" s="137"/>
      <c r="Q121" s="137"/>
      <c r="R121" s="289" t="str">
        <f t="shared" si="8"/>
        <v/>
      </c>
      <c r="S121" s="302" t="str">
        <f t="shared" si="9"/>
        <v/>
      </c>
      <c r="T121" s="303" t="str">
        <f t="shared" si="7"/>
        <v/>
      </c>
      <c r="U121" s="317" t="str">
        <f>IF(D121="","",VLOOKUP(D121,'G-6 Hedgerow Data'!$B$3:$AG$15,31,FALSE))</f>
        <v/>
      </c>
      <c r="V121" s="301" t="str">
        <f t="shared" si="10"/>
        <v/>
      </c>
      <c r="W121" s="289" t="str">
        <f t="shared" si="11"/>
        <v/>
      </c>
      <c r="X121" s="305" t="str">
        <f>IF(F121="","",VLOOKUP(U121,'G-3 Multipliers'!$P$3:$Q$6,2,FALSE))</f>
        <v/>
      </c>
      <c r="Y121" s="309" t="str">
        <f t="shared" si="12"/>
        <v/>
      </c>
      <c r="Z121" s="309" t="str">
        <f t="shared" si="13"/>
        <v/>
      </c>
      <c r="AA121" s="105"/>
      <c r="AB121" s="968"/>
      <c r="AC121" s="142"/>
      <c r="AD121" s="142"/>
      <c r="AE121" s="964"/>
      <c r="AH121" s="30" t="str">
        <f>IFERROR(INDEX('G-6 Hedgerow Data'!$BJ$3:$BJ$15,MATCH(D121,'G-6 Hedgerow Data'!$B$3:$B$15,0)),"")</f>
        <v/>
      </c>
    </row>
    <row r="122" spans="2:34" ht="13.8" x14ac:dyDescent="0.25">
      <c r="B122" s="101">
        <v>111</v>
      </c>
      <c r="C122" s="175"/>
      <c r="D122" s="58"/>
      <c r="E122" s="142"/>
      <c r="F122" s="281" t="str">
        <f>IF(D122="","",VLOOKUP(D122,'G-6 Hedgerow Data'!$B$2:$AG$15,2,FALSE))</f>
        <v/>
      </c>
      <c r="G122" s="305" t="str">
        <f>IF(D122="","",VLOOKUP(D122,'G-6 Hedgerow Data'!$B$2:$AG$15,3,FALSE))</f>
        <v/>
      </c>
      <c r="H122" s="53"/>
      <c r="I122" s="282" t="str">
        <f>IFERROR(IF(H122="","",IF(AND(D122="Non-native and ornamental hedgerow", H122&lt;&gt;"Poor"),"Not possible ▲", (IF(AND(F122="V.Low",OR(H122="Good",H122="Moderate")),"Error ▲",VLOOKUP(H122,'G-1 All Habitats'!$Z$2:$AA$9,2,FALSE))))),"")</f>
        <v/>
      </c>
      <c r="J122" s="106"/>
      <c r="K122" s="301" t="str">
        <f>IF(J122="","",IF(VLOOKUP(J122,'G-3 Multipliers'!$L$3:$N$6,2,FALSE)=0,"Spatial Data Missing",VLOOKUP(J122,'G-3 Multipliers'!$L$3:$N$6,2,FALSE)))</f>
        <v/>
      </c>
      <c r="L122" s="305" t="str">
        <f>IF(J122="","",IF(VLOOKUP(J122,'G-3 Multipliers'!$L$3:$N$6,3,FALSE)=0,"Spatial Data Missing",VLOOKUP(J122,'G-3 Multipliers'!$L$3:$N$6,3,FALSE)))</f>
        <v/>
      </c>
      <c r="M122" s="138"/>
      <c r="N122" s="282" t="str">
        <f>IF(M122="","",IF(VLOOKUP(M122,'G-3 Multipliers'!$S$3:$T$10,2,FALSE)=0,"Spatial Data Missing ⚠",VLOOKUP(M122,'G-3 Multipliers'!$S$3:$T$10,2,FALSE)))</f>
        <v/>
      </c>
      <c r="O122" s="281" t="str">
        <f>IF(OR(D122="",H122=""),"",(INDEX('G-6 Hedgerow Data'!$E$3:$I$15,MATCH(D122,'G-6 Hedgerow Data'!$B$3:$B$15,0),MATCH(H122,'G-6 Hedgerow Data'!$E$2:$I$2,0))))</f>
        <v/>
      </c>
      <c r="P122" s="137"/>
      <c r="Q122" s="137"/>
      <c r="R122" s="289" t="str">
        <f t="shared" si="8"/>
        <v/>
      </c>
      <c r="S122" s="302" t="str">
        <f t="shared" si="9"/>
        <v/>
      </c>
      <c r="T122" s="303" t="str">
        <f t="shared" si="7"/>
        <v/>
      </c>
      <c r="U122" s="317" t="str">
        <f>IF(D122="","",VLOOKUP(D122,'G-6 Hedgerow Data'!$B$3:$AG$15,31,FALSE))</f>
        <v/>
      </c>
      <c r="V122" s="301" t="str">
        <f t="shared" si="10"/>
        <v/>
      </c>
      <c r="W122" s="289" t="str">
        <f t="shared" si="11"/>
        <v/>
      </c>
      <c r="X122" s="305" t="str">
        <f>IF(F122="","",VLOOKUP(U122,'G-3 Multipliers'!$P$3:$Q$6,2,FALSE))</f>
        <v/>
      </c>
      <c r="Y122" s="309" t="str">
        <f t="shared" si="12"/>
        <v/>
      </c>
      <c r="Z122" s="309" t="str">
        <f t="shared" si="13"/>
        <v/>
      </c>
      <c r="AA122" s="105"/>
      <c r="AB122" s="968"/>
      <c r="AC122" s="142"/>
      <c r="AD122" s="142"/>
      <c r="AE122" s="964"/>
      <c r="AH122" s="30" t="str">
        <f>IFERROR(INDEX('G-6 Hedgerow Data'!$BJ$3:$BJ$15,MATCH(D122,'G-6 Hedgerow Data'!$B$3:$B$15,0)),"")</f>
        <v/>
      </c>
    </row>
    <row r="123" spans="2:34" ht="13.8" x14ac:dyDescent="0.25">
      <c r="B123" s="101">
        <v>112</v>
      </c>
      <c r="C123" s="175"/>
      <c r="D123" s="58"/>
      <c r="E123" s="142"/>
      <c r="F123" s="281" t="str">
        <f>IF(D123="","",VLOOKUP(D123,'G-6 Hedgerow Data'!$B$2:$AG$15,2,FALSE))</f>
        <v/>
      </c>
      <c r="G123" s="305" t="str">
        <f>IF(D123="","",VLOOKUP(D123,'G-6 Hedgerow Data'!$B$2:$AG$15,3,FALSE))</f>
        <v/>
      </c>
      <c r="H123" s="53"/>
      <c r="I123" s="282" t="str">
        <f>IFERROR(IF(H123="","",IF(AND(D123="Non-native and ornamental hedgerow", H123&lt;&gt;"Poor"),"Not possible ▲", (IF(AND(F123="V.Low",OR(H123="Good",H123="Moderate")),"Error ▲",VLOOKUP(H123,'G-1 All Habitats'!$Z$2:$AA$9,2,FALSE))))),"")</f>
        <v/>
      </c>
      <c r="J123" s="106"/>
      <c r="K123" s="301" t="str">
        <f>IF(J123="","",IF(VLOOKUP(J123,'G-3 Multipliers'!$L$3:$N$6,2,FALSE)=0,"Spatial Data Missing",VLOOKUP(J123,'G-3 Multipliers'!$L$3:$N$6,2,FALSE)))</f>
        <v/>
      </c>
      <c r="L123" s="305" t="str">
        <f>IF(J123="","",IF(VLOOKUP(J123,'G-3 Multipliers'!$L$3:$N$6,3,FALSE)=0,"Spatial Data Missing",VLOOKUP(J123,'G-3 Multipliers'!$L$3:$N$6,3,FALSE)))</f>
        <v/>
      </c>
      <c r="M123" s="138"/>
      <c r="N123" s="282" t="str">
        <f>IF(M123="","",IF(VLOOKUP(M123,'G-3 Multipliers'!$S$3:$T$10,2,FALSE)=0,"Spatial Data Missing ⚠",VLOOKUP(M123,'G-3 Multipliers'!$S$3:$T$10,2,FALSE)))</f>
        <v/>
      </c>
      <c r="O123" s="281" t="str">
        <f>IF(OR(D123="",H123=""),"",(INDEX('G-6 Hedgerow Data'!$E$3:$I$15,MATCH(D123,'G-6 Hedgerow Data'!$B$3:$B$15,0),MATCH(H123,'G-6 Hedgerow Data'!$E$2:$I$2,0))))</f>
        <v/>
      </c>
      <c r="P123" s="137"/>
      <c r="Q123" s="137"/>
      <c r="R123" s="289" t="str">
        <f t="shared" si="8"/>
        <v/>
      </c>
      <c r="S123" s="302" t="str">
        <f t="shared" si="9"/>
        <v/>
      </c>
      <c r="T123" s="303" t="str">
        <f t="shared" si="7"/>
        <v/>
      </c>
      <c r="U123" s="317" t="str">
        <f>IF(D123="","",VLOOKUP(D123,'G-6 Hedgerow Data'!$B$3:$AG$15,31,FALSE))</f>
        <v/>
      </c>
      <c r="V123" s="301" t="str">
        <f t="shared" si="10"/>
        <v/>
      </c>
      <c r="W123" s="289" t="str">
        <f t="shared" si="11"/>
        <v/>
      </c>
      <c r="X123" s="305" t="str">
        <f>IF(F123="","",VLOOKUP(U123,'G-3 Multipliers'!$P$3:$Q$6,2,FALSE))</f>
        <v/>
      </c>
      <c r="Y123" s="309" t="str">
        <f t="shared" si="12"/>
        <v/>
      </c>
      <c r="Z123" s="309" t="str">
        <f t="shared" si="13"/>
        <v/>
      </c>
      <c r="AA123" s="105"/>
      <c r="AB123" s="968"/>
      <c r="AC123" s="142"/>
      <c r="AD123" s="142"/>
      <c r="AE123" s="964"/>
      <c r="AH123" s="30" t="str">
        <f>IFERROR(INDEX('G-6 Hedgerow Data'!$BJ$3:$BJ$15,MATCH(D123,'G-6 Hedgerow Data'!$B$3:$B$15,0)),"")</f>
        <v/>
      </c>
    </row>
    <row r="124" spans="2:34" ht="13.8" x14ac:dyDescent="0.25">
      <c r="B124" s="101">
        <v>113</v>
      </c>
      <c r="C124" s="175"/>
      <c r="D124" s="58"/>
      <c r="E124" s="142"/>
      <c r="F124" s="281" t="str">
        <f>IF(D124="","",VLOOKUP(D124,'G-6 Hedgerow Data'!$B$2:$AG$15,2,FALSE))</f>
        <v/>
      </c>
      <c r="G124" s="305" t="str">
        <f>IF(D124="","",VLOOKUP(D124,'G-6 Hedgerow Data'!$B$2:$AG$15,3,FALSE))</f>
        <v/>
      </c>
      <c r="H124" s="53"/>
      <c r="I124" s="282" t="str">
        <f>IFERROR(IF(H124="","",IF(AND(D124="Non-native and ornamental hedgerow", H124&lt;&gt;"Poor"),"Not possible ▲", (IF(AND(F124="V.Low",OR(H124="Good",H124="Moderate")),"Error ▲",VLOOKUP(H124,'G-1 All Habitats'!$Z$2:$AA$9,2,FALSE))))),"")</f>
        <v/>
      </c>
      <c r="J124" s="106"/>
      <c r="K124" s="301" t="str">
        <f>IF(J124="","",IF(VLOOKUP(J124,'G-3 Multipliers'!$L$3:$N$6,2,FALSE)=0,"Spatial Data Missing",VLOOKUP(J124,'G-3 Multipliers'!$L$3:$N$6,2,FALSE)))</f>
        <v/>
      </c>
      <c r="L124" s="305" t="str">
        <f>IF(J124="","",IF(VLOOKUP(J124,'G-3 Multipliers'!$L$3:$N$6,3,FALSE)=0,"Spatial Data Missing",VLOOKUP(J124,'G-3 Multipliers'!$L$3:$N$6,3,FALSE)))</f>
        <v/>
      </c>
      <c r="M124" s="138"/>
      <c r="N124" s="282" t="str">
        <f>IF(M124="","",IF(VLOOKUP(M124,'G-3 Multipliers'!$S$3:$T$10,2,FALSE)=0,"Spatial Data Missing ⚠",VLOOKUP(M124,'G-3 Multipliers'!$S$3:$T$10,2,FALSE)))</f>
        <v/>
      </c>
      <c r="O124" s="281" t="str">
        <f>IF(OR(D124="",H124=""),"",(INDEX('G-6 Hedgerow Data'!$E$3:$I$15,MATCH(D124,'G-6 Hedgerow Data'!$B$3:$B$15,0),MATCH(H124,'G-6 Hedgerow Data'!$E$2:$I$2,0))))</f>
        <v/>
      </c>
      <c r="P124" s="137"/>
      <c r="Q124" s="137"/>
      <c r="R124" s="289" t="str">
        <f t="shared" si="8"/>
        <v/>
      </c>
      <c r="S124" s="302" t="str">
        <f t="shared" si="9"/>
        <v/>
      </c>
      <c r="T124" s="303" t="str">
        <f t="shared" si="7"/>
        <v/>
      </c>
      <c r="U124" s="317" t="str">
        <f>IF(D124="","",VLOOKUP(D124,'G-6 Hedgerow Data'!$B$3:$AG$15,31,FALSE))</f>
        <v/>
      </c>
      <c r="V124" s="301" t="str">
        <f t="shared" si="10"/>
        <v/>
      </c>
      <c r="W124" s="289" t="str">
        <f t="shared" si="11"/>
        <v/>
      </c>
      <c r="X124" s="305" t="str">
        <f>IF(F124="","",VLOOKUP(U124,'G-3 Multipliers'!$P$3:$Q$6,2,FALSE))</f>
        <v/>
      </c>
      <c r="Y124" s="309" t="str">
        <f t="shared" si="12"/>
        <v/>
      </c>
      <c r="Z124" s="309" t="str">
        <f t="shared" si="13"/>
        <v/>
      </c>
      <c r="AA124" s="105"/>
      <c r="AB124" s="968"/>
      <c r="AC124" s="142"/>
      <c r="AD124" s="142"/>
      <c r="AE124" s="964"/>
      <c r="AH124" s="30" t="str">
        <f>IFERROR(INDEX('G-6 Hedgerow Data'!$BJ$3:$BJ$15,MATCH(D124,'G-6 Hedgerow Data'!$B$3:$B$15,0)),"")</f>
        <v/>
      </c>
    </row>
    <row r="125" spans="2:34" ht="13.8" x14ac:dyDescent="0.25">
      <c r="B125" s="101">
        <v>114</v>
      </c>
      <c r="C125" s="175"/>
      <c r="D125" s="58"/>
      <c r="E125" s="142"/>
      <c r="F125" s="281" t="str">
        <f>IF(D125="","",VLOOKUP(D125,'G-6 Hedgerow Data'!$B$2:$AG$15,2,FALSE))</f>
        <v/>
      </c>
      <c r="G125" s="305" t="str">
        <f>IF(D125="","",VLOOKUP(D125,'G-6 Hedgerow Data'!$B$2:$AG$15,3,FALSE))</f>
        <v/>
      </c>
      <c r="H125" s="53"/>
      <c r="I125" s="282" t="str">
        <f>IFERROR(IF(H125="","",IF(AND(D125="Non-native and ornamental hedgerow", H125&lt;&gt;"Poor"),"Not possible ▲", (IF(AND(F125="V.Low",OR(H125="Good",H125="Moderate")),"Error ▲",VLOOKUP(H125,'G-1 All Habitats'!$Z$2:$AA$9,2,FALSE))))),"")</f>
        <v/>
      </c>
      <c r="J125" s="106"/>
      <c r="K125" s="301" t="str">
        <f>IF(J125="","",IF(VLOOKUP(J125,'G-3 Multipliers'!$L$3:$N$6,2,FALSE)=0,"Spatial Data Missing",VLOOKUP(J125,'G-3 Multipliers'!$L$3:$N$6,2,FALSE)))</f>
        <v/>
      </c>
      <c r="L125" s="305" t="str">
        <f>IF(J125="","",IF(VLOOKUP(J125,'G-3 Multipliers'!$L$3:$N$6,3,FALSE)=0,"Spatial Data Missing",VLOOKUP(J125,'G-3 Multipliers'!$L$3:$N$6,3,FALSE)))</f>
        <v/>
      </c>
      <c r="M125" s="138"/>
      <c r="N125" s="282" t="str">
        <f>IF(M125="","",IF(VLOOKUP(M125,'G-3 Multipliers'!$S$3:$T$10,2,FALSE)=0,"Spatial Data Missing ⚠",VLOOKUP(M125,'G-3 Multipliers'!$S$3:$T$10,2,FALSE)))</f>
        <v/>
      </c>
      <c r="O125" s="281" t="str">
        <f>IF(OR(D125="",H125=""),"",(INDEX('G-6 Hedgerow Data'!$E$3:$I$15,MATCH(D125,'G-6 Hedgerow Data'!$B$3:$B$15,0),MATCH(H125,'G-6 Hedgerow Data'!$E$2:$I$2,0))))</f>
        <v/>
      </c>
      <c r="P125" s="137"/>
      <c r="Q125" s="137"/>
      <c r="R125" s="289" t="str">
        <f t="shared" si="8"/>
        <v/>
      </c>
      <c r="S125" s="302" t="str">
        <f t="shared" si="9"/>
        <v/>
      </c>
      <c r="T125" s="303" t="str">
        <f t="shared" si="7"/>
        <v/>
      </c>
      <c r="U125" s="317" t="str">
        <f>IF(D125="","",VLOOKUP(D125,'G-6 Hedgerow Data'!$B$3:$AG$15,31,FALSE))</f>
        <v/>
      </c>
      <c r="V125" s="301" t="str">
        <f t="shared" si="10"/>
        <v/>
      </c>
      <c r="W125" s="289" t="str">
        <f t="shared" si="11"/>
        <v/>
      </c>
      <c r="X125" s="305" t="str">
        <f>IF(F125="","",VLOOKUP(U125,'G-3 Multipliers'!$P$3:$Q$6,2,FALSE))</f>
        <v/>
      </c>
      <c r="Y125" s="309" t="str">
        <f t="shared" si="12"/>
        <v/>
      </c>
      <c r="Z125" s="309" t="str">
        <f t="shared" si="13"/>
        <v/>
      </c>
      <c r="AA125" s="105"/>
      <c r="AB125" s="968"/>
      <c r="AC125" s="142"/>
      <c r="AD125" s="142"/>
      <c r="AE125" s="964"/>
      <c r="AH125" s="30" t="str">
        <f>IFERROR(INDEX('G-6 Hedgerow Data'!$BJ$3:$BJ$15,MATCH(D125,'G-6 Hedgerow Data'!$B$3:$B$15,0)),"")</f>
        <v/>
      </c>
    </row>
    <row r="126" spans="2:34" ht="13.8" x14ac:dyDescent="0.25">
      <c r="B126" s="101">
        <v>115</v>
      </c>
      <c r="C126" s="175"/>
      <c r="D126" s="58"/>
      <c r="E126" s="142"/>
      <c r="F126" s="281" t="str">
        <f>IF(D126="","",VLOOKUP(D126,'G-6 Hedgerow Data'!$B$2:$AG$15,2,FALSE))</f>
        <v/>
      </c>
      <c r="G126" s="305" t="str">
        <f>IF(D126="","",VLOOKUP(D126,'G-6 Hedgerow Data'!$B$2:$AG$15,3,FALSE))</f>
        <v/>
      </c>
      <c r="H126" s="53"/>
      <c r="I126" s="282" t="str">
        <f>IFERROR(IF(H126="","",IF(AND(D126="Non-native and ornamental hedgerow", H126&lt;&gt;"Poor"),"Not possible ▲", (IF(AND(F126="V.Low",OR(H126="Good",H126="Moderate")),"Error ▲",VLOOKUP(H126,'G-1 All Habitats'!$Z$2:$AA$9,2,FALSE))))),"")</f>
        <v/>
      </c>
      <c r="J126" s="106"/>
      <c r="K126" s="301" t="str">
        <f>IF(J126="","",IF(VLOOKUP(J126,'G-3 Multipliers'!$L$3:$N$6,2,FALSE)=0,"Spatial Data Missing",VLOOKUP(J126,'G-3 Multipliers'!$L$3:$N$6,2,FALSE)))</f>
        <v/>
      </c>
      <c r="L126" s="305" t="str">
        <f>IF(J126="","",IF(VLOOKUP(J126,'G-3 Multipliers'!$L$3:$N$6,3,FALSE)=0,"Spatial Data Missing",VLOOKUP(J126,'G-3 Multipliers'!$L$3:$N$6,3,FALSE)))</f>
        <v/>
      </c>
      <c r="M126" s="138"/>
      <c r="N126" s="282" t="str">
        <f>IF(M126="","",IF(VLOOKUP(M126,'G-3 Multipliers'!$S$3:$T$10,2,FALSE)=0,"Spatial Data Missing ⚠",VLOOKUP(M126,'G-3 Multipliers'!$S$3:$T$10,2,FALSE)))</f>
        <v/>
      </c>
      <c r="O126" s="281" t="str">
        <f>IF(OR(D126="",H126=""),"",(INDEX('G-6 Hedgerow Data'!$E$3:$I$15,MATCH(D126,'G-6 Hedgerow Data'!$B$3:$B$15,0),MATCH(H126,'G-6 Hedgerow Data'!$E$2:$I$2,0))))</f>
        <v/>
      </c>
      <c r="P126" s="137"/>
      <c r="Q126" s="137"/>
      <c r="R126" s="289" t="str">
        <f t="shared" si="8"/>
        <v/>
      </c>
      <c r="S126" s="302" t="str">
        <f t="shared" si="9"/>
        <v/>
      </c>
      <c r="T126" s="303" t="str">
        <f t="shared" si="7"/>
        <v/>
      </c>
      <c r="U126" s="317" t="str">
        <f>IF(D126="","",VLOOKUP(D126,'G-6 Hedgerow Data'!$B$3:$AG$15,31,FALSE))</f>
        <v/>
      </c>
      <c r="V126" s="301" t="str">
        <f t="shared" si="10"/>
        <v/>
      </c>
      <c r="W126" s="289" t="str">
        <f t="shared" si="11"/>
        <v/>
      </c>
      <c r="X126" s="305" t="str">
        <f>IF(F126="","",VLOOKUP(U126,'G-3 Multipliers'!$P$3:$Q$6,2,FALSE))</f>
        <v/>
      </c>
      <c r="Y126" s="309" t="str">
        <f t="shared" si="12"/>
        <v/>
      </c>
      <c r="Z126" s="309" t="str">
        <f t="shared" si="13"/>
        <v/>
      </c>
      <c r="AA126" s="105"/>
      <c r="AB126" s="968"/>
      <c r="AC126" s="142"/>
      <c r="AD126" s="142"/>
      <c r="AE126" s="964"/>
      <c r="AH126" s="30" t="str">
        <f>IFERROR(INDEX('G-6 Hedgerow Data'!$BJ$3:$BJ$15,MATCH(D126,'G-6 Hedgerow Data'!$B$3:$B$15,0)),"")</f>
        <v/>
      </c>
    </row>
    <row r="127" spans="2:34" ht="13.8" x14ac:dyDescent="0.25">
      <c r="B127" s="101">
        <v>116</v>
      </c>
      <c r="C127" s="175"/>
      <c r="D127" s="58"/>
      <c r="E127" s="142"/>
      <c r="F127" s="281" t="str">
        <f>IF(D127="","",VLOOKUP(D127,'G-6 Hedgerow Data'!$B$2:$AG$15,2,FALSE))</f>
        <v/>
      </c>
      <c r="G127" s="305" t="str">
        <f>IF(D127="","",VLOOKUP(D127,'G-6 Hedgerow Data'!$B$2:$AG$15,3,FALSE))</f>
        <v/>
      </c>
      <c r="H127" s="53"/>
      <c r="I127" s="282" t="str">
        <f>IFERROR(IF(H127="","",IF(AND(D127="Non-native and ornamental hedgerow", H127&lt;&gt;"Poor"),"Not possible ▲", (IF(AND(F127="V.Low",OR(H127="Good",H127="Moderate")),"Error ▲",VLOOKUP(H127,'G-1 All Habitats'!$Z$2:$AA$9,2,FALSE))))),"")</f>
        <v/>
      </c>
      <c r="J127" s="106"/>
      <c r="K127" s="301" t="str">
        <f>IF(J127="","",IF(VLOOKUP(J127,'G-3 Multipliers'!$L$3:$N$6,2,FALSE)=0,"Spatial Data Missing",VLOOKUP(J127,'G-3 Multipliers'!$L$3:$N$6,2,FALSE)))</f>
        <v/>
      </c>
      <c r="L127" s="305" t="str">
        <f>IF(J127="","",IF(VLOOKUP(J127,'G-3 Multipliers'!$L$3:$N$6,3,FALSE)=0,"Spatial Data Missing",VLOOKUP(J127,'G-3 Multipliers'!$L$3:$N$6,3,FALSE)))</f>
        <v/>
      </c>
      <c r="M127" s="138"/>
      <c r="N127" s="282" t="str">
        <f>IF(M127="","",IF(VLOOKUP(M127,'G-3 Multipliers'!$S$3:$T$10,2,FALSE)=0,"Spatial Data Missing ⚠",VLOOKUP(M127,'G-3 Multipliers'!$S$3:$T$10,2,FALSE)))</f>
        <v/>
      </c>
      <c r="O127" s="281" t="str">
        <f>IF(OR(D127="",H127=""),"",(INDEX('G-6 Hedgerow Data'!$E$3:$I$15,MATCH(D127,'G-6 Hedgerow Data'!$B$3:$B$15,0),MATCH(H127,'G-6 Hedgerow Data'!$E$2:$I$2,0))))</f>
        <v/>
      </c>
      <c r="P127" s="137"/>
      <c r="Q127" s="137"/>
      <c r="R127" s="289" t="str">
        <f t="shared" si="8"/>
        <v/>
      </c>
      <c r="S127" s="302" t="str">
        <f t="shared" si="9"/>
        <v/>
      </c>
      <c r="T127" s="303" t="str">
        <f t="shared" si="7"/>
        <v/>
      </c>
      <c r="U127" s="317" t="str">
        <f>IF(D127="","",VLOOKUP(D127,'G-6 Hedgerow Data'!$B$3:$AG$15,31,FALSE))</f>
        <v/>
      </c>
      <c r="V127" s="301" t="str">
        <f t="shared" si="10"/>
        <v/>
      </c>
      <c r="W127" s="289" t="str">
        <f t="shared" si="11"/>
        <v/>
      </c>
      <c r="X127" s="305" t="str">
        <f>IF(F127="","",VLOOKUP(U127,'G-3 Multipliers'!$P$3:$Q$6,2,FALSE))</f>
        <v/>
      </c>
      <c r="Y127" s="309" t="str">
        <f t="shared" si="12"/>
        <v/>
      </c>
      <c r="Z127" s="309" t="str">
        <f t="shared" si="13"/>
        <v/>
      </c>
      <c r="AA127" s="105"/>
      <c r="AB127" s="968"/>
      <c r="AC127" s="142"/>
      <c r="AD127" s="142"/>
      <c r="AE127" s="964"/>
      <c r="AH127" s="30" t="str">
        <f>IFERROR(INDEX('G-6 Hedgerow Data'!$BJ$3:$BJ$15,MATCH(D127,'G-6 Hedgerow Data'!$B$3:$B$15,0)),"")</f>
        <v/>
      </c>
    </row>
    <row r="128" spans="2:34" ht="13.8" x14ac:dyDescent="0.25">
      <c r="B128" s="101">
        <v>117</v>
      </c>
      <c r="C128" s="175"/>
      <c r="D128" s="58"/>
      <c r="E128" s="142"/>
      <c r="F128" s="281" t="str">
        <f>IF(D128="","",VLOOKUP(D128,'G-6 Hedgerow Data'!$B$2:$AG$15,2,FALSE))</f>
        <v/>
      </c>
      <c r="G128" s="305" t="str">
        <f>IF(D128="","",VLOOKUP(D128,'G-6 Hedgerow Data'!$B$2:$AG$15,3,FALSE))</f>
        <v/>
      </c>
      <c r="H128" s="53"/>
      <c r="I128" s="282" t="str">
        <f>IFERROR(IF(H128="","",IF(AND(D128="Non-native and ornamental hedgerow", H128&lt;&gt;"Poor"),"Not possible ▲", (IF(AND(F128="V.Low",OR(H128="Good",H128="Moderate")),"Error ▲",VLOOKUP(H128,'G-1 All Habitats'!$Z$2:$AA$9,2,FALSE))))),"")</f>
        <v/>
      </c>
      <c r="J128" s="106"/>
      <c r="K128" s="301" t="str">
        <f>IF(J128="","",IF(VLOOKUP(J128,'G-3 Multipliers'!$L$3:$N$6,2,FALSE)=0,"Spatial Data Missing",VLOOKUP(J128,'G-3 Multipliers'!$L$3:$N$6,2,FALSE)))</f>
        <v/>
      </c>
      <c r="L128" s="305" t="str">
        <f>IF(J128="","",IF(VLOOKUP(J128,'G-3 Multipliers'!$L$3:$N$6,3,FALSE)=0,"Spatial Data Missing",VLOOKUP(J128,'G-3 Multipliers'!$L$3:$N$6,3,FALSE)))</f>
        <v/>
      </c>
      <c r="M128" s="138"/>
      <c r="N128" s="282" t="str">
        <f>IF(M128="","",IF(VLOOKUP(M128,'G-3 Multipliers'!$S$3:$T$10,2,FALSE)=0,"Spatial Data Missing ⚠",VLOOKUP(M128,'G-3 Multipliers'!$S$3:$T$10,2,FALSE)))</f>
        <v/>
      </c>
      <c r="O128" s="281" t="str">
        <f>IF(OR(D128="",H128=""),"",(INDEX('G-6 Hedgerow Data'!$E$3:$I$15,MATCH(D128,'G-6 Hedgerow Data'!$B$3:$B$15,0),MATCH(H128,'G-6 Hedgerow Data'!$E$2:$I$2,0))))</f>
        <v/>
      </c>
      <c r="P128" s="137"/>
      <c r="Q128" s="137"/>
      <c r="R128" s="289" t="str">
        <f t="shared" si="8"/>
        <v/>
      </c>
      <c r="S128" s="302" t="str">
        <f t="shared" si="9"/>
        <v/>
      </c>
      <c r="T128" s="303" t="str">
        <f t="shared" si="7"/>
        <v/>
      </c>
      <c r="U128" s="317" t="str">
        <f>IF(D128="","",VLOOKUP(D128,'G-6 Hedgerow Data'!$B$3:$AG$15,31,FALSE))</f>
        <v/>
      </c>
      <c r="V128" s="301" t="str">
        <f t="shared" si="10"/>
        <v/>
      </c>
      <c r="W128" s="289" t="str">
        <f t="shared" si="11"/>
        <v/>
      </c>
      <c r="X128" s="305" t="str">
        <f>IF(F128="","",VLOOKUP(U128,'G-3 Multipliers'!$P$3:$Q$6,2,FALSE))</f>
        <v/>
      </c>
      <c r="Y128" s="309" t="str">
        <f t="shared" si="12"/>
        <v/>
      </c>
      <c r="Z128" s="309" t="str">
        <f t="shared" si="13"/>
        <v/>
      </c>
      <c r="AA128" s="105"/>
      <c r="AB128" s="968"/>
      <c r="AC128" s="142"/>
      <c r="AD128" s="142"/>
      <c r="AE128" s="964"/>
      <c r="AH128" s="30" t="str">
        <f>IFERROR(INDEX('G-6 Hedgerow Data'!$BJ$3:$BJ$15,MATCH(D128,'G-6 Hedgerow Data'!$B$3:$B$15,0)),"")</f>
        <v/>
      </c>
    </row>
    <row r="129" spans="2:34" ht="13.8" x14ac:dyDescent="0.25">
      <c r="B129" s="101">
        <v>118</v>
      </c>
      <c r="C129" s="175"/>
      <c r="D129" s="58"/>
      <c r="E129" s="142"/>
      <c r="F129" s="281" t="str">
        <f>IF(D129="","",VLOOKUP(D129,'G-6 Hedgerow Data'!$B$2:$AG$15,2,FALSE))</f>
        <v/>
      </c>
      <c r="G129" s="305" t="str">
        <f>IF(D129="","",VLOOKUP(D129,'G-6 Hedgerow Data'!$B$2:$AG$15,3,FALSE))</f>
        <v/>
      </c>
      <c r="H129" s="53"/>
      <c r="I129" s="282" t="str">
        <f>IFERROR(IF(H129="","",IF(AND(D129="Non-native and ornamental hedgerow", H129&lt;&gt;"Poor"),"Not possible ▲", (IF(AND(F129="V.Low",OR(H129="Good",H129="Moderate")),"Error ▲",VLOOKUP(H129,'G-1 All Habitats'!$Z$2:$AA$9,2,FALSE))))),"")</f>
        <v/>
      </c>
      <c r="J129" s="106"/>
      <c r="K129" s="301" t="str">
        <f>IF(J129="","",IF(VLOOKUP(J129,'G-3 Multipliers'!$L$3:$N$6,2,FALSE)=0,"Spatial Data Missing",VLOOKUP(J129,'G-3 Multipliers'!$L$3:$N$6,2,FALSE)))</f>
        <v/>
      </c>
      <c r="L129" s="305" t="str">
        <f>IF(J129="","",IF(VLOOKUP(J129,'G-3 Multipliers'!$L$3:$N$6,3,FALSE)=0,"Spatial Data Missing",VLOOKUP(J129,'G-3 Multipliers'!$L$3:$N$6,3,FALSE)))</f>
        <v/>
      </c>
      <c r="M129" s="138"/>
      <c r="N129" s="282" t="str">
        <f>IF(M129="","",IF(VLOOKUP(M129,'G-3 Multipliers'!$S$3:$T$10,2,FALSE)=0,"Spatial Data Missing ⚠",VLOOKUP(M129,'G-3 Multipliers'!$S$3:$T$10,2,FALSE)))</f>
        <v/>
      </c>
      <c r="O129" s="281" t="str">
        <f>IF(OR(D129="",H129=""),"",(INDEX('G-6 Hedgerow Data'!$E$3:$I$15,MATCH(D129,'G-6 Hedgerow Data'!$B$3:$B$15,0),MATCH(H129,'G-6 Hedgerow Data'!$E$2:$I$2,0))))</f>
        <v/>
      </c>
      <c r="P129" s="137"/>
      <c r="Q129" s="137"/>
      <c r="R129" s="289" t="str">
        <f t="shared" si="8"/>
        <v/>
      </c>
      <c r="S129" s="302" t="str">
        <f t="shared" si="9"/>
        <v/>
      </c>
      <c r="T129" s="303" t="str">
        <f t="shared" si="7"/>
        <v/>
      </c>
      <c r="U129" s="317" t="str">
        <f>IF(D129="","",VLOOKUP(D129,'G-6 Hedgerow Data'!$B$3:$AG$15,31,FALSE))</f>
        <v/>
      </c>
      <c r="V129" s="301" t="str">
        <f t="shared" si="10"/>
        <v/>
      </c>
      <c r="W129" s="289" t="str">
        <f t="shared" si="11"/>
        <v/>
      </c>
      <c r="X129" s="305" t="str">
        <f>IF(F129="","",VLOOKUP(U129,'G-3 Multipliers'!$P$3:$Q$6,2,FALSE))</f>
        <v/>
      </c>
      <c r="Y129" s="309" t="str">
        <f t="shared" si="12"/>
        <v/>
      </c>
      <c r="Z129" s="309" t="str">
        <f t="shared" si="13"/>
        <v/>
      </c>
      <c r="AA129" s="105"/>
      <c r="AB129" s="968"/>
      <c r="AC129" s="142"/>
      <c r="AD129" s="142"/>
      <c r="AE129" s="964"/>
      <c r="AH129" s="30" t="str">
        <f>IFERROR(INDEX('G-6 Hedgerow Data'!$BJ$3:$BJ$15,MATCH(D129,'G-6 Hedgerow Data'!$B$3:$B$15,0)),"")</f>
        <v/>
      </c>
    </row>
    <row r="130" spans="2:34" ht="13.8" x14ac:dyDescent="0.25">
      <c r="B130" s="101">
        <v>119</v>
      </c>
      <c r="C130" s="175"/>
      <c r="D130" s="58"/>
      <c r="E130" s="142"/>
      <c r="F130" s="281" t="str">
        <f>IF(D130="","",VLOOKUP(D130,'G-6 Hedgerow Data'!$B$2:$AG$15,2,FALSE))</f>
        <v/>
      </c>
      <c r="G130" s="305" t="str">
        <f>IF(D130="","",VLOOKUP(D130,'G-6 Hedgerow Data'!$B$2:$AG$15,3,FALSE))</f>
        <v/>
      </c>
      <c r="H130" s="53"/>
      <c r="I130" s="282" t="str">
        <f>IFERROR(IF(H130="","",IF(AND(D130="Non-native and ornamental hedgerow", H130&lt;&gt;"Poor"),"Not possible ▲", (IF(AND(F130="V.Low",OR(H130="Good",H130="Moderate")),"Error ▲",VLOOKUP(H130,'G-1 All Habitats'!$Z$2:$AA$9,2,FALSE))))),"")</f>
        <v/>
      </c>
      <c r="J130" s="106"/>
      <c r="K130" s="301" t="str">
        <f>IF(J130="","",IF(VLOOKUP(J130,'G-3 Multipliers'!$L$3:$N$6,2,FALSE)=0,"Spatial Data Missing",VLOOKUP(J130,'G-3 Multipliers'!$L$3:$N$6,2,FALSE)))</f>
        <v/>
      </c>
      <c r="L130" s="305" t="str">
        <f>IF(J130="","",IF(VLOOKUP(J130,'G-3 Multipliers'!$L$3:$N$6,3,FALSE)=0,"Spatial Data Missing",VLOOKUP(J130,'G-3 Multipliers'!$L$3:$N$6,3,FALSE)))</f>
        <v/>
      </c>
      <c r="M130" s="138"/>
      <c r="N130" s="282" t="str">
        <f>IF(M130="","",IF(VLOOKUP(M130,'G-3 Multipliers'!$S$3:$T$10,2,FALSE)=0,"Spatial Data Missing ⚠",VLOOKUP(M130,'G-3 Multipliers'!$S$3:$T$10,2,FALSE)))</f>
        <v/>
      </c>
      <c r="O130" s="281" t="str">
        <f>IF(OR(D130="",H130=""),"",(INDEX('G-6 Hedgerow Data'!$E$3:$I$15,MATCH(D130,'G-6 Hedgerow Data'!$B$3:$B$15,0),MATCH(H130,'G-6 Hedgerow Data'!$E$2:$I$2,0))))</f>
        <v/>
      </c>
      <c r="P130" s="137"/>
      <c r="Q130" s="137"/>
      <c r="R130" s="289" t="str">
        <f t="shared" si="8"/>
        <v/>
      </c>
      <c r="S130" s="302" t="str">
        <f t="shared" si="9"/>
        <v/>
      </c>
      <c r="T130" s="303" t="str">
        <f t="shared" si="7"/>
        <v/>
      </c>
      <c r="U130" s="317" t="str">
        <f>IF(D130="","",VLOOKUP(D130,'G-6 Hedgerow Data'!$B$3:$AG$15,31,FALSE))</f>
        <v/>
      </c>
      <c r="V130" s="301" t="str">
        <f t="shared" si="10"/>
        <v/>
      </c>
      <c r="W130" s="289" t="str">
        <f t="shared" si="11"/>
        <v/>
      </c>
      <c r="X130" s="305" t="str">
        <f>IF(F130="","",VLOOKUP(U130,'G-3 Multipliers'!$P$3:$Q$6,2,FALSE))</f>
        <v/>
      </c>
      <c r="Y130" s="309" t="str">
        <f t="shared" si="12"/>
        <v/>
      </c>
      <c r="Z130" s="309" t="str">
        <f t="shared" si="13"/>
        <v/>
      </c>
      <c r="AA130" s="105"/>
      <c r="AB130" s="968"/>
      <c r="AC130" s="142"/>
      <c r="AD130" s="142"/>
      <c r="AE130" s="964"/>
      <c r="AH130" s="30" t="str">
        <f>IFERROR(INDEX('G-6 Hedgerow Data'!$BJ$3:$BJ$15,MATCH(D130,'G-6 Hedgerow Data'!$B$3:$B$15,0)),"")</f>
        <v/>
      </c>
    </row>
    <row r="131" spans="2:34" s="33" customFormat="1" ht="13.8" x14ac:dyDescent="0.25">
      <c r="B131" s="101">
        <v>120</v>
      </c>
      <c r="C131" s="175"/>
      <c r="D131" s="58"/>
      <c r="E131" s="142"/>
      <c r="F131" s="281" t="str">
        <f>IF(D131="","",VLOOKUP(D131,'G-6 Hedgerow Data'!$B$2:$AG$15,2,FALSE))</f>
        <v/>
      </c>
      <c r="G131" s="305" t="str">
        <f>IF(D131="","",VLOOKUP(D131,'G-6 Hedgerow Data'!$B$2:$AG$15,3,FALSE))</f>
        <v/>
      </c>
      <c r="H131" s="53"/>
      <c r="I131" s="282" t="str">
        <f>IFERROR(IF(H131="","",IF(AND(D131="Non-native and ornamental hedgerow", H131&lt;&gt;"Poor"),"Not possible ▲", (IF(AND(F131="V.Low",OR(H131="Good",H131="Moderate")),"Error ▲",VLOOKUP(H131,'G-1 All Habitats'!$Z$2:$AA$9,2,FALSE))))),"")</f>
        <v/>
      </c>
      <c r="J131" s="106"/>
      <c r="K131" s="301" t="str">
        <f>IF(J131="","",IF(VLOOKUP(J131,'G-3 Multipliers'!$L$3:$N$6,2,FALSE)=0,"Spatial Data Missing",VLOOKUP(J131,'G-3 Multipliers'!$L$3:$N$6,2,FALSE)))</f>
        <v/>
      </c>
      <c r="L131" s="305" t="str">
        <f>IF(J131="","",IF(VLOOKUP(J131,'G-3 Multipliers'!$L$3:$N$6,3,FALSE)=0,"Spatial Data Missing",VLOOKUP(J131,'G-3 Multipliers'!$L$3:$N$6,3,FALSE)))</f>
        <v/>
      </c>
      <c r="M131" s="138"/>
      <c r="N131" s="282" t="str">
        <f>IF(M131="","",IF(VLOOKUP(M131,'G-3 Multipliers'!$S$3:$T$10,2,FALSE)=0,"Spatial Data Missing ⚠",VLOOKUP(M131,'G-3 Multipliers'!$S$3:$T$10,2,FALSE)))</f>
        <v/>
      </c>
      <c r="O131" s="281" t="str">
        <f>IF(OR(D131="",H131=""),"",(INDEX('G-6 Hedgerow Data'!$E$3:$I$15,MATCH(D131,'G-6 Hedgerow Data'!$B$3:$B$15,0),MATCH(H131,'G-6 Hedgerow Data'!$E$2:$I$2,0))))</f>
        <v/>
      </c>
      <c r="P131" s="137"/>
      <c r="Q131" s="137"/>
      <c r="R131" s="289" t="str">
        <f t="shared" si="8"/>
        <v/>
      </c>
      <c r="S131" s="302" t="str">
        <f t="shared" si="9"/>
        <v/>
      </c>
      <c r="T131" s="303" t="str">
        <f t="shared" si="7"/>
        <v/>
      </c>
      <c r="U131" s="317" t="str">
        <f>IF(D131="","",VLOOKUP(D131,'G-6 Hedgerow Data'!$B$3:$AG$15,31,FALSE))</f>
        <v/>
      </c>
      <c r="V131" s="301" t="str">
        <f t="shared" si="10"/>
        <v/>
      </c>
      <c r="W131" s="289" t="str">
        <f t="shared" si="11"/>
        <v/>
      </c>
      <c r="X131" s="305" t="str">
        <f>IF(F131="","",VLOOKUP(U131,'G-3 Multipliers'!$P$3:$Q$6,2,FALSE))</f>
        <v/>
      </c>
      <c r="Y131" s="309" t="str">
        <f t="shared" si="12"/>
        <v/>
      </c>
      <c r="Z131" s="309" t="str">
        <f t="shared" si="13"/>
        <v/>
      </c>
      <c r="AA131" s="105"/>
      <c r="AB131" s="968"/>
      <c r="AC131" s="142"/>
      <c r="AD131" s="142"/>
      <c r="AE131" s="964"/>
      <c r="AH131" s="33" t="str">
        <f>IFERROR(INDEX('G-6 Hedgerow Data'!$BJ$3:$BJ$15,MATCH(D131,'G-6 Hedgerow Data'!$B$3:$B$15,0)),"")</f>
        <v/>
      </c>
    </row>
    <row r="132" spans="2:34" ht="13.8" x14ac:dyDescent="0.25">
      <c r="B132" s="101">
        <v>121</v>
      </c>
      <c r="C132" s="175"/>
      <c r="D132" s="58"/>
      <c r="E132" s="142"/>
      <c r="F132" s="281" t="str">
        <f>IF(D132="","",VLOOKUP(D132,'G-6 Hedgerow Data'!$B$2:$AG$15,2,FALSE))</f>
        <v/>
      </c>
      <c r="G132" s="305" t="str">
        <f>IF(D132="","",VLOOKUP(D132,'G-6 Hedgerow Data'!$B$2:$AG$15,3,FALSE))</f>
        <v/>
      </c>
      <c r="H132" s="53"/>
      <c r="I132" s="282" t="str">
        <f>IFERROR(IF(H132="","",IF(AND(D132="Non-native and ornamental hedgerow", H132&lt;&gt;"Poor"),"Not possible ▲", (IF(AND(F132="V.Low",OR(H132="Good",H132="Moderate")),"Error ▲",VLOOKUP(H132,'G-1 All Habitats'!$Z$2:$AA$9,2,FALSE))))),"")</f>
        <v/>
      </c>
      <c r="J132" s="106"/>
      <c r="K132" s="301" t="str">
        <f>IF(J132="","",IF(VLOOKUP(J132,'G-3 Multipliers'!$L$3:$N$6,2,FALSE)=0,"Spatial Data Missing",VLOOKUP(J132,'G-3 Multipliers'!$L$3:$N$6,2,FALSE)))</f>
        <v/>
      </c>
      <c r="L132" s="305" t="str">
        <f>IF(J132="","",IF(VLOOKUP(J132,'G-3 Multipliers'!$L$3:$N$6,3,FALSE)=0,"Spatial Data Missing",VLOOKUP(J132,'G-3 Multipliers'!$L$3:$N$6,3,FALSE)))</f>
        <v/>
      </c>
      <c r="M132" s="138"/>
      <c r="N132" s="282" t="str">
        <f>IF(M132="","",IF(VLOOKUP(M132,'G-3 Multipliers'!$S$3:$T$10,2,FALSE)=0,"Spatial Data Missing ⚠",VLOOKUP(M132,'G-3 Multipliers'!$S$3:$T$10,2,FALSE)))</f>
        <v/>
      </c>
      <c r="O132" s="281" t="str">
        <f>IF(OR(D132="",H132=""),"",(INDEX('G-6 Hedgerow Data'!$E$3:$I$15,MATCH(D132,'G-6 Hedgerow Data'!$B$3:$B$15,0),MATCH(H132,'G-6 Hedgerow Data'!$E$2:$I$2,0))))</f>
        <v/>
      </c>
      <c r="P132" s="137"/>
      <c r="Q132" s="137"/>
      <c r="R132" s="289" t="str">
        <f t="shared" si="8"/>
        <v/>
      </c>
      <c r="S132" s="302" t="str">
        <f t="shared" si="9"/>
        <v/>
      </c>
      <c r="T132" s="303" t="str">
        <f t="shared" si="7"/>
        <v/>
      </c>
      <c r="U132" s="317" t="str">
        <f>IF(D132="","",VLOOKUP(D132,'G-6 Hedgerow Data'!$B$3:$AG$15,31,FALSE))</f>
        <v/>
      </c>
      <c r="V132" s="301" t="str">
        <f t="shared" si="10"/>
        <v/>
      </c>
      <c r="W132" s="289" t="str">
        <f t="shared" si="11"/>
        <v/>
      </c>
      <c r="X132" s="305" t="str">
        <f>IF(F132="","",VLOOKUP(U132,'G-3 Multipliers'!$P$3:$Q$6,2,FALSE))</f>
        <v/>
      </c>
      <c r="Y132" s="309" t="str">
        <f t="shared" si="12"/>
        <v/>
      </c>
      <c r="Z132" s="309" t="str">
        <f t="shared" si="13"/>
        <v/>
      </c>
      <c r="AA132" s="105"/>
      <c r="AB132" s="968"/>
      <c r="AC132" s="142"/>
      <c r="AD132" s="142"/>
      <c r="AE132" s="964"/>
      <c r="AH132" s="30" t="str">
        <f>IFERROR(INDEX('G-6 Hedgerow Data'!$BJ$3:$BJ$15,MATCH(D132,'G-6 Hedgerow Data'!$B$3:$B$15,0)),"")</f>
        <v/>
      </c>
    </row>
    <row r="133" spans="2:34" ht="13.8" x14ac:dyDescent="0.25">
      <c r="B133" s="101">
        <v>122</v>
      </c>
      <c r="C133" s="175"/>
      <c r="D133" s="58"/>
      <c r="E133" s="142"/>
      <c r="F133" s="281" t="str">
        <f>IF(D133="","",VLOOKUP(D133,'G-6 Hedgerow Data'!$B$2:$AG$15,2,FALSE))</f>
        <v/>
      </c>
      <c r="G133" s="305" t="str">
        <f>IF(D133="","",VLOOKUP(D133,'G-6 Hedgerow Data'!$B$2:$AG$15,3,FALSE))</f>
        <v/>
      </c>
      <c r="H133" s="53"/>
      <c r="I133" s="282" t="str">
        <f>IFERROR(IF(H133="","",IF(AND(D133="Non-native and ornamental hedgerow", H133&lt;&gt;"Poor"),"Not possible ▲", (IF(AND(F133="V.Low",OR(H133="Good",H133="Moderate")),"Error ▲",VLOOKUP(H133,'G-1 All Habitats'!$Z$2:$AA$9,2,FALSE))))),"")</f>
        <v/>
      </c>
      <c r="J133" s="106"/>
      <c r="K133" s="301" t="str">
        <f>IF(J133="","",IF(VLOOKUP(J133,'G-3 Multipliers'!$L$3:$N$6,2,FALSE)=0,"Spatial Data Missing",VLOOKUP(J133,'G-3 Multipliers'!$L$3:$N$6,2,FALSE)))</f>
        <v/>
      </c>
      <c r="L133" s="305" t="str">
        <f>IF(J133="","",IF(VLOOKUP(J133,'G-3 Multipliers'!$L$3:$N$6,3,FALSE)=0,"Spatial Data Missing",VLOOKUP(J133,'G-3 Multipliers'!$L$3:$N$6,3,FALSE)))</f>
        <v/>
      </c>
      <c r="M133" s="138"/>
      <c r="N133" s="282" t="str">
        <f>IF(M133="","",IF(VLOOKUP(M133,'G-3 Multipliers'!$S$3:$T$10,2,FALSE)=0,"Spatial Data Missing ⚠",VLOOKUP(M133,'G-3 Multipliers'!$S$3:$T$10,2,FALSE)))</f>
        <v/>
      </c>
      <c r="O133" s="281" t="str">
        <f>IF(OR(D133="",H133=""),"",(INDEX('G-6 Hedgerow Data'!$E$3:$I$15,MATCH(D133,'G-6 Hedgerow Data'!$B$3:$B$15,0),MATCH(H133,'G-6 Hedgerow Data'!$E$2:$I$2,0))))</f>
        <v/>
      </c>
      <c r="P133" s="137"/>
      <c r="Q133" s="137"/>
      <c r="R133" s="289" t="str">
        <f t="shared" si="8"/>
        <v/>
      </c>
      <c r="S133" s="302" t="str">
        <f t="shared" si="9"/>
        <v/>
      </c>
      <c r="T133" s="303" t="str">
        <f t="shared" si="7"/>
        <v/>
      </c>
      <c r="U133" s="317" t="str">
        <f>IF(D133="","",VLOOKUP(D133,'G-6 Hedgerow Data'!$B$3:$AG$15,31,FALSE))</f>
        <v/>
      </c>
      <c r="V133" s="301" t="str">
        <f t="shared" si="10"/>
        <v/>
      </c>
      <c r="W133" s="289" t="str">
        <f t="shared" si="11"/>
        <v/>
      </c>
      <c r="X133" s="305" t="str">
        <f>IF(F133="","",VLOOKUP(U133,'G-3 Multipliers'!$P$3:$Q$6,2,FALSE))</f>
        <v/>
      </c>
      <c r="Y133" s="309" t="str">
        <f t="shared" si="12"/>
        <v/>
      </c>
      <c r="Z133" s="309" t="str">
        <f t="shared" si="13"/>
        <v/>
      </c>
      <c r="AA133" s="105"/>
      <c r="AB133" s="968"/>
      <c r="AC133" s="142"/>
      <c r="AD133" s="142"/>
      <c r="AE133" s="964"/>
      <c r="AH133" s="30" t="str">
        <f>IFERROR(INDEX('G-6 Hedgerow Data'!$BJ$3:$BJ$15,MATCH(D133,'G-6 Hedgerow Data'!$B$3:$B$15,0)),"")</f>
        <v/>
      </c>
    </row>
    <row r="134" spans="2:34" ht="13.8" x14ac:dyDescent="0.25">
      <c r="B134" s="101">
        <v>123</v>
      </c>
      <c r="C134" s="175"/>
      <c r="D134" s="58"/>
      <c r="E134" s="142"/>
      <c r="F134" s="281" t="str">
        <f>IF(D134="","",VLOOKUP(D134,'G-6 Hedgerow Data'!$B$2:$AG$15,2,FALSE))</f>
        <v/>
      </c>
      <c r="G134" s="305" t="str">
        <f>IF(D134="","",VLOOKUP(D134,'G-6 Hedgerow Data'!$B$2:$AG$15,3,FALSE))</f>
        <v/>
      </c>
      <c r="H134" s="53"/>
      <c r="I134" s="282" t="str">
        <f>IFERROR(IF(H134="","",IF(AND(D134="Non-native and ornamental hedgerow", H134&lt;&gt;"Poor"),"Not possible ▲", (IF(AND(F134="V.Low",OR(H134="Good",H134="Moderate")),"Error ▲",VLOOKUP(H134,'G-1 All Habitats'!$Z$2:$AA$9,2,FALSE))))),"")</f>
        <v/>
      </c>
      <c r="J134" s="106"/>
      <c r="K134" s="301" t="str">
        <f>IF(J134="","",IF(VLOOKUP(J134,'G-3 Multipliers'!$L$3:$N$6,2,FALSE)=0,"Spatial Data Missing",VLOOKUP(J134,'G-3 Multipliers'!$L$3:$N$6,2,FALSE)))</f>
        <v/>
      </c>
      <c r="L134" s="305" t="str">
        <f>IF(J134="","",IF(VLOOKUP(J134,'G-3 Multipliers'!$L$3:$N$6,3,FALSE)=0,"Spatial Data Missing",VLOOKUP(J134,'G-3 Multipliers'!$L$3:$N$6,3,FALSE)))</f>
        <v/>
      </c>
      <c r="M134" s="138"/>
      <c r="N134" s="282" t="str">
        <f>IF(M134="","",IF(VLOOKUP(M134,'G-3 Multipliers'!$S$3:$T$10,2,FALSE)=0,"Spatial Data Missing ⚠",VLOOKUP(M134,'G-3 Multipliers'!$S$3:$T$10,2,FALSE)))</f>
        <v/>
      </c>
      <c r="O134" s="281" t="str">
        <f>IF(OR(D134="",H134=""),"",(INDEX('G-6 Hedgerow Data'!$E$3:$I$15,MATCH(D134,'G-6 Hedgerow Data'!$B$3:$B$15,0),MATCH(H134,'G-6 Hedgerow Data'!$E$2:$I$2,0))))</f>
        <v/>
      </c>
      <c r="P134" s="137"/>
      <c r="Q134" s="137"/>
      <c r="R134" s="289" t="str">
        <f t="shared" si="8"/>
        <v/>
      </c>
      <c r="S134" s="302" t="str">
        <f t="shared" si="9"/>
        <v/>
      </c>
      <c r="T134" s="303" t="str">
        <f t="shared" si="7"/>
        <v/>
      </c>
      <c r="U134" s="317" t="str">
        <f>IF(D134="","",VLOOKUP(D134,'G-6 Hedgerow Data'!$B$3:$AG$15,31,FALSE))</f>
        <v/>
      </c>
      <c r="V134" s="301" t="str">
        <f t="shared" si="10"/>
        <v/>
      </c>
      <c r="W134" s="289" t="str">
        <f t="shared" si="11"/>
        <v/>
      </c>
      <c r="X134" s="305" t="str">
        <f>IF(F134="","",VLOOKUP(U134,'G-3 Multipliers'!$P$3:$Q$6,2,FALSE))</f>
        <v/>
      </c>
      <c r="Y134" s="309" t="str">
        <f t="shared" si="12"/>
        <v/>
      </c>
      <c r="Z134" s="309" t="str">
        <f t="shared" si="13"/>
        <v/>
      </c>
      <c r="AA134" s="105"/>
      <c r="AB134" s="968"/>
      <c r="AC134" s="142"/>
      <c r="AD134" s="142"/>
      <c r="AE134" s="964"/>
      <c r="AH134" s="30" t="str">
        <f>IFERROR(INDEX('G-6 Hedgerow Data'!$BJ$3:$BJ$15,MATCH(D134,'G-6 Hedgerow Data'!$B$3:$B$15,0)),"")</f>
        <v/>
      </c>
    </row>
    <row r="135" spans="2:34" ht="13.8" x14ac:dyDescent="0.25">
      <c r="B135" s="101">
        <v>124</v>
      </c>
      <c r="C135" s="175"/>
      <c r="D135" s="58"/>
      <c r="E135" s="142"/>
      <c r="F135" s="281" t="str">
        <f>IF(D135="","",VLOOKUP(D135,'G-6 Hedgerow Data'!$B$2:$AG$15,2,FALSE))</f>
        <v/>
      </c>
      <c r="G135" s="305" t="str">
        <f>IF(D135="","",VLOOKUP(D135,'G-6 Hedgerow Data'!$B$2:$AG$15,3,FALSE))</f>
        <v/>
      </c>
      <c r="H135" s="53"/>
      <c r="I135" s="282" t="str">
        <f>IFERROR(IF(H135="","",IF(AND(D135="Non-native and ornamental hedgerow", H135&lt;&gt;"Poor"),"Not possible ▲", (IF(AND(F135="V.Low",OR(H135="Good",H135="Moderate")),"Error ▲",VLOOKUP(H135,'G-1 All Habitats'!$Z$2:$AA$9,2,FALSE))))),"")</f>
        <v/>
      </c>
      <c r="J135" s="106"/>
      <c r="K135" s="301" t="str">
        <f>IF(J135="","",IF(VLOOKUP(J135,'G-3 Multipliers'!$L$3:$N$6,2,FALSE)=0,"Spatial Data Missing",VLOOKUP(J135,'G-3 Multipliers'!$L$3:$N$6,2,FALSE)))</f>
        <v/>
      </c>
      <c r="L135" s="305" t="str">
        <f>IF(J135="","",IF(VLOOKUP(J135,'G-3 Multipliers'!$L$3:$N$6,3,FALSE)=0,"Spatial Data Missing",VLOOKUP(J135,'G-3 Multipliers'!$L$3:$N$6,3,FALSE)))</f>
        <v/>
      </c>
      <c r="M135" s="138"/>
      <c r="N135" s="282" t="str">
        <f>IF(M135="","",IF(VLOOKUP(M135,'G-3 Multipliers'!$S$3:$T$10,2,FALSE)=0,"Spatial Data Missing ⚠",VLOOKUP(M135,'G-3 Multipliers'!$S$3:$T$10,2,FALSE)))</f>
        <v/>
      </c>
      <c r="O135" s="281" t="str">
        <f>IF(OR(D135="",H135=""),"",(INDEX('G-6 Hedgerow Data'!$E$3:$I$15,MATCH(D135,'G-6 Hedgerow Data'!$B$3:$B$15,0),MATCH(H135,'G-6 Hedgerow Data'!$E$2:$I$2,0))))</f>
        <v/>
      </c>
      <c r="P135" s="137"/>
      <c r="Q135" s="137"/>
      <c r="R135" s="289" t="str">
        <f t="shared" si="8"/>
        <v/>
      </c>
      <c r="S135" s="302" t="str">
        <f t="shared" si="9"/>
        <v/>
      </c>
      <c r="T135" s="303" t="str">
        <f t="shared" si="7"/>
        <v/>
      </c>
      <c r="U135" s="317" t="str">
        <f>IF(D135="","",VLOOKUP(D135,'G-6 Hedgerow Data'!$B$3:$AG$15,31,FALSE))</f>
        <v/>
      </c>
      <c r="V135" s="301" t="str">
        <f t="shared" si="10"/>
        <v/>
      </c>
      <c r="W135" s="289" t="str">
        <f t="shared" si="11"/>
        <v/>
      </c>
      <c r="X135" s="305" t="str">
        <f>IF(F135="","",VLOOKUP(U135,'G-3 Multipliers'!$P$3:$Q$6,2,FALSE))</f>
        <v/>
      </c>
      <c r="Y135" s="309" t="str">
        <f t="shared" si="12"/>
        <v/>
      </c>
      <c r="Z135" s="309" t="str">
        <f t="shared" si="13"/>
        <v/>
      </c>
      <c r="AA135" s="105"/>
      <c r="AB135" s="968"/>
      <c r="AC135" s="142"/>
      <c r="AD135" s="142"/>
      <c r="AE135" s="964"/>
      <c r="AH135" s="30" t="str">
        <f>IFERROR(INDEX('G-6 Hedgerow Data'!$BJ$3:$BJ$15,MATCH(D135,'G-6 Hedgerow Data'!$B$3:$B$15,0)),"")</f>
        <v/>
      </c>
    </row>
    <row r="136" spans="2:34" ht="13.8" x14ac:dyDescent="0.25">
      <c r="B136" s="101">
        <v>125</v>
      </c>
      <c r="C136" s="175"/>
      <c r="D136" s="58"/>
      <c r="E136" s="142"/>
      <c r="F136" s="281" t="str">
        <f>IF(D136="","",VLOOKUP(D136,'G-6 Hedgerow Data'!$B$2:$AG$15,2,FALSE))</f>
        <v/>
      </c>
      <c r="G136" s="305" t="str">
        <f>IF(D136="","",VLOOKUP(D136,'G-6 Hedgerow Data'!$B$2:$AG$15,3,FALSE))</f>
        <v/>
      </c>
      <c r="H136" s="53"/>
      <c r="I136" s="282" t="str">
        <f>IFERROR(IF(H136="","",IF(AND(D136="Non-native and ornamental hedgerow", H136&lt;&gt;"Poor"),"Not possible ▲", (IF(AND(F136="V.Low",OR(H136="Good",H136="Moderate")),"Error ▲",VLOOKUP(H136,'G-1 All Habitats'!$Z$2:$AA$9,2,FALSE))))),"")</f>
        <v/>
      </c>
      <c r="J136" s="106"/>
      <c r="K136" s="301" t="str">
        <f>IF(J136="","",IF(VLOOKUP(J136,'G-3 Multipliers'!$L$3:$N$6,2,FALSE)=0,"Spatial Data Missing",VLOOKUP(J136,'G-3 Multipliers'!$L$3:$N$6,2,FALSE)))</f>
        <v/>
      </c>
      <c r="L136" s="305" t="str">
        <f>IF(J136="","",IF(VLOOKUP(J136,'G-3 Multipliers'!$L$3:$N$6,3,FALSE)=0,"Spatial Data Missing",VLOOKUP(J136,'G-3 Multipliers'!$L$3:$N$6,3,FALSE)))</f>
        <v/>
      </c>
      <c r="M136" s="138"/>
      <c r="N136" s="282" t="str">
        <f>IF(M136="","",IF(VLOOKUP(M136,'G-3 Multipliers'!$S$3:$T$10,2,FALSE)=0,"Spatial Data Missing ⚠",VLOOKUP(M136,'G-3 Multipliers'!$S$3:$T$10,2,FALSE)))</f>
        <v/>
      </c>
      <c r="O136" s="281" t="str">
        <f>IF(OR(D136="",H136=""),"",(INDEX('G-6 Hedgerow Data'!$E$3:$I$15,MATCH(D136,'G-6 Hedgerow Data'!$B$3:$B$15,0),MATCH(H136,'G-6 Hedgerow Data'!$E$2:$I$2,0))))</f>
        <v/>
      </c>
      <c r="P136" s="137"/>
      <c r="Q136" s="137"/>
      <c r="R136" s="289" t="str">
        <f t="shared" si="8"/>
        <v/>
      </c>
      <c r="S136" s="302" t="str">
        <f t="shared" si="9"/>
        <v/>
      </c>
      <c r="T136" s="303" t="str">
        <f t="shared" si="7"/>
        <v/>
      </c>
      <c r="U136" s="317" t="str">
        <f>IF(D136="","",VLOOKUP(D136,'G-6 Hedgerow Data'!$B$3:$AG$15,31,FALSE))</f>
        <v/>
      </c>
      <c r="V136" s="301" t="str">
        <f t="shared" si="10"/>
        <v/>
      </c>
      <c r="W136" s="289" t="str">
        <f t="shared" si="11"/>
        <v/>
      </c>
      <c r="X136" s="305" t="str">
        <f>IF(F136="","",VLOOKUP(U136,'G-3 Multipliers'!$P$3:$Q$6,2,FALSE))</f>
        <v/>
      </c>
      <c r="Y136" s="309" t="str">
        <f t="shared" si="12"/>
        <v/>
      </c>
      <c r="Z136" s="309" t="str">
        <f t="shared" si="13"/>
        <v/>
      </c>
      <c r="AA136" s="105"/>
      <c r="AB136" s="968"/>
      <c r="AC136" s="142"/>
      <c r="AD136" s="142"/>
      <c r="AE136" s="964"/>
      <c r="AH136" s="30" t="str">
        <f>IFERROR(INDEX('G-6 Hedgerow Data'!$BJ$3:$BJ$15,MATCH(D136,'G-6 Hedgerow Data'!$B$3:$B$15,0)),"")</f>
        <v/>
      </c>
    </row>
    <row r="137" spans="2:34" ht="13.8" x14ac:dyDescent="0.25">
      <c r="B137" s="101">
        <v>126</v>
      </c>
      <c r="C137" s="175"/>
      <c r="D137" s="58"/>
      <c r="E137" s="142"/>
      <c r="F137" s="281" t="str">
        <f>IF(D137="","",VLOOKUP(D137,'G-6 Hedgerow Data'!$B$2:$AG$15,2,FALSE))</f>
        <v/>
      </c>
      <c r="G137" s="305" t="str">
        <f>IF(D137="","",VLOOKUP(D137,'G-6 Hedgerow Data'!$B$2:$AG$15,3,FALSE))</f>
        <v/>
      </c>
      <c r="H137" s="53"/>
      <c r="I137" s="282" t="str">
        <f>IFERROR(IF(H137="","",IF(AND(D137="Non-native and ornamental hedgerow", H137&lt;&gt;"Poor"),"Not possible ▲", (IF(AND(F137="V.Low",OR(H137="Good",H137="Moderate")),"Error ▲",VLOOKUP(H137,'G-1 All Habitats'!$Z$2:$AA$9,2,FALSE))))),"")</f>
        <v/>
      </c>
      <c r="J137" s="106"/>
      <c r="K137" s="301" t="str">
        <f>IF(J137="","",IF(VLOOKUP(J137,'G-3 Multipliers'!$L$3:$N$6,2,FALSE)=0,"Spatial Data Missing",VLOOKUP(J137,'G-3 Multipliers'!$L$3:$N$6,2,FALSE)))</f>
        <v/>
      </c>
      <c r="L137" s="305" t="str">
        <f>IF(J137="","",IF(VLOOKUP(J137,'G-3 Multipliers'!$L$3:$N$6,3,FALSE)=0,"Spatial Data Missing",VLOOKUP(J137,'G-3 Multipliers'!$L$3:$N$6,3,FALSE)))</f>
        <v/>
      </c>
      <c r="M137" s="138"/>
      <c r="N137" s="282" t="str">
        <f>IF(M137="","",IF(VLOOKUP(M137,'G-3 Multipliers'!$S$3:$T$10,2,FALSE)=0,"Spatial Data Missing ⚠",VLOOKUP(M137,'G-3 Multipliers'!$S$3:$T$10,2,FALSE)))</f>
        <v/>
      </c>
      <c r="O137" s="281" t="str">
        <f>IF(OR(D137="",H137=""),"",(INDEX('G-6 Hedgerow Data'!$E$3:$I$15,MATCH(D137,'G-6 Hedgerow Data'!$B$3:$B$15,0),MATCH(H137,'G-6 Hedgerow Data'!$E$2:$I$2,0))))</f>
        <v/>
      </c>
      <c r="P137" s="137"/>
      <c r="Q137" s="137"/>
      <c r="R137" s="289" t="str">
        <f t="shared" si="8"/>
        <v/>
      </c>
      <c r="S137" s="302" t="str">
        <f t="shared" si="9"/>
        <v/>
      </c>
      <c r="T137" s="303" t="str">
        <f t="shared" si="7"/>
        <v/>
      </c>
      <c r="U137" s="317" t="str">
        <f>IF(D137="","",VLOOKUP(D137,'G-6 Hedgerow Data'!$B$3:$AG$15,31,FALSE))</f>
        <v/>
      </c>
      <c r="V137" s="301" t="str">
        <f t="shared" si="10"/>
        <v/>
      </c>
      <c r="W137" s="289" t="str">
        <f t="shared" si="11"/>
        <v/>
      </c>
      <c r="X137" s="305" t="str">
        <f>IF(F137="","",VLOOKUP(U137,'G-3 Multipliers'!$P$3:$Q$6,2,FALSE))</f>
        <v/>
      </c>
      <c r="Y137" s="309" t="str">
        <f t="shared" si="12"/>
        <v/>
      </c>
      <c r="Z137" s="309" t="str">
        <f t="shared" si="13"/>
        <v/>
      </c>
      <c r="AA137" s="105"/>
      <c r="AB137" s="968"/>
      <c r="AC137" s="142"/>
      <c r="AD137" s="142"/>
      <c r="AE137" s="964"/>
      <c r="AH137" s="30" t="str">
        <f>IFERROR(INDEX('G-6 Hedgerow Data'!$BJ$3:$BJ$15,MATCH(D137,'G-6 Hedgerow Data'!$B$3:$B$15,0)),"")</f>
        <v/>
      </c>
    </row>
    <row r="138" spans="2:34" ht="13.8" x14ac:dyDescent="0.25">
      <c r="B138" s="101">
        <v>127</v>
      </c>
      <c r="C138" s="175"/>
      <c r="D138" s="58"/>
      <c r="E138" s="142"/>
      <c r="F138" s="281" t="str">
        <f>IF(D138="","",VLOOKUP(D138,'G-6 Hedgerow Data'!$B$2:$AG$15,2,FALSE))</f>
        <v/>
      </c>
      <c r="G138" s="305" t="str">
        <f>IF(D138="","",VLOOKUP(D138,'G-6 Hedgerow Data'!$B$2:$AG$15,3,FALSE))</f>
        <v/>
      </c>
      <c r="H138" s="53"/>
      <c r="I138" s="282" t="str">
        <f>IFERROR(IF(H138="","",IF(AND(D138="Non-native and ornamental hedgerow", H138&lt;&gt;"Poor"),"Not possible ▲", (IF(AND(F138="V.Low",OR(H138="Good",H138="Moderate")),"Error ▲",VLOOKUP(H138,'G-1 All Habitats'!$Z$2:$AA$9,2,FALSE))))),"")</f>
        <v/>
      </c>
      <c r="J138" s="106"/>
      <c r="K138" s="301" t="str">
        <f>IF(J138="","",IF(VLOOKUP(J138,'G-3 Multipliers'!$L$3:$N$6,2,FALSE)=0,"Spatial Data Missing",VLOOKUP(J138,'G-3 Multipliers'!$L$3:$N$6,2,FALSE)))</f>
        <v/>
      </c>
      <c r="L138" s="305" t="str">
        <f>IF(J138="","",IF(VLOOKUP(J138,'G-3 Multipliers'!$L$3:$N$6,3,FALSE)=0,"Spatial Data Missing",VLOOKUP(J138,'G-3 Multipliers'!$L$3:$N$6,3,FALSE)))</f>
        <v/>
      </c>
      <c r="M138" s="138"/>
      <c r="N138" s="282" t="str">
        <f>IF(M138="","",IF(VLOOKUP(M138,'G-3 Multipliers'!$S$3:$T$10,2,FALSE)=0,"Spatial Data Missing ⚠",VLOOKUP(M138,'G-3 Multipliers'!$S$3:$T$10,2,FALSE)))</f>
        <v/>
      </c>
      <c r="O138" s="281" t="str">
        <f>IF(OR(D138="",H138=""),"",(INDEX('G-6 Hedgerow Data'!$E$3:$I$15,MATCH(D138,'G-6 Hedgerow Data'!$B$3:$B$15,0),MATCH(H138,'G-6 Hedgerow Data'!$E$2:$I$2,0))))</f>
        <v/>
      </c>
      <c r="P138" s="137"/>
      <c r="Q138" s="137"/>
      <c r="R138" s="289" t="str">
        <f t="shared" si="8"/>
        <v/>
      </c>
      <c r="S138" s="302" t="str">
        <f t="shared" si="9"/>
        <v/>
      </c>
      <c r="T138" s="303" t="str">
        <f t="shared" si="7"/>
        <v/>
      </c>
      <c r="U138" s="317" t="str">
        <f>IF(D138="","",VLOOKUP(D138,'G-6 Hedgerow Data'!$B$3:$AG$15,31,FALSE))</f>
        <v/>
      </c>
      <c r="V138" s="301" t="str">
        <f t="shared" si="10"/>
        <v/>
      </c>
      <c r="W138" s="289" t="str">
        <f t="shared" si="11"/>
        <v/>
      </c>
      <c r="X138" s="305" t="str">
        <f>IF(F138="","",VLOOKUP(U138,'G-3 Multipliers'!$P$3:$Q$6,2,FALSE))</f>
        <v/>
      </c>
      <c r="Y138" s="309" t="str">
        <f t="shared" si="12"/>
        <v/>
      </c>
      <c r="Z138" s="309" t="str">
        <f t="shared" si="13"/>
        <v/>
      </c>
      <c r="AA138" s="105"/>
      <c r="AB138" s="968"/>
      <c r="AC138" s="142"/>
      <c r="AD138" s="142"/>
      <c r="AE138" s="964"/>
      <c r="AH138" s="30" t="str">
        <f>IFERROR(INDEX('G-6 Hedgerow Data'!$BJ$3:$BJ$15,MATCH(D138,'G-6 Hedgerow Data'!$B$3:$B$15,0)),"")</f>
        <v/>
      </c>
    </row>
    <row r="139" spans="2:34" ht="13.8" x14ac:dyDescent="0.25">
      <c r="B139" s="101">
        <v>128</v>
      </c>
      <c r="C139" s="175"/>
      <c r="D139" s="58"/>
      <c r="E139" s="142"/>
      <c r="F139" s="281" t="str">
        <f>IF(D139="","",VLOOKUP(D139,'G-6 Hedgerow Data'!$B$2:$AG$15,2,FALSE))</f>
        <v/>
      </c>
      <c r="G139" s="305" t="str">
        <f>IF(D139="","",VLOOKUP(D139,'G-6 Hedgerow Data'!$B$2:$AG$15,3,FALSE))</f>
        <v/>
      </c>
      <c r="H139" s="53"/>
      <c r="I139" s="282" t="str">
        <f>IFERROR(IF(H139="","",IF(AND(D139="Non-native and ornamental hedgerow", H139&lt;&gt;"Poor"),"Not possible ▲", (IF(AND(F139="V.Low",OR(H139="Good",H139="Moderate")),"Error ▲",VLOOKUP(H139,'G-1 All Habitats'!$Z$2:$AA$9,2,FALSE))))),"")</f>
        <v/>
      </c>
      <c r="J139" s="106"/>
      <c r="K139" s="301" t="str">
        <f>IF(J139="","",IF(VLOOKUP(J139,'G-3 Multipliers'!$L$3:$N$6,2,FALSE)=0,"Spatial Data Missing",VLOOKUP(J139,'G-3 Multipliers'!$L$3:$N$6,2,FALSE)))</f>
        <v/>
      </c>
      <c r="L139" s="305" t="str">
        <f>IF(J139="","",IF(VLOOKUP(J139,'G-3 Multipliers'!$L$3:$N$6,3,FALSE)=0,"Spatial Data Missing",VLOOKUP(J139,'G-3 Multipliers'!$L$3:$N$6,3,FALSE)))</f>
        <v/>
      </c>
      <c r="M139" s="138"/>
      <c r="N139" s="282" t="str">
        <f>IF(M139="","",IF(VLOOKUP(M139,'G-3 Multipliers'!$S$3:$T$10,2,FALSE)=0,"Spatial Data Missing ⚠",VLOOKUP(M139,'G-3 Multipliers'!$S$3:$T$10,2,FALSE)))</f>
        <v/>
      </c>
      <c r="O139" s="281" t="str">
        <f>IF(OR(D139="",H139=""),"",(INDEX('G-6 Hedgerow Data'!$E$3:$I$15,MATCH(D139,'G-6 Hedgerow Data'!$B$3:$B$15,0),MATCH(H139,'G-6 Hedgerow Data'!$E$2:$I$2,0))))</f>
        <v/>
      </c>
      <c r="P139" s="137"/>
      <c r="Q139" s="137"/>
      <c r="R139" s="289" t="str">
        <f t="shared" si="8"/>
        <v/>
      </c>
      <c r="S139" s="302" t="str">
        <f t="shared" si="9"/>
        <v/>
      </c>
      <c r="T139" s="303" t="str">
        <f t="shared" si="7"/>
        <v/>
      </c>
      <c r="U139" s="317" t="str">
        <f>IF(D139="","",VLOOKUP(D139,'G-6 Hedgerow Data'!$B$3:$AG$15,31,FALSE))</f>
        <v/>
      </c>
      <c r="V139" s="301" t="str">
        <f t="shared" si="10"/>
        <v/>
      </c>
      <c r="W139" s="289" t="str">
        <f t="shared" si="11"/>
        <v/>
      </c>
      <c r="X139" s="305" t="str">
        <f>IF(F139="","",VLOOKUP(U139,'G-3 Multipliers'!$P$3:$Q$6,2,FALSE))</f>
        <v/>
      </c>
      <c r="Y139" s="309" t="str">
        <f t="shared" si="12"/>
        <v/>
      </c>
      <c r="Z139" s="309" t="str">
        <f t="shared" si="13"/>
        <v/>
      </c>
      <c r="AA139" s="105"/>
      <c r="AB139" s="968"/>
      <c r="AC139" s="142"/>
      <c r="AD139" s="142"/>
      <c r="AE139" s="964"/>
      <c r="AH139" s="30" t="str">
        <f>IFERROR(INDEX('G-6 Hedgerow Data'!$BJ$3:$BJ$15,MATCH(D139,'G-6 Hedgerow Data'!$B$3:$B$15,0)),"")</f>
        <v/>
      </c>
    </row>
    <row r="140" spans="2:34" ht="13.8" x14ac:dyDescent="0.25">
      <c r="B140" s="101">
        <v>129</v>
      </c>
      <c r="C140" s="175"/>
      <c r="D140" s="58"/>
      <c r="E140" s="142"/>
      <c r="F140" s="281" t="str">
        <f>IF(D140="","",VLOOKUP(D140,'G-6 Hedgerow Data'!$B$2:$AG$15,2,FALSE))</f>
        <v/>
      </c>
      <c r="G140" s="305" t="str">
        <f>IF(D140="","",VLOOKUP(D140,'G-6 Hedgerow Data'!$B$2:$AG$15,3,FALSE))</f>
        <v/>
      </c>
      <c r="H140" s="53"/>
      <c r="I140" s="282" t="str">
        <f>IFERROR(IF(H140="","",IF(AND(D140="Non-native and ornamental hedgerow", H140&lt;&gt;"Poor"),"Not possible ▲", (IF(AND(F140="V.Low",OR(H140="Good",H140="Moderate")),"Error ▲",VLOOKUP(H140,'G-1 All Habitats'!$Z$2:$AA$9,2,FALSE))))),"")</f>
        <v/>
      </c>
      <c r="J140" s="106"/>
      <c r="K140" s="301" t="str">
        <f>IF(J140="","",IF(VLOOKUP(J140,'G-3 Multipliers'!$L$3:$N$6,2,FALSE)=0,"Spatial Data Missing",VLOOKUP(J140,'G-3 Multipliers'!$L$3:$N$6,2,FALSE)))</f>
        <v/>
      </c>
      <c r="L140" s="305" t="str">
        <f>IF(J140="","",IF(VLOOKUP(J140,'G-3 Multipliers'!$L$3:$N$6,3,FALSE)=0,"Spatial Data Missing",VLOOKUP(J140,'G-3 Multipliers'!$L$3:$N$6,3,FALSE)))</f>
        <v/>
      </c>
      <c r="M140" s="138"/>
      <c r="N140" s="282" t="str">
        <f>IF(M140="","",IF(VLOOKUP(M140,'G-3 Multipliers'!$S$3:$T$10,2,FALSE)=0,"Spatial Data Missing ⚠",VLOOKUP(M140,'G-3 Multipliers'!$S$3:$T$10,2,FALSE)))</f>
        <v/>
      </c>
      <c r="O140" s="281" t="str">
        <f>IF(OR(D140="",H140=""),"",(INDEX('G-6 Hedgerow Data'!$E$3:$I$15,MATCH(D140,'G-6 Hedgerow Data'!$B$3:$B$15,0),MATCH(H140,'G-6 Hedgerow Data'!$E$2:$I$2,0))))</f>
        <v/>
      </c>
      <c r="P140" s="137"/>
      <c r="Q140" s="137"/>
      <c r="R140" s="289" t="str">
        <f t="shared" si="8"/>
        <v/>
      </c>
      <c r="S140" s="302" t="str">
        <f t="shared" si="9"/>
        <v/>
      </c>
      <c r="T140" s="303" t="str">
        <f t="shared" ref="T140:T203" si="14">IF(D140="","",IF(S140="Check Data ⚠","Check Data ⚠",VLOOKUP(S140,TemporalMultipliers,3,FALSE)))</f>
        <v/>
      </c>
      <c r="U140" s="317" t="str">
        <f>IF(D140="","",VLOOKUP(D140,'G-6 Hedgerow Data'!$B$3:$AG$15,31,FALSE))</f>
        <v/>
      </c>
      <c r="V140" s="301" t="str">
        <f t="shared" si="10"/>
        <v/>
      </c>
      <c r="W140" s="289" t="str">
        <f t="shared" si="11"/>
        <v/>
      </c>
      <c r="X140" s="305" t="str">
        <f>IF(F140="","",VLOOKUP(U140,'G-3 Multipliers'!$P$3:$Q$6,2,FALSE))</f>
        <v/>
      </c>
      <c r="Y140" s="309" t="str">
        <f t="shared" si="12"/>
        <v/>
      </c>
      <c r="Z140" s="309" t="str">
        <f t="shared" si="13"/>
        <v/>
      </c>
      <c r="AA140" s="105"/>
      <c r="AB140" s="968"/>
      <c r="AC140" s="142"/>
      <c r="AD140" s="142"/>
      <c r="AE140" s="964"/>
      <c r="AH140" s="30" t="str">
        <f>IFERROR(INDEX('G-6 Hedgerow Data'!$BJ$3:$BJ$15,MATCH(D140,'G-6 Hedgerow Data'!$B$3:$B$15,0)),"")</f>
        <v/>
      </c>
    </row>
    <row r="141" spans="2:34" ht="13.8" x14ac:dyDescent="0.25">
      <c r="B141" s="101">
        <v>130</v>
      </c>
      <c r="C141" s="175"/>
      <c r="D141" s="58"/>
      <c r="E141" s="142"/>
      <c r="F141" s="281" t="str">
        <f>IF(D141="","",VLOOKUP(D141,'G-6 Hedgerow Data'!$B$2:$AG$15,2,FALSE))</f>
        <v/>
      </c>
      <c r="G141" s="305" t="str">
        <f>IF(D141="","",VLOOKUP(D141,'G-6 Hedgerow Data'!$B$2:$AG$15,3,FALSE))</f>
        <v/>
      </c>
      <c r="H141" s="53"/>
      <c r="I141" s="282" t="str">
        <f>IFERROR(IF(H141="","",IF(AND(D141="Non-native and ornamental hedgerow", H141&lt;&gt;"Poor"),"Not possible ▲", (IF(AND(F141="V.Low",OR(H141="Good",H141="Moderate")),"Error ▲",VLOOKUP(H141,'G-1 All Habitats'!$Z$2:$AA$9,2,FALSE))))),"")</f>
        <v/>
      </c>
      <c r="J141" s="106"/>
      <c r="K141" s="301" t="str">
        <f>IF(J141="","",IF(VLOOKUP(J141,'G-3 Multipliers'!$L$3:$N$6,2,FALSE)=0,"Spatial Data Missing",VLOOKUP(J141,'G-3 Multipliers'!$L$3:$N$6,2,FALSE)))</f>
        <v/>
      </c>
      <c r="L141" s="305" t="str">
        <f>IF(J141="","",IF(VLOOKUP(J141,'G-3 Multipliers'!$L$3:$N$6,3,FALSE)=0,"Spatial Data Missing",VLOOKUP(J141,'G-3 Multipliers'!$L$3:$N$6,3,FALSE)))</f>
        <v/>
      </c>
      <c r="M141" s="138"/>
      <c r="N141" s="282" t="str">
        <f>IF(M141="","",IF(VLOOKUP(M141,'G-3 Multipliers'!$S$3:$T$10,2,FALSE)=0,"Spatial Data Missing ⚠",VLOOKUP(M141,'G-3 Multipliers'!$S$3:$T$10,2,FALSE)))</f>
        <v/>
      </c>
      <c r="O141" s="281" t="str">
        <f>IF(OR(D141="",H141=""),"",(INDEX('G-6 Hedgerow Data'!$E$3:$I$15,MATCH(D141,'G-6 Hedgerow Data'!$B$3:$B$15,0),MATCH(H141,'G-6 Hedgerow Data'!$E$2:$I$2,0))))</f>
        <v/>
      </c>
      <c r="P141" s="137"/>
      <c r="Q141" s="137"/>
      <c r="R141" s="289"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02" t="str">
        <f t="shared" ref="S141:S204" si="16">IF(O141="","",IF(R141="Error -both advance and delayed habitat creation ▲","Check Data ⚠",IF(O141="Not possible ▲", "Check data ⚠",IF(OR(P141="30+",P141="Habitat already in target condition"),0,IF(Q141="30+","30+",IF(AND(O141="30+",OR(P141="",P141=0)),"30+",IF(AND(O141="30+",P141&gt;0),30-P141,IF(O141+Q141&gt;30,"30+",IF(O141+Q141-P141&gt;0,O141+Q141-P141,IF(O141-P141&lt;0,0,O141+Q141-P141))))))))))</f>
        <v/>
      </c>
      <c r="T141" s="303" t="str">
        <f t="shared" si="14"/>
        <v/>
      </c>
      <c r="U141" s="317" t="str">
        <f>IF(D141="","",VLOOKUP(D141,'G-6 Hedgerow Data'!$B$3:$AG$15,31,FALSE))</f>
        <v/>
      </c>
      <c r="V141" s="301" t="str">
        <f t="shared" ref="V141:V204" si="17">IF(D141="","",IF(S141="Check Data ⚠","Check Data ⚠",IF(H141="","",IF($R141="Check details - Is there evidence that habitat has reached target condition? ⚠","Low Difficulty - only applicable if all habitat created before losses ⚠","Standard difficulty applied"))))</f>
        <v/>
      </c>
      <c r="W141" s="289" t="str">
        <f t="shared" ref="W141:W204" si="18">(IF(AND(V141="Standard difficulty applied",O141&gt;P141),U141,IF(S141="Check data ⚠","Check data ⚠",IF(AND(V141="Low Difficulty - only applicable if all habitat created before losses ⚠",P141&gt;=O141),"Low",U141))))</f>
        <v/>
      </c>
      <c r="X141" s="305" t="str">
        <f>IF(F141="","",VLOOKUP(U141,'G-3 Multipliers'!$P$3:$Q$6,2,FALSE))</f>
        <v/>
      </c>
      <c r="Y141" s="309" t="str">
        <f t="shared" ref="Y141:Y204" si="19">IFERROR(E141*G141*I141*L141*T141*X141*N141,"")</f>
        <v/>
      </c>
      <c r="Z141" s="309" t="str">
        <f t="shared" ref="Z141:Z204" si="20">IFERROR(IF(AND(M141&lt;&gt;"",AD141=""), "Off-site reference required ▲",(IF(M141="","", E141*G141*I141*L141*T141*X141))),"")</f>
        <v/>
      </c>
      <c r="AA141" s="105"/>
      <c r="AB141" s="968"/>
      <c r="AC141" s="142"/>
      <c r="AD141" s="142"/>
      <c r="AE141" s="964"/>
      <c r="AH141" s="30" t="str">
        <f>IFERROR(INDEX('G-6 Hedgerow Data'!$BJ$3:$BJ$15,MATCH(D141,'G-6 Hedgerow Data'!$B$3:$B$15,0)),"")</f>
        <v/>
      </c>
    </row>
    <row r="142" spans="2:34" ht="13.8" x14ac:dyDescent="0.25">
      <c r="B142" s="101">
        <v>131</v>
      </c>
      <c r="C142" s="175"/>
      <c r="D142" s="58"/>
      <c r="E142" s="142"/>
      <c r="F142" s="281" t="str">
        <f>IF(D142="","",VLOOKUP(D142,'G-6 Hedgerow Data'!$B$2:$AG$15,2,FALSE))</f>
        <v/>
      </c>
      <c r="G142" s="305" t="str">
        <f>IF(D142="","",VLOOKUP(D142,'G-6 Hedgerow Data'!$B$2:$AG$15,3,FALSE))</f>
        <v/>
      </c>
      <c r="H142" s="53"/>
      <c r="I142" s="282" t="str">
        <f>IFERROR(IF(H142="","",IF(AND(D142="Non-native and ornamental hedgerow", H142&lt;&gt;"Poor"),"Not possible ▲", (IF(AND(F142="V.Low",OR(H142="Good",H142="Moderate")),"Error ▲",VLOOKUP(H142,'G-1 All Habitats'!$Z$2:$AA$9,2,FALSE))))),"")</f>
        <v/>
      </c>
      <c r="J142" s="106"/>
      <c r="K142" s="301" t="str">
        <f>IF(J142="","",IF(VLOOKUP(J142,'G-3 Multipliers'!$L$3:$N$6,2,FALSE)=0,"Spatial Data Missing",VLOOKUP(J142,'G-3 Multipliers'!$L$3:$N$6,2,FALSE)))</f>
        <v/>
      </c>
      <c r="L142" s="305" t="str">
        <f>IF(J142="","",IF(VLOOKUP(J142,'G-3 Multipliers'!$L$3:$N$6,3,FALSE)=0,"Spatial Data Missing",VLOOKUP(J142,'G-3 Multipliers'!$L$3:$N$6,3,FALSE)))</f>
        <v/>
      </c>
      <c r="M142" s="138"/>
      <c r="N142" s="282" t="str">
        <f>IF(M142="","",IF(VLOOKUP(M142,'G-3 Multipliers'!$S$3:$T$10,2,FALSE)=0,"Spatial Data Missing ⚠",VLOOKUP(M142,'G-3 Multipliers'!$S$3:$T$10,2,FALSE)))</f>
        <v/>
      </c>
      <c r="O142" s="281" t="str">
        <f>IF(OR(D142="",H142=""),"",(INDEX('G-6 Hedgerow Data'!$E$3:$I$15,MATCH(D142,'G-6 Hedgerow Data'!$B$3:$B$15,0),MATCH(H142,'G-6 Hedgerow Data'!$E$2:$I$2,0))))</f>
        <v/>
      </c>
      <c r="P142" s="137"/>
      <c r="Q142" s="137"/>
      <c r="R142" s="289" t="str">
        <f t="shared" si="15"/>
        <v/>
      </c>
      <c r="S142" s="302" t="str">
        <f t="shared" si="16"/>
        <v/>
      </c>
      <c r="T142" s="303" t="str">
        <f t="shared" si="14"/>
        <v/>
      </c>
      <c r="U142" s="317" t="str">
        <f>IF(D142="","",VLOOKUP(D142,'G-6 Hedgerow Data'!$B$3:$AG$15,31,FALSE))</f>
        <v/>
      </c>
      <c r="V142" s="301" t="str">
        <f t="shared" si="17"/>
        <v/>
      </c>
      <c r="W142" s="289" t="str">
        <f t="shared" si="18"/>
        <v/>
      </c>
      <c r="X142" s="305" t="str">
        <f>IF(F142="","",VLOOKUP(U142,'G-3 Multipliers'!$P$3:$Q$6,2,FALSE))</f>
        <v/>
      </c>
      <c r="Y142" s="309" t="str">
        <f t="shared" si="19"/>
        <v/>
      </c>
      <c r="Z142" s="309" t="str">
        <f t="shared" si="20"/>
        <v/>
      </c>
      <c r="AA142" s="105"/>
      <c r="AB142" s="968"/>
      <c r="AC142" s="142"/>
      <c r="AD142" s="142"/>
      <c r="AE142" s="964"/>
      <c r="AH142" s="30" t="str">
        <f>IFERROR(INDEX('G-6 Hedgerow Data'!$BJ$3:$BJ$15,MATCH(D142,'G-6 Hedgerow Data'!$B$3:$B$15,0)),"")</f>
        <v/>
      </c>
    </row>
    <row r="143" spans="2:34" ht="13.8" x14ac:dyDescent="0.25">
      <c r="B143" s="101">
        <v>132</v>
      </c>
      <c r="C143" s="175"/>
      <c r="D143" s="58"/>
      <c r="E143" s="142"/>
      <c r="F143" s="281" t="str">
        <f>IF(D143="","",VLOOKUP(D143,'G-6 Hedgerow Data'!$B$2:$AG$15,2,FALSE))</f>
        <v/>
      </c>
      <c r="G143" s="305" t="str">
        <f>IF(D143="","",VLOOKUP(D143,'G-6 Hedgerow Data'!$B$2:$AG$15,3,FALSE))</f>
        <v/>
      </c>
      <c r="H143" s="53"/>
      <c r="I143" s="282" t="str">
        <f>IFERROR(IF(H143="","",IF(AND(D143="Non-native and ornamental hedgerow", H143&lt;&gt;"Poor"),"Not possible ▲", (IF(AND(F143="V.Low",OR(H143="Good",H143="Moderate")),"Error ▲",VLOOKUP(H143,'G-1 All Habitats'!$Z$2:$AA$9,2,FALSE))))),"")</f>
        <v/>
      </c>
      <c r="J143" s="106"/>
      <c r="K143" s="301" t="str">
        <f>IF(J143="","",IF(VLOOKUP(J143,'G-3 Multipliers'!$L$3:$N$6,2,FALSE)=0,"Spatial Data Missing",VLOOKUP(J143,'G-3 Multipliers'!$L$3:$N$6,2,FALSE)))</f>
        <v/>
      </c>
      <c r="L143" s="305" t="str">
        <f>IF(J143="","",IF(VLOOKUP(J143,'G-3 Multipliers'!$L$3:$N$6,3,FALSE)=0,"Spatial Data Missing",VLOOKUP(J143,'G-3 Multipliers'!$L$3:$N$6,3,FALSE)))</f>
        <v/>
      </c>
      <c r="M143" s="138"/>
      <c r="N143" s="282" t="str">
        <f>IF(M143="","",IF(VLOOKUP(M143,'G-3 Multipliers'!$S$3:$T$10,2,FALSE)=0,"Spatial Data Missing ⚠",VLOOKUP(M143,'G-3 Multipliers'!$S$3:$T$10,2,FALSE)))</f>
        <v/>
      </c>
      <c r="O143" s="281" t="str">
        <f>IF(OR(D143="",H143=""),"",(INDEX('G-6 Hedgerow Data'!$E$3:$I$15,MATCH(D143,'G-6 Hedgerow Data'!$B$3:$B$15,0),MATCH(H143,'G-6 Hedgerow Data'!$E$2:$I$2,0))))</f>
        <v/>
      </c>
      <c r="P143" s="137"/>
      <c r="Q143" s="137"/>
      <c r="R143" s="289" t="str">
        <f t="shared" si="15"/>
        <v/>
      </c>
      <c r="S143" s="302" t="str">
        <f t="shared" si="16"/>
        <v/>
      </c>
      <c r="T143" s="303" t="str">
        <f t="shared" si="14"/>
        <v/>
      </c>
      <c r="U143" s="317" t="str">
        <f>IF(D143="","",VLOOKUP(D143,'G-6 Hedgerow Data'!$B$3:$AG$15,31,FALSE))</f>
        <v/>
      </c>
      <c r="V143" s="301" t="str">
        <f t="shared" si="17"/>
        <v/>
      </c>
      <c r="W143" s="289" t="str">
        <f t="shared" si="18"/>
        <v/>
      </c>
      <c r="X143" s="305" t="str">
        <f>IF(F143="","",VLOOKUP(U143,'G-3 Multipliers'!$P$3:$Q$6,2,FALSE))</f>
        <v/>
      </c>
      <c r="Y143" s="309" t="str">
        <f t="shared" si="19"/>
        <v/>
      </c>
      <c r="Z143" s="309" t="str">
        <f t="shared" si="20"/>
        <v/>
      </c>
      <c r="AA143" s="105"/>
      <c r="AB143" s="968"/>
      <c r="AC143" s="142"/>
      <c r="AD143" s="142"/>
      <c r="AE143" s="964"/>
      <c r="AH143" s="30" t="str">
        <f>IFERROR(INDEX('G-6 Hedgerow Data'!$BJ$3:$BJ$15,MATCH(D143,'G-6 Hedgerow Data'!$B$3:$B$15,0)),"")</f>
        <v/>
      </c>
    </row>
    <row r="144" spans="2:34" ht="13.8" x14ac:dyDescent="0.25">
      <c r="B144" s="101">
        <v>133</v>
      </c>
      <c r="C144" s="175"/>
      <c r="D144" s="58"/>
      <c r="E144" s="142"/>
      <c r="F144" s="281" t="str">
        <f>IF(D144="","",VLOOKUP(D144,'G-6 Hedgerow Data'!$B$2:$AG$15,2,FALSE))</f>
        <v/>
      </c>
      <c r="G144" s="305" t="str">
        <f>IF(D144="","",VLOOKUP(D144,'G-6 Hedgerow Data'!$B$2:$AG$15,3,FALSE))</f>
        <v/>
      </c>
      <c r="H144" s="53"/>
      <c r="I144" s="282" t="str">
        <f>IFERROR(IF(H144="","",IF(AND(D144="Non-native and ornamental hedgerow", H144&lt;&gt;"Poor"),"Not possible ▲", (IF(AND(F144="V.Low",OR(H144="Good",H144="Moderate")),"Error ▲",VLOOKUP(H144,'G-1 All Habitats'!$Z$2:$AA$9,2,FALSE))))),"")</f>
        <v/>
      </c>
      <c r="J144" s="106"/>
      <c r="K144" s="301" t="str">
        <f>IF(J144="","",IF(VLOOKUP(J144,'G-3 Multipliers'!$L$3:$N$6,2,FALSE)=0,"Spatial Data Missing",VLOOKUP(J144,'G-3 Multipliers'!$L$3:$N$6,2,FALSE)))</f>
        <v/>
      </c>
      <c r="L144" s="305" t="str">
        <f>IF(J144="","",IF(VLOOKUP(J144,'G-3 Multipliers'!$L$3:$N$6,3,FALSE)=0,"Spatial Data Missing",VLOOKUP(J144,'G-3 Multipliers'!$L$3:$N$6,3,FALSE)))</f>
        <v/>
      </c>
      <c r="M144" s="138"/>
      <c r="N144" s="282" t="str">
        <f>IF(M144="","",IF(VLOOKUP(M144,'G-3 Multipliers'!$S$3:$T$10,2,FALSE)=0,"Spatial Data Missing ⚠",VLOOKUP(M144,'G-3 Multipliers'!$S$3:$T$10,2,FALSE)))</f>
        <v/>
      </c>
      <c r="O144" s="281" t="str">
        <f>IF(OR(D144="",H144=""),"",(INDEX('G-6 Hedgerow Data'!$E$3:$I$15,MATCH(D144,'G-6 Hedgerow Data'!$B$3:$B$15,0),MATCH(H144,'G-6 Hedgerow Data'!$E$2:$I$2,0))))</f>
        <v/>
      </c>
      <c r="P144" s="137"/>
      <c r="Q144" s="137"/>
      <c r="R144" s="289" t="str">
        <f t="shared" si="15"/>
        <v/>
      </c>
      <c r="S144" s="302" t="str">
        <f t="shared" si="16"/>
        <v/>
      </c>
      <c r="T144" s="303" t="str">
        <f t="shared" si="14"/>
        <v/>
      </c>
      <c r="U144" s="317" t="str">
        <f>IF(D144="","",VLOOKUP(D144,'G-6 Hedgerow Data'!$B$3:$AG$15,31,FALSE))</f>
        <v/>
      </c>
      <c r="V144" s="301" t="str">
        <f t="shared" si="17"/>
        <v/>
      </c>
      <c r="W144" s="289" t="str">
        <f t="shared" si="18"/>
        <v/>
      </c>
      <c r="X144" s="305" t="str">
        <f>IF(F144="","",VLOOKUP(U144,'G-3 Multipliers'!$P$3:$Q$6,2,FALSE))</f>
        <v/>
      </c>
      <c r="Y144" s="309" t="str">
        <f t="shared" si="19"/>
        <v/>
      </c>
      <c r="Z144" s="309" t="str">
        <f t="shared" si="20"/>
        <v/>
      </c>
      <c r="AA144" s="105"/>
      <c r="AB144" s="968"/>
      <c r="AC144" s="142"/>
      <c r="AD144" s="142"/>
      <c r="AE144" s="964"/>
      <c r="AH144" s="30" t="str">
        <f>IFERROR(INDEX('G-6 Hedgerow Data'!$BJ$3:$BJ$15,MATCH(D144,'G-6 Hedgerow Data'!$B$3:$B$15,0)),"")</f>
        <v/>
      </c>
    </row>
    <row r="145" spans="2:34" ht="13.8" x14ac:dyDescent="0.25">
      <c r="B145" s="101">
        <v>134</v>
      </c>
      <c r="C145" s="175"/>
      <c r="D145" s="58"/>
      <c r="E145" s="142"/>
      <c r="F145" s="281" t="str">
        <f>IF(D145="","",VLOOKUP(D145,'G-6 Hedgerow Data'!$B$2:$AG$15,2,FALSE))</f>
        <v/>
      </c>
      <c r="G145" s="305" t="str">
        <f>IF(D145="","",VLOOKUP(D145,'G-6 Hedgerow Data'!$B$2:$AG$15,3,FALSE))</f>
        <v/>
      </c>
      <c r="H145" s="53"/>
      <c r="I145" s="282" t="str">
        <f>IFERROR(IF(H145="","",IF(AND(D145="Non-native and ornamental hedgerow", H145&lt;&gt;"Poor"),"Not possible ▲", (IF(AND(F145="V.Low",OR(H145="Good",H145="Moderate")),"Error ▲",VLOOKUP(H145,'G-1 All Habitats'!$Z$2:$AA$9,2,FALSE))))),"")</f>
        <v/>
      </c>
      <c r="J145" s="106"/>
      <c r="K145" s="301" t="str">
        <f>IF(J145="","",IF(VLOOKUP(J145,'G-3 Multipliers'!$L$3:$N$6,2,FALSE)=0,"Spatial Data Missing",VLOOKUP(J145,'G-3 Multipliers'!$L$3:$N$6,2,FALSE)))</f>
        <v/>
      </c>
      <c r="L145" s="305" t="str">
        <f>IF(J145="","",IF(VLOOKUP(J145,'G-3 Multipliers'!$L$3:$N$6,3,FALSE)=0,"Spatial Data Missing",VLOOKUP(J145,'G-3 Multipliers'!$L$3:$N$6,3,FALSE)))</f>
        <v/>
      </c>
      <c r="M145" s="138"/>
      <c r="N145" s="282" t="str">
        <f>IF(M145="","",IF(VLOOKUP(M145,'G-3 Multipliers'!$S$3:$T$10,2,FALSE)=0,"Spatial Data Missing ⚠",VLOOKUP(M145,'G-3 Multipliers'!$S$3:$T$10,2,FALSE)))</f>
        <v/>
      </c>
      <c r="O145" s="281" t="str">
        <f>IF(OR(D145="",H145=""),"",(INDEX('G-6 Hedgerow Data'!$E$3:$I$15,MATCH(D145,'G-6 Hedgerow Data'!$B$3:$B$15,0),MATCH(H145,'G-6 Hedgerow Data'!$E$2:$I$2,0))))</f>
        <v/>
      </c>
      <c r="P145" s="137"/>
      <c r="Q145" s="137"/>
      <c r="R145" s="289" t="str">
        <f t="shared" si="15"/>
        <v/>
      </c>
      <c r="S145" s="302" t="str">
        <f t="shared" si="16"/>
        <v/>
      </c>
      <c r="T145" s="303" t="str">
        <f t="shared" si="14"/>
        <v/>
      </c>
      <c r="U145" s="317" t="str">
        <f>IF(D145="","",VLOOKUP(D145,'G-6 Hedgerow Data'!$B$3:$AG$15,31,FALSE))</f>
        <v/>
      </c>
      <c r="V145" s="301" t="str">
        <f t="shared" si="17"/>
        <v/>
      </c>
      <c r="W145" s="289" t="str">
        <f t="shared" si="18"/>
        <v/>
      </c>
      <c r="X145" s="305" t="str">
        <f>IF(F145="","",VLOOKUP(U145,'G-3 Multipliers'!$P$3:$Q$6,2,FALSE))</f>
        <v/>
      </c>
      <c r="Y145" s="309" t="str">
        <f t="shared" si="19"/>
        <v/>
      </c>
      <c r="Z145" s="309" t="str">
        <f t="shared" si="20"/>
        <v/>
      </c>
      <c r="AA145" s="105"/>
      <c r="AB145" s="968"/>
      <c r="AC145" s="142"/>
      <c r="AD145" s="142"/>
      <c r="AE145" s="964"/>
      <c r="AH145" s="30" t="str">
        <f>IFERROR(INDEX('G-6 Hedgerow Data'!$BJ$3:$BJ$15,MATCH(D145,'G-6 Hedgerow Data'!$B$3:$B$15,0)),"")</f>
        <v/>
      </c>
    </row>
    <row r="146" spans="2:34" ht="13.8" x14ac:dyDescent="0.25">
      <c r="B146" s="101">
        <v>135</v>
      </c>
      <c r="C146" s="175"/>
      <c r="D146" s="58"/>
      <c r="E146" s="142"/>
      <c r="F146" s="281" t="str">
        <f>IF(D146="","",VLOOKUP(D146,'G-6 Hedgerow Data'!$B$2:$AG$15,2,FALSE))</f>
        <v/>
      </c>
      <c r="G146" s="305" t="str">
        <f>IF(D146="","",VLOOKUP(D146,'G-6 Hedgerow Data'!$B$2:$AG$15,3,FALSE))</f>
        <v/>
      </c>
      <c r="H146" s="53"/>
      <c r="I146" s="282" t="str">
        <f>IFERROR(IF(H146="","",IF(AND(D146="Non-native and ornamental hedgerow", H146&lt;&gt;"Poor"),"Not possible ▲", (IF(AND(F146="V.Low",OR(H146="Good",H146="Moderate")),"Error ▲",VLOOKUP(H146,'G-1 All Habitats'!$Z$2:$AA$9,2,FALSE))))),"")</f>
        <v/>
      </c>
      <c r="J146" s="106"/>
      <c r="K146" s="301" t="str">
        <f>IF(J146="","",IF(VLOOKUP(J146,'G-3 Multipliers'!$L$3:$N$6,2,FALSE)=0,"Spatial Data Missing",VLOOKUP(J146,'G-3 Multipliers'!$L$3:$N$6,2,FALSE)))</f>
        <v/>
      </c>
      <c r="L146" s="305" t="str">
        <f>IF(J146="","",IF(VLOOKUP(J146,'G-3 Multipliers'!$L$3:$N$6,3,FALSE)=0,"Spatial Data Missing",VLOOKUP(J146,'G-3 Multipliers'!$L$3:$N$6,3,FALSE)))</f>
        <v/>
      </c>
      <c r="M146" s="138"/>
      <c r="N146" s="282" t="str">
        <f>IF(M146="","",IF(VLOOKUP(M146,'G-3 Multipliers'!$S$3:$T$10,2,FALSE)=0,"Spatial Data Missing ⚠",VLOOKUP(M146,'G-3 Multipliers'!$S$3:$T$10,2,FALSE)))</f>
        <v/>
      </c>
      <c r="O146" s="281" t="str">
        <f>IF(OR(D146="",H146=""),"",(INDEX('G-6 Hedgerow Data'!$E$3:$I$15,MATCH(D146,'G-6 Hedgerow Data'!$B$3:$B$15,0),MATCH(H146,'G-6 Hedgerow Data'!$E$2:$I$2,0))))</f>
        <v/>
      </c>
      <c r="P146" s="137"/>
      <c r="Q146" s="137"/>
      <c r="R146" s="289" t="str">
        <f t="shared" si="15"/>
        <v/>
      </c>
      <c r="S146" s="302" t="str">
        <f t="shared" si="16"/>
        <v/>
      </c>
      <c r="T146" s="303" t="str">
        <f t="shared" si="14"/>
        <v/>
      </c>
      <c r="U146" s="317" t="str">
        <f>IF(D146="","",VLOOKUP(D146,'G-6 Hedgerow Data'!$B$3:$AG$15,31,FALSE))</f>
        <v/>
      </c>
      <c r="V146" s="301" t="str">
        <f t="shared" si="17"/>
        <v/>
      </c>
      <c r="W146" s="289" t="str">
        <f t="shared" si="18"/>
        <v/>
      </c>
      <c r="X146" s="305" t="str">
        <f>IF(F146="","",VLOOKUP(U146,'G-3 Multipliers'!$P$3:$Q$6,2,FALSE))</f>
        <v/>
      </c>
      <c r="Y146" s="309" t="str">
        <f t="shared" si="19"/>
        <v/>
      </c>
      <c r="Z146" s="309" t="str">
        <f t="shared" si="20"/>
        <v/>
      </c>
      <c r="AA146" s="105"/>
      <c r="AB146" s="968"/>
      <c r="AC146" s="142"/>
      <c r="AD146" s="142"/>
      <c r="AE146" s="964"/>
      <c r="AH146" s="30" t="str">
        <f>IFERROR(INDEX('G-6 Hedgerow Data'!$BJ$3:$BJ$15,MATCH(D146,'G-6 Hedgerow Data'!$B$3:$B$15,0)),"")</f>
        <v/>
      </c>
    </row>
    <row r="147" spans="2:34" ht="13.8" x14ac:dyDescent="0.25">
      <c r="B147" s="101">
        <v>136</v>
      </c>
      <c r="C147" s="175"/>
      <c r="D147" s="58"/>
      <c r="E147" s="142"/>
      <c r="F147" s="281" t="str">
        <f>IF(D147="","",VLOOKUP(D147,'G-6 Hedgerow Data'!$B$2:$AG$15,2,FALSE))</f>
        <v/>
      </c>
      <c r="G147" s="305" t="str">
        <f>IF(D147="","",VLOOKUP(D147,'G-6 Hedgerow Data'!$B$2:$AG$15,3,FALSE))</f>
        <v/>
      </c>
      <c r="H147" s="53"/>
      <c r="I147" s="282" t="str">
        <f>IFERROR(IF(H147="","",IF(AND(D147="Non-native and ornamental hedgerow", H147&lt;&gt;"Poor"),"Not possible ▲", (IF(AND(F147="V.Low",OR(H147="Good",H147="Moderate")),"Error ▲",VLOOKUP(H147,'G-1 All Habitats'!$Z$2:$AA$9,2,FALSE))))),"")</f>
        <v/>
      </c>
      <c r="J147" s="106"/>
      <c r="K147" s="301" t="str">
        <f>IF(J147="","",IF(VLOOKUP(J147,'G-3 Multipliers'!$L$3:$N$6,2,FALSE)=0,"Spatial Data Missing",VLOOKUP(J147,'G-3 Multipliers'!$L$3:$N$6,2,FALSE)))</f>
        <v/>
      </c>
      <c r="L147" s="305" t="str">
        <f>IF(J147="","",IF(VLOOKUP(J147,'G-3 Multipliers'!$L$3:$N$6,3,FALSE)=0,"Spatial Data Missing",VLOOKUP(J147,'G-3 Multipliers'!$L$3:$N$6,3,FALSE)))</f>
        <v/>
      </c>
      <c r="M147" s="138"/>
      <c r="N147" s="282" t="str">
        <f>IF(M147="","",IF(VLOOKUP(M147,'G-3 Multipliers'!$S$3:$T$10,2,FALSE)=0,"Spatial Data Missing ⚠",VLOOKUP(M147,'G-3 Multipliers'!$S$3:$T$10,2,FALSE)))</f>
        <v/>
      </c>
      <c r="O147" s="281" t="str">
        <f>IF(OR(D147="",H147=""),"",(INDEX('G-6 Hedgerow Data'!$E$3:$I$15,MATCH(D147,'G-6 Hedgerow Data'!$B$3:$B$15,0),MATCH(H147,'G-6 Hedgerow Data'!$E$2:$I$2,0))))</f>
        <v/>
      </c>
      <c r="P147" s="137"/>
      <c r="Q147" s="137"/>
      <c r="R147" s="289" t="str">
        <f t="shared" si="15"/>
        <v/>
      </c>
      <c r="S147" s="302" t="str">
        <f t="shared" si="16"/>
        <v/>
      </c>
      <c r="T147" s="303" t="str">
        <f t="shared" si="14"/>
        <v/>
      </c>
      <c r="U147" s="317" t="str">
        <f>IF(D147="","",VLOOKUP(D147,'G-6 Hedgerow Data'!$B$3:$AG$15,31,FALSE))</f>
        <v/>
      </c>
      <c r="V147" s="301" t="str">
        <f t="shared" si="17"/>
        <v/>
      </c>
      <c r="W147" s="289" t="str">
        <f t="shared" si="18"/>
        <v/>
      </c>
      <c r="X147" s="305" t="str">
        <f>IF(F147="","",VLOOKUP(U147,'G-3 Multipliers'!$P$3:$Q$6,2,FALSE))</f>
        <v/>
      </c>
      <c r="Y147" s="309" t="str">
        <f t="shared" si="19"/>
        <v/>
      </c>
      <c r="Z147" s="309" t="str">
        <f t="shared" si="20"/>
        <v/>
      </c>
      <c r="AA147" s="105"/>
      <c r="AB147" s="968"/>
      <c r="AC147" s="142"/>
      <c r="AD147" s="142"/>
      <c r="AE147" s="964"/>
      <c r="AH147" s="30" t="str">
        <f>IFERROR(INDEX('G-6 Hedgerow Data'!$BJ$3:$BJ$15,MATCH(D147,'G-6 Hedgerow Data'!$B$3:$B$15,0)),"")</f>
        <v/>
      </c>
    </row>
    <row r="148" spans="2:34" ht="13.8" x14ac:dyDescent="0.25">
      <c r="B148" s="101">
        <v>137</v>
      </c>
      <c r="C148" s="175"/>
      <c r="D148" s="58"/>
      <c r="E148" s="142"/>
      <c r="F148" s="281" t="str">
        <f>IF(D148="","",VLOOKUP(D148,'G-6 Hedgerow Data'!$B$2:$AG$15,2,FALSE))</f>
        <v/>
      </c>
      <c r="G148" s="305" t="str">
        <f>IF(D148="","",VLOOKUP(D148,'G-6 Hedgerow Data'!$B$2:$AG$15,3,FALSE))</f>
        <v/>
      </c>
      <c r="H148" s="53"/>
      <c r="I148" s="282" t="str">
        <f>IFERROR(IF(H148="","",IF(AND(D148="Non-native and ornamental hedgerow", H148&lt;&gt;"Poor"),"Not possible ▲", (IF(AND(F148="V.Low",OR(H148="Good",H148="Moderate")),"Error ▲",VLOOKUP(H148,'G-1 All Habitats'!$Z$2:$AA$9,2,FALSE))))),"")</f>
        <v/>
      </c>
      <c r="J148" s="106"/>
      <c r="K148" s="301" t="str">
        <f>IF(J148="","",IF(VLOOKUP(J148,'G-3 Multipliers'!$L$3:$N$6,2,FALSE)=0,"Spatial Data Missing",VLOOKUP(J148,'G-3 Multipliers'!$L$3:$N$6,2,FALSE)))</f>
        <v/>
      </c>
      <c r="L148" s="305" t="str">
        <f>IF(J148="","",IF(VLOOKUP(J148,'G-3 Multipliers'!$L$3:$N$6,3,FALSE)=0,"Spatial Data Missing",VLOOKUP(J148,'G-3 Multipliers'!$L$3:$N$6,3,FALSE)))</f>
        <v/>
      </c>
      <c r="M148" s="138"/>
      <c r="N148" s="282" t="str">
        <f>IF(M148="","",IF(VLOOKUP(M148,'G-3 Multipliers'!$S$3:$T$10,2,FALSE)=0,"Spatial Data Missing ⚠",VLOOKUP(M148,'G-3 Multipliers'!$S$3:$T$10,2,FALSE)))</f>
        <v/>
      </c>
      <c r="O148" s="281" t="str">
        <f>IF(OR(D148="",H148=""),"",(INDEX('G-6 Hedgerow Data'!$E$3:$I$15,MATCH(D148,'G-6 Hedgerow Data'!$B$3:$B$15,0),MATCH(H148,'G-6 Hedgerow Data'!$E$2:$I$2,0))))</f>
        <v/>
      </c>
      <c r="P148" s="137"/>
      <c r="Q148" s="137"/>
      <c r="R148" s="289" t="str">
        <f t="shared" si="15"/>
        <v/>
      </c>
      <c r="S148" s="302" t="str">
        <f t="shared" si="16"/>
        <v/>
      </c>
      <c r="T148" s="303" t="str">
        <f t="shared" si="14"/>
        <v/>
      </c>
      <c r="U148" s="317" t="str">
        <f>IF(D148="","",VLOOKUP(D148,'G-6 Hedgerow Data'!$B$3:$AG$15,31,FALSE))</f>
        <v/>
      </c>
      <c r="V148" s="301" t="str">
        <f t="shared" si="17"/>
        <v/>
      </c>
      <c r="W148" s="289" t="str">
        <f t="shared" si="18"/>
        <v/>
      </c>
      <c r="X148" s="305" t="str">
        <f>IF(F148="","",VLOOKUP(U148,'G-3 Multipliers'!$P$3:$Q$6,2,FALSE))</f>
        <v/>
      </c>
      <c r="Y148" s="309" t="str">
        <f t="shared" si="19"/>
        <v/>
      </c>
      <c r="Z148" s="309" t="str">
        <f t="shared" si="20"/>
        <v/>
      </c>
      <c r="AA148" s="105"/>
      <c r="AB148" s="968"/>
      <c r="AC148" s="142"/>
      <c r="AD148" s="142"/>
      <c r="AE148" s="964"/>
      <c r="AH148" s="30" t="str">
        <f>IFERROR(INDEX('G-6 Hedgerow Data'!$BJ$3:$BJ$15,MATCH(D148,'G-6 Hedgerow Data'!$B$3:$B$15,0)),"")</f>
        <v/>
      </c>
    </row>
    <row r="149" spans="2:34" ht="13.8" x14ac:dyDescent="0.25">
      <c r="B149" s="101">
        <v>138</v>
      </c>
      <c r="C149" s="175"/>
      <c r="D149" s="58"/>
      <c r="E149" s="142"/>
      <c r="F149" s="281" t="str">
        <f>IF(D149="","",VLOOKUP(D149,'G-6 Hedgerow Data'!$B$2:$AG$15,2,FALSE))</f>
        <v/>
      </c>
      <c r="G149" s="305" t="str">
        <f>IF(D149="","",VLOOKUP(D149,'G-6 Hedgerow Data'!$B$2:$AG$15,3,FALSE))</f>
        <v/>
      </c>
      <c r="H149" s="53"/>
      <c r="I149" s="282" t="str">
        <f>IFERROR(IF(H149="","",IF(AND(D149="Non-native and ornamental hedgerow", H149&lt;&gt;"Poor"),"Not possible ▲", (IF(AND(F149="V.Low",OR(H149="Good",H149="Moderate")),"Error ▲",VLOOKUP(H149,'G-1 All Habitats'!$Z$2:$AA$9,2,FALSE))))),"")</f>
        <v/>
      </c>
      <c r="J149" s="106"/>
      <c r="K149" s="301" t="str">
        <f>IF(J149="","",IF(VLOOKUP(J149,'G-3 Multipliers'!$L$3:$N$6,2,FALSE)=0,"Spatial Data Missing",VLOOKUP(J149,'G-3 Multipliers'!$L$3:$N$6,2,FALSE)))</f>
        <v/>
      </c>
      <c r="L149" s="305" t="str">
        <f>IF(J149="","",IF(VLOOKUP(J149,'G-3 Multipliers'!$L$3:$N$6,3,FALSE)=0,"Spatial Data Missing",VLOOKUP(J149,'G-3 Multipliers'!$L$3:$N$6,3,FALSE)))</f>
        <v/>
      </c>
      <c r="M149" s="138"/>
      <c r="N149" s="282" t="str">
        <f>IF(M149="","",IF(VLOOKUP(M149,'G-3 Multipliers'!$S$3:$T$10,2,FALSE)=0,"Spatial Data Missing ⚠",VLOOKUP(M149,'G-3 Multipliers'!$S$3:$T$10,2,FALSE)))</f>
        <v/>
      </c>
      <c r="O149" s="281" t="str">
        <f>IF(OR(D149="",H149=""),"",(INDEX('G-6 Hedgerow Data'!$E$3:$I$15,MATCH(D149,'G-6 Hedgerow Data'!$B$3:$B$15,0),MATCH(H149,'G-6 Hedgerow Data'!$E$2:$I$2,0))))</f>
        <v/>
      </c>
      <c r="P149" s="137"/>
      <c r="Q149" s="137"/>
      <c r="R149" s="289" t="str">
        <f t="shared" si="15"/>
        <v/>
      </c>
      <c r="S149" s="302" t="str">
        <f t="shared" si="16"/>
        <v/>
      </c>
      <c r="T149" s="303" t="str">
        <f t="shared" si="14"/>
        <v/>
      </c>
      <c r="U149" s="317" t="str">
        <f>IF(D149="","",VLOOKUP(D149,'G-6 Hedgerow Data'!$B$3:$AG$15,31,FALSE))</f>
        <v/>
      </c>
      <c r="V149" s="301" t="str">
        <f t="shared" si="17"/>
        <v/>
      </c>
      <c r="W149" s="289" t="str">
        <f t="shared" si="18"/>
        <v/>
      </c>
      <c r="X149" s="305" t="str">
        <f>IF(F149="","",VLOOKUP(U149,'G-3 Multipliers'!$P$3:$Q$6,2,FALSE))</f>
        <v/>
      </c>
      <c r="Y149" s="309" t="str">
        <f t="shared" si="19"/>
        <v/>
      </c>
      <c r="Z149" s="309" t="str">
        <f t="shared" si="20"/>
        <v/>
      </c>
      <c r="AA149" s="105"/>
      <c r="AB149" s="968"/>
      <c r="AC149" s="142"/>
      <c r="AD149" s="142"/>
      <c r="AE149" s="964"/>
      <c r="AH149" s="30" t="str">
        <f>IFERROR(INDEX('G-6 Hedgerow Data'!$BJ$3:$BJ$15,MATCH(D149,'G-6 Hedgerow Data'!$B$3:$B$15,0)),"")</f>
        <v/>
      </c>
    </row>
    <row r="150" spans="2:34" ht="13.8" x14ac:dyDescent="0.25">
      <c r="B150" s="101">
        <v>139</v>
      </c>
      <c r="C150" s="175"/>
      <c r="D150" s="58"/>
      <c r="E150" s="142"/>
      <c r="F150" s="281" t="str">
        <f>IF(D150="","",VLOOKUP(D150,'G-6 Hedgerow Data'!$B$2:$AG$15,2,FALSE))</f>
        <v/>
      </c>
      <c r="G150" s="305" t="str">
        <f>IF(D150="","",VLOOKUP(D150,'G-6 Hedgerow Data'!$B$2:$AG$15,3,FALSE))</f>
        <v/>
      </c>
      <c r="H150" s="53"/>
      <c r="I150" s="282" t="str">
        <f>IFERROR(IF(H150="","",IF(AND(D150="Non-native and ornamental hedgerow", H150&lt;&gt;"Poor"),"Not possible ▲", (IF(AND(F150="V.Low",OR(H150="Good",H150="Moderate")),"Error ▲",VLOOKUP(H150,'G-1 All Habitats'!$Z$2:$AA$9,2,FALSE))))),"")</f>
        <v/>
      </c>
      <c r="J150" s="106"/>
      <c r="K150" s="301" t="str">
        <f>IF(J150="","",IF(VLOOKUP(J150,'G-3 Multipliers'!$L$3:$N$6,2,FALSE)=0,"Spatial Data Missing",VLOOKUP(J150,'G-3 Multipliers'!$L$3:$N$6,2,FALSE)))</f>
        <v/>
      </c>
      <c r="L150" s="305" t="str">
        <f>IF(J150="","",IF(VLOOKUP(J150,'G-3 Multipliers'!$L$3:$N$6,3,FALSE)=0,"Spatial Data Missing",VLOOKUP(J150,'G-3 Multipliers'!$L$3:$N$6,3,FALSE)))</f>
        <v/>
      </c>
      <c r="M150" s="138"/>
      <c r="N150" s="282" t="str">
        <f>IF(M150="","",IF(VLOOKUP(M150,'G-3 Multipliers'!$S$3:$T$10,2,FALSE)=0,"Spatial Data Missing ⚠",VLOOKUP(M150,'G-3 Multipliers'!$S$3:$T$10,2,FALSE)))</f>
        <v/>
      </c>
      <c r="O150" s="281" t="str">
        <f>IF(OR(D150="",H150=""),"",(INDEX('G-6 Hedgerow Data'!$E$3:$I$15,MATCH(D150,'G-6 Hedgerow Data'!$B$3:$B$15,0),MATCH(H150,'G-6 Hedgerow Data'!$E$2:$I$2,0))))</f>
        <v/>
      </c>
      <c r="P150" s="137"/>
      <c r="Q150" s="137"/>
      <c r="R150" s="289" t="str">
        <f t="shared" si="15"/>
        <v/>
      </c>
      <c r="S150" s="302" t="str">
        <f t="shared" si="16"/>
        <v/>
      </c>
      <c r="T150" s="303" t="str">
        <f t="shared" si="14"/>
        <v/>
      </c>
      <c r="U150" s="317" t="str">
        <f>IF(D150="","",VLOOKUP(D150,'G-6 Hedgerow Data'!$B$3:$AG$15,31,FALSE))</f>
        <v/>
      </c>
      <c r="V150" s="301" t="str">
        <f t="shared" si="17"/>
        <v/>
      </c>
      <c r="W150" s="289" t="str">
        <f t="shared" si="18"/>
        <v/>
      </c>
      <c r="X150" s="305" t="str">
        <f>IF(F150="","",VLOOKUP(U150,'G-3 Multipliers'!$P$3:$Q$6,2,FALSE))</f>
        <v/>
      </c>
      <c r="Y150" s="309" t="str">
        <f t="shared" si="19"/>
        <v/>
      </c>
      <c r="Z150" s="309" t="str">
        <f t="shared" si="20"/>
        <v/>
      </c>
      <c r="AA150" s="105"/>
      <c r="AB150" s="968"/>
      <c r="AC150" s="142"/>
      <c r="AD150" s="142"/>
      <c r="AE150" s="964"/>
      <c r="AH150" s="30" t="str">
        <f>IFERROR(INDEX('G-6 Hedgerow Data'!$BJ$3:$BJ$15,MATCH(D150,'G-6 Hedgerow Data'!$B$3:$B$15,0)),"")</f>
        <v/>
      </c>
    </row>
    <row r="151" spans="2:34" ht="13.8" x14ac:dyDescent="0.25">
      <c r="B151" s="101">
        <v>140</v>
      </c>
      <c r="C151" s="175"/>
      <c r="D151" s="58"/>
      <c r="E151" s="142"/>
      <c r="F151" s="281" t="str">
        <f>IF(D151="","",VLOOKUP(D151,'G-6 Hedgerow Data'!$B$2:$AG$15,2,FALSE))</f>
        <v/>
      </c>
      <c r="G151" s="305" t="str">
        <f>IF(D151="","",VLOOKUP(D151,'G-6 Hedgerow Data'!$B$2:$AG$15,3,FALSE))</f>
        <v/>
      </c>
      <c r="H151" s="53"/>
      <c r="I151" s="282" t="str">
        <f>IFERROR(IF(H151="","",IF(AND(D151="Non-native and ornamental hedgerow", H151&lt;&gt;"Poor"),"Not possible ▲", (IF(AND(F151="V.Low",OR(H151="Good",H151="Moderate")),"Error ▲",VLOOKUP(H151,'G-1 All Habitats'!$Z$2:$AA$9,2,FALSE))))),"")</f>
        <v/>
      </c>
      <c r="J151" s="106"/>
      <c r="K151" s="301" t="str">
        <f>IF(J151="","",IF(VLOOKUP(J151,'G-3 Multipliers'!$L$3:$N$6,2,FALSE)=0,"Spatial Data Missing",VLOOKUP(J151,'G-3 Multipliers'!$L$3:$N$6,2,FALSE)))</f>
        <v/>
      </c>
      <c r="L151" s="305" t="str">
        <f>IF(J151="","",IF(VLOOKUP(J151,'G-3 Multipliers'!$L$3:$N$6,3,FALSE)=0,"Spatial Data Missing",VLOOKUP(J151,'G-3 Multipliers'!$L$3:$N$6,3,FALSE)))</f>
        <v/>
      </c>
      <c r="M151" s="138"/>
      <c r="N151" s="282" t="str">
        <f>IF(M151="","",IF(VLOOKUP(M151,'G-3 Multipliers'!$S$3:$T$10,2,FALSE)=0,"Spatial Data Missing ⚠",VLOOKUP(M151,'G-3 Multipliers'!$S$3:$T$10,2,FALSE)))</f>
        <v/>
      </c>
      <c r="O151" s="281" t="str">
        <f>IF(OR(D151="",H151=""),"",(INDEX('G-6 Hedgerow Data'!$E$3:$I$15,MATCH(D151,'G-6 Hedgerow Data'!$B$3:$B$15,0),MATCH(H151,'G-6 Hedgerow Data'!$E$2:$I$2,0))))</f>
        <v/>
      </c>
      <c r="P151" s="137"/>
      <c r="Q151" s="137"/>
      <c r="R151" s="289" t="str">
        <f t="shared" si="15"/>
        <v/>
      </c>
      <c r="S151" s="302" t="str">
        <f t="shared" si="16"/>
        <v/>
      </c>
      <c r="T151" s="303" t="str">
        <f t="shared" si="14"/>
        <v/>
      </c>
      <c r="U151" s="317" t="str">
        <f>IF(D151="","",VLOOKUP(D151,'G-6 Hedgerow Data'!$B$3:$AG$15,31,FALSE))</f>
        <v/>
      </c>
      <c r="V151" s="301" t="str">
        <f t="shared" si="17"/>
        <v/>
      </c>
      <c r="W151" s="289" t="str">
        <f t="shared" si="18"/>
        <v/>
      </c>
      <c r="X151" s="305" t="str">
        <f>IF(F151="","",VLOOKUP(U151,'G-3 Multipliers'!$P$3:$Q$6,2,FALSE))</f>
        <v/>
      </c>
      <c r="Y151" s="309" t="str">
        <f t="shared" si="19"/>
        <v/>
      </c>
      <c r="Z151" s="309" t="str">
        <f t="shared" si="20"/>
        <v/>
      </c>
      <c r="AA151" s="105"/>
      <c r="AB151" s="968"/>
      <c r="AC151" s="142"/>
      <c r="AD151" s="142"/>
      <c r="AE151" s="964"/>
      <c r="AH151" s="30" t="str">
        <f>IFERROR(INDEX('G-6 Hedgerow Data'!$BJ$3:$BJ$15,MATCH(D151,'G-6 Hedgerow Data'!$B$3:$B$15,0)),"")</f>
        <v/>
      </c>
    </row>
    <row r="152" spans="2:34" ht="13.8" x14ac:dyDescent="0.25">
      <c r="B152" s="101">
        <v>141</v>
      </c>
      <c r="C152" s="175"/>
      <c r="D152" s="58"/>
      <c r="E152" s="142"/>
      <c r="F152" s="281" t="str">
        <f>IF(D152="","",VLOOKUP(D152,'G-6 Hedgerow Data'!$B$2:$AG$15,2,FALSE))</f>
        <v/>
      </c>
      <c r="G152" s="305" t="str">
        <f>IF(D152="","",VLOOKUP(D152,'G-6 Hedgerow Data'!$B$2:$AG$15,3,FALSE))</f>
        <v/>
      </c>
      <c r="H152" s="53"/>
      <c r="I152" s="282" t="str">
        <f>IFERROR(IF(H152="","",IF(AND(D152="Non-native and ornamental hedgerow", H152&lt;&gt;"Poor"),"Not possible ▲", (IF(AND(F152="V.Low",OR(H152="Good",H152="Moderate")),"Error ▲",VLOOKUP(H152,'G-1 All Habitats'!$Z$2:$AA$9,2,FALSE))))),"")</f>
        <v/>
      </c>
      <c r="J152" s="106"/>
      <c r="K152" s="301" t="str">
        <f>IF(J152="","",IF(VLOOKUP(J152,'G-3 Multipliers'!$L$3:$N$6,2,FALSE)=0,"Spatial Data Missing",VLOOKUP(J152,'G-3 Multipliers'!$L$3:$N$6,2,FALSE)))</f>
        <v/>
      </c>
      <c r="L152" s="305" t="str">
        <f>IF(J152="","",IF(VLOOKUP(J152,'G-3 Multipliers'!$L$3:$N$6,3,FALSE)=0,"Spatial Data Missing",VLOOKUP(J152,'G-3 Multipliers'!$L$3:$N$6,3,FALSE)))</f>
        <v/>
      </c>
      <c r="M152" s="138"/>
      <c r="N152" s="282" t="str">
        <f>IF(M152="","",IF(VLOOKUP(M152,'G-3 Multipliers'!$S$3:$T$10,2,FALSE)=0,"Spatial Data Missing ⚠",VLOOKUP(M152,'G-3 Multipliers'!$S$3:$T$10,2,FALSE)))</f>
        <v/>
      </c>
      <c r="O152" s="281" t="str">
        <f>IF(OR(D152="",H152=""),"",(INDEX('G-6 Hedgerow Data'!$E$3:$I$15,MATCH(D152,'G-6 Hedgerow Data'!$B$3:$B$15,0),MATCH(H152,'G-6 Hedgerow Data'!$E$2:$I$2,0))))</f>
        <v/>
      </c>
      <c r="P152" s="137"/>
      <c r="Q152" s="137"/>
      <c r="R152" s="289" t="str">
        <f t="shared" si="15"/>
        <v/>
      </c>
      <c r="S152" s="302" t="str">
        <f t="shared" si="16"/>
        <v/>
      </c>
      <c r="T152" s="303" t="str">
        <f t="shared" si="14"/>
        <v/>
      </c>
      <c r="U152" s="317" t="str">
        <f>IF(D152="","",VLOOKUP(D152,'G-6 Hedgerow Data'!$B$3:$AG$15,31,FALSE))</f>
        <v/>
      </c>
      <c r="V152" s="301" t="str">
        <f t="shared" si="17"/>
        <v/>
      </c>
      <c r="W152" s="289" t="str">
        <f t="shared" si="18"/>
        <v/>
      </c>
      <c r="X152" s="305" t="str">
        <f>IF(F152="","",VLOOKUP(U152,'G-3 Multipliers'!$P$3:$Q$6,2,FALSE))</f>
        <v/>
      </c>
      <c r="Y152" s="309" t="str">
        <f t="shared" si="19"/>
        <v/>
      </c>
      <c r="Z152" s="309" t="str">
        <f t="shared" si="20"/>
        <v/>
      </c>
      <c r="AA152" s="105"/>
      <c r="AB152" s="968"/>
      <c r="AC152" s="142"/>
      <c r="AD152" s="142"/>
      <c r="AE152" s="964"/>
      <c r="AH152" s="30" t="str">
        <f>IFERROR(INDEX('G-6 Hedgerow Data'!$BJ$3:$BJ$15,MATCH(D152,'G-6 Hedgerow Data'!$B$3:$B$15,0)),"")</f>
        <v/>
      </c>
    </row>
    <row r="153" spans="2:34" ht="13.8" x14ac:dyDescent="0.25">
      <c r="B153" s="101">
        <v>142</v>
      </c>
      <c r="C153" s="175"/>
      <c r="D153" s="58"/>
      <c r="E153" s="142"/>
      <c r="F153" s="281" t="str">
        <f>IF(D153="","",VLOOKUP(D153,'G-6 Hedgerow Data'!$B$2:$AG$15,2,FALSE))</f>
        <v/>
      </c>
      <c r="G153" s="305" t="str">
        <f>IF(D153="","",VLOOKUP(D153,'G-6 Hedgerow Data'!$B$2:$AG$15,3,FALSE))</f>
        <v/>
      </c>
      <c r="H153" s="53"/>
      <c r="I153" s="282" t="str">
        <f>IFERROR(IF(H153="","",IF(AND(D153="Non-native and ornamental hedgerow", H153&lt;&gt;"Poor"),"Not possible ▲", (IF(AND(F153="V.Low",OR(H153="Good",H153="Moderate")),"Error ▲",VLOOKUP(H153,'G-1 All Habitats'!$Z$2:$AA$9,2,FALSE))))),"")</f>
        <v/>
      </c>
      <c r="J153" s="106"/>
      <c r="K153" s="301" t="str">
        <f>IF(J153="","",IF(VLOOKUP(J153,'G-3 Multipliers'!$L$3:$N$6,2,FALSE)=0,"Spatial Data Missing",VLOOKUP(J153,'G-3 Multipliers'!$L$3:$N$6,2,FALSE)))</f>
        <v/>
      </c>
      <c r="L153" s="305" t="str">
        <f>IF(J153="","",IF(VLOOKUP(J153,'G-3 Multipliers'!$L$3:$N$6,3,FALSE)=0,"Spatial Data Missing",VLOOKUP(J153,'G-3 Multipliers'!$L$3:$N$6,3,FALSE)))</f>
        <v/>
      </c>
      <c r="M153" s="138"/>
      <c r="N153" s="282" t="str">
        <f>IF(M153="","",IF(VLOOKUP(M153,'G-3 Multipliers'!$S$3:$T$10,2,FALSE)=0,"Spatial Data Missing ⚠",VLOOKUP(M153,'G-3 Multipliers'!$S$3:$T$10,2,FALSE)))</f>
        <v/>
      </c>
      <c r="O153" s="281" t="str">
        <f>IF(OR(D153="",H153=""),"",(INDEX('G-6 Hedgerow Data'!$E$3:$I$15,MATCH(D153,'G-6 Hedgerow Data'!$B$3:$B$15,0),MATCH(H153,'G-6 Hedgerow Data'!$E$2:$I$2,0))))</f>
        <v/>
      </c>
      <c r="P153" s="137"/>
      <c r="Q153" s="137"/>
      <c r="R153" s="289" t="str">
        <f t="shared" si="15"/>
        <v/>
      </c>
      <c r="S153" s="302" t="str">
        <f t="shared" si="16"/>
        <v/>
      </c>
      <c r="T153" s="303" t="str">
        <f t="shared" si="14"/>
        <v/>
      </c>
      <c r="U153" s="317" t="str">
        <f>IF(D153="","",VLOOKUP(D153,'G-6 Hedgerow Data'!$B$3:$AG$15,31,FALSE))</f>
        <v/>
      </c>
      <c r="V153" s="301" t="str">
        <f t="shared" si="17"/>
        <v/>
      </c>
      <c r="W153" s="289" t="str">
        <f t="shared" si="18"/>
        <v/>
      </c>
      <c r="X153" s="305" t="str">
        <f>IF(F153="","",VLOOKUP(U153,'G-3 Multipliers'!$P$3:$Q$6,2,FALSE))</f>
        <v/>
      </c>
      <c r="Y153" s="309" t="str">
        <f t="shared" si="19"/>
        <v/>
      </c>
      <c r="Z153" s="309" t="str">
        <f t="shared" si="20"/>
        <v/>
      </c>
      <c r="AA153" s="105"/>
      <c r="AB153" s="968"/>
      <c r="AC153" s="142"/>
      <c r="AD153" s="142"/>
      <c r="AE153" s="964"/>
      <c r="AH153" s="30" t="str">
        <f>IFERROR(INDEX('G-6 Hedgerow Data'!$BJ$3:$BJ$15,MATCH(D153,'G-6 Hedgerow Data'!$B$3:$B$15,0)),"")</f>
        <v/>
      </c>
    </row>
    <row r="154" spans="2:34" ht="13.8" x14ac:dyDescent="0.25">
      <c r="B154" s="101">
        <v>143</v>
      </c>
      <c r="C154" s="175"/>
      <c r="D154" s="58"/>
      <c r="E154" s="142"/>
      <c r="F154" s="281" t="str">
        <f>IF(D154="","",VLOOKUP(D154,'G-6 Hedgerow Data'!$B$2:$AG$15,2,FALSE))</f>
        <v/>
      </c>
      <c r="G154" s="305" t="str">
        <f>IF(D154="","",VLOOKUP(D154,'G-6 Hedgerow Data'!$B$2:$AG$15,3,FALSE))</f>
        <v/>
      </c>
      <c r="H154" s="53"/>
      <c r="I154" s="282" t="str">
        <f>IFERROR(IF(H154="","",IF(AND(D154="Non-native and ornamental hedgerow", H154&lt;&gt;"Poor"),"Not possible ▲", (IF(AND(F154="V.Low",OR(H154="Good",H154="Moderate")),"Error ▲",VLOOKUP(H154,'G-1 All Habitats'!$Z$2:$AA$9,2,FALSE))))),"")</f>
        <v/>
      </c>
      <c r="J154" s="106"/>
      <c r="K154" s="301" t="str">
        <f>IF(J154="","",IF(VLOOKUP(J154,'G-3 Multipliers'!$L$3:$N$6,2,FALSE)=0,"Spatial Data Missing",VLOOKUP(J154,'G-3 Multipliers'!$L$3:$N$6,2,FALSE)))</f>
        <v/>
      </c>
      <c r="L154" s="305" t="str">
        <f>IF(J154="","",IF(VLOOKUP(J154,'G-3 Multipliers'!$L$3:$N$6,3,FALSE)=0,"Spatial Data Missing",VLOOKUP(J154,'G-3 Multipliers'!$L$3:$N$6,3,FALSE)))</f>
        <v/>
      </c>
      <c r="M154" s="138"/>
      <c r="N154" s="282" t="str">
        <f>IF(M154="","",IF(VLOOKUP(M154,'G-3 Multipliers'!$S$3:$T$10,2,FALSE)=0,"Spatial Data Missing ⚠",VLOOKUP(M154,'G-3 Multipliers'!$S$3:$T$10,2,FALSE)))</f>
        <v/>
      </c>
      <c r="O154" s="281" t="str">
        <f>IF(OR(D154="",H154=""),"",(INDEX('G-6 Hedgerow Data'!$E$3:$I$15,MATCH(D154,'G-6 Hedgerow Data'!$B$3:$B$15,0),MATCH(H154,'G-6 Hedgerow Data'!$E$2:$I$2,0))))</f>
        <v/>
      </c>
      <c r="P154" s="137"/>
      <c r="Q154" s="137"/>
      <c r="R154" s="289" t="str">
        <f t="shared" si="15"/>
        <v/>
      </c>
      <c r="S154" s="302" t="str">
        <f t="shared" si="16"/>
        <v/>
      </c>
      <c r="T154" s="303" t="str">
        <f t="shared" si="14"/>
        <v/>
      </c>
      <c r="U154" s="317" t="str">
        <f>IF(D154="","",VLOOKUP(D154,'G-6 Hedgerow Data'!$B$3:$AG$15,31,FALSE))</f>
        <v/>
      </c>
      <c r="V154" s="301" t="str">
        <f t="shared" si="17"/>
        <v/>
      </c>
      <c r="W154" s="289" t="str">
        <f t="shared" si="18"/>
        <v/>
      </c>
      <c r="X154" s="305" t="str">
        <f>IF(F154="","",VLOOKUP(U154,'G-3 Multipliers'!$P$3:$Q$6,2,FALSE))</f>
        <v/>
      </c>
      <c r="Y154" s="309" t="str">
        <f t="shared" si="19"/>
        <v/>
      </c>
      <c r="Z154" s="309" t="str">
        <f t="shared" si="20"/>
        <v/>
      </c>
      <c r="AA154" s="105"/>
      <c r="AB154" s="968"/>
      <c r="AC154" s="142"/>
      <c r="AD154" s="142"/>
      <c r="AE154" s="964"/>
      <c r="AH154" s="30" t="str">
        <f>IFERROR(INDEX('G-6 Hedgerow Data'!$BJ$3:$BJ$15,MATCH(D154,'G-6 Hedgerow Data'!$B$3:$B$15,0)),"")</f>
        <v/>
      </c>
    </row>
    <row r="155" spans="2:34" ht="13.8" x14ac:dyDescent="0.25">
      <c r="B155" s="101">
        <v>144</v>
      </c>
      <c r="C155" s="175"/>
      <c r="D155" s="58"/>
      <c r="E155" s="142"/>
      <c r="F155" s="281" t="str">
        <f>IF(D155="","",VLOOKUP(D155,'G-6 Hedgerow Data'!$B$2:$AG$15,2,FALSE))</f>
        <v/>
      </c>
      <c r="G155" s="305" t="str">
        <f>IF(D155="","",VLOOKUP(D155,'G-6 Hedgerow Data'!$B$2:$AG$15,3,FALSE))</f>
        <v/>
      </c>
      <c r="H155" s="53"/>
      <c r="I155" s="282" t="str">
        <f>IFERROR(IF(H155="","",IF(AND(D155="Non-native and ornamental hedgerow", H155&lt;&gt;"Poor"),"Not possible ▲", (IF(AND(F155="V.Low",OR(H155="Good",H155="Moderate")),"Error ▲",VLOOKUP(H155,'G-1 All Habitats'!$Z$2:$AA$9,2,FALSE))))),"")</f>
        <v/>
      </c>
      <c r="J155" s="106"/>
      <c r="K155" s="301" t="str">
        <f>IF(J155="","",IF(VLOOKUP(J155,'G-3 Multipliers'!$L$3:$N$6,2,FALSE)=0,"Spatial Data Missing",VLOOKUP(J155,'G-3 Multipliers'!$L$3:$N$6,2,FALSE)))</f>
        <v/>
      </c>
      <c r="L155" s="305" t="str">
        <f>IF(J155="","",IF(VLOOKUP(J155,'G-3 Multipliers'!$L$3:$N$6,3,FALSE)=0,"Spatial Data Missing",VLOOKUP(J155,'G-3 Multipliers'!$L$3:$N$6,3,FALSE)))</f>
        <v/>
      </c>
      <c r="M155" s="138"/>
      <c r="N155" s="282" t="str">
        <f>IF(M155="","",IF(VLOOKUP(M155,'G-3 Multipliers'!$S$3:$T$10,2,FALSE)=0,"Spatial Data Missing ⚠",VLOOKUP(M155,'G-3 Multipliers'!$S$3:$T$10,2,FALSE)))</f>
        <v/>
      </c>
      <c r="O155" s="281" t="str">
        <f>IF(OR(D155="",H155=""),"",(INDEX('G-6 Hedgerow Data'!$E$3:$I$15,MATCH(D155,'G-6 Hedgerow Data'!$B$3:$B$15,0),MATCH(H155,'G-6 Hedgerow Data'!$E$2:$I$2,0))))</f>
        <v/>
      </c>
      <c r="P155" s="137"/>
      <c r="Q155" s="137"/>
      <c r="R155" s="289" t="str">
        <f t="shared" si="15"/>
        <v/>
      </c>
      <c r="S155" s="302" t="str">
        <f t="shared" si="16"/>
        <v/>
      </c>
      <c r="T155" s="303" t="str">
        <f t="shared" si="14"/>
        <v/>
      </c>
      <c r="U155" s="317" t="str">
        <f>IF(D155="","",VLOOKUP(D155,'G-6 Hedgerow Data'!$B$3:$AG$15,31,FALSE))</f>
        <v/>
      </c>
      <c r="V155" s="301" t="str">
        <f t="shared" si="17"/>
        <v/>
      </c>
      <c r="W155" s="289" t="str">
        <f t="shared" si="18"/>
        <v/>
      </c>
      <c r="X155" s="305" t="str">
        <f>IF(F155="","",VLOOKUP(U155,'G-3 Multipliers'!$P$3:$Q$6,2,FALSE))</f>
        <v/>
      </c>
      <c r="Y155" s="309" t="str">
        <f t="shared" si="19"/>
        <v/>
      </c>
      <c r="Z155" s="309" t="str">
        <f t="shared" si="20"/>
        <v/>
      </c>
      <c r="AA155" s="105"/>
      <c r="AB155" s="968"/>
      <c r="AC155" s="142"/>
      <c r="AD155" s="142"/>
      <c r="AE155" s="964"/>
      <c r="AH155" s="30" t="str">
        <f>IFERROR(INDEX('G-6 Hedgerow Data'!$BJ$3:$BJ$15,MATCH(D155,'G-6 Hedgerow Data'!$B$3:$B$15,0)),"")</f>
        <v/>
      </c>
    </row>
    <row r="156" spans="2:34" ht="13.8" x14ac:dyDescent="0.25">
      <c r="B156" s="101">
        <v>145</v>
      </c>
      <c r="C156" s="175"/>
      <c r="D156" s="58"/>
      <c r="E156" s="142"/>
      <c r="F156" s="281" t="str">
        <f>IF(D156="","",VLOOKUP(D156,'G-6 Hedgerow Data'!$B$2:$AG$15,2,FALSE))</f>
        <v/>
      </c>
      <c r="G156" s="305" t="str">
        <f>IF(D156="","",VLOOKUP(D156,'G-6 Hedgerow Data'!$B$2:$AG$15,3,FALSE))</f>
        <v/>
      </c>
      <c r="H156" s="53"/>
      <c r="I156" s="282" t="str">
        <f>IFERROR(IF(H156="","",IF(AND(D156="Non-native and ornamental hedgerow", H156&lt;&gt;"Poor"),"Not possible ▲", (IF(AND(F156="V.Low",OR(H156="Good",H156="Moderate")),"Error ▲",VLOOKUP(H156,'G-1 All Habitats'!$Z$2:$AA$9,2,FALSE))))),"")</f>
        <v/>
      </c>
      <c r="J156" s="106"/>
      <c r="K156" s="301" t="str">
        <f>IF(J156="","",IF(VLOOKUP(J156,'G-3 Multipliers'!$L$3:$N$6,2,FALSE)=0,"Spatial Data Missing",VLOOKUP(J156,'G-3 Multipliers'!$L$3:$N$6,2,FALSE)))</f>
        <v/>
      </c>
      <c r="L156" s="305" t="str">
        <f>IF(J156="","",IF(VLOOKUP(J156,'G-3 Multipliers'!$L$3:$N$6,3,FALSE)=0,"Spatial Data Missing",VLOOKUP(J156,'G-3 Multipliers'!$L$3:$N$6,3,FALSE)))</f>
        <v/>
      </c>
      <c r="M156" s="138"/>
      <c r="N156" s="282" t="str">
        <f>IF(M156="","",IF(VLOOKUP(M156,'G-3 Multipliers'!$S$3:$T$10,2,FALSE)=0,"Spatial Data Missing ⚠",VLOOKUP(M156,'G-3 Multipliers'!$S$3:$T$10,2,FALSE)))</f>
        <v/>
      </c>
      <c r="O156" s="281" t="str">
        <f>IF(OR(D156="",H156=""),"",(INDEX('G-6 Hedgerow Data'!$E$3:$I$15,MATCH(D156,'G-6 Hedgerow Data'!$B$3:$B$15,0),MATCH(H156,'G-6 Hedgerow Data'!$E$2:$I$2,0))))</f>
        <v/>
      </c>
      <c r="P156" s="137"/>
      <c r="Q156" s="137"/>
      <c r="R156" s="289" t="str">
        <f t="shared" si="15"/>
        <v/>
      </c>
      <c r="S156" s="302" t="str">
        <f t="shared" si="16"/>
        <v/>
      </c>
      <c r="T156" s="303" t="str">
        <f t="shared" si="14"/>
        <v/>
      </c>
      <c r="U156" s="317" t="str">
        <f>IF(D156="","",VLOOKUP(D156,'G-6 Hedgerow Data'!$B$3:$AG$15,31,FALSE))</f>
        <v/>
      </c>
      <c r="V156" s="301" t="str">
        <f t="shared" si="17"/>
        <v/>
      </c>
      <c r="W156" s="289" t="str">
        <f t="shared" si="18"/>
        <v/>
      </c>
      <c r="X156" s="305" t="str">
        <f>IF(F156="","",VLOOKUP(U156,'G-3 Multipliers'!$P$3:$Q$6,2,FALSE))</f>
        <v/>
      </c>
      <c r="Y156" s="309" t="str">
        <f t="shared" si="19"/>
        <v/>
      </c>
      <c r="Z156" s="309" t="str">
        <f t="shared" si="20"/>
        <v/>
      </c>
      <c r="AA156" s="105"/>
      <c r="AB156" s="968"/>
      <c r="AC156" s="142"/>
      <c r="AD156" s="142"/>
      <c r="AE156" s="964"/>
      <c r="AH156" s="30" t="str">
        <f>IFERROR(INDEX('G-6 Hedgerow Data'!$BJ$3:$BJ$15,MATCH(D156,'G-6 Hedgerow Data'!$B$3:$B$15,0)),"")</f>
        <v/>
      </c>
    </row>
    <row r="157" spans="2:34" ht="13.8" x14ac:dyDescent="0.25">
      <c r="B157" s="101">
        <v>146</v>
      </c>
      <c r="C157" s="175"/>
      <c r="D157" s="58"/>
      <c r="E157" s="142"/>
      <c r="F157" s="281" t="str">
        <f>IF(D157="","",VLOOKUP(D157,'G-6 Hedgerow Data'!$B$2:$AG$15,2,FALSE))</f>
        <v/>
      </c>
      <c r="G157" s="305" t="str">
        <f>IF(D157="","",VLOOKUP(D157,'G-6 Hedgerow Data'!$B$2:$AG$15,3,FALSE))</f>
        <v/>
      </c>
      <c r="H157" s="53"/>
      <c r="I157" s="282" t="str">
        <f>IFERROR(IF(H157="","",IF(AND(D157="Non-native and ornamental hedgerow", H157&lt;&gt;"Poor"),"Not possible ▲", (IF(AND(F157="V.Low",OR(H157="Good",H157="Moderate")),"Error ▲",VLOOKUP(H157,'G-1 All Habitats'!$Z$2:$AA$9,2,FALSE))))),"")</f>
        <v/>
      </c>
      <c r="J157" s="106"/>
      <c r="K157" s="301" t="str">
        <f>IF(J157="","",IF(VLOOKUP(J157,'G-3 Multipliers'!$L$3:$N$6,2,FALSE)=0,"Spatial Data Missing",VLOOKUP(J157,'G-3 Multipliers'!$L$3:$N$6,2,FALSE)))</f>
        <v/>
      </c>
      <c r="L157" s="305" t="str">
        <f>IF(J157="","",IF(VLOOKUP(J157,'G-3 Multipliers'!$L$3:$N$6,3,FALSE)=0,"Spatial Data Missing",VLOOKUP(J157,'G-3 Multipliers'!$L$3:$N$6,3,FALSE)))</f>
        <v/>
      </c>
      <c r="M157" s="138"/>
      <c r="N157" s="282" t="str">
        <f>IF(M157="","",IF(VLOOKUP(M157,'G-3 Multipliers'!$S$3:$T$10,2,FALSE)=0,"Spatial Data Missing ⚠",VLOOKUP(M157,'G-3 Multipliers'!$S$3:$T$10,2,FALSE)))</f>
        <v/>
      </c>
      <c r="O157" s="281" t="str">
        <f>IF(OR(D157="",H157=""),"",(INDEX('G-6 Hedgerow Data'!$E$3:$I$15,MATCH(D157,'G-6 Hedgerow Data'!$B$3:$B$15,0),MATCH(H157,'G-6 Hedgerow Data'!$E$2:$I$2,0))))</f>
        <v/>
      </c>
      <c r="P157" s="137"/>
      <c r="Q157" s="137"/>
      <c r="R157" s="289" t="str">
        <f t="shared" si="15"/>
        <v/>
      </c>
      <c r="S157" s="302" t="str">
        <f t="shared" si="16"/>
        <v/>
      </c>
      <c r="T157" s="303" t="str">
        <f t="shared" si="14"/>
        <v/>
      </c>
      <c r="U157" s="317" t="str">
        <f>IF(D157="","",VLOOKUP(D157,'G-6 Hedgerow Data'!$B$3:$AG$15,31,FALSE))</f>
        <v/>
      </c>
      <c r="V157" s="301" t="str">
        <f t="shared" si="17"/>
        <v/>
      </c>
      <c r="W157" s="289" t="str">
        <f t="shared" si="18"/>
        <v/>
      </c>
      <c r="X157" s="305" t="str">
        <f>IF(F157="","",VLOOKUP(U157,'G-3 Multipliers'!$P$3:$Q$6,2,FALSE))</f>
        <v/>
      </c>
      <c r="Y157" s="309" t="str">
        <f t="shared" si="19"/>
        <v/>
      </c>
      <c r="Z157" s="309" t="str">
        <f t="shared" si="20"/>
        <v/>
      </c>
      <c r="AA157" s="105"/>
      <c r="AB157" s="968"/>
      <c r="AC157" s="142"/>
      <c r="AD157" s="142"/>
      <c r="AE157" s="964"/>
      <c r="AH157" s="30" t="str">
        <f>IFERROR(INDEX('G-6 Hedgerow Data'!$BJ$3:$BJ$15,MATCH(D157,'G-6 Hedgerow Data'!$B$3:$B$15,0)),"")</f>
        <v/>
      </c>
    </row>
    <row r="158" spans="2:34" ht="13.8" x14ac:dyDescent="0.25">
      <c r="B158" s="101">
        <v>147</v>
      </c>
      <c r="C158" s="175"/>
      <c r="D158" s="58"/>
      <c r="E158" s="142"/>
      <c r="F158" s="281" t="str">
        <f>IF(D158="","",VLOOKUP(D158,'G-6 Hedgerow Data'!$B$2:$AG$15,2,FALSE))</f>
        <v/>
      </c>
      <c r="G158" s="305" t="str">
        <f>IF(D158="","",VLOOKUP(D158,'G-6 Hedgerow Data'!$B$2:$AG$15,3,FALSE))</f>
        <v/>
      </c>
      <c r="H158" s="53"/>
      <c r="I158" s="282" t="str">
        <f>IFERROR(IF(H158="","",IF(AND(D158="Non-native and ornamental hedgerow", H158&lt;&gt;"Poor"),"Not possible ▲", (IF(AND(F158="V.Low",OR(H158="Good",H158="Moderate")),"Error ▲",VLOOKUP(H158,'G-1 All Habitats'!$Z$2:$AA$9,2,FALSE))))),"")</f>
        <v/>
      </c>
      <c r="J158" s="106"/>
      <c r="K158" s="301" t="str">
        <f>IF(J158="","",IF(VLOOKUP(J158,'G-3 Multipliers'!$L$3:$N$6,2,FALSE)=0,"Spatial Data Missing",VLOOKUP(J158,'G-3 Multipliers'!$L$3:$N$6,2,FALSE)))</f>
        <v/>
      </c>
      <c r="L158" s="305" t="str">
        <f>IF(J158="","",IF(VLOOKUP(J158,'G-3 Multipliers'!$L$3:$N$6,3,FALSE)=0,"Spatial Data Missing",VLOOKUP(J158,'G-3 Multipliers'!$L$3:$N$6,3,FALSE)))</f>
        <v/>
      </c>
      <c r="M158" s="138"/>
      <c r="N158" s="282" t="str">
        <f>IF(M158="","",IF(VLOOKUP(M158,'G-3 Multipliers'!$S$3:$T$10,2,FALSE)=0,"Spatial Data Missing ⚠",VLOOKUP(M158,'G-3 Multipliers'!$S$3:$T$10,2,FALSE)))</f>
        <v/>
      </c>
      <c r="O158" s="281" t="str">
        <f>IF(OR(D158="",H158=""),"",(INDEX('G-6 Hedgerow Data'!$E$3:$I$15,MATCH(D158,'G-6 Hedgerow Data'!$B$3:$B$15,0),MATCH(H158,'G-6 Hedgerow Data'!$E$2:$I$2,0))))</f>
        <v/>
      </c>
      <c r="P158" s="137"/>
      <c r="Q158" s="137"/>
      <c r="R158" s="289" t="str">
        <f t="shared" si="15"/>
        <v/>
      </c>
      <c r="S158" s="302" t="str">
        <f t="shared" si="16"/>
        <v/>
      </c>
      <c r="T158" s="303" t="str">
        <f t="shared" si="14"/>
        <v/>
      </c>
      <c r="U158" s="317" t="str">
        <f>IF(D158="","",VLOOKUP(D158,'G-6 Hedgerow Data'!$B$3:$AG$15,31,FALSE))</f>
        <v/>
      </c>
      <c r="V158" s="301" t="str">
        <f t="shared" si="17"/>
        <v/>
      </c>
      <c r="W158" s="289" t="str">
        <f t="shared" si="18"/>
        <v/>
      </c>
      <c r="X158" s="305" t="str">
        <f>IF(F158="","",VLOOKUP(U158,'G-3 Multipliers'!$P$3:$Q$6,2,FALSE))</f>
        <v/>
      </c>
      <c r="Y158" s="309" t="str">
        <f t="shared" si="19"/>
        <v/>
      </c>
      <c r="Z158" s="309" t="str">
        <f t="shared" si="20"/>
        <v/>
      </c>
      <c r="AA158" s="105"/>
      <c r="AB158" s="968"/>
      <c r="AC158" s="142"/>
      <c r="AD158" s="142"/>
      <c r="AE158" s="964"/>
      <c r="AH158" s="30" t="str">
        <f>IFERROR(INDEX('G-6 Hedgerow Data'!$BJ$3:$BJ$15,MATCH(D158,'G-6 Hedgerow Data'!$B$3:$B$15,0)),"")</f>
        <v/>
      </c>
    </row>
    <row r="159" spans="2:34" ht="13.8" x14ac:dyDescent="0.25">
      <c r="B159" s="101">
        <v>148</v>
      </c>
      <c r="C159" s="175"/>
      <c r="D159" s="58"/>
      <c r="E159" s="142"/>
      <c r="F159" s="281" t="str">
        <f>IF(D159="","",VLOOKUP(D159,'G-6 Hedgerow Data'!$B$2:$AG$15,2,FALSE))</f>
        <v/>
      </c>
      <c r="G159" s="305" t="str">
        <f>IF(D159="","",VLOOKUP(D159,'G-6 Hedgerow Data'!$B$2:$AG$15,3,FALSE))</f>
        <v/>
      </c>
      <c r="H159" s="53"/>
      <c r="I159" s="282" t="str">
        <f>IFERROR(IF(H159="","",IF(AND(D159="Non-native and ornamental hedgerow", H159&lt;&gt;"Poor"),"Not possible ▲", (IF(AND(F159="V.Low",OR(H159="Good",H159="Moderate")),"Error ▲",VLOOKUP(H159,'G-1 All Habitats'!$Z$2:$AA$9,2,FALSE))))),"")</f>
        <v/>
      </c>
      <c r="J159" s="106"/>
      <c r="K159" s="301" t="str">
        <f>IF(J159="","",IF(VLOOKUP(J159,'G-3 Multipliers'!$L$3:$N$6,2,FALSE)=0,"Spatial Data Missing",VLOOKUP(J159,'G-3 Multipliers'!$L$3:$N$6,2,FALSE)))</f>
        <v/>
      </c>
      <c r="L159" s="305" t="str">
        <f>IF(J159="","",IF(VLOOKUP(J159,'G-3 Multipliers'!$L$3:$N$6,3,FALSE)=0,"Spatial Data Missing",VLOOKUP(J159,'G-3 Multipliers'!$L$3:$N$6,3,FALSE)))</f>
        <v/>
      </c>
      <c r="M159" s="138"/>
      <c r="N159" s="282" t="str">
        <f>IF(M159="","",IF(VLOOKUP(M159,'G-3 Multipliers'!$S$3:$T$10,2,FALSE)=0,"Spatial Data Missing ⚠",VLOOKUP(M159,'G-3 Multipliers'!$S$3:$T$10,2,FALSE)))</f>
        <v/>
      </c>
      <c r="O159" s="281" t="str">
        <f>IF(OR(D159="",H159=""),"",(INDEX('G-6 Hedgerow Data'!$E$3:$I$15,MATCH(D159,'G-6 Hedgerow Data'!$B$3:$B$15,0),MATCH(H159,'G-6 Hedgerow Data'!$E$2:$I$2,0))))</f>
        <v/>
      </c>
      <c r="P159" s="137"/>
      <c r="Q159" s="137"/>
      <c r="R159" s="289" t="str">
        <f t="shared" si="15"/>
        <v/>
      </c>
      <c r="S159" s="302" t="str">
        <f t="shared" si="16"/>
        <v/>
      </c>
      <c r="T159" s="303" t="str">
        <f t="shared" si="14"/>
        <v/>
      </c>
      <c r="U159" s="317" t="str">
        <f>IF(D159="","",VLOOKUP(D159,'G-6 Hedgerow Data'!$B$3:$AG$15,31,FALSE))</f>
        <v/>
      </c>
      <c r="V159" s="301" t="str">
        <f t="shared" si="17"/>
        <v/>
      </c>
      <c r="W159" s="289" t="str">
        <f t="shared" si="18"/>
        <v/>
      </c>
      <c r="X159" s="305" t="str">
        <f>IF(F159="","",VLOOKUP(U159,'G-3 Multipliers'!$P$3:$Q$6,2,FALSE))</f>
        <v/>
      </c>
      <c r="Y159" s="309" t="str">
        <f t="shared" si="19"/>
        <v/>
      </c>
      <c r="Z159" s="309" t="str">
        <f t="shared" si="20"/>
        <v/>
      </c>
      <c r="AA159" s="105"/>
      <c r="AB159" s="968"/>
      <c r="AC159" s="142"/>
      <c r="AD159" s="142"/>
      <c r="AE159" s="964"/>
      <c r="AH159" s="30" t="str">
        <f>IFERROR(INDEX('G-6 Hedgerow Data'!$BJ$3:$BJ$15,MATCH(D159,'G-6 Hedgerow Data'!$B$3:$B$15,0)),"")</f>
        <v/>
      </c>
    </row>
    <row r="160" spans="2:34" ht="13.8" x14ac:dyDescent="0.25">
      <c r="B160" s="101">
        <v>149</v>
      </c>
      <c r="C160" s="175"/>
      <c r="D160" s="58"/>
      <c r="E160" s="142"/>
      <c r="F160" s="281" t="str">
        <f>IF(D160="","",VLOOKUP(D160,'G-6 Hedgerow Data'!$B$2:$AG$15,2,FALSE))</f>
        <v/>
      </c>
      <c r="G160" s="305" t="str">
        <f>IF(D160="","",VLOOKUP(D160,'G-6 Hedgerow Data'!$B$2:$AG$15,3,FALSE))</f>
        <v/>
      </c>
      <c r="H160" s="53"/>
      <c r="I160" s="282" t="str">
        <f>IFERROR(IF(H160="","",IF(AND(D160="Non-native and ornamental hedgerow", H160&lt;&gt;"Poor"),"Not possible ▲", (IF(AND(F160="V.Low",OR(H160="Good",H160="Moderate")),"Error ▲",VLOOKUP(H160,'G-1 All Habitats'!$Z$2:$AA$9,2,FALSE))))),"")</f>
        <v/>
      </c>
      <c r="J160" s="106"/>
      <c r="K160" s="301" t="str">
        <f>IF(J160="","",IF(VLOOKUP(J160,'G-3 Multipliers'!$L$3:$N$6,2,FALSE)=0,"Spatial Data Missing",VLOOKUP(J160,'G-3 Multipliers'!$L$3:$N$6,2,FALSE)))</f>
        <v/>
      </c>
      <c r="L160" s="305" t="str">
        <f>IF(J160="","",IF(VLOOKUP(J160,'G-3 Multipliers'!$L$3:$N$6,3,FALSE)=0,"Spatial Data Missing",VLOOKUP(J160,'G-3 Multipliers'!$L$3:$N$6,3,FALSE)))</f>
        <v/>
      </c>
      <c r="M160" s="138"/>
      <c r="N160" s="282" t="str">
        <f>IF(M160="","",IF(VLOOKUP(M160,'G-3 Multipliers'!$S$3:$T$10,2,FALSE)=0,"Spatial Data Missing ⚠",VLOOKUP(M160,'G-3 Multipliers'!$S$3:$T$10,2,FALSE)))</f>
        <v/>
      </c>
      <c r="O160" s="281" t="str">
        <f>IF(OR(D160="",H160=""),"",(INDEX('G-6 Hedgerow Data'!$E$3:$I$15,MATCH(D160,'G-6 Hedgerow Data'!$B$3:$B$15,0),MATCH(H160,'G-6 Hedgerow Data'!$E$2:$I$2,0))))</f>
        <v/>
      </c>
      <c r="P160" s="137"/>
      <c r="Q160" s="137"/>
      <c r="R160" s="289" t="str">
        <f t="shared" si="15"/>
        <v/>
      </c>
      <c r="S160" s="302" t="str">
        <f t="shared" si="16"/>
        <v/>
      </c>
      <c r="T160" s="303" t="str">
        <f t="shared" si="14"/>
        <v/>
      </c>
      <c r="U160" s="317" t="str">
        <f>IF(D160="","",VLOOKUP(D160,'G-6 Hedgerow Data'!$B$3:$AG$15,31,FALSE))</f>
        <v/>
      </c>
      <c r="V160" s="301" t="str">
        <f t="shared" si="17"/>
        <v/>
      </c>
      <c r="W160" s="289" t="str">
        <f t="shared" si="18"/>
        <v/>
      </c>
      <c r="X160" s="305" t="str">
        <f>IF(F160="","",VLOOKUP(U160,'G-3 Multipliers'!$P$3:$Q$6,2,FALSE))</f>
        <v/>
      </c>
      <c r="Y160" s="309" t="str">
        <f t="shared" si="19"/>
        <v/>
      </c>
      <c r="Z160" s="309" t="str">
        <f t="shared" si="20"/>
        <v/>
      </c>
      <c r="AA160" s="105"/>
      <c r="AB160" s="968"/>
      <c r="AC160" s="142"/>
      <c r="AD160" s="142"/>
      <c r="AE160" s="964"/>
      <c r="AH160" s="30" t="str">
        <f>IFERROR(INDEX('G-6 Hedgerow Data'!$BJ$3:$BJ$15,MATCH(D160,'G-6 Hedgerow Data'!$B$3:$B$15,0)),"")</f>
        <v/>
      </c>
    </row>
    <row r="161" spans="2:34" ht="13.8" x14ac:dyDescent="0.25">
      <c r="B161" s="101">
        <v>150</v>
      </c>
      <c r="C161" s="175"/>
      <c r="D161" s="58"/>
      <c r="E161" s="142"/>
      <c r="F161" s="281" t="str">
        <f>IF(D161="","",VLOOKUP(D161,'G-6 Hedgerow Data'!$B$2:$AG$15,2,FALSE))</f>
        <v/>
      </c>
      <c r="G161" s="305" t="str">
        <f>IF(D161="","",VLOOKUP(D161,'G-6 Hedgerow Data'!$B$2:$AG$15,3,FALSE))</f>
        <v/>
      </c>
      <c r="H161" s="53"/>
      <c r="I161" s="282" t="str">
        <f>IFERROR(IF(H161="","",IF(AND(D161="Non-native and ornamental hedgerow", H161&lt;&gt;"Poor"),"Not possible ▲", (IF(AND(F161="V.Low",OR(H161="Good",H161="Moderate")),"Error ▲",VLOOKUP(H161,'G-1 All Habitats'!$Z$2:$AA$9,2,FALSE))))),"")</f>
        <v/>
      </c>
      <c r="J161" s="106"/>
      <c r="K161" s="301" t="str">
        <f>IF(J161="","",IF(VLOOKUP(J161,'G-3 Multipliers'!$L$3:$N$6,2,FALSE)=0,"Spatial Data Missing",VLOOKUP(J161,'G-3 Multipliers'!$L$3:$N$6,2,FALSE)))</f>
        <v/>
      </c>
      <c r="L161" s="305" t="str">
        <f>IF(J161="","",IF(VLOOKUP(J161,'G-3 Multipliers'!$L$3:$N$6,3,FALSE)=0,"Spatial Data Missing",VLOOKUP(J161,'G-3 Multipliers'!$L$3:$N$6,3,FALSE)))</f>
        <v/>
      </c>
      <c r="M161" s="138"/>
      <c r="N161" s="282" t="str">
        <f>IF(M161="","",IF(VLOOKUP(M161,'G-3 Multipliers'!$S$3:$T$10,2,FALSE)=0,"Spatial Data Missing ⚠",VLOOKUP(M161,'G-3 Multipliers'!$S$3:$T$10,2,FALSE)))</f>
        <v/>
      </c>
      <c r="O161" s="281" t="str">
        <f>IF(OR(D161="",H161=""),"",(INDEX('G-6 Hedgerow Data'!$E$3:$I$15,MATCH(D161,'G-6 Hedgerow Data'!$B$3:$B$15,0),MATCH(H161,'G-6 Hedgerow Data'!$E$2:$I$2,0))))</f>
        <v/>
      </c>
      <c r="P161" s="137"/>
      <c r="Q161" s="137"/>
      <c r="R161" s="289" t="str">
        <f t="shared" si="15"/>
        <v/>
      </c>
      <c r="S161" s="302" t="str">
        <f t="shared" si="16"/>
        <v/>
      </c>
      <c r="T161" s="303" t="str">
        <f t="shared" si="14"/>
        <v/>
      </c>
      <c r="U161" s="317" t="str">
        <f>IF(D161="","",VLOOKUP(D161,'G-6 Hedgerow Data'!$B$3:$AG$15,31,FALSE))</f>
        <v/>
      </c>
      <c r="V161" s="301" t="str">
        <f t="shared" si="17"/>
        <v/>
      </c>
      <c r="W161" s="289" t="str">
        <f t="shared" si="18"/>
        <v/>
      </c>
      <c r="X161" s="305" t="str">
        <f>IF(F161="","",VLOOKUP(U161,'G-3 Multipliers'!$P$3:$Q$6,2,FALSE))</f>
        <v/>
      </c>
      <c r="Y161" s="309" t="str">
        <f t="shared" si="19"/>
        <v/>
      </c>
      <c r="Z161" s="309" t="str">
        <f t="shared" si="20"/>
        <v/>
      </c>
      <c r="AA161" s="105"/>
      <c r="AB161" s="968"/>
      <c r="AC161" s="142"/>
      <c r="AD161" s="142"/>
      <c r="AE161" s="964"/>
      <c r="AH161" s="30" t="str">
        <f>IFERROR(INDEX('G-6 Hedgerow Data'!$BJ$3:$BJ$15,MATCH(D161,'G-6 Hedgerow Data'!$B$3:$B$15,0)),"")</f>
        <v/>
      </c>
    </row>
    <row r="162" spans="2:34" ht="13.8" x14ac:dyDescent="0.25">
      <c r="B162" s="101">
        <v>151</v>
      </c>
      <c r="C162" s="175"/>
      <c r="D162" s="58"/>
      <c r="E162" s="142"/>
      <c r="F162" s="281" t="str">
        <f>IF(D162="","",VLOOKUP(D162,'G-6 Hedgerow Data'!$B$2:$AG$15,2,FALSE))</f>
        <v/>
      </c>
      <c r="G162" s="305" t="str">
        <f>IF(D162="","",VLOOKUP(D162,'G-6 Hedgerow Data'!$B$2:$AG$15,3,FALSE))</f>
        <v/>
      </c>
      <c r="H162" s="53"/>
      <c r="I162" s="282" t="str">
        <f>IFERROR(IF(H162="","",IF(AND(D162="Non-native and ornamental hedgerow", H162&lt;&gt;"Poor"),"Not possible ▲", (IF(AND(F162="V.Low",OR(H162="Good",H162="Moderate")),"Error ▲",VLOOKUP(H162,'G-1 All Habitats'!$Z$2:$AA$9,2,FALSE))))),"")</f>
        <v/>
      </c>
      <c r="J162" s="106"/>
      <c r="K162" s="301" t="str">
        <f>IF(J162="","",IF(VLOOKUP(J162,'G-3 Multipliers'!$L$3:$N$6,2,FALSE)=0,"Spatial Data Missing",VLOOKUP(J162,'G-3 Multipliers'!$L$3:$N$6,2,FALSE)))</f>
        <v/>
      </c>
      <c r="L162" s="305" t="str">
        <f>IF(J162="","",IF(VLOOKUP(J162,'G-3 Multipliers'!$L$3:$N$6,3,FALSE)=0,"Spatial Data Missing",VLOOKUP(J162,'G-3 Multipliers'!$L$3:$N$6,3,FALSE)))</f>
        <v/>
      </c>
      <c r="M162" s="138"/>
      <c r="N162" s="282" t="str">
        <f>IF(M162="","",IF(VLOOKUP(M162,'G-3 Multipliers'!$S$3:$T$10,2,FALSE)=0,"Spatial Data Missing ⚠",VLOOKUP(M162,'G-3 Multipliers'!$S$3:$T$10,2,FALSE)))</f>
        <v/>
      </c>
      <c r="O162" s="281" t="str">
        <f>IF(OR(D162="",H162=""),"",(INDEX('G-6 Hedgerow Data'!$E$3:$I$15,MATCH(D162,'G-6 Hedgerow Data'!$B$3:$B$15,0),MATCH(H162,'G-6 Hedgerow Data'!$E$2:$I$2,0))))</f>
        <v/>
      </c>
      <c r="P162" s="137"/>
      <c r="Q162" s="137"/>
      <c r="R162" s="289" t="str">
        <f t="shared" si="15"/>
        <v/>
      </c>
      <c r="S162" s="302" t="str">
        <f t="shared" si="16"/>
        <v/>
      </c>
      <c r="T162" s="303" t="str">
        <f t="shared" si="14"/>
        <v/>
      </c>
      <c r="U162" s="317" t="str">
        <f>IF(D162="","",VLOOKUP(D162,'G-6 Hedgerow Data'!$B$3:$AG$15,31,FALSE))</f>
        <v/>
      </c>
      <c r="V162" s="301" t="str">
        <f t="shared" si="17"/>
        <v/>
      </c>
      <c r="W162" s="289" t="str">
        <f t="shared" si="18"/>
        <v/>
      </c>
      <c r="X162" s="305" t="str">
        <f>IF(F162="","",VLOOKUP(U162,'G-3 Multipliers'!$P$3:$Q$6,2,FALSE))</f>
        <v/>
      </c>
      <c r="Y162" s="309" t="str">
        <f t="shared" si="19"/>
        <v/>
      </c>
      <c r="Z162" s="309" t="str">
        <f t="shared" si="20"/>
        <v/>
      </c>
      <c r="AA162" s="105"/>
      <c r="AB162" s="968"/>
      <c r="AC162" s="142"/>
      <c r="AD162" s="142"/>
      <c r="AE162" s="964"/>
      <c r="AH162" s="30" t="str">
        <f>IFERROR(INDEX('G-6 Hedgerow Data'!$BJ$3:$BJ$15,MATCH(D162,'G-6 Hedgerow Data'!$B$3:$B$15,0)),"")</f>
        <v/>
      </c>
    </row>
    <row r="163" spans="2:34" ht="13.8" x14ac:dyDescent="0.25">
      <c r="B163" s="101">
        <v>152</v>
      </c>
      <c r="C163" s="175"/>
      <c r="D163" s="58"/>
      <c r="E163" s="142"/>
      <c r="F163" s="281" t="str">
        <f>IF(D163="","",VLOOKUP(D163,'G-6 Hedgerow Data'!$B$2:$AG$15,2,FALSE))</f>
        <v/>
      </c>
      <c r="G163" s="305" t="str">
        <f>IF(D163="","",VLOOKUP(D163,'G-6 Hedgerow Data'!$B$2:$AG$15,3,FALSE))</f>
        <v/>
      </c>
      <c r="H163" s="53"/>
      <c r="I163" s="282" t="str">
        <f>IFERROR(IF(H163="","",IF(AND(D163="Non-native and ornamental hedgerow", H163&lt;&gt;"Poor"),"Not possible ▲", (IF(AND(F163="V.Low",OR(H163="Good",H163="Moderate")),"Error ▲",VLOOKUP(H163,'G-1 All Habitats'!$Z$2:$AA$9,2,FALSE))))),"")</f>
        <v/>
      </c>
      <c r="J163" s="106"/>
      <c r="K163" s="301" t="str">
        <f>IF(J163="","",IF(VLOOKUP(J163,'G-3 Multipliers'!$L$3:$N$6,2,FALSE)=0,"Spatial Data Missing",VLOOKUP(J163,'G-3 Multipliers'!$L$3:$N$6,2,FALSE)))</f>
        <v/>
      </c>
      <c r="L163" s="305" t="str">
        <f>IF(J163="","",IF(VLOOKUP(J163,'G-3 Multipliers'!$L$3:$N$6,3,FALSE)=0,"Spatial Data Missing",VLOOKUP(J163,'G-3 Multipliers'!$L$3:$N$6,3,FALSE)))</f>
        <v/>
      </c>
      <c r="M163" s="138"/>
      <c r="N163" s="282" t="str">
        <f>IF(M163="","",IF(VLOOKUP(M163,'G-3 Multipliers'!$S$3:$T$10,2,FALSE)=0,"Spatial Data Missing ⚠",VLOOKUP(M163,'G-3 Multipliers'!$S$3:$T$10,2,FALSE)))</f>
        <v/>
      </c>
      <c r="O163" s="281" t="str">
        <f>IF(OR(D163="",H163=""),"",(INDEX('G-6 Hedgerow Data'!$E$3:$I$15,MATCH(D163,'G-6 Hedgerow Data'!$B$3:$B$15,0),MATCH(H163,'G-6 Hedgerow Data'!$E$2:$I$2,0))))</f>
        <v/>
      </c>
      <c r="P163" s="137"/>
      <c r="Q163" s="137"/>
      <c r="R163" s="289" t="str">
        <f t="shared" si="15"/>
        <v/>
      </c>
      <c r="S163" s="302" t="str">
        <f t="shared" si="16"/>
        <v/>
      </c>
      <c r="T163" s="303" t="str">
        <f t="shared" si="14"/>
        <v/>
      </c>
      <c r="U163" s="317" t="str">
        <f>IF(D163="","",VLOOKUP(D163,'G-6 Hedgerow Data'!$B$3:$AG$15,31,FALSE))</f>
        <v/>
      </c>
      <c r="V163" s="301" t="str">
        <f t="shared" si="17"/>
        <v/>
      </c>
      <c r="W163" s="289" t="str">
        <f t="shared" si="18"/>
        <v/>
      </c>
      <c r="X163" s="305" t="str">
        <f>IF(F163="","",VLOOKUP(U163,'G-3 Multipliers'!$P$3:$Q$6,2,FALSE))</f>
        <v/>
      </c>
      <c r="Y163" s="309" t="str">
        <f t="shared" si="19"/>
        <v/>
      </c>
      <c r="Z163" s="309" t="str">
        <f t="shared" si="20"/>
        <v/>
      </c>
      <c r="AA163" s="105"/>
      <c r="AB163" s="968"/>
      <c r="AC163" s="142"/>
      <c r="AD163" s="142"/>
      <c r="AE163" s="964"/>
      <c r="AH163" s="30" t="str">
        <f>IFERROR(INDEX('G-6 Hedgerow Data'!$BJ$3:$BJ$15,MATCH(D163,'G-6 Hedgerow Data'!$B$3:$B$15,0)),"")</f>
        <v/>
      </c>
    </row>
    <row r="164" spans="2:34" ht="13.8" x14ac:dyDescent="0.25">
      <c r="B164" s="101">
        <v>153</v>
      </c>
      <c r="C164" s="175"/>
      <c r="D164" s="58"/>
      <c r="E164" s="142"/>
      <c r="F164" s="281" t="str">
        <f>IF(D164="","",VLOOKUP(D164,'G-6 Hedgerow Data'!$B$2:$AG$15,2,FALSE))</f>
        <v/>
      </c>
      <c r="G164" s="305" t="str">
        <f>IF(D164="","",VLOOKUP(D164,'G-6 Hedgerow Data'!$B$2:$AG$15,3,FALSE))</f>
        <v/>
      </c>
      <c r="H164" s="53"/>
      <c r="I164" s="282" t="str">
        <f>IFERROR(IF(H164="","",IF(AND(D164="Non-native and ornamental hedgerow", H164&lt;&gt;"Poor"),"Not possible ▲", (IF(AND(F164="V.Low",OR(H164="Good",H164="Moderate")),"Error ▲",VLOOKUP(H164,'G-1 All Habitats'!$Z$2:$AA$9,2,FALSE))))),"")</f>
        <v/>
      </c>
      <c r="J164" s="106"/>
      <c r="K164" s="301" t="str">
        <f>IF(J164="","",IF(VLOOKUP(J164,'G-3 Multipliers'!$L$3:$N$6,2,FALSE)=0,"Spatial Data Missing",VLOOKUP(J164,'G-3 Multipliers'!$L$3:$N$6,2,FALSE)))</f>
        <v/>
      </c>
      <c r="L164" s="305" t="str">
        <f>IF(J164="","",IF(VLOOKUP(J164,'G-3 Multipliers'!$L$3:$N$6,3,FALSE)=0,"Spatial Data Missing",VLOOKUP(J164,'G-3 Multipliers'!$L$3:$N$6,3,FALSE)))</f>
        <v/>
      </c>
      <c r="M164" s="138"/>
      <c r="N164" s="282" t="str">
        <f>IF(M164="","",IF(VLOOKUP(M164,'G-3 Multipliers'!$S$3:$T$10,2,FALSE)=0,"Spatial Data Missing ⚠",VLOOKUP(M164,'G-3 Multipliers'!$S$3:$T$10,2,FALSE)))</f>
        <v/>
      </c>
      <c r="O164" s="281" t="str">
        <f>IF(OR(D164="",H164=""),"",(INDEX('G-6 Hedgerow Data'!$E$3:$I$15,MATCH(D164,'G-6 Hedgerow Data'!$B$3:$B$15,0),MATCH(H164,'G-6 Hedgerow Data'!$E$2:$I$2,0))))</f>
        <v/>
      </c>
      <c r="P164" s="137"/>
      <c r="Q164" s="137"/>
      <c r="R164" s="289" t="str">
        <f t="shared" si="15"/>
        <v/>
      </c>
      <c r="S164" s="302" t="str">
        <f t="shared" si="16"/>
        <v/>
      </c>
      <c r="T164" s="303" t="str">
        <f t="shared" si="14"/>
        <v/>
      </c>
      <c r="U164" s="317" t="str">
        <f>IF(D164="","",VLOOKUP(D164,'G-6 Hedgerow Data'!$B$3:$AG$15,31,FALSE))</f>
        <v/>
      </c>
      <c r="V164" s="301" t="str">
        <f t="shared" si="17"/>
        <v/>
      </c>
      <c r="W164" s="289" t="str">
        <f t="shared" si="18"/>
        <v/>
      </c>
      <c r="X164" s="305" t="str">
        <f>IF(F164="","",VLOOKUP(U164,'G-3 Multipliers'!$P$3:$Q$6,2,FALSE))</f>
        <v/>
      </c>
      <c r="Y164" s="309" t="str">
        <f t="shared" si="19"/>
        <v/>
      </c>
      <c r="Z164" s="309" t="str">
        <f t="shared" si="20"/>
        <v/>
      </c>
      <c r="AA164" s="105"/>
      <c r="AB164" s="968"/>
      <c r="AC164" s="142"/>
      <c r="AD164" s="142"/>
      <c r="AE164" s="964"/>
      <c r="AH164" s="30" t="str">
        <f>IFERROR(INDEX('G-6 Hedgerow Data'!$BJ$3:$BJ$15,MATCH(D164,'G-6 Hedgerow Data'!$B$3:$B$15,0)),"")</f>
        <v/>
      </c>
    </row>
    <row r="165" spans="2:34" ht="13.8" x14ac:dyDescent="0.25">
      <c r="B165" s="101">
        <v>154</v>
      </c>
      <c r="C165" s="175"/>
      <c r="D165" s="58"/>
      <c r="E165" s="142"/>
      <c r="F165" s="281" t="str">
        <f>IF(D165="","",VLOOKUP(D165,'G-6 Hedgerow Data'!$B$2:$AG$15,2,FALSE))</f>
        <v/>
      </c>
      <c r="G165" s="305" t="str">
        <f>IF(D165="","",VLOOKUP(D165,'G-6 Hedgerow Data'!$B$2:$AG$15,3,FALSE))</f>
        <v/>
      </c>
      <c r="H165" s="53"/>
      <c r="I165" s="282" t="str">
        <f>IFERROR(IF(H165="","",IF(AND(D165="Non-native and ornamental hedgerow", H165&lt;&gt;"Poor"),"Not possible ▲", (IF(AND(F165="V.Low",OR(H165="Good",H165="Moderate")),"Error ▲",VLOOKUP(H165,'G-1 All Habitats'!$Z$2:$AA$9,2,FALSE))))),"")</f>
        <v/>
      </c>
      <c r="J165" s="106"/>
      <c r="K165" s="301" t="str">
        <f>IF(J165="","",IF(VLOOKUP(J165,'G-3 Multipliers'!$L$3:$N$6,2,FALSE)=0,"Spatial Data Missing",VLOOKUP(J165,'G-3 Multipliers'!$L$3:$N$6,2,FALSE)))</f>
        <v/>
      </c>
      <c r="L165" s="305" t="str">
        <f>IF(J165="","",IF(VLOOKUP(J165,'G-3 Multipliers'!$L$3:$N$6,3,FALSE)=0,"Spatial Data Missing",VLOOKUP(J165,'G-3 Multipliers'!$L$3:$N$6,3,FALSE)))</f>
        <v/>
      </c>
      <c r="M165" s="138"/>
      <c r="N165" s="282" t="str">
        <f>IF(M165="","",IF(VLOOKUP(M165,'G-3 Multipliers'!$S$3:$T$10,2,FALSE)=0,"Spatial Data Missing ⚠",VLOOKUP(M165,'G-3 Multipliers'!$S$3:$T$10,2,FALSE)))</f>
        <v/>
      </c>
      <c r="O165" s="281" t="str">
        <f>IF(OR(D165="",H165=""),"",(INDEX('G-6 Hedgerow Data'!$E$3:$I$15,MATCH(D165,'G-6 Hedgerow Data'!$B$3:$B$15,0),MATCH(H165,'G-6 Hedgerow Data'!$E$2:$I$2,0))))</f>
        <v/>
      </c>
      <c r="P165" s="137"/>
      <c r="Q165" s="137"/>
      <c r="R165" s="289" t="str">
        <f t="shared" si="15"/>
        <v/>
      </c>
      <c r="S165" s="302" t="str">
        <f t="shared" si="16"/>
        <v/>
      </c>
      <c r="T165" s="303" t="str">
        <f t="shared" si="14"/>
        <v/>
      </c>
      <c r="U165" s="317" t="str">
        <f>IF(D165="","",VLOOKUP(D165,'G-6 Hedgerow Data'!$B$3:$AG$15,31,FALSE))</f>
        <v/>
      </c>
      <c r="V165" s="301" t="str">
        <f t="shared" si="17"/>
        <v/>
      </c>
      <c r="W165" s="289" t="str">
        <f t="shared" si="18"/>
        <v/>
      </c>
      <c r="X165" s="305" t="str">
        <f>IF(F165="","",VLOOKUP(U165,'G-3 Multipliers'!$P$3:$Q$6,2,FALSE))</f>
        <v/>
      </c>
      <c r="Y165" s="309" t="str">
        <f t="shared" si="19"/>
        <v/>
      </c>
      <c r="Z165" s="309" t="str">
        <f t="shared" si="20"/>
        <v/>
      </c>
      <c r="AA165" s="105"/>
      <c r="AB165" s="968"/>
      <c r="AC165" s="142"/>
      <c r="AD165" s="142"/>
      <c r="AE165" s="964"/>
      <c r="AH165" s="30" t="str">
        <f>IFERROR(INDEX('G-6 Hedgerow Data'!$BJ$3:$BJ$15,MATCH(D165,'G-6 Hedgerow Data'!$B$3:$B$15,0)),"")</f>
        <v/>
      </c>
    </row>
    <row r="166" spans="2:34" ht="13.8" x14ac:dyDescent="0.25">
      <c r="B166" s="101">
        <v>155</v>
      </c>
      <c r="C166" s="175"/>
      <c r="D166" s="58"/>
      <c r="E166" s="142"/>
      <c r="F166" s="281" t="str">
        <f>IF(D166="","",VLOOKUP(D166,'G-6 Hedgerow Data'!$B$2:$AG$15,2,FALSE))</f>
        <v/>
      </c>
      <c r="G166" s="305" t="str">
        <f>IF(D166="","",VLOOKUP(D166,'G-6 Hedgerow Data'!$B$2:$AG$15,3,FALSE))</f>
        <v/>
      </c>
      <c r="H166" s="53"/>
      <c r="I166" s="282" t="str">
        <f>IFERROR(IF(H166="","",IF(AND(D166="Non-native and ornamental hedgerow", H166&lt;&gt;"Poor"),"Not possible ▲", (IF(AND(F166="V.Low",OR(H166="Good",H166="Moderate")),"Error ▲",VLOOKUP(H166,'G-1 All Habitats'!$Z$2:$AA$9,2,FALSE))))),"")</f>
        <v/>
      </c>
      <c r="J166" s="106"/>
      <c r="K166" s="301" t="str">
        <f>IF(J166="","",IF(VLOOKUP(J166,'G-3 Multipliers'!$L$3:$N$6,2,FALSE)=0,"Spatial Data Missing",VLOOKUP(J166,'G-3 Multipliers'!$L$3:$N$6,2,FALSE)))</f>
        <v/>
      </c>
      <c r="L166" s="305" t="str">
        <f>IF(J166="","",IF(VLOOKUP(J166,'G-3 Multipliers'!$L$3:$N$6,3,FALSE)=0,"Spatial Data Missing",VLOOKUP(J166,'G-3 Multipliers'!$L$3:$N$6,3,FALSE)))</f>
        <v/>
      </c>
      <c r="M166" s="138"/>
      <c r="N166" s="282" t="str">
        <f>IF(M166="","",IF(VLOOKUP(M166,'G-3 Multipliers'!$S$3:$T$10,2,FALSE)=0,"Spatial Data Missing ⚠",VLOOKUP(M166,'G-3 Multipliers'!$S$3:$T$10,2,FALSE)))</f>
        <v/>
      </c>
      <c r="O166" s="281" t="str">
        <f>IF(OR(D166="",H166=""),"",(INDEX('G-6 Hedgerow Data'!$E$3:$I$15,MATCH(D166,'G-6 Hedgerow Data'!$B$3:$B$15,0),MATCH(H166,'G-6 Hedgerow Data'!$E$2:$I$2,0))))</f>
        <v/>
      </c>
      <c r="P166" s="137"/>
      <c r="Q166" s="137"/>
      <c r="R166" s="289" t="str">
        <f t="shared" si="15"/>
        <v/>
      </c>
      <c r="S166" s="302" t="str">
        <f t="shared" si="16"/>
        <v/>
      </c>
      <c r="T166" s="303" t="str">
        <f t="shared" si="14"/>
        <v/>
      </c>
      <c r="U166" s="317" t="str">
        <f>IF(D166="","",VLOOKUP(D166,'G-6 Hedgerow Data'!$B$3:$AG$15,31,FALSE))</f>
        <v/>
      </c>
      <c r="V166" s="301" t="str">
        <f t="shared" si="17"/>
        <v/>
      </c>
      <c r="W166" s="289" t="str">
        <f t="shared" si="18"/>
        <v/>
      </c>
      <c r="X166" s="305" t="str">
        <f>IF(F166="","",VLOOKUP(U166,'G-3 Multipliers'!$P$3:$Q$6,2,FALSE))</f>
        <v/>
      </c>
      <c r="Y166" s="309" t="str">
        <f t="shared" si="19"/>
        <v/>
      </c>
      <c r="Z166" s="309" t="str">
        <f t="shared" si="20"/>
        <v/>
      </c>
      <c r="AA166" s="105"/>
      <c r="AB166" s="968"/>
      <c r="AC166" s="142"/>
      <c r="AD166" s="142"/>
      <c r="AE166" s="964"/>
      <c r="AH166" s="30" t="str">
        <f>IFERROR(INDEX('G-6 Hedgerow Data'!$BJ$3:$BJ$15,MATCH(D166,'G-6 Hedgerow Data'!$B$3:$B$15,0)),"")</f>
        <v/>
      </c>
    </row>
    <row r="167" spans="2:34" ht="13.8" x14ac:dyDescent="0.25">
      <c r="B167" s="101">
        <v>156</v>
      </c>
      <c r="C167" s="175"/>
      <c r="D167" s="58"/>
      <c r="E167" s="142"/>
      <c r="F167" s="281" t="str">
        <f>IF(D167="","",VLOOKUP(D167,'G-6 Hedgerow Data'!$B$2:$AG$15,2,FALSE))</f>
        <v/>
      </c>
      <c r="G167" s="305" t="str">
        <f>IF(D167="","",VLOOKUP(D167,'G-6 Hedgerow Data'!$B$2:$AG$15,3,FALSE))</f>
        <v/>
      </c>
      <c r="H167" s="53"/>
      <c r="I167" s="282" t="str">
        <f>IFERROR(IF(H167="","",IF(AND(D167="Non-native and ornamental hedgerow", H167&lt;&gt;"Poor"),"Not possible ▲", (IF(AND(F167="V.Low",OR(H167="Good",H167="Moderate")),"Error ▲",VLOOKUP(H167,'G-1 All Habitats'!$Z$2:$AA$9,2,FALSE))))),"")</f>
        <v/>
      </c>
      <c r="J167" s="106"/>
      <c r="K167" s="301" t="str">
        <f>IF(J167="","",IF(VLOOKUP(J167,'G-3 Multipliers'!$L$3:$N$6,2,FALSE)=0,"Spatial Data Missing",VLOOKUP(J167,'G-3 Multipliers'!$L$3:$N$6,2,FALSE)))</f>
        <v/>
      </c>
      <c r="L167" s="305" t="str">
        <f>IF(J167="","",IF(VLOOKUP(J167,'G-3 Multipliers'!$L$3:$N$6,3,FALSE)=0,"Spatial Data Missing",VLOOKUP(J167,'G-3 Multipliers'!$L$3:$N$6,3,FALSE)))</f>
        <v/>
      </c>
      <c r="M167" s="138"/>
      <c r="N167" s="282" t="str">
        <f>IF(M167="","",IF(VLOOKUP(M167,'G-3 Multipliers'!$S$3:$T$10,2,FALSE)=0,"Spatial Data Missing ⚠",VLOOKUP(M167,'G-3 Multipliers'!$S$3:$T$10,2,FALSE)))</f>
        <v/>
      </c>
      <c r="O167" s="281" t="str">
        <f>IF(OR(D167="",H167=""),"",(INDEX('G-6 Hedgerow Data'!$E$3:$I$15,MATCH(D167,'G-6 Hedgerow Data'!$B$3:$B$15,0),MATCH(H167,'G-6 Hedgerow Data'!$E$2:$I$2,0))))</f>
        <v/>
      </c>
      <c r="P167" s="137"/>
      <c r="Q167" s="137"/>
      <c r="R167" s="289" t="str">
        <f t="shared" si="15"/>
        <v/>
      </c>
      <c r="S167" s="302" t="str">
        <f t="shared" si="16"/>
        <v/>
      </c>
      <c r="T167" s="303" t="str">
        <f t="shared" si="14"/>
        <v/>
      </c>
      <c r="U167" s="317" t="str">
        <f>IF(D167="","",VLOOKUP(D167,'G-6 Hedgerow Data'!$B$3:$AG$15,31,FALSE))</f>
        <v/>
      </c>
      <c r="V167" s="301" t="str">
        <f t="shared" si="17"/>
        <v/>
      </c>
      <c r="W167" s="289" t="str">
        <f t="shared" si="18"/>
        <v/>
      </c>
      <c r="X167" s="305" t="str">
        <f>IF(F167="","",VLOOKUP(U167,'G-3 Multipliers'!$P$3:$Q$6,2,FALSE))</f>
        <v/>
      </c>
      <c r="Y167" s="309" t="str">
        <f t="shared" si="19"/>
        <v/>
      </c>
      <c r="Z167" s="309" t="str">
        <f t="shared" si="20"/>
        <v/>
      </c>
      <c r="AA167" s="105"/>
      <c r="AB167" s="968"/>
      <c r="AC167" s="142"/>
      <c r="AD167" s="142"/>
      <c r="AE167" s="964"/>
      <c r="AH167" s="30" t="str">
        <f>IFERROR(INDEX('G-6 Hedgerow Data'!$BJ$3:$BJ$15,MATCH(D167,'G-6 Hedgerow Data'!$B$3:$B$15,0)),"")</f>
        <v/>
      </c>
    </row>
    <row r="168" spans="2:34" ht="13.8" x14ac:dyDescent="0.25">
      <c r="B168" s="101">
        <v>157</v>
      </c>
      <c r="C168" s="175"/>
      <c r="D168" s="58"/>
      <c r="E168" s="142"/>
      <c r="F168" s="281" t="str">
        <f>IF(D168="","",VLOOKUP(D168,'G-6 Hedgerow Data'!$B$2:$AG$15,2,FALSE))</f>
        <v/>
      </c>
      <c r="G168" s="305" t="str">
        <f>IF(D168="","",VLOOKUP(D168,'G-6 Hedgerow Data'!$B$2:$AG$15,3,FALSE))</f>
        <v/>
      </c>
      <c r="H168" s="53"/>
      <c r="I168" s="282" t="str">
        <f>IFERROR(IF(H168="","",IF(AND(D168="Non-native and ornamental hedgerow", H168&lt;&gt;"Poor"),"Not possible ▲", (IF(AND(F168="V.Low",OR(H168="Good",H168="Moderate")),"Error ▲",VLOOKUP(H168,'G-1 All Habitats'!$Z$2:$AA$9,2,FALSE))))),"")</f>
        <v/>
      </c>
      <c r="J168" s="106"/>
      <c r="K168" s="301" t="str">
        <f>IF(J168="","",IF(VLOOKUP(J168,'G-3 Multipliers'!$L$3:$N$6,2,FALSE)=0,"Spatial Data Missing",VLOOKUP(J168,'G-3 Multipliers'!$L$3:$N$6,2,FALSE)))</f>
        <v/>
      </c>
      <c r="L168" s="305" t="str">
        <f>IF(J168="","",IF(VLOOKUP(J168,'G-3 Multipliers'!$L$3:$N$6,3,FALSE)=0,"Spatial Data Missing",VLOOKUP(J168,'G-3 Multipliers'!$L$3:$N$6,3,FALSE)))</f>
        <v/>
      </c>
      <c r="M168" s="138"/>
      <c r="N168" s="282" t="str">
        <f>IF(M168="","",IF(VLOOKUP(M168,'G-3 Multipliers'!$S$3:$T$10,2,FALSE)=0,"Spatial Data Missing ⚠",VLOOKUP(M168,'G-3 Multipliers'!$S$3:$T$10,2,FALSE)))</f>
        <v/>
      </c>
      <c r="O168" s="281" t="str">
        <f>IF(OR(D168="",H168=""),"",(INDEX('G-6 Hedgerow Data'!$E$3:$I$15,MATCH(D168,'G-6 Hedgerow Data'!$B$3:$B$15,0),MATCH(H168,'G-6 Hedgerow Data'!$E$2:$I$2,0))))</f>
        <v/>
      </c>
      <c r="P168" s="137"/>
      <c r="Q168" s="137"/>
      <c r="R168" s="289" t="str">
        <f t="shared" si="15"/>
        <v/>
      </c>
      <c r="S168" s="302" t="str">
        <f t="shared" si="16"/>
        <v/>
      </c>
      <c r="T168" s="303" t="str">
        <f t="shared" si="14"/>
        <v/>
      </c>
      <c r="U168" s="317" t="str">
        <f>IF(D168="","",VLOOKUP(D168,'G-6 Hedgerow Data'!$B$3:$AG$15,31,FALSE))</f>
        <v/>
      </c>
      <c r="V168" s="301" t="str">
        <f t="shared" si="17"/>
        <v/>
      </c>
      <c r="W168" s="289" t="str">
        <f t="shared" si="18"/>
        <v/>
      </c>
      <c r="X168" s="305" t="str">
        <f>IF(F168="","",VLOOKUP(U168,'G-3 Multipliers'!$P$3:$Q$6,2,FALSE))</f>
        <v/>
      </c>
      <c r="Y168" s="309" t="str">
        <f t="shared" si="19"/>
        <v/>
      </c>
      <c r="Z168" s="309" t="str">
        <f t="shared" si="20"/>
        <v/>
      </c>
      <c r="AA168" s="105"/>
      <c r="AB168" s="968"/>
      <c r="AC168" s="142"/>
      <c r="AD168" s="142"/>
      <c r="AE168" s="964"/>
      <c r="AH168" s="30" t="str">
        <f>IFERROR(INDEX('G-6 Hedgerow Data'!$BJ$3:$BJ$15,MATCH(D168,'G-6 Hedgerow Data'!$B$3:$B$15,0)),"")</f>
        <v/>
      </c>
    </row>
    <row r="169" spans="2:34" ht="13.8" x14ac:dyDescent="0.25">
      <c r="B169" s="101">
        <v>158</v>
      </c>
      <c r="C169" s="175"/>
      <c r="D169" s="58"/>
      <c r="E169" s="142"/>
      <c r="F169" s="281" t="str">
        <f>IF(D169="","",VLOOKUP(D169,'G-6 Hedgerow Data'!$B$2:$AG$15,2,FALSE))</f>
        <v/>
      </c>
      <c r="G169" s="305" t="str">
        <f>IF(D169="","",VLOOKUP(D169,'G-6 Hedgerow Data'!$B$2:$AG$15,3,FALSE))</f>
        <v/>
      </c>
      <c r="H169" s="53"/>
      <c r="I169" s="282" t="str">
        <f>IFERROR(IF(H169="","",IF(AND(D169="Non-native and ornamental hedgerow", H169&lt;&gt;"Poor"),"Not possible ▲", (IF(AND(F169="V.Low",OR(H169="Good",H169="Moderate")),"Error ▲",VLOOKUP(H169,'G-1 All Habitats'!$Z$2:$AA$9,2,FALSE))))),"")</f>
        <v/>
      </c>
      <c r="J169" s="106"/>
      <c r="K169" s="301" t="str">
        <f>IF(J169="","",IF(VLOOKUP(J169,'G-3 Multipliers'!$L$3:$N$6,2,FALSE)=0,"Spatial Data Missing",VLOOKUP(J169,'G-3 Multipliers'!$L$3:$N$6,2,FALSE)))</f>
        <v/>
      </c>
      <c r="L169" s="305" t="str">
        <f>IF(J169="","",IF(VLOOKUP(J169,'G-3 Multipliers'!$L$3:$N$6,3,FALSE)=0,"Spatial Data Missing",VLOOKUP(J169,'G-3 Multipliers'!$L$3:$N$6,3,FALSE)))</f>
        <v/>
      </c>
      <c r="M169" s="138"/>
      <c r="N169" s="282" t="str">
        <f>IF(M169="","",IF(VLOOKUP(M169,'G-3 Multipliers'!$S$3:$T$10,2,FALSE)=0,"Spatial Data Missing ⚠",VLOOKUP(M169,'G-3 Multipliers'!$S$3:$T$10,2,FALSE)))</f>
        <v/>
      </c>
      <c r="O169" s="281" t="str">
        <f>IF(OR(D169="",H169=""),"",(INDEX('G-6 Hedgerow Data'!$E$3:$I$15,MATCH(D169,'G-6 Hedgerow Data'!$B$3:$B$15,0),MATCH(H169,'G-6 Hedgerow Data'!$E$2:$I$2,0))))</f>
        <v/>
      </c>
      <c r="P169" s="137"/>
      <c r="Q169" s="137"/>
      <c r="R169" s="289" t="str">
        <f t="shared" si="15"/>
        <v/>
      </c>
      <c r="S169" s="302" t="str">
        <f t="shared" si="16"/>
        <v/>
      </c>
      <c r="T169" s="303" t="str">
        <f t="shared" si="14"/>
        <v/>
      </c>
      <c r="U169" s="317" t="str">
        <f>IF(D169="","",VLOOKUP(D169,'G-6 Hedgerow Data'!$B$3:$AG$15,31,FALSE))</f>
        <v/>
      </c>
      <c r="V169" s="301" t="str">
        <f t="shared" si="17"/>
        <v/>
      </c>
      <c r="W169" s="289" t="str">
        <f t="shared" si="18"/>
        <v/>
      </c>
      <c r="X169" s="305" t="str">
        <f>IF(F169="","",VLOOKUP(U169,'G-3 Multipliers'!$P$3:$Q$6,2,FALSE))</f>
        <v/>
      </c>
      <c r="Y169" s="309" t="str">
        <f t="shared" si="19"/>
        <v/>
      </c>
      <c r="Z169" s="309" t="str">
        <f t="shared" si="20"/>
        <v/>
      </c>
      <c r="AA169" s="105"/>
      <c r="AB169" s="968"/>
      <c r="AC169" s="142"/>
      <c r="AD169" s="142"/>
      <c r="AE169" s="964"/>
      <c r="AH169" s="30" t="str">
        <f>IFERROR(INDEX('G-6 Hedgerow Data'!$BJ$3:$BJ$15,MATCH(D169,'G-6 Hedgerow Data'!$B$3:$B$15,0)),"")</f>
        <v/>
      </c>
    </row>
    <row r="170" spans="2:34" ht="13.8" x14ac:dyDescent="0.25">
      <c r="B170" s="101">
        <v>159</v>
      </c>
      <c r="C170" s="175"/>
      <c r="D170" s="58"/>
      <c r="E170" s="142"/>
      <c r="F170" s="281" t="str">
        <f>IF(D170="","",VLOOKUP(D170,'G-6 Hedgerow Data'!$B$2:$AG$15,2,FALSE))</f>
        <v/>
      </c>
      <c r="G170" s="305" t="str">
        <f>IF(D170="","",VLOOKUP(D170,'G-6 Hedgerow Data'!$B$2:$AG$15,3,FALSE))</f>
        <v/>
      </c>
      <c r="H170" s="53"/>
      <c r="I170" s="282" t="str">
        <f>IFERROR(IF(H170="","",IF(AND(D170="Non-native and ornamental hedgerow", H170&lt;&gt;"Poor"),"Not possible ▲", (IF(AND(F170="V.Low",OR(H170="Good",H170="Moderate")),"Error ▲",VLOOKUP(H170,'G-1 All Habitats'!$Z$2:$AA$9,2,FALSE))))),"")</f>
        <v/>
      </c>
      <c r="J170" s="106"/>
      <c r="K170" s="301" t="str">
        <f>IF(J170="","",IF(VLOOKUP(J170,'G-3 Multipliers'!$L$3:$N$6,2,FALSE)=0,"Spatial Data Missing",VLOOKUP(J170,'G-3 Multipliers'!$L$3:$N$6,2,FALSE)))</f>
        <v/>
      </c>
      <c r="L170" s="305" t="str">
        <f>IF(J170="","",IF(VLOOKUP(J170,'G-3 Multipliers'!$L$3:$N$6,3,FALSE)=0,"Spatial Data Missing",VLOOKUP(J170,'G-3 Multipliers'!$L$3:$N$6,3,FALSE)))</f>
        <v/>
      </c>
      <c r="M170" s="138"/>
      <c r="N170" s="282" t="str">
        <f>IF(M170="","",IF(VLOOKUP(M170,'G-3 Multipliers'!$S$3:$T$10,2,FALSE)=0,"Spatial Data Missing ⚠",VLOOKUP(M170,'G-3 Multipliers'!$S$3:$T$10,2,FALSE)))</f>
        <v/>
      </c>
      <c r="O170" s="281" t="str">
        <f>IF(OR(D170="",H170=""),"",(INDEX('G-6 Hedgerow Data'!$E$3:$I$15,MATCH(D170,'G-6 Hedgerow Data'!$B$3:$B$15,0),MATCH(H170,'G-6 Hedgerow Data'!$E$2:$I$2,0))))</f>
        <v/>
      </c>
      <c r="P170" s="137"/>
      <c r="Q170" s="137"/>
      <c r="R170" s="289" t="str">
        <f t="shared" si="15"/>
        <v/>
      </c>
      <c r="S170" s="302" t="str">
        <f t="shared" si="16"/>
        <v/>
      </c>
      <c r="T170" s="303" t="str">
        <f t="shared" si="14"/>
        <v/>
      </c>
      <c r="U170" s="317" t="str">
        <f>IF(D170="","",VLOOKUP(D170,'G-6 Hedgerow Data'!$B$3:$AG$15,31,FALSE))</f>
        <v/>
      </c>
      <c r="V170" s="301" t="str">
        <f t="shared" si="17"/>
        <v/>
      </c>
      <c r="W170" s="289" t="str">
        <f t="shared" si="18"/>
        <v/>
      </c>
      <c r="X170" s="305" t="str">
        <f>IF(F170="","",VLOOKUP(U170,'G-3 Multipliers'!$P$3:$Q$6,2,FALSE))</f>
        <v/>
      </c>
      <c r="Y170" s="309" t="str">
        <f t="shared" si="19"/>
        <v/>
      </c>
      <c r="Z170" s="309" t="str">
        <f t="shared" si="20"/>
        <v/>
      </c>
      <c r="AA170" s="105"/>
      <c r="AB170" s="968"/>
      <c r="AC170" s="142"/>
      <c r="AD170" s="142"/>
      <c r="AE170" s="964"/>
      <c r="AH170" s="30" t="str">
        <f>IFERROR(INDEX('G-6 Hedgerow Data'!$BJ$3:$BJ$15,MATCH(D170,'G-6 Hedgerow Data'!$B$3:$B$15,0)),"")</f>
        <v/>
      </c>
    </row>
    <row r="171" spans="2:34" ht="13.8" x14ac:dyDescent="0.25">
      <c r="B171" s="101">
        <v>160</v>
      </c>
      <c r="C171" s="175"/>
      <c r="D171" s="58"/>
      <c r="E171" s="142"/>
      <c r="F171" s="281" t="str">
        <f>IF(D171="","",VLOOKUP(D171,'G-6 Hedgerow Data'!$B$2:$AG$15,2,FALSE))</f>
        <v/>
      </c>
      <c r="G171" s="305" t="str">
        <f>IF(D171="","",VLOOKUP(D171,'G-6 Hedgerow Data'!$B$2:$AG$15,3,FALSE))</f>
        <v/>
      </c>
      <c r="H171" s="53"/>
      <c r="I171" s="282" t="str">
        <f>IFERROR(IF(H171="","",IF(AND(D171="Non-native and ornamental hedgerow", H171&lt;&gt;"Poor"),"Not possible ▲", (IF(AND(F171="V.Low",OR(H171="Good",H171="Moderate")),"Error ▲",VLOOKUP(H171,'G-1 All Habitats'!$Z$2:$AA$9,2,FALSE))))),"")</f>
        <v/>
      </c>
      <c r="J171" s="106"/>
      <c r="K171" s="301" t="str">
        <f>IF(J171="","",IF(VLOOKUP(J171,'G-3 Multipliers'!$L$3:$N$6,2,FALSE)=0,"Spatial Data Missing",VLOOKUP(J171,'G-3 Multipliers'!$L$3:$N$6,2,FALSE)))</f>
        <v/>
      </c>
      <c r="L171" s="305" t="str">
        <f>IF(J171="","",IF(VLOOKUP(J171,'G-3 Multipliers'!$L$3:$N$6,3,FALSE)=0,"Spatial Data Missing",VLOOKUP(J171,'G-3 Multipliers'!$L$3:$N$6,3,FALSE)))</f>
        <v/>
      </c>
      <c r="M171" s="138"/>
      <c r="N171" s="282" t="str">
        <f>IF(M171="","",IF(VLOOKUP(M171,'G-3 Multipliers'!$S$3:$T$10,2,FALSE)=0,"Spatial Data Missing ⚠",VLOOKUP(M171,'G-3 Multipliers'!$S$3:$T$10,2,FALSE)))</f>
        <v/>
      </c>
      <c r="O171" s="281" t="str">
        <f>IF(OR(D171="",H171=""),"",(INDEX('G-6 Hedgerow Data'!$E$3:$I$15,MATCH(D171,'G-6 Hedgerow Data'!$B$3:$B$15,0),MATCH(H171,'G-6 Hedgerow Data'!$E$2:$I$2,0))))</f>
        <v/>
      </c>
      <c r="P171" s="137"/>
      <c r="Q171" s="137"/>
      <c r="R171" s="289" t="str">
        <f t="shared" si="15"/>
        <v/>
      </c>
      <c r="S171" s="302" t="str">
        <f t="shared" si="16"/>
        <v/>
      </c>
      <c r="T171" s="303" t="str">
        <f t="shared" si="14"/>
        <v/>
      </c>
      <c r="U171" s="317" t="str">
        <f>IF(D171="","",VLOOKUP(D171,'G-6 Hedgerow Data'!$B$3:$AG$15,31,FALSE))</f>
        <v/>
      </c>
      <c r="V171" s="301" t="str">
        <f t="shared" si="17"/>
        <v/>
      </c>
      <c r="W171" s="289" t="str">
        <f t="shared" si="18"/>
        <v/>
      </c>
      <c r="X171" s="305" t="str">
        <f>IF(F171="","",VLOOKUP(U171,'G-3 Multipliers'!$P$3:$Q$6,2,FALSE))</f>
        <v/>
      </c>
      <c r="Y171" s="309" t="str">
        <f t="shared" si="19"/>
        <v/>
      </c>
      <c r="Z171" s="309" t="str">
        <f t="shared" si="20"/>
        <v/>
      </c>
      <c r="AA171" s="105"/>
      <c r="AB171" s="968"/>
      <c r="AC171" s="142"/>
      <c r="AD171" s="142"/>
      <c r="AE171" s="964"/>
      <c r="AH171" s="30" t="str">
        <f>IFERROR(INDEX('G-6 Hedgerow Data'!$BJ$3:$BJ$15,MATCH(D171,'G-6 Hedgerow Data'!$B$3:$B$15,0)),"")</f>
        <v/>
      </c>
    </row>
    <row r="172" spans="2:34" ht="13.8" x14ac:dyDescent="0.25">
      <c r="B172" s="101">
        <v>161</v>
      </c>
      <c r="C172" s="175"/>
      <c r="D172" s="58"/>
      <c r="E172" s="142"/>
      <c r="F172" s="281" t="str">
        <f>IF(D172="","",VLOOKUP(D172,'G-6 Hedgerow Data'!$B$2:$AG$15,2,FALSE))</f>
        <v/>
      </c>
      <c r="G172" s="305" t="str">
        <f>IF(D172="","",VLOOKUP(D172,'G-6 Hedgerow Data'!$B$2:$AG$15,3,FALSE))</f>
        <v/>
      </c>
      <c r="H172" s="53"/>
      <c r="I172" s="282" t="str">
        <f>IFERROR(IF(H172="","",IF(AND(D172="Non-native and ornamental hedgerow", H172&lt;&gt;"Poor"),"Not possible ▲", (IF(AND(F172="V.Low",OR(H172="Good",H172="Moderate")),"Error ▲",VLOOKUP(H172,'G-1 All Habitats'!$Z$2:$AA$9,2,FALSE))))),"")</f>
        <v/>
      </c>
      <c r="J172" s="106"/>
      <c r="K172" s="301" t="str">
        <f>IF(J172="","",IF(VLOOKUP(J172,'G-3 Multipliers'!$L$3:$N$6,2,FALSE)=0,"Spatial Data Missing",VLOOKUP(J172,'G-3 Multipliers'!$L$3:$N$6,2,FALSE)))</f>
        <v/>
      </c>
      <c r="L172" s="305" t="str">
        <f>IF(J172="","",IF(VLOOKUP(J172,'G-3 Multipliers'!$L$3:$N$6,3,FALSE)=0,"Spatial Data Missing",VLOOKUP(J172,'G-3 Multipliers'!$L$3:$N$6,3,FALSE)))</f>
        <v/>
      </c>
      <c r="M172" s="138"/>
      <c r="N172" s="282" t="str">
        <f>IF(M172="","",IF(VLOOKUP(M172,'G-3 Multipliers'!$S$3:$T$10,2,FALSE)=0,"Spatial Data Missing ⚠",VLOOKUP(M172,'G-3 Multipliers'!$S$3:$T$10,2,FALSE)))</f>
        <v/>
      </c>
      <c r="O172" s="281" t="str">
        <f>IF(OR(D172="",H172=""),"",(INDEX('G-6 Hedgerow Data'!$E$3:$I$15,MATCH(D172,'G-6 Hedgerow Data'!$B$3:$B$15,0),MATCH(H172,'G-6 Hedgerow Data'!$E$2:$I$2,0))))</f>
        <v/>
      </c>
      <c r="P172" s="137"/>
      <c r="Q172" s="137"/>
      <c r="R172" s="289" t="str">
        <f t="shared" si="15"/>
        <v/>
      </c>
      <c r="S172" s="302" t="str">
        <f t="shared" si="16"/>
        <v/>
      </c>
      <c r="T172" s="303" t="str">
        <f t="shared" si="14"/>
        <v/>
      </c>
      <c r="U172" s="317" t="str">
        <f>IF(D172="","",VLOOKUP(D172,'G-6 Hedgerow Data'!$B$3:$AG$15,31,FALSE))</f>
        <v/>
      </c>
      <c r="V172" s="301" t="str">
        <f t="shared" si="17"/>
        <v/>
      </c>
      <c r="W172" s="289" t="str">
        <f t="shared" si="18"/>
        <v/>
      </c>
      <c r="X172" s="305" t="str">
        <f>IF(F172="","",VLOOKUP(U172,'G-3 Multipliers'!$P$3:$Q$6,2,FALSE))</f>
        <v/>
      </c>
      <c r="Y172" s="309" t="str">
        <f t="shared" si="19"/>
        <v/>
      </c>
      <c r="Z172" s="309" t="str">
        <f t="shared" si="20"/>
        <v/>
      </c>
      <c r="AA172" s="105"/>
      <c r="AB172" s="968"/>
      <c r="AC172" s="142"/>
      <c r="AD172" s="142"/>
      <c r="AE172" s="964"/>
      <c r="AH172" s="30" t="str">
        <f>IFERROR(INDEX('G-6 Hedgerow Data'!$BJ$3:$BJ$15,MATCH(D172,'G-6 Hedgerow Data'!$B$3:$B$15,0)),"")</f>
        <v/>
      </c>
    </row>
    <row r="173" spans="2:34" ht="13.8" x14ac:dyDescent="0.25">
      <c r="B173" s="101">
        <v>162</v>
      </c>
      <c r="C173" s="175"/>
      <c r="D173" s="58"/>
      <c r="E173" s="142"/>
      <c r="F173" s="281" t="str">
        <f>IF(D173="","",VLOOKUP(D173,'G-6 Hedgerow Data'!$B$2:$AG$15,2,FALSE))</f>
        <v/>
      </c>
      <c r="G173" s="305" t="str">
        <f>IF(D173="","",VLOOKUP(D173,'G-6 Hedgerow Data'!$B$2:$AG$15,3,FALSE))</f>
        <v/>
      </c>
      <c r="H173" s="53"/>
      <c r="I173" s="282" t="str">
        <f>IFERROR(IF(H173="","",IF(AND(D173="Non-native and ornamental hedgerow", H173&lt;&gt;"Poor"),"Not possible ▲", (IF(AND(F173="V.Low",OR(H173="Good",H173="Moderate")),"Error ▲",VLOOKUP(H173,'G-1 All Habitats'!$Z$2:$AA$9,2,FALSE))))),"")</f>
        <v/>
      </c>
      <c r="J173" s="106"/>
      <c r="K173" s="301" t="str">
        <f>IF(J173="","",IF(VLOOKUP(J173,'G-3 Multipliers'!$L$3:$N$6,2,FALSE)=0,"Spatial Data Missing",VLOOKUP(J173,'G-3 Multipliers'!$L$3:$N$6,2,FALSE)))</f>
        <v/>
      </c>
      <c r="L173" s="305" t="str">
        <f>IF(J173="","",IF(VLOOKUP(J173,'G-3 Multipliers'!$L$3:$N$6,3,FALSE)=0,"Spatial Data Missing",VLOOKUP(J173,'G-3 Multipliers'!$L$3:$N$6,3,FALSE)))</f>
        <v/>
      </c>
      <c r="M173" s="138"/>
      <c r="N173" s="282" t="str">
        <f>IF(M173="","",IF(VLOOKUP(M173,'G-3 Multipliers'!$S$3:$T$10,2,FALSE)=0,"Spatial Data Missing ⚠",VLOOKUP(M173,'G-3 Multipliers'!$S$3:$T$10,2,FALSE)))</f>
        <v/>
      </c>
      <c r="O173" s="281" t="str">
        <f>IF(OR(D173="",H173=""),"",(INDEX('G-6 Hedgerow Data'!$E$3:$I$15,MATCH(D173,'G-6 Hedgerow Data'!$B$3:$B$15,0),MATCH(H173,'G-6 Hedgerow Data'!$E$2:$I$2,0))))</f>
        <v/>
      </c>
      <c r="P173" s="137"/>
      <c r="Q173" s="137"/>
      <c r="R173" s="289" t="str">
        <f t="shared" si="15"/>
        <v/>
      </c>
      <c r="S173" s="302" t="str">
        <f t="shared" si="16"/>
        <v/>
      </c>
      <c r="T173" s="303" t="str">
        <f t="shared" si="14"/>
        <v/>
      </c>
      <c r="U173" s="317" t="str">
        <f>IF(D173="","",VLOOKUP(D173,'G-6 Hedgerow Data'!$B$3:$AG$15,31,FALSE))</f>
        <v/>
      </c>
      <c r="V173" s="301" t="str">
        <f t="shared" si="17"/>
        <v/>
      </c>
      <c r="W173" s="289" t="str">
        <f t="shared" si="18"/>
        <v/>
      </c>
      <c r="X173" s="305" t="str">
        <f>IF(F173="","",VLOOKUP(U173,'G-3 Multipliers'!$P$3:$Q$6,2,FALSE))</f>
        <v/>
      </c>
      <c r="Y173" s="309" t="str">
        <f t="shared" si="19"/>
        <v/>
      </c>
      <c r="Z173" s="309" t="str">
        <f t="shared" si="20"/>
        <v/>
      </c>
      <c r="AA173" s="105"/>
      <c r="AB173" s="968"/>
      <c r="AC173" s="142"/>
      <c r="AD173" s="142"/>
      <c r="AE173" s="964"/>
      <c r="AH173" s="30" t="str">
        <f>IFERROR(INDEX('G-6 Hedgerow Data'!$BJ$3:$BJ$15,MATCH(D173,'G-6 Hedgerow Data'!$B$3:$B$15,0)),"")</f>
        <v/>
      </c>
    </row>
    <row r="174" spans="2:34" ht="13.8" x14ac:dyDescent="0.25">
      <c r="B174" s="101">
        <v>163</v>
      </c>
      <c r="C174" s="175"/>
      <c r="D174" s="58"/>
      <c r="E174" s="142"/>
      <c r="F174" s="281" t="str">
        <f>IF(D174="","",VLOOKUP(D174,'G-6 Hedgerow Data'!$B$2:$AG$15,2,FALSE))</f>
        <v/>
      </c>
      <c r="G174" s="305" t="str">
        <f>IF(D174="","",VLOOKUP(D174,'G-6 Hedgerow Data'!$B$2:$AG$15,3,FALSE))</f>
        <v/>
      </c>
      <c r="H174" s="53"/>
      <c r="I174" s="282" t="str">
        <f>IFERROR(IF(H174="","",IF(AND(D174="Non-native and ornamental hedgerow", H174&lt;&gt;"Poor"),"Not possible ▲", (IF(AND(F174="V.Low",OR(H174="Good",H174="Moderate")),"Error ▲",VLOOKUP(H174,'G-1 All Habitats'!$Z$2:$AA$9,2,FALSE))))),"")</f>
        <v/>
      </c>
      <c r="J174" s="106"/>
      <c r="K174" s="301" t="str">
        <f>IF(J174="","",IF(VLOOKUP(J174,'G-3 Multipliers'!$L$3:$N$6,2,FALSE)=0,"Spatial Data Missing",VLOOKUP(J174,'G-3 Multipliers'!$L$3:$N$6,2,FALSE)))</f>
        <v/>
      </c>
      <c r="L174" s="305" t="str">
        <f>IF(J174="","",IF(VLOOKUP(J174,'G-3 Multipliers'!$L$3:$N$6,3,FALSE)=0,"Spatial Data Missing",VLOOKUP(J174,'G-3 Multipliers'!$L$3:$N$6,3,FALSE)))</f>
        <v/>
      </c>
      <c r="M174" s="138"/>
      <c r="N174" s="282" t="str">
        <f>IF(M174="","",IF(VLOOKUP(M174,'G-3 Multipliers'!$S$3:$T$10,2,FALSE)=0,"Spatial Data Missing ⚠",VLOOKUP(M174,'G-3 Multipliers'!$S$3:$T$10,2,FALSE)))</f>
        <v/>
      </c>
      <c r="O174" s="281" t="str">
        <f>IF(OR(D174="",H174=""),"",(INDEX('G-6 Hedgerow Data'!$E$3:$I$15,MATCH(D174,'G-6 Hedgerow Data'!$B$3:$B$15,0),MATCH(H174,'G-6 Hedgerow Data'!$E$2:$I$2,0))))</f>
        <v/>
      </c>
      <c r="P174" s="137"/>
      <c r="Q174" s="137"/>
      <c r="R174" s="289" t="str">
        <f t="shared" si="15"/>
        <v/>
      </c>
      <c r="S174" s="302" t="str">
        <f t="shared" si="16"/>
        <v/>
      </c>
      <c r="T174" s="303" t="str">
        <f t="shared" si="14"/>
        <v/>
      </c>
      <c r="U174" s="317" t="str">
        <f>IF(D174="","",VLOOKUP(D174,'G-6 Hedgerow Data'!$B$3:$AG$15,31,FALSE))</f>
        <v/>
      </c>
      <c r="V174" s="301" t="str">
        <f t="shared" si="17"/>
        <v/>
      </c>
      <c r="W174" s="289" t="str">
        <f t="shared" si="18"/>
        <v/>
      </c>
      <c r="X174" s="305" t="str">
        <f>IF(F174="","",VLOOKUP(U174,'G-3 Multipliers'!$P$3:$Q$6,2,FALSE))</f>
        <v/>
      </c>
      <c r="Y174" s="309" t="str">
        <f t="shared" si="19"/>
        <v/>
      </c>
      <c r="Z174" s="309" t="str">
        <f t="shared" si="20"/>
        <v/>
      </c>
      <c r="AA174" s="105"/>
      <c r="AB174" s="968"/>
      <c r="AC174" s="142"/>
      <c r="AD174" s="142"/>
      <c r="AE174" s="964"/>
      <c r="AH174" s="30" t="str">
        <f>IFERROR(INDEX('G-6 Hedgerow Data'!$BJ$3:$BJ$15,MATCH(D174,'G-6 Hedgerow Data'!$B$3:$B$15,0)),"")</f>
        <v/>
      </c>
    </row>
    <row r="175" spans="2:34" ht="13.8" x14ac:dyDescent="0.25">
      <c r="B175" s="101">
        <v>164</v>
      </c>
      <c r="C175" s="175"/>
      <c r="D175" s="58"/>
      <c r="E175" s="142"/>
      <c r="F175" s="281" t="str">
        <f>IF(D175="","",VLOOKUP(D175,'G-6 Hedgerow Data'!$B$2:$AG$15,2,FALSE))</f>
        <v/>
      </c>
      <c r="G175" s="305" t="str">
        <f>IF(D175="","",VLOOKUP(D175,'G-6 Hedgerow Data'!$B$2:$AG$15,3,FALSE))</f>
        <v/>
      </c>
      <c r="H175" s="53"/>
      <c r="I175" s="282" t="str">
        <f>IFERROR(IF(H175="","",IF(AND(D175="Non-native and ornamental hedgerow", H175&lt;&gt;"Poor"),"Not possible ▲", (IF(AND(F175="V.Low",OR(H175="Good",H175="Moderate")),"Error ▲",VLOOKUP(H175,'G-1 All Habitats'!$Z$2:$AA$9,2,FALSE))))),"")</f>
        <v/>
      </c>
      <c r="J175" s="106"/>
      <c r="K175" s="301" t="str">
        <f>IF(J175="","",IF(VLOOKUP(J175,'G-3 Multipliers'!$L$3:$N$6,2,FALSE)=0,"Spatial Data Missing",VLOOKUP(J175,'G-3 Multipliers'!$L$3:$N$6,2,FALSE)))</f>
        <v/>
      </c>
      <c r="L175" s="305" t="str">
        <f>IF(J175="","",IF(VLOOKUP(J175,'G-3 Multipliers'!$L$3:$N$6,3,FALSE)=0,"Spatial Data Missing",VLOOKUP(J175,'G-3 Multipliers'!$L$3:$N$6,3,FALSE)))</f>
        <v/>
      </c>
      <c r="M175" s="138"/>
      <c r="N175" s="282" t="str">
        <f>IF(M175="","",IF(VLOOKUP(M175,'G-3 Multipliers'!$S$3:$T$10,2,FALSE)=0,"Spatial Data Missing ⚠",VLOOKUP(M175,'G-3 Multipliers'!$S$3:$T$10,2,FALSE)))</f>
        <v/>
      </c>
      <c r="O175" s="281" t="str">
        <f>IF(OR(D175="",H175=""),"",(INDEX('G-6 Hedgerow Data'!$E$3:$I$15,MATCH(D175,'G-6 Hedgerow Data'!$B$3:$B$15,0),MATCH(H175,'G-6 Hedgerow Data'!$E$2:$I$2,0))))</f>
        <v/>
      </c>
      <c r="P175" s="137"/>
      <c r="Q175" s="137"/>
      <c r="R175" s="289" t="str">
        <f t="shared" si="15"/>
        <v/>
      </c>
      <c r="S175" s="302" t="str">
        <f t="shared" si="16"/>
        <v/>
      </c>
      <c r="T175" s="303" t="str">
        <f t="shared" si="14"/>
        <v/>
      </c>
      <c r="U175" s="317" t="str">
        <f>IF(D175="","",VLOOKUP(D175,'G-6 Hedgerow Data'!$B$3:$AG$15,31,FALSE))</f>
        <v/>
      </c>
      <c r="V175" s="301" t="str">
        <f t="shared" si="17"/>
        <v/>
      </c>
      <c r="W175" s="289" t="str">
        <f t="shared" si="18"/>
        <v/>
      </c>
      <c r="X175" s="305" t="str">
        <f>IF(F175="","",VLOOKUP(U175,'G-3 Multipliers'!$P$3:$Q$6,2,FALSE))</f>
        <v/>
      </c>
      <c r="Y175" s="309" t="str">
        <f t="shared" si="19"/>
        <v/>
      </c>
      <c r="Z175" s="309" t="str">
        <f t="shared" si="20"/>
        <v/>
      </c>
      <c r="AA175" s="105"/>
      <c r="AB175" s="968"/>
      <c r="AC175" s="142"/>
      <c r="AD175" s="142"/>
      <c r="AE175" s="964"/>
      <c r="AH175" s="30" t="str">
        <f>IFERROR(INDEX('G-6 Hedgerow Data'!$BJ$3:$BJ$15,MATCH(D175,'G-6 Hedgerow Data'!$B$3:$B$15,0)),"")</f>
        <v/>
      </c>
    </row>
    <row r="176" spans="2:34" ht="13.8" x14ac:dyDescent="0.25">
      <c r="B176" s="101">
        <v>165</v>
      </c>
      <c r="C176" s="175"/>
      <c r="D176" s="58"/>
      <c r="E176" s="142"/>
      <c r="F176" s="281" t="str">
        <f>IF(D176="","",VLOOKUP(D176,'G-6 Hedgerow Data'!$B$2:$AG$15,2,FALSE))</f>
        <v/>
      </c>
      <c r="G176" s="305" t="str">
        <f>IF(D176="","",VLOOKUP(D176,'G-6 Hedgerow Data'!$B$2:$AG$15,3,FALSE))</f>
        <v/>
      </c>
      <c r="H176" s="53"/>
      <c r="I176" s="282" t="str">
        <f>IFERROR(IF(H176="","",IF(AND(D176="Non-native and ornamental hedgerow", H176&lt;&gt;"Poor"),"Not possible ▲", (IF(AND(F176="V.Low",OR(H176="Good",H176="Moderate")),"Error ▲",VLOOKUP(H176,'G-1 All Habitats'!$Z$2:$AA$9,2,FALSE))))),"")</f>
        <v/>
      </c>
      <c r="J176" s="106"/>
      <c r="K176" s="301" t="str">
        <f>IF(J176="","",IF(VLOOKUP(J176,'G-3 Multipliers'!$L$3:$N$6,2,FALSE)=0,"Spatial Data Missing",VLOOKUP(J176,'G-3 Multipliers'!$L$3:$N$6,2,FALSE)))</f>
        <v/>
      </c>
      <c r="L176" s="305" t="str">
        <f>IF(J176="","",IF(VLOOKUP(J176,'G-3 Multipliers'!$L$3:$N$6,3,FALSE)=0,"Spatial Data Missing",VLOOKUP(J176,'G-3 Multipliers'!$L$3:$N$6,3,FALSE)))</f>
        <v/>
      </c>
      <c r="M176" s="138"/>
      <c r="N176" s="282" t="str">
        <f>IF(M176="","",IF(VLOOKUP(M176,'G-3 Multipliers'!$S$3:$T$10,2,FALSE)=0,"Spatial Data Missing ⚠",VLOOKUP(M176,'G-3 Multipliers'!$S$3:$T$10,2,FALSE)))</f>
        <v/>
      </c>
      <c r="O176" s="281" t="str">
        <f>IF(OR(D176="",H176=""),"",(INDEX('G-6 Hedgerow Data'!$E$3:$I$15,MATCH(D176,'G-6 Hedgerow Data'!$B$3:$B$15,0),MATCH(H176,'G-6 Hedgerow Data'!$E$2:$I$2,0))))</f>
        <v/>
      </c>
      <c r="P176" s="137"/>
      <c r="Q176" s="137"/>
      <c r="R176" s="289" t="str">
        <f t="shared" si="15"/>
        <v/>
      </c>
      <c r="S176" s="302" t="str">
        <f t="shared" si="16"/>
        <v/>
      </c>
      <c r="T176" s="303" t="str">
        <f t="shared" si="14"/>
        <v/>
      </c>
      <c r="U176" s="317" t="str">
        <f>IF(D176="","",VLOOKUP(D176,'G-6 Hedgerow Data'!$B$3:$AG$15,31,FALSE))</f>
        <v/>
      </c>
      <c r="V176" s="301" t="str">
        <f t="shared" si="17"/>
        <v/>
      </c>
      <c r="W176" s="289" t="str">
        <f t="shared" si="18"/>
        <v/>
      </c>
      <c r="X176" s="305" t="str">
        <f>IF(F176="","",VLOOKUP(U176,'G-3 Multipliers'!$P$3:$Q$6,2,FALSE))</f>
        <v/>
      </c>
      <c r="Y176" s="309" t="str">
        <f t="shared" si="19"/>
        <v/>
      </c>
      <c r="Z176" s="309" t="str">
        <f t="shared" si="20"/>
        <v/>
      </c>
      <c r="AA176" s="105"/>
      <c r="AB176" s="968"/>
      <c r="AC176" s="142"/>
      <c r="AD176" s="142"/>
      <c r="AE176" s="964"/>
      <c r="AH176" s="30" t="str">
        <f>IFERROR(INDEX('G-6 Hedgerow Data'!$BJ$3:$BJ$15,MATCH(D176,'G-6 Hedgerow Data'!$B$3:$B$15,0)),"")</f>
        <v/>
      </c>
    </row>
    <row r="177" spans="2:34" ht="13.8" x14ac:dyDescent="0.25">
      <c r="B177" s="101">
        <v>166</v>
      </c>
      <c r="C177" s="175"/>
      <c r="D177" s="58"/>
      <c r="E177" s="142"/>
      <c r="F177" s="281" t="str">
        <f>IF(D177="","",VLOOKUP(D177,'G-6 Hedgerow Data'!$B$2:$AG$15,2,FALSE))</f>
        <v/>
      </c>
      <c r="G177" s="305" t="str">
        <f>IF(D177="","",VLOOKUP(D177,'G-6 Hedgerow Data'!$B$2:$AG$15,3,FALSE))</f>
        <v/>
      </c>
      <c r="H177" s="53"/>
      <c r="I177" s="282" t="str">
        <f>IFERROR(IF(H177="","",IF(AND(D177="Non-native and ornamental hedgerow", H177&lt;&gt;"Poor"),"Not possible ▲", (IF(AND(F177="V.Low",OR(H177="Good",H177="Moderate")),"Error ▲",VLOOKUP(H177,'G-1 All Habitats'!$Z$2:$AA$9,2,FALSE))))),"")</f>
        <v/>
      </c>
      <c r="J177" s="106"/>
      <c r="K177" s="301" t="str">
        <f>IF(J177="","",IF(VLOOKUP(J177,'G-3 Multipliers'!$L$3:$N$6,2,FALSE)=0,"Spatial Data Missing",VLOOKUP(J177,'G-3 Multipliers'!$L$3:$N$6,2,FALSE)))</f>
        <v/>
      </c>
      <c r="L177" s="305" t="str">
        <f>IF(J177="","",IF(VLOOKUP(J177,'G-3 Multipliers'!$L$3:$N$6,3,FALSE)=0,"Spatial Data Missing",VLOOKUP(J177,'G-3 Multipliers'!$L$3:$N$6,3,FALSE)))</f>
        <v/>
      </c>
      <c r="M177" s="138"/>
      <c r="N177" s="282" t="str">
        <f>IF(M177="","",IF(VLOOKUP(M177,'G-3 Multipliers'!$S$3:$T$10,2,FALSE)=0,"Spatial Data Missing ⚠",VLOOKUP(M177,'G-3 Multipliers'!$S$3:$T$10,2,FALSE)))</f>
        <v/>
      </c>
      <c r="O177" s="281" t="str">
        <f>IF(OR(D177="",H177=""),"",(INDEX('G-6 Hedgerow Data'!$E$3:$I$15,MATCH(D177,'G-6 Hedgerow Data'!$B$3:$B$15,0),MATCH(H177,'G-6 Hedgerow Data'!$E$2:$I$2,0))))</f>
        <v/>
      </c>
      <c r="P177" s="137"/>
      <c r="Q177" s="137"/>
      <c r="R177" s="289" t="str">
        <f t="shared" si="15"/>
        <v/>
      </c>
      <c r="S177" s="302" t="str">
        <f t="shared" si="16"/>
        <v/>
      </c>
      <c r="T177" s="303" t="str">
        <f t="shared" si="14"/>
        <v/>
      </c>
      <c r="U177" s="317" t="str">
        <f>IF(D177="","",VLOOKUP(D177,'G-6 Hedgerow Data'!$B$3:$AG$15,31,FALSE))</f>
        <v/>
      </c>
      <c r="V177" s="301" t="str">
        <f t="shared" si="17"/>
        <v/>
      </c>
      <c r="W177" s="289" t="str">
        <f t="shared" si="18"/>
        <v/>
      </c>
      <c r="X177" s="305" t="str">
        <f>IF(F177="","",VLOOKUP(U177,'G-3 Multipliers'!$P$3:$Q$6,2,FALSE))</f>
        <v/>
      </c>
      <c r="Y177" s="309" t="str">
        <f t="shared" si="19"/>
        <v/>
      </c>
      <c r="Z177" s="309" t="str">
        <f t="shared" si="20"/>
        <v/>
      </c>
      <c r="AA177" s="105"/>
      <c r="AB177" s="968"/>
      <c r="AC177" s="142"/>
      <c r="AD177" s="142"/>
      <c r="AE177" s="964"/>
      <c r="AH177" s="30" t="str">
        <f>IFERROR(INDEX('G-6 Hedgerow Data'!$BJ$3:$BJ$15,MATCH(D177,'G-6 Hedgerow Data'!$B$3:$B$15,0)),"")</f>
        <v/>
      </c>
    </row>
    <row r="178" spans="2:34" ht="13.8" x14ac:dyDescent="0.25">
      <c r="B178" s="101">
        <v>167</v>
      </c>
      <c r="C178" s="175"/>
      <c r="D178" s="58"/>
      <c r="E178" s="142"/>
      <c r="F178" s="281" t="str">
        <f>IF(D178="","",VLOOKUP(D178,'G-6 Hedgerow Data'!$B$2:$AG$15,2,FALSE))</f>
        <v/>
      </c>
      <c r="G178" s="305" t="str">
        <f>IF(D178="","",VLOOKUP(D178,'G-6 Hedgerow Data'!$B$2:$AG$15,3,FALSE))</f>
        <v/>
      </c>
      <c r="H178" s="53"/>
      <c r="I178" s="282" t="str">
        <f>IFERROR(IF(H178="","",IF(AND(D178="Non-native and ornamental hedgerow", H178&lt;&gt;"Poor"),"Not possible ▲", (IF(AND(F178="V.Low",OR(H178="Good",H178="Moderate")),"Error ▲",VLOOKUP(H178,'G-1 All Habitats'!$Z$2:$AA$9,2,FALSE))))),"")</f>
        <v/>
      </c>
      <c r="J178" s="106"/>
      <c r="K178" s="301" t="str">
        <f>IF(J178="","",IF(VLOOKUP(J178,'G-3 Multipliers'!$L$3:$N$6,2,FALSE)=0,"Spatial Data Missing",VLOOKUP(J178,'G-3 Multipliers'!$L$3:$N$6,2,FALSE)))</f>
        <v/>
      </c>
      <c r="L178" s="305" t="str">
        <f>IF(J178="","",IF(VLOOKUP(J178,'G-3 Multipliers'!$L$3:$N$6,3,FALSE)=0,"Spatial Data Missing",VLOOKUP(J178,'G-3 Multipliers'!$L$3:$N$6,3,FALSE)))</f>
        <v/>
      </c>
      <c r="M178" s="138"/>
      <c r="N178" s="282" t="str">
        <f>IF(M178="","",IF(VLOOKUP(M178,'G-3 Multipliers'!$S$3:$T$10,2,FALSE)=0,"Spatial Data Missing ⚠",VLOOKUP(M178,'G-3 Multipliers'!$S$3:$T$10,2,FALSE)))</f>
        <v/>
      </c>
      <c r="O178" s="281" t="str">
        <f>IF(OR(D178="",H178=""),"",(INDEX('G-6 Hedgerow Data'!$E$3:$I$15,MATCH(D178,'G-6 Hedgerow Data'!$B$3:$B$15,0),MATCH(H178,'G-6 Hedgerow Data'!$E$2:$I$2,0))))</f>
        <v/>
      </c>
      <c r="P178" s="137"/>
      <c r="Q178" s="137"/>
      <c r="R178" s="289" t="str">
        <f t="shared" si="15"/>
        <v/>
      </c>
      <c r="S178" s="302" t="str">
        <f t="shared" si="16"/>
        <v/>
      </c>
      <c r="T178" s="303" t="str">
        <f t="shared" si="14"/>
        <v/>
      </c>
      <c r="U178" s="317" t="str">
        <f>IF(D178="","",VLOOKUP(D178,'G-6 Hedgerow Data'!$B$3:$AG$15,31,FALSE))</f>
        <v/>
      </c>
      <c r="V178" s="301" t="str">
        <f t="shared" si="17"/>
        <v/>
      </c>
      <c r="W178" s="289" t="str">
        <f t="shared" si="18"/>
        <v/>
      </c>
      <c r="X178" s="305" t="str">
        <f>IF(F178="","",VLOOKUP(U178,'G-3 Multipliers'!$P$3:$Q$6,2,FALSE))</f>
        <v/>
      </c>
      <c r="Y178" s="309" t="str">
        <f t="shared" si="19"/>
        <v/>
      </c>
      <c r="Z178" s="309" t="str">
        <f t="shared" si="20"/>
        <v/>
      </c>
      <c r="AA178" s="105"/>
      <c r="AB178" s="968"/>
      <c r="AC178" s="142"/>
      <c r="AD178" s="142"/>
      <c r="AE178" s="964"/>
      <c r="AH178" s="30" t="str">
        <f>IFERROR(INDEX('G-6 Hedgerow Data'!$BJ$3:$BJ$15,MATCH(D178,'G-6 Hedgerow Data'!$B$3:$B$15,0)),"")</f>
        <v/>
      </c>
    </row>
    <row r="179" spans="2:34" ht="13.8" x14ac:dyDescent="0.25">
      <c r="B179" s="101">
        <v>168</v>
      </c>
      <c r="C179" s="175"/>
      <c r="D179" s="58"/>
      <c r="E179" s="142"/>
      <c r="F179" s="281" t="str">
        <f>IF(D179="","",VLOOKUP(D179,'G-6 Hedgerow Data'!$B$2:$AG$15,2,FALSE))</f>
        <v/>
      </c>
      <c r="G179" s="305" t="str">
        <f>IF(D179="","",VLOOKUP(D179,'G-6 Hedgerow Data'!$B$2:$AG$15,3,FALSE))</f>
        <v/>
      </c>
      <c r="H179" s="53"/>
      <c r="I179" s="282" t="str">
        <f>IFERROR(IF(H179="","",IF(AND(D179="Non-native and ornamental hedgerow", H179&lt;&gt;"Poor"),"Not possible ▲", (IF(AND(F179="V.Low",OR(H179="Good",H179="Moderate")),"Error ▲",VLOOKUP(H179,'G-1 All Habitats'!$Z$2:$AA$9,2,FALSE))))),"")</f>
        <v/>
      </c>
      <c r="J179" s="106"/>
      <c r="K179" s="301" t="str">
        <f>IF(J179="","",IF(VLOOKUP(J179,'G-3 Multipliers'!$L$3:$N$6,2,FALSE)=0,"Spatial Data Missing",VLOOKUP(J179,'G-3 Multipliers'!$L$3:$N$6,2,FALSE)))</f>
        <v/>
      </c>
      <c r="L179" s="305" t="str">
        <f>IF(J179="","",IF(VLOOKUP(J179,'G-3 Multipliers'!$L$3:$N$6,3,FALSE)=0,"Spatial Data Missing",VLOOKUP(J179,'G-3 Multipliers'!$L$3:$N$6,3,FALSE)))</f>
        <v/>
      </c>
      <c r="M179" s="138"/>
      <c r="N179" s="282" t="str">
        <f>IF(M179="","",IF(VLOOKUP(M179,'G-3 Multipliers'!$S$3:$T$10,2,FALSE)=0,"Spatial Data Missing ⚠",VLOOKUP(M179,'G-3 Multipliers'!$S$3:$T$10,2,FALSE)))</f>
        <v/>
      </c>
      <c r="O179" s="281" t="str">
        <f>IF(OR(D179="",H179=""),"",(INDEX('G-6 Hedgerow Data'!$E$3:$I$15,MATCH(D179,'G-6 Hedgerow Data'!$B$3:$B$15,0),MATCH(H179,'G-6 Hedgerow Data'!$E$2:$I$2,0))))</f>
        <v/>
      </c>
      <c r="P179" s="137"/>
      <c r="Q179" s="137"/>
      <c r="R179" s="289" t="str">
        <f t="shared" si="15"/>
        <v/>
      </c>
      <c r="S179" s="302" t="str">
        <f t="shared" si="16"/>
        <v/>
      </c>
      <c r="T179" s="303" t="str">
        <f t="shared" si="14"/>
        <v/>
      </c>
      <c r="U179" s="317" t="str">
        <f>IF(D179="","",VLOOKUP(D179,'G-6 Hedgerow Data'!$B$3:$AG$15,31,FALSE))</f>
        <v/>
      </c>
      <c r="V179" s="301" t="str">
        <f t="shared" si="17"/>
        <v/>
      </c>
      <c r="W179" s="289" t="str">
        <f t="shared" si="18"/>
        <v/>
      </c>
      <c r="X179" s="305" t="str">
        <f>IF(F179="","",VLOOKUP(U179,'G-3 Multipliers'!$P$3:$Q$6,2,FALSE))</f>
        <v/>
      </c>
      <c r="Y179" s="309" t="str">
        <f t="shared" si="19"/>
        <v/>
      </c>
      <c r="Z179" s="309" t="str">
        <f t="shared" si="20"/>
        <v/>
      </c>
      <c r="AA179" s="105"/>
      <c r="AB179" s="968"/>
      <c r="AC179" s="142"/>
      <c r="AD179" s="142"/>
      <c r="AE179" s="964"/>
      <c r="AH179" s="30" t="str">
        <f>IFERROR(INDEX('G-6 Hedgerow Data'!$BJ$3:$BJ$15,MATCH(D179,'G-6 Hedgerow Data'!$B$3:$B$15,0)),"")</f>
        <v/>
      </c>
    </row>
    <row r="180" spans="2:34" ht="13.8" x14ac:dyDescent="0.25">
      <c r="B180" s="101">
        <v>169</v>
      </c>
      <c r="C180" s="175"/>
      <c r="D180" s="58"/>
      <c r="E180" s="142"/>
      <c r="F180" s="281" t="str">
        <f>IF(D180="","",VLOOKUP(D180,'G-6 Hedgerow Data'!$B$2:$AG$15,2,FALSE))</f>
        <v/>
      </c>
      <c r="G180" s="305" t="str">
        <f>IF(D180="","",VLOOKUP(D180,'G-6 Hedgerow Data'!$B$2:$AG$15,3,FALSE))</f>
        <v/>
      </c>
      <c r="H180" s="53"/>
      <c r="I180" s="282" t="str">
        <f>IFERROR(IF(H180="","",IF(AND(D180="Non-native and ornamental hedgerow", H180&lt;&gt;"Poor"),"Not possible ▲", (IF(AND(F180="V.Low",OR(H180="Good",H180="Moderate")),"Error ▲",VLOOKUP(H180,'G-1 All Habitats'!$Z$2:$AA$9,2,FALSE))))),"")</f>
        <v/>
      </c>
      <c r="J180" s="106"/>
      <c r="K180" s="301" t="str">
        <f>IF(J180="","",IF(VLOOKUP(J180,'G-3 Multipliers'!$L$3:$N$6,2,FALSE)=0,"Spatial Data Missing",VLOOKUP(J180,'G-3 Multipliers'!$L$3:$N$6,2,FALSE)))</f>
        <v/>
      </c>
      <c r="L180" s="305" t="str">
        <f>IF(J180="","",IF(VLOOKUP(J180,'G-3 Multipliers'!$L$3:$N$6,3,FALSE)=0,"Spatial Data Missing",VLOOKUP(J180,'G-3 Multipliers'!$L$3:$N$6,3,FALSE)))</f>
        <v/>
      </c>
      <c r="M180" s="138"/>
      <c r="N180" s="282" t="str">
        <f>IF(M180="","",IF(VLOOKUP(M180,'G-3 Multipliers'!$S$3:$T$10,2,FALSE)=0,"Spatial Data Missing ⚠",VLOOKUP(M180,'G-3 Multipliers'!$S$3:$T$10,2,FALSE)))</f>
        <v/>
      </c>
      <c r="O180" s="281" t="str">
        <f>IF(OR(D180="",H180=""),"",(INDEX('G-6 Hedgerow Data'!$E$3:$I$15,MATCH(D180,'G-6 Hedgerow Data'!$B$3:$B$15,0),MATCH(H180,'G-6 Hedgerow Data'!$E$2:$I$2,0))))</f>
        <v/>
      </c>
      <c r="P180" s="137"/>
      <c r="Q180" s="137"/>
      <c r="R180" s="289" t="str">
        <f t="shared" si="15"/>
        <v/>
      </c>
      <c r="S180" s="302" t="str">
        <f t="shared" si="16"/>
        <v/>
      </c>
      <c r="T180" s="303" t="str">
        <f t="shared" si="14"/>
        <v/>
      </c>
      <c r="U180" s="317" t="str">
        <f>IF(D180="","",VLOOKUP(D180,'G-6 Hedgerow Data'!$B$3:$AG$15,31,FALSE))</f>
        <v/>
      </c>
      <c r="V180" s="301" t="str">
        <f t="shared" si="17"/>
        <v/>
      </c>
      <c r="W180" s="289" t="str">
        <f t="shared" si="18"/>
        <v/>
      </c>
      <c r="X180" s="305" t="str">
        <f>IF(F180="","",VLOOKUP(U180,'G-3 Multipliers'!$P$3:$Q$6,2,FALSE))</f>
        <v/>
      </c>
      <c r="Y180" s="309" t="str">
        <f t="shared" si="19"/>
        <v/>
      </c>
      <c r="Z180" s="309" t="str">
        <f t="shared" si="20"/>
        <v/>
      </c>
      <c r="AA180" s="105"/>
      <c r="AB180" s="968"/>
      <c r="AC180" s="142"/>
      <c r="AD180" s="142"/>
      <c r="AE180" s="964"/>
      <c r="AH180" s="30" t="str">
        <f>IFERROR(INDEX('G-6 Hedgerow Data'!$BJ$3:$BJ$15,MATCH(D180,'G-6 Hedgerow Data'!$B$3:$B$15,0)),"")</f>
        <v/>
      </c>
    </row>
    <row r="181" spans="2:34" ht="13.8" x14ac:dyDescent="0.25">
      <c r="B181" s="101">
        <v>170</v>
      </c>
      <c r="C181" s="175"/>
      <c r="D181" s="58"/>
      <c r="E181" s="142"/>
      <c r="F181" s="281" t="str">
        <f>IF(D181="","",VLOOKUP(D181,'G-6 Hedgerow Data'!$B$2:$AG$15,2,FALSE))</f>
        <v/>
      </c>
      <c r="G181" s="305" t="str">
        <f>IF(D181="","",VLOOKUP(D181,'G-6 Hedgerow Data'!$B$2:$AG$15,3,FALSE))</f>
        <v/>
      </c>
      <c r="H181" s="53"/>
      <c r="I181" s="282" t="str">
        <f>IFERROR(IF(H181="","",IF(AND(D181="Non-native and ornamental hedgerow", H181&lt;&gt;"Poor"),"Not possible ▲", (IF(AND(F181="V.Low",OR(H181="Good",H181="Moderate")),"Error ▲",VLOOKUP(H181,'G-1 All Habitats'!$Z$2:$AA$9,2,FALSE))))),"")</f>
        <v/>
      </c>
      <c r="J181" s="106"/>
      <c r="K181" s="301" t="str">
        <f>IF(J181="","",IF(VLOOKUP(J181,'G-3 Multipliers'!$L$3:$N$6,2,FALSE)=0,"Spatial Data Missing",VLOOKUP(J181,'G-3 Multipliers'!$L$3:$N$6,2,FALSE)))</f>
        <v/>
      </c>
      <c r="L181" s="305" t="str">
        <f>IF(J181="","",IF(VLOOKUP(J181,'G-3 Multipliers'!$L$3:$N$6,3,FALSE)=0,"Spatial Data Missing",VLOOKUP(J181,'G-3 Multipliers'!$L$3:$N$6,3,FALSE)))</f>
        <v/>
      </c>
      <c r="M181" s="138"/>
      <c r="N181" s="282" t="str">
        <f>IF(M181="","",IF(VLOOKUP(M181,'G-3 Multipliers'!$S$3:$T$10,2,FALSE)=0,"Spatial Data Missing ⚠",VLOOKUP(M181,'G-3 Multipliers'!$S$3:$T$10,2,FALSE)))</f>
        <v/>
      </c>
      <c r="O181" s="281" t="str">
        <f>IF(OR(D181="",H181=""),"",(INDEX('G-6 Hedgerow Data'!$E$3:$I$15,MATCH(D181,'G-6 Hedgerow Data'!$B$3:$B$15,0),MATCH(H181,'G-6 Hedgerow Data'!$E$2:$I$2,0))))</f>
        <v/>
      </c>
      <c r="P181" s="137"/>
      <c r="Q181" s="137"/>
      <c r="R181" s="289" t="str">
        <f t="shared" si="15"/>
        <v/>
      </c>
      <c r="S181" s="302" t="str">
        <f t="shared" si="16"/>
        <v/>
      </c>
      <c r="T181" s="303" t="str">
        <f t="shared" si="14"/>
        <v/>
      </c>
      <c r="U181" s="317" t="str">
        <f>IF(D181="","",VLOOKUP(D181,'G-6 Hedgerow Data'!$B$3:$AG$15,31,FALSE))</f>
        <v/>
      </c>
      <c r="V181" s="301" t="str">
        <f t="shared" si="17"/>
        <v/>
      </c>
      <c r="W181" s="289" t="str">
        <f t="shared" si="18"/>
        <v/>
      </c>
      <c r="X181" s="305" t="str">
        <f>IF(F181="","",VLOOKUP(U181,'G-3 Multipliers'!$P$3:$Q$6,2,FALSE))</f>
        <v/>
      </c>
      <c r="Y181" s="309" t="str">
        <f t="shared" si="19"/>
        <v/>
      </c>
      <c r="Z181" s="309" t="str">
        <f t="shared" si="20"/>
        <v/>
      </c>
      <c r="AA181" s="105"/>
      <c r="AB181" s="968"/>
      <c r="AC181" s="142"/>
      <c r="AD181" s="142"/>
      <c r="AE181" s="964"/>
      <c r="AH181" s="30" t="str">
        <f>IFERROR(INDEX('G-6 Hedgerow Data'!$BJ$3:$BJ$15,MATCH(D181,'G-6 Hedgerow Data'!$B$3:$B$15,0)),"")</f>
        <v/>
      </c>
    </row>
    <row r="182" spans="2:34" ht="13.8" x14ac:dyDescent="0.25">
      <c r="B182" s="101">
        <v>171</v>
      </c>
      <c r="C182" s="175"/>
      <c r="D182" s="58"/>
      <c r="E182" s="142"/>
      <c r="F182" s="281" t="str">
        <f>IF(D182="","",VLOOKUP(D182,'G-6 Hedgerow Data'!$B$2:$AG$15,2,FALSE))</f>
        <v/>
      </c>
      <c r="G182" s="305" t="str">
        <f>IF(D182="","",VLOOKUP(D182,'G-6 Hedgerow Data'!$B$2:$AG$15,3,FALSE))</f>
        <v/>
      </c>
      <c r="H182" s="53"/>
      <c r="I182" s="282" t="str">
        <f>IFERROR(IF(H182="","",IF(AND(D182="Non-native and ornamental hedgerow", H182&lt;&gt;"Poor"),"Not possible ▲", (IF(AND(F182="V.Low",OR(H182="Good",H182="Moderate")),"Error ▲",VLOOKUP(H182,'G-1 All Habitats'!$Z$2:$AA$9,2,FALSE))))),"")</f>
        <v/>
      </c>
      <c r="J182" s="106"/>
      <c r="K182" s="301" t="str">
        <f>IF(J182="","",IF(VLOOKUP(J182,'G-3 Multipliers'!$L$3:$N$6,2,FALSE)=0,"Spatial Data Missing",VLOOKUP(J182,'G-3 Multipliers'!$L$3:$N$6,2,FALSE)))</f>
        <v/>
      </c>
      <c r="L182" s="305" t="str">
        <f>IF(J182="","",IF(VLOOKUP(J182,'G-3 Multipliers'!$L$3:$N$6,3,FALSE)=0,"Spatial Data Missing",VLOOKUP(J182,'G-3 Multipliers'!$L$3:$N$6,3,FALSE)))</f>
        <v/>
      </c>
      <c r="M182" s="138"/>
      <c r="N182" s="282" t="str">
        <f>IF(M182="","",IF(VLOOKUP(M182,'G-3 Multipliers'!$S$3:$T$10,2,FALSE)=0,"Spatial Data Missing ⚠",VLOOKUP(M182,'G-3 Multipliers'!$S$3:$T$10,2,FALSE)))</f>
        <v/>
      </c>
      <c r="O182" s="281" t="str">
        <f>IF(OR(D182="",H182=""),"",(INDEX('G-6 Hedgerow Data'!$E$3:$I$15,MATCH(D182,'G-6 Hedgerow Data'!$B$3:$B$15,0),MATCH(H182,'G-6 Hedgerow Data'!$E$2:$I$2,0))))</f>
        <v/>
      </c>
      <c r="P182" s="137"/>
      <c r="Q182" s="137"/>
      <c r="R182" s="289" t="str">
        <f t="shared" si="15"/>
        <v/>
      </c>
      <c r="S182" s="302" t="str">
        <f t="shared" si="16"/>
        <v/>
      </c>
      <c r="T182" s="303" t="str">
        <f t="shared" si="14"/>
        <v/>
      </c>
      <c r="U182" s="317" t="str">
        <f>IF(D182="","",VLOOKUP(D182,'G-6 Hedgerow Data'!$B$3:$AG$15,31,FALSE))</f>
        <v/>
      </c>
      <c r="V182" s="301" t="str">
        <f t="shared" si="17"/>
        <v/>
      </c>
      <c r="W182" s="289" t="str">
        <f t="shared" si="18"/>
        <v/>
      </c>
      <c r="X182" s="305" t="str">
        <f>IF(F182="","",VLOOKUP(U182,'G-3 Multipliers'!$P$3:$Q$6,2,FALSE))</f>
        <v/>
      </c>
      <c r="Y182" s="309" t="str">
        <f t="shared" si="19"/>
        <v/>
      </c>
      <c r="Z182" s="309" t="str">
        <f t="shared" si="20"/>
        <v/>
      </c>
      <c r="AA182" s="105"/>
      <c r="AB182" s="968"/>
      <c r="AC182" s="142"/>
      <c r="AD182" s="142"/>
      <c r="AE182" s="964"/>
      <c r="AH182" s="30" t="str">
        <f>IFERROR(INDEX('G-6 Hedgerow Data'!$BJ$3:$BJ$15,MATCH(D182,'G-6 Hedgerow Data'!$B$3:$B$15,0)),"")</f>
        <v/>
      </c>
    </row>
    <row r="183" spans="2:34" ht="13.8" x14ac:dyDescent="0.25">
      <c r="B183" s="101">
        <v>172</v>
      </c>
      <c r="C183" s="175"/>
      <c r="D183" s="58"/>
      <c r="E183" s="142"/>
      <c r="F183" s="281" t="str">
        <f>IF(D183="","",VLOOKUP(D183,'G-6 Hedgerow Data'!$B$2:$AG$15,2,FALSE))</f>
        <v/>
      </c>
      <c r="G183" s="305" t="str">
        <f>IF(D183="","",VLOOKUP(D183,'G-6 Hedgerow Data'!$B$2:$AG$15,3,FALSE))</f>
        <v/>
      </c>
      <c r="H183" s="53"/>
      <c r="I183" s="282" t="str">
        <f>IFERROR(IF(H183="","",IF(AND(D183="Non-native and ornamental hedgerow", H183&lt;&gt;"Poor"),"Not possible ▲", (IF(AND(F183="V.Low",OR(H183="Good",H183="Moderate")),"Error ▲",VLOOKUP(H183,'G-1 All Habitats'!$Z$2:$AA$9,2,FALSE))))),"")</f>
        <v/>
      </c>
      <c r="J183" s="106"/>
      <c r="K183" s="301" t="str">
        <f>IF(J183="","",IF(VLOOKUP(J183,'G-3 Multipliers'!$L$3:$N$6,2,FALSE)=0,"Spatial Data Missing",VLOOKUP(J183,'G-3 Multipliers'!$L$3:$N$6,2,FALSE)))</f>
        <v/>
      </c>
      <c r="L183" s="305" t="str">
        <f>IF(J183="","",IF(VLOOKUP(J183,'G-3 Multipliers'!$L$3:$N$6,3,FALSE)=0,"Spatial Data Missing",VLOOKUP(J183,'G-3 Multipliers'!$L$3:$N$6,3,FALSE)))</f>
        <v/>
      </c>
      <c r="M183" s="138"/>
      <c r="N183" s="282" t="str">
        <f>IF(M183="","",IF(VLOOKUP(M183,'G-3 Multipliers'!$S$3:$T$10,2,FALSE)=0,"Spatial Data Missing ⚠",VLOOKUP(M183,'G-3 Multipliers'!$S$3:$T$10,2,FALSE)))</f>
        <v/>
      </c>
      <c r="O183" s="281" t="str">
        <f>IF(OR(D183="",H183=""),"",(INDEX('G-6 Hedgerow Data'!$E$3:$I$15,MATCH(D183,'G-6 Hedgerow Data'!$B$3:$B$15,0),MATCH(H183,'G-6 Hedgerow Data'!$E$2:$I$2,0))))</f>
        <v/>
      </c>
      <c r="P183" s="137"/>
      <c r="Q183" s="137"/>
      <c r="R183" s="289" t="str">
        <f t="shared" si="15"/>
        <v/>
      </c>
      <c r="S183" s="302" t="str">
        <f t="shared" si="16"/>
        <v/>
      </c>
      <c r="T183" s="303" t="str">
        <f t="shared" si="14"/>
        <v/>
      </c>
      <c r="U183" s="317" t="str">
        <f>IF(D183="","",VLOOKUP(D183,'G-6 Hedgerow Data'!$B$3:$AG$15,31,FALSE))</f>
        <v/>
      </c>
      <c r="V183" s="301" t="str">
        <f t="shared" si="17"/>
        <v/>
      </c>
      <c r="W183" s="289" t="str">
        <f t="shared" si="18"/>
        <v/>
      </c>
      <c r="X183" s="305" t="str">
        <f>IF(F183="","",VLOOKUP(U183,'G-3 Multipliers'!$P$3:$Q$6,2,FALSE))</f>
        <v/>
      </c>
      <c r="Y183" s="309" t="str">
        <f t="shared" si="19"/>
        <v/>
      </c>
      <c r="Z183" s="309" t="str">
        <f t="shared" si="20"/>
        <v/>
      </c>
      <c r="AA183" s="105"/>
      <c r="AB183" s="968"/>
      <c r="AC183" s="142"/>
      <c r="AD183" s="142"/>
      <c r="AE183" s="964"/>
      <c r="AH183" s="30" t="str">
        <f>IFERROR(INDEX('G-6 Hedgerow Data'!$BJ$3:$BJ$15,MATCH(D183,'G-6 Hedgerow Data'!$B$3:$B$15,0)),"")</f>
        <v/>
      </c>
    </row>
    <row r="184" spans="2:34" ht="13.8" x14ac:dyDescent="0.25">
      <c r="B184" s="101">
        <v>173</v>
      </c>
      <c r="C184" s="175"/>
      <c r="D184" s="58"/>
      <c r="E184" s="142"/>
      <c r="F184" s="281" t="str">
        <f>IF(D184="","",VLOOKUP(D184,'G-6 Hedgerow Data'!$B$2:$AG$15,2,FALSE))</f>
        <v/>
      </c>
      <c r="G184" s="305" t="str">
        <f>IF(D184="","",VLOOKUP(D184,'G-6 Hedgerow Data'!$B$2:$AG$15,3,FALSE))</f>
        <v/>
      </c>
      <c r="H184" s="53"/>
      <c r="I184" s="282" t="str">
        <f>IFERROR(IF(H184="","",IF(AND(D184="Non-native and ornamental hedgerow", H184&lt;&gt;"Poor"),"Not possible ▲", (IF(AND(F184="V.Low",OR(H184="Good",H184="Moderate")),"Error ▲",VLOOKUP(H184,'G-1 All Habitats'!$Z$2:$AA$9,2,FALSE))))),"")</f>
        <v/>
      </c>
      <c r="J184" s="106"/>
      <c r="K184" s="301" t="str">
        <f>IF(J184="","",IF(VLOOKUP(J184,'G-3 Multipliers'!$L$3:$N$6,2,FALSE)=0,"Spatial Data Missing",VLOOKUP(J184,'G-3 Multipliers'!$L$3:$N$6,2,FALSE)))</f>
        <v/>
      </c>
      <c r="L184" s="305" t="str">
        <f>IF(J184="","",IF(VLOOKUP(J184,'G-3 Multipliers'!$L$3:$N$6,3,FALSE)=0,"Spatial Data Missing",VLOOKUP(J184,'G-3 Multipliers'!$L$3:$N$6,3,FALSE)))</f>
        <v/>
      </c>
      <c r="M184" s="138"/>
      <c r="N184" s="282" t="str">
        <f>IF(M184="","",IF(VLOOKUP(M184,'G-3 Multipliers'!$S$3:$T$10,2,FALSE)=0,"Spatial Data Missing ⚠",VLOOKUP(M184,'G-3 Multipliers'!$S$3:$T$10,2,FALSE)))</f>
        <v/>
      </c>
      <c r="O184" s="281" t="str">
        <f>IF(OR(D184="",H184=""),"",(INDEX('G-6 Hedgerow Data'!$E$3:$I$15,MATCH(D184,'G-6 Hedgerow Data'!$B$3:$B$15,0),MATCH(H184,'G-6 Hedgerow Data'!$E$2:$I$2,0))))</f>
        <v/>
      </c>
      <c r="P184" s="137"/>
      <c r="Q184" s="137"/>
      <c r="R184" s="289" t="str">
        <f t="shared" si="15"/>
        <v/>
      </c>
      <c r="S184" s="302" t="str">
        <f t="shared" si="16"/>
        <v/>
      </c>
      <c r="T184" s="303" t="str">
        <f t="shared" si="14"/>
        <v/>
      </c>
      <c r="U184" s="317" t="str">
        <f>IF(D184="","",VLOOKUP(D184,'G-6 Hedgerow Data'!$B$3:$AG$15,31,FALSE))</f>
        <v/>
      </c>
      <c r="V184" s="301" t="str">
        <f t="shared" si="17"/>
        <v/>
      </c>
      <c r="W184" s="289" t="str">
        <f t="shared" si="18"/>
        <v/>
      </c>
      <c r="X184" s="305" t="str">
        <f>IF(F184="","",VLOOKUP(U184,'G-3 Multipliers'!$P$3:$Q$6,2,FALSE))</f>
        <v/>
      </c>
      <c r="Y184" s="309" t="str">
        <f t="shared" si="19"/>
        <v/>
      </c>
      <c r="Z184" s="309" t="str">
        <f t="shared" si="20"/>
        <v/>
      </c>
      <c r="AA184" s="105"/>
      <c r="AB184" s="968"/>
      <c r="AC184" s="142"/>
      <c r="AD184" s="142"/>
      <c r="AE184" s="964"/>
      <c r="AH184" s="30" t="str">
        <f>IFERROR(INDEX('G-6 Hedgerow Data'!$BJ$3:$BJ$15,MATCH(D184,'G-6 Hedgerow Data'!$B$3:$B$15,0)),"")</f>
        <v/>
      </c>
    </row>
    <row r="185" spans="2:34" ht="13.8" x14ac:dyDescent="0.25">
      <c r="B185" s="101">
        <v>174</v>
      </c>
      <c r="C185" s="175"/>
      <c r="D185" s="58"/>
      <c r="E185" s="142"/>
      <c r="F185" s="281" t="str">
        <f>IF(D185="","",VLOOKUP(D185,'G-6 Hedgerow Data'!$B$2:$AG$15,2,FALSE))</f>
        <v/>
      </c>
      <c r="G185" s="305" t="str">
        <f>IF(D185="","",VLOOKUP(D185,'G-6 Hedgerow Data'!$B$2:$AG$15,3,FALSE))</f>
        <v/>
      </c>
      <c r="H185" s="53"/>
      <c r="I185" s="282" t="str">
        <f>IFERROR(IF(H185="","",IF(AND(D185="Non-native and ornamental hedgerow", H185&lt;&gt;"Poor"),"Not possible ▲", (IF(AND(F185="V.Low",OR(H185="Good",H185="Moderate")),"Error ▲",VLOOKUP(H185,'G-1 All Habitats'!$Z$2:$AA$9,2,FALSE))))),"")</f>
        <v/>
      </c>
      <c r="J185" s="106"/>
      <c r="K185" s="301" t="str">
        <f>IF(J185="","",IF(VLOOKUP(J185,'G-3 Multipliers'!$L$3:$N$6,2,FALSE)=0,"Spatial Data Missing",VLOOKUP(J185,'G-3 Multipliers'!$L$3:$N$6,2,FALSE)))</f>
        <v/>
      </c>
      <c r="L185" s="305" t="str">
        <f>IF(J185="","",IF(VLOOKUP(J185,'G-3 Multipliers'!$L$3:$N$6,3,FALSE)=0,"Spatial Data Missing",VLOOKUP(J185,'G-3 Multipliers'!$L$3:$N$6,3,FALSE)))</f>
        <v/>
      </c>
      <c r="M185" s="138"/>
      <c r="N185" s="282" t="str">
        <f>IF(M185="","",IF(VLOOKUP(M185,'G-3 Multipliers'!$S$3:$T$10,2,FALSE)=0,"Spatial Data Missing ⚠",VLOOKUP(M185,'G-3 Multipliers'!$S$3:$T$10,2,FALSE)))</f>
        <v/>
      </c>
      <c r="O185" s="281" t="str">
        <f>IF(OR(D185="",H185=""),"",(INDEX('G-6 Hedgerow Data'!$E$3:$I$15,MATCH(D185,'G-6 Hedgerow Data'!$B$3:$B$15,0),MATCH(H185,'G-6 Hedgerow Data'!$E$2:$I$2,0))))</f>
        <v/>
      </c>
      <c r="P185" s="137"/>
      <c r="Q185" s="137"/>
      <c r="R185" s="289" t="str">
        <f t="shared" si="15"/>
        <v/>
      </c>
      <c r="S185" s="302" t="str">
        <f t="shared" si="16"/>
        <v/>
      </c>
      <c r="T185" s="303" t="str">
        <f t="shared" si="14"/>
        <v/>
      </c>
      <c r="U185" s="317" t="str">
        <f>IF(D185="","",VLOOKUP(D185,'G-6 Hedgerow Data'!$B$3:$AG$15,31,FALSE))</f>
        <v/>
      </c>
      <c r="V185" s="301" t="str">
        <f t="shared" si="17"/>
        <v/>
      </c>
      <c r="W185" s="289" t="str">
        <f t="shared" si="18"/>
        <v/>
      </c>
      <c r="X185" s="305" t="str">
        <f>IF(F185="","",VLOOKUP(U185,'G-3 Multipliers'!$P$3:$Q$6,2,FALSE))</f>
        <v/>
      </c>
      <c r="Y185" s="309" t="str">
        <f t="shared" si="19"/>
        <v/>
      </c>
      <c r="Z185" s="309" t="str">
        <f t="shared" si="20"/>
        <v/>
      </c>
      <c r="AA185" s="105"/>
      <c r="AB185" s="968"/>
      <c r="AC185" s="142"/>
      <c r="AD185" s="142"/>
      <c r="AE185" s="964"/>
      <c r="AH185" s="30" t="str">
        <f>IFERROR(INDEX('G-6 Hedgerow Data'!$BJ$3:$BJ$15,MATCH(D185,'G-6 Hedgerow Data'!$B$3:$B$15,0)),"")</f>
        <v/>
      </c>
    </row>
    <row r="186" spans="2:34" ht="13.8" x14ac:dyDescent="0.25">
      <c r="B186" s="101">
        <v>175</v>
      </c>
      <c r="C186" s="175"/>
      <c r="D186" s="58"/>
      <c r="E186" s="142"/>
      <c r="F186" s="281" t="str">
        <f>IF(D186="","",VLOOKUP(D186,'G-6 Hedgerow Data'!$B$2:$AG$15,2,FALSE))</f>
        <v/>
      </c>
      <c r="G186" s="305" t="str">
        <f>IF(D186="","",VLOOKUP(D186,'G-6 Hedgerow Data'!$B$2:$AG$15,3,FALSE))</f>
        <v/>
      </c>
      <c r="H186" s="53"/>
      <c r="I186" s="282" t="str">
        <f>IFERROR(IF(H186="","",IF(AND(D186="Non-native and ornamental hedgerow", H186&lt;&gt;"Poor"),"Not possible ▲", (IF(AND(F186="V.Low",OR(H186="Good",H186="Moderate")),"Error ▲",VLOOKUP(H186,'G-1 All Habitats'!$Z$2:$AA$9,2,FALSE))))),"")</f>
        <v/>
      </c>
      <c r="J186" s="106"/>
      <c r="K186" s="301" t="str">
        <f>IF(J186="","",IF(VLOOKUP(J186,'G-3 Multipliers'!$L$3:$N$6,2,FALSE)=0,"Spatial Data Missing",VLOOKUP(J186,'G-3 Multipliers'!$L$3:$N$6,2,FALSE)))</f>
        <v/>
      </c>
      <c r="L186" s="305" t="str">
        <f>IF(J186="","",IF(VLOOKUP(J186,'G-3 Multipliers'!$L$3:$N$6,3,FALSE)=0,"Spatial Data Missing",VLOOKUP(J186,'G-3 Multipliers'!$L$3:$N$6,3,FALSE)))</f>
        <v/>
      </c>
      <c r="M186" s="138"/>
      <c r="N186" s="282" t="str">
        <f>IF(M186="","",IF(VLOOKUP(M186,'G-3 Multipliers'!$S$3:$T$10,2,FALSE)=0,"Spatial Data Missing ⚠",VLOOKUP(M186,'G-3 Multipliers'!$S$3:$T$10,2,FALSE)))</f>
        <v/>
      </c>
      <c r="O186" s="281" t="str">
        <f>IF(OR(D186="",H186=""),"",(INDEX('G-6 Hedgerow Data'!$E$3:$I$15,MATCH(D186,'G-6 Hedgerow Data'!$B$3:$B$15,0),MATCH(H186,'G-6 Hedgerow Data'!$E$2:$I$2,0))))</f>
        <v/>
      </c>
      <c r="P186" s="137"/>
      <c r="Q186" s="137"/>
      <c r="R186" s="289" t="str">
        <f t="shared" si="15"/>
        <v/>
      </c>
      <c r="S186" s="302" t="str">
        <f t="shared" si="16"/>
        <v/>
      </c>
      <c r="T186" s="303" t="str">
        <f t="shared" si="14"/>
        <v/>
      </c>
      <c r="U186" s="317" t="str">
        <f>IF(D186="","",VLOOKUP(D186,'G-6 Hedgerow Data'!$B$3:$AG$15,31,FALSE))</f>
        <v/>
      </c>
      <c r="V186" s="301" t="str">
        <f t="shared" si="17"/>
        <v/>
      </c>
      <c r="W186" s="289" t="str">
        <f t="shared" si="18"/>
        <v/>
      </c>
      <c r="X186" s="305" t="str">
        <f>IF(F186="","",VLOOKUP(U186,'G-3 Multipliers'!$P$3:$Q$6,2,FALSE))</f>
        <v/>
      </c>
      <c r="Y186" s="309" t="str">
        <f t="shared" si="19"/>
        <v/>
      </c>
      <c r="Z186" s="309" t="str">
        <f t="shared" si="20"/>
        <v/>
      </c>
      <c r="AA186" s="105"/>
      <c r="AB186" s="968"/>
      <c r="AC186" s="142"/>
      <c r="AD186" s="142"/>
      <c r="AE186" s="964"/>
      <c r="AH186" s="30" t="str">
        <f>IFERROR(INDEX('G-6 Hedgerow Data'!$BJ$3:$BJ$15,MATCH(D186,'G-6 Hedgerow Data'!$B$3:$B$15,0)),"")</f>
        <v/>
      </c>
    </row>
    <row r="187" spans="2:34" ht="13.8" x14ac:dyDescent="0.25">
      <c r="B187" s="101">
        <v>176</v>
      </c>
      <c r="C187" s="175"/>
      <c r="D187" s="58"/>
      <c r="E187" s="142"/>
      <c r="F187" s="281" t="str">
        <f>IF(D187="","",VLOOKUP(D187,'G-6 Hedgerow Data'!$B$2:$AG$15,2,FALSE))</f>
        <v/>
      </c>
      <c r="G187" s="305" t="str">
        <f>IF(D187="","",VLOOKUP(D187,'G-6 Hedgerow Data'!$B$2:$AG$15,3,FALSE))</f>
        <v/>
      </c>
      <c r="H187" s="53"/>
      <c r="I187" s="282" t="str">
        <f>IFERROR(IF(H187="","",IF(AND(D187="Non-native and ornamental hedgerow", H187&lt;&gt;"Poor"),"Not possible ▲", (IF(AND(F187="V.Low",OR(H187="Good",H187="Moderate")),"Error ▲",VLOOKUP(H187,'G-1 All Habitats'!$Z$2:$AA$9,2,FALSE))))),"")</f>
        <v/>
      </c>
      <c r="J187" s="106"/>
      <c r="K187" s="301" t="str">
        <f>IF(J187="","",IF(VLOOKUP(J187,'G-3 Multipliers'!$L$3:$N$6,2,FALSE)=0,"Spatial Data Missing",VLOOKUP(J187,'G-3 Multipliers'!$L$3:$N$6,2,FALSE)))</f>
        <v/>
      </c>
      <c r="L187" s="305" t="str">
        <f>IF(J187="","",IF(VLOOKUP(J187,'G-3 Multipliers'!$L$3:$N$6,3,FALSE)=0,"Spatial Data Missing",VLOOKUP(J187,'G-3 Multipliers'!$L$3:$N$6,3,FALSE)))</f>
        <v/>
      </c>
      <c r="M187" s="138"/>
      <c r="N187" s="282" t="str">
        <f>IF(M187="","",IF(VLOOKUP(M187,'G-3 Multipliers'!$S$3:$T$10,2,FALSE)=0,"Spatial Data Missing ⚠",VLOOKUP(M187,'G-3 Multipliers'!$S$3:$T$10,2,FALSE)))</f>
        <v/>
      </c>
      <c r="O187" s="281" t="str">
        <f>IF(OR(D187="",H187=""),"",(INDEX('G-6 Hedgerow Data'!$E$3:$I$15,MATCH(D187,'G-6 Hedgerow Data'!$B$3:$B$15,0),MATCH(H187,'G-6 Hedgerow Data'!$E$2:$I$2,0))))</f>
        <v/>
      </c>
      <c r="P187" s="137"/>
      <c r="Q187" s="137"/>
      <c r="R187" s="289" t="str">
        <f t="shared" si="15"/>
        <v/>
      </c>
      <c r="S187" s="302" t="str">
        <f t="shared" si="16"/>
        <v/>
      </c>
      <c r="T187" s="303" t="str">
        <f t="shared" si="14"/>
        <v/>
      </c>
      <c r="U187" s="317" t="str">
        <f>IF(D187="","",VLOOKUP(D187,'G-6 Hedgerow Data'!$B$3:$AG$15,31,FALSE))</f>
        <v/>
      </c>
      <c r="V187" s="301" t="str">
        <f t="shared" si="17"/>
        <v/>
      </c>
      <c r="W187" s="289" t="str">
        <f t="shared" si="18"/>
        <v/>
      </c>
      <c r="X187" s="305" t="str">
        <f>IF(F187="","",VLOOKUP(U187,'G-3 Multipliers'!$P$3:$Q$6,2,FALSE))</f>
        <v/>
      </c>
      <c r="Y187" s="309" t="str">
        <f t="shared" si="19"/>
        <v/>
      </c>
      <c r="Z187" s="309" t="str">
        <f t="shared" si="20"/>
        <v/>
      </c>
      <c r="AA187" s="105"/>
      <c r="AB187" s="968"/>
      <c r="AC187" s="142"/>
      <c r="AD187" s="142"/>
      <c r="AE187" s="964"/>
      <c r="AH187" s="30" t="str">
        <f>IFERROR(INDEX('G-6 Hedgerow Data'!$BJ$3:$BJ$15,MATCH(D187,'G-6 Hedgerow Data'!$B$3:$B$15,0)),"")</f>
        <v/>
      </c>
    </row>
    <row r="188" spans="2:34" ht="13.8" x14ac:dyDescent="0.25">
      <c r="B188" s="101">
        <v>177</v>
      </c>
      <c r="C188" s="175"/>
      <c r="D188" s="58"/>
      <c r="E188" s="142"/>
      <c r="F188" s="281" t="str">
        <f>IF(D188="","",VLOOKUP(D188,'G-6 Hedgerow Data'!$B$2:$AG$15,2,FALSE))</f>
        <v/>
      </c>
      <c r="G188" s="305" t="str">
        <f>IF(D188="","",VLOOKUP(D188,'G-6 Hedgerow Data'!$B$2:$AG$15,3,FALSE))</f>
        <v/>
      </c>
      <c r="H188" s="53"/>
      <c r="I188" s="282" t="str">
        <f>IFERROR(IF(H188="","",IF(AND(D188="Non-native and ornamental hedgerow", H188&lt;&gt;"Poor"),"Not possible ▲", (IF(AND(F188="V.Low",OR(H188="Good",H188="Moderate")),"Error ▲",VLOOKUP(H188,'G-1 All Habitats'!$Z$2:$AA$9,2,FALSE))))),"")</f>
        <v/>
      </c>
      <c r="J188" s="106"/>
      <c r="K188" s="301" t="str">
        <f>IF(J188="","",IF(VLOOKUP(J188,'G-3 Multipliers'!$L$3:$N$6,2,FALSE)=0,"Spatial Data Missing",VLOOKUP(J188,'G-3 Multipliers'!$L$3:$N$6,2,FALSE)))</f>
        <v/>
      </c>
      <c r="L188" s="305" t="str">
        <f>IF(J188="","",IF(VLOOKUP(J188,'G-3 Multipliers'!$L$3:$N$6,3,FALSE)=0,"Spatial Data Missing",VLOOKUP(J188,'G-3 Multipliers'!$L$3:$N$6,3,FALSE)))</f>
        <v/>
      </c>
      <c r="M188" s="138"/>
      <c r="N188" s="282" t="str">
        <f>IF(M188="","",IF(VLOOKUP(M188,'G-3 Multipliers'!$S$3:$T$10,2,FALSE)=0,"Spatial Data Missing ⚠",VLOOKUP(M188,'G-3 Multipliers'!$S$3:$T$10,2,FALSE)))</f>
        <v/>
      </c>
      <c r="O188" s="281" t="str">
        <f>IF(OR(D188="",H188=""),"",(INDEX('G-6 Hedgerow Data'!$E$3:$I$15,MATCH(D188,'G-6 Hedgerow Data'!$B$3:$B$15,0),MATCH(H188,'G-6 Hedgerow Data'!$E$2:$I$2,0))))</f>
        <v/>
      </c>
      <c r="P188" s="137"/>
      <c r="Q188" s="137"/>
      <c r="R188" s="289" t="str">
        <f t="shared" si="15"/>
        <v/>
      </c>
      <c r="S188" s="302" t="str">
        <f t="shared" si="16"/>
        <v/>
      </c>
      <c r="T188" s="303" t="str">
        <f t="shared" si="14"/>
        <v/>
      </c>
      <c r="U188" s="317" t="str">
        <f>IF(D188="","",VLOOKUP(D188,'G-6 Hedgerow Data'!$B$3:$AG$15,31,FALSE))</f>
        <v/>
      </c>
      <c r="V188" s="301" t="str">
        <f t="shared" si="17"/>
        <v/>
      </c>
      <c r="W188" s="289" t="str">
        <f t="shared" si="18"/>
        <v/>
      </c>
      <c r="X188" s="305" t="str">
        <f>IF(F188="","",VLOOKUP(U188,'G-3 Multipliers'!$P$3:$Q$6,2,FALSE))</f>
        <v/>
      </c>
      <c r="Y188" s="309" t="str">
        <f t="shared" si="19"/>
        <v/>
      </c>
      <c r="Z188" s="309" t="str">
        <f t="shared" si="20"/>
        <v/>
      </c>
      <c r="AA188" s="105"/>
      <c r="AB188" s="968"/>
      <c r="AC188" s="142"/>
      <c r="AD188" s="142"/>
      <c r="AE188" s="964"/>
      <c r="AH188" s="30" t="str">
        <f>IFERROR(INDEX('G-6 Hedgerow Data'!$BJ$3:$BJ$15,MATCH(D188,'G-6 Hedgerow Data'!$B$3:$B$15,0)),"")</f>
        <v/>
      </c>
    </row>
    <row r="189" spans="2:34" ht="13.8" x14ac:dyDescent="0.25">
      <c r="B189" s="101">
        <v>178</v>
      </c>
      <c r="C189" s="175"/>
      <c r="D189" s="58"/>
      <c r="E189" s="142"/>
      <c r="F189" s="281" t="str">
        <f>IF(D189="","",VLOOKUP(D189,'G-6 Hedgerow Data'!$B$2:$AG$15,2,FALSE))</f>
        <v/>
      </c>
      <c r="G189" s="305" t="str">
        <f>IF(D189="","",VLOOKUP(D189,'G-6 Hedgerow Data'!$B$2:$AG$15,3,FALSE))</f>
        <v/>
      </c>
      <c r="H189" s="53"/>
      <c r="I189" s="282" t="str">
        <f>IFERROR(IF(H189="","",IF(AND(D189="Non-native and ornamental hedgerow", H189&lt;&gt;"Poor"),"Not possible ▲", (IF(AND(F189="V.Low",OR(H189="Good",H189="Moderate")),"Error ▲",VLOOKUP(H189,'G-1 All Habitats'!$Z$2:$AA$9,2,FALSE))))),"")</f>
        <v/>
      </c>
      <c r="J189" s="106"/>
      <c r="K189" s="301" t="str">
        <f>IF(J189="","",IF(VLOOKUP(J189,'G-3 Multipliers'!$L$3:$N$6,2,FALSE)=0,"Spatial Data Missing",VLOOKUP(J189,'G-3 Multipliers'!$L$3:$N$6,2,FALSE)))</f>
        <v/>
      </c>
      <c r="L189" s="305" t="str">
        <f>IF(J189="","",IF(VLOOKUP(J189,'G-3 Multipliers'!$L$3:$N$6,3,FALSE)=0,"Spatial Data Missing",VLOOKUP(J189,'G-3 Multipliers'!$L$3:$N$6,3,FALSE)))</f>
        <v/>
      </c>
      <c r="M189" s="138"/>
      <c r="N189" s="282" t="str">
        <f>IF(M189="","",IF(VLOOKUP(M189,'G-3 Multipliers'!$S$3:$T$10,2,FALSE)=0,"Spatial Data Missing ⚠",VLOOKUP(M189,'G-3 Multipliers'!$S$3:$T$10,2,FALSE)))</f>
        <v/>
      </c>
      <c r="O189" s="281" t="str">
        <f>IF(OR(D189="",H189=""),"",(INDEX('G-6 Hedgerow Data'!$E$3:$I$15,MATCH(D189,'G-6 Hedgerow Data'!$B$3:$B$15,0),MATCH(H189,'G-6 Hedgerow Data'!$E$2:$I$2,0))))</f>
        <v/>
      </c>
      <c r="P189" s="137"/>
      <c r="Q189" s="137"/>
      <c r="R189" s="289" t="str">
        <f t="shared" si="15"/>
        <v/>
      </c>
      <c r="S189" s="302" t="str">
        <f t="shared" si="16"/>
        <v/>
      </c>
      <c r="T189" s="303" t="str">
        <f t="shared" si="14"/>
        <v/>
      </c>
      <c r="U189" s="317" t="str">
        <f>IF(D189="","",VLOOKUP(D189,'G-6 Hedgerow Data'!$B$3:$AG$15,31,FALSE))</f>
        <v/>
      </c>
      <c r="V189" s="301" t="str">
        <f t="shared" si="17"/>
        <v/>
      </c>
      <c r="W189" s="289" t="str">
        <f t="shared" si="18"/>
        <v/>
      </c>
      <c r="X189" s="305" t="str">
        <f>IF(F189="","",VLOOKUP(U189,'G-3 Multipliers'!$P$3:$Q$6,2,FALSE))</f>
        <v/>
      </c>
      <c r="Y189" s="309" t="str">
        <f t="shared" si="19"/>
        <v/>
      </c>
      <c r="Z189" s="309" t="str">
        <f t="shared" si="20"/>
        <v/>
      </c>
      <c r="AA189" s="105"/>
      <c r="AB189" s="968"/>
      <c r="AC189" s="142"/>
      <c r="AD189" s="142"/>
      <c r="AE189" s="964"/>
      <c r="AH189" s="30" t="str">
        <f>IFERROR(INDEX('G-6 Hedgerow Data'!$BJ$3:$BJ$15,MATCH(D189,'G-6 Hedgerow Data'!$B$3:$B$15,0)),"")</f>
        <v/>
      </c>
    </row>
    <row r="190" spans="2:34" ht="13.8" x14ac:dyDescent="0.25">
      <c r="B190" s="101">
        <v>179</v>
      </c>
      <c r="C190" s="175"/>
      <c r="D190" s="58"/>
      <c r="E190" s="142"/>
      <c r="F190" s="281" t="str">
        <f>IF(D190="","",VLOOKUP(D190,'G-6 Hedgerow Data'!$B$2:$AG$15,2,FALSE))</f>
        <v/>
      </c>
      <c r="G190" s="305" t="str">
        <f>IF(D190="","",VLOOKUP(D190,'G-6 Hedgerow Data'!$B$2:$AG$15,3,FALSE))</f>
        <v/>
      </c>
      <c r="H190" s="53"/>
      <c r="I190" s="282" t="str">
        <f>IFERROR(IF(H190="","",IF(AND(D190="Non-native and ornamental hedgerow", H190&lt;&gt;"Poor"),"Not possible ▲", (IF(AND(F190="V.Low",OR(H190="Good",H190="Moderate")),"Error ▲",VLOOKUP(H190,'G-1 All Habitats'!$Z$2:$AA$9,2,FALSE))))),"")</f>
        <v/>
      </c>
      <c r="J190" s="106"/>
      <c r="K190" s="301" t="str">
        <f>IF(J190="","",IF(VLOOKUP(J190,'G-3 Multipliers'!$L$3:$N$6,2,FALSE)=0,"Spatial Data Missing",VLOOKUP(J190,'G-3 Multipliers'!$L$3:$N$6,2,FALSE)))</f>
        <v/>
      </c>
      <c r="L190" s="305" t="str">
        <f>IF(J190="","",IF(VLOOKUP(J190,'G-3 Multipliers'!$L$3:$N$6,3,FALSE)=0,"Spatial Data Missing",VLOOKUP(J190,'G-3 Multipliers'!$L$3:$N$6,3,FALSE)))</f>
        <v/>
      </c>
      <c r="M190" s="138"/>
      <c r="N190" s="282" t="str">
        <f>IF(M190="","",IF(VLOOKUP(M190,'G-3 Multipliers'!$S$3:$T$10,2,FALSE)=0,"Spatial Data Missing ⚠",VLOOKUP(M190,'G-3 Multipliers'!$S$3:$T$10,2,FALSE)))</f>
        <v/>
      </c>
      <c r="O190" s="281" t="str">
        <f>IF(OR(D190="",H190=""),"",(INDEX('G-6 Hedgerow Data'!$E$3:$I$15,MATCH(D190,'G-6 Hedgerow Data'!$B$3:$B$15,0),MATCH(H190,'G-6 Hedgerow Data'!$E$2:$I$2,0))))</f>
        <v/>
      </c>
      <c r="P190" s="137"/>
      <c r="Q190" s="137"/>
      <c r="R190" s="289" t="str">
        <f t="shared" si="15"/>
        <v/>
      </c>
      <c r="S190" s="302" t="str">
        <f t="shared" si="16"/>
        <v/>
      </c>
      <c r="T190" s="303" t="str">
        <f t="shared" si="14"/>
        <v/>
      </c>
      <c r="U190" s="317" t="str">
        <f>IF(D190="","",VLOOKUP(D190,'G-6 Hedgerow Data'!$B$3:$AG$15,31,FALSE))</f>
        <v/>
      </c>
      <c r="V190" s="301" t="str">
        <f t="shared" si="17"/>
        <v/>
      </c>
      <c r="W190" s="289" t="str">
        <f t="shared" si="18"/>
        <v/>
      </c>
      <c r="X190" s="305" t="str">
        <f>IF(F190="","",VLOOKUP(U190,'G-3 Multipliers'!$P$3:$Q$6,2,FALSE))</f>
        <v/>
      </c>
      <c r="Y190" s="309" t="str">
        <f t="shared" si="19"/>
        <v/>
      </c>
      <c r="Z190" s="309" t="str">
        <f t="shared" si="20"/>
        <v/>
      </c>
      <c r="AA190" s="105"/>
      <c r="AB190" s="968"/>
      <c r="AC190" s="142"/>
      <c r="AD190" s="142"/>
      <c r="AE190" s="964"/>
      <c r="AH190" s="30" t="str">
        <f>IFERROR(INDEX('G-6 Hedgerow Data'!$BJ$3:$BJ$15,MATCH(D190,'G-6 Hedgerow Data'!$B$3:$B$15,0)),"")</f>
        <v/>
      </c>
    </row>
    <row r="191" spans="2:34" ht="13.8" x14ac:dyDescent="0.25">
      <c r="B191" s="101">
        <v>180</v>
      </c>
      <c r="C191" s="175"/>
      <c r="D191" s="58"/>
      <c r="E191" s="142"/>
      <c r="F191" s="281" t="str">
        <f>IF(D191="","",VLOOKUP(D191,'G-6 Hedgerow Data'!$B$2:$AG$15,2,FALSE))</f>
        <v/>
      </c>
      <c r="G191" s="305" t="str">
        <f>IF(D191="","",VLOOKUP(D191,'G-6 Hedgerow Data'!$B$2:$AG$15,3,FALSE))</f>
        <v/>
      </c>
      <c r="H191" s="53"/>
      <c r="I191" s="282" t="str">
        <f>IFERROR(IF(H191="","",IF(AND(D191="Non-native and ornamental hedgerow", H191&lt;&gt;"Poor"),"Not possible ▲", (IF(AND(F191="V.Low",OR(H191="Good",H191="Moderate")),"Error ▲",VLOOKUP(H191,'G-1 All Habitats'!$Z$2:$AA$9,2,FALSE))))),"")</f>
        <v/>
      </c>
      <c r="J191" s="106"/>
      <c r="K191" s="301" t="str">
        <f>IF(J191="","",IF(VLOOKUP(J191,'G-3 Multipliers'!$L$3:$N$6,2,FALSE)=0,"Spatial Data Missing",VLOOKUP(J191,'G-3 Multipliers'!$L$3:$N$6,2,FALSE)))</f>
        <v/>
      </c>
      <c r="L191" s="305" t="str">
        <f>IF(J191="","",IF(VLOOKUP(J191,'G-3 Multipliers'!$L$3:$N$6,3,FALSE)=0,"Spatial Data Missing",VLOOKUP(J191,'G-3 Multipliers'!$L$3:$N$6,3,FALSE)))</f>
        <v/>
      </c>
      <c r="M191" s="138"/>
      <c r="N191" s="282" t="str">
        <f>IF(M191="","",IF(VLOOKUP(M191,'G-3 Multipliers'!$S$3:$T$10,2,FALSE)=0,"Spatial Data Missing ⚠",VLOOKUP(M191,'G-3 Multipliers'!$S$3:$T$10,2,FALSE)))</f>
        <v/>
      </c>
      <c r="O191" s="281" t="str">
        <f>IF(OR(D191="",H191=""),"",(INDEX('G-6 Hedgerow Data'!$E$3:$I$15,MATCH(D191,'G-6 Hedgerow Data'!$B$3:$B$15,0),MATCH(H191,'G-6 Hedgerow Data'!$E$2:$I$2,0))))</f>
        <v/>
      </c>
      <c r="P191" s="137"/>
      <c r="Q191" s="137"/>
      <c r="R191" s="289" t="str">
        <f t="shared" si="15"/>
        <v/>
      </c>
      <c r="S191" s="302" t="str">
        <f t="shared" si="16"/>
        <v/>
      </c>
      <c r="T191" s="303" t="str">
        <f t="shared" si="14"/>
        <v/>
      </c>
      <c r="U191" s="317" t="str">
        <f>IF(D191="","",VLOOKUP(D191,'G-6 Hedgerow Data'!$B$3:$AG$15,31,FALSE))</f>
        <v/>
      </c>
      <c r="V191" s="301" t="str">
        <f t="shared" si="17"/>
        <v/>
      </c>
      <c r="W191" s="289" t="str">
        <f t="shared" si="18"/>
        <v/>
      </c>
      <c r="X191" s="305" t="str">
        <f>IF(F191="","",VLOOKUP(U191,'G-3 Multipliers'!$P$3:$Q$6,2,FALSE))</f>
        <v/>
      </c>
      <c r="Y191" s="309" t="str">
        <f t="shared" si="19"/>
        <v/>
      </c>
      <c r="Z191" s="309" t="str">
        <f t="shared" si="20"/>
        <v/>
      </c>
      <c r="AA191" s="105"/>
      <c r="AB191" s="968"/>
      <c r="AC191" s="142"/>
      <c r="AD191" s="142"/>
      <c r="AE191" s="964"/>
      <c r="AH191" s="30" t="str">
        <f>IFERROR(INDEX('G-6 Hedgerow Data'!$BJ$3:$BJ$15,MATCH(D191,'G-6 Hedgerow Data'!$B$3:$B$15,0)),"")</f>
        <v/>
      </c>
    </row>
    <row r="192" spans="2:34" ht="13.8" x14ac:dyDescent="0.25">
      <c r="B192" s="101">
        <v>181</v>
      </c>
      <c r="C192" s="175"/>
      <c r="D192" s="58"/>
      <c r="E192" s="142"/>
      <c r="F192" s="281" t="str">
        <f>IF(D192="","",VLOOKUP(D192,'G-6 Hedgerow Data'!$B$2:$AG$15,2,FALSE))</f>
        <v/>
      </c>
      <c r="G192" s="305" t="str">
        <f>IF(D192="","",VLOOKUP(D192,'G-6 Hedgerow Data'!$B$2:$AG$15,3,FALSE))</f>
        <v/>
      </c>
      <c r="H192" s="53"/>
      <c r="I192" s="282" t="str">
        <f>IFERROR(IF(H192="","",IF(AND(D192="Non-native and ornamental hedgerow", H192&lt;&gt;"Poor"),"Not possible ▲", (IF(AND(F192="V.Low",OR(H192="Good",H192="Moderate")),"Error ▲",VLOOKUP(H192,'G-1 All Habitats'!$Z$2:$AA$9,2,FALSE))))),"")</f>
        <v/>
      </c>
      <c r="J192" s="106"/>
      <c r="K192" s="301" t="str">
        <f>IF(J192="","",IF(VLOOKUP(J192,'G-3 Multipliers'!$L$3:$N$6,2,FALSE)=0,"Spatial Data Missing",VLOOKUP(J192,'G-3 Multipliers'!$L$3:$N$6,2,FALSE)))</f>
        <v/>
      </c>
      <c r="L192" s="305" t="str">
        <f>IF(J192="","",IF(VLOOKUP(J192,'G-3 Multipliers'!$L$3:$N$6,3,FALSE)=0,"Spatial Data Missing",VLOOKUP(J192,'G-3 Multipliers'!$L$3:$N$6,3,FALSE)))</f>
        <v/>
      </c>
      <c r="M192" s="138"/>
      <c r="N192" s="282" t="str">
        <f>IF(M192="","",IF(VLOOKUP(M192,'G-3 Multipliers'!$S$3:$T$10,2,FALSE)=0,"Spatial Data Missing ⚠",VLOOKUP(M192,'G-3 Multipliers'!$S$3:$T$10,2,FALSE)))</f>
        <v/>
      </c>
      <c r="O192" s="281" t="str">
        <f>IF(OR(D192="",H192=""),"",(INDEX('G-6 Hedgerow Data'!$E$3:$I$15,MATCH(D192,'G-6 Hedgerow Data'!$B$3:$B$15,0),MATCH(H192,'G-6 Hedgerow Data'!$E$2:$I$2,0))))</f>
        <v/>
      </c>
      <c r="P192" s="137"/>
      <c r="Q192" s="137"/>
      <c r="R192" s="289" t="str">
        <f t="shared" si="15"/>
        <v/>
      </c>
      <c r="S192" s="302" t="str">
        <f t="shared" si="16"/>
        <v/>
      </c>
      <c r="T192" s="303" t="str">
        <f t="shared" si="14"/>
        <v/>
      </c>
      <c r="U192" s="317" t="str">
        <f>IF(D192="","",VLOOKUP(D192,'G-6 Hedgerow Data'!$B$3:$AG$15,31,FALSE))</f>
        <v/>
      </c>
      <c r="V192" s="301" t="str">
        <f t="shared" si="17"/>
        <v/>
      </c>
      <c r="W192" s="289" t="str">
        <f t="shared" si="18"/>
        <v/>
      </c>
      <c r="X192" s="305" t="str">
        <f>IF(F192="","",VLOOKUP(U192,'G-3 Multipliers'!$P$3:$Q$6,2,FALSE))</f>
        <v/>
      </c>
      <c r="Y192" s="309" t="str">
        <f t="shared" si="19"/>
        <v/>
      </c>
      <c r="Z192" s="309" t="str">
        <f t="shared" si="20"/>
        <v/>
      </c>
      <c r="AA192" s="105"/>
      <c r="AB192" s="968"/>
      <c r="AC192" s="142"/>
      <c r="AD192" s="142"/>
      <c r="AE192" s="964"/>
      <c r="AH192" s="30" t="str">
        <f>IFERROR(INDEX('G-6 Hedgerow Data'!$BJ$3:$BJ$15,MATCH(D192,'G-6 Hedgerow Data'!$B$3:$B$15,0)),"")</f>
        <v/>
      </c>
    </row>
    <row r="193" spans="2:34" ht="13.8" x14ac:dyDescent="0.25">
      <c r="B193" s="101">
        <v>182</v>
      </c>
      <c r="C193" s="175"/>
      <c r="D193" s="58"/>
      <c r="E193" s="142"/>
      <c r="F193" s="281" t="str">
        <f>IF(D193="","",VLOOKUP(D193,'G-6 Hedgerow Data'!$B$2:$AG$15,2,FALSE))</f>
        <v/>
      </c>
      <c r="G193" s="305" t="str">
        <f>IF(D193="","",VLOOKUP(D193,'G-6 Hedgerow Data'!$B$2:$AG$15,3,FALSE))</f>
        <v/>
      </c>
      <c r="H193" s="53"/>
      <c r="I193" s="282" t="str">
        <f>IFERROR(IF(H193="","",IF(AND(D193="Non-native and ornamental hedgerow", H193&lt;&gt;"Poor"),"Not possible ▲", (IF(AND(F193="V.Low",OR(H193="Good",H193="Moderate")),"Error ▲",VLOOKUP(H193,'G-1 All Habitats'!$Z$2:$AA$9,2,FALSE))))),"")</f>
        <v/>
      </c>
      <c r="J193" s="106"/>
      <c r="K193" s="301" t="str">
        <f>IF(J193="","",IF(VLOOKUP(J193,'G-3 Multipliers'!$L$3:$N$6,2,FALSE)=0,"Spatial Data Missing",VLOOKUP(J193,'G-3 Multipliers'!$L$3:$N$6,2,FALSE)))</f>
        <v/>
      </c>
      <c r="L193" s="305" t="str">
        <f>IF(J193="","",IF(VLOOKUP(J193,'G-3 Multipliers'!$L$3:$N$6,3,FALSE)=0,"Spatial Data Missing",VLOOKUP(J193,'G-3 Multipliers'!$L$3:$N$6,3,FALSE)))</f>
        <v/>
      </c>
      <c r="M193" s="138"/>
      <c r="N193" s="282" t="str">
        <f>IF(M193="","",IF(VLOOKUP(M193,'G-3 Multipliers'!$S$3:$T$10,2,FALSE)=0,"Spatial Data Missing ⚠",VLOOKUP(M193,'G-3 Multipliers'!$S$3:$T$10,2,FALSE)))</f>
        <v/>
      </c>
      <c r="O193" s="281" t="str">
        <f>IF(OR(D193="",H193=""),"",(INDEX('G-6 Hedgerow Data'!$E$3:$I$15,MATCH(D193,'G-6 Hedgerow Data'!$B$3:$B$15,0),MATCH(H193,'G-6 Hedgerow Data'!$E$2:$I$2,0))))</f>
        <v/>
      </c>
      <c r="P193" s="137"/>
      <c r="Q193" s="137"/>
      <c r="R193" s="289" t="str">
        <f t="shared" si="15"/>
        <v/>
      </c>
      <c r="S193" s="302" t="str">
        <f t="shared" si="16"/>
        <v/>
      </c>
      <c r="T193" s="303" t="str">
        <f t="shared" si="14"/>
        <v/>
      </c>
      <c r="U193" s="317" t="str">
        <f>IF(D193="","",VLOOKUP(D193,'G-6 Hedgerow Data'!$B$3:$AG$15,31,FALSE))</f>
        <v/>
      </c>
      <c r="V193" s="301" t="str">
        <f t="shared" si="17"/>
        <v/>
      </c>
      <c r="W193" s="289" t="str">
        <f t="shared" si="18"/>
        <v/>
      </c>
      <c r="X193" s="305" t="str">
        <f>IF(F193="","",VLOOKUP(U193,'G-3 Multipliers'!$P$3:$Q$6,2,FALSE))</f>
        <v/>
      </c>
      <c r="Y193" s="309" t="str">
        <f t="shared" si="19"/>
        <v/>
      </c>
      <c r="Z193" s="309" t="str">
        <f t="shared" si="20"/>
        <v/>
      </c>
      <c r="AA193" s="105"/>
      <c r="AB193" s="968"/>
      <c r="AC193" s="142"/>
      <c r="AD193" s="142"/>
      <c r="AE193" s="964"/>
      <c r="AH193" s="30" t="str">
        <f>IFERROR(INDEX('G-6 Hedgerow Data'!$BJ$3:$BJ$15,MATCH(D193,'G-6 Hedgerow Data'!$B$3:$B$15,0)),"")</f>
        <v/>
      </c>
    </row>
    <row r="194" spans="2:34" ht="13.8" x14ac:dyDescent="0.25">
      <c r="B194" s="101">
        <v>183</v>
      </c>
      <c r="C194" s="175"/>
      <c r="D194" s="58"/>
      <c r="E194" s="142"/>
      <c r="F194" s="281" t="str">
        <f>IF(D194="","",VLOOKUP(D194,'G-6 Hedgerow Data'!$B$2:$AG$15,2,FALSE))</f>
        <v/>
      </c>
      <c r="G194" s="305" t="str">
        <f>IF(D194="","",VLOOKUP(D194,'G-6 Hedgerow Data'!$B$2:$AG$15,3,FALSE))</f>
        <v/>
      </c>
      <c r="H194" s="53"/>
      <c r="I194" s="282" t="str">
        <f>IFERROR(IF(H194="","",IF(AND(D194="Non-native and ornamental hedgerow", H194&lt;&gt;"Poor"),"Not possible ▲", (IF(AND(F194="V.Low",OR(H194="Good",H194="Moderate")),"Error ▲",VLOOKUP(H194,'G-1 All Habitats'!$Z$2:$AA$9,2,FALSE))))),"")</f>
        <v/>
      </c>
      <c r="J194" s="106"/>
      <c r="K194" s="301" t="str">
        <f>IF(J194="","",IF(VLOOKUP(J194,'G-3 Multipliers'!$L$3:$N$6,2,FALSE)=0,"Spatial Data Missing",VLOOKUP(J194,'G-3 Multipliers'!$L$3:$N$6,2,FALSE)))</f>
        <v/>
      </c>
      <c r="L194" s="305" t="str">
        <f>IF(J194="","",IF(VLOOKUP(J194,'G-3 Multipliers'!$L$3:$N$6,3,FALSE)=0,"Spatial Data Missing",VLOOKUP(J194,'G-3 Multipliers'!$L$3:$N$6,3,FALSE)))</f>
        <v/>
      </c>
      <c r="M194" s="138"/>
      <c r="N194" s="282" t="str">
        <f>IF(M194="","",IF(VLOOKUP(M194,'G-3 Multipliers'!$S$3:$T$10,2,FALSE)=0,"Spatial Data Missing ⚠",VLOOKUP(M194,'G-3 Multipliers'!$S$3:$T$10,2,FALSE)))</f>
        <v/>
      </c>
      <c r="O194" s="281" t="str">
        <f>IF(OR(D194="",H194=""),"",(INDEX('G-6 Hedgerow Data'!$E$3:$I$15,MATCH(D194,'G-6 Hedgerow Data'!$B$3:$B$15,0),MATCH(H194,'G-6 Hedgerow Data'!$E$2:$I$2,0))))</f>
        <v/>
      </c>
      <c r="P194" s="137"/>
      <c r="Q194" s="137"/>
      <c r="R194" s="289" t="str">
        <f t="shared" si="15"/>
        <v/>
      </c>
      <c r="S194" s="302" t="str">
        <f t="shared" si="16"/>
        <v/>
      </c>
      <c r="T194" s="303" t="str">
        <f t="shared" si="14"/>
        <v/>
      </c>
      <c r="U194" s="317" t="str">
        <f>IF(D194="","",VLOOKUP(D194,'G-6 Hedgerow Data'!$B$3:$AG$15,31,FALSE))</f>
        <v/>
      </c>
      <c r="V194" s="301" t="str">
        <f t="shared" si="17"/>
        <v/>
      </c>
      <c r="W194" s="289" t="str">
        <f t="shared" si="18"/>
        <v/>
      </c>
      <c r="X194" s="305" t="str">
        <f>IF(F194="","",VLOOKUP(U194,'G-3 Multipliers'!$P$3:$Q$6,2,FALSE))</f>
        <v/>
      </c>
      <c r="Y194" s="309" t="str">
        <f t="shared" si="19"/>
        <v/>
      </c>
      <c r="Z194" s="309" t="str">
        <f t="shared" si="20"/>
        <v/>
      </c>
      <c r="AA194" s="105"/>
      <c r="AB194" s="968"/>
      <c r="AC194" s="142"/>
      <c r="AD194" s="142"/>
      <c r="AE194" s="964"/>
      <c r="AH194" s="30" t="str">
        <f>IFERROR(INDEX('G-6 Hedgerow Data'!$BJ$3:$BJ$15,MATCH(D194,'G-6 Hedgerow Data'!$B$3:$B$15,0)),"")</f>
        <v/>
      </c>
    </row>
    <row r="195" spans="2:34" ht="13.8" x14ac:dyDescent="0.25">
      <c r="B195" s="101">
        <v>184</v>
      </c>
      <c r="C195" s="175"/>
      <c r="D195" s="58"/>
      <c r="E195" s="142"/>
      <c r="F195" s="281" t="str">
        <f>IF(D195="","",VLOOKUP(D195,'G-6 Hedgerow Data'!$B$2:$AG$15,2,FALSE))</f>
        <v/>
      </c>
      <c r="G195" s="305" t="str">
        <f>IF(D195="","",VLOOKUP(D195,'G-6 Hedgerow Data'!$B$2:$AG$15,3,FALSE))</f>
        <v/>
      </c>
      <c r="H195" s="53"/>
      <c r="I195" s="282" t="str">
        <f>IFERROR(IF(H195="","",IF(AND(D195="Non-native and ornamental hedgerow", H195&lt;&gt;"Poor"),"Not possible ▲", (IF(AND(F195="V.Low",OR(H195="Good",H195="Moderate")),"Error ▲",VLOOKUP(H195,'G-1 All Habitats'!$Z$2:$AA$9,2,FALSE))))),"")</f>
        <v/>
      </c>
      <c r="J195" s="106"/>
      <c r="K195" s="301" t="str">
        <f>IF(J195="","",IF(VLOOKUP(J195,'G-3 Multipliers'!$L$3:$N$6,2,FALSE)=0,"Spatial Data Missing",VLOOKUP(J195,'G-3 Multipliers'!$L$3:$N$6,2,FALSE)))</f>
        <v/>
      </c>
      <c r="L195" s="305" t="str">
        <f>IF(J195="","",IF(VLOOKUP(J195,'G-3 Multipliers'!$L$3:$N$6,3,FALSE)=0,"Spatial Data Missing",VLOOKUP(J195,'G-3 Multipliers'!$L$3:$N$6,3,FALSE)))</f>
        <v/>
      </c>
      <c r="M195" s="138"/>
      <c r="N195" s="282" t="str">
        <f>IF(M195="","",IF(VLOOKUP(M195,'G-3 Multipliers'!$S$3:$T$10,2,FALSE)=0,"Spatial Data Missing ⚠",VLOOKUP(M195,'G-3 Multipliers'!$S$3:$T$10,2,FALSE)))</f>
        <v/>
      </c>
      <c r="O195" s="281" t="str">
        <f>IF(OR(D195="",H195=""),"",(INDEX('G-6 Hedgerow Data'!$E$3:$I$15,MATCH(D195,'G-6 Hedgerow Data'!$B$3:$B$15,0),MATCH(H195,'G-6 Hedgerow Data'!$E$2:$I$2,0))))</f>
        <v/>
      </c>
      <c r="P195" s="137"/>
      <c r="Q195" s="137"/>
      <c r="R195" s="289" t="str">
        <f t="shared" si="15"/>
        <v/>
      </c>
      <c r="S195" s="302" t="str">
        <f t="shared" si="16"/>
        <v/>
      </c>
      <c r="T195" s="303" t="str">
        <f t="shared" si="14"/>
        <v/>
      </c>
      <c r="U195" s="317" t="str">
        <f>IF(D195="","",VLOOKUP(D195,'G-6 Hedgerow Data'!$B$3:$AG$15,31,FALSE))</f>
        <v/>
      </c>
      <c r="V195" s="301" t="str">
        <f t="shared" si="17"/>
        <v/>
      </c>
      <c r="W195" s="289" t="str">
        <f t="shared" si="18"/>
        <v/>
      </c>
      <c r="X195" s="305" t="str">
        <f>IF(F195="","",VLOOKUP(U195,'G-3 Multipliers'!$P$3:$Q$6,2,FALSE))</f>
        <v/>
      </c>
      <c r="Y195" s="309" t="str">
        <f t="shared" si="19"/>
        <v/>
      </c>
      <c r="Z195" s="309" t="str">
        <f t="shared" si="20"/>
        <v/>
      </c>
      <c r="AA195" s="105"/>
      <c r="AB195" s="968"/>
      <c r="AC195" s="142"/>
      <c r="AD195" s="142"/>
      <c r="AE195" s="964"/>
      <c r="AH195" s="30" t="str">
        <f>IFERROR(INDEX('G-6 Hedgerow Data'!$BJ$3:$BJ$15,MATCH(D195,'G-6 Hedgerow Data'!$B$3:$B$15,0)),"")</f>
        <v/>
      </c>
    </row>
    <row r="196" spans="2:34" ht="13.8" x14ac:dyDescent="0.25">
      <c r="B196" s="101">
        <v>185</v>
      </c>
      <c r="C196" s="175"/>
      <c r="D196" s="58"/>
      <c r="E196" s="142"/>
      <c r="F196" s="281" t="str">
        <f>IF(D196="","",VLOOKUP(D196,'G-6 Hedgerow Data'!$B$2:$AG$15,2,FALSE))</f>
        <v/>
      </c>
      <c r="G196" s="305" t="str">
        <f>IF(D196="","",VLOOKUP(D196,'G-6 Hedgerow Data'!$B$2:$AG$15,3,FALSE))</f>
        <v/>
      </c>
      <c r="H196" s="53"/>
      <c r="I196" s="282" t="str">
        <f>IFERROR(IF(H196="","",IF(AND(D196="Non-native and ornamental hedgerow", H196&lt;&gt;"Poor"),"Not possible ▲", (IF(AND(F196="V.Low",OR(H196="Good",H196="Moderate")),"Error ▲",VLOOKUP(H196,'G-1 All Habitats'!$Z$2:$AA$9,2,FALSE))))),"")</f>
        <v/>
      </c>
      <c r="J196" s="106"/>
      <c r="K196" s="301" t="str">
        <f>IF(J196="","",IF(VLOOKUP(J196,'G-3 Multipliers'!$L$3:$N$6,2,FALSE)=0,"Spatial Data Missing",VLOOKUP(J196,'G-3 Multipliers'!$L$3:$N$6,2,FALSE)))</f>
        <v/>
      </c>
      <c r="L196" s="305" t="str">
        <f>IF(J196="","",IF(VLOOKUP(J196,'G-3 Multipliers'!$L$3:$N$6,3,FALSE)=0,"Spatial Data Missing",VLOOKUP(J196,'G-3 Multipliers'!$L$3:$N$6,3,FALSE)))</f>
        <v/>
      </c>
      <c r="M196" s="138"/>
      <c r="N196" s="282" t="str">
        <f>IF(M196="","",IF(VLOOKUP(M196,'G-3 Multipliers'!$S$3:$T$10,2,FALSE)=0,"Spatial Data Missing ⚠",VLOOKUP(M196,'G-3 Multipliers'!$S$3:$T$10,2,FALSE)))</f>
        <v/>
      </c>
      <c r="O196" s="281" t="str">
        <f>IF(OR(D196="",H196=""),"",(INDEX('G-6 Hedgerow Data'!$E$3:$I$15,MATCH(D196,'G-6 Hedgerow Data'!$B$3:$B$15,0),MATCH(H196,'G-6 Hedgerow Data'!$E$2:$I$2,0))))</f>
        <v/>
      </c>
      <c r="P196" s="137"/>
      <c r="Q196" s="137"/>
      <c r="R196" s="289" t="str">
        <f t="shared" si="15"/>
        <v/>
      </c>
      <c r="S196" s="302" t="str">
        <f t="shared" si="16"/>
        <v/>
      </c>
      <c r="T196" s="303" t="str">
        <f t="shared" si="14"/>
        <v/>
      </c>
      <c r="U196" s="317" t="str">
        <f>IF(D196="","",VLOOKUP(D196,'G-6 Hedgerow Data'!$B$3:$AG$15,31,FALSE))</f>
        <v/>
      </c>
      <c r="V196" s="301" t="str">
        <f t="shared" si="17"/>
        <v/>
      </c>
      <c r="W196" s="289" t="str">
        <f t="shared" si="18"/>
        <v/>
      </c>
      <c r="X196" s="305" t="str">
        <f>IF(F196="","",VLOOKUP(U196,'G-3 Multipliers'!$P$3:$Q$6,2,FALSE))</f>
        <v/>
      </c>
      <c r="Y196" s="309" t="str">
        <f t="shared" si="19"/>
        <v/>
      </c>
      <c r="Z196" s="309" t="str">
        <f t="shared" si="20"/>
        <v/>
      </c>
      <c r="AA196" s="105"/>
      <c r="AB196" s="968"/>
      <c r="AC196" s="142"/>
      <c r="AD196" s="142"/>
      <c r="AE196" s="964"/>
      <c r="AH196" s="30" t="str">
        <f>IFERROR(INDEX('G-6 Hedgerow Data'!$BJ$3:$BJ$15,MATCH(D196,'G-6 Hedgerow Data'!$B$3:$B$15,0)),"")</f>
        <v/>
      </c>
    </row>
    <row r="197" spans="2:34" ht="13.8" x14ac:dyDescent="0.25">
      <c r="B197" s="101">
        <v>186</v>
      </c>
      <c r="C197" s="175"/>
      <c r="D197" s="58"/>
      <c r="E197" s="142"/>
      <c r="F197" s="281" t="str">
        <f>IF(D197="","",VLOOKUP(D197,'G-6 Hedgerow Data'!$B$2:$AG$15,2,FALSE))</f>
        <v/>
      </c>
      <c r="G197" s="305" t="str">
        <f>IF(D197="","",VLOOKUP(D197,'G-6 Hedgerow Data'!$B$2:$AG$15,3,FALSE))</f>
        <v/>
      </c>
      <c r="H197" s="53"/>
      <c r="I197" s="282" t="str">
        <f>IFERROR(IF(H197="","",IF(AND(D197="Non-native and ornamental hedgerow", H197&lt;&gt;"Poor"),"Not possible ▲", (IF(AND(F197="V.Low",OR(H197="Good",H197="Moderate")),"Error ▲",VLOOKUP(H197,'G-1 All Habitats'!$Z$2:$AA$9,2,FALSE))))),"")</f>
        <v/>
      </c>
      <c r="J197" s="106"/>
      <c r="K197" s="301" t="str">
        <f>IF(J197="","",IF(VLOOKUP(J197,'G-3 Multipliers'!$L$3:$N$6,2,FALSE)=0,"Spatial Data Missing",VLOOKUP(J197,'G-3 Multipliers'!$L$3:$N$6,2,FALSE)))</f>
        <v/>
      </c>
      <c r="L197" s="305" t="str">
        <f>IF(J197="","",IF(VLOOKUP(J197,'G-3 Multipliers'!$L$3:$N$6,3,FALSE)=0,"Spatial Data Missing",VLOOKUP(J197,'G-3 Multipliers'!$L$3:$N$6,3,FALSE)))</f>
        <v/>
      </c>
      <c r="M197" s="138"/>
      <c r="N197" s="282" t="str">
        <f>IF(M197="","",IF(VLOOKUP(M197,'G-3 Multipliers'!$S$3:$T$10,2,FALSE)=0,"Spatial Data Missing ⚠",VLOOKUP(M197,'G-3 Multipliers'!$S$3:$T$10,2,FALSE)))</f>
        <v/>
      </c>
      <c r="O197" s="281" t="str">
        <f>IF(OR(D197="",H197=""),"",(INDEX('G-6 Hedgerow Data'!$E$3:$I$15,MATCH(D197,'G-6 Hedgerow Data'!$B$3:$B$15,0),MATCH(H197,'G-6 Hedgerow Data'!$E$2:$I$2,0))))</f>
        <v/>
      </c>
      <c r="P197" s="137"/>
      <c r="Q197" s="137"/>
      <c r="R197" s="289" t="str">
        <f t="shared" si="15"/>
        <v/>
      </c>
      <c r="S197" s="302" t="str">
        <f t="shared" si="16"/>
        <v/>
      </c>
      <c r="T197" s="303" t="str">
        <f t="shared" si="14"/>
        <v/>
      </c>
      <c r="U197" s="317" t="str">
        <f>IF(D197="","",VLOOKUP(D197,'G-6 Hedgerow Data'!$B$3:$AG$15,31,FALSE))</f>
        <v/>
      </c>
      <c r="V197" s="301" t="str">
        <f t="shared" si="17"/>
        <v/>
      </c>
      <c r="W197" s="289" t="str">
        <f t="shared" si="18"/>
        <v/>
      </c>
      <c r="X197" s="305" t="str">
        <f>IF(F197="","",VLOOKUP(U197,'G-3 Multipliers'!$P$3:$Q$6,2,FALSE))</f>
        <v/>
      </c>
      <c r="Y197" s="309" t="str">
        <f t="shared" si="19"/>
        <v/>
      </c>
      <c r="Z197" s="309" t="str">
        <f t="shared" si="20"/>
        <v/>
      </c>
      <c r="AA197" s="105"/>
      <c r="AB197" s="968"/>
      <c r="AC197" s="142"/>
      <c r="AD197" s="142"/>
      <c r="AE197" s="964"/>
      <c r="AH197" s="30" t="str">
        <f>IFERROR(INDEX('G-6 Hedgerow Data'!$BJ$3:$BJ$15,MATCH(D197,'G-6 Hedgerow Data'!$B$3:$B$15,0)),"")</f>
        <v/>
      </c>
    </row>
    <row r="198" spans="2:34" ht="13.8" x14ac:dyDescent="0.25">
      <c r="B198" s="101">
        <v>187</v>
      </c>
      <c r="C198" s="175"/>
      <c r="D198" s="58"/>
      <c r="E198" s="142"/>
      <c r="F198" s="281" t="str">
        <f>IF(D198="","",VLOOKUP(D198,'G-6 Hedgerow Data'!$B$2:$AG$15,2,FALSE))</f>
        <v/>
      </c>
      <c r="G198" s="305" t="str">
        <f>IF(D198="","",VLOOKUP(D198,'G-6 Hedgerow Data'!$B$2:$AG$15,3,FALSE))</f>
        <v/>
      </c>
      <c r="H198" s="53"/>
      <c r="I198" s="282" t="str">
        <f>IFERROR(IF(H198="","",IF(AND(D198="Non-native and ornamental hedgerow", H198&lt;&gt;"Poor"),"Not possible ▲", (IF(AND(F198="V.Low",OR(H198="Good",H198="Moderate")),"Error ▲",VLOOKUP(H198,'G-1 All Habitats'!$Z$2:$AA$9,2,FALSE))))),"")</f>
        <v/>
      </c>
      <c r="J198" s="106"/>
      <c r="K198" s="301" t="str">
        <f>IF(J198="","",IF(VLOOKUP(J198,'G-3 Multipliers'!$L$3:$N$6,2,FALSE)=0,"Spatial Data Missing",VLOOKUP(J198,'G-3 Multipliers'!$L$3:$N$6,2,FALSE)))</f>
        <v/>
      </c>
      <c r="L198" s="305" t="str">
        <f>IF(J198="","",IF(VLOOKUP(J198,'G-3 Multipliers'!$L$3:$N$6,3,FALSE)=0,"Spatial Data Missing",VLOOKUP(J198,'G-3 Multipliers'!$L$3:$N$6,3,FALSE)))</f>
        <v/>
      </c>
      <c r="M198" s="138"/>
      <c r="N198" s="282" t="str">
        <f>IF(M198="","",IF(VLOOKUP(M198,'G-3 Multipliers'!$S$3:$T$10,2,FALSE)=0,"Spatial Data Missing ⚠",VLOOKUP(M198,'G-3 Multipliers'!$S$3:$T$10,2,FALSE)))</f>
        <v/>
      </c>
      <c r="O198" s="281" t="str">
        <f>IF(OR(D198="",H198=""),"",(INDEX('G-6 Hedgerow Data'!$E$3:$I$15,MATCH(D198,'G-6 Hedgerow Data'!$B$3:$B$15,0),MATCH(H198,'G-6 Hedgerow Data'!$E$2:$I$2,0))))</f>
        <v/>
      </c>
      <c r="P198" s="137"/>
      <c r="Q198" s="137"/>
      <c r="R198" s="289" t="str">
        <f t="shared" si="15"/>
        <v/>
      </c>
      <c r="S198" s="302" t="str">
        <f t="shared" si="16"/>
        <v/>
      </c>
      <c r="T198" s="303" t="str">
        <f t="shared" si="14"/>
        <v/>
      </c>
      <c r="U198" s="317" t="str">
        <f>IF(D198="","",VLOOKUP(D198,'G-6 Hedgerow Data'!$B$3:$AG$15,31,FALSE))</f>
        <v/>
      </c>
      <c r="V198" s="301" t="str">
        <f t="shared" si="17"/>
        <v/>
      </c>
      <c r="W198" s="289" t="str">
        <f t="shared" si="18"/>
        <v/>
      </c>
      <c r="X198" s="305" t="str">
        <f>IF(F198="","",VLOOKUP(U198,'G-3 Multipliers'!$P$3:$Q$6,2,FALSE))</f>
        <v/>
      </c>
      <c r="Y198" s="309" t="str">
        <f t="shared" si="19"/>
        <v/>
      </c>
      <c r="Z198" s="309" t="str">
        <f t="shared" si="20"/>
        <v/>
      </c>
      <c r="AA198" s="105"/>
      <c r="AB198" s="968"/>
      <c r="AC198" s="142"/>
      <c r="AD198" s="142"/>
      <c r="AE198" s="964"/>
      <c r="AH198" s="30" t="str">
        <f>IFERROR(INDEX('G-6 Hedgerow Data'!$BJ$3:$BJ$15,MATCH(D198,'G-6 Hedgerow Data'!$B$3:$B$15,0)),"")</f>
        <v/>
      </c>
    </row>
    <row r="199" spans="2:34" ht="13.8" x14ac:dyDescent="0.25">
      <c r="B199" s="101">
        <v>188</v>
      </c>
      <c r="C199" s="175"/>
      <c r="D199" s="58"/>
      <c r="E199" s="142"/>
      <c r="F199" s="281" t="str">
        <f>IF(D199="","",VLOOKUP(D199,'G-6 Hedgerow Data'!$B$2:$AG$15,2,FALSE))</f>
        <v/>
      </c>
      <c r="G199" s="305" t="str">
        <f>IF(D199="","",VLOOKUP(D199,'G-6 Hedgerow Data'!$B$2:$AG$15,3,FALSE))</f>
        <v/>
      </c>
      <c r="H199" s="53"/>
      <c r="I199" s="282" t="str">
        <f>IFERROR(IF(H199="","",IF(AND(D199="Non-native and ornamental hedgerow", H199&lt;&gt;"Poor"),"Not possible ▲", (IF(AND(F199="V.Low",OR(H199="Good",H199="Moderate")),"Error ▲",VLOOKUP(H199,'G-1 All Habitats'!$Z$2:$AA$9,2,FALSE))))),"")</f>
        <v/>
      </c>
      <c r="J199" s="106"/>
      <c r="K199" s="301" t="str">
        <f>IF(J199="","",IF(VLOOKUP(J199,'G-3 Multipliers'!$L$3:$N$6,2,FALSE)=0,"Spatial Data Missing",VLOOKUP(J199,'G-3 Multipliers'!$L$3:$N$6,2,FALSE)))</f>
        <v/>
      </c>
      <c r="L199" s="305" t="str">
        <f>IF(J199="","",IF(VLOOKUP(J199,'G-3 Multipliers'!$L$3:$N$6,3,FALSE)=0,"Spatial Data Missing",VLOOKUP(J199,'G-3 Multipliers'!$L$3:$N$6,3,FALSE)))</f>
        <v/>
      </c>
      <c r="M199" s="138"/>
      <c r="N199" s="282" t="str">
        <f>IF(M199="","",IF(VLOOKUP(M199,'G-3 Multipliers'!$S$3:$T$10,2,FALSE)=0,"Spatial Data Missing ⚠",VLOOKUP(M199,'G-3 Multipliers'!$S$3:$T$10,2,FALSE)))</f>
        <v/>
      </c>
      <c r="O199" s="281" t="str">
        <f>IF(OR(D199="",H199=""),"",(INDEX('G-6 Hedgerow Data'!$E$3:$I$15,MATCH(D199,'G-6 Hedgerow Data'!$B$3:$B$15,0),MATCH(H199,'G-6 Hedgerow Data'!$E$2:$I$2,0))))</f>
        <v/>
      </c>
      <c r="P199" s="137"/>
      <c r="Q199" s="137"/>
      <c r="R199" s="289" t="str">
        <f t="shared" si="15"/>
        <v/>
      </c>
      <c r="S199" s="302" t="str">
        <f t="shared" si="16"/>
        <v/>
      </c>
      <c r="T199" s="303" t="str">
        <f t="shared" si="14"/>
        <v/>
      </c>
      <c r="U199" s="317" t="str">
        <f>IF(D199="","",VLOOKUP(D199,'G-6 Hedgerow Data'!$B$3:$AG$15,31,FALSE))</f>
        <v/>
      </c>
      <c r="V199" s="301" t="str">
        <f t="shared" si="17"/>
        <v/>
      </c>
      <c r="W199" s="289" t="str">
        <f t="shared" si="18"/>
        <v/>
      </c>
      <c r="X199" s="305" t="str">
        <f>IF(F199="","",VLOOKUP(U199,'G-3 Multipliers'!$P$3:$Q$6,2,FALSE))</f>
        <v/>
      </c>
      <c r="Y199" s="309" t="str">
        <f t="shared" si="19"/>
        <v/>
      </c>
      <c r="Z199" s="309" t="str">
        <f t="shared" si="20"/>
        <v/>
      </c>
      <c r="AA199" s="105"/>
      <c r="AB199" s="968"/>
      <c r="AC199" s="142"/>
      <c r="AD199" s="142"/>
      <c r="AE199" s="964"/>
      <c r="AH199" s="30" t="str">
        <f>IFERROR(INDEX('G-6 Hedgerow Data'!$BJ$3:$BJ$15,MATCH(D199,'G-6 Hedgerow Data'!$B$3:$B$15,0)),"")</f>
        <v/>
      </c>
    </row>
    <row r="200" spans="2:34" ht="13.8" x14ac:dyDescent="0.25">
      <c r="B200" s="101">
        <v>189</v>
      </c>
      <c r="C200" s="175"/>
      <c r="D200" s="58"/>
      <c r="E200" s="142"/>
      <c r="F200" s="281" t="str">
        <f>IF(D200="","",VLOOKUP(D200,'G-6 Hedgerow Data'!$B$2:$AG$15,2,FALSE))</f>
        <v/>
      </c>
      <c r="G200" s="305" t="str">
        <f>IF(D200="","",VLOOKUP(D200,'G-6 Hedgerow Data'!$B$2:$AG$15,3,FALSE))</f>
        <v/>
      </c>
      <c r="H200" s="53"/>
      <c r="I200" s="282" t="str">
        <f>IFERROR(IF(H200="","",IF(AND(D200="Non-native and ornamental hedgerow", H200&lt;&gt;"Poor"),"Not possible ▲", (IF(AND(F200="V.Low",OR(H200="Good",H200="Moderate")),"Error ▲",VLOOKUP(H200,'G-1 All Habitats'!$Z$2:$AA$9,2,FALSE))))),"")</f>
        <v/>
      </c>
      <c r="J200" s="106"/>
      <c r="K200" s="301" t="str">
        <f>IF(J200="","",IF(VLOOKUP(J200,'G-3 Multipliers'!$L$3:$N$6,2,FALSE)=0,"Spatial Data Missing",VLOOKUP(J200,'G-3 Multipliers'!$L$3:$N$6,2,FALSE)))</f>
        <v/>
      </c>
      <c r="L200" s="305" t="str">
        <f>IF(J200="","",IF(VLOOKUP(J200,'G-3 Multipliers'!$L$3:$N$6,3,FALSE)=0,"Spatial Data Missing",VLOOKUP(J200,'G-3 Multipliers'!$L$3:$N$6,3,FALSE)))</f>
        <v/>
      </c>
      <c r="M200" s="138"/>
      <c r="N200" s="282" t="str">
        <f>IF(M200="","",IF(VLOOKUP(M200,'G-3 Multipliers'!$S$3:$T$10,2,FALSE)=0,"Spatial Data Missing ⚠",VLOOKUP(M200,'G-3 Multipliers'!$S$3:$T$10,2,FALSE)))</f>
        <v/>
      </c>
      <c r="O200" s="281" t="str">
        <f>IF(OR(D200="",H200=""),"",(INDEX('G-6 Hedgerow Data'!$E$3:$I$15,MATCH(D200,'G-6 Hedgerow Data'!$B$3:$B$15,0),MATCH(H200,'G-6 Hedgerow Data'!$E$2:$I$2,0))))</f>
        <v/>
      </c>
      <c r="P200" s="137"/>
      <c r="Q200" s="137"/>
      <c r="R200" s="289" t="str">
        <f t="shared" si="15"/>
        <v/>
      </c>
      <c r="S200" s="302" t="str">
        <f t="shared" si="16"/>
        <v/>
      </c>
      <c r="T200" s="303" t="str">
        <f t="shared" si="14"/>
        <v/>
      </c>
      <c r="U200" s="317" t="str">
        <f>IF(D200="","",VLOOKUP(D200,'G-6 Hedgerow Data'!$B$3:$AG$15,31,FALSE))</f>
        <v/>
      </c>
      <c r="V200" s="301" t="str">
        <f t="shared" si="17"/>
        <v/>
      </c>
      <c r="W200" s="289" t="str">
        <f t="shared" si="18"/>
        <v/>
      </c>
      <c r="X200" s="305" t="str">
        <f>IF(F200="","",VLOOKUP(U200,'G-3 Multipliers'!$P$3:$Q$6,2,FALSE))</f>
        <v/>
      </c>
      <c r="Y200" s="309" t="str">
        <f t="shared" si="19"/>
        <v/>
      </c>
      <c r="Z200" s="309" t="str">
        <f t="shared" si="20"/>
        <v/>
      </c>
      <c r="AA200" s="105"/>
      <c r="AB200" s="968"/>
      <c r="AC200" s="142"/>
      <c r="AD200" s="142"/>
      <c r="AE200" s="964"/>
      <c r="AH200" s="30" t="str">
        <f>IFERROR(INDEX('G-6 Hedgerow Data'!$BJ$3:$BJ$15,MATCH(D200,'G-6 Hedgerow Data'!$B$3:$B$15,0)),"")</f>
        <v/>
      </c>
    </row>
    <row r="201" spans="2:34" ht="13.8" x14ac:dyDescent="0.25">
      <c r="B201" s="101">
        <v>190</v>
      </c>
      <c r="C201" s="175"/>
      <c r="D201" s="58"/>
      <c r="E201" s="142"/>
      <c r="F201" s="281" t="str">
        <f>IF(D201="","",VLOOKUP(D201,'G-6 Hedgerow Data'!$B$2:$AG$15,2,FALSE))</f>
        <v/>
      </c>
      <c r="G201" s="305" t="str">
        <f>IF(D201="","",VLOOKUP(D201,'G-6 Hedgerow Data'!$B$2:$AG$15,3,FALSE))</f>
        <v/>
      </c>
      <c r="H201" s="53"/>
      <c r="I201" s="282" t="str">
        <f>IFERROR(IF(H201="","",IF(AND(D201="Non-native and ornamental hedgerow", H201&lt;&gt;"Poor"),"Not possible ▲", (IF(AND(F201="V.Low",OR(H201="Good",H201="Moderate")),"Error ▲",VLOOKUP(H201,'G-1 All Habitats'!$Z$2:$AA$9,2,FALSE))))),"")</f>
        <v/>
      </c>
      <c r="J201" s="106"/>
      <c r="K201" s="301" t="str">
        <f>IF(J201="","",IF(VLOOKUP(J201,'G-3 Multipliers'!$L$3:$N$6,2,FALSE)=0,"Spatial Data Missing",VLOOKUP(J201,'G-3 Multipliers'!$L$3:$N$6,2,FALSE)))</f>
        <v/>
      </c>
      <c r="L201" s="305" t="str">
        <f>IF(J201="","",IF(VLOOKUP(J201,'G-3 Multipliers'!$L$3:$N$6,3,FALSE)=0,"Spatial Data Missing",VLOOKUP(J201,'G-3 Multipliers'!$L$3:$N$6,3,FALSE)))</f>
        <v/>
      </c>
      <c r="M201" s="138"/>
      <c r="N201" s="282" t="str">
        <f>IF(M201="","",IF(VLOOKUP(M201,'G-3 Multipliers'!$S$3:$T$10,2,FALSE)=0,"Spatial Data Missing ⚠",VLOOKUP(M201,'G-3 Multipliers'!$S$3:$T$10,2,FALSE)))</f>
        <v/>
      </c>
      <c r="O201" s="281" t="str">
        <f>IF(OR(D201="",H201=""),"",(INDEX('G-6 Hedgerow Data'!$E$3:$I$15,MATCH(D201,'G-6 Hedgerow Data'!$B$3:$B$15,0),MATCH(H201,'G-6 Hedgerow Data'!$E$2:$I$2,0))))</f>
        <v/>
      </c>
      <c r="P201" s="137"/>
      <c r="Q201" s="137"/>
      <c r="R201" s="289" t="str">
        <f t="shared" si="15"/>
        <v/>
      </c>
      <c r="S201" s="302" t="str">
        <f t="shared" si="16"/>
        <v/>
      </c>
      <c r="T201" s="303" t="str">
        <f t="shared" si="14"/>
        <v/>
      </c>
      <c r="U201" s="317" t="str">
        <f>IF(D201="","",VLOOKUP(D201,'G-6 Hedgerow Data'!$B$3:$AG$15,31,FALSE))</f>
        <v/>
      </c>
      <c r="V201" s="301" t="str">
        <f t="shared" si="17"/>
        <v/>
      </c>
      <c r="W201" s="289" t="str">
        <f t="shared" si="18"/>
        <v/>
      </c>
      <c r="X201" s="305" t="str">
        <f>IF(F201="","",VLOOKUP(U201,'G-3 Multipliers'!$P$3:$Q$6,2,FALSE))</f>
        <v/>
      </c>
      <c r="Y201" s="309" t="str">
        <f t="shared" si="19"/>
        <v/>
      </c>
      <c r="Z201" s="309" t="str">
        <f t="shared" si="20"/>
        <v/>
      </c>
      <c r="AA201" s="105"/>
      <c r="AB201" s="968"/>
      <c r="AC201" s="142"/>
      <c r="AD201" s="142"/>
      <c r="AE201" s="964"/>
      <c r="AH201" s="30" t="str">
        <f>IFERROR(INDEX('G-6 Hedgerow Data'!$BJ$3:$BJ$15,MATCH(D201,'G-6 Hedgerow Data'!$B$3:$B$15,0)),"")</f>
        <v/>
      </c>
    </row>
    <row r="202" spans="2:34" ht="13.8" x14ac:dyDescent="0.25">
      <c r="B202" s="101">
        <v>191</v>
      </c>
      <c r="C202" s="175"/>
      <c r="D202" s="58"/>
      <c r="E202" s="142"/>
      <c r="F202" s="281" t="str">
        <f>IF(D202="","",VLOOKUP(D202,'G-6 Hedgerow Data'!$B$2:$AG$15,2,FALSE))</f>
        <v/>
      </c>
      <c r="G202" s="305" t="str">
        <f>IF(D202="","",VLOOKUP(D202,'G-6 Hedgerow Data'!$B$2:$AG$15,3,FALSE))</f>
        <v/>
      </c>
      <c r="H202" s="53"/>
      <c r="I202" s="282" t="str">
        <f>IFERROR(IF(H202="","",IF(AND(D202="Non-native and ornamental hedgerow", H202&lt;&gt;"Poor"),"Not possible ▲", (IF(AND(F202="V.Low",OR(H202="Good",H202="Moderate")),"Error ▲",VLOOKUP(H202,'G-1 All Habitats'!$Z$2:$AA$9,2,FALSE))))),"")</f>
        <v/>
      </c>
      <c r="J202" s="106"/>
      <c r="K202" s="301" t="str">
        <f>IF(J202="","",IF(VLOOKUP(J202,'G-3 Multipliers'!$L$3:$N$6,2,FALSE)=0,"Spatial Data Missing",VLOOKUP(J202,'G-3 Multipliers'!$L$3:$N$6,2,FALSE)))</f>
        <v/>
      </c>
      <c r="L202" s="305" t="str">
        <f>IF(J202="","",IF(VLOOKUP(J202,'G-3 Multipliers'!$L$3:$N$6,3,FALSE)=0,"Spatial Data Missing",VLOOKUP(J202,'G-3 Multipliers'!$L$3:$N$6,3,FALSE)))</f>
        <v/>
      </c>
      <c r="M202" s="138"/>
      <c r="N202" s="282" t="str">
        <f>IF(M202="","",IF(VLOOKUP(M202,'G-3 Multipliers'!$S$3:$T$10,2,FALSE)=0,"Spatial Data Missing ⚠",VLOOKUP(M202,'G-3 Multipliers'!$S$3:$T$10,2,FALSE)))</f>
        <v/>
      </c>
      <c r="O202" s="281" t="str">
        <f>IF(OR(D202="",H202=""),"",(INDEX('G-6 Hedgerow Data'!$E$3:$I$15,MATCH(D202,'G-6 Hedgerow Data'!$B$3:$B$15,0),MATCH(H202,'G-6 Hedgerow Data'!$E$2:$I$2,0))))</f>
        <v/>
      </c>
      <c r="P202" s="137"/>
      <c r="Q202" s="137"/>
      <c r="R202" s="289" t="str">
        <f t="shared" si="15"/>
        <v/>
      </c>
      <c r="S202" s="302" t="str">
        <f t="shared" si="16"/>
        <v/>
      </c>
      <c r="T202" s="303" t="str">
        <f t="shared" si="14"/>
        <v/>
      </c>
      <c r="U202" s="317" t="str">
        <f>IF(D202="","",VLOOKUP(D202,'G-6 Hedgerow Data'!$B$3:$AG$15,31,FALSE))</f>
        <v/>
      </c>
      <c r="V202" s="301" t="str">
        <f t="shared" si="17"/>
        <v/>
      </c>
      <c r="W202" s="289" t="str">
        <f t="shared" si="18"/>
        <v/>
      </c>
      <c r="X202" s="305" t="str">
        <f>IF(F202="","",VLOOKUP(U202,'G-3 Multipliers'!$P$3:$Q$6,2,FALSE))</f>
        <v/>
      </c>
      <c r="Y202" s="309" t="str">
        <f t="shared" si="19"/>
        <v/>
      </c>
      <c r="Z202" s="309" t="str">
        <f t="shared" si="20"/>
        <v/>
      </c>
      <c r="AA202" s="105"/>
      <c r="AB202" s="968"/>
      <c r="AC202" s="142"/>
      <c r="AD202" s="142"/>
      <c r="AE202" s="964"/>
      <c r="AH202" s="30" t="str">
        <f>IFERROR(INDEX('G-6 Hedgerow Data'!$BJ$3:$BJ$15,MATCH(D202,'G-6 Hedgerow Data'!$B$3:$B$15,0)),"")</f>
        <v/>
      </c>
    </row>
    <row r="203" spans="2:34" ht="13.8" x14ac:dyDescent="0.25">
      <c r="B203" s="101">
        <v>192</v>
      </c>
      <c r="C203" s="175"/>
      <c r="D203" s="58"/>
      <c r="E203" s="142"/>
      <c r="F203" s="281" t="str">
        <f>IF(D203="","",VLOOKUP(D203,'G-6 Hedgerow Data'!$B$2:$AG$15,2,FALSE))</f>
        <v/>
      </c>
      <c r="G203" s="305" t="str">
        <f>IF(D203="","",VLOOKUP(D203,'G-6 Hedgerow Data'!$B$2:$AG$15,3,FALSE))</f>
        <v/>
      </c>
      <c r="H203" s="53"/>
      <c r="I203" s="282" t="str">
        <f>IFERROR(IF(H203="","",IF(AND(D203="Non-native and ornamental hedgerow", H203&lt;&gt;"Poor"),"Not possible ▲", (IF(AND(F203="V.Low",OR(H203="Good",H203="Moderate")),"Error ▲",VLOOKUP(H203,'G-1 All Habitats'!$Z$2:$AA$9,2,FALSE))))),"")</f>
        <v/>
      </c>
      <c r="J203" s="106"/>
      <c r="K203" s="301" t="str">
        <f>IF(J203="","",IF(VLOOKUP(J203,'G-3 Multipliers'!$L$3:$N$6,2,FALSE)=0,"Spatial Data Missing",VLOOKUP(J203,'G-3 Multipliers'!$L$3:$N$6,2,FALSE)))</f>
        <v/>
      </c>
      <c r="L203" s="305" t="str">
        <f>IF(J203="","",IF(VLOOKUP(J203,'G-3 Multipliers'!$L$3:$N$6,3,FALSE)=0,"Spatial Data Missing",VLOOKUP(J203,'G-3 Multipliers'!$L$3:$N$6,3,FALSE)))</f>
        <v/>
      </c>
      <c r="M203" s="138"/>
      <c r="N203" s="282" t="str">
        <f>IF(M203="","",IF(VLOOKUP(M203,'G-3 Multipliers'!$S$3:$T$10,2,FALSE)=0,"Spatial Data Missing ⚠",VLOOKUP(M203,'G-3 Multipliers'!$S$3:$T$10,2,FALSE)))</f>
        <v/>
      </c>
      <c r="O203" s="281" t="str">
        <f>IF(OR(D203="",H203=""),"",(INDEX('G-6 Hedgerow Data'!$E$3:$I$15,MATCH(D203,'G-6 Hedgerow Data'!$B$3:$B$15,0),MATCH(H203,'G-6 Hedgerow Data'!$E$2:$I$2,0))))</f>
        <v/>
      </c>
      <c r="P203" s="137"/>
      <c r="Q203" s="137"/>
      <c r="R203" s="289" t="str">
        <f t="shared" si="15"/>
        <v/>
      </c>
      <c r="S203" s="302" t="str">
        <f t="shared" si="16"/>
        <v/>
      </c>
      <c r="T203" s="303" t="str">
        <f t="shared" si="14"/>
        <v/>
      </c>
      <c r="U203" s="317" t="str">
        <f>IF(D203="","",VLOOKUP(D203,'G-6 Hedgerow Data'!$B$3:$AG$15,31,FALSE))</f>
        <v/>
      </c>
      <c r="V203" s="301" t="str">
        <f t="shared" si="17"/>
        <v/>
      </c>
      <c r="W203" s="289" t="str">
        <f t="shared" si="18"/>
        <v/>
      </c>
      <c r="X203" s="305" t="str">
        <f>IF(F203="","",VLOOKUP(U203,'G-3 Multipliers'!$P$3:$Q$6,2,FALSE))</f>
        <v/>
      </c>
      <c r="Y203" s="309" t="str">
        <f t="shared" si="19"/>
        <v/>
      </c>
      <c r="Z203" s="309" t="str">
        <f t="shared" si="20"/>
        <v/>
      </c>
      <c r="AA203" s="105"/>
      <c r="AB203" s="968"/>
      <c r="AC203" s="142"/>
      <c r="AD203" s="142"/>
      <c r="AE203" s="964"/>
      <c r="AH203" s="30" t="str">
        <f>IFERROR(INDEX('G-6 Hedgerow Data'!$BJ$3:$BJ$15,MATCH(D203,'G-6 Hedgerow Data'!$B$3:$B$15,0)),"")</f>
        <v/>
      </c>
    </row>
    <row r="204" spans="2:34" ht="13.8" x14ac:dyDescent="0.25">
      <c r="B204" s="101">
        <v>193</v>
      </c>
      <c r="C204" s="175"/>
      <c r="D204" s="58"/>
      <c r="E204" s="142"/>
      <c r="F204" s="281" t="str">
        <f>IF(D204="","",VLOOKUP(D204,'G-6 Hedgerow Data'!$B$2:$AG$15,2,FALSE))</f>
        <v/>
      </c>
      <c r="G204" s="305" t="str">
        <f>IF(D204="","",VLOOKUP(D204,'G-6 Hedgerow Data'!$B$2:$AG$15,3,FALSE))</f>
        <v/>
      </c>
      <c r="H204" s="53"/>
      <c r="I204" s="282" t="str">
        <f>IFERROR(IF(H204="","",IF(AND(D204="Non-native and ornamental hedgerow", H204&lt;&gt;"Poor"),"Not possible ▲", (IF(AND(F204="V.Low",OR(H204="Good",H204="Moderate")),"Error ▲",VLOOKUP(H204,'G-1 All Habitats'!$Z$2:$AA$9,2,FALSE))))),"")</f>
        <v/>
      </c>
      <c r="J204" s="106"/>
      <c r="K204" s="301" t="str">
        <f>IF(J204="","",IF(VLOOKUP(J204,'G-3 Multipliers'!$L$3:$N$6,2,FALSE)=0,"Spatial Data Missing",VLOOKUP(J204,'G-3 Multipliers'!$L$3:$N$6,2,FALSE)))</f>
        <v/>
      </c>
      <c r="L204" s="305" t="str">
        <f>IF(J204="","",IF(VLOOKUP(J204,'G-3 Multipliers'!$L$3:$N$6,3,FALSE)=0,"Spatial Data Missing",VLOOKUP(J204,'G-3 Multipliers'!$L$3:$N$6,3,FALSE)))</f>
        <v/>
      </c>
      <c r="M204" s="138"/>
      <c r="N204" s="282" t="str">
        <f>IF(M204="","",IF(VLOOKUP(M204,'G-3 Multipliers'!$S$3:$T$10,2,FALSE)=0,"Spatial Data Missing ⚠",VLOOKUP(M204,'G-3 Multipliers'!$S$3:$T$10,2,FALSE)))</f>
        <v/>
      </c>
      <c r="O204" s="281" t="str">
        <f>IF(OR(D204="",H204=""),"",(INDEX('G-6 Hedgerow Data'!$E$3:$I$15,MATCH(D204,'G-6 Hedgerow Data'!$B$3:$B$15,0),MATCH(H204,'G-6 Hedgerow Data'!$E$2:$I$2,0))))</f>
        <v/>
      </c>
      <c r="P204" s="137"/>
      <c r="Q204" s="137"/>
      <c r="R204" s="289" t="str">
        <f t="shared" si="15"/>
        <v/>
      </c>
      <c r="S204" s="302" t="str">
        <f t="shared" si="16"/>
        <v/>
      </c>
      <c r="T204" s="303" t="str">
        <f t="shared" ref="T204:T259" si="21">IF(D204="","",IF(S204="Check Data ⚠","Check Data ⚠",VLOOKUP(S204,TemporalMultipliers,3,FALSE)))</f>
        <v/>
      </c>
      <c r="U204" s="317" t="str">
        <f>IF(D204="","",VLOOKUP(D204,'G-6 Hedgerow Data'!$B$3:$AG$15,31,FALSE))</f>
        <v/>
      </c>
      <c r="V204" s="301" t="str">
        <f t="shared" si="17"/>
        <v/>
      </c>
      <c r="W204" s="289" t="str">
        <f t="shared" si="18"/>
        <v/>
      </c>
      <c r="X204" s="305" t="str">
        <f>IF(F204="","",VLOOKUP(U204,'G-3 Multipliers'!$P$3:$Q$6,2,FALSE))</f>
        <v/>
      </c>
      <c r="Y204" s="309" t="str">
        <f t="shared" si="19"/>
        <v/>
      </c>
      <c r="Z204" s="309" t="str">
        <f t="shared" si="20"/>
        <v/>
      </c>
      <c r="AA204" s="105"/>
      <c r="AB204" s="968"/>
      <c r="AC204" s="142"/>
      <c r="AD204" s="142"/>
      <c r="AE204" s="964"/>
      <c r="AH204" s="30" t="str">
        <f>IFERROR(INDEX('G-6 Hedgerow Data'!$BJ$3:$BJ$15,MATCH(D204,'G-6 Hedgerow Data'!$B$3:$B$15,0)),"")</f>
        <v/>
      </c>
    </row>
    <row r="205" spans="2:34" ht="13.8" x14ac:dyDescent="0.25">
      <c r="B205" s="101">
        <v>194</v>
      </c>
      <c r="C205" s="175"/>
      <c r="D205" s="58"/>
      <c r="E205" s="142"/>
      <c r="F205" s="281" t="str">
        <f>IF(D205="","",VLOOKUP(D205,'G-6 Hedgerow Data'!$B$2:$AG$15,2,FALSE))</f>
        <v/>
      </c>
      <c r="G205" s="305" t="str">
        <f>IF(D205="","",VLOOKUP(D205,'G-6 Hedgerow Data'!$B$2:$AG$15,3,FALSE))</f>
        <v/>
      </c>
      <c r="H205" s="53"/>
      <c r="I205" s="282" t="str">
        <f>IFERROR(IF(H205="","",IF(AND(D205="Non-native and ornamental hedgerow", H205&lt;&gt;"Poor"),"Not possible ▲", (IF(AND(F205="V.Low",OR(H205="Good",H205="Moderate")),"Error ▲",VLOOKUP(H205,'G-1 All Habitats'!$Z$2:$AA$9,2,FALSE))))),"")</f>
        <v/>
      </c>
      <c r="J205" s="106"/>
      <c r="K205" s="301" t="str">
        <f>IF(J205="","",IF(VLOOKUP(J205,'G-3 Multipliers'!$L$3:$N$6,2,FALSE)=0,"Spatial Data Missing",VLOOKUP(J205,'G-3 Multipliers'!$L$3:$N$6,2,FALSE)))</f>
        <v/>
      </c>
      <c r="L205" s="305" t="str">
        <f>IF(J205="","",IF(VLOOKUP(J205,'G-3 Multipliers'!$L$3:$N$6,3,FALSE)=0,"Spatial Data Missing",VLOOKUP(J205,'G-3 Multipliers'!$L$3:$N$6,3,FALSE)))</f>
        <v/>
      </c>
      <c r="M205" s="138"/>
      <c r="N205" s="282" t="str">
        <f>IF(M205="","",IF(VLOOKUP(M205,'G-3 Multipliers'!$S$3:$T$10,2,FALSE)=0,"Spatial Data Missing ⚠",VLOOKUP(M205,'G-3 Multipliers'!$S$3:$T$10,2,FALSE)))</f>
        <v/>
      </c>
      <c r="O205" s="281" t="str">
        <f>IF(OR(D205="",H205=""),"",(INDEX('G-6 Hedgerow Data'!$E$3:$I$15,MATCH(D205,'G-6 Hedgerow Data'!$B$3:$B$15,0),MATCH(H205,'G-6 Hedgerow Data'!$E$2:$I$2,0))))</f>
        <v/>
      </c>
      <c r="P205" s="137"/>
      <c r="Q205" s="137"/>
      <c r="R205" s="289"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02" t="str">
        <f t="shared" ref="S205:S259" si="23">IF(O205="","",IF(R205="Error -both advance and delayed habitat creation ▲","Check Data ⚠",IF(O205="Not possible ▲", "Check data ⚠",IF(OR(P205="30+",P205="Habitat already in target condition"),0,IF(Q205="30+","30+",IF(AND(O205="30+",OR(P205="",P205=0)),"30+",IF(AND(O205="30+",P205&gt;0),30-P205,IF(O205+Q205&gt;30,"30+",IF(O205+Q205-P205&gt;0,O205+Q205-P205,IF(O205-P205&lt;0,0,O205+Q205-P205))))))))))</f>
        <v/>
      </c>
      <c r="T205" s="303" t="str">
        <f t="shared" si="21"/>
        <v/>
      </c>
      <c r="U205" s="317" t="str">
        <f>IF(D205="","",VLOOKUP(D205,'G-6 Hedgerow Data'!$B$3:$AG$15,31,FALSE))</f>
        <v/>
      </c>
      <c r="V205" s="301" t="str">
        <f t="shared" ref="V205:V259" si="24">IF(D205="","",IF(S205="Check Data ⚠","Check Data ⚠",IF(H205="","",IF($R205="Check details - Is there evidence that habitat has reached target condition? ⚠","Low Difficulty - only applicable if all habitat created before losses ⚠","Standard difficulty applied"))))</f>
        <v/>
      </c>
      <c r="W205" s="289" t="str">
        <f t="shared" ref="W205:W259" si="25">(IF(AND(V205="Standard difficulty applied",O205&gt;P205),U205,IF(S205="Check data ⚠","Check data ⚠",IF(AND(V205="Low Difficulty - only applicable if all habitat created before losses ⚠",P205&gt;=O205),"Low",U205))))</f>
        <v/>
      </c>
      <c r="X205" s="305" t="str">
        <f>IF(F205="","",VLOOKUP(U205,'G-3 Multipliers'!$P$3:$Q$6,2,FALSE))</f>
        <v/>
      </c>
      <c r="Y205" s="309" t="str">
        <f t="shared" ref="Y205:Y259" si="26">IFERROR(E205*G205*I205*L205*T205*X205*N205,"")</f>
        <v/>
      </c>
      <c r="Z205" s="309" t="str">
        <f t="shared" ref="Z205:Z259" si="27">IFERROR(IF(AND(M205&lt;&gt;"",AD205=""), "Off-site reference required ▲",(IF(M205="","", E205*G205*I205*L205*T205*X205))),"")</f>
        <v/>
      </c>
      <c r="AA205" s="105"/>
      <c r="AB205" s="968"/>
      <c r="AC205" s="142"/>
      <c r="AD205" s="142"/>
      <c r="AE205" s="964"/>
      <c r="AH205" s="30" t="str">
        <f>IFERROR(INDEX('G-6 Hedgerow Data'!$BJ$3:$BJ$15,MATCH(D205,'G-6 Hedgerow Data'!$B$3:$B$15,0)),"")</f>
        <v/>
      </c>
    </row>
    <row r="206" spans="2:34" ht="13.8" x14ac:dyDescent="0.25">
      <c r="B206" s="101">
        <v>195</v>
      </c>
      <c r="C206" s="175"/>
      <c r="D206" s="58"/>
      <c r="E206" s="142"/>
      <c r="F206" s="281" t="str">
        <f>IF(D206="","",VLOOKUP(D206,'G-6 Hedgerow Data'!$B$2:$AG$15,2,FALSE))</f>
        <v/>
      </c>
      <c r="G206" s="305" t="str">
        <f>IF(D206="","",VLOOKUP(D206,'G-6 Hedgerow Data'!$B$2:$AG$15,3,FALSE))</f>
        <v/>
      </c>
      <c r="H206" s="53"/>
      <c r="I206" s="282" t="str">
        <f>IFERROR(IF(H206="","",IF(AND(D206="Non-native and ornamental hedgerow", H206&lt;&gt;"Poor"),"Not possible ▲", (IF(AND(F206="V.Low",OR(H206="Good",H206="Moderate")),"Error ▲",VLOOKUP(H206,'G-1 All Habitats'!$Z$2:$AA$9,2,FALSE))))),"")</f>
        <v/>
      </c>
      <c r="J206" s="106"/>
      <c r="K206" s="301" t="str">
        <f>IF(J206="","",IF(VLOOKUP(J206,'G-3 Multipliers'!$L$3:$N$6,2,FALSE)=0,"Spatial Data Missing",VLOOKUP(J206,'G-3 Multipliers'!$L$3:$N$6,2,FALSE)))</f>
        <v/>
      </c>
      <c r="L206" s="305" t="str">
        <f>IF(J206="","",IF(VLOOKUP(J206,'G-3 Multipliers'!$L$3:$N$6,3,FALSE)=0,"Spatial Data Missing",VLOOKUP(J206,'G-3 Multipliers'!$L$3:$N$6,3,FALSE)))</f>
        <v/>
      </c>
      <c r="M206" s="138"/>
      <c r="N206" s="282" t="str">
        <f>IF(M206="","",IF(VLOOKUP(M206,'G-3 Multipliers'!$S$3:$T$10,2,FALSE)=0,"Spatial Data Missing ⚠",VLOOKUP(M206,'G-3 Multipliers'!$S$3:$T$10,2,FALSE)))</f>
        <v/>
      </c>
      <c r="O206" s="281" t="str">
        <f>IF(OR(D206="",H206=""),"",(INDEX('G-6 Hedgerow Data'!$E$3:$I$15,MATCH(D206,'G-6 Hedgerow Data'!$B$3:$B$15,0),MATCH(H206,'G-6 Hedgerow Data'!$E$2:$I$2,0))))</f>
        <v/>
      </c>
      <c r="P206" s="137"/>
      <c r="Q206" s="137"/>
      <c r="R206" s="289" t="str">
        <f t="shared" si="22"/>
        <v/>
      </c>
      <c r="S206" s="302" t="str">
        <f t="shared" si="23"/>
        <v/>
      </c>
      <c r="T206" s="303" t="str">
        <f t="shared" si="21"/>
        <v/>
      </c>
      <c r="U206" s="317" t="str">
        <f>IF(D206="","",VLOOKUP(D206,'G-6 Hedgerow Data'!$B$3:$AG$15,31,FALSE))</f>
        <v/>
      </c>
      <c r="V206" s="301" t="str">
        <f t="shared" si="24"/>
        <v/>
      </c>
      <c r="W206" s="289" t="str">
        <f t="shared" si="25"/>
        <v/>
      </c>
      <c r="X206" s="305" t="str">
        <f>IF(F206="","",VLOOKUP(U206,'G-3 Multipliers'!$P$3:$Q$6,2,FALSE))</f>
        <v/>
      </c>
      <c r="Y206" s="309" t="str">
        <f t="shared" si="26"/>
        <v/>
      </c>
      <c r="Z206" s="309" t="str">
        <f t="shared" si="27"/>
        <v/>
      </c>
      <c r="AA206" s="105"/>
      <c r="AB206" s="968"/>
      <c r="AC206" s="142"/>
      <c r="AD206" s="142"/>
      <c r="AE206" s="964"/>
      <c r="AH206" s="30" t="str">
        <f>IFERROR(INDEX('G-6 Hedgerow Data'!$BJ$3:$BJ$15,MATCH(D206,'G-6 Hedgerow Data'!$B$3:$B$15,0)),"")</f>
        <v/>
      </c>
    </row>
    <row r="207" spans="2:34" ht="13.8" x14ac:dyDescent="0.25">
      <c r="B207" s="101">
        <v>196</v>
      </c>
      <c r="C207" s="175"/>
      <c r="D207" s="58"/>
      <c r="E207" s="142"/>
      <c r="F207" s="281" t="str">
        <f>IF(D207="","",VLOOKUP(D207,'G-6 Hedgerow Data'!$B$2:$AG$15,2,FALSE))</f>
        <v/>
      </c>
      <c r="G207" s="305" t="str">
        <f>IF(D207="","",VLOOKUP(D207,'G-6 Hedgerow Data'!$B$2:$AG$15,3,FALSE))</f>
        <v/>
      </c>
      <c r="H207" s="53"/>
      <c r="I207" s="282" t="str">
        <f>IFERROR(IF(H207="","",IF(AND(D207="Non-native and ornamental hedgerow", H207&lt;&gt;"Poor"),"Not possible ▲", (IF(AND(F207="V.Low",OR(H207="Good",H207="Moderate")),"Error ▲",VLOOKUP(H207,'G-1 All Habitats'!$Z$2:$AA$9,2,FALSE))))),"")</f>
        <v/>
      </c>
      <c r="J207" s="106"/>
      <c r="K207" s="301" t="str">
        <f>IF(J207="","",IF(VLOOKUP(J207,'G-3 Multipliers'!$L$3:$N$6,2,FALSE)=0,"Spatial Data Missing",VLOOKUP(J207,'G-3 Multipliers'!$L$3:$N$6,2,FALSE)))</f>
        <v/>
      </c>
      <c r="L207" s="305" t="str">
        <f>IF(J207="","",IF(VLOOKUP(J207,'G-3 Multipliers'!$L$3:$N$6,3,FALSE)=0,"Spatial Data Missing",VLOOKUP(J207,'G-3 Multipliers'!$L$3:$N$6,3,FALSE)))</f>
        <v/>
      </c>
      <c r="M207" s="138"/>
      <c r="N207" s="282" t="str">
        <f>IF(M207="","",IF(VLOOKUP(M207,'G-3 Multipliers'!$S$3:$T$10,2,FALSE)=0,"Spatial Data Missing ⚠",VLOOKUP(M207,'G-3 Multipliers'!$S$3:$T$10,2,FALSE)))</f>
        <v/>
      </c>
      <c r="O207" s="281" t="str">
        <f>IF(OR(D207="",H207=""),"",(INDEX('G-6 Hedgerow Data'!$E$3:$I$15,MATCH(D207,'G-6 Hedgerow Data'!$B$3:$B$15,0),MATCH(H207,'G-6 Hedgerow Data'!$E$2:$I$2,0))))</f>
        <v/>
      </c>
      <c r="P207" s="137"/>
      <c r="Q207" s="137"/>
      <c r="R207" s="289" t="str">
        <f t="shared" si="22"/>
        <v/>
      </c>
      <c r="S207" s="302" t="str">
        <f t="shared" si="23"/>
        <v/>
      </c>
      <c r="T207" s="303" t="str">
        <f t="shared" si="21"/>
        <v/>
      </c>
      <c r="U207" s="317" t="str">
        <f>IF(D207="","",VLOOKUP(D207,'G-6 Hedgerow Data'!$B$3:$AG$15,31,FALSE))</f>
        <v/>
      </c>
      <c r="V207" s="301" t="str">
        <f t="shared" si="24"/>
        <v/>
      </c>
      <c r="W207" s="289" t="str">
        <f t="shared" si="25"/>
        <v/>
      </c>
      <c r="X207" s="305" t="str">
        <f>IF(F207="","",VLOOKUP(U207,'G-3 Multipliers'!$P$3:$Q$6,2,FALSE))</f>
        <v/>
      </c>
      <c r="Y207" s="309" t="str">
        <f t="shared" si="26"/>
        <v/>
      </c>
      <c r="Z207" s="309" t="str">
        <f t="shared" si="27"/>
        <v/>
      </c>
      <c r="AA207" s="105"/>
      <c r="AB207" s="968"/>
      <c r="AC207" s="142"/>
      <c r="AD207" s="142"/>
      <c r="AE207" s="964"/>
      <c r="AH207" s="30" t="str">
        <f>IFERROR(INDEX('G-6 Hedgerow Data'!$BJ$3:$BJ$15,MATCH(D207,'G-6 Hedgerow Data'!$B$3:$B$15,0)),"")</f>
        <v/>
      </c>
    </row>
    <row r="208" spans="2:34" ht="13.8" x14ac:dyDescent="0.25">
      <c r="B208" s="101">
        <v>197</v>
      </c>
      <c r="C208" s="175"/>
      <c r="D208" s="58"/>
      <c r="E208" s="142"/>
      <c r="F208" s="281" t="str">
        <f>IF(D208="","",VLOOKUP(D208,'G-6 Hedgerow Data'!$B$2:$AG$15,2,FALSE))</f>
        <v/>
      </c>
      <c r="G208" s="305" t="str">
        <f>IF(D208="","",VLOOKUP(D208,'G-6 Hedgerow Data'!$B$2:$AG$15,3,FALSE))</f>
        <v/>
      </c>
      <c r="H208" s="53"/>
      <c r="I208" s="282" t="str">
        <f>IFERROR(IF(H208="","",IF(AND(D208="Non-native and ornamental hedgerow", H208&lt;&gt;"Poor"),"Not possible ▲", (IF(AND(F208="V.Low",OR(H208="Good",H208="Moderate")),"Error ▲",VLOOKUP(H208,'G-1 All Habitats'!$Z$2:$AA$9,2,FALSE))))),"")</f>
        <v/>
      </c>
      <c r="J208" s="106"/>
      <c r="K208" s="301" t="str">
        <f>IF(J208="","",IF(VLOOKUP(J208,'G-3 Multipliers'!$L$3:$N$6,2,FALSE)=0,"Spatial Data Missing",VLOOKUP(J208,'G-3 Multipliers'!$L$3:$N$6,2,FALSE)))</f>
        <v/>
      </c>
      <c r="L208" s="305" t="str">
        <f>IF(J208="","",IF(VLOOKUP(J208,'G-3 Multipliers'!$L$3:$N$6,3,FALSE)=0,"Spatial Data Missing",VLOOKUP(J208,'G-3 Multipliers'!$L$3:$N$6,3,FALSE)))</f>
        <v/>
      </c>
      <c r="M208" s="138"/>
      <c r="N208" s="282" t="str">
        <f>IF(M208="","",IF(VLOOKUP(M208,'G-3 Multipliers'!$S$3:$T$10,2,FALSE)=0,"Spatial Data Missing ⚠",VLOOKUP(M208,'G-3 Multipliers'!$S$3:$T$10,2,FALSE)))</f>
        <v/>
      </c>
      <c r="O208" s="281" t="str">
        <f>IF(OR(D208="",H208=""),"",(INDEX('G-6 Hedgerow Data'!$E$3:$I$15,MATCH(D208,'G-6 Hedgerow Data'!$B$3:$B$15,0),MATCH(H208,'G-6 Hedgerow Data'!$E$2:$I$2,0))))</f>
        <v/>
      </c>
      <c r="P208" s="137"/>
      <c r="Q208" s="137"/>
      <c r="R208" s="289" t="str">
        <f t="shared" si="22"/>
        <v/>
      </c>
      <c r="S208" s="302" t="str">
        <f t="shared" si="23"/>
        <v/>
      </c>
      <c r="T208" s="303" t="str">
        <f t="shared" si="21"/>
        <v/>
      </c>
      <c r="U208" s="317" t="str">
        <f>IF(D208="","",VLOOKUP(D208,'G-6 Hedgerow Data'!$B$3:$AG$15,31,FALSE))</f>
        <v/>
      </c>
      <c r="V208" s="301" t="str">
        <f t="shared" si="24"/>
        <v/>
      </c>
      <c r="W208" s="289" t="str">
        <f t="shared" si="25"/>
        <v/>
      </c>
      <c r="X208" s="305" t="str">
        <f>IF(F208="","",VLOOKUP(U208,'G-3 Multipliers'!$P$3:$Q$6,2,FALSE))</f>
        <v/>
      </c>
      <c r="Y208" s="309" t="str">
        <f t="shared" si="26"/>
        <v/>
      </c>
      <c r="Z208" s="309" t="str">
        <f t="shared" si="27"/>
        <v/>
      </c>
      <c r="AA208" s="105"/>
      <c r="AB208" s="968"/>
      <c r="AC208" s="142"/>
      <c r="AD208" s="142"/>
      <c r="AE208" s="964"/>
      <c r="AH208" s="30" t="str">
        <f>IFERROR(INDEX('G-6 Hedgerow Data'!$BJ$3:$BJ$15,MATCH(D208,'G-6 Hedgerow Data'!$B$3:$B$15,0)),"")</f>
        <v/>
      </c>
    </row>
    <row r="209" spans="2:34" ht="13.8" x14ac:dyDescent="0.25">
      <c r="B209" s="101">
        <v>198</v>
      </c>
      <c r="C209" s="175"/>
      <c r="D209" s="58"/>
      <c r="E209" s="142"/>
      <c r="F209" s="281" t="str">
        <f>IF(D209="","",VLOOKUP(D209,'G-6 Hedgerow Data'!$B$2:$AG$15,2,FALSE))</f>
        <v/>
      </c>
      <c r="G209" s="305" t="str">
        <f>IF(D209="","",VLOOKUP(D209,'G-6 Hedgerow Data'!$B$2:$AG$15,3,FALSE))</f>
        <v/>
      </c>
      <c r="H209" s="53"/>
      <c r="I209" s="282" t="str">
        <f>IFERROR(IF(H209="","",IF(AND(D209="Non-native and ornamental hedgerow", H209&lt;&gt;"Poor"),"Not possible ▲", (IF(AND(F209="V.Low",OR(H209="Good",H209="Moderate")),"Error ▲",VLOOKUP(H209,'G-1 All Habitats'!$Z$2:$AA$9,2,FALSE))))),"")</f>
        <v/>
      </c>
      <c r="J209" s="106"/>
      <c r="K209" s="301" t="str">
        <f>IF(J209="","",IF(VLOOKUP(J209,'G-3 Multipliers'!$L$3:$N$6,2,FALSE)=0,"Spatial Data Missing",VLOOKUP(J209,'G-3 Multipliers'!$L$3:$N$6,2,FALSE)))</f>
        <v/>
      </c>
      <c r="L209" s="305" t="str">
        <f>IF(J209="","",IF(VLOOKUP(J209,'G-3 Multipliers'!$L$3:$N$6,3,FALSE)=0,"Spatial Data Missing",VLOOKUP(J209,'G-3 Multipliers'!$L$3:$N$6,3,FALSE)))</f>
        <v/>
      </c>
      <c r="M209" s="138"/>
      <c r="N209" s="282" t="str">
        <f>IF(M209="","",IF(VLOOKUP(M209,'G-3 Multipliers'!$S$3:$T$10,2,FALSE)=0,"Spatial Data Missing ⚠",VLOOKUP(M209,'G-3 Multipliers'!$S$3:$T$10,2,FALSE)))</f>
        <v/>
      </c>
      <c r="O209" s="281" t="str">
        <f>IF(OR(D209="",H209=""),"",(INDEX('G-6 Hedgerow Data'!$E$3:$I$15,MATCH(D209,'G-6 Hedgerow Data'!$B$3:$B$15,0),MATCH(H209,'G-6 Hedgerow Data'!$E$2:$I$2,0))))</f>
        <v/>
      </c>
      <c r="P209" s="137"/>
      <c r="Q209" s="137"/>
      <c r="R209" s="289" t="str">
        <f t="shared" si="22"/>
        <v/>
      </c>
      <c r="S209" s="302" t="str">
        <f t="shared" si="23"/>
        <v/>
      </c>
      <c r="T209" s="303" t="str">
        <f t="shared" si="21"/>
        <v/>
      </c>
      <c r="U209" s="317" t="str">
        <f>IF(D209="","",VLOOKUP(D209,'G-6 Hedgerow Data'!$B$3:$AG$15,31,FALSE))</f>
        <v/>
      </c>
      <c r="V209" s="301" t="str">
        <f t="shared" si="24"/>
        <v/>
      </c>
      <c r="W209" s="289" t="str">
        <f t="shared" si="25"/>
        <v/>
      </c>
      <c r="X209" s="305" t="str">
        <f>IF(F209="","",VLOOKUP(U209,'G-3 Multipliers'!$P$3:$Q$6,2,FALSE))</f>
        <v/>
      </c>
      <c r="Y209" s="309" t="str">
        <f t="shared" si="26"/>
        <v/>
      </c>
      <c r="Z209" s="309" t="str">
        <f t="shared" si="27"/>
        <v/>
      </c>
      <c r="AA209" s="105"/>
      <c r="AB209" s="968"/>
      <c r="AC209" s="142"/>
      <c r="AD209" s="142"/>
      <c r="AE209" s="964"/>
      <c r="AH209" s="30" t="str">
        <f>IFERROR(INDEX('G-6 Hedgerow Data'!$BJ$3:$BJ$15,MATCH(D209,'G-6 Hedgerow Data'!$B$3:$B$15,0)),"")</f>
        <v/>
      </c>
    </row>
    <row r="210" spans="2:34" ht="13.8" x14ac:dyDescent="0.25">
      <c r="B210" s="101">
        <v>199</v>
      </c>
      <c r="C210" s="175"/>
      <c r="D210" s="58"/>
      <c r="E210" s="142"/>
      <c r="F210" s="281" t="str">
        <f>IF(D210="","",VLOOKUP(D210,'G-6 Hedgerow Data'!$B$2:$AG$15,2,FALSE))</f>
        <v/>
      </c>
      <c r="G210" s="305" t="str">
        <f>IF(D210="","",VLOOKUP(D210,'G-6 Hedgerow Data'!$B$2:$AG$15,3,FALSE))</f>
        <v/>
      </c>
      <c r="H210" s="53"/>
      <c r="I210" s="282" t="str">
        <f>IFERROR(IF(H210="","",IF(AND(D210="Non-native and ornamental hedgerow", H210&lt;&gt;"Poor"),"Not possible ▲", (IF(AND(F210="V.Low",OR(H210="Good",H210="Moderate")),"Error ▲",VLOOKUP(H210,'G-1 All Habitats'!$Z$2:$AA$9,2,FALSE))))),"")</f>
        <v/>
      </c>
      <c r="J210" s="106"/>
      <c r="K210" s="301" t="str">
        <f>IF(J210="","",IF(VLOOKUP(J210,'G-3 Multipliers'!$L$3:$N$6,2,FALSE)=0,"Spatial Data Missing",VLOOKUP(J210,'G-3 Multipliers'!$L$3:$N$6,2,FALSE)))</f>
        <v/>
      </c>
      <c r="L210" s="305" t="str">
        <f>IF(J210="","",IF(VLOOKUP(J210,'G-3 Multipliers'!$L$3:$N$6,3,FALSE)=0,"Spatial Data Missing",VLOOKUP(J210,'G-3 Multipliers'!$L$3:$N$6,3,FALSE)))</f>
        <v/>
      </c>
      <c r="M210" s="138"/>
      <c r="N210" s="282" t="str">
        <f>IF(M210="","",IF(VLOOKUP(M210,'G-3 Multipliers'!$S$3:$T$10,2,FALSE)=0,"Spatial Data Missing ⚠",VLOOKUP(M210,'G-3 Multipliers'!$S$3:$T$10,2,FALSE)))</f>
        <v/>
      </c>
      <c r="O210" s="281" t="str">
        <f>IF(OR(D210="",H210=""),"",(INDEX('G-6 Hedgerow Data'!$E$3:$I$15,MATCH(D210,'G-6 Hedgerow Data'!$B$3:$B$15,0),MATCH(H210,'G-6 Hedgerow Data'!$E$2:$I$2,0))))</f>
        <v/>
      </c>
      <c r="P210" s="137"/>
      <c r="Q210" s="137"/>
      <c r="R210" s="289" t="str">
        <f t="shared" si="22"/>
        <v/>
      </c>
      <c r="S210" s="302" t="str">
        <f t="shared" si="23"/>
        <v/>
      </c>
      <c r="T210" s="303" t="str">
        <f t="shared" si="21"/>
        <v/>
      </c>
      <c r="U210" s="317" t="str">
        <f>IF(D210="","",VLOOKUP(D210,'G-6 Hedgerow Data'!$B$3:$AG$15,31,FALSE))</f>
        <v/>
      </c>
      <c r="V210" s="301" t="str">
        <f t="shared" si="24"/>
        <v/>
      </c>
      <c r="W210" s="289" t="str">
        <f t="shared" si="25"/>
        <v/>
      </c>
      <c r="X210" s="305" t="str">
        <f>IF(F210="","",VLOOKUP(U210,'G-3 Multipliers'!$P$3:$Q$6,2,FALSE))</f>
        <v/>
      </c>
      <c r="Y210" s="309" t="str">
        <f t="shared" si="26"/>
        <v/>
      </c>
      <c r="Z210" s="309" t="str">
        <f t="shared" si="27"/>
        <v/>
      </c>
      <c r="AA210" s="105"/>
      <c r="AB210" s="968"/>
      <c r="AC210" s="142"/>
      <c r="AD210" s="142"/>
      <c r="AE210" s="964"/>
      <c r="AH210" s="30" t="str">
        <f>IFERROR(INDEX('G-6 Hedgerow Data'!$BJ$3:$BJ$15,MATCH(D210,'G-6 Hedgerow Data'!$B$3:$B$15,0)),"")</f>
        <v/>
      </c>
    </row>
    <row r="211" spans="2:34" ht="13.8" x14ac:dyDescent="0.25">
      <c r="B211" s="101">
        <v>200</v>
      </c>
      <c r="C211" s="175"/>
      <c r="D211" s="58"/>
      <c r="E211" s="142"/>
      <c r="F211" s="281" t="str">
        <f>IF(D211="","",VLOOKUP(D211,'G-6 Hedgerow Data'!$B$2:$AG$15,2,FALSE))</f>
        <v/>
      </c>
      <c r="G211" s="305" t="str">
        <f>IF(D211="","",VLOOKUP(D211,'G-6 Hedgerow Data'!$B$2:$AG$15,3,FALSE))</f>
        <v/>
      </c>
      <c r="H211" s="53"/>
      <c r="I211" s="282" t="str">
        <f>IFERROR(IF(H211="","",IF(AND(D211="Non-native and ornamental hedgerow", H211&lt;&gt;"Poor"),"Not possible ▲", (IF(AND(F211="V.Low",OR(H211="Good",H211="Moderate")),"Error ▲",VLOOKUP(H211,'G-1 All Habitats'!$Z$2:$AA$9,2,FALSE))))),"")</f>
        <v/>
      </c>
      <c r="J211" s="106"/>
      <c r="K211" s="301" t="str">
        <f>IF(J211="","",IF(VLOOKUP(J211,'G-3 Multipliers'!$L$3:$N$6,2,FALSE)=0,"Spatial Data Missing",VLOOKUP(J211,'G-3 Multipliers'!$L$3:$N$6,2,FALSE)))</f>
        <v/>
      </c>
      <c r="L211" s="305" t="str">
        <f>IF(J211="","",IF(VLOOKUP(J211,'G-3 Multipliers'!$L$3:$N$6,3,FALSE)=0,"Spatial Data Missing",VLOOKUP(J211,'G-3 Multipliers'!$L$3:$N$6,3,FALSE)))</f>
        <v/>
      </c>
      <c r="M211" s="138"/>
      <c r="N211" s="282" t="str">
        <f>IF(M211="","",IF(VLOOKUP(M211,'G-3 Multipliers'!$S$3:$T$10,2,FALSE)=0,"Spatial Data Missing ⚠",VLOOKUP(M211,'G-3 Multipliers'!$S$3:$T$10,2,FALSE)))</f>
        <v/>
      </c>
      <c r="O211" s="281" t="str">
        <f>IF(OR(D211="",H211=""),"",(INDEX('G-6 Hedgerow Data'!$E$3:$I$15,MATCH(D211,'G-6 Hedgerow Data'!$B$3:$B$15,0),MATCH(H211,'G-6 Hedgerow Data'!$E$2:$I$2,0))))</f>
        <v/>
      </c>
      <c r="P211" s="137"/>
      <c r="Q211" s="137"/>
      <c r="R211" s="289" t="str">
        <f t="shared" si="22"/>
        <v/>
      </c>
      <c r="S211" s="302" t="str">
        <f t="shared" si="23"/>
        <v/>
      </c>
      <c r="T211" s="303" t="str">
        <f t="shared" si="21"/>
        <v/>
      </c>
      <c r="U211" s="317" t="str">
        <f>IF(D211="","",VLOOKUP(D211,'G-6 Hedgerow Data'!$B$3:$AG$15,31,FALSE))</f>
        <v/>
      </c>
      <c r="V211" s="301" t="str">
        <f t="shared" si="24"/>
        <v/>
      </c>
      <c r="W211" s="289" t="str">
        <f t="shared" si="25"/>
        <v/>
      </c>
      <c r="X211" s="305" t="str">
        <f>IF(F211="","",VLOOKUP(U211,'G-3 Multipliers'!$P$3:$Q$6,2,FALSE))</f>
        <v/>
      </c>
      <c r="Y211" s="309" t="str">
        <f t="shared" si="26"/>
        <v/>
      </c>
      <c r="Z211" s="309" t="str">
        <f t="shared" si="27"/>
        <v/>
      </c>
      <c r="AA211" s="105"/>
      <c r="AB211" s="968"/>
      <c r="AC211" s="142"/>
      <c r="AD211" s="142"/>
      <c r="AE211" s="964"/>
      <c r="AH211" s="30" t="str">
        <f>IFERROR(INDEX('G-6 Hedgerow Data'!$BJ$3:$BJ$15,MATCH(D211,'G-6 Hedgerow Data'!$B$3:$B$15,0)),"")</f>
        <v/>
      </c>
    </row>
    <row r="212" spans="2:34" ht="13.8" x14ac:dyDescent="0.25">
      <c r="B212" s="101">
        <v>201</v>
      </c>
      <c r="C212" s="175"/>
      <c r="D212" s="58"/>
      <c r="E212" s="142"/>
      <c r="F212" s="281" t="str">
        <f>IF(D212="","",VLOOKUP(D212,'G-6 Hedgerow Data'!$B$2:$AG$15,2,FALSE))</f>
        <v/>
      </c>
      <c r="G212" s="305" t="str">
        <f>IF(D212="","",VLOOKUP(D212,'G-6 Hedgerow Data'!$B$2:$AG$15,3,FALSE))</f>
        <v/>
      </c>
      <c r="H212" s="53"/>
      <c r="I212" s="282" t="str">
        <f>IFERROR(IF(H212="","",IF(AND(D212="Non-native and ornamental hedgerow", H212&lt;&gt;"Poor"),"Not possible ▲", (IF(AND(F212="V.Low",OR(H212="Good",H212="Moderate")),"Error ▲",VLOOKUP(H212,'G-1 All Habitats'!$Z$2:$AA$9,2,FALSE))))),"")</f>
        <v/>
      </c>
      <c r="J212" s="106"/>
      <c r="K212" s="301" t="str">
        <f>IF(J212="","",IF(VLOOKUP(J212,'G-3 Multipliers'!$L$3:$N$6,2,FALSE)=0,"Spatial Data Missing",VLOOKUP(J212,'G-3 Multipliers'!$L$3:$N$6,2,FALSE)))</f>
        <v/>
      </c>
      <c r="L212" s="305" t="str">
        <f>IF(J212="","",IF(VLOOKUP(J212,'G-3 Multipliers'!$L$3:$N$6,3,FALSE)=0,"Spatial Data Missing",VLOOKUP(J212,'G-3 Multipliers'!$L$3:$N$6,3,FALSE)))</f>
        <v/>
      </c>
      <c r="M212" s="138"/>
      <c r="N212" s="282" t="str">
        <f>IF(M212="","",IF(VLOOKUP(M212,'G-3 Multipliers'!$S$3:$T$10,2,FALSE)=0,"Spatial Data Missing ⚠",VLOOKUP(M212,'G-3 Multipliers'!$S$3:$T$10,2,FALSE)))</f>
        <v/>
      </c>
      <c r="O212" s="281" t="str">
        <f>IF(OR(D212="",H212=""),"",(INDEX('G-6 Hedgerow Data'!$E$3:$I$15,MATCH(D212,'G-6 Hedgerow Data'!$B$3:$B$15,0),MATCH(H212,'G-6 Hedgerow Data'!$E$2:$I$2,0))))</f>
        <v/>
      </c>
      <c r="P212" s="137"/>
      <c r="Q212" s="137"/>
      <c r="R212" s="289" t="str">
        <f t="shared" si="22"/>
        <v/>
      </c>
      <c r="S212" s="302" t="str">
        <f t="shared" si="23"/>
        <v/>
      </c>
      <c r="T212" s="303" t="str">
        <f t="shared" si="21"/>
        <v/>
      </c>
      <c r="U212" s="317" t="str">
        <f>IF(D212="","",VLOOKUP(D212,'G-6 Hedgerow Data'!$B$3:$AG$15,31,FALSE))</f>
        <v/>
      </c>
      <c r="V212" s="301" t="str">
        <f t="shared" si="24"/>
        <v/>
      </c>
      <c r="W212" s="289" t="str">
        <f t="shared" si="25"/>
        <v/>
      </c>
      <c r="X212" s="305" t="str">
        <f>IF(F212="","",VLOOKUP(U212,'G-3 Multipliers'!$P$3:$Q$6,2,FALSE))</f>
        <v/>
      </c>
      <c r="Y212" s="309" t="str">
        <f t="shared" si="26"/>
        <v/>
      </c>
      <c r="Z212" s="309" t="str">
        <f t="shared" si="27"/>
        <v/>
      </c>
      <c r="AA212" s="105"/>
      <c r="AB212" s="968"/>
      <c r="AC212" s="142"/>
      <c r="AD212" s="142"/>
      <c r="AE212" s="964"/>
      <c r="AH212" s="30" t="str">
        <f>IFERROR(INDEX('G-6 Hedgerow Data'!$BJ$3:$BJ$15,MATCH(D212,'G-6 Hedgerow Data'!$B$3:$B$15,0)),"")</f>
        <v/>
      </c>
    </row>
    <row r="213" spans="2:34" ht="13.8" x14ac:dyDescent="0.25">
      <c r="B213" s="101">
        <v>202</v>
      </c>
      <c r="C213" s="175"/>
      <c r="D213" s="58"/>
      <c r="E213" s="142"/>
      <c r="F213" s="281" t="str">
        <f>IF(D213="","",VLOOKUP(D213,'G-6 Hedgerow Data'!$B$2:$AG$15,2,FALSE))</f>
        <v/>
      </c>
      <c r="G213" s="305" t="str">
        <f>IF(D213="","",VLOOKUP(D213,'G-6 Hedgerow Data'!$B$2:$AG$15,3,FALSE))</f>
        <v/>
      </c>
      <c r="H213" s="53"/>
      <c r="I213" s="282" t="str">
        <f>IFERROR(IF(H213="","",IF(AND(D213="Non-native and ornamental hedgerow", H213&lt;&gt;"Poor"),"Not possible ▲", (IF(AND(F213="V.Low",OR(H213="Good",H213="Moderate")),"Error ▲",VLOOKUP(H213,'G-1 All Habitats'!$Z$2:$AA$9,2,FALSE))))),"")</f>
        <v/>
      </c>
      <c r="J213" s="106"/>
      <c r="K213" s="301" t="str">
        <f>IF(J213="","",IF(VLOOKUP(J213,'G-3 Multipliers'!$L$3:$N$6,2,FALSE)=0,"Spatial Data Missing",VLOOKUP(J213,'G-3 Multipliers'!$L$3:$N$6,2,FALSE)))</f>
        <v/>
      </c>
      <c r="L213" s="305" t="str">
        <f>IF(J213="","",IF(VLOOKUP(J213,'G-3 Multipliers'!$L$3:$N$6,3,FALSE)=0,"Spatial Data Missing",VLOOKUP(J213,'G-3 Multipliers'!$L$3:$N$6,3,FALSE)))</f>
        <v/>
      </c>
      <c r="M213" s="138"/>
      <c r="N213" s="282" t="str">
        <f>IF(M213="","",IF(VLOOKUP(M213,'G-3 Multipliers'!$S$3:$T$10,2,FALSE)=0,"Spatial Data Missing ⚠",VLOOKUP(M213,'G-3 Multipliers'!$S$3:$T$10,2,FALSE)))</f>
        <v/>
      </c>
      <c r="O213" s="281" t="str">
        <f>IF(OR(D213="",H213=""),"",(INDEX('G-6 Hedgerow Data'!$E$3:$I$15,MATCH(D213,'G-6 Hedgerow Data'!$B$3:$B$15,0),MATCH(H213,'G-6 Hedgerow Data'!$E$2:$I$2,0))))</f>
        <v/>
      </c>
      <c r="P213" s="137"/>
      <c r="Q213" s="137"/>
      <c r="R213" s="289" t="str">
        <f t="shared" si="22"/>
        <v/>
      </c>
      <c r="S213" s="302" t="str">
        <f t="shared" si="23"/>
        <v/>
      </c>
      <c r="T213" s="303" t="str">
        <f t="shared" si="21"/>
        <v/>
      </c>
      <c r="U213" s="317" t="str">
        <f>IF(D213="","",VLOOKUP(D213,'G-6 Hedgerow Data'!$B$3:$AG$15,31,FALSE))</f>
        <v/>
      </c>
      <c r="V213" s="301" t="str">
        <f t="shared" si="24"/>
        <v/>
      </c>
      <c r="W213" s="289" t="str">
        <f t="shared" si="25"/>
        <v/>
      </c>
      <c r="X213" s="305" t="str">
        <f>IF(F213="","",VLOOKUP(U213,'G-3 Multipliers'!$P$3:$Q$6,2,FALSE))</f>
        <v/>
      </c>
      <c r="Y213" s="309" t="str">
        <f t="shared" si="26"/>
        <v/>
      </c>
      <c r="Z213" s="309" t="str">
        <f t="shared" si="27"/>
        <v/>
      </c>
      <c r="AA213" s="105"/>
      <c r="AB213" s="968"/>
      <c r="AC213" s="142"/>
      <c r="AD213" s="142"/>
      <c r="AE213" s="964"/>
      <c r="AH213" s="30" t="str">
        <f>IFERROR(INDEX('G-6 Hedgerow Data'!$BJ$3:$BJ$15,MATCH(D213,'G-6 Hedgerow Data'!$B$3:$B$15,0)),"")</f>
        <v/>
      </c>
    </row>
    <row r="214" spans="2:34" ht="13.8" x14ac:dyDescent="0.25">
      <c r="B214" s="101">
        <v>203</v>
      </c>
      <c r="C214" s="175"/>
      <c r="D214" s="58"/>
      <c r="E214" s="142"/>
      <c r="F214" s="281" t="str">
        <f>IF(D214="","",VLOOKUP(D214,'G-6 Hedgerow Data'!$B$2:$AG$15,2,FALSE))</f>
        <v/>
      </c>
      <c r="G214" s="305" t="str">
        <f>IF(D214="","",VLOOKUP(D214,'G-6 Hedgerow Data'!$B$2:$AG$15,3,FALSE))</f>
        <v/>
      </c>
      <c r="H214" s="53"/>
      <c r="I214" s="282" t="str">
        <f>IFERROR(IF(H214="","",IF(AND(D214="Non-native and ornamental hedgerow", H214&lt;&gt;"Poor"),"Not possible ▲", (IF(AND(F214="V.Low",OR(H214="Good",H214="Moderate")),"Error ▲",VLOOKUP(H214,'G-1 All Habitats'!$Z$2:$AA$9,2,FALSE))))),"")</f>
        <v/>
      </c>
      <c r="J214" s="106"/>
      <c r="K214" s="301" t="str">
        <f>IF(J214="","",IF(VLOOKUP(J214,'G-3 Multipliers'!$L$3:$N$6,2,FALSE)=0,"Spatial Data Missing",VLOOKUP(J214,'G-3 Multipliers'!$L$3:$N$6,2,FALSE)))</f>
        <v/>
      </c>
      <c r="L214" s="305" t="str">
        <f>IF(J214="","",IF(VLOOKUP(J214,'G-3 Multipliers'!$L$3:$N$6,3,FALSE)=0,"Spatial Data Missing",VLOOKUP(J214,'G-3 Multipliers'!$L$3:$N$6,3,FALSE)))</f>
        <v/>
      </c>
      <c r="M214" s="138"/>
      <c r="N214" s="282" t="str">
        <f>IF(M214="","",IF(VLOOKUP(M214,'G-3 Multipliers'!$S$3:$T$10,2,FALSE)=0,"Spatial Data Missing ⚠",VLOOKUP(M214,'G-3 Multipliers'!$S$3:$T$10,2,FALSE)))</f>
        <v/>
      </c>
      <c r="O214" s="281" t="str">
        <f>IF(OR(D214="",H214=""),"",(INDEX('G-6 Hedgerow Data'!$E$3:$I$15,MATCH(D214,'G-6 Hedgerow Data'!$B$3:$B$15,0),MATCH(H214,'G-6 Hedgerow Data'!$E$2:$I$2,0))))</f>
        <v/>
      </c>
      <c r="P214" s="137"/>
      <c r="Q214" s="137"/>
      <c r="R214" s="289" t="str">
        <f t="shared" si="22"/>
        <v/>
      </c>
      <c r="S214" s="302" t="str">
        <f t="shared" si="23"/>
        <v/>
      </c>
      <c r="T214" s="303" t="str">
        <f t="shared" si="21"/>
        <v/>
      </c>
      <c r="U214" s="317" t="str">
        <f>IF(D214="","",VLOOKUP(D214,'G-6 Hedgerow Data'!$B$3:$AG$15,31,FALSE))</f>
        <v/>
      </c>
      <c r="V214" s="301" t="str">
        <f t="shared" si="24"/>
        <v/>
      </c>
      <c r="W214" s="289" t="str">
        <f t="shared" si="25"/>
        <v/>
      </c>
      <c r="X214" s="305" t="str">
        <f>IF(F214="","",VLOOKUP(U214,'G-3 Multipliers'!$P$3:$Q$6,2,FALSE))</f>
        <v/>
      </c>
      <c r="Y214" s="309" t="str">
        <f t="shared" si="26"/>
        <v/>
      </c>
      <c r="Z214" s="309" t="str">
        <f t="shared" si="27"/>
        <v/>
      </c>
      <c r="AA214" s="105"/>
      <c r="AB214" s="968"/>
      <c r="AC214" s="142"/>
      <c r="AD214" s="142"/>
      <c r="AE214" s="964"/>
      <c r="AH214" s="30" t="str">
        <f>IFERROR(INDEX('G-6 Hedgerow Data'!$BJ$3:$BJ$15,MATCH(D214,'G-6 Hedgerow Data'!$B$3:$B$15,0)),"")</f>
        <v/>
      </c>
    </row>
    <row r="215" spans="2:34" ht="13.8" x14ac:dyDescent="0.25">
      <c r="B215" s="101">
        <v>204</v>
      </c>
      <c r="C215" s="175"/>
      <c r="D215" s="58"/>
      <c r="E215" s="142"/>
      <c r="F215" s="281" t="str">
        <f>IF(D215="","",VLOOKUP(D215,'G-6 Hedgerow Data'!$B$2:$AG$15,2,FALSE))</f>
        <v/>
      </c>
      <c r="G215" s="305" t="str">
        <f>IF(D215="","",VLOOKUP(D215,'G-6 Hedgerow Data'!$B$2:$AG$15,3,FALSE))</f>
        <v/>
      </c>
      <c r="H215" s="53"/>
      <c r="I215" s="282" t="str">
        <f>IFERROR(IF(H215="","",IF(AND(D215="Non-native and ornamental hedgerow", H215&lt;&gt;"Poor"),"Not possible ▲", (IF(AND(F215="V.Low",OR(H215="Good",H215="Moderate")),"Error ▲",VLOOKUP(H215,'G-1 All Habitats'!$Z$2:$AA$9,2,FALSE))))),"")</f>
        <v/>
      </c>
      <c r="J215" s="106"/>
      <c r="K215" s="301" t="str">
        <f>IF(J215="","",IF(VLOOKUP(J215,'G-3 Multipliers'!$L$3:$N$6,2,FALSE)=0,"Spatial Data Missing",VLOOKUP(J215,'G-3 Multipliers'!$L$3:$N$6,2,FALSE)))</f>
        <v/>
      </c>
      <c r="L215" s="305" t="str">
        <f>IF(J215="","",IF(VLOOKUP(J215,'G-3 Multipliers'!$L$3:$N$6,3,FALSE)=0,"Spatial Data Missing",VLOOKUP(J215,'G-3 Multipliers'!$L$3:$N$6,3,FALSE)))</f>
        <v/>
      </c>
      <c r="M215" s="138"/>
      <c r="N215" s="282" t="str">
        <f>IF(M215="","",IF(VLOOKUP(M215,'G-3 Multipliers'!$S$3:$T$10,2,FALSE)=0,"Spatial Data Missing ⚠",VLOOKUP(M215,'G-3 Multipliers'!$S$3:$T$10,2,FALSE)))</f>
        <v/>
      </c>
      <c r="O215" s="281" t="str">
        <f>IF(OR(D215="",H215=""),"",(INDEX('G-6 Hedgerow Data'!$E$3:$I$15,MATCH(D215,'G-6 Hedgerow Data'!$B$3:$B$15,0),MATCH(H215,'G-6 Hedgerow Data'!$E$2:$I$2,0))))</f>
        <v/>
      </c>
      <c r="P215" s="137"/>
      <c r="Q215" s="137"/>
      <c r="R215" s="289" t="str">
        <f t="shared" si="22"/>
        <v/>
      </c>
      <c r="S215" s="302" t="str">
        <f t="shared" si="23"/>
        <v/>
      </c>
      <c r="T215" s="303" t="str">
        <f t="shared" si="21"/>
        <v/>
      </c>
      <c r="U215" s="317" t="str">
        <f>IF(D215="","",VLOOKUP(D215,'G-6 Hedgerow Data'!$B$3:$AG$15,31,FALSE))</f>
        <v/>
      </c>
      <c r="V215" s="301" t="str">
        <f t="shared" si="24"/>
        <v/>
      </c>
      <c r="W215" s="289" t="str">
        <f t="shared" si="25"/>
        <v/>
      </c>
      <c r="X215" s="305" t="str">
        <f>IF(F215="","",VLOOKUP(U215,'G-3 Multipliers'!$P$3:$Q$6,2,FALSE))</f>
        <v/>
      </c>
      <c r="Y215" s="309" t="str">
        <f t="shared" si="26"/>
        <v/>
      </c>
      <c r="Z215" s="309" t="str">
        <f t="shared" si="27"/>
        <v/>
      </c>
      <c r="AA215" s="105"/>
      <c r="AB215" s="968"/>
      <c r="AC215" s="142"/>
      <c r="AD215" s="142"/>
      <c r="AE215" s="964"/>
      <c r="AH215" s="30" t="str">
        <f>IFERROR(INDEX('G-6 Hedgerow Data'!$BJ$3:$BJ$15,MATCH(D215,'G-6 Hedgerow Data'!$B$3:$B$15,0)),"")</f>
        <v/>
      </c>
    </row>
    <row r="216" spans="2:34" ht="13.8" x14ac:dyDescent="0.25">
      <c r="B216" s="101">
        <v>205</v>
      </c>
      <c r="C216" s="175"/>
      <c r="D216" s="58"/>
      <c r="E216" s="142"/>
      <c r="F216" s="281" t="str">
        <f>IF(D216="","",VLOOKUP(D216,'G-6 Hedgerow Data'!$B$2:$AG$15,2,FALSE))</f>
        <v/>
      </c>
      <c r="G216" s="305" t="str">
        <f>IF(D216="","",VLOOKUP(D216,'G-6 Hedgerow Data'!$B$2:$AG$15,3,FALSE))</f>
        <v/>
      </c>
      <c r="H216" s="53"/>
      <c r="I216" s="282" t="str">
        <f>IFERROR(IF(H216="","",IF(AND(D216="Non-native and ornamental hedgerow", H216&lt;&gt;"Poor"),"Not possible ▲", (IF(AND(F216="V.Low",OR(H216="Good",H216="Moderate")),"Error ▲",VLOOKUP(H216,'G-1 All Habitats'!$Z$2:$AA$9,2,FALSE))))),"")</f>
        <v/>
      </c>
      <c r="J216" s="106"/>
      <c r="K216" s="301" t="str">
        <f>IF(J216="","",IF(VLOOKUP(J216,'G-3 Multipliers'!$L$3:$N$6,2,FALSE)=0,"Spatial Data Missing",VLOOKUP(J216,'G-3 Multipliers'!$L$3:$N$6,2,FALSE)))</f>
        <v/>
      </c>
      <c r="L216" s="305" t="str">
        <f>IF(J216="","",IF(VLOOKUP(J216,'G-3 Multipliers'!$L$3:$N$6,3,FALSE)=0,"Spatial Data Missing",VLOOKUP(J216,'G-3 Multipliers'!$L$3:$N$6,3,FALSE)))</f>
        <v/>
      </c>
      <c r="M216" s="138"/>
      <c r="N216" s="282" t="str">
        <f>IF(M216="","",IF(VLOOKUP(M216,'G-3 Multipliers'!$S$3:$T$10,2,FALSE)=0,"Spatial Data Missing ⚠",VLOOKUP(M216,'G-3 Multipliers'!$S$3:$T$10,2,FALSE)))</f>
        <v/>
      </c>
      <c r="O216" s="281" t="str">
        <f>IF(OR(D216="",H216=""),"",(INDEX('G-6 Hedgerow Data'!$E$3:$I$15,MATCH(D216,'G-6 Hedgerow Data'!$B$3:$B$15,0),MATCH(H216,'G-6 Hedgerow Data'!$E$2:$I$2,0))))</f>
        <v/>
      </c>
      <c r="P216" s="137"/>
      <c r="Q216" s="137"/>
      <c r="R216" s="289" t="str">
        <f t="shared" si="22"/>
        <v/>
      </c>
      <c r="S216" s="302" t="str">
        <f t="shared" si="23"/>
        <v/>
      </c>
      <c r="T216" s="303" t="str">
        <f t="shared" si="21"/>
        <v/>
      </c>
      <c r="U216" s="317" t="str">
        <f>IF(D216="","",VLOOKUP(D216,'G-6 Hedgerow Data'!$B$3:$AG$15,31,FALSE))</f>
        <v/>
      </c>
      <c r="V216" s="301" t="str">
        <f t="shared" si="24"/>
        <v/>
      </c>
      <c r="W216" s="289" t="str">
        <f t="shared" si="25"/>
        <v/>
      </c>
      <c r="X216" s="305" t="str">
        <f>IF(F216="","",VLOOKUP(U216,'G-3 Multipliers'!$P$3:$Q$6,2,FALSE))</f>
        <v/>
      </c>
      <c r="Y216" s="309" t="str">
        <f t="shared" si="26"/>
        <v/>
      </c>
      <c r="Z216" s="309" t="str">
        <f t="shared" si="27"/>
        <v/>
      </c>
      <c r="AA216" s="105"/>
      <c r="AB216" s="968"/>
      <c r="AC216" s="142"/>
      <c r="AD216" s="142"/>
      <c r="AE216" s="964"/>
      <c r="AH216" s="30" t="str">
        <f>IFERROR(INDEX('G-6 Hedgerow Data'!$BJ$3:$BJ$15,MATCH(D216,'G-6 Hedgerow Data'!$B$3:$B$15,0)),"")</f>
        <v/>
      </c>
    </row>
    <row r="217" spans="2:34" ht="13.8" x14ac:dyDescent="0.25">
      <c r="B217" s="101">
        <v>206</v>
      </c>
      <c r="C217" s="175"/>
      <c r="D217" s="58"/>
      <c r="E217" s="142"/>
      <c r="F217" s="281" t="str">
        <f>IF(D217="","",VLOOKUP(D217,'G-6 Hedgerow Data'!$B$2:$AG$15,2,FALSE))</f>
        <v/>
      </c>
      <c r="G217" s="305" t="str">
        <f>IF(D217="","",VLOOKUP(D217,'G-6 Hedgerow Data'!$B$2:$AG$15,3,FALSE))</f>
        <v/>
      </c>
      <c r="H217" s="53"/>
      <c r="I217" s="282" t="str">
        <f>IFERROR(IF(H217="","",IF(AND(D217="Non-native and ornamental hedgerow", H217&lt;&gt;"Poor"),"Not possible ▲", (IF(AND(F217="V.Low",OR(H217="Good",H217="Moderate")),"Error ▲",VLOOKUP(H217,'G-1 All Habitats'!$Z$2:$AA$9,2,FALSE))))),"")</f>
        <v/>
      </c>
      <c r="J217" s="106"/>
      <c r="K217" s="301" t="str">
        <f>IF(J217="","",IF(VLOOKUP(J217,'G-3 Multipliers'!$L$3:$N$6,2,FALSE)=0,"Spatial Data Missing",VLOOKUP(J217,'G-3 Multipliers'!$L$3:$N$6,2,FALSE)))</f>
        <v/>
      </c>
      <c r="L217" s="305" t="str">
        <f>IF(J217="","",IF(VLOOKUP(J217,'G-3 Multipliers'!$L$3:$N$6,3,FALSE)=0,"Spatial Data Missing",VLOOKUP(J217,'G-3 Multipliers'!$L$3:$N$6,3,FALSE)))</f>
        <v/>
      </c>
      <c r="M217" s="138"/>
      <c r="N217" s="282" t="str">
        <f>IF(M217="","",IF(VLOOKUP(M217,'G-3 Multipliers'!$S$3:$T$10,2,FALSE)=0,"Spatial Data Missing ⚠",VLOOKUP(M217,'G-3 Multipliers'!$S$3:$T$10,2,FALSE)))</f>
        <v/>
      </c>
      <c r="O217" s="281" t="str">
        <f>IF(OR(D217="",H217=""),"",(INDEX('G-6 Hedgerow Data'!$E$3:$I$15,MATCH(D217,'G-6 Hedgerow Data'!$B$3:$B$15,0),MATCH(H217,'G-6 Hedgerow Data'!$E$2:$I$2,0))))</f>
        <v/>
      </c>
      <c r="P217" s="137"/>
      <c r="Q217" s="137"/>
      <c r="R217" s="289" t="str">
        <f t="shared" si="22"/>
        <v/>
      </c>
      <c r="S217" s="302" t="str">
        <f t="shared" si="23"/>
        <v/>
      </c>
      <c r="T217" s="303" t="str">
        <f t="shared" si="21"/>
        <v/>
      </c>
      <c r="U217" s="317" t="str">
        <f>IF(D217="","",VLOOKUP(D217,'G-6 Hedgerow Data'!$B$3:$AG$15,31,FALSE))</f>
        <v/>
      </c>
      <c r="V217" s="301" t="str">
        <f t="shared" si="24"/>
        <v/>
      </c>
      <c r="W217" s="289" t="str">
        <f t="shared" si="25"/>
        <v/>
      </c>
      <c r="X217" s="305" t="str">
        <f>IF(F217="","",VLOOKUP(U217,'G-3 Multipliers'!$P$3:$Q$6,2,FALSE))</f>
        <v/>
      </c>
      <c r="Y217" s="309" t="str">
        <f t="shared" si="26"/>
        <v/>
      </c>
      <c r="Z217" s="309" t="str">
        <f t="shared" si="27"/>
        <v/>
      </c>
      <c r="AA217" s="105"/>
      <c r="AB217" s="968"/>
      <c r="AC217" s="142"/>
      <c r="AD217" s="142"/>
      <c r="AE217" s="964"/>
      <c r="AH217" s="30" t="str">
        <f>IFERROR(INDEX('G-6 Hedgerow Data'!$BJ$3:$BJ$15,MATCH(D217,'G-6 Hedgerow Data'!$B$3:$B$15,0)),"")</f>
        <v/>
      </c>
    </row>
    <row r="218" spans="2:34" ht="13.8" x14ac:dyDescent="0.25">
      <c r="B218" s="101">
        <v>207</v>
      </c>
      <c r="C218" s="175"/>
      <c r="D218" s="58"/>
      <c r="E218" s="142"/>
      <c r="F218" s="281" t="str">
        <f>IF(D218="","",VLOOKUP(D218,'G-6 Hedgerow Data'!$B$2:$AG$15,2,FALSE))</f>
        <v/>
      </c>
      <c r="G218" s="305" t="str">
        <f>IF(D218="","",VLOOKUP(D218,'G-6 Hedgerow Data'!$B$2:$AG$15,3,FALSE))</f>
        <v/>
      </c>
      <c r="H218" s="53"/>
      <c r="I218" s="282" t="str">
        <f>IFERROR(IF(H218="","",IF(AND(D218="Non-native and ornamental hedgerow", H218&lt;&gt;"Poor"),"Not possible ▲", (IF(AND(F218="V.Low",OR(H218="Good",H218="Moderate")),"Error ▲",VLOOKUP(H218,'G-1 All Habitats'!$Z$2:$AA$9,2,FALSE))))),"")</f>
        <v/>
      </c>
      <c r="J218" s="106"/>
      <c r="K218" s="301" t="str">
        <f>IF(J218="","",IF(VLOOKUP(J218,'G-3 Multipliers'!$L$3:$N$6,2,FALSE)=0,"Spatial Data Missing",VLOOKUP(J218,'G-3 Multipliers'!$L$3:$N$6,2,FALSE)))</f>
        <v/>
      </c>
      <c r="L218" s="305" t="str">
        <f>IF(J218="","",IF(VLOOKUP(J218,'G-3 Multipliers'!$L$3:$N$6,3,FALSE)=0,"Spatial Data Missing",VLOOKUP(J218,'G-3 Multipliers'!$L$3:$N$6,3,FALSE)))</f>
        <v/>
      </c>
      <c r="M218" s="138"/>
      <c r="N218" s="282" t="str">
        <f>IF(M218="","",IF(VLOOKUP(M218,'G-3 Multipliers'!$S$3:$T$10,2,FALSE)=0,"Spatial Data Missing ⚠",VLOOKUP(M218,'G-3 Multipliers'!$S$3:$T$10,2,FALSE)))</f>
        <v/>
      </c>
      <c r="O218" s="281" t="str">
        <f>IF(OR(D218="",H218=""),"",(INDEX('G-6 Hedgerow Data'!$E$3:$I$15,MATCH(D218,'G-6 Hedgerow Data'!$B$3:$B$15,0),MATCH(H218,'G-6 Hedgerow Data'!$E$2:$I$2,0))))</f>
        <v/>
      </c>
      <c r="P218" s="137"/>
      <c r="Q218" s="137"/>
      <c r="R218" s="289" t="str">
        <f t="shared" si="22"/>
        <v/>
      </c>
      <c r="S218" s="302" t="str">
        <f t="shared" si="23"/>
        <v/>
      </c>
      <c r="T218" s="303" t="str">
        <f t="shared" si="21"/>
        <v/>
      </c>
      <c r="U218" s="317" t="str">
        <f>IF(D218="","",VLOOKUP(D218,'G-6 Hedgerow Data'!$B$3:$AG$15,31,FALSE))</f>
        <v/>
      </c>
      <c r="V218" s="301" t="str">
        <f t="shared" si="24"/>
        <v/>
      </c>
      <c r="W218" s="289" t="str">
        <f t="shared" si="25"/>
        <v/>
      </c>
      <c r="X218" s="305" t="str">
        <f>IF(F218="","",VLOOKUP(U218,'G-3 Multipliers'!$P$3:$Q$6,2,FALSE))</f>
        <v/>
      </c>
      <c r="Y218" s="309" t="str">
        <f t="shared" si="26"/>
        <v/>
      </c>
      <c r="Z218" s="309" t="str">
        <f t="shared" si="27"/>
        <v/>
      </c>
      <c r="AA218" s="105"/>
      <c r="AB218" s="968"/>
      <c r="AC218" s="142"/>
      <c r="AD218" s="142"/>
      <c r="AE218" s="964"/>
      <c r="AH218" s="30" t="str">
        <f>IFERROR(INDEX('G-6 Hedgerow Data'!$BJ$3:$BJ$15,MATCH(D218,'G-6 Hedgerow Data'!$B$3:$B$15,0)),"")</f>
        <v/>
      </c>
    </row>
    <row r="219" spans="2:34" ht="13.8" x14ac:dyDescent="0.25">
      <c r="B219" s="101">
        <v>208</v>
      </c>
      <c r="C219" s="175"/>
      <c r="D219" s="58"/>
      <c r="E219" s="142"/>
      <c r="F219" s="281" t="str">
        <f>IF(D219="","",VLOOKUP(D219,'G-6 Hedgerow Data'!$B$2:$AG$15,2,FALSE))</f>
        <v/>
      </c>
      <c r="G219" s="305" t="str">
        <f>IF(D219="","",VLOOKUP(D219,'G-6 Hedgerow Data'!$B$2:$AG$15,3,FALSE))</f>
        <v/>
      </c>
      <c r="H219" s="53"/>
      <c r="I219" s="282" t="str">
        <f>IFERROR(IF(H219="","",IF(AND(D219="Non-native and ornamental hedgerow", H219&lt;&gt;"Poor"),"Not possible ▲", (IF(AND(F219="V.Low",OR(H219="Good",H219="Moderate")),"Error ▲",VLOOKUP(H219,'G-1 All Habitats'!$Z$2:$AA$9,2,FALSE))))),"")</f>
        <v/>
      </c>
      <c r="J219" s="106"/>
      <c r="K219" s="301" t="str">
        <f>IF(J219="","",IF(VLOOKUP(J219,'G-3 Multipliers'!$L$3:$N$6,2,FALSE)=0,"Spatial Data Missing",VLOOKUP(J219,'G-3 Multipliers'!$L$3:$N$6,2,FALSE)))</f>
        <v/>
      </c>
      <c r="L219" s="305" t="str">
        <f>IF(J219="","",IF(VLOOKUP(J219,'G-3 Multipliers'!$L$3:$N$6,3,FALSE)=0,"Spatial Data Missing",VLOOKUP(J219,'G-3 Multipliers'!$L$3:$N$6,3,FALSE)))</f>
        <v/>
      </c>
      <c r="M219" s="138"/>
      <c r="N219" s="282" t="str">
        <f>IF(M219="","",IF(VLOOKUP(M219,'G-3 Multipliers'!$S$3:$T$10,2,FALSE)=0,"Spatial Data Missing ⚠",VLOOKUP(M219,'G-3 Multipliers'!$S$3:$T$10,2,FALSE)))</f>
        <v/>
      </c>
      <c r="O219" s="281" t="str">
        <f>IF(OR(D219="",H219=""),"",(INDEX('G-6 Hedgerow Data'!$E$3:$I$15,MATCH(D219,'G-6 Hedgerow Data'!$B$3:$B$15,0),MATCH(H219,'G-6 Hedgerow Data'!$E$2:$I$2,0))))</f>
        <v/>
      </c>
      <c r="P219" s="137"/>
      <c r="Q219" s="137"/>
      <c r="R219" s="289" t="str">
        <f t="shared" si="22"/>
        <v/>
      </c>
      <c r="S219" s="302" t="str">
        <f t="shared" si="23"/>
        <v/>
      </c>
      <c r="T219" s="303" t="str">
        <f t="shared" si="21"/>
        <v/>
      </c>
      <c r="U219" s="317" t="str">
        <f>IF(D219="","",VLOOKUP(D219,'G-6 Hedgerow Data'!$B$3:$AG$15,31,FALSE))</f>
        <v/>
      </c>
      <c r="V219" s="301" t="str">
        <f t="shared" si="24"/>
        <v/>
      </c>
      <c r="W219" s="289" t="str">
        <f t="shared" si="25"/>
        <v/>
      </c>
      <c r="X219" s="305" t="str">
        <f>IF(F219="","",VLOOKUP(U219,'G-3 Multipliers'!$P$3:$Q$6,2,FALSE))</f>
        <v/>
      </c>
      <c r="Y219" s="309" t="str">
        <f t="shared" si="26"/>
        <v/>
      </c>
      <c r="Z219" s="309" t="str">
        <f t="shared" si="27"/>
        <v/>
      </c>
      <c r="AA219" s="105"/>
      <c r="AB219" s="968"/>
      <c r="AC219" s="142"/>
      <c r="AD219" s="142"/>
      <c r="AE219" s="964"/>
      <c r="AH219" s="30" t="str">
        <f>IFERROR(INDEX('G-6 Hedgerow Data'!$BJ$3:$BJ$15,MATCH(D219,'G-6 Hedgerow Data'!$B$3:$B$15,0)),"")</f>
        <v/>
      </c>
    </row>
    <row r="220" spans="2:34" ht="13.8" x14ac:dyDescent="0.25">
      <c r="B220" s="101">
        <v>209</v>
      </c>
      <c r="C220" s="175"/>
      <c r="D220" s="58"/>
      <c r="E220" s="142"/>
      <c r="F220" s="281" t="str">
        <f>IF(D220="","",VLOOKUP(D220,'G-6 Hedgerow Data'!$B$2:$AG$15,2,FALSE))</f>
        <v/>
      </c>
      <c r="G220" s="305" t="str">
        <f>IF(D220="","",VLOOKUP(D220,'G-6 Hedgerow Data'!$B$2:$AG$15,3,FALSE))</f>
        <v/>
      </c>
      <c r="H220" s="53"/>
      <c r="I220" s="282" t="str">
        <f>IFERROR(IF(H220="","",IF(AND(D220="Non-native and ornamental hedgerow", H220&lt;&gt;"Poor"),"Not possible ▲", (IF(AND(F220="V.Low",OR(H220="Good",H220="Moderate")),"Error ▲",VLOOKUP(H220,'G-1 All Habitats'!$Z$2:$AA$9,2,FALSE))))),"")</f>
        <v/>
      </c>
      <c r="J220" s="106"/>
      <c r="K220" s="301" t="str">
        <f>IF(J220="","",IF(VLOOKUP(J220,'G-3 Multipliers'!$L$3:$N$6,2,FALSE)=0,"Spatial Data Missing",VLOOKUP(J220,'G-3 Multipliers'!$L$3:$N$6,2,FALSE)))</f>
        <v/>
      </c>
      <c r="L220" s="305" t="str">
        <f>IF(J220="","",IF(VLOOKUP(J220,'G-3 Multipliers'!$L$3:$N$6,3,FALSE)=0,"Spatial Data Missing",VLOOKUP(J220,'G-3 Multipliers'!$L$3:$N$6,3,FALSE)))</f>
        <v/>
      </c>
      <c r="M220" s="138"/>
      <c r="N220" s="282" t="str">
        <f>IF(M220="","",IF(VLOOKUP(M220,'G-3 Multipliers'!$S$3:$T$10,2,FALSE)=0,"Spatial Data Missing ⚠",VLOOKUP(M220,'G-3 Multipliers'!$S$3:$T$10,2,FALSE)))</f>
        <v/>
      </c>
      <c r="O220" s="281" t="str">
        <f>IF(OR(D220="",H220=""),"",(INDEX('G-6 Hedgerow Data'!$E$3:$I$15,MATCH(D220,'G-6 Hedgerow Data'!$B$3:$B$15,0),MATCH(H220,'G-6 Hedgerow Data'!$E$2:$I$2,0))))</f>
        <v/>
      </c>
      <c r="P220" s="137"/>
      <c r="Q220" s="137"/>
      <c r="R220" s="289" t="str">
        <f t="shared" si="22"/>
        <v/>
      </c>
      <c r="S220" s="302" t="str">
        <f t="shared" si="23"/>
        <v/>
      </c>
      <c r="T220" s="303" t="str">
        <f t="shared" si="21"/>
        <v/>
      </c>
      <c r="U220" s="317" t="str">
        <f>IF(D220="","",VLOOKUP(D220,'G-6 Hedgerow Data'!$B$3:$AG$15,31,FALSE))</f>
        <v/>
      </c>
      <c r="V220" s="301" t="str">
        <f t="shared" si="24"/>
        <v/>
      </c>
      <c r="W220" s="289" t="str">
        <f t="shared" si="25"/>
        <v/>
      </c>
      <c r="X220" s="305" t="str">
        <f>IF(F220="","",VLOOKUP(U220,'G-3 Multipliers'!$P$3:$Q$6,2,FALSE))</f>
        <v/>
      </c>
      <c r="Y220" s="309" t="str">
        <f t="shared" si="26"/>
        <v/>
      </c>
      <c r="Z220" s="309" t="str">
        <f t="shared" si="27"/>
        <v/>
      </c>
      <c r="AA220" s="105"/>
      <c r="AB220" s="968"/>
      <c r="AC220" s="142"/>
      <c r="AD220" s="142"/>
      <c r="AE220" s="964"/>
      <c r="AH220" s="30" t="str">
        <f>IFERROR(INDEX('G-6 Hedgerow Data'!$BJ$3:$BJ$15,MATCH(D220,'G-6 Hedgerow Data'!$B$3:$B$15,0)),"")</f>
        <v/>
      </c>
    </row>
    <row r="221" spans="2:34" ht="13.8" x14ac:dyDescent="0.25">
      <c r="B221" s="101">
        <v>210</v>
      </c>
      <c r="C221" s="175"/>
      <c r="D221" s="58"/>
      <c r="E221" s="142"/>
      <c r="F221" s="281" t="str">
        <f>IF(D221="","",VLOOKUP(D221,'G-6 Hedgerow Data'!$B$2:$AG$15,2,FALSE))</f>
        <v/>
      </c>
      <c r="G221" s="305" t="str">
        <f>IF(D221="","",VLOOKUP(D221,'G-6 Hedgerow Data'!$B$2:$AG$15,3,FALSE))</f>
        <v/>
      </c>
      <c r="H221" s="53"/>
      <c r="I221" s="282" t="str">
        <f>IFERROR(IF(H221="","",IF(AND(D221="Non-native and ornamental hedgerow", H221&lt;&gt;"Poor"),"Not possible ▲", (IF(AND(F221="V.Low",OR(H221="Good",H221="Moderate")),"Error ▲",VLOOKUP(H221,'G-1 All Habitats'!$Z$2:$AA$9,2,FALSE))))),"")</f>
        <v/>
      </c>
      <c r="J221" s="106"/>
      <c r="K221" s="301" t="str">
        <f>IF(J221="","",IF(VLOOKUP(J221,'G-3 Multipliers'!$L$3:$N$6,2,FALSE)=0,"Spatial Data Missing",VLOOKUP(J221,'G-3 Multipliers'!$L$3:$N$6,2,FALSE)))</f>
        <v/>
      </c>
      <c r="L221" s="305" t="str">
        <f>IF(J221="","",IF(VLOOKUP(J221,'G-3 Multipliers'!$L$3:$N$6,3,FALSE)=0,"Spatial Data Missing",VLOOKUP(J221,'G-3 Multipliers'!$L$3:$N$6,3,FALSE)))</f>
        <v/>
      </c>
      <c r="M221" s="138"/>
      <c r="N221" s="282" t="str">
        <f>IF(M221="","",IF(VLOOKUP(M221,'G-3 Multipliers'!$S$3:$T$10,2,FALSE)=0,"Spatial Data Missing ⚠",VLOOKUP(M221,'G-3 Multipliers'!$S$3:$T$10,2,FALSE)))</f>
        <v/>
      </c>
      <c r="O221" s="281" t="str">
        <f>IF(OR(D221="",H221=""),"",(INDEX('G-6 Hedgerow Data'!$E$3:$I$15,MATCH(D221,'G-6 Hedgerow Data'!$B$3:$B$15,0),MATCH(H221,'G-6 Hedgerow Data'!$E$2:$I$2,0))))</f>
        <v/>
      </c>
      <c r="P221" s="137"/>
      <c r="Q221" s="137"/>
      <c r="R221" s="289" t="str">
        <f t="shared" si="22"/>
        <v/>
      </c>
      <c r="S221" s="302" t="str">
        <f t="shared" si="23"/>
        <v/>
      </c>
      <c r="T221" s="303" t="str">
        <f t="shared" si="21"/>
        <v/>
      </c>
      <c r="U221" s="317" t="str">
        <f>IF(D221="","",VLOOKUP(D221,'G-6 Hedgerow Data'!$B$3:$AG$15,31,FALSE))</f>
        <v/>
      </c>
      <c r="V221" s="301" t="str">
        <f t="shared" si="24"/>
        <v/>
      </c>
      <c r="W221" s="289" t="str">
        <f t="shared" si="25"/>
        <v/>
      </c>
      <c r="X221" s="305" t="str">
        <f>IF(F221="","",VLOOKUP(U221,'G-3 Multipliers'!$P$3:$Q$6,2,FALSE))</f>
        <v/>
      </c>
      <c r="Y221" s="309" t="str">
        <f t="shared" si="26"/>
        <v/>
      </c>
      <c r="Z221" s="309" t="str">
        <f t="shared" si="27"/>
        <v/>
      </c>
      <c r="AA221" s="105"/>
      <c r="AB221" s="968"/>
      <c r="AC221" s="142"/>
      <c r="AD221" s="142"/>
      <c r="AE221" s="964"/>
      <c r="AH221" s="30" t="str">
        <f>IFERROR(INDEX('G-6 Hedgerow Data'!$BJ$3:$BJ$15,MATCH(D221,'G-6 Hedgerow Data'!$B$3:$B$15,0)),"")</f>
        <v/>
      </c>
    </row>
    <row r="222" spans="2:34" ht="13.8" x14ac:dyDescent="0.25">
      <c r="B222" s="101">
        <v>211</v>
      </c>
      <c r="C222" s="175"/>
      <c r="D222" s="58"/>
      <c r="E222" s="142"/>
      <c r="F222" s="281" t="str">
        <f>IF(D222="","",VLOOKUP(D222,'G-6 Hedgerow Data'!$B$2:$AG$15,2,FALSE))</f>
        <v/>
      </c>
      <c r="G222" s="305" t="str">
        <f>IF(D222="","",VLOOKUP(D222,'G-6 Hedgerow Data'!$B$2:$AG$15,3,FALSE))</f>
        <v/>
      </c>
      <c r="H222" s="53"/>
      <c r="I222" s="282" t="str">
        <f>IFERROR(IF(H222="","",IF(AND(D222="Non-native and ornamental hedgerow", H222&lt;&gt;"Poor"),"Not possible ▲", (IF(AND(F222="V.Low",OR(H222="Good",H222="Moderate")),"Error ▲",VLOOKUP(H222,'G-1 All Habitats'!$Z$2:$AA$9,2,FALSE))))),"")</f>
        <v/>
      </c>
      <c r="J222" s="106"/>
      <c r="K222" s="301" t="str">
        <f>IF(J222="","",IF(VLOOKUP(J222,'G-3 Multipliers'!$L$3:$N$6,2,FALSE)=0,"Spatial Data Missing",VLOOKUP(J222,'G-3 Multipliers'!$L$3:$N$6,2,FALSE)))</f>
        <v/>
      </c>
      <c r="L222" s="305" t="str">
        <f>IF(J222="","",IF(VLOOKUP(J222,'G-3 Multipliers'!$L$3:$N$6,3,FALSE)=0,"Spatial Data Missing",VLOOKUP(J222,'G-3 Multipliers'!$L$3:$N$6,3,FALSE)))</f>
        <v/>
      </c>
      <c r="M222" s="138"/>
      <c r="N222" s="282" t="str">
        <f>IF(M222="","",IF(VLOOKUP(M222,'G-3 Multipliers'!$S$3:$T$10,2,FALSE)=0,"Spatial Data Missing ⚠",VLOOKUP(M222,'G-3 Multipliers'!$S$3:$T$10,2,FALSE)))</f>
        <v/>
      </c>
      <c r="O222" s="281" t="str">
        <f>IF(OR(D222="",H222=""),"",(INDEX('G-6 Hedgerow Data'!$E$3:$I$15,MATCH(D222,'G-6 Hedgerow Data'!$B$3:$B$15,0),MATCH(H222,'G-6 Hedgerow Data'!$E$2:$I$2,0))))</f>
        <v/>
      </c>
      <c r="P222" s="137"/>
      <c r="Q222" s="137"/>
      <c r="R222" s="289" t="str">
        <f t="shared" si="22"/>
        <v/>
      </c>
      <c r="S222" s="302" t="str">
        <f t="shared" si="23"/>
        <v/>
      </c>
      <c r="T222" s="303" t="str">
        <f t="shared" si="21"/>
        <v/>
      </c>
      <c r="U222" s="317" t="str">
        <f>IF(D222="","",VLOOKUP(D222,'G-6 Hedgerow Data'!$B$3:$AG$15,31,FALSE))</f>
        <v/>
      </c>
      <c r="V222" s="301" t="str">
        <f t="shared" si="24"/>
        <v/>
      </c>
      <c r="W222" s="289" t="str">
        <f t="shared" si="25"/>
        <v/>
      </c>
      <c r="X222" s="305" t="str">
        <f>IF(F222="","",VLOOKUP(U222,'G-3 Multipliers'!$P$3:$Q$6,2,FALSE))</f>
        <v/>
      </c>
      <c r="Y222" s="309" t="str">
        <f t="shared" si="26"/>
        <v/>
      </c>
      <c r="Z222" s="309" t="str">
        <f t="shared" si="27"/>
        <v/>
      </c>
      <c r="AA222" s="105"/>
      <c r="AB222" s="968"/>
      <c r="AC222" s="142"/>
      <c r="AD222" s="142"/>
      <c r="AE222" s="964"/>
      <c r="AH222" s="30" t="str">
        <f>IFERROR(INDEX('G-6 Hedgerow Data'!$BJ$3:$BJ$15,MATCH(D222,'G-6 Hedgerow Data'!$B$3:$B$15,0)),"")</f>
        <v/>
      </c>
    </row>
    <row r="223" spans="2:34" ht="13.8" x14ac:dyDescent="0.25">
      <c r="B223" s="101">
        <v>212</v>
      </c>
      <c r="C223" s="175"/>
      <c r="D223" s="58"/>
      <c r="E223" s="142"/>
      <c r="F223" s="281" t="str">
        <f>IF(D223="","",VLOOKUP(D223,'G-6 Hedgerow Data'!$B$2:$AG$15,2,FALSE))</f>
        <v/>
      </c>
      <c r="G223" s="305" t="str">
        <f>IF(D223="","",VLOOKUP(D223,'G-6 Hedgerow Data'!$B$2:$AG$15,3,FALSE))</f>
        <v/>
      </c>
      <c r="H223" s="53"/>
      <c r="I223" s="282" t="str">
        <f>IFERROR(IF(H223="","",IF(AND(D223="Non-native and ornamental hedgerow", H223&lt;&gt;"Poor"),"Not possible ▲", (IF(AND(F223="V.Low",OR(H223="Good",H223="Moderate")),"Error ▲",VLOOKUP(H223,'G-1 All Habitats'!$Z$2:$AA$9,2,FALSE))))),"")</f>
        <v/>
      </c>
      <c r="J223" s="106"/>
      <c r="K223" s="301" t="str">
        <f>IF(J223="","",IF(VLOOKUP(J223,'G-3 Multipliers'!$L$3:$N$6,2,FALSE)=0,"Spatial Data Missing",VLOOKUP(J223,'G-3 Multipliers'!$L$3:$N$6,2,FALSE)))</f>
        <v/>
      </c>
      <c r="L223" s="305" t="str">
        <f>IF(J223="","",IF(VLOOKUP(J223,'G-3 Multipliers'!$L$3:$N$6,3,FALSE)=0,"Spatial Data Missing",VLOOKUP(J223,'G-3 Multipliers'!$L$3:$N$6,3,FALSE)))</f>
        <v/>
      </c>
      <c r="M223" s="138"/>
      <c r="N223" s="282" t="str">
        <f>IF(M223="","",IF(VLOOKUP(M223,'G-3 Multipliers'!$S$3:$T$10,2,FALSE)=0,"Spatial Data Missing ⚠",VLOOKUP(M223,'G-3 Multipliers'!$S$3:$T$10,2,FALSE)))</f>
        <v/>
      </c>
      <c r="O223" s="281" t="str">
        <f>IF(OR(D223="",H223=""),"",(INDEX('G-6 Hedgerow Data'!$E$3:$I$15,MATCH(D223,'G-6 Hedgerow Data'!$B$3:$B$15,0),MATCH(H223,'G-6 Hedgerow Data'!$E$2:$I$2,0))))</f>
        <v/>
      </c>
      <c r="P223" s="137"/>
      <c r="Q223" s="137"/>
      <c r="R223" s="289" t="str">
        <f t="shared" si="22"/>
        <v/>
      </c>
      <c r="S223" s="302" t="str">
        <f t="shared" si="23"/>
        <v/>
      </c>
      <c r="T223" s="303" t="str">
        <f t="shared" si="21"/>
        <v/>
      </c>
      <c r="U223" s="317" t="str">
        <f>IF(D223="","",VLOOKUP(D223,'G-6 Hedgerow Data'!$B$3:$AG$15,31,FALSE))</f>
        <v/>
      </c>
      <c r="V223" s="301" t="str">
        <f t="shared" si="24"/>
        <v/>
      </c>
      <c r="W223" s="289" t="str">
        <f t="shared" si="25"/>
        <v/>
      </c>
      <c r="X223" s="305" t="str">
        <f>IF(F223="","",VLOOKUP(U223,'G-3 Multipliers'!$P$3:$Q$6,2,FALSE))</f>
        <v/>
      </c>
      <c r="Y223" s="309" t="str">
        <f t="shared" si="26"/>
        <v/>
      </c>
      <c r="Z223" s="309" t="str">
        <f t="shared" si="27"/>
        <v/>
      </c>
      <c r="AA223" s="105"/>
      <c r="AB223" s="968"/>
      <c r="AC223" s="142"/>
      <c r="AD223" s="142"/>
      <c r="AE223" s="964"/>
      <c r="AH223" s="30" t="str">
        <f>IFERROR(INDEX('G-6 Hedgerow Data'!$BJ$3:$BJ$15,MATCH(D223,'G-6 Hedgerow Data'!$B$3:$B$15,0)),"")</f>
        <v/>
      </c>
    </row>
    <row r="224" spans="2:34" ht="13.8" x14ac:dyDescent="0.25">
      <c r="B224" s="101">
        <v>213</v>
      </c>
      <c r="C224" s="175"/>
      <c r="D224" s="58"/>
      <c r="E224" s="142"/>
      <c r="F224" s="281" t="str">
        <f>IF(D224="","",VLOOKUP(D224,'G-6 Hedgerow Data'!$B$2:$AG$15,2,FALSE))</f>
        <v/>
      </c>
      <c r="G224" s="305" t="str">
        <f>IF(D224="","",VLOOKUP(D224,'G-6 Hedgerow Data'!$B$2:$AG$15,3,FALSE))</f>
        <v/>
      </c>
      <c r="H224" s="53"/>
      <c r="I224" s="282" t="str">
        <f>IFERROR(IF(H224="","",IF(AND(D224="Non-native and ornamental hedgerow", H224&lt;&gt;"Poor"),"Not possible ▲", (IF(AND(F224="V.Low",OR(H224="Good",H224="Moderate")),"Error ▲",VLOOKUP(H224,'G-1 All Habitats'!$Z$2:$AA$9,2,FALSE))))),"")</f>
        <v/>
      </c>
      <c r="J224" s="106"/>
      <c r="K224" s="301" t="str">
        <f>IF(J224="","",IF(VLOOKUP(J224,'G-3 Multipliers'!$L$3:$N$6,2,FALSE)=0,"Spatial Data Missing",VLOOKUP(J224,'G-3 Multipliers'!$L$3:$N$6,2,FALSE)))</f>
        <v/>
      </c>
      <c r="L224" s="305" t="str">
        <f>IF(J224="","",IF(VLOOKUP(J224,'G-3 Multipliers'!$L$3:$N$6,3,FALSE)=0,"Spatial Data Missing",VLOOKUP(J224,'G-3 Multipliers'!$L$3:$N$6,3,FALSE)))</f>
        <v/>
      </c>
      <c r="M224" s="138"/>
      <c r="N224" s="282" t="str">
        <f>IF(M224="","",IF(VLOOKUP(M224,'G-3 Multipliers'!$S$3:$T$10,2,FALSE)=0,"Spatial Data Missing ⚠",VLOOKUP(M224,'G-3 Multipliers'!$S$3:$T$10,2,FALSE)))</f>
        <v/>
      </c>
      <c r="O224" s="281" t="str">
        <f>IF(OR(D224="",H224=""),"",(INDEX('G-6 Hedgerow Data'!$E$3:$I$15,MATCH(D224,'G-6 Hedgerow Data'!$B$3:$B$15,0),MATCH(H224,'G-6 Hedgerow Data'!$E$2:$I$2,0))))</f>
        <v/>
      </c>
      <c r="P224" s="137"/>
      <c r="Q224" s="137"/>
      <c r="R224" s="289" t="str">
        <f t="shared" si="22"/>
        <v/>
      </c>
      <c r="S224" s="302" t="str">
        <f t="shared" si="23"/>
        <v/>
      </c>
      <c r="T224" s="303" t="str">
        <f t="shared" si="21"/>
        <v/>
      </c>
      <c r="U224" s="317" t="str">
        <f>IF(D224="","",VLOOKUP(D224,'G-6 Hedgerow Data'!$B$3:$AG$15,31,FALSE))</f>
        <v/>
      </c>
      <c r="V224" s="301" t="str">
        <f t="shared" si="24"/>
        <v/>
      </c>
      <c r="W224" s="289" t="str">
        <f t="shared" si="25"/>
        <v/>
      </c>
      <c r="X224" s="305" t="str">
        <f>IF(F224="","",VLOOKUP(U224,'G-3 Multipliers'!$P$3:$Q$6,2,FALSE))</f>
        <v/>
      </c>
      <c r="Y224" s="309" t="str">
        <f t="shared" si="26"/>
        <v/>
      </c>
      <c r="Z224" s="309" t="str">
        <f t="shared" si="27"/>
        <v/>
      </c>
      <c r="AA224" s="105"/>
      <c r="AB224" s="968"/>
      <c r="AC224" s="142"/>
      <c r="AD224" s="142"/>
      <c r="AE224" s="964"/>
      <c r="AH224" s="30" t="str">
        <f>IFERROR(INDEX('G-6 Hedgerow Data'!$BJ$3:$BJ$15,MATCH(D224,'G-6 Hedgerow Data'!$B$3:$B$15,0)),"")</f>
        <v/>
      </c>
    </row>
    <row r="225" spans="2:34" ht="13.8" x14ac:dyDescent="0.25">
      <c r="B225" s="101">
        <v>214</v>
      </c>
      <c r="C225" s="175"/>
      <c r="D225" s="58"/>
      <c r="E225" s="142"/>
      <c r="F225" s="281" t="str">
        <f>IF(D225="","",VLOOKUP(D225,'G-6 Hedgerow Data'!$B$2:$AG$15,2,FALSE))</f>
        <v/>
      </c>
      <c r="G225" s="305" t="str">
        <f>IF(D225="","",VLOOKUP(D225,'G-6 Hedgerow Data'!$B$2:$AG$15,3,FALSE))</f>
        <v/>
      </c>
      <c r="H225" s="53"/>
      <c r="I225" s="282" t="str">
        <f>IFERROR(IF(H225="","",IF(AND(D225="Non-native and ornamental hedgerow", H225&lt;&gt;"Poor"),"Not possible ▲", (IF(AND(F225="V.Low",OR(H225="Good",H225="Moderate")),"Error ▲",VLOOKUP(H225,'G-1 All Habitats'!$Z$2:$AA$9,2,FALSE))))),"")</f>
        <v/>
      </c>
      <c r="J225" s="106"/>
      <c r="K225" s="301" t="str">
        <f>IF(J225="","",IF(VLOOKUP(J225,'G-3 Multipliers'!$L$3:$N$6,2,FALSE)=0,"Spatial Data Missing",VLOOKUP(J225,'G-3 Multipliers'!$L$3:$N$6,2,FALSE)))</f>
        <v/>
      </c>
      <c r="L225" s="305" t="str">
        <f>IF(J225="","",IF(VLOOKUP(J225,'G-3 Multipliers'!$L$3:$N$6,3,FALSE)=0,"Spatial Data Missing",VLOOKUP(J225,'G-3 Multipliers'!$L$3:$N$6,3,FALSE)))</f>
        <v/>
      </c>
      <c r="M225" s="138"/>
      <c r="N225" s="282" t="str">
        <f>IF(M225="","",IF(VLOOKUP(M225,'G-3 Multipliers'!$S$3:$T$10,2,FALSE)=0,"Spatial Data Missing ⚠",VLOOKUP(M225,'G-3 Multipliers'!$S$3:$T$10,2,FALSE)))</f>
        <v/>
      </c>
      <c r="O225" s="281" t="str">
        <f>IF(OR(D225="",H225=""),"",(INDEX('G-6 Hedgerow Data'!$E$3:$I$15,MATCH(D225,'G-6 Hedgerow Data'!$B$3:$B$15,0),MATCH(H225,'G-6 Hedgerow Data'!$E$2:$I$2,0))))</f>
        <v/>
      </c>
      <c r="P225" s="137"/>
      <c r="Q225" s="137"/>
      <c r="R225" s="289" t="str">
        <f t="shared" si="22"/>
        <v/>
      </c>
      <c r="S225" s="302" t="str">
        <f t="shared" si="23"/>
        <v/>
      </c>
      <c r="T225" s="303" t="str">
        <f t="shared" si="21"/>
        <v/>
      </c>
      <c r="U225" s="317" t="str">
        <f>IF(D225="","",VLOOKUP(D225,'G-6 Hedgerow Data'!$B$3:$AG$15,31,FALSE))</f>
        <v/>
      </c>
      <c r="V225" s="301" t="str">
        <f t="shared" si="24"/>
        <v/>
      </c>
      <c r="W225" s="289" t="str">
        <f t="shared" si="25"/>
        <v/>
      </c>
      <c r="X225" s="305" t="str">
        <f>IF(F225="","",VLOOKUP(U225,'G-3 Multipliers'!$P$3:$Q$6,2,FALSE))</f>
        <v/>
      </c>
      <c r="Y225" s="309" t="str">
        <f t="shared" si="26"/>
        <v/>
      </c>
      <c r="Z225" s="309" t="str">
        <f t="shared" si="27"/>
        <v/>
      </c>
      <c r="AA225" s="105"/>
      <c r="AB225" s="968"/>
      <c r="AC225" s="142"/>
      <c r="AD225" s="142"/>
      <c r="AE225" s="964"/>
      <c r="AH225" s="30" t="str">
        <f>IFERROR(INDEX('G-6 Hedgerow Data'!$BJ$3:$BJ$15,MATCH(D225,'G-6 Hedgerow Data'!$B$3:$B$15,0)),"")</f>
        <v/>
      </c>
    </row>
    <row r="226" spans="2:34" ht="13.8" x14ac:dyDescent="0.25">
      <c r="B226" s="101">
        <v>215</v>
      </c>
      <c r="C226" s="175"/>
      <c r="D226" s="58"/>
      <c r="E226" s="142"/>
      <c r="F226" s="281" t="str">
        <f>IF(D226="","",VLOOKUP(D226,'G-6 Hedgerow Data'!$B$2:$AG$15,2,FALSE))</f>
        <v/>
      </c>
      <c r="G226" s="305" t="str">
        <f>IF(D226="","",VLOOKUP(D226,'G-6 Hedgerow Data'!$B$2:$AG$15,3,FALSE))</f>
        <v/>
      </c>
      <c r="H226" s="53"/>
      <c r="I226" s="282" t="str">
        <f>IFERROR(IF(H226="","",IF(AND(D226="Non-native and ornamental hedgerow", H226&lt;&gt;"Poor"),"Not possible ▲", (IF(AND(F226="V.Low",OR(H226="Good",H226="Moderate")),"Error ▲",VLOOKUP(H226,'G-1 All Habitats'!$Z$2:$AA$9,2,FALSE))))),"")</f>
        <v/>
      </c>
      <c r="J226" s="106"/>
      <c r="K226" s="301" t="str">
        <f>IF(J226="","",IF(VLOOKUP(J226,'G-3 Multipliers'!$L$3:$N$6,2,FALSE)=0,"Spatial Data Missing",VLOOKUP(J226,'G-3 Multipliers'!$L$3:$N$6,2,FALSE)))</f>
        <v/>
      </c>
      <c r="L226" s="305" t="str">
        <f>IF(J226="","",IF(VLOOKUP(J226,'G-3 Multipliers'!$L$3:$N$6,3,FALSE)=0,"Spatial Data Missing",VLOOKUP(J226,'G-3 Multipliers'!$L$3:$N$6,3,FALSE)))</f>
        <v/>
      </c>
      <c r="M226" s="138"/>
      <c r="N226" s="282" t="str">
        <f>IF(M226="","",IF(VLOOKUP(M226,'G-3 Multipliers'!$S$3:$T$10,2,FALSE)=0,"Spatial Data Missing ⚠",VLOOKUP(M226,'G-3 Multipliers'!$S$3:$T$10,2,FALSE)))</f>
        <v/>
      </c>
      <c r="O226" s="281" t="str">
        <f>IF(OR(D226="",H226=""),"",(INDEX('G-6 Hedgerow Data'!$E$3:$I$15,MATCH(D226,'G-6 Hedgerow Data'!$B$3:$B$15,0),MATCH(H226,'G-6 Hedgerow Data'!$E$2:$I$2,0))))</f>
        <v/>
      </c>
      <c r="P226" s="137"/>
      <c r="Q226" s="137"/>
      <c r="R226" s="289" t="str">
        <f t="shared" si="22"/>
        <v/>
      </c>
      <c r="S226" s="302" t="str">
        <f t="shared" si="23"/>
        <v/>
      </c>
      <c r="T226" s="303" t="str">
        <f t="shared" si="21"/>
        <v/>
      </c>
      <c r="U226" s="317" t="str">
        <f>IF(D226="","",VLOOKUP(D226,'G-6 Hedgerow Data'!$B$3:$AG$15,31,FALSE))</f>
        <v/>
      </c>
      <c r="V226" s="301" t="str">
        <f t="shared" si="24"/>
        <v/>
      </c>
      <c r="W226" s="289" t="str">
        <f t="shared" si="25"/>
        <v/>
      </c>
      <c r="X226" s="305" t="str">
        <f>IF(F226="","",VLOOKUP(U226,'G-3 Multipliers'!$P$3:$Q$6,2,FALSE))</f>
        <v/>
      </c>
      <c r="Y226" s="309" t="str">
        <f t="shared" si="26"/>
        <v/>
      </c>
      <c r="Z226" s="309" t="str">
        <f t="shared" si="27"/>
        <v/>
      </c>
      <c r="AA226" s="105"/>
      <c r="AB226" s="968"/>
      <c r="AC226" s="142"/>
      <c r="AD226" s="142"/>
      <c r="AE226" s="964"/>
      <c r="AH226" s="30" t="str">
        <f>IFERROR(INDEX('G-6 Hedgerow Data'!$BJ$3:$BJ$15,MATCH(D226,'G-6 Hedgerow Data'!$B$3:$B$15,0)),"")</f>
        <v/>
      </c>
    </row>
    <row r="227" spans="2:34" ht="13.8" x14ac:dyDescent="0.25">
      <c r="B227" s="101">
        <v>216</v>
      </c>
      <c r="C227" s="175"/>
      <c r="D227" s="58"/>
      <c r="E227" s="142"/>
      <c r="F227" s="281" t="str">
        <f>IF(D227="","",VLOOKUP(D227,'G-6 Hedgerow Data'!$B$2:$AG$15,2,FALSE))</f>
        <v/>
      </c>
      <c r="G227" s="305" t="str">
        <f>IF(D227="","",VLOOKUP(D227,'G-6 Hedgerow Data'!$B$2:$AG$15,3,FALSE))</f>
        <v/>
      </c>
      <c r="H227" s="53"/>
      <c r="I227" s="282" t="str">
        <f>IFERROR(IF(H227="","",IF(AND(D227="Non-native and ornamental hedgerow", H227&lt;&gt;"Poor"),"Not possible ▲", (IF(AND(F227="V.Low",OR(H227="Good",H227="Moderate")),"Error ▲",VLOOKUP(H227,'G-1 All Habitats'!$Z$2:$AA$9,2,FALSE))))),"")</f>
        <v/>
      </c>
      <c r="J227" s="106"/>
      <c r="K227" s="301" t="str">
        <f>IF(J227="","",IF(VLOOKUP(J227,'G-3 Multipliers'!$L$3:$N$6,2,FALSE)=0,"Spatial Data Missing",VLOOKUP(J227,'G-3 Multipliers'!$L$3:$N$6,2,FALSE)))</f>
        <v/>
      </c>
      <c r="L227" s="305" t="str">
        <f>IF(J227="","",IF(VLOOKUP(J227,'G-3 Multipliers'!$L$3:$N$6,3,FALSE)=0,"Spatial Data Missing",VLOOKUP(J227,'G-3 Multipliers'!$L$3:$N$6,3,FALSE)))</f>
        <v/>
      </c>
      <c r="M227" s="138"/>
      <c r="N227" s="282" t="str">
        <f>IF(M227="","",IF(VLOOKUP(M227,'G-3 Multipliers'!$S$3:$T$10,2,FALSE)=0,"Spatial Data Missing ⚠",VLOOKUP(M227,'G-3 Multipliers'!$S$3:$T$10,2,FALSE)))</f>
        <v/>
      </c>
      <c r="O227" s="281" t="str">
        <f>IF(OR(D227="",H227=""),"",(INDEX('G-6 Hedgerow Data'!$E$3:$I$15,MATCH(D227,'G-6 Hedgerow Data'!$B$3:$B$15,0),MATCH(H227,'G-6 Hedgerow Data'!$E$2:$I$2,0))))</f>
        <v/>
      </c>
      <c r="P227" s="137"/>
      <c r="Q227" s="137"/>
      <c r="R227" s="289" t="str">
        <f t="shared" si="22"/>
        <v/>
      </c>
      <c r="S227" s="302" t="str">
        <f t="shared" si="23"/>
        <v/>
      </c>
      <c r="T227" s="303" t="str">
        <f t="shared" si="21"/>
        <v/>
      </c>
      <c r="U227" s="317" t="str">
        <f>IF(D227="","",VLOOKUP(D227,'G-6 Hedgerow Data'!$B$3:$AG$15,31,FALSE))</f>
        <v/>
      </c>
      <c r="V227" s="301" t="str">
        <f t="shared" si="24"/>
        <v/>
      </c>
      <c r="W227" s="289" t="str">
        <f t="shared" si="25"/>
        <v/>
      </c>
      <c r="X227" s="305" t="str">
        <f>IF(F227="","",VLOOKUP(U227,'G-3 Multipliers'!$P$3:$Q$6,2,FALSE))</f>
        <v/>
      </c>
      <c r="Y227" s="309" t="str">
        <f t="shared" si="26"/>
        <v/>
      </c>
      <c r="Z227" s="309" t="str">
        <f t="shared" si="27"/>
        <v/>
      </c>
      <c r="AA227" s="105"/>
      <c r="AB227" s="968"/>
      <c r="AC227" s="142"/>
      <c r="AD227" s="142"/>
      <c r="AE227" s="964"/>
      <c r="AH227" s="30" t="str">
        <f>IFERROR(INDEX('G-6 Hedgerow Data'!$BJ$3:$BJ$15,MATCH(D227,'G-6 Hedgerow Data'!$B$3:$B$15,0)),"")</f>
        <v/>
      </c>
    </row>
    <row r="228" spans="2:34" ht="13.8" x14ac:dyDescent="0.25">
      <c r="B228" s="101">
        <v>217</v>
      </c>
      <c r="C228" s="175"/>
      <c r="D228" s="58"/>
      <c r="E228" s="142"/>
      <c r="F228" s="281" t="str">
        <f>IF(D228="","",VLOOKUP(D228,'G-6 Hedgerow Data'!$B$2:$AG$15,2,FALSE))</f>
        <v/>
      </c>
      <c r="G228" s="305" t="str">
        <f>IF(D228="","",VLOOKUP(D228,'G-6 Hedgerow Data'!$B$2:$AG$15,3,FALSE))</f>
        <v/>
      </c>
      <c r="H228" s="53"/>
      <c r="I228" s="282" t="str">
        <f>IFERROR(IF(H228="","",IF(AND(D228="Non-native and ornamental hedgerow", H228&lt;&gt;"Poor"),"Not possible ▲", (IF(AND(F228="V.Low",OR(H228="Good",H228="Moderate")),"Error ▲",VLOOKUP(H228,'G-1 All Habitats'!$Z$2:$AA$9,2,FALSE))))),"")</f>
        <v/>
      </c>
      <c r="J228" s="106"/>
      <c r="K228" s="301" t="str">
        <f>IF(J228="","",IF(VLOOKUP(J228,'G-3 Multipliers'!$L$3:$N$6,2,FALSE)=0,"Spatial Data Missing",VLOOKUP(J228,'G-3 Multipliers'!$L$3:$N$6,2,FALSE)))</f>
        <v/>
      </c>
      <c r="L228" s="305" t="str">
        <f>IF(J228="","",IF(VLOOKUP(J228,'G-3 Multipliers'!$L$3:$N$6,3,FALSE)=0,"Spatial Data Missing",VLOOKUP(J228,'G-3 Multipliers'!$L$3:$N$6,3,FALSE)))</f>
        <v/>
      </c>
      <c r="M228" s="138"/>
      <c r="N228" s="282" t="str">
        <f>IF(M228="","",IF(VLOOKUP(M228,'G-3 Multipliers'!$S$3:$T$10,2,FALSE)=0,"Spatial Data Missing ⚠",VLOOKUP(M228,'G-3 Multipliers'!$S$3:$T$10,2,FALSE)))</f>
        <v/>
      </c>
      <c r="O228" s="281" t="str">
        <f>IF(OR(D228="",H228=""),"",(INDEX('G-6 Hedgerow Data'!$E$3:$I$15,MATCH(D228,'G-6 Hedgerow Data'!$B$3:$B$15,0),MATCH(H228,'G-6 Hedgerow Data'!$E$2:$I$2,0))))</f>
        <v/>
      </c>
      <c r="P228" s="137"/>
      <c r="Q228" s="137"/>
      <c r="R228" s="289" t="str">
        <f t="shared" si="22"/>
        <v/>
      </c>
      <c r="S228" s="302" t="str">
        <f t="shared" si="23"/>
        <v/>
      </c>
      <c r="T228" s="303" t="str">
        <f t="shared" si="21"/>
        <v/>
      </c>
      <c r="U228" s="317" t="str">
        <f>IF(D228="","",VLOOKUP(D228,'G-6 Hedgerow Data'!$B$3:$AG$15,31,FALSE))</f>
        <v/>
      </c>
      <c r="V228" s="301" t="str">
        <f t="shared" si="24"/>
        <v/>
      </c>
      <c r="W228" s="289" t="str">
        <f t="shared" si="25"/>
        <v/>
      </c>
      <c r="X228" s="305" t="str">
        <f>IF(F228="","",VLOOKUP(U228,'G-3 Multipliers'!$P$3:$Q$6,2,FALSE))</f>
        <v/>
      </c>
      <c r="Y228" s="309" t="str">
        <f t="shared" si="26"/>
        <v/>
      </c>
      <c r="Z228" s="309" t="str">
        <f t="shared" si="27"/>
        <v/>
      </c>
      <c r="AA228" s="105"/>
      <c r="AB228" s="968"/>
      <c r="AC228" s="142"/>
      <c r="AD228" s="142"/>
      <c r="AE228" s="964"/>
      <c r="AH228" s="30" t="str">
        <f>IFERROR(INDEX('G-6 Hedgerow Data'!$BJ$3:$BJ$15,MATCH(D228,'G-6 Hedgerow Data'!$B$3:$B$15,0)),"")</f>
        <v/>
      </c>
    </row>
    <row r="229" spans="2:34" ht="13.8" x14ac:dyDescent="0.25">
      <c r="B229" s="101">
        <v>218</v>
      </c>
      <c r="C229" s="175"/>
      <c r="D229" s="58"/>
      <c r="E229" s="142"/>
      <c r="F229" s="281" t="str">
        <f>IF(D229="","",VLOOKUP(D229,'G-6 Hedgerow Data'!$B$2:$AG$15,2,FALSE))</f>
        <v/>
      </c>
      <c r="G229" s="305" t="str">
        <f>IF(D229="","",VLOOKUP(D229,'G-6 Hedgerow Data'!$B$2:$AG$15,3,FALSE))</f>
        <v/>
      </c>
      <c r="H229" s="53"/>
      <c r="I229" s="282" t="str">
        <f>IFERROR(IF(H229="","",IF(AND(D229="Non-native and ornamental hedgerow", H229&lt;&gt;"Poor"),"Not possible ▲", (IF(AND(F229="V.Low",OR(H229="Good",H229="Moderate")),"Error ▲",VLOOKUP(H229,'G-1 All Habitats'!$Z$2:$AA$9,2,FALSE))))),"")</f>
        <v/>
      </c>
      <c r="J229" s="106"/>
      <c r="K229" s="301" t="str">
        <f>IF(J229="","",IF(VLOOKUP(J229,'G-3 Multipliers'!$L$3:$N$6,2,FALSE)=0,"Spatial Data Missing",VLOOKUP(J229,'G-3 Multipliers'!$L$3:$N$6,2,FALSE)))</f>
        <v/>
      </c>
      <c r="L229" s="305" t="str">
        <f>IF(J229="","",IF(VLOOKUP(J229,'G-3 Multipliers'!$L$3:$N$6,3,FALSE)=0,"Spatial Data Missing",VLOOKUP(J229,'G-3 Multipliers'!$L$3:$N$6,3,FALSE)))</f>
        <v/>
      </c>
      <c r="M229" s="138"/>
      <c r="N229" s="282" t="str">
        <f>IF(M229="","",IF(VLOOKUP(M229,'G-3 Multipliers'!$S$3:$T$10,2,FALSE)=0,"Spatial Data Missing ⚠",VLOOKUP(M229,'G-3 Multipliers'!$S$3:$T$10,2,FALSE)))</f>
        <v/>
      </c>
      <c r="O229" s="281" t="str">
        <f>IF(OR(D229="",H229=""),"",(INDEX('G-6 Hedgerow Data'!$E$3:$I$15,MATCH(D229,'G-6 Hedgerow Data'!$B$3:$B$15,0),MATCH(H229,'G-6 Hedgerow Data'!$E$2:$I$2,0))))</f>
        <v/>
      </c>
      <c r="P229" s="137"/>
      <c r="Q229" s="137"/>
      <c r="R229" s="289" t="str">
        <f t="shared" si="22"/>
        <v/>
      </c>
      <c r="S229" s="302" t="str">
        <f t="shared" si="23"/>
        <v/>
      </c>
      <c r="T229" s="303" t="str">
        <f t="shared" si="21"/>
        <v/>
      </c>
      <c r="U229" s="317" t="str">
        <f>IF(D229="","",VLOOKUP(D229,'G-6 Hedgerow Data'!$B$3:$AG$15,31,FALSE))</f>
        <v/>
      </c>
      <c r="V229" s="301" t="str">
        <f t="shared" si="24"/>
        <v/>
      </c>
      <c r="W229" s="289" t="str">
        <f t="shared" si="25"/>
        <v/>
      </c>
      <c r="X229" s="305" t="str">
        <f>IF(F229="","",VLOOKUP(U229,'G-3 Multipliers'!$P$3:$Q$6,2,FALSE))</f>
        <v/>
      </c>
      <c r="Y229" s="309" t="str">
        <f t="shared" si="26"/>
        <v/>
      </c>
      <c r="Z229" s="309" t="str">
        <f t="shared" si="27"/>
        <v/>
      </c>
      <c r="AA229" s="105"/>
      <c r="AB229" s="968"/>
      <c r="AC229" s="142"/>
      <c r="AD229" s="142"/>
      <c r="AE229" s="964"/>
      <c r="AH229" s="30" t="str">
        <f>IFERROR(INDEX('G-6 Hedgerow Data'!$BJ$3:$BJ$15,MATCH(D229,'G-6 Hedgerow Data'!$B$3:$B$15,0)),"")</f>
        <v/>
      </c>
    </row>
    <row r="230" spans="2:34" ht="13.8" x14ac:dyDescent="0.25">
      <c r="B230" s="101">
        <v>219</v>
      </c>
      <c r="C230" s="175"/>
      <c r="D230" s="58"/>
      <c r="E230" s="142"/>
      <c r="F230" s="281" t="str">
        <f>IF(D230="","",VLOOKUP(D230,'G-6 Hedgerow Data'!$B$2:$AG$15,2,FALSE))</f>
        <v/>
      </c>
      <c r="G230" s="305" t="str">
        <f>IF(D230="","",VLOOKUP(D230,'G-6 Hedgerow Data'!$B$2:$AG$15,3,FALSE))</f>
        <v/>
      </c>
      <c r="H230" s="53"/>
      <c r="I230" s="282" t="str">
        <f>IFERROR(IF(H230="","",IF(AND(D230="Non-native and ornamental hedgerow", H230&lt;&gt;"Poor"),"Not possible ▲", (IF(AND(F230="V.Low",OR(H230="Good",H230="Moderate")),"Error ▲",VLOOKUP(H230,'G-1 All Habitats'!$Z$2:$AA$9,2,FALSE))))),"")</f>
        <v/>
      </c>
      <c r="J230" s="106"/>
      <c r="K230" s="301" t="str">
        <f>IF(J230="","",IF(VLOOKUP(J230,'G-3 Multipliers'!$L$3:$N$6,2,FALSE)=0,"Spatial Data Missing",VLOOKUP(J230,'G-3 Multipliers'!$L$3:$N$6,2,FALSE)))</f>
        <v/>
      </c>
      <c r="L230" s="305" t="str">
        <f>IF(J230="","",IF(VLOOKUP(J230,'G-3 Multipliers'!$L$3:$N$6,3,FALSE)=0,"Spatial Data Missing",VLOOKUP(J230,'G-3 Multipliers'!$L$3:$N$6,3,FALSE)))</f>
        <v/>
      </c>
      <c r="M230" s="138"/>
      <c r="N230" s="282" t="str">
        <f>IF(M230="","",IF(VLOOKUP(M230,'G-3 Multipliers'!$S$3:$T$10,2,FALSE)=0,"Spatial Data Missing ⚠",VLOOKUP(M230,'G-3 Multipliers'!$S$3:$T$10,2,FALSE)))</f>
        <v/>
      </c>
      <c r="O230" s="281" t="str">
        <f>IF(OR(D230="",H230=""),"",(INDEX('G-6 Hedgerow Data'!$E$3:$I$15,MATCH(D230,'G-6 Hedgerow Data'!$B$3:$B$15,0),MATCH(H230,'G-6 Hedgerow Data'!$E$2:$I$2,0))))</f>
        <v/>
      </c>
      <c r="P230" s="137"/>
      <c r="Q230" s="137"/>
      <c r="R230" s="289" t="str">
        <f t="shared" si="22"/>
        <v/>
      </c>
      <c r="S230" s="302" t="str">
        <f t="shared" si="23"/>
        <v/>
      </c>
      <c r="T230" s="303" t="str">
        <f t="shared" si="21"/>
        <v/>
      </c>
      <c r="U230" s="317" t="str">
        <f>IF(D230="","",VLOOKUP(D230,'G-6 Hedgerow Data'!$B$3:$AG$15,31,FALSE))</f>
        <v/>
      </c>
      <c r="V230" s="301" t="str">
        <f t="shared" si="24"/>
        <v/>
      </c>
      <c r="W230" s="289" t="str">
        <f t="shared" si="25"/>
        <v/>
      </c>
      <c r="X230" s="305" t="str">
        <f>IF(F230="","",VLOOKUP(U230,'G-3 Multipliers'!$P$3:$Q$6,2,FALSE))</f>
        <v/>
      </c>
      <c r="Y230" s="309" t="str">
        <f t="shared" si="26"/>
        <v/>
      </c>
      <c r="Z230" s="309" t="str">
        <f t="shared" si="27"/>
        <v/>
      </c>
      <c r="AA230" s="105"/>
      <c r="AB230" s="968"/>
      <c r="AC230" s="142"/>
      <c r="AD230" s="142"/>
      <c r="AE230" s="964"/>
      <c r="AH230" s="30" t="str">
        <f>IFERROR(INDEX('G-6 Hedgerow Data'!$BJ$3:$BJ$15,MATCH(D230,'G-6 Hedgerow Data'!$B$3:$B$15,0)),"")</f>
        <v/>
      </c>
    </row>
    <row r="231" spans="2:34" ht="13.8" x14ac:dyDescent="0.25">
      <c r="B231" s="101">
        <v>220</v>
      </c>
      <c r="C231" s="175"/>
      <c r="D231" s="58"/>
      <c r="E231" s="142"/>
      <c r="F231" s="281" t="str">
        <f>IF(D231="","",VLOOKUP(D231,'G-6 Hedgerow Data'!$B$2:$AG$15,2,FALSE))</f>
        <v/>
      </c>
      <c r="G231" s="305" t="str">
        <f>IF(D231="","",VLOOKUP(D231,'G-6 Hedgerow Data'!$B$2:$AG$15,3,FALSE))</f>
        <v/>
      </c>
      <c r="H231" s="53"/>
      <c r="I231" s="282" t="str">
        <f>IFERROR(IF(H231="","",IF(AND(D231="Non-native and ornamental hedgerow", H231&lt;&gt;"Poor"),"Not possible ▲", (IF(AND(F231="V.Low",OR(H231="Good",H231="Moderate")),"Error ▲",VLOOKUP(H231,'G-1 All Habitats'!$Z$2:$AA$9,2,FALSE))))),"")</f>
        <v/>
      </c>
      <c r="J231" s="106"/>
      <c r="K231" s="301" t="str">
        <f>IF(J231="","",IF(VLOOKUP(J231,'G-3 Multipliers'!$L$3:$N$6,2,FALSE)=0,"Spatial Data Missing",VLOOKUP(J231,'G-3 Multipliers'!$L$3:$N$6,2,FALSE)))</f>
        <v/>
      </c>
      <c r="L231" s="305" t="str">
        <f>IF(J231="","",IF(VLOOKUP(J231,'G-3 Multipliers'!$L$3:$N$6,3,FALSE)=0,"Spatial Data Missing",VLOOKUP(J231,'G-3 Multipliers'!$L$3:$N$6,3,FALSE)))</f>
        <v/>
      </c>
      <c r="M231" s="138"/>
      <c r="N231" s="282" t="str">
        <f>IF(M231="","",IF(VLOOKUP(M231,'G-3 Multipliers'!$S$3:$T$10,2,FALSE)=0,"Spatial Data Missing ⚠",VLOOKUP(M231,'G-3 Multipliers'!$S$3:$T$10,2,FALSE)))</f>
        <v/>
      </c>
      <c r="O231" s="281" t="str">
        <f>IF(OR(D231="",H231=""),"",(INDEX('G-6 Hedgerow Data'!$E$3:$I$15,MATCH(D231,'G-6 Hedgerow Data'!$B$3:$B$15,0),MATCH(H231,'G-6 Hedgerow Data'!$E$2:$I$2,0))))</f>
        <v/>
      </c>
      <c r="P231" s="137"/>
      <c r="Q231" s="137"/>
      <c r="R231" s="289" t="str">
        <f t="shared" si="22"/>
        <v/>
      </c>
      <c r="S231" s="302" t="str">
        <f t="shared" si="23"/>
        <v/>
      </c>
      <c r="T231" s="303" t="str">
        <f t="shared" si="21"/>
        <v/>
      </c>
      <c r="U231" s="317" t="str">
        <f>IF(D231="","",VLOOKUP(D231,'G-6 Hedgerow Data'!$B$3:$AG$15,31,FALSE))</f>
        <v/>
      </c>
      <c r="V231" s="301" t="str">
        <f t="shared" si="24"/>
        <v/>
      </c>
      <c r="W231" s="289" t="str">
        <f t="shared" si="25"/>
        <v/>
      </c>
      <c r="X231" s="305" t="str">
        <f>IF(F231="","",VLOOKUP(U231,'G-3 Multipliers'!$P$3:$Q$6,2,FALSE))</f>
        <v/>
      </c>
      <c r="Y231" s="309" t="str">
        <f t="shared" si="26"/>
        <v/>
      </c>
      <c r="Z231" s="309" t="str">
        <f t="shared" si="27"/>
        <v/>
      </c>
      <c r="AA231" s="105"/>
      <c r="AB231" s="968"/>
      <c r="AC231" s="142"/>
      <c r="AD231" s="142"/>
      <c r="AE231" s="964"/>
      <c r="AH231" s="30" t="str">
        <f>IFERROR(INDEX('G-6 Hedgerow Data'!$BJ$3:$BJ$15,MATCH(D231,'G-6 Hedgerow Data'!$B$3:$B$15,0)),"")</f>
        <v/>
      </c>
    </row>
    <row r="232" spans="2:34" ht="13.8" x14ac:dyDescent="0.25">
      <c r="B232" s="101">
        <v>221</v>
      </c>
      <c r="C232" s="175"/>
      <c r="D232" s="58"/>
      <c r="E232" s="142"/>
      <c r="F232" s="281" t="str">
        <f>IF(D232="","",VLOOKUP(D232,'G-6 Hedgerow Data'!$B$2:$AG$15,2,FALSE))</f>
        <v/>
      </c>
      <c r="G232" s="305" t="str">
        <f>IF(D232="","",VLOOKUP(D232,'G-6 Hedgerow Data'!$B$2:$AG$15,3,FALSE))</f>
        <v/>
      </c>
      <c r="H232" s="53"/>
      <c r="I232" s="282" t="str">
        <f>IFERROR(IF(H232="","",IF(AND(D232="Non-native and ornamental hedgerow", H232&lt;&gt;"Poor"),"Not possible ▲", (IF(AND(F232="V.Low",OR(H232="Good",H232="Moderate")),"Error ▲",VLOOKUP(H232,'G-1 All Habitats'!$Z$2:$AA$9,2,FALSE))))),"")</f>
        <v/>
      </c>
      <c r="J232" s="106"/>
      <c r="K232" s="301" t="str">
        <f>IF(J232="","",IF(VLOOKUP(J232,'G-3 Multipliers'!$L$3:$N$6,2,FALSE)=0,"Spatial Data Missing",VLOOKUP(J232,'G-3 Multipliers'!$L$3:$N$6,2,FALSE)))</f>
        <v/>
      </c>
      <c r="L232" s="305" t="str">
        <f>IF(J232="","",IF(VLOOKUP(J232,'G-3 Multipliers'!$L$3:$N$6,3,FALSE)=0,"Spatial Data Missing",VLOOKUP(J232,'G-3 Multipliers'!$L$3:$N$6,3,FALSE)))</f>
        <v/>
      </c>
      <c r="M232" s="138"/>
      <c r="N232" s="282" t="str">
        <f>IF(M232="","",IF(VLOOKUP(M232,'G-3 Multipliers'!$S$3:$T$10,2,FALSE)=0,"Spatial Data Missing ⚠",VLOOKUP(M232,'G-3 Multipliers'!$S$3:$T$10,2,FALSE)))</f>
        <v/>
      </c>
      <c r="O232" s="281" t="str">
        <f>IF(OR(D232="",H232=""),"",(INDEX('G-6 Hedgerow Data'!$E$3:$I$15,MATCH(D232,'G-6 Hedgerow Data'!$B$3:$B$15,0),MATCH(H232,'G-6 Hedgerow Data'!$E$2:$I$2,0))))</f>
        <v/>
      </c>
      <c r="P232" s="137"/>
      <c r="Q232" s="137"/>
      <c r="R232" s="289" t="str">
        <f t="shared" si="22"/>
        <v/>
      </c>
      <c r="S232" s="302" t="str">
        <f t="shared" si="23"/>
        <v/>
      </c>
      <c r="T232" s="303" t="str">
        <f t="shared" si="21"/>
        <v/>
      </c>
      <c r="U232" s="317" t="str">
        <f>IF(D232="","",VLOOKUP(D232,'G-6 Hedgerow Data'!$B$3:$AG$15,31,FALSE))</f>
        <v/>
      </c>
      <c r="V232" s="301" t="str">
        <f t="shared" si="24"/>
        <v/>
      </c>
      <c r="W232" s="289" t="str">
        <f t="shared" si="25"/>
        <v/>
      </c>
      <c r="X232" s="305" t="str">
        <f>IF(F232="","",VLOOKUP(U232,'G-3 Multipliers'!$P$3:$Q$6,2,FALSE))</f>
        <v/>
      </c>
      <c r="Y232" s="309" t="str">
        <f t="shared" si="26"/>
        <v/>
      </c>
      <c r="Z232" s="309" t="str">
        <f t="shared" si="27"/>
        <v/>
      </c>
      <c r="AA232" s="105"/>
      <c r="AB232" s="968"/>
      <c r="AC232" s="142"/>
      <c r="AD232" s="142"/>
      <c r="AE232" s="964"/>
      <c r="AH232" s="30" t="str">
        <f>IFERROR(INDEX('G-6 Hedgerow Data'!$BJ$3:$BJ$15,MATCH(D232,'G-6 Hedgerow Data'!$B$3:$B$15,0)),"")</f>
        <v/>
      </c>
    </row>
    <row r="233" spans="2:34" ht="13.8" x14ac:dyDescent="0.25">
      <c r="B233" s="101">
        <v>222</v>
      </c>
      <c r="C233" s="175"/>
      <c r="D233" s="58"/>
      <c r="E233" s="142"/>
      <c r="F233" s="281" t="str">
        <f>IF(D233="","",VLOOKUP(D233,'G-6 Hedgerow Data'!$B$2:$AG$15,2,FALSE))</f>
        <v/>
      </c>
      <c r="G233" s="305" t="str">
        <f>IF(D233="","",VLOOKUP(D233,'G-6 Hedgerow Data'!$B$2:$AG$15,3,FALSE))</f>
        <v/>
      </c>
      <c r="H233" s="53"/>
      <c r="I233" s="282" t="str">
        <f>IFERROR(IF(H233="","",IF(AND(D233="Non-native and ornamental hedgerow", H233&lt;&gt;"Poor"),"Not possible ▲", (IF(AND(F233="V.Low",OR(H233="Good",H233="Moderate")),"Error ▲",VLOOKUP(H233,'G-1 All Habitats'!$Z$2:$AA$9,2,FALSE))))),"")</f>
        <v/>
      </c>
      <c r="J233" s="106"/>
      <c r="K233" s="301" t="str">
        <f>IF(J233="","",IF(VLOOKUP(J233,'G-3 Multipliers'!$L$3:$N$6,2,FALSE)=0,"Spatial Data Missing",VLOOKUP(J233,'G-3 Multipliers'!$L$3:$N$6,2,FALSE)))</f>
        <v/>
      </c>
      <c r="L233" s="305" t="str">
        <f>IF(J233="","",IF(VLOOKUP(J233,'G-3 Multipliers'!$L$3:$N$6,3,FALSE)=0,"Spatial Data Missing",VLOOKUP(J233,'G-3 Multipliers'!$L$3:$N$6,3,FALSE)))</f>
        <v/>
      </c>
      <c r="M233" s="138"/>
      <c r="N233" s="282" t="str">
        <f>IF(M233="","",IF(VLOOKUP(M233,'G-3 Multipliers'!$S$3:$T$10,2,FALSE)=0,"Spatial Data Missing ⚠",VLOOKUP(M233,'G-3 Multipliers'!$S$3:$T$10,2,FALSE)))</f>
        <v/>
      </c>
      <c r="O233" s="281" t="str">
        <f>IF(OR(D233="",H233=""),"",(INDEX('G-6 Hedgerow Data'!$E$3:$I$15,MATCH(D233,'G-6 Hedgerow Data'!$B$3:$B$15,0),MATCH(H233,'G-6 Hedgerow Data'!$E$2:$I$2,0))))</f>
        <v/>
      </c>
      <c r="P233" s="137"/>
      <c r="Q233" s="137"/>
      <c r="R233" s="289" t="str">
        <f t="shared" si="22"/>
        <v/>
      </c>
      <c r="S233" s="302" t="str">
        <f t="shared" si="23"/>
        <v/>
      </c>
      <c r="T233" s="303" t="str">
        <f t="shared" si="21"/>
        <v/>
      </c>
      <c r="U233" s="317" t="str">
        <f>IF(D233="","",VLOOKUP(D233,'G-6 Hedgerow Data'!$B$3:$AG$15,31,FALSE))</f>
        <v/>
      </c>
      <c r="V233" s="301" t="str">
        <f t="shared" si="24"/>
        <v/>
      </c>
      <c r="W233" s="289" t="str">
        <f t="shared" si="25"/>
        <v/>
      </c>
      <c r="X233" s="305" t="str">
        <f>IF(F233="","",VLOOKUP(U233,'G-3 Multipliers'!$P$3:$Q$6,2,FALSE))</f>
        <v/>
      </c>
      <c r="Y233" s="309" t="str">
        <f t="shared" si="26"/>
        <v/>
      </c>
      <c r="Z233" s="309" t="str">
        <f t="shared" si="27"/>
        <v/>
      </c>
      <c r="AA233" s="105"/>
      <c r="AB233" s="968"/>
      <c r="AC233" s="142"/>
      <c r="AD233" s="142"/>
      <c r="AE233" s="964"/>
      <c r="AH233" s="30" t="str">
        <f>IFERROR(INDEX('G-6 Hedgerow Data'!$BJ$3:$BJ$15,MATCH(D233,'G-6 Hedgerow Data'!$B$3:$B$15,0)),"")</f>
        <v/>
      </c>
    </row>
    <row r="234" spans="2:34" ht="13.8" x14ac:dyDescent="0.25">
      <c r="B234" s="101">
        <v>223</v>
      </c>
      <c r="C234" s="175"/>
      <c r="D234" s="58"/>
      <c r="E234" s="142"/>
      <c r="F234" s="281" t="str">
        <f>IF(D234="","",VLOOKUP(D234,'G-6 Hedgerow Data'!$B$2:$AG$15,2,FALSE))</f>
        <v/>
      </c>
      <c r="G234" s="305" t="str">
        <f>IF(D234="","",VLOOKUP(D234,'G-6 Hedgerow Data'!$B$2:$AG$15,3,FALSE))</f>
        <v/>
      </c>
      <c r="H234" s="53"/>
      <c r="I234" s="282" t="str">
        <f>IFERROR(IF(H234="","",IF(AND(D234="Non-native and ornamental hedgerow", H234&lt;&gt;"Poor"),"Not possible ▲", (IF(AND(F234="V.Low",OR(H234="Good",H234="Moderate")),"Error ▲",VLOOKUP(H234,'G-1 All Habitats'!$Z$2:$AA$9,2,FALSE))))),"")</f>
        <v/>
      </c>
      <c r="J234" s="106"/>
      <c r="K234" s="301" t="str">
        <f>IF(J234="","",IF(VLOOKUP(J234,'G-3 Multipliers'!$L$3:$N$6,2,FALSE)=0,"Spatial Data Missing",VLOOKUP(J234,'G-3 Multipliers'!$L$3:$N$6,2,FALSE)))</f>
        <v/>
      </c>
      <c r="L234" s="305" t="str">
        <f>IF(J234="","",IF(VLOOKUP(J234,'G-3 Multipliers'!$L$3:$N$6,3,FALSE)=0,"Spatial Data Missing",VLOOKUP(J234,'G-3 Multipliers'!$L$3:$N$6,3,FALSE)))</f>
        <v/>
      </c>
      <c r="M234" s="138"/>
      <c r="N234" s="282" t="str">
        <f>IF(M234="","",IF(VLOOKUP(M234,'G-3 Multipliers'!$S$3:$T$10,2,FALSE)=0,"Spatial Data Missing ⚠",VLOOKUP(M234,'G-3 Multipliers'!$S$3:$T$10,2,FALSE)))</f>
        <v/>
      </c>
      <c r="O234" s="281" t="str">
        <f>IF(OR(D234="",H234=""),"",(INDEX('G-6 Hedgerow Data'!$E$3:$I$15,MATCH(D234,'G-6 Hedgerow Data'!$B$3:$B$15,0),MATCH(H234,'G-6 Hedgerow Data'!$E$2:$I$2,0))))</f>
        <v/>
      </c>
      <c r="P234" s="137"/>
      <c r="Q234" s="137"/>
      <c r="R234" s="289" t="str">
        <f t="shared" si="22"/>
        <v/>
      </c>
      <c r="S234" s="302" t="str">
        <f t="shared" si="23"/>
        <v/>
      </c>
      <c r="T234" s="303" t="str">
        <f t="shared" si="21"/>
        <v/>
      </c>
      <c r="U234" s="317" t="str">
        <f>IF(D234="","",VLOOKUP(D234,'G-6 Hedgerow Data'!$B$3:$AG$15,31,FALSE))</f>
        <v/>
      </c>
      <c r="V234" s="301" t="str">
        <f t="shared" si="24"/>
        <v/>
      </c>
      <c r="W234" s="289" t="str">
        <f t="shared" si="25"/>
        <v/>
      </c>
      <c r="X234" s="305" t="str">
        <f>IF(F234="","",VLOOKUP(U234,'G-3 Multipliers'!$P$3:$Q$6,2,FALSE))</f>
        <v/>
      </c>
      <c r="Y234" s="309" t="str">
        <f t="shared" si="26"/>
        <v/>
      </c>
      <c r="Z234" s="309" t="str">
        <f t="shared" si="27"/>
        <v/>
      </c>
      <c r="AA234" s="105"/>
      <c r="AB234" s="968"/>
      <c r="AC234" s="142"/>
      <c r="AD234" s="142"/>
      <c r="AE234" s="964"/>
      <c r="AH234" s="30" t="str">
        <f>IFERROR(INDEX('G-6 Hedgerow Data'!$BJ$3:$BJ$15,MATCH(D234,'G-6 Hedgerow Data'!$B$3:$B$15,0)),"")</f>
        <v/>
      </c>
    </row>
    <row r="235" spans="2:34" ht="13.8" x14ac:dyDescent="0.25">
      <c r="B235" s="101">
        <v>224</v>
      </c>
      <c r="C235" s="175"/>
      <c r="D235" s="58"/>
      <c r="E235" s="142"/>
      <c r="F235" s="281" t="str">
        <f>IF(D235="","",VLOOKUP(D235,'G-6 Hedgerow Data'!$B$2:$AG$15,2,FALSE))</f>
        <v/>
      </c>
      <c r="G235" s="305" t="str">
        <f>IF(D235="","",VLOOKUP(D235,'G-6 Hedgerow Data'!$B$2:$AG$15,3,FALSE))</f>
        <v/>
      </c>
      <c r="H235" s="53"/>
      <c r="I235" s="282" t="str">
        <f>IFERROR(IF(H235="","",IF(AND(D235="Non-native and ornamental hedgerow", H235&lt;&gt;"Poor"),"Not possible ▲", (IF(AND(F235="V.Low",OR(H235="Good",H235="Moderate")),"Error ▲",VLOOKUP(H235,'G-1 All Habitats'!$Z$2:$AA$9,2,FALSE))))),"")</f>
        <v/>
      </c>
      <c r="J235" s="106"/>
      <c r="K235" s="301" t="str">
        <f>IF(J235="","",IF(VLOOKUP(J235,'G-3 Multipliers'!$L$3:$N$6,2,FALSE)=0,"Spatial Data Missing",VLOOKUP(J235,'G-3 Multipliers'!$L$3:$N$6,2,FALSE)))</f>
        <v/>
      </c>
      <c r="L235" s="305" t="str">
        <f>IF(J235="","",IF(VLOOKUP(J235,'G-3 Multipliers'!$L$3:$N$6,3,FALSE)=0,"Spatial Data Missing",VLOOKUP(J235,'G-3 Multipliers'!$L$3:$N$6,3,FALSE)))</f>
        <v/>
      </c>
      <c r="M235" s="138"/>
      <c r="N235" s="282" t="str">
        <f>IF(M235="","",IF(VLOOKUP(M235,'G-3 Multipliers'!$S$3:$T$10,2,FALSE)=0,"Spatial Data Missing ⚠",VLOOKUP(M235,'G-3 Multipliers'!$S$3:$T$10,2,FALSE)))</f>
        <v/>
      </c>
      <c r="O235" s="281" t="str">
        <f>IF(OR(D235="",H235=""),"",(INDEX('G-6 Hedgerow Data'!$E$3:$I$15,MATCH(D235,'G-6 Hedgerow Data'!$B$3:$B$15,0),MATCH(H235,'G-6 Hedgerow Data'!$E$2:$I$2,0))))</f>
        <v/>
      </c>
      <c r="P235" s="137"/>
      <c r="Q235" s="137"/>
      <c r="R235" s="289" t="str">
        <f t="shared" si="22"/>
        <v/>
      </c>
      <c r="S235" s="302" t="str">
        <f t="shared" si="23"/>
        <v/>
      </c>
      <c r="T235" s="303" t="str">
        <f t="shared" si="21"/>
        <v/>
      </c>
      <c r="U235" s="317" t="str">
        <f>IF(D235="","",VLOOKUP(D235,'G-6 Hedgerow Data'!$B$3:$AG$15,31,FALSE))</f>
        <v/>
      </c>
      <c r="V235" s="301" t="str">
        <f t="shared" si="24"/>
        <v/>
      </c>
      <c r="W235" s="289" t="str">
        <f t="shared" si="25"/>
        <v/>
      </c>
      <c r="X235" s="305" t="str">
        <f>IF(F235="","",VLOOKUP(U235,'G-3 Multipliers'!$P$3:$Q$6,2,FALSE))</f>
        <v/>
      </c>
      <c r="Y235" s="309" t="str">
        <f t="shared" si="26"/>
        <v/>
      </c>
      <c r="Z235" s="309" t="str">
        <f t="shared" si="27"/>
        <v/>
      </c>
      <c r="AA235" s="105"/>
      <c r="AB235" s="968"/>
      <c r="AC235" s="142"/>
      <c r="AD235" s="142"/>
      <c r="AE235" s="964"/>
      <c r="AH235" s="30" t="str">
        <f>IFERROR(INDEX('G-6 Hedgerow Data'!$BJ$3:$BJ$15,MATCH(D235,'G-6 Hedgerow Data'!$B$3:$B$15,0)),"")</f>
        <v/>
      </c>
    </row>
    <row r="236" spans="2:34" ht="13.8" x14ac:dyDescent="0.25">
      <c r="B236" s="101">
        <v>225</v>
      </c>
      <c r="C236" s="175"/>
      <c r="D236" s="58"/>
      <c r="E236" s="142"/>
      <c r="F236" s="281" t="str">
        <f>IF(D236="","",VLOOKUP(D236,'G-6 Hedgerow Data'!$B$2:$AG$15,2,FALSE))</f>
        <v/>
      </c>
      <c r="G236" s="305" t="str">
        <f>IF(D236="","",VLOOKUP(D236,'G-6 Hedgerow Data'!$B$2:$AG$15,3,FALSE))</f>
        <v/>
      </c>
      <c r="H236" s="53"/>
      <c r="I236" s="282" t="str">
        <f>IFERROR(IF(H236="","",IF(AND(D236="Non-native and ornamental hedgerow", H236&lt;&gt;"Poor"),"Not possible ▲", (IF(AND(F236="V.Low",OR(H236="Good",H236="Moderate")),"Error ▲",VLOOKUP(H236,'G-1 All Habitats'!$Z$2:$AA$9,2,FALSE))))),"")</f>
        <v/>
      </c>
      <c r="J236" s="106"/>
      <c r="K236" s="301" t="str">
        <f>IF(J236="","",IF(VLOOKUP(J236,'G-3 Multipliers'!$L$3:$N$6,2,FALSE)=0,"Spatial Data Missing",VLOOKUP(J236,'G-3 Multipliers'!$L$3:$N$6,2,FALSE)))</f>
        <v/>
      </c>
      <c r="L236" s="305" t="str">
        <f>IF(J236="","",IF(VLOOKUP(J236,'G-3 Multipliers'!$L$3:$N$6,3,FALSE)=0,"Spatial Data Missing",VLOOKUP(J236,'G-3 Multipliers'!$L$3:$N$6,3,FALSE)))</f>
        <v/>
      </c>
      <c r="M236" s="138"/>
      <c r="N236" s="282" t="str">
        <f>IF(M236="","",IF(VLOOKUP(M236,'G-3 Multipliers'!$S$3:$T$10,2,FALSE)=0,"Spatial Data Missing ⚠",VLOOKUP(M236,'G-3 Multipliers'!$S$3:$T$10,2,FALSE)))</f>
        <v/>
      </c>
      <c r="O236" s="281" t="str">
        <f>IF(OR(D236="",H236=""),"",(INDEX('G-6 Hedgerow Data'!$E$3:$I$15,MATCH(D236,'G-6 Hedgerow Data'!$B$3:$B$15,0),MATCH(H236,'G-6 Hedgerow Data'!$E$2:$I$2,0))))</f>
        <v/>
      </c>
      <c r="P236" s="137"/>
      <c r="Q236" s="137"/>
      <c r="R236" s="289" t="str">
        <f t="shared" si="22"/>
        <v/>
      </c>
      <c r="S236" s="302" t="str">
        <f t="shared" si="23"/>
        <v/>
      </c>
      <c r="T236" s="303" t="str">
        <f t="shared" si="21"/>
        <v/>
      </c>
      <c r="U236" s="317" t="str">
        <f>IF(D236="","",VLOOKUP(D236,'G-6 Hedgerow Data'!$B$3:$AG$15,31,FALSE))</f>
        <v/>
      </c>
      <c r="V236" s="301" t="str">
        <f t="shared" si="24"/>
        <v/>
      </c>
      <c r="W236" s="289" t="str">
        <f t="shared" si="25"/>
        <v/>
      </c>
      <c r="X236" s="305" t="str">
        <f>IF(F236="","",VLOOKUP(U236,'G-3 Multipliers'!$P$3:$Q$6,2,FALSE))</f>
        <v/>
      </c>
      <c r="Y236" s="309" t="str">
        <f t="shared" si="26"/>
        <v/>
      </c>
      <c r="Z236" s="309" t="str">
        <f t="shared" si="27"/>
        <v/>
      </c>
      <c r="AA236" s="105"/>
      <c r="AB236" s="968"/>
      <c r="AC236" s="142"/>
      <c r="AD236" s="142"/>
      <c r="AE236" s="964"/>
      <c r="AH236" s="30" t="str">
        <f>IFERROR(INDEX('G-6 Hedgerow Data'!$BJ$3:$BJ$15,MATCH(D236,'G-6 Hedgerow Data'!$B$3:$B$15,0)),"")</f>
        <v/>
      </c>
    </row>
    <row r="237" spans="2:34" ht="13.8" x14ac:dyDescent="0.25">
      <c r="B237" s="101">
        <v>226</v>
      </c>
      <c r="C237" s="175"/>
      <c r="D237" s="58"/>
      <c r="E237" s="142"/>
      <c r="F237" s="281" t="str">
        <f>IF(D237="","",VLOOKUP(D237,'G-6 Hedgerow Data'!$B$2:$AG$15,2,FALSE))</f>
        <v/>
      </c>
      <c r="G237" s="305" t="str">
        <f>IF(D237="","",VLOOKUP(D237,'G-6 Hedgerow Data'!$B$2:$AG$15,3,FALSE))</f>
        <v/>
      </c>
      <c r="H237" s="53"/>
      <c r="I237" s="282" t="str">
        <f>IFERROR(IF(H237="","",IF(AND(D237="Non-native and ornamental hedgerow", H237&lt;&gt;"Poor"),"Not possible ▲", (IF(AND(F237="V.Low",OR(H237="Good",H237="Moderate")),"Error ▲",VLOOKUP(H237,'G-1 All Habitats'!$Z$2:$AA$9,2,FALSE))))),"")</f>
        <v/>
      </c>
      <c r="J237" s="106"/>
      <c r="K237" s="301" t="str">
        <f>IF(J237="","",IF(VLOOKUP(J237,'G-3 Multipliers'!$L$3:$N$6,2,FALSE)=0,"Spatial Data Missing",VLOOKUP(J237,'G-3 Multipliers'!$L$3:$N$6,2,FALSE)))</f>
        <v/>
      </c>
      <c r="L237" s="305" t="str">
        <f>IF(J237="","",IF(VLOOKUP(J237,'G-3 Multipliers'!$L$3:$N$6,3,FALSE)=0,"Spatial Data Missing",VLOOKUP(J237,'G-3 Multipliers'!$L$3:$N$6,3,FALSE)))</f>
        <v/>
      </c>
      <c r="M237" s="138"/>
      <c r="N237" s="282" t="str">
        <f>IF(M237="","",IF(VLOOKUP(M237,'G-3 Multipliers'!$S$3:$T$10,2,FALSE)=0,"Spatial Data Missing ⚠",VLOOKUP(M237,'G-3 Multipliers'!$S$3:$T$10,2,FALSE)))</f>
        <v/>
      </c>
      <c r="O237" s="281" t="str">
        <f>IF(OR(D237="",H237=""),"",(INDEX('G-6 Hedgerow Data'!$E$3:$I$15,MATCH(D237,'G-6 Hedgerow Data'!$B$3:$B$15,0),MATCH(H237,'G-6 Hedgerow Data'!$E$2:$I$2,0))))</f>
        <v/>
      </c>
      <c r="P237" s="137"/>
      <c r="Q237" s="137"/>
      <c r="R237" s="289" t="str">
        <f t="shared" si="22"/>
        <v/>
      </c>
      <c r="S237" s="302" t="str">
        <f t="shared" si="23"/>
        <v/>
      </c>
      <c r="T237" s="303" t="str">
        <f t="shared" si="21"/>
        <v/>
      </c>
      <c r="U237" s="317" t="str">
        <f>IF(D237="","",VLOOKUP(D237,'G-6 Hedgerow Data'!$B$3:$AG$15,31,FALSE))</f>
        <v/>
      </c>
      <c r="V237" s="301" t="str">
        <f t="shared" si="24"/>
        <v/>
      </c>
      <c r="W237" s="289" t="str">
        <f t="shared" si="25"/>
        <v/>
      </c>
      <c r="X237" s="305" t="str">
        <f>IF(F237="","",VLOOKUP(U237,'G-3 Multipliers'!$P$3:$Q$6,2,FALSE))</f>
        <v/>
      </c>
      <c r="Y237" s="309" t="str">
        <f t="shared" si="26"/>
        <v/>
      </c>
      <c r="Z237" s="309" t="str">
        <f t="shared" si="27"/>
        <v/>
      </c>
      <c r="AA237" s="105"/>
      <c r="AB237" s="968"/>
      <c r="AC237" s="142"/>
      <c r="AD237" s="142"/>
      <c r="AE237" s="964"/>
      <c r="AH237" s="30" t="str">
        <f>IFERROR(INDEX('G-6 Hedgerow Data'!$BJ$3:$BJ$15,MATCH(D237,'G-6 Hedgerow Data'!$B$3:$B$15,0)),"")</f>
        <v/>
      </c>
    </row>
    <row r="238" spans="2:34" ht="13.8" x14ac:dyDescent="0.25">
      <c r="B238" s="101">
        <v>227</v>
      </c>
      <c r="C238" s="175"/>
      <c r="D238" s="58"/>
      <c r="E238" s="142"/>
      <c r="F238" s="281" t="str">
        <f>IF(D238="","",VLOOKUP(D238,'G-6 Hedgerow Data'!$B$2:$AG$15,2,FALSE))</f>
        <v/>
      </c>
      <c r="G238" s="305" t="str">
        <f>IF(D238="","",VLOOKUP(D238,'G-6 Hedgerow Data'!$B$2:$AG$15,3,FALSE))</f>
        <v/>
      </c>
      <c r="H238" s="53"/>
      <c r="I238" s="282" t="str">
        <f>IFERROR(IF(H238="","",IF(AND(D238="Non-native and ornamental hedgerow", H238&lt;&gt;"Poor"),"Not possible ▲", (IF(AND(F238="V.Low",OR(H238="Good",H238="Moderate")),"Error ▲",VLOOKUP(H238,'G-1 All Habitats'!$Z$2:$AA$9,2,FALSE))))),"")</f>
        <v/>
      </c>
      <c r="J238" s="106"/>
      <c r="K238" s="301" t="str">
        <f>IF(J238="","",IF(VLOOKUP(J238,'G-3 Multipliers'!$L$3:$N$6,2,FALSE)=0,"Spatial Data Missing",VLOOKUP(J238,'G-3 Multipliers'!$L$3:$N$6,2,FALSE)))</f>
        <v/>
      </c>
      <c r="L238" s="305" t="str">
        <f>IF(J238="","",IF(VLOOKUP(J238,'G-3 Multipliers'!$L$3:$N$6,3,FALSE)=0,"Spatial Data Missing",VLOOKUP(J238,'G-3 Multipliers'!$L$3:$N$6,3,FALSE)))</f>
        <v/>
      </c>
      <c r="M238" s="138"/>
      <c r="N238" s="282" t="str">
        <f>IF(M238="","",IF(VLOOKUP(M238,'G-3 Multipliers'!$S$3:$T$10,2,FALSE)=0,"Spatial Data Missing ⚠",VLOOKUP(M238,'G-3 Multipliers'!$S$3:$T$10,2,FALSE)))</f>
        <v/>
      </c>
      <c r="O238" s="281" t="str">
        <f>IF(OR(D238="",H238=""),"",(INDEX('G-6 Hedgerow Data'!$E$3:$I$15,MATCH(D238,'G-6 Hedgerow Data'!$B$3:$B$15,0),MATCH(H238,'G-6 Hedgerow Data'!$E$2:$I$2,0))))</f>
        <v/>
      </c>
      <c r="P238" s="137"/>
      <c r="Q238" s="137"/>
      <c r="R238" s="289" t="str">
        <f t="shared" si="22"/>
        <v/>
      </c>
      <c r="S238" s="302" t="str">
        <f t="shared" si="23"/>
        <v/>
      </c>
      <c r="T238" s="303" t="str">
        <f t="shared" si="21"/>
        <v/>
      </c>
      <c r="U238" s="317" t="str">
        <f>IF(D238="","",VLOOKUP(D238,'G-6 Hedgerow Data'!$B$3:$AG$15,31,FALSE))</f>
        <v/>
      </c>
      <c r="V238" s="301" t="str">
        <f t="shared" si="24"/>
        <v/>
      </c>
      <c r="W238" s="289" t="str">
        <f t="shared" si="25"/>
        <v/>
      </c>
      <c r="X238" s="305" t="str">
        <f>IF(F238="","",VLOOKUP(U238,'G-3 Multipliers'!$P$3:$Q$6,2,FALSE))</f>
        <v/>
      </c>
      <c r="Y238" s="309" t="str">
        <f t="shared" si="26"/>
        <v/>
      </c>
      <c r="Z238" s="309" t="str">
        <f t="shared" si="27"/>
        <v/>
      </c>
      <c r="AA238" s="105"/>
      <c r="AB238" s="968"/>
      <c r="AC238" s="142"/>
      <c r="AD238" s="142"/>
      <c r="AE238" s="964"/>
      <c r="AH238" s="30" t="str">
        <f>IFERROR(INDEX('G-6 Hedgerow Data'!$BJ$3:$BJ$15,MATCH(D238,'G-6 Hedgerow Data'!$B$3:$B$15,0)),"")</f>
        <v/>
      </c>
    </row>
    <row r="239" spans="2:34" ht="13.8" x14ac:dyDescent="0.25">
      <c r="B239" s="101">
        <v>228</v>
      </c>
      <c r="C239" s="175"/>
      <c r="D239" s="58"/>
      <c r="E239" s="142"/>
      <c r="F239" s="281" t="str">
        <f>IF(D239="","",VLOOKUP(D239,'G-6 Hedgerow Data'!$B$2:$AG$15,2,FALSE))</f>
        <v/>
      </c>
      <c r="G239" s="305" t="str">
        <f>IF(D239="","",VLOOKUP(D239,'G-6 Hedgerow Data'!$B$2:$AG$15,3,FALSE))</f>
        <v/>
      </c>
      <c r="H239" s="53"/>
      <c r="I239" s="282" t="str">
        <f>IFERROR(IF(H239="","",IF(AND(D239="Non-native and ornamental hedgerow", H239&lt;&gt;"Poor"),"Not possible ▲", (IF(AND(F239="V.Low",OR(H239="Good",H239="Moderate")),"Error ▲",VLOOKUP(H239,'G-1 All Habitats'!$Z$2:$AA$9,2,FALSE))))),"")</f>
        <v/>
      </c>
      <c r="J239" s="106"/>
      <c r="K239" s="301" t="str">
        <f>IF(J239="","",IF(VLOOKUP(J239,'G-3 Multipliers'!$L$3:$N$6,2,FALSE)=0,"Spatial Data Missing",VLOOKUP(J239,'G-3 Multipliers'!$L$3:$N$6,2,FALSE)))</f>
        <v/>
      </c>
      <c r="L239" s="305" t="str">
        <f>IF(J239="","",IF(VLOOKUP(J239,'G-3 Multipliers'!$L$3:$N$6,3,FALSE)=0,"Spatial Data Missing",VLOOKUP(J239,'G-3 Multipliers'!$L$3:$N$6,3,FALSE)))</f>
        <v/>
      </c>
      <c r="M239" s="138"/>
      <c r="N239" s="282" t="str">
        <f>IF(M239="","",IF(VLOOKUP(M239,'G-3 Multipliers'!$S$3:$T$10,2,FALSE)=0,"Spatial Data Missing ⚠",VLOOKUP(M239,'G-3 Multipliers'!$S$3:$T$10,2,FALSE)))</f>
        <v/>
      </c>
      <c r="O239" s="281" t="str">
        <f>IF(OR(D239="",H239=""),"",(INDEX('G-6 Hedgerow Data'!$E$3:$I$15,MATCH(D239,'G-6 Hedgerow Data'!$B$3:$B$15,0),MATCH(H239,'G-6 Hedgerow Data'!$E$2:$I$2,0))))</f>
        <v/>
      </c>
      <c r="P239" s="137"/>
      <c r="Q239" s="137"/>
      <c r="R239" s="289" t="str">
        <f t="shared" si="22"/>
        <v/>
      </c>
      <c r="S239" s="302" t="str">
        <f t="shared" si="23"/>
        <v/>
      </c>
      <c r="T239" s="303" t="str">
        <f t="shared" si="21"/>
        <v/>
      </c>
      <c r="U239" s="317" t="str">
        <f>IF(D239="","",VLOOKUP(D239,'G-6 Hedgerow Data'!$B$3:$AG$15,31,FALSE))</f>
        <v/>
      </c>
      <c r="V239" s="301" t="str">
        <f t="shared" si="24"/>
        <v/>
      </c>
      <c r="W239" s="289" t="str">
        <f t="shared" si="25"/>
        <v/>
      </c>
      <c r="X239" s="305" t="str">
        <f>IF(F239="","",VLOOKUP(U239,'G-3 Multipliers'!$P$3:$Q$6,2,FALSE))</f>
        <v/>
      </c>
      <c r="Y239" s="309" t="str">
        <f t="shared" si="26"/>
        <v/>
      </c>
      <c r="Z239" s="309" t="str">
        <f t="shared" si="27"/>
        <v/>
      </c>
      <c r="AA239" s="105"/>
      <c r="AB239" s="968"/>
      <c r="AC239" s="142"/>
      <c r="AD239" s="142"/>
      <c r="AE239" s="964"/>
      <c r="AH239" s="30" t="str">
        <f>IFERROR(INDEX('G-6 Hedgerow Data'!$BJ$3:$BJ$15,MATCH(D239,'G-6 Hedgerow Data'!$B$3:$B$15,0)),"")</f>
        <v/>
      </c>
    </row>
    <row r="240" spans="2:34" ht="13.8" x14ac:dyDescent="0.25">
      <c r="B240" s="101">
        <v>229</v>
      </c>
      <c r="C240" s="175"/>
      <c r="D240" s="58"/>
      <c r="E240" s="142"/>
      <c r="F240" s="281" t="str">
        <f>IF(D240="","",VLOOKUP(D240,'G-6 Hedgerow Data'!$B$2:$AG$15,2,FALSE))</f>
        <v/>
      </c>
      <c r="G240" s="305" t="str">
        <f>IF(D240="","",VLOOKUP(D240,'G-6 Hedgerow Data'!$B$2:$AG$15,3,FALSE))</f>
        <v/>
      </c>
      <c r="H240" s="53"/>
      <c r="I240" s="282" t="str">
        <f>IFERROR(IF(H240="","",IF(AND(D240="Non-native and ornamental hedgerow", H240&lt;&gt;"Poor"),"Not possible ▲", (IF(AND(F240="V.Low",OR(H240="Good",H240="Moderate")),"Error ▲",VLOOKUP(H240,'G-1 All Habitats'!$Z$2:$AA$9,2,FALSE))))),"")</f>
        <v/>
      </c>
      <c r="J240" s="106"/>
      <c r="K240" s="301" t="str">
        <f>IF(J240="","",IF(VLOOKUP(J240,'G-3 Multipliers'!$L$3:$N$6,2,FALSE)=0,"Spatial Data Missing",VLOOKUP(J240,'G-3 Multipliers'!$L$3:$N$6,2,FALSE)))</f>
        <v/>
      </c>
      <c r="L240" s="305" t="str">
        <f>IF(J240="","",IF(VLOOKUP(J240,'G-3 Multipliers'!$L$3:$N$6,3,FALSE)=0,"Spatial Data Missing",VLOOKUP(J240,'G-3 Multipliers'!$L$3:$N$6,3,FALSE)))</f>
        <v/>
      </c>
      <c r="M240" s="138"/>
      <c r="N240" s="282" t="str">
        <f>IF(M240="","",IF(VLOOKUP(M240,'G-3 Multipliers'!$S$3:$T$10,2,FALSE)=0,"Spatial Data Missing ⚠",VLOOKUP(M240,'G-3 Multipliers'!$S$3:$T$10,2,FALSE)))</f>
        <v/>
      </c>
      <c r="O240" s="281" t="str">
        <f>IF(OR(D240="",H240=""),"",(INDEX('G-6 Hedgerow Data'!$E$3:$I$15,MATCH(D240,'G-6 Hedgerow Data'!$B$3:$B$15,0),MATCH(H240,'G-6 Hedgerow Data'!$E$2:$I$2,0))))</f>
        <v/>
      </c>
      <c r="P240" s="137"/>
      <c r="Q240" s="137"/>
      <c r="R240" s="289" t="str">
        <f t="shared" si="22"/>
        <v/>
      </c>
      <c r="S240" s="302" t="str">
        <f t="shared" si="23"/>
        <v/>
      </c>
      <c r="T240" s="303" t="str">
        <f t="shared" si="21"/>
        <v/>
      </c>
      <c r="U240" s="317" t="str">
        <f>IF(D240="","",VLOOKUP(D240,'G-6 Hedgerow Data'!$B$3:$AG$15,31,FALSE))</f>
        <v/>
      </c>
      <c r="V240" s="301" t="str">
        <f t="shared" si="24"/>
        <v/>
      </c>
      <c r="W240" s="289" t="str">
        <f t="shared" si="25"/>
        <v/>
      </c>
      <c r="X240" s="305" t="str">
        <f>IF(F240="","",VLOOKUP(U240,'G-3 Multipliers'!$P$3:$Q$6,2,FALSE))</f>
        <v/>
      </c>
      <c r="Y240" s="309" t="str">
        <f t="shared" si="26"/>
        <v/>
      </c>
      <c r="Z240" s="309" t="str">
        <f t="shared" si="27"/>
        <v/>
      </c>
      <c r="AA240" s="105"/>
      <c r="AB240" s="968"/>
      <c r="AC240" s="142"/>
      <c r="AD240" s="142"/>
      <c r="AE240" s="964"/>
      <c r="AH240" s="30" t="str">
        <f>IFERROR(INDEX('G-6 Hedgerow Data'!$BJ$3:$BJ$15,MATCH(D240,'G-6 Hedgerow Data'!$B$3:$B$15,0)),"")</f>
        <v/>
      </c>
    </row>
    <row r="241" spans="2:34" ht="13.8" x14ac:dyDescent="0.25">
      <c r="B241" s="101">
        <v>230</v>
      </c>
      <c r="C241" s="175"/>
      <c r="D241" s="58"/>
      <c r="E241" s="142"/>
      <c r="F241" s="281" t="str">
        <f>IF(D241="","",VLOOKUP(D241,'G-6 Hedgerow Data'!$B$2:$AG$15,2,FALSE))</f>
        <v/>
      </c>
      <c r="G241" s="305" t="str">
        <f>IF(D241="","",VLOOKUP(D241,'G-6 Hedgerow Data'!$B$2:$AG$15,3,FALSE))</f>
        <v/>
      </c>
      <c r="H241" s="53"/>
      <c r="I241" s="282" t="str">
        <f>IFERROR(IF(H241="","",IF(AND(D241="Non-native and ornamental hedgerow", H241&lt;&gt;"Poor"),"Not possible ▲", (IF(AND(F241="V.Low",OR(H241="Good",H241="Moderate")),"Error ▲",VLOOKUP(H241,'G-1 All Habitats'!$Z$2:$AA$9,2,FALSE))))),"")</f>
        <v/>
      </c>
      <c r="J241" s="106"/>
      <c r="K241" s="301" t="str">
        <f>IF(J241="","",IF(VLOOKUP(J241,'G-3 Multipliers'!$L$3:$N$6,2,FALSE)=0,"Spatial Data Missing",VLOOKUP(J241,'G-3 Multipliers'!$L$3:$N$6,2,FALSE)))</f>
        <v/>
      </c>
      <c r="L241" s="305" t="str">
        <f>IF(J241="","",IF(VLOOKUP(J241,'G-3 Multipliers'!$L$3:$N$6,3,FALSE)=0,"Spatial Data Missing",VLOOKUP(J241,'G-3 Multipliers'!$L$3:$N$6,3,FALSE)))</f>
        <v/>
      </c>
      <c r="M241" s="138"/>
      <c r="N241" s="282" t="str">
        <f>IF(M241="","",IF(VLOOKUP(M241,'G-3 Multipliers'!$S$3:$T$10,2,FALSE)=0,"Spatial Data Missing ⚠",VLOOKUP(M241,'G-3 Multipliers'!$S$3:$T$10,2,FALSE)))</f>
        <v/>
      </c>
      <c r="O241" s="281" t="str">
        <f>IF(OR(D241="",H241=""),"",(INDEX('G-6 Hedgerow Data'!$E$3:$I$15,MATCH(D241,'G-6 Hedgerow Data'!$B$3:$B$15,0),MATCH(H241,'G-6 Hedgerow Data'!$E$2:$I$2,0))))</f>
        <v/>
      </c>
      <c r="P241" s="137"/>
      <c r="Q241" s="137"/>
      <c r="R241" s="289" t="str">
        <f t="shared" si="22"/>
        <v/>
      </c>
      <c r="S241" s="302" t="str">
        <f t="shared" si="23"/>
        <v/>
      </c>
      <c r="T241" s="303" t="str">
        <f t="shared" si="21"/>
        <v/>
      </c>
      <c r="U241" s="317" t="str">
        <f>IF(D241="","",VLOOKUP(D241,'G-6 Hedgerow Data'!$B$3:$AG$15,31,FALSE))</f>
        <v/>
      </c>
      <c r="V241" s="301" t="str">
        <f t="shared" si="24"/>
        <v/>
      </c>
      <c r="W241" s="289" t="str">
        <f t="shared" si="25"/>
        <v/>
      </c>
      <c r="X241" s="305" t="str">
        <f>IF(F241="","",VLOOKUP(U241,'G-3 Multipliers'!$P$3:$Q$6,2,FALSE))</f>
        <v/>
      </c>
      <c r="Y241" s="309" t="str">
        <f t="shared" si="26"/>
        <v/>
      </c>
      <c r="Z241" s="309" t="str">
        <f t="shared" si="27"/>
        <v/>
      </c>
      <c r="AA241" s="105"/>
      <c r="AB241" s="968"/>
      <c r="AC241" s="142"/>
      <c r="AD241" s="142"/>
      <c r="AE241" s="964"/>
      <c r="AH241" s="30" t="str">
        <f>IFERROR(INDEX('G-6 Hedgerow Data'!$BJ$3:$BJ$15,MATCH(D241,'G-6 Hedgerow Data'!$B$3:$B$15,0)),"")</f>
        <v/>
      </c>
    </row>
    <row r="242" spans="2:34" ht="13.8" x14ac:dyDescent="0.25">
      <c r="B242" s="101">
        <v>231</v>
      </c>
      <c r="C242" s="175"/>
      <c r="D242" s="58"/>
      <c r="E242" s="142"/>
      <c r="F242" s="281" t="str">
        <f>IF(D242="","",VLOOKUP(D242,'G-6 Hedgerow Data'!$B$2:$AG$15,2,FALSE))</f>
        <v/>
      </c>
      <c r="G242" s="305" t="str">
        <f>IF(D242="","",VLOOKUP(D242,'G-6 Hedgerow Data'!$B$2:$AG$15,3,FALSE))</f>
        <v/>
      </c>
      <c r="H242" s="53"/>
      <c r="I242" s="282" t="str">
        <f>IFERROR(IF(H242="","",IF(AND(D242="Non-native and ornamental hedgerow", H242&lt;&gt;"Poor"),"Not possible ▲", (IF(AND(F242="V.Low",OR(H242="Good",H242="Moderate")),"Error ▲",VLOOKUP(H242,'G-1 All Habitats'!$Z$2:$AA$9,2,FALSE))))),"")</f>
        <v/>
      </c>
      <c r="J242" s="106"/>
      <c r="K242" s="301" t="str">
        <f>IF(J242="","",IF(VLOOKUP(J242,'G-3 Multipliers'!$L$3:$N$6,2,FALSE)=0,"Spatial Data Missing",VLOOKUP(J242,'G-3 Multipliers'!$L$3:$N$6,2,FALSE)))</f>
        <v/>
      </c>
      <c r="L242" s="305" t="str">
        <f>IF(J242="","",IF(VLOOKUP(J242,'G-3 Multipliers'!$L$3:$N$6,3,FALSE)=0,"Spatial Data Missing",VLOOKUP(J242,'G-3 Multipliers'!$L$3:$N$6,3,FALSE)))</f>
        <v/>
      </c>
      <c r="M242" s="138"/>
      <c r="N242" s="282" t="str">
        <f>IF(M242="","",IF(VLOOKUP(M242,'G-3 Multipliers'!$S$3:$T$10,2,FALSE)=0,"Spatial Data Missing ⚠",VLOOKUP(M242,'G-3 Multipliers'!$S$3:$T$10,2,FALSE)))</f>
        <v/>
      </c>
      <c r="O242" s="281" t="str">
        <f>IF(OR(D242="",H242=""),"",(INDEX('G-6 Hedgerow Data'!$E$3:$I$15,MATCH(D242,'G-6 Hedgerow Data'!$B$3:$B$15,0),MATCH(H242,'G-6 Hedgerow Data'!$E$2:$I$2,0))))</f>
        <v/>
      </c>
      <c r="P242" s="137"/>
      <c r="Q242" s="137"/>
      <c r="R242" s="289" t="str">
        <f t="shared" si="22"/>
        <v/>
      </c>
      <c r="S242" s="302" t="str">
        <f t="shared" si="23"/>
        <v/>
      </c>
      <c r="T242" s="303" t="str">
        <f t="shared" si="21"/>
        <v/>
      </c>
      <c r="U242" s="317" t="str">
        <f>IF(D242="","",VLOOKUP(D242,'G-6 Hedgerow Data'!$B$3:$AG$15,31,FALSE))</f>
        <v/>
      </c>
      <c r="V242" s="301" t="str">
        <f t="shared" si="24"/>
        <v/>
      </c>
      <c r="W242" s="289" t="str">
        <f t="shared" si="25"/>
        <v/>
      </c>
      <c r="X242" s="305" t="str">
        <f>IF(F242="","",VLOOKUP(U242,'G-3 Multipliers'!$P$3:$Q$6,2,FALSE))</f>
        <v/>
      </c>
      <c r="Y242" s="309" t="str">
        <f t="shared" si="26"/>
        <v/>
      </c>
      <c r="Z242" s="309" t="str">
        <f t="shared" si="27"/>
        <v/>
      </c>
      <c r="AA242" s="105"/>
      <c r="AB242" s="968"/>
      <c r="AC242" s="142"/>
      <c r="AD242" s="142"/>
      <c r="AE242" s="964"/>
      <c r="AH242" s="30" t="str">
        <f>IFERROR(INDEX('G-6 Hedgerow Data'!$BJ$3:$BJ$15,MATCH(D242,'G-6 Hedgerow Data'!$B$3:$B$15,0)),"")</f>
        <v/>
      </c>
    </row>
    <row r="243" spans="2:34" ht="13.8" x14ac:dyDescent="0.25">
      <c r="B243" s="101">
        <v>232</v>
      </c>
      <c r="C243" s="175"/>
      <c r="D243" s="58"/>
      <c r="E243" s="142"/>
      <c r="F243" s="281" t="str">
        <f>IF(D243="","",VLOOKUP(D243,'G-6 Hedgerow Data'!$B$2:$AG$15,2,FALSE))</f>
        <v/>
      </c>
      <c r="G243" s="305" t="str">
        <f>IF(D243="","",VLOOKUP(D243,'G-6 Hedgerow Data'!$B$2:$AG$15,3,FALSE))</f>
        <v/>
      </c>
      <c r="H243" s="53"/>
      <c r="I243" s="282" t="str">
        <f>IFERROR(IF(H243="","",IF(AND(D243="Non-native and ornamental hedgerow", H243&lt;&gt;"Poor"),"Not possible ▲", (IF(AND(F243="V.Low",OR(H243="Good",H243="Moderate")),"Error ▲",VLOOKUP(H243,'G-1 All Habitats'!$Z$2:$AA$9,2,FALSE))))),"")</f>
        <v/>
      </c>
      <c r="J243" s="106"/>
      <c r="K243" s="301" t="str">
        <f>IF(J243="","",IF(VLOOKUP(J243,'G-3 Multipliers'!$L$3:$N$6,2,FALSE)=0,"Spatial Data Missing",VLOOKUP(J243,'G-3 Multipliers'!$L$3:$N$6,2,FALSE)))</f>
        <v/>
      </c>
      <c r="L243" s="305" t="str">
        <f>IF(J243="","",IF(VLOOKUP(J243,'G-3 Multipliers'!$L$3:$N$6,3,FALSE)=0,"Spatial Data Missing",VLOOKUP(J243,'G-3 Multipliers'!$L$3:$N$6,3,FALSE)))</f>
        <v/>
      </c>
      <c r="M243" s="138"/>
      <c r="N243" s="282" t="str">
        <f>IF(M243="","",IF(VLOOKUP(M243,'G-3 Multipliers'!$S$3:$T$10,2,FALSE)=0,"Spatial Data Missing ⚠",VLOOKUP(M243,'G-3 Multipliers'!$S$3:$T$10,2,FALSE)))</f>
        <v/>
      </c>
      <c r="O243" s="281" t="str">
        <f>IF(OR(D243="",H243=""),"",(INDEX('G-6 Hedgerow Data'!$E$3:$I$15,MATCH(D243,'G-6 Hedgerow Data'!$B$3:$B$15,0),MATCH(H243,'G-6 Hedgerow Data'!$E$2:$I$2,0))))</f>
        <v/>
      </c>
      <c r="P243" s="137"/>
      <c r="Q243" s="137"/>
      <c r="R243" s="289" t="str">
        <f t="shared" si="22"/>
        <v/>
      </c>
      <c r="S243" s="302" t="str">
        <f t="shared" si="23"/>
        <v/>
      </c>
      <c r="T243" s="303" t="str">
        <f t="shared" si="21"/>
        <v/>
      </c>
      <c r="U243" s="317" t="str">
        <f>IF(D243="","",VLOOKUP(D243,'G-6 Hedgerow Data'!$B$3:$AG$15,31,FALSE))</f>
        <v/>
      </c>
      <c r="V243" s="301" t="str">
        <f t="shared" si="24"/>
        <v/>
      </c>
      <c r="W243" s="289" t="str">
        <f t="shared" si="25"/>
        <v/>
      </c>
      <c r="X243" s="305" t="str">
        <f>IF(F243="","",VLOOKUP(U243,'G-3 Multipliers'!$P$3:$Q$6,2,FALSE))</f>
        <v/>
      </c>
      <c r="Y243" s="309" t="str">
        <f t="shared" si="26"/>
        <v/>
      </c>
      <c r="Z243" s="309" t="str">
        <f t="shared" si="27"/>
        <v/>
      </c>
      <c r="AA243" s="105"/>
      <c r="AB243" s="968"/>
      <c r="AC243" s="142"/>
      <c r="AD243" s="142"/>
      <c r="AE243" s="964"/>
      <c r="AH243" s="30" t="str">
        <f>IFERROR(INDEX('G-6 Hedgerow Data'!$BJ$3:$BJ$15,MATCH(D243,'G-6 Hedgerow Data'!$B$3:$B$15,0)),"")</f>
        <v/>
      </c>
    </row>
    <row r="244" spans="2:34" ht="13.8" x14ac:dyDescent="0.25">
      <c r="B244" s="101">
        <v>233</v>
      </c>
      <c r="C244" s="175"/>
      <c r="D244" s="58"/>
      <c r="E244" s="142"/>
      <c r="F244" s="281" t="str">
        <f>IF(D244="","",VLOOKUP(D244,'G-6 Hedgerow Data'!$B$2:$AG$15,2,FALSE))</f>
        <v/>
      </c>
      <c r="G244" s="305" t="str">
        <f>IF(D244="","",VLOOKUP(D244,'G-6 Hedgerow Data'!$B$2:$AG$15,3,FALSE))</f>
        <v/>
      </c>
      <c r="H244" s="53"/>
      <c r="I244" s="282" t="str">
        <f>IFERROR(IF(H244="","",IF(AND(D244="Non-native and ornamental hedgerow", H244&lt;&gt;"Poor"),"Not possible ▲", (IF(AND(F244="V.Low",OR(H244="Good",H244="Moderate")),"Error ▲",VLOOKUP(H244,'G-1 All Habitats'!$Z$2:$AA$9,2,FALSE))))),"")</f>
        <v/>
      </c>
      <c r="J244" s="106"/>
      <c r="K244" s="301" t="str">
        <f>IF(J244="","",IF(VLOOKUP(J244,'G-3 Multipliers'!$L$3:$N$6,2,FALSE)=0,"Spatial Data Missing",VLOOKUP(J244,'G-3 Multipliers'!$L$3:$N$6,2,FALSE)))</f>
        <v/>
      </c>
      <c r="L244" s="305" t="str">
        <f>IF(J244="","",IF(VLOOKUP(J244,'G-3 Multipliers'!$L$3:$N$6,3,FALSE)=0,"Spatial Data Missing",VLOOKUP(J244,'G-3 Multipliers'!$L$3:$N$6,3,FALSE)))</f>
        <v/>
      </c>
      <c r="M244" s="138"/>
      <c r="N244" s="282" t="str">
        <f>IF(M244="","",IF(VLOOKUP(M244,'G-3 Multipliers'!$S$3:$T$10,2,FALSE)=0,"Spatial Data Missing ⚠",VLOOKUP(M244,'G-3 Multipliers'!$S$3:$T$10,2,FALSE)))</f>
        <v/>
      </c>
      <c r="O244" s="281" t="str">
        <f>IF(OR(D244="",H244=""),"",(INDEX('G-6 Hedgerow Data'!$E$3:$I$15,MATCH(D244,'G-6 Hedgerow Data'!$B$3:$B$15,0),MATCH(H244,'G-6 Hedgerow Data'!$E$2:$I$2,0))))</f>
        <v/>
      </c>
      <c r="P244" s="137"/>
      <c r="Q244" s="137"/>
      <c r="R244" s="289" t="str">
        <f t="shared" si="22"/>
        <v/>
      </c>
      <c r="S244" s="302" t="str">
        <f t="shared" si="23"/>
        <v/>
      </c>
      <c r="T244" s="303" t="str">
        <f t="shared" si="21"/>
        <v/>
      </c>
      <c r="U244" s="317" t="str">
        <f>IF(D244="","",VLOOKUP(D244,'G-6 Hedgerow Data'!$B$3:$AG$15,31,FALSE))</f>
        <v/>
      </c>
      <c r="V244" s="301" t="str">
        <f t="shared" si="24"/>
        <v/>
      </c>
      <c r="W244" s="289" t="str">
        <f t="shared" si="25"/>
        <v/>
      </c>
      <c r="X244" s="305" t="str">
        <f>IF(F244="","",VLOOKUP(U244,'G-3 Multipliers'!$P$3:$Q$6,2,FALSE))</f>
        <v/>
      </c>
      <c r="Y244" s="309" t="str">
        <f t="shared" si="26"/>
        <v/>
      </c>
      <c r="Z244" s="309" t="str">
        <f t="shared" si="27"/>
        <v/>
      </c>
      <c r="AA244" s="105"/>
      <c r="AB244" s="968"/>
      <c r="AC244" s="142"/>
      <c r="AD244" s="142"/>
      <c r="AE244" s="964"/>
      <c r="AH244" s="30" t="str">
        <f>IFERROR(INDEX('G-6 Hedgerow Data'!$BJ$3:$BJ$15,MATCH(D244,'G-6 Hedgerow Data'!$B$3:$B$15,0)),"")</f>
        <v/>
      </c>
    </row>
    <row r="245" spans="2:34" ht="13.8" x14ac:dyDescent="0.25">
      <c r="B245" s="101">
        <v>234</v>
      </c>
      <c r="C245" s="175"/>
      <c r="D245" s="58"/>
      <c r="E245" s="142"/>
      <c r="F245" s="281" t="str">
        <f>IF(D245="","",VLOOKUP(D245,'G-6 Hedgerow Data'!$B$2:$AG$15,2,FALSE))</f>
        <v/>
      </c>
      <c r="G245" s="305" t="str">
        <f>IF(D245="","",VLOOKUP(D245,'G-6 Hedgerow Data'!$B$2:$AG$15,3,FALSE))</f>
        <v/>
      </c>
      <c r="H245" s="53"/>
      <c r="I245" s="282" t="str">
        <f>IFERROR(IF(H245="","",IF(AND(D245="Non-native and ornamental hedgerow", H245&lt;&gt;"Poor"),"Not possible ▲", (IF(AND(F245="V.Low",OR(H245="Good",H245="Moderate")),"Error ▲",VLOOKUP(H245,'G-1 All Habitats'!$Z$2:$AA$9,2,FALSE))))),"")</f>
        <v/>
      </c>
      <c r="J245" s="106"/>
      <c r="K245" s="301" t="str">
        <f>IF(J245="","",IF(VLOOKUP(J245,'G-3 Multipliers'!$L$3:$N$6,2,FALSE)=0,"Spatial Data Missing",VLOOKUP(J245,'G-3 Multipliers'!$L$3:$N$6,2,FALSE)))</f>
        <v/>
      </c>
      <c r="L245" s="305" t="str">
        <f>IF(J245="","",IF(VLOOKUP(J245,'G-3 Multipliers'!$L$3:$N$6,3,FALSE)=0,"Spatial Data Missing",VLOOKUP(J245,'G-3 Multipliers'!$L$3:$N$6,3,FALSE)))</f>
        <v/>
      </c>
      <c r="M245" s="138"/>
      <c r="N245" s="282" t="str">
        <f>IF(M245="","",IF(VLOOKUP(M245,'G-3 Multipliers'!$S$3:$T$10,2,FALSE)=0,"Spatial Data Missing ⚠",VLOOKUP(M245,'G-3 Multipliers'!$S$3:$T$10,2,FALSE)))</f>
        <v/>
      </c>
      <c r="O245" s="281" t="str">
        <f>IF(OR(D245="",H245=""),"",(INDEX('G-6 Hedgerow Data'!$E$3:$I$15,MATCH(D245,'G-6 Hedgerow Data'!$B$3:$B$15,0),MATCH(H245,'G-6 Hedgerow Data'!$E$2:$I$2,0))))</f>
        <v/>
      </c>
      <c r="P245" s="137"/>
      <c r="Q245" s="137"/>
      <c r="R245" s="289" t="str">
        <f t="shared" si="22"/>
        <v/>
      </c>
      <c r="S245" s="302" t="str">
        <f t="shared" si="23"/>
        <v/>
      </c>
      <c r="T245" s="303" t="str">
        <f t="shared" si="21"/>
        <v/>
      </c>
      <c r="U245" s="317" t="str">
        <f>IF(D245="","",VLOOKUP(D245,'G-6 Hedgerow Data'!$B$3:$AG$15,31,FALSE))</f>
        <v/>
      </c>
      <c r="V245" s="301" t="str">
        <f t="shared" si="24"/>
        <v/>
      </c>
      <c r="W245" s="289" t="str">
        <f t="shared" si="25"/>
        <v/>
      </c>
      <c r="X245" s="305" t="str">
        <f>IF(F245="","",VLOOKUP(U245,'G-3 Multipliers'!$P$3:$Q$6,2,FALSE))</f>
        <v/>
      </c>
      <c r="Y245" s="309" t="str">
        <f t="shared" si="26"/>
        <v/>
      </c>
      <c r="Z245" s="309" t="str">
        <f t="shared" si="27"/>
        <v/>
      </c>
      <c r="AA245" s="105"/>
      <c r="AB245" s="968"/>
      <c r="AC245" s="142"/>
      <c r="AD245" s="142"/>
      <c r="AE245" s="964"/>
      <c r="AH245" s="30" t="str">
        <f>IFERROR(INDEX('G-6 Hedgerow Data'!$BJ$3:$BJ$15,MATCH(D245,'G-6 Hedgerow Data'!$B$3:$B$15,0)),"")</f>
        <v/>
      </c>
    </row>
    <row r="246" spans="2:34" ht="13.8" x14ac:dyDescent="0.25">
      <c r="B246" s="101">
        <v>235</v>
      </c>
      <c r="C246" s="175"/>
      <c r="D246" s="58"/>
      <c r="E246" s="142"/>
      <c r="F246" s="281" t="str">
        <f>IF(D246="","",VLOOKUP(D246,'G-6 Hedgerow Data'!$B$2:$AG$15,2,FALSE))</f>
        <v/>
      </c>
      <c r="G246" s="305" t="str">
        <f>IF(D246="","",VLOOKUP(D246,'G-6 Hedgerow Data'!$B$2:$AG$15,3,FALSE))</f>
        <v/>
      </c>
      <c r="H246" s="53"/>
      <c r="I246" s="282" t="str">
        <f>IFERROR(IF(H246="","",IF(AND(D246="Non-native and ornamental hedgerow", H246&lt;&gt;"Poor"),"Not possible ▲", (IF(AND(F246="V.Low",OR(H246="Good",H246="Moderate")),"Error ▲",VLOOKUP(H246,'G-1 All Habitats'!$Z$2:$AA$9,2,FALSE))))),"")</f>
        <v/>
      </c>
      <c r="J246" s="106"/>
      <c r="K246" s="301" t="str">
        <f>IF(J246="","",IF(VLOOKUP(J246,'G-3 Multipliers'!$L$3:$N$6,2,FALSE)=0,"Spatial Data Missing",VLOOKUP(J246,'G-3 Multipliers'!$L$3:$N$6,2,FALSE)))</f>
        <v/>
      </c>
      <c r="L246" s="305" t="str">
        <f>IF(J246="","",IF(VLOOKUP(J246,'G-3 Multipliers'!$L$3:$N$6,3,FALSE)=0,"Spatial Data Missing",VLOOKUP(J246,'G-3 Multipliers'!$L$3:$N$6,3,FALSE)))</f>
        <v/>
      </c>
      <c r="M246" s="138"/>
      <c r="N246" s="282" t="str">
        <f>IF(M246="","",IF(VLOOKUP(M246,'G-3 Multipliers'!$S$3:$T$10,2,FALSE)=0,"Spatial Data Missing ⚠",VLOOKUP(M246,'G-3 Multipliers'!$S$3:$T$10,2,FALSE)))</f>
        <v/>
      </c>
      <c r="O246" s="281" t="str">
        <f>IF(OR(D246="",H246=""),"",(INDEX('G-6 Hedgerow Data'!$E$3:$I$15,MATCH(D246,'G-6 Hedgerow Data'!$B$3:$B$15,0),MATCH(H246,'G-6 Hedgerow Data'!$E$2:$I$2,0))))</f>
        <v/>
      </c>
      <c r="P246" s="137"/>
      <c r="Q246" s="137"/>
      <c r="R246" s="289" t="str">
        <f t="shared" si="22"/>
        <v/>
      </c>
      <c r="S246" s="302" t="str">
        <f t="shared" si="23"/>
        <v/>
      </c>
      <c r="T246" s="303" t="str">
        <f t="shared" si="21"/>
        <v/>
      </c>
      <c r="U246" s="317" t="str">
        <f>IF(D246="","",VLOOKUP(D246,'G-6 Hedgerow Data'!$B$3:$AG$15,31,FALSE))</f>
        <v/>
      </c>
      <c r="V246" s="301" t="str">
        <f t="shared" si="24"/>
        <v/>
      </c>
      <c r="W246" s="289" t="str">
        <f t="shared" si="25"/>
        <v/>
      </c>
      <c r="X246" s="305" t="str">
        <f>IF(F246="","",VLOOKUP(U246,'G-3 Multipliers'!$P$3:$Q$6,2,FALSE))</f>
        <v/>
      </c>
      <c r="Y246" s="309" t="str">
        <f t="shared" si="26"/>
        <v/>
      </c>
      <c r="Z246" s="309" t="str">
        <f t="shared" si="27"/>
        <v/>
      </c>
      <c r="AA246" s="105"/>
      <c r="AB246" s="968"/>
      <c r="AC246" s="142"/>
      <c r="AD246" s="142"/>
      <c r="AE246" s="964"/>
      <c r="AH246" s="30" t="str">
        <f>IFERROR(INDEX('G-6 Hedgerow Data'!$BJ$3:$BJ$15,MATCH(D246,'G-6 Hedgerow Data'!$B$3:$B$15,0)),"")</f>
        <v/>
      </c>
    </row>
    <row r="247" spans="2:34" ht="13.8" x14ac:dyDescent="0.25">
      <c r="B247" s="101">
        <v>236</v>
      </c>
      <c r="C247" s="175"/>
      <c r="D247" s="58"/>
      <c r="E247" s="142"/>
      <c r="F247" s="281" t="str">
        <f>IF(D247="","",VLOOKUP(D247,'G-6 Hedgerow Data'!$B$2:$AG$15,2,FALSE))</f>
        <v/>
      </c>
      <c r="G247" s="305" t="str">
        <f>IF(D247="","",VLOOKUP(D247,'G-6 Hedgerow Data'!$B$2:$AG$15,3,FALSE))</f>
        <v/>
      </c>
      <c r="H247" s="53"/>
      <c r="I247" s="282" t="str">
        <f>IFERROR(IF(H247="","",IF(AND(D247="Non-native and ornamental hedgerow", H247&lt;&gt;"Poor"),"Not possible ▲", (IF(AND(F247="V.Low",OR(H247="Good",H247="Moderate")),"Error ▲",VLOOKUP(H247,'G-1 All Habitats'!$Z$2:$AA$9,2,FALSE))))),"")</f>
        <v/>
      </c>
      <c r="J247" s="106"/>
      <c r="K247" s="301" t="str">
        <f>IF(J247="","",IF(VLOOKUP(J247,'G-3 Multipliers'!$L$3:$N$6,2,FALSE)=0,"Spatial Data Missing",VLOOKUP(J247,'G-3 Multipliers'!$L$3:$N$6,2,FALSE)))</f>
        <v/>
      </c>
      <c r="L247" s="305" t="str">
        <f>IF(J247="","",IF(VLOOKUP(J247,'G-3 Multipliers'!$L$3:$N$6,3,FALSE)=0,"Spatial Data Missing",VLOOKUP(J247,'G-3 Multipliers'!$L$3:$N$6,3,FALSE)))</f>
        <v/>
      </c>
      <c r="M247" s="138"/>
      <c r="N247" s="282" t="str">
        <f>IF(M247="","",IF(VLOOKUP(M247,'G-3 Multipliers'!$S$3:$T$10,2,FALSE)=0,"Spatial Data Missing ⚠",VLOOKUP(M247,'G-3 Multipliers'!$S$3:$T$10,2,FALSE)))</f>
        <v/>
      </c>
      <c r="O247" s="281" t="str">
        <f>IF(OR(D247="",H247=""),"",(INDEX('G-6 Hedgerow Data'!$E$3:$I$15,MATCH(D247,'G-6 Hedgerow Data'!$B$3:$B$15,0),MATCH(H247,'G-6 Hedgerow Data'!$E$2:$I$2,0))))</f>
        <v/>
      </c>
      <c r="P247" s="137"/>
      <c r="Q247" s="137"/>
      <c r="R247" s="289" t="str">
        <f t="shared" si="22"/>
        <v/>
      </c>
      <c r="S247" s="302" t="str">
        <f t="shared" si="23"/>
        <v/>
      </c>
      <c r="T247" s="303" t="str">
        <f t="shared" si="21"/>
        <v/>
      </c>
      <c r="U247" s="317" t="str">
        <f>IF(D247="","",VLOOKUP(D247,'G-6 Hedgerow Data'!$B$3:$AG$15,31,FALSE))</f>
        <v/>
      </c>
      <c r="V247" s="301" t="str">
        <f t="shared" si="24"/>
        <v/>
      </c>
      <c r="W247" s="289" t="str">
        <f t="shared" si="25"/>
        <v/>
      </c>
      <c r="X247" s="305" t="str">
        <f>IF(F247="","",VLOOKUP(U247,'G-3 Multipliers'!$P$3:$Q$6,2,FALSE))</f>
        <v/>
      </c>
      <c r="Y247" s="309" t="str">
        <f t="shared" si="26"/>
        <v/>
      </c>
      <c r="Z247" s="309" t="str">
        <f t="shared" si="27"/>
        <v/>
      </c>
      <c r="AA247" s="105"/>
      <c r="AB247" s="968"/>
      <c r="AC247" s="142"/>
      <c r="AD247" s="142"/>
      <c r="AE247" s="964"/>
      <c r="AH247" s="30" t="str">
        <f>IFERROR(INDEX('G-6 Hedgerow Data'!$BJ$3:$BJ$15,MATCH(D247,'G-6 Hedgerow Data'!$B$3:$B$15,0)),"")</f>
        <v/>
      </c>
    </row>
    <row r="248" spans="2:34" ht="13.8" x14ac:dyDescent="0.25">
      <c r="B248" s="101">
        <v>237</v>
      </c>
      <c r="C248" s="175"/>
      <c r="D248" s="58"/>
      <c r="E248" s="142"/>
      <c r="F248" s="281" t="str">
        <f>IF(D248="","",VLOOKUP(D248,'G-6 Hedgerow Data'!$B$2:$AG$15,2,FALSE))</f>
        <v/>
      </c>
      <c r="G248" s="305" t="str">
        <f>IF(D248="","",VLOOKUP(D248,'G-6 Hedgerow Data'!$B$2:$AG$15,3,FALSE))</f>
        <v/>
      </c>
      <c r="H248" s="53"/>
      <c r="I248" s="282" t="str">
        <f>IFERROR(IF(H248="","",IF(AND(D248="Non-native and ornamental hedgerow", H248&lt;&gt;"Poor"),"Not possible ▲", (IF(AND(F248="V.Low",OR(H248="Good",H248="Moderate")),"Error ▲",VLOOKUP(H248,'G-1 All Habitats'!$Z$2:$AA$9,2,FALSE))))),"")</f>
        <v/>
      </c>
      <c r="J248" s="106"/>
      <c r="K248" s="301" t="str">
        <f>IF(J248="","",IF(VLOOKUP(J248,'G-3 Multipliers'!$L$3:$N$6,2,FALSE)=0,"Spatial Data Missing",VLOOKUP(J248,'G-3 Multipliers'!$L$3:$N$6,2,FALSE)))</f>
        <v/>
      </c>
      <c r="L248" s="305" t="str">
        <f>IF(J248="","",IF(VLOOKUP(J248,'G-3 Multipliers'!$L$3:$N$6,3,FALSE)=0,"Spatial Data Missing",VLOOKUP(J248,'G-3 Multipliers'!$L$3:$N$6,3,FALSE)))</f>
        <v/>
      </c>
      <c r="M248" s="138"/>
      <c r="N248" s="282" t="str">
        <f>IF(M248="","",IF(VLOOKUP(M248,'G-3 Multipliers'!$S$3:$T$10,2,FALSE)=0,"Spatial Data Missing ⚠",VLOOKUP(M248,'G-3 Multipliers'!$S$3:$T$10,2,FALSE)))</f>
        <v/>
      </c>
      <c r="O248" s="281" t="str">
        <f>IF(OR(D248="",H248=""),"",(INDEX('G-6 Hedgerow Data'!$E$3:$I$15,MATCH(D248,'G-6 Hedgerow Data'!$B$3:$B$15,0),MATCH(H248,'G-6 Hedgerow Data'!$E$2:$I$2,0))))</f>
        <v/>
      </c>
      <c r="P248" s="137"/>
      <c r="Q248" s="137"/>
      <c r="R248" s="289" t="str">
        <f t="shared" si="22"/>
        <v/>
      </c>
      <c r="S248" s="302" t="str">
        <f t="shared" si="23"/>
        <v/>
      </c>
      <c r="T248" s="303" t="str">
        <f t="shared" si="21"/>
        <v/>
      </c>
      <c r="U248" s="317" t="str">
        <f>IF(D248="","",VLOOKUP(D248,'G-6 Hedgerow Data'!$B$3:$AG$15,31,FALSE))</f>
        <v/>
      </c>
      <c r="V248" s="301" t="str">
        <f t="shared" si="24"/>
        <v/>
      </c>
      <c r="W248" s="289" t="str">
        <f t="shared" si="25"/>
        <v/>
      </c>
      <c r="X248" s="305" t="str">
        <f>IF(F248="","",VLOOKUP(U248,'G-3 Multipliers'!$P$3:$Q$6,2,FALSE))</f>
        <v/>
      </c>
      <c r="Y248" s="309" t="str">
        <f t="shared" si="26"/>
        <v/>
      </c>
      <c r="Z248" s="309" t="str">
        <f t="shared" si="27"/>
        <v/>
      </c>
      <c r="AA248" s="105"/>
      <c r="AB248" s="968"/>
      <c r="AC248" s="142"/>
      <c r="AD248" s="142"/>
      <c r="AE248" s="964"/>
      <c r="AH248" s="30" t="str">
        <f>IFERROR(INDEX('G-6 Hedgerow Data'!$BJ$3:$BJ$15,MATCH(D248,'G-6 Hedgerow Data'!$B$3:$B$15,0)),"")</f>
        <v/>
      </c>
    </row>
    <row r="249" spans="2:34" ht="13.8" x14ac:dyDescent="0.25">
      <c r="B249" s="101">
        <v>238</v>
      </c>
      <c r="C249" s="175"/>
      <c r="D249" s="58"/>
      <c r="E249" s="142"/>
      <c r="F249" s="281" t="str">
        <f>IF(D249="","",VLOOKUP(D249,'G-6 Hedgerow Data'!$B$2:$AG$15,2,FALSE))</f>
        <v/>
      </c>
      <c r="G249" s="305" t="str">
        <f>IF(D249="","",VLOOKUP(D249,'G-6 Hedgerow Data'!$B$2:$AG$15,3,FALSE))</f>
        <v/>
      </c>
      <c r="H249" s="53"/>
      <c r="I249" s="282" t="str">
        <f>IFERROR(IF(H249="","",IF(AND(D249="Non-native and ornamental hedgerow", H249&lt;&gt;"Poor"),"Not possible ▲", (IF(AND(F249="V.Low",OR(H249="Good",H249="Moderate")),"Error ▲",VLOOKUP(H249,'G-1 All Habitats'!$Z$2:$AA$9,2,FALSE))))),"")</f>
        <v/>
      </c>
      <c r="J249" s="106"/>
      <c r="K249" s="301" t="str">
        <f>IF(J249="","",IF(VLOOKUP(J249,'G-3 Multipliers'!$L$3:$N$6,2,FALSE)=0,"Spatial Data Missing",VLOOKUP(J249,'G-3 Multipliers'!$L$3:$N$6,2,FALSE)))</f>
        <v/>
      </c>
      <c r="L249" s="305" t="str">
        <f>IF(J249="","",IF(VLOOKUP(J249,'G-3 Multipliers'!$L$3:$N$6,3,FALSE)=0,"Spatial Data Missing",VLOOKUP(J249,'G-3 Multipliers'!$L$3:$N$6,3,FALSE)))</f>
        <v/>
      </c>
      <c r="M249" s="138"/>
      <c r="N249" s="282" t="str">
        <f>IF(M249="","",IF(VLOOKUP(M249,'G-3 Multipliers'!$S$3:$T$10,2,FALSE)=0,"Spatial Data Missing ⚠",VLOOKUP(M249,'G-3 Multipliers'!$S$3:$T$10,2,FALSE)))</f>
        <v/>
      </c>
      <c r="O249" s="281" t="str">
        <f>IF(OR(D249="",H249=""),"",(INDEX('G-6 Hedgerow Data'!$E$3:$I$15,MATCH(D249,'G-6 Hedgerow Data'!$B$3:$B$15,0),MATCH(H249,'G-6 Hedgerow Data'!$E$2:$I$2,0))))</f>
        <v/>
      </c>
      <c r="P249" s="137"/>
      <c r="Q249" s="137"/>
      <c r="R249" s="289" t="str">
        <f t="shared" si="22"/>
        <v/>
      </c>
      <c r="S249" s="302" t="str">
        <f t="shared" si="23"/>
        <v/>
      </c>
      <c r="T249" s="303" t="str">
        <f t="shared" si="21"/>
        <v/>
      </c>
      <c r="U249" s="317" t="str">
        <f>IF(D249="","",VLOOKUP(D249,'G-6 Hedgerow Data'!$B$3:$AG$15,31,FALSE))</f>
        <v/>
      </c>
      <c r="V249" s="301" t="str">
        <f t="shared" si="24"/>
        <v/>
      </c>
      <c r="W249" s="289" t="str">
        <f t="shared" si="25"/>
        <v/>
      </c>
      <c r="X249" s="305" t="str">
        <f>IF(F249="","",VLOOKUP(U249,'G-3 Multipliers'!$P$3:$Q$6,2,FALSE))</f>
        <v/>
      </c>
      <c r="Y249" s="309" t="str">
        <f t="shared" si="26"/>
        <v/>
      </c>
      <c r="Z249" s="309" t="str">
        <f t="shared" si="27"/>
        <v/>
      </c>
      <c r="AA249" s="105"/>
      <c r="AB249" s="968"/>
      <c r="AC249" s="142"/>
      <c r="AD249" s="142"/>
      <c r="AE249" s="964"/>
      <c r="AH249" s="30" t="str">
        <f>IFERROR(INDEX('G-6 Hedgerow Data'!$BJ$3:$BJ$15,MATCH(D249,'G-6 Hedgerow Data'!$B$3:$B$15,0)),"")</f>
        <v/>
      </c>
    </row>
    <row r="250" spans="2:34" ht="13.8" x14ac:dyDescent="0.25">
      <c r="B250" s="101">
        <v>239</v>
      </c>
      <c r="C250" s="175"/>
      <c r="D250" s="58"/>
      <c r="E250" s="142"/>
      <c r="F250" s="281" t="str">
        <f>IF(D250="","",VLOOKUP(D250,'G-6 Hedgerow Data'!$B$2:$AG$15,2,FALSE))</f>
        <v/>
      </c>
      <c r="G250" s="305" t="str">
        <f>IF(D250="","",VLOOKUP(D250,'G-6 Hedgerow Data'!$B$2:$AG$15,3,FALSE))</f>
        <v/>
      </c>
      <c r="H250" s="53"/>
      <c r="I250" s="282" t="str">
        <f>IFERROR(IF(H250="","",IF(AND(D250="Non-native and ornamental hedgerow", H250&lt;&gt;"Poor"),"Not possible ▲", (IF(AND(F250="V.Low",OR(H250="Good",H250="Moderate")),"Error ▲",VLOOKUP(H250,'G-1 All Habitats'!$Z$2:$AA$9,2,FALSE))))),"")</f>
        <v/>
      </c>
      <c r="J250" s="106"/>
      <c r="K250" s="301" t="str">
        <f>IF(J250="","",IF(VLOOKUP(J250,'G-3 Multipliers'!$L$3:$N$6,2,FALSE)=0,"Spatial Data Missing",VLOOKUP(J250,'G-3 Multipliers'!$L$3:$N$6,2,FALSE)))</f>
        <v/>
      </c>
      <c r="L250" s="305" t="str">
        <f>IF(J250="","",IF(VLOOKUP(J250,'G-3 Multipliers'!$L$3:$N$6,3,FALSE)=0,"Spatial Data Missing",VLOOKUP(J250,'G-3 Multipliers'!$L$3:$N$6,3,FALSE)))</f>
        <v/>
      </c>
      <c r="M250" s="138"/>
      <c r="N250" s="282" t="str">
        <f>IF(M250="","",IF(VLOOKUP(M250,'G-3 Multipliers'!$S$3:$T$10,2,FALSE)=0,"Spatial Data Missing ⚠",VLOOKUP(M250,'G-3 Multipliers'!$S$3:$T$10,2,FALSE)))</f>
        <v/>
      </c>
      <c r="O250" s="281" t="str">
        <f>IF(OR(D250="",H250=""),"",(INDEX('G-6 Hedgerow Data'!$E$3:$I$15,MATCH(D250,'G-6 Hedgerow Data'!$B$3:$B$15,0),MATCH(H250,'G-6 Hedgerow Data'!$E$2:$I$2,0))))</f>
        <v/>
      </c>
      <c r="P250" s="137"/>
      <c r="Q250" s="137"/>
      <c r="R250" s="289" t="str">
        <f t="shared" si="22"/>
        <v/>
      </c>
      <c r="S250" s="302" t="str">
        <f t="shared" si="23"/>
        <v/>
      </c>
      <c r="T250" s="303" t="str">
        <f t="shared" si="21"/>
        <v/>
      </c>
      <c r="U250" s="317" t="str">
        <f>IF(D250="","",VLOOKUP(D250,'G-6 Hedgerow Data'!$B$3:$AG$15,31,FALSE))</f>
        <v/>
      </c>
      <c r="V250" s="301" t="str">
        <f t="shared" si="24"/>
        <v/>
      </c>
      <c r="W250" s="289" t="str">
        <f t="shared" si="25"/>
        <v/>
      </c>
      <c r="X250" s="305" t="str">
        <f>IF(F250="","",VLOOKUP(U250,'G-3 Multipliers'!$P$3:$Q$6,2,FALSE))</f>
        <v/>
      </c>
      <c r="Y250" s="309" t="str">
        <f t="shared" si="26"/>
        <v/>
      </c>
      <c r="Z250" s="309" t="str">
        <f t="shared" si="27"/>
        <v/>
      </c>
      <c r="AA250" s="105"/>
      <c r="AB250" s="968"/>
      <c r="AC250" s="142"/>
      <c r="AD250" s="142"/>
      <c r="AE250" s="964"/>
      <c r="AH250" s="30" t="str">
        <f>IFERROR(INDEX('G-6 Hedgerow Data'!$BJ$3:$BJ$15,MATCH(D250,'G-6 Hedgerow Data'!$B$3:$B$15,0)),"")</f>
        <v/>
      </c>
    </row>
    <row r="251" spans="2:34" ht="13.8" x14ac:dyDescent="0.25">
      <c r="B251" s="101">
        <v>240</v>
      </c>
      <c r="C251" s="175"/>
      <c r="D251" s="58"/>
      <c r="E251" s="142"/>
      <c r="F251" s="281" t="str">
        <f>IF(D251="","",VLOOKUP(D251,'G-6 Hedgerow Data'!$B$2:$AG$15,2,FALSE))</f>
        <v/>
      </c>
      <c r="G251" s="305" t="str">
        <f>IF(D251="","",VLOOKUP(D251,'G-6 Hedgerow Data'!$B$2:$AG$15,3,FALSE))</f>
        <v/>
      </c>
      <c r="H251" s="53"/>
      <c r="I251" s="282" t="str">
        <f>IFERROR(IF(H251="","",IF(AND(D251="Non-native and ornamental hedgerow", H251&lt;&gt;"Poor"),"Not possible ▲", (IF(AND(F251="V.Low",OR(H251="Good",H251="Moderate")),"Error ▲",VLOOKUP(H251,'G-1 All Habitats'!$Z$2:$AA$9,2,FALSE))))),"")</f>
        <v/>
      </c>
      <c r="J251" s="106"/>
      <c r="K251" s="301" t="str">
        <f>IF(J251="","",IF(VLOOKUP(J251,'G-3 Multipliers'!$L$3:$N$6,2,FALSE)=0,"Spatial Data Missing",VLOOKUP(J251,'G-3 Multipliers'!$L$3:$N$6,2,FALSE)))</f>
        <v/>
      </c>
      <c r="L251" s="305" t="str">
        <f>IF(J251="","",IF(VLOOKUP(J251,'G-3 Multipliers'!$L$3:$N$6,3,FALSE)=0,"Spatial Data Missing",VLOOKUP(J251,'G-3 Multipliers'!$L$3:$N$6,3,FALSE)))</f>
        <v/>
      </c>
      <c r="M251" s="138"/>
      <c r="N251" s="282" t="str">
        <f>IF(M251="","",IF(VLOOKUP(M251,'G-3 Multipliers'!$S$3:$T$10,2,FALSE)=0,"Spatial Data Missing ⚠",VLOOKUP(M251,'G-3 Multipliers'!$S$3:$T$10,2,FALSE)))</f>
        <v/>
      </c>
      <c r="O251" s="281" t="str">
        <f>IF(OR(D251="",H251=""),"",(INDEX('G-6 Hedgerow Data'!$E$3:$I$15,MATCH(D251,'G-6 Hedgerow Data'!$B$3:$B$15,0),MATCH(H251,'G-6 Hedgerow Data'!$E$2:$I$2,0))))</f>
        <v/>
      </c>
      <c r="P251" s="137"/>
      <c r="Q251" s="137"/>
      <c r="R251" s="289" t="str">
        <f t="shared" si="22"/>
        <v/>
      </c>
      <c r="S251" s="302" t="str">
        <f t="shared" si="23"/>
        <v/>
      </c>
      <c r="T251" s="303" t="str">
        <f t="shared" si="21"/>
        <v/>
      </c>
      <c r="U251" s="317" t="str">
        <f>IF(D251="","",VLOOKUP(D251,'G-6 Hedgerow Data'!$B$3:$AG$15,31,FALSE))</f>
        <v/>
      </c>
      <c r="V251" s="301" t="str">
        <f t="shared" si="24"/>
        <v/>
      </c>
      <c r="W251" s="289" t="str">
        <f t="shared" si="25"/>
        <v/>
      </c>
      <c r="X251" s="305" t="str">
        <f>IF(F251="","",VLOOKUP(U251,'G-3 Multipliers'!$P$3:$Q$6,2,FALSE))</f>
        <v/>
      </c>
      <c r="Y251" s="309" t="str">
        <f t="shared" si="26"/>
        <v/>
      </c>
      <c r="Z251" s="309" t="str">
        <f t="shared" si="27"/>
        <v/>
      </c>
      <c r="AA251" s="105"/>
      <c r="AB251" s="968"/>
      <c r="AC251" s="142"/>
      <c r="AD251" s="142"/>
      <c r="AE251" s="964"/>
      <c r="AH251" s="30" t="str">
        <f>IFERROR(INDEX('G-6 Hedgerow Data'!$BJ$3:$BJ$15,MATCH(D251,'G-6 Hedgerow Data'!$B$3:$B$15,0)),"")</f>
        <v/>
      </c>
    </row>
    <row r="252" spans="2:34" ht="13.8" x14ac:dyDescent="0.25">
      <c r="B252" s="101">
        <v>241</v>
      </c>
      <c r="C252" s="175"/>
      <c r="D252" s="58"/>
      <c r="E252" s="142"/>
      <c r="F252" s="281" t="str">
        <f>IF(D252="","",VLOOKUP(D252,'G-6 Hedgerow Data'!$B$2:$AG$15,2,FALSE))</f>
        <v/>
      </c>
      <c r="G252" s="305" t="str">
        <f>IF(D252="","",VLOOKUP(D252,'G-6 Hedgerow Data'!$B$2:$AG$15,3,FALSE))</f>
        <v/>
      </c>
      <c r="H252" s="53"/>
      <c r="I252" s="282" t="str">
        <f>IFERROR(IF(H252="","",IF(AND(D252="Non-native and ornamental hedgerow", H252&lt;&gt;"Poor"),"Not possible ▲", (IF(AND(F252="V.Low",OR(H252="Good",H252="Moderate")),"Error ▲",VLOOKUP(H252,'G-1 All Habitats'!$Z$2:$AA$9,2,FALSE))))),"")</f>
        <v/>
      </c>
      <c r="J252" s="106"/>
      <c r="K252" s="301" t="str">
        <f>IF(J252="","",IF(VLOOKUP(J252,'G-3 Multipliers'!$L$3:$N$6,2,FALSE)=0,"Spatial Data Missing",VLOOKUP(J252,'G-3 Multipliers'!$L$3:$N$6,2,FALSE)))</f>
        <v/>
      </c>
      <c r="L252" s="305" t="str">
        <f>IF(J252="","",IF(VLOOKUP(J252,'G-3 Multipliers'!$L$3:$N$6,3,FALSE)=0,"Spatial Data Missing",VLOOKUP(J252,'G-3 Multipliers'!$L$3:$N$6,3,FALSE)))</f>
        <v/>
      </c>
      <c r="M252" s="138"/>
      <c r="N252" s="282" t="str">
        <f>IF(M252="","",IF(VLOOKUP(M252,'G-3 Multipliers'!$S$3:$T$10,2,FALSE)=0,"Spatial Data Missing ⚠",VLOOKUP(M252,'G-3 Multipliers'!$S$3:$T$10,2,FALSE)))</f>
        <v/>
      </c>
      <c r="O252" s="281" t="str">
        <f>IF(OR(D252="",H252=""),"",(INDEX('G-6 Hedgerow Data'!$E$3:$I$15,MATCH(D252,'G-6 Hedgerow Data'!$B$3:$B$15,0),MATCH(H252,'G-6 Hedgerow Data'!$E$2:$I$2,0))))</f>
        <v/>
      </c>
      <c r="P252" s="137"/>
      <c r="Q252" s="137"/>
      <c r="R252" s="289" t="str">
        <f t="shared" si="22"/>
        <v/>
      </c>
      <c r="S252" s="302" t="str">
        <f t="shared" si="23"/>
        <v/>
      </c>
      <c r="T252" s="303" t="str">
        <f t="shared" si="21"/>
        <v/>
      </c>
      <c r="U252" s="317" t="str">
        <f>IF(D252="","",VLOOKUP(D252,'G-6 Hedgerow Data'!$B$3:$AG$15,31,FALSE))</f>
        <v/>
      </c>
      <c r="V252" s="301" t="str">
        <f t="shared" si="24"/>
        <v/>
      </c>
      <c r="W252" s="289" t="str">
        <f t="shared" si="25"/>
        <v/>
      </c>
      <c r="X252" s="305" t="str">
        <f>IF(F252="","",VLOOKUP(U252,'G-3 Multipliers'!$P$3:$Q$6,2,FALSE))</f>
        <v/>
      </c>
      <c r="Y252" s="309" t="str">
        <f t="shared" si="26"/>
        <v/>
      </c>
      <c r="Z252" s="309" t="str">
        <f t="shared" si="27"/>
        <v/>
      </c>
      <c r="AA252" s="105"/>
      <c r="AB252" s="968"/>
      <c r="AC252" s="142"/>
      <c r="AD252" s="142"/>
      <c r="AE252" s="964"/>
      <c r="AH252" s="30" t="str">
        <f>IFERROR(INDEX('G-6 Hedgerow Data'!$BJ$3:$BJ$15,MATCH(D252,'G-6 Hedgerow Data'!$B$3:$B$15,0)),"")</f>
        <v/>
      </c>
    </row>
    <row r="253" spans="2:34" ht="13.8" x14ac:dyDescent="0.25">
      <c r="B253" s="101">
        <v>242</v>
      </c>
      <c r="C253" s="175"/>
      <c r="D253" s="58"/>
      <c r="E253" s="142"/>
      <c r="F253" s="281" t="str">
        <f>IF(D253="","",VLOOKUP(D253,'G-6 Hedgerow Data'!$B$2:$AG$15,2,FALSE))</f>
        <v/>
      </c>
      <c r="G253" s="305" t="str">
        <f>IF(D253="","",VLOOKUP(D253,'G-6 Hedgerow Data'!$B$2:$AG$15,3,FALSE))</f>
        <v/>
      </c>
      <c r="H253" s="53"/>
      <c r="I253" s="282" t="str">
        <f>IFERROR(IF(H253="","",IF(AND(D253="Non-native and ornamental hedgerow", H253&lt;&gt;"Poor"),"Not possible ▲", (IF(AND(F253="V.Low",OR(H253="Good",H253="Moderate")),"Error ▲",VLOOKUP(H253,'G-1 All Habitats'!$Z$2:$AA$9,2,FALSE))))),"")</f>
        <v/>
      </c>
      <c r="J253" s="106"/>
      <c r="K253" s="301" t="str">
        <f>IF(J253="","",IF(VLOOKUP(J253,'G-3 Multipliers'!$L$3:$N$6,2,FALSE)=0,"Spatial Data Missing",VLOOKUP(J253,'G-3 Multipliers'!$L$3:$N$6,2,FALSE)))</f>
        <v/>
      </c>
      <c r="L253" s="305" t="str">
        <f>IF(J253="","",IF(VLOOKUP(J253,'G-3 Multipliers'!$L$3:$N$6,3,FALSE)=0,"Spatial Data Missing",VLOOKUP(J253,'G-3 Multipliers'!$L$3:$N$6,3,FALSE)))</f>
        <v/>
      </c>
      <c r="M253" s="138"/>
      <c r="N253" s="282" t="str">
        <f>IF(M253="","",IF(VLOOKUP(M253,'G-3 Multipliers'!$S$3:$T$10,2,FALSE)=0,"Spatial Data Missing ⚠",VLOOKUP(M253,'G-3 Multipliers'!$S$3:$T$10,2,FALSE)))</f>
        <v/>
      </c>
      <c r="O253" s="281" t="str">
        <f>IF(OR(D253="",H253=""),"",(INDEX('G-6 Hedgerow Data'!$E$3:$I$15,MATCH(D253,'G-6 Hedgerow Data'!$B$3:$B$15,0),MATCH(H253,'G-6 Hedgerow Data'!$E$2:$I$2,0))))</f>
        <v/>
      </c>
      <c r="P253" s="137"/>
      <c r="Q253" s="137"/>
      <c r="R253" s="289" t="str">
        <f t="shared" si="22"/>
        <v/>
      </c>
      <c r="S253" s="302" t="str">
        <f t="shared" si="23"/>
        <v/>
      </c>
      <c r="T253" s="303" t="str">
        <f t="shared" si="21"/>
        <v/>
      </c>
      <c r="U253" s="317" t="str">
        <f>IF(D253="","",VLOOKUP(D253,'G-6 Hedgerow Data'!$B$3:$AG$15,31,FALSE))</f>
        <v/>
      </c>
      <c r="V253" s="301" t="str">
        <f t="shared" si="24"/>
        <v/>
      </c>
      <c r="W253" s="289" t="str">
        <f t="shared" si="25"/>
        <v/>
      </c>
      <c r="X253" s="305" t="str">
        <f>IF(F253="","",VLOOKUP(U253,'G-3 Multipliers'!$P$3:$Q$6,2,FALSE))</f>
        <v/>
      </c>
      <c r="Y253" s="309" t="str">
        <f t="shared" si="26"/>
        <v/>
      </c>
      <c r="Z253" s="309" t="str">
        <f t="shared" si="27"/>
        <v/>
      </c>
      <c r="AA253" s="105"/>
      <c r="AB253" s="968"/>
      <c r="AC253" s="142"/>
      <c r="AD253" s="142"/>
      <c r="AE253" s="964"/>
      <c r="AH253" s="30" t="str">
        <f>IFERROR(INDEX('G-6 Hedgerow Data'!$BJ$3:$BJ$15,MATCH(D253,'G-6 Hedgerow Data'!$B$3:$B$15,0)),"")</f>
        <v/>
      </c>
    </row>
    <row r="254" spans="2:34" ht="13.8" x14ac:dyDescent="0.25">
      <c r="B254" s="101">
        <v>243</v>
      </c>
      <c r="C254" s="175"/>
      <c r="D254" s="58"/>
      <c r="E254" s="142"/>
      <c r="F254" s="281" t="str">
        <f>IF(D254="","",VLOOKUP(D254,'G-6 Hedgerow Data'!$B$2:$AG$15,2,FALSE))</f>
        <v/>
      </c>
      <c r="G254" s="305" t="str">
        <f>IF(D254="","",VLOOKUP(D254,'G-6 Hedgerow Data'!$B$2:$AG$15,3,FALSE))</f>
        <v/>
      </c>
      <c r="H254" s="53"/>
      <c r="I254" s="282" t="str">
        <f>IFERROR(IF(H254="","",IF(AND(D254="Non-native and ornamental hedgerow", H254&lt;&gt;"Poor"),"Not possible ▲", (IF(AND(F254="V.Low",OR(H254="Good",H254="Moderate")),"Error ▲",VLOOKUP(H254,'G-1 All Habitats'!$Z$2:$AA$9,2,FALSE))))),"")</f>
        <v/>
      </c>
      <c r="J254" s="106"/>
      <c r="K254" s="301" t="str">
        <f>IF(J254="","",IF(VLOOKUP(J254,'G-3 Multipliers'!$L$3:$N$6,2,FALSE)=0,"Spatial Data Missing",VLOOKUP(J254,'G-3 Multipliers'!$L$3:$N$6,2,FALSE)))</f>
        <v/>
      </c>
      <c r="L254" s="305" t="str">
        <f>IF(J254="","",IF(VLOOKUP(J254,'G-3 Multipliers'!$L$3:$N$6,3,FALSE)=0,"Spatial Data Missing",VLOOKUP(J254,'G-3 Multipliers'!$L$3:$N$6,3,FALSE)))</f>
        <v/>
      </c>
      <c r="M254" s="138"/>
      <c r="N254" s="282" t="str">
        <f>IF(M254="","",IF(VLOOKUP(M254,'G-3 Multipliers'!$S$3:$T$10,2,FALSE)=0,"Spatial Data Missing ⚠",VLOOKUP(M254,'G-3 Multipliers'!$S$3:$T$10,2,FALSE)))</f>
        <v/>
      </c>
      <c r="O254" s="281" t="str">
        <f>IF(OR(D254="",H254=""),"",(INDEX('G-6 Hedgerow Data'!$E$3:$I$15,MATCH(D254,'G-6 Hedgerow Data'!$B$3:$B$15,0),MATCH(H254,'G-6 Hedgerow Data'!$E$2:$I$2,0))))</f>
        <v/>
      </c>
      <c r="P254" s="137"/>
      <c r="Q254" s="137"/>
      <c r="R254" s="289" t="str">
        <f t="shared" si="22"/>
        <v/>
      </c>
      <c r="S254" s="302" t="str">
        <f t="shared" si="23"/>
        <v/>
      </c>
      <c r="T254" s="303" t="str">
        <f t="shared" si="21"/>
        <v/>
      </c>
      <c r="U254" s="317" t="str">
        <f>IF(D254="","",VLOOKUP(D254,'G-6 Hedgerow Data'!$B$3:$AG$15,31,FALSE))</f>
        <v/>
      </c>
      <c r="V254" s="301" t="str">
        <f t="shared" si="24"/>
        <v/>
      </c>
      <c r="W254" s="289" t="str">
        <f t="shared" si="25"/>
        <v/>
      </c>
      <c r="X254" s="305" t="str">
        <f>IF(F254="","",VLOOKUP(U254,'G-3 Multipliers'!$P$3:$Q$6,2,FALSE))</f>
        <v/>
      </c>
      <c r="Y254" s="309" t="str">
        <f t="shared" si="26"/>
        <v/>
      </c>
      <c r="Z254" s="309" t="str">
        <f t="shared" si="27"/>
        <v/>
      </c>
      <c r="AA254" s="105"/>
      <c r="AB254" s="968"/>
      <c r="AC254" s="142"/>
      <c r="AD254" s="142"/>
      <c r="AE254" s="964"/>
      <c r="AH254" s="30" t="str">
        <f>IFERROR(INDEX('G-6 Hedgerow Data'!$BJ$3:$BJ$15,MATCH(D254,'G-6 Hedgerow Data'!$B$3:$B$15,0)),"")</f>
        <v/>
      </c>
    </row>
    <row r="255" spans="2:34" ht="13.8" x14ac:dyDescent="0.25">
      <c r="B255" s="101">
        <v>244</v>
      </c>
      <c r="C255" s="175"/>
      <c r="D255" s="58"/>
      <c r="E255" s="142"/>
      <c r="F255" s="281" t="str">
        <f>IF(D255="","",VLOOKUP(D255,'G-6 Hedgerow Data'!$B$2:$AG$15,2,FALSE))</f>
        <v/>
      </c>
      <c r="G255" s="305" t="str">
        <f>IF(D255="","",VLOOKUP(D255,'G-6 Hedgerow Data'!$B$2:$AG$15,3,FALSE))</f>
        <v/>
      </c>
      <c r="H255" s="53"/>
      <c r="I255" s="282" t="str">
        <f>IFERROR(IF(H255="","",IF(AND(D255="Non-native and ornamental hedgerow", H255&lt;&gt;"Poor"),"Not possible ▲", (IF(AND(F255="V.Low",OR(H255="Good",H255="Moderate")),"Error ▲",VLOOKUP(H255,'G-1 All Habitats'!$Z$2:$AA$9,2,FALSE))))),"")</f>
        <v/>
      </c>
      <c r="J255" s="106"/>
      <c r="K255" s="301" t="str">
        <f>IF(J255="","",IF(VLOOKUP(J255,'G-3 Multipliers'!$L$3:$N$6,2,FALSE)=0,"Spatial Data Missing",VLOOKUP(J255,'G-3 Multipliers'!$L$3:$N$6,2,FALSE)))</f>
        <v/>
      </c>
      <c r="L255" s="305" t="str">
        <f>IF(J255="","",IF(VLOOKUP(J255,'G-3 Multipliers'!$L$3:$N$6,3,FALSE)=0,"Spatial Data Missing",VLOOKUP(J255,'G-3 Multipliers'!$L$3:$N$6,3,FALSE)))</f>
        <v/>
      </c>
      <c r="M255" s="138"/>
      <c r="N255" s="282" t="str">
        <f>IF(M255="","",IF(VLOOKUP(M255,'G-3 Multipliers'!$S$3:$T$10,2,FALSE)=0,"Spatial Data Missing ⚠",VLOOKUP(M255,'G-3 Multipliers'!$S$3:$T$10,2,FALSE)))</f>
        <v/>
      </c>
      <c r="O255" s="281" t="str">
        <f>IF(OR(D255="",H255=""),"",(INDEX('G-6 Hedgerow Data'!$E$3:$I$15,MATCH(D255,'G-6 Hedgerow Data'!$B$3:$B$15,0),MATCH(H255,'G-6 Hedgerow Data'!$E$2:$I$2,0))))</f>
        <v/>
      </c>
      <c r="P255" s="137"/>
      <c r="Q255" s="137"/>
      <c r="R255" s="289" t="str">
        <f t="shared" si="22"/>
        <v/>
      </c>
      <c r="S255" s="302" t="str">
        <f t="shared" si="23"/>
        <v/>
      </c>
      <c r="T255" s="303" t="str">
        <f t="shared" si="21"/>
        <v/>
      </c>
      <c r="U255" s="317" t="str">
        <f>IF(D255="","",VLOOKUP(D255,'G-6 Hedgerow Data'!$B$3:$AG$15,31,FALSE))</f>
        <v/>
      </c>
      <c r="V255" s="301" t="str">
        <f t="shared" si="24"/>
        <v/>
      </c>
      <c r="W255" s="289" t="str">
        <f t="shared" si="25"/>
        <v/>
      </c>
      <c r="X255" s="305" t="str">
        <f>IF(F255="","",VLOOKUP(U255,'G-3 Multipliers'!$P$3:$Q$6,2,FALSE))</f>
        <v/>
      </c>
      <c r="Y255" s="309" t="str">
        <f t="shared" si="26"/>
        <v/>
      </c>
      <c r="Z255" s="309" t="str">
        <f t="shared" si="27"/>
        <v/>
      </c>
      <c r="AA255" s="105"/>
      <c r="AB255" s="968"/>
      <c r="AC255" s="142"/>
      <c r="AD255" s="142"/>
      <c r="AE255" s="964"/>
      <c r="AH255" s="30" t="str">
        <f>IFERROR(INDEX('G-6 Hedgerow Data'!$BJ$3:$BJ$15,MATCH(D255,'G-6 Hedgerow Data'!$B$3:$B$15,0)),"")</f>
        <v/>
      </c>
    </row>
    <row r="256" spans="2:34" ht="13.8" x14ac:dyDescent="0.25">
      <c r="B256" s="101">
        <v>245</v>
      </c>
      <c r="C256" s="175"/>
      <c r="D256" s="58"/>
      <c r="E256" s="142"/>
      <c r="F256" s="281" t="str">
        <f>IF(D256="","",VLOOKUP(D256,'G-6 Hedgerow Data'!$B$2:$AG$15,2,FALSE))</f>
        <v/>
      </c>
      <c r="G256" s="305" t="str">
        <f>IF(D256="","",VLOOKUP(D256,'G-6 Hedgerow Data'!$B$2:$AG$15,3,FALSE))</f>
        <v/>
      </c>
      <c r="H256" s="53"/>
      <c r="I256" s="282" t="str">
        <f>IFERROR(IF(H256="","",IF(AND(D256="Non-native and ornamental hedgerow", H256&lt;&gt;"Poor"),"Not possible ▲", (IF(AND(F256="V.Low",OR(H256="Good",H256="Moderate")),"Error ▲",VLOOKUP(H256,'G-1 All Habitats'!$Z$2:$AA$9,2,FALSE))))),"")</f>
        <v/>
      </c>
      <c r="J256" s="106"/>
      <c r="K256" s="301" t="str">
        <f>IF(J256="","",IF(VLOOKUP(J256,'G-3 Multipliers'!$L$3:$N$6,2,FALSE)=0,"Spatial Data Missing",VLOOKUP(J256,'G-3 Multipliers'!$L$3:$N$6,2,FALSE)))</f>
        <v/>
      </c>
      <c r="L256" s="305" t="str">
        <f>IF(J256="","",IF(VLOOKUP(J256,'G-3 Multipliers'!$L$3:$N$6,3,FALSE)=0,"Spatial Data Missing",VLOOKUP(J256,'G-3 Multipliers'!$L$3:$N$6,3,FALSE)))</f>
        <v/>
      </c>
      <c r="M256" s="138"/>
      <c r="N256" s="282" t="str">
        <f>IF(M256="","",IF(VLOOKUP(M256,'G-3 Multipliers'!$S$3:$T$10,2,FALSE)=0,"Spatial Data Missing ⚠",VLOOKUP(M256,'G-3 Multipliers'!$S$3:$T$10,2,FALSE)))</f>
        <v/>
      </c>
      <c r="O256" s="281" t="str">
        <f>IF(OR(D256="",H256=""),"",(INDEX('G-6 Hedgerow Data'!$E$3:$I$15,MATCH(D256,'G-6 Hedgerow Data'!$B$3:$B$15,0),MATCH(H256,'G-6 Hedgerow Data'!$E$2:$I$2,0))))</f>
        <v/>
      </c>
      <c r="P256" s="137"/>
      <c r="Q256" s="137"/>
      <c r="R256" s="289" t="str">
        <f t="shared" si="22"/>
        <v/>
      </c>
      <c r="S256" s="302" t="str">
        <f t="shared" si="23"/>
        <v/>
      </c>
      <c r="T256" s="303" t="str">
        <f t="shared" si="21"/>
        <v/>
      </c>
      <c r="U256" s="317" t="str">
        <f>IF(D256="","",VLOOKUP(D256,'G-6 Hedgerow Data'!$B$3:$AG$15,31,FALSE))</f>
        <v/>
      </c>
      <c r="V256" s="301" t="str">
        <f t="shared" si="24"/>
        <v/>
      </c>
      <c r="W256" s="289" t="str">
        <f t="shared" si="25"/>
        <v/>
      </c>
      <c r="X256" s="305" t="str">
        <f>IF(F256="","",VLOOKUP(U256,'G-3 Multipliers'!$P$3:$Q$6,2,FALSE))</f>
        <v/>
      </c>
      <c r="Y256" s="309" t="str">
        <f t="shared" si="26"/>
        <v/>
      </c>
      <c r="Z256" s="309" t="str">
        <f t="shared" si="27"/>
        <v/>
      </c>
      <c r="AA256" s="105"/>
      <c r="AB256" s="968"/>
      <c r="AC256" s="142"/>
      <c r="AD256" s="142"/>
      <c r="AE256" s="964"/>
      <c r="AH256" s="30" t="str">
        <f>IFERROR(INDEX('G-6 Hedgerow Data'!$BJ$3:$BJ$15,MATCH(D256,'G-6 Hedgerow Data'!$B$3:$B$15,0)),"")</f>
        <v/>
      </c>
    </row>
    <row r="257" spans="2:34" ht="13.8" x14ac:dyDescent="0.25">
      <c r="B257" s="101">
        <v>246</v>
      </c>
      <c r="C257" s="175"/>
      <c r="D257" s="58"/>
      <c r="E257" s="142"/>
      <c r="F257" s="281" t="str">
        <f>IF(D257="","",VLOOKUP(D257,'G-6 Hedgerow Data'!$B$2:$AG$15,2,FALSE))</f>
        <v/>
      </c>
      <c r="G257" s="305" t="str">
        <f>IF(D257="","",VLOOKUP(D257,'G-6 Hedgerow Data'!$B$2:$AG$15,3,FALSE))</f>
        <v/>
      </c>
      <c r="H257" s="53"/>
      <c r="I257" s="282" t="str">
        <f>IFERROR(IF(H257="","",IF(AND(D257="Non-native and ornamental hedgerow", H257&lt;&gt;"Poor"),"Not possible ▲", (IF(AND(F257="V.Low",OR(H257="Good",H257="Moderate")),"Error ▲",VLOOKUP(H257,'G-1 All Habitats'!$Z$2:$AA$9,2,FALSE))))),"")</f>
        <v/>
      </c>
      <c r="J257" s="106"/>
      <c r="K257" s="301" t="str">
        <f>IF(J257="","",IF(VLOOKUP(J257,'G-3 Multipliers'!$L$3:$N$6,2,FALSE)=0,"Spatial Data Missing",VLOOKUP(J257,'G-3 Multipliers'!$L$3:$N$6,2,FALSE)))</f>
        <v/>
      </c>
      <c r="L257" s="305" t="str">
        <f>IF(J257="","",IF(VLOOKUP(J257,'G-3 Multipliers'!$L$3:$N$6,3,FALSE)=0,"Spatial Data Missing",VLOOKUP(J257,'G-3 Multipliers'!$L$3:$N$6,3,FALSE)))</f>
        <v/>
      </c>
      <c r="M257" s="138"/>
      <c r="N257" s="282" t="str">
        <f>IF(M257="","",IF(VLOOKUP(M257,'G-3 Multipliers'!$S$3:$T$10,2,FALSE)=0,"Spatial Data Missing ⚠",VLOOKUP(M257,'G-3 Multipliers'!$S$3:$T$10,2,FALSE)))</f>
        <v/>
      </c>
      <c r="O257" s="281" t="str">
        <f>IF(OR(D257="",H257=""),"",(INDEX('G-6 Hedgerow Data'!$E$3:$I$15,MATCH(D257,'G-6 Hedgerow Data'!$B$3:$B$15,0),MATCH(H257,'G-6 Hedgerow Data'!$E$2:$I$2,0))))</f>
        <v/>
      </c>
      <c r="P257" s="137"/>
      <c r="Q257" s="137"/>
      <c r="R257" s="289" t="str">
        <f t="shared" si="22"/>
        <v/>
      </c>
      <c r="S257" s="302" t="str">
        <f t="shared" si="23"/>
        <v/>
      </c>
      <c r="T257" s="303" t="str">
        <f t="shared" si="21"/>
        <v/>
      </c>
      <c r="U257" s="317" t="str">
        <f>IF(D257="","",VLOOKUP(D257,'G-6 Hedgerow Data'!$B$3:$AG$15,31,FALSE))</f>
        <v/>
      </c>
      <c r="V257" s="301" t="str">
        <f t="shared" si="24"/>
        <v/>
      </c>
      <c r="W257" s="289" t="str">
        <f t="shared" si="25"/>
        <v/>
      </c>
      <c r="X257" s="305" t="str">
        <f>IF(F257="","",VLOOKUP(U257,'G-3 Multipliers'!$P$3:$Q$6,2,FALSE))</f>
        <v/>
      </c>
      <c r="Y257" s="309" t="str">
        <f t="shared" si="26"/>
        <v/>
      </c>
      <c r="Z257" s="309" t="str">
        <f t="shared" si="27"/>
        <v/>
      </c>
      <c r="AA257" s="105"/>
      <c r="AB257" s="968"/>
      <c r="AC257" s="142"/>
      <c r="AD257" s="142"/>
      <c r="AE257" s="964"/>
      <c r="AH257" s="30" t="str">
        <f>IFERROR(INDEX('G-6 Hedgerow Data'!$BJ$3:$BJ$15,MATCH(D257,'G-6 Hedgerow Data'!$B$3:$B$15,0)),"")</f>
        <v/>
      </c>
    </row>
    <row r="258" spans="2:34" ht="13.8" x14ac:dyDescent="0.25">
      <c r="B258" s="101">
        <v>247</v>
      </c>
      <c r="C258" s="175"/>
      <c r="D258" s="58"/>
      <c r="E258" s="142"/>
      <c r="F258" s="281" t="str">
        <f>IF(D258="","",VLOOKUP(D258,'G-6 Hedgerow Data'!$B$2:$AG$15,2,FALSE))</f>
        <v/>
      </c>
      <c r="G258" s="305" t="str">
        <f>IF(D258="","",VLOOKUP(D258,'G-6 Hedgerow Data'!$B$2:$AG$15,3,FALSE))</f>
        <v/>
      </c>
      <c r="H258" s="53"/>
      <c r="I258" s="282" t="str">
        <f>IFERROR(IF(H258="","",IF(AND(D258="Non-native and ornamental hedgerow", H258&lt;&gt;"Poor"),"Not possible ▲", (IF(AND(F258="V.Low",OR(H258="Good",H258="Moderate")),"Error ▲",VLOOKUP(H258,'G-1 All Habitats'!$Z$2:$AA$9,2,FALSE))))),"")</f>
        <v/>
      </c>
      <c r="J258" s="106"/>
      <c r="K258" s="301" t="str">
        <f>IF(J258="","",IF(VLOOKUP(J258,'G-3 Multipliers'!$L$3:$N$6,2,FALSE)=0,"Spatial Data Missing",VLOOKUP(J258,'G-3 Multipliers'!$L$3:$N$6,2,FALSE)))</f>
        <v/>
      </c>
      <c r="L258" s="305" t="str">
        <f>IF(J258="","",IF(VLOOKUP(J258,'G-3 Multipliers'!$L$3:$N$6,3,FALSE)=0,"Spatial Data Missing",VLOOKUP(J258,'G-3 Multipliers'!$L$3:$N$6,3,FALSE)))</f>
        <v/>
      </c>
      <c r="M258" s="138"/>
      <c r="N258" s="282" t="str">
        <f>IF(M258="","",IF(VLOOKUP(M258,'G-3 Multipliers'!$S$3:$T$10,2,FALSE)=0,"Spatial Data Missing ⚠",VLOOKUP(M258,'G-3 Multipliers'!$S$3:$T$10,2,FALSE)))</f>
        <v/>
      </c>
      <c r="O258" s="281" t="str">
        <f>IF(OR(D258="",H258=""),"",(INDEX('G-6 Hedgerow Data'!$E$3:$I$15,MATCH(D258,'G-6 Hedgerow Data'!$B$3:$B$15,0),MATCH(H258,'G-6 Hedgerow Data'!$E$2:$I$2,0))))</f>
        <v/>
      </c>
      <c r="P258" s="137"/>
      <c r="Q258" s="137"/>
      <c r="R258" s="289" t="str">
        <f t="shared" si="22"/>
        <v/>
      </c>
      <c r="S258" s="302" t="str">
        <f t="shared" si="23"/>
        <v/>
      </c>
      <c r="T258" s="303" t="str">
        <f t="shared" si="21"/>
        <v/>
      </c>
      <c r="U258" s="317" t="str">
        <f>IF(D258="","",VLOOKUP(D258,'G-6 Hedgerow Data'!$B$3:$AG$15,31,FALSE))</f>
        <v/>
      </c>
      <c r="V258" s="301" t="str">
        <f t="shared" si="24"/>
        <v/>
      </c>
      <c r="W258" s="289" t="str">
        <f t="shared" si="25"/>
        <v/>
      </c>
      <c r="X258" s="305" t="str">
        <f>IF(F258="","",VLOOKUP(U258,'G-3 Multipliers'!$P$3:$Q$6,2,FALSE))</f>
        <v/>
      </c>
      <c r="Y258" s="309" t="str">
        <f t="shared" si="26"/>
        <v/>
      </c>
      <c r="Z258" s="309" t="str">
        <f t="shared" si="27"/>
        <v/>
      </c>
      <c r="AA258" s="105"/>
      <c r="AB258" s="968"/>
      <c r="AC258" s="142"/>
      <c r="AD258" s="148"/>
      <c r="AE258" s="970"/>
      <c r="AH258" s="30" t="str">
        <f>IFERROR(INDEX('G-6 Hedgerow Data'!$BJ$3:$BJ$15,MATCH(D258,'G-6 Hedgerow Data'!$B$3:$B$15,0)),"")</f>
        <v/>
      </c>
    </row>
    <row r="259" spans="2:34" ht="14.4" thickBot="1" x14ac:dyDescent="0.3">
      <c r="B259" s="113">
        <v>248</v>
      </c>
      <c r="C259" s="176"/>
      <c r="D259" s="58"/>
      <c r="E259" s="142"/>
      <c r="F259" s="283" t="str">
        <f>IF(D259="","",VLOOKUP(D259,'G-6 Hedgerow Data'!$B$2:$AG$15,2,FALSE))</f>
        <v/>
      </c>
      <c r="G259" s="305" t="str">
        <f>IF(D259="","",VLOOKUP(D259,'G-6 Hedgerow Data'!$B$2:$AG$15,3,FALSE))</f>
        <v/>
      </c>
      <c r="H259" s="53"/>
      <c r="I259" s="282" t="str">
        <f>IFERROR(IF(H259="","",IF(AND(D259="Non-native and ornamental hedgerow", H259&lt;&gt;"Poor"),"Not possible ▲", (IF(AND(F259="V.Low",OR(H259="Good",H259="Moderate")),"Error ▲",VLOOKUP(H259,'G-1 All Habitats'!$Z$2:$AA$9,2,FALSE))))),"")</f>
        <v/>
      </c>
      <c r="J259" s="106"/>
      <c r="K259" s="290" t="str">
        <f>IF(J259="","",IF(VLOOKUP(J259,'G-3 Multipliers'!$L$3:$N$6,2,FALSE)=0,"Spatial Data Missing",VLOOKUP(J259,'G-3 Multipliers'!$L$3:$N$6,2,FALSE)))</f>
        <v/>
      </c>
      <c r="L259" s="284" t="str">
        <f>IF(J259="","",IF(VLOOKUP(J259,'G-3 Multipliers'!$L$3:$N$6,3,FALSE)=0,"Spatial Data Missing",VLOOKUP(J259,'G-3 Multipliers'!$L$3:$N$6,3,FALSE)))</f>
        <v/>
      </c>
      <c r="M259" s="138"/>
      <c r="N259" s="282" t="str">
        <f>IF(M259="","",IF(VLOOKUP(M259,'G-3 Multipliers'!$S$3:$T$10,2,FALSE)=0,"Spatial Data Missing ⚠",VLOOKUP(M259,'G-3 Multipliers'!$S$3:$T$10,2,FALSE)))</f>
        <v/>
      </c>
      <c r="O259" s="281" t="str">
        <f>IF(OR(D259="",H259=""),"",(INDEX('G-6 Hedgerow Data'!$E$3:$I$15,MATCH(D259,'G-6 Hedgerow Data'!$B$3:$B$15,0),MATCH(H259,'G-6 Hedgerow Data'!$E$2:$I$2,0))))</f>
        <v/>
      </c>
      <c r="P259" s="137"/>
      <c r="Q259" s="145"/>
      <c r="R259" s="289" t="str">
        <f t="shared" si="22"/>
        <v/>
      </c>
      <c r="S259" s="302" t="str">
        <f t="shared" si="23"/>
        <v/>
      </c>
      <c r="T259" s="303" t="str">
        <f t="shared" si="21"/>
        <v/>
      </c>
      <c r="U259" s="283" t="str">
        <f>IF(D259="","",VLOOKUP(D259,'G-6 Hedgerow Data'!$B$3:$AG$15,31,FALSE))</f>
        <v/>
      </c>
      <c r="V259" s="301" t="str">
        <f t="shared" si="24"/>
        <v/>
      </c>
      <c r="W259" s="289" t="str">
        <f t="shared" si="25"/>
        <v/>
      </c>
      <c r="X259" s="316" t="str">
        <f>IF(F259="","",VLOOKUP(U259,'G-3 Multipliers'!$P$3:$Q$6,2,FALSE))</f>
        <v/>
      </c>
      <c r="Y259" s="310" t="str">
        <f t="shared" si="26"/>
        <v/>
      </c>
      <c r="Z259" s="309" t="str">
        <f t="shared" si="27"/>
        <v/>
      </c>
      <c r="AA259" s="115"/>
      <c r="AB259" s="240"/>
      <c r="AC259" s="145"/>
      <c r="AD259" s="145"/>
      <c r="AE259" s="971"/>
      <c r="AH259" s="30" t="str">
        <f>IFERROR(INDEX('G-6 Hedgerow Data'!$BJ$3:$BJ$15,MATCH(D259,'G-6 Hedgerow Data'!$B$3:$B$15,0)),"")</f>
        <v/>
      </c>
    </row>
    <row r="260" spans="2:34" ht="14.4" thickBot="1" x14ac:dyDescent="0.3">
      <c r="B260" s="34"/>
      <c r="C260" s="34"/>
      <c r="D260" s="182"/>
      <c r="E260" s="285">
        <f>SUM(E12:E259)</f>
        <v>0</v>
      </c>
      <c r="F260" s="34"/>
      <c r="G260" s="34"/>
      <c r="H260" s="34"/>
      <c r="I260" s="34"/>
      <c r="J260" s="34"/>
      <c r="K260" s="34"/>
      <c r="L260" s="34"/>
      <c r="M260" s="34"/>
      <c r="N260" s="34"/>
      <c r="O260" s="34"/>
      <c r="P260" s="34"/>
      <c r="Q260" s="34"/>
      <c r="R260" s="34"/>
      <c r="S260" s="34"/>
      <c r="T260" s="34"/>
      <c r="U260" s="34"/>
      <c r="V260" s="34"/>
      <c r="W260" s="1759"/>
      <c r="X260" s="1759"/>
      <c r="Y260" s="285">
        <f>SUM(Y12:Y259)</f>
        <v>0</v>
      </c>
      <c r="Z260" s="285">
        <f>SUM(Z12:Z259)</f>
        <v>0</v>
      </c>
    </row>
    <row r="261" spans="2:34" ht="29.1" customHeight="1" x14ac:dyDescent="0.25">
      <c r="E261" s="1757"/>
      <c r="F261" s="1757"/>
      <c r="G261" s="1757"/>
      <c r="H261" s="1757"/>
      <c r="I261" s="1757"/>
      <c r="J261" s="1757"/>
    </row>
    <row r="262" spans="2:34" ht="27" customHeight="1" x14ac:dyDescent="0.25"/>
    <row r="263" spans="2:34" ht="13.8" x14ac:dyDescent="0.25"/>
    <row r="264" spans="2:34" ht="13.8" hidden="1" x14ac:dyDescent="0.25"/>
  </sheetData>
  <sheetProtection algorithmName="SHA-512" hashValue="0I+xKVqoYcReO1yx/FheYPEdseyW9drz1EXrAfAaZVY8QmrPRw55gBfo0E1FgG6wBsOJHGiQPjMhGG4AcMLZNA==" saltValue="t+3IgkTErAiHr8g2tuuVT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A10:AE10"/>
    <mergeCell ref="W260:X260"/>
    <mergeCell ref="E261:J261"/>
    <mergeCell ref="Y10:Y11"/>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Y12">
    <cfRule type="containsText" dxfId="534" priority="149" operator="containsText" text="Existing Value Not Required">
      <formula>NOT(ISERROR(SEARCH("Existing Value Not Required",Y12)))</formula>
    </cfRule>
    <cfRule type="containsText" dxfId="533" priority="150" operator="containsText" text="Existing Value Required">
      <formula>NOT(ISERROR(SEARCH("Existing Value Required",Y12)))</formula>
    </cfRule>
  </conditionalFormatting>
  <conditionalFormatting sqref="M12:M259">
    <cfRule type="containsText" dxfId="532" priority="145" operator="containsText" text="Existing Value Not Required">
      <formula>NOT(ISERROR(SEARCH("Existing Value Not Required",M12)))</formula>
    </cfRule>
    <cfRule type="containsText" dxfId="531" priority="146" operator="containsText" text="Existing Value Required">
      <formula>NOT(ISERROR(SEARCH("Existing Value Required",M12)))</formula>
    </cfRule>
  </conditionalFormatting>
  <conditionalFormatting sqref="Y13:Y259">
    <cfRule type="containsText" dxfId="530" priority="143" operator="containsText" text="Existing Value Not Required">
      <formula>NOT(ISERROR(SEARCH("Existing Value Not Required",Y13)))</formula>
    </cfRule>
    <cfRule type="containsText" dxfId="529" priority="144" operator="containsText" text="Existing Value Required">
      <formula>NOT(ISERROR(SEARCH("Existing Value Required",Y13)))</formula>
    </cfRule>
  </conditionalFormatting>
  <conditionalFormatting sqref="M13:M259">
    <cfRule type="containsText" dxfId="528" priority="141" operator="containsText" text="Existing Value Not Required">
      <formula>NOT(ISERROR(SEARCH("Existing Value Not Required",M13)))</formula>
    </cfRule>
    <cfRule type="containsText" dxfId="527" priority="142" operator="containsText" text="Existing Value Required">
      <formula>NOT(ISERROR(SEARCH("Existing Value Required",M13)))</formula>
    </cfRule>
  </conditionalFormatting>
  <conditionalFormatting sqref="I12:Y259">
    <cfRule type="containsText" dxfId="526" priority="140" operator="containsText" text="Error">
      <formula>NOT(ISERROR(SEARCH("Error",I12)))</formula>
    </cfRule>
  </conditionalFormatting>
  <conditionalFormatting sqref="K12:L259">
    <cfRule type="containsText" dxfId="525" priority="139" operator="containsText" text="Spatial">
      <formula>NOT(ISERROR(SEARCH("Spatial",K12)))</formula>
    </cfRule>
  </conditionalFormatting>
  <conditionalFormatting sqref="N12:N259">
    <cfRule type="containsText" dxfId="524" priority="138" operator="containsText" text="Spatial">
      <formula>NOT(ISERROR(SEARCH("Spatial",N12)))</formula>
    </cfRule>
  </conditionalFormatting>
  <conditionalFormatting sqref="O6:S6 O2">
    <cfRule type="containsText" dxfId="523" priority="137" operator="containsText" text="Note">
      <formula>NOT(ISERROR(SEARCH("Note",O2)))</formula>
    </cfRule>
  </conditionalFormatting>
  <conditionalFormatting sqref="R12:Y259">
    <cfRule type="containsText" dxfId="522" priority="127" operator="containsText" text="30+">
      <formula>NOT(ISERROR(SEARCH("30+",R12)))</formula>
    </cfRule>
    <cfRule type="containsText" dxfId="521" priority="136" operator="containsText" text="Check">
      <formula>NOT(ISERROR(SEARCH("Check",R12)))</formula>
    </cfRule>
  </conditionalFormatting>
  <conditionalFormatting sqref="V12:V259">
    <cfRule type="beginsWith" dxfId="520" priority="135" operator="beginsWith" text="No">
      <formula>LEFT(V12,LEN("No"))="No"</formula>
    </cfRule>
  </conditionalFormatting>
  <conditionalFormatting sqref="E261:J261">
    <cfRule type="containsText" dxfId="519" priority="134" operator="containsText" text="Check">
      <formula>NOT(ISERROR(SEARCH("Check",E261)))</formula>
    </cfRule>
  </conditionalFormatting>
  <conditionalFormatting sqref="M17">
    <cfRule type="containsText" dxfId="518" priority="132" operator="containsText" text="Existing Value Not Required">
      <formula>NOT(ISERROR(SEARCH("Existing Value Not Required",M17)))</formula>
    </cfRule>
    <cfRule type="containsText" dxfId="517" priority="133" operator="containsText" text="Existing Value Required">
      <formula>NOT(ISERROR(SEARCH("Existing Value Required",M17)))</formula>
    </cfRule>
  </conditionalFormatting>
  <conditionalFormatting sqref="M18">
    <cfRule type="containsText" dxfId="516" priority="130" operator="containsText" text="Existing Value Not Required">
      <formula>NOT(ISERROR(SEARCH("Existing Value Not Required",M18)))</formula>
    </cfRule>
    <cfRule type="containsText" dxfId="515" priority="131" operator="containsText" text="Existing Value Required">
      <formula>NOT(ISERROR(SEARCH("Existing Value Required",M18)))</formula>
    </cfRule>
  </conditionalFormatting>
  <conditionalFormatting sqref="M19">
    <cfRule type="containsText" dxfId="514" priority="128" operator="containsText" text="Existing Value Not Required">
      <formula>NOT(ISERROR(SEARCH("Existing Value Not Required",M19)))</formula>
    </cfRule>
    <cfRule type="containsText" dxfId="513" priority="129" operator="containsText" text="Existing Value Required">
      <formula>NOT(ISERROR(SEARCH("Existing Value Required",M19)))</formula>
    </cfRule>
  </conditionalFormatting>
  <conditionalFormatting sqref="M20:M24">
    <cfRule type="containsText" dxfId="512" priority="125" operator="containsText" text="Existing Value Not Required">
      <formula>NOT(ISERROR(SEARCH("Existing Value Not Required",M20)))</formula>
    </cfRule>
    <cfRule type="containsText" dxfId="511" priority="126" operator="containsText" text="Existing Value Required">
      <formula>NOT(ISERROR(SEARCH("Existing Value Required",M20)))</formula>
    </cfRule>
  </conditionalFormatting>
  <conditionalFormatting sqref="M25">
    <cfRule type="containsText" dxfId="510" priority="123" operator="containsText" text="Existing Value Not Required">
      <formula>NOT(ISERROR(SEARCH("Existing Value Not Required",M25)))</formula>
    </cfRule>
    <cfRule type="containsText" dxfId="509" priority="124" operator="containsText" text="Existing Value Required">
      <formula>NOT(ISERROR(SEARCH("Existing Value Required",M25)))</formula>
    </cfRule>
  </conditionalFormatting>
  <conditionalFormatting sqref="M26">
    <cfRule type="containsText" dxfId="508" priority="121" operator="containsText" text="Existing Value Not Required">
      <formula>NOT(ISERROR(SEARCH("Existing Value Not Required",M26)))</formula>
    </cfRule>
    <cfRule type="containsText" dxfId="507" priority="122" operator="containsText" text="Existing Value Required">
      <formula>NOT(ISERROR(SEARCH("Existing Value Required",M26)))</formula>
    </cfRule>
  </conditionalFormatting>
  <conditionalFormatting sqref="M27">
    <cfRule type="containsText" dxfId="506" priority="119" operator="containsText" text="Existing Value Not Required">
      <formula>NOT(ISERROR(SEARCH("Existing Value Not Required",M27)))</formula>
    </cfRule>
    <cfRule type="containsText" dxfId="505" priority="120" operator="containsText" text="Existing Value Required">
      <formula>NOT(ISERROR(SEARCH("Existing Value Required",M27)))</formula>
    </cfRule>
  </conditionalFormatting>
  <conditionalFormatting sqref="M17">
    <cfRule type="containsText" dxfId="504" priority="117" operator="containsText" text="Existing Value Not Required">
      <formula>NOT(ISERROR(SEARCH("Existing Value Not Required",M17)))</formula>
    </cfRule>
    <cfRule type="containsText" dxfId="503" priority="118" operator="containsText" text="Existing Value Required">
      <formula>NOT(ISERROR(SEARCH("Existing Value Required",M17)))</formula>
    </cfRule>
  </conditionalFormatting>
  <conditionalFormatting sqref="M18">
    <cfRule type="containsText" dxfId="502" priority="115" operator="containsText" text="Existing Value Not Required">
      <formula>NOT(ISERROR(SEARCH("Existing Value Not Required",M18)))</formula>
    </cfRule>
    <cfRule type="containsText" dxfId="501" priority="116" operator="containsText" text="Existing Value Required">
      <formula>NOT(ISERROR(SEARCH("Existing Value Required",M18)))</formula>
    </cfRule>
  </conditionalFormatting>
  <conditionalFormatting sqref="M19">
    <cfRule type="containsText" dxfId="500" priority="113" operator="containsText" text="Existing Value Not Required">
      <formula>NOT(ISERROR(SEARCH("Existing Value Not Required",M19)))</formula>
    </cfRule>
    <cfRule type="containsText" dxfId="499" priority="114" operator="containsText" text="Existing Value Required">
      <formula>NOT(ISERROR(SEARCH("Existing Value Required",M19)))</formula>
    </cfRule>
  </conditionalFormatting>
  <conditionalFormatting sqref="M20">
    <cfRule type="containsText" dxfId="498" priority="111" operator="containsText" text="Existing Value Not Required">
      <formula>NOT(ISERROR(SEARCH("Existing Value Not Required",M20)))</formula>
    </cfRule>
    <cfRule type="containsText" dxfId="497" priority="112" operator="containsText" text="Existing Value Required">
      <formula>NOT(ISERROR(SEARCH("Existing Value Required",M20)))</formula>
    </cfRule>
  </conditionalFormatting>
  <conditionalFormatting sqref="M21">
    <cfRule type="containsText" dxfId="496" priority="109" operator="containsText" text="Existing Value Not Required">
      <formula>NOT(ISERROR(SEARCH("Existing Value Not Required",M21)))</formula>
    </cfRule>
    <cfRule type="containsText" dxfId="495" priority="110" operator="containsText" text="Existing Value Required">
      <formula>NOT(ISERROR(SEARCH("Existing Value Required",M21)))</formula>
    </cfRule>
  </conditionalFormatting>
  <conditionalFormatting sqref="M27">
    <cfRule type="containsText" dxfId="494" priority="107" operator="containsText" text="Existing Value Not Required">
      <formula>NOT(ISERROR(SEARCH("Existing Value Not Required",M27)))</formula>
    </cfRule>
    <cfRule type="containsText" dxfId="493" priority="108" operator="containsText" text="Existing Value Required">
      <formula>NOT(ISERROR(SEARCH("Existing Value Required",M27)))</formula>
    </cfRule>
  </conditionalFormatting>
  <conditionalFormatting sqref="M22">
    <cfRule type="containsText" dxfId="492" priority="105" operator="containsText" text="Existing Value Not Required">
      <formula>NOT(ISERROR(SEARCH("Existing Value Not Required",M22)))</formula>
    </cfRule>
    <cfRule type="containsText" dxfId="491" priority="106" operator="containsText" text="Existing Value Required">
      <formula>NOT(ISERROR(SEARCH("Existing Value Required",M22)))</formula>
    </cfRule>
  </conditionalFormatting>
  <conditionalFormatting sqref="M23">
    <cfRule type="containsText" dxfId="490" priority="103" operator="containsText" text="Existing Value Not Required">
      <formula>NOT(ISERROR(SEARCH("Existing Value Not Required",M23)))</formula>
    </cfRule>
    <cfRule type="containsText" dxfId="489" priority="104" operator="containsText" text="Existing Value Required">
      <formula>NOT(ISERROR(SEARCH("Existing Value Required",M23)))</formula>
    </cfRule>
  </conditionalFormatting>
  <conditionalFormatting sqref="M24">
    <cfRule type="containsText" dxfId="488" priority="101" operator="containsText" text="Existing Value Not Required">
      <formula>NOT(ISERROR(SEARCH("Existing Value Not Required",M24)))</formula>
    </cfRule>
    <cfRule type="containsText" dxfId="487" priority="102" operator="containsText" text="Existing Value Required">
      <formula>NOT(ISERROR(SEARCH("Existing Value Required",M24)))</formula>
    </cfRule>
  </conditionalFormatting>
  <conditionalFormatting sqref="M27">
    <cfRule type="containsText" dxfId="486" priority="99" operator="containsText" text="Existing Value Not Required">
      <formula>NOT(ISERROR(SEARCH("Existing Value Not Required",M27)))</formula>
    </cfRule>
    <cfRule type="containsText" dxfId="485" priority="100" operator="containsText" text="Existing Value Required">
      <formula>NOT(ISERROR(SEARCH("Existing Value Required",M27)))</formula>
    </cfRule>
  </conditionalFormatting>
  <conditionalFormatting sqref="M25">
    <cfRule type="containsText" dxfId="484" priority="97" operator="containsText" text="Existing Value Not Required">
      <formula>NOT(ISERROR(SEARCH("Existing Value Not Required",M25)))</formula>
    </cfRule>
    <cfRule type="containsText" dxfId="483" priority="98" operator="containsText" text="Existing Value Required">
      <formula>NOT(ISERROR(SEARCH("Existing Value Required",M25)))</formula>
    </cfRule>
  </conditionalFormatting>
  <conditionalFormatting sqref="M26">
    <cfRule type="containsText" dxfId="482" priority="95" operator="containsText" text="Existing Value Not Required">
      <formula>NOT(ISERROR(SEARCH("Existing Value Not Required",M26)))</formula>
    </cfRule>
    <cfRule type="containsText" dxfId="481" priority="96" operator="containsText" text="Existing Value Required">
      <formula>NOT(ISERROR(SEARCH("Existing Value Required",M26)))</formula>
    </cfRule>
  </conditionalFormatting>
  <conditionalFormatting sqref="M17">
    <cfRule type="containsText" dxfId="480" priority="93" operator="containsText" text="Existing Value Not Required">
      <formula>NOT(ISERROR(SEARCH("Existing Value Not Required",M17)))</formula>
    </cfRule>
    <cfRule type="containsText" dxfId="479" priority="94" operator="containsText" text="Existing Value Required">
      <formula>NOT(ISERROR(SEARCH("Existing Value Required",M17)))</formula>
    </cfRule>
  </conditionalFormatting>
  <conditionalFormatting sqref="M18">
    <cfRule type="containsText" dxfId="478" priority="91" operator="containsText" text="Existing Value Not Required">
      <formula>NOT(ISERROR(SEARCH("Existing Value Not Required",M18)))</formula>
    </cfRule>
    <cfRule type="containsText" dxfId="477" priority="92" operator="containsText" text="Existing Value Required">
      <formula>NOT(ISERROR(SEARCH("Existing Value Required",M18)))</formula>
    </cfRule>
  </conditionalFormatting>
  <conditionalFormatting sqref="M19">
    <cfRule type="containsText" dxfId="476" priority="89" operator="containsText" text="Existing Value Not Required">
      <formula>NOT(ISERROR(SEARCH("Existing Value Not Required",M19)))</formula>
    </cfRule>
    <cfRule type="containsText" dxfId="475" priority="90" operator="containsText" text="Existing Value Required">
      <formula>NOT(ISERROR(SEARCH("Existing Value Required",M19)))</formula>
    </cfRule>
  </conditionalFormatting>
  <conditionalFormatting sqref="M20">
    <cfRule type="containsText" dxfId="474" priority="87" operator="containsText" text="Existing Value Not Required">
      <formula>NOT(ISERROR(SEARCH("Existing Value Not Required",M20)))</formula>
    </cfRule>
    <cfRule type="containsText" dxfId="473" priority="88" operator="containsText" text="Existing Value Required">
      <formula>NOT(ISERROR(SEARCH("Existing Value Required",M20)))</formula>
    </cfRule>
  </conditionalFormatting>
  <conditionalFormatting sqref="M21">
    <cfRule type="containsText" dxfId="472" priority="85" operator="containsText" text="Existing Value Not Required">
      <formula>NOT(ISERROR(SEARCH("Existing Value Not Required",M21)))</formula>
    </cfRule>
    <cfRule type="containsText" dxfId="471" priority="86" operator="containsText" text="Existing Value Required">
      <formula>NOT(ISERROR(SEARCH("Existing Value Required",M21)))</formula>
    </cfRule>
  </conditionalFormatting>
  <conditionalFormatting sqref="M22">
    <cfRule type="containsText" dxfId="470" priority="83" operator="containsText" text="Existing Value Not Required">
      <formula>NOT(ISERROR(SEARCH("Existing Value Not Required",M22)))</formula>
    </cfRule>
    <cfRule type="containsText" dxfId="469" priority="84" operator="containsText" text="Existing Value Required">
      <formula>NOT(ISERROR(SEARCH("Existing Value Required",M22)))</formula>
    </cfRule>
  </conditionalFormatting>
  <conditionalFormatting sqref="M23">
    <cfRule type="containsText" dxfId="468" priority="81" operator="containsText" text="Existing Value Not Required">
      <formula>NOT(ISERROR(SEARCH("Existing Value Not Required",M23)))</formula>
    </cfRule>
    <cfRule type="containsText" dxfId="467" priority="82" operator="containsText" text="Existing Value Required">
      <formula>NOT(ISERROR(SEARCH("Existing Value Required",M23)))</formula>
    </cfRule>
  </conditionalFormatting>
  <conditionalFormatting sqref="M24">
    <cfRule type="containsText" dxfId="466" priority="79" operator="containsText" text="Existing Value Not Required">
      <formula>NOT(ISERROR(SEARCH("Existing Value Not Required",M24)))</formula>
    </cfRule>
    <cfRule type="containsText" dxfId="465" priority="80" operator="containsText" text="Existing Value Required">
      <formula>NOT(ISERROR(SEARCH("Existing Value Required",M24)))</formula>
    </cfRule>
  </conditionalFormatting>
  <conditionalFormatting sqref="M25">
    <cfRule type="containsText" dxfId="464" priority="77" operator="containsText" text="Existing Value Not Required">
      <formula>NOT(ISERROR(SEARCH("Existing Value Not Required",M25)))</formula>
    </cfRule>
    <cfRule type="containsText" dxfId="463" priority="78" operator="containsText" text="Existing Value Required">
      <formula>NOT(ISERROR(SEARCH("Existing Value Required",M25)))</formula>
    </cfRule>
  </conditionalFormatting>
  <conditionalFormatting sqref="M26">
    <cfRule type="containsText" dxfId="462" priority="75" operator="containsText" text="Existing Value Not Required">
      <formula>NOT(ISERROR(SEARCH("Existing Value Not Required",M26)))</formula>
    </cfRule>
    <cfRule type="containsText" dxfId="461" priority="76" operator="containsText" text="Existing Value Required">
      <formula>NOT(ISERROR(SEARCH("Existing Value Required",M26)))</formula>
    </cfRule>
  </conditionalFormatting>
  <conditionalFormatting sqref="M27">
    <cfRule type="containsText" dxfId="460" priority="73" operator="containsText" text="Existing Value Not Required">
      <formula>NOT(ISERROR(SEARCH("Existing Value Not Required",M27)))</formula>
    </cfRule>
    <cfRule type="containsText" dxfId="459" priority="74" operator="containsText" text="Existing Value Required">
      <formula>NOT(ISERROR(SEARCH("Existing Value Required",M27)))</formula>
    </cfRule>
  </conditionalFormatting>
  <conditionalFormatting sqref="M17">
    <cfRule type="containsText" dxfId="458" priority="71" operator="containsText" text="Existing Value Not Required">
      <formula>NOT(ISERROR(SEARCH("Existing Value Not Required",M17)))</formula>
    </cfRule>
    <cfRule type="containsText" dxfId="457" priority="72" operator="containsText" text="Existing Value Required">
      <formula>NOT(ISERROR(SEARCH("Existing Value Required",M17)))</formula>
    </cfRule>
  </conditionalFormatting>
  <conditionalFormatting sqref="M18">
    <cfRule type="containsText" dxfId="456" priority="69" operator="containsText" text="Existing Value Not Required">
      <formula>NOT(ISERROR(SEARCH("Existing Value Not Required",M18)))</formula>
    </cfRule>
    <cfRule type="containsText" dxfId="455" priority="70" operator="containsText" text="Existing Value Required">
      <formula>NOT(ISERROR(SEARCH("Existing Value Required",M18)))</formula>
    </cfRule>
  </conditionalFormatting>
  <conditionalFormatting sqref="M19">
    <cfRule type="containsText" dxfId="454" priority="67" operator="containsText" text="Existing Value Not Required">
      <formula>NOT(ISERROR(SEARCH("Existing Value Not Required",M19)))</formula>
    </cfRule>
    <cfRule type="containsText" dxfId="453" priority="68" operator="containsText" text="Existing Value Required">
      <formula>NOT(ISERROR(SEARCH("Existing Value Required",M19)))</formula>
    </cfRule>
  </conditionalFormatting>
  <conditionalFormatting sqref="M20">
    <cfRule type="containsText" dxfId="452" priority="65" operator="containsText" text="Existing Value Not Required">
      <formula>NOT(ISERROR(SEARCH("Existing Value Not Required",M20)))</formula>
    </cfRule>
    <cfRule type="containsText" dxfId="451" priority="66" operator="containsText" text="Existing Value Required">
      <formula>NOT(ISERROR(SEARCH("Existing Value Required",M20)))</formula>
    </cfRule>
  </conditionalFormatting>
  <conditionalFormatting sqref="M27">
    <cfRule type="containsText" dxfId="450" priority="63" operator="containsText" text="Existing Value Not Required">
      <formula>NOT(ISERROR(SEARCH("Existing Value Not Required",M27)))</formula>
    </cfRule>
    <cfRule type="containsText" dxfId="449" priority="64" operator="containsText" text="Existing Value Required">
      <formula>NOT(ISERROR(SEARCH("Existing Value Required",M27)))</formula>
    </cfRule>
  </conditionalFormatting>
  <conditionalFormatting sqref="M26">
    <cfRule type="containsText" dxfId="448" priority="61" operator="containsText" text="Existing Value Not Required">
      <formula>NOT(ISERROR(SEARCH("Existing Value Not Required",M26)))</formula>
    </cfRule>
    <cfRule type="containsText" dxfId="447" priority="62" operator="containsText" text="Existing Value Required">
      <formula>NOT(ISERROR(SEARCH("Existing Value Required",M26)))</formula>
    </cfRule>
  </conditionalFormatting>
  <conditionalFormatting sqref="M25">
    <cfRule type="containsText" dxfId="446" priority="59" operator="containsText" text="Existing Value Not Required">
      <formula>NOT(ISERROR(SEARCH("Existing Value Not Required",M25)))</formula>
    </cfRule>
    <cfRule type="containsText" dxfId="445" priority="60" operator="containsText" text="Existing Value Required">
      <formula>NOT(ISERROR(SEARCH("Existing Value Required",M25)))</formula>
    </cfRule>
  </conditionalFormatting>
  <conditionalFormatting sqref="M24">
    <cfRule type="containsText" dxfId="444" priority="57" operator="containsText" text="Existing Value Not Required">
      <formula>NOT(ISERROR(SEARCH("Existing Value Not Required",M24)))</formula>
    </cfRule>
    <cfRule type="containsText" dxfId="443" priority="58" operator="containsText" text="Existing Value Required">
      <formula>NOT(ISERROR(SEARCH("Existing Value Required",M24)))</formula>
    </cfRule>
  </conditionalFormatting>
  <conditionalFormatting sqref="M23">
    <cfRule type="containsText" dxfId="442" priority="55" operator="containsText" text="Existing Value Not Required">
      <formula>NOT(ISERROR(SEARCH("Existing Value Not Required",M23)))</formula>
    </cfRule>
    <cfRule type="containsText" dxfId="441" priority="56" operator="containsText" text="Existing Value Required">
      <formula>NOT(ISERROR(SEARCH("Existing Value Required",M23)))</formula>
    </cfRule>
  </conditionalFormatting>
  <conditionalFormatting sqref="M22">
    <cfRule type="containsText" dxfId="440" priority="53" operator="containsText" text="Existing Value Not Required">
      <formula>NOT(ISERROR(SEARCH("Existing Value Not Required",M22)))</formula>
    </cfRule>
    <cfRule type="containsText" dxfId="439" priority="54" operator="containsText" text="Existing Value Required">
      <formula>NOT(ISERROR(SEARCH("Existing Value Required",M22)))</formula>
    </cfRule>
  </conditionalFormatting>
  <conditionalFormatting sqref="M21">
    <cfRule type="containsText" dxfId="438" priority="51" operator="containsText" text="Existing Value Not Required">
      <formula>NOT(ISERROR(SEARCH("Existing Value Not Required",M21)))</formula>
    </cfRule>
    <cfRule type="containsText" dxfId="437" priority="52" operator="containsText" text="Existing Value Required">
      <formula>NOT(ISERROR(SEARCH("Existing Value Required",M21)))</formula>
    </cfRule>
  </conditionalFormatting>
  <conditionalFormatting sqref="M20">
    <cfRule type="containsText" dxfId="436" priority="49" operator="containsText" text="Existing Value Not Required">
      <formula>NOT(ISERROR(SEARCH("Existing Value Not Required",M20)))</formula>
    </cfRule>
    <cfRule type="containsText" dxfId="435" priority="50" operator="containsText" text="Existing Value Required">
      <formula>NOT(ISERROR(SEARCH("Existing Value Required",M20)))</formula>
    </cfRule>
  </conditionalFormatting>
  <conditionalFormatting sqref="M17">
    <cfRule type="containsText" dxfId="434" priority="47" operator="containsText" text="Existing Value Not Required">
      <formula>NOT(ISERROR(SEARCH("Existing Value Not Required",M17)))</formula>
    </cfRule>
    <cfRule type="containsText" dxfId="433" priority="48" operator="containsText" text="Existing Value Required">
      <formula>NOT(ISERROR(SEARCH("Existing Value Required",M17)))</formula>
    </cfRule>
  </conditionalFormatting>
  <conditionalFormatting sqref="M18">
    <cfRule type="containsText" dxfId="432" priority="45" operator="containsText" text="Existing Value Not Required">
      <formula>NOT(ISERROR(SEARCH("Existing Value Not Required",M18)))</formula>
    </cfRule>
    <cfRule type="containsText" dxfId="431" priority="46" operator="containsText" text="Existing Value Required">
      <formula>NOT(ISERROR(SEARCH("Existing Value Required",M18)))</formula>
    </cfRule>
  </conditionalFormatting>
  <conditionalFormatting sqref="M19">
    <cfRule type="containsText" dxfId="430" priority="43" operator="containsText" text="Existing Value Not Required">
      <formula>NOT(ISERROR(SEARCH("Existing Value Not Required",M19)))</formula>
    </cfRule>
    <cfRule type="containsText" dxfId="429" priority="44" operator="containsText" text="Existing Value Required">
      <formula>NOT(ISERROR(SEARCH("Existing Value Required",M19)))</formula>
    </cfRule>
  </conditionalFormatting>
  <conditionalFormatting sqref="M20">
    <cfRule type="containsText" dxfId="428" priority="41" operator="containsText" text="Existing Value Not Required">
      <formula>NOT(ISERROR(SEARCH("Existing Value Not Required",M20)))</formula>
    </cfRule>
    <cfRule type="containsText" dxfId="427" priority="42" operator="containsText" text="Existing Value Required">
      <formula>NOT(ISERROR(SEARCH("Existing Value Required",M20)))</formula>
    </cfRule>
  </conditionalFormatting>
  <conditionalFormatting sqref="M21">
    <cfRule type="containsText" dxfId="426" priority="39" operator="containsText" text="Existing Value Not Required">
      <formula>NOT(ISERROR(SEARCH("Existing Value Not Required",M21)))</formula>
    </cfRule>
    <cfRule type="containsText" dxfId="425" priority="40" operator="containsText" text="Existing Value Required">
      <formula>NOT(ISERROR(SEARCH("Existing Value Required",M21)))</formula>
    </cfRule>
  </conditionalFormatting>
  <conditionalFormatting sqref="M22">
    <cfRule type="containsText" dxfId="424" priority="37" operator="containsText" text="Existing Value Not Required">
      <formula>NOT(ISERROR(SEARCH("Existing Value Not Required",M22)))</formula>
    </cfRule>
    <cfRule type="containsText" dxfId="423" priority="38" operator="containsText" text="Existing Value Required">
      <formula>NOT(ISERROR(SEARCH("Existing Value Required",M22)))</formula>
    </cfRule>
  </conditionalFormatting>
  <conditionalFormatting sqref="M23">
    <cfRule type="containsText" dxfId="422" priority="35" operator="containsText" text="Existing Value Not Required">
      <formula>NOT(ISERROR(SEARCH("Existing Value Not Required",M23)))</formula>
    </cfRule>
    <cfRule type="containsText" dxfId="421" priority="36" operator="containsText" text="Existing Value Required">
      <formula>NOT(ISERROR(SEARCH("Existing Value Required",M23)))</formula>
    </cfRule>
  </conditionalFormatting>
  <conditionalFormatting sqref="M24">
    <cfRule type="containsText" dxfId="420" priority="33" operator="containsText" text="Existing Value Not Required">
      <formula>NOT(ISERROR(SEARCH("Existing Value Not Required",M24)))</formula>
    </cfRule>
    <cfRule type="containsText" dxfId="419" priority="34" operator="containsText" text="Existing Value Required">
      <formula>NOT(ISERROR(SEARCH("Existing Value Required",M24)))</formula>
    </cfRule>
  </conditionalFormatting>
  <conditionalFormatting sqref="M25">
    <cfRule type="containsText" dxfId="418" priority="31" operator="containsText" text="Existing Value Not Required">
      <formula>NOT(ISERROR(SEARCH("Existing Value Not Required",M25)))</formula>
    </cfRule>
    <cfRule type="containsText" dxfId="417" priority="32" operator="containsText" text="Existing Value Required">
      <formula>NOT(ISERROR(SEARCH("Existing Value Required",M25)))</formula>
    </cfRule>
  </conditionalFormatting>
  <conditionalFormatting sqref="M26">
    <cfRule type="containsText" dxfId="416" priority="29" operator="containsText" text="Existing Value Not Required">
      <formula>NOT(ISERROR(SEARCH("Existing Value Not Required",M26)))</formula>
    </cfRule>
    <cfRule type="containsText" dxfId="415" priority="30" operator="containsText" text="Existing Value Required">
      <formula>NOT(ISERROR(SEARCH("Existing Value Required",M26)))</formula>
    </cfRule>
  </conditionalFormatting>
  <conditionalFormatting sqref="M27">
    <cfRule type="containsText" dxfId="414" priority="27" operator="containsText" text="Existing Value Not Required">
      <formula>NOT(ISERROR(SEARCH("Existing Value Not Required",M27)))</formula>
    </cfRule>
    <cfRule type="containsText" dxfId="413" priority="28" operator="containsText" text="Existing Value Required">
      <formula>NOT(ISERROR(SEARCH("Existing Value Required",M27)))</formula>
    </cfRule>
  </conditionalFormatting>
  <conditionalFormatting sqref="M3">
    <cfRule type="containsText" dxfId="412" priority="25" operator="containsText" text="Error">
      <formula>NOT(ISERROR(SEARCH("Error",M3)))</formula>
    </cfRule>
    <cfRule type="containsText" dxfId="411" priority="26" operator="containsText" text="Check">
      <formula>NOT(ISERROR(SEARCH("Check",M3)))</formula>
    </cfRule>
  </conditionalFormatting>
  <conditionalFormatting sqref="M4">
    <cfRule type="containsText" dxfId="410" priority="5" operator="containsText" text="Error">
      <formula>NOT(ISERROR(SEARCH("Error",M4)))</formula>
    </cfRule>
    <cfRule type="cellIs" dxfId="409" priority="9" operator="equal">
      <formula>0</formula>
    </cfRule>
    <cfRule type="containsText" dxfId="408" priority="10" operator="containsText" text="Check">
      <formula>NOT(ISERROR(SEARCH("Check",M4)))</formula>
    </cfRule>
    <cfRule type="cellIs" dxfId="407" priority="447" operator="lessThan">
      <formula>0</formula>
    </cfRule>
  </conditionalFormatting>
  <conditionalFormatting sqref="M5">
    <cfRule type="containsText" dxfId="406" priority="19" operator="containsText" text="No">
      <formula>NOT(ISERROR(SEARCH("No",M5)))</formula>
    </cfRule>
    <cfRule type="containsText" dxfId="405" priority="20" operator="containsText" text="Yes">
      <formula>NOT(ISERROR(SEARCH("Yes",M5)))</formula>
    </cfRule>
  </conditionalFormatting>
  <conditionalFormatting sqref="I12:I259">
    <cfRule type="containsText" dxfId="404" priority="18" operator="containsText" text="Not possible">
      <formula>NOT(ISERROR(SEARCH("Not possible",I12)))</formula>
    </cfRule>
  </conditionalFormatting>
  <conditionalFormatting sqref="Z12:Z259">
    <cfRule type="containsText" dxfId="403" priority="16" operator="containsText" text="Existing Value Not Required">
      <formula>NOT(ISERROR(SEARCH("Existing Value Not Required",Z12)))</formula>
    </cfRule>
    <cfRule type="containsText" dxfId="402" priority="17" operator="containsText" text="Existing Value Required">
      <formula>NOT(ISERROR(SEARCH("Existing Value Required",Z12)))</formula>
    </cfRule>
  </conditionalFormatting>
  <conditionalFormatting sqref="Z13:Z259">
    <cfRule type="containsText" dxfId="401" priority="14" operator="containsText" text="Existing Value Not Required">
      <formula>NOT(ISERROR(SEARCH("Existing Value Not Required",Z13)))</formula>
    </cfRule>
    <cfRule type="containsText" dxfId="400" priority="15" operator="containsText" text="Existing Value Required">
      <formula>NOT(ISERROR(SEARCH("Existing Value Required",Z13)))</formula>
    </cfRule>
  </conditionalFormatting>
  <conditionalFormatting sqref="Z12:Z259">
    <cfRule type="containsText" dxfId="399" priority="13" operator="containsText" text="Error">
      <formula>NOT(ISERROR(SEARCH("Error",Z12)))</formula>
    </cfRule>
  </conditionalFormatting>
  <conditionalFormatting sqref="Z12:Z259">
    <cfRule type="containsText" dxfId="398" priority="11" operator="containsText" text="30+">
      <formula>NOT(ISERROR(SEARCH("30+",Z12)))</formula>
    </cfRule>
    <cfRule type="containsText" dxfId="397" priority="12" operator="containsText" text="Check">
      <formula>NOT(ISERROR(SEARCH("Check",Z12)))</formula>
    </cfRule>
  </conditionalFormatting>
  <conditionalFormatting sqref="M3:M5">
    <cfRule type="containsText" dxfId="396" priority="8" operator="containsText" text="N/A">
      <formula>NOT(ISERROR(SEARCH("N/A",M3)))</formula>
    </cfRule>
  </conditionalFormatting>
  <conditionalFormatting sqref="V1:V1048576">
    <cfRule type="containsText" dxfId="395" priority="4" operator="containsText" text="⚠">
      <formula>NOT(ISERROR(SEARCH("⚠",V1)))</formula>
    </cfRule>
  </conditionalFormatting>
  <conditionalFormatting sqref="Z1:Z1048576">
    <cfRule type="containsText" dxfId="394" priority="3" operator="containsText" text="▲">
      <formula>NOT(ISERROR(SEARCH("▲",Z1)))</formula>
    </cfRule>
  </conditionalFormatting>
  <conditionalFormatting sqref="AD12:AD259">
    <cfRule type="expression" dxfId="393" priority="2">
      <formula>$Z12="Off-site reference required ▲"</formula>
    </cfRule>
  </conditionalFormatting>
  <conditionalFormatting sqref="O1:O1048576">
    <cfRule type="containsText" dxfId="392" priority="1" operator="containsText" text="▲">
      <formula>NOT(ISERROR(SEARCH("▲",O1)))</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6" id="{B55BA4F9-7385-4116-8DED-F0A8019EAE43}">
            <xm:f>'Headline Results'!$H$9:$I$9=0</xm:f>
            <x14:dxf>
              <font>
                <color auto="1"/>
              </font>
              <fill>
                <patternFill>
                  <bgColor rgb="FFE0DCD3"/>
                </patternFill>
              </fill>
            </x14:dxf>
          </x14:cfRule>
          <xm:sqref>M4</xm:sqref>
        </x14:conditionalFormatting>
        <x14:conditionalFormatting xmlns:xm="http://schemas.microsoft.com/office/excel/2006/main">
          <x14:cfRule type="cellIs" priority="7" operator="lessThan" id="{193CDB16-95C6-403F-B2FD-D15A53D5A91A}">
            <xm:f>Start!$F$22</xm:f>
            <x14:dxf>
              <font>
                <color rgb="FF383745"/>
              </font>
              <fill>
                <patternFill>
                  <bgColor rgb="FFFFC000"/>
                </patternFill>
              </fill>
            </x14:dxf>
          </x14:cfRule>
          <x14:cfRule type="cellIs" priority="448"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B1:AQ502"/>
  <sheetViews>
    <sheetView zoomScale="80" zoomScaleNormal="80" workbookViewId="0">
      <pane ySplit="11" topLeftCell="A12" activePane="bottomLeft" state="frozen"/>
      <selection pane="bottomLeft"/>
    </sheetView>
  </sheetViews>
  <sheetFormatPr defaultColWidth="18.6640625" defaultRowHeight="37.200000000000003" customHeight="1" zeroHeight="1" x14ac:dyDescent="0.25"/>
  <cols>
    <col min="1" max="1" width="2.6640625" style="30" customWidth="1"/>
    <col min="2" max="2" width="11" style="30" customWidth="1"/>
    <col min="3" max="3" width="52.44140625" style="30" customWidth="1"/>
    <col min="4" max="4" width="8.6640625" style="30" customWidth="1"/>
    <col min="5" max="5" width="17.6640625" style="30" customWidth="1"/>
    <col min="6" max="7" width="18.33203125" style="30" customWidth="1"/>
    <col min="8" max="11" width="19.33203125" style="30" customWidth="1"/>
    <col min="12" max="12" width="23" style="30" customWidth="1"/>
    <col min="13" max="13" width="47.44140625" style="30" customWidth="1"/>
    <col min="14" max="14" width="34.33203125" style="30" customWidth="1"/>
    <col min="15" max="15" width="44.5546875" style="30" customWidth="1"/>
    <col min="16" max="16" width="10.6640625" style="30" customWidth="1"/>
    <col min="17" max="17" width="18.33203125" style="30" customWidth="1"/>
    <col min="18" max="18" width="13.5546875" style="30" customWidth="1"/>
    <col min="19" max="19" width="14.6640625" style="30" customWidth="1"/>
    <col min="20" max="20" width="13.5546875" style="30" customWidth="1"/>
    <col min="21" max="21" width="41.6640625" style="30" customWidth="1"/>
    <col min="22" max="22" width="15.44140625" style="30" customWidth="1"/>
    <col min="23" max="23" width="13.6640625" style="30" customWidth="1"/>
    <col min="24" max="24" width="17.6640625" style="30" customWidth="1"/>
    <col min="25" max="25" width="20.6640625" style="30" customWidth="1"/>
    <col min="26" max="26" width="23" style="30" customWidth="1"/>
    <col min="27" max="27" width="29.5546875" style="30" customWidth="1"/>
    <col min="28" max="28" width="17.6640625" style="30" customWidth="1"/>
    <col min="29" max="29" width="15.33203125" style="30" customWidth="1"/>
    <col min="30" max="30" width="15.5546875" style="30" customWidth="1"/>
    <col min="31" max="31" width="26.33203125" style="30" customWidth="1"/>
    <col min="32" max="32" width="16.33203125" style="30" customWidth="1"/>
    <col min="33" max="33" width="12.6640625" style="30" customWidth="1"/>
    <col min="34" max="34" width="68.33203125" style="30" customWidth="1"/>
    <col min="35" max="35" width="6" style="30" hidden="1" customWidth="1"/>
    <col min="36" max="36" width="8.44140625" style="30" hidden="1" customWidth="1"/>
    <col min="37" max="37" width="12.6640625" style="30" customWidth="1"/>
    <col min="38" max="38" width="39" style="30" customWidth="1"/>
    <col min="39" max="39" width="38.44140625" style="30" customWidth="1"/>
    <col min="40" max="40" width="14.6640625" style="30" customWidth="1"/>
    <col min="41" max="41" width="15.5546875" style="30" customWidth="1"/>
    <col min="42" max="42" width="18.6640625" style="30" customWidth="1"/>
    <col min="43" max="16379" width="0" style="30" hidden="1" customWidth="1"/>
    <col min="16380" max="16384" width="18.6640625" style="30"/>
  </cols>
  <sheetData>
    <row r="1" spans="2:43" ht="15.75" customHeight="1" thickBot="1" x14ac:dyDescent="0.3"/>
    <row r="2" spans="2:43" ht="20.100000000000001" customHeight="1" thickBot="1" x14ac:dyDescent="0.3">
      <c r="B2" s="1764" t="str">
        <f>CONCATENATE("Project Name:", " ", Start!F12, "     ", "Map Reference:", " ", Start!K66)</f>
        <v xml:space="preserve">Project Name: Chickenhall Lane     Map Reference: </v>
      </c>
      <c r="C2" s="1765"/>
      <c r="N2" s="1591" t="s">
        <v>502</v>
      </c>
      <c r="O2" s="1593"/>
      <c r="X2" s="1653" t="str">
        <f>IF(OR(COUNTIF($X$12:X257,"*30+*")&gt;0,COUNTIF($AB$12:AB257,"*30+*")&gt;0),"Note; Habitat selected has a time to target condition greater than 30 years. Non standard agreement may be required. ⚠","")</f>
        <v/>
      </c>
      <c r="Y2" s="1653"/>
      <c r="Z2" s="1653"/>
      <c r="AA2" s="1653"/>
      <c r="AB2" s="1653"/>
      <c r="AC2" s="1653"/>
    </row>
    <row r="3" spans="2:43" ht="19.350000000000001" customHeight="1" thickBot="1" x14ac:dyDescent="0.3">
      <c r="B3" s="1357" t="str">
        <f ca="1">MID(CELL("filename",A1),FIND("]",CELL("filename",A1))+1,256)</f>
        <v>E-3 Off-Site Hedge Enhancement</v>
      </c>
      <c r="C3" s="1359"/>
      <c r="H3" s="398"/>
      <c r="I3" s="398"/>
      <c r="N3" s="413" t="s">
        <v>389</v>
      </c>
      <c r="O3" s="400">
        <f ca="1">'Headline Results'!H48</f>
        <v>0.28841467762499995</v>
      </c>
      <c r="X3" s="1653"/>
      <c r="Y3" s="1653"/>
      <c r="Z3" s="1653"/>
      <c r="AA3" s="1653"/>
      <c r="AB3" s="1653"/>
      <c r="AC3" s="1653"/>
    </row>
    <row r="4" spans="2:43" ht="15.75" customHeight="1" thickBot="1" x14ac:dyDescent="0.3">
      <c r="B4" s="1357"/>
      <c r="C4" s="1359"/>
      <c r="H4" s="398"/>
      <c r="I4" s="398"/>
      <c r="N4" s="395" t="s">
        <v>391</v>
      </c>
      <c r="O4" s="401">
        <f ca="1">'Headline Results'!H52</f>
        <v>1.2378312344420599</v>
      </c>
      <c r="X4" s="1653"/>
      <c r="Y4" s="1653"/>
      <c r="Z4" s="1653"/>
      <c r="AA4" s="1653"/>
      <c r="AB4" s="1653"/>
      <c r="AC4" s="1653"/>
    </row>
    <row r="5" spans="2:43" ht="15.75" customHeight="1" thickBot="1" x14ac:dyDescent="0.35">
      <c r="H5" s="398"/>
      <c r="I5" s="398"/>
      <c r="N5" s="414" t="s">
        <v>393</v>
      </c>
      <c r="O5" s="393" t="str" cm="1">
        <f t="array" aca="1" ref="O5" ca="1">IF(OR('Trading Summary Hedgerows'!F5:H9="No ▲"), "No - check trading summary ▲", "Yes ✓")</f>
        <v>Yes ✓</v>
      </c>
      <c r="P5" s="398"/>
      <c r="W5" s="136"/>
      <c r="X5" s="136"/>
      <c r="Y5" s="136"/>
      <c r="Z5" s="136"/>
      <c r="AA5" s="136"/>
      <c r="AB5" s="136"/>
      <c r="AC5" s="136"/>
      <c r="AD5" s="136"/>
      <c r="AE5" s="136"/>
      <c r="AF5" s="136"/>
      <c r="AG5" s="136"/>
      <c r="AH5" s="136"/>
    </row>
    <row r="6" spans="2:43" ht="27.6" customHeight="1" x14ac:dyDescent="0.25"/>
    <row r="7" spans="2:43" ht="14.4" thickBot="1" x14ac:dyDescent="0.3">
      <c r="B7" s="93"/>
      <c r="C7" s="93"/>
      <c r="M7" s="92"/>
    </row>
    <row r="8" spans="2:43" ht="24" customHeight="1" thickBot="1" x14ac:dyDescent="0.3">
      <c r="M8" s="1722" t="s">
        <v>525</v>
      </c>
      <c r="N8" s="1723"/>
      <c r="O8" s="1723"/>
      <c r="P8" s="1723"/>
      <c r="Q8" s="1723"/>
      <c r="R8" s="1723"/>
      <c r="S8" s="1723"/>
      <c r="T8" s="1723"/>
      <c r="U8" s="1723"/>
      <c r="V8" s="1723"/>
      <c r="W8" s="1723"/>
      <c r="X8" s="1723"/>
      <c r="Y8" s="1723"/>
      <c r="Z8" s="1723"/>
      <c r="AA8" s="1723"/>
      <c r="AB8" s="1723"/>
      <c r="AC8" s="1723"/>
      <c r="AD8" s="1723"/>
      <c r="AE8" s="1723"/>
      <c r="AF8" s="1723"/>
      <c r="AG8" s="1723"/>
      <c r="AH8" s="1724"/>
      <c r="AI8" s="993"/>
    </row>
    <row r="9" spans="2:43" ht="7.5" hidden="1" customHeight="1" thickBot="1" x14ac:dyDescent="0.3">
      <c r="C9" s="92"/>
      <c r="D9" s="92"/>
      <c r="E9" s="92"/>
      <c r="F9" s="92"/>
      <c r="G9" s="92"/>
      <c r="H9" s="92"/>
      <c r="I9" s="92"/>
      <c r="J9" s="92"/>
      <c r="K9" s="92"/>
      <c r="L9" s="92"/>
      <c r="M9" s="1761" t="s">
        <v>459</v>
      </c>
      <c r="N9" s="1762"/>
      <c r="O9" s="1762"/>
      <c r="P9" s="1762"/>
      <c r="Q9" s="1762"/>
      <c r="R9" s="1762"/>
      <c r="S9" s="1762"/>
      <c r="T9" s="1762"/>
      <c r="U9" s="1762"/>
      <c r="V9" s="1762"/>
      <c r="W9" s="1762"/>
      <c r="X9" s="1762"/>
      <c r="Y9" s="1762"/>
      <c r="Z9" s="1762"/>
      <c r="AA9" s="1762"/>
      <c r="AB9" s="1762"/>
      <c r="AC9" s="1762"/>
      <c r="AD9" s="1762"/>
      <c r="AE9" s="1762"/>
      <c r="AF9" s="1762"/>
      <c r="AG9" s="1762"/>
      <c r="AH9" s="1762"/>
      <c r="AI9" s="1763"/>
    </row>
    <row r="10" spans="2:43" s="33" customFormat="1" ht="30" customHeight="1" thickBot="1" x14ac:dyDescent="0.3">
      <c r="C10" s="1689" t="s">
        <v>457</v>
      </c>
      <c r="D10" s="1690"/>
      <c r="E10" s="1690"/>
      <c r="F10" s="1690"/>
      <c r="G10" s="1690"/>
      <c r="H10" s="1690"/>
      <c r="I10" s="1690"/>
      <c r="J10" s="1690"/>
      <c r="K10" s="1690"/>
      <c r="L10" s="1691"/>
      <c r="M10" s="1689" t="s">
        <v>439</v>
      </c>
      <c r="N10" s="1417" t="s">
        <v>459</v>
      </c>
      <c r="O10" s="1443"/>
      <c r="P10" s="1685" t="s">
        <v>505</v>
      </c>
      <c r="Q10" s="1417" t="s">
        <v>395</v>
      </c>
      <c r="R10" s="1443"/>
      <c r="S10" s="1417" t="s">
        <v>396</v>
      </c>
      <c r="T10" s="1443"/>
      <c r="U10" s="1734" t="s">
        <v>397</v>
      </c>
      <c r="V10" s="1735"/>
      <c r="W10" s="1736"/>
      <c r="X10" s="1734" t="s">
        <v>440</v>
      </c>
      <c r="Y10" s="1735"/>
      <c r="Z10" s="1735"/>
      <c r="AA10" s="1735"/>
      <c r="AB10" s="1735"/>
      <c r="AC10" s="1736"/>
      <c r="AD10" s="1716" t="s">
        <v>462</v>
      </c>
      <c r="AE10" s="1716"/>
      <c r="AF10" s="1716"/>
      <c r="AG10" s="1716"/>
      <c r="AH10" s="543" t="s">
        <v>483</v>
      </c>
      <c r="AI10" s="1688" t="s">
        <v>483</v>
      </c>
      <c r="AJ10" s="1688" t="s">
        <v>524</v>
      </c>
      <c r="AK10" s="1688" t="s">
        <v>513</v>
      </c>
      <c r="AL10" s="1689" t="s">
        <v>401</v>
      </c>
      <c r="AM10" s="1690"/>
      <c r="AN10" s="1690"/>
      <c r="AO10" s="1691"/>
    </row>
    <row r="11" spans="2:43" ht="62.25" customHeight="1" thickBot="1" x14ac:dyDescent="0.3">
      <c r="B11" s="120" t="s">
        <v>463</v>
      </c>
      <c r="C11" s="125" t="s">
        <v>464</v>
      </c>
      <c r="D11" s="125" t="s">
        <v>505</v>
      </c>
      <c r="E11" s="125" t="s">
        <v>466</v>
      </c>
      <c r="F11" s="125" t="s">
        <v>467</v>
      </c>
      <c r="G11" s="125" t="s">
        <v>468</v>
      </c>
      <c r="H11" s="125" t="s">
        <v>469</v>
      </c>
      <c r="I11" s="125" t="s">
        <v>470</v>
      </c>
      <c r="J11" s="125" t="s">
        <v>471</v>
      </c>
      <c r="K11" s="125" t="s">
        <v>472</v>
      </c>
      <c r="L11" s="124" t="s">
        <v>398</v>
      </c>
      <c r="M11" s="1689"/>
      <c r="N11" s="113" t="s">
        <v>518</v>
      </c>
      <c r="O11" s="624" t="s">
        <v>519</v>
      </c>
      <c r="P11" s="1685"/>
      <c r="Q11" s="113" t="s">
        <v>395</v>
      </c>
      <c r="R11" s="624" t="s">
        <v>411</v>
      </c>
      <c r="S11" s="113" t="s">
        <v>396</v>
      </c>
      <c r="T11" s="624" t="s">
        <v>411</v>
      </c>
      <c r="U11" s="113" t="s">
        <v>397</v>
      </c>
      <c r="V11" s="636" t="s">
        <v>397</v>
      </c>
      <c r="W11" s="624" t="s">
        <v>412</v>
      </c>
      <c r="X11" s="116" t="s">
        <v>515</v>
      </c>
      <c r="Y11" s="580" t="s">
        <v>499</v>
      </c>
      <c r="Z11" s="580" t="s">
        <v>478</v>
      </c>
      <c r="AA11" s="580" t="s">
        <v>446</v>
      </c>
      <c r="AB11" s="580" t="s">
        <v>447</v>
      </c>
      <c r="AC11" s="546" t="s">
        <v>520</v>
      </c>
      <c r="AD11" s="116" t="s">
        <v>521</v>
      </c>
      <c r="AE11" s="580" t="s">
        <v>516</v>
      </c>
      <c r="AF11" s="580" t="s">
        <v>522</v>
      </c>
      <c r="AG11" s="546" t="s">
        <v>452</v>
      </c>
      <c r="AH11" s="113" t="s">
        <v>486</v>
      </c>
      <c r="AI11" s="1760"/>
      <c r="AJ11" s="1751"/>
      <c r="AK11" s="1751"/>
      <c r="AL11" s="116" t="s">
        <v>385</v>
      </c>
      <c r="AM11" s="546" t="s">
        <v>362</v>
      </c>
      <c r="AN11" s="633" t="s">
        <v>353</v>
      </c>
      <c r="AO11" s="633" t="s">
        <v>488</v>
      </c>
      <c r="AQ11" s="92" t="s">
        <v>405</v>
      </c>
    </row>
    <row r="12" spans="2:43" ht="13.8" x14ac:dyDescent="0.25">
      <c r="B12" s="626" t="str">
        <f>'E-1 Off-Site Hedge Baseline'!AN10</f>
        <v/>
      </c>
      <c r="C12" s="289" t="str">
        <f>IF(B12="","",IF(ISNA(VLOOKUP($B12,'E-1 Off-Site Hedge Baseline'!$B$1:$L$257,3,FALSE)),"",(VLOOKUP($B12,'E-1 Off-Site Hedge Baseline'!$B$1:$L$257,3,FALSE))))</f>
        <v/>
      </c>
      <c r="D12" s="289" t="str">
        <f>IF(B12="","",IF(ISNA(VLOOKUP($B12,'E-1 Off-Site Hedge Baseline'!$B$1:$L$258,4,FALSE)),"",(VLOOKUP($B12,'E-1 Off-Site Hedge Baseline'!$B$1:$L$258,4,FALSE))))</f>
        <v/>
      </c>
      <c r="E12" s="289" t="str">
        <f>IF(B12="","",IF(ISNA(VLOOKUP($B12,'E-1 Off-Site Hedge Baseline'!$B$1:$L$257,5,FALSE)),"",(VLOOKUP($B12,'E-1 Off-Site Hedge Baseline'!$B$1:$L$257,5,FALSE))))</f>
        <v/>
      </c>
      <c r="F12" s="289" t="str">
        <f>IF(B12="","",IF(ISNA(VLOOKUP($B12,'E-1 Off-Site Hedge Baseline'!$B$1:$L$257,6,FALSE)),"",(VLOOKUP($B12,'E-1 Off-Site Hedge Baseline'!$B$1:$L$257,6,FALSE))))</f>
        <v/>
      </c>
      <c r="G12" s="289" t="str">
        <f>IF(B12="","",IF(ISNA(VLOOKUP($B12,'E-1 Off-Site Hedge Baseline'!$B$1:$L$257,7,FALSE)),"",(VLOOKUP($B12,'E-1 Off-Site Hedge Baseline'!$B$1:$L$257,7,FALSE))))</f>
        <v/>
      </c>
      <c r="H12" s="289" t="str">
        <f>IF(B12="","",IF(ISNA(VLOOKUP($B12,'E-1 Off-Site Hedge Baseline'!$B$1:$L$257,8,FALSE)),"",(VLOOKUP($B12,'E-1 Off-Site Hedge Baseline'!$B$1:$L$257,8,FALSE))))</f>
        <v/>
      </c>
      <c r="I12" s="289" t="str">
        <f>IF(B12="","",IF(ISNA(VLOOKUP($B12,'E-1 Off-Site Hedge Baseline'!$B$1:$L$257,10,FALSE)),"",(VLOOKUP($B12,'E-1 Off-Site Hedge Baseline'!$B$1:$L$257,10,FALSE))))</f>
        <v/>
      </c>
      <c r="J12" s="289" t="str">
        <f>IF(B12="","",IF(ISNA(VLOOKUP($B12,'E-1 Off-Site Hedge Baseline'!$B$1:$L$257,11,FALSE)),"",(VLOOKUP($B12,'E-1 Off-Site Hedge Baseline'!$B$1:$L$257,11,FALSE))))</f>
        <v/>
      </c>
      <c r="K12" s="289" t="str">
        <f>IF(B12="","",IF(ISNA(VLOOKUP($B12,'E-1 Off-Site Hedge Baseline'!$B$1:$X$257,16,FALSE)),"",(VLOOKUP($B12,'E-1 Off-Site Hedge Baseline'!$B$1:$X$257,16,FALSE))))</f>
        <v/>
      </c>
      <c r="L12" s="289" t="str">
        <f>IF(B12="","",IF(ISNA(VLOOKUP($B12,'E-1 Off-Site Hedge Baseline'!$B$1:$X$257,12,FALSE)),"",(VLOOKUP($B12,'E-1 Off-Site Hedge Baseline'!$B$1:$X$257,12,FALSE))))</f>
        <v/>
      </c>
      <c r="M12" s="250"/>
      <c r="N12" s="281" t="str">
        <f>IFERROR(IF(B12="","",INDEX('G-6 Hedgerow Data'!$AN$3:$AZ$15,MATCH(C12,'G-6 Hedgerow Data'!$AM$3:$AM$15,0),MATCH(M12,'G-6 Hedgerow Data'!$AN$2:$AZ$2,0))),"")</f>
        <v/>
      </c>
      <c r="O12" s="282" t="str">
        <f>IFERROR(IF(B12="","",IF(AND(LEFT(C12,55)&lt;&gt;LEFT(M12,55),N12="High - High"),"Error - Not like for like ▲",IF(H12&gt;T12,"Error - Can not reduce condition ▲",IF(AND(F12=R12,H12=T12),"Error - No enhancement ▲",IF(AND(C12&lt;&gt;M12,F12&lt;R12),"Lower Distinctiveness Habitat"&amp;" - "&amp;S12,G12&amp;" - "&amp;S12))))),"")</f>
        <v/>
      </c>
      <c r="P12" s="287" t="str">
        <f>IF(B12="","",VLOOKUP(B12,'E-1 Off-Site Hedge Baseline'!$B$10:W257,19,FALSE))</f>
        <v/>
      </c>
      <c r="Q12" s="281" t="str">
        <f>IF(M12="","",VLOOKUP(M12,'G-6 Hedgerow Data'!$B$2:$AG$15,2,FALSE))</f>
        <v/>
      </c>
      <c r="R12" s="282" t="str">
        <f>IF(M12="","",VLOOKUP(M12,'G-6 Hedgerow Data'!$B$2:$AG$15,3,FALSE))</f>
        <v/>
      </c>
      <c r="S12" s="105"/>
      <c r="T12" s="282" t="str">
        <f>IFERROR(IF(S12="","",IF(AND(M12="Non-native and ornamental hedgerow", S12&lt;&gt;"Poor"),"Not possible ▲", (IF(AND(Q12="V.Low",OR(S12="Good",S12="Moderate")),"Error ▲",VLOOKUP(S12,'G-1 All Habitats'!$Z$2:$AA$9,2,FALSE))))),"")</f>
        <v/>
      </c>
      <c r="U12" s="52"/>
      <c r="V12" s="289" t="str">
        <f>IF(U12="","",IF(VLOOKUP(U12,'G-3 Multipliers'!$L$3:$N$6,2,FALSE)=0,"Spatial Data Missing ⚠",VLOOKUP(U12,'G-3 Multipliers'!$L$3:$N$6,2,FALSE)))</f>
        <v/>
      </c>
      <c r="W12" s="287" t="str">
        <f>IF(U12="","",IF(VLOOKUP(U12,'G-3 Multipliers'!$L$3:$N$6,3,FALSE)=0,"Spatial Data Missing ⚠",VLOOKUP(U12,'G-3 Multipliers'!$L$3:$N$6,3,FALSE)))</f>
        <v/>
      </c>
      <c r="X12" s="281" t="str">
        <f>IFERROR(IF(OR(LEFT(O12,5)="Error",LEFT(N12,5)="Error",T12="Error"),"Check Data ⚠",IF(F12&lt;R12,INDEX('G-6 Hedgerow Data'!$S$3:$AE$14,MATCH(C12,'G-6 Hedgerow Data'!$B$3:$B$14,0),MATCH(M12,'G-6 Hedgerow Data'!$S$2:$AE$2,0)),INDEX('G-6 Hedgerow Data'!$K$3:$Q$14,MATCH(M12,'G-6 Hedgerow Data'!$B$3:$B$14,0),MATCH(O12,'G-6 Hedgerow Data'!$K$2:$Q$2,0)))),"")</f>
        <v/>
      </c>
      <c r="Y12" s="137"/>
      <c r="Z12" s="137"/>
      <c r="AA12" s="289"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02" t="str">
        <f>IF(X12="","",IF(AA12="Check Data ⚠","Check Data ⚠",IF(X12="Not possible ▲", "Check data ⚠", IF(Y12="30+",0,IF(Z12="30+","30+",IF(X12+Z12&gt;30,"30+",IF(AA12="Error -both advance and delayed habitat creation ▲","Check Data ⚠",IF(X12+Z12-Y12&gt;0,X12+Z12-Y12,IF(X12-Y12&lt;=0,0,)))))))))</f>
        <v/>
      </c>
      <c r="AC12" s="303" t="str">
        <f t="shared" ref="AC12:AC75" si="0">IF(OR(S12="",M12=""),"",IF(LEFT(AB12,5)="Error ▲","Check Data ⚠",IF(AB12="Check Data ⚠","Check Data ⚠",VLOOKUP(AB12,TemporalMultipliers,3,FALSE))))</f>
        <v/>
      </c>
      <c r="AD12" s="281" t="str">
        <f>IF(M12="","",VLOOKUP(M12,'G-6 Hedgerow Data'!$B$3:$AG$15,31,FALSE))</f>
        <v/>
      </c>
      <c r="AE12" s="289" t="str">
        <f>IF(M12="","",IF(OR(LEFT(AA12,5)="Error ▲",AA12="Check Data ⚠"),"Check Data ⚠",IF(X12="","",IF($AA12="Check details - Is there evidence that habitat has reached target condition? ⚠","Low Difficulty - only applicable if all habitat created before losses ⚠","Standard difficulty applied"))))</f>
        <v/>
      </c>
      <c r="AF12" s="289" t="str">
        <f>(IF(AND(AE12="Yes",X12&gt;Y12),AD12,IF(AB12="Check data ⚠", "Check data ⚠", IF(AND(AE12="Low Difficulty - only applicable if all habitat created before losses ⚠",Y12&gt;=X12),"Low",AD12))))</f>
        <v/>
      </c>
      <c r="AG12" s="282" t="str">
        <f>IFERROR(IF(O12="","",VLOOKUP(AD12,'G-3 Multipliers'!$P$3:$Q$6,2,FALSE)),"")</f>
        <v/>
      </c>
      <c r="AH12" s="729" t="str">
        <f>IF(B12="","",IF(ISNA(VLOOKUP($B12,'E-1 Off-Site Hedge Baseline'!$B$1:$Z$257,14,FALSE)),"",(VLOOKUP($B12,'E-1 Off-Site Hedge Baseline'!$B$1:$Z$257,14,FALSE))))</f>
        <v/>
      </c>
      <c r="AI12" s="282" t="str">
        <f>IF(AH12="","",IF(VLOOKUP(AH12,'G-3 Multipliers'!$S$3:$T$10,2,FALSE)=0,"Spatial Data Missing ⚠",VLOOKUP(AH12,'G-3 Multipliers'!$S$3:$T$10,2,FALSE)))</f>
        <v/>
      </c>
      <c r="AJ12" s="295" t="str">
        <f>IFERROR(IF(AK12="Check data ⚠", "Check data ⚠",(IF(OR(M12="",S12="",U12="",AH12=""),"",(((((P12*R12*T12)-(P12*F12*H12))*(AG12*AC12))+(P12*F12*H12))*(W12)*AI12)))),"")</f>
        <v/>
      </c>
      <c r="AK12" s="295" t="str">
        <f>IFERROR(IF(K12="Check data ⚠", "Check data ⚠", (IF(AND(AH12&lt;&gt;"",AO12=""), "Off-site reference required ▲",(IF(OR(M12="",S12="",U12="",AH12=""),"", IF(AH12="","",(((((P12*R12*T12)-(P12*F12*H12))*(AG12*AC12))+(P12*F12*H12))*(W12)))))))),"")</f>
        <v/>
      </c>
      <c r="AL12" s="105"/>
      <c r="AM12" s="119"/>
      <c r="AN12" s="119"/>
      <c r="AO12" s="119"/>
      <c r="AQ12" s="30" t="str">
        <f>IFERROR(INDEX('G-6 Hedgerow Data'!$BJ$3:$BJ$15,MATCH(M12,'G-6 Hedgerow Data'!$B$3:$B$15,0)),"")</f>
        <v/>
      </c>
    </row>
    <row r="13" spans="2:43" ht="13.8" x14ac:dyDescent="0.25">
      <c r="B13" s="311" t="str">
        <f>'E-1 Off-Site Hedge Baseline'!AN11</f>
        <v/>
      </c>
      <c r="C13" s="301" t="str">
        <f>IF(B13="","",IF(ISNA(VLOOKUP($B13,'E-1 Off-Site Hedge Baseline'!$B$1:$L$257,3,FALSE)),"",(VLOOKUP($B13,'E-1 Off-Site Hedge Baseline'!$B$1:$L$257,3,FALSE))))</f>
        <v/>
      </c>
      <c r="D13" s="301" t="str">
        <f>IF(B13="","",IF(ISNA(VLOOKUP($B13,'E-1 Off-Site Hedge Baseline'!$B$1:$L$258,4,FALSE)),"",(VLOOKUP($B13,'E-1 Off-Site Hedge Baseline'!$B$1:$L$258,4,FALSE))))</f>
        <v/>
      </c>
      <c r="E13" s="301" t="str">
        <f>IF(B13="","",IF(ISNA(VLOOKUP($B13,'E-1 Off-Site Hedge Baseline'!$B$1:$L$257,5,FALSE)),"",(VLOOKUP($B13,'E-1 Off-Site Hedge Baseline'!$B$1:$L$257,5,FALSE))))</f>
        <v/>
      </c>
      <c r="F13" s="301" t="str">
        <f>IF(B13="","",IF(ISNA(VLOOKUP($B13,'E-1 Off-Site Hedge Baseline'!$B$1:$L$257,6,FALSE)),"",(VLOOKUP($B13,'E-1 Off-Site Hedge Baseline'!$B$1:$L$257,6,FALSE))))</f>
        <v/>
      </c>
      <c r="G13" s="301" t="str">
        <f>IF(B13="","",IF(ISNA(VLOOKUP($B13,'E-1 Off-Site Hedge Baseline'!$B$1:$L$257,7,FALSE)),"",(VLOOKUP($B13,'E-1 Off-Site Hedge Baseline'!$B$1:$L$257,7,FALSE))))</f>
        <v/>
      </c>
      <c r="H13" s="301" t="str">
        <f>IF(B13="","",IF(ISNA(VLOOKUP($B13,'E-1 Off-Site Hedge Baseline'!$B$1:$L$257,8,FALSE)),"",(VLOOKUP($B13,'E-1 Off-Site Hedge Baseline'!$B$1:$L$257,8,FALSE))))</f>
        <v/>
      </c>
      <c r="I13" s="301" t="str">
        <f>IF(B13="","",IF(ISNA(VLOOKUP($B13,'E-1 Off-Site Hedge Baseline'!$B$1:$L$257,10,FALSE)),"",(VLOOKUP($B13,'E-1 Off-Site Hedge Baseline'!$B$1:$L$257,10,FALSE))))</f>
        <v/>
      </c>
      <c r="J13" s="301" t="str">
        <f>IF(B13="","",IF(ISNA(VLOOKUP($B13,'E-1 Off-Site Hedge Baseline'!$B$1:$L$257,11,FALSE)),"",(VLOOKUP($B13,'E-1 Off-Site Hedge Baseline'!$B$1:$L$257,11,FALSE))))</f>
        <v/>
      </c>
      <c r="K13" s="301" t="str">
        <f>IF(B13="","",IF(ISNA(VLOOKUP($B13,'E-1 Off-Site Hedge Baseline'!$B$1:$X$257,16,FALSE)),"",(VLOOKUP($B13,'E-1 Off-Site Hedge Baseline'!$B$1:$X$257,16,FALSE))))</f>
        <v/>
      </c>
      <c r="L13" s="289" t="str">
        <f>IF(B13="","",IF(ISNA(VLOOKUP($B13,'E-1 Off-Site Hedge Baseline'!$B$1:$X$257,12,FALSE)),"",(VLOOKUP($B13,'E-1 Off-Site Hedge Baseline'!$B$1:$X$257,12,FALSE))))</f>
        <v/>
      </c>
      <c r="M13" s="250"/>
      <c r="N13" s="281" t="str">
        <f>IFERROR(IF(B13="","",INDEX('G-6 Hedgerow Data'!$AN$3:$AZ$15,MATCH(C13,'G-6 Hedgerow Data'!$AM$3:$AM$15,0),MATCH(M13,'G-6 Hedgerow Data'!$AN$2:$AZ$2,0))),"")</f>
        <v/>
      </c>
      <c r="O13" s="282" t="str">
        <f t="shared" ref="O13:O76" si="1">IFERROR(IF(B13="","",IF(AND(LEFT(C13,55)&lt;&gt;LEFT(M13,55),N13="High - High"),"Error - Not like for like ▲",IF(H13&gt;T13,"Error - Can not reduce condition ▲",IF(AND(F13=R13,H13=T13),"Error - No enhancement ▲",IF(AND(C13&lt;&gt;M13,F13&lt;R13),"Lower Distinctiveness Habitat"&amp;" - "&amp;S13,G13&amp;" - "&amp;S13))))),"")</f>
        <v/>
      </c>
      <c r="P13" s="287" t="str">
        <f>IF(B13="","",VLOOKUP(B13,'E-1 Off-Site Hedge Baseline'!$B$10:W258,19,FALSE))</f>
        <v/>
      </c>
      <c r="Q13" s="281" t="str">
        <f>IF(M13="","",VLOOKUP(M13,'G-6 Hedgerow Data'!$B$2:$AG$15,2,FALSE))</f>
        <v/>
      </c>
      <c r="R13" s="282" t="str">
        <f>IF(M13="","",VLOOKUP(M13,'G-6 Hedgerow Data'!$B$2:$AG$15,3,FALSE))</f>
        <v/>
      </c>
      <c r="S13" s="105"/>
      <c r="T13" s="282" t="str">
        <f>IFERROR(IF(S13="","",IF(AND(M13="Non-native and ornamental hedgerow", S13&lt;&gt;"Poor"),"Not possible ▲", (IF(AND(Q13="V.Low",OR(S13="Good",S13="Moderate")),"Error ▲",VLOOKUP(S13,'G-1 All Habitats'!$Z$2:$AA$9,2,FALSE))))),"")</f>
        <v/>
      </c>
      <c r="U13" s="106"/>
      <c r="V13" s="289" t="str">
        <f>IF(U13="","",IF(VLOOKUP(U13,'G-3 Multipliers'!$L$3:$N$6,2,FALSE)=0,"Spatial Data Missing ⚠",VLOOKUP(U13,'G-3 Multipliers'!$L$3:$N$6,2,FALSE)))</f>
        <v/>
      </c>
      <c r="W13" s="287" t="str">
        <f>IF(U13="","",IF(VLOOKUP(U13,'G-3 Multipliers'!$L$3:$N$6,3,FALSE)=0,"Spatial Data Missing ⚠",VLOOKUP(U13,'G-3 Multipliers'!$L$3:$N$6,3,FALSE)))</f>
        <v/>
      </c>
      <c r="X13" s="281" t="str">
        <f>IFERROR(IF(OR(LEFT(O13,5)="Error",LEFT(N13,5)="Error",T13="Error"),"Check Data ⚠",IF(F13&lt;R13,INDEX('G-6 Hedgerow Data'!$S$3:$AE$14,MATCH(C13,'G-6 Hedgerow Data'!$B$3:$B$14,0),MATCH(M13,'G-6 Hedgerow Data'!$S$2:$AE$2,0)),INDEX('G-6 Hedgerow Data'!$K$3:$Q$14,MATCH(M13,'G-6 Hedgerow Data'!$B$3:$B$14,0),MATCH(O13,'G-6 Hedgerow Data'!$K$2:$Q$2,0)))),"")</f>
        <v/>
      </c>
      <c r="Y13" s="137"/>
      <c r="Z13" s="137"/>
      <c r="AA13" s="289" t="str">
        <f t="shared" ref="AA13:AA76" si="2">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02" t="str">
        <f t="shared" ref="AB13:AB76" si="3">IF(X13="","",IF(AA13="Check Data ⚠","Check Data ⚠",IF(X13="Not possible ▲", "Check data ⚠", IF(Y13="30+",0,IF(Z13="30+","30+",IF(X13+Z13&gt;30,"30+",IF(AA13="Error -both advance and delayed habitat creation ▲","Check Data ⚠",IF(X13+Z13-Y13&gt;0,X13+Z13-Y13,IF(X13-Y13&lt;=0,0,)))))))))</f>
        <v/>
      </c>
      <c r="AC13" s="303" t="str">
        <f t="shared" si="0"/>
        <v/>
      </c>
      <c r="AD13" s="317" t="str">
        <f>IF(M13="","",VLOOKUP(M13,'G-6 Hedgerow Data'!$B$3:$AG$15,31,FALSE))</f>
        <v/>
      </c>
      <c r="AE13" s="301" t="str">
        <f t="shared" ref="AE13:AE76" si="4">IF(M13="","",IF(OR(LEFT(AA13,5)="Error ▲",AA13="Check Data ⚠"),"Check Data ⚠",IF(X13="","",IF($AA13="Check details - Is there evidence that habitat has reached target condition? ⚠","Low Difficulty - only applicable if all habitat created before losses ⚠","Standard difficulty applied"))))</f>
        <v/>
      </c>
      <c r="AF13" s="289" t="str">
        <f t="shared" ref="AF13:AF76" si="5">(IF(AND(AE13="Yes",X13&gt;Y13),AD13,IF(AB13="Check data ⚠", "Check data ⚠", IF(AND(AE13="Low Difficulty - only applicable if all habitat created before losses ⚠",Y13&gt;=X13),"Low",AD13))))</f>
        <v/>
      </c>
      <c r="AG13" s="305" t="str">
        <f>IFERROR(IF(O13="","",VLOOKUP(AD13,'G-3 Multipliers'!$P$3:$Q$6,2,FALSE)),"")</f>
        <v/>
      </c>
      <c r="AH13" s="729" t="str">
        <f>IF(B13="","",IF(ISNA(VLOOKUP($B13,'E-1 Off-Site Hedge Baseline'!$B$1:$Z$257,14,FALSE)),"",(VLOOKUP($B13,'E-1 Off-Site Hedge Baseline'!$B$1:$Z$257,14,FALSE))))</f>
        <v/>
      </c>
      <c r="AI13" s="282" t="str">
        <f>IF(AH13="","",IF(VLOOKUP(AH13,'G-3 Multipliers'!$S$3:$T$10,2,FALSE)=0,"Spatial Data Missing ⚠",VLOOKUP(AH13,'G-3 Multipliers'!$S$3:$T$10,2,FALSE)))</f>
        <v/>
      </c>
      <c r="AJ13" s="295" t="str">
        <f t="shared" ref="AJ13:AJ76" si="6">IFERROR(IF(AK13="Check data ⚠", "Check data ⚠",(IF(OR(M13="",S13="",U13="",AH13=""),"",(((((P13*R13*T13)-(P13*F13*H13))*(AG13*AC13))+(P13*F13*H13))*(W13)*AI13)))),"")</f>
        <v/>
      </c>
      <c r="AK13" s="295" t="str">
        <f t="shared" ref="AK13:AK76" si="7">IFERROR(IF(K13="Check data ⚠", "Check data ⚠", (IF(AND(AH13&lt;&gt;"",AO13=""), "Off-site reference required ▲",(IF(OR(M13="",S13="",U13="",AH13=""),"", IF(AH13="","",(((((P13*R13*T13)-(P13*F13*H13))*(AG13*AC13))+(P13*F13*H13))*(W13)))))))),"")</f>
        <v/>
      </c>
      <c r="AL13" s="105"/>
      <c r="AM13" s="119"/>
      <c r="AN13" s="108"/>
      <c r="AO13" s="108"/>
      <c r="AQ13" s="30" t="str">
        <f>IFERROR(INDEX('G-6 Hedgerow Data'!$BJ$3:$BJ$15,MATCH(M13,'G-6 Hedgerow Data'!$B$3:$B$15,0)),"")</f>
        <v/>
      </c>
    </row>
    <row r="14" spans="2:43" ht="13.8" x14ac:dyDescent="0.25">
      <c r="B14" s="311" t="str">
        <f>'E-1 Off-Site Hedge Baseline'!AN12</f>
        <v/>
      </c>
      <c r="C14" s="301" t="str">
        <f>IF(B14="","",IF(ISNA(VLOOKUP($B14,'E-1 Off-Site Hedge Baseline'!$B$1:$L$257,3,FALSE)),"",(VLOOKUP($B14,'E-1 Off-Site Hedge Baseline'!$B$1:$L$257,3,FALSE))))</f>
        <v/>
      </c>
      <c r="D14" s="301" t="str">
        <f>IF(B14="","",IF(ISNA(VLOOKUP($B14,'E-1 Off-Site Hedge Baseline'!$B$1:$L$258,4,FALSE)),"",(VLOOKUP($B14,'E-1 Off-Site Hedge Baseline'!$B$1:$L$258,4,FALSE))))</f>
        <v/>
      </c>
      <c r="E14" s="301" t="str">
        <f>IF(B14="","",IF(ISNA(VLOOKUP($B14,'E-1 Off-Site Hedge Baseline'!$B$1:$L$257,5,FALSE)),"",(VLOOKUP($B14,'E-1 Off-Site Hedge Baseline'!$B$1:$L$257,5,FALSE))))</f>
        <v/>
      </c>
      <c r="F14" s="301" t="str">
        <f>IF(B14="","",IF(ISNA(VLOOKUP($B14,'E-1 Off-Site Hedge Baseline'!$B$1:$L$257,6,FALSE)),"",(VLOOKUP($B14,'E-1 Off-Site Hedge Baseline'!$B$1:$L$257,6,FALSE))))</f>
        <v/>
      </c>
      <c r="G14" s="301" t="str">
        <f>IF(B14="","",IF(ISNA(VLOOKUP($B14,'E-1 Off-Site Hedge Baseline'!$B$1:$L$257,7,FALSE)),"",(VLOOKUP($B14,'E-1 Off-Site Hedge Baseline'!$B$1:$L$257,7,FALSE))))</f>
        <v/>
      </c>
      <c r="H14" s="301" t="str">
        <f>IF(B14="","",IF(ISNA(VLOOKUP($B14,'E-1 Off-Site Hedge Baseline'!$B$1:$L$257,8,FALSE)),"",(VLOOKUP($B14,'E-1 Off-Site Hedge Baseline'!$B$1:$L$257,8,FALSE))))</f>
        <v/>
      </c>
      <c r="I14" s="301" t="str">
        <f>IF(B14="","",IF(ISNA(VLOOKUP($B14,'E-1 Off-Site Hedge Baseline'!$B$1:$L$257,10,FALSE)),"",(VLOOKUP($B14,'E-1 Off-Site Hedge Baseline'!$B$1:$L$257,10,FALSE))))</f>
        <v/>
      </c>
      <c r="J14" s="301" t="str">
        <f>IF(B14="","",IF(ISNA(VLOOKUP($B14,'E-1 Off-Site Hedge Baseline'!$B$1:$L$257,11,FALSE)),"",(VLOOKUP($B14,'E-1 Off-Site Hedge Baseline'!$B$1:$L$257,11,FALSE))))</f>
        <v/>
      </c>
      <c r="K14" s="301" t="str">
        <f>IF(B14="","",IF(ISNA(VLOOKUP($B14,'E-1 Off-Site Hedge Baseline'!$B$1:$X$257,16,FALSE)),"",(VLOOKUP($B14,'E-1 Off-Site Hedge Baseline'!$B$1:$X$257,16,FALSE))))</f>
        <v/>
      </c>
      <c r="L14" s="289" t="str">
        <f>IF(B14="","",IF(ISNA(VLOOKUP($B14,'E-1 Off-Site Hedge Baseline'!$B$1:$X$257,12,FALSE)),"",(VLOOKUP($B14,'E-1 Off-Site Hedge Baseline'!$B$1:$X$257,12,FALSE))))</f>
        <v/>
      </c>
      <c r="M14" s="250"/>
      <c r="N14" s="281" t="str">
        <f>IFERROR(IF(B14="","",INDEX('G-6 Hedgerow Data'!$AN$3:$AZ$15,MATCH(C14,'G-6 Hedgerow Data'!$AM$3:$AM$15,0),MATCH(M14,'G-6 Hedgerow Data'!$AN$2:$AZ$2,0))),"")</f>
        <v/>
      </c>
      <c r="O14" s="282" t="str">
        <f t="shared" si="1"/>
        <v/>
      </c>
      <c r="P14" s="287" t="str">
        <f>IF(B14="","",VLOOKUP(B14,'E-1 Off-Site Hedge Baseline'!$B$10:W259,19,FALSE))</f>
        <v/>
      </c>
      <c r="Q14" s="281" t="str">
        <f>IF(M14="","",VLOOKUP(M14,'G-6 Hedgerow Data'!$B$2:$AG$15,2,FALSE))</f>
        <v/>
      </c>
      <c r="R14" s="282" t="str">
        <f>IF(M14="","",VLOOKUP(M14,'G-6 Hedgerow Data'!$B$2:$AG$15,3,FALSE))</f>
        <v/>
      </c>
      <c r="S14" s="105"/>
      <c r="T14" s="282" t="str">
        <f>IFERROR(IF(S14="","",IF(AND(M14="Non-native and ornamental hedgerow", S14&lt;&gt;"Poor"),"Not possible ▲", (IF(AND(Q14="V.Low",OR(S14="Good",S14="Moderate")),"Error ▲",VLOOKUP(S14,'G-1 All Habitats'!$Z$2:$AA$9,2,FALSE))))),"")</f>
        <v/>
      </c>
      <c r="U14" s="106"/>
      <c r="V14" s="289" t="str">
        <f>IF(U14="","",IF(VLOOKUP(U14,'G-3 Multipliers'!$L$3:$N$6,2,FALSE)=0,"Spatial Data Missing ⚠",VLOOKUP(U14,'G-3 Multipliers'!$L$3:$N$6,2,FALSE)))</f>
        <v/>
      </c>
      <c r="W14" s="287" t="str">
        <f>IF(U14="","",IF(VLOOKUP(U14,'G-3 Multipliers'!$L$3:$N$6,3,FALSE)=0,"Spatial Data Missing ⚠",VLOOKUP(U14,'G-3 Multipliers'!$L$3:$N$6,3,FALSE)))</f>
        <v/>
      </c>
      <c r="X14" s="281" t="str">
        <f>IFERROR(IF(OR(LEFT(O14,5)="Error",LEFT(N14,5)="Error",T14="Error"),"Check Data ⚠",IF(F14&lt;R14,INDEX('G-6 Hedgerow Data'!$S$3:$AE$14,MATCH(C14,'G-6 Hedgerow Data'!$B$3:$B$14,0),MATCH(M14,'G-6 Hedgerow Data'!$S$2:$AE$2,0)),INDEX('G-6 Hedgerow Data'!$K$3:$Q$14,MATCH(M14,'G-6 Hedgerow Data'!$B$3:$B$14,0),MATCH(O14,'G-6 Hedgerow Data'!$K$2:$Q$2,0)))),"")</f>
        <v/>
      </c>
      <c r="Y14" s="137"/>
      <c r="Z14" s="137"/>
      <c r="AA14" s="289" t="str">
        <f t="shared" si="2"/>
        <v/>
      </c>
      <c r="AB14" s="302" t="str">
        <f t="shared" si="3"/>
        <v/>
      </c>
      <c r="AC14" s="303" t="str">
        <f t="shared" si="0"/>
        <v/>
      </c>
      <c r="AD14" s="317" t="str">
        <f>IF(M14="","",VLOOKUP(M14,'G-6 Hedgerow Data'!$B$3:$AG$15,31,FALSE))</f>
        <v/>
      </c>
      <c r="AE14" s="301" t="str">
        <f t="shared" si="4"/>
        <v/>
      </c>
      <c r="AF14" s="289" t="str">
        <f t="shared" si="5"/>
        <v/>
      </c>
      <c r="AG14" s="305" t="str">
        <f>IFERROR(IF(O14="","",VLOOKUP(AD14,'G-3 Multipliers'!$P$3:$Q$6,2,FALSE)),"")</f>
        <v/>
      </c>
      <c r="AH14" s="729" t="str">
        <f>IF(B14="","",IF(ISNA(VLOOKUP($B14,'E-1 Off-Site Hedge Baseline'!$B$1:$Z$257,14,FALSE)),"",(VLOOKUP($B14,'E-1 Off-Site Hedge Baseline'!$B$1:$Z$257,14,FALSE))))</f>
        <v/>
      </c>
      <c r="AI14" s="282" t="str">
        <f>IF(AH14="","",IF(VLOOKUP(AH14,'G-3 Multipliers'!$S$3:$T$10,2,FALSE)=0,"Spatial Data Missing ⚠",VLOOKUP(AH14,'G-3 Multipliers'!$S$3:$T$10,2,FALSE)))</f>
        <v/>
      </c>
      <c r="AJ14" s="295" t="str">
        <f t="shared" si="6"/>
        <v/>
      </c>
      <c r="AK14" s="295" t="str">
        <f t="shared" si="7"/>
        <v/>
      </c>
      <c r="AL14" s="105"/>
      <c r="AM14" s="119"/>
      <c r="AN14" s="108"/>
      <c r="AO14" s="108"/>
      <c r="AQ14" s="30" t="str">
        <f>IFERROR(INDEX('G-6 Hedgerow Data'!$BJ$3:$BJ$15,MATCH(M14,'G-6 Hedgerow Data'!$B$3:$B$15,0)),"")</f>
        <v/>
      </c>
    </row>
    <row r="15" spans="2:43" ht="13.8" x14ac:dyDescent="0.25">
      <c r="B15" s="311" t="str">
        <f>'E-1 Off-Site Hedge Baseline'!AN13</f>
        <v/>
      </c>
      <c r="C15" s="301" t="str">
        <f>IF(B15="","",IF(ISNA(VLOOKUP($B15,'E-1 Off-Site Hedge Baseline'!$B$1:$L$257,3,FALSE)),"",(VLOOKUP($B15,'E-1 Off-Site Hedge Baseline'!$B$1:$L$257,3,FALSE))))</f>
        <v/>
      </c>
      <c r="D15" s="301" t="str">
        <f>IF(B15="","",IF(ISNA(VLOOKUP($B15,'E-1 Off-Site Hedge Baseline'!$B$1:$L$258,4,FALSE)),"",(VLOOKUP($B15,'E-1 Off-Site Hedge Baseline'!$B$1:$L$258,4,FALSE))))</f>
        <v/>
      </c>
      <c r="E15" s="301" t="str">
        <f>IF(B15="","",IF(ISNA(VLOOKUP($B15,'E-1 Off-Site Hedge Baseline'!$B$1:$L$257,5,FALSE)),"",(VLOOKUP($B15,'E-1 Off-Site Hedge Baseline'!$B$1:$L$257,5,FALSE))))</f>
        <v/>
      </c>
      <c r="F15" s="301" t="str">
        <f>IF(B15="","",IF(ISNA(VLOOKUP($B15,'E-1 Off-Site Hedge Baseline'!$B$1:$L$257,6,FALSE)),"",(VLOOKUP($B15,'E-1 Off-Site Hedge Baseline'!$B$1:$L$257,6,FALSE))))</f>
        <v/>
      </c>
      <c r="G15" s="301" t="str">
        <f>IF(B15="","",IF(ISNA(VLOOKUP($B15,'E-1 Off-Site Hedge Baseline'!$B$1:$L$257,7,FALSE)),"",(VLOOKUP($B15,'E-1 Off-Site Hedge Baseline'!$B$1:$L$257,7,FALSE))))</f>
        <v/>
      </c>
      <c r="H15" s="301" t="str">
        <f>IF(B15="","",IF(ISNA(VLOOKUP($B15,'E-1 Off-Site Hedge Baseline'!$B$1:$L$257,8,FALSE)),"",(VLOOKUP($B15,'E-1 Off-Site Hedge Baseline'!$B$1:$L$257,8,FALSE))))</f>
        <v/>
      </c>
      <c r="I15" s="301" t="str">
        <f>IF(B15="","",IF(ISNA(VLOOKUP($B15,'E-1 Off-Site Hedge Baseline'!$B$1:$L$257,10,FALSE)),"",(VLOOKUP($B15,'E-1 Off-Site Hedge Baseline'!$B$1:$L$257,10,FALSE))))</f>
        <v/>
      </c>
      <c r="J15" s="301" t="str">
        <f>IF(B15="","",IF(ISNA(VLOOKUP($B15,'E-1 Off-Site Hedge Baseline'!$B$1:$L$257,11,FALSE)),"",(VLOOKUP($B15,'E-1 Off-Site Hedge Baseline'!$B$1:$L$257,11,FALSE))))</f>
        <v/>
      </c>
      <c r="K15" s="301" t="str">
        <f>IF(B15="","",IF(ISNA(VLOOKUP($B15,'E-1 Off-Site Hedge Baseline'!$B$1:$X$257,16,FALSE)),"",(VLOOKUP($B15,'E-1 Off-Site Hedge Baseline'!$B$1:$X$257,16,FALSE))))</f>
        <v/>
      </c>
      <c r="L15" s="289" t="str">
        <f>IF(B15="","",IF(ISNA(VLOOKUP($B15,'E-1 Off-Site Hedge Baseline'!$B$1:$X$257,12,FALSE)),"",(VLOOKUP($B15,'E-1 Off-Site Hedge Baseline'!$B$1:$X$257,12,FALSE))))</f>
        <v/>
      </c>
      <c r="M15" s="250"/>
      <c r="N15" s="281" t="str">
        <f>IFERROR(IF(B15="","",INDEX('G-6 Hedgerow Data'!$AN$3:$AZ$15,MATCH(C15,'G-6 Hedgerow Data'!$AM$3:$AM$15,0),MATCH(M15,'G-6 Hedgerow Data'!$AN$2:$AZ$2,0))),"")</f>
        <v/>
      </c>
      <c r="O15" s="282" t="str">
        <f t="shared" si="1"/>
        <v/>
      </c>
      <c r="P15" s="287" t="str">
        <f>IF(B15="","",VLOOKUP(B15,'E-1 Off-Site Hedge Baseline'!$B$10:W260,19,FALSE))</f>
        <v/>
      </c>
      <c r="Q15" s="281" t="str">
        <f>IF(M15="","",VLOOKUP(M15,'G-6 Hedgerow Data'!$B$2:$AG$15,2,FALSE))</f>
        <v/>
      </c>
      <c r="R15" s="282" t="str">
        <f>IF(M15="","",VLOOKUP(M15,'G-6 Hedgerow Data'!$B$2:$AG$15,3,FALSE))</f>
        <v/>
      </c>
      <c r="S15" s="105"/>
      <c r="T15" s="282" t="str">
        <f>IFERROR(IF(S15="","",IF(AND(M15="Non-native and ornamental hedgerow", S15&lt;&gt;"Poor"),"Not possible ▲", (IF(AND(Q15="V.Low",OR(S15="Good",S15="Moderate")),"Error ▲",VLOOKUP(S15,'G-1 All Habitats'!$Z$2:$AA$9,2,FALSE))))),"")</f>
        <v/>
      </c>
      <c r="U15" s="106"/>
      <c r="V15" s="289" t="str">
        <f>IF(U15="","",IF(VLOOKUP(U15,'G-3 Multipliers'!$L$3:$N$6,2,FALSE)=0,"Spatial Data Missing ⚠",VLOOKUP(U15,'G-3 Multipliers'!$L$3:$N$6,2,FALSE)))</f>
        <v/>
      </c>
      <c r="W15" s="287" t="str">
        <f>IF(U15="","",IF(VLOOKUP(U15,'G-3 Multipliers'!$L$3:$N$6,3,FALSE)=0,"Spatial Data Missing ⚠",VLOOKUP(U15,'G-3 Multipliers'!$L$3:$N$6,3,FALSE)))</f>
        <v/>
      </c>
      <c r="X15" s="281" t="str">
        <f>IFERROR(IF(OR(LEFT(O15,5)="Error",LEFT(N15,5)="Error",T15="Error"),"Check Data ⚠",IF(F15&lt;R15,INDEX('G-6 Hedgerow Data'!$S$3:$AE$14,MATCH(C15,'G-6 Hedgerow Data'!$B$3:$B$14,0),MATCH(M15,'G-6 Hedgerow Data'!$S$2:$AE$2,0)),INDEX('G-6 Hedgerow Data'!$K$3:$Q$14,MATCH(M15,'G-6 Hedgerow Data'!$B$3:$B$14,0),MATCH(O15,'G-6 Hedgerow Data'!$K$2:$Q$2,0)))),"")</f>
        <v/>
      </c>
      <c r="Y15" s="137"/>
      <c r="Z15" s="137"/>
      <c r="AA15" s="289" t="str">
        <f t="shared" si="2"/>
        <v/>
      </c>
      <c r="AB15" s="302" t="str">
        <f t="shared" si="3"/>
        <v/>
      </c>
      <c r="AC15" s="303" t="str">
        <f t="shared" si="0"/>
        <v/>
      </c>
      <c r="AD15" s="317" t="str">
        <f>IF(M15="","",VLOOKUP(M15,'G-6 Hedgerow Data'!$B$3:$AG$15,31,FALSE))</f>
        <v/>
      </c>
      <c r="AE15" s="301" t="str">
        <f t="shared" si="4"/>
        <v/>
      </c>
      <c r="AF15" s="289" t="str">
        <f t="shared" si="5"/>
        <v/>
      </c>
      <c r="AG15" s="305" t="str">
        <f>IFERROR(IF(O15="","",VLOOKUP(AD15,'G-3 Multipliers'!$P$3:$Q$6,2,FALSE)),"")</f>
        <v/>
      </c>
      <c r="AH15" s="729" t="str">
        <f>IF(B15="","",IF(ISNA(VLOOKUP($B15,'E-1 Off-Site Hedge Baseline'!$B$1:$Z$257,14,FALSE)),"",(VLOOKUP($B15,'E-1 Off-Site Hedge Baseline'!$B$1:$Z$257,14,FALSE))))</f>
        <v/>
      </c>
      <c r="AI15" s="282" t="str">
        <f>IF(AH15="","",IF(VLOOKUP(AH15,'G-3 Multipliers'!$S$3:$T$10,2,FALSE)=0,"Spatial Data Missing ⚠",VLOOKUP(AH15,'G-3 Multipliers'!$S$3:$T$10,2,FALSE)))</f>
        <v/>
      </c>
      <c r="AJ15" s="295" t="str">
        <f t="shared" si="6"/>
        <v/>
      </c>
      <c r="AK15" s="295" t="str">
        <f t="shared" si="7"/>
        <v/>
      </c>
      <c r="AL15" s="105"/>
      <c r="AM15" s="119"/>
      <c r="AN15" s="108"/>
      <c r="AO15" s="108"/>
      <c r="AQ15" s="30" t="str">
        <f>IFERROR(INDEX('G-6 Hedgerow Data'!$BJ$3:$BJ$15,MATCH(M15,'G-6 Hedgerow Data'!$B$3:$B$15,0)),"")</f>
        <v/>
      </c>
    </row>
    <row r="16" spans="2:43" ht="13.8" x14ac:dyDescent="0.25">
      <c r="B16" s="311" t="str">
        <f>'E-1 Off-Site Hedge Baseline'!AN14</f>
        <v/>
      </c>
      <c r="C16" s="301" t="str">
        <f>IF(B16="","",IF(ISNA(VLOOKUP($B16,'E-1 Off-Site Hedge Baseline'!$B$1:$L$257,3,FALSE)),"",(VLOOKUP($B16,'E-1 Off-Site Hedge Baseline'!$B$1:$L$257,3,FALSE))))</f>
        <v/>
      </c>
      <c r="D16" s="301" t="str">
        <f>IF(B16="","",IF(ISNA(VLOOKUP($B16,'E-1 Off-Site Hedge Baseline'!$B$1:$L$258,4,FALSE)),"",(VLOOKUP($B16,'E-1 Off-Site Hedge Baseline'!$B$1:$L$258,4,FALSE))))</f>
        <v/>
      </c>
      <c r="E16" s="301" t="str">
        <f>IF(B16="","",IF(ISNA(VLOOKUP($B16,'E-1 Off-Site Hedge Baseline'!$B$1:$L$257,5,FALSE)),"",(VLOOKUP($B16,'E-1 Off-Site Hedge Baseline'!$B$1:$L$257,5,FALSE))))</f>
        <v/>
      </c>
      <c r="F16" s="301" t="str">
        <f>IF(B16="","",IF(ISNA(VLOOKUP($B16,'E-1 Off-Site Hedge Baseline'!$B$1:$L$257,6,FALSE)),"",(VLOOKUP($B16,'E-1 Off-Site Hedge Baseline'!$B$1:$L$257,6,FALSE))))</f>
        <v/>
      </c>
      <c r="G16" s="301" t="str">
        <f>IF(B16="","",IF(ISNA(VLOOKUP($B16,'E-1 Off-Site Hedge Baseline'!$B$1:$L$257,7,FALSE)),"",(VLOOKUP($B16,'E-1 Off-Site Hedge Baseline'!$B$1:$L$257,7,FALSE))))</f>
        <v/>
      </c>
      <c r="H16" s="301" t="str">
        <f>IF(B16="","",IF(ISNA(VLOOKUP($B16,'E-1 Off-Site Hedge Baseline'!$B$1:$L$257,8,FALSE)),"",(VLOOKUP($B16,'E-1 Off-Site Hedge Baseline'!$B$1:$L$257,8,FALSE))))</f>
        <v/>
      </c>
      <c r="I16" s="301" t="str">
        <f>IF(B16="","",IF(ISNA(VLOOKUP($B16,'E-1 Off-Site Hedge Baseline'!$B$1:$L$257,10,FALSE)),"",(VLOOKUP($B16,'E-1 Off-Site Hedge Baseline'!$B$1:$L$257,10,FALSE))))</f>
        <v/>
      </c>
      <c r="J16" s="301" t="str">
        <f>IF(B16="","",IF(ISNA(VLOOKUP($B16,'E-1 Off-Site Hedge Baseline'!$B$1:$L$257,11,FALSE)),"",(VLOOKUP($B16,'E-1 Off-Site Hedge Baseline'!$B$1:$L$257,11,FALSE))))</f>
        <v/>
      </c>
      <c r="K16" s="301" t="str">
        <f>IF(B16="","",IF(ISNA(VLOOKUP($B16,'E-1 Off-Site Hedge Baseline'!$B$1:$X$257,16,FALSE)),"",(VLOOKUP($B16,'E-1 Off-Site Hedge Baseline'!$B$1:$X$257,16,FALSE))))</f>
        <v/>
      </c>
      <c r="L16" s="289" t="str">
        <f>IF(B16="","",IF(ISNA(VLOOKUP($B16,'E-1 Off-Site Hedge Baseline'!$B$1:$X$257,12,FALSE)),"",(VLOOKUP($B16,'E-1 Off-Site Hedge Baseline'!$B$1:$X$257,12,FALSE))))</f>
        <v/>
      </c>
      <c r="M16" s="250"/>
      <c r="N16" s="281" t="str">
        <f>IFERROR(IF(B16="","",INDEX('G-6 Hedgerow Data'!$AN$3:$AZ$15,MATCH(C16,'G-6 Hedgerow Data'!$AM$3:$AM$15,0),MATCH(M16,'G-6 Hedgerow Data'!$AN$2:$AZ$2,0))),"")</f>
        <v/>
      </c>
      <c r="O16" s="282" t="str">
        <f t="shared" si="1"/>
        <v/>
      </c>
      <c r="P16" s="287" t="str">
        <f>IF(B16="","",VLOOKUP(B16,'E-1 Off-Site Hedge Baseline'!$B$10:W261,19,FALSE))</f>
        <v/>
      </c>
      <c r="Q16" s="281" t="str">
        <f>IF(M16="","",VLOOKUP(M16,'G-6 Hedgerow Data'!$B$2:$AG$15,2,FALSE))</f>
        <v/>
      </c>
      <c r="R16" s="282" t="str">
        <f>IF(M16="","",VLOOKUP(M16,'G-6 Hedgerow Data'!$B$2:$AG$15,3,FALSE))</f>
        <v/>
      </c>
      <c r="S16" s="105"/>
      <c r="T16" s="282" t="str">
        <f>IFERROR(IF(S16="","",IF(AND(M16="Non-native and ornamental hedgerow", S16&lt;&gt;"Poor"),"Not possible ▲", (IF(AND(Q16="V.Low",OR(S16="Good",S16="Moderate")),"Error ▲",VLOOKUP(S16,'G-1 All Habitats'!$Z$2:$AA$9,2,FALSE))))),"")</f>
        <v/>
      </c>
      <c r="U16" s="106"/>
      <c r="V16" s="289" t="str">
        <f>IF(U16="","",IF(VLOOKUP(U16,'G-3 Multipliers'!$L$3:$N$6,2,FALSE)=0,"Spatial Data Missing ⚠",VLOOKUP(U16,'G-3 Multipliers'!$L$3:$N$6,2,FALSE)))</f>
        <v/>
      </c>
      <c r="W16" s="287" t="str">
        <f>IF(U16="","",IF(VLOOKUP(U16,'G-3 Multipliers'!$L$3:$N$6,3,FALSE)=0,"Spatial Data Missing ⚠",VLOOKUP(U16,'G-3 Multipliers'!$L$3:$N$6,3,FALSE)))</f>
        <v/>
      </c>
      <c r="X16" s="281" t="str">
        <f>IFERROR(IF(OR(LEFT(O16,5)="Error",LEFT(N16,5)="Error",T16="Error"),"Check Data ⚠",IF(F16&lt;R16,INDEX('G-6 Hedgerow Data'!$S$3:$AE$14,MATCH(C16,'G-6 Hedgerow Data'!$B$3:$B$14,0),MATCH(M16,'G-6 Hedgerow Data'!$S$2:$AE$2,0)),INDEX('G-6 Hedgerow Data'!$K$3:$Q$14,MATCH(M16,'G-6 Hedgerow Data'!$B$3:$B$14,0),MATCH(O16,'G-6 Hedgerow Data'!$K$2:$Q$2,0)))),"")</f>
        <v/>
      </c>
      <c r="Y16" s="137"/>
      <c r="Z16" s="137"/>
      <c r="AA16" s="289" t="str">
        <f t="shared" si="2"/>
        <v/>
      </c>
      <c r="AB16" s="302" t="str">
        <f t="shared" si="3"/>
        <v/>
      </c>
      <c r="AC16" s="303" t="str">
        <f t="shared" si="0"/>
        <v/>
      </c>
      <c r="AD16" s="317" t="str">
        <f>IF(M16="","",VLOOKUP(M16,'G-6 Hedgerow Data'!$B$3:$AG$15,31,FALSE))</f>
        <v/>
      </c>
      <c r="AE16" s="301" t="str">
        <f t="shared" si="4"/>
        <v/>
      </c>
      <c r="AF16" s="289" t="str">
        <f t="shared" si="5"/>
        <v/>
      </c>
      <c r="AG16" s="305" t="str">
        <f>IFERROR(IF(O16="","",VLOOKUP(AD16,'G-3 Multipliers'!$P$3:$Q$6,2,FALSE)),"")</f>
        <v/>
      </c>
      <c r="AH16" s="729" t="str">
        <f>IF(B16="","",IF(ISNA(VLOOKUP($B16,'E-1 Off-Site Hedge Baseline'!$B$1:$Z$257,14,FALSE)),"",(VLOOKUP($B16,'E-1 Off-Site Hedge Baseline'!$B$1:$Z$257,14,FALSE))))</f>
        <v/>
      </c>
      <c r="AI16" s="282" t="str">
        <f>IF(AH16="","",IF(VLOOKUP(AH16,'G-3 Multipliers'!$S$3:$T$10,2,FALSE)=0,"Spatial Data Missing ⚠",VLOOKUP(AH16,'G-3 Multipliers'!$S$3:$T$10,2,FALSE)))</f>
        <v/>
      </c>
      <c r="AJ16" s="295" t="str">
        <f t="shared" si="6"/>
        <v/>
      </c>
      <c r="AK16" s="295" t="str">
        <f t="shared" si="7"/>
        <v/>
      </c>
      <c r="AL16" s="105"/>
      <c r="AM16" s="119"/>
      <c r="AN16" s="108"/>
      <c r="AO16" s="108"/>
      <c r="AQ16" s="30" t="str">
        <f>IFERROR(INDEX('G-6 Hedgerow Data'!$BJ$3:$BJ$15,MATCH(M16,'G-6 Hedgerow Data'!$B$3:$B$15,0)),"")</f>
        <v/>
      </c>
    </row>
    <row r="17" spans="2:43" ht="13.8" x14ac:dyDescent="0.25">
      <c r="B17" s="311" t="str">
        <f>'E-1 Off-Site Hedge Baseline'!AN15</f>
        <v/>
      </c>
      <c r="C17" s="301" t="str">
        <f>IF(B17="","",IF(ISNA(VLOOKUP($B17,'E-1 Off-Site Hedge Baseline'!$B$1:$L$257,3,FALSE)),"",(VLOOKUP($B17,'E-1 Off-Site Hedge Baseline'!$B$1:$L$257,3,FALSE))))</f>
        <v/>
      </c>
      <c r="D17" s="301" t="str">
        <f>IF(B17="","",IF(ISNA(VLOOKUP($B17,'E-1 Off-Site Hedge Baseline'!$B$1:$L$258,4,FALSE)),"",(VLOOKUP($B17,'E-1 Off-Site Hedge Baseline'!$B$1:$L$258,4,FALSE))))</f>
        <v/>
      </c>
      <c r="E17" s="301" t="str">
        <f>IF(B17="","",IF(ISNA(VLOOKUP($B17,'E-1 Off-Site Hedge Baseline'!$B$1:$L$257,5,FALSE)),"",(VLOOKUP($B17,'E-1 Off-Site Hedge Baseline'!$B$1:$L$257,5,FALSE))))</f>
        <v/>
      </c>
      <c r="F17" s="301" t="str">
        <f>IF(B17="","",IF(ISNA(VLOOKUP($B17,'E-1 Off-Site Hedge Baseline'!$B$1:$L$257,6,FALSE)),"",(VLOOKUP($B17,'E-1 Off-Site Hedge Baseline'!$B$1:$L$257,6,FALSE))))</f>
        <v/>
      </c>
      <c r="G17" s="301" t="str">
        <f>IF(B17="","",IF(ISNA(VLOOKUP($B17,'E-1 Off-Site Hedge Baseline'!$B$1:$L$257,7,FALSE)),"",(VLOOKUP($B17,'E-1 Off-Site Hedge Baseline'!$B$1:$L$257,7,FALSE))))</f>
        <v/>
      </c>
      <c r="H17" s="301" t="str">
        <f>IF(B17="","",IF(ISNA(VLOOKUP($B17,'E-1 Off-Site Hedge Baseline'!$B$1:$L$257,8,FALSE)),"",(VLOOKUP($B17,'E-1 Off-Site Hedge Baseline'!$B$1:$L$257,8,FALSE))))</f>
        <v/>
      </c>
      <c r="I17" s="301" t="str">
        <f>IF(B17="","",IF(ISNA(VLOOKUP($B17,'E-1 Off-Site Hedge Baseline'!$B$1:$L$257,10,FALSE)),"",(VLOOKUP($B17,'E-1 Off-Site Hedge Baseline'!$B$1:$L$257,10,FALSE))))</f>
        <v/>
      </c>
      <c r="J17" s="301" t="str">
        <f>IF(B17="","",IF(ISNA(VLOOKUP($B17,'E-1 Off-Site Hedge Baseline'!$B$1:$L$257,11,FALSE)),"",(VLOOKUP($B17,'E-1 Off-Site Hedge Baseline'!$B$1:$L$257,11,FALSE))))</f>
        <v/>
      </c>
      <c r="K17" s="301" t="str">
        <f>IF(B17="","",IF(ISNA(VLOOKUP($B17,'E-1 Off-Site Hedge Baseline'!$B$1:$X$257,16,FALSE)),"",(VLOOKUP($B17,'E-1 Off-Site Hedge Baseline'!$B$1:$X$257,16,FALSE))))</f>
        <v/>
      </c>
      <c r="L17" s="289" t="str">
        <f>IF(B17="","",IF(ISNA(VLOOKUP($B17,'E-1 Off-Site Hedge Baseline'!$B$1:$X$257,12,FALSE)),"",(VLOOKUP($B17,'E-1 Off-Site Hedge Baseline'!$B$1:$X$257,12,FALSE))))</f>
        <v/>
      </c>
      <c r="M17" s="250"/>
      <c r="N17" s="281" t="str">
        <f>IFERROR(IF(B17="","",INDEX('G-6 Hedgerow Data'!$AN$3:$AZ$15,MATCH(C17,'G-6 Hedgerow Data'!$AM$3:$AM$15,0),MATCH(M17,'G-6 Hedgerow Data'!$AN$2:$AZ$2,0))),"")</f>
        <v/>
      </c>
      <c r="O17" s="282" t="str">
        <f t="shared" si="1"/>
        <v/>
      </c>
      <c r="P17" s="287" t="str">
        <f>IF(B17="","",VLOOKUP(B17,'E-1 Off-Site Hedge Baseline'!$B$10:W262,19,FALSE))</f>
        <v/>
      </c>
      <c r="Q17" s="281" t="str">
        <f>IF(M17="","",VLOOKUP(M17,'G-6 Hedgerow Data'!$B$2:$AG$15,2,FALSE))</f>
        <v/>
      </c>
      <c r="R17" s="282" t="str">
        <f>IF(M17="","",VLOOKUP(M17,'G-6 Hedgerow Data'!$B$2:$AG$15,3,FALSE))</f>
        <v/>
      </c>
      <c r="S17" s="53"/>
      <c r="T17" s="282" t="str">
        <f>IFERROR(IF(S17="","",IF(AND(M17="Non-native and ornamental hedgerow", S17&lt;&gt;"Poor"),"Not possible ▲", (IF(AND(Q17="V.Low",OR(S17="Good",S17="Moderate")),"Error ▲",VLOOKUP(S17,'G-1 All Habitats'!$Z$2:$AA$9,2,FALSE))))),"")</f>
        <v/>
      </c>
      <c r="U17" s="106"/>
      <c r="V17" s="289" t="str">
        <f>IF(U17="","",IF(VLOOKUP(U17,'G-3 Multipliers'!$L$3:$N$6,2,FALSE)=0,"Spatial Data Missing ⚠",VLOOKUP(U17,'G-3 Multipliers'!$L$3:$N$6,2,FALSE)))</f>
        <v/>
      </c>
      <c r="W17" s="287" t="str">
        <f>IF(U17="","",IF(VLOOKUP(U17,'G-3 Multipliers'!$L$3:$N$6,3,FALSE)=0,"Spatial Data Missing ⚠",VLOOKUP(U17,'G-3 Multipliers'!$L$3:$N$6,3,FALSE)))</f>
        <v/>
      </c>
      <c r="X17" s="281" t="str">
        <f>IFERROR(IF(OR(LEFT(O17,5)="Error",LEFT(N17,5)="Error",T17="Error"),"Check Data ⚠",IF(F17&lt;R17,INDEX('G-6 Hedgerow Data'!$S$3:$AE$14,MATCH(C17,'G-6 Hedgerow Data'!$B$3:$B$14,0),MATCH(M17,'G-6 Hedgerow Data'!$S$2:$AE$2,0)),INDEX('G-6 Hedgerow Data'!$K$3:$Q$14,MATCH(M17,'G-6 Hedgerow Data'!$B$3:$B$14,0),MATCH(O17,'G-6 Hedgerow Data'!$K$2:$Q$2,0)))),"")</f>
        <v/>
      </c>
      <c r="Y17" s="137"/>
      <c r="Z17" s="137"/>
      <c r="AA17" s="289" t="str">
        <f t="shared" si="2"/>
        <v/>
      </c>
      <c r="AB17" s="302" t="str">
        <f t="shared" si="3"/>
        <v/>
      </c>
      <c r="AC17" s="303" t="str">
        <f t="shared" si="0"/>
        <v/>
      </c>
      <c r="AD17" s="317" t="str">
        <f>IF(M17="","",VLOOKUP(M17,'G-6 Hedgerow Data'!$B$3:$AG$15,31,FALSE))</f>
        <v/>
      </c>
      <c r="AE17" s="301" t="str">
        <f t="shared" si="4"/>
        <v/>
      </c>
      <c r="AF17" s="289" t="str">
        <f t="shared" si="5"/>
        <v/>
      </c>
      <c r="AG17" s="305" t="str">
        <f>IFERROR(IF(O17="","",VLOOKUP(AD17,'G-3 Multipliers'!$P$3:$Q$6,2,FALSE)),"")</f>
        <v/>
      </c>
      <c r="AH17" s="729" t="str">
        <f>IF(B17="","",IF(ISNA(VLOOKUP($B17,'E-1 Off-Site Hedge Baseline'!$B$1:$Z$257,14,FALSE)),"",(VLOOKUP($B17,'E-1 Off-Site Hedge Baseline'!$B$1:$Z$257,14,FALSE))))</f>
        <v/>
      </c>
      <c r="AI17" s="282" t="str">
        <f>IF(AH17="","",IF(VLOOKUP(AH17,'G-3 Multipliers'!$S$3:$T$10,2,FALSE)=0,"Spatial Data Missing ⚠",VLOOKUP(AH17,'G-3 Multipliers'!$S$3:$T$10,2,FALSE)))</f>
        <v/>
      </c>
      <c r="AJ17" s="323" t="str">
        <f t="shared" si="6"/>
        <v/>
      </c>
      <c r="AK17" s="295" t="str">
        <f t="shared" si="7"/>
        <v/>
      </c>
      <c r="AL17" s="105"/>
      <c r="AM17" s="119"/>
      <c r="AN17" s="108"/>
      <c r="AO17" s="108"/>
      <c r="AQ17" s="30" t="str">
        <f>IFERROR(INDEX('G-6 Hedgerow Data'!$BJ$3:$BJ$15,MATCH(M17,'G-6 Hedgerow Data'!$B$3:$B$15,0)),"")</f>
        <v/>
      </c>
    </row>
    <row r="18" spans="2:43" ht="13.8" x14ac:dyDescent="0.25">
      <c r="B18" s="311" t="str">
        <f>'E-1 Off-Site Hedge Baseline'!AN16</f>
        <v/>
      </c>
      <c r="C18" s="301" t="str">
        <f>IF(B18="","",IF(ISNA(VLOOKUP($B18,'E-1 Off-Site Hedge Baseline'!$B$1:$L$257,3,FALSE)),"",(VLOOKUP($B18,'E-1 Off-Site Hedge Baseline'!$B$1:$L$257,3,FALSE))))</f>
        <v/>
      </c>
      <c r="D18" s="301" t="str">
        <f>IF(B18="","",IF(ISNA(VLOOKUP($B18,'E-1 Off-Site Hedge Baseline'!$B$1:$L$258,4,FALSE)),"",(VLOOKUP($B18,'E-1 Off-Site Hedge Baseline'!$B$1:$L$258,4,FALSE))))</f>
        <v/>
      </c>
      <c r="E18" s="301" t="str">
        <f>IF(B18="","",IF(ISNA(VLOOKUP($B18,'E-1 Off-Site Hedge Baseline'!$B$1:$L$257,5,FALSE)),"",(VLOOKUP($B18,'E-1 Off-Site Hedge Baseline'!$B$1:$L$257,5,FALSE))))</f>
        <v/>
      </c>
      <c r="F18" s="301" t="str">
        <f>IF(B18="","",IF(ISNA(VLOOKUP($B18,'E-1 Off-Site Hedge Baseline'!$B$1:$L$257,6,FALSE)),"",(VLOOKUP($B18,'E-1 Off-Site Hedge Baseline'!$B$1:$L$257,6,FALSE))))</f>
        <v/>
      </c>
      <c r="G18" s="301" t="str">
        <f>IF(B18="","",IF(ISNA(VLOOKUP($B18,'E-1 Off-Site Hedge Baseline'!$B$1:$L$257,7,FALSE)),"",(VLOOKUP($B18,'E-1 Off-Site Hedge Baseline'!$B$1:$L$257,7,FALSE))))</f>
        <v/>
      </c>
      <c r="H18" s="301" t="str">
        <f>IF(B18="","",IF(ISNA(VLOOKUP($B18,'E-1 Off-Site Hedge Baseline'!$B$1:$L$257,8,FALSE)),"",(VLOOKUP($B18,'E-1 Off-Site Hedge Baseline'!$B$1:$L$257,8,FALSE))))</f>
        <v/>
      </c>
      <c r="I18" s="301" t="str">
        <f>IF(B18="","",IF(ISNA(VLOOKUP($B18,'E-1 Off-Site Hedge Baseline'!$B$1:$L$257,10,FALSE)),"",(VLOOKUP($B18,'E-1 Off-Site Hedge Baseline'!$B$1:$L$257,10,FALSE))))</f>
        <v/>
      </c>
      <c r="J18" s="301" t="str">
        <f>IF(B18="","",IF(ISNA(VLOOKUP($B18,'E-1 Off-Site Hedge Baseline'!$B$1:$L$257,11,FALSE)),"",(VLOOKUP($B18,'E-1 Off-Site Hedge Baseline'!$B$1:$L$257,11,FALSE))))</f>
        <v/>
      </c>
      <c r="K18" s="301" t="str">
        <f>IF(B18="","",IF(ISNA(VLOOKUP($B18,'E-1 Off-Site Hedge Baseline'!$B$1:$X$257,16,FALSE)),"",(VLOOKUP($B18,'E-1 Off-Site Hedge Baseline'!$B$1:$X$257,16,FALSE))))</f>
        <v/>
      </c>
      <c r="L18" s="289" t="str">
        <f>IF(B18="","",IF(ISNA(VLOOKUP($B18,'E-1 Off-Site Hedge Baseline'!$B$1:$X$257,12,FALSE)),"",(VLOOKUP($B18,'E-1 Off-Site Hedge Baseline'!$B$1:$X$257,12,FALSE))))</f>
        <v/>
      </c>
      <c r="M18" s="250"/>
      <c r="N18" s="281" t="str">
        <f>IFERROR(IF(B18="","",INDEX('G-6 Hedgerow Data'!$AN$3:$AZ$15,MATCH(C18,'G-6 Hedgerow Data'!$AM$3:$AM$15,0),MATCH(M18,'G-6 Hedgerow Data'!$AN$2:$AZ$2,0))),"")</f>
        <v/>
      </c>
      <c r="O18" s="282" t="str">
        <f t="shared" si="1"/>
        <v/>
      </c>
      <c r="P18" s="287" t="str">
        <f>IF(B18="","",VLOOKUP(B18,'E-1 Off-Site Hedge Baseline'!$B$10:W263,19,FALSE))</f>
        <v/>
      </c>
      <c r="Q18" s="281" t="str">
        <f>IF(M18="","",VLOOKUP(M18,'G-6 Hedgerow Data'!$B$2:$AG$15,2,FALSE))</f>
        <v/>
      </c>
      <c r="R18" s="282" t="str">
        <f>IF(M18="","",VLOOKUP(M18,'G-6 Hedgerow Data'!$B$2:$AG$15,3,FALSE))</f>
        <v/>
      </c>
      <c r="S18" s="53"/>
      <c r="T18" s="282" t="str">
        <f>IFERROR(IF(S18="","",IF(AND(M18="Non-native and ornamental hedgerow", S18&lt;&gt;"Poor"),"Not possible ▲", (IF(AND(Q18="V.Low",OR(S18="Good",S18="Moderate")),"Error ▲",VLOOKUP(S18,'G-1 All Habitats'!$Z$2:$AA$9,2,FALSE))))),"")</f>
        <v/>
      </c>
      <c r="U18" s="106"/>
      <c r="V18" s="289" t="str">
        <f>IF(U18="","",IF(VLOOKUP(U18,'G-3 Multipliers'!$L$3:$N$6,2,FALSE)=0,"Spatial Data Missing ⚠",VLOOKUP(U18,'G-3 Multipliers'!$L$3:$N$6,2,FALSE)))</f>
        <v/>
      </c>
      <c r="W18" s="287" t="str">
        <f>IF(U18="","",IF(VLOOKUP(U18,'G-3 Multipliers'!$L$3:$N$6,3,FALSE)=0,"Spatial Data Missing ⚠",VLOOKUP(U18,'G-3 Multipliers'!$L$3:$N$6,3,FALSE)))</f>
        <v/>
      </c>
      <c r="X18" s="281" t="str">
        <f>IFERROR(IF(OR(LEFT(O18,5)="Error",LEFT(N18,5)="Error",T18="Error"),"Check Data ⚠",IF(F18&lt;R18,INDEX('G-6 Hedgerow Data'!$S$3:$AE$14,MATCH(C18,'G-6 Hedgerow Data'!$B$3:$B$14,0),MATCH(M18,'G-6 Hedgerow Data'!$S$2:$AE$2,0)),INDEX('G-6 Hedgerow Data'!$K$3:$Q$14,MATCH(M18,'G-6 Hedgerow Data'!$B$3:$B$14,0),MATCH(O18,'G-6 Hedgerow Data'!$K$2:$Q$2,0)))),"")</f>
        <v/>
      </c>
      <c r="Y18" s="137"/>
      <c r="Z18" s="137"/>
      <c r="AA18" s="289" t="str">
        <f t="shared" si="2"/>
        <v/>
      </c>
      <c r="AB18" s="302" t="str">
        <f t="shared" si="3"/>
        <v/>
      </c>
      <c r="AC18" s="303" t="str">
        <f t="shared" si="0"/>
        <v/>
      </c>
      <c r="AD18" s="317" t="str">
        <f>IF(M18="","",VLOOKUP(M18,'G-6 Hedgerow Data'!$B$3:$AG$15,31,FALSE))</f>
        <v/>
      </c>
      <c r="AE18" s="301" t="str">
        <f t="shared" si="4"/>
        <v/>
      </c>
      <c r="AF18" s="289" t="str">
        <f t="shared" si="5"/>
        <v/>
      </c>
      <c r="AG18" s="305" t="str">
        <f>IFERROR(IF(O18="","",VLOOKUP(AD18,'G-3 Multipliers'!$P$3:$Q$6,2,FALSE)),"")</f>
        <v/>
      </c>
      <c r="AH18" s="729" t="str">
        <f>IF(B18="","",IF(ISNA(VLOOKUP($B18,'E-1 Off-Site Hedge Baseline'!$B$1:$Z$257,14,FALSE)),"",(VLOOKUP($B18,'E-1 Off-Site Hedge Baseline'!$B$1:$Z$257,14,FALSE))))</f>
        <v/>
      </c>
      <c r="AI18" s="282" t="str">
        <f>IF(AH18="","",IF(VLOOKUP(AH18,'G-3 Multipliers'!$S$3:$T$10,2,FALSE)=0,"Spatial Data Missing ⚠",VLOOKUP(AH18,'G-3 Multipliers'!$S$3:$T$10,2,FALSE)))</f>
        <v/>
      </c>
      <c r="AJ18" s="323" t="str">
        <f t="shared" si="6"/>
        <v/>
      </c>
      <c r="AK18" s="295" t="str">
        <f t="shared" si="7"/>
        <v/>
      </c>
      <c r="AL18" s="105"/>
      <c r="AM18" s="119"/>
      <c r="AN18" s="108"/>
      <c r="AO18" s="108"/>
      <c r="AQ18" s="30" t="str">
        <f>IFERROR(INDEX('G-6 Hedgerow Data'!$BJ$3:$BJ$15,MATCH(M18,'G-6 Hedgerow Data'!$B$3:$B$15,0)),"")</f>
        <v/>
      </c>
    </row>
    <row r="19" spans="2:43" ht="13.8" x14ac:dyDescent="0.25">
      <c r="B19" s="311" t="str">
        <f>'E-1 Off-Site Hedge Baseline'!AN17</f>
        <v/>
      </c>
      <c r="C19" s="301" t="str">
        <f>IF(B19="","",IF(ISNA(VLOOKUP($B19,'E-1 Off-Site Hedge Baseline'!$B$1:$L$257,3,FALSE)),"",(VLOOKUP($B19,'E-1 Off-Site Hedge Baseline'!$B$1:$L$257,3,FALSE))))</f>
        <v/>
      </c>
      <c r="D19" s="301" t="str">
        <f>IF(B19="","",IF(ISNA(VLOOKUP($B19,'E-1 Off-Site Hedge Baseline'!$B$1:$L$258,4,FALSE)),"",(VLOOKUP($B19,'E-1 Off-Site Hedge Baseline'!$B$1:$L$258,4,FALSE))))</f>
        <v/>
      </c>
      <c r="E19" s="301" t="str">
        <f>IF(B19="","",IF(ISNA(VLOOKUP($B19,'E-1 Off-Site Hedge Baseline'!$B$1:$L$257,5,FALSE)),"",(VLOOKUP($B19,'E-1 Off-Site Hedge Baseline'!$B$1:$L$257,5,FALSE))))</f>
        <v/>
      </c>
      <c r="F19" s="301" t="str">
        <f>IF(B19="","",IF(ISNA(VLOOKUP($B19,'E-1 Off-Site Hedge Baseline'!$B$1:$L$257,6,FALSE)),"",(VLOOKUP($B19,'E-1 Off-Site Hedge Baseline'!$B$1:$L$257,6,FALSE))))</f>
        <v/>
      </c>
      <c r="G19" s="301" t="str">
        <f>IF(B19="","",IF(ISNA(VLOOKUP($B19,'E-1 Off-Site Hedge Baseline'!$B$1:$L$257,7,FALSE)),"",(VLOOKUP($B19,'E-1 Off-Site Hedge Baseline'!$B$1:$L$257,7,FALSE))))</f>
        <v/>
      </c>
      <c r="H19" s="301" t="str">
        <f>IF(B19="","",IF(ISNA(VLOOKUP($B19,'E-1 Off-Site Hedge Baseline'!$B$1:$L$257,8,FALSE)),"",(VLOOKUP($B19,'E-1 Off-Site Hedge Baseline'!$B$1:$L$257,8,FALSE))))</f>
        <v/>
      </c>
      <c r="I19" s="301" t="str">
        <f>IF(B19="","",IF(ISNA(VLOOKUP($B19,'E-1 Off-Site Hedge Baseline'!$B$1:$L$257,10,FALSE)),"",(VLOOKUP($B19,'E-1 Off-Site Hedge Baseline'!$B$1:$L$257,10,FALSE))))</f>
        <v/>
      </c>
      <c r="J19" s="301" t="str">
        <f>IF(B19="","",IF(ISNA(VLOOKUP($B19,'E-1 Off-Site Hedge Baseline'!$B$1:$L$257,11,FALSE)),"",(VLOOKUP($B19,'E-1 Off-Site Hedge Baseline'!$B$1:$L$257,11,FALSE))))</f>
        <v/>
      </c>
      <c r="K19" s="301" t="str">
        <f>IF(B19="","",IF(ISNA(VLOOKUP($B19,'E-1 Off-Site Hedge Baseline'!$B$1:$X$257,16,FALSE)),"",(VLOOKUP($B19,'E-1 Off-Site Hedge Baseline'!$B$1:$X$257,16,FALSE))))</f>
        <v/>
      </c>
      <c r="L19" s="289" t="str">
        <f>IF(B19="","",IF(ISNA(VLOOKUP($B19,'E-1 Off-Site Hedge Baseline'!$B$1:$X$257,12,FALSE)),"",(VLOOKUP($B19,'E-1 Off-Site Hedge Baseline'!$B$1:$X$257,12,FALSE))))</f>
        <v/>
      </c>
      <c r="M19" s="250"/>
      <c r="N19" s="281" t="str">
        <f>IFERROR(IF(B19="","",INDEX('G-6 Hedgerow Data'!$AN$3:$AZ$15,MATCH(C19,'G-6 Hedgerow Data'!$AM$3:$AM$15,0),MATCH(M19,'G-6 Hedgerow Data'!$AN$2:$AZ$2,0))),"")</f>
        <v/>
      </c>
      <c r="O19" s="282" t="str">
        <f t="shared" si="1"/>
        <v/>
      </c>
      <c r="P19" s="287" t="str">
        <f>IF(B19="","",VLOOKUP(B19,'E-1 Off-Site Hedge Baseline'!$B$10:W264,19,FALSE))</f>
        <v/>
      </c>
      <c r="Q19" s="281" t="str">
        <f>IF(M19="","",VLOOKUP(M19,'G-6 Hedgerow Data'!$B$2:$AG$15,2,FALSE))</f>
        <v/>
      </c>
      <c r="R19" s="282" t="str">
        <f>IF(M19="","",VLOOKUP(M19,'G-6 Hedgerow Data'!$B$2:$AG$15,3,FALSE))</f>
        <v/>
      </c>
      <c r="S19" s="53"/>
      <c r="T19" s="282" t="str">
        <f>IFERROR(IF(S19="","",IF(AND(M19="Non-native and ornamental hedgerow", S19&lt;&gt;"Poor"),"Not possible ▲", (IF(AND(Q19="V.Low",OR(S19="Good",S19="Moderate")),"Error ▲",VLOOKUP(S19,'G-1 All Habitats'!$Z$2:$AA$9,2,FALSE))))),"")</f>
        <v/>
      </c>
      <c r="U19" s="106"/>
      <c r="V19" s="289" t="str">
        <f>IF(U19="","",IF(VLOOKUP(U19,'G-3 Multipliers'!$L$3:$N$6,2,FALSE)=0,"Spatial Data Missing ⚠",VLOOKUP(U19,'G-3 Multipliers'!$L$3:$N$6,2,FALSE)))</f>
        <v/>
      </c>
      <c r="W19" s="287" t="str">
        <f>IF(U19="","",IF(VLOOKUP(U19,'G-3 Multipliers'!$L$3:$N$6,3,FALSE)=0,"Spatial Data Missing ⚠",VLOOKUP(U19,'G-3 Multipliers'!$L$3:$N$6,3,FALSE)))</f>
        <v/>
      </c>
      <c r="X19" s="281" t="str">
        <f>IFERROR(IF(OR(LEFT(O19,5)="Error",LEFT(N19,5)="Error",T19="Error"),"Check Data ⚠",IF(F19&lt;R19,INDEX('G-6 Hedgerow Data'!$S$3:$AE$14,MATCH(C19,'G-6 Hedgerow Data'!$B$3:$B$14,0),MATCH(M19,'G-6 Hedgerow Data'!$S$2:$AE$2,0)),INDEX('G-6 Hedgerow Data'!$K$3:$Q$14,MATCH(M19,'G-6 Hedgerow Data'!$B$3:$B$14,0),MATCH(O19,'G-6 Hedgerow Data'!$K$2:$Q$2,0)))),"")</f>
        <v/>
      </c>
      <c r="Y19" s="137"/>
      <c r="Z19" s="137"/>
      <c r="AA19" s="289" t="str">
        <f t="shared" si="2"/>
        <v/>
      </c>
      <c r="AB19" s="302" t="str">
        <f t="shared" si="3"/>
        <v/>
      </c>
      <c r="AC19" s="303" t="str">
        <f t="shared" si="0"/>
        <v/>
      </c>
      <c r="AD19" s="317" t="str">
        <f>IF(M19="","",VLOOKUP(M19,'G-6 Hedgerow Data'!$B$3:$AG$15,31,FALSE))</f>
        <v/>
      </c>
      <c r="AE19" s="301" t="str">
        <f t="shared" si="4"/>
        <v/>
      </c>
      <c r="AF19" s="289" t="str">
        <f t="shared" si="5"/>
        <v/>
      </c>
      <c r="AG19" s="305" t="str">
        <f>IFERROR(IF(O19="","",VLOOKUP(AD19,'G-3 Multipliers'!$P$3:$Q$6,2,FALSE)),"")</f>
        <v/>
      </c>
      <c r="AH19" s="729" t="str">
        <f>IF(B19="","",IF(ISNA(VLOOKUP($B19,'E-1 Off-Site Hedge Baseline'!$B$1:$Z$257,14,FALSE)),"",(VLOOKUP($B19,'E-1 Off-Site Hedge Baseline'!$B$1:$Z$257,14,FALSE))))</f>
        <v/>
      </c>
      <c r="AI19" s="282" t="str">
        <f>IF(AH19="","",IF(VLOOKUP(AH19,'G-3 Multipliers'!$S$3:$T$10,2,FALSE)=0,"Spatial Data Missing ⚠",VLOOKUP(AH19,'G-3 Multipliers'!$S$3:$T$10,2,FALSE)))</f>
        <v/>
      </c>
      <c r="AJ19" s="323" t="str">
        <f t="shared" si="6"/>
        <v/>
      </c>
      <c r="AK19" s="295" t="str">
        <f t="shared" si="7"/>
        <v/>
      </c>
      <c r="AL19" s="105"/>
      <c r="AM19" s="119"/>
      <c r="AN19" s="108"/>
      <c r="AO19" s="108"/>
      <c r="AQ19" s="30" t="str">
        <f>IFERROR(INDEX('G-6 Hedgerow Data'!$BJ$3:$BJ$15,MATCH(M19,'G-6 Hedgerow Data'!$B$3:$B$15,0)),"")</f>
        <v/>
      </c>
    </row>
    <row r="20" spans="2:43" ht="13.8" x14ac:dyDescent="0.25">
      <c r="B20" s="311" t="str">
        <f>'E-1 Off-Site Hedge Baseline'!AN18</f>
        <v/>
      </c>
      <c r="C20" s="301" t="str">
        <f>IF(B20="","",IF(ISNA(VLOOKUP($B20,'E-1 Off-Site Hedge Baseline'!$B$1:$L$257,3,FALSE)),"",(VLOOKUP($B20,'E-1 Off-Site Hedge Baseline'!$B$1:$L$257,3,FALSE))))</f>
        <v/>
      </c>
      <c r="D20" s="301" t="str">
        <f>IF(B20="","",IF(ISNA(VLOOKUP($B20,'E-1 Off-Site Hedge Baseline'!$B$1:$L$258,4,FALSE)),"",(VLOOKUP($B20,'E-1 Off-Site Hedge Baseline'!$B$1:$L$258,4,FALSE))))</f>
        <v/>
      </c>
      <c r="E20" s="301" t="str">
        <f>IF(B20="","",IF(ISNA(VLOOKUP($B20,'E-1 Off-Site Hedge Baseline'!$B$1:$L$257,5,FALSE)),"",(VLOOKUP($B20,'E-1 Off-Site Hedge Baseline'!$B$1:$L$257,5,FALSE))))</f>
        <v/>
      </c>
      <c r="F20" s="301" t="str">
        <f>IF(B20="","",IF(ISNA(VLOOKUP($B20,'E-1 Off-Site Hedge Baseline'!$B$1:$L$257,6,FALSE)),"",(VLOOKUP($B20,'E-1 Off-Site Hedge Baseline'!$B$1:$L$257,6,FALSE))))</f>
        <v/>
      </c>
      <c r="G20" s="301" t="str">
        <f>IF(B20="","",IF(ISNA(VLOOKUP($B20,'E-1 Off-Site Hedge Baseline'!$B$1:$L$257,7,FALSE)),"",(VLOOKUP($B20,'E-1 Off-Site Hedge Baseline'!$B$1:$L$257,7,FALSE))))</f>
        <v/>
      </c>
      <c r="H20" s="301" t="str">
        <f>IF(B20="","",IF(ISNA(VLOOKUP($B20,'E-1 Off-Site Hedge Baseline'!$B$1:$L$257,8,FALSE)),"",(VLOOKUP($B20,'E-1 Off-Site Hedge Baseline'!$B$1:$L$257,8,FALSE))))</f>
        <v/>
      </c>
      <c r="I20" s="301" t="str">
        <f>IF(B20="","",IF(ISNA(VLOOKUP($B20,'E-1 Off-Site Hedge Baseline'!$B$1:$L$257,10,FALSE)),"",(VLOOKUP($B20,'E-1 Off-Site Hedge Baseline'!$B$1:$L$257,10,FALSE))))</f>
        <v/>
      </c>
      <c r="J20" s="301" t="str">
        <f>IF(B20="","",IF(ISNA(VLOOKUP($B20,'E-1 Off-Site Hedge Baseline'!$B$1:$L$257,11,FALSE)),"",(VLOOKUP($B20,'E-1 Off-Site Hedge Baseline'!$B$1:$L$257,11,FALSE))))</f>
        <v/>
      </c>
      <c r="K20" s="301" t="str">
        <f>IF(B20="","",IF(ISNA(VLOOKUP($B20,'E-1 Off-Site Hedge Baseline'!$B$1:$X$257,16,FALSE)),"",(VLOOKUP($B20,'E-1 Off-Site Hedge Baseline'!$B$1:$X$257,16,FALSE))))</f>
        <v/>
      </c>
      <c r="L20" s="289" t="str">
        <f>IF(B20="","",IF(ISNA(VLOOKUP($B20,'E-1 Off-Site Hedge Baseline'!$B$1:$X$257,12,FALSE)),"",(VLOOKUP($B20,'E-1 Off-Site Hedge Baseline'!$B$1:$X$257,12,FALSE))))</f>
        <v/>
      </c>
      <c r="M20" s="250"/>
      <c r="N20" s="281" t="str">
        <f>IFERROR(IF(B20="","",INDEX('G-6 Hedgerow Data'!$AN$3:$AZ$15,MATCH(C20,'G-6 Hedgerow Data'!$AM$3:$AM$15,0),MATCH(M20,'G-6 Hedgerow Data'!$AN$2:$AZ$2,0))),"")</f>
        <v/>
      </c>
      <c r="O20" s="282" t="str">
        <f t="shared" si="1"/>
        <v/>
      </c>
      <c r="P20" s="287" t="str">
        <f>IF(B20="","",VLOOKUP(B20,'E-1 Off-Site Hedge Baseline'!$B$10:W265,19,FALSE))</f>
        <v/>
      </c>
      <c r="Q20" s="281" t="str">
        <f>IF(M20="","",VLOOKUP(M20,'G-6 Hedgerow Data'!$B$2:$AG$15,2,FALSE))</f>
        <v/>
      </c>
      <c r="R20" s="282" t="str">
        <f>IF(M20="","",VLOOKUP(M20,'G-6 Hedgerow Data'!$B$2:$AG$15,3,FALSE))</f>
        <v/>
      </c>
      <c r="S20" s="53"/>
      <c r="T20" s="282" t="str">
        <f>IFERROR(IF(S20="","",IF(AND(M20="Non-native and ornamental hedgerow", S20&lt;&gt;"Poor"),"Not possible ▲", (IF(AND(Q20="V.Low",OR(S20="Good",S20="Moderate")),"Error ▲",VLOOKUP(S20,'G-1 All Habitats'!$Z$2:$AA$9,2,FALSE))))),"")</f>
        <v/>
      </c>
      <c r="U20" s="106"/>
      <c r="V20" s="289" t="str">
        <f>IF(U20="","",IF(VLOOKUP(U20,'G-3 Multipliers'!$L$3:$N$6,2,FALSE)=0,"Spatial Data Missing ⚠",VLOOKUP(U20,'G-3 Multipliers'!$L$3:$N$6,2,FALSE)))</f>
        <v/>
      </c>
      <c r="W20" s="287" t="str">
        <f>IF(U20="","",IF(VLOOKUP(U20,'G-3 Multipliers'!$L$3:$N$6,3,FALSE)=0,"Spatial Data Missing ⚠",VLOOKUP(U20,'G-3 Multipliers'!$L$3:$N$6,3,FALSE)))</f>
        <v/>
      </c>
      <c r="X20" s="281" t="str">
        <f>IFERROR(IF(OR(LEFT(O20,5)="Error",LEFT(N20,5)="Error",T20="Error"),"Check Data ⚠",IF(F20&lt;R20,INDEX('G-6 Hedgerow Data'!$S$3:$AE$14,MATCH(C20,'G-6 Hedgerow Data'!$B$3:$B$14,0),MATCH(M20,'G-6 Hedgerow Data'!$S$2:$AE$2,0)),INDEX('G-6 Hedgerow Data'!$K$3:$Q$14,MATCH(M20,'G-6 Hedgerow Data'!$B$3:$B$14,0),MATCH(O20,'G-6 Hedgerow Data'!$K$2:$Q$2,0)))),"")</f>
        <v/>
      </c>
      <c r="Y20" s="137"/>
      <c r="Z20" s="137"/>
      <c r="AA20" s="289" t="str">
        <f t="shared" si="2"/>
        <v/>
      </c>
      <c r="AB20" s="302" t="str">
        <f t="shared" si="3"/>
        <v/>
      </c>
      <c r="AC20" s="303" t="str">
        <f t="shared" si="0"/>
        <v/>
      </c>
      <c r="AD20" s="317" t="str">
        <f>IF(M20="","",VLOOKUP(M20,'G-6 Hedgerow Data'!$B$3:$AG$15,31,FALSE))</f>
        <v/>
      </c>
      <c r="AE20" s="301" t="str">
        <f t="shared" si="4"/>
        <v/>
      </c>
      <c r="AF20" s="289" t="str">
        <f t="shared" si="5"/>
        <v/>
      </c>
      <c r="AG20" s="305" t="str">
        <f>IFERROR(IF(O20="","",VLOOKUP(AD20,'G-3 Multipliers'!$P$3:$Q$6,2,FALSE)),"")</f>
        <v/>
      </c>
      <c r="AH20" s="729" t="str">
        <f>IF(B20="","",IF(ISNA(VLOOKUP($B20,'E-1 Off-Site Hedge Baseline'!$B$1:$Z$257,14,FALSE)),"",(VLOOKUP($B20,'E-1 Off-Site Hedge Baseline'!$B$1:$Z$257,14,FALSE))))</f>
        <v/>
      </c>
      <c r="AI20" s="282" t="str">
        <f>IF(AH20="","",IF(VLOOKUP(AH20,'G-3 Multipliers'!$S$3:$T$10,2,FALSE)=0,"Spatial Data Missing ⚠",VLOOKUP(AH20,'G-3 Multipliers'!$S$3:$T$10,2,FALSE)))</f>
        <v/>
      </c>
      <c r="AJ20" s="323" t="str">
        <f t="shared" si="6"/>
        <v/>
      </c>
      <c r="AK20" s="295" t="str">
        <f t="shared" si="7"/>
        <v/>
      </c>
      <c r="AL20" s="105"/>
      <c r="AM20" s="119"/>
      <c r="AN20" s="108"/>
      <c r="AO20" s="108"/>
      <c r="AQ20" s="30" t="str">
        <f>IFERROR(INDEX('G-6 Hedgerow Data'!$BJ$3:$BJ$15,MATCH(M20,'G-6 Hedgerow Data'!$B$3:$B$15,0)),"")</f>
        <v/>
      </c>
    </row>
    <row r="21" spans="2:43" ht="13.8" x14ac:dyDescent="0.25">
      <c r="B21" s="311" t="str">
        <f>'E-1 Off-Site Hedge Baseline'!AN19</f>
        <v/>
      </c>
      <c r="C21" s="301" t="str">
        <f>IF(B21="","",IF(ISNA(VLOOKUP($B21,'E-1 Off-Site Hedge Baseline'!$B$1:$L$257,3,FALSE)),"",(VLOOKUP($B21,'E-1 Off-Site Hedge Baseline'!$B$1:$L$257,3,FALSE))))</f>
        <v/>
      </c>
      <c r="D21" s="301" t="str">
        <f>IF(B21="","",IF(ISNA(VLOOKUP($B21,'E-1 Off-Site Hedge Baseline'!$B$1:$L$258,4,FALSE)),"",(VLOOKUP($B21,'E-1 Off-Site Hedge Baseline'!$B$1:$L$258,4,FALSE))))</f>
        <v/>
      </c>
      <c r="E21" s="301" t="str">
        <f>IF(B21="","",IF(ISNA(VLOOKUP($B21,'E-1 Off-Site Hedge Baseline'!$B$1:$L$257,5,FALSE)),"",(VLOOKUP($B21,'E-1 Off-Site Hedge Baseline'!$B$1:$L$257,5,FALSE))))</f>
        <v/>
      </c>
      <c r="F21" s="301" t="str">
        <f>IF(B21="","",IF(ISNA(VLOOKUP($B21,'E-1 Off-Site Hedge Baseline'!$B$1:$L$257,6,FALSE)),"",(VLOOKUP($B21,'E-1 Off-Site Hedge Baseline'!$B$1:$L$257,6,FALSE))))</f>
        <v/>
      </c>
      <c r="G21" s="301" t="str">
        <f>IF(B21="","",IF(ISNA(VLOOKUP($B21,'E-1 Off-Site Hedge Baseline'!$B$1:$L$257,7,FALSE)),"",(VLOOKUP($B21,'E-1 Off-Site Hedge Baseline'!$B$1:$L$257,7,FALSE))))</f>
        <v/>
      </c>
      <c r="H21" s="301" t="str">
        <f>IF(B21="","",IF(ISNA(VLOOKUP($B21,'E-1 Off-Site Hedge Baseline'!$B$1:$L$257,8,FALSE)),"",(VLOOKUP($B21,'E-1 Off-Site Hedge Baseline'!$B$1:$L$257,8,FALSE))))</f>
        <v/>
      </c>
      <c r="I21" s="301" t="str">
        <f>IF(B21="","",IF(ISNA(VLOOKUP($B21,'E-1 Off-Site Hedge Baseline'!$B$1:$L$257,10,FALSE)),"",(VLOOKUP($B21,'E-1 Off-Site Hedge Baseline'!$B$1:$L$257,10,FALSE))))</f>
        <v/>
      </c>
      <c r="J21" s="301" t="str">
        <f>IF(B21="","",IF(ISNA(VLOOKUP($B21,'E-1 Off-Site Hedge Baseline'!$B$1:$L$257,11,FALSE)),"",(VLOOKUP($B21,'E-1 Off-Site Hedge Baseline'!$B$1:$L$257,11,FALSE))))</f>
        <v/>
      </c>
      <c r="K21" s="301" t="str">
        <f>IF(B21="","",IF(ISNA(VLOOKUP($B21,'E-1 Off-Site Hedge Baseline'!$B$1:$X$257,16,FALSE)),"",(VLOOKUP($B21,'E-1 Off-Site Hedge Baseline'!$B$1:$X$257,16,FALSE))))</f>
        <v/>
      </c>
      <c r="L21" s="289" t="str">
        <f>IF(B21="","",IF(ISNA(VLOOKUP($B21,'E-1 Off-Site Hedge Baseline'!$B$1:$X$257,12,FALSE)),"",(VLOOKUP($B21,'E-1 Off-Site Hedge Baseline'!$B$1:$X$257,12,FALSE))))</f>
        <v/>
      </c>
      <c r="M21" s="250"/>
      <c r="N21" s="281" t="str">
        <f>IFERROR(IF(B21="","",INDEX('G-6 Hedgerow Data'!$AN$3:$AZ$15,MATCH(C21,'G-6 Hedgerow Data'!$AM$3:$AM$15,0),MATCH(M21,'G-6 Hedgerow Data'!$AN$2:$AZ$2,0))),"")</f>
        <v/>
      </c>
      <c r="O21" s="282" t="str">
        <f t="shared" si="1"/>
        <v/>
      </c>
      <c r="P21" s="287" t="str">
        <f>IF(B21="","",VLOOKUP(B21,'E-1 Off-Site Hedge Baseline'!$B$10:W266,19,FALSE))</f>
        <v/>
      </c>
      <c r="Q21" s="281" t="str">
        <f>IF(M21="","",VLOOKUP(M21,'G-6 Hedgerow Data'!$B$2:$AG$15,2,FALSE))</f>
        <v/>
      </c>
      <c r="R21" s="282" t="str">
        <f>IF(M21="","",VLOOKUP(M21,'G-6 Hedgerow Data'!$B$2:$AG$15,3,FALSE))</f>
        <v/>
      </c>
      <c r="S21" s="53"/>
      <c r="T21" s="282" t="str">
        <f>IFERROR(IF(S21="","",IF(AND(M21="Non-native and ornamental hedgerow", S21&lt;&gt;"Poor"),"Not possible ▲", (IF(AND(Q21="V.Low",OR(S21="Good",S21="Moderate")),"Error ▲",VLOOKUP(S21,'G-1 All Habitats'!$Z$2:$AA$9,2,FALSE))))),"")</f>
        <v/>
      </c>
      <c r="U21" s="106"/>
      <c r="V21" s="289" t="str">
        <f>IF(U21="","",IF(VLOOKUP(U21,'G-3 Multipliers'!$L$3:$N$6,2,FALSE)=0,"Spatial Data Missing ⚠",VLOOKUP(U21,'G-3 Multipliers'!$L$3:$N$6,2,FALSE)))</f>
        <v/>
      </c>
      <c r="W21" s="287" t="str">
        <f>IF(U21="","",IF(VLOOKUP(U21,'G-3 Multipliers'!$L$3:$N$6,3,FALSE)=0,"Spatial Data Missing ⚠",VLOOKUP(U21,'G-3 Multipliers'!$L$3:$N$6,3,FALSE)))</f>
        <v/>
      </c>
      <c r="X21" s="281" t="str">
        <f>IFERROR(IF(OR(LEFT(O21,5)="Error",LEFT(N21,5)="Error",T21="Error"),"Check Data ⚠",IF(F21&lt;R21,INDEX('G-6 Hedgerow Data'!$S$3:$AE$14,MATCH(C21,'G-6 Hedgerow Data'!$B$3:$B$14,0),MATCH(M21,'G-6 Hedgerow Data'!$S$2:$AE$2,0)),INDEX('G-6 Hedgerow Data'!$K$3:$Q$14,MATCH(M21,'G-6 Hedgerow Data'!$B$3:$B$14,0),MATCH(O21,'G-6 Hedgerow Data'!$K$2:$Q$2,0)))),"")</f>
        <v/>
      </c>
      <c r="Y21" s="137"/>
      <c r="Z21" s="137"/>
      <c r="AA21" s="289" t="str">
        <f t="shared" si="2"/>
        <v/>
      </c>
      <c r="AB21" s="302" t="str">
        <f t="shared" si="3"/>
        <v/>
      </c>
      <c r="AC21" s="303" t="str">
        <f t="shared" si="0"/>
        <v/>
      </c>
      <c r="AD21" s="317" t="str">
        <f>IF(M21="","",VLOOKUP(M21,'G-6 Hedgerow Data'!$B$3:$AG$15,31,FALSE))</f>
        <v/>
      </c>
      <c r="AE21" s="301" t="str">
        <f t="shared" si="4"/>
        <v/>
      </c>
      <c r="AF21" s="289" t="str">
        <f t="shared" si="5"/>
        <v/>
      </c>
      <c r="AG21" s="305" t="str">
        <f>IFERROR(IF(O21="","",VLOOKUP(AD21,'G-3 Multipliers'!$P$3:$Q$6,2,FALSE)),"")</f>
        <v/>
      </c>
      <c r="AH21" s="729" t="str">
        <f>IF(B21="","",IF(ISNA(VLOOKUP($B21,'E-1 Off-Site Hedge Baseline'!$B$1:$Z$257,14,FALSE)),"",(VLOOKUP($B21,'E-1 Off-Site Hedge Baseline'!$B$1:$Z$257,14,FALSE))))</f>
        <v/>
      </c>
      <c r="AI21" s="282" t="str">
        <f>IF(AH21="","",IF(VLOOKUP(AH21,'G-3 Multipliers'!$S$3:$T$10,2,FALSE)=0,"Spatial Data Missing ⚠",VLOOKUP(AH21,'G-3 Multipliers'!$S$3:$T$10,2,FALSE)))</f>
        <v/>
      </c>
      <c r="AJ21" s="323" t="str">
        <f t="shared" si="6"/>
        <v/>
      </c>
      <c r="AK21" s="295" t="str">
        <f t="shared" si="7"/>
        <v/>
      </c>
      <c r="AL21" s="105"/>
      <c r="AM21" s="119"/>
      <c r="AN21" s="108"/>
      <c r="AO21" s="108"/>
      <c r="AQ21" s="30" t="str">
        <f>IFERROR(INDEX('G-6 Hedgerow Data'!$BJ$3:$BJ$15,MATCH(M21,'G-6 Hedgerow Data'!$B$3:$B$15,0)),"")</f>
        <v/>
      </c>
    </row>
    <row r="22" spans="2:43" ht="13.8" x14ac:dyDescent="0.25">
      <c r="B22" s="311" t="str">
        <f>'E-1 Off-Site Hedge Baseline'!AN20</f>
        <v/>
      </c>
      <c r="C22" s="301" t="str">
        <f>IF(B22="","",IF(ISNA(VLOOKUP($B22,'E-1 Off-Site Hedge Baseline'!$B$1:$L$257,3,FALSE)),"",(VLOOKUP($B22,'E-1 Off-Site Hedge Baseline'!$B$1:$L$257,3,FALSE))))</f>
        <v/>
      </c>
      <c r="D22" s="301" t="str">
        <f>IF(B22="","",IF(ISNA(VLOOKUP($B22,'E-1 Off-Site Hedge Baseline'!$B$1:$L$258,4,FALSE)),"",(VLOOKUP($B22,'E-1 Off-Site Hedge Baseline'!$B$1:$L$258,4,FALSE))))</f>
        <v/>
      </c>
      <c r="E22" s="301" t="str">
        <f>IF(B22="","",IF(ISNA(VLOOKUP($B22,'E-1 Off-Site Hedge Baseline'!$B$1:$L$257,5,FALSE)),"",(VLOOKUP($B22,'E-1 Off-Site Hedge Baseline'!$B$1:$L$257,5,FALSE))))</f>
        <v/>
      </c>
      <c r="F22" s="301" t="str">
        <f>IF(B22="","",IF(ISNA(VLOOKUP($B22,'E-1 Off-Site Hedge Baseline'!$B$1:$L$257,6,FALSE)),"",(VLOOKUP($B22,'E-1 Off-Site Hedge Baseline'!$B$1:$L$257,6,FALSE))))</f>
        <v/>
      </c>
      <c r="G22" s="301" t="str">
        <f>IF(B22="","",IF(ISNA(VLOOKUP($B22,'E-1 Off-Site Hedge Baseline'!$B$1:$L$257,7,FALSE)),"",(VLOOKUP($B22,'E-1 Off-Site Hedge Baseline'!$B$1:$L$257,7,FALSE))))</f>
        <v/>
      </c>
      <c r="H22" s="301" t="str">
        <f>IF(B22="","",IF(ISNA(VLOOKUP($B22,'E-1 Off-Site Hedge Baseline'!$B$1:$L$257,8,FALSE)),"",(VLOOKUP($B22,'E-1 Off-Site Hedge Baseline'!$B$1:$L$257,8,FALSE))))</f>
        <v/>
      </c>
      <c r="I22" s="301" t="str">
        <f>IF(B22="","",IF(ISNA(VLOOKUP($B22,'E-1 Off-Site Hedge Baseline'!$B$1:$L$257,10,FALSE)),"",(VLOOKUP($B22,'E-1 Off-Site Hedge Baseline'!$B$1:$L$257,10,FALSE))))</f>
        <v/>
      </c>
      <c r="J22" s="301" t="str">
        <f>IF(B22="","",IF(ISNA(VLOOKUP($B22,'E-1 Off-Site Hedge Baseline'!$B$1:$L$257,11,FALSE)),"",(VLOOKUP($B22,'E-1 Off-Site Hedge Baseline'!$B$1:$L$257,11,FALSE))))</f>
        <v/>
      </c>
      <c r="K22" s="301" t="str">
        <f>IF(B22="","",IF(ISNA(VLOOKUP($B22,'E-1 Off-Site Hedge Baseline'!$B$1:$X$257,16,FALSE)),"",(VLOOKUP($B22,'E-1 Off-Site Hedge Baseline'!$B$1:$X$257,16,FALSE))))</f>
        <v/>
      </c>
      <c r="L22" s="289" t="str">
        <f>IF(B22="","",IF(ISNA(VLOOKUP($B22,'E-1 Off-Site Hedge Baseline'!$B$1:$X$257,12,FALSE)),"",(VLOOKUP($B22,'E-1 Off-Site Hedge Baseline'!$B$1:$X$257,12,FALSE))))</f>
        <v/>
      </c>
      <c r="M22" s="250"/>
      <c r="N22" s="281" t="str">
        <f>IFERROR(IF(B22="","",INDEX('G-6 Hedgerow Data'!$AN$3:$AZ$15,MATCH(C22,'G-6 Hedgerow Data'!$AM$3:$AM$15,0),MATCH(M22,'G-6 Hedgerow Data'!$AN$2:$AZ$2,0))),"")</f>
        <v/>
      </c>
      <c r="O22" s="282" t="str">
        <f t="shared" si="1"/>
        <v/>
      </c>
      <c r="P22" s="287" t="str">
        <f>IF(B22="","",VLOOKUP(B22,'E-1 Off-Site Hedge Baseline'!$B$10:W267,19,FALSE))</f>
        <v/>
      </c>
      <c r="Q22" s="281" t="str">
        <f>IF(M22="","",VLOOKUP(M22,'G-6 Hedgerow Data'!$B$2:$AG$15,2,FALSE))</f>
        <v/>
      </c>
      <c r="R22" s="282" t="str">
        <f>IF(M22="","",VLOOKUP(M22,'G-6 Hedgerow Data'!$B$2:$AG$15,3,FALSE))</f>
        <v/>
      </c>
      <c r="S22" s="53"/>
      <c r="T22" s="282" t="str">
        <f>IFERROR(IF(S22="","",IF(AND(M22="Non-native and ornamental hedgerow", S22&lt;&gt;"Poor"),"Not possible ▲", (IF(AND(Q22="V.Low",OR(S22="Good",S22="Moderate")),"Error ▲",VLOOKUP(S22,'G-1 All Habitats'!$Z$2:$AA$9,2,FALSE))))),"")</f>
        <v/>
      </c>
      <c r="U22" s="106"/>
      <c r="V22" s="289" t="str">
        <f>IF(U22="","",IF(VLOOKUP(U22,'G-3 Multipliers'!$L$3:$N$6,2,FALSE)=0,"Spatial Data Missing ⚠",VLOOKUP(U22,'G-3 Multipliers'!$L$3:$N$6,2,FALSE)))</f>
        <v/>
      </c>
      <c r="W22" s="287" t="str">
        <f>IF(U22="","",IF(VLOOKUP(U22,'G-3 Multipliers'!$L$3:$N$6,3,FALSE)=0,"Spatial Data Missing ⚠",VLOOKUP(U22,'G-3 Multipliers'!$L$3:$N$6,3,FALSE)))</f>
        <v/>
      </c>
      <c r="X22" s="281" t="str">
        <f>IFERROR(IF(OR(LEFT(O22,5)="Error",LEFT(N22,5)="Error",T22="Error"),"Check Data ⚠",IF(F22&lt;R22,INDEX('G-6 Hedgerow Data'!$S$3:$AE$14,MATCH(C22,'G-6 Hedgerow Data'!$B$3:$B$14,0),MATCH(M22,'G-6 Hedgerow Data'!$S$2:$AE$2,0)),INDEX('G-6 Hedgerow Data'!$K$3:$Q$14,MATCH(M22,'G-6 Hedgerow Data'!$B$3:$B$14,0),MATCH(O22,'G-6 Hedgerow Data'!$K$2:$Q$2,0)))),"")</f>
        <v/>
      </c>
      <c r="Y22" s="137"/>
      <c r="Z22" s="137"/>
      <c r="AA22" s="289" t="str">
        <f t="shared" si="2"/>
        <v/>
      </c>
      <c r="AB22" s="302" t="str">
        <f t="shared" si="3"/>
        <v/>
      </c>
      <c r="AC22" s="303" t="str">
        <f t="shared" si="0"/>
        <v/>
      </c>
      <c r="AD22" s="317" t="str">
        <f>IF(M22="","",VLOOKUP(M22,'G-6 Hedgerow Data'!$B$3:$AG$15,31,FALSE))</f>
        <v/>
      </c>
      <c r="AE22" s="301" t="str">
        <f t="shared" si="4"/>
        <v/>
      </c>
      <c r="AF22" s="289" t="str">
        <f t="shared" si="5"/>
        <v/>
      </c>
      <c r="AG22" s="305" t="str">
        <f>IFERROR(IF(O22="","",VLOOKUP(AD22,'G-3 Multipliers'!$P$3:$Q$6,2,FALSE)),"")</f>
        <v/>
      </c>
      <c r="AH22" s="729" t="str">
        <f>IF(B22="","",IF(ISNA(VLOOKUP($B22,'E-1 Off-Site Hedge Baseline'!$B$1:$Z$257,14,FALSE)),"",(VLOOKUP($B22,'E-1 Off-Site Hedge Baseline'!$B$1:$Z$257,14,FALSE))))</f>
        <v/>
      </c>
      <c r="AI22" s="282" t="str">
        <f>IF(AH22="","",IF(VLOOKUP(AH22,'G-3 Multipliers'!$S$3:$T$10,2,FALSE)=0,"Spatial Data Missing ⚠",VLOOKUP(AH22,'G-3 Multipliers'!$S$3:$T$10,2,FALSE)))</f>
        <v/>
      </c>
      <c r="AJ22" s="323" t="str">
        <f t="shared" si="6"/>
        <v/>
      </c>
      <c r="AK22" s="295" t="str">
        <f t="shared" si="7"/>
        <v/>
      </c>
      <c r="AL22" s="105"/>
      <c r="AM22" s="119"/>
      <c r="AN22" s="108"/>
      <c r="AO22" s="108"/>
      <c r="AQ22" s="30" t="str">
        <f>IFERROR(INDEX('G-6 Hedgerow Data'!$BJ$3:$BJ$15,MATCH(M22,'G-6 Hedgerow Data'!$B$3:$B$15,0)),"")</f>
        <v/>
      </c>
    </row>
    <row r="23" spans="2:43" ht="13.8" x14ac:dyDescent="0.25">
      <c r="B23" s="311" t="str">
        <f>'E-1 Off-Site Hedge Baseline'!AN21</f>
        <v/>
      </c>
      <c r="C23" s="301" t="str">
        <f>IF(B23="","",IF(ISNA(VLOOKUP($B23,'E-1 Off-Site Hedge Baseline'!$B$1:$L$257,3,FALSE)),"",(VLOOKUP($B23,'E-1 Off-Site Hedge Baseline'!$B$1:$L$257,3,FALSE))))</f>
        <v/>
      </c>
      <c r="D23" s="301" t="str">
        <f>IF(B23="","",IF(ISNA(VLOOKUP($B23,'E-1 Off-Site Hedge Baseline'!$B$1:$L$258,4,FALSE)),"",(VLOOKUP($B23,'E-1 Off-Site Hedge Baseline'!$B$1:$L$258,4,FALSE))))</f>
        <v/>
      </c>
      <c r="E23" s="301" t="str">
        <f>IF(B23="","",IF(ISNA(VLOOKUP($B23,'E-1 Off-Site Hedge Baseline'!$B$1:$L$257,5,FALSE)),"",(VLOOKUP($B23,'E-1 Off-Site Hedge Baseline'!$B$1:$L$257,5,FALSE))))</f>
        <v/>
      </c>
      <c r="F23" s="301" t="str">
        <f>IF(B23="","",IF(ISNA(VLOOKUP($B23,'E-1 Off-Site Hedge Baseline'!$B$1:$L$257,6,FALSE)),"",(VLOOKUP($B23,'E-1 Off-Site Hedge Baseline'!$B$1:$L$257,6,FALSE))))</f>
        <v/>
      </c>
      <c r="G23" s="301" t="str">
        <f>IF(B23="","",IF(ISNA(VLOOKUP($B23,'E-1 Off-Site Hedge Baseline'!$B$1:$L$257,7,FALSE)),"",(VLOOKUP($B23,'E-1 Off-Site Hedge Baseline'!$B$1:$L$257,7,FALSE))))</f>
        <v/>
      </c>
      <c r="H23" s="301" t="str">
        <f>IF(B23="","",IF(ISNA(VLOOKUP($B23,'E-1 Off-Site Hedge Baseline'!$B$1:$L$257,8,FALSE)),"",(VLOOKUP($B23,'E-1 Off-Site Hedge Baseline'!$B$1:$L$257,8,FALSE))))</f>
        <v/>
      </c>
      <c r="I23" s="301" t="str">
        <f>IF(B23="","",IF(ISNA(VLOOKUP($B23,'E-1 Off-Site Hedge Baseline'!$B$1:$L$257,10,FALSE)),"",(VLOOKUP($B23,'E-1 Off-Site Hedge Baseline'!$B$1:$L$257,10,FALSE))))</f>
        <v/>
      </c>
      <c r="J23" s="301" t="str">
        <f>IF(B23="","",IF(ISNA(VLOOKUP($B23,'E-1 Off-Site Hedge Baseline'!$B$1:$L$257,11,FALSE)),"",(VLOOKUP($B23,'E-1 Off-Site Hedge Baseline'!$B$1:$L$257,11,FALSE))))</f>
        <v/>
      </c>
      <c r="K23" s="301" t="str">
        <f>IF(B23="","",IF(ISNA(VLOOKUP($B23,'E-1 Off-Site Hedge Baseline'!$B$1:$X$257,16,FALSE)),"",(VLOOKUP($B23,'E-1 Off-Site Hedge Baseline'!$B$1:$X$257,16,FALSE))))</f>
        <v/>
      </c>
      <c r="L23" s="289" t="str">
        <f>IF(B23="","",IF(ISNA(VLOOKUP($B23,'E-1 Off-Site Hedge Baseline'!$B$1:$X$257,12,FALSE)),"",(VLOOKUP($B23,'E-1 Off-Site Hedge Baseline'!$B$1:$X$257,12,FALSE))))</f>
        <v/>
      </c>
      <c r="M23" s="250"/>
      <c r="N23" s="281" t="str">
        <f>IFERROR(IF(B23="","",INDEX('G-6 Hedgerow Data'!$AN$3:$AZ$15,MATCH(C23,'G-6 Hedgerow Data'!$AM$3:$AM$15,0),MATCH(M23,'G-6 Hedgerow Data'!$AN$2:$AZ$2,0))),"")</f>
        <v/>
      </c>
      <c r="O23" s="282" t="str">
        <f t="shared" si="1"/>
        <v/>
      </c>
      <c r="P23" s="287" t="str">
        <f>IF(B23="","",VLOOKUP(B23,'E-1 Off-Site Hedge Baseline'!$B$10:W268,19,FALSE))</f>
        <v/>
      </c>
      <c r="Q23" s="281" t="str">
        <f>IF(M23="","",VLOOKUP(M23,'G-6 Hedgerow Data'!$B$2:$AG$15,2,FALSE))</f>
        <v/>
      </c>
      <c r="R23" s="282" t="str">
        <f>IF(M23="","",VLOOKUP(M23,'G-6 Hedgerow Data'!$B$2:$AG$15,3,FALSE))</f>
        <v/>
      </c>
      <c r="S23" s="53"/>
      <c r="T23" s="282" t="str">
        <f>IFERROR(IF(S23="","",IF(AND(M23="Non-native and ornamental hedgerow", S23&lt;&gt;"Poor"),"Not possible ▲", (IF(AND(Q23="V.Low",OR(S23="Good",S23="Moderate")),"Error ▲",VLOOKUP(S23,'G-1 All Habitats'!$Z$2:$AA$9,2,FALSE))))),"")</f>
        <v/>
      </c>
      <c r="U23" s="106"/>
      <c r="V23" s="289" t="str">
        <f>IF(U23="","",IF(VLOOKUP(U23,'G-3 Multipliers'!$L$3:$N$6,2,FALSE)=0,"Spatial Data Missing ⚠",VLOOKUP(U23,'G-3 Multipliers'!$L$3:$N$6,2,FALSE)))</f>
        <v/>
      </c>
      <c r="W23" s="287" t="str">
        <f>IF(U23="","",IF(VLOOKUP(U23,'G-3 Multipliers'!$L$3:$N$6,3,FALSE)=0,"Spatial Data Missing ⚠",VLOOKUP(U23,'G-3 Multipliers'!$L$3:$N$6,3,FALSE)))</f>
        <v/>
      </c>
      <c r="X23" s="281" t="str">
        <f>IFERROR(IF(OR(LEFT(O23,5)="Error",LEFT(N23,5)="Error",T23="Error"),"Check Data ⚠",IF(F23&lt;R23,INDEX('G-6 Hedgerow Data'!$S$3:$AE$14,MATCH(C23,'G-6 Hedgerow Data'!$B$3:$B$14,0),MATCH(M23,'G-6 Hedgerow Data'!$S$2:$AE$2,0)),INDEX('G-6 Hedgerow Data'!$K$3:$Q$14,MATCH(M23,'G-6 Hedgerow Data'!$B$3:$B$14,0),MATCH(O23,'G-6 Hedgerow Data'!$K$2:$Q$2,0)))),"")</f>
        <v/>
      </c>
      <c r="Y23" s="137"/>
      <c r="Z23" s="137"/>
      <c r="AA23" s="289" t="str">
        <f t="shared" si="2"/>
        <v/>
      </c>
      <c r="AB23" s="302" t="str">
        <f t="shared" si="3"/>
        <v/>
      </c>
      <c r="AC23" s="303" t="str">
        <f t="shared" si="0"/>
        <v/>
      </c>
      <c r="AD23" s="317" t="str">
        <f>IF(M23="","",VLOOKUP(M23,'G-6 Hedgerow Data'!$B$3:$AG$15,31,FALSE))</f>
        <v/>
      </c>
      <c r="AE23" s="301" t="str">
        <f t="shared" si="4"/>
        <v/>
      </c>
      <c r="AF23" s="289" t="str">
        <f t="shared" si="5"/>
        <v/>
      </c>
      <c r="AG23" s="305" t="str">
        <f>IFERROR(IF(O23="","",VLOOKUP(AD23,'G-3 Multipliers'!$P$3:$Q$6,2,FALSE)),"")</f>
        <v/>
      </c>
      <c r="AH23" s="729" t="str">
        <f>IF(B23="","",IF(ISNA(VLOOKUP($B23,'E-1 Off-Site Hedge Baseline'!$B$1:$Z$257,14,FALSE)),"",(VLOOKUP($B23,'E-1 Off-Site Hedge Baseline'!$B$1:$Z$257,14,FALSE))))</f>
        <v/>
      </c>
      <c r="AI23" s="282" t="str">
        <f>IF(AH23="","",IF(VLOOKUP(AH23,'G-3 Multipliers'!$S$3:$T$10,2,FALSE)=0,"Spatial Data Missing ⚠",VLOOKUP(AH23,'G-3 Multipliers'!$S$3:$T$10,2,FALSE)))</f>
        <v/>
      </c>
      <c r="AJ23" s="323" t="str">
        <f t="shared" si="6"/>
        <v/>
      </c>
      <c r="AK23" s="295" t="str">
        <f t="shared" si="7"/>
        <v/>
      </c>
      <c r="AL23" s="105"/>
      <c r="AM23" s="119"/>
      <c r="AN23" s="108"/>
      <c r="AO23" s="108"/>
      <c r="AQ23" s="30" t="str">
        <f>IFERROR(INDEX('G-6 Hedgerow Data'!$BJ$3:$BJ$15,MATCH(M23,'G-6 Hedgerow Data'!$B$3:$B$15,0)),"")</f>
        <v/>
      </c>
    </row>
    <row r="24" spans="2:43" ht="13.8" x14ac:dyDescent="0.25">
      <c r="B24" s="311" t="str">
        <f>'E-1 Off-Site Hedge Baseline'!AN22</f>
        <v/>
      </c>
      <c r="C24" s="301" t="str">
        <f>IF(B24="","",IF(ISNA(VLOOKUP($B24,'E-1 Off-Site Hedge Baseline'!$B$1:$L$257,3,FALSE)),"",(VLOOKUP($B24,'E-1 Off-Site Hedge Baseline'!$B$1:$L$257,3,FALSE))))</f>
        <v/>
      </c>
      <c r="D24" s="301" t="str">
        <f>IF(B24="","",IF(ISNA(VLOOKUP($B24,'E-1 Off-Site Hedge Baseline'!$B$1:$L$258,4,FALSE)),"",(VLOOKUP($B24,'E-1 Off-Site Hedge Baseline'!$B$1:$L$258,4,FALSE))))</f>
        <v/>
      </c>
      <c r="E24" s="301" t="str">
        <f>IF(B24="","",IF(ISNA(VLOOKUP($B24,'E-1 Off-Site Hedge Baseline'!$B$1:$L$257,5,FALSE)),"",(VLOOKUP($B24,'E-1 Off-Site Hedge Baseline'!$B$1:$L$257,5,FALSE))))</f>
        <v/>
      </c>
      <c r="F24" s="301" t="str">
        <f>IF(B24="","",IF(ISNA(VLOOKUP($B24,'E-1 Off-Site Hedge Baseline'!$B$1:$L$257,6,FALSE)),"",(VLOOKUP($B24,'E-1 Off-Site Hedge Baseline'!$B$1:$L$257,6,FALSE))))</f>
        <v/>
      </c>
      <c r="G24" s="301" t="str">
        <f>IF(B24="","",IF(ISNA(VLOOKUP($B24,'E-1 Off-Site Hedge Baseline'!$B$1:$L$257,7,FALSE)),"",(VLOOKUP($B24,'E-1 Off-Site Hedge Baseline'!$B$1:$L$257,7,FALSE))))</f>
        <v/>
      </c>
      <c r="H24" s="301" t="str">
        <f>IF(B24="","",IF(ISNA(VLOOKUP($B24,'E-1 Off-Site Hedge Baseline'!$B$1:$L$257,8,FALSE)),"",(VLOOKUP($B24,'E-1 Off-Site Hedge Baseline'!$B$1:$L$257,8,FALSE))))</f>
        <v/>
      </c>
      <c r="I24" s="301" t="str">
        <f>IF(B24="","",IF(ISNA(VLOOKUP($B24,'E-1 Off-Site Hedge Baseline'!$B$1:$L$257,10,FALSE)),"",(VLOOKUP($B24,'E-1 Off-Site Hedge Baseline'!$B$1:$L$257,10,FALSE))))</f>
        <v/>
      </c>
      <c r="J24" s="301" t="str">
        <f>IF(B24="","",IF(ISNA(VLOOKUP($B24,'E-1 Off-Site Hedge Baseline'!$B$1:$L$257,11,FALSE)),"",(VLOOKUP($B24,'E-1 Off-Site Hedge Baseline'!$B$1:$L$257,11,FALSE))))</f>
        <v/>
      </c>
      <c r="K24" s="301" t="str">
        <f>IF(B24="","",IF(ISNA(VLOOKUP($B24,'E-1 Off-Site Hedge Baseline'!$B$1:$X$257,16,FALSE)),"",(VLOOKUP($B24,'E-1 Off-Site Hedge Baseline'!$B$1:$X$257,16,FALSE))))</f>
        <v/>
      </c>
      <c r="L24" s="289" t="str">
        <f>IF(B24="","",IF(ISNA(VLOOKUP($B24,'E-1 Off-Site Hedge Baseline'!$B$1:$X$257,12,FALSE)),"",(VLOOKUP($B24,'E-1 Off-Site Hedge Baseline'!$B$1:$X$257,12,FALSE))))</f>
        <v/>
      </c>
      <c r="M24" s="250"/>
      <c r="N24" s="281" t="str">
        <f>IFERROR(IF(B24="","",INDEX('G-6 Hedgerow Data'!$AN$3:$AZ$15,MATCH(C24,'G-6 Hedgerow Data'!$AM$3:$AM$15,0),MATCH(M24,'G-6 Hedgerow Data'!$AN$2:$AZ$2,0))),"")</f>
        <v/>
      </c>
      <c r="O24" s="282" t="str">
        <f t="shared" si="1"/>
        <v/>
      </c>
      <c r="P24" s="287" t="str">
        <f>IF(B24="","",VLOOKUP(B24,'E-1 Off-Site Hedge Baseline'!$B$10:W269,19,FALSE))</f>
        <v/>
      </c>
      <c r="Q24" s="281" t="str">
        <f>IF(M24="","",VLOOKUP(M24,'G-6 Hedgerow Data'!$B$2:$AG$15,2,FALSE))</f>
        <v/>
      </c>
      <c r="R24" s="282" t="str">
        <f>IF(M24="","",VLOOKUP(M24,'G-6 Hedgerow Data'!$B$2:$AG$15,3,FALSE))</f>
        <v/>
      </c>
      <c r="S24" s="105"/>
      <c r="T24" s="282" t="str">
        <f>IFERROR(IF(S24="","",IF(AND(M24="Non-native and ornamental hedgerow", S24&lt;&gt;"Poor"),"Not possible ▲", (IF(AND(Q24="V.Low",OR(S24="Good",S24="Moderate")),"Error ▲",VLOOKUP(S24,'G-1 All Habitats'!$Z$2:$AA$9,2,FALSE))))),"")</f>
        <v/>
      </c>
      <c r="U24" s="106"/>
      <c r="V24" s="289" t="str">
        <f>IF(U24="","",IF(VLOOKUP(U24,'G-3 Multipliers'!$L$3:$N$6,2,FALSE)=0,"Spatial Data Missing ⚠",VLOOKUP(U24,'G-3 Multipliers'!$L$3:$N$6,2,FALSE)))</f>
        <v/>
      </c>
      <c r="W24" s="287" t="str">
        <f>IF(U24="","",IF(VLOOKUP(U24,'G-3 Multipliers'!$L$3:$N$6,3,FALSE)=0,"Spatial Data Missing ⚠",VLOOKUP(U24,'G-3 Multipliers'!$L$3:$N$6,3,FALSE)))</f>
        <v/>
      </c>
      <c r="X24" s="281" t="str">
        <f>IFERROR(IF(OR(LEFT(O24,5)="Error",LEFT(N24,5)="Error",T24="Error"),"Check Data ⚠",IF(F24&lt;R24,INDEX('G-6 Hedgerow Data'!$S$3:$AE$14,MATCH(C24,'G-6 Hedgerow Data'!$B$3:$B$14,0),MATCH(M24,'G-6 Hedgerow Data'!$S$2:$AE$2,0)),INDEX('G-6 Hedgerow Data'!$K$3:$Q$14,MATCH(M24,'G-6 Hedgerow Data'!$B$3:$B$14,0),MATCH(O24,'G-6 Hedgerow Data'!$K$2:$Q$2,0)))),"")</f>
        <v/>
      </c>
      <c r="Y24" s="137"/>
      <c r="Z24" s="137"/>
      <c r="AA24" s="289" t="str">
        <f t="shared" si="2"/>
        <v/>
      </c>
      <c r="AB24" s="302" t="str">
        <f t="shared" si="3"/>
        <v/>
      </c>
      <c r="AC24" s="303" t="str">
        <f t="shared" si="0"/>
        <v/>
      </c>
      <c r="AD24" s="317" t="str">
        <f>IF(M24="","",VLOOKUP(M24,'G-6 Hedgerow Data'!$B$3:$AG$15,31,FALSE))</f>
        <v/>
      </c>
      <c r="AE24" s="301" t="str">
        <f t="shared" si="4"/>
        <v/>
      </c>
      <c r="AF24" s="289" t="str">
        <f t="shared" si="5"/>
        <v/>
      </c>
      <c r="AG24" s="305" t="str">
        <f>IFERROR(IF(O24="","",VLOOKUP(AD24,'G-3 Multipliers'!$P$3:$Q$6,2,FALSE)),"")</f>
        <v/>
      </c>
      <c r="AH24" s="729" t="str">
        <f>IF(B24="","",IF(ISNA(VLOOKUP($B24,'E-1 Off-Site Hedge Baseline'!$B$1:$Z$257,14,FALSE)),"",(VLOOKUP($B24,'E-1 Off-Site Hedge Baseline'!$B$1:$Z$257,14,FALSE))))</f>
        <v/>
      </c>
      <c r="AI24" s="282" t="str">
        <f>IF(AH24="","",IF(VLOOKUP(AH24,'G-3 Multipliers'!$S$3:$T$10,2,FALSE)=0,"Spatial Data Missing ⚠",VLOOKUP(AH24,'G-3 Multipliers'!$S$3:$T$10,2,FALSE)))</f>
        <v/>
      </c>
      <c r="AJ24" s="323" t="str">
        <f t="shared" si="6"/>
        <v/>
      </c>
      <c r="AK24" s="295" t="str">
        <f t="shared" si="7"/>
        <v/>
      </c>
      <c r="AL24" s="105"/>
      <c r="AM24" s="119"/>
      <c r="AN24" s="108"/>
      <c r="AO24" s="108"/>
      <c r="AQ24" s="30" t="str">
        <f>IFERROR(INDEX('G-6 Hedgerow Data'!$BJ$3:$BJ$15,MATCH(M24,'G-6 Hedgerow Data'!$B$3:$B$15,0)),"")</f>
        <v/>
      </c>
    </row>
    <row r="25" spans="2:43" ht="13.8" x14ac:dyDescent="0.25">
      <c r="B25" s="311" t="str">
        <f>'E-1 Off-Site Hedge Baseline'!AN23</f>
        <v/>
      </c>
      <c r="C25" s="301" t="str">
        <f>IF(B25="","",IF(ISNA(VLOOKUP($B25,'E-1 Off-Site Hedge Baseline'!$B$1:$L$257,3,FALSE)),"",(VLOOKUP($B25,'E-1 Off-Site Hedge Baseline'!$B$1:$L$257,3,FALSE))))</f>
        <v/>
      </c>
      <c r="D25" s="301" t="str">
        <f>IF(B25="","",IF(ISNA(VLOOKUP($B25,'E-1 Off-Site Hedge Baseline'!$B$1:$L$258,4,FALSE)),"",(VLOOKUP($B25,'E-1 Off-Site Hedge Baseline'!$B$1:$L$258,4,FALSE))))</f>
        <v/>
      </c>
      <c r="E25" s="301" t="str">
        <f>IF(B25="","",IF(ISNA(VLOOKUP($B25,'E-1 Off-Site Hedge Baseline'!$B$1:$L$257,5,FALSE)),"",(VLOOKUP($B25,'E-1 Off-Site Hedge Baseline'!$B$1:$L$257,5,FALSE))))</f>
        <v/>
      </c>
      <c r="F25" s="301" t="str">
        <f>IF(B25="","",IF(ISNA(VLOOKUP($B25,'E-1 Off-Site Hedge Baseline'!$B$1:$L$257,6,FALSE)),"",(VLOOKUP($B25,'E-1 Off-Site Hedge Baseline'!$B$1:$L$257,6,FALSE))))</f>
        <v/>
      </c>
      <c r="G25" s="301" t="str">
        <f>IF(B25="","",IF(ISNA(VLOOKUP($B25,'E-1 Off-Site Hedge Baseline'!$B$1:$L$257,7,FALSE)),"",(VLOOKUP($B25,'E-1 Off-Site Hedge Baseline'!$B$1:$L$257,7,FALSE))))</f>
        <v/>
      </c>
      <c r="H25" s="301" t="str">
        <f>IF(B25="","",IF(ISNA(VLOOKUP($B25,'E-1 Off-Site Hedge Baseline'!$B$1:$L$257,8,FALSE)),"",(VLOOKUP($B25,'E-1 Off-Site Hedge Baseline'!$B$1:$L$257,8,FALSE))))</f>
        <v/>
      </c>
      <c r="I25" s="301" t="str">
        <f>IF(B25="","",IF(ISNA(VLOOKUP($B25,'E-1 Off-Site Hedge Baseline'!$B$1:$L$257,10,FALSE)),"",(VLOOKUP($B25,'E-1 Off-Site Hedge Baseline'!$B$1:$L$257,10,FALSE))))</f>
        <v/>
      </c>
      <c r="J25" s="301" t="str">
        <f>IF(B25="","",IF(ISNA(VLOOKUP($B25,'E-1 Off-Site Hedge Baseline'!$B$1:$L$257,11,FALSE)),"",(VLOOKUP($B25,'E-1 Off-Site Hedge Baseline'!$B$1:$L$257,11,FALSE))))</f>
        <v/>
      </c>
      <c r="K25" s="301" t="str">
        <f>IF(B25="","",IF(ISNA(VLOOKUP($B25,'E-1 Off-Site Hedge Baseline'!$B$1:$X$257,16,FALSE)),"",(VLOOKUP($B25,'E-1 Off-Site Hedge Baseline'!$B$1:$X$257,16,FALSE))))</f>
        <v/>
      </c>
      <c r="L25" s="289" t="str">
        <f>IF(B25="","",IF(ISNA(VLOOKUP($B25,'E-1 Off-Site Hedge Baseline'!$B$1:$X$257,12,FALSE)),"",(VLOOKUP($B25,'E-1 Off-Site Hedge Baseline'!$B$1:$X$257,12,FALSE))))</f>
        <v/>
      </c>
      <c r="M25" s="250"/>
      <c r="N25" s="281" t="str">
        <f>IFERROR(IF(B25="","",INDEX('G-6 Hedgerow Data'!$AN$3:$AZ$15,MATCH(C25,'G-6 Hedgerow Data'!$AM$3:$AM$15,0),MATCH(M25,'G-6 Hedgerow Data'!$AN$2:$AZ$2,0))),"")</f>
        <v/>
      </c>
      <c r="O25" s="282" t="str">
        <f t="shared" si="1"/>
        <v/>
      </c>
      <c r="P25" s="287" t="str">
        <f>IF(B25="","",VLOOKUP(B25,'E-1 Off-Site Hedge Baseline'!$B$10:W270,19,FALSE))</f>
        <v/>
      </c>
      <c r="Q25" s="281" t="str">
        <f>IF(M25="","",VLOOKUP(M25,'G-6 Hedgerow Data'!$B$2:$AG$15,2,FALSE))</f>
        <v/>
      </c>
      <c r="R25" s="282" t="str">
        <f>IF(M25="","",VLOOKUP(M25,'G-6 Hedgerow Data'!$B$2:$AG$15,3,FALSE))</f>
        <v/>
      </c>
      <c r="S25" s="105"/>
      <c r="T25" s="282" t="str">
        <f>IFERROR(IF(S25="","",IF(AND(M25="Non-native and ornamental hedgerow", S25&lt;&gt;"Poor"),"Not possible ▲", (IF(AND(Q25="V.Low",OR(S25="Good",S25="Moderate")),"Error ▲",VLOOKUP(S25,'G-1 All Habitats'!$Z$2:$AA$9,2,FALSE))))),"")</f>
        <v/>
      </c>
      <c r="U25" s="106"/>
      <c r="V25" s="289" t="str">
        <f>IF(U25="","",IF(VLOOKUP(U25,'G-3 Multipliers'!$L$3:$N$6,2,FALSE)=0,"Spatial Data Missing ⚠",VLOOKUP(U25,'G-3 Multipliers'!$L$3:$N$6,2,FALSE)))</f>
        <v/>
      </c>
      <c r="W25" s="287" t="str">
        <f>IF(U25="","",IF(VLOOKUP(U25,'G-3 Multipliers'!$L$3:$N$6,3,FALSE)=0,"Spatial Data Missing ⚠",VLOOKUP(U25,'G-3 Multipliers'!$L$3:$N$6,3,FALSE)))</f>
        <v/>
      </c>
      <c r="X25" s="281" t="str">
        <f>IFERROR(IF(OR(LEFT(O25,5)="Error",LEFT(N25,5)="Error",T25="Error"),"Check Data ⚠",IF(F25&lt;R25,INDEX('G-6 Hedgerow Data'!$S$3:$AE$14,MATCH(C25,'G-6 Hedgerow Data'!$B$3:$B$14,0),MATCH(M25,'G-6 Hedgerow Data'!$S$2:$AE$2,0)),INDEX('G-6 Hedgerow Data'!$K$3:$Q$14,MATCH(M25,'G-6 Hedgerow Data'!$B$3:$B$14,0),MATCH(O25,'G-6 Hedgerow Data'!$K$2:$Q$2,0)))),"")</f>
        <v/>
      </c>
      <c r="Y25" s="137"/>
      <c r="Z25" s="137"/>
      <c r="AA25" s="289" t="str">
        <f t="shared" si="2"/>
        <v/>
      </c>
      <c r="AB25" s="302" t="str">
        <f t="shared" si="3"/>
        <v/>
      </c>
      <c r="AC25" s="303" t="str">
        <f t="shared" si="0"/>
        <v/>
      </c>
      <c r="AD25" s="317" t="str">
        <f>IF(M25="","",VLOOKUP(M25,'G-6 Hedgerow Data'!$B$3:$AG$15,31,FALSE))</f>
        <v/>
      </c>
      <c r="AE25" s="301" t="str">
        <f t="shared" si="4"/>
        <v/>
      </c>
      <c r="AF25" s="289" t="str">
        <f t="shared" si="5"/>
        <v/>
      </c>
      <c r="AG25" s="305" t="str">
        <f>IFERROR(IF(O25="","",VLOOKUP(AD25,'G-3 Multipliers'!$P$3:$Q$6,2,FALSE)),"")</f>
        <v/>
      </c>
      <c r="AH25" s="729" t="str">
        <f>IF(B25="","",IF(ISNA(VLOOKUP($B25,'E-1 Off-Site Hedge Baseline'!$B$1:$Z$257,14,FALSE)),"",(VLOOKUP($B25,'E-1 Off-Site Hedge Baseline'!$B$1:$Z$257,14,FALSE))))</f>
        <v/>
      </c>
      <c r="AI25" s="282" t="str">
        <f>IF(AH25="","",IF(VLOOKUP(AH25,'G-3 Multipliers'!$S$3:$T$10,2,FALSE)=0,"Spatial Data Missing ⚠",VLOOKUP(AH25,'G-3 Multipliers'!$S$3:$T$10,2,FALSE)))</f>
        <v/>
      </c>
      <c r="AJ25" s="323" t="str">
        <f t="shared" si="6"/>
        <v/>
      </c>
      <c r="AK25" s="295" t="str">
        <f t="shared" si="7"/>
        <v/>
      </c>
      <c r="AL25" s="105"/>
      <c r="AM25" s="119"/>
      <c r="AN25" s="108"/>
      <c r="AO25" s="108"/>
      <c r="AQ25" s="30" t="str">
        <f>IFERROR(INDEX('G-6 Hedgerow Data'!$BJ$3:$BJ$15,MATCH(M25,'G-6 Hedgerow Data'!$B$3:$B$15,0)),"")</f>
        <v/>
      </c>
    </row>
    <row r="26" spans="2:43" ht="13.8" x14ac:dyDescent="0.25">
      <c r="B26" s="311" t="str">
        <f>'E-1 Off-Site Hedge Baseline'!AN24</f>
        <v/>
      </c>
      <c r="C26" s="301" t="str">
        <f>IF(B26="","",IF(ISNA(VLOOKUP($B26,'E-1 Off-Site Hedge Baseline'!$B$1:$L$257,3,FALSE)),"",(VLOOKUP($B26,'E-1 Off-Site Hedge Baseline'!$B$1:$L$257,3,FALSE))))</f>
        <v/>
      </c>
      <c r="D26" s="301" t="str">
        <f>IF(B26="","",IF(ISNA(VLOOKUP($B26,'E-1 Off-Site Hedge Baseline'!$B$1:$L$258,4,FALSE)),"",(VLOOKUP($B26,'E-1 Off-Site Hedge Baseline'!$B$1:$L$258,4,FALSE))))</f>
        <v/>
      </c>
      <c r="E26" s="301" t="str">
        <f>IF(B26="","",IF(ISNA(VLOOKUP($B26,'E-1 Off-Site Hedge Baseline'!$B$1:$L$257,5,FALSE)),"",(VLOOKUP($B26,'E-1 Off-Site Hedge Baseline'!$B$1:$L$257,5,FALSE))))</f>
        <v/>
      </c>
      <c r="F26" s="301" t="str">
        <f>IF(B26="","",IF(ISNA(VLOOKUP($B26,'E-1 Off-Site Hedge Baseline'!$B$1:$L$257,6,FALSE)),"",(VLOOKUP($B26,'E-1 Off-Site Hedge Baseline'!$B$1:$L$257,6,FALSE))))</f>
        <v/>
      </c>
      <c r="G26" s="301" t="str">
        <f>IF(B26="","",IF(ISNA(VLOOKUP($B26,'E-1 Off-Site Hedge Baseline'!$B$1:$L$257,7,FALSE)),"",(VLOOKUP($B26,'E-1 Off-Site Hedge Baseline'!$B$1:$L$257,7,FALSE))))</f>
        <v/>
      </c>
      <c r="H26" s="301" t="str">
        <f>IF(B26="","",IF(ISNA(VLOOKUP($B26,'E-1 Off-Site Hedge Baseline'!$B$1:$L$257,8,FALSE)),"",(VLOOKUP($B26,'E-1 Off-Site Hedge Baseline'!$B$1:$L$257,8,FALSE))))</f>
        <v/>
      </c>
      <c r="I26" s="301" t="str">
        <f>IF(B26="","",IF(ISNA(VLOOKUP($B26,'E-1 Off-Site Hedge Baseline'!$B$1:$L$257,10,FALSE)),"",(VLOOKUP($B26,'E-1 Off-Site Hedge Baseline'!$B$1:$L$257,10,FALSE))))</f>
        <v/>
      </c>
      <c r="J26" s="301" t="str">
        <f>IF(B26="","",IF(ISNA(VLOOKUP($B26,'E-1 Off-Site Hedge Baseline'!$B$1:$L$257,11,FALSE)),"",(VLOOKUP($B26,'E-1 Off-Site Hedge Baseline'!$B$1:$L$257,11,FALSE))))</f>
        <v/>
      </c>
      <c r="K26" s="301" t="str">
        <f>IF(B26="","",IF(ISNA(VLOOKUP($B26,'E-1 Off-Site Hedge Baseline'!$B$1:$X$257,16,FALSE)),"",(VLOOKUP($B26,'E-1 Off-Site Hedge Baseline'!$B$1:$X$257,16,FALSE))))</f>
        <v/>
      </c>
      <c r="L26" s="289" t="str">
        <f>IF(B26="","",IF(ISNA(VLOOKUP($B26,'E-1 Off-Site Hedge Baseline'!$B$1:$X$257,12,FALSE)),"",(VLOOKUP($B26,'E-1 Off-Site Hedge Baseline'!$B$1:$X$257,12,FALSE))))</f>
        <v/>
      </c>
      <c r="M26" s="250"/>
      <c r="N26" s="281" t="str">
        <f>IFERROR(IF(B26="","",INDEX('G-6 Hedgerow Data'!$AN$3:$AZ$15,MATCH(C26,'G-6 Hedgerow Data'!$AM$3:$AM$15,0),MATCH(M26,'G-6 Hedgerow Data'!$AN$2:$AZ$2,0))),"")</f>
        <v/>
      </c>
      <c r="O26" s="282" t="str">
        <f t="shared" si="1"/>
        <v/>
      </c>
      <c r="P26" s="287" t="str">
        <f>IF(B26="","",VLOOKUP(B26,'E-1 Off-Site Hedge Baseline'!$B$10:W271,19,FALSE))</f>
        <v/>
      </c>
      <c r="Q26" s="281" t="str">
        <f>IF(M26="","",VLOOKUP(M26,'G-6 Hedgerow Data'!$B$2:$AG$15,2,FALSE))</f>
        <v/>
      </c>
      <c r="R26" s="282" t="str">
        <f>IF(M26="","",VLOOKUP(M26,'G-6 Hedgerow Data'!$B$2:$AG$15,3,FALSE))</f>
        <v/>
      </c>
      <c r="S26" s="105"/>
      <c r="T26" s="282" t="str">
        <f>IFERROR(IF(S26="","",IF(AND(M26="Non-native and ornamental hedgerow", S26&lt;&gt;"Poor"),"Not possible ▲", (IF(AND(Q26="V.Low",OR(S26="Good",S26="Moderate")),"Error ▲",VLOOKUP(S26,'G-1 All Habitats'!$Z$2:$AA$9,2,FALSE))))),"")</f>
        <v/>
      </c>
      <c r="U26" s="106"/>
      <c r="V26" s="289" t="str">
        <f>IF(U26="","",IF(VLOOKUP(U26,'G-3 Multipliers'!$L$3:$N$6,2,FALSE)=0,"Spatial Data Missing ⚠",VLOOKUP(U26,'G-3 Multipliers'!$L$3:$N$6,2,FALSE)))</f>
        <v/>
      </c>
      <c r="W26" s="287" t="str">
        <f>IF(U26="","",IF(VLOOKUP(U26,'G-3 Multipliers'!$L$3:$N$6,3,FALSE)=0,"Spatial Data Missing ⚠",VLOOKUP(U26,'G-3 Multipliers'!$L$3:$N$6,3,FALSE)))</f>
        <v/>
      </c>
      <c r="X26" s="281" t="str">
        <f>IFERROR(IF(OR(LEFT(O26,5)="Error",LEFT(N26,5)="Error",T26="Error"),"Check Data ⚠",IF(F26&lt;R26,INDEX('G-6 Hedgerow Data'!$S$3:$AE$14,MATCH(C26,'G-6 Hedgerow Data'!$B$3:$B$14,0),MATCH(M26,'G-6 Hedgerow Data'!$S$2:$AE$2,0)),INDEX('G-6 Hedgerow Data'!$K$3:$Q$14,MATCH(M26,'G-6 Hedgerow Data'!$B$3:$B$14,0),MATCH(O26,'G-6 Hedgerow Data'!$K$2:$Q$2,0)))),"")</f>
        <v/>
      </c>
      <c r="Y26" s="137"/>
      <c r="Z26" s="137"/>
      <c r="AA26" s="289" t="str">
        <f t="shared" si="2"/>
        <v/>
      </c>
      <c r="AB26" s="302" t="str">
        <f t="shared" si="3"/>
        <v/>
      </c>
      <c r="AC26" s="303" t="str">
        <f t="shared" si="0"/>
        <v/>
      </c>
      <c r="AD26" s="317" t="str">
        <f>IF(M26="","",VLOOKUP(M26,'G-6 Hedgerow Data'!$B$3:$AG$15,31,FALSE))</f>
        <v/>
      </c>
      <c r="AE26" s="301" t="str">
        <f t="shared" si="4"/>
        <v/>
      </c>
      <c r="AF26" s="289" t="str">
        <f t="shared" si="5"/>
        <v/>
      </c>
      <c r="AG26" s="305" t="str">
        <f>IFERROR(IF(O26="","",VLOOKUP(AD26,'G-3 Multipliers'!$P$3:$Q$6,2,FALSE)),"")</f>
        <v/>
      </c>
      <c r="AH26" s="729" t="str">
        <f>IF(B26="","",IF(ISNA(VLOOKUP($B26,'E-1 Off-Site Hedge Baseline'!$B$1:$Z$257,14,FALSE)),"",(VLOOKUP($B26,'E-1 Off-Site Hedge Baseline'!$B$1:$Z$257,14,FALSE))))</f>
        <v/>
      </c>
      <c r="AI26" s="282" t="str">
        <f>IF(AH26="","",IF(VLOOKUP(AH26,'G-3 Multipliers'!$S$3:$T$10,2,FALSE)=0,"Spatial Data Missing ⚠",VLOOKUP(AH26,'G-3 Multipliers'!$S$3:$T$10,2,FALSE)))</f>
        <v/>
      </c>
      <c r="AJ26" s="323" t="str">
        <f t="shared" si="6"/>
        <v/>
      </c>
      <c r="AK26" s="295" t="str">
        <f t="shared" si="7"/>
        <v/>
      </c>
      <c r="AL26" s="105"/>
      <c r="AM26" s="119"/>
      <c r="AN26" s="108"/>
      <c r="AO26" s="108"/>
      <c r="AQ26" s="30" t="str">
        <f>IFERROR(INDEX('G-6 Hedgerow Data'!$BJ$3:$BJ$15,MATCH(M26,'G-6 Hedgerow Data'!$B$3:$B$15,0)),"")</f>
        <v/>
      </c>
    </row>
    <row r="27" spans="2:43" ht="13.8" x14ac:dyDescent="0.25">
      <c r="B27" s="311" t="str">
        <f>'E-1 Off-Site Hedge Baseline'!AN25</f>
        <v/>
      </c>
      <c r="C27" s="301" t="str">
        <f>IF(B27="","",IF(ISNA(VLOOKUP($B27,'E-1 Off-Site Hedge Baseline'!$B$1:$L$257,3,FALSE)),"",(VLOOKUP($B27,'E-1 Off-Site Hedge Baseline'!$B$1:$L$257,3,FALSE))))</f>
        <v/>
      </c>
      <c r="D27" s="301" t="str">
        <f>IF(B27="","",IF(ISNA(VLOOKUP($B27,'E-1 Off-Site Hedge Baseline'!$B$1:$L$258,4,FALSE)),"",(VLOOKUP($B27,'E-1 Off-Site Hedge Baseline'!$B$1:$L$258,4,FALSE))))</f>
        <v/>
      </c>
      <c r="E27" s="301" t="str">
        <f>IF(B27="","",IF(ISNA(VLOOKUP($B27,'E-1 Off-Site Hedge Baseline'!$B$1:$L$257,5,FALSE)),"",(VLOOKUP($B27,'E-1 Off-Site Hedge Baseline'!$B$1:$L$257,5,FALSE))))</f>
        <v/>
      </c>
      <c r="F27" s="301" t="str">
        <f>IF(B27="","",IF(ISNA(VLOOKUP($B27,'E-1 Off-Site Hedge Baseline'!$B$1:$L$257,6,FALSE)),"",(VLOOKUP($B27,'E-1 Off-Site Hedge Baseline'!$B$1:$L$257,6,FALSE))))</f>
        <v/>
      </c>
      <c r="G27" s="301" t="str">
        <f>IF(B27="","",IF(ISNA(VLOOKUP($B27,'E-1 Off-Site Hedge Baseline'!$B$1:$L$257,7,FALSE)),"",(VLOOKUP($B27,'E-1 Off-Site Hedge Baseline'!$B$1:$L$257,7,FALSE))))</f>
        <v/>
      </c>
      <c r="H27" s="301" t="str">
        <f>IF(B27="","",IF(ISNA(VLOOKUP($B27,'E-1 Off-Site Hedge Baseline'!$B$1:$L$257,8,FALSE)),"",(VLOOKUP($B27,'E-1 Off-Site Hedge Baseline'!$B$1:$L$257,8,FALSE))))</f>
        <v/>
      </c>
      <c r="I27" s="301" t="str">
        <f>IF(B27="","",IF(ISNA(VLOOKUP($B27,'E-1 Off-Site Hedge Baseline'!$B$1:$L$257,10,FALSE)),"",(VLOOKUP($B27,'E-1 Off-Site Hedge Baseline'!$B$1:$L$257,10,FALSE))))</f>
        <v/>
      </c>
      <c r="J27" s="301" t="str">
        <f>IF(B27="","",IF(ISNA(VLOOKUP($B27,'E-1 Off-Site Hedge Baseline'!$B$1:$L$257,11,FALSE)),"",(VLOOKUP($B27,'E-1 Off-Site Hedge Baseline'!$B$1:$L$257,11,FALSE))))</f>
        <v/>
      </c>
      <c r="K27" s="301" t="str">
        <f>IF(B27="","",IF(ISNA(VLOOKUP($B27,'E-1 Off-Site Hedge Baseline'!$B$1:$X$257,16,FALSE)),"",(VLOOKUP($B27,'E-1 Off-Site Hedge Baseline'!$B$1:$X$257,16,FALSE))))</f>
        <v/>
      </c>
      <c r="L27" s="289" t="str">
        <f>IF(B27="","",IF(ISNA(VLOOKUP($B27,'E-1 Off-Site Hedge Baseline'!$B$1:$X$257,12,FALSE)),"",(VLOOKUP($B27,'E-1 Off-Site Hedge Baseline'!$B$1:$X$257,12,FALSE))))</f>
        <v/>
      </c>
      <c r="M27" s="250"/>
      <c r="N27" s="281" t="str">
        <f>IFERROR(IF(B27="","",INDEX('G-6 Hedgerow Data'!$AN$3:$AZ$15,MATCH(C27,'G-6 Hedgerow Data'!$AM$3:$AM$15,0),MATCH(M27,'G-6 Hedgerow Data'!$AN$2:$AZ$2,0))),"")</f>
        <v/>
      </c>
      <c r="O27" s="282" t="str">
        <f t="shared" si="1"/>
        <v/>
      </c>
      <c r="P27" s="287" t="str">
        <f>IF(B27="","",VLOOKUP(B27,'E-1 Off-Site Hedge Baseline'!$B$10:W272,19,FALSE))</f>
        <v/>
      </c>
      <c r="Q27" s="281" t="str">
        <f>IF(M27="","",VLOOKUP(M27,'G-6 Hedgerow Data'!$B$2:$AG$15,2,FALSE))</f>
        <v/>
      </c>
      <c r="R27" s="282" t="str">
        <f>IF(M27="","",VLOOKUP(M27,'G-6 Hedgerow Data'!$B$2:$AG$15,3,FALSE))</f>
        <v/>
      </c>
      <c r="S27" s="105"/>
      <c r="T27" s="282" t="str">
        <f>IFERROR(IF(S27="","",IF(AND(M27="Non-native and ornamental hedgerow", S27&lt;&gt;"Poor"),"Not possible ▲", (IF(AND(Q27="V.Low",OR(S27="Good",S27="Moderate")),"Error ▲",VLOOKUP(S27,'G-1 All Habitats'!$Z$2:$AA$9,2,FALSE))))),"")</f>
        <v/>
      </c>
      <c r="U27" s="106"/>
      <c r="V27" s="289" t="str">
        <f>IF(U27="","",IF(VLOOKUP(U27,'G-3 Multipliers'!$L$3:$N$6,2,FALSE)=0,"Spatial Data Missing ⚠",VLOOKUP(U27,'G-3 Multipliers'!$L$3:$N$6,2,FALSE)))</f>
        <v/>
      </c>
      <c r="W27" s="287" t="str">
        <f>IF(U27="","",IF(VLOOKUP(U27,'G-3 Multipliers'!$L$3:$N$6,3,FALSE)=0,"Spatial Data Missing ⚠",VLOOKUP(U27,'G-3 Multipliers'!$L$3:$N$6,3,FALSE)))</f>
        <v/>
      </c>
      <c r="X27" s="281" t="str">
        <f>IFERROR(IF(OR(LEFT(O27,5)="Error",LEFT(N27,5)="Error",T27="Error"),"Check Data ⚠",IF(F27&lt;R27,INDEX('G-6 Hedgerow Data'!$S$3:$AE$14,MATCH(C27,'G-6 Hedgerow Data'!$B$3:$B$14,0),MATCH(M27,'G-6 Hedgerow Data'!$S$2:$AE$2,0)),INDEX('G-6 Hedgerow Data'!$K$3:$Q$14,MATCH(M27,'G-6 Hedgerow Data'!$B$3:$B$14,0),MATCH(O27,'G-6 Hedgerow Data'!$K$2:$Q$2,0)))),"")</f>
        <v/>
      </c>
      <c r="Y27" s="137"/>
      <c r="Z27" s="137"/>
      <c r="AA27" s="289" t="str">
        <f t="shared" si="2"/>
        <v/>
      </c>
      <c r="AB27" s="302" t="str">
        <f t="shared" si="3"/>
        <v/>
      </c>
      <c r="AC27" s="303" t="str">
        <f t="shared" si="0"/>
        <v/>
      </c>
      <c r="AD27" s="317" t="str">
        <f>IF(M27="","",VLOOKUP(M27,'G-6 Hedgerow Data'!$B$3:$AG$15,31,FALSE))</f>
        <v/>
      </c>
      <c r="AE27" s="301" t="str">
        <f t="shared" si="4"/>
        <v/>
      </c>
      <c r="AF27" s="289" t="str">
        <f t="shared" si="5"/>
        <v/>
      </c>
      <c r="AG27" s="305" t="str">
        <f>IFERROR(IF(O27="","",VLOOKUP(AD27,'G-3 Multipliers'!$P$3:$Q$6,2,FALSE)),"")</f>
        <v/>
      </c>
      <c r="AH27" s="729" t="str">
        <f>IF(B27="","",IF(ISNA(VLOOKUP($B27,'E-1 Off-Site Hedge Baseline'!$B$1:$Z$257,14,FALSE)),"",(VLOOKUP($B27,'E-1 Off-Site Hedge Baseline'!$B$1:$Z$257,14,FALSE))))</f>
        <v/>
      </c>
      <c r="AI27" s="282" t="str">
        <f>IF(AH27="","",IF(VLOOKUP(AH27,'G-3 Multipliers'!$S$3:$T$10,2,FALSE)=0,"Spatial Data Missing ⚠",VLOOKUP(AH27,'G-3 Multipliers'!$S$3:$T$10,2,FALSE)))</f>
        <v/>
      </c>
      <c r="AJ27" s="323" t="str">
        <f t="shared" si="6"/>
        <v/>
      </c>
      <c r="AK27" s="295" t="str">
        <f t="shared" si="7"/>
        <v/>
      </c>
      <c r="AL27" s="105"/>
      <c r="AM27" s="119"/>
      <c r="AN27" s="108"/>
      <c r="AO27" s="108"/>
      <c r="AQ27" s="30" t="str">
        <f>IFERROR(INDEX('G-6 Hedgerow Data'!$BJ$3:$BJ$15,MATCH(M27,'G-6 Hedgerow Data'!$B$3:$B$15,0)),"")</f>
        <v/>
      </c>
    </row>
    <row r="28" spans="2:43" ht="13.8" x14ac:dyDescent="0.25">
      <c r="B28" s="311" t="str">
        <f>'E-1 Off-Site Hedge Baseline'!AN26</f>
        <v/>
      </c>
      <c r="C28" s="301" t="str">
        <f>IF(B28="","",IF(ISNA(VLOOKUP($B28,'E-1 Off-Site Hedge Baseline'!$B$1:$L$257,3,FALSE)),"",(VLOOKUP($B28,'E-1 Off-Site Hedge Baseline'!$B$1:$L$257,3,FALSE))))</f>
        <v/>
      </c>
      <c r="D28" s="301" t="str">
        <f>IF(B28="","",IF(ISNA(VLOOKUP($B28,'E-1 Off-Site Hedge Baseline'!$B$1:$L$258,4,FALSE)),"",(VLOOKUP($B28,'E-1 Off-Site Hedge Baseline'!$B$1:$L$258,4,FALSE))))</f>
        <v/>
      </c>
      <c r="E28" s="301" t="str">
        <f>IF(B28="","",IF(ISNA(VLOOKUP($B28,'E-1 Off-Site Hedge Baseline'!$B$1:$L$257,5,FALSE)),"",(VLOOKUP($B28,'E-1 Off-Site Hedge Baseline'!$B$1:$L$257,5,FALSE))))</f>
        <v/>
      </c>
      <c r="F28" s="301" t="str">
        <f>IF(B28="","",IF(ISNA(VLOOKUP($B28,'E-1 Off-Site Hedge Baseline'!$B$1:$L$257,6,FALSE)),"",(VLOOKUP($B28,'E-1 Off-Site Hedge Baseline'!$B$1:$L$257,6,FALSE))))</f>
        <v/>
      </c>
      <c r="G28" s="301" t="str">
        <f>IF(B28="","",IF(ISNA(VLOOKUP($B28,'E-1 Off-Site Hedge Baseline'!$B$1:$L$257,7,FALSE)),"",(VLOOKUP($B28,'E-1 Off-Site Hedge Baseline'!$B$1:$L$257,7,FALSE))))</f>
        <v/>
      </c>
      <c r="H28" s="301" t="str">
        <f>IF(B28="","",IF(ISNA(VLOOKUP($B28,'E-1 Off-Site Hedge Baseline'!$B$1:$L$257,8,FALSE)),"",(VLOOKUP($B28,'E-1 Off-Site Hedge Baseline'!$B$1:$L$257,8,FALSE))))</f>
        <v/>
      </c>
      <c r="I28" s="301" t="str">
        <f>IF(B28="","",IF(ISNA(VLOOKUP($B28,'E-1 Off-Site Hedge Baseline'!$B$1:$L$257,10,FALSE)),"",(VLOOKUP($B28,'E-1 Off-Site Hedge Baseline'!$B$1:$L$257,10,FALSE))))</f>
        <v/>
      </c>
      <c r="J28" s="301" t="str">
        <f>IF(B28="","",IF(ISNA(VLOOKUP($B28,'E-1 Off-Site Hedge Baseline'!$B$1:$L$257,11,FALSE)),"",(VLOOKUP($B28,'E-1 Off-Site Hedge Baseline'!$B$1:$L$257,11,FALSE))))</f>
        <v/>
      </c>
      <c r="K28" s="301" t="str">
        <f>IF(B28="","",IF(ISNA(VLOOKUP($B28,'E-1 Off-Site Hedge Baseline'!$B$1:$X$257,16,FALSE)),"",(VLOOKUP($B28,'E-1 Off-Site Hedge Baseline'!$B$1:$X$257,16,FALSE))))</f>
        <v/>
      </c>
      <c r="L28" s="289" t="str">
        <f>IF(B28="","",IF(ISNA(VLOOKUP($B28,'E-1 Off-Site Hedge Baseline'!$B$1:$X$257,12,FALSE)),"",(VLOOKUP($B28,'E-1 Off-Site Hedge Baseline'!$B$1:$X$257,12,FALSE))))</f>
        <v/>
      </c>
      <c r="M28" s="250"/>
      <c r="N28" s="281" t="str">
        <f>IFERROR(IF(B28="","",INDEX('G-6 Hedgerow Data'!$AN$3:$AZ$15,MATCH(C28,'G-6 Hedgerow Data'!$AM$3:$AM$15,0),MATCH(M28,'G-6 Hedgerow Data'!$AN$2:$AZ$2,0))),"")</f>
        <v/>
      </c>
      <c r="O28" s="282" t="str">
        <f t="shared" si="1"/>
        <v/>
      </c>
      <c r="P28" s="287" t="str">
        <f>IF(B28="","",VLOOKUP(B28,'E-1 Off-Site Hedge Baseline'!$B$10:W273,19,FALSE))</f>
        <v/>
      </c>
      <c r="Q28" s="281" t="str">
        <f>IF(M28="","",VLOOKUP(M28,'G-6 Hedgerow Data'!$B$2:$AG$15,2,FALSE))</f>
        <v/>
      </c>
      <c r="R28" s="282" t="str">
        <f>IF(M28="","",VLOOKUP(M28,'G-6 Hedgerow Data'!$B$2:$AG$15,3,FALSE))</f>
        <v/>
      </c>
      <c r="S28" s="105"/>
      <c r="T28" s="282" t="str">
        <f>IFERROR(IF(S28="","",IF(AND(M28="Non-native and ornamental hedgerow", S28&lt;&gt;"Poor"),"Not possible ▲", (IF(AND(Q28="V.Low",OR(S28="Good",S28="Moderate")),"Error ▲",VLOOKUP(S28,'G-1 All Habitats'!$Z$2:$AA$9,2,FALSE))))),"")</f>
        <v/>
      </c>
      <c r="U28" s="106"/>
      <c r="V28" s="289" t="str">
        <f>IF(U28="","",IF(VLOOKUP(U28,'G-3 Multipliers'!$L$3:$N$6,2,FALSE)=0,"Spatial Data Missing ⚠",VLOOKUP(U28,'G-3 Multipliers'!$L$3:$N$6,2,FALSE)))</f>
        <v/>
      </c>
      <c r="W28" s="287" t="str">
        <f>IF(U28="","",IF(VLOOKUP(U28,'G-3 Multipliers'!$L$3:$N$6,3,FALSE)=0,"Spatial Data Missing ⚠",VLOOKUP(U28,'G-3 Multipliers'!$L$3:$N$6,3,FALSE)))</f>
        <v/>
      </c>
      <c r="X28" s="281" t="str">
        <f>IFERROR(IF(OR(LEFT(O28,5)="Error",LEFT(N28,5)="Error",T28="Error"),"Check Data ⚠",IF(F28&lt;R28,INDEX('G-6 Hedgerow Data'!$S$3:$AE$14,MATCH(C28,'G-6 Hedgerow Data'!$B$3:$B$14,0),MATCH(M28,'G-6 Hedgerow Data'!$S$2:$AE$2,0)),INDEX('G-6 Hedgerow Data'!$K$3:$Q$14,MATCH(M28,'G-6 Hedgerow Data'!$B$3:$B$14,0),MATCH(O28,'G-6 Hedgerow Data'!$K$2:$Q$2,0)))),"")</f>
        <v/>
      </c>
      <c r="Y28" s="137"/>
      <c r="Z28" s="137"/>
      <c r="AA28" s="289" t="str">
        <f t="shared" si="2"/>
        <v/>
      </c>
      <c r="AB28" s="302" t="str">
        <f t="shared" si="3"/>
        <v/>
      </c>
      <c r="AC28" s="303" t="str">
        <f t="shared" si="0"/>
        <v/>
      </c>
      <c r="AD28" s="317" t="str">
        <f>IF(M28="","",VLOOKUP(M28,'G-6 Hedgerow Data'!$B$3:$AG$15,31,FALSE))</f>
        <v/>
      </c>
      <c r="AE28" s="301" t="str">
        <f t="shared" si="4"/>
        <v/>
      </c>
      <c r="AF28" s="289" t="str">
        <f t="shared" si="5"/>
        <v/>
      </c>
      <c r="AG28" s="305" t="str">
        <f>IFERROR(IF(O28="","",VLOOKUP(AD28,'G-3 Multipliers'!$P$3:$Q$6,2,FALSE)),"")</f>
        <v/>
      </c>
      <c r="AH28" s="729" t="str">
        <f>IF(B28="","",IF(ISNA(VLOOKUP($B28,'E-1 Off-Site Hedge Baseline'!$B$1:$Z$257,14,FALSE)),"",(VLOOKUP($B28,'E-1 Off-Site Hedge Baseline'!$B$1:$Z$257,14,FALSE))))</f>
        <v/>
      </c>
      <c r="AI28" s="282" t="str">
        <f>IF(AH28="","",IF(VLOOKUP(AH28,'G-3 Multipliers'!$S$3:$T$10,2,FALSE)=0,"Spatial Data Missing ⚠",VLOOKUP(AH28,'G-3 Multipliers'!$S$3:$T$10,2,FALSE)))</f>
        <v/>
      </c>
      <c r="AJ28" s="323" t="str">
        <f t="shared" si="6"/>
        <v/>
      </c>
      <c r="AK28" s="295" t="str">
        <f t="shared" si="7"/>
        <v/>
      </c>
      <c r="AL28" s="105"/>
      <c r="AM28" s="119"/>
      <c r="AN28" s="108"/>
      <c r="AO28" s="108"/>
      <c r="AQ28" s="30" t="str">
        <f>IFERROR(INDEX('G-6 Hedgerow Data'!$BJ$3:$BJ$15,MATCH(M28,'G-6 Hedgerow Data'!$B$3:$B$15,0)),"")</f>
        <v/>
      </c>
    </row>
    <row r="29" spans="2:43" ht="13.8" x14ac:dyDescent="0.25">
      <c r="B29" s="311" t="str">
        <f>'E-1 Off-Site Hedge Baseline'!AN27</f>
        <v/>
      </c>
      <c r="C29" s="301" t="str">
        <f>IF(B29="","",IF(ISNA(VLOOKUP($B29,'E-1 Off-Site Hedge Baseline'!$B$1:$L$257,3,FALSE)),"",(VLOOKUP($B29,'E-1 Off-Site Hedge Baseline'!$B$1:$L$257,3,FALSE))))</f>
        <v/>
      </c>
      <c r="D29" s="301" t="str">
        <f>IF(B29="","",IF(ISNA(VLOOKUP($B29,'E-1 Off-Site Hedge Baseline'!$B$1:$L$258,4,FALSE)),"",(VLOOKUP($B29,'E-1 Off-Site Hedge Baseline'!$B$1:$L$258,4,FALSE))))</f>
        <v/>
      </c>
      <c r="E29" s="301" t="str">
        <f>IF(B29="","",IF(ISNA(VLOOKUP($B29,'E-1 Off-Site Hedge Baseline'!$B$1:$L$257,5,FALSE)),"",(VLOOKUP($B29,'E-1 Off-Site Hedge Baseline'!$B$1:$L$257,5,FALSE))))</f>
        <v/>
      </c>
      <c r="F29" s="301" t="str">
        <f>IF(B29="","",IF(ISNA(VLOOKUP($B29,'E-1 Off-Site Hedge Baseline'!$B$1:$L$257,6,FALSE)),"",(VLOOKUP($B29,'E-1 Off-Site Hedge Baseline'!$B$1:$L$257,6,FALSE))))</f>
        <v/>
      </c>
      <c r="G29" s="301" t="str">
        <f>IF(B29="","",IF(ISNA(VLOOKUP($B29,'E-1 Off-Site Hedge Baseline'!$B$1:$L$257,7,FALSE)),"",(VLOOKUP($B29,'E-1 Off-Site Hedge Baseline'!$B$1:$L$257,7,FALSE))))</f>
        <v/>
      </c>
      <c r="H29" s="301" t="str">
        <f>IF(B29="","",IF(ISNA(VLOOKUP($B29,'E-1 Off-Site Hedge Baseline'!$B$1:$L$257,8,FALSE)),"",(VLOOKUP($B29,'E-1 Off-Site Hedge Baseline'!$B$1:$L$257,8,FALSE))))</f>
        <v/>
      </c>
      <c r="I29" s="301" t="str">
        <f>IF(B29="","",IF(ISNA(VLOOKUP($B29,'E-1 Off-Site Hedge Baseline'!$B$1:$L$257,10,FALSE)),"",(VLOOKUP($B29,'E-1 Off-Site Hedge Baseline'!$B$1:$L$257,10,FALSE))))</f>
        <v/>
      </c>
      <c r="J29" s="301" t="str">
        <f>IF(B29="","",IF(ISNA(VLOOKUP($B29,'E-1 Off-Site Hedge Baseline'!$B$1:$L$257,11,FALSE)),"",(VLOOKUP($B29,'E-1 Off-Site Hedge Baseline'!$B$1:$L$257,11,FALSE))))</f>
        <v/>
      </c>
      <c r="K29" s="301" t="str">
        <f>IF(B29="","",IF(ISNA(VLOOKUP($B29,'E-1 Off-Site Hedge Baseline'!$B$1:$X$257,16,FALSE)),"",(VLOOKUP($B29,'E-1 Off-Site Hedge Baseline'!$B$1:$X$257,16,FALSE))))</f>
        <v/>
      </c>
      <c r="L29" s="289" t="str">
        <f>IF(B29="","",IF(ISNA(VLOOKUP($B29,'E-1 Off-Site Hedge Baseline'!$B$1:$X$257,12,FALSE)),"",(VLOOKUP($B29,'E-1 Off-Site Hedge Baseline'!$B$1:$X$257,12,FALSE))))</f>
        <v/>
      </c>
      <c r="M29" s="250"/>
      <c r="N29" s="281" t="str">
        <f>IFERROR(IF(B29="","",INDEX('G-6 Hedgerow Data'!$AN$3:$AZ$15,MATCH(C29,'G-6 Hedgerow Data'!$AM$3:$AM$15,0),MATCH(M29,'G-6 Hedgerow Data'!$AN$2:$AZ$2,0))),"")</f>
        <v/>
      </c>
      <c r="O29" s="282" t="str">
        <f t="shared" si="1"/>
        <v/>
      </c>
      <c r="P29" s="287" t="str">
        <f>IF(B29="","",VLOOKUP(B29,'E-1 Off-Site Hedge Baseline'!$B$10:W274,19,FALSE))</f>
        <v/>
      </c>
      <c r="Q29" s="281" t="str">
        <f>IF(M29="","",VLOOKUP(M29,'G-6 Hedgerow Data'!$B$2:$AG$15,2,FALSE))</f>
        <v/>
      </c>
      <c r="R29" s="282" t="str">
        <f>IF(M29="","",VLOOKUP(M29,'G-6 Hedgerow Data'!$B$2:$AG$15,3,FALSE))</f>
        <v/>
      </c>
      <c r="S29" s="105"/>
      <c r="T29" s="282" t="str">
        <f>IFERROR(IF(S29="","",IF(AND(M29="Non-native and ornamental hedgerow", S29&lt;&gt;"Poor"),"Not possible ▲", (IF(AND(Q29="V.Low",OR(S29="Good",S29="Moderate")),"Error ▲",VLOOKUP(S29,'G-1 All Habitats'!$Z$2:$AA$9,2,FALSE))))),"")</f>
        <v/>
      </c>
      <c r="U29" s="106"/>
      <c r="V29" s="289" t="str">
        <f>IF(U29="","",IF(VLOOKUP(U29,'G-3 Multipliers'!$L$3:$N$6,2,FALSE)=0,"Spatial Data Missing ⚠",VLOOKUP(U29,'G-3 Multipliers'!$L$3:$N$6,2,FALSE)))</f>
        <v/>
      </c>
      <c r="W29" s="287" t="str">
        <f>IF(U29="","",IF(VLOOKUP(U29,'G-3 Multipliers'!$L$3:$N$6,3,FALSE)=0,"Spatial Data Missing ⚠",VLOOKUP(U29,'G-3 Multipliers'!$L$3:$N$6,3,FALSE)))</f>
        <v/>
      </c>
      <c r="X29" s="281" t="str">
        <f>IFERROR(IF(OR(LEFT(O29,5)="Error",LEFT(N29,5)="Error",T29="Error"),"Check Data ⚠",IF(F29&lt;R29,INDEX('G-6 Hedgerow Data'!$S$3:$AE$14,MATCH(C29,'G-6 Hedgerow Data'!$B$3:$B$14,0),MATCH(M29,'G-6 Hedgerow Data'!$S$2:$AE$2,0)),INDEX('G-6 Hedgerow Data'!$K$3:$Q$14,MATCH(M29,'G-6 Hedgerow Data'!$B$3:$B$14,0),MATCH(O29,'G-6 Hedgerow Data'!$K$2:$Q$2,0)))),"")</f>
        <v/>
      </c>
      <c r="Y29" s="137"/>
      <c r="Z29" s="137"/>
      <c r="AA29" s="289" t="str">
        <f t="shared" si="2"/>
        <v/>
      </c>
      <c r="AB29" s="302" t="str">
        <f t="shared" si="3"/>
        <v/>
      </c>
      <c r="AC29" s="303" t="str">
        <f t="shared" si="0"/>
        <v/>
      </c>
      <c r="AD29" s="317" t="str">
        <f>IF(M29="","",VLOOKUP(M29,'G-6 Hedgerow Data'!$B$3:$AG$15,31,FALSE))</f>
        <v/>
      </c>
      <c r="AE29" s="301" t="str">
        <f t="shared" si="4"/>
        <v/>
      </c>
      <c r="AF29" s="289" t="str">
        <f t="shared" si="5"/>
        <v/>
      </c>
      <c r="AG29" s="305" t="str">
        <f>IFERROR(IF(O29="","",VLOOKUP(AD29,'G-3 Multipliers'!$P$3:$Q$6,2,FALSE)),"")</f>
        <v/>
      </c>
      <c r="AH29" s="729" t="str">
        <f>IF(B29="","",IF(ISNA(VLOOKUP($B29,'E-1 Off-Site Hedge Baseline'!$B$1:$Z$257,14,FALSE)),"",(VLOOKUP($B29,'E-1 Off-Site Hedge Baseline'!$B$1:$Z$257,14,FALSE))))</f>
        <v/>
      </c>
      <c r="AI29" s="282" t="str">
        <f>IF(AH29="","",IF(VLOOKUP(AH29,'G-3 Multipliers'!$S$3:$T$10,2,FALSE)=0,"Spatial Data Missing ⚠",VLOOKUP(AH29,'G-3 Multipliers'!$S$3:$T$10,2,FALSE)))</f>
        <v/>
      </c>
      <c r="AJ29" s="323" t="str">
        <f t="shared" si="6"/>
        <v/>
      </c>
      <c r="AK29" s="295" t="str">
        <f t="shared" si="7"/>
        <v/>
      </c>
      <c r="AL29" s="105"/>
      <c r="AM29" s="119"/>
      <c r="AN29" s="108"/>
      <c r="AO29" s="108"/>
      <c r="AQ29" s="30" t="str">
        <f>IFERROR(INDEX('G-6 Hedgerow Data'!$BJ$3:$BJ$15,MATCH(M29,'G-6 Hedgerow Data'!$B$3:$B$15,0)),"")</f>
        <v/>
      </c>
    </row>
    <row r="30" spans="2:43" ht="13.8" x14ac:dyDescent="0.25">
      <c r="B30" s="311" t="str">
        <f>'E-1 Off-Site Hedge Baseline'!AN28</f>
        <v/>
      </c>
      <c r="C30" s="301" t="str">
        <f>IF(B30="","",IF(ISNA(VLOOKUP($B30,'E-1 Off-Site Hedge Baseline'!$B$1:$L$257,3,FALSE)),"",(VLOOKUP($B30,'E-1 Off-Site Hedge Baseline'!$B$1:$L$257,3,FALSE))))</f>
        <v/>
      </c>
      <c r="D30" s="301" t="str">
        <f>IF(B30="","",IF(ISNA(VLOOKUP($B30,'E-1 Off-Site Hedge Baseline'!$B$1:$L$258,4,FALSE)),"",(VLOOKUP($B30,'E-1 Off-Site Hedge Baseline'!$B$1:$L$258,4,FALSE))))</f>
        <v/>
      </c>
      <c r="E30" s="301" t="str">
        <f>IF(B30="","",IF(ISNA(VLOOKUP($B30,'E-1 Off-Site Hedge Baseline'!$B$1:$L$257,5,FALSE)),"",(VLOOKUP($B30,'E-1 Off-Site Hedge Baseline'!$B$1:$L$257,5,FALSE))))</f>
        <v/>
      </c>
      <c r="F30" s="301" t="str">
        <f>IF(B30="","",IF(ISNA(VLOOKUP($B30,'E-1 Off-Site Hedge Baseline'!$B$1:$L$257,6,FALSE)),"",(VLOOKUP($B30,'E-1 Off-Site Hedge Baseline'!$B$1:$L$257,6,FALSE))))</f>
        <v/>
      </c>
      <c r="G30" s="301" t="str">
        <f>IF(B30="","",IF(ISNA(VLOOKUP($B30,'E-1 Off-Site Hedge Baseline'!$B$1:$L$257,7,FALSE)),"",(VLOOKUP($B30,'E-1 Off-Site Hedge Baseline'!$B$1:$L$257,7,FALSE))))</f>
        <v/>
      </c>
      <c r="H30" s="301" t="str">
        <f>IF(B30="","",IF(ISNA(VLOOKUP($B30,'E-1 Off-Site Hedge Baseline'!$B$1:$L$257,8,FALSE)),"",(VLOOKUP($B30,'E-1 Off-Site Hedge Baseline'!$B$1:$L$257,8,FALSE))))</f>
        <v/>
      </c>
      <c r="I30" s="301" t="str">
        <f>IF(B30="","",IF(ISNA(VLOOKUP($B30,'E-1 Off-Site Hedge Baseline'!$B$1:$L$257,10,FALSE)),"",(VLOOKUP($B30,'E-1 Off-Site Hedge Baseline'!$B$1:$L$257,10,FALSE))))</f>
        <v/>
      </c>
      <c r="J30" s="301" t="str">
        <f>IF(B30="","",IF(ISNA(VLOOKUP($B30,'E-1 Off-Site Hedge Baseline'!$B$1:$L$257,11,FALSE)),"",(VLOOKUP($B30,'E-1 Off-Site Hedge Baseline'!$B$1:$L$257,11,FALSE))))</f>
        <v/>
      </c>
      <c r="K30" s="301" t="str">
        <f>IF(B30="","",IF(ISNA(VLOOKUP($B30,'E-1 Off-Site Hedge Baseline'!$B$1:$X$257,16,FALSE)),"",(VLOOKUP($B30,'E-1 Off-Site Hedge Baseline'!$B$1:$X$257,16,FALSE))))</f>
        <v/>
      </c>
      <c r="L30" s="289" t="str">
        <f>IF(B30="","",IF(ISNA(VLOOKUP($B30,'E-1 Off-Site Hedge Baseline'!$B$1:$X$257,12,FALSE)),"",(VLOOKUP($B30,'E-1 Off-Site Hedge Baseline'!$B$1:$X$257,12,FALSE))))</f>
        <v/>
      </c>
      <c r="M30" s="250"/>
      <c r="N30" s="281" t="str">
        <f>IFERROR(IF(B30="","",INDEX('G-6 Hedgerow Data'!$AN$3:$AZ$15,MATCH(C30,'G-6 Hedgerow Data'!$AM$3:$AM$15,0),MATCH(M30,'G-6 Hedgerow Data'!$AN$2:$AZ$2,0))),"")</f>
        <v/>
      </c>
      <c r="O30" s="282" t="str">
        <f t="shared" si="1"/>
        <v/>
      </c>
      <c r="P30" s="287" t="str">
        <f>IF(B30="","",VLOOKUP(B30,'E-1 Off-Site Hedge Baseline'!$B$10:W275,19,FALSE))</f>
        <v/>
      </c>
      <c r="Q30" s="281" t="str">
        <f>IF(M30="","",VLOOKUP(M30,'G-6 Hedgerow Data'!$B$2:$AG$15,2,FALSE))</f>
        <v/>
      </c>
      <c r="R30" s="282" t="str">
        <f>IF(M30="","",VLOOKUP(M30,'G-6 Hedgerow Data'!$B$2:$AG$15,3,FALSE))</f>
        <v/>
      </c>
      <c r="S30" s="53"/>
      <c r="T30" s="282" t="str">
        <f>IFERROR(IF(S30="","",IF(AND(M30="Non-native and ornamental hedgerow", S30&lt;&gt;"Poor"),"Not possible ▲", (IF(AND(Q30="V.Low",OR(S30="Good",S30="Moderate")),"Error ▲",VLOOKUP(S30,'G-1 All Habitats'!$Z$2:$AA$9,2,FALSE))))),"")</f>
        <v/>
      </c>
      <c r="U30" s="106"/>
      <c r="V30" s="289" t="str">
        <f>IF(U30="","",IF(VLOOKUP(U30,'G-3 Multipliers'!$L$3:$N$6,2,FALSE)=0,"Spatial Data Missing ⚠",VLOOKUP(U30,'G-3 Multipliers'!$L$3:$N$6,2,FALSE)))</f>
        <v/>
      </c>
      <c r="W30" s="287" t="str">
        <f>IF(U30="","",IF(VLOOKUP(U30,'G-3 Multipliers'!$L$3:$N$6,3,FALSE)=0,"Spatial Data Missing ⚠",VLOOKUP(U30,'G-3 Multipliers'!$L$3:$N$6,3,FALSE)))</f>
        <v/>
      </c>
      <c r="X30" s="281" t="str">
        <f>IFERROR(IF(OR(LEFT(O30,5)="Error",LEFT(N30,5)="Error",T30="Error"),"Check Data ⚠",IF(F30&lt;R30,INDEX('G-6 Hedgerow Data'!$S$3:$AE$14,MATCH(C30,'G-6 Hedgerow Data'!$B$3:$B$14,0),MATCH(M30,'G-6 Hedgerow Data'!$S$2:$AE$2,0)),INDEX('G-6 Hedgerow Data'!$K$3:$Q$14,MATCH(M30,'G-6 Hedgerow Data'!$B$3:$B$14,0),MATCH(O30,'G-6 Hedgerow Data'!$K$2:$Q$2,0)))),"")</f>
        <v/>
      </c>
      <c r="Y30" s="137"/>
      <c r="Z30" s="137"/>
      <c r="AA30" s="289" t="str">
        <f t="shared" si="2"/>
        <v/>
      </c>
      <c r="AB30" s="302" t="str">
        <f t="shared" si="3"/>
        <v/>
      </c>
      <c r="AC30" s="303" t="str">
        <f t="shared" si="0"/>
        <v/>
      </c>
      <c r="AD30" s="317" t="str">
        <f>IF(M30="","",VLOOKUP(M30,'G-6 Hedgerow Data'!$B$3:$AG$15,31,FALSE))</f>
        <v/>
      </c>
      <c r="AE30" s="301" t="str">
        <f t="shared" si="4"/>
        <v/>
      </c>
      <c r="AF30" s="289" t="str">
        <f t="shared" si="5"/>
        <v/>
      </c>
      <c r="AG30" s="305" t="str">
        <f>IFERROR(IF(O30="","",VLOOKUP(AD30,'G-3 Multipliers'!$P$3:$Q$6,2,FALSE)),"")</f>
        <v/>
      </c>
      <c r="AH30" s="729" t="str">
        <f>IF(B30="","",IF(ISNA(VLOOKUP($B30,'E-1 Off-Site Hedge Baseline'!$B$1:$Z$257,14,FALSE)),"",(VLOOKUP($B30,'E-1 Off-Site Hedge Baseline'!$B$1:$Z$257,14,FALSE))))</f>
        <v/>
      </c>
      <c r="AI30" s="282" t="str">
        <f>IF(AH30="","",IF(VLOOKUP(AH30,'G-3 Multipliers'!$S$3:$T$10,2,FALSE)=0,"Spatial Data Missing ⚠",VLOOKUP(AH30,'G-3 Multipliers'!$S$3:$T$10,2,FALSE)))</f>
        <v/>
      </c>
      <c r="AJ30" s="323" t="str">
        <f t="shared" si="6"/>
        <v/>
      </c>
      <c r="AK30" s="295" t="str">
        <f t="shared" si="7"/>
        <v/>
      </c>
      <c r="AL30" s="105"/>
      <c r="AM30" s="119"/>
      <c r="AN30" s="108"/>
      <c r="AO30" s="108"/>
      <c r="AQ30" s="30" t="str">
        <f>IFERROR(INDEX('G-6 Hedgerow Data'!$BJ$3:$BJ$15,MATCH(M30,'G-6 Hedgerow Data'!$B$3:$B$15,0)),"")</f>
        <v/>
      </c>
    </row>
    <row r="31" spans="2:43" ht="13.8" x14ac:dyDescent="0.25">
      <c r="B31" s="311" t="str">
        <f>'E-1 Off-Site Hedge Baseline'!AN29</f>
        <v/>
      </c>
      <c r="C31" s="301" t="str">
        <f>IF(B31="","",IF(ISNA(VLOOKUP($B31,'E-1 Off-Site Hedge Baseline'!$B$1:$L$257,3,FALSE)),"",(VLOOKUP($B31,'E-1 Off-Site Hedge Baseline'!$B$1:$L$257,3,FALSE))))</f>
        <v/>
      </c>
      <c r="D31" s="301" t="str">
        <f>IF(B31="","",IF(ISNA(VLOOKUP($B31,'E-1 Off-Site Hedge Baseline'!$B$1:$L$258,4,FALSE)),"",(VLOOKUP($B31,'E-1 Off-Site Hedge Baseline'!$B$1:$L$258,4,FALSE))))</f>
        <v/>
      </c>
      <c r="E31" s="301" t="str">
        <f>IF(B31="","",IF(ISNA(VLOOKUP($B31,'E-1 Off-Site Hedge Baseline'!$B$1:$L$257,5,FALSE)),"",(VLOOKUP($B31,'E-1 Off-Site Hedge Baseline'!$B$1:$L$257,5,FALSE))))</f>
        <v/>
      </c>
      <c r="F31" s="301" t="str">
        <f>IF(B31="","",IF(ISNA(VLOOKUP($B31,'E-1 Off-Site Hedge Baseline'!$B$1:$L$257,6,FALSE)),"",(VLOOKUP($B31,'E-1 Off-Site Hedge Baseline'!$B$1:$L$257,6,FALSE))))</f>
        <v/>
      </c>
      <c r="G31" s="301" t="str">
        <f>IF(B31="","",IF(ISNA(VLOOKUP($B31,'E-1 Off-Site Hedge Baseline'!$B$1:$L$257,7,FALSE)),"",(VLOOKUP($B31,'E-1 Off-Site Hedge Baseline'!$B$1:$L$257,7,FALSE))))</f>
        <v/>
      </c>
      <c r="H31" s="301" t="str">
        <f>IF(B31="","",IF(ISNA(VLOOKUP($B31,'E-1 Off-Site Hedge Baseline'!$B$1:$L$257,8,FALSE)),"",(VLOOKUP($B31,'E-1 Off-Site Hedge Baseline'!$B$1:$L$257,8,FALSE))))</f>
        <v/>
      </c>
      <c r="I31" s="301" t="str">
        <f>IF(B31="","",IF(ISNA(VLOOKUP($B31,'E-1 Off-Site Hedge Baseline'!$B$1:$L$257,10,FALSE)),"",(VLOOKUP($B31,'E-1 Off-Site Hedge Baseline'!$B$1:$L$257,10,FALSE))))</f>
        <v/>
      </c>
      <c r="J31" s="301" t="str">
        <f>IF(B31="","",IF(ISNA(VLOOKUP($B31,'E-1 Off-Site Hedge Baseline'!$B$1:$L$257,11,FALSE)),"",(VLOOKUP($B31,'E-1 Off-Site Hedge Baseline'!$B$1:$L$257,11,FALSE))))</f>
        <v/>
      </c>
      <c r="K31" s="301" t="str">
        <f>IF(B31="","",IF(ISNA(VLOOKUP($B31,'E-1 Off-Site Hedge Baseline'!$B$1:$X$257,16,FALSE)),"",(VLOOKUP($B31,'E-1 Off-Site Hedge Baseline'!$B$1:$X$257,16,FALSE))))</f>
        <v/>
      </c>
      <c r="L31" s="289" t="str">
        <f>IF(B31="","",IF(ISNA(VLOOKUP($B31,'E-1 Off-Site Hedge Baseline'!$B$1:$X$257,12,FALSE)),"",(VLOOKUP($B31,'E-1 Off-Site Hedge Baseline'!$B$1:$X$257,12,FALSE))))</f>
        <v/>
      </c>
      <c r="M31" s="250"/>
      <c r="N31" s="281" t="str">
        <f>IFERROR(IF(B31="","",INDEX('G-6 Hedgerow Data'!$AN$3:$AZ$15,MATCH(C31,'G-6 Hedgerow Data'!$AM$3:$AM$15,0),MATCH(M31,'G-6 Hedgerow Data'!$AN$2:$AZ$2,0))),"")</f>
        <v/>
      </c>
      <c r="O31" s="282" t="str">
        <f t="shared" si="1"/>
        <v/>
      </c>
      <c r="P31" s="287" t="str">
        <f>IF(B31="","",VLOOKUP(B31,'E-1 Off-Site Hedge Baseline'!$B$10:W276,19,FALSE))</f>
        <v/>
      </c>
      <c r="Q31" s="281" t="str">
        <f>IF(M31="","",VLOOKUP(M31,'G-6 Hedgerow Data'!$B$2:$AG$15,2,FALSE))</f>
        <v/>
      </c>
      <c r="R31" s="282" t="str">
        <f>IF(M31="","",VLOOKUP(M31,'G-6 Hedgerow Data'!$B$2:$AG$15,3,FALSE))</f>
        <v/>
      </c>
      <c r="S31" s="53"/>
      <c r="T31" s="282" t="str">
        <f>IFERROR(IF(S31="","",IF(AND(M31="Non-native and ornamental hedgerow", S31&lt;&gt;"Poor"),"Not possible ▲", (IF(AND(Q31="V.Low",OR(S31="Good",S31="Moderate")),"Error ▲",VLOOKUP(S31,'G-1 All Habitats'!$Z$2:$AA$9,2,FALSE))))),"")</f>
        <v/>
      </c>
      <c r="U31" s="106"/>
      <c r="V31" s="289" t="str">
        <f>IF(U31="","",IF(VLOOKUP(U31,'G-3 Multipliers'!$L$3:$N$6,2,FALSE)=0,"Spatial Data Missing ⚠",VLOOKUP(U31,'G-3 Multipliers'!$L$3:$N$6,2,FALSE)))</f>
        <v/>
      </c>
      <c r="W31" s="287" t="str">
        <f>IF(U31="","",IF(VLOOKUP(U31,'G-3 Multipliers'!$L$3:$N$6,3,FALSE)=0,"Spatial Data Missing ⚠",VLOOKUP(U31,'G-3 Multipliers'!$L$3:$N$6,3,FALSE)))</f>
        <v/>
      </c>
      <c r="X31" s="281" t="str">
        <f>IFERROR(IF(OR(LEFT(O31,5)="Error",LEFT(N31,5)="Error",T31="Error"),"Check Data ⚠",IF(F31&lt;R31,INDEX('G-6 Hedgerow Data'!$S$3:$AE$14,MATCH(C31,'G-6 Hedgerow Data'!$B$3:$B$14,0),MATCH(M31,'G-6 Hedgerow Data'!$S$2:$AE$2,0)),INDEX('G-6 Hedgerow Data'!$K$3:$Q$14,MATCH(M31,'G-6 Hedgerow Data'!$B$3:$B$14,0),MATCH(O31,'G-6 Hedgerow Data'!$K$2:$Q$2,0)))),"")</f>
        <v/>
      </c>
      <c r="Y31" s="137"/>
      <c r="Z31" s="137"/>
      <c r="AA31" s="289" t="str">
        <f t="shared" si="2"/>
        <v/>
      </c>
      <c r="AB31" s="302" t="str">
        <f t="shared" si="3"/>
        <v/>
      </c>
      <c r="AC31" s="303" t="str">
        <f t="shared" si="0"/>
        <v/>
      </c>
      <c r="AD31" s="317" t="str">
        <f>IF(M31="","",VLOOKUP(M31,'G-6 Hedgerow Data'!$B$3:$AG$15,31,FALSE))</f>
        <v/>
      </c>
      <c r="AE31" s="301" t="str">
        <f t="shared" si="4"/>
        <v/>
      </c>
      <c r="AF31" s="289" t="str">
        <f t="shared" si="5"/>
        <v/>
      </c>
      <c r="AG31" s="305" t="str">
        <f>IFERROR(IF(O31="","",VLOOKUP(AD31,'G-3 Multipliers'!$P$3:$Q$6,2,FALSE)),"")</f>
        <v/>
      </c>
      <c r="AH31" s="729" t="str">
        <f>IF(B31="","",IF(ISNA(VLOOKUP($B31,'E-1 Off-Site Hedge Baseline'!$B$1:$Z$257,14,FALSE)),"",(VLOOKUP($B31,'E-1 Off-Site Hedge Baseline'!$B$1:$Z$257,14,FALSE))))</f>
        <v/>
      </c>
      <c r="AI31" s="282" t="str">
        <f>IF(AH31="","",IF(VLOOKUP(AH31,'G-3 Multipliers'!$S$3:$T$10,2,FALSE)=0,"Spatial Data Missing ⚠",VLOOKUP(AH31,'G-3 Multipliers'!$S$3:$T$10,2,FALSE)))</f>
        <v/>
      </c>
      <c r="AJ31" s="323" t="str">
        <f t="shared" si="6"/>
        <v/>
      </c>
      <c r="AK31" s="295" t="str">
        <f t="shared" si="7"/>
        <v/>
      </c>
      <c r="AL31" s="105"/>
      <c r="AM31" s="119"/>
      <c r="AN31" s="108"/>
      <c r="AO31" s="108"/>
      <c r="AQ31" s="30" t="str">
        <f>IFERROR(INDEX('G-6 Hedgerow Data'!$BJ$3:$BJ$15,MATCH(M31,'G-6 Hedgerow Data'!$B$3:$B$15,0)),"")</f>
        <v/>
      </c>
    </row>
    <row r="32" spans="2:43" ht="13.8" x14ac:dyDescent="0.25">
      <c r="B32" s="311" t="str">
        <f>'E-1 Off-Site Hedge Baseline'!AN30</f>
        <v/>
      </c>
      <c r="C32" s="301" t="str">
        <f>IF(B32="","",IF(ISNA(VLOOKUP($B32,'E-1 Off-Site Hedge Baseline'!$B$1:$L$257,3,FALSE)),"",(VLOOKUP($B32,'E-1 Off-Site Hedge Baseline'!$B$1:$L$257,3,FALSE))))</f>
        <v/>
      </c>
      <c r="D32" s="301" t="str">
        <f>IF(B32="","",IF(ISNA(VLOOKUP($B32,'E-1 Off-Site Hedge Baseline'!$B$1:$L$258,4,FALSE)),"",(VLOOKUP($B32,'E-1 Off-Site Hedge Baseline'!$B$1:$L$258,4,FALSE))))</f>
        <v/>
      </c>
      <c r="E32" s="301" t="str">
        <f>IF(B32="","",IF(ISNA(VLOOKUP($B32,'E-1 Off-Site Hedge Baseline'!$B$1:$L$257,5,FALSE)),"",(VLOOKUP($B32,'E-1 Off-Site Hedge Baseline'!$B$1:$L$257,5,FALSE))))</f>
        <v/>
      </c>
      <c r="F32" s="301" t="str">
        <f>IF(B32="","",IF(ISNA(VLOOKUP($B32,'E-1 Off-Site Hedge Baseline'!$B$1:$L$257,6,FALSE)),"",(VLOOKUP($B32,'E-1 Off-Site Hedge Baseline'!$B$1:$L$257,6,FALSE))))</f>
        <v/>
      </c>
      <c r="G32" s="301" t="str">
        <f>IF(B32="","",IF(ISNA(VLOOKUP($B32,'E-1 Off-Site Hedge Baseline'!$B$1:$L$257,7,FALSE)),"",(VLOOKUP($B32,'E-1 Off-Site Hedge Baseline'!$B$1:$L$257,7,FALSE))))</f>
        <v/>
      </c>
      <c r="H32" s="301" t="str">
        <f>IF(B32="","",IF(ISNA(VLOOKUP($B32,'E-1 Off-Site Hedge Baseline'!$B$1:$L$257,8,FALSE)),"",(VLOOKUP($B32,'E-1 Off-Site Hedge Baseline'!$B$1:$L$257,8,FALSE))))</f>
        <v/>
      </c>
      <c r="I32" s="301" t="str">
        <f>IF(B32="","",IF(ISNA(VLOOKUP($B32,'E-1 Off-Site Hedge Baseline'!$B$1:$L$257,10,FALSE)),"",(VLOOKUP($B32,'E-1 Off-Site Hedge Baseline'!$B$1:$L$257,10,FALSE))))</f>
        <v/>
      </c>
      <c r="J32" s="301" t="str">
        <f>IF(B32="","",IF(ISNA(VLOOKUP($B32,'E-1 Off-Site Hedge Baseline'!$B$1:$L$257,11,FALSE)),"",(VLOOKUP($B32,'E-1 Off-Site Hedge Baseline'!$B$1:$L$257,11,FALSE))))</f>
        <v/>
      </c>
      <c r="K32" s="301" t="str">
        <f>IF(B32="","",IF(ISNA(VLOOKUP($B32,'E-1 Off-Site Hedge Baseline'!$B$1:$X$257,16,FALSE)),"",(VLOOKUP($B32,'E-1 Off-Site Hedge Baseline'!$B$1:$X$257,16,FALSE))))</f>
        <v/>
      </c>
      <c r="L32" s="289" t="str">
        <f>IF(B32="","",IF(ISNA(VLOOKUP($B32,'E-1 Off-Site Hedge Baseline'!$B$1:$X$257,12,FALSE)),"",(VLOOKUP($B32,'E-1 Off-Site Hedge Baseline'!$B$1:$X$257,12,FALSE))))</f>
        <v/>
      </c>
      <c r="M32" s="250"/>
      <c r="N32" s="281" t="str">
        <f>IFERROR(IF(B32="","",INDEX('G-6 Hedgerow Data'!$AN$3:$AZ$15,MATCH(C32,'G-6 Hedgerow Data'!$AM$3:$AM$15,0),MATCH(M32,'G-6 Hedgerow Data'!$AN$2:$AZ$2,0))),"")</f>
        <v/>
      </c>
      <c r="O32" s="282" t="str">
        <f t="shared" si="1"/>
        <v/>
      </c>
      <c r="P32" s="287" t="str">
        <f>IF(B32="","",VLOOKUP(B32,'E-1 Off-Site Hedge Baseline'!$B$10:W277,19,FALSE))</f>
        <v/>
      </c>
      <c r="Q32" s="281" t="str">
        <f>IF(M32="","",VLOOKUP(M32,'G-6 Hedgerow Data'!$B$2:$AG$15,2,FALSE))</f>
        <v/>
      </c>
      <c r="R32" s="282" t="str">
        <f>IF(M32="","",VLOOKUP(M32,'G-6 Hedgerow Data'!$B$2:$AG$15,3,FALSE))</f>
        <v/>
      </c>
      <c r="S32" s="53"/>
      <c r="T32" s="282" t="str">
        <f>IFERROR(IF(S32="","",IF(AND(M32="Non-native and ornamental hedgerow", S32&lt;&gt;"Poor"),"Not possible ▲", (IF(AND(Q32="V.Low",OR(S32="Good",S32="Moderate")),"Error ▲",VLOOKUP(S32,'G-1 All Habitats'!$Z$2:$AA$9,2,FALSE))))),"")</f>
        <v/>
      </c>
      <c r="U32" s="106"/>
      <c r="V32" s="289" t="str">
        <f>IF(U32="","",IF(VLOOKUP(U32,'G-3 Multipliers'!$L$3:$N$6,2,FALSE)=0,"Spatial Data Missing ⚠",VLOOKUP(U32,'G-3 Multipliers'!$L$3:$N$6,2,FALSE)))</f>
        <v/>
      </c>
      <c r="W32" s="287" t="str">
        <f>IF(U32="","",IF(VLOOKUP(U32,'G-3 Multipliers'!$L$3:$N$6,3,FALSE)=0,"Spatial Data Missing ⚠",VLOOKUP(U32,'G-3 Multipliers'!$L$3:$N$6,3,FALSE)))</f>
        <v/>
      </c>
      <c r="X32" s="281" t="str">
        <f>IFERROR(IF(OR(LEFT(O32,5)="Error",LEFT(N32,5)="Error",T32="Error"),"Check Data ⚠",IF(F32&lt;R32,INDEX('G-6 Hedgerow Data'!$S$3:$AE$14,MATCH(C32,'G-6 Hedgerow Data'!$B$3:$B$14,0),MATCH(M32,'G-6 Hedgerow Data'!$S$2:$AE$2,0)),INDEX('G-6 Hedgerow Data'!$K$3:$Q$14,MATCH(M32,'G-6 Hedgerow Data'!$B$3:$B$14,0),MATCH(O32,'G-6 Hedgerow Data'!$K$2:$Q$2,0)))),"")</f>
        <v/>
      </c>
      <c r="Y32" s="137"/>
      <c r="Z32" s="137"/>
      <c r="AA32" s="289" t="str">
        <f t="shared" si="2"/>
        <v/>
      </c>
      <c r="AB32" s="302" t="str">
        <f t="shared" si="3"/>
        <v/>
      </c>
      <c r="AC32" s="303" t="str">
        <f t="shared" si="0"/>
        <v/>
      </c>
      <c r="AD32" s="317" t="str">
        <f>IF(M32="","",VLOOKUP(M32,'G-6 Hedgerow Data'!$B$3:$AG$15,31,FALSE))</f>
        <v/>
      </c>
      <c r="AE32" s="301" t="str">
        <f t="shared" si="4"/>
        <v/>
      </c>
      <c r="AF32" s="289" t="str">
        <f t="shared" si="5"/>
        <v/>
      </c>
      <c r="AG32" s="305" t="str">
        <f>IFERROR(IF(O32="","",VLOOKUP(AD32,'G-3 Multipliers'!$P$3:$Q$6,2,FALSE)),"")</f>
        <v/>
      </c>
      <c r="AH32" s="729" t="str">
        <f>IF(B32="","",IF(ISNA(VLOOKUP($B32,'E-1 Off-Site Hedge Baseline'!$B$1:$Z$257,14,FALSE)),"",(VLOOKUP($B32,'E-1 Off-Site Hedge Baseline'!$B$1:$Z$257,14,FALSE))))</f>
        <v/>
      </c>
      <c r="AI32" s="282" t="str">
        <f>IF(AH32="","",IF(VLOOKUP(AH32,'G-3 Multipliers'!$S$3:$T$10,2,FALSE)=0,"Spatial Data Missing ⚠",VLOOKUP(AH32,'G-3 Multipliers'!$S$3:$T$10,2,FALSE)))</f>
        <v/>
      </c>
      <c r="AJ32" s="323" t="str">
        <f t="shared" si="6"/>
        <v/>
      </c>
      <c r="AK32" s="295" t="str">
        <f t="shared" si="7"/>
        <v/>
      </c>
      <c r="AL32" s="105"/>
      <c r="AM32" s="119"/>
      <c r="AN32" s="108"/>
      <c r="AO32" s="108"/>
      <c r="AQ32" s="30" t="str">
        <f>IFERROR(INDEX('G-6 Hedgerow Data'!$BJ$3:$BJ$15,MATCH(M32,'G-6 Hedgerow Data'!$B$3:$B$15,0)),"")</f>
        <v/>
      </c>
    </row>
    <row r="33" spans="2:43" ht="13.8" x14ac:dyDescent="0.25">
      <c r="B33" s="311" t="str">
        <f>'E-1 Off-Site Hedge Baseline'!AN31</f>
        <v/>
      </c>
      <c r="C33" s="301" t="str">
        <f>IF(B33="","",IF(ISNA(VLOOKUP($B33,'E-1 Off-Site Hedge Baseline'!$B$1:$L$257,3,FALSE)),"",(VLOOKUP($B33,'E-1 Off-Site Hedge Baseline'!$B$1:$L$257,3,FALSE))))</f>
        <v/>
      </c>
      <c r="D33" s="301" t="str">
        <f>IF(B33="","",IF(ISNA(VLOOKUP($B33,'E-1 Off-Site Hedge Baseline'!$B$1:$L$258,4,FALSE)),"",(VLOOKUP($B33,'E-1 Off-Site Hedge Baseline'!$B$1:$L$258,4,FALSE))))</f>
        <v/>
      </c>
      <c r="E33" s="301" t="str">
        <f>IF(B33="","",IF(ISNA(VLOOKUP($B33,'E-1 Off-Site Hedge Baseline'!$B$1:$L$257,5,FALSE)),"",(VLOOKUP($B33,'E-1 Off-Site Hedge Baseline'!$B$1:$L$257,5,FALSE))))</f>
        <v/>
      </c>
      <c r="F33" s="301" t="str">
        <f>IF(B33="","",IF(ISNA(VLOOKUP($B33,'E-1 Off-Site Hedge Baseline'!$B$1:$L$257,6,FALSE)),"",(VLOOKUP($B33,'E-1 Off-Site Hedge Baseline'!$B$1:$L$257,6,FALSE))))</f>
        <v/>
      </c>
      <c r="G33" s="301" t="str">
        <f>IF(B33="","",IF(ISNA(VLOOKUP($B33,'E-1 Off-Site Hedge Baseline'!$B$1:$L$257,7,FALSE)),"",(VLOOKUP($B33,'E-1 Off-Site Hedge Baseline'!$B$1:$L$257,7,FALSE))))</f>
        <v/>
      </c>
      <c r="H33" s="301" t="str">
        <f>IF(B33="","",IF(ISNA(VLOOKUP($B33,'E-1 Off-Site Hedge Baseline'!$B$1:$L$257,8,FALSE)),"",(VLOOKUP($B33,'E-1 Off-Site Hedge Baseline'!$B$1:$L$257,8,FALSE))))</f>
        <v/>
      </c>
      <c r="I33" s="301" t="str">
        <f>IF(B33="","",IF(ISNA(VLOOKUP($B33,'E-1 Off-Site Hedge Baseline'!$B$1:$L$257,10,FALSE)),"",(VLOOKUP($B33,'E-1 Off-Site Hedge Baseline'!$B$1:$L$257,10,FALSE))))</f>
        <v/>
      </c>
      <c r="J33" s="301" t="str">
        <f>IF(B33="","",IF(ISNA(VLOOKUP($B33,'E-1 Off-Site Hedge Baseline'!$B$1:$L$257,11,FALSE)),"",(VLOOKUP($B33,'E-1 Off-Site Hedge Baseline'!$B$1:$L$257,11,FALSE))))</f>
        <v/>
      </c>
      <c r="K33" s="301" t="str">
        <f>IF(B33="","",IF(ISNA(VLOOKUP($B33,'E-1 Off-Site Hedge Baseline'!$B$1:$X$257,16,FALSE)),"",(VLOOKUP($B33,'E-1 Off-Site Hedge Baseline'!$B$1:$X$257,16,FALSE))))</f>
        <v/>
      </c>
      <c r="L33" s="289" t="str">
        <f>IF(B33="","",IF(ISNA(VLOOKUP($B33,'E-1 Off-Site Hedge Baseline'!$B$1:$X$257,12,FALSE)),"",(VLOOKUP($B33,'E-1 Off-Site Hedge Baseline'!$B$1:$X$257,12,FALSE))))</f>
        <v/>
      </c>
      <c r="M33" s="250"/>
      <c r="N33" s="281" t="str">
        <f>IFERROR(IF(B33="","",INDEX('G-6 Hedgerow Data'!$AN$3:$AZ$15,MATCH(C33,'G-6 Hedgerow Data'!$AM$3:$AM$15,0),MATCH(M33,'G-6 Hedgerow Data'!$AN$2:$AZ$2,0))),"")</f>
        <v/>
      </c>
      <c r="O33" s="282" t="str">
        <f t="shared" si="1"/>
        <v/>
      </c>
      <c r="P33" s="287" t="str">
        <f>IF(B33="","",VLOOKUP(B33,'E-1 Off-Site Hedge Baseline'!$B$10:W278,19,FALSE))</f>
        <v/>
      </c>
      <c r="Q33" s="281" t="str">
        <f>IF(M33="","",VLOOKUP(M33,'G-6 Hedgerow Data'!$B$2:$AG$15,2,FALSE))</f>
        <v/>
      </c>
      <c r="R33" s="282" t="str">
        <f>IF(M33="","",VLOOKUP(M33,'G-6 Hedgerow Data'!$B$2:$AG$15,3,FALSE))</f>
        <v/>
      </c>
      <c r="S33" s="53"/>
      <c r="T33" s="282" t="str">
        <f>IFERROR(IF(S33="","",IF(AND(M33="Non-native and ornamental hedgerow", S33&lt;&gt;"Poor"),"Not possible ▲", (IF(AND(Q33="V.Low",OR(S33="Good",S33="Moderate")),"Error ▲",VLOOKUP(S33,'G-1 All Habitats'!$Z$2:$AA$9,2,FALSE))))),"")</f>
        <v/>
      </c>
      <c r="U33" s="106"/>
      <c r="V33" s="289" t="str">
        <f>IF(U33="","",IF(VLOOKUP(U33,'G-3 Multipliers'!$L$3:$N$6,2,FALSE)=0,"Spatial Data Missing ⚠",VLOOKUP(U33,'G-3 Multipliers'!$L$3:$N$6,2,FALSE)))</f>
        <v/>
      </c>
      <c r="W33" s="287" t="str">
        <f>IF(U33="","",IF(VLOOKUP(U33,'G-3 Multipliers'!$L$3:$N$6,3,FALSE)=0,"Spatial Data Missing ⚠",VLOOKUP(U33,'G-3 Multipliers'!$L$3:$N$6,3,FALSE)))</f>
        <v/>
      </c>
      <c r="X33" s="281" t="str">
        <f>IFERROR(IF(OR(LEFT(O33,5)="Error",LEFT(N33,5)="Error",T33="Error"),"Check Data ⚠",IF(F33&lt;R33,INDEX('G-6 Hedgerow Data'!$S$3:$AE$14,MATCH(C33,'G-6 Hedgerow Data'!$B$3:$B$14,0),MATCH(M33,'G-6 Hedgerow Data'!$S$2:$AE$2,0)),INDEX('G-6 Hedgerow Data'!$K$3:$Q$14,MATCH(M33,'G-6 Hedgerow Data'!$B$3:$B$14,0),MATCH(O33,'G-6 Hedgerow Data'!$K$2:$Q$2,0)))),"")</f>
        <v/>
      </c>
      <c r="Y33" s="137"/>
      <c r="Z33" s="137"/>
      <c r="AA33" s="289" t="str">
        <f t="shared" si="2"/>
        <v/>
      </c>
      <c r="AB33" s="302" t="str">
        <f t="shared" si="3"/>
        <v/>
      </c>
      <c r="AC33" s="303" t="str">
        <f t="shared" si="0"/>
        <v/>
      </c>
      <c r="AD33" s="317" t="str">
        <f>IF(M33="","",VLOOKUP(M33,'G-6 Hedgerow Data'!$B$3:$AG$15,31,FALSE))</f>
        <v/>
      </c>
      <c r="AE33" s="301" t="str">
        <f t="shared" si="4"/>
        <v/>
      </c>
      <c r="AF33" s="289" t="str">
        <f t="shared" si="5"/>
        <v/>
      </c>
      <c r="AG33" s="305" t="str">
        <f>IFERROR(IF(O33="","",VLOOKUP(AD33,'G-3 Multipliers'!$P$3:$Q$6,2,FALSE)),"")</f>
        <v/>
      </c>
      <c r="AH33" s="729" t="str">
        <f>IF(B33="","",IF(ISNA(VLOOKUP($B33,'E-1 Off-Site Hedge Baseline'!$B$1:$Z$257,14,FALSE)),"",(VLOOKUP($B33,'E-1 Off-Site Hedge Baseline'!$B$1:$Z$257,14,FALSE))))</f>
        <v/>
      </c>
      <c r="AI33" s="282" t="str">
        <f>IF(AH33="","",IF(VLOOKUP(AH33,'G-3 Multipliers'!$S$3:$T$10,2,FALSE)=0,"Spatial Data Missing ⚠",VLOOKUP(AH33,'G-3 Multipliers'!$S$3:$T$10,2,FALSE)))</f>
        <v/>
      </c>
      <c r="AJ33" s="323" t="str">
        <f t="shared" si="6"/>
        <v/>
      </c>
      <c r="AK33" s="295" t="str">
        <f t="shared" si="7"/>
        <v/>
      </c>
      <c r="AL33" s="105"/>
      <c r="AM33" s="119"/>
      <c r="AN33" s="108"/>
      <c r="AO33" s="108"/>
      <c r="AQ33" s="30" t="str">
        <f>IFERROR(INDEX('G-6 Hedgerow Data'!$BJ$3:$BJ$15,MATCH(M33,'G-6 Hedgerow Data'!$B$3:$B$15,0)),"")</f>
        <v/>
      </c>
    </row>
    <row r="34" spans="2:43" ht="13.8" x14ac:dyDescent="0.25">
      <c r="B34" s="311" t="str">
        <f>'E-1 Off-Site Hedge Baseline'!AN32</f>
        <v/>
      </c>
      <c r="C34" s="301" t="str">
        <f>IF(B34="","",IF(ISNA(VLOOKUP($B34,'E-1 Off-Site Hedge Baseline'!$B$1:$L$257,3,FALSE)),"",(VLOOKUP($B34,'E-1 Off-Site Hedge Baseline'!$B$1:$L$257,3,FALSE))))</f>
        <v/>
      </c>
      <c r="D34" s="301" t="str">
        <f>IF(B34="","",IF(ISNA(VLOOKUP($B34,'E-1 Off-Site Hedge Baseline'!$B$1:$L$258,4,FALSE)),"",(VLOOKUP($B34,'E-1 Off-Site Hedge Baseline'!$B$1:$L$258,4,FALSE))))</f>
        <v/>
      </c>
      <c r="E34" s="301" t="str">
        <f>IF(B34="","",IF(ISNA(VLOOKUP($B34,'E-1 Off-Site Hedge Baseline'!$B$1:$L$257,5,FALSE)),"",(VLOOKUP($B34,'E-1 Off-Site Hedge Baseline'!$B$1:$L$257,5,FALSE))))</f>
        <v/>
      </c>
      <c r="F34" s="301" t="str">
        <f>IF(B34="","",IF(ISNA(VLOOKUP($B34,'E-1 Off-Site Hedge Baseline'!$B$1:$L$257,6,FALSE)),"",(VLOOKUP($B34,'E-1 Off-Site Hedge Baseline'!$B$1:$L$257,6,FALSE))))</f>
        <v/>
      </c>
      <c r="G34" s="301" t="str">
        <f>IF(B34="","",IF(ISNA(VLOOKUP($B34,'E-1 Off-Site Hedge Baseline'!$B$1:$L$257,7,FALSE)),"",(VLOOKUP($B34,'E-1 Off-Site Hedge Baseline'!$B$1:$L$257,7,FALSE))))</f>
        <v/>
      </c>
      <c r="H34" s="301" t="str">
        <f>IF(B34="","",IF(ISNA(VLOOKUP($B34,'E-1 Off-Site Hedge Baseline'!$B$1:$L$257,8,FALSE)),"",(VLOOKUP($B34,'E-1 Off-Site Hedge Baseline'!$B$1:$L$257,8,FALSE))))</f>
        <v/>
      </c>
      <c r="I34" s="301" t="str">
        <f>IF(B34="","",IF(ISNA(VLOOKUP($B34,'E-1 Off-Site Hedge Baseline'!$B$1:$L$257,10,FALSE)),"",(VLOOKUP($B34,'E-1 Off-Site Hedge Baseline'!$B$1:$L$257,10,FALSE))))</f>
        <v/>
      </c>
      <c r="J34" s="301" t="str">
        <f>IF(B34="","",IF(ISNA(VLOOKUP($B34,'E-1 Off-Site Hedge Baseline'!$B$1:$L$257,11,FALSE)),"",(VLOOKUP($B34,'E-1 Off-Site Hedge Baseline'!$B$1:$L$257,11,FALSE))))</f>
        <v/>
      </c>
      <c r="K34" s="301" t="str">
        <f>IF(B34="","",IF(ISNA(VLOOKUP($B34,'E-1 Off-Site Hedge Baseline'!$B$1:$X$257,16,FALSE)),"",(VLOOKUP($B34,'E-1 Off-Site Hedge Baseline'!$B$1:$X$257,16,FALSE))))</f>
        <v/>
      </c>
      <c r="L34" s="289" t="str">
        <f>IF(B34="","",IF(ISNA(VLOOKUP($B34,'E-1 Off-Site Hedge Baseline'!$B$1:$X$257,12,FALSE)),"",(VLOOKUP($B34,'E-1 Off-Site Hedge Baseline'!$B$1:$X$257,12,FALSE))))</f>
        <v/>
      </c>
      <c r="M34" s="250"/>
      <c r="N34" s="281" t="str">
        <f>IFERROR(IF(B34="","",INDEX('G-6 Hedgerow Data'!$AN$3:$AZ$15,MATCH(C34,'G-6 Hedgerow Data'!$AM$3:$AM$15,0),MATCH(M34,'G-6 Hedgerow Data'!$AN$2:$AZ$2,0))),"")</f>
        <v/>
      </c>
      <c r="O34" s="282" t="str">
        <f t="shared" si="1"/>
        <v/>
      </c>
      <c r="P34" s="287" t="str">
        <f>IF(B34="","",VLOOKUP(B34,'E-1 Off-Site Hedge Baseline'!$B$10:W279,19,FALSE))</f>
        <v/>
      </c>
      <c r="Q34" s="281" t="str">
        <f>IF(M34="","",VLOOKUP(M34,'G-6 Hedgerow Data'!$B$2:$AG$15,2,FALSE))</f>
        <v/>
      </c>
      <c r="R34" s="282" t="str">
        <f>IF(M34="","",VLOOKUP(M34,'G-6 Hedgerow Data'!$B$2:$AG$15,3,FALSE))</f>
        <v/>
      </c>
      <c r="S34" s="53"/>
      <c r="T34" s="282" t="str">
        <f>IFERROR(IF(S34="","",IF(AND(M34="Non-native and ornamental hedgerow", S34&lt;&gt;"Poor"),"Not possible ▲", (IF(AND(Q34="V.Low",OR(S34="Good",S34="Moderate")),"Error ▲",VLOOKUP(S34,'G-1 All Habitats'!$Z$2:$AA$9,2,FALSE))))),"")</f>
        <v/>
      </c>
      <c r="U34" s="106"/>
      <c r="V34" s="289" t="str">
        <f>IF(U34="","",IF(VLOOKUP(U34,'G-3 Multipliers'!$L$3:$N$6,2,FALSE)=0,"Spatial Data Missing ⚠",VLOOKUP(U34,'G-3 Multipliers'!$L$3:$N$6,2,FALSE)))</f>
        <v/>
      </c>
      <c r="W34" s="287" t="str">
        <f>IF(U34="","",IF(VLOOKUP(U34,'G-3 Multipliers'!$L$3:$N$6,3,FALSE)=0,"Spatial Data Missing ⚠",VLOOKUP(U34,'G-3 Multipliers'!$L$3:$N$6,3,FALSE)))</f>
        <v/>
      </c>
      <c r="X34" s="281" t="str">
        <f>IFERROR(IF(OR(LEFT(O34,5)="Error",LEFT(N34,5)="Error",T34="Error"),"Check Data ⚠",IF(F34&lt;R34,INDEX('G-6 Hedgerow Data'!$S$3:$AE$14,MATCH(C34,'G-6 Hedgerow Data'!$B$3:$B$14,0),MATCH(M34,'G-6 Hedgerow Data'!$S$2:$AE$2,0)),INDEX('G-6 Hedgerow Data'!$K$3:$Q$14,MATCH(M34,'G-6 Hedgerow Data'!$B$3:$B$14,0),MATCH(O34,'G-6 Hedgerow Data'!$K$2:$Q$2,0)))),"")</f>
        <v/>
      </c>
      <c r="Y34" s="137"/>
      <c r="Z34" s="137"/>
      <c r="AA34" s="289" t="str">
        <f t="shared" si="2"/>
        <v/>
      </c>
      <c r="AB34" s="302" t="str">
        <f t="shared" si="3"/>
        <v/>
      </c>
      <c r="AC34" s="303" t="str">
        <f t="shared" si="0"/>
        <v/>
      </c>
      <c r="AD34" s="317" t="str">
        <f>IF(M34="","",VLOOKUP(M34,'G-6 Hedgerow Data'!$B$3:$AG$15,31,FALSE))</f>
        <v/>
      </c>
      <c r="AE34" s="301" t="str">
        <f t="shared" si="4"/>
        <v/>
      </c>
      <c r="AF34" s="289" t="str">
        <f t="shared" si="5"/>
        <v/>
      </c>
      <c r="AG34" s="305" t="str">
        <f>IFERROR(IF(O34="","",VLOOKUP(AD34,'G-3 Multipliers'!$P$3:$Q$6,2,FALSE)),"")</f>
        <v/>
      </c>
      <c r="AH34" s="729" t="str">
        <f>IF(B34="","",IF(ISNA(VLOOKUP($B34,'E-1 Off-Site Hedge Baseline'!$B$1:$Z$257,14,FALSE)),"",(VLOOKUP($B34,'E-1 Off-Site Hedge Baseline'!$B$1:$Z$257,14,FALSE))))</f>
        <v/>
      </c>
      <c r="AI34" s="282" t="str">
        <f>IF(AH34="","",IF(VLOOKUP(AH34,'G-3 Multipliers'!$S$3:$T$10,2,FALSE)=0,"Spatial Data Missing ⚠",VLOOKUP(AH34,'G-3 Multipliers'!$S$3:$T$10,2,FALSE)))</f>
        <v/>
      </c>
      <c r="AJ34" s="323" t="str">
        <f t="shared" si="6"/>
        <v/>
      </c>
      <c r="AK34" s="295" t="str">
        <f t="shared" si="7"/>
        <v/>
      </c>
      <c r="AL34" s="105"/>
      <c r="AM34" s="119"/>
      <c r="AN34" s="108"/>
      <c r="AO34" s="108"/>
      <c r="AQ34" s="30" t="str">
        <f>IFERROR(INDEX('G-6 Hedgerow Data'!$BJ$3:$BJ$15,MATCH(M34,'G-6 Hedgerow Data'!$B$3:$B$15,0)),"")</f>
        <v/>
      </c>
    </row>
    <row r="35" spans="2:43" ht="13.8" x14ac:dyDescent="0.25">
      <c r="B35" s="311" t="str">
        <f>'E-1 Off-Site Hedge Baseline'!AN33</f>
        <v/>
      </c>
      <c r="C35" s="301" t="str">
        <f>IF(B35="","",IF(ISNA(VLOOKUP($B35,'E-1 Off-Site Hedge Baseline'!$B$1:$L$257,3,FALSE)),"",(VLOOKUP($B35,'E-1 Off-Site Hedge Baseline'!$B$1:$L$257,3,FALSE))))</f>
        <v/>
      </c>
      <c r="D35" s="301" t="str">
        <f>IF(B35="","",IF(ISNA(VLOOKUP($B35,'E-1 Off-Site Hedge Baseline'!$B$1:$L$258,4,FALSE)),"",(VLOOKUP($B35,'E-1 Off-Site Hedge Baseline'!$B$1:$L$258,4,FALSE))))</f>
        <v/>
      </c>
      <c r="E35" s="301" t="str">
        <f>IF(B35="","",IF(ISNA(VLOOKUP($B35,'E-1 Off-Site Hedge Baseline'!$B$1:$L$257,5,FALSE)),"",(VLOOKUP($B35,'E-1 Off-Site Hedge Baseline'!$B$1:$L$257,5,FALSE))))</f>
        <v/>
      </c>
      <c r="F35" s="301" t="str">
        <f>IF(B35="","",IF(ISNA(VLOOKUP($B35,'E-1 Off-Site Hedge Baseline'!$B$1:$L$257,6,FALSE)),"",(VLOOKUP($B35,'E-1 Off-Site Hedge Baseline'!$B$1:$L$257,6,FALSE))))</f>
        <v/>
      </c>
      <c r="G35" s="301" t="str">
        <f>IF(B35="","",IF(ISNA(VLOOKUP($B35,'E-1 Off-Site Hedge Baseline'!$B$1:$L$257,7,FALSE)),"",(VLOOKUP($B35,'E-1 Off-Site Hedge Baseline'!$B$1:$L$257,7,FALSE))))</f>
        <v/>
      </c>
      <c r="H35" s="301" t="str">
        <f>IF(B35="","",IF(ISNA(VLOOKUP($B35,'E-1 Off-Site Hedge Baseline'!$B$1:$L$257,8,FALSE)),"",(VLOOKUP($B35,'E-1 Off-Site Hedge Baseline'!$B$1:$L$257,8,FALSE))))</f>
        <v/>
      </c>
      <c r="I35" s="301" t="str">
        <f>IF(B35="","",IF(ISNA(VLOOKUP($B35,'E-1 Off-Site Hedge Baseline'!$B$1:$L$257,10,FALSE)),"",(VLOOKUP($B35,'E-1 Off-Site Hedge Baseline'!$B$1:$L$257,10,FALSE))))</f>
        <v/>
      </c>
      <c r="J35" s="301" t="str">
        <f>IF(B35="","",IF(ISNA(VLOOKUP($B35,'E-1 Off-Site Hedge Baseline'!$B$1:$L$257,11,FALSE)),"",(VLOOKUP($B35,'E-1 Off-Site Hedge Baseline'!$B$1:$L$257,11,FALSE))))</f>
        <v/>
      </c>
      <c r="K35" s="301" t="str">
        <f>IF(B35="","",IF(ISNA(VLOOKUP($B35,'E-1 Off-Site Hedge Baseline'!$B$1:$X$257,16,FALSE)),"",(VLOOKUP($B35,'E-1 Off-Site Hedge Baseline'!$B$1:$X$257,16,FALSE))))</f>
        <v/>
      </c>
      <c r="L35" s="289" t="str">
        <f>IF(B35="","",IF(ISNA(VLOOKUP($B35,'E-1 Off-Site Hedge Baseline'!$B$1:$X$257,12,FALSE)),"",(VLOOKUP($B35,'E-1 Off-Site Hedge Baseline'!$B$1:$X$257,12,FALSE))))</f>
        <v/>
      </c>
      <c r="M35" s="250"/>
      <c r="N35" s="281" t="str">
        <f>IFERROR(IF(B35="","",INDEX('G-6 Hedgerow Data'!$AN$3:$AZ$15,MATCH(C35,'G-6 Hedgerow Data'!$AM$3:$AM$15,0),MATCH(M35,'G-6 Hedgerow Data'!$AN$2:$AZ$2,0))),"")</f>
        <v/>
      </c>
      <c r="O35" s="282" t="str">
        <f t="shared" si="1"/>
        <v/>
      </c>
      <c r="P35" s="287" t="str">
        <f>IF(B35="","",VLOOKUP(B35,'E-1 Off-Site Hedge Baseline'!$B$10:W280,19,FALSE))</f>
        <v/>
      </c>
      <c r="Q35" s="281" t="str">
        <f>IF(M35="","",VLOOKUP(M35,'G-6 Hedgerow Data'!$B$2:$AG$15,2,FALSE))</f>
        <v/>
      </c>
      <c r="R35" s="282" t="str">
        <f>IF(M35="","",VLOOKUP(M35,'G-6 Hedgerow Data'!$B$2:$AG$15,3,FALSE))</f>
        <v/>
      </c>
      <c r="S35" s="53"/>
      <c r="T35" s="282" t="str">
        <f>IFERROR(IF(S35="","",IF(AND(M35="Non-native and ornamental hedgerow", S35&lt;&gt;"Poor"),"Not possible ▲", (IF(AND(Q35="V.Low",OR(S35="Good",S35="Moderate")),"Error ▲",VLOOKUP(S35,'G-1 All Habitats'!$Z$2:$AA$9,2,FALSE))))),"")</f>
        <v/>
      </c>
      <c r="U35" s="106"/>
      <c r="V35" s="289" t="str">
        <f>IF(U35="","",IF(VLOOKUP(U35,'G-3 Multipliers'!$L$3:$N$6,2,FALSE)=0,"Spatial Data Missing ⚠",VLOOKUP(U35,'G-3 Multipliers'!$L$3:$N$6,2,FALSE)))</f>
        <v/>
      </c>
      <c r="W35" s="287" t="str">
        <f>IF(U35="","",IF(VLOOKUP(U35,'G-3 Multipliers'!$L$3:$N$6,3,FALSE)=0,"Spatial Data Missing ⚠",VLOOKUP(U35,'G-3 Multipliers'!$L$3:$N$6,3,FALSE)))</f>
        <v/>
      </c>
      <c r="X35" s="281" t="str">
        <f>IFERROR(IF(OR(LEFT(O35,5)="Error",LEFT(N35,5)="Error",T35="Error"),"Check Data ⚠",IF(F35&lt;R35,INDEX('G-6 Hedgerow Data'!$S$3:$AE$14,MATCH(C35,'G-6 Hedgerow Data'!$B$3:$B$14,0),MATCH(M35,'G-6 Hedgerow Data'!$S$2:$AE$2,0)),INDEX('G-6 Hedgerow Data'!$K$3:$Q$14,MATCH(M35,'G-6 Hedgerow Data'!$B$3:$B$14,0),MATCH(O35,'G-6 Hedgerow Data'!$K$2:$Q$2,0)))),"")</f>
        <v/>
      </c>
      <c r="Y35" s="137"/>
      <c r="Z35" s="137"/>
      <c r="AA35" s="289" t="str">
        <f t="shared" si="2"/>
        <v/>
      </c>
      <c r="AB35" s="302" t="str">
        <f t="shared" si="3"/>
        <v/>
      </c>
      <c r="AC35" s="303" t="str">
        <f t="shared" si="0"/>
        <v/>
      </c>
      <c r="AD35" s="317" t="str">
        <f>IF(M35="","",VLOOKUP(M35,'G-6 Hedgerow Data'!$B$3:$AG$15,31,FALSE))</f>
        <v/>
      </c>
      <c r="AE35" s="301" t="str">
        <f t="shared" si="4"/>
        <v/>
      </c>
      <c r="AF35" s="289" t="str">
        <f t="shared" si="5"/>
        <v/>
      </c>
      <c r="AG35" s="305" t="str">
        <f>IFERROR(IF(O35="","",VLOOKUP(AD35,'G-3 Multipliers'!$P$3:$Q$6,2,FALSE)),"")</f>
        <v/>
      </c>
      <c r="AH35" s="729" t="str">
        <f>IF(B35="","",IF(ISNA(VLOOKUP($B35,'E-1 Off-Site Hedge Baseline'!$B$1:$Z$257,14,FALSE)),"",(VLOOKUP($B35,'E-1 Off-Site Hedge Baseline'!$B$1:$Z$257,14,FALSE))))</f>
        <v/>
      </c>
      <c r="AI35" s="282" t="str">
        <f>IF(AH35="","",IF(VLOOKUP(AH35,'G-3 Multipliers'!$S$3:$T$10,2,FALSE)=0,"Spatial Data Missing ⚠",VLOOKUP(AH35,'G-3 Multipliers'!$S$3:$T$10,2,FALSE)))</f>
        <v/>
      </c>
      <c r="AJ35" s="323" t="str">
        <f t="shared" si="6"/>
        <v/>
      </c>
      <c r="AK35" s="295" t="str">
        <f t="shared" si="7"/>
        <v/>
      </c>
      <c r="AL35" s="105"/>
      <c r="AM35" s="119"/>
      <c r="AN35" s="108"/>
      <c r="AO35" s="108"/>
      <c r="AQ35" s="30" t="str">
        <f>IFERROR(INDEX('G-6 Hedgerow Data'!$BJ$3:$BJ$15,MATCH(M35,'G-6 Hedgerow Data'!$B$3:$B$15,0)),"")</f>
        <v/>
      </c>
    </row>
    <row r="36" spans="2:43" ht="13.8" x14ac:dyDescent="0.25">
      <c r="B36" s="311" t="str">
        <f>'E-1 Off-Site Hedge Baseline'!AN34</f>
        <v/>
      </c>
      <c r="C36" s="301" t="str">
        <f>IF(B36="","",IF(ISNA(VLOOKUP($B36,'E-1 Off-Site Hedge Baseline'!$B$1:$L$257,3,FALSE)),"",(VLOOKUP($B36,'E-1 Off-Site Hedge Baseline'!$B$1:$L$257,3,FALSE))))</f>
        <v/>
      </c>
      <c r="D36" s="301" t="str">
        <f>IF(B36="","",IF(ISNA(VLOOKUP($B36,'E-1 Off-Site Hedge Baseline'!$B$1:$L$258,4,FALSE)),"",(VLOOKUP($B36,'E-1 Off-Site Hedge Baseline'!$B$1:$L$258,4,FALSE))))</f>
        <v/>
      </c>
      <c r="E36" s="301" t="str">
        <f>IF(B36="","",IF(ISNA(VLOOKUP($B36,'E-1 Off-Site Hedge Baseline'!$B$1:$L$257,5,FALSE)),"",(VLOOKUP($B36,'E-1 Off-Site Hedge Baseline'!$B$1:$L$257,5,FALSE))))</f>
        <v/>
      </c>
      <c r="F36" s="301" t="str">
        <f>IF(B36="","",IF(ISNA(VLOOKUP($B36,'E-1 Off-Site Hedge Baseline'!$B$1:$L$257,6,FALSE)),"",(VLOOKUP($B36,'E-1 Off-Site Hedge Baseline'!$B$1:$L$257,6,FALSE))))</f>
        <v/>
      </c>
      <c r="G36" s="301" t="str">
        <f>IF(B36="","",IF(ISNA(VLOOKUP($B36,'E-1 Off-Site Hedge Baseline'!$B$1:$L$257,7,FALSE)),"",(VLOOKUP($B36,'E-1 Off-Site Hedge Baseline'!$B$1:$L$257,7,FALSE))))</f>
        <v/>
      </c>
      <c r="H36" s="301" t="str">
        <f>IF(B36="","",IF(ISNA(VLOOKUP($B36,'E-1 Off-Site Hedge Baseline'!$B$1:$L$257,8,FALSE)),"",(VLOOKUP($B36,'E-1 Off-Site Hedge Baseline'!$B$1:$L$257,8,FALSE))))</f>
        <v/>
      </c>
      <c r="I36" s="301" t="str">
        <f>IF(B36="","",IF(ISNA(VLOOKUP($B36,'E-1 Off-Site Hedge Baseline'!$B$1:$L$257,10,FALSE)),"",(VLOOKUP($B36,'E-1 Off-Site Hedge Baseline'!$B$1:$L$257,10,FALSE))))</f>
        <v/>
      </c>
      <c r="J36" s="301" t="str">
        <f>IF(B36="","",IF(ISNA(VLOOKUP($B36,'E-1 Off-Site Hedge Baseline'!$B$1:$L$257,11,FALSE)),"",(VLOOKUP($B36,'E-1 Off-Site Hedge Baseline'!$B$1:$L$257,11,FALSE))))</f>
        <v/>
      </c>
      <c r="K36" s="301" t="str">
        <f>IF(B36="","",IF(ISNA(VLOOKUP($B36,'E-1 Off-Site Hedge Baseline'!$B$1:$X$257,16,FALSE)),"",(VLOOKUP($B36,'E-1 Off-Site Hedge Baseline'!$B$1:$X$257,16,FALSE))))</f>
        <v/>
      </c>
      <c r="L36" s="289" t="str">
        <f>IF(B36="","",IF(ISNA(VLOOKUP($B36,'E-1 Off-Site Hedge Baseline'!$B$1:$X$257,12,FALSE)),"",(VLOOKUP($B36,'E-1 Off-Site Hedge Baseline'!$B$1:$X$257,12,FALSE))))</f>
        <v/>
      </c>
      <c r="M36" s="250"/>
      <c r="N36" s="281" t="str">
        <f>IFERROR(IF(B36="","",INDEX('G-6 Hedgerow Data'!$AN$3:$AZ$15,MATCH(C36,'G-6 Hedgerow Data'!$AM$3:$AM$15,0),MATCH(M36,'G-6 Hedgerow Data'!$AN$2:$AZ$2,0))),"")</f>
        <v/>
      </c>
      <c r="O36" s="282" t="str">
        <f t="shared" si="1"/>
        <v/>
      </c>
      <c r="P36" s="287" t="str">
        <f>IF(B36="","",VLOOKUP(B36,'E-1 Off-Site Hedge Baseline'!$B$10:W281,19,FALSE))</f>
        <v/>
      </c>
      <c r="Q36" s="281" t="str">
        <f>IF(M36="","",VLOOKUP(M36,'G-6 Hedgerow Data'!$B$2:$AG$15,2,FALSE))</f>
        <v/>
      </c>
      <c r="R36" s="282" t="str">
        <f>IF(M36="","",VLOOKUP(M36,'G-6 Hedgerow Data'!$B$2:$AG$15,3,FALSE))</f>
        <v/>
      </c>
      <c r="S36" s="53"/>
      <c r="T36" s="282" t="str">
        <f>IFERROR(IF(S36="","",IF(AND(M36="Non-native and ornamental hedgerow", S36&lt;&gt;"Poor"),"Not possible ▲", (IF(AND(Q36="V.Low",OR(S36="Good",S36="Moderate")),"Error ▲",VLOOKUP(S36,'G-1 All Habitats'!$Z$2:$AA$9,2,FALSE))))),"")</f>
        <v/>
      </c>
      <c r="U36" s="106"/>
      <c r="V36" s="289" t="str">
        <f>IF(U36="","",IF(VLOOKUP(U36,'G-3 Multipliers'!$L$3:$N$6,2,FALSE)=0,"Spatial Data Missing ⚠",VLOOKUP(U36,'G-3 Multipliers'!$L$3:$N$6,2,FALSE)))</f>
        <v/>
      </c>
      <c r="W36" s="287" t="str">
        <f>IF(U36="","",IF(VLOOKUP(U36,'G-3 Multipliers'!$L$3:$N$6,3,FALSE)=0,"Spatial Data Missing ⚠",VLOOKUP(U36,'G-3 Multipliers'!$L$3:$N$6,3,FALSE)))</f>
        <v/>
      </c>
      <c r="X36" s="281" t="str">
        <f>IFERROR(IF(OR(LEFT(O36,5)="Error",LEFT(N36,5)="Error",T36="Error"),"Check Data ⚠",IF(F36&lt;R36,INDEX('G-6 Hedgerow Data'!$S$3:$AE$14,MATCH(C36,'G-6 Hedgerow Data'!$B$3:$B$14,0),MATCH(M36,'G-6 Hedgerow Data'!$S$2:$AE$2,0)),INDEX('G-6 Hedgerow Data'!$K$3:$Q$14,MATCH(M36,'G-6 Hedgerow Data'!$B$3:$B$14,0),MATCH(O36,'G-6 Hedgerow Data'!$K$2:$Q$2,0)))),"")</f>
        <v/>
      </c>
      <c r="Y36" s="137"/>
      <c r="Z36" s="137"/>
      <c r="AA36" s="289" t="str">
        <f t="shared" si="2"/>
        <v/>
      </c>
      <c r="AB36" s="302" t="str">
        <f t="shared" si="3"/>
        <v/>
      </c>
      <c r="AC36" s="303" t="str">
        <f t="shared" si="0"/>
        <v/>
      </c>
      <c r="AD36" s="317" t="str">
        <f>IF(M36="","",VLOOKUP(M36,'G-6 Hedgerow Data'!$B$3:$AG$15,31,FALSE))</f>
        <v/>
      </c>
      <c r="AE36" s="301" t="str">
        <f t="shared" si="4"/>
        <v/>
      </c>
      <c r="AF36" s="289" t="str">
        <f t="shared" si="5"/>
        <v/>
      </c>
      <c r="AG36" s="305" t="str">
        <f>IFERROR(IF(O36="","",VLOOKUP(AD36,'G-3 Multipliers'!$P$3:$Q$6,2,FALSE)),"")</f>
        <v/>
      </c>
      <c r="AH36" s="729" t="str">
        <f>IF(B36="","",IF(ISNA(VLOOKUP($B36,'E-1 Off-Site Hedge Baseline'!$B$1:$Z$257,14,FALSE)),"",(VLOOKUP($B36,'E-1 Off-Site Hedge Baseline'!$B$1:$Z$257,14,FALSE))))</f>
        <v/>
      </c>
      <c r="AI36" s="282" t="str">
        <f>IF(AH36="","",IF(VLOOKUP(AH36,'G-3 Multipliers'!$S$3:$T$10,2,FALSE)=0,"Spatial Data Missing ⚠",VLOOKUP(AH36,'G-3 Multipliers'!$S$3:$T$10,2,FALSE)))</f>
        <v/>
      </c>
      <c r="AJ36" s="323" t="str">
        <f t="shared" si="6"/>
        <v/>
      </c>
      <c r="AK36" s="295" t="str">
        <f t="shared" si="7"/>
        <v/>
      </c>
      <c r="AL36" s="105"/>
      <c r="AM36" s="119"/>
      <c r="AN36" s="108"/>
      <c r="AO36" s="108"/>
      <c r="AQ36" s="30" t="str">
        <f>IFERROR(INDEX('G-6 Hedgerow Data'!$BJ$3:$BJ$15,MATCH(M36,'G-6 Hedgerow Data'!$B$3:$B$15,0)),"")</f>
        <v/>
      </c>
    </row>
    <row r="37" spans="2:43" ht="13.8" x14ac:dyDescent="0.25">
      <c r="B37" s="311" t="str">
        <f>'E-1 Off-Site Hedge Baseline'!AN35</f>
        <v/>
      </c>
      <c r="C37" s="301" t="str">
        <f>IF(B37="","",IF(ISNA(VLOOKUP($B37,'E-1 Off-Site Hedge Baseline'!$B$1:$L$257,3,FALSE)),"",(VLOOKUP($B37,'E-1 Off-Site Hedge Baseline'!$B$1:$L$257,3,FALSE))))</f>
        <v/>
      </c>
      <c r="D37" s="301" t="str">
        <f>IF(B37="","",IF(ISNA(VLOOKUP($B37,'E-1 Off-Site Hedge Baseline'!$B$1:$L$258,4,FALSE)),"",(VLOOKUP($B37,'E-1 Off-Site Hedge Baseline'!$B$1:$L$258,4,FALSE))))</f>
        <v/>
      </c>
      <c r="E37" s="301" t="str">
        <f>IF(B37="","",IF(ISNA(VLOOKUP($B37,'E-1 Off-Site Hedge Baseline'!$B$1:$L$257,5,FALSE)),"",(VLOOKUP($B37,'E-1 Off-Site Hedge Baseline'!$B$1:$L$257,5,FALSE))))</f>
        <v/>
      </c>
      <c r="F37" s="301" t="str">
        <f>IF(B37="","",IF(ISNA(VLOOKUP($B37,'E-1 Off-Site Hedge Baseline'!$B$1:$L$257,6,FALSE)),"",(VLOOKUP($B37,'E-1 Off-Site Hedge Baseline'!$B$1:$L$257,6,FALSE))))</f>
        <v/>
      </c>
      <c r="G37" s="301" t="str">
        <f>IF(B37="","",IF(ISNA(VLOOKUP($B37,'E-1 Off-Site Hedge Baseline'!$B$1:$L$257,7,FALSE)),"",(VLOOKUP($B37,'E-1 Off-Site Hedge Baseline'!$B$1:$L$257,7,FALSE))))</f>
        <v/>
      </c>
      <c r="H37" s="301" t="str">
        <f>IF(B37="","",IF(ISNA(VLOOKUP($B37,'E-1 Off-Site Hedge Baseline'!$B$1:$L$257,8,FALSE)),"",(VLOOKUP($B37,'E-1 Off-Site Hedge Baseline'!$B$1:$L$257,8,FALSE))))</f>
        <v/>
      </c>
      <c r="I37" s="301" t="str">
        <f>IF(B37="","",IF(ISNA(VLOOKUP($B37,'E-1 Off-Site Hedge Baseline'!$B$1:$L$257,10,FALSE)),"",(VLOOKUP($B37,'E-1 Off-Site Hedge Baseline'!$B$1:$L$257,10,FALSE))))</f>
        <v/>
      </c>
      <c r="J37" s="301" t="str">
        <f>IF(B37="","",IF(ISNA(VLOOKUP($B37,'E-1 Off-Site Hedge Baseline'!$B$1:$L$257,11,FALSE)),"",(VLOOKUP($B37,'E-1 Off-Site Hedge Baseline'!$B$1:$L$257,11,FALSE))))</f>
        <v/>
      </c>
      <c r="K37" s="301" t="str">
        <f>IF(B37="","",IF(ISNA(VLOOKUP($B37,'E-1 Off-Site Hedge Baseline'!$B$1:$X$257,16,FALSE)),"",(VLOOKUP($B37,'E-1 Off-Site Hedge Baseline'!$B$1:$X$257,16,FALSE))))</f>
        <v/>
      </c>
      <c r="L37" s="289" t="str">
        <f>IF(B37="","",IF(ISNA(VLOOKUP($B37,'E-1 Off-Site Hedge Baseline'!$B$1:$X$257,12,FALSE)),"",(VLOOKUP($B37,'E-1 Off-Site Hedge Baseline'!$B$1:$X$257,12,FALSE))))</f>
        <v/>
      </c>
      <c r="M37" s="250"/>
      <c r="N37" s="281" t="str">
        <f>IFERROR(IF(B37="","",INDEX('G-6 Hedgerow Data'!$AN$3:$AZ$15,MATCH(C37,'G-6 Hedgerow Data'!$AM$3:$AM$15,0),MATCH(M37,'G-6 Hedgerow Data'!$AN$2:$AZ$2,0))),"")</f>
        <v/>
      </c>
      <c r="O37" s="282" t="str">
        <f t="shared" si="1"/>
        <v/>
      </c>
      <c r="P37" s="287" t="str">
        <f>IF(B37="","",VLOOKUP(B37,'E-1 Off-Site Hedge Baseline'!$B$10:W282,19,FALSE))</f>
        <v/>
      </c>
      <c r="Q37" s="281" t="str">
        <f>IF(M37="","",VLOOKUP(M37,'G-6 Hedgerow Data'!$B$2:$AG$15,2,FALSE))</f>
        <v/>
      </c>
      <c r="R37" s="282" t="str">
        <f>IF(M37="","",VLOOKUP(M37,'G-6 Hedgerow Data'!$B$2:$AG$15,3,FALSE))</f>
        <v/>
      </c>
      <c r="S37" s="105"/>
      <c r="T37" s="282" t="str">
        <f>IFERROR(IF(S37="","",IF(AND(M37="Non-native and ornamental hedgerow", S37&lt;&gt;"Poor"),"Not possible ▲", (IF(AND(Q37="V.Low",OR(S37="Good",S37="Moderate")),"Error ▲",VLOOKUP(S37,'G-1 All Habitats'!$Z$2:$AA$9,2,FALSE))))),"")</f>
        <v/>
      </c>
      <c r="U37" s="106"/>
      <c r="V37" s="289" t="str">
        <f>IF(U37="","",IF(VLOOKUP(U37,'G-3 Multipliers'!$L$3:$N$6,2,FALSE)=0,"Spatial Data Missing ⚠",VLOOKUP(U37,'G-3 Multipliers'!$L$3:$N$6,2,FALSE)))</f>
        <v/>
      </c>
      <c r="W37" s="287" t="str">
        <f>IF(U37="","",IF(VLOOKUP(U37,'G-3 Multipliers'!$L$3:$N$6,3,FALSE)=0,"Spatial Data Missing ⚠",VLOOKUP(U37,'G-3 Multipliers'!$L$3:$N$6,3,FALSE)))</f>
        <v/>
      </c>
      <c r="X37" s="281" t="str">
        <f>IFERROR(IF(OR(LEFT(O37,5)="Error",LEFT(N37,5)="Error",T37="Error"),"Check Data ⚠",IF(F37&lt;R37,INDEX('G-6 Hedgerow Data'!$S$3:$AE$14,MATCH(C37,'G-6 Hedgerow Data'!$B$3:$B$14,0),MATCH(M37,'G-6 Hedgerow Data'!$S$2:$AE$2,0)),INDEX('G-6 Hedgerow Data'!$K$3:$Q$14,MATCH(M37,'G-6 Hedgerow Data'!$B$3:$B$14,0),MATCH(O37,'G-6 Hedgerow Data'!$K$2:$Q$2,0)))),"")</f>
        <v/>
      </c>
      <c r="Y37" s="137"/>
      <c r="Z37" s="137"/>
      <c r="AA37" s="289" t="str">
        <f t="shared" si="2"/>
        <v/>
      </c>
      <c r="AB37" s="302" t="str">
        <f t="shared" si="3"/>
        <v/>
      </c>
      <c r="AC37" s="303" t="str">
        <f t="shared" si="0"/>
        <v/>
      </c>
      <c r="AD37" s="317" t="str">
        <f>IF(M37="","",VLOOKUP(M37,'G-6 Hedgerow Data'!$B$3:$AG$15,31,FALSE))</f>
        <v/>
      </c>
      <c r="AE37" s="301" t="str">
        <f t="shared" si="4"/>
        <v/>
      </c>
      <c r="AF37" s="289" t="str">
        <f t="shared" si="5"/>
        <v/>
      </c>
      <c r="AG37" s="305" t="str">
        <f>IFERROR(IF(O37="","",VLOOKUP(AD37,'G-3 Multipliers'!$P$3:$Q$6,2,FALSE)),"")</f>
        <v/>
      </c>
      <c r="AH37" s="729" t="str">
        <f>IF(B37="","",IF(ISNA(VLOOKUP($B37,'E-1 Off-Site Hedge Baseline'!$B$1:$Z$257,14,FALSE)),"",(VLOOKUP($B37,'E-1 Off-Site Hedge Baseline'!$B$1:$Z$257,14,FALSE))))</f>
        <v/>
      </c>
      <c r="AI37" s="282" t="str">
        <f>IF(AH37="","",IF(VLOOKUP(AH37,'G-3 Multipliers'!$S$3:$T$10,2,FALSE)=0,"Spatial Data Missing ⚠",VLOOKUP(AH37,'G-3 Multipliers'!$S$3:$T$10,2,FALSE)))</f>
        <v/>
      </c>
      <c r="AJ37" s="323" t="str">
        <f t="shared" si="6"/>
        <v/>
      </c>
      <c r="AK37" s="295" t="str">
        <f t="shared" si="7"/>
        <v/>
      </c>
      <c r="AL37" s="105"/>
      <c r="AM37" s="119"/>
      <c r="AN37" s="108"/>
      <c r="AO37" s="108"/>
      <c r="AQ37" s="30" t="str">
        <f>IFERROR(INDEX('G-6 Hedgerow Data'!$BJ$3:$BJ$15,MATCH(M37,'G-6 Hedgerow Data'!$B$3:$B$15,0)),"")</f>
        <v/>
      </c>
    </row>
    <row r="38" spans="2:43" ht="13.8" x14ac:dyDescent="0.25">
      <c r="B38" s="311" t="str">
        <f>'E-1 Off-Site Hedge Baseline'!AN36</f>
        <v/>
      </c>
      <c r="C38" s="301" t="str">
        <f>IF(B38="","",IF(ISNA(VLOOKUP($B38,'E-1 Off-Site Hedge Baseline'!$B$1:$L$257,3,FALSE)),"",(VLOOKUP($B38,'E-1 Off-Site Hedge Baseline'!$B$1:$L$257,3,FALSE))))</f>
        <v/>
      </c>
      <c r="D38" s="301" t="str">
        <f>IF(B38="","",IF(ISNA(VLOOKUP($B38,'E-1 Off-Site Hedge Baseline'!$B$1:$L$258,4,FALSE)),"",(VLOOKUP($B38,'E-1 Off-Site Hedge Baseline'!$B$1:$L$258,4,FALSE))))</f>
        <v/>
      </c>
      <c r="E38" s="301" t="str">
        <f>IF(B38="","",IF(ISNA(VLOOKUP($B38,'E-1 Off-Site Hedge Baseline'!$B$1:$L$257,5,FALSE)),"",(VLOOKUP($B38,'E-1 Off-Site Hedge Baseline'!$B$1:$L$257,5,FALSE))))</f>
        <v/>
      </c>
      <c r="F38" s="301" t="str">
        <f>IF(B38="","",IF(ISNA(VLOOKUP($B38,'E-1 Off-Site Hedge Baseline'!$B$1:$L$257,6,FALSE)),"",(VLOOKUP($B38,'E-1 Off-Site Hedge Baseline'!$B$1:$L$257,6,FALSE))))</f>
        <v/>
      </c>
      <c r="G38" s="301" t="str">
        <f>IF(B38="","",IF(ISNA(VLOOKUP($B38,'E-1 Off-Site Hedge Baseline'!$B$1:$L$257,7,FALSE)),"",(VLOOKUP($B38,'E-1 Off-Site Hedge Baseline'!$B$1:$L$257,7,FALSE))))</f>
        <v/>
      </c>
      <c r="H38" s="301" t="str">
        <f>IF(B38="","",IF(ISNA(VLOOKUP($B38,'E-1 Off-Site Hedge Baseline'!$B$1:$L$257,8,FALSE)),"",(VLOOKUP($B38,'E-1 Off-Site Hedge Baseline'!$B$1:$L$257,8,FALSE))))</f>
        <v/>
      </c>
      <c r="I38" s="301" t="str">
        <f>IF(B38="","",IF(ISNA(VLOOKUP($B38,'E-1 Off-Site Hedge Baseline'!$B$1:$L$257,10,FALSE)),"",(VLOOKUP($B38,'E-1 Off-Site Hedge Baseline'!$B$1:$L$257,10,FALSE))))</f>
        <v/>
      </c>
      <c r="J38" s="301" t="str">
        <f>IF(B38="","",IF(ISNA(VLOOKUP($B38,'E-1 Off-Site Hedge Baseline'!$B$1:$L$257,11,FALSE)),"",(VLOOKUP($B38,'E-1 Off-Site Hedge Baseline'!$B$1:$L$257,11,FALSE))))</f>
        <v/>
      </c>
      <c r="K38" s="301" t="str">
        <f>IF(B38="","",IF(ISNA(VLOOKUP($B38,'E-1 Off-Site Hedge Baseline'!$B$1:$X$257,16,FALSE)),"",(VLOOKUP($B38,'E-1 Off-Site Hedge Baseline'!$B$1:$X$257,16,FALSE))))</f>
        <v/>
      </c>
      <c r="L38" s="289" t="str">
        <f>IF(B38="","",IF(ISNA(VLOOKUP($B38,'E-1 Off-Site Hedge Baseline'!$B$1:$X$257,12,FALSE)),"",(VLOOKUP($B38,'E-1 Off-Site Hedge Baseline'!$B$1:$X$257,12,FALSE))))</f>
        <v/>
      </c>
      <c r="M38" s="250"/>
      <c r="N38" s="281" t="str">
        <f>IFERROR(IF(B38="","",INDEX('G-6 Hedgerow Data'!$AN$3:$AZ$15,MATCH(C38,'G-6 Hedgerow Data'!$AM$3:$AM$15,0),MATCH(M38,'G-6 Hedgerow Data'!$AN$2:$AZ$2,0))),"")</f>
        <v/>
      </c>
      <c r="O38" s="282" t="str">
        <f t="shared" si="1"/>
        <v/>
      </c>
      <c r="P38" s="287" t="str">
        <f>IF(B38="","",VLOOKUP(B38,'E-1 Off-Site Hedge Baseline'!$B$10:W283,19,FALSE))</f>
        <v/>
      </c>
      <c r="Q38" s="281" t="str">
        <f>IF(M38="","",VLOOKUP(M38,'G-6 Hedgerow Data'!$B$2:$AG$15,2,FALSE))</f>
        <v/>
      </c>
      <c r="R38" s="282" t="str">
        <f>IF(M38="","",VLOOKUP(M38,'G-6 Hedgerow Data'!$B$2:$AG$15,3,FALSE))</f>
        <v/>
      </c>
      <c r="S38" s="105"/>
      <c r="T38" s="282" t="str">
        <f>IFERROR(IF(S38="","",IF(AND(M38="Non-native and ornamental hedgerow", S38&lt;&gt;"Poor"),"Not possible ▲", (IF(AND(Q38="V.Low",OR(S38="Good",S38="Moderate")),"Error ▲",VLOOKUP(S38,'G-1 All Habitats'!$Z$2:$AA$9,2,FALSE))))),"")</f>
        <v/>
      </c>
      <c r="U38" s="106"/>
      <c r="V38" s="289" t="str">
        <f>IF(U38="","",IF(VLOOKUP(U38,'G-3 Multipliers'!$L$3:$N$6,2,FALSE)=0,"Spatial Data Missing ⚠",VLOOKUP(U38,'G-3 Multipliers'!$L$3:$N$6,2,FALSE)))</f>
        <v/>
      </c>
      <c r="W38" s="287" t="str">
        <f>IF(U38="","",IF(VLOOKUP(U38,'G-3 Multipliers'!$L$3:$N$6,3,FALSE)=0,"Spatial Data Missing ⚠",VLOOKUP(U38,'G-3 Multipliers'!$L$3:$N$6,3,FALSE)))</f>
        <v/>
      </c>
      <c r="X38" s="281" t="str">
        <f>IFERROR(IF(OR(LEFT(O38,5)="Error",LEFT(N38,5)="Error",T38="Error"),"Check Data ⚠",IF(F38&lt;R38,INDEX('G-6 Hedgerow Data'!$S$3:$AE$14,MATCH(C38,'G-6 Hedgerow Data'!$B$3:$B$14,0),MATCH(M38,'G-6 Hedgerow Data'!$S$2:$AE$2,0)),INDEX('G-6 Hedgerow Data'!$K$3:$Q$14,MATCH(M38,'G-6 Hedgerow Data'!$B$3:$B$14,0),MATCH(O38,'G-6 Hedgerow Data'!$K$2:$Q$2,0)))),"")</f>
        <v/>
      </c>
      <c r="Y38" s="137"/>
      <c r="Z38" s="137"/>
      <c r="AA38" s="289" t="str">
        <f t="shared" si="2"/>
        <v/>
      </c>
      <c r="AB38" s="302" t="str">
        <f t="shared" si="3"/>
        <v/>
      </c>
      <c r="AC38" s="303" t="str">
        <f t="shared" si="0"/>
        <v/>
      </c>
      <c r="AD38" s="317" t="str">
        <f>IF(M38="","",VLOOKUP(M38,'G-6 Hedgerow Data'!$B$3:$AG$15,31,FALSE))</f>
        <v/>
      </c>
      <c r="AE38" s="301" t="str">
        <f t="shared" si="4"/>
        <v/>
      </c>
      <c r="AF38" s="289" t="str">
        <f t="shared" si="5"/>
        <v/>
      </c>
      <c r="AG38" s="305" t="str">
        <f>IFERROR(IF(O38="","",VLOOKUP(AD38,'G-3 Multipliers'!$P$3:$Q$6,2,FALSE)),"")</f>
        <v/>
      </c>
      <c r="AH38" s="729" t="str">
        <f>IF(B38="","",IF(ISNA(VLOOKUP($B38,'E-1 Off-Site Hedge Baseline'!$B$1:$Z$257,14,FALSE)),"",(VLOOKUP($B38,'E-1 Off-Site Hedge Baseline'!$B$1:$Z$257,14,FALSE))))</f>
        <v/>
      </c>
      <c r="AI38" s="282" t="str">
        <f>IF(AH38="","",IF(VLOOKUP(AH38,'G-3 Multipliers'!$S$3:$T$10,2,FALSE)=0,"Spatial Data Missing ⚠",VLOOKUP(AH38,'G-3 Multipliers'!$S$3:$T$10,2,FALSE)))</f>
        <v/>
      </c>
      <c r="AJ38" s="323" t="str">
        <f t="shared" si="6"/>
        <v/>
      </c>
      <c r="AK38" s="295" t="str">
        <f t="shared" si="7"/>
        <v/>
      </c>
      <c r="AL38" s="105"/>
      <c r="AM38" s="119"/>
      <c r="AN38" s="108"/>
      <c r="AO38" s="108"/>
      <c r="AQ38" s="30" t="str">
        <f>IFERROR(INDEX('G-6 Hedgerow Data'!$BJ$3:$BJ$15,MATCH(M38,'G-6 Hedgerow Data'!$B$3:$B$15,0)),"")</f>
        <v/>
      </c>
    </row>
    <row r="39" spans="2:43" ht="13.8" x14ac:dyDescent="0.25">
      <c r="B39" s="311" t="str">
        <f>'E-1 Off-Site Hedge Baseline'!AN37</f>
        <v/>
      </c>
      <c r="C39" s="301" t="str">
        <f>IF(B39="","",IF(ISNA(VLOOKUP($B39,'E-1 Off-Site Hedge Baseline'!$B$1:$L$257,3,FALSE)),"",(VLOOKUP($B39,'E-1 Off-Site Hedge Baseline'!$B$1:$L$257,3,FALSE))))</f>
        <v/>
      </c>
      <c r="D39" s="301" t="str">
        <f>IF(B39="","",IF(ISNA(VLOOKUP($B39,'E-1 Off-Site Hedge Baseline'!$B$1:$L$258,4,FALSE)),"",(VLOOKUP($B39,'E-1 Off-Site Hedge Baseline'!$B$1:$L$258,4,FALSE))))</f>
        <v/>
      </c>
      <c r="E39" s="301" t="str">
        <f>IF(B39="","",IF(ISNA(VLOOKUP($B39,'E-1 Off-Site Hedge Baseline'!$B$1:$L$257,5,FALSE)),"",(VLOOKUP($B39,'E-1 Off-Site Hedge Baseline'!$B$1:$L$257,5,FALSE))))</f>
        <v/>
      </c>
      <c r="F39" s="301" t="str">
        <f>IF(B39="","",IF(ISNA(VLOOKUP($B39,'E-1 Off-Site Hedge Baseline'!$B$1:$L$257,6,FALSE)),"",(VLOOKUP($B39,'E-1 Off-Site Hedge Baseline'!$B$1:$L$257,6,FALSE))))</f>
        <v/>
      </c>
      <c r="G39" s="301" t="str">
        <f>IF(B39="","",IF(ISNA(VLOOKUP($B39,'E-1 Off-Site Hedge Baseline'!$B$1:$L$257,7,FALSE)),"",(VLOOKUP($B39,'E-1 Off-Site Hedge Baseline'!$B$1:$L$257,7,FALSE))))</f>
        <v/>
      </c>
      <c r="H39" s="301" t="str">
        <f>IF(B39="","",IF(ISNA(VLOOKUP($B39,'E-1 Off-Site Hedge Baseline'!$B$1:$L$257,8,FALSE)),"",(VLOOKUP($B39,'E-1 Off-Site Hedge Baseline'!$B$1:$L$257,8,FALSE))))</f>
        <v/>
      </c>
      <c r="I39" s="301" t="str">
        <f>IF(B39="","",IF(ISNA(VLOOKUP($B39,'E-1 Off-Site Hedge Baseline'!$B$1:$L$257,10,FALSE)),"",(VLOOKUP($B39,'E-1 Off-Site Hedge Baseline'!$B$1:$L$257,10,FALSE))))</f>
        <v/>
      </c>
      <c r="J39" s="301" t="str">
        <f>IF(B39="","",IF(ISNA(VLOOKUP($B39,'E-1 Off-Site Hedge Baseline'!$B$1:$L$257,11,FALSE)),"",(VLOOKUP($B39,'E-1 Off-Site Hedge Baseline'!$B$1:$L$257,11,FALSE))))</f>
        <v/>
      </c>
      <c r="K39" s="301" t="str">
        <f>IF(B39="","",IF(ISNA(VLOOKUP($B39,'E-1 Off-Site Hedge Baseline'!$B$1:$X$257,16,FALSE)),"",(VLOOKUP($B39,'E-1 Off-Site Hedge Baseline'!$B$1:$X$257,16,FALSE))))</f>
        <v/>
      </c>
      <c r="L39" s="289" t="str">
        <f>IF(B39="","",IF(ISNA(VLOOKUP($B39,'E-1 Off-Site Hedge Baseline'!$B$1:$X$257,12,FALSE)),"",(VLOOKUP($B39,'E-1 Off-Site Hedge Baseline'!$B$1:$X$257,12,FALSE))))</f>
        <v/>
      </c>
      <c r="M39" s="250"/>
      <c r="N39" s="281" t="str">
        <f>IFERROR(IF(B39="","",INDEX('G-6 Hedgerow Data'!$AN$3:$AZ$15,MATCH(C39,'G-6 Hedgerow Data'!$AM$3:$AM$15,0),MATCH(M39,'G-6 Hedgerow Data'!$AN$2:$AZ$2,0))),"")</f>
        <v/>
      </c>
      <c r="O39" s="282" t="str">
        <f t="shared" si="1"/>
        <v/>
      </c>
      <c r="P39" s="287" t="str">
        <f>IF(B39="","",VLOOKUP(B39,'E-1 Off-Site Hedge Baseline'!$B$10:W284,19,FALSE))</f>
        <v/>
      </c>
      <c r="Q39" s="281" t="str">
        <f>IF(M39="","",VLOOKUP(M39,'G-6 Hedgerow Data'!$B$2:$AG$15,2,FALSE))</f>
        <v/>
      </c>
      <c r="R39" s="282" t="str">
        <f>IF(M39="","",VLOOKUP(M39,'G-6 Hedgerow Data'!$B$2:$AG$15,3,FALSE))</f>
        <v/>
      </c>
      <c r="S39" s="105"/>
      <c r="T39" s="282" t="str">
        <f>IFERROR(IF(S39="","",IF(AND(M39="Non-native and ornamental hedgerow", S39&lt;&gt;"Poor"),"Not possible ▲", (IF(AND(Q39="V.Low",OR(S39="Good",S39="Moderate")),"Error ▲",VLOOKUP(S39,'G-1 All Habitats'!$Z$2:$AA$9,2,FALSE))))),"")</f>
        <v/>
      </c>
      <c r="U39" s="106"/>
      <c r="V39" s="289" t="str">
        <f>IF(U39="","",IF(VLOOKUP(U39,'G-3 Multipliers'!$L$3:$N$6,2,FALSE)=0,"Spatial Data Missing ⚠",VLOOKUP(U39,'G-3 Multipliers'!$L$3:$N$6,2,FALSE)))</f>
        <v/>
      </c>
      <c r="W39" s="287" t="str">
        <f>IF(U39="","",IF(VLOOKUP(U39,'G-3 Multipliers'!$L$3:$N$6,3,FALSE)=0,"Spatial Data Missing ⚠",VLOOKUP(U39,'G-3 Multipliers'!$L$3:$N$6,3,FALSE)))</f>
        <v/>
      </c>
      <c r="X39" s="281" t="str">
        <f>IFERROR(IF(OR(LEFT(O39,5)="Error",LEFT(N39,5)="Error",T39="Error"),"Check Data ⚠",IF(F39&lt;R39,INDEX('G-6 Hedgerow Data'!$S$3:$AE$14,MATCH(C39,'G-6 Hedgerow Data'!$B$3:$B$14,0),MATCH(M39,'G-6 Hedgerow Data'!$S$2:$AE$2,0)),INDEX('G-6 Hedgerow Data'!$K$3:$Q$14,MATCH(M39,'G-6 Hedgerow Data'!$B$3:$B$14,0),MATCH(O39,'G-6 Hedgerow Data'!$K$2:$Q$2,0)))),"")</f>
        <v/>
      </c>
      <c r="Y39" s="137"/>
      <c r="Z39" s="137"/>
      <c r="AA39" s="289" t="str">
        <f t="shared" si="2"/>
        <v/>
      </c>
      <c r="AB39" s="302" t="str">
        <f t="shared" si="3"/>
        <v/>
      </c>
      <c r="AC39" s="303" t="str">
        <f t="shared" si="0"/>
        <v/>
      </c>
      <c r="AD39" s="317" t="str">
        <f>IF(M39="","",VLOOKUP(M39,'G-6 Hedgerow Data'!$B$3:$AG$15,31,FALSE))</f>
        <v/>
      </c>
      <c r="AE39" s="301" t="str">
        <f t="shared" si="4"/>
        <v/>
      </c>
      <c r="AF39" s="289" t="str">
        <f t="shared" si="5"/>
        <v/>
      </c>
      <c r="AG39" s="305" t="str">
        <f>IFERROR(IF(O39="","",VLOOKUP(AD39,'G-3 Multipliers'!$P$3:$Q$6,2,FALSE)),"")</f>
        <v/>
      </c>
      <c r="AH39" s="729" t="str">
        <f>IF(B39="","",IF(ISNA(VLOOKUP($B39,'E-1 Off-Site Hedge Baseline'!$B$1:$Z$257,14,FALSE)),"",(VLOOKUP($B39,'E-1 Off-Site Hedge Baseline'!$B$1:$Z$257,14,FALSE))))</f>
        <v/>
      </c>
      <c r="AI39" s="282" t="str">
        <f>IF(AH39="","",IF(VLOOKUP(AH39,'G-3 Multipliers'!$S$3:$T$10,2,FALSE)=0,"Spatial Data Missing ⚠",VLOOKUP(AH39,'G-3 Multipliers'!$S$3:$T$10,2,FALSE)))</f>
        <v/>
      </c>
      <c r="AJ39" s="323" t="str">
        <f t="shared" si="6"/>
        <v/>
      </c>
      <c r="AK39" s="295" t="str">
        <f t="shared" si="7"/>
        <v/>
      </c>
      <c r="AL39" s="105"/>
      <c r="AM39" s="119"/>
      <c r="AN39" s="108"/>
      <c r="AO39" s="108"/>
      <c r="AQ39" s="30" t="str">
        <f>IFERROR(INDEX('G-6 Hedgerow Data'!$BJ$3:$BJ$15,MATCH(M39,'G-6 Hedgerow Data'!$B$3:$B$15,0)),"")</f>
        <v/>
      </c>
    </row>
    <row r="40" spans="2:43" ht="13.8" x14ac:dyDescent="0.25">
      <c r="B40" s="311" t="str">
        <f>'E-1 Off-Site Hedge Baseline'!AN38</f>
        <v/>
      </c>
      <c r="C40" s="301" t="str">
        <f>IF(B40="","",IF(ISNA(VLOOKUP($B40,'E-1 Off-Site Hedge Baseline'!$B$1:$L$257,3,FALSE)),"",(VLOOKUP($B40,'E-1 Off-Site Hedge Baseline'!$B$1:$L$257,3,FALSE))))</f>
        <v/>
      </c>
      <c r="D40" s="301" t="str">
        <f>IF(B40="","",IF(ISNA(VLOOKUP($B40,'E-1 Off-Site Hedge Baseline'!$B$1:$L$258,4,FALSE)),"",(VLOOKUP($B40,'E-1 Off-Site Hedge Baseline'!$B$1:$L$258,4,FALSE))))</f>
        <v/>
      </c>
      <c r="E40" s="301" t="str">
        <f>IF(B40="","",IF(ISNA(VLOOKUP($B40,'E-1 Off-Site Hedge Baseline'!$B$1:$L$257,5,FALSE)),"",(VLOOKUP($B40,'E-1 Off-Site Hedge Baseline'!$B$1:$L$257,5,FALSE))))</f>
        <v/>
      </c>
      <c r="F40" s="301" t="str">
        <f>IF(B40="","",IF(ISNA(VLOOKUP($B40,'E-1 Off-Site Hedge Baseline'!$B$1:$L$257,6,FALSE)),"",(VLOOKUP($B40,'E-1 Off-Site Hedge Baseline'!$B$1:$L$257,6,FALSE))))</f>
        <v/>
      </c>
      <c r="G40" s="301" t="str">
        <f>IF(B40="","",IF(ISNA(VLOOKUP($B40,'E-1 Off-Site Hedge Baseline'!$B$1:$L$257,7,FALSE)),"",(VLOOKUP($B40,'E-1 Off-Site Hedge Baseline'!$B$1:$L$257,7,FALSE))))</f>
        <v/>
      </c>
      <c r="H40" s="301" t="str">
        <f>IF(B40="","",IF(ISNA(VLOOKUP($B40,'E-1 Off-Site Hedge Baseline'!$B$1:$L$257,8,FALSE)),"",(VLOOKUP($B40,'E-1 Off-Site Hedge Baseline'!$B$1:$L$257,8,FALSE))))</f>
        <v/>
      </c>
      <c r="I40" s="301" t="str">
        <f>IF(B40="","",IF(ISNA(VLOOKUP($B40,'E-1 Off-Site Hedge Baseline'!$B$1:$L$257,10,FALSE)),"",(VLOOKUP($B40,'E-1 Off-Site Hedge Baseline'!$B$1:$L$257,10,FALSE))))</f>
        <v/>
      </c>
      <c r="J40" s="301" t="str">
        <f>IF(B40="","",IF(ISNA(VLOOKUP($B40,'E-1 Off-Site Hedge Baseline'!$B$1:$L$257,11,FALSE)),"",(VLOOKUP($B40,'E-1 Off-Site Hedge Baseline'!$B$1:$L$257,11,FALSE))))</f>
        <v/>
      </c>
      <c r="K40" s="301" t="str">
        <f>IF(B40="","",IF(ISNA(VLOOKUP($B40,'E-1 Off-Site Hedge Baseline'!$B$1:$X$257,16,FALSE)),"",(VLOOKUP($B40,'E-1 Off-Site Hedge Baseline'!$B$1:$X$257,16,FALSE))))</f>
        <v/>
      </c>
      <c r="L40" s="289" t="str">
        <f>IF(B40="","",IF(ISNA(VLOOKUP($B40,'E-1 Off-Site Hedge Baseline'!$B$1:$X$257,12,FALSE)),"",(VLOOKUP($B40,'E-1 Off-Site Hedge Baseline'!$B$1:$X$257,12,FALSE))))</f>
        <v/>
      </c>
      <c r="M40" s="250"/>
      <c r="N40" s="281" t="str">
        <f>IFERROR(IF(B40="","",INDEX('G-6 Hedgerow Data'!$AN$3:$AZ$15,MATCH(C40,'G-6 Hedgerow Data'!$AM$3:$AM$15,0),MATCH(M40,'G-6 Hedgerow Data'!$AN$2:$AZ$2,0))),"")</f>
        <v/>
      </c>
      <c r="O40" s="282" t="str">
        <f t="shared" si="1"/>
        <v/>
      </c>
      <c r="P40" s="287" t="str">
        <f>IF(B40="","",VLOOKUP(B40,'E-1 Off-Site Hedge Baseline'!$B$10:W285,19,FALSE))</f>
        <v/>
      </c>
      <c r="Q40" s="281" t="str">
        <f>IF(M40="","",VLOOKUP(M40,'G-6 Hedgerow Data'!$B$2:$AG$15,2,FALSE))</f>
        <v/>
      </c>
      <c r="R40" s="282" t="str">
        <f>IF(M40="","",VLOOKUP(M40,'G-6 Hedgerow Data'!$B$2:$AG$15,3,FALSE))</f>
        <v/>
      </c>
      <c r="S40" s="105"/>
      <c r="T40" s="282" t="str">
        <f>IFERROR(IF(S40="","",IF(AND(M40="Non-native and ornamental hedgerow", S40&lt;&gt;"Poor"),"Not possible ▲", (IF(AND(Q40="V.Low",OR(S40="Good",S40="Moderate")),"Error ▲",VLOOKUP(S40,'G-1 All Habitats'!$Z$2:$AA$9,2,FALSE))))),"")</f>
        <v/>
      </c>
      <c r="U40" s="106"/>
      <c r="V40" s="289" t="str">
        <f>IF(U40="","",IF(VLOOKUP(U40,'G-3 Multipliers'!$L$3:$N$6,2,FALSE)=0,"Spatial Data Missing ⚠",VLOOKUP(U40,'G-3 Multipliers'!$L$3:$N$6,2,FALSE)))</f>
        <v/>
      </c>
      <c r="W40" s="287" t="str">
        <f>IF(U40="","",IF(VLOOKUP(U40,'G-3 Multipliers'!$L$3:$N$6,3,FALSE)=0,"Spatial Data Missing ⚠",VLOOKUP(U40,'G-3 Multipliers'!$L$3:$N$6,3,FALSE)))</f>
        <v/>
      </c>
      <c r="X40" s="281" t="str">
        <f>IFERROR(IF(OR(LEFT(O40,5)="Error",LEFT(N40,5)="Error",T40="Error"),"Check Data ⚠",IF(F40&lt;R40,INDEX('G-6 Hedgerow Data'!$S$3:$AE$14,MATCH(C40,'G-6 Hedgerow Data'!$B$3:$B$14,0),MATCH(M40,'G-6 Hedgerow Data'!$S$2:$AE$2,0)),INDEX('G-6 Hedgerow Data'!$K$3:$Q$14,MATCH(M40,'G-6 Hedgerow Data'!$B$3:$B$14,0),MATCH(O40,'G-6 Hedgerow Data'!$K$2:$Q$2,0)))),"")</f>
        <v/>
      </c>
      <c r="Y40" s="137"/>
      <c r="Z40" s="137"/>
      <c r="AA40" s="289" t="str">
        <f t="shared" si="2"/>
        <v/>
      </c>
      <c r="AB40" s="302" t="str">
        <f t="shared" si="3"/>
        <v/>
      </c>
      <c r="AC40" s="303" t="str">
        <f t="shared" si="0"/>
        <v/>
      </c>
      <c r="AD40" s="317" t="str">
        <f>IF(M40="","",VLOOKUP(M40,'G-6 Hedgerow Data'!$B$3:$AG$15,31,FALSE))</f>
        <v/>
      </c>
      <c r="AE40" s="301" t="str">
        <f t="shared" si="4"/>
        <v/>
      </c>
      <c r="AF40" s="289" t="str">
        <f t="shared" si="5"/>
        <v/>
      </c>
      <c r="AG40" s="305" t="str">
        <f>IFERROR(IF(O40="","",VLOOKUP(AD40,'G-3 Multipliers'!$P$3:$Q$6,2,FALSE)),"")</f>
        <v/>
      </c>
      <c r="AH40" s="729" t="str">
        <f>IF(B40="","",IF(ISNA(VLOOKUP($B40,'E-1 Off-Site Hedge Baseline'!$B$1:$Z$257,14,FALSE)),"",(VLOOKUP($B40,'E-1 Off-Site Hedge Baseline'!$B$1:$Z$257,14,FALSE))))</f>
        <v/>
      </c>
      <c r="AI40" s="282" t="str">
        <f>IF(AH40="","",IF(VLOOKUP(AH40,'G-3 Multipliers'!$S$3:$T$10,2,FALSE)=0,"Spatial Data Missing ⚠",VLOOKUP(AH40,'G-3 Multipliers'!$S$3:$T$10,2,FALSE)))</f>
        <v/>
      </c>
      <c r="AJ40" s="323" t="str">
        <f t="shared" si="6"/>
        <v/>
      </c>
      <c r="AK40" s="295" t="str">
        <f t="shared" si="7"/>
        <v/>
      </c>
      <c r="AL40" s="105"/>
      <c r="AM40" s="119"/>
      <c r="AN40" s="108"/>
      <c r="AO40" s="108"/>
      <c r="AQ40" s="30" t="str">
        <f>IFERROR(INDEX('G-6 Hedgerow Data'!$BJ$3:$BJ$15,MATCH(M40,'G-6 Hedgerow Data'!$B$3:$B$15,0)),"")</f>
        <v/>
      </c>
    </row>
    <row r="41" spans="2:43" ht="13.8" x14ac:dyDescent="0.25">
      <c r="B41" s="311" t="str">
        <f>'E-1 Off-Site Hedge Baseline'!AN39</f>
        <v/>
      </c>
      <c r="C41" s="301" t="str">
        <f>IF(B41="","",IF(ISNA(VLOOKUP($B41,'E-1 Off-Site Hedge Baseline'!$B$1:$L$257,3,FALSE)),"",(VLOOKUP($B41,'E-1 Off-Site Hedge Baseline'!$B$1:$L$257,3,FALSE))))</f>
        <v/>
      </c>
      <c r="D41" s="301" t="str">
        <f>IF(B41="","",IF(ISNA(VLOOKUP($B41,'E-1 Off-Site Hedge Baseline'!$B$1:$L$258,4,FALSE)),"",(VLOOKUP($B41,'E-1 Off-Site Hedge Baseline'!$B$1:$L$258,4,FALSE))))</f>
        <v/>
      </c>
      <c r="E41" s="301" t="str">
        <f>IF(B41="","",IF(ISNA(VLOOKUP($B41,'E-1 Off-Site Hedge Baseline'!$B$1:$L$257,5,FALSE)),"",(VLOOKUP($B41,'E-1 Off-Site Hedge Baseline'!$B$1:$L$257,5,FALSE))))</f>
        <v/>
      </c>
      <c r="F41" s="301" t="str">
        <f>IF(B41="","",IF(ISNA(VLOOKUP($B41,'E-1 Off-Site Hedge Baseline'!$B$1:$L$257,6,FALSE)),"",(VLOOKUP($B41,'E-1 Off-Site Hedge Baseline'!$B$1:$L$257,6,FALSE))))</f>
        <v/>
      </c>
      <c r="G41" s="301" t="str">
        <f>IF(B41="","",IF(ISNA(VLOOKUP($B41,'E-1 Off-Site Hedge Baseline'!$B$1:$L$257,7,FALSE)),"",(VLOOKUP($B41,'E-1 Off-Site Hedge Baseline'!$B$1:$L$257,7,FALSE))))</f>
        <v/>
      </c>
      <c r="H41" s="301" t="str">
        <f>IF(B41="","",IF(ISNA(VLOOKUP($B41,'E-1 Off-Site Hedge Baseline'!$B$1:$L$257,8,FALSE)),"",(VLOOKUP($B41,'E-1 Off-Site Hedge Baseline'!$B$1:$L$257,8,FALSE))))</f>
        <v/>
      </c>
      <c r="I41" s="301" t="str">
        <f>IF(B41="","",IF(ISNA(VLOOKUP($B41,'E-1 Off-Site Hedge Baseline'!$B$1:$L$257,10,FALSE)),"",(VLOOKUP($B41,'E-1 Off-Site Hedge Baseline'!$B$1:$L$257,10,FALSE))))</f>
        <v/>
      </c>
      <c r="J41" s="301" t="str">
        <f>IF(B41="","",IF(ISNA(VLOOKUP($B41,'E-1 Off-Site Hedge Baseline'!$B$1:$L$257,11,FALSE)),"",(VLOOKUP($B41,'E-1 Off-Site Hedge Baseline'!$B$1:$L$257,11,FALSE))))</f>
        <v/>
      </c>
      <c r="K41" s="301" t="str">
        <f>IF(B41="","",IF(ISNA(VLOOKUP($B41,'E-1 Off-Site Hedge Baseline'!$B$1:$X$257,16,FALSE)),"",(VLOOKUP($B41,'E-1 Off-Site Hedge Baseline'!$B$1:$X$257,16,FALSE))))</f>
        <v/>
      </c>
      <c r="L41" s="289" t="str">
        <f>IF(B41="","",IF(ISNA(VLOOKUP($B41,'E-1 Off-Site Hedge Baseline'!$B$1:$X$257,12,FALSE)),"",(VLOOKUP($B41,'E-1 Off-Site Hedge Baseline'!$B$1:$X$257,12,FALSE))))</f>
        <v/>
      </c>
      <c r="M41" s="250"/>
      <c r="N41" s="281" t="str">
        <f>IFERROR(IF(B41="","",INDEX('G-6 Hedgerow Data'!$AN$3:$AZ$15,MATCH(C41,'G-6 Hedgerow Data'!$AM$3:$AM$15,0),MATCH(M41,'G-6 Hedgerow Data'!$AN$2:$AZ$2,0))),"")</f>
        <v/>
      </c>
      <c r="O41" s="282" t="str">
        <f t="shared" si="1"/>
        <v/>
      </c>
      <c r="P41" s="287" t="str">
        <f>IF(B41="","",VLOOKUP(B41,'E-1 Off-Site Hedge Baseline'!$B$10:W286,19,FALSE))</f>
        <v/>
      </c>
      <c r="Q41" s="281" t="str">
        <f>IF(M41="","",VLOOKUP(M41,'G-6 Hedgerow Data'!$B$2:$AG$15,2,FALSE))</f>
        <v/>
      </c>
      <c r="R41" s="282" t="str">
        <f>IF(M41="","",VLOOKUP(M41,'G-6 Hedgerow Data'!$B$2:$AG$15,3,FALSE))</f>
        <v/>
      </c>
      <c r="S41" s="105"/>
      <c r="T41" s="282" t="str">
        <f>IFERROR(IF(S41="","",IF(AND(M41="Non-native and ornamental hedgerow", S41&lt;&gt;"Poor"),"Not possible ▲", (IF(AND(Q41="V.Low",OR(S41="Good",S41="Moderate")),"Error ▲",VLOOKUP(S41,'G-1 All Habitats'!$Z$2:$AA$9,2,FALSE))))),"")</f>
        <v/>
      </c>
      <c r="U41" s="106"/>
      <c r="V41" s="289" t="str">
        <f>IF(U41="","",IF(VLOOKUP(U41,'G-3 Multipliers'!$L$3:$N$6,2,FALSE)=0,"Spatial Data Missing ⚠",VLOOKUP(U41,'G-3 Multipliers'!$L$3:$N$6,2,FALSE)))</f>
        <v/>
      </c>
      <c r="W41" s="287" t="str">
        <f>IF(U41="","",IF(VLOOKUP(U41,'G-3 Multipliers'!$L$3:$N$6,3,FALSE)=0,"Spatial Data Missing ⚠",VLOOKUP(U41,'G-3 Multipliers'!$L$3:$N$6,3,FALSE)))</f>
        <v/>
      </c>
      <c r="X41" s="281" t="str">
        <f>IFERROR(IF(OR(LEFT(O41,5)="Error",LEFT(N41,5)="Error",T41="Error"),"Check Data ⚠",IF(F41&lt;R41,INDEX('G-6 Hedgerow Data'!$S$3:$AE$14,MATCH(C41,'G-6 Hedgerow Data'!$B$3:$B$14,0),MATCH(M41,'G-6 Hedgerow Data'!$S$2:$AE$2,0)),INDEX('G-6 Hedgerow Data'!$K$3:$Q$14,MATCH(M41,'G-6 Hedgerow Data'!$B$3:$B$14,0),MATCH(O41,'G-6 Hedgerow Data'!$K$2:$Q$2,0)))),"")</f>
        <v/>
      </c>
      <c r="Y41" s="137"/>
      <c r="Z41" s="137"/>
      <c r="AA41" s="289" t="str">
        <f t="shared" si="2"/>
        <v/>
      </c>
      <c r="AB41" s="302" t="str">
        <f t="shared" si="3"/>
        <v/>
      </c>
      <c r="AC41" s="303" t="str">
        <f t="shared" si="0"/>
        <v/>
      </c>
      <c r="AD41" s="317" t="str">
        <f>IF(M41="","",VLOOKUP(M41,'G-6 Hedgerow Data'!$B$3:$AG$15,31,FALSE))</f>
        <v/>
      </c>
      <c r="AE41" s="301" t="str">
        <f t="shared" si="4"/>
        <v/>
      </c>
      <c r="AF41" s="289" t="str">
        <f t="shared" si="5"/>
        <v/>
      </c>
      <c r="AG41" s="305" t="str">
        <f>IFERROR(IF(O41="","",VLOOKUP(AD41,'G-3 Multipliers'!$P$3:$Q$6,2,FALSE)),"")</f>
        <v/>
      </c>
      <c r="AH41" s="729" t="str">
        <f>IF(B41="","",IF(ISNA(VLOOKUP($B41,'E-1 Off-Site Hedge Baseline'!$B$1:$Z$257,14,FALSE)),"",(VLOOKUP($B41,'E-1 Off-Site Hedge Baseline'!$B$1:$Z$257,14,FALSE))))</f>
        <v/>
      </c>
      <c r="AI41" s="282" t="str">
        <f>IF(AH41="","",IF(VLOOKUP(AH41,'G-3 Multipliers'!$S$3:$T$10,2,FALSE)=0,"Spatial Data Missing ⚠",VLOOKUP(AH41,'G-3 Multipliers'!$S$3:$T$10,2,FALSE)))</f>
        <v/>
      </c>
      <c r="AJ41" s="323" t="str">
        <f t="shared" si="6"/>
        <v/>
      </c>
      <c r="AK41" s="295" t="str">
        <f t="shared" si="7"/>
        <v/>
      </c>
      <c r="AL41" s="105"/>
      <c r="AM41" s="119"/>
      <c r="AN41" s="108"/>
      <c r="AO41" s="108"/>
      <c r="AQ41" s="30" t="str">
        <f>IFERROR(INDEX('G-6 Hedgerow Data'!$BJ$3:$BJ$15,MATCH(M41,'G-6 Hedgerow Data'!$B$3:$B$15,0)),"")</f>
        <v/>
      </c>
    </row>
    <row r="42" spans="2:43" ht="13.8" x14ac:dyDescent="0.25">
      <c r="B42" s="311" t="str">
        <f>'E-1 Off-Site Hedge Baseline'!AN40</f>
        <v/>
      </c>
      <c r="C42" s="301" t="str">
        <f>IF(B42="","",IF(ISNA(VLOOKUP($B42,'E-1 Off-Site Hedge Baseline'!$B$1:$L$257,3,FALSE)),"",(VLOOKUP($B42,'E-1 Off-Site Hedge Baseline'!$B$1:$L$257,3,FALSE))))</f>
        <v/>
      </c>
      <c r="D42" s="301" t="str">
        <f>IF(B42="","",IF(ISNA(VLOOKUP($B42,'E-1 Off-Site Hedge Baseline'!$B$1:$L$258,4,FALSE)),"",(VLOOKUP($B42,'E-1 Off-Site Hedge Baseline'!$B$1:$L$258,4,FALSE))))</f>
        <v/>
      </c>
      <c r="E42" s="301" t="str">
        <f>IF(B42="","",IF(ISNA(VLOOKUP($B42,'E-1 Off-Site Hedge Baseline'!$B$1:$L$257,5,FALSE)),"",(VLOOKUP($B42,'E-1 Off-Site Hedge Baseline'!$B$1:$L$257,5,FALSE))))</f>
        <v/>
      </c>
      <c r="F42" s="301" t="str">
        <f>IF(B42="","",IF(ISNA(VLOOKUP($B42,'E-1 Off-Site Hedge Baseline'!$B$1:$L$257,6,FALSE)),"",(VLOOKUP($B42,'E-1 Off-Site Hedge Baseline'!$B$1:$L$257,6,FALSE))))</f>
        <v/>
      </c>
      <c r="G42" s="301" t="str">
        <f>IF(B42="","",IF(ISNA(VLOOKUP($B42,'E-1 Off-Site Hedge Baseline'!$B$1:$L$257,7,FALSE)),"",(VLOOKUP($B42,'E-1 Off-Site Hedge Baseline'!$B$1:$L$257,7,FALSE))))</f>
        <v/>
      </c>
      <c r="H42" s="301" t="str">
        <f>IF(B42="","",IF(ISNA(VLOOKUP($B42,'E-1 Off-Site Hedge Baseline'!$B$1:$L$257,8,FALSE)),"",(VLOOKUP($B42,'E-1 Off-Site Hedge Baseline'!$B$1:$L$257,8,FALSE))))</f>
        <v/>
      </c>
      <c r="I42" s="301" t="str">
        <f>IF(B42="","",IF(ISNA(VLOOKUP($B42,'E-1 Off-Site Hedge Baseline'!$B$1:$L$257,10,FALSE)),"",(VLOOKUP($B42,'E-1 Off-Site Hedge Baseline'!$B$1:$L$257,10,FALSE))))</f>
        <v/>
      </c>
      <c r="J42" s="301" t="str">
        <f>IF(B42="","",IF(ISNA(VLOOKUP($B42,'E-1 Off-Site Hedge Baseline'!$B$1:$L$257,11,FALSE)),"",(VLOOKUP($B42,'E-1 Off-Site Hedge Baseline'!$B$1:$L$257,11,FALSE))))</f>
        <v/>
      </c>
      <c r="K42" s="301" t="str">
        <f>IF(B42="","",IF(ISNA(VLOOKUP($B42,'E-1 Off-Site Hedge Baseline'!$B$1:$X$257,16,FALSE)),"",(VLOOKUP($B42,'E-1 Off-Site Hedge Baseline'!$B$1:$X$257,16,FALSE))))</f>
        <v/>
      </c>
      <c r="L42" s="289" t="str">
        <f>IF(B42="","",IF(ISNA(VLOOKUP($B42,'E-1 Off-Site Hedge Baseline'!$B$1:$X$257,12,FALSE)),"",(VLOOKUP($B42,'E-1 Off-Site Hedge Baseline'!$B$1:$X$257,12,FALSE))))</f>
        <v/>
      </c>
      <c r="M42" s="250"/>
      <c r="N42" s="281" t="str">
        <f>IFERROR(IF(B42="","",INDEX('G-6 Hedgerow Data'!$AN$3:$AZ$15,MATCH(C42,'G-6 Hedgerow Data'!$AM$3:$AM$15,0),MATCH(M42,'G-6 Hedgerow Data'!$AN$2:$AZ$2,0))),"")</f>
        <v/>
      </c>
      <c r="O42" s="282" t="str">
        <f t="shared" si="1"/>
        <v/>
      </c>
      <c r="P42" s="287" t="str">
        <f>IF(B42="","",VLOOKUP(B42,'E-1 Off-Site Hedge Baseline'!$B$10:W287,19,FALSE))</f>
        <v/>
      </c>
      <c r="Q42" s="281" t="str">
        <f>IF(M42="","",VLOOKUP(M42,'G-6 Hedgerow Data'!$B$2:$AG$15,2,FALSE))</f>
        <v/>
      </c>
      <c r="R42" s="282" t="str">
        <f>IF(M42="","",VLOOKUP(M42,'G-6 Hedgerow Data'!$B$2:$AG$15,3,FALSE))</f>
        <v/>
      </c>
      <c r="S42" s="105"/>
      <c r="T42" s="282" t="str">
        <f>IFERROR(IF(S42="","",IF(AND(M42="Non-native and ornamental hedgerow", S42&lt;&gt;"Poor"),"Not possible ▲", (IF(AND(Q42="V.Low",OR(S42="Good",S42="Moderate")),"Error ▲",VLOOKUP(S42,'G-1 All Habitats'!$Z$2:$AA$9,2,FALSE))))),"")</f>
        <v/>
      </c>
      <c r="U42" s="106"/>
      <c r="V42" s="289" t="str">
        <f>IF(U42="","",IF(VLOOKUP(U42,'G-3 Multipliers'!$L$3:$N$6,2,FALSE)=0,"Spatial Data Missing ⚠",VLOOKUP(U42,'G-3 Multipliers'!$L$3:$N$6,2,FALSE)))</f>
        <v/>
      </c>
      <c r="W42" s="287" t="str">
        <f>IF(U42="","",IF(VLOOKUP(U42,'G-3 Multipliers'!$L$3:$N$6,3,FALSE)=0,"Spatial Data Missing ⚠",VLOOKUP(U42,'G-3 Multipliers'!$L$3:$N$6,3,FALSE)))</f>
        <v/>
      </c>
      <c r="X42" s="281" t="str">
        <f>IFERROR(IF(OR(LEFT(O42,5)="Error",LEFT(N42,5)="Error",T42="Error"),"Check Data ⚠",IF(F42&lt;R42,INDEX('G-6 Hedgerow Data'!$S$3:$AE$14,MATCH(C42,'G-6 Hedgerow Data'!$B$3:$B$14,0),MATCH(M42,'G-6 Hedgerow Data'!$S$2:$AE$2,0)),INDEX('G-6 Hedgerow Data'!$K$3:$Q$14,MATCH(M42,'G-6 Hedgerow Data'!$B$3:$B$14,0),MATCH(O42,'G-6 Hedgerow Data'!$K$2:$Q$2,0)))),"")</f>
        <v/>
      </c>
      <c r="Y42" s="137"/>
      <c r="Z42" s="137"/>
      <c r="AA42" s="289" t="str">
        <f t="shared" si="2"/>
        <v/>
      </c>
      <c r="AB42" s="302" t="str">
        <f t="shared" si="3"/>
        <v/>
      </c>
      <c r="AC42" s="303" t="str">
        <f t="shared" si="0"/>
        <v/>
      </c>
      <c r="AD42" s="317" t="str">
        <f>IF(M42="","",VLOOKUP(M42,'G-6 Hedgerow Data'!$B$3:$AG$15,31,FALSE))</f>
        <v/>
      </c>
      <c r="AE42" s="301" t="str">
        <f t="shared" si="4"/>
        <v/>
      </c>
      <c r="AF42" s="289" t="str">
        <f t="shared" si="5"/>
        <v/>
      </c>
      <c r="AG42" s="305" t="str">
        <f>IFERROR(IF(O42="","",VLOOKUP(AD42,'G-3 Multipliers'!$P$3:$Q$6,2,FALSE)),"")</f>
        <v/>
      </c>
      <c r="AH42" s="729" t="str">
        <f>IF(B42="","",IF(ISNA(VLOOKUP($B42,'E-1 Off-Site Hedge Baseline'!$B$1:$Z$257,14,FALSE)),"",(VLOOKUP($B42,'E-1 Off-Site Hedge Baseline'!$B$1:$Z$257,14,FALSE))))</f>
        <v/>
      </c>
      <c r="AI42" s="282" t="str">
        <f>IF(AH42="","",IF(VLOOKUP(AH42,'G-3 Multipliers'!$S$3:$T$10,2,FALSE)=0,"Spatial Data Missing ⚠",VLOOKUP(AH42,'G-3 Multipliers'!$S$3:$T$10,2,FALSE)))</f>
        <v/>
      </c>
      <c r="AJ42" s="323" t="str">
        <f t="shared" si="6"/>
        <v/>
      </c>
      <c r="AK42" s="295" t="str">
        <f t="shared" si="7"/>
        <v/>
      </c>
      <c r="AL42" s="105"/>
      <c r="AM42" s="119"/>
      <c r="AN42" s="108"/>
      <c r="AO42" s="108"/>
      <c r="AQ42" s="30" t="str">
        <f>IFERROR(INDEX('G-6 Hedgerow Data'!$BJ$3:$BJ$15,MATCH(M42,'G-6 Hedgerow Data'!$B$3:$B$15,0)),"")</f>
        <v/>
      </c>
    </row>
    <row r="43" spans="2:43" ht="13.8" x14ac:dyDescent="0.25">
      <c r="B43" s="311" t="str">
        <f>'E-1 Off-Site Hedge Baseline'!AN41</f>
        <v/>
      </c>
      <c r="C43" s="301" t="str">
        <f>IF(B43="","",IF(ISNA(VLOOKUP($B43,'E-1 Off-Site Hedge Baseline'!$B$1:$L$257,3,FALSE)),"",(VLOOKUP($B43,'E-1 Off-Site Hedge Baseline'!$B$1:$L$257,3,FALSE))))</f>
        <v/>
      </c>
      <c r="D43" s="301" t="str">
        <f>IF(B43="","",IF(ISNA(VLOOKUP($B43,'E-1 Off-Site Hedge Baseline'!$B$1:$L$258,4,FALSE)),"",(VLOOKUP($B43,'E-1 Off-Site Hedge Baseline'!$B$1:$L$258,4,FALSE))))</f>
        <v/>
      </c>
      <c r="E43" s="301" t="str">
        <f>IF(B43="","",IF(ISNA(VLOOKUP($B43,'E-1 Off-Site Hedge Baseline'!$B$1:$L$257,5,FALSE)),"",(VLOOKUP($B43,'E-1 Off-Site Hedge Baseline'!$B$1:$L$257,5,FALSE))))</f>
        <v/>
      </c>
      <c r="F43" s="301" t="str">
        <f>IF(B43="","",IF(ISNA(VLOOKUP($B43,'E-1 Off-Site Hedge Baseline'!$B$1:$L$257,6,FALSE)),"",(VLOOKUP($B43,'E-1 Off-Site Hedge Baseline'!$B$1:$L$257,6,FALSE))))</f>
        <v/>
      </c>
      <c r="G43" s="301" t="str">
        <f>IF(B43="","",IF(ISNA(VLOOKUP($B43,'E-1 Off-Site Hedge Baseline'!$B$1:$L$257,7,FALSE)),"",(VLOOKUP($B43,'E-1 Off-Site Hedge Baseline'!$B$1:$L$257,7,FALSE))))</f>
        <v/>
      </c>
      <c r="H43" s="301" t="str">
        <f>IF(B43="","",IF(ISNA(VLOOKUP($B43,'E-1 Off-Site Hedge Baseline'!$B$1:$L$257,8,FALSE)),"",(VLOOKUP($B43,'E-1 Off-Site Hedge Baseline'!$B$1:$L$257,8,FALSE))))</f>
        <v/>
      </c>
      <c r="I43" s="301" t="str">
        <f>IF(B43="","",IF(ISNA(VLOOKUP($B43,'E-1 Off-Site Hedge Baseline'!$B$1:$L$257,10,FALSE)),"",(VLOOKUP($B43,'E-1 Off-Site Hedge Baseline'!$B$1:$L$257,10,FALSE))))</f>
        <v/>
      </c>
      <c r="J43" s="301" t="str">
        <f>IF(B43="","",IF(ISNA(VLOOKUP($B43,'E-1 Off-Site Hedge Baseline'!$B$1:$L$257,11,FALSE)),"",(VLOOKUP($B43,'E-1 Off-Site Hedge Baseline'!$B$1:$L$257,11,FALSE))))</f>
        <v/>
      </c>
      <c r="K43" s="301" t="str">
        <f>IF(B43="","",IF(ISNA(VLOOKUP($B43,'E-1 Off-Site Hedge Baseline'!$B$1:$X$257,16,FALSE)),"",(VLOOKUP($B43,'E-1 Off-Site Hedge Baseline'!$B$1:$X$257,16,FALSE))))</f>
        <v/>
      </c>
      <c r="L43" s="289" t="str">
        <f>IF(B43="","",IF(ISNA(VLOOKUP($B43,'E-1 Off-Site Hedge Baseline'!$B$1:$X$257,12,FALSE)),"",(VLOOKUP($B43,'E-1 Off-Site Hedge Baseline'!$B$1:$X$257,12,FALSE))))</f>
        <v/>
      </c>
      <c r="M43" s="250"/>
      <c r="N43" s="281" t="str">
        <f>IFERROR(IF(B43="","",INDEX('G-6 Hedgerow Data'!$AN$3:$AZ$15,MATCH(C43,'G-6 Hedgerow Data'!$AM$3:$AM$15,0),MATCH(M43,'G-6 Hedgerow Data'!$AN$2:$AZ$2,0))),"")</f>
        <v/>
      </c>
      <c r="O43" s="282" t="str">
        <f t="shared" si="1"/>
        <v/>
      </c>
      <c r="P43" s="287" t="str">
        <f>IF(B43="","",VLOOKUP(B43,'E-1 Off-Site Hedge Baseline'!$B$10:W288,19,FALSE))</f>
        <v/>
      </c>
      <c r="Q43" s="281" t="str">
        <f>IF(M43="","",VLOOKUP(M43,'G-6 Hedgerow Data'!$B$2:$AG$15,2,FALSE))</f>
        <v/>
      </c>
      <c r="R43" s="282" t="str">
        <f>IF(M43="","",VLOOKUP(M43,'G-6 Hedgerow Data'!$B$2:$AG$15,3,FALSE))</f>
        <v/>
      </c>
      <c r="S43" s="105"/>
      <c r="T43" s="282" t="str">
        <f>IFERROR(IF(S43="","",IF(AND(M43="Non-native and ornamental hedgerow", S43&lt;&gt;"Poor"),"Not possible ▲", (IF(AND(Q43="V.Low",OR(S43="Good",S43="Moderate")),"Error ▲",VLOOKUP(S43,'G-1 All Habitats'!$Z$2:$AA$9,2,FALSE))))),"")</f>
        <v/>
      </c>
      <c r="U43" s="106"/>
      <c r="V43" s="289" t="str">
        <f>IF(U43="","",IF(VLOOKUP(U43,'G-3 Multipliers'!$L$3:$N$6,2,FALSE)=0,"Spatial Data Missing ⚠",VLOOKUP(U43,'G-3 Multipliers'!$L$3:$N$6,2,FALSE)))</f>
        <v/>
      </c>
      <c r="W43" s="287" t="str">
        <f>IF(U43="","",IF(VLOOKUP(U43,'G-3 Multipliers'!$L$3:$N$6,3,FALSE)=0,"Spatial Data Missing ⚠",VLOOKUP(U43,'G-3 Multipliers'!$L$3:$N$6,3,FALSE)))</f>
        <v/>
      </c>
      <c r="X43" s="281" t="str">
        <f>IFERROR(IF(OR(LEFT(O43,5)="Error",LEFT(N43,5)="Error",T43="Error"),"Check Data ⚠",IF(F43&lt;R43,INDEX('G-6 Hedgerow Data'!$S$3:$AE$14,MATCH(C43,'G-6 Hedgerow Data'!$B$3:$B$14,0),MATCH(M43,'G-6 Hedgerow Data'!$S$2:$AE$2,0)),INDEX('G-6 Hedgerow Data'!$K$3:$Q$14,MATCH(M43,'G-6 Hedgerow Data'!$B$3:$B$14,0),MATCH(O43,'G-6 Hedgerow Data'!$K$2:$Q$2,0)))),"")</f>
        <v/>
      </c>
      <c r="Y43" s="137"/>
      <c r="Z43" s="137"/>
      <c r="AA43" s="289" t="str">
        <f t="shared" si="2"/>
        <v/>
      </c>
      <c r="AB43" s="302" t="str">
        <f t="shared" si="3"/>
        <v/>
      </c>
      <c r="AC43" s="303" t="str">
        <f t="shared" si="0"/>
        <v/>
      </c>
      <c r="AD43" s="317" t="str">
        <f>IF(M43="","",VLOOKUP(M43,'G-6 Hedgerow Data'!$B$3:$AG$15,31,FALSE))</f>
        <v/>
      </c>
      <c r="AE43" s="301" t="str">
        <f t="shared" si="4"/>
        <v/>
      </c>
      <c r="AF43" s="289" t="str">
        <f t="shared" si="5"/>
        <v/>
      </c>
      <c r="AG43" s="305" t="str">
        <f>IFERROR(IF(O43="","",VLOOKUP(AD43,'G-3 Multipliers'!$P$3:$Q$6,2,FALSE)),"")</f>
        <v/>
      </c>
      <c r="AH43" s="729" t="str">
        <f>IF(B43="","",IF(ISNA(VLOOKUP($B43,'E-1 Off-Site Hedge Baseline'!$B$1:$Z$257,14,FALSE)),"",(VLOOKUP($B43,'E-1 Off-Site Hedge Baseline'!$B$1:$Z$257,14,FALSE))))</f>
        <v/>
      </c>
      <c r="AI43" s="282" t="str">
        <f>IF(AH43="","",IF(VLOOKUP(AH43,'G-3 Multipliers'!$S$3:$T$10,2,FALSE)=0,"Spatial Data Missing ⚠",VLOOKUP(AH43,'G-3 Multipliers'!$S$3:$T$10,2,FALSE)))</f>
        <v/>
      </c>
      <c r="AJ43" s="323" t="str">
        <f t="shared" si="6"/>
        <v/>
      </c>
      <c r="AK43" s="295" t="str">
        <f t="shared" si="7"/>
        <v/>
      </c>
      <c r="AL43" s="105"/>
      <c r="AM43" s="119"/>
      <c r="AN43" s="108"/>
      <c r="AO43" s="108"/>
      <c r="AQ43" s="30" t="str">
        <f>IFERROR(INDEX('G-6 Hedgerow Data'!$BJ$3:$BJ$15,MATCH(M43,'G-6 Hedgerow Data'!$B$3:$B$15,0)),"")</f>
        <v/>
      </c>
    </row>
    <row r="44" spans="2:43" ht="13.8" x14ac:dyDescent="0.25">
      <c r="B44" s="311" t="str">
        <f>'E-1 Off-Site Hedge Baseline'!AN42</f>
        <v/>
      </c>
      <c r="C44" s="301" t="str">
        <f>IF(B44="","",IF(ISNA(VLOOKUP($B44,'E-1 Off-Site Hedge Baseline'!$B$1:$L$257,3,FALSE)),"",(VLOOKUP($B44,'E-1 Off-Site Hedge Baseline'!$B$1:$L$257,3,FALSE))))</f>
        <v/>
      </c>
      <c r="D44" s="301" t="str">
        <f>IF(B44="","",IF(ISNA(VLOOKUP($B44,'E-1 Off-Site Hedge Baseline'!$B$1:$L$258,4,FALSE)),"",(VLOOKUP($B44,'E-1 Off-Site Hedge Baseline'!$B$1:$L$258,4,FALSE))))</f>
        <v/>
      </c>
      <c r="E44" s="301" t="str">
        <f>IF(B44="","",IF(ISNA(VLOOKUP($B44,'E-1 Off-Site Hedge Baseline'!$B$1:$L$257,5,FALSE)),"",(VLOOKUP($B44,'E-1 Off-Site Hedge Baseline'!$B$1:$L$257,5,FALSE))))</f>
        <v/>
      </c>
      <c r="F44" s="301" t="str">
        <f>IF(B44="","",IF(ISNA(VLOOKUP($B44,'E-1 Off-Site Hedge Baseline'!$B$1:$L$257,6,FALSE)),"",(VLOOKUP($B44,'E-1 Off-Site Hedge Baseline'!$B$1:$L$257,6,FALSE))))</f>
        <v/>
      </c>
      <c r="G44" s="301" t="str">
        <f>IF(B44="","",IF(ISNA(VLOOKUP($B44,'E-1 Off-Site Hedge Baseline'!$B$1:$L$257,7,FALSE)),"",(VLOOKUP($B44,'E-1 Off-Site Hedge Baseline'!$B$1:$L$257,7,FALSE))))</f>
        <v/>
      </c>
      <c r="H44" s="301" t="str">
        <f>IF(B44="","",IF(ISNA(VLOOKUP($B44,'E-1 Off-Site Hedge Baseline'!$B$1:$L$257,8,FALSE)),"",(VLOOKUP($B44,'E-1 Off-Site Hedge Baseline'!$B$1:$L$257,8,FALSE))))</f>
        <v/>
      </c>
      <c r="I44" s="301" t="str">
        <f>IF(B44="","",IF(ISNA(VLOOKUP($B44,'E-1 Off-Site Hedge Baseline'!$B$1:$L$257,10,FALSE)),"",(VLOOKUP($B44,'E-1 Off-Site Hedge Baseline'!$B$1:$L$257,10,FALSE))))</f>
        <v/>
      </c>
      <c r="J44" s="301" t="str">
        <f>IF(B44="","",IF(ISNA(VLOOKUP($B44,'E-1 Off-Site Hedge Baseline'!$B$1:$L$257,11,FALSE)),"",(VLOOKUP($B44,'E-1 Off-Site Hedge Baseline'!$B$1:$L$257,11,FALSE))))</f>
        <v/>
      </c>
      <c r="K44" s="301" t="str">
        <f>IF(B44="","",IF(ISNA(VLOOKUP($B44,'E-1 Off-Site Hedge Baseline'!$B$1:$X$257,16,FALSE)),"",(VLOOKUP($B44,'E-1 Off-Site Hedge Baseline'!$B$1:$X$257,16,FALSE))))</f>
        <v/>
      </c>
      <c r="L44" s="289" t="str">
        <f>IF(B44="","",IF(ISNA(VLOOKUP($B44,'E-1 Off-Site Hedge Baseline'!$B$1:$X$257,12,FALSE)),"",(VLOOKUP($B44,'E-1 Off-Site Hedge Baseline'!$B$1:$X$257,12,FALSE))))</f>
        <v/>
      </c>
      <c r="M44" s="250"/>
      <c r="N44" s="281" t="str">
        <f>IFERROR(IF(B44="","",INDEX('G-6 Hedgerow Data'!$AN$3:$AZ$15,MATCH(C44,'G-6 Hedgerow Data'!$AM$3:$AM$15,0),MATCH(M44,'G-6 Hedgerow Data'!$AN$2:$AZ$2,0))),"")</f>
        <v/>
      </c>
      <c r="O44" s="282" t="str">
        <f t="shared" si="1"/>
        <v/>
      </c>
      <c r="P44" s="287" t="str">
        <f>IF(B44="","",VLOOKUP(B44,'E-1 Off-Site Hedge Baseline'!$B$10:W289,19,FALSE))</f>
        <v/>
      </c>
      <c r="Q44" s="281" t="str">
        <f>IF(M44="","",VLOOKUP(M44,'G-6 Hedgerow Data'!$B$2:$AG$15,2,FALSE))</f>
        <v/>
      </c>
      <c r="R44" s="282" t="str">
        <f>IF(M44="","",VLOOKUP(M44,'G-6 Hedgerow Data'!$B$2:$AG$15,3,FALSE))</f>
        <v/>
      </c>
      <c r="S44" s="105"/>
      <c r="T44" s="282" t="str">
        <f>IFERROR(IF(S44="","",IF(AND(M44="Non-native and ornamental hedgerow", S44&lt;&gt;"Poor"),"Not possible ▲", (IF(AND(Q44="V.Low",OR(S44="Good",S44="Moderate")),"Error ▲",VLOOKUP(S44,'G-1 All Habitats'!$Z$2:$AA$9,2,FALSE))))),"")</f>
        <v/>
      </c>
      <c r="U44" s="105"/>
      <c r="V44" s="289" t="str">
        <f>IF(U44="","",IF(VLOOKUP(U44,'G-3 Multipliers'!$L$3:$N$6,2,FALSE)=0,"Spatial Data Missing ⚠",VLOOKUP(U44,'G-3 Multipliers'!$L$3:$N$6,2,FALSE)))</f>
        <v/>
      </c>
      <c r="W44" s="287" t="str">
        <f>IF(U44="","",IF(VLOOKUP(U44,'G-3 Multipliers'!$L$3:$N$6,3,FALSE)=0,"Spatial Data Missing ⚠",VLOOKUP(U44,'G-3 Multipliers'!$L$3:$N$6,3,FALSE)))</f>
        <v/>
      </c>
      <c r="X44" s="281" t="str">
        <f>IFERROR(IF(OR(LEFT(O44,5)="Error",LEFT(N44,5)="Error",T44="Error"),"Check Data ⚠",IF(F44&lt;R44,INDEX('G-6 Hedgerow Data'!$S$3:$AE$14,MATCH(C44,'G-6 Hedgerow Data'!$B$3:$B$14,0),MATCH(M44,'G-6 Hedgerow Data'!$S$2:$AE$2,0)),INDEX('G-6 Hedgerow Data'!$K$3:$Q$14,MATCH(M44,'G-6 Hedgerow Data'!$B$3:$B$14,0),MATCH(O44,'G-6 Hedgerow Data'!$K$2:$Q$2,0)))),"")</f>
        <v/>
      </c>
      <c r="Y44" s="137"/>
      <c r="Z44" s="137"/>
      <c r="AA44" s="289" t="str">
        <f t="shared" si="2"/>
        <v/>
      </c>
      <c r="AB44" s="302" t="str">
        <f t="shared" si="3"/>
        <v/>
      </c>
      <c r="AC44" s="303" t="str">
        <f t="shared" si="0"/>
        <v/>
      </c>
      <c r="AD44" s="317" t="str">
        <f>IF(M44="","",VLOOKUP(M44,'G-6 Hedgerow Data'!$B$3:$AG$15,31,FALSE))</f>
        <v/>
      </c>
      <c r="AE44" s="301" t="str">
        <f t="shared" si="4"/>
        <v/>
      </c>
      <c r="AF44" s="289" t="str">
        <f t="shared" si="5"/>
        <v/>
      </c>
      <c r="AG44" s="305" t="str">
        <f>IFERROR(IF(O44="","",VLOOKUP(AD44,'G-3 Multipliers'!$P$3:$Q$6,2,FALSE)),"")</f>
        <v/>
      </c>
      <c r="AH44" s="729" t="str">
        <f>IF(B44="","",IF(ISNA(VLOOKUP($B44,'E-1 Off-Site Hedge Baseline'!$B$1:$Z$257,14,FALSE)),"",(VLOOKUP($B44,'E-1 Off-Site Hedge Baseline'!$B$1:$Z$257,14,FALSE))))</f>
        <v/>
      </c>
      <c r="AI44" s="282" t="str">
        <f>IF(AH44="","",IF(VLOOKUP(AH44,'G-3 Multipliers'!$S$3:$T$10,2,FALSE)=0,"Spatial Data Missing ⚠",VLOOKUP(AH44,'G-3 Multipliers'!$S$3:$T$10,2,FALSE)))</f>
        <v/>
      </c>
      <c r="AJ44" s="323" t="str">
        <f t="shared" si="6"/>
        <v/>
      </c>
      <c r="AK44" s="295" t="str">
        <f t="shared" si="7"/>
        <v/>
      </c>
      <c r="AL44" s="105"/>
      <c r="AM44" s="119"/>
      <c r="AN44" s="108"/>
      <c r="AO44" s="108"/>
      <c r="AQ44" s="30" t="str">
        <f>IFERROR(INDEX('G-6 Hedgerow Data'!$BJ$3:$BJ$15,MATCH(M44,'G-6 Hedgerow Data'!$B$3:$B$15,0)),"")</f>
        <v/>
      </c>
    </row>
    <row r="45" spans="2:43" ht="13.8" x14ac:dyDescent="0.25">
      <c r="B45" s="311" t="str">
        <f>'E-1 Off-Site Hedge Baseline'!AN43</f>
        <v/>
      </c>
      <c r="C45" s="301" t="str">
        <f>IF(B45="","",IF(ISNA(VLOOKUP($B45,'E-1 Off-Site Hedge Baseline'!$B$1:$L$257,3,FALSE)),"",(VLOOKUP($B45,'E-1 Off-Site Hedge Baseline'!$B$1:$L$257,3,FALSE))))</f>
        <v/>
      </c>
      <c r="D45" s="301" t="str">
        <f>IF(B45="","",IF(ISNA(VLOOKUP($B45,'E-1 Off-Site Hedge Baseline'!$B$1:$L$258,4,FALSE)),"",(VLOOKUP($B45,'E-1 Off-Site Hedge Baseline'!$B$1:$L$258,4,FALSE))))</f>
        <v/>
      </c>
      <c r="E45" s="301" t="str">
        <f>IF(B45="","",IF(ISNA(VLOOKUP($B45,'E-1 Off-Site Hedge Baseline'!$B$1:$L$257,5,FALSE)),"",(VLOOKUP($B45,'E-1 Off-Site Hedge Baseline'!$B$1:$L$257,5,FALSE))))</f>
        <v/>
      </c>
      <c r="F45" s="301" t="str">
        <f>IF(B45="","",IF(ISNA(VLOOKUP($B45,'E-1 Off-Site Hedge Baseline'!$B$1:$L$257,6,FALSE)),"",(VLOOKUP($B45,'E-1 Off-Site Hedge Baseline'!$B$1:$L$257,6,FALSE))))</f>
        <v/>
      </c>
      <c r="G45" s="301" t="str">
        <f>IF(B45="","",IF(ISNA(VLOOKUP($B45,'E-1 Off-Site Hedge Baseline'!$B$1:$L$257,7,FALSE)),"",(VLOOKUP($B45,'E-1 Off-Site Hedge Baseline'!$B$1:$L$257,7,FALSE))))</f>
        <v/>
      </c>
      <c r="H45" s="301" t="str">
        <f>IF(B45="","",IF(ISNA(VLOOKUP($B45,'E-1 Off-Site Hedge Baseline'!$B$1:$L$257,8,FALSE)),"",(VLOOKUP($B45,'E-1 Off-Site Hedge Baseline'!$B$1:$L$257,8,FALSE))))</f>
        <v/>
      </c>
      <c r="I45" s="301" t="str">
        <f>IF(B45="","",IF(ISNA(VLOOKUP($B45,'E-1 Off-Site Hedge Baseline'!$B$1:$L$257,10,FALSE)),"",(VLOOKUP($B45,'E-1 Off-Site Hedge Baseline'!$B$1:$L$257,10,FALSE))))</f>
        <v/>
      </c>
      <c r="J45" s="301" t="str">
        <f>IF(B45="","",IF(ISNA(VLOOKUP($B45,'E-1 Off-Site Hedge Baseline'!$B$1:$L$257,11,FALSE)),"",(VLOOKUP($B45,'E-1 Off-Site Hedge Baseline'!$B$1:$L$257,11,FALSE))))</f>
        <v/>
      </c>
      <c r="K45" s="301" t="str">
        <f>IF(B45="","",IF(ISNA(VLOOKUP($B45,'E-1 Off-Site Hedge Baseline'!$B$1:$X$257,16,FALSE)),"",(VLOOKUP($B45,'E-1 Off-Site Hedge Baseline'!$B$1:$X$257,16,FALSE))))</f>
        <v/>
      </c>
      <c r="L45" s="289" t="str">
        <f>IF(B45="","",IF(ISNA(VLOOKUP($B45,'E-1 Off-Site Hedge Baseline'!$B$1:$X$257,12,FALSE)),"",(VLOOKUP($B45,'E-1 Off-Site Hedge Baseline'!$B$1:$X$257,12,FALSE))))</f>
        <v/>
      </c>
      <c r="M45" s="250"/>
      <c r="N45" s="281" t="str">
        <f>IFERROR(IF(B45="","",INDEX('G-6 Hedgerow Data'!$AN$3:$AZ$15,MATCH(C45,'G-6 Hedgerow Data'!$AM$3:$AM$15,0),MATCH(M45,'G-6 Hedgerow Data'!$AN$2:$AZ$2,0))),"")</f>
        <v/>
      </c>
      <c r="O45" s="282" t="str">
        <f t="shared" si="1"/>
        <v/>
      </c>
      <c r="P45" s="287" t="str">
        <f>IF(B45="","",VLOOKUP(B45,'E-1 Off-Site Hedge Baseline'!$B$10:W290,19,FALSE))</f>
        <v/>
      </c>
      <c r="Q45" s="281" t="str">
        <f>IF(M45="","",VLOOKUP(M45,'G-6 Hedgerow Data'!$B$2:$AG$15,2,FALSE))</f>
        <v/>
      </c>
      <c r="R45" s="282" t="str">
        <f>IF(M45="","",VLOOKUP(M45,'G-6 Hedgerow Data'!$B$2:$AG$15,3,FALSE))</f>
        <v/>
      </c>
      <c r="S45" s="105"/>
      <c r="T45" s="282" t="str">
        <f>IFERROR(IF(S45="","",IF(AND(M45="Non-native and ornamental hedgerow", S45&lt;&gt;"Poor"),"Not possible ▲", (IF(AND(Q45="V.Low",OR(S45="Good",S45="Moderate")),"Error ▲",VLOOKUP(S45,'G-1 All Habitats'!$Z$2:$AA$9,2,FALSE))))),"")</f>
        <v/>
      </c>
      <c r="U45" s="105"/>
      <c r="V45" s="289" t="str">
        <f>IF(U45="","",IF(VLOOKUP(U45,'G-3 Multipliers'!$L$3:$N$6,2,FALSE)=0,"Spatial Data Missing ⚠",VLOOKUP(U45,'G-3 Multipliers'!$L$3:$N$6,2,FALSE)))</f>
        <v/>
      </c>
      <c r="W45" s="287" t="str">
        <f>IF(U45="","",IF(VLOOKUP(U45,'G-3 Multipliers'!$L$3:$N$6,3,FALSE)=0,"Spatial Data Missing ⚠",VLOOKUP(U45,'G-3 Multipliers'!$L$3:$N$6,3,FALSE)))</f>
        <v/>
      </c>
      <c r="X45" s="281" t="str">
        <f>IFERROR(IF(OR(LEFT(O45,5)="Error",LEFT(N45,5)="Error",T45="Error"),"Check Data ⚠",IF(F45&lt;R45,INDEX('G-6 Hedgerow Data'!$S$3:$AE$14,MATCH(C45,'G-6 Hedgerow Data'!$B$3:$B$14,0),MATCH(M45,'G-6 Hedgerow Data'!$S$2:$AE$2,0)),INDEX('G-6 Hedgerow Data'!$K$3:$Q$14,MATCH(M45,'G-6 Hedgerow Data'!$B$3:$B$14,0),MATCH(O45,'G-6 Hedgerow Data'!$K$2:$Q$2,0)))),"")</f>
        <v/>
      </c>
      <c r="Y45" s="137"/>
      <c r="Z45" s="137"/>
      <c r="AA45" s="289" t="str">
        <f t="shared" si="2"/>
        <v/>
      </c>
      <c r="AB45" s="302" t="str">
        <f t="shared" si="3"/>
        <v/>
      </c>
      <c r="AC45" s="303" t="str">
        <f t="shared" si="0"/>
        <v/>
      </c>
      <c r="AD45" s="317" t="str">
        <f>IF(M45="","",VLOOKUP(M45,'G-6 Hedgerow Data'!$B$3:$AG$15,31,FALSE))</f>
        <v/>
      </c>
      <c r="AE45" s="301" t="str">
        <f t="shared" si="4"/>
        <v/>
      </c>
      <c r="AF45" s="289" t="str">
        <f t="shared" si="5"/>
        <v/>
      </c>
      <c r="AG45" s="305" t="str">
        <f>IFERROR(IF(O45="","",VLOOKUP(AD45,'G-3 Multipliers'!$P$3:$Q$6,2,FALSE)),"")</f>
        <v/>
      </c>
      <c r="AH45" s="729" t="str">
        <f>IF(B45="","",IF(ISNA(VLOOKUP($B45,'E-1 Off-Site Hedge Baseline'!$B$1:$Z$257,14,FALSE)),"",(VLOOKUP($B45,'E-1 Off-Site Hedge Baseline'!$B$1:$Z$257,14,FALSE))))</f>
        <v/>
      </c>
      <c r="AI45" s="282" t="str">
        <f>IF(AH45="","",IF(VLOOKUP(AH45,'G-3 Multipliers'!$S$3:$T$10,2,FALSE)=0,"Spatial Data Missing ⚠",VLOOKUP(AH45,'G-3 Multipliers'!$S$3:$T$10,2,FALSE)))</f>
        <v/>
      </c>
      <c r="AJ45" s="323" t="str">
        <f t="shared" si="6"/>
        <v/>
      </c>
      <c r="AK45" s="295" t="str">
        <f t="shared" si="7"/>
        <v/>
      </c>
      <c r="AL45" s="105"/>
      <c r="AM45" s="119"/>
      <c r="AN45" s="108"/>
      <c r="AO45" s="108"/>
      <c r="AQ45" s="30" t="str">
        <f>IFERROR(INDEX('G-6 Hedgerow Data'!$BJ$3:$BJ$15,MATCH(M45,'G-6 Hedgerow Data'!$B$3:$B$15,0)),"")</f>
        <v/>
      </c>
    </row>
    <row r="46" spans="2:43" ht="13.8" x14ac:dyDescent="0.25">
      <c r="B46" s="311" t="str">
        <f>'E-1 Off-Site Hedge Baseline'!AN44</f>
        <v/>
      </c>
      <c r="C46" s="301" t="str">
        <f>IF(B46="","",IF(ISNA(VLOOKUP($B46,'E-1 Off-Site Hedge Baseline'!$B$1:$L$257,3,FALSE)),"",(VLOOKUP($B46,'E-1 Off-Site Hedge Baseline'!$B$1:$L$257,3,FALSE))))</f>
        <v/>
      </c>
      <c r="D46" s="301" t="str">
        <f>IF(B46="","",IF(ISNA(VLOOKUP($B46,'E-1 Off-Site Hedge Baseline'!$B$1:$L$258,4,FALSE)),"",(VLOOKUP($B46,'E-1 Off-Site Hedge Baseline'!$B$1:$L$258,4,FALSE))))</f>
        <v/>
      </c>
      <c r="E46" s="301" t="str">
        <f>IF(B46="","",IF(ISNA(VLOOKUP($B46,'E-1 Off-Site Hedge Baseline'!$B$1:$L$257,5,FALSE)),"",(VLOOKUP($B46,'E-1 Off-Site Hedge Baseline'!$B$1:$L$257,5,FALSE))))</f>
        <v/>
      </c>
      <c r="F46" s="301" t="str">
        <f>IF(B46="","",IF(ISNA(VLOOKUP($B46,'E-1 Off-Site Hedge Baseline'!$B$1:$L$257,6,FALSE)),"",(VLOOKUP($B46,'E-1 Off-Site Hedge Baseline'!$B$1:$L$257,6,FALSE))))</f>
        <v/>
      </c>
      <c r="G46" s="301" t="str">
        <f>IF(B46="","",IF(ISNA(VLOOKUP($B46,'E-1 Off-Site Hedge Baseline'!$B$1:$L$257,7,FALSE)),"",(VLOOKUP($B46,'E-1 Off-Site Hedge Baseline'!$B$1:$L$257,7,FALSE))))</f>
        <v/>
      </c>
      <c r="H46" s="301" t="str">
        <f>IF(B46="","",IF(ISNA(VLOOKUP($B46,'E-1 Off-Site Hedge Baseline'!$B$1:$L$257,8,FALSE)),"",(VLOOKUP($B46,'E-1 Off-Site Hedge Baseline'!$B$1:$L$257,8,FALSE))))</f>
        <v/>
      </c>
      <c r="I46" s="301" t="str">
        <f>IF(B46="","",IF(ISNA(VLOOKUP($B46,'E-1 Off-Site Hedge Baseline'!$B$1:$L$257,10,FALSE)),"",(VLOOKUP($B46,'E-1 Off-Site Hedge Baseline'!$B$1:$L$257,10,FALSE))))</f>
        <v/>
      </c>
      <c r="J46" s="301" t="str">
        <f>IF(B46="","",IF(ISNA(VLOOKUP($B46,'E-1 Off-Site Hedge Baseline'!$B$1:$L$257,11,FALSE)),"",(VLOOKUP($B46,'E-1 Off-Site Hedge Baseline'!$B$1:$L$257,11,FALSE))))</f>
        <v/>
      </c>
      <c r="K46" s="301" t="str">
        <f>IF(B46="","",IF(ISNA(VLOOKUP($B46,'E-1 Off-Site Hedge Baseline'!$B$1:$X$257,16,FALSE)),"",(VLOOKUP($B46,'E-1 Off-Site Hedge Baseline'!$B$1:$X$257,16,FALSE))))</f>
        <v/>
      </c>
      <c r="L46" s="289" t="str">
        <f>IF(B46="","",IF(ISNA(VLOOKUP($B46,'E-1 Off-Site Hedge Baseline'!$B$1:$X$257,12,FALSE)),"",(VLOOKUP($B46,'E-1 Off-Site Hedge Baseline'!$B$1:$X$257,12,FALSE))))</f>
        <v/>
      </c>
      <c r="M46" s="250"/>
      <c r="N46" s="281" t="str">
        <f>IFERROR(IF(B46="","",INDEX('G-6 Hedgerow Data'!$AN$3:$AZ$15,MATCH(C46,'G-6 Hedgerow Data'!$AM$3:$AM$15,0),MATCH(M46,'G-6 Hedgerow Data'!$AN$2:$AZ$2,0))),"")</f>
        <v/>
      </c>
      <c r="O46" s="282" t="str">
        <f t="shared" si="1"/>
        <v/>
      </c>
      <c r="P46" s="287" t="str">
        <f>IF(B46="","",VLOOKUP(B46,'E-1 Off-Site Hedge Baseline'!$B$10:W291,19,FALSE))</f>
        <v/>
      </c>
      <c r="Q46" s="281" t="str">
        <f>IF(M46="","",VLOOKUP(M46,'G-6 Hedgerow Data'!$B$2:$AG$15,2,FALSE))</f>
        <v/>
      </c>
      <c r="R46" s="282" t="str">
        <f>IF(M46="","",VLOOKUP(M46,'G-6 Hedgerow Data'!$B$2:$AG$15,3,FALSE))</f>
        <v/>
      </c>
      <c r="S46" s="105"/>
      <c r="T46" s="282" t="str">
        <f>IFERROR(IF(S46="","",IF(AND(M46="Non-native and ornamental hedgerow", S46&lt;&gt;"Poor"),"Not possible ▲", (IF(AND(Q46="V.Low",OR(S46="Good",S46="Moderate")),"Error ▲",VLOOKUP(S46,'G-1 All Habitats'!$Z$2:$AA$9,2,FALSE))))),"")</f>
        <v/>
      </c>
      <c r="U46" s="105"/>
      <c r="V46" s="289" t="str">
        <f>IF(U46="","",IF(VLOOKUP(U46,'G-3 Multipliers'!$L$3:$N$6,2,FALSE)=0,"Spatial Data Missing ⚠",VLOOKUP(U46,'G-3 Multipliers'!$L$3:$N$6,2,FALSE)))</f>
        <v/>
      </c>
      <c r="W46" s="287" t="str">
        <f>IF(U46="","",IF(VLOOKUP(U46,'G-3 Multipliers'!$L$3:$N$6,3,FALSE)=0,"Spatial Data Missing ⚠",VLOOKUP(U46,'G-3 Multipliers'!$L$3:$N$6,3,FALSE)))</f>
        <v/>
      </c>
      <c r="X46" s="281" t="str">
        <f>IFERROR(IF(OR(LEFT(O46,5)="Error",LEFT(N46,5)="Error",T46="Error"),"Check Data ⚠",IF(F46&lt;R46,INDEX('G-6 Hedgerow Data'!$S$3:$AE$14,MATCH(C46,'G-6 Hedgerow Data'!$B$3:$B$14,0),MATCH(M46,'G-6 Hedgerow Data'!$S$2:$AE$2,0)),INDEX('G-6 Hedgerow Data'!$K$3:$Q$14,MATCH(M46,'G-6 Hedgerow Data'!$B$3:$B$14,0),MATCH(O46,'G-6 Hedgerow Data'!$K$2:$Q$2,0)))),"")</f>
        <v/>
      </c>
      <c r="Y46" s="137"/>
      <c r="Z46" s="137"/>
      <c r="AA46" s="289" t="str">
        <f t="shared" si="2"/>
        <v/>
      </c>
      <c r="AB46" s="302" t="str">
        <f t="shared" si="3"/>
        <v/>
      </c>
      <c r="AC46" s="303" t="str">
        <f t="shared" si="0"/>
        <v/>
      </c>
      <c r="AD46" s="317" t="str">
        <f>IF(M46="","",VLOOKUP(M46,'G-6 Hedgerow Data'!$B$3:$AG$15,31,FALSE))</f>
        <v/>
      </c>
      <c r="AE46" s="301" t="str">
        <f t="shared" si="4"/>
        <v/>
      </c>
      <c r="AF46" s="289" t="str">
        <f t="shared" si="5"/>
        <v/>
      </c>
      <c r="AG46" s="305" t="str">
        <f>IFERROR(IF(O46="","",VLOOKUP(AD46,'G-3 Multipliers'!$P$3:$Q$6,2,FALSE)),"")</f>
        <v/>
      </c>
      <c r="AH46" s="729" t="str">
        <f>IF(B46="","",IF(ISNA(VLOOKUP($B46,'E-1 Off-Site Hedge Baseline'!$B$1:$Z$257,14,FALSE)),"",(VLOOKUP($B46,'E-1 Off-Site Hedge Baseline'!$B$1:$Z$257,14,FALSE))))</f>
        <v/>
      </c>
      <c r="AI46" s="282" t="str">
        <f>IF(AH46="","",IF(VLOOKUP(AH46,'G-3 Multipliers'!$S$3:$T$10,2,FALSE)=0,"Spatial Data Missing ⚠",VLOOKUP(AH46,'G-3 Multipliers'!$S$3:$T$10,2,FALSE)))</f>
        <v/>
      </c>
      <c r="AJ46" s="323" t="str">
        <f t="shared" si="6"/>
        <v/>
      </c>
      <c r="AK46" s="295" t="str">
        <f t="shared" si="7"/>
        <v/>
      </c>
      <c r="AL46" s="105"/>
      <c r="AM46" s="119"/>
      <c r="AN46" s="108"/>
      <c r="AO46" s="108"/>
      <c r="AQ46" s="30" t="str">
        <f>IFERROR(INDEX('G-6 Hedgerow Data'!$BJ$3:$BJ$15,MATCH(M46,'G-6 Hedgerow Data'!$B$3:$B$15,0)),"")</f>
        <v/>
      </c>
    </row>
    <row r="47" spans="2:43" ht="13.8" x14ac:dyDescent="0.25">
      <c r="B47" s="311" t="str">
        <f>'E-1 Off-Site Hedge Baseline'!AN45</f>
        <v/>
      </c>
      <c r="C47" s="301" t="str">
        <f>IF(B47="","",IF(ISNA(VLOOKUP($B47,'E-1 Off-Site Hedge Baseline'!$B$1:$L$257,3,FALSE)),"",(VLOOKUP($B47,'E-1 Off-Site Hedge Baseline'!$B$1:$L$257,3,FALSE))))</f>
        <v/>
      </c>
      <c r="D47" s="301" t="str">
        <f>IF(B47="","",IF(ISNA(VLOOKUP($B47,'E-1 Off-Site Hedge Baseline'!$B$1:$L$258,4,FALSE)),"",(VLOOKUP($B47,'E-1 Off-Site Hedge Baseline'!$B$1:$L$258,4,FALSE))))</f>
        <v/>
      </c>
      <c r="E47" s="301" t="str">
        <f>IF(B47="","",IF(ISNA(VLOOKUP($B47,'E-1 Off-Site Hedge Baseline'!$B$1:$L$257,5,FALSE)),"",(VLOOKUP($B47,'E-1 Off-Site Hedge Baseline'!$B$1:$L$257,5,FALSE))))</f>
        <v/>
      </c>
      <c r="F47" s="301" t="str">
        <f>IF(B47="","",IF(ISNA(VLOOKUP($B47,'E-1 Off-Site Hedge Baseline'!$B$1:$L$257,6,FALSE)),"",(VLOOKUP($B47,'E-1 Off-Site Hedge Baseline'!$B$1:$L$257,6,FALSE))))</f>
        <v/>
      </c>
      <c r="G47" s="301" t="str">
        <f>IF(B47="","",IF(ISNA(VLOOKUP($B47,'E-1 Off-Site Hedge Baseline'!$B$1:$L$257,7,FALSE)),"",(VLOOKUP($B47,'E-1 Off-Site Hedge Baseline'!$B$1:$L$257,7,FALSE))))</f>
        <v/>
      </c>
      <c r="H47" s="301" t="str">
        <f>IF(B47="","",IF(ISNA(VLOOKUP($B47,'E-1 Off-Site Hedge Baseline'!$B$1:$L$257,8,FALSE)),"",(VLOOKUP($B47,'E-1 Off-Site Hedge Baseline'!$B$1:$L$257,8,FALSE))))</f>
        <v/>
      </c>
      <c r="I47" s="301" t="str">
        <f>IF(B47="","",IF(ISNA(VLOOKUP($B47,'E-1 Off-Site Hedge Baseline'!$B$1:$L$257,10,FALSE)),"",(VLOOKUP($B47,'E-1 Off-Site Hedge Baseline'!$B$1:$L$257,10,FALSE))))</f>
        <v/>
      </c>
      <c r="J47" s="301" t="str">
        <f>IF(B47="","",IF(ISNA(VLOOKUP($B47,'E-1 Off-Site Hedge Baseline'!$B$1:$L$257,11,FALSE)),"",(VLOOKUP($B47,'E-1 Off-Site Hedge Baseline'!$B$1:$L$257,11,FALSE))))</f>
        <v/>
      </c>
      <c r="K47" s="301" t="str">
        <f>IF(B47="","",IF(ISNA(VLOOKUP($B47,'E-1 Off-Site Hedge Baseline'!$B$1:$X$257,16,FALSE)),"",(VLOOKUP($B47,'E-1 Off-Site Hedge Baseline'!$B$1:$X$257,16,FALSE))))</f>
        <v/>
      </c>
      <c r="L47" s="289" t="str">
        <f>IF(B47="","",IF(ISNA(VLOOKUP($B47,'E-1 Off-Site Hedge Baseline'!$B$1:$X$257,12,FALSE)),"",(VLOOKUP($B47,'E-1 Off-Site Hedge Baseline'!$B$1:$X$257,12,FALSE))))</f>
        <v/>
      </c>
      <c r="M47" s="250"/>
      <c r="N47" s="281" t="str">
        <f>IFERROR(IF(B47="","",INDEX('G-6 Hedgerow Data'!$AN$3:$AZ$15,MATCH(C47,'G-6 Hedgerow Data'!$AM$3:$AM$15,0),MATCH(M47,'G-6 Hedgerow Data'!$AN$2:$AZ$2,0))),"")</f>
        <v/>
      </c>
      <c r="O47" s="282" t="str">
        <f t="shared" si="1"/>
        <v/>
      </c>
      <c r="P47" s="287" t="str">
        <f>IF(B47="","",VLOOKUP(B47,'E-1 Off-Site Hedge Baseline'!$B$10:W292,19,FALSE))</f>
        <v/>
      </c>
      <c r="Q47" s="281" t="str">
        <f>IF(M47="","",VLOOKUP(M47,'G-6 Hedgerow Data'!$B$2:$AG$15,2,FALSE))</f>
        <v/>
      </c>
      <c r="R47" s="282" t="str">
        <f>IF(M47="","",VLOOKUP(M47,'G-6 Hedgerow Data'!$B$2:$AG$15,3,FALSE))</f>
        <v/>
      </c>
      <c r="S47" s="105"/>
      <c r="T47" s="282" t="str">
        <f>IFERROR(IF(S47="","",IF(AND(M47="Non-native and ornamental hedgerow", S47&lt;&gt;"Poor"),"Not possible ▲", (IF(AND(Q47="V.Low",OR(S47="Good",S47="Moderate")),"Error ▲",VLOOKUP(S47,'G-1 All Habitats'!$Z$2:$AA$9,2,FALSE))))),"")</f>
        <v/>
      </c>
      <c r="U47" s="105"/>
      <c r="V47" s="289" t="str">
        <f>IF(U47="","",IF(VLOOKUP(U47,'G-3 Multipliers'!$L$3:$N$6,2,FALSE)=0,"Spatial Data Missing ⚠",VLOOKUP(U47,'G-3 Multipliers'!$L$3:$N$6,2,FALSE)))</f>
        <v/>
      </c>
      <c r="W47" s="287" t="str">
        <f>IF(U47="","",IF(VLOOKUP(U47,'G-3 Multipliers'!$L$3:$N$6,3,FALSE)=0,"Spatial Data Missing ⚠",VLOOKUP(U47,'G-3 Multipliers'!$L$3:$N$6,3,FALSE)))</f>
        <v/>
      </c>
      <c r="X47" s="281" t="str">
        <f>IFERROR(IF(OR(LEFT(O47,5)="Error",LEFT(N47,5)="Error",T47="Error"),"Check Data ⚠",IF(F47&lt;R47,INDEX('G-6 Hedgerow Data'!$S$3:$AE$14,MATCH(C47,'G-6 Hedgerow Data'!$B$3:$B$14,0),MATCH(M47,'G-6 Hedgerow Data'!$S$2:$AE$2,0)),INDEX('G-6 Hedgerow Data'!$K$3:$Q$14,MATCH(M47,'G-6 Hedgerow Data'!$B$3:$B$14,0),MATCH(O47,'G-6 Hedgerow Data'!$K$2:$Q$2,0)))),"")</f>
        <v/>
      </c>
      <c r="Y47" s="137"/>
      <c r="Z47" s="137"/>
      <c r="AA47" s="289" t="str">
        <f t="shared" si="2"/>
        <v/>
      </c>
      <c r="AB47" s="302" t="str">
        <f t="shared" si="3"/>
        <v/>
      </c>
      <c r="AC47" s="303" t="str">
        <f t="shared" si="0"/>
        <v/>
      </c>
      <c r="AD47" s="317" t="str">
        <f>IF(M47="","",VLOOKUP(M47,'G-6 Hedgerow Data'!$B$3:$AG$15,31,FALSE))</f>
        <v/>
      </c>
      <c r="AE47" s="301" t="str">
        <f t="shared" si="4"/>
        <v/>
      </c>
      <c r="AF47" s="289" t="str">
        <f t="shared" si="5"/>
        <v/>
      </c>
      <c r="AG47" s="305" t="str">
        <f>IFERROR(IF(O47="","",VLOOKUP(AD47,'G-3 Multipliers'!$P$3:$Q$6,2,FALSE)),"")</f>
        <v/>
      </c>
      <c r="AH47" s="729" t="str">
        <f>IF(B47="","",IF(ISNA(VLOOKUP($B47,'E-1 Off-Site Hedge Baseline'!$B$1:$Z$257,14,FALSE)),"",(VLOOKUP($B47,'E-1 Off-Site Hedge Baseline'!$B$1:$Z$257,14,FALSE))))</f>
        <v/>
      </c>
      <c r="AI47" s="282" t="str">
        <f>IF(AH47="","",IF(VLOOKUP(AH47,'G-3 Multipliers'!$S$3:$T$10,2,FALSE)=0,"Spatial Data Missing ⚠",VLOOKUP(AH47,'G-3 Multipliers'!$S$3:$T$10,2,FALSE)))</f>
        <v/>
      </c>
      <c r="AJ47" s="323" t="str">
        <f t="shared" si="6"/>
        <v/>
      </c>
      <c r="AK47" s="295" t="str">
        <f t="shared" si="7"/>
        <v/>
      </c>
      <c r="AL47" s="105"/>
      <c r="AM47" s="119"/>
      <c r="AN47" s="108"/>
      <c r="AO47" s="108"/>
      <c r="AQ47" s="30" t="str">
        <f>IFERROR(INDEX('G-6 Hedgerow Data'!$BJ$3:$BJ$15,MATCH(M47,'G-6 Hedgerow Data'!$B$3:$B$15,0)),"")</f>
        <v/>
      </c>
    </row>
    <row r="48" spans="2:43" ht="13.8" x14ac:dyDescent="0.25">
      <c r="B48" s="311" t="str">
        <f>'E-1 Off-Site Hedge Baseline'!AN46</f>
        <v/>
      </c>
      <c r="C48" s="301" t="str">
        <f>IF(B48="","",IF(ISNA(VLOOKUP($B48,'E-1 Off-Site Hedge Baseline'!$B$1:$L$257,3,FALSE)),"",(VLOOKUP($B48,'E-1 Off-Site Hedge Baseline'!$B$1:$L$257,3,FALSE))))</f>
        <v/>
      </c>
      <c r="D48" s="301" t="str">
        <f>IF(B48="","",IF(ISNA(VLOOKUP($B48,'E-1 Off-Site Hedge Baseline'!$B$1:$L$258,4,FALSE)),"",(VLOOKUP($B48,'E-1 Off-Site Hedge Baseline'!$B$1:$L$258,4,FALSE))))</f>
        <v/>
      </c>
      <c r="E48" s="301" t="str">
        <f>IF(B48="","",IF(ISNA(VLOOKUP($B48,'E-1 Off-Site Hedge Baseline'!$B$1:$L$257,5,FALSE)),"",(VLOOKUP($B48,'E-1 Off-Site Hedge Baseline'!$B$1:$L$257,5,FALSE))))</f>
        <v/>
      </c>
      <c r="F48" s="301" t="str">
        <f>IF(B48="","",IF(ISNA(VLOOKUP($B48,'E-1 Off-Site Hedge Baseline'!$B$1:$L$257,6,FALSE)),"",(VLOOKUP($B48,'E-1 Off-Site Hedge Baseline'!$B$1:$L$257,6,FALSE))))</f>
        <v/>
      </c>
      <c r="G48" s="301" t="str">
        <f>IF(B48="","",IF(ISNA(VLOOKUP($B48,'E-1 Off-Site Hedge Baseline'!$B$1:$L$257,7,FALSE)),"",(VLOOKUP($B48,'E-1 Off-Site Hedge Baseline'!$B$1:$L$257,7,FALSE))))</f>
        <v/>
      </c>
      <c r="H48" s="301" t="str">
        <f>IF(B48="","",IF(ISNA(VLOOKUP($B48,'E-1 Off-Site Hedge Baseline'!$B$1:$L$257,8,FALSE)),"",(VLOOKUP($B48,'E-1 Off-Site Hedge Baseline'!$B$1:$L$257,8,FALSE))))</f>
        <v/>
      </c>
      <c r="I48" s="301" t="str">
        <f>IF(B48="","",IF(ISNA(VLOOKUP($B48,'E-1 Off-Site Hedge Baseline'!$B$1:$L$257,10,FALSE)),"",(VLOOKUP($B48,'E-1 Off-Site Hedge Baseline'!$B$1:$L$257,10,FALSE))))</f>
        <v/>
      </c>
      <c r="J48" s="301" t="str">
        <f>IF(B48="","",IF(ISNA(VLOOKUP($B48,'E-1 Off-Site Hedge Baseline'!$B$1:$L$257,11,FALSE)),"",(VLOOKUP($B48,'E-1 Off-Site Hedge Baseline'!$B$1:$L$257,11,FALSE))))</f>
        <v/>
      </c>
      <c r="K48" s="301" t="str">
        <f>IF(B48="","",IF(ISNA(VLOOKUP($B48,'E-1 Off-Site Hedge Baseline'!$B$1:$X$257,16,FALSE)),"",(VLOOKUP($B48,'E-1 Off-Site Hedge Baseline'!$B$1:$X$257,16,FALSE))))</f>
        <v/>
      </c>
      <c r="L48" s="289" t="str">
        <f>IF(B48="","",IF(ISNA(VLOOKUP($B48,'E-1 Off-Site Hedge Baseline'!$B$1:$X$257,12,FALSE)),"",(VLOOKUP($B48,'E-1 Off-Site Hedge Baseline'!$B$1:$X$257,12,FALSE))))</f>
        <v/>
      </c>
      <c r="M48" s="250"/>
      <c r="N48" s="281" t="str">
        <f>IFERROR(IF(B48="","",INDEX('G-6 Hedgerow Data'!$AN$3:$AZ$15,MATCH(C48,'G-6 Hedgerow Data'!$AM$3:$AM$15,0),MATCH(M48,'G-6 Hedgerow Data'!$AN$2:$AZ$2,0))),"")</f>
        <v/>
      </c>
      <c r="O48" s="282" t="str">
        <f t="shared" si="1"/>
        <v/>
      </c>
      <c r="P48" s="287" t="str">
        <f>IF(B48="","",VLOOKUP(B48,'E-1 Off-Site Hedge Baseline'!$B$10:W293,19,FALSE))</f>
        <v/>
      </c>
      <c r="Q48" s="281" t="str">
        <f>IF(M48="","",VLOOKUP(M48,'G-6 Hedgerow Data'!$B$2:$AG$15,2,FALSE))</f>
        <v/>
      </c>
      <c r="R48" s="282" t="str">
        <f>IF(M48="","",VLOOKUP(M48,'G-6 Hedgerow Data'!$B$2:$AG$15,3,FALSE))</f>
        <v/>
      </c>
      <c r="S48" s="105"/>
      <c r="T48" s="282" t="str">
        <f>IFERROR(IF(S48="","",IF(AND(M48="Non-native and ornamental hedgerow", S48&lt;&gt;"Poor"),"Not possible ▲", (IF(AND(Q48="V.Low",OR(S48="Good",S48="Moderate")),"Error ▲",VLOOKUP(S48,'G-1 All Habitats'!$Z$2:$AA$9,2,FALSE))))),"")</f>
        <v/>
      </c>
      <c r="U48" s="105"/>
      <c r="V48" s="289" t="str">
        <f>IF(U48="","",IF(VLOOKUP(U48,'G-3 Multipliers'!$L$3:$N$6,2,FALSE)=0,"Spatial Data Missing ⚠",VLOOKUP(U48,'G-3 Multipliers'!$L$3:$N$6,2,FALSE)))</f>
        <v/>
      </c>
      <c r="W48" s="287" t="str">
        <f>IF(U48="","",IF(VLOOKUP(U48,'G-3 Multipliers'!$L$3:$N$6,3,FALSE)=0,"Spatial Data Missing ⚠",VLOOKUP(U48,'G-3 Multipliers'!$L$3:$N$6,3,FALSE)))</f>
        <v/>
      </c>
      <c r="X48" s="281" t="str">
        <f>IFERROR(IF(OR(LEFT(O48,5)="Error",LEFT(N48,5)="Error",T48="Error"),"Check Data ⚠",IF(F48&lt;R48,INDEX('G-6 Hedgerow Data'!$S$3:$AE$14,MATCH(C48,'G-6 Hedgerow Data'!$B$3:$B$14,0),MATCH(M48,'G-6 Hedgerow Data'!$S$2:$AE$2,0)),INDEX('G-6 Hedgerow Data'!$K$3:$Q$14,MATCH(M48,'G-6 Hedgerow Data'!$B$3:$B$14,0),MATCH(O48,'G-6 Hedgerow Data'!$K$2:$Q$2,0)))),"")</f>
        <v/>
      </c>
      <c r="Y48" s="137"/>
      <c r="Z48" s="137"/>
      <c r="AA48" s="289" t="str">
        <f t="shared" si="2"/>
        <v/>
      </c>
      <c r="AB48" s="302" t="str">
        <f t="shared" si="3"/>
        <v/>
      </c>
      <c r="AC48" s="303" t="str">
        <f t="shared" si="0"/>
        <v/>
      </c>
      <c r="AD48" s="317" t="str">
        <f>IF(M48="","",VLOOKUP(M48,'G-6 Hedgerow Data'!$B$3:$AG$15,31,FALSE))</f>
        <v/>
      </c>
      <c r="AE48" s="301" t="str">
        <f t="shared" si="4"/>
        <v/>
      </c>
      <c r="AF48" s="289" t="str">
        <f t="shared" si="5"/>
        <v/>
      </c>
      <c r="AG48" s="305" t="str">
        <f>IFERROR(IF(O48="","",VLOOKUP(AD48,'G-3 Multipliers'!$P$3:$Q$6,2,FALSE)),"")</f>
        <v/>
      </c>
      <c r="AH48" s="729" t="str">
        <f>IF(B48="","",IF(ISNA(VLOOKUP($B48,'E-1 Off-Site Hedge Baseline'!$B$1:$Z$257,14,FALSE)),"",(VLOOKUP($B48,'E-1 Off-Site Hedge Baseline'!$B$1:$Z$257,14,FALSE))))</f>
        <v/>
      </c>
      <c r="AI48" s="282" t="str">
        <f>IF(AH48="","",IF(VLOOKUP(AH48,'G-3 Multipliers'!$S$3:$T$10,2,FALSE)=0,"Spatial Data Missing ⚠",VLOOKUP(AH48,'G-3 Multipliers'!$S$3:$T$10,2,FALSE)))</f>
        <v/>
      </c>
      <c r="AJ48" s="323" t="str">
        <f t="shared" si="6"/>
        <v/>
      </c>
      <c r="AK48" s="295" t="str">
        <f t="shared" si="7"/>
        <v/>
      </c>
      <c r="AL48" s="105"/>
      <c r="AM48" s="119"/>
      <c r="AN48" s="108"/>
      <c r="AO48" s="108"/>
      <c r="AQ48" s="30" t="str">
        <f>IFERROR(INDEX('G-6 Hedgerow Data'!$BJ$3:$BJ$15,MATCH(M48,'G-6 Hedgerow Data'!$B$3:$B$15,0)),"")</f>
        <v/>
      </c>
    </row>
    <row r="49" spans="2:43" ht="13.8" x14ac:dyDescent="0.25">
      <c r="B49" s="311" t="str">
        <f>'E-1 Off-Site Hedge Baseline'!AN47</f>
        <v/>
      </c>
      <c r="C49" s="301" t="str">
        <f>IF(B49="","",IF(ISNA(VLOOKUP($B49,'E-1 Off-Site Hedge Baseline'!$B$1:$L$257,3,FALSE)),"",(VLOOKUP($B49,'E-1 Off-Site Hedge Baseline'!$B$1:$L$257,3,FALSE))))</f>
        <v/>
      </c>
      <c r="D49" s="301" t="str">
        <f>IF(B49="","",IF(ISNA(VLOOKUP($B49,'E-1 Off-Site Hedge Baseline'!$B$1:$L$258,4,FALSE)),"",(VLOOKUP($B49,'E-1 Off-Site Hedge Baseline'!$B$1:$L$258,4,FALSE))))</f>
        <v/>
      </c>
      <c r="E49" s="301" t="str">
        <f>IF(B49="","",IF(ISNA(VLOOKUP($B49,'E-1 Off-Site Hedge Baseline'!$B$1:$L$257,5,FALSE)),"",(VLOOKUP($B49,'E-1 Off-Site Hedge Baseline'!$B$1:$L$257,5,FALSE))))</f>
        <v/>
      </c>
      <c r="F49" s="301" t="str">
        <f>IF(B49="","",IF(ISNA(VLOOKUP($B49,'E-1 Off-Site Hedge Baseline'!$B$1:$L$257,6,FALSE)),"",(VLOOKUP($B49,'E-1 Off-Site Hedge Baseline'!$B$1:$L$257,6,FALSE))))</f>
        <v/>
      </c>
      <c r="G49" s="301" t="str">
        <f>IF(B49="","",IF(ISNA(VLOOKUP($B49,'E-1 Off-Site Hedge Baseline'!$B$1:$L$257,7,FALSE)),"",(VLOOKUP($B49,'E-1 Off-Site Hedge Baseline'!$B$1:$L$257,7,FALSE))))</f>
        <v/>
      </c>
      <c r="H49" s="301" t="str">
        <f>IF(B49="","",IF(ISNA(VLOOKUP($B49,'E-1 Off-Site Hedge Baseline'!$B$1:$L$257,8,FALSE)),"",(VLOOKUP($B49,'E-1 Off-Site Hedge Baseline'!$B$1:$L$257,8,FALSE))))</f>
        <v/>
      </c>
      <c r="I49" s="301" t="str">
        <f>IF(B49="","",IF(ISNA(VLOOKUP($B49,'E-1 Off-Site Hedge Baseline'!$B$1:$L$257,10,FALSE)),"",(VLOOKUP($B49,'E-1 Off-Site Hedge Baseline'!$B$1:$L$257,10,FALSE))))</f>
        <v/>
      </c>
      <c r="J49" s="301" t="str">
        <f>IF(B49="","",IF(ISNA(VLOOKUP($B49,'E-1 Off-Site Hedge Baseline'!$B$1:$L$257,11,FALSE)),"",(VLOOKUP($B49,'E-1 Off-Site Hedge Baseline'!$B$1:$L$257,11,FALSE))))</f>
        <v/>
      </c>
      <c r="K49" s="301" t="str">
        <f>IF(B49="","",IF(ISNA(VLOOKUP($B49,'E-1 Off-Site Hedge Baseline'!$B$1:$X$257,16,FALSE)),"",(VLOOKUP($B49,'E-1 Off-Site Hedge Baseline'!$B$1:$X$257,16,FALSE))))</f>
        <v/>
      </c>
      <c r="L49" s="289" t="str">
        <f>IF(B49="","",IF(ISNA(VLOOKUP($B49,'E-1 Off-Site Hedge Baseline'!$B$1:$X$257,12,FALSE)),"",(VLOOKUP($B49,'E-1 Off-Site Hedge Baseline'!$B$1:$X$257,12,FALSE))))</f>
        <v/>
      </c>
      <c r="M49" s="250"/>
      <c r="N49" s="281" t="str">
        <f>IFERROR(IF(B49="","",INDEX('G-6 Hedgerow Data'!$AN$3:$AZ$15,MATCH(C49,'G-6 Hedgerow Data'!$AM$3:$AM$15,0),MATCH(M49,'G-6 Hedgerow Data'!$AN$2:$AZ$2,0))),"")</f>
        <v/>
      </c>
      <c r="O49" s="282" t="str">
        <f t="shared" si="1"/>
        <v/>
      </c>
      <c r="P49" s="287" t="str">
        <f>IF(B49="","",VLOOKUP(B49,'E-1 Off-Site Hedge Baseline'!$B$10:W294,19,FALSE))</f>
        <v/>
      </c>
      <c r="Q49" s="281" t="str">
        <f>IF(M49="","",VLOOKUP(M49,'G-6 Hedgerow Data'!$B$2:$AG$15,2,FALSE))</f>
        <v/>
      </c>
      <c r="R49" s="282" t="str">
        <f>IF(M49="","",VLOOKUP(M49,'G-6 Hedgerow Data'!$B$2:$AG$15,3,FALSE))</f>
        <v/>
      </c>
      <c r="S49" s="105"/>
      <c r="T49" s="282" t="str">
        <f>IFERROR(IF(S49="","",IF(AND(M49="Non-native and ornamental hedgerow", S49&lt;&gt;"Poor"),"Not possible ▲", (IF(AND(Q49="V.Low",OR(S49="Good",S49="Moderate")),"Error ▲",VLOOKUP(S49,'G-1 All Habitats'!$Z$2:$AA$9,2,FALSE))))),"")</f>
        <v/>
      </c>
      <c r="U49" s="105"/>
      <c r="V49" s="289" t="str">
        <f>IF(U49="","",IF(VLOOKUP(U49,'G-3 Multipliers'!$L$3:$N$6,2,FALSE)=0,"Spatial Data Missing ⚠",VLOOKUP(U49,'G-3 Multipliers'!$L$3:$N$6,2,FALSE)))</f>
        <v/>
      </c>
      <c r="W49" s="287" t="str">
        <f>IF(U49="","",IF(VLOOKUP(U49,'G-3 Multipliers'!$L$3:$N$6,3,FALSE)=0,"Spatial Data Missing ⚠",VLOOKUP(U49,'G-3 Multipliers'!$L$3:$N$6,3,FALSE)))</f>
        <v/>
      </c>
      <c r="X49" s="281" t="str">
        <f>IFERROR(IF(OR(LEFT(O49,5)="Error",LEFT(N49,5)="Error",T49="Error"),"Check Data ⚠",IF(F49&lt;R49,INDEX('G-6 Hedgerow Data'!$S$3:$AE$14,MATCH(C49,'G-6 Hedgerow Data'!$B$3:$B$14,0),MATCH(M49,'G-6 Hedgerow Data'!$S$2:$AE$2,0)),INDEX('G-6 Hedgerow Data'!$K$3:$Q$14,MATCH(M49,'G-6 Hedgerow Data'!$B$3:$B$14,0),MATCH(O49,'G-6 Hedgerow Data'!$K$2:$Q$2,0)))),"")</f>
        <v/>
      </c>
      <c r="Y49" s="137"/>
      <c r="Z49" s="137"/>
      <c r="AA49" s="289" t="str">
        <f t="shared" si="2"/>
        <v/>
      </c>
      <c r="AB49" s="302" t="str">
        <f t="shared" si="3"/>
        <v/>
      </c>
      <c r="AC49" s="303" t="str">
        <f t="shared" si="0"/>
        <v/>
      </c>
      <c r="AD49" s="317" t="str">
        <f>IF(M49="","",VLOOKUP(M49,'G-6 Hedgerow Data'!$B$3:$AG$15,31,FALSE))</f>
        <v/>
      </c>
      <c r="AE49" s="301" t="str">
        <f t="shared" si="4"/>
        <v/>
      </c>
      <c r="AF49" s="289" t="str">
        <f t="shared" si="5"/>
        <v/>
      </c>
      <c r="AG49" s="305" t="str">
        <f>IFERROR(IF(O49="","",VLOOKUP(AD49,'G-3 Multipliers'!$P$3:$Q$6,2,FALSE)),"")</f>
        <v/>
      </c>
      <c r="AH49" s="729" t="str">
        <f>IF(B49="","",IF(ISNA(VLOOKUP($B49,'E-1 Off-Site Hedge Baseline'!$B$1:$Z$257,14,FALSE)),"",(VLOOKUP($B49,'E-1 Off-Site Hedge Baseline'!$B$1:$Z$257,14,FALSE))))</f>
        <v/>
      </c>
      <c r="AI49" s="282" t="str">
        <f>IF(AH49="","",IF(VLOOKUP(AH49,'G-3 Multipliers'!$S$3:$T$10,2,FALSE)=0,"Spatial Data Missing ⚠",VLOOKUP(AH49,'G-3 Multipliers'!$S$3:$T$10,2,FALSE)))</f>
        <v/>
      </c>
      <c r="AJ49" s="323" t="str">
        <f t="shared" si="6"/>
        <v/>
      </c>
      <c r="AK49" s="295" t="str">
        <f t="shared" si="7"/>
        <v/>
      </c>
      <c r="AL49" s="105"/>
      <c r="AM49" s="119"/>
      <c r="AN49" s="108"/>
      <c r="AO49" s="108"/>
      <c r="AQ49" s="30" t="str">
        <f>IFERROR(INDEX('G-6 Hedgerow Data'!$BJ$3:$BJ$15,MATCH(M49,'G-6 Hedgerow Data'!$B$3:$B$15,0)),"")</f>
        <v/>
      </c>
    </row>
    <row r="50" spans="2:43" ht="13.8" x14ac:dyDescent="0.25">
      <c r="B50" s="311" t="str">
        <f>'E-1 Off-Site Hedge Baseline'!AN48</f>
        <v/>
      </c>
      <c r="C50" s="301" t="str">
        <f>IF(B50="","",IF(ISNA(VLOOKUP($B50,'E-1 Off-Site Hedge Baseline'!$B$1:$L$257,3,FALSE)),"",(VLOOKUP($B50,'E-1 Off-Site Hedge Baseline'!$B$1:$L$257,3,FALSE))))</f>
        <v/>
      </c>
      <c r="D50" s="301" t="str">
        <f>IF(B50="","",IF(ISNA(VLOOKUP($B50,'E-1 Off-Site Hedge Baseline'!$B$1:$L$258,4,FALSE)),"",(VLOOKUP($B50,'E-1 Off-Site Hedge Baseline'!$B$1:$L$258,4,FALSE))))</f>
        <v/>
      </c>
      <c r="E50" s="301" t="str">
        <f>IF(B50="","",IF(ISNA(VLOOKUP($B50,'E-1 Off-Site Hedge Baseline'!$B$1:$L$257,5,FALSE)),"",(VLOOKUP($B50,'E-1 Off-Site Hedge Baseline'!$B$1:$L$257,5,FALSE))))</f>
        <v/>
      </c>
      <c r="F50" s="301" t="str">
        <f>IF(B50="","",IF(ISNA(VLOOKUP($B50,'E-1 Off-Site Hedge Baseline'!$B$1:$L$257,6,FALSE)),"",(VLOOKUP($B50,'E-1 Off-Site Hedge Baseline'!$B$1:$L$257,6,FALSE))))</f>
        <v/>
      </c>
      <c r="G50" s="301" t="str">
        <f>IF(B50="","",IF(ISNA(VLOOKUP($B50,'E-1 Off-Site Hedge Baseline'!$B$1:$L$257,7,FALSE)),"",(VLOOKUP($B50,'E-1 Off-Site Hedge Baseline'!$B$1:$L$257,7,FALSE))))</f>
        <v/>
      </c>
      <c r="H50" s="301" t="str">
        <f>IF(B50="","",IF(ISNA(VLOOKUP($B50,'E-1 Off-Site Hedge Baseline'!$B$1:$L$257,8,FALSE)),"",(VLOOKUP($B50,'E-1 Off-Site Hedge Baseline'!$B$1:$L$257,8,FALSE))))</f>
        <v/>
      </c>
      <c r="I50" s="301" t="str">
        <f>IF(B50="","",IF(ISNA(VLOOKUP($B50,'E-1 Off-Site Hedge Baseline'!$B$1:$L$257,10,FALSE)),"",(VLOOKUP($B50,'E-1 Off-Site Hedge Baseline'!$B$1:$L$257,10,FALSE))))</f>
        <v/>
      </c>
      <c r="J50" s="301" t="str">
        <f>IF(B50="","",IF(ISNA(VLOOKUP($B50,'E-1 Off-Site Hedge Baseline'!$B$1:$L$257,11,FALSE)),"",(VLOOKUP($B50,'E-1 Off-Site Hedge Baseline'!$B$1:$L$257,11,FALSE))))</f>
        <v/>
      </c>
      <c r="K50" s="301" t="str">
        <f>IF(B50="","",IF(ISNA(VLOOKUP($B50,'E-1 Off-Site Hedge Baseline'!$B$1:$X$257,16,FALSE)),"",(VLOOKUP($B50,'E-1 Off-Site Hedge Baseline'!$B$1:$X$257,16,FALSE))))</f>
        <v/>
      </c>
      <c r="L50" s="289" t="str">
        <f>IF(B50="","",IF(ISNA(VLOOKUP($B50,'E-1 Off-Site Hedge Baseline'!$B$1:$X$257,12,FALSE)),"",(VLOOKUP($B50,'E-1 Off-Site Hedge Baseline'!$B$1:$X$257,12,FALSE))))</f>
        <v/>
      </c>
      <c r="M50" s="250"/>
      <c r="N50" s="281" t="str">
        <f>IFERROR(IF(B50="","",INDEX('G-6 Hedgerow Data'!$AN$3:$AZ$15,MATCH(C50,'G-6 Hedgerow Data'!$AM$3:$AM$15,0),MATCH(M50,'G-6 Hedgerow Data'!$AN$2:$AZ$2,0))),"")</f>
        <v/>
      </c>
      <c r="O50" s="282" t="str">
        <f t="shared" si="1"/>
        <v/>
      </c>
      <c r="P50" s="287" t="str">
        <f>IF(B50="","",VLOOKUP(B50,'E-1 Off-Site Hedge Baseline'!$B$10:W295,19,FALSE))</f>
        <v/>
      </c>
      <c r="Q50" s="281" t="str">
        <f>IF(M50="","",VLOOKUP(M50,'G-6 Hedgerow Data'!$B$2:$AG$15,2,FALSE))</f>
        <v/>
      </c>
      <c r="R50" s="282" t="str">
        <f>IF(M50="","",VLOOKUP(M50,'G-6 Hedgerow Data'!$B$2:$AG$15,3,FALSE))</f>
        <v/>
      </c>
      <c r="S50" s="105"/>
      <c r="T50" s="282" t="str">
        <f>IFERROR(IF(S50="","",IF(AND(M50="Non-native and ornamental hedgerow", S50&lt;&gt;"Poor"),"Not possible ▲", (IF(AND(Q50="V.Low",OR(S50="Good",S50="Moderate")),"Error ▲",VLOOKUP(S50,'G-1 All Habitats'!$Z$2:$AA$9,2,FALSE))))),"")</f>
        <v/>
      </c>
      <c r="U50" s="105"/>
      <c r="V50" s="289" t="str">
        <f>IF(U50="","",IF(VLOOKUP(U50,'G-3 Multipliers'!$L$3:$N$6,2,FALSE)=0,"Spatial Data Missing ⚠",VLOOKUP(U50,'G-3 Multipliers'!$L$3:$N$6,2,FALSE)))</f>
        <v/>
      </c>
      <c r="W50" s="287" t="str">
        <f>IF(U50="","",IF(VLOOKUP(U50,'G-3 Multipliers'!$L$3:$N$6,3,FALSE)=0,"Spatial Data Missing ⚠",VLOOKUP(U50,'G-3 Multipliers'!$L$3:$N$6,3,FALSE)))</f>
        <v/>
      </c>
      <c r="X50" s="281" t="str">
        <f>IFERROR(IF(OR(LEFT(O50,5)="Error",LEFT(N50,5)="Error",T50="Error"),"Check Data ⚠",IF(F50&lt;R50,INDEX('G-6 Hedgerow Data'!$S$3:$AE$14,MATCH(C50,'G-6 Hedgerow Data'!$B$3:$B$14,0),MATCH(M50,'G-6 Hedgerow Data'!$S$2:$AE$2,0)),INDEX('G-6 Hedgerow Data'!$K$3:$Q$14,MATCH(M50,'G-6 Hedgerow Data'!$B$3:$B$14,0),MATCH(O50,'G-6 Hedgerow Data'!$K$2:$Q$2,0)))),"")</f>
        <v/>
      </c>
      <c r="Y50" s="137"/>
      <c r="Z50" s="137"/>
      <c r="AA50" s="289" t="str">
        <f t="shared" si="2"/>
        <v/>
      </c>
      <c r="AB50" s="302" t="str">
        <f t="shared" si="3"/>
        <v/>
      </c>
      <c r="AC50" s="303" t="str">
        <f t="shared" si="0"/>
        <v/>
      </c>
      <c r="AD50" s="317" t="str">
        <f>IF(M50="","",VLOOKUP(M50,'G-6 Hedgerow Data'!$B$3:$AG$15,31,FALSE))</f>
        <v/>
      </c>
      <c r="AE50" s="301" t="str">
        <f t="shared" si="4"/>
        <v/>
      </c>
      <c r="AF50" s="289" t="str">
        <f t="shared" si="5"/>
        <v/>
      </c>
      <c r="AG50" s="305" t="str">
        <f>IFERROR(IF(O50="","",VLOOKUP(AD50,'G-3 Multipliers'!$P$3:$Q$6,2,FALSE)),"")</f>
        <v/>
      </c>
      <c r="AH50" s="729" t="str">
        <f>IF(B50="","",IF(ISNA(VLOOKUP($B50,'E-1 Off-Site Hedge Baseline'!$B$1:$Z$257,14,FALSE)),"",(VLOOKUP($B50,'E-1 Off-Site Hedge Baseline'!$B$1:$Z$257,14,FALSE))))</f>
        <v/>
      </c>
      <c r="AI50" s="282" t="str">
        <f>IF(AH50="","",IF(VLOOKUP(AH50,'G-3 Multipliers'!$S$3:$T$10,2,FALSE)=0,"Spatial Data Missing ⚠",VLOOKUP(AH50,'G-3 Multipliers'!$S$3:$T$10,2,FALSE)))</f>
        <v/>
      </c>
      <c r="AJ50" s="323" t="str">
        <f t="shared" si="6"/>
        <v/>
      </c>
      <c r="AK50" s="295" t="str">
        <f t="shared" si="7"/>
        <v/>
      </c>
      <c r="AL50" s="105"/>
      <c r="AM50" s="119"/>
      <c r="AN50" s="108"/>
      <c r="AO50" s="108"/>
      <c r="AQ50" s="30" t="str">
        <f>IFERROR(INDEX('G-6 Hedgerow Data'!$BJ$3:$BJ$15,MATCH(M50,'G-6 Hedgerow Data'!$B$3:$B$15,0)),"")</f>
        <v/>
      </c>
    </row>
    <row r="51" spans="2:43" ht="13.8" x14ac:dyDescent="0.25">
      <c r="B51" s="311" t="str">
        <f>'E-1 Off-Site Hedge Baseline'!AN49</f>
        <v/>
      </c>
      <c r="C51" s="301" t="str">
        <f>IF(B51="","",IF(ISNA(VLOOKUP($B51,'E-1 Off-Site Hedge Baseline'!$B$1:$L$257,3,FALSE)),"",(VLOOKUP($B51,'E-1 Off-Site Hedge Baseline'!$B$1:$L$257,3,FALSE))))</f>
        <v/>
      </c>
      <c r="D51" s="301" t="str">
        <f>IF(B51="","",IF(ISNA(VLOOKUP($B51,'E-1 Off-Site Hedge Baseline'!$B$1:$L$258,4,FALSE)),"",(VLOOKUP($B51,'E-1 Off-Site Hedge Baseline'!$B$1:$L$258,4,FALSE))))</f>
        <v/>
      </c>
      <c r="E51" s="301" t="str">
        <f>IF(B51="","",IF(ISNA(VLOOKUP($B51,'E-1 Off-Site Hedge Baseline'!$B$1:$L$257,5,FALSE)),"",(VLOOKUP($B51,'E-1 Off-Site Hedge Baseline'!$B$1:$L$257,5,FALSE))))</f>
        <v/>
      </c>
      <c r="F51" s="301" t="str">
        <f>IF(B51="","",IF(ISNA(VLOOKUP($B51,'E-1 Off-Site Hedge Baseline'!$B$1:$L$257,6,FALSE)),"",(VLOOKUP($B51,'E-1 Off-Site Hedge Baseline'!$B$1:$L$257,6,FALSE))))</f>
        <v/>
      </c>
      <c r="G51" s="301" t="str">
        <f>IF(B51="","",IF(ISNA(VLOOKUP($B51,'E-1 Off-Site Hedge Baseline'!$B$1:$L$257,7,FALSE)),"",(VLOOKUP($B51,'E-1 Off-Site Hedge Baseline'!$B$1:$L$257,7,FALSE))))</f>
        <v/>
      </c>
      <c r="H51" s="301" t="str">
        <f>IF(B51="","",IF(ISNA(VLOOKUP($B51,'E-1 Off-Site Hedge Baseline'!$B$1:$L$257,8,FALSE)),"",(VLOOKUP($B51,'E-1 Off-Site Hedge Baseline'!$B$1:$L$257,8,FALSE))))</f>
        <v/>
      </c>
      <c r="I51" s="301" t="str">
        <f>IF(B51="","",IF(ISNA(VLOOKUP($B51,'E-1 Off-Site Hedge Baseline'!$B$1:$L$257,10,FALSE)),"",(VLOOKUP($B51,'E-1 Off-Site Hedge Baseline'!$B$1:$L$257,10,FALSE))))</f>
        <v/>
      </c>
      <c r="J51" s="301" t="str">
        <f>IF(B51="","",IF(ISNA(VLOOKUP($B51,'E-1 Off-Site Hedge Baseline'!$B$1:$L$257,11,FALSE)),"",(VLOOKUP($B51,'E-1 Off-Site Hedge Baseline'!$B$1:$L$257,11,FALSE))))</f>
        <v/>
      </c>
      <c r="K51" s="301" t="str">
        <f>IF(B51="","",IF(ISNA(VLOOKUP($B51,'E-1 Off-Site Hedge Baseline'!$B$1:$X$257,16,FALSE)),"",(VLOOKUP($B51,'E-1 Off-Site Hedge Baseline'!$B$1:$X$257,16,FALSE))))</f>
        <v/>
      </c>
      <c r="L51" s="289" t="str">
        <f>IF(B51="","",IF(ISNA(VLOOKUP($B51,'E-1 Off-Site Hedge Baseline'!$B$1:$X$257,12,FALSE)),"",(VLOOKUP($B51,'E-1 Off-Site Hedge Baseline'!$B$1:$X$257,12,FALSE))))</f>
        <v/>
      </c>
      <c r="M51" s="250"/>
      <c r="N51" s="281" t="str">
        <f>IFERROR(IF(B51="","",INDEX('G-6 Hedgerow Data'!$AN$3:$AZ$15,MATCH(C51,'G-6 Hedgerow Data'!$AM$3:$AM$15,0),MATCH(M51,'G-6 Hedgerow Data'!$AN$2:$AZ$2,0))),"")</f>
        <v/>
      </c>
      <c r="O51" s="282" t="str">
        <f t="shared" si="1"/>
        <v/>
      </c>
      <c r="P51" s="287" t="str">
        <f>IF(B51="","",VLOOKUP(B51,'E-1 Off-Site Hedge Baseline'!$B$10:W296,19,FALSE))</f>
        <v/>
      </c>
      <c r="Q51" s="281" t="str">
        <f>IF(M51="","",VLOOKUP(M51,'G-6 Hedgerow Data'!$B$2:$AG$15,2,FALSE))</f>
        <v/>
      </c>
      <c r="R51" s="282" t="str">
        <f>IF(M51="","",VLOOKUP(M51,'G-6 Hedgerow Data'!$B$2:$AG$15,3,FALSE))</f>
        <v/>
      </c>
      <c r="S51" s="105"/>
      <c r="T51" s="282" t="str">
        <f>IFERROR(IF(S51="","",IF(AND(M51="Non-native and ornamental hedgerow", S51&lt;&gt;"Poor"),"Not possible ▲", (IF(AND(Q51="V.Low",OR(S51="Good",S51="Moderate")),"Error ▲",VLOOKUP(S51,'G-1 All Habitats'!$Z$2:$AA$9,2,FALSE))))),"")</f>
        <v/>
      </c>
      <c r="U51" s="105"/>
      <c r="V51" s="289" t="str">
        <f>IF(U51="","",IF(VLOOKUP(U51,'G-3 Multipliers'!$L$3:$N$6,2,FALSE)=0,"Spatial Data Missing ⚠",VLOOKUP(U51,'G-3 Multipliers'!$L$3:$N$6,2,FALSE)))</f>
        <v/>
      </c>
      <c r="W51" s="287" t="str">
        <f>IF(U51="","",IF(VLOOKUP(U51,'G-3 Multipliers'!$L$3:$N$6,3,FALSE)=0,"Spatial Data Missing ⚠",VLOOKUP(U51,'G-3 Multipliers'!$L$3:$N$6,3,FALSE)))</f>
        <v/>
      </c>
      <c r="X51" s="281" t="str">
        <f>IFERROR(IF(OR(LEFT(O51,5)="Error",LEFT(N51,5)="Error",T51="Error"),"Check Data ⚠",IF(F51&lt;R51,INDEX('G-6 Hedgerow Data'!$S$3:$AE$14,MATCH(C51,'G-6 Hedgerow Data'!$B$3:$B$14,0),MATCH(M51,'G-6 Hedgerow Data'!$S$2:$AE$2,0)),INDEX('G-6 Hedgerow Data'!$K$3:$Q$14,MATCH(M51,'G-6 Hedgerow Data'!$B$3:$B$14,0),MATCH(O51,'G-6 Hedgerow Data'!$K$2:$Q$2,0)))),"")</f>
        <v/>
      </c>
      <c r="Y51" s="137"/>
      <c r="Z51" s="137"/>
      <c r="AA51" s="289" t="str">
        <f t="shared" si="2"/>
        <v/>
      </c>
      <c r="AB51" s="302" t="str">
        <f t="shared" si="3"/>
        <v/>
      </c>
      <c r="AC51" s="303" t="str">
        <f t="shared" si="0"/>
        <v/>
      </c>
      <c r="AD51" s="317" t="str">
        <f>IF(M51="","",VLOOKUP(M51,'G-6 Hedgerow Data'!$B$3:$AG$15,31,FALSE))</f>
        <v/>
      </c>
      <c r="AE51" s="301" t="str">
        <f t="shared" si="4"/>
        <v/>
      </c>
      <c r="AF51" s="289" t="str">
        <f t="shared" si="5"/>
        <v/>
      </c>
      <c r="AG51" s="305" t="str">
        <f>IFERROR(IF(O51="","",VLOOKUP(AD51,'G-3 Multipliers'!$P$3:$Q$6,2,FALSE)),"")</f>
        <v/>
      </c>
      <c r="AH51" s="729" t="str">
        <f>IF(B51="","",IF(ISNA(VLOOKUP($B51,'E-1 Off-Site Hedge Baseline'!$B$1:$Z$257,14,FALSE)),"",(VLOOKUP($B51,'E-1 Off-Site Hedge Baseline'!$B$1:$Z$257,14,FALSE))))</f>
        <v/>
      </c>
      <c r="AI51" s="282" t="str">
        <f>IF(AH51="","",IF(VLOOKUP(AH51,'G-3 Multipliers'!$S$3:$T$10,2,FALSE)=0,"Spatial Data Missing ⚠",VLOOKUP(AH51,'G-3 Multipliers'!$S$3:$T$10,2,FALSE)))</f>
        <v/>
      </c>
      <c r="AJ51" s="323" t="str">
        <f t="shared" si="6"/>
        <v/>
      </c>
      <c r="AK51" s="295" t="str">
        <f t="shared" si="7"/>
        <v/>
      </c>
      <c r="AL51" s="105"/>
      <c r="AM51" s="119"/>
      <c r="AN51" s="108"/>
      <c r="AO51" s="108"/>
      <c r="AQ51" s="30" t="str">
        <f>IFERROR(INDEX('G-6 Hedgerow Data'!$BJ$3:$BJ$15,MATCH(M51,'G-6 Hedgerow Data'!$B$3:$B$15,0)),"")</f>
        <v/>
      </c>
    </row>
    <row r="52" spans="2:43" ht="13.8" x14ac:dyDescent="0.25">
      <c r="B52" s="311" t="str">
        <f>'E-1 Off-Site Hedge Baseline'!AN50</f>
        <v/>
      </c>
      <c r="C52" s="301" t="str">
        <f>IF(B52="","",IF(ISNA(VLOOKUP($B52,'E-1 Off-Site Hedge Baseline'!$B$1:$L$257,3,FALSE)),"",(VLOOKUP($B52,'E-1 Off-Site Hedge Baseline'!$B$1:$L$257,3,FALSE))))</f>
        <v/>
      </c>
      <c r="D52" s="301" t="str">
        <f>IF(B52="","",IF(ISNA(VLOOKUP($B52,'E-1 Off-Site Hedge Baseline'!$B$1:$L$258,4,FALSE)),"",(VLOOKUP($B52,'E-1 Off-Site Hedge Baseline'!$B$1:$L$258,4,FALSE))))</f>
        <v/>
      </c>
      <c r="E52" s="301" t="str">
        <f>IF(B52="","",IF(ISNA(VLOOKUP($B52,'E-1 Off-Site Hedge Baseline'!$B$1:$L$257,5,FALSE)),"",(VLOOKUP($B52,'E-1 Off-Site Hedge Baseline'!$B$1:$L$257,5,FALSE))))</f>
        <v/>
      </c>
      <c r="F52" s="301" t="str">
        <f>IF(B52="","",IF(ISNA(VLOOKUP($B52,'E-1 Off-Site Hedge Baseline'!$B$1:$L$257,6,FALSE)),"",(VLOOKUP($B52,'E-1 Off-Site Hedge Baseline'!$B$1:$L$257,6,FALSE))))</f>
        <v/>
      </c>
      <c r="G52" s="301" t="str">
        <f>IF(B52="","",IF(ISNA(VLOOKUP($B52,'E-1 Off-Site Hedge Baseline'!$B$1:$L$257,7,FALSE)),"",(VLOOKUP($B52,'E-1 Off-Site Hedge Baseline'!$B$1:$L$257,7,FALSE))))</f>
        <v/>
      </c>
      <c r="H52" s="301" t="str">
        <f>IF(B52="","",IF(ISNA(VLOOKUP($B52,'E-1 Off-Site Hedge Baseline'!$B$1:$L$257,8,FALSE)),"",(VLOOKUP($B52,'E-1 Off-Site Hedge Baseline'!$B$1:$L$257,8,FALSE))))</f>
        <v/>
      </c>
      <c r="I52" s="301" t="str">
        <f>IF(B52="","",IF(ISNA(VLOOKUP($B52,'E-1 Off-Site Hedge Baseline'!$B$1:$L$257,10,FALSE)),"",(VLOOKUP($B52,'E-1 Off-Site Hedge Baseline'!$B$1:$L$257,10,FALSE))))</f>
        <v/>
      </c>
      <c r="J52" s="301" t="str">
        <f>IF(B52="","",IF(ISNA(VLOOKUP($B52,'E-1 Off-Site Hedge Baseline'!$B$1:$L$257,11,FALSE)),"",(VLOOKUP($B52,'E-1 Off-Site Hedge Baseline'!$B$1:$L$257,11,FALSE))))</f>
        <v/>
      </c>
      <c r="K52" s="301" t="str">
        <f>IF(B52="","",IF(ISNA(VLOOKUP($B52,'E-1 Off-Site Hedge Baseline'!$B$1:$X$257,16,FALSE)),"",(VLOOKUP($B52,'E-1 Off-Site Hedge Baseline'!$B$1:$X$257,16,FALSE))))</f>
        <v/>
      </c>
      <c r="L52" s="289" t="str">
        <f>IF(B52="","",IF(ISNA(VLOOKUP($B52,'E-1 Off-Site Hedge Baseline'!$B$1:$X$257,12,FALSE)),"",(VLOOKUP($B52,'E-1 Off-Site Hedge Baseline'!$B$1:$X$257,12,FALSE))))</f>
        <v/>
      </c>
      <c r="M52" s="250"/>
      <c r="N52" s="281" t="str">
        <f>IFERROR(IF(B52="","",INDEX('G-6 Hedgerow Data'!$AN$3:$AZ$15,MATCH(C52,'G-6 Hedgerow Data'!$AM$3:$AM$15,0),MATCH(M52,'G-6 Hedgerow Data'!$AN$2:$AZ$2,0))),"")</f>
        <v/>
      </c>
      <c r="O52" s="282" t="str">
        <f t="shared" si="1"/>
        <v/>
      </c>
      <c r="P52" s="287" t="str">
        <f>IF(B52="","",VLOOKUP(B52,'E-1 Off-Site Hedge Baseline'!$B$10:W297,19,FALSE))</f>
        <v/>
      </c>
      <c r="Q52" s="281" t="str">
        <f>IF(M52="","",VLOOKUP(M52,'G-6 Hedgerow Data'!$B$2:$AG$15,2,FALSE))</f>
        <v/>
      </c>
      <c r="R52" s="282" t="str">
        <f>IF(M52="","",VLOOKUP(M52,'G-6 Hedgerow Data'!$B$2:$AG$15,3,FALSE))</f>
        <v/>
      </c>
      <c r="S52" s="105"/>
      <c r="T52" s="282" t="str">
        <f>IFERROR(IF(S52="","",IF(AND(M52="Non-native and ornamental hedgerow", S52&lt;&gt;"Poor"),"Not possible ▲", (IF(AND(Q52="V.Low",OR(S52="Good",S52="Moderate")),"Error ▲",VLOOKUP(S52,'G-1 All Habitats'!$Z$2:$AA$9,2,FALSE))))),"")</f>
        <v/>
      </c>
      <c r="U52" s="105"/>
      <c r="V52" s="289" t="str">
        <f>IF(U52="","",IF(VLOOKUP(U52,'G-3 Multipliers'!$L$3:$N$6,2,FALSE)=0,"Spatial Data Missing ⚠",VLOOKUP(U52,'G-3 Multipliers'!$L$3:$N$6,2,FALSE)))</f>
        <v/>
      </c>
      <c r="W52" s="287" t="str">
        <f>IF(U52="","",IF(VLOOKUP(U52,'G-3 Multipliers'!$L$3:$N$6,3,FALSE)=0,"Spatial Data Missing ⚠",VLOOKUP(U52,'G-3 Multipliers'!$L$3:$N$6,3,FALSE)))</f>
        <v/>
      </c>
      <c r="X52" s="281" t="str">
        <f>IFERROR(IF(OR(LEFT(O52,5)="Error",LEFT(N52,5)="Error",T52="Error"),"Check Data ⚠",IF(F52&lt;R52,INDEX('G-6 Hedgerow Data'!$S$3:$AE$14,MATCH(C52,'G-6 Hedgerow Data'!$B$3:$B$14,0),MATCH(M52,'G-6 Hedgerow Data'!$S$2:$AE$2,0)),INDEX('G-6 Hedgerow Data'!$K$3:$Q$14,MATCH(M52,'G-6 Hedgerow Data'!$B$3:$B$14,0),MATCH(O52,'G-6 Hedgerow Data'!$K$2:$Q$2,0)))),"")</f>
        <v/>
      </c>
      <c r="Y52" s="137"/>
      <c r="Z52" s="137"/>
      <c r="AA52" s="289" t="str">
        <f t="shared" si="2"/>
        <v/>
      </c>
      <c r="AB52" s="302" t="str">
        <f t="shared" si="3"/>
        <v/>
      </c>
      <c r="AC52" s="303" t="str">
        <f t="shared" si="0"/>
        <v/>
      </c>
      <c r="AD52" s="317" t="str">
        <f>IF(M52="","",VLOOKUP(M52,'G-6 Hedgerow Data'!$B$3:$AG$15,31,FALSE))</f>
        <v/>
      </c>
      <c r="AE52" s="301" t="str">
        <f t="shared" si="4"/>
        <v/>
      </c>
      <c r="AF52" s="289" t="str">
        <f t="shared" si="5"/>
        <v/>
      </c>
      <c r="AG52" s="305" t="str">
        <f>IFERROR(IF(O52="","",VLOOKUP(AD52,'G-3 Multipliers'!$P$3:$Q$6,2,FALSE)),"")</f>
        <v/>
      </c>
      <c r="AH52" s="729" t="str">
        <f>IF(B52="","",IF(ISNA(VLOOKUP($B52,'E-1 Off-Site Hedge Baseline'!$B$1:$Z$257,14,FALSE)),"",(VLOOKUP($B52,'E-1 Off-Site Hedge Baseline'!$B$1:$Z$257,14,FALSE))))</f>
        <v/>
      </c>
      <c r="AI52" s="282" t="str">
        <f>IF(AH52="","",IF(VLOOKUP(AH52,'G-3 Multipliers'!$S$3:$T$10,2,FALSE)=0,"Spatial Data Missing ⚠",VLOOKUP(AH52,'G-3 Multipliers'!$S$3:$T$10,2,FALSE)))</f>
        <v/>
      </c>
      <c r="AJ52" s="323" t="str">
        <f t="shared" si="6"/>
        <v/>
      </c>
      <c r="AK52" s="295" t="str">
        <f t="shared" si="7"/>
        <v/>
      </c>
      <c r="AL52" s="105"/>
      <c r="AM52" s="119"/>
      <c r="AN52" s="108"/>
      <c r="AO52" s="108"/>
      <c r="AQ52" s="30" t="str">
        <f>IFERROR(INDEX('G-6 Hedgerow Data'!$BJ$3:$BJ$15,MATCH(M52,'G-6 Hedgerow Data'!$B$3:$B$15,0)),"")</f>
        <v/>
      </c>
    </row>
    <row r="53" spans="2:43" ht="13.8" x14ac:dyDescent="0.25">
      <c r="B53" s="311" t="str">
        <f>'E-1 Off-Site Hedge Baseline'!AN51</f>
        <v/>
      </c>
      <c r="C53" s="301" t="str">
        <f>IF(B53="","",IF(ISNA(VLOOKUP($B53,'E-1 Off-Site Hedge Baseline'!$B$1:$L$257,3,FALSE)),"",(VLOOKUP($B53,'E-1 Off-Site Hedge Baseline'!$B$1:$L$257,3,FALSE))))</f>
        <v/>
      </c>
      <c r="D53" s="301" t="str">
        <f>IF(B53="","",IF(ISNA(VLOOKUP($B53,'E-1 Off-Site Hedge Baseline'!$B$1:$L$258,4,FALSE)),"",(VLOOKUP($B53,'E-1 Off-Site Hedge Baseline'!$B$1:$L$258,4,FALSE))))</f>
        <v/>
      </c>
      <c r="E53" s="301" t="str">
        <f>IF(B53="","",IF(ISNA(VLOOKUP($B53,'E-1 Off-Site Hedge Baseline'!$B$1:$L$257,5,FALSE)),"",(VLOOKUP($B53,'E-1 Off-Site Hedge Baseline'!$B$1:$L$257,5,FALSE))))</f>
        <v/>
      </c>
      <c r="F53" s="301" t="str">
        <f>IF(B53="","",IF(ISNA(VLOOKUP($B53,'E-1 Off-Site Hedge Baseline'!$B$1:$L$257,6,FALSE)),"",(VLOOKUP($B53,'E-1 Off-Site Hedge Baseline'!$B$1:$L$257,6,FALSE))))</f>
        <v/>
      </c>
      <c r="G53" s="301" t="str">
        <f>IF(B53="","",IF(ISNA(VLOOKUP($B53,'E-1 Off-Site Hedge Baseline'!$B$1:$L$257,7,FALSE)),"",(VLOOKUP($B53,'E-1 Off-Site Hedge Baseline'!$B$1:$L$257,7,FALSE))))</f>
        <v/>
      </c>
      <c r="H53" s="301" t="str">
        <f>IF(B53="","",IF(ISNA(VLOOKUP($B53,'E-1 Off-Site Hedge Baseline'!$B$1:$L$257,8,FALSE)),"",(VLOOKUP($B53,'E-1 Off-Site Hedge Baseline'!$B$1:$L$257,8,FALSE))))</f>
        <v/>
      </c>
      <c r="I53" s="301" t="str">
        <f>IF(B53="","",IF(ISNA(VLOOKUP($B53,'E-1 Off-Site Hedge Baseline'!$B$1:$L$257,10,FALSE)),"",(VLOOKUP($B53,'E-1 Off-Site Hedge Baseline'!$B$1:$L$257,10,FALSE))))</f>
        <v/>
      </c>
      <c r="J53" s="301" t="str">
        <f>IF(B53="","",IF(ISNA(VLOOKUP($B53,'E-1 Off-Site Hedge Baseline'!$B$1:$L$257,11,FALSE)),"",(VLOOKUP($B53,'E-1 Off-Site Hedge Baseline'!$B$1:$L$257,11,FALSE))))</f>
        <v/>
      </c>
      <c r="K53" s="301" t="str">
        <f>IF(B53="","",IF(ISNA(VLOOKUP($B53,'E-1 Off-Site Hedge Baseline'!$B$1:$X$257,16,FALSE)),"",(VLOOKUP($B53,'E-1 Off-Site Hedge Baseline'!$B$1:$X$257,16,FALSE))))</f>
        <v/>
      </c>
      <c r="L53" s="289" t="str">
        <f>IF(B53="","",IF(ISNA(VLOOKUP($B53,'E-1 Off-Site Hedge Baseline'!$B$1:$X$257,12,FALSE)),"",(VLOOKUP($B53,'E-1 Off-Site Hedge Baseline'!$B$1:$X$257,12,FALSE))))</f>
        <v/>
      </c>
      <c r="M53" s="250"/>
      <c r="N53" s="281" t="str">
        <f>IFERROR(IF(B53="","",INDEX('G-6 Hedgerow Data'!$AN$3:$AZ$15,MATCH(C53,'G-6 Hedgerow Data'!$AM$3:$AM$15,0),MATCH(M53,'G-6 Hedgerow Data'!$AN$2:$AZ$2,0))),"")</f>
        <v/>
      </c>
      <c r="O53" s="282" t="str">
        <f t="shared" si="1"/>
        <v/>
      </c>
      <c r="P53" s="287" t="str">
        <f>IF(B53="","",VLOOKUP(B53,'E-1 Off-Site Hedge Baseline'!$B$10:W298,19,FALSE))</f>
        <v/>
      </c>
      <c r="Q53" s="281" t="str">
        <f>IF(M53="","",VLOOKUP(M53,'G-6 Hedgerow Data'!$B$2:$AG$15,2,FALSE))</f>
        <v/>
      </c>
      <c r="R53" s="282" t="str">
        <f>IF(M53="","",VLOOKUP(M53,'G-6 Hedgerow Data'!$B$2:$AG$15,3,FALSE))</f>
        <v/>
      </c>
      <c r="S53" s="105"/>
      <c r="T53" s="282" t="str">
        <f>IFERROR(IF(S53="","",IF(AND(M53="Non-native and ornamental hedgerow", S53&lt;&gt;"Poor"),"Not possible ▲", (IF(AND(Q53="V.Low",OR(S53="Good",S53="Moderate")),"Error ▲",VLOOKUP(S53,'G-1 All Habitats'!$Z$2:$AA$9,2,FALSE))))),"")</f>
        <v/>
      </c>
      <c r="U53" s="105"/>
      <c r="V53" s="289" t="str">
        <f>IF(U53="","",IF(VLOOKUP(U53,'G-3 Multipliers'!$L$3:$N$6,2,FALSE)=0,"Spatial Data Missing ⚠",VLOOKUP(U53,'G-3 Multipliers'!$L$3:$N$6,2,FALSE)))</f>
        <v/>
      </c>
      <c r="W53" s="287" t="str">
        <f>IF(U53="","",IF(VLOOKUP(U53,'G-3 Multipliers'!$L$3:$N$6,3,FALSE)=0,"Spatial Data Missing ⚠",VLOOKUP(U53,'G-3 Multipliers'!$L$3:$N$6,3,FALSE)))</f>
        <v/>
      </c>
      <c r="X53" s="281" t="str">
        <f>IFERROR(IF(OR(LEFT(O53,5)="Error",LEFT(N53,5)="Error",T53="Error"),"Check Data ⚠",IF(F53&lt;R53,INDEX('G-6 Hedgerow Data'!$S$3:$AE$14,MATCH(C53,'G-6 Hedgerow Data'!$B$3:$B$14,0),MATCH(M53,'G-6 Hedgerow Data'!$S$2:$AE$2,0)),INDEX('G-6 Hedgerow Data'!$K$3:$Q$14,MATCH(M53,'G-6 Hedgerow Data'!$B$3:$B$14,0),MATCH(O53,'G-6 Hedgerow Data'!$K$2:$Q$2,0)))),"")</f>
        <v/>
      </c>
      <c r="Y53" s="137"/>
      <c r="Z53" s="137"/>
      <c r="AA53" s="289" t="str">
        <f t="shared" si="2"/>
        <v/>
      </c>
      <c r="AB53" s="302" t="str">
        <f t="shared" si="3"/>
        <v/>
      </c>
      <c r="AC53" s="303" t="str">
        <f t="shared" si="0"/>
        <v/>
      </c>
      <c r="AD53" s="317" t="str">
        <f>IF(M53="","",VLOOKUP(M53,'G-6 Hedgerow Data'!$B$3:$AG$15,31,FALSE))</f>
        <v/>
      </c>
      <c r="AE53" s="301" t="str">
        <f t="shared" si="4"/>
        <v/>
      </c>
      <c r="AF53" s="289" t="str">
        <f t="shared" si="5"/>
        <v/>
      </c>
      <c r="AG53" s="305" t="str">
        <f>IFERROR(IF(O53="","",VLOOKUP(AD53,'G-3 Multipliers'!$P$3:$Q$6,2,FALSE)),"")</f>
        <v/>
      </c>
      <c r="AH53" s="729" t="str">
        <f>IF(B53="","",IF(ISNA(VLOOKUP($B53,'E-1 Off-Site Hedge Baseline'!$B$1:$Z$257,14,FALSE)),"",(VLOOKUP($B53,'E-1 Off-Site Hedge Baseline'!$B$1:$Z$257,14,FALSE))))</f>
        <v/>
      </c>
      <c r="AI53" s="282" t="str">
        <f>IF(AH53="","",IF(VLOOKUP(AH53,'G-3 Multipliers'!$S$3:$T$10,2,FALSE)=0,"Spatial Data Missing ⚠",VLOOKUP(AH53,'G-3 Multipliers'!$S$3:$T$10,2,FALSE)))</f>
        <v/>
      </c>
      <c r="AJ53" s="323" t="str">
        <f t="shared" si="6"/>
        <v/>
      </c>
      <c r="AK53" s="295" t="str">
        <f t="shared" si="7"/>
        <v/>
      </c>
      <c r="AL53" s="105"/>
      <c r="AM53" s="119"/>
      <c r="AN53" s="108"/>
      <c r="AO53" s="108"/>
      <c r="AQ53" s="30" t="str">
        <f>IFERROR(INDEX('G-6 Hedgerow Data'!$BJ$3:$BJ$15,MATCH(M53,'G-6 Hedgerow Data'!$B$3:$B$15,0)),"")</f>
        <v/>
      </c>
    </row>
    <row r="54" spans="2:43" ht="13.8" x14ac:dyDescent="0.25">
      <c r="B54" s="311" t="str">
        <f>'E-1 Off-Site Hedge Baseline'!AN52</f>
        <v/>
      </c>
      <c r="C54" s="301" t="str">
        <f>IF(B54="","",IF(ISNA(VLOOKUP($B54,'E-1 Off-Site Hedge Baseline'!$B$1:$L$257,3,FALSE)),"",(VLOOKUP($B54,'E-1 Off-Site Hedge Baseline'!$B$1:$L$257,3,FALSE))))</f>
        <v/>
      </c>
      <c r="D54" s="301" t="str">
        <f>IF(B54="","",IF(ISNA(VLOOKUP($B54,'E-1 Off-Site Hedge Baseline'!$B$1:$L$258,4,FALSE)),"",(VLOOKUP($B54,'E-1 Off-Site Hedge Baseline'!$B$1:$L$258,4,FALSE))))</f>
        <v/>
      </c>
      <c r="E54" s="301" t="str">
        <f>IF(B54="","",IF(ISNA(VLOOKUP($B54,'E-1 Off-Site Hedge Baseline'!$B$1:$L$257,5,FALSE)),"",(VLOOKUP($B54,'E-1 Off-Site Hedge Baseline'!$B$1:$L$257,5,FALSE))))</f>
        <v/>
      </c>
      <c r="F54" s="301" t="str">
        <f>IF(B54="","",IF(ISNA(VLOOKUP($B54,'E-1 Off-Site Hedge Baseline'!$B$1:$L$257,6,FALSE)),"",(VLOOKUP($B54,'E-1 Off-Site Hedge Baseline'!$B$1:$L$257,6,FALSE))))</f>
        <v/>
      </c>
      <c r="G54" s="301" t="str">
        <f>IF(B54="","",IF(ISNA(VLOOKUP($B54,'E-1 Off-Site Hedge Baseline'!$B$1:$L$257,7,FALSE)),"",(VLOOKUP($B54,'E-1 Off-Site Hedge Baseline'!$B$1:$L$257,7,FALSE))))</f>
        <v/>
      </c>
      <c r="H54" s="301" t="str">
        <f>IF(B54="","",IF(ISNA(VLOOKUP($B54,'E-1 Off-Site Hedge Baseline'!$B$1:$L$257,8,FALSE)),"",(VLOOKUP($B54,'E-1 Off-Site Hedge Baseline'!$B$1:$L$257,8,FALSE))))</f>
        <v/>
      </c>
      <c r="I54" s="301" t="str">
        <f>IF(B54="","",IF(ISNA(VLOOKUP($B54,'E-1 Off-Site Hedge Baseline'!$B$1:$L$257,10,FALSE)),"",(VLOOKUP($B54,'E-1 Off-Site Hedge Baseline'!$B$1:$L$257,10,FALSE))))</f>
        <v/>
      </c>
      <c r="J54" s="301" t="str">
        <f>IF(B54="","",IF(ISNA(VLOOKUP($B54,'E-1 Off-Site Hedge Baseline'!$B$1:$L$257,11,FALSE)),"",(VLOOKUP($B54,'E-1 Off-Site Hedge Baseline'!$B$1:$L$257,11,FALSE))))</f>
        <v/>
      </c>
      <c r="K54" s="301" t="str">
        <f>IF(B54="","",IF(ISNA(VLOOKUP($B54,'E-1 Off-Site Hedge Baseline'!$B$1:$X$257,16,FALSE)),"",(VLOOKUP($B54,'E-1 Off-Site Hedge Baseline'!$B$1:$X$257,16,FALSE))))</f>
        <v/>
      </c>
      <c r="L54" s="289" t="str">
        <f>IF(B54="","",IF(ISNA(VLOOKUP($B54,'E-1 Off-Site Hedge Baseline'!$B$1:$X$257,12,FALSE)),"",(VLOOKUP($B54,'E-1 Off-Site Hedge Baseline'!$B$1:$X$257,12,FALSE))))</f>
        <v/>
      </c>
      <c r="M54" s="250"/>
      <c r="N54" s="281" t="str">
        <f>IFERROR(IF(B54="","",INDEX('G-6 Hedgerow Data'!$AN$3:$AZ$15,MATCH(C54,'G-6 Hedgerow Data'!$AM$3:$AM$15,0),MATCH(M54,'G-6 Hedgerow Data'!$AN$2:$AZ$2,0))),"")</f>
        <v/>
      </c>
      <c r="O54" s="282" t="str">
        <f t="shared" si="1"/>
        <v/>
      </c>
      <c r="P54" s="287" t="str">
        <f>IF(B54="","",VLOOKUP(B54,'E-1 Off-Site Hedge Baseline'!$B$10:W299,19,FALSE))</f>
        <v/>
      </c>
      <c r="Q54" s="281" t="str">
        <f>IF(M54="","",VLOOKUP(M54,'G-6 Hedgerow Data'!$B$2:$AG$15,2,FALSE))</f>
        <v/>
      </c>
      <c r="R54" s="282" t="str">
        <f>IF(M54="","",VLOOKUP(M54,'G-6 Hedgerow Data'!$B$2:$AG$15,3,FALSE))</f>
        <v/>
      </c>
      <c r="S54" s="105"/>
      <c r="T54" s="282" t="str">
        <f>IFERROR(IF(S54="","",IF(AND(M54="Non-native and ornamental hedgerow", S54&lt;&gt;"Poor"),"Not possible ▲", (IF(AND(Q54="V.Low",OR(S54="Good",S54="Moderate")),"Error ▲",VLOOKUP(S54,'G-1 All Habitats'!$Z$2:$AA$9,2,FALSE))))),"")</f>
        <v/>
      </c>
      <c r="U54" s="105"/>
      <c r="V54" s="289" t="str">
        <f>IF(U54="","",IF(VLOOKUP(U54,'G-3 Multipliers'!$L$3:$N$6,2,FALSE)=0,"Spatial Data Missing ⚠",VLOOKUP(U54,'G-3 Multipliers'!$L$3:$N$6,2,FALSE)))</f>
        <v/>
      </c>
      <c r="W54" s="287" t="str">
        <f>IF(U54="","",IF(VLOOKUP(U54,'G-3 Multipliers'!$L$3:$N$6,3,FALSE)=0,"Spatial Data Missing ⚠",VLOOKUP(U54,'G-3 Multipliers'!$L$3:$N$6,3,FALSE)))</f>
        <v/>
      </c>
      <c r="X54" s="281" t="str">
        <f>IFERROR(IF(OR(LEFT(O54,5)="Error",LEFT(N54,5)="Error",T54="Error"),"Check Data ⚠",IF(F54&lt;R54,INDEX('G-6 Hedgerow Data'!$S$3:$AE$14,MATCH(C54,'G-6 Hedgerow Data'!$B$3:$B$14,0),MATCH(M54,'G-6 Hedgerow Data'!$S$2:$AE$2,0)),INDEX('G-6 Hedgerow Data'!$K$3:$Q$14,MATCH(M54,'G-6 Hedgerow Data'!$B$3:$B$14,0),MATCH(O54,'G-6 Hedgerow Data'!$K$2:$Q$2,0)))),"")</f>
        <v/>
      </c>
      <c r="Y54" s="137"/>
      <c r="Z54" s="137"/>
      <c r="AA54" s="289" t="str">
        <f t="shared" si="2"/>
        <v/>
      </c>
      <c r="AB54" s="302" t="str">
        <f t="shared" si="3"/>
        <v/>
      </c>
      <c r="AC54" s="303" t="str">
        <f t="shared" si="0"/>
        <v/>
      </c>
      <c r="AD54" s="317" t="str">
        <f>IF(M54="","",VLOOKUP(M54,'G-6 Hedgerow Data'!$B$3:$AG$15,31,FALSE))</f>
        <v/>
      </c>
      <c r="AE54" s="301" t="str">
        <f t="shared" si="4"/>
        <v/>
      </c>
      <c r="AF54" s="289" t="str">
        <f t="shared" si="5"/>
        <v/>
      </c>
      <c r="AG54" s="305" t="str">
        <f>IFERROR(IF(O54="","",VLOOKUP(AD54,'G-3 Multipliers'!$P$3:$Q$6,2,FALSE)),"")</f>
        <v/>
      </c>
      <c r="AH54" s="729" t="str">
        <f>IF(B54="","",IF(ISNA(VLOOKUP($B54,'E-1 Off-Site Hedge Baseline'!$B$1:$Z$257,14,FALSE)),"",(VLOOKUP($B54,'E-1 Off-Site Hedge Baseline'!$B$1:$Z$257,14,FALSE))))</f>
        <v/>
      </c>
      <c r="AI54" s="282" t="str">
        <f>IF(AH54="","",IF(VLOOKUP(AH54,'G-3 Multipliers'!$S$3:$T$10,2,FALSE)=0,"Spatial Data Missing ⚠",VLOOKUP(AH54,'G-3 Multipliers'!$S$3:$T$10,2,FALSE)))</f>
        <v/>
      </c>
      <c r="AJ54" s="323" t="str">
        <f t="shared" si="6"/>
        <v/>
      </c>
      <c r="AK54" s="295" t="str">
        <f t="shared" si="7"/>
        <v/>
      </c>
      <c r="AL54" s="105"/>
      <c r="AM54" s="119"/>
      <c r="AN54" s="108"/>
      <c r="AO54" s="108"/>
      <c r="AQ54" s="30" t="str">
        <f>IFERROR(INDEX('G-6 Hedgerow Data'!$BJ$3:$BJ$15,MATCH(M54,'G-6 Hedgerow Data'!$B$3:$B$15,0)),"")</f>
        <v/>
      </c>
    </row>
    <row r="55" spans="2:43" ht="13.8" x14ac:dyDescent="0.25">
      <c r="B55" s="311" t="str">
        <f>'E-1 Off-Site Hedge Baseline'!AN53</f>
        <v/>
      </c>
      <c r="C55" s="301" t="str">
        <f>IF(B55="","",IF(ISNA(VLOOKUP($B55,'E-1 Off-Site Hedge Baseline'!$B$1:$L$257,3,FALSE)),"",(VLOOKUP($B55,'E-1 Off-Site Hedge Baseline'!$B$1:$L$257,3,FALSE))))</f>
        <v/>
      </c>
      <c r="D55" s="301" t="str">
        <f>IF(B55="","",IF(ISNA(VLOOKUP($B55,'E-1 Off-Site Hedge Baseline'!$B$1:$L$258,4,FALSE)),"",(VLOOKUP($B55,'E-1 Off-Site Hedge Baseline'!$B$1:$L$258,4,FALSE))))</f>
        <v/>
      </c>
      <c r="E55" s="301" t="str">
        <f>IF(B55="","",IF(ISNA(VLOOKUP($B55,'E-1 Off-Site Hedge Baseline'!$B$1:$L$257,5,FALSE)),"",(VLOOKUP($B55,'E-1 Off-Site Hedge Baseline'!$B$1:$L$257,5,FALSE))))</f>
        <v/>
      </c>
      <c r="F55" s="301" t="str">
        <f>IF(B55="","",IF(ISNA(VLOOKUP($B55,'E-1 Off-Site Hedge Baseline'!$B$1:$L$257,6,FALSE)),"",(VLOOKUP($B55,'E-1 Off-Site Hedge Baseline'!$B$1:$L$257,6,FALSE))))</f>
        <v/>
      </c>
      <c r="G55" s="301" t="str">
        <f>IF(B55="","",IF(ISNA(VLOOKUP($B55,'E-1 Off-Site Hedge Baseline'!$B$1:$L$257,7,FALSE)),"",(VLOOKUP($B55,'E-1 Off-Site Hedge Baseline'!$B$1:$L$257,7,FALSE))))</f>
        <v/>
      </c>
      <c r="H55" s="301" t="str">
        <f>IF(B55="","",IF(ISNA(VLOOKUP($B55,'E-1 Off-Site Hedge Baseline'!$B$1:$L$257,8,FALSE)),"",(VLOOKUP($B55,'E-1 Off-Site Hedge Baseline'!$B$1:$L$257,8,FALSE))))</f>
        <v/>
      </c>
      <c r="I55" s="301" t="str">
        <f>IF(B55="","",IF(ISNA(VLOOKUP($B55,'E-1 Off-Site Hedge Baseline'!$B$1:$L$257,10,FALSE)),"",(VLOOKUP($B55,'E-1 Off-Site Hedge Baseline'!$B$1:$L$257,10,FALSE))))</f>
        <v/>
      </c>
      <c r="J55" s="301" t="str">
        <f>IF(B55="","",IF(ISNA(VLOOKUP($B55,'E-1 Off-Site Hedge Baseline'!$B$1:$L$257,11,FALSE)),"",(VLOOKUP($B55,'E-1 Off-Site Hedge Baseline'!$B$1:$L$257,11,FALSE))))</f>
        <v/>
      </c>
      <c r="K55" s="301" t="str">
        <f>IF(B55="","",IF(ISNA(VLOOKUP($B55,'E-1 Off-Site Hedge Baseline'!$B$1:$X$257,16,FALSE)),"",(VLOOKUP($B55,'E-1 Off-Site Hedge Baseline'!$B$1:$X$257,16,FALSE))))</f>
        <v/>
      </c>
      <c r="L55" s="289" t="str">
        <f>IF(B55="","",IF(ISNA(VLOOKUP($B55,'E-1 Off-Site Hedge Baseline'!$B$1:$X$257,12,FALSE)),"",(VLOOKUP($B55,'E-1 Off-Site Hedge Baseline'!$B$1:$X$257,12,FALSE))))</f>
        <v/>
      </c>
      <c r="M55" s="250"/>
      <c r="N55" s="281" t="str">
        <f>IFERROR(IF(B55="","",INDEX('G-6 Hedgerow Data'!$AN$3:$AZ$15,MATCH(C55,'G-6 Hedgerow Data'!$AM$3:$AM$15,0),MATCH(M55,'G-6 Hedgerow Data'!$AN$2:$AZ$2,0))),"")</f>
        <v/>
      </c>
      <c r="O55" s="282" t="str">
        <f t="shared" si="1"/>
        <v/>
      </c>
      <c r="P55" s="287" t="str">
        <f>IF(B55="","",VLOOKUP(B55,'E-1 Off-Site Hedge Baseline'!$B$10:W300,19,FALSE))</f>
        <v/>
      </c>
      <c r="Q55" s="281" t="str">
        <f>IF(M55="","",VLOOKUP(M55,'G-6 Hedgerow Data'!$B$2:$AG$15,2,FALSE))</f>
        <v/>
      </c>
      <c r="R55" s="282" t="str">
        <f>IF(M55="","",VLOOKUP(M55,'G-6 Hedgerow Data'!$B$2:$AG$15,3,FALSE))</f>
        <v/>
      </c>
      <c r="S55" s="105"/>
      <c r="T55" s="282" t="str">
        <f>IFERROR(IF(S55="","",IF(AND(M55="Non-native and ornamental hedgerow", S55&lt;&gt;"Poor"),"Not possible ▲", (IF(AND(Q55="V.Low",OR(S55="Good",S55="Moderate")),"Error ▲",VLOOKUP(S55,'G-1 All Habitats'!$Z$2:$AA$9,2,FALSE))))),"")</f>
        <v/>
      </c>
      <c r="U55" s="105"/>
      <c r="V55" s="289" t="str">
        <f>IF(U55="","",IF(VLOOKUP(U55,'G-3 Multipliers'!$L$3:$N$6,2,FALSE)=0,"Spatial Data Missing ⚠",VLOOKUP(U55,'G-3 Multipliers'!$L$3:$N$6,2,FALSE)))</f>
        <v/>
      </c>
      <c r="W55" s="287" t="str">
        <f>IF(U55="","",IF(VLOOKUP(U55,'G-3 Multipliers'!$L$3:$N$6,3,FALSE)=0,"Spatial Data Missing ⚠",VLOOKUP(U55,'G-3 Multipliers'!$L$3:$N$6,3,FALSE)))</f>
        <v/>
      </c>
      <c r="X55" s="281" t="str">
        <f>IFERROR(IF(OR(LEFT(O55,5)="Error",LEFT(N55,5)="Error",T55="Error"),"Check Data ⚠",IF(F55&lt;R55,INDEX('G-6 Hedgerow Data'!$S$3:$AE$14,MATCH(C55,'G-6 Hedgerow Data'!$B$3:$B$14,0),MATCH(M55,'G-6 Hedgerow Data'!$S$2:$AE$2,0)),INDEX('G-6 Hedgerow Data'!$K$3:$Q$14,MATCH(M55,'G-6 Hedgerow Data'!$B$3:$B$14,0),MATCH(O55,'G-6 Hedgerow Data'!$K$2:$Q$2,0)))),"")</f>
        <v/>
      </c>
      <c r="Y55" s="137"/>
      <c r="Z55" s="137"/>
      <c r="AA55" s="289" t="str">
        <f t="shared" si="2"/>
        <v/>
      </c>
      <c r="AB55" s="302" t="str">
        <f t="shared" si="3"/>
        <v/>
      </c>
      <c r="AC55" s="303" t="str">
        <f t="shared" si="0"/>
        <v/>
      </c>
      <c r="AD55" s="317" t="str">
        <f>IF(M55="","",VLOOKUP(M55,'G-6 Hedgerow Data'!$B$3:$AG$15,31,FALSE))</f>
        <v/>
      </c>
      <c r="AE55" s="301" t="str">
        <f t="shared" si="4"/>
        <v/>
      </c>
      <c r="AF55" s="289" t="str">
        <f t="shared" si="5"/>
        <v/>
      </c>
      <c r="AG55" s="305" t="str">
        <f>IFERROR(IF(O55="","",VLOOKUP(AD55,'G-3 Multipliers'!$P$3:$Q$6,2,FALSE)),"")</f>
        <v/>
      </c>
      <c r="AH55" s="729" t="str">
        <f>IF(B55="","",IF(ISNA(VLOOKUP($B55,'E-1 Off-Site Hedge Baseline'!$B$1:$Z$257,14,FALSE)),"",(VLOOKUP($B55,'E-1 Off-Site Hedge Baseline'!$B$1:$Z$257,14,FALSE))))</f>
        <v/>
      </c>
      <c r="AI55" s="282" t="str">
        <f>IF(AH55="","",IF(VLOOKUP(AH55,'G-3 Multipliers'!$S$3:$T$10,2,FALSE)=0,"Spatial Data Missing ⚠",VLOOKUP(AH55,'G-3 Multipliers'!$S$3:$T$10,2,FALSE)))</f>
        <v/>
      </c>
      <c r="AJ55" s="323" t="str">
        <f t="shared" si="6"/>
        <v/>
      </c>
      <c r="AK55" s="295" t="str">
        <f t="shared" si="7"/>
        <v/>
      </c>
      <c r="AL55" s="105"/>
      <c r="AM55" s="119"/>
      <c r="AN55" s="108"/>
      <c r="AO55" s="108"/>
      <c r="AQ55" s="30" t="str">
        <f>IFERROR(INDEX('G-6 Hedgerow Data'!$BJ$3:$BJ$15,MATCH(M55,'G-6 Hedgerow Data'!$B$3:$B$15,0)),"")</f>
        <v/>
      </c>
    </row>
    <row r="56" spans="2:43" ht="13.8" x14ac:dyDescent="0.25">
      <c r="B56" s="311" t="str">
        <f>'E-1 Off-Site Hedge Baseline'!AN54</f>
        <v/>
      </c>
      <c r="C56" s="301" t="str">
        <f>IF(B56="","",IF(ISNA(VLOOKUP($B56,'E-1 Off-Site Hedge Baseline'!$B$1:$L$257,3,FALSE)),"",(VLOOKUP($B56,'E-1 Off-Site Hedge Baseline'!$B$1:$L$257,3,FALSE))))</f>
        <v/>
      </c>
      <c r="D56" s="301" t="str">
        <f>IF(B56="","",IF(ISNA(VLOOKUP($B56,'E-1 Off-Site Hedge Baseline'!$B$1:$L$258,4,FALSE)),"",(VLOOKUP($B56,'E-1 Off-Site Hedge Baseline'!$B$1:$L$258,4,FALSE))))</f>
        <v/>
      </c>
      <c r="E56" s="301" t="str">
        <f>IF(B56="","",IF(ISNA(VLOOKUP($B56,'E-1 Off-Site Hedge Baseline'!$B$1:$L$257,5,FALSE)),"",(VLOOKUP($B56,'E-1 Off-Site Hedge Baseline'!$B$1:$L$257,5,FALSE))))</f>
        <v/>
      </c>
      <c r="F56" s="301" t="str">
        <f>IF(B56="","",IF(ISNA(VLOOKUP($B56,'E-1 Off-Site Hedge Baseline'!$B$1:$L$257,6,FALSE)),"",(VLOOKUP($B56,'E-1 Off-Site Hedge Baseline'!$B$1:$L$257,6,FALSE))))</f>
        <v/>
      </c>
      <c r="G56" s="301" t="str">
        <f>IF(B56="","",IF(ISNA(VLOOKUP($B56,'E-1 Off-Site Hedge Baseline'!$B$1:$L$257,7,FALSE)),"",(VLOOKUP($B56,'E-1 Off-Site Hedge Baseline'!$B$1:$L$257,7,FALSE))))</f>
        <v/>
      </c>
      <c r="H56" s="301" t="str">
        <f>IF(B56="","",IF(ISNA(VLOOKUP($B56,'E-1 Off-Site Hedge Baseline'!$B$1:$L$257,8,FALSE)),"",(VLOOKUP($B56,'E-1 Off-Site Hedge Baseline'!$B$1:$L$257,8,FALSE))))</f>
        <v/>
      </c>
      <c r="I56" s="301" t="str">
        <f>IF(B56="","",IF(ISNA(VLOOKUP($B56,'E-1 Off-Site Hedge Baseline'!$B$1:$L$257,10,FALSE)),"",(VLOOKUP($B56,'E-1 Off-Site Hedge Baseline'!$B$1:$L$257,10,FALSE))))</f>
        <v/>
      </c>
      <c r="J56" s="301" t="str">
        <f>IF(B56="","",IF(ISNA(VLOOKUP($B56,'E-1 Off-Site Hedge Baseline'!$B$1:$L$257,11,FALSE)),"",(VLOOKUP($B56,'E-1 Off-Site Hedge Baseline'!$B$1:$L$257,11,FALSE))))</f>
        <v/>
      </c>
      <c r="K56" s="301" t="str">
        <f>IF(B56="","",IF(ISNA(VLOOKUP($B56,'E-1 Off-Site Hedge Baseline'!$B$1:$X$257,16,FALSE)),"",(VLOOKUP($B56,'E-1 Off-Site Hedge Baseline'!$B$1:$X$257,16,FALSE))))</f>
        <v/>
      </c>
      <c r="L56" s="289" t="str">
        <f>IF(B56="","",IF(ISNA(VLOOKUP($B56,'E-1 Off-Site Hedge Baseline'!$B$1:$X$257,12,FALSE)),"",(VLOOKUP($B56,'E-1 Off-Site Hedge Baseline'!$B$1:$X$257,12,FALSE))))</f>
        <v/>
      </c>
      <c r="M56" s="250"/>
      <c r="N56" s="281" t="str">
        <f>IFERROR(IF(B56="","",INDEX('G-6 Hedgerow Data'!$AN$3:$AZ$15,MATCH(C56,'G-6 Hedgerow Data'!$AM$3:$AM$15,0),MATCH(M56,'G-6 Hedgerow Data'!$AN$2:$AZ$2,0))),"")</f>
        <v/>
      </c>
      <c r="O56" s="282" t="str">
        <f t="shared" si="1"/>
        <v/>
      </c>
      <c r="P56" s="287" t="str">
        <f>IF(B56="","",VLOOKUP(B56,'E-1 Off-Site Hedge Baseline'!$B$10:W301,19,FALSE))</f>
        <v/>
      </c>
      <c r="Q56" s="281" t="str">
        <f>IF(M56="","",VLOOKUP(M56,'G-6 Hedgerow Data'!$B$2:$AG$15,2,FALSE))</f>
        <v/>
      </c>
      <c r="R56" s="282" t="str">
        <f>IF(M56="","",VLOOKUP(M56,'G-6 Hedgerow Data'!$B$2:$AG$15,3,FALSE))</f>
        <v/>
      </c>
      <c r="S56" s="105"/>
      <c r="T56" s="282" t="str">
        <f>IFERROR(IF(S56="","",IF(AND(M56="Non-native and ornamental hedgerow", S56&lt;&gt;"Poor"),"Not possible ▲", (IF(AND(Q56="V.Low",OR(S56="Good",S56="Moderate")),"Error ▲",VLOOKUP(S56,'G-1 All Habitats'!$Z$2:$AA$9,2,FALSE))))),"")</f>
        <v/>
      </c>
      <c r="U56" s="105"/>
      <c r="V56" s="289" t="str">
        <f>IF(U56="","",IF(VLOOKUP(U56,'G-3 Multipliers'!$L$3:$N$6,2,FALSE)=0,"Spatial Data Missing ⚠",VLOOKUP(U56,'G-3 Multipliers'!$L$3:$N$6,2,FALSE)))</f>
        <v/>
      </c>
      <c r="W56" s="287" t="str">
        <f>IF(U56="","",IF(VLOOKUP(U56,'G-3 Multipliers'!$L$3:$N$6,3,FALSE)=0,"Spatial Data Missing ⚠",VLOOKUP(U56,'G-3 Multipliers'!$L$3:$N$6,3,FALSE)))</f>
        <v/>
      </c>
      <c r="X56" s="281" t="str">
        <f>IFERROR(IF(OR(LEFT(O56,5)="Error",LEFT(N56,5)="Error",T56="Error"),"Check Data ⚠",IF(F56&lt;R56,INDEX('G-6 Hedgerow Data'!$S$3:$AE$14,MATCH(C56,'G-6 Hedgerow Data'!$B$3:$B$14,0),MATCH(M56,'G-6 Hedgerow Data'!$S$2:$AE$2,0)),INDEX('G-6 Hedgerow Data'!$K$3:$Q$14,MATCH(M56,'G-6 Hedgerow Data'!$B$3:$B$14,0),MATCH(O56,'G-6 Hedgerow Data'!$K$2:$Q$2,0)))),"")</f>
        <v/>
      </c>
      <c r="Y56" s="137"/>
      <c r="Z56" s="137"/>
      <c r="AA56" s="289" t="str">
        <f t="shared" si="2"/>
        <v/>
      </c>
      <c r="AB56" s="302" t="str">
        <f t="shared" si="3"/>
        <v/>
      </c>
      <c r="AC56" s="303" t="str">
        <f t="shared" si="0"/>
        <v/>
      </c>
      <c r="AD56" s="317" t="str">
        <f>IF(M56="","",VLOOKUP(M56,'G-6 Hedgerow Data'!$B$3:$AG$15,31,FALSE))</f>
        <v/>
      </c>
      <c r="AE56" s="301" t="str">
        <f t="shared" si="4"/>
        <v/>
      </c>
      <c r="AF56" s="289" t="str">
        <f t="shared" si="5"/>
        <v/>
      </c>
      <c r="AG56" s="305" t="str">
        <f>IFERROR(IF(O56="","",VLOOKUP(AD56,'G-3 Multipliers'!$P$3:$Q$6,2,FALSE)),"")</f>
        <v/>
      </c>
      <c r="AH56" s="729" t="str">
        <f>IF(B56="","",IF(ISNA(VLOOKUP($B56,'E-1 Off-Site Hedge Baseline'!$B$1:$Z$257,14,FALSE)),"",(VLOOKUP($B56,'E-1 Off-Site Hedge Baseline'!$B$1:$Z$257,14,FALSE))))</f>
        <v/>
      </c>
      <c r="AI56" s="282" t="str">
        <f>IF(AH56="","",IF(VLOOKUP(AH56,'G-3 Multipliers'!$S$3:$T$10,2,FALSE)=0,"Spatial Data Missing ⚠",VLOOKUP(AH56,'G-3 Multipliers'!$S$3:$T$10,2,FALSE)))</f>
        <v/>
      </c>
      <c r="AJ56" s="323" t="str">
        <f t="shared" si="6"/>
        <v/>
      </c>
      <c r="AK56" s="295" t="str">
        <f t="shared" si="7"/>
        <v/>
      </c>
      <c r="AL56" s="105"/>
      <c r="AM56" s="119"/>
      <c r="AN56" s="108"/>
      <c r="AO56" s="108"/>
      <c r="AQ56" s="30" t="str">
        <f>IFERROR(INDEX('G-6 Hedgerow Data'!$BJ$3:$BJ$15,MATCH(M56,'G-6 Hedgerow Data'!$B$3:$B$15,0)),"")</f>
        <v/>
      </c>
    </row>
    <row r="57" spans="2:43" ht="13.8" x14ac:dyDescent="0.25">
      <c r="B57" s="311" t="str">
        <f>'E-1 Off-Site Hedge Baseline'!AN55</f>
        <v/>
      </c>
      <c r="C57" s="301" t="str">
        <f>IF(B57="","",IF(ISNA(VLOOKUP($B57,'E-1 Off-Site Hedge Baseline'!$B$1:$L$257,3,FALSE)),"",(VLOOKUP($B57,'E-1 Off-Site Hedge Baseline'!$B$1:$L$257,3,FALSE))))</f>
        <v/>
      </c>
      <c r="D57" s="301" t="str">
        <f>IF(B57="","",IF(ISNA(VLOOKUP($B57,'E-1 Off-Site Hedge Baseline'!$B$1:$L$258,4,FALSE)),"",(VLOOKUP($B57,'E-1 Off-Site Hedge Baseline'!$B$1:$L$258,4,FALSE))))</f>
        <v/>
      </c>
      <c r="E57" s="301" t="str">
        <f>IF(B57="","",IF(ISNA(VLOOKUP($B57,'E-1 Off-Site Hedge Baseline'!$B$1:$L$257,5,FALSE)),"",(VLOOKUP($B57,'E-1 Off-Site Hedge Baseline'!$B$1:$L$257,5,FALSE))))</f>
        <v/>
      </c>
      <c r="F57" s="301" t="str">
        <f>IF(B57="","",IF(ISNA(VLOOKUP($B57,'E-1 Off-Site Hedge Baseline'!$B$1:$L$257,6,FALSE)),"",(VLOOKUP($B57,'E-1 Off-Site Hedge Baseline'!$B$1:$L$257,6,FALSE))))</f>
        <v/>
      </c>
      <c r="G57" s="301" t="str">
        <f>IF(B57="","",IF(ISNA(VLOOKUP($B57,'E-1 Off-Site Hedge Baseline'!$B$1:$L$257,7,FALSE)),"",(VLOOKUP($B57,'E-1 Off-Site Hedge Baseline'!$B$1:$L$257,7,FALSE))))</f>
        <v/>
      </c>
      <c r="H57" s="301" t="str">
        <f>IF(B57="","",IF(ISNA(VLOOKUP($B57,'E-1 Off-Site Hedge Baseline'!$B$1:$L$257,8,FALSE)),"",(VLOOKUP($B57,'E-1 Off-Site Hedge Baseline'!$B$1:$L$257,8,FALSE))))</f>
        <v/>
      </c>
      <c r="I57" s="301" t="str">
        <f>IF(B57="","",IF(ISNA(VLOOKUP($B57,'E-1 Off-Site Hedge Baseline'!$B$1:$L$257,10,FALSE)),"",(VLOOKUP($B57,'E-1 Off-Site Hedge Baseline'!$B$1:$L$257,10,FALSE))))</f>
        <v/>
      </c>
      <c r="J57" s="301" t="str">
        <f>IF(B57="","",IF(ISNA(VLOOKUP($B57,'E-1 Off-Site Hedge Baseline'!$B$1:$L$257,11,FALSE)),"",(VLOOKUP($B57,'E-1 Off-Site Hedge Baseline'!$B$1:$L$257,11,FALSE))))</f>
        <v/>
      </c>
      <c r="K57" s="301" t="str">
        <f>IF(B57="","",IF(ISNA(VLOOKUP($B57,'E-1 Off-Site Hedge Baseline'!$B$1:$X$257,16,FALSE)),"",(VLOOKUP($B57,'E-1 Off-Site Hedge Baseline'!$B$1:$X$257,16,FALSE))))</f>
        <v/>
      </c>
      <c r="L57" s="289" t="str">
        <f>IF(B57="","",IF(ISNA(VLOOKUP($B57,'E-1 Off-Site Hedge Baseline'!$B$1:$X$257,12,FALSE)),"",(VLOOKUP($B57,'E-1 Off-Site Hedge Baseline'!$B$1:$X$257,12,FALSE))))</f>
        <v/>
      </c>
      <c r="M57" s="250"/>
      <c r="N57" s="281" t="str">
        <f>IFERROR(IF(B57="","",INDEX('G-6 Hedgerow Data'!$AN$3:$AZ$15,MATCH(C57,'G-6 Hedgerow Data'!$AM$3:$AM$15,0),MATCH(M57,'G-6 Hedgerow Data'!$AN$2:$AZ$2,0))),"")</f>
        <v/>
      </c>
      <c r="O57" s="282" t="str">
        <f t="shared" si="1"/>
        <v/>
      </c>
      <c r="P57" s="287" t="str">
        <f>IF(B57="","",VLOOKUP(B57,'E-1 Off-Site Hedge Baseline'!$B$10:W302,19,FALSE))</f>
        <v/>
      </c>
      <c r="Q57" s="281" t="str">
        <f>IF(M57="","",VLOOKUP(M57,'G-6 Hedgerow Data'!$B$2:$AG$15,2,FALSE))</f>
        <v/>
      </c>
      <c r="R57" s="282" t="str">
        <f>IF(M57="","",VLOOKUP(M57,'G-6 Hedgerow Data'!$B$2:$AG$15,3,FALSE))</f>
        <v/>
      </c>
      <c r="S57" s="105"/>
      <c r="T57" s="282" t="str">
        <f>IFERROR(IF(S57="","",IF(AND(M57="Non-native and ornamental hedgerow", S57&lt;&gt;"Poor"),"Not possible ▲", (IF(AND(Q57="V.Low",OR(S57="Good",S57="Moderate")),"Error ▲",VLOOKUP(S57,'G-1 All Habitats'!$Z$2:$AA$9,2,FALSE))))),"")</f>
        <v/>
      </c>
      <c r="U57" s="105"/>
      <c r="V57" s="289" t="str">
        <f>IF(U57="","",IF(VLOOKUP(U57,'G-3 Multipliers'!$L$3:$N$6,2,FALSE)=0,"Spatial Data Missing ⚠",VLOOKUP(U57,'G-3 Multipliers'!$L$3:$N$6,2,FALSE)))</f>
        <v/>
      </c>
      <c r="W57" s="287" t="str">
        <f>IF(U57="","",IF(VLOOKUP(U57,'G-3 Multipliers'!$L$3:$N$6,3,FALSE)=0,"Spatial Data Missing ⚠",VLOOKUP(U57,'G-3 Multipliers'!$L$3:$N$6,3,FALSE)))</f>
        <v/>
      </c>
      <c r="X57" s="281" t="str">
        <f>IFERROR(IF(OR(LEFT(O57,5)="Error",LEFT(N57,5)="Error",T57="Error"),"Check Data ⚠",IF(F57&lt;R57,INDEX('G-6 Hedgerow Data'!$S$3:$AE$14,MATCH(C57,'G-6 Hedgerow Data'!$B$3:$B$14,0),MATCH(M57,'G-6 Hedgerow Data'!$S$2:$AE$2,0)),INDEX('G-6 Hedgerow Data'!$K$3:$Q$14,MATCH(M57,'G-6 Hedgerow Data'!$B$3:$B$14,0),MATCH(O57,'G-6 Hedgerow Data'!$K$2:$Q$2,0)))),"")</f>
        <v/>
      </c>
      <c r="Y57" s="137"/>
      <c r="Z57" s="137"/>
      <c r="AA57" s="289" t="str">
        <f t="shared" si="2"/>
        <v/>
      </c>
      <c r="AB57" s="302" t="str">
        <f t="shared" si="3"/>
        <v/>
      </c>
      <c r="AC57" s="303" t="str">
        <f t="shared" si="0"/>
        <v/>
      </c>
      <c r="AD57" s="317" t="str">
        <f>IF(M57="","",VLOOKUP(M57,'G-6 Hedgerow Data'!$B$3:$AG$15,31,FALSE))</f>
        <v/>
      </c>
      <c r="AE57" s="301" t="str">
        <f t="shared" si="4"/>
        <v/>
      </c>
      <c r="AF57" s="289" t="str">
        <f t="shared" si="5"/>
        <v/>
      </c>
      <c r="AG57" s="305" t="str">
        <f>IFERROR(IF(O57="","",VLOOKUP(AD57,'G-3 Multipliers'!$P$3:$Q$6,2,FALSE)),"")</f>
        <v/>
      </c>
      <c r="AH57" s="729" t="str">
        <f>IF(B57="","",IF(ISNA(VLOOKUP($B57,'E-1 Off-Site Hedge Baseline'!$B$1:$Z$257,14,FALSE)),"",(VLOOKUP($B57,'E-1 Off-Site Hedge Baseline'!$B$1:$Z$257,14,FALSE))))</f>
        <v/>
      </c>
      <c r="AI57" s="282" t="str">
        <f>IF(AH57="","",IF(VLOOKUP(AH57,'G-3 Multipliers'!$S$3:$T$10,2,FALSE)=0,"Spatial Data Missing ⚠",VLOOKUP(AH57,'G-3 Multipliers'!$S$3:$T$10,2,FALSE)))</f>
        <v/>
      </c>
      <c r="AJ57" s="323" t="str">
        <f t="shared" si="6"/>
        <v/>
      </c>
      <c r="AK57" s="295" t="str">
        <f t="shared" si="7"/>
        <v/>
      </c>
      <c r="AL57" s="105"/>
      <c r="AM57" s="119"/>
      <c r="AN57" s="108"/>
      <c r="AO57" s="108"/>
      <c r="AQ57" s="30" t="str">
        <f>IFERROR(INDEX('G-6 Hedgerow Data'!$BJ$3:$BJ$15,MATCH(M57,'G-6 Hedgerow Data'!$B$3:$B$15,0)),"")</f>
        <v/>
      </c>
    </row>
    <row r="58" spans="2:43" ht="13.8" x14ac:dyDescent="0.25">
      <c r="B58" s="311" t="str">
        <f>'E-1 Off-Site Hedge Baseline'!AN56</f>
        <v/>
      </c>
      <c r="C58" s="301" t="str">
        <f>IF(B58="","",IF(ISNA(VLOOKUP($B58,'E-1 Off-Site Hedge Baseline'!$B$1:$L$257,3,FALSE)),"",(VLOOKUP($B58,'E-1 Off-Site Hedge Baseline'!$B$1:$L$257,3,FALSE))))</f>
        <v/>
      </c>
      <c r="D58" s="301" t="str">
        <f>IF(B58="","",IF(ISNA(VLOOKUP($B58,'E-1 Off-Site Hedge Baseline'!$B$1:$L$258,4,FALSE)),"",(VLOOKUP($B58,'E-1 Off-Site Hedge Baseline'!$B$1:$L$258,4,FALSE))))</f>
        <v/>
      </c>
      <c r="E58" s="301" t="str">
        <f>IF(B58="","",IF(ISNA(VLOOKUP($B58,'E-1 Off-Site Hedge Baseline'!$B$1:$L$257,5,FALSE)),"",(VLOOKUP($B58,'E-1 Off-Site Hedge Baseline'!$B$1:$L$257,5,FALSE))))</f>
        <v/>
      </c>
      <c r="F58" s="301" t="str">
        <f>IF(B58="","",IF(ISNA(VLOOKUP($B58,'E-1 Off-Site Hedge Baseline'!$B$1:$L$257,6,FALSE)),"",(VLOOKUP($B58,'E-1 Off-Site Hedge Baseline'!$B$1:$L$257,6,FALSE))))</f>
        <v/>
      </c>
      <c r="G58" s="301" t="str">
        <f>IF(B58="","",IF(ISNA(VLOOKUP($B58,'E-1 Off-Site Hedge Baseline'!$B$1:$L$257,7,FALSE)),"",(VLOOKUP($B58,'E-1 Off-Site Hedge Baseline'!$B$1:$L$257,7,FALSE))))</f>
        <v/>
      </c>
      <c r="H58" s="301" t="str">
        <f>IF(B58="","",IF(ISNA(VLOOKUP($B58,'E-1 Off-Site Hedge Baseline'!$B$1:$L$257,8,FALSE)),"",(VLOOKUP($B58,'E-1 Off-Site Hedge Baseline'!$B$1:$L$257,8,FALSE))))</f>
        <v/>
      </c>
      <c r="I58" s="301" t="str">
        <f>IF(B58="","",IF(ISNA(VLOOKUP($B58,'E-1 Off-Site Hedge Baseline'!$B$1:$L$257,10,FALSE)),"",(VLOOKUP($B58,'E-1 Off-Site Hedge Baseline'!$B$1:$L$257,10,FALSE))))</f>
        <v/>
      </c>
      <c r="J58" s="301" t="str">
        <f>IF(B58="","",IF(ISNA(VLOOKUP($B58,'E-1 Off-Site Hedge Baseline'!$B$1:$L$257,11,FALSE)),"",(VLOOKUP($B58,'E-1 Off-Site Hedge Baseline'!$B$1:$L$257,11,FALSE))))</f>
        <v/>
      </c>
      <c r="K58" s="301" t="str">
        <f>IF(B58="","",IF(ISNA(VLOOKUP($B58,'E-1 Off-Site Hedge Baseline'!$B$1:$X$257,16,FALSE)),"",(VLOOKUP($B58,'E-1 Off-Site Hedge Baseline'!$B$1:$X$257,16,FALSE))))</f>
        <v/>
      </c>
      <c r="L58" s="289" t="str">
        <f>IF(B58="","",IF(ISNA(VLOOKUP($B58,'E-1 Off-Site Hedge Baseline'!$B$1:$X$257,12,FALSE)),"",(VLOOKUP($B58,'E-1 Off-Site Hedge Baseline'!$B$1:$X$257,12,FALSE))))</f>
        <v/>
      </c>
      <c r="M58" s="250"/>
      <c r="N58" s="281" t="str">
        <f>IFERROR(IF(B58="","",INDEX('G-6 Hedgerow Data'!$AN$3:$AZ$15,MATCH(C58,'G-6 Hedgerow Data'!$AM$3:$AM$15,0),MATCH(M58,'G-6 Hedgerow Data'!$AN$2:$AZ$2,0))),"")</f>
        <v/>
      </c>
      <c r="O58" s="282" t="str">
        <f t="shared" si="1"/>
        <v/>
      </c>
      <c r="P58" s="287" t="str">
        <f>IF(B58="","",VLOOKUP(B58,'E-1 Off-Site Hedge Baseline'!$B$10:W303,19,FALSE))</f>
        <v/>
      </c>
      <c r="Q58" s="281" t="str">
        <f>IF(M58="","",VLOOKUP(M58,'G-6 Hedgerow Data'!$B$2:$AG$15,2,FALSE))</f>
        <v/>
      </c>
      <c r="R58" s="282" t="str">
        <f>IF(M58="","",VLOOKUP(M58,'G-6 Hedgerow Data'!$B$2:$AG$15,3,FALSE))</f>
        <v/>
      </c>
      <c r="S58" s="105"/>
      <c r="T58" s="282" t="str">
        <f>IFERROR(IF(S58="","",IF(AND(M58="Non-native and ornamental hedgerow", S58&lt;&gt;"Poor"),"Not possible ▲", (IF(AND(Q58="V.Low",OR(S58="Good",S58="Moderate")),"Error ▲",VLOOKUP(S58,'G-1 All Habitats'!$Z$2:$AA$9,2,FALSE))))),"")</f>
        <v/>
      </c>
      <c r="U58" s="105"/>
      <c r="V58" s="289" t="str">
        <f>IF(U58="","",IF(VLOOKUP(U58,'G-3 Multipliers'!$L$3:$N$6,2,FALSE)=0,"Spatial Data Missing ⚠",VLOOKUP(U58,'G-3 Multipliers'!$L$3:$N$6,2,FALSE)))</f>
        <v/>
      </c>
      <c r="W58" s="287" t="str">
        <f>IF(U58="","",IF(VLOOKUP(U58,'G-3 Multipliers'!$L$3:$N$6,3,FALSE)=0,"Spatial Data Missing ⚠",VLOOKUP(U58,'G-3 Multipliers'!$L$3:$N$6,3,FALSE)))</f>
        <v/>
      </c>
      <c r="X58" s="281" t="str">
        <f>IFERROR(IF(OR(LEFT(O58,5)="Error",LEFT(N58,5)="Error",T58="Error"),"Check Data ⚠",IF(F58&lt;R58,INDEX('G-6 Hedgerow Data'!$S$3:$AE$14,MATCH(C58,'G-6 Hedgerow Data'!$B$3:$B$14,0),MATCH(M58,'G-6 Hedgerow Data'!$S$2:$AE$2,0)),INDEX('G-6 Hedgerow Data'!$K$3:$Q$14,MATCH(M58,'G-6 Hedgerow Data'!$B$3:$B$14,0),MATCH(O58,'G-6 Hedgerow Data'!$K$2:$Q$2,0)))),"")</f>
        <v/>
      </c>
      <c r="Y58" s="137"/>
      <c r="Z58" s="137"/>
      <c r="AA58" s="289" t="str">
        <f t="shared" si="2"/>
        <v/>
      </c>
      <c r="AB58" s="302" t="str">
        <f t="shared" si="3"/>
        <v/>
      </c>
      <c r="AC58" s="303" t="str">
        <f t="shared" si="0"/>
        <v/>
      </c>
      <c r="AD58" s="317" t="str">
        <f>IF(M58="","",VLOOKUP(M58,'G-6 Hedgerow Data'!$B$3:$AG$15,31,FALSE))</f>
        <v/>
      </c>
      <c r="AE58" s="301" t="str">
        <f t="shared" si="4"/>
        <v/>
      </c>
      <c r="AF58" s="289" t="str">
        <f t="shared" si="5"/>
        <v/>
      </c>
      <c r="AG58" s="305" t="str">
        <f>IFERROR(IF(O58="","",VLOOKUP(AD58,'G-3 Multipliers'!$P$3:$Q$6,2,FALSE)),"")</f>
        <v/>
      </c>
      <c r="AH58" s="729" t="str">
        <f>IF(B58="","",IF(ISNA(VLOOKUP($B58,'E-1 Off-Site Hedge Baseline'!$B$1:$Z$257,14,FALSE)),"",(VLOOKUP($B58,'E-1 Off-Site Hedge Baseline'!$B$1:$Z$257,14,FALSE))))</f>
        <v/>
      </c>
      <c r="AI58" s="282" t="str">
        <f>IF(AH58="","",IF(VLOOKUP(AH58,'G-3 Multipliers'!$S$3:$T$10,2,FALSE)=0,"Spatial Data Missing ⚠",VLOOKUP(AH58,'G-3 Multipliers'!$S$3:$T$10,2,FALSE)))</f>
        <v/>
      </c>
      <c r="AJ58" s="323" t="str">
        <f t="shared" si="6"/>
        <v/>
      </c>
      <c r="AK58" s="295" t="str">
        <f t="shared" si="7"/>
        <v/>
      </c>
      <c r="AL58" s="105"/>
      <c r="AM58" s="119"/>
      <c r="AN58" s="108"/>
      <c r="AO58" s="108"/>
      <c r="AQ58" s="30" t="str">
        <f>IFERROR(INDEX('G-6 Hedgerow Data'!$BJ$3:$BJ$15,MATCH(M58,'G-6 Hedgerow Data'!$B$3:$B$15,0)),"")</f>
        <v/>
      </c>
    </row>
    <row r="59" spans="2:43" ht="13.8" x14ac:dyDescent="0.25">
      <c r="B59" s="311" t="str">
        <f>'E-1 Off-Site Hedge Baseline'!AN57</f>
        <v/>
      </c>
      <c r="C59" s="301" t="str">
        <f>IF(B59="","",IF(ISNA(VLOOKUP($B59,'E-1 Off-Site Hedge Baseline'!$B$1:$L$257,3,FALSE)),"",(VLOOKUP($B59,'E-1 Off-Site Hedge Baseline'!$B$1:$L$257,3,FALSE))))</f>
        <v/>
      </c>
      <c r="D59" s="301" t="str">
        <f>IF(B59="","",IF(ISNA(VLOOKUP($B59,'E-1 Off-Site Hedge Baseline'!$B$1:$L$258,4,FALSE)),"",(VLOOKUP($B59,'E-1 Off-Site Hedge Baseline'!$B$1:$L$258,4,FALSE))))</f>
        <v/>
      </c>
      <c r="E59" s="301" t="str">
        <f>IF(B59="","",IF(ISNA(VLOOKUP($B59,'E-1 Off-Site Hedge Baseline'!$B$1:$L$257,5,FALSE)),"",(VLOOKUP($B59,'E-1 Off-Site Hedge Baseline'!$B$1:$L$257,5,FALSE))))</f>
        <v/>
      </c>
      <c r="F59" s="301" t="str">
        <f>IF(B59="","",IF(ISNA(VLOOKUP($B59,'E-1 Off-Site Hedge Baseline'!$B$1:$L$257,6,FALSE)),"",(VLOOKUP($B59,'E-1 Off-Site Hedge Baseline'!$B$1:$L$257,6,FALSE))))</f>
        <v/>
      </c>
      <c r="G59" s="301" t="str">
        <f>IF(B59="","",IF(ISNA(VLOOKUP($B59,'E-1 Off-Site Hedge Baseline'!$B$1:$L$257,7,FALSE)),"",(VLOOKUP($B59,'E-1 Off-Site Hedge Baseline'!$B$1:$L$257,7,FALSE))))</f>
        <v/>
      </c>
      <c r="H59" s="301" t="str">
        <f>IF(B59="","",IF(ISNA(VLOOKUP($B59,'E-1 Off-Site Hedge Baseline'!$B$1:$L$257,8,FALSE)),"",(VLOOKUP($B59,'E-1 Off-Site Hedge Baseline'!$B$1:$L$257,8,FALSE))))</f>
        <v/>
      </c>
      <c r="I59" s="301" t="str">
        <f>IF(B59="","",IF(ISNA(VLOOKUP($B59,'E-1 Off-Site Hedge Baseline'!$B$1:$L$257,10,FALSE)),"",(VLOOKUP($B59,'E-1 Off-Site Hedge Baseline'!$B$1:$L$257,10,FALSE))))</f>
        <v/>
      </c>
      <c r="J59" s="301" t="str">
        <f>IF(B59="","",IF(ISNA(VLOOKUP($B59,'E-1 Off-Site Hedge Baseline'!$B$1:$L$257,11,FALSE)),"",(VLOOKUP($B59,'E-1 Off-Site Hedge Baseline'!$B$1:$L$257,11,FALSE))))</f>
        <v/>
      </c>
      <c r="K59" s="301" t="str">
        <f>IF(B59="","",IF(ISNA(VLOOKUP($B59,'E-1 Off-Site Hedge Baseline'!$B$1:$X$257,16,FALSE)),"",(VLOOKUP($B59,'E-1 Off-Site Hedge Baseline'!$B$1:$X$257,16,FALSE))))</f>
        <v/>
      </c>
      <c r="L59" s="289" t="str">
        <f>IF(B59="","",IF(ISNA(VLOOKUP($B59,'E-1 Off-Site Hedge Baseline'!$B$1:$X$257,12,FALSE)),"",(VLOOKUP($B59,'E-1 Off-Site Hedge Baseline'!$B$1:$X$257,12,FALSE))))</f>
        <v/>
      </c>
      <c r="M59" s="250"/>
      <c r="N59" s="281" t="str">
        <f>IFERROR(IF(B59="","",INDEX('G-6 Hedgerow Data'!$AN$3:$AZ$15,MATCH(C59,'G-6 Hedgerow Data'!$AM$3:$AM$15,0),MATCH(M59,'G-6 Hedgerow Data'!$AN$2:$AZ$2,0))),"")</f>
        <v/>
      </c>
      <c r="O59" s="282" t="str">
        <f t="shared" si="1"/>
        <v/>
      </c>
      <c r="P59" s="287" t="str">
        <f>IF(B59="","",VLOOKUP(B59,'E-1 Off-Site Hedge Baseline'!$B$10:W304,19,FALSE))</f>
        <v/>
      </c>
      <c r="Q59" s="281" t="str">
        <f>IF(M59="","",VLOOKUP(M59,'G-6 Hedgerow Data'!$B$2:$AG$15,2,FALSE))</f>
        <v/>
      </c>
      <c r="R59" s="282" t="str">
        <f>IF(M59="","",VLOOKUP(M59,'G-6 Hedgerow Data'!$B$2:$AG$15,3,FALSE))</f>
        <v/>
      </c>
      <c r="S59" s="105"/>
      <c r="T59" s="282" t="str">
        <f>IFERROR(IF(S59="","",IF(AND(M59="Non-native and ornamental hedgerow", S59&lt;&gt;"Poor"),"Not possible ▲", (IF(AND(Q59="V.Low",OR(S59="Good",S59="Moderate")),"Error ▲",VLOOKUP(S59,'G-1 All Habitats'!$Z$2:$AA$9,2,FALSE))))),"")</f>
        <v/>
      </c>
      <c r="U59" s="105"/>
      <c r="V59" s="289" t="str">
        <f>IF(U59="","",IF(VLOOKUP(U59,'G-3 Multipliers'!$L$3:$N$6,2,FALSE)=0,"Spatial Data Missing ⚠",VLOOKUP(U59,'G-3 Multipliers'!$L$3:$N$6,2,FALSE)))</f>
        <v/>
      </c>
      <c r="W59" s="287" t="str">
        <f>IF(U59="","",IF(VLOOKUP(U59,'G-3 Multipliers'!$L$3:$N$6,3,FALSE)=0,"Spatial Data Missing ⚠",VLOOKUP(U59,'G-3 Multipliers'!$L$3:$N$6,3,FALSE)))</f>
        <v/>
      </c>
      <c r="X59" s="281" t="str">
        <f>IFERROR(IF(OR(LEFT(O59,5)="Error",LEFT(N59,5)="Error",T59="Error"),"Check Data ⚠",IF(F59&lt;R59,INDEX('G-6 Hedgerow Data'!$S$3:$AE$14,MATCH(C59,'G-6 Hedgerow Data'!$B$3:$B$14,0),MATCH(M59,'G-6 Hedgerow Data'!$S$2:$AE$2,0)),INDEX('G-6 Hedgerow Data'!$K$3:$Q$14,MATCH(M59,'G-6 Hedgerow Data'!$B$3:$B$14,0),MATCH(O59,'G-6 Hedgerow Data'!$K$2:$Q$2,0)))),"")</f>
        <v/>
      </c>
      <c r="Y59" s="137"/>
      <c r="Z59" s="137"/>
      <c r="AA59" s="289" t="str">
        <f t="shared" si="2"/>
        <v/>
      </c>
      <c r="AB59" s="302" t="str">
        <f t="shared" si="3"/>
        <v/>
      </c>
      <c r="AC59" s="303" t="str">
        <f t="shared" si="0"/>
        <v/>
      </c>
      <c r="AD59" s="317" t="str">
        <f>IF(M59="","",VLOOKUP(M59,'G-6 Hedgerow Data'!$B$3:$AG$15,31,FALSE))</f>
        <v/>
      </c>
      <c r="AE59" s="301" t="str">
        <f t="shared" si="4"/>
        <v/>
      </c>
      <c r="AF59" s="289" t="str">
        <f t="shared" si="5"/>
        <v/>
      </c>
      <c r="AG59" s="305" t="str">
        <f>IFERROR(IF(O59="","",VLOOKUP(AD59,'G-3 Multipliers'!$P$3:$Q$6,2,FALSE)),"")</f>
        <v/>
      </c>
      <c r="AH59" s="729" t="str">
        <f>IF(B59="","",IF(ISNA(VLOOKUP($B59,'E-1 Off-Site Hedge Baseline'!$B$1:$Z$257,14,FALSE)),"",(VLOOKUP($B59,'E-1 Off-Site Hedge Baseline'!$B$1:$Z$257,14,FALSE))))</f>
        <v/>
      </c>
      <c r="AI59" s="282" t="str">
        <f>IF(AH59="","",IF(VLOOKUP(AH59,'G-3 Multipliers'!$S$3:$T$10,2,FALSE)=0,"Spatial Data Missing ⚠",VLOOKUP(AH59,'G-3 Multipliers'!$S$3:$T$10,2,FALSE)))</f>
        <v/>
      </c>
      <c r="AJ59" s="323" t="str">
        <f t="shared" si="6"/>
        <v/>
      </c>
      <c r="AK59" s="295" t="str">
        <f t="shared" si="7"/>
        <v/>
      </c>
      <c r="AL59" s="105"/>
      <c r="AM59" s="119"/>
      <c r="AN59" s="108"/>
      <c r="AO59" s="108"/>
      <c r="AQ59" s="30" t="str">
        <f>IFERROR(INDEX('G-6 Hedgerow Data'!$BJ$3:$BJ$15,MATCH(M59,'G-6 Hedgerow Data'!$B$3:$B$15,0)),"")</f>
        <v/>
      </c>
    </row>
    <row r="60" spans="2:43" ht="13.8" x14ac:dyDescent="0.25">
      <c r="B60" s="311" t="str">
        <f>'E-1 Off-Site Hedge Baseline'!AN58</f>
        <v/>
      </c>
      <c r="C60" s="301" t="str">
        <f>IF(B60="","",IF(ISNA(VLOOKUP($B60,'E-1 Off-Site Hedge Baseline'!$B$1:$L$257,3,FALSE)),"",(VLOOKUP($B60,'E-1 Off-Site Hedge Baseline'!$B$1:$L$257,3,FALSE))))</f>
        <v/>
      </c>
      <c r="D60" s="301" t="str">
        <f>IF(B60="","",IF(ISNA(VLOOKUP($B60,'E-1 Off-Site Hedge Baseline'!$B$1:$L$258,4,FALSE)),"",(VLOOKUP($B60,'E-1 Off-Site Hedge Baseline'!$B$1:$L$258,4,FALSE))))</f>
        <v/>
      </c>
      <c r="E60" s="301" t="str">
        <f>IF(B60="","",IF(ISNA(VLOOKUP($B60,'E-1 Off-Site Hedge Baseline'!$B$1:$L$257,5,FALSE)),"",(VLOOKUP($B60,'E-1 Off-Site Hedge Baseline'!$B$1:$L$257,5,FALSE))))</f>
        <v/>
      </c>
      <c r="F60" s="301" t="str">
        <f>IF(B60="","",IF(ISNA(VLOOKUP($B60,'E-1 Off-Site Hedge Baseline'!$B$1:$L$257,6,FALSE)),"",(VLOOKUP($B60,'E-1 Off-Site Hedge Baseline'!$B$1:$L$257,6,FALSE))))</f>
        <v/>
      </c>
      <c r="G60" s="301" t="str">
        <f>IF(B60="","",IF(ISNA(VLOOKUP($B60,'E-1 Off-Site Hedge Baseline'!$B$1:$L$257,7,FALSE)),"",(VLOOKUP($B60,'E-1 Off-Site Hedge Baseline'!$B$1:$L$257,7,FALSE))))</f>
        <v/>
      </c>
      <c r="H60" s="301" t="str">
        <f>IF(B60="","",IF(ISNA(VLOOKUP($B60,'E-1 Off-Site Hedge Baseline'!$B$1:$L$257,8,FALSE)),"",(VLOOKUP($B60,'E-1 Off-Site Hedge Baseline'!$B$1:$L$257,8,FALSE))))</f>
        <v/>
      </c>
      <c r="I60" s="301" t="str">
        <f>IF(B60="","",IF(ISNA(VLOOKUP($B60,'E-1 Off-Site Hedge Baseline'!$B$1:$L$257,10,FALSE)),"",(VLOOKUP($B60,'E-1 Off-Site Hedge Baseline'!$B$1:$L$257,10,FALSE))))</f>
        <v/>
      </c>
      <c r="J60" s="301" t="str">
        <f>IF(B60="","",IF(ISNA(VLOOKUP($B60,'E-1 Off-Site Hedge Baseline'!$B$1:$L$257,11,FALSE)),"",(VLOOKUP($B60,'E-1 Off-Site Hedge Baseline'!$B$1:$L$257,11,FALSE))))</f>
        <v/>
      </c>
      <c r="K60" s="301" t="str">
        <f>IF(B60="","",IF(ISNA(VLOOKUP($B60,'E-1 Off-Site Hedge Baseline'!$B$1:$X$257,16,FALSE)),"",(VLOOKUP($B60,'E-1 Off-Site Hedge Baseline'!$B$1:$X$257,16,FALSE))))</f>
        <v/>
      </c>
      <c r="L60" s="289" t="str">
        <f>IF(B60="","",IF(ISNA(VLOOKUP($B60,'E-1 Off-Site Hedge Baseline'!$B$1:$X$257,12,FALSE)),"",(VLOOKUP($B60,'E-1 Off-Site Hedge Baseline'!$B$1:$X$257,12,FALSE))))</f>
        <v/>
      </c>
      <c r="M60" s="250"/>
      <c r="N60" s="281" t="str">
        <f>IFERROR(IF(B60="","",INDEX('G-6 Hedgerow Data'!$AN$3:$AZ$15,MATCH(C60,'G-6 Hedgerow Data'!$AM$3:$AM$15,0),MATCH(M60,'G-6 Hedgerow Data'!$AN$2:$AZ$2,0))),"")</f>
        <v/>
      </c>
      <c r="O60" s="282" t="str">
        <f t="shared" si="1"/>
        <v/>
      </c>
      <c r="P60" s="287" t="str">
        <f>IF(B60="","",VLOOKUP(B60,'E-1 Off-Site Hedge Baseline'!$B$10:W305,19,FALSE))</f>
        <v/>
      </c>
      <c r="Q60" s="281" t="str">
        <f>IF(M60="","",VLOOKUP(M60,'G-6 Hedgerow Data'!$B$2:$AG$15,2,FALSE))</f>
        <v/>
      </c>
      <c r="R60" s="282" t="str">
        <f>IF(M60="","",VLOOKUP(M60,'G-6 Hedgerow Data'!$B$2:$AG$15,3,FALSE))</f>
        <v/>
      </c>
      <c r="S60" s="105"/>
      <c r="T60" s="282" t="str">
        <f>IFERROR(IF(S60="","",IF(AND(M60="Non-native and ornamental hedgerow", S60&lt;&gt;"Poor"),"Not possible ▲", (IF(AND(Q60="V.Low",OR(S60="Good",S60="Moderate")),"Error ▲",VLOOKUP(S60,'G-1 All Habitats'!$Z$2:$AA$9,2,FALSE))))),"")</f>
        <v/>
      </c>
      <c r="U60" s="105"/>
      <c r="V60" s="289" t="str">
        <f>IF(U60="","",IF(VLOOKUP(U60,'G-3 Multipliers'!$L$3:$N$6,2,FALSE)=0,"Spatial Data Missing ⚠",VLOOKUP(U60,'G-3 Multipliers'!$L$3:$N$6,2,FALSE)))</f>
        <v/>
      </c>
      <c r="W60" s="287" t="str">
        <f>IF(U60="","",IF(VLOOKUP(U60,'G-3 Multipliers'!$L$3:$N$6,3,FALSE)=0,"Spatial Data Missing ⚠",VLOOKUP(U60,'G-3 Multipliers'!$L$3:$N$6,3,FALSE)))</f>
        <v/>
      </c>
      <c r="X60" s="281" t="str">
        <f>IFERROR(IF(OR(LEFT(O60,5)="Error",LEFT(N60,5)="Error",T60="Error"),"Check Data ⚠",IF(F60&lt;R60,INDEX('G-6 Hedgerow Data'!$S$3:$AE$14,MATCH(C60,'G-6 Hedgerow Data'!$B$3:$B$14,0),MATCH(M60,'G-6 Hedgerow Data'!$S$2:$AE$2,0)),INDEX('G-6 Hedgerow Data'!$K$3:$Q$14,MATCH(M60,'G-6 Hedgerow Data'!$B$3:$B$14,0),MATCH(O60,'G-6 Hedgerow Data'!$K$2:$Q$2,0)))),"")</f>
        <v/>
      </c>
      <c r="Y60" s="137"/>
      <c r="Z60" s="137"/>
      <c r="AA60" s="289" t="str">
        <f t="shared" si="2"/>
        <v/>
      </c>
      <c r="AB60" s="302" t="str">
        <f t="shared" si="3"/>
        <v/>
      </c>
      <c r="AC60" s="303" t="str">
        <f t="shared" si="0"/>
        <v/>
      </c>
      <c r="AD60" s="317" t="str">
        <f>IF(M60="","",VLOOKUP(M60,'G-6 Hedgerow Data'!$B$3:$AG$15,31,FALSE))</f>
        <v/>
      </c>
      <c r="AE60" s="301" t="str">
        <f t="shared" si="4"/>
        <v/>
      </c>
      <c r="AF60" s="289" t="str">
        <f t="shared" si="5"/>
        <v/>
      </c>
      <c r="AG60" s="305" t="str">
        <f>IFERROR(IF(O60="","",VLOOKUP(AD60,'G-3 Multipliers'!$P$3:$Q$6,2,FALSE)),"")</f>
        <v/>
      </c>
      <c r="AH60" s="729" t="str">
        <f>IF(B60="","",IF(ISNA(VLOOKUP($B60,'E-1 Off-Site Hedge Baseline'!$B$1:$Z$257,14,FALSE)),"",(VLOOKUP($B60,'E-1 Off-Site Hedge Baseline'!$B$1:$Z$257,14,FALSE))))</f>
        <v/>
      </c>
      <c r="AI60" s="282" t="str">
        <f>IF(AH60="","",IF(VLOOKUP(AH60,'G-3 Multipliers'!$S$3:$T$10,2,FALSE)=0,"Spatial Data Missing ⚠",VLOOKUP(AH60,'G-3 Multipliers'!$S$3:$T$10,2,FALSE)))</f>
        <v/>
      </c>
      <c r="AJ60" s="323" t="str">
        <f t="shared" si="6"/>
        <v/>
      </c>
      <c r="AK60" s="295" t="str">
        <f t="shared" si="7"/>
        <v/>
      </c>
      <c r="AL60" s="105"/>
      <c r="AM60" s="119"/>
      <c r="AN60" s="108"/>
      <c r="AO60" s="108"/>
      <c r="AQ60" s="30" t="str">
        <f>IFERROR(INDEX('G-6 Hedgerow Data'!$BJ$3:$BJ$15,MATCH(M60,'G-6 Hedgerow Data'!$B$3:$B$15,0)),"")</f>
        <v/>
      </c>
    </row>
    <row r="61" spans="2:43" ht="13.8" x14ac:dyDescent="0.25">
      <c r="B61" s="311" t="str">
        <f>'E-1 Off-Site Hedge Baseline'!AN59</f>
        <v/>
      </c>
      <c r="C61" s="301" t="str">
        <f>IF(B61="","",IF(ISNA(VLOOKUP($B61,'E-1 Off-Site Hedge Baseline'!$B$1:$L$257,3,FALSE)),"",(VLOOKUP($B61,'E-1 Off-Site Hedge Baseline'!$B$1:$L$257,3,FALSE))))</f>
        <v/>
      </c>
      <c r="D61" s="301" t="str">
        <f>IF(B61="","",IF(ISNA(VLOOKUP($B61,'E-1 Off-Site Hedge Baseline'!$B$1:$L$258,4,FALSE)),"",(VLOOKUP($B61,'E-1 Off-Site Hedge Baseline'!$B$1:$L$258,4,FALSE))))</f>
        <v/>
      </c>
      <c r="E61" s="301" t="str">
        <f>IF(B61="","",IF(ISNA(VLOOKUP($B61,'E-1 Off-Site Hedge Baseline'!$B$1:$L$257,5,FALSE)),"",(VLOOKUP($B61,'E-1 Off-Site Hedge Baseline'!$B$1:$L$257,5,FALSE))))</f>
        <v/>
      </c>
      <c r="F61" s="301" t="str">
        <f>IF(B61="","",IF(ISNA(VLOOKUP($B61,'E-1 Off-Site Hedge Baseline'!$B$1:$L$257,6,FALSE)),"",(VLOOKUP($B61,'E-1 Off-Site Hedge Baseline'!$B$1:$L$257,6,FALSE))))</f>
        <v/>
      </c>
      <c r="G61" s="301" t="str">
        <f>IF(B61="","",IF(ISNA(VLOOKUP($B61,'E-1 Off-Site Hedge Baseline'!$B$1:$L$257,7,FALSE)),"",(VLOOKUP($B61,'E-1 Off-Site Hedge Baseline'!$B$1:$L$257,7,FALSE))))</f>
        <v/>
      </c>
      <c r="H61" s="301" t="str">
        <f>IF(B61="","",IF(ISNA(VLOOKUP($B61,'E-1 Off-Site Hedge Baseline'!$B$1:$L$257,8,FALSE)),"",(VLOOKUP($B61,'E-1 Off-Site Hedge Baseline'!$B$1:$L$257,8,FALSE))))</f>
        <v/>
      </c>
      <c r="I61" s="301" t="str">
        <f>IF(B61="","",IF(ISNA(VLOOKUP($B61,'E-1 Off-Site Hedge Baseline'!$B$1:$L$257,10,FALSE)),"",(VLOOKUP($B61,'E-1 Off-Site Hedge Baseline'!$B$1:$L$257,10,FALSE))))</f>
        <v/>
      </c>
      <c r="J61" s="301" t="str">
        <f>IF(B61="","",IF(ISNA(VLOOKUP($B61,'E-1 Off-Site Hedge Baseline'!$B$1:$L$257,11,FALSE)),"",(VLOOKUP($B61,'E-1 Off-Site Hedge Baseline'!$B$1:$L$257,11,FALSE))))</f>
        <v/>
      </c>
      <c r="K61" s="301" t="str">
        <f>IF(B61="","",IF(ISNA(VLOOKUP($B61,'E-1 Off-Site Hedge Baseline'!$B$1:$X$257,16,FALSE)),"",(VLOOKUP($B61,'E-1 Off-Site Hedge Baseline'!$B$1:$X$257,16,FALSE))))</f>
        <v/>
      </c>
      <c r="L61" s="289" t="str">
        <f>IF(B61="","",IF(ISNA(VLOOKUP($B61,'E-1 Off-Site Hedge Baseline'!$B$1:$X$257,12,FALSE)),"",(VLOOKUP($B61,'E-1 Off-Site Hedge Baseline'!$B$1:$X$257,12,FALSE))))</f>
        <v/>
      </c>
      <c r="M61" s="250"/>
      <c r="N61" s="281" t="str">
        <f>IFERROR(IF(B61="","",INDEX('G-6 Hedgerow Data'!$AN$3:$AZ$15,MATCH(C61,'G-6 Hedgerow Data'!$AM$3:$AM$15,0),MATCH(M61,'G-6 Hedgerow Data'!$AN$2:$AZ$2,0))),"")</f>
        <v/>
      </c>
      <c r="O61" s="282" t="str">
        <f t="shared" si="1"/>
        <v/>
      </c>
      <c r="P61" s="287" t="str">
        <f>IF(B61="","",VLOOKUP(B61,'E-1 Off-Site Hedge Baseline'!$B$10:W306,19,FALSE))</f>
        <v/>
      </c>
      <c r="Q61" s="281" t="str">
        <f>IF(M61="","",VLOOKUP(M61,'G-6 Hedgerow Data'!$B$2:$AG$15,2,FALSE))</f>
        <v/>
      </c>
      <c r="R61" s="282" t="str">
        <f>IF(M61="","",VLOOKUP(M61,'G-6 Hedgerow Data'!$B$2:$AG$15,3,FALSE))</f>
        <v/>
      </c>
      <c r="S61" s="105"/>
      <c r="T61" s="282" t="str">
        <f>IFERROR(IF(S61="","",IF(AND(M61="Non-native and ornamental hedgerow", S61&lt;&gt;"Poor"),"Not possible ▲", (IF(AND(Q61="V.Low",OR(S61="Good",S61="Moderate")),"Error ▲",VLOOKUP(S61,'G-1 All Habitats'!$Z$2:$AA$9,2,FALSE))))),"")</f>
        <v/>
      </c>
      <c r="U61" s="105"/>
      <c r="V61" s="289" t="str">
        <f>IF(U61="","",IF(VLOOKUP(U61,'G-3 Multipliers'!$L$3:$N$6,2,FALSE)=0,"Spatial Data Missing ⚠",VLOOKUP(U61,'G-3 Multipliers'!$L$3:$N$6,2,FALSE)))</f>
        <v/>
      </c>
      <c r="W61" s="287" t="str">
        <f>IF(U61="","",IF(VLOOKUP(U61,'G-3 Multipliers'!$L$3:$N$6,3,FALSE)=0,"Spatial Data Missing ⚠",VLOOKUP(U61,'G-3 Multipliers'!$L$3:$N$6,3,FALSE)))</f>
        <v/>
      </c>
      <c r="X61" s="281" t="str">
        <f>IFERROR(IF(OR(LEFT(O61,5)="Error",LEFT(N61,5)="Error",T61="Error"),"Check Data ⚠",IF(F61&lt;R61,INDEX('G-6 Hedgerow Data'!$S$3:$AE$14,MATCH(C61,'G-6 Hedgerow Data'!$B$3:$B$14,0),MATCH(M61,'G-6 Hedgerow Data'!$S$2:$AE$2,0)),INDEX('G-6 Hedgerow Data'!$K$3:$Q$14,MATCH(M61,'G-6 Hedgerow Data'!$B$3:$B$14,0),MATCH(O61,'G-6 Hedgerow Data'!$K$2:$Q$2,0)))),"")</f>
        <v/>
      </c>
      <c r="Y61" s="137"/>
      <c r="Z61" s="137"/>
      <c r="AA61" s="289" t="str">
        <f t="shared" si="2"/>
        <v/>
      </c>
      <c r="AB61" s="302" t="str">
        <f t="shared" si="3"/>
        <v/>
      </c>
      <c r="AC61" s="303" t="str">
        <f t="shared" si="0"/>
        <v/>
      </c>
      <c r="AD61" s="317" t="str">
        <f>IF(M61="","",VLOOKUP(M61,'G-6 Hedgerow Data'!$B$3:$AG$15,31,FALSE))</f>
        <v/>
      </c>
      <c r="AE61" s="301" t="str">
        <f t="shared" si="4"/>
        <v/>
      </c>
      <c r="AF61" s="289" t="str">
        <f t="shared" si="5"/>
        <v/>
      </c>
      <c r="AG61" s="305" t="str">
        <f>IFERROR(IF(O61="","",VLOOKUP(AD61,'G-3 Multipliers'!$P$3:$Q$6,2,FALSE)),"")</f>
        <v/>
      </c>
      <c r="AH61" s="729" t="str">
        <f>IF(B61="","",IF(ISNA(VLOOKUP($B61,'E-1 Off-Site Hedge Baseline'!$B$1:$Z$257,14,FALSE)),"",(VLOOKUP($B61,'E-1 Off-Site Hedge Baseline'!$B$1:$Z$257,14,FALSE))))</f>
        <v/>
      </c>
      <c r="AI61" s="282" t="str">
        <f>IF(AH61="","",IF(VLOOKUP(AH61,'G-3 Multipliers'!$S$3:$T$10,2,FALSE)=0,"Spatial Data Missing ⚠",VLOOKUP(AH61,'G-3 Multipliers'!$S$3:$T$10,2,FALSE)))</f>
        <v/>
      </c>
      <c r="AJ61" s="323" t="str">
        <f t="shared" si="6"/>
        <v/>
      </c>
      <c r="AK61" s="295" t="str">
        <f t="shared" si="7"/>
        <v/>
      </c>
      <c r="AL61" s="105"/>
      <c r="AM61" s="119"/>
      <c r="AN61" s="108"/>
      <c r="AO61" s="108"/>
      <c r="AQ61" s="30" t="str">
        <f>IFERROR(INDEX('G-6 Hedgerow Data'!$BJ$3:$BJ$15,MATCH(M61,'G-6 Hedgerow Data'!$B$3:$B$15,0)),"")</f>
        <v/>
      </c>
    </row>
    <row r="62" spans="2:43" ht="13.8" x14ac:dyDescent="0.25">
      <c r="B62" s="311" t="str">
        <f>'E-1 Off-Site Hedge Baseline'!AN60</f>
        <v/>
      </c>
      <c r="C62" s="301" t="str">
        <f>IF(B62="","",IF(ISNA(VLOOKUP($B62,'E-1 Off-Site Hedge Baseline'!$B$1:$L$257,3,FALSE)),"",(VLOOKUP($B62,'E-1 Off-Site Hedge Baseline'!$B$1:$L$257,3,FALSE))))</f>
        <v/>
      </c>
      <c r="D62" s="301" t="str">
        <f>IF(B62="","",IF(ISNA(VLOOKUP($B62,'E-1 Off-Site Hedge Baseline'!$B$1:$L$258,4,FALSE)),"",(VLOOKUP($B62,'E-1 Off-Site Hedge Baseline'!$B$1:$L$258,4,FALSE))))</f>
        <v/>
      </c>
      <c r="E62" s="301" t="str">
        <f>IF(B62="","",IF(ISNA(VLOOKUP($B62,'E-1 Off-Site Hedge Baseline'!$B$1:$L$257,5,FALSE)),"",(VLOOKUP($B62,'E-1 Off-Site Hedge Baseline'!$B$1:$L$257,5,FALSE))))</f>
        <v/>
      </c>
      <c r="F62" s="301" t="str">
        <f>IF(B62="","",IF(ISNA(VLOOKUP($B62,'E-1 Off-Site Hedge Baseline'!$B$1:$L$257,6,FALSE)),"",(VLOOKUP($B62,'E-1 Off-Site Hedge Baseline'!$B$1:$L$257,6,FALSE))))</f>
        <v/>
      </c>
      <c r="G62" s="301" t="str">
        <f>IF(B62="","",IF(ISNA(VLOOKUP($B62,'E-1 Off-Site Hedge Baseline'!$B$1:$L$257,7,FALSE)),"",(VLOOKUP($B62,'E-1 Off-Site Hedge Baseline'!$B$1:$L$257,7,FALSE))))</f>
        <v/>
      </c>
      <c r="H62" s="301" t="str">
        <f>IF(B62="","",IF(ISNA(VLOOKUP($B62,'E-1 Off-Site Hedge Baseline'!$B$1:$L$257,8,FALSE)),"",(VLOOKUP($B62,'E-1 Off-Site Hedge Baseline'!$B$1:$L$257,8,FALSE))))</f>
        <v/>
      </c>
      <c r="I62" s="301" t="str">
        <f>IF(B62="","",IF(ISNA(VLOOKUP($B62,'E-1 Off-Site Hedge Baseline'!$B$1:$L$257,10,FALSE)),"",(VLOOKUP($B62,'E-1 Off-Site Hedge Baseline'!$B$1:$L$257,10,FALSE))))</f>
        <v/>
      </c>
      <c r="J62" s="301" t="str">
        <f>IF(B62="","",IF(ISNA(VLOOKUP($B62,'E-1 Off-Site Hedge Baseline'!$B$1:$L$257,11,FALSE)),"",(VLOOKUP($B62,'E-1 Off-Site Hedge Baseline'!$B$1:$L$257,11,FALSE))))</f>
        <v/>
      </c>
      <c r="K62" s="301" t="str">
        <f>IF(B62="","",IF(ISNA(VLOOKUP($B62,'E-1 Off-Site Hedge Baseline'!$B$1:$X$257,16,FALSE)),"",(VLOOKUP($B62,'E-1 Off-Site Hedge Baseline'!$B$1:$X$257,16,FALSE))))</f>
        <v/>
      </c>
      <c r="L62" s="289" t="str">
        <f>IF(B62="","",IF(ISNA(VLOOKUP($B62,'E-1 Off-Site Hedge Baseline'!$B$1:$X$257,12,FALSE)),"",(VLOOKUP($B62,'E-1 Off-Site Hedge Baseline'!$B$1:$X$257,12,FALSE))))</f>
        <v/>
      </c>
      <c r="M62" s="250"/>
      <c r="N62" s="281" t="str">
        <f>IFERROR(IF(B62="","",INDEX('G-6 Hedgerow Data'!$AN$3:$AZ$15,MATCH(C62,'G-6 Hedgerow Data'!$AM$3:$AM$15,0),MATCH(M62,'G-6 Hedgerow Data'!$AN$2:$AZ$2,0))),"")</f>
        <v/>
      </c>
      <c r="O62" s="282" t="str">
        <f t="shared" si="1"/>
        <v/>
      </c>
      <c r="P62" s="287" t="str">
        <f>IF(B62="","",VLOOKUP(B62,'E-1 Off-Site Hedge Baseline'!$B$10:W307,19,FALSE))</f>
        <v/>
      </c>
      <c r="Q62" s="281" t="str">
        <f>IF(M62="","",VLOOKUP(M62,'G-6 Hedgerow Data'!$B$2:$AG$15,2,FALSE))</f>
        <v/>
      </c>
      <c r="R62" s="282" t="str">
        <f>IF(M62="","",VLOOKUP(M62,'G-6 Hedgerow Data'!$B$2:$AG$15,3,FALSE))</f>
        <v/>
      </c>
      <c r="S62" s="105"/>
      <c r="T62" s="282" t="str">
        <f>IFERROR(IF(S62="","",IF(AND(M62="Non-native and ornamental hedgerow", S62&lt;&gt;"Poor"),"Not possible ▲", (IF(AND(Q62="V.Low",OR(S62="Good",S62="Moderate")),"Error ▲",VLOOKUP(S62,'G-1 All Habitats'!$Z$2:$AA$9,2,FALSE))))),"")</f>
        <v/>
      </c>
      <c r="U62" s="105"/>
      <c r="V62" s="289" t="str">
        <f>IF(U62="","",IF(VLOOKUP(U62,'G-3 Multipliers'!$L$3:$N$6,2,FALSE)=0,"Spatial Data Missing ⚠",VLOOKUP(U62,'G-3 Multipliers'!$L$3:$N$6,2,FALSE)))</f>
        <v/>
      </c>
      <c r="W62" s="287" t="str">
        <f>IF(U62="","",IF(VLOOKUP(U62,'G-3 Multipliers'!$L$3:$N$6,3,FALSE)=0,"Spatial Data Missing ⚠",VLOOKUP(U62,'G-3 Multipliers'!$L$3:$N$6,3,FALSE)))</f>
        <v/>
      </c>
      <c r="X62" s="281" t="str">
        <f>IFERROR(IF(OR(LEFT(O62,5)="Error",LEFT(N62,5)="Error",T62="Error"),"Check Data ⚠",IF(F62&lt;R62,INDEX('G-6 Hedgerow Data'!$S$3:$AE$14,MATCH(C62,'G-6 Hedgerow Data'!$B$3:$B$14,0),MATCH(M62,'G-6 Hedgerow Data'!$S$2:$AE$2,0)),INDEX('G-6 Hedgerow Data'!$K$3:$Q$14,MATCH(M62,'G-6 Hedgerow Data'!$B$3:$B$14,0),MATCH(O62,'G-6 Hedgerow Data'!$K$2:$Q$2,0)))),"")</f>
        <v/>
      </c>
      <c r="Y62" s="137"/>
      <c r="Z62" s="137"/>
      <c r="AA62" s="289" t="str">
        <f t="shared" si="2"/>
        <v/>
      </c>
      <c r="AB62" s="302" t="str">
        <f t="shared" si="3"/>
        <v/>
      </c>
      <c r="AC62" s="303" t="str">
        <f t="shared" si="0"/>
        <v/>
      </c>
      <c r="AD62" s="317" t="str">
        <f>IF(M62="","",VLOOKUP(M62,'G-6 Hedgerow Data'!$B$3:$AG$15,31,FALSE))</f>
        <v/>
      </c>
      <c r="AE62" s="301" t="str">
        <f t="shared" si="4"/>
        <v/>
      </c>
      <c r="AF62" s="289" t="str">
        <f t="shared" si="5"/>
        <v/>
      </c>
      <c r="AG62" s="305" t="str">
        <f>IFERROR(IF(O62="","",VLOOKUP(AD62,'G-3 Multipliers'!$P$3:$Q$6,2,FALSE)),"")</f>
        <v/>
      </c>
      <c r="AH62" s="729" t="str">
        <f>IF(B62="","",IF(ISNA(VLOOKUP($B62,'E-1 Off-Site Hedge Baseline'!$B$1:$Z$257,14,FALSE)),"",(VLOOKUP($B62,'E-1 Off-Site Hedge Baseline'!$B$1:$Z$257,14,FALSE))))</f>
        <v/>
      </c>
      <c r="AI62" s="282" t="str">
        <f>IF(AH62="","",IF(VLOOKUP(AH62,'G-3 Multipliers'!$S$3:$T$10,2,FALSE)=0,"Spatial Data Missing ⚠",VLOOKUP(AH62,'G-3 Multipliers'!$S$3:$T$10,2,FALSE)))</f>
        <v/>
      </c>
      <c r="AJ62" s="323" t="str">
        <f t="shared" si="6"/>
        <v/>
      </c>
      <c r="AK62" s="295" t="str">
        <f t="shared" si="7"/>
        <v/>
      </c>
      <c r="AL62" s="105"/>
      <c r="AM62" s="119"/>
      <c r="AN62" s="108"/>
      <c r="AO62" s="108"/>
      <c r="AQ62" s="30" t="str">
        <f>IFERROR(INDEX('G-6 Hedgerow Data'!$BJ$3:$BJ$15,MATCH(M62,'G-6 Hedgerow Data'!$B$3:$B$15,0)),"")</f>
        <v/>
      </c>
    </row>
    <row r="63" spans="2:43" ht="13.8" x14ac:dyDescent="0.25">
      <c r="B63" s="311" t="str">
        <f>'E-1 Off-Site Hedge Baseline'!AN61</f>
        <v/>
      </c>
      <c r="C63" s="301" t="str">
        <f>IF(B63="","",IF(ISNA(VLOOKUP($B63,'E-1 Off-Site Hedge Baseline'!$B$1:$L$257,3,FALSE)),"",(VLOOKUP($B63,'E-1 Off-Site Hedge Baseline'!$B$1:$L$257,3,FALSE))))</f>
        <v/>
      </c>
      <c r="D63" s="301" t="str">
        <f>IF(B63="","",IF(ISNA(VLOOKUP($B63,'E-1 Off-Site Hedge Baseline'!$B$1:$L$258,4,FALSE)),"",(VLOOKUP($B63,'E-1 Off-Site Hedge Baseline'!$B$1:$L$258,4,FALSE))))</f>
        <v/>
      </c>
      <c r="E63" s="301" t="str">
        <f>IF(B63="","",IF(ISNA(VLOOKUP($B63,'E-1 Off-Site Hedge Baseline'!$B$1:$L$257,5,FALSE)),"",(VLOOKUP($B63,'E-1 Off-Site Hedge Baseline'!$B$1:$L$257,5,FALSE))))</f>
        <v/>
      </c>
      <c r="F63" s="301" t="str">
        <f>IF(B63="","",IF(ISNA(VLOOKUP($B63,'E-1 Off-Site Hedge Baseline'!$B$1:$L$257,6,FALSE)),"",(VLOOKUP($B63,'E-1 Off-Site Hedge Baseline'!$B$1:$L$257,6,FALSE))))</f>
        <v/>
      </c>
      <c r="G63" s="301" t="str">
        <f>IF(B63="","",IF(ISNA(VLOOKUP($B63,'E-1 Off-Site Hedge Baseline'!$B$1:$L$257,7,FALSE)),"",(VLOOKUP($B63,'E-1 Off-Site Hedge Baseline'!$B$1:$L$257,7,FALSE))))</f>
        <v/>
      </c>
      <c r="H63" s="301" t="str">
        <f>IF(B63="","",IF(ISNA(VLOOKUP($B63,'E-1 Off-Site Hedge Baseline'!$B$1:$L$257,8,FALSE)),"",(VLOOKUP($B63,'E-1 Off-Site Hedge Baseline'!$B$1:$L$257,8,FALSE))))</f>
        <v/>
      </c>
      <c r="I63" s="301" t="str">
        <f>IF(B63="","",IF(ISNA(VLOOKUP($B63,'E-1 Off-Site Hedge Baseline'!$B$1:$L$257,10,FALSE)),"",(VLOOKUP($B63,'E-1 Off-Site Hedge Baseline'!$B$1:$L$257,10,FALSE))))</f>
        <v/>
      </c>
      <c r="J63" s="301" t="str">
        <f>IF(B63="","",IF(ISNA(VLOOKUP($B63,'E-1 Off-Site Hedge Baseline'!$B$1:$L$257,11,FALSE)),"",(VLOOKUP($B63,'E-1 Off-Site Hedge Baseline'!$B$1:$L$257,11,FALSE))))</f>
        <v/>
      </c>
      <c r="K63" s="301" t="str">
        <f>IF(B63="","",IF(ISNA(VLOOKUP($B63,'E-1 Off-Site Hedge Baseline'!$B$1:$X$257,16,FALSE)),"",(VLOOKUP($B63,'E-1 Off-Site Hedge Baseline'!$B$1:$X$257,16,FALSE))))</f>
        <v/>
      </c>
      <c r="L63" s="289" t="str">
        <f>IF(B63="","",IF(ISNA(VLOOKUP($B63,'E-1 Off-Site Hedge Baseline'!$B$1:$X$257,12,FALSE)),"",(VLOOKUP($B63,'E-1 Off-Site Hedge Baseline'!$B$1:$X$257,12,FALSE))))</f>
        <v/>
      </c>
      <c r="M63" s="250"/>
      <c r="N63" s="281" t="str">
        <f>IFERROR(IF(B63="","",INDEX('G-6 Hedgerow Data'!$AN$3:$AZ$15,MATCH(C63,'G-6 Hedgerow Data'!$AM$3:$AM$15,0),MATCH(M63,'G-6 Hedgerow Data'!$AN$2:$AZ$2,0))),"")</f>
        <v/>
      </c>
      <c r="O63" s="282" t="str">
        <f t="shared" si="1"/>
        <v/>
      </c>
      <c r="P63" s="287" t="str">
        <f>IF(B63="","",VLOOKUP(B63,'E-1 Off-Site Hedge Baseline'!$B$10:W308,19,FALSE))</f>
        <v/>
      </c>
      <c r="Q63" s="281" t="str">
        <f>IF(M63="","",VLOOKUP(M63,'G-6 Hedgerow Data'!$B$2:$AG$15,2,FALSE))</f>
        <v/>
      </c>
      <c r="R63" s="282" t="str">
        <f>IF(M63="","",VLOOKUP(M63,'G-6 Hedgerow Data'!$B$2:$AG$15,3,FALSE))</f>
        <v/>
      </c>
      <c r="S63" s="105"/>
      <c r="T63" s="282" t="str">
        <f>IFERROR(IF(S63="","",IF(AND(M63="Non-native and ornamental hedgerow", S63&lt;&gt;"Poor"),"Not possible ▲", (IF(AND(Q63="V.Low",OR(S63="Good",S63="Moderate")),"Error ▲",VLOOKUP(S63,'G-1 All Habitats'!$Z$2:$AA$9,2,FALSE))))),"")</f>
        <v/>
      </c>
      <c r="U63" s="105"/>
      <c r="V63" s="289" t="str">
        <f>IF(U63="","",IF(VLOOKUP(U63,'G-3 Multipliers'!$L$3:$N$6,2,FALSE)=0,"Spatial Data Missing ⚠",VLOOKUP(U63,'G-3 Multipliers'!$L$3:$N$6,2,FALSE)))</f>
        <v/>
      </c>
      <c r="W63" s="287" t="str">
        <f>IF(U63="","",IF(VLOOKUP(U63,'G-3 Multipliers'!$L$3:$N$6,3,FALSE)=0,"Spatial Data Missing ⚠",VLOOKUP(U63,'G-3 Multipliers'!$L$3:$N$6,3,FALSE)))</f>
        <v/>
      </c>
      <c r="X63" s="281" t="str">
        <f>IFERROR(IF(OR(LEFT(O63,5)="Error",LEFT(N63,5)="Error",T63="Error"),"Check Data ⚠",IF(F63&lt;R63,INDEX('G-6 Hedgerow Data'!$S$3:$AE$14,MATCH(C63,'G-6 Hedgerow Data'!$B$3:$B$14,0),MATCH(M63,'G-6 Hedgerow Data'!$S$2:$AE$2,0)),INDEX('G-6 Hedgerow Data'!$K$3:$Q$14,MATCH(M63,'G-6 Hedgerow Data'!$B$3:$B$14,0),MATCH(O63,'G-6 Hedgerow Data'!$K$2:$Q$2,0)))),"")</f>
        <v/>
      </c>
      <c r="Y63" s="137"/>
      <c r="Z63" s="137"/>
      <c r="AA63" s="289" t="str">
        <f t="shared" si="2"/>
        <v/>
      </c>
      <c r="AB63" s="302" t="str">
        <f t="shared" si="3"/>
        <v/>
      </c>
      <c r="AC63" s="303" t="str">
        <f t="shared" si="0"/>
        <v/>
      </c>
      <c r="AD63" s="317" t="str">
        <f>IF(M63="","",VLOOKUP(M63,'G-6 Hedgerow Data'!$B$3:$AG$15,31,FALSE))</f>
        <v/>
      </c>
      <c r="AE63" s="301" t="str">
        <f t="shared" si="4"/>
        <v/>
      </c>
      <c r="AF63" s="289" t="str">
        <f t="shared" si="5"/>
        <v/>
      </c>
      <c r="AG63" s="305" t="str">
        <f>IFERROR(IF(O63="","",VLOOKUP(AD63,'G-3 Multipliers'!$P$3:$Q$6,2,FALSE)),"")</f>
        <v/>
      </c>
      <c r="AH63" s="729" t="str">
        <f>IF(B63="","",IF(ISNA(VLOOKUP($B63,'E-1 Off-Site Hedge Baseline'!$B$1:$Z$257,14,FALSE)),"",(VLOOKUP($B63,'E-1 Off-Site Hedge Baseline'!$B$1:$Z$257,14,FALSE))))</f>
        <v/>
      </c>
      <c r="AI63" s="282" t="str">
        <f>IF(AH63="","",IF(VLOOKUP(AH63,'G-3 Multipliers'!$S$3:$T$10,2,FALSE)=0,"Spatial Data Missing ⚠",VLOOKUP(AH63,'G-3 Multipliers'!$S$3:$T$10,2,FALSE)))</f>
        <v/>
      </c>
      <c r="AJ63" s="323" t="str">
        <f t="shared" si="6"/>
        <v/>
      </c>
      <c r="AK63" s="295" t="str">
        <f t="shared" si="7"/>
        <v/>
      </c>
      <c r="AL63" s="105"/>
      <c r="AM63" s="119"/>
      <c r="AN63" s="108"/>
      <c r="AO63" s="108"/>
      <c r="AQ63" s="30" t="str">
        <f>IFERROR(INDEX('G-6 Hedgerow Data'!$BJ$3:$BJ$15,MATCH(M63,'G-6 Hedgerow Data'!$B$3:$B$15,0)),"")</f>
        <v/>
      </c>
    </row>
    <row r="64" spans="2:43" ht="13.8" x14ac:dyDescent="0.25">
      <c r="B64" s="311" t="str">
        <f>'E-1 Off-Site Hedge Baseline'!AN62</f>
        <v/>
      </c>
      <c r="C64" s="301" t="str">
        <f>IF(B64="","",IF(ISNA(VLOOKUP($B64,'E-1 Off-Site Hedge Baseline'!$B$1:$L$257,3,FALSE)),"",(VLOOKUP($B64,'E-1 Off-Site Hedge Baseline'!$B$1:$L$257,3,FALSE))))</f>
        <v/>
      </c>
      <c r="D64" s="301" t="str">
        <f>IF(B64="","",IF(ISNA(VLOOKUP($B64,'E-1 Off-Site Hedge Baseline'!$B$1:$L$258,4,FALSE)),"",(VLOOKUP($B64,'E-1 Off-Site Hedge Baseline'!$B$1:$L$258,4,FALSE))))</f>
        <v/>
      </c>
      <c r="E64" s="301" t="str">
        <f>IF(B64="","",IF(ISNA(VLOOKUP($B64,'E-1 Off-Site Hedge Baseline'!$B$1:$L$257,5,FALSE)),"",(VLOOKUP($B64,'E-1 Off-Site Hedge Baseline'!$B$1:$L$257,5,FALSE))))</f>
        <v/>
      </c>
      <c r="F64" s="301" t="str">
        <f>IF(B64="","",IF(ISNA(VLOOKUP($B64,'E-1 Off-Site Hedge Baseline'!$B$1:$L$257,6,FALSE)),"",(VLOOKUP($B64,'E-1 Off-Site Hedge Baseline'!$B$1:$L$257,6,FALSE))))</f>
        <v/>
      </c>
      <c r="G64" s="301" t="str">
        <f>IF(B64="","",IF(ISNA(VLOOKUP($B64,'E-1 Off-Site Hedge Baseline'!$B$1:$L$257,7,FALSE)),"",(VLOOKUP($B64,'E-1 Off-Site Hedge Baseline'!$B$1:$L$257,7,FALSE))))</f>
        <v/>
      </c>
      <c r="H64" s="301" t="str">
        <f>IF(B64="","",IF(ISNA(VLOOKUP($B64,'E-1 Off-Site Hedge Baseline'!$B$1:$L$257,8,FALSE)),"",(VLOOKUP($B64,'E-1 Off-Site Hedge Baseline'!$B$1:$L$257,8,FALSE))))</f>
        <v/>
      </c>
      <c r="I64" s="301" t="str">
        <f>IF(B64="","",IF(ISNA(VLOOKUP($B64,'E-1 Off-Site Hedge Baseline'!$B$1:$L$257,10,FALSE)),"",(VLOOKUP($B64,'E-1 Off-Site Hedge Baseline'!$B$1:$L$257,10,FALSE))))</f>
        <v/>
      </c>
      <c r="J64" s="301" t="str">
        <f>IF(B64="","",IF(ISNA(VLOOKUP($B64,'E-1 Off-Site Hedge Baseline'!$B$1:$L$257,11,FALSE)),"",(VLOOKUP($B64,'E-1 Off-Site Hedge Baseline'!$B$1:$L$257,11,FALSE))))</f>
        <v/>
      </c>
      <c r="K64" s="301" t="str">
        <f>IF(B64="","",IF(ISNA(VLOOKUP($B64,'E-1 Off-Site Hedge Baseline'!$B$1:$X$257,16,FALSE)),"",(VLOOKUP($B64,'E-1 Off-Site Hedge Baseline'!$B$1:$X$257,16,FALSE))))</f>
        <v/>
      </c>
      <c r="L64" s="289" t="str">
        <f>IF(B64="","",IF(ISNA(VLOOKUP($B64,'E-1 Off-Site Hedge Baseline'!$B$1:$X$257,12,FALSE)),"",(VLOOKUP($B64,'E-1 Off-Site Hedge Baseline'!$B$1:$X$257,12,FALSE))))</f>
        <v/>
      </c>
      <c r="M64" s="250"/>
      <c r="N64" s="281" t="str">
        <f>IFERROR(IF(B64="","",INDEX('G-6 Hedgerow Data'!$AN$3:$AZ$15,MATCH(C64,'G-6 Hedgerow Data'!$AM$3:$AM$15,0),MATCH(M64,'G-6 Hedgerow Data'!$AN$2:$AZ$2,0))),"")</f>
        <v/>
      </c>
      <c r="O64" s="282" t="str">
        <f t="shared" si="1"/>
        <v/>
      </c>
      <c r="P64" s="287" t="str">
        <f>IF(B64="","",VLOOKUP(B64,'E-1 Off-Site Hedge Baseline'!$B$10:W309,19,FALSE))</f>
        <v/>
      </c>
      <c r="Q64" s="281" t="str">
        <f>IF(M64="","",VLOOKUP(M64,'G-6 Hedgerow Data'!$B$2:$AG$15,2,FALSE))</f>
        <v/>
      </c>
      <c r="R64" s="282" t="str">
        <f>IF(M64="","",VLOOKUP(M64,'G-6 Hedgerow Data'!$B$2:$AG$15,3,FALSE))</f>
        <v/>
      </c>
      <c r="S64" s="105"/>
      <c r="T64" s="282" t="str">
        <f>IFERROR(IF(S64="","",IF(AND(M64="Non-native and ornamental hedgerow", S64&lt;&gt;"Poor"),"Not possible ▲", (IF(AND(Q64="V.Low",OR(S64="Good",S64="Moderate")),"Error ▲",VLOOKUP(S64,'G-1 All Habitats'!$Z$2:$AA$9,2,FALSE))))),"")</f>
        <v/>
      </c>
      <c r="U64" s="105"/>
      <c r="V64" s="289" t="str">
        <f>IF(U64="","",IF(VLOOKUP(U64,'G-3 Multipliers'!$L$3:$N$6,2,FALSE)=0,"Spatial Data Missing ⚠",VLOOKUP(U64,'G-3 Multipliers'!$L$3:$N$6,2,FALSE)))</f>
        <v/>
      </c>
      <c r="W64" s="287" t="str">
        <f>IF(U64="","",IF(VLOOKUP(U64,'G-3 Multipliers'!$L$3:$N$6,3,FALSE)=0,"Spatial Data Missing ⚠",VLOOKUP(U64,'G-3 Multipliers'!$L$3:$N$6,3,FALSE)))</f>
        <v/>
      </c>
      <c r="X64" s="281" t="str">
        <f>IFERROR(IF(OR(LEFT(O64,5)="Error",LEFT(N64,5)="Error",T64="Error"),"Check Data ⚠",IF(F64&lt;R64,INDEX('G-6 Hedgerow Data'!$S$3:$AE$14,MATCH(C64,'G-6 Hedgerow Data'!$B$3:$B$14,0),MATCH(M64,'G-6 Hedgerow Data'!$S$2:$AE$2,0)),INDEX('G-6 Hedgerow Data'!$K$3:$Q$14,MATCH(M64,'G-6 Hedgerow Data'!$B$3:$B$14,0),MATCH(O64,'G-6 Hedgerow Data'!$K$2:$Q$2,0)))),"")</f>
        <v/>
      </c>
      <c r="Y64" s="137"/>
      <c r="Z64" s="137"/>
      <c r="AA64" s="289" t="str">
        <f t="shared" si="2"/>
        <v/>
      </c>
      <c r="AB64" s="302" t="str">
        <f t="shared" si="3"/>
        <v/>
      </c>
      <c r="AC64" s="303" t="str">
        <f t="shared" si="0"/>
        <v/>
      </c>
      <c r="AD64" s="317" t="str">
        <f>IF(M64="","",VLOOKUP(M64,'G-6 Hedgerow Data'!$B$3:$AG$15,31,FALSE))</f>
        <v/>
      </c>
      <c r="AE64" s="301" t="str">
        <f t="shared" si="4"/>
        <v/>
      </c>
      <c r="AF64" s="289" t="str">
        <f t="shared" si="5"/>
        <v/>
      </c>
      <c r="AG64" s="305" t="str">
        <f>IFERROR(IF(O64="","",VLOOKUP(AD64,'G-3 Multipliers'!$P$3:$Q$6,2,FALSE)),"")</f>
        <v/>
      </c>
      <c r="AH64" s="729" t="str">
        <f>IF(B64="","",IF(ISNA(VLOOKUP($B64,'E-1 Off-Site Hedge Baseline'!$B$1:$Z$257,14,FALSE)),"",(VLOOKUP($B64,'E-1 Off-Site Hedge Baseline'!$B$1:$Z$257,14,FALSE))))</f>
        <v/>
      </c>
      <c r="AI64" s="282" t="str">
        <f>IF(AH64="","",IF(VLOOKUP(AH64,'G-3 Multipliers'!$S$3:$T$10,2,FALSE)=0,"Spatial Data Missing ⚠",VLOOKUP(AH64,'G-3 Multipliers'!$S$3:$T$10,2,FALSE)))</f>
        <v/>
      </c>
      <c r="AJ64" s="323" t="str">
        <f t="shared" si="6"/>
        <v/>
      </c>
      <c r="AK64" s="295" t="str">
        <f t="shared" si="7"/>
        <v/>
      </c>
      <c r="AL64" s="105"/>
      <c r="AM64" s="119"/>
      <c r="AN64" s="108"/>
      <c r="AO64" s="108"/>
      <c r="AQ64" s="30" t="str">
        <f>IFERROR(INDEX('G-6 Hedgerow Data'!$BJ$3:$BJ$15,MATCH(M64,'G-6 Hedgerow Data'!$B$3:$B$15,0)),"")</f>
        <v/>
      </c>
    </row>
    <row r="65" spans="2:43" ht="13.8" x14ac:dyDescent="0.25">
      <c r="B65" s="311" t="str">
        <f>'E-1 Off-Site Hedge Baseline'!AN63</f>
        <v/>
      </c>
      <c r="C65" s="301" t="str">
        <f>IF(B65="","",IF(ISNA(VLOOKUP($B65,'E-1 Off-Site Hedge Baseline'!$B$1:$L$257,3,FALSE)),"",(VLOOKUP($B65,'E-1 Off-Site Hedge Baseline'!$B$1:$L$257,3,FALSE))))</f>
        <v/>
      </c>
      <c r="D65" s="301" t="str">
        <f>IF(B65="","",IF(ISNA(VLOOKUP($B65,'E-1 Off-Site Hedge Baseline'!$B$1:$L$258,4,FALSE)),"",(VLOOKUP($B65,'E-1 Off-Site Hedge Baseline'!$B$1:$L$258,4,FALSE))))</f>
        <v/>
      </c>
      <c r="E65" s="301" t="str">
        <f>IF(B65="","",IF(ISNA(VLOOKUP($B65,'E-1 Off-Site Hedge Baseline'!$B$1:$L$257,5,FALSE)),"",(VLOOKUP($B65,'E-1 Off-Site Hedge Baseline'!$B$1:$L$257,5,FALSE))))</f>
        <v/>
      </c>
      <c r="F65" s="301" t="str">
        <f>IF(B65="","",IF(ISNA(VLOOKUP($B65,'E-1 Off-Site Hedge Baseline'!$B$1:$L$257,6,FALSE)),"",(VLOOKUP($B65,'E-1 Off-Site Hedge Baseline'!$B$1:$L$257,6,FALSE))))</f>
        <v/>
      </c>
      <c r="G65" s="301" t="str">
        <f>IF(B65="","",IF(ISNA(VLOOKUP($B65,'E-1 Off-Site Hedge Baseline'!$B$1:$L$257,7,FALSE)),"",(VLOOKUP($B65,'E-1 Off-Site Hedge Baseline'!$B$1:$L$257,7,FALSE))))</f>
        <v/>
      </c>
      <c r="H65" s="301" t="str">
        <f>IF(B65="","",IF(ISNA(VLOOKUP($B65,'E-1 Off-Site Hedge Baseline'!$B$1:$L$257,8,FALSE)),"",(VLOOKUP($B65,'E-1 Off-Site Hedge Baseline'!$B$1:$L$257,8,FALSE))))</f>
        <v/>
      </c>
      <c r="I65" s="301" t="str">
        <f>IF(B65="","",IF(ISNA(VLOOKUP($B65,'E-1 Off-Site Hedge Baseline'!$B$1:$L$257,10,FALSE)),"",(VLOOKUP($B65,'E-1 Off-Site Hedge Baseline'!$B$1:$L$257,10,FALSE))))</f>
        <v/>
      </c>
      <c r="J65" s="301" t="str">
        <f>IF(B65="","",IF(ISNA(VLOOKUP($B65,'E-1 Off-Site Hedge Baseline'!$B$1:$L$257,11,FALSE)),"",(VLOOKUP($B65,'E-1 Off-Site Hedge Baseline'!$B$1:$L$257,11,FALSE))))</f>
        <v/>
      </c>
      <c r="K65" s="301" t="str">
        <f>IF(B65="","",IF(ISNA(VLOOKUP($B65,'E-1 Off-Site Hedge Baseline'!$B$1:$X$257,16,FALSE)),"",(VLOOKUP($B65,'E-1 Off-Site Hedge Baseline'!$B$1:$X$257,16,FALSE))))</f>
        <v/>
      </c>
      <c r="L65" s="289" t="str">
        <f>IF(B65="","",IF(ISNA(VLOOKUP($B65,'E-1 Off-Site Hedge Baseline'!$B$1:$X$257,12,FALSE)),"",(VLOOKUP($B65,'E-1 Off-Site Hedge Baseline'!$B$1:$X$257,12,FALSE))))</f>
        <v/>
      </c>
      <c r="M65" s="250"/>
      <c r="N65" s="281" t="str">
        <f>IFERROR(IF(B65="","",INDEX('G-6 Hedgerow Data'!$AN$3:$AZ$15,MATCH(C65,'G-6 Hedgerow Data'!$AM$3:$AM$15,0),MATCH(M65,'G-6 Hedgerow Data'!$AN$2:$AZ$2,0))),"")</f>
        <v/>
      </c>
      <c r="O65" s="282" t="str">
        <f t="shared" si="1"/>
        <v/>
      </c>
      <c r="P65" s="287" t="str">
        <f>IF(B65="","",VLOOKUP(B65,'E-1 Off-Site Hedge Baseline'!$B$10:W310,19,FALSE))</f>
        <v/>
      </c>
      <c r="Q65" s="281" t="str">
        <f>IF(M65="","",VLOOKUP(M65,'G-6 Hedgerow Data'!$B$2:$AG$15,2,FALSE))</f>
        <v/>
      </c>
      <c r="R65" s="282" t="str">
        <f>IF(M65="","",VLOOKUP(M65,'G-6 Hedgerow Data'!$B$2:$AG$15,3,FALSE))</f>
        <v/>
      </c>
      <c r="S65" s="105"/>
      <c r="T65" s="282" t="str">
        <f>IFERROR(IF(S65="","",IF(AND(M65="Non-native and ornamental hedgerow", S65&lt;&gt;"Poor"),"Not possible ▲", (IF(AND(Q65="V.Low",OR(S65="Good",S65="Moderate")),"Error ▲",VLOOKUP(S65,'G-1 All Habitats'!$Z$2:$AA$9,2,FALSE))))),"")</f>
        <v/>
      </c>
      <c r="U65" s="105"/>
      <c r="V65" s="289" t="str">
        <f>IF(U65="","",IF(VLOOKUP(U65,'G-3 Multipliers'!$L$3:$N$6,2,FALSE)=0,"Spatial Data Missing ⚠",VLOOKUP(U65,'G-3 Multipliers'!$L$3:$N$6,2,FALSE)))</f>
        <v/>
      </c>
      <c r="W65" s="287" t="str">
        <f>IF(U65="","",IF(VLOOKUP(U65,'G-3 Multipliers'!$L$3:$N$6,3,FALSE)=0,"Spatial Data Missing ⚠",VLOOKUP(U65,'G-3 Multipliers'!$L$3:$N$6,3,FALSE)))</f>
        <v/>
      </c>
      <c r="X65" s="281" t="str">
        <f>IFERROR(IF(OR(LEFT(O65,5)="Error",LEFT(N65,5)="Error",T65="Error"),"Check Data ⚠",IF(F65&lt;R65,INDEX('G-6 Hedgerow Data'!$S$3:$AE$14,MATCH(C65,'G-6 Hedgerow Data'!$B$3:$B$14,0),MATCH(M65,'G-6 Hedgerow Data'!$S$2:$AE$2,0)),INDEX('G-6 Hedgerow Data'!$K$3:$Q$14,MATCH(M65,'G-6 Hedgerow Data'!$B$3:$B$14,0),MATCH(O65,'G-6 Hedgerow Data'!$K$2:$Q$2,0)))),"")</f>
        <v/>
      </c>
      <c r="Y65" s="137"/>
      <c r="Z65" s="137"/>
      <c r="AA65" s="289" t="str">
        <f t="shared" si="2"/>
        <v/>
      </c>
      <c r="AB65" s="302" t="str">
        <f t="shared" si="3"/>
        <v/>
      </c>
      <c r="AC65" s="303" t="str">
        <f t="shared" si="0"/>
        <v/>
      </c>
      <c r="AD65" s="317" t="str">
        <f>IF(M65="","",VLOOKUP(M65,'G-6 Hedgerow Data'!$B$3:$AG$15,31,FALSE))</f>
        <v/>
      </c>
      <c r="AE65" s="301" t="str">
        <f t="shared" si="4"/>
        <v/>
      </c>
      <c r="AF65" s="289" t="str">
        <f t="shared" si="5"/>
        <v/>
      </c>
      <c r="AG65" s="305" t="str">
        <f>IFERROR(IF(O65="","",VLOOKUP(AD65,'G-3 Multipliers'!$P$3:$Q$6,2,FALSE)),"")</f>
        <v/>
      </c>
      <c r="AH65" s="729" t="str">
        <f>IF(B65="","",IF(ISNA(VLOOKUP($B65,'E-1 Off-Site Hedge Baseline'!$B$1:$Z$257,14,FALSE)),"",(VLOOKUP($B65,'E-1 Off-Site Hedge Baseline'!$B$1:$Z$257,14,FALSE))))</f>
        <v/>
      </c>
      <c r="AI65" s="282" t="str">
        <f>IF(AH65="","",IF(VLOOKUP(AH65,'G-3 Multipliers'!$S$3:$T$10,2,FALSE)=0,"Spatial Data Missing ⚠",VLOOKUP(AH65,'G-3 Multipliers'!$S$3:$T$10,2,FALSE)))</f>
        <v/>
      </c>
      <c r="AJ65" s="323" t="str">
        <f t="shared" si="6"/>
        <v/>
      </c>
      <c r="AK65" s="295" t="str">
        <f t="shared" si="7"/>
        <v/>
      </c>
      <c r="AL65" s="105"/>
      <c r="AM65" s="119"/>
      <c r="AN65" s="108"/>
      <c r="AO65" s="108"/>
      <c r="AQ65" s="30" t="str">
        <f>IFERROR(INDEX('G-6 Hedgerow Data'!$BJ$3:$BJ$15,MATCH(M65,'G-6 Hedgerow Data'!$B$3:$B$15,0)),"")</f>
        <v/>
      </c>
    </row>
    <row r="66" spans="2:43" ht="13.8" x14ac:dyDescent="0.25">
      <c r="B66" s="311" t="str">
        <f>'E-1 Off-Site Hedge Baseline'!AN64</f>
        <v/>
      </c>
      <c r="C66" s="301" t="str">
        <f>IF(B66="","",IF(ISNA(VLOOKUP($B66,'E-1 Off-Site Hedge Baseline'!$B$1:$L$257,3,FALSE)),"",(VLOOKUP($B66,'E-1 Off-Site Hedge Baseline'!$B$1:$L$257,3,FALSE))))</f>
        <v/>
      </c>
      <c r="D66" s="301" t="str">
        <f>IF(B66="","",IF(ISNA(VLOOKUP($B66,'E-1 Off-Site Hedge Baseline'!$B$1:$L$258,4,FALSE)),"",(VLOOKUP($B66,'E-1 Off-Site Hedge Baseline'!$B$1:$L$258,4,FALSE))))</f>
        <v/>
      </c>
      <c r="E66" s="301" t="str">
        <f>IF(B66="","",IF(ISNA(VLOOKUP($B66,'E-1 Off-Site Hedge Baseline'!$B$1:$L$257,5,FALSE)),"",(VLOOKUP($B66,'E-1 Off-Site Hedge Baseline'!$B$1:$L$257,5,FALSE))))</f>
        <v/>
      </c>
      <c r="F66" s="301" t="str">
        <f>IF(B66="","",IF(ISNA(VLOOKUP($B66,'E-1 Off-Site Hedge Baseline'!$B$1:$L$257,6,FALSE)),"",(VLOOKUP($B66,'E-1 Off-Site Hedge Baseline'!$B$1:$L$257,6,FALSE))))</f>
        <v/>
      </c>
      <c r="G66" s="301" t="str">
        <f>IF(B66="","",IF(ISNA(VLOOKUP($B66,'E-1 Off-Site Hedge Baseline'!$B$1:$L$257,7,FALSE)),"",(VLOOKUP($B66,'E-1 Off-Site Hedge Baseline'!$B$1:$L$257,7,FALSE))))</f>
        <v/>
      </c>
      <c r="H66" s="301" t="str">
        <f>IF(B66="","",IF(ISNA(VLOOKUP($B66,'E-1 Off-Site Hedge Baseline'!$B$1:$L$257,8,FALSE)),"",(VLOOKUP($B66,'E-1 Off-Site Hedge Baseline'!$B$1:$L$257,8,FALSE))))</f>
        <v/>
      </c>
      <c r="I66" s="301" t="str">
        <f>IF(B66="","",IF(ISNA(VLOOKUP($B66,'E-1 Off-Site Hedge Baseline'!$B$1:$L$257,10,FALSE)),"",(VLOOKUP($B66,'E-1 Off-Site Hedge Baseline'!$B$1:$L$257,10,FALSE))))</f>
        <v/>
      </c>
      <c r="J66" s="301" t="str">
        <f>IF(B66="","",IF(ISNA(VLOOKUP($B66,'E-1 Off-Site Hedge Baseline'!$B$1:$L$257,11,FALSE)),"",(VLOOKUP($B66,'E-1 Off-Site Hedge Baseline'!$B$1:$L$257,11,FALSE))))</f>
        <v/>
      </c>
      <c r="K66" s="301" t="str">
        <f>IF(B66="","",IF(ISNA(VLOOKUP($B66,'E-1 Off-Site Hedge Baseline'!$B$1:$X$257,16,FALSE)),"",(VLOOKUP($B66,'E-1 Off-Site Hedge Baseline'!$B$1:$X$257,16,FALSE))))</f>
        <v/>
      </c>
      <c r="L66" s="289" t="str">
        <f>IF(B66="","",IF(ISNA(VLOOKUP($B66,'E-1 Off-Site Hedge Baseline'!$B$1:$X$257,12,FALSE)),"",(VLOOKUP($B66,'E-1 Off-Site Hedge Baseline'!$B$1:$X$257,12,FALSE))))</f>
        <v/>
      </c>
      <c r="M66" s="250"/>
      <c r="N66" s="281" t="str">
        <f>IFERROR(IF(B66="","",INDEX('G-6 Hedgerow Data'!$AN$3:$AZ$15,MATCH(C66,'G-6 Hedgerow Data'!$AM$3:$AM$15,0),MATCH(M66,'G-6 Hedgerow Data'!$AN$2:$AZ$2,0))),"")</f>
        <v/>
      </c>
      <c r="O66" s="282" t="str">
        <f t="shared" si="1"/>
        <v/>
      </c>
      <c r="P66" s="287" t="str">
        <f>IF(B66="","",VLOOKUP(B66,'E-1 Off-Site Hedge Baseline'!$B$10:W311,19,FALSE))</f>
        <v/>
      </c>
      <c r="Q66" s="281" t="str">
        <f>IF(M66="","",VLOOKUP(M66,'G-6 Hedgerow Data'!$B$2:$AG$15,2,FALSE))</f>
        <v/>
      </c>
      <c r="R66" s="282" t="str">
        <f>IF(M66="","",VLOOKUP(M66,'G-6 Hedgerow Data'!$B$2:$AG$15,3,FALSE))</f>
        <v/>
      </c>
      <c r="S66" s="105"/>
      <c r="T66" s="282" t="str">
        <f>IFERROR(IF(S66="","",IF(AND(M66="Non-native and ornamental hedgerow", S66&lt;&gt;"Poor"),"Not possible ▲", (IF(AND(Q66="V.Low",OR(S66="Good",S66="Moderate")),"Error ▲",VLOOKUP(S66,'G-1 All Habitats'!$Z$2:$AA$9,2,FALSE))))),"")</f>
        <v/>
      </c>
      <c r="U66" s="105"/>
      <c r="V66" s="289" t="str">
        <f>IF(U66="","",IF(VLOOKUP(U66,'G-3 Multipliers'!$L$3:$N$6,2,FALSE)=0,"Spatial Data Missing ⚠",VLOOKUP(U66,'G-3 Multipliers'!$L$3:$N$6,2,FALSE)))</f>
        <v/>
      </c>
      <c r="W66" s="287" t="str">
        <f>IF(U66="","",IF(VLOOKUP(U66,'G-3 Multipliers'!$L$3:$N$6,3,FALSE)=0,"Spatial Data Missing ⚠",VLOOKUP(U66,'G-3 Multipliers'!$L$3:$N$6,3,FALSE)))</f>
        <v/>
      </c>
      <c r="X66" s="281" t="str">
        <f>IFERROR(IF(OR(LEFT(O66,5)="Error",LEFT(N66,5)="Error",T66="Error"),"Check Data ⚠",IF(F66&lt;R66,INDEX('G-6 Hedgerow Data'!$S$3:$AE$14,MATCH(C66,'G-6 Hedgerow Data'!$B$3:$B$14,0),MATCH(M66,'G-6 Hedgerow Data'!$S$2:$AE$2,0)),INDEX('G-6 Hedgerow Data'!$K$3:$Q$14,MATCH(M66,'G-6 Hedgerow Data'!$B$3:$B$14,0),MATCH(O66,'G-6 Hedgerow Data'!$K$2:$Q$2,0)))),"")</f>
        <v/>
      </c>
      <c r="Y66" s="137"/>
      <c r="Z66" s="137"/>
      <c r="AA66" s="289" t="str">
        <f t="shared" si="2"/>
        <v/>
      </c>
      <c r="AB66" s="302" t="str">
        <f t="shared" si="3"/>
        <v/>
      </c>
      <c r="AC66" s="303" t="str">
        <f t="shared" si="0"/>
        <v/>
      </c>
      <c r="AD66" s="317" t="str">
        <f>IF(M66="","",VLOOKUP(M66,'G-6 Hedgerow Data'!$B$3:$AG$15,31,FALSE))</f>
        <v/>
      </c>
      <c r="AE66" s="301" t="str">
        <f t="shared" si="4"/>
        <v/>
      </c>
      <c r="AF66" s="289" t="str">
        <f t="shared" si="5"/>
        <v/>
      </c>
      <c r="AG66" s="305" t="str">
        <f>IFERROR(IF(O66="","",VLOOKUP(AD66,'G-3 Multipliers'!$P$3:$Q$6,2,FALSE)),"")</f>
        <v/>
      </c>
      <c r="AH66" s="729" t="str">
        <f>IF(B66="","",IF(ISNA(VLOOKUP($B66,'E-1 Off-Site Hedge Baseline'!$B$1:$Z$257,14,FALSE)),"",(VLOOKUP($B66,'E-1 Off-Site Hedge Baseline'!$B$1:$Z$257,14,FALSE))))</f>
        <v/>
      </c>
      <c r="AI66" s="282" t="str">
        <f>IF(AH66="","",IF(VLOOKUP(AH66,'G-3 Multipliers'!$S$3:$T$10,2,FALSE)=0,"Spatial Data Missing ⚠",VLOOKUP(AH66,'G-3 Multipliers'!$S$3:$T$10,2,FALSE)))</f>
        <v/>
      </c>
      <c r="AJ66" s="323" t="str">
        <f t="shared" si="6"/>
        <v/>
      </c>
      <c r="AK66" s="295" t="str">
        <f t="shared" si="7"/>
        <v/>
      </c>
      <c r="AL66" s="105"/>
      <c r="AM66" s="119"/>
      <c r="AN66" s="108"/>
      <c r="AO66" s="108"/>
      <c r="AQ66" s="30" t="str">
        <f>IFERROR(INDEX('G-6 Hedgerow Data'!$BJ$3:$BJ$15,MATCH(M66,'G-6 Hedgerow Data'!$B$3:$B$15,0)),"")</f>
        <v/>
      </c>
    </row>
    <row r="67" spans="2:43" ht="13.8" x14ac:dyDescent="0.25">
      <c r="B67" s="311" t="str">
        <f>'E-1 Off-Site Hedge Baseline'!AN65</f>
        <v/>
      </c>
      <c r="C67" s="301" t="str">
        <f>IF(B67="","",IF(ISNA(VLOOKUP($B67,'E-1 Off-Site Hedge Baseline'!$B$1:$L$257,3,FALSE)),"",(VLOOKUP($B67,'E-1 Off-Site Hedge Baseline'!$B$1:$L$257,3,FALSE))))</f>
        <v/>
      </c>
      <c r="D67" s="301" t="str">
        <f>IF(B67="","",IF(ISNA(VLOOKUP($B67,'E-1 Off-Site Hedge Baseline'!$B$1:$L$258,4,FALSE)),"",(VLOOKUP($B67,'E-1 Off-Site Hedge Baseline'!$B$1:$L$258,4,FALSE))))</f>
        <v/>
      </c>
      <c r="E67" s="301" t="str">
        <f>IF(B67="","",IF(ISNA(VLOOKUP($B67,'E-1 Off-Site Hedge Baseline'!$B$1:$L$257,5,FALSE)),"",(VLOOKUP($B67,'E-1 Off-Site Hedge Baseline'!$B$1:$L$257,5,FALSE))))</f>
        <v/>
      </c>
      <c r="F67" s="301" t="str">
        <f>IF(B67="","",IF(ISNA(VLOOKUP($B67,'E-1 Off-Site Hedge Baseline'!$B$1:$L$257,6,FALSE)),"",(VLOOKUP($B67,'E-1 Off-Site Hedge Baseline'!$B$1:$L$257,6,FALSE))))</f>
        <v/>
      </c>
      <c r="G67" s="301" t="str">
        <f>IF(B67="","",IF(ISNA(VLOOKUP($B67,'E-1 Off-Site Hedge Baseline'!$B$1:$L$257,7,FALSE)),"",(VLOOKUP($B67,'E-1 Off-Site Hedge Baseline'!$B$1:$L$257,7,FALSE))))</f>
        <v/>
      </c>
      <c r="H67" s="301" t="str">
        <f>IF(B67="","",IF(ISNA(VLOOKUP($B67,'E-1 Off-Site Hedge Baseline'!$B$1:$L$257,8,FALSE)),"",(VLOOKUP($B67,'E-1 Off-Site Hedge Baseline'!$B$1:$L$257,8,FALSE))))</f>
        <v/>
      </c>
      <c r="I67" s="301" t="str">
        <f>IF(B67="","",IF(ISNA(VLOOKUP($B67,'E-1 Off-Site Hedge Baseline'!$B$1:$L$257,10,FALSE)),"",(VLOOKUP($B67,'E-1 Off-Site Hedge Baseline'!$B$1:$L$257,10,FALSE))))</f>
        <v/>
      </c>
      <c r="J67" s="301" t="str">
        <f>IF(B67="","",IF(ISNA(VLOOKUP($B67,'E-1 Off-Site Hedge Baseline'!$B$1:$L$257,11,FALSE)),"",(VLOOKUP($B67,'E-1 Off-Site Hedge Baseline'!$B$1:$L$257,11,FALSE))))</f>
        <v/>
      </c>
      <c r="K67" s="301" t="str">
        <f>IF(B67="","",IF(ISNA(VLOOKUP($B67,'E-1 Off-Site Hedge Baseline'!$B$1:$X$257,16,FALSE)),"",(VLOOKUP($B67,'E-1 Off-Site Hedge Baseline'!$B$1:$X$257,16,FALSE))))</f>
        <v/>
      </c>
      <c r="L67" s="289" t="str">
        <f>IF(B67="","",IF(ISNA(VLOOKUP($B67,'E-1 Off-Site Hedge Baseline'!$B$1:$X$257,12,FALSE)),"",(VLOOKUP($B67,'E-1 Off-Site Hedge Baseline'!$B$1:$X$257,12,FALSE))))</f>
        <v/>
      </c>
      <c r="M67" s="250"/>
      <c r="N67" s="281" t="str">
        <f>IFERROR(IF(B67="","",INDEX('G-6 Hedgerow Data'!$AN$3:$AZ$15,MATCH(C67,'G-6 Hedgerow Data'!$AM$3:$AM$15,0),MATCH(M67,'G-6 Hedgerow Data'!$AN$2:$AZ$2,0))),"")</f>
        <v/>
      </c>
      <c r="O67" s="282" t="str">
        <f t="shared" si="1"/>
        <v/>
      </c>
      <c r="P67" s="287" t="str">
        <f>IF(B67="","",VLOOKUP(B67,'E-1 Off-Site Hedge Baseline'!$B$10:W312,19,FALSE))</f>
        <v/>
      </c>
      <c r="Q67" s="281" t="str">
        <f>IF(M67="","",VLOOKUP(M67,'G-6 Hedgerow Data'!$B$2:$AG$15,2,FALSE))</f>
        <v/>
      </c>
      <c r="R67" s="282" t="str">
        <f>IF(M67="","",VLOOKUP(M67,'G-6 Hedgerow Data'!$B$2:$AG$15,3,FALSE))</f>
        <v/>
      </c>
      <c r="S67" s="105"/>
      <c r="T67" s="282" t="str">
        <f>IFERROR(IF(S67="","",IF(AND(M67="Non-native and ornamental hedgerow", S67&lt;&gt;"Poor"),"Not possible ▲", (IF(AND(Q67="V.Low",OR(S67="Good",S67="Moderate")),"Error ▲",VLOOKUP(S67,'G-1 All Habitats'!$Z$2:$AA$9,2,FALSE))))),"")</f>
        <v/>
      </c>
      <c r="U67" s="105"/>
      <c r="V67" s="289" t="str">
        <f>IF(U67="","",IF(VLOOKUP(U67,'G-3 Multipliers'!$L$3:$N$6,2,FALSE)=0,"Spatial Data Missing ⚠",VLOOKUP(U67,'G-3 Multipliers'!$L$3:$N$6,2,FALSE)))</f>
        <v/>
      </c>
      <c r="W67" s="287" t="str">
        <f>IF(U67="","",IF(VLOOKUP(U67,'G-3 Multipliers'!$L$3:$N$6,3,FALSE)=0,"Spatial Data Missing ⚠",VLOOKUP(U67,'G-3 Multipliers'!$L$3:$N$6,3,FALSE)))</f>
        <v/>
      </c>
      <c r="X67" s="281" t="str">
        <f>IFERROR(IF(OR(LEFT(O67,5)="Error",LEFT(N67,5)="Error",T67="Error"),"Check Data ⚠",IF(F67&lt;R67,INDEX('G-6 Hedgerow Data'!$S$3:$AE$14,MATCH(C67,'G-6 Hedgerow Data'!$B$3:$B$14,0),MATCH(M67,'G-6 Hedgerow Data'!$S$2:$AE$2,0)),INDEX('G-6 Hedgerow Data'!$K$3:$Q$14,MATCH(M67,'G-6 Hedgerow Data'!$B$3:$B$14,0),MATCH(O67,'G-6 Hedgerow Data'!$K$2:$Q$2,0)))),"")</f>
        <v/>
      </c>
      <c r="Y67" s="137"/>
      <c r="Z67" s="137"/>
      <c r="AA67" s="289" t="str">
        <f t="shared" si="2"/>
        <v/>
      </c>
      <c r="AB67" s="302" t="str">
        <f t="shared" si="3"/>
        <v/>
      </c>
      <c r="AC67" s="303" t="str">
        <f t="shared" si="0"/>
        <v/>
      </c>
      <c r="AD67" s="317" t="str">
        <f>IF(M67="","",VLOOKUP(M67,'G-6 Hedgerow Data'!$B$3:$AG$15,31,FALSE))</f>
        <v/>
      </c>
      <c r="AE67" s="301" t="str">
        <f t="shared" si="4"/>
        <v/>
      </c>
      <c r="AF67" s="289" t="str">
        <f t="shared" si="5"/>
        <v/>
      </c>
      <c r="AG67" s="305" t="str">
        <f>IFERROR(IF(O67="","",VLOOKUP(AD67,'G-3 Multipliers'!$P$3:$Q$6,2,FALSE)),"")</f>
        <v/>
      </c>
      <c r="AH67" s="729" t="str">
        <f>IF(B67="","",IF(ISNA(VLOOKUP($B67,'E-1 Off-Site Hedge Baseline'!$B$1:$Z$257,14,FALSE)),"",(VLOOKUP($B67,'E-1 Off-Site Hedge Baseline'!$B$1:$Z$257,14,FALSE))))</f>
        <v/>
      </c>
      <c r="AI67" s="282" t="str">
        <f>IF(AH67="","",IF(VLOOKUP(AH67,'G-3 Multipliers'!$S$3:$T$10,2,FALSE)=0,"Spatial Data Missing ⚠",VLOOKUP(AH67,'G-3 Multipliers'!$S$3:$T$10,2,FALSE)))</f>
        <v/>
      </c>
      <c r="AJ67" s="323" t="str">
        <f t="shared" si="6"/>
        <v/>
      </c>
      <c r="AK67" s="295" t="str">
        <f t="shared" si="7"/>
        <v/>
      </c>
      <c r="AL67" s="105"/>
      <c r="AM67" s="119"/>
      <c r="AN67" s="108"/>
      <c r="AO67" s="108"/>
      <c r="AQ67" s="30" t="str">
        <f>IFERROR(INDEX('G-6 Hedgerow Data'!$BJ$3:$BJ$15,MATCH(M67,'G-6 Hedgerow Data'!$B$3:$B$15,0)),"")</f>
        <v/>
      </c>
    </row>
    <row r="68" spans="2:43" ht="13.8" x14ac:dyDescent="0.25">
      <c r="B68" s="311" t="str">
        <f>'E-1 Off-Site Hedge Baseline'!AN66</f>
        <v/>
      </c>
      <c r="C68" s="301" t="str">
        <f>IF(B68="","",IF(ISNA(VLOOKUP($B68,'E-1 Off-Site Hedge Baseline'!$B$1:$L$257,3,FALSE)),"",(VLOOKUP($B68,'E-1 Off-Site Hedge Baseline'!$B$1:$L$257,3,FALSE))))</f>
        <v/>
      </c>
      <c r="D68" s="301" t="str">
        <f>IF(B68="","",IF(ISNA(VLOOKUP($B68,'E-1 Off-Site Hedge Baseline'!$B$1:$L$258,4,FALSE)),"",(VLOOKUP($B68,'E-1 Off-Site Hedge Baseline'!$B$1:$L$258,4,FALSE))))</f>
        <v/>
      </c>
      <c r="E68" s="301" t="str">
        <f>IF(B68="","",IF(ISNA(VLOOKUP($B68,'E-1 Off-Site Hedge Baseline'!$B$1:$L$257,5,FALSE)),"",(VLOOKUP($B68,'E-1 Off-Site Hedge Baseline'!$B$1:$L$257,5,FALSE))))</f>
        <v/>
      </c>
      <c r="F68" s="301" t="str">
        <f>IF(B68="","",IF(ISNA(VLOOKUP($B68,'E-1 Off-Site Hedge Baseline'!$B$1:$L$257,6,FALSE)),"",(VLOOKUP($B68,'E-1 Off-Site Hedge Baseline'!$B$1:$L$257,6,FALSE))))</f>
        <v/>
      </c>
      <c r="G68" s="301" t="str">
        <f>IF(B68="","",IF(ISNA(VLOOKUP($B68,'E-1 Off-Site Hedge Baseline'!$B$1:$L$257,7,FALSE)),"",(VLOOKUP($B68,'E-1 Off-Site Hedge Baseline'!$B$1:$L$257,7,FALSE))))</f>
        <v/>
      </c>
      <c r="H68" s="301" t="str">
        <f>IF(B68="","",IF(ISNA(VLOOKUP($B68,'E-1 Off-Site Hedge Baseline'!$B$1:$L$257,8,FALSE)),"",(VLOOKUP($B68,'E-1 Off-Site Hedge Baseline'!$B$1:$L$257,8,FALSE))))</f>
        <v/>
      </c>
      <c r="I68" s="301" t="str">
        <f>IF(B68="","",IF(ISNA(VLOOKUP($B68,'E-1 Off-Site Hedge Baseline'!$B$1:$L$257,10,FALSE)),"",(VLOOKUP($B68,'E-1 Off-Site Hedge Baseline'!$B$1:$L$257,10,FALSE))))</f>
        <v/>
      </c>
      <c r="J68" s="301" t="str">
        <f>IF(B68="","",IF(ISNA(VLOOKUP($B68,'E-1 Off-Site Hedge Baseline'!$B$1:$L$257,11,FALSE)),"",(VLOOKUP($B68,'E-1 Off-Site Hedge Baseline'!$B$1:$L$257,11,FALSE))))</f>
        <v/>
      </c>
      <c r="K68" s="301" t="str">
        <f>IF(B68="","",IF(ISNA(VLOOKUP($B68,'E-1 Off-Site Hedge Baseline'!$B$1:$X$257,16,FALSE)),"",(VLOOKUP($B68,'E-1 Off-Site Hedge Baseline'!$B$1:$X$257,16,FALSE))))</f>
        <v/>
      </c>
      <c r="L68" s="289" t="str">
        <f>IF(B68="","",IF(ISNA(VLOOKUP($B68,'E-1 Off-Site Hedge Baseline'!$B$1:$X$257,12,FALSE)),"",(VLOOKUP($B68,'E-1 Off-Site Hedge Baseline'!$B$1:$X$257,12,FALSE))))</f>
        <v/>
      </c>
      <c r="M68" s="250"/>
      <c r="N68" s="281" t="str">
        <f>IFERROR(IF(B68="","",INDEX('G-6 Hedgerow Data'!$AN$3:$AZ$15,MATCH(C68,'G-6 Hedgerow Data'!$AM$3:$AM$15,0),MATCH(M68,'G-6 Hedgerow Data'!$AN$2:$AZ$2,0))),"")</f>
        <v/>
      </c>
      <c r="O68" s="282" t="str">
        <f t="shared" si="1"/>
        <v/>
      </c>
      <c r="P68" s="287" t="str">
        <f>IF(B68="","",VLOOKUP(B68,'E-1 Off-Site Hedge Baseline'!$B$10:W313,19,FALSE))</f>
        <v/>
      </c>
      <c r="Q68" s="281" t="str">
        <f>IF(M68="","",VLOOKUP(M68,'G-6 Hedgerow Data'!$B$2:$AG$15,2,FALSE))</f>
        <v/>
      </c>
      <c r="R68" s="282" t="str">
        <f>IF(M68="","",VLOOKUP(M68,'G-6 Hedgerow Data'!$B$2:$AG$15,3,FALSE))</f>
        <v/>
      </c>
      <c r="S68" s="105"/>
      <c r="T68" s="282" t="str">
        <f>IFERROR(IF(S68="","",IF(AND(M68="Non-native and ornamental hedgerow", S68&lt;&gt;"Poor"),"Not possible ▲", (IF(AND(Q68="V.Low",OR(S68="Good",S68="Moderate")),"Error ▲",VLOOKUP(S68,'G-1 All Habitats'!$Z$2:$AA$9,2,FALSE))))),"")</f>
        <v/>
      </c>
      <c r="U68" s="105"/>
      <c r="V68" s="289" t="str">
        <f>IF(U68="","",IF(VLOOKUP(U68,'G-3 Multipliers'!$L$3:$N$6,2,FALSE)=0,"Spatial Data Missing ⚠",VLOOKUP(U68,'G-3 Multipliers'!$L$3:$N$6,2,FALSE)))</f>
        <v/>
      </c>
      <c r="W68" s="287" t="str">
        <f>IF(U68="","",IF(VLOOKUP(U68,'G-3 Multipliers'!$L$3:$N$6,3,FALSE)=0,"Spatial Data Missing ⚠",VLOOKUP(U68,'G-3 Multipliers'!$L$3:$N$6,3,FALSE)))</f>
        <v/>
      </c>
      <c r="X68" s="281" t="str">
        <f>IFERROR(IF(OR(LEFT(O68,5)="Error",LEFT(N68,5)="Error",T68="Error"),"Check Data ⚠",IF(F68&lt;R68,INDEX('G-6 Hedgerow Data'!$S$3:$AE$14,MATCH(C68,'G-6 Hedgerow Data'!$B$3:$B$14,0),MATCH(M68,'G-6 Hedgerow Data'!$S$2:$AE$2,0)),INDEX('G-6 Hedgerow Data'!$K$3:$Q$14,MATCH(M68,'G-6 Hedgerow Data'!$B$3:$B$14,0),MATCH(O68,'G-6 Hedgerow Data'!$K$2:$Q$2,0)))),"")</f>
        <v/>
      </c>
      <c r="Y68" s="137"/>
      <c r="Z68" s="137"/>
      <c r="AA68" s="289" t="str">
        <f t="shared" si="2"/>
        <v/>
      </c>
      <c r="AB68" s="302" t="str">
        <f t="shared" si="3"/>
        <v/>
      </c>
      <c r="AC68" s="303" t="str">
        <f t="shared" si="0"/>
        <v/>
      </c>
      <c r="AD68" s="317" t="str">
        <f>IF(M68="","",VLOOKUP(M68,'G-6 Hedgerow Data'!$B$3:$AG$15,31,FALSE))</f>
        <v/>
      </c>
      <c r="AE68" s="301" t="str">
        <f t="shared" si="4"/>
        <v/>
      </c>
      <c r="AF68" s="289" t="str">
        <f t="shared" si="5"/>
        <v/>
      </c>
      <c r="AG68" s="305" t="str">
        <f>IFERROR(IF(O68="","",VLOOKUP(AD68,'G-3 Multipliers'!$P$3:$Q$6,2,FALSE)),"")</f>
        <v/>
      </c>
      <c r="AH68" s="729" t="str">
        <f>IF(B68="","",IF(ISNA(VLOOKUP($B68,'E-1 Off-Site Hedge Baseline'!$B$1:$Z$257,14,FALSE)),"",(VLOOKUP($B68,'E-1 Off-Site Hedge Baseline'!$B$1:$Z$257,14,FALSE))))</f>
        <v/>
      </c>
      <c r="AI68" s="282" t="str">
        <f>IF(AH68="","",IF(VLOOKUP(AH68,'G-3 Multipliers'!$S$3:$T$10,2,FALSE)=0,"Spatial Data Missing ⚠",VLOOKUP(AH68,'G-3 Multipliers'!$S$3:$T$10,2,FALSE)))</f>
        <v/>
      </c>
      <c r="AJ68" s="323" t="str">
        <f t="shared" si="6"/>
        <v/>
      </c>
      <c r="AK68" s="295" t="str">
        <f t="shared" si="7"/>
        <v/>
      </c>
      <c r="AL68" s="105"/>
      <c r="AM68" s="119"/>
      <c r="AN68" s="108"/>
      <c r="AO68" s="108"/>
      <c r="AQ68" s="30" t="str">
        <f>IFERROR(INDEX('G-6 Hedgerow Data'!$BJ$3:$BJ$15,MATCH(M68,'G-6 Hedgerow Data'!$B$3:$B$15,0)),"")</f>
        <v/>
      </c>
    </row>
    <row r="69" spans="2:43" ht="13.8" x14ac:dyDescent="0.25">
      <c r="B69" s="311" t="str">
        <f>'E-1 Off-Site Hedge Baseline'!AN67</f>
        <v/>
      </c>
      <c r="C69" s="301" t="str">
        <f>IF(B69="","",IF(ISNA(VLOOKUP($B69,'E-1 Off-Site Hedge Baseline'!$B$1:$L$257,3,FALSE)),"",(VLOOKUP($B69,'E-1 Off-Site Hedge Baseline'!$B$1:$L$257,3,FALSE))))</f>
        <v/>
      </c>
      <c r="D69" s="301" t="str">
        <f>IF(B69="","",IF(ISNA(VLOOKUP($B69,'E-1 Off-Site Hedge Baseline'!$B$1:$L$258,4,FALSE)),"",(VLOOKUP($B69,'E-1 Off-Site Hedge Baseline'!$B$1:$L$258,4,FALSE))))</f>
        <v/>
      </c>
      <c r="E69" s="301" t="str">
        <f>IF(B69="","",IF(ISNA(VLOOKUP($B69,'E-1 Off-Site Hedge Baseline'!$B$1:$L$257,5,FALSE)),"",(VLOOKUP($B69,'E-1 Off-Site Hedge Baseline'!$B$1:$L$257,5,FALSE))))</f>
        <v/>
      </c>
      <c r="F69" s="301" t="str">
        <f>IF(B69="","",IF(ISNA(VLOOKUP($B69,'E-1 Off-Site Hedge Baseline'!$B$1:$L$257,6,FALSE)),"",(VLOOKUP($B69,'E-1 Off-Site Hedge Baseline'!$B$1:$L$257,6,FALSE))))</f>
        <v/>
      </c>
      <c r="G69" s="301" t="str">
        <f>IF(B69="","",IF(ISNA(VLOOKUP($B69,'E-1 Off-Site Hedge Baseline'!$B$1:$L$257,7,FALSE)),"",(VLOOKUP($B69,'E-1 Off-Site Hedge Baseline'!$B$1:$L$257,7,FALSE))))</f>
        <v/>
      </c>
      <c r="H69" s="301" t="str">
        <f>IF(B69="","",IF(ISNA(VLOOKUP($B69,'E-1 Off-Site Hedge Baseline'!$B$1:$L$257,8,FALSE)),"",(VLOOKUP($B69,'E-1 Off-Site Hedge Baseline'!$B$1:$L$257,8,FALSE))))</f>
        <v/>
      </c>
      <c r="I69" s="301" t="str">
        <f>IF(B69="","",IF(ISNA(VLOOKUP($B69,'E-1 Off-Site Hedge Baseline'!$B$1:$L$257,10,FALSE)),"",(VLOOKUP($B69,'E-1 Off-Site Hedge Baseline'!$B$1:$L$257,10,FALSE))))</f>
        <v/>
      </c>
      <c r="J69" s="301" t="str">
        <f>IF(B69="","",IF(ISNA(VLOOKUP($B69,'E-1 Off-Site Hedge Baseline'!$B$1:$L$257,11,FALSE)),"",(VLOOKUP($B69,'E-1 Off-Site Hedge Baseline'!$B$1:$L$257,11,FALSE))))</f>
        <v/>
      </c>
      <c r="K69" s="301" t="str">
        <f>IF(B69="","",IF(ISNA(VLOOKUP($B69,'E-1 Off-Site Hedge Baseline'!$B$1:$X$257,16,FALSE)),"",(VLOOKUP($B69,'E-1 Off-Site Hedge Baseline'!$B$1:$X$257,16,FALSE))))</f>
        <v/>
      </c>
      <c r="L69" s="289" t="str">
        <f>IF(B69="","",IF(ISNA(VLOOKUP($B69,'E-1 Off-Site Hedge Baseline'!$B$1:$X$257,12,FALSE)),"",(VLOOKUP($B69,'E-1 Off-Site Hedge Baseline'!$B$1:$X$257,12,FALSE))))</f>
        <v/>
      </c>
      <c r="M69" s="250"/>
      <c r="N69" s="281" t="str">
        <f>IFERROR(IF(B69="","",INDEX('G-6 Hedgerow Data'!$AN$3:$AZ$15,MATCH(C69,'G-6 Hedgerow Data'!$AM$3:$AM$15,0),MATCH(M69,'G-6 Hedgerow Data'!$AN$2:$AZ$2,0))),"")</f>
        <v/>
      </c>
      <c r="O69" s="282" t="str">
        <f t="shared" si="1"/>
        <v/>
      </c>
      <c r="P69" s="287" t="str">
        <f>IF(B69="","",VLOOKUP(B69,'E-1 Off-Site Hedge Baseline'!$B$10:W314,19,FALSE))</f>
        <v/>
      </c>
      <c r="Q69" s="281" t="str">
        <f>IF(M69="","",VLOOKUP(M69,'G-6 Hedgerow Data'!$B$2:$AG$15,2,FALSE))</f>
        <v/>
      </c>
      <c r="R69" s="282" t="str">
        <f>IF(M69="","",VLOOKUP(M69,'G-6 Hedgerow Data'!$B$2:$AG$15,3,FALSE))</f>
        <v/>
      </c>
      <c r="S69" s="105"/>
      <c r="T69" s="282" t="str">
        <f>IFERROR(IF(S69="","",IF(AND(M69="Non-native and ornamental hedgerow", S69&lt;&gt;"Poor"),"Not possible ▲", (IF(AND(Q69="V.Low",OR(S69="Good",S69="Moderate")),"Error ▲",VLOOKUP(S69,'G-1 All Habitats'!$Z$2:$AA$9,2,FALSE))))),"")</f>
        <v/>
      </c>
      <c r="U69" s="105"/>
      <c r="V69" s="289" t="str">
        <f>IF(U69="","",IF(VLOOKUP(U69,'G-3 Multipliers'!$L$3:$N$6,2,FALSE)=0,"Spatial Data Missing ⚠",VLOOKUP(U69,'G-3 Multipliers'!$L$3:$N$6,2,FALSE)))</f>
        <v/>
      </c>
      <c r="W69" s="287" t="str">
        <f>IF(U69="","",IF(VLOOKUP(U69,'G-3 Multipliers'!$L$3:$N$6,3,FALSE)=0,"Spatial Data Missing ⚠",VLOOKUP(U69,'G-3 Multipliers'!$L$3:$N$6,3,FALSE)))</f>
        <v/>
      </c>
      <c r="X69" s="281" t="str">
        <f>IFERROR(IF(OR(LEFT(O69,5)="Error",LEFT(N69,5)="Error",T69="Error"),"Check Data ⚠",IF(F69&lt;R69,INDEX('G-6 Hedgerow Data'!$S$3:$AE$14,MATCH(C69,'G-6 Hedgerow Data'!$B$3:$B$14,0),MATCH(M69,'G-6 Hedgerow Data'!$S$2:$AE$2,0)),INDEX('G-6 Hedgerow Data'!$K$3:$Q$14,MATCH(M69,'G-6 Hedgerow Data'!$B$3:$B$14,0),MATCH(O69,'G-6 Hedgerow Data'!$K$2:$Q$2,0)))),"")</f>
        <v/>
      </c>
      <c r="Y69" s="137"/>
      <c r="Z69" s="137"/>
      <c r="AA69" s="289" t="str">
        <f t="shared" si="2"/>
        <v/>
      </c>
      <c r="AB69" s="302" t="str">
        <f t="shared" si="3"/>
        <v/>
      </c>
      <c r="AC69" s="303" t="str">
        <f t="shared" si="0"/>
        <v/>
      </c>
      <c r="AD69" s="317" t="str">
        <f>IF(M69="","",VLOOKUP(M69,'G-6 Hedgerow Data'!$B$3:$AG$15,31,FALSE))</f>
        <v/>
      </c>
      <c r="AE69" s="301" t="str">
        <f t="shared" si="4"/>
        <v/>
      </c>
      <c r="AF69" s="289" t="str">
        <f t="shared" si="5"/>
        <v/>
      </c>
      <c r="AG69" s="305" t="str">
        <f>IFERROR(IF(O69="","",VLOOKUP(AD69,'G-3 Multipliers'!$P$3:$Q$6,2,FALSE)),"")</f>
        <v/>
      </c>
      <c r="AH69" s="729" t="str">
        <f>IF(B69="","",IF(ISNA(VLOOKUP($B69,'E-1 Off-Site Hedge Baseline'!$B$1:$Z$257,14,FALSE)),"",(VLOOKUP($B69,'E-1 Off-Site Hedge Baseline'!$B$1:$Z$257,14,FALSE))))</f>
        <v/>
      </c>
      <c r="AI69" s="282" t="str">
        <f>IF(AH69="","",IF(VLOOKUP(AH69,'G-3 Multipliers'!$S$3:$T$10,2,FALSE)=0,"Spatial Data Missing ⚠",VLOOKUP(AH69,'G-3 Multipliers'!$S$3:$T$10,2,FALSE)))</f>
        <v/>
      </c>
      <c r="AJ69" s="323" t="str">
        <f t="shared" si="6"/>
        <v/>
      </c>
      <c r="AK69" s="295" t="str">
        <f t="shared" si="7"/>
        <v/>
      </c>
      <c r="AL69" s="105"/>
      <c r="AM69" s="119"/>
      <c r="AN69" s="108"/>
      <c r="AO69" s="108"/>
      <c r="AQ69" s="30" t="str">
        <f>IFERROR(INDEX('G-6 Hedgerow Data'!$BJ$3:$BJ$15,MATCH(M69,'G-6 Hedgerow Data'!$B$3:$B$15,0)),"")</f>
        <v/>
      </c>
    </row>
    <row r="70" spans="2:43" ht="13.8" x14ac:dyDescent="0.25">
      <c r="B70" s="311" t="str">
        <f>'E-1 Off-Site Hedge Baseline'!AN68</f>
        <v/>
      </c>
      <c r="C70" s="301" t="str">
        <f>IF(B70="","",IF(ISNA(VLOOKUP($B70,'E-1 Off-Site Hedge Baseline'!$B$1:$L$257,3,FALSE)),"",(VLOOKUP($B70,'E-1 Off-Site Hedge Baseline'!$B$1:$L$257,3,FALSE))))</f>
        <v/>
      </c>
      <c r="D70" s="301" t="str">
        <f>IF(B70="","",IF(ISNA(VLOOKUP($B70,'E-1 Off-Site Hedge Baseline'!$B$1:$L$258,4,FALSE)),"",(VLOOKUP($B70,'E-1 Off-Site Hedge Baseline'!$B$1:$L$258,4,FALSE))))</f>
        <v/>
      </c>
      <c r="E70" s="301" t="str">
        <f>IF(B70="","",IF(ISNA(VLOOKUP($B70,'E-1 Off-Site Hedge Baseline'!$B$1:$L$257,5,FALSE)),"",(VLOOKUP($B70,'E-1 Off-Site Hedge Baseline'!$B$1:$L$257,5,FALSE))))</f>
        <v/>
      </c>
      <c r="F70" s="301" t="str">
        <f>IF(B70="","",IF(ISNA(VLOOKUP($B70,'E-1 Off-Site Hedge Baseline'!$B$1:$L$257,6,FALSE)),"",(VLOOKUP($B70,'E-1 Off-Site Hedge Baseline'!$B$1:$L$257,6,FALSE))))</f>
        <v/>
      </c>
      <c r="G70" s="301" t="str">
        <f>IF(B70="","",IF(ISNA(VLOOKUP($B70,'E-1 Off-Site Hedge Baseline'!$B$1:$L$257,7,FALSE)),"",(VLOOKUP($B70,'E-1 Off-Site Hedge Baseline'!$B$1:$L$257,7,FALSE))))</f>
        <v/>
      </c>
      <c r="H70" s="301" t="str">
        <f>IF(B70="","",IF(ISNA(VLOOKUP($B70,'E-1 Off-Site Hedge Baseline'!$B$1:$L$257,8,FALSE)),"",(VLOOKUP($B70,'E-1 Off-Site Hedge Baseline'!$B$1:$L$257,8,FALSE))))</f>
        <v/>
      </c>
      <c r="I70" s="301" t="str">
        <f>IF(B70="","",IF(ISNA(VLOOKUP($B70,'E-1 Off-Site Hedge Baseline'!$B$1:$L$257,10,FALSE)),"",(VLOOKUP($B70,'E-1 Off-Site Hedge Baseline'!$B$1:$L$257,10,FALSE))))</f>
        <v/>
      </c>
      <c r="J70" s="301" t="str">
        <f>IF(B70="","",IF(ISNA(VLOOKUP($B70,'E-1 Off-Site Hedge Baseline'!$B$1:$L$257,11,FALSE)),"",(VLOOKUP($B70,'E-1 Off-Site Hedge Baseline'!$B$1:$L$257,11,FALSE))))</f>
        <v/>
      </c>
      <c r="K70" s="301" t="str">
        <f>IF(B70="","",IF(ISNA(VLOOKUP($B70,'E-1 Off-Site Hedge Baseline'!$B$1:$X$257,16,FALSE)),"",(VLOOKUP($B70,'E-1 Off-Site Hedge Baseline'!$B$1:$X$257,16,FALSE))))</f>
        <v/>
      </c>
      <c r="L70" s="289" t="str">
        <f>IF(B70="","",IF(ISNA(VLOOKUP($B70,'E-1 Off-Site Hedge Baseline'!$B$1:$X$257,12,FALSE)),"",(VLOOKUP($B70,'E-1 Off-Site Hedge Baseline'!$B$1:$X$257,12,FALSE))))</f>
        <v/>
      </c>
      <c r="M70" s="250"/>
      <c r="N70" s="281" t="str">
        <f>IFERROR(IF(B70="","",INDEX('G-6 Hedgerow Data'!$AN$3:$AZ$15,MATCH(C70,'G-6 Hedgerow Data'!$AM$3:$AM$15,0),MATCH(M70,'G-6 Hedgerow Data'!$AN$2:$AZ$2,0))),"")</f>
        <v/>
      </c>
      <c r="O70" s="282" t="str">
        <f t="shared" si="1"/>
        <v/>
      </c>
      <c r="P70" s="287" t="str">
        <f>IF(B70="","",VLOOKUP(B70,'E-1 Off-Site Hedge Baseline'!$B$10:W315,19,FALSE))</f>
        <v/>
      </c>
      <c r="Q70" s="281" t="str">
        <f>IF(M70="","",VLOOKUP(M70,'G-6 Hedgerow Data'!$B$2:$AG$15,2,FALSE))</f>
        <v/>
      </c>
      <c r="R70" s="282" t="str">
        <f>IF(M70="","",VLOOKUP(M70,'G-6 Hedgerow Data'!$B$2:$AG$15,3,FALSE))</f>
        <v/>
      </c>
      <c r="S70" s="105"/>
      <c r="T70" s="282" t="str">
        <f>IFERROR(IF(S70="","",IF(AND(M70="Non-native and ornamental hedgerow", S70&lt;&gt;"Poor"),"Not possible ▲", (IF(AND(Q70="V.Low",OR(S70="Good",S70="Moderate")),"Error ▲",VLOOKUP(S70,'G-1 All Habitats'!$Z$2:$AA$9,2,FALSE))))),"")</f>
        <v/>
      </c>
      <c r="U70" s="105"/>
      <c r="V70" s="289" t="str">
        <f>IF(U70="","",IF(VLOOKUP(U70,'G-3 Multipliers'!$L$3:$N$6,2,FALSE)=0,"Spatial Data Missing ⚠",VLOOKUP(U70,'G-3 Multipliers'!$L$3:$N$6,2,FALSE)))</f>
        <v/>
      </c>
      <c r="W70" s="287" t="str">
        <f>IF(U70="","",IF(VLOOKUP(U70,'G-3 Multipliers'!$L$3:$N$6,3,FALSE)=0,"Spatial Data Missing ⚠",VLOOKUP(U70,'G-3 Multipliers'!$L$3:$N$6,3,FALSE)))</f>
        <v/>
      </c>
      <c r="X70" s="281" t="str">
        <f>IFERROR(IF(OR(LEFT(O70,5)="Error",LEFT(N70,5)="Error",T70="Error"),"Check Data ⚠",IF(F70&lt;R70,INDEX('G-6 Hedgerow Data'!$S$3:$AE$14,MATCH(C70,'G-6 Hedgerow Data'!$B$3:$B$14,0),MATCH(M70,'G-6 Hedgerow Data'!$S$2:$AE$2,0)),INDEX('G-6 Hedgerow Data'!$K$3:$Q$14,MATCH(M70,'G-6 Hedgerow Data'!$B$3:$B$14,0),MATCH(O70,'G-6 Hedgerow Data'!$K$2:$Q$2,0)))),"")</f>
        <v/>
      </c>
      <c r="Y70" s="137"/>
      <c r="Z70" s="137"/>
      <c r="AA70" s="289" t="str">
        <f t="shared" si="2"/>
        <v/>
      </c>
      <c r="AB70" s="302" t="str">
        <f t="shared" si="3"/>
        <v/>
      </c>
      <c r="AC70" s="303" t="str">
        <f t="shared" si="0"/>
        <v/>
      </c>
      <c r="AD70" s="317" t="str">
        <f>IF(M70="","",VLOOKUP(M70,'G-6 Hedgerow Data'!$B$3:$AG$15,31,FALSE))</f>
        <v/>
      </c>
      <c r="AE70" s="301" t="str">
        <f t="shared" si="4"/>
        <v/>
      </c>
      <c r="AF70" s="289" t="str">
        <f t="shared" si="5"/>
        <v/>
      </c>
      <c r="AG70" s="305" t="str">
        <f>IFERROR(IF(O70="","",VLOOKUP(AD70,'G-3 Multipliers'!$P$3:$Q$6,2,FALSE)),"")</f>
        <v/>
      </c>
      <c r="AH70" s="729" t="str">
        <f>IF(B70="","",IF(ISNA(VLOOKUP($B70,'E-1 Off-Site Hedge Baseline'!$B$1:$Z$257,14,FALSE)),"",(VLOOKUP($B70,'E-1 Off-Site Hedge Baseline'!$B$1:$Z$257,14,FALSE))))</f>
        <v/>
      </c>
      <c r="AI70" s="282" t="str">
        <f>IF(AH70="","",IF(VLOOKUP(AH70,'G-3 Multipliers'!$S$3:$T$10,2,FALSE)=0,"Spatial Data Missing ⚠",VLOOKUP(AH70,'G-3 Multipliers'!$S$3:$T$10,2,FALSE)))</f>
        <v/>
      </c>
      <c r="AJ70" s="323" t="str">
        <f t="shared" si="6"/>
        <v/>
      </c>
      <c r="AK70" s="295" t="str">
        <f t="shared" si="7"/>
        <v/>
      </c>
      <c r="AL70" s="105"/>
      <c r="AM70" s="119"/>
      <c r="AN70" s="108"/>
      <c r="AO70" s="108"/>
      <c r="AQ70" s="30" t="str">
        <f>IFERROR(INDEX('G-6 Hedgerow Data'!$BJ$3:$BJ$15,MATCH(M70,'G-6 Hedgerow Data'!$B$3:$B$15,0)),"")</f>
        <v/>
      </c>
    </row>
    <row r="71" spans="2:43" ht="13.8" x14ac:dyDescent="0.25">
      <c r="B71" s="311" t="str">
        <f>'E-1 Off-Site Hedge Baseline'!AN69</f>
        <v/>
      </c>
      <c r="C71" s="301" t="str">
        <f>IF(B71="","",IF(ISNA(VLOOKUP($B71,'E-1 Off-Site Hedge Baseline'!$B$1:$L$257,3,FALSE)),"",(VLOOKUP($B71,'E-1 Off-Site Hedge Baseline'!$B$1:$L$257,3,FALSE))))</f>
        <v/>
      </c>
      <c r="D71" s="301" t="str">
        <f>IF(B71="","",IF(ISNA(VLOOKUP($B71,'E-1 Off-Site Hedge Baseline'!$B$1:$L$258,4,FALSE)),"",(VLOOKUP($B71,'E-1 Off-Site Hedge Baseline'!$B$1:$L$258,4,FALSE))))</f>
        <v/>
      </c>
      <c r="E71" s="301" t="str">
        <f>IF(B71="","",IF(ISNA(VLOOKUP($B71,'E-1 Off-Site Hedge Baseline'!$B$1:$L$257,5,FALSE)),"",(VLOOKUP($B71,'E-1 Off-Site Hedge Baseline'!$B$1:$L$257,5,FALSE))))</f>
        <v/>
      </c>
      <c r="F71" s="301" t="str">
        <f>IF(B71="","",IF(ISNA(VLOOKUP($B71,'E-1 Off-Site Hedge Baseline'!$B$1:$L$257,6,FALSE)),"",(VLOOKUP($B71,'E-1 Off-Site Hedge Baseline'!$B$1:$L$257,6,FALSE))))</f>
        <v/>
      </c>
      <c r="G71" s="301" t="str">
        <f>IF(B71="","",IF(ISNA(VLOOKUP($B71,'E-1 Off-Site Hedge Baseline'!$B$1:$L$257,7,FALSE)),"",(VLOOKUP($B71,'E-1 Off-Site Hedge Baseline'!$B$1:$L$257,7,FALSE))))</f>
        <v/>
      </c>
      <c r="H71" s="301" t="str">
        <f>IF(B71="","",IF(ISNA(VLOOKUP($B71,'E-1 Off-Site Hedge Baseline'!$B$1:$L$257,8,FALSE)),"",(VLOOKUP($B71,'E-1 Off-Site Hedge Baseline'!$B$1:$L$257,8,FALSE))))</f>
        <v/>
      </c>
      <c r="I71" s="301" t="str">
        <f>IF(B71="","",IF(ISNA(VLOOKUP($B71,'E-1 Off-Site Hedge Baseline'!$B$1:$L$257,10,FALSE)),"",(VLOOKUP($B71,'E-1 Off-Site Hedge Baseline'!$B$1:$L$257,10,FALSE))))</f>
        <v/>
      </c>
      <c r="J71" s="301" t="str">
        <f>IF(B71="","",IF(ISNA(VLOOKUP($B71,'E-1 Off-Site Hedge Baseline'!$B$1:$L$257,11,FALSE)),"",(VLOOKUP($B71,'E-1 Off-Site Hedge Baseline'!$B$1:$L$257,11,FALSE))))</f>
        <v/>
      </c>
      <c r="K71" s="301" t="str">
        <f>IF(B71="","",IF(ISNA(VLOOKUP($B71,'E-1 Off-Site Hedge Baseline'!$B$1:$X$257,16,FALSE)),"",(VLOOKUP($B71,'E-1 Off-Site Hedge Baseline'!$B$1:$X$257,16,FALSE))))</f>
        <v/>
      </c>
      <c r="L71" s="289" t="str">
        <f>IF(B71="","",IF(ISNA(VLOOKUP($B71,'E-1 Off-Site Hedge Baseline'!$B$1:$X$257,12,FALSE)),"",(VLOOKUP($B71,'E-1 Off-Site Hedge Baseline'!$B$1:$X$257,12,FALSE))))</f>
        <v/>
      </c>
      <c r="M71" s="250"/>
      <c r="N71" s="281" t="str">
        <f>IFERROR(IF(B71="","",INDEX('G-6 Hedgerow Data'!$AN$3:$AZ$15,MATCH(C71,'G-6 Hedgerow Data'!$AM$3:$AM$15,0),MATCH(M71,'G-6 Hedgerow Data'!$AN$2:$AZ$2,0))),"")</f>
        <v/>
      </c>
      <c r="O71" s="282" t="str">
        <f t="shared" si="1"/>
        <v/>
      </c>
      <c r="P71" s="287" t="str">
        <f>IF(B71="","",VLOOKUP(B71,'E-1 Off-Site Hedge Baseline'!$B$10:W316,19,FALSE))</f>
        <v/>
      </c>
      <c r="Q71" s="281" t="str">
        <f>IF(M71="","",VLOOKUP(M71,'G-6 Hedgerow Data'!$B$2:$AG$15,2,FALSE))</f>
        <v/>
      </c>
      <c r="R71" s="282" t="str">
        <f>IF(M71="","",VLOOKUP(M71,'G-6 Hedgerow Data'!$B$2:$AG$15,3,FALSE))</f>
        <v/>
      </c>
      <c r="S71" s="105"/>
      <c r="T71" s="282" t="str">
        <f>IFERROR(IF(S71="","",IF(AND(M71="Non-native and ornamental hedgerow", S71&lt;&gt;"Poor"),"Not possible ▲", (IF(AND(Q71="V.Low",OR(S71="Good",S71="Moderate")),"Error ▲",VLOOKUP(S71,'G-1 All Habitats'!$Z$2:$AA$9,2,FALSE))))),"")</f>
        <v/>
      </c>
      <c r="U71" s="105"/>
      <c r="V71" s="289" t="str">
        <f>IF(U71="","",IF(VLOOKUP(U71,'G-3 Multipliers'!$L$3:$N$6,2,FALSE)=0,"Spatial Data Missing ⚠",VLOOKUP(U71,'G-3 Multipliers'!$L$3:$N$6,2,FALSE)))</f>
        <v/>
      </c>
      <c r="W71" s="287" t="str">
        <f>IF(U71="","",IF(VLOOKUP(U71,'G-3 Multipliers'!$L$3:$N$6,3,FALSE)=0,"Spatial Data Missing ⚠",VLOOKUP(U71,'G-3 Multipliers'!$L$3:$N$6,3,FALSE)))</f>
        <v/>
      </c>
      <c r="X71" s="281" t="str">
        <f>IFERROR(IF(OR(LEFT(O71,5)="Error",LEFT(N71,5)="Error",T71="Error"),"Check Data ⚠",IF(F71&lt;R71,INDEX('G-6 Hedgerow Data'!$S$3:$AE$14,MATCH(C71,'G-6 Hedgerow Data'!$B$3:$B$14,0),MATCH(M71,'G-6 Hedgerow Data'!$S$2:$AE$2,0)),INDEX('G-6 Hedgerow Data'!$K$3:$Q$14,MATCH(M71,'G-6 Hedgerow Data'!$B$3:$B$14,0),MATCH(O71,'G-6 Hedgerow Data'!$K$2:$Q$2,0)))),"")</f>
        <v/>
      </c>
      <c r="Y71" s="137"/>
      <c r="Z71" s="137"/>
      <c r="AA71" s="289" t="str">
        <f t="shared" si="2"/>
        <v/>
      </c>
      <c r="AB71" s="302" t="str">
        <f t="shared" si="3"/>
        <v/>
      </c>
      <c r="AC71" s="303" t="str">
        <f t="shared" si="0"/>
        <v/>
      </c>
      <c r="AD71" s="317" t="str">
        <f>IF(M71="","",VLOOKUP(M71,'G-6 Hedgerow Data'!$B$3:$AG$15,31,FALSE))</f>
        <v/>
      </c>
      <c r="AE71" s="301" t="str">
        <f t="shared" si="4"/>
        <v/>
      </c>
      <c r="AF71" s="289" t="str">
        <f t="shared" si="5"/>
        <v/>
      </c>
      <c r="AG71" s="305" t="str">
        <f>IFERROR(IF(O71="","",VLOOKUP(AD71,'G-3 Multipliers'!$P$3:$Q$6,2,FALSE)),"")</f>
        <v/>
      </c>
      <c r="AH71" s="729" t="str">
        <f>IF(B71="","",IF(ISNA(VLOOKUP($B71,'E-1 Off-Site Hedge Baseline'!$B$1:$Z$257,14,FALSE)),"",(VLOOKUP($B71,'E-1 Off-Site Hedge Baseline'!$B$1:$Z$257,14,FALSE))))</f>
        <v/>
      </c>
      <c r="AI71" s="282" t="str">
        <f>IF(AH71="","",IF(VLOOKUP(AH71,'G-3 Multipliers'!$S$3:$T$10,2,FALSE)=0,"Spatial Data Missing ⚠",VLOOKUP(AH71,'G-3 Multipliers'!$S$3:$T$10,2,FALSE)))</f>
        <v/>
      </c>
      <c r="AJ71" s="323" t="str">
        <f t="shared" si="6"/>
        <v/>
      </c>
      <c r="AK71" s="295" t="str">
        <f t="shared" si="7"/>
        <v/>
      </c>
      <c r="AL71" s="105"/>
      <c r="AM71" s="119"/>
      <c r="AN71" s="108"/>
      <c r="AO71" s="108"/>
      <c r="AQ71" s="30" t="str">
        <f>IFERROR(INDEX('G-6 Hedgerow Data'!$BJ$3:$BJ$15,MATCH(M71,'G-6 Hedgerow Data'!$B$3:$B$15,0)),"")</f>
        <v/>
      </c>
    </row>
    <row r="72" spans="2:43" ht="13.8" x14ac:dyDescent="0.25">
      <c r="B72" s="311" t="str">
        <f>'E-1 Off-Site Hedge Baseline'!AN70</f>
        <v/>
      </c>
      <c r="C72" s="301" t="str">
        <f>IF(B72="","",IF(ISNA(VLOOKUP($B72,'E-1 Off-Site Hedge Baseline'!$B$1:$L$257,3,FALSE)),"",(VLOOKUP($B72,'E-1 Off-Site Hedge Baseline'!$B$1:$L$257,3,FALSE))))</f>
        <v/>
      </c>
      <c r="D72" s="301" t="str">
        <f>IF(B72="","",IF(ISNA(VLOOKUP($B72,'E-1 Off-Site Hedge Baseline'!$B$1:$L$258,4,FALSE)),"",(VLOOKUP($B72,'E-1 Off-Site Hedge Baseline'!$B$1:$L$258,4,FALSE))))</f>
        <v/>
      </c>
      <c r="E72" s="301" t="str">
        <f>IF(B72="","",IF(ISNA(VLOOKUP($B72,'E-1 Off-Site Hedge Baseline'!$B$1:$L$257,5,FALSE)),"",(VLOOKUP($B72,'E-1 Off-Site Hedge Baseline'!$B$1:$L$257,5,FALSE))))</f>
        <v/>
      </c>
      <c r="F72" s="301" t="str">
        <f>IF(B72="","",IF(ISNA(VLOOKUP($B72,'E-1 Off-Site Hedge Baseline'!$B$1:$L$257,6,FALSE)),"",(VLOOKUP($B72,'E-1 Off-Site Hedge Baseline'!$B$1:$L$257,6,FALSE))))</f>
        <v/>
      </c>
      <c r="G72" s="301" t="str">
        <f>IF(B72="","",IF(ISNA(VLOOKUP($B72,'E-1 Off-Site Hedge Baseline'!$B$1:$L$257,7,FALSE)),"",(VLOOKUP($B72,'E-1 Off-Site Hedge Baseline'!$B$1:$L$257,7,FALSE))))</f>
        <v/>
      </c>
      <c r="H72" s="301" t="str">
        <f>IF(B72="","",IF(ISNA(VLOOKUP($B72,'E-1 Off-Site Hedge Baseline'!$B$1:$L$257,8,FALSE)),"",(VLOOKUP($B72,'E-1 Off-Site Hedge Baseline'!$B$1:$L$257,8,FALSE))))</f>
        <v/>
      </c>
      <c r="I72" s="301" t="str">
        <f>IF(B72="","",IF(ISNA(VLOOKUP($B72,'E-1 Off-Site Hedge Baseline'!$B$1:$L$257,10,FALSE)),"",(VLOOKUP($B72,'E-1 Off-Site Hedge Baseline'!$B$1:$L$257,10,FALSE))))</f>
        <v/>
      </c>
      <c r="J72" s="301" t="str">
        <f>IF(B72="","",IF(ISNA(VLOOKUP($B72,'E-1 Off-Site Hedge Baseline'!$B$1:$L$257,11,FALSE)),"",(VLOOKUP($B72,'E-1 Off-Site Hedge Baseline'!$B$1:$L$257,11,FALSE))))</f>
        <v/>
      </c>
      <c r="K72" s="301" t="str">
        <f>IF(B72="","",IF(ISNA(VLOOKUP($B72,'E-1 Off-Site Hedge Baseline'!$B$1:$X$257,16,FALSE)),"",(VLOOKUP($B72,'E-1 Off-Site Hedge Baseline'!$B$1:$X$257,16,FALSE))))</f>
        <v/>
      </c>
      <c r="L72" s="289" t="str">
        <f>IF(B72="","",IF(ISNA(VLOOKUP($B72,'E-1 Off-Site Hedge Baseline'!$B$1:$X$257,12,FALSE)),"",(VLOOKUP($B72,'E-1 Off-Site Hedge Baseline'!$B$1:$X$257,12,FALSE))))</f>
        <v/>
      </c>
      <c r="M72" s="250"/>
      <c r="N72" s="281" t="str">
        <f>IFERROR(IF(B72="","",INDEX('G-6 Hedgerow Data'!$AN$3:$AZ$15,MATCH(C72,'G-6 Hedgerow Data'!$AM$3:$AM$15,0),MATCH(M72,'G-6 Hedgerow Data'!$AN$2:$AZ$2,0))),"")</f>
        <v/>
      </c>
      <c r="O72" s="282" t="str">
        <f t="shared" si="1"/>
        <v/>
      </c>
      <c r="P72" s="287" t="str">
        <f>IF(B72="","",VLOOKUP(B72,'E-1 Off-Site Hedge Baseline'!$B$10:W317,19,FALSE))</f>
        <v/>
      </c>
      <c r="Q72" s="281" t="str">
        <f>IF(M72="","",VLOOKUP(M72,'G-6 Hedgerow Data'!$B$2:$AG$15,2,FALSE))</f>
        <v/>
      </c>
      <c r="R72" s="282" t="str">
        <f>IF(M72="","",VLOOKUP(M72,'G-6 Hedgerow Data'!$B$2:$AG$15,3,FALSE))</f>
        <v/>
      </c>
      <c r="S72" s="105"/>
      <c r="T72" s="282" t="str">
        <f>IFERROR(IF(S72="","",IF(AND(M72="Non-native and ornamental hedgerow", S72&lt;&gt;"Poor"),"Not possible ▲", (IF(AND(Q72="V.Low",OR(S72="Good",S72="Moderate")),"Error ▲",VLOOKUP(S72,'G-1 All Habitats'!$Z$2:$AA$9,2,FALSE))))),"")</f>
        <v/>
      </c>
      <c r="U72" s="105"/>
      <c r="V72" s="289" t="str">
        <f>IF(U72="","",IF(VLOOKUP(U72,'G-3 Multipliers'!$L$3:$N$6,2,FALSE)=0,"Spatial Data Missing ⚠",VLOOKUP(U72,'G-3 Multipliers'!$L$3:$N$6,2,FALSE)))</f>
        <v/>
      </c>
      <c r="W72" s="287" t="str">
        <f>IF(U72="","",IF(VLOOKUP(U72,'G-3 Multipliers'!$L$3:$N$6,3,FALSE)=0,"Spatial Data Missing ⚠",VLOOKUP(U72,'G-3 Multipliers'!$L$3:$N$6,3,FALSE)))</f>
        <v/>
      </c>
      <c r="X72" s="281" t="str">
        <f>IFERROR(IF(OR(LEFT(O72,5)="Error",LEFT(N72,5)="Error",T72="Error"),"Check Data ⚠",IF(F72&lt;R72,INDEX('G-6 Hedgerow Data'!$S$3:$AE$14,MATCH(C72,'G-6 Hedgerow Data'!$B$3:$B$14,0),MATCH(M72,'G-6 Hedgerow Data'!$S$2:$AE$2,0)),INDEX('G-6 Hedgerow Data'!$K$3:$Q$14,MATCH(M72,'G-6 Hedgerow Data'!$B$3:$B$14,0),MATCH(O72,'G-6 Hedgerow Data'!$K$2:$Q$2,0)))),"")</f>
        <v/>
      </c>
      <c r="Y72" s="137"/>
      <c r="Z72" s="137"/>
      <c r="AA72" s="289" t="str">
        <f t="shared" si="2"/>
        <v/>
      </c>
      <c r="AB72" s="302" t="str">
        <f t="shared" si="3"/>
        <v/>
      </c>
      <c r="AC72" s="303" t="str">
        <f t="shared" si="0"/>
        <v/>
      </c>
      <c r="AD72" s="317" t="str">
        <f>IF(M72="","",VLOOKUP(M72,'G-6 Hedgerow Data'!$B$3:$AG$15,31,FALSE))</f>
        <v/>
      </c>
      <c r="AE72" s="301" t="str">
        <f t="shared" si="4"/>
        <v/>
      </c>
      <c r="AF72" s="289" t="str">
        <f t="shared" si="5"/>
        <v/>
      </c>
      <c r="AG72" s="305" t="str">
        <f>IFERROR(IF(O72="","",VLOOKUP(AD72,'G-3 Multipliers'!$P$3:$Q$6,2,FALSE)),"")</f>
        <v/>
      </c>
      <c r="AH72" s="729" t="str">
        <f>IF(B72="","",IF(ISNA(VLOOKUP($B72,'E-1 Off-Site Hedge Baseline'!$B$1:$Z$257,14,FALSE)),"",(VLOOKUP($B72,'E-1 Off-Site Hedge Baseline'!$B$1:$Z$257,14,FALSE))))</f>
        <v/>
      </c>
      <c r="AI72" s="282" t="str">
        <f>IF(AH72="","",IF(VLOOKUP(AH72,'G-3 Multipliers'!$S$3:$T$10,2,FALSE)=0,"Spatial Data Missing ⚠",VLOOKUP(AH72,'G-3 Multipliers'!$S$3:$T$10,2,FALSE)))</f>
        <v/>
      </c>
      <c r="AJ72" s="323" t="str">
        <f t="shared" si="6"/>
        <v/>
      </c>
      <c r="AK72" s="295" t="str">
        <f t="shared" si="7"/>
        <v/>
      </c>
      <c r="AL72" s="105"/>
      <c r="AM72" s="119"/>
      <c r="AN72" s="108"/>
      <c r="AO72" s="108"/>
      <c r="AQ72" s="30" t="str">
        <f>IFERROR(INDEX('G-6 Hedgerow Data'!$BJ$3:$BJ$15,MATCH(M72,'G-6 Hedgerow Data'!$B$3:$B$15,0)),"")</f>
        <v/>
      </c>
    </row>
    <row r="73" spans="2:43" ht="13.8" x14ac:dyDescent="0.25">
      <c r="B73" s="311" t="str">
        <f>'E-1 Off-Site Hedge Baseline'!AN71</f>
        <v/>
      </c>
      <c r="C73" s="301" t="str">
        <f>IF(B73="","",IF(ISNA(VLOOKUP($B73,'E-1 Off-Site Hedge Baseline'!$B$1:$L$257,3,FALSE)),"",(VLOOKUP($B73,'E-1 Off-Site Hedge Baseline'!$B$1:$L$257,3,FALSE))))</f>
        <v/>
      </c>
      <c r="D73" s="301" t="str">
        <f>IF(B73="","",IF(ISNA(VLOOKUP($B73,'E-1 Off-Site Hedge Baseline'!$B$1:$L$258,4,FALSE)),"",(VLOOKUP($B73,'E-1 Off-Site Hedge Baseline'!$B$1:$L$258,4,FALSE))))</f>
        <v/>
      </c>
      <c r="E73" s="301" t="str">
        <f>IF(B73="","",IF(ISNA(VLOOKUP($B73,'E-1 Off-Site Hedge Baseline'!$B$1:$L$257,5,FALSE)),"",(VLOOKUP($B73,'E-1 Off-Site Hedge Baseline'!$B$1:$L$257,5,FALSE))))</f>
        <v/>
      </c>
      <c r="F73" s="301" t="str">
        <f>IF(B73="","",IF(ISNA(VLOOKUP($B73,'E-1 Off-Site Hedge Baseline'!$B$1:$L$257,6,FALSE)),"",(VLOOKUP($B73,'E-1 Off-Site Hedge Baseline'!$B$1:$L$257,6,FALSE))))</f>
        <v/>
      </c>
      <c r="G73" s="301" t="str">
        <f>IF(B73="","",IF(ISNA(VLOOKUP($B73,'E-1 Off-Site Hedge Baseline'!$B$1:$L$257,7,FALSE)),"",(VLOOKUP($B73,'E-1 Off-Site Hedge Baseline'!$B$1:$L$257,7,FALSE))))</f>
        <v/>
      </c>
      <c r="H73" s="301" t="str">
        <f>IF(B73="","",IF(ISNA(VLOOKUP($B73,'E-1 Off-Site Hedge Baseline'!$B$1:$L$257,8,FALSE)),"",(VLOOKUP($B73,'E-1 Off-Site Hedge Baseline'!$B$1:$L$257,8,FALSE))))</f>
        <v/>
      </c>
      <c r="I73" s="301" t="str">
        <f>IF(B73="","",IF(ISNA(VLOOKUP($B73,'E-1 Off-Site Hedge Baseline'!$B$1:$L$257,10,FALSE)),"",(VLOOKUP($B73,'E-1 Off-Site Hedge Baseline'!$B$1:$L$257,10,FALSE))))</f>
        <v/>
      </c>
      <c r="J73" s="301" t="str">
        <f>IF(B73="","",IF(ISNA(VLOOKUP($B73,'E-1 Off-Site Hedge Baseline'!$B$1:$L$257,11,FALSE)),"",(VLOOKUP($B73,'E-1 Off-Site Hedge Baseline'!$B$1:$L$257,11,FALSE))))</f>
        <v/>
      </c>
      <c r="K73" s="301" t="str">
        <f>IF(B73="","",IF(ISNA(VLOOKUP($B73,'E-1 Off-Site Hedge Baseline'!$B$1:$X$257,16,FALSE)),"",(VLOOKUP($B73,'E-1 Off-Site Hedge Baseline'!$B$1:$X$257,16,FALSE))))</f>
        <v/>
      </c>
      <c r="L73" s="289" t="str">
        <f>IF(B73="","",IF(ISNA(VLOOKUP($B73,'E-1 Off-Site Hedge Baseline'!$B$1:$X$257,12,FALSE)),"",(VLOOKUP($B73,'E-1 Off-Site Hedge Baseline'!$B$1:$X$257,12,FALSE))))</f>
        <v/>
      </c>
      <c r="M73" s="250"/>
      <c r="N73" s="281" t="str">
        <f>IFERROR(IF(B73="","",INDEX('G-6 Hedgerow Data'!$AN$3:$AZ$15,MATCH(C73,'G-6 Hedgerow Data'!$AM$3:$AM$15,0),MATCH(M73,'G-6 Hedgerow Data'!$AN$2:$AZ$2,0))),"")</f>
        <v/>
      </c>
      <c r="O73" s="282" t="str">
        <f t="shared" si="1"/>
        <v/>
      </c>
      <c r="P73" s="287" t="str">
        <f>IF(B73="","",VLOOKUP(B73,'E-1 Off-Site Hedge Baseline'!$B$10:W318,19,FALSE))</f>
        <v/>
      </c>
      <c r="Q73" s="281" t="str">
        <f>IF(M73="","",VLOOKUP(M73,'G-6 Hedgerow Data'!$B$2:$AG$15,2,FALSE))</f>
        <v/>
      </c>
      <c r="R73" s="282" t="str">
        <f>IF(M73="","",VLOOKUP(M73,'G-6 Hedgerow Data'!$B$2:$AG$15,3,FALSE))</f>
        <v/>
      </c>
      <c r="S73" s="105"/>
      <c r="T73" s="282" t="str">
        <f>IFERROR(IF(S73="","",IF(AND(M73="Non-native and ornamental hedgerow", S73&lt;&gt;"Poor"),"Not possible ▲", (IF(AND(Q73="V.Low",OR(S73="Good",S73="Moderate")),"Error ▲",VLOOKUP(S73,'G-1 All Habitats'!$Z$2:$AA$9,2,FALSE))))),"")</f>
        <v/>
      </c>
      <c r="U73" s="105"/>
      <c r="V73" s="289" t="str">
        <f>IF(U73="","",IF(VLOOKUP(U73,'G-3 Multipliers'!$L$3:$N$6,2,FALSE)=0,"Spatial Data Missing ⚠",VLOOKUP(U73,'G-3 Multipliers'!$L$3:$N$6,2,FALSE)))</f>
        <v/>
      </c>
      <c r="W73" s="287" t="str">
        <f>IF(U73="","",IF(VLOOKUP(U73,'G-3 Multipliers'!$L$3:$N$6,3,FALSE)=0,"Spatial Data Missing ⚠",VLOOKUP(U73,'G-3 Multipliers'!$L$3:$N$6,3,FALSE)))</f>
        <v/>
      </c>
      <c r="X73" s="281" t="str">
        <f>IFERROR(IF(OR(LEFT(O73,5)="Error",LEFT(N73,5)="Error",T73="Error"),"Check Data ⚠",IF(F73&lt;R73,INDEX('G-6 Hedgerow Data'!$S$3:$AE$14,MATCH(C73,'G-6 Hedgerow Data'!$B$3:$B$14,0),MATCH(M73,'G-6 Hedgerow Data'!$S$2:$AE$2,0)),INDEX('G-6 Hedgerow Data'!$K$3:$Q$14,MATCH(M73,'G-6 Hedgerow Data'!$B$3:$B$14,0),MATCH(O73,'G-6 Hedgerow Data'!$K$2:$Q$2,0)))),"")</f>
        <v/>
      </c>
      <c r="Y73" s="137"/>
      <c r="Z73" s="137"/>
      <c r="AA73" s="289" t="str">
        <f t="shared" si="2"/>
        <v/>
      </c>
      <c r="AB73" s="302" t="str">
        <f t="shared" si="3"/>
        <v/>
      </c>
      <c r="AC73" s="303" t="str">
        <f t="shared" si="0"/>
        <v/>
      </c>
      <c r="AD73" s="317" t="str">
        <f>IF(M73="","",VLOOKUP(M73,'G-6 Hedgerow Data'!$B$3:$AG$15,31,FALSE))</f>
        <v/>
      </c>
      <c r="AE73" s="301" t="str">
        <f t="shared" si="4"/>
        <v/>
      </c>
      <c r="AF73" s="289" t="str">
        <f t="shared" si="5"/>
        <v/>
      </c>
      <c r="AG73" s="305" t="str">
        <f>IFERROR(IF(O73="","",VLOOKUP(AD73,'G-3 Multipliers'!$P$3:$Q$6,2,FALSE)),"")</f>
        <v/>
      </c>
      <c r="AH73" s="729" t="str">
        <f>IF(B73="","",IF(ISNA(VLOOKUP($B73,'E-1 Off-Site Hedge Baseline'!$B$1:$Z$257,14,FALSE)),"",(VLOOKUP($B73,'E-1 Off-Site Hedge Baseline'!$B$1:$Z$257,14,FALSE))))</f>
        <v/>
      </c>
      <c r="AI73" s="282" t="str">
        <f>IF(AH73="","",IF(VLOOKUP(AH73,'G-3 Multipliers'!$S$3:$T$10,2,FALSE)=0,"Spatial Data Missing ⚠",VLOOKUP(AH73,'G-3 Multipliers'!$S$3:$T$10,2,FALSE)))</f>
        <v/>
      </c>
      <c r="AJ73" s="323" t="str">
        <f t="shared" si="6"/>
        <v/>
      </c>
      <c r="AK73" s="295" t="str">
        <f t="shared" si="7"/>
        <v/>
      </c>
      <c r="AL73" s="105"/>
      <c r="AM73" s="119"/>
      <c r="AN73" s="108"/>
      <c r="AO73" s="108"/>
      <c r="AQ73" s="30" t="str">
        <f>IFERROR(INDEX('G-6 Hedgerow Data'!$BJ$3:$BJ$15,MATCH(M73,'G-6 Hedgerow Data'!$B$3:$B$15,0)),"")</f>
        <v/>
      </c>
    </row>
    <row r="74" spans="2:43" ht="13.8" x14ac:dyDescent="0.25">
      <c r="B74" s="311" t="str">
        <f>'E-1 Off-Site Hedge Baseline'!AN72</f>
        <v/>
      </c>
      <c r="C74" s="301" t="str">
        <f>IF(B74="","",IF(ISNA(VLOOKUP($B74,'E-1 Off-Site Hedge Baseline'!$B$1:$L$257,3,FALSE)),"",(VLOOKUP($B74,'E-1 Off-Site Hedge Baseline'!$B$1:$L$257,3,FALSE))))</f>
        <v/>
      </c>
      <c r="D74" s="301" t="str">
        <f>IF(B74="","",IF(ISNA(VLOOKUP($B74,'E-1 Off-Site Hedge Baseline'!$B$1:$L$258,4,FALSE)),"",(VLOOKUP($B74,'E-1 Off-Site Hedge Baseline'!$B$1:$L$258,4,FALSE))))</f>
        <v/>
      </c>
      <c r="E74" s="301" t="str">
        <f>IF(B74="","",IF(ISNA(VLOOKUP($B74,'E-1 Off-Site Hedge Baseline'!$B$1:$L$257,5,FALSE)),"",(VLOOKUP($B74,'E-1 Off-Site Hedge Baseline'!$B$1:$L$257,5,FALSE))))</f>
        <v/>
      </c>
      <c r="F74" s="301" t="str">
        <f>IF(B74="","",IF(ISNA(VLOOKUP($B74,'E-1 Off-Site Hedge Baseline'!$B$1:$L$257,6,FALSE)),"",(VLOOKUP($B74,'E-1 Off-Site Hedge Baseline'!$B$1:$L$257,6,FALSE))))</f>
        <v/>
      </c>
      <c r="G74" s="301" t="str">
        <f>IF(B74="","",IF(ISNA(VLOOKUP($B74,'E-1 Off-Site Hedge Baseline'!$B$1:$L$257,7,FALSE)),"",(VLOOKUP($B74,'E-1 Off-Site Hedge Baseline'!$B$1:$L$257,7,FALSE))))</f>
        <v/>
      </c>
      <c r="H74" s="301" t="str">
        <f>IF(B74="","",IF(ISNA(VLOOKUP($B74,'E-1 Off-Site Hedge Baseline'!$B$1:$L$257,8,FALSE)),"",(VLOOKUP($B74,'E-1 Off-Site Hedge Baseline'!$B$1:$L$257,8,FALSE))))</f>
        <v/>
      </c>
      <c r="I74" s="301" t="str">
        <f>IF(B74="","",IF(ISNA(VLOOKUP($B74,'E-1 Off-Site Hedge Baseline'!$B$1:$L$257,10,FALSE)),"",(VLOOKUP($B74,'E-1 Off-Site Hedge Baseline'!$B$1:$L$257,10,FALSE))))</f>
        <v/>
      </c>
      <c r="J74" s="301" t="str">
        <f>IF(B74="","",IF(ISNA(VLOOKUP($B74,'E-1 Off-Site Hedge Baseline'!$B$1:$L$257,11,FALSE)),"",(VLOOKUP($B74,'E-1 Off-Site Hedge Baseline'!$B$1:$L$257,11,FALSE))))</f>
        <v/>
      </c>
      <c r="K74" s="301" t="str">
        <f>IF(B74="","",IF(ISNA(VLOOKUP($B74,'E-1 Off-Site Hedge Baseline'!$B$1:$X$257,16,FALSE)),"",(VLOOKUP($B74,'E-1 Off-Site Hedge Baseline'!$B$1:$X$257,16,FALSE))))</f>
        <v/>
      </c>
      <c r="L74" s="289" t="str">
        <f>IF(B74="","",IF(ISNA(VLOOKUP($B74,'E-1 Off-Site Hedge Baseline'!$B$1:$X$257,12,FALSE)),"",(VLOOKUP($B74,'E-1 Off-Site Hedge Baseline'!$B$1:$X$257,12,FALSE))))</f>
        <v/>
      </c>
      <c r="M74" s="250"/>
      <c r="N74" s="281" t="str">
        <f>IFERROR(IF(B74="","",INDEX('G-6 Hedgerow Data'!$AN$3:$AZ$15,MATCH(C74,'G-6 Hedgerow Data'!$AM$3:$AM$15,0),MATCH(M74,'G-6 Hedgerow Data'!$AN$2:$AZ$2,0))),"")</f>
        <v/>
      </c>
      <c r="O74" s="282" t="str">
        <f t="shared" si="1"/>
        <v/>
      </c>
      <c r="P74" s="287" t="str">
        <f>IF(B74="","",VLOOKUP(B74,'E-1 Off-Site Hedge Baseline'!$B$10:W319,19,FALSE))</f>
        <v/>
      </c>
      <c r="Q74" s="281" t="str">
        <f>IF(M74="","",VLOOKUP(M74,'G-6 Hedgerow Data'!$B$2:$AG$15,2,FALSE))</f>
        <v/>
      </c>
      <c r="R74" s="282" t="str">
        <f>IF(M74="","",VLOOKUP(M74,'G-6 Hedgerow Data'!$B$2:$AG$15,3,FALSE))</f>
        <v/>
      </c>
      <c r="S74" s="105"/>
      <c r="T74" s="282" t="str">
        <f>IFERROR(IF(S74="","",IF(AND(M74="Non-native and ornamental hedgerow", S74&lt;&gt;"Poor"),"Not possible ▲", (IF(AND(Q74="V.Low",OR(S74="Good",S74="Moderate")),"Error ▲",VLOOKUP(S74,'G-1 All Habitats'!$Z$2:$AA$9,2,FALSE))))),"")</f>
        <v/>
      </c>
      <c r="U74" s="105"/>
      <c r="V74" s="289" t="str">
        <f>IF(U74="","",IF(VLOOKUP(U74,'G-3 Multipliers'!$L$3:$N$6,2,FALSE)=0,"Spatial Data Missing ⚠",VLOOKUP(U74,'G-3 Multipliers'!$L$3:$N$6,2,FALSE)))</f>
        <v/>
      </c>
      <c r="W74" s="287" t="str">
        <f>IF(U74="","",IF(VLOOKUP(U74,'G-3 Multipliers'!$L$3:$N$6,3,FALSE)=0,"Spatial Data Missing ⚠",VLOOKUP(U74,'G-3 Multipliers'!$L$3:$N$6,3,FALSE)))</f>
        <v/>
      </c>
      <c r="X74" s="281" t="str">
        <f>IFERROR(IF(OR(LEFT(O74,5)="Error",LEFT(N74,5)="Error",T74="Error"),"Check Data ⚠",IF(F74&lt;R74,INDEX('G-6 Hedgerow Data'!$S$3:$AE$14,MATCH(C74,'G-6 Hedgerow Data'!$B$3:$B$14,0),MATCH(M74,'G-6 Hedgerow Data'!$S$2:$AE$2,0)),INDEX('G-6 Hedgerow Data'!$K$3:$Q$14,MATCH(M74,'G-6 Hedgerow Data'!$B$3:$B$14,0),MATCH(O74,'G-6 Hedgerow Data'!$K$2:$Q$2,0)))),"")</f>
        <v/>
      </c>
      <c r="Y74" s="137"/>
      <c r="Z74" s="137"/>
      <c r="AA74" s="289" t="str">
        <f t="shared" si="2"/>
        <v/>
      </c>
      <c r="AB74" s="302" t="str">
        <f t="shared" si="3"/>
        <v/>
      </c>
      <c r="AC74" s="303" t="str">
        <f t="shared" si="0"/>
        <v/>
      </c>
      <c r="AD74" s="317" t="str">
        <f>IF(M74="","",VLOOKUP(M74,'G-6 Hedgerow Data'!$B$3:$AG$15,31,FALSE))</f>
        <v/>
      </c>
      <c r="AE74" s="301" t="str">
        <f t="shared" si="4"/>
        <v/>
      </c>
      <c r="AF74" s="289" t="str">
        <f t="shared" si="5"/>
        <v/>
      </c>
      <c r="AG74" s="305" t="str">
        <f>IFERROR(IF(O74="","",VLOOKUP(AD74,'G-3 Multipliers'!$P$3:$Q$6,2,FALSE)),"")</f>
        <v/>
      </c>
      <c r="AH74" s="729" t="str">
        <f>IF(B74="","",IF(ISNA(VLOOKUP($B74,'E-1 Off-Site Hedge Baseline'!$B$1:$Z$257,14,FALSE)),"",(VLOOKUP($B74,'E-1 Off-Site Hedge Baseline'!$B$1:$Z$257,14,FALSE))))</f>
        <v/>
      </c>
      <c r="AI74" s="282" t="str">
        <f>IF(AH74="","",IF(VLOOKUP(AH74,'G-3 Multipliers'!$S$3:$T$10,2,FALSE)=0,"Spatial Data Missing ⚠",VLOOKUP(AH74,'G-3 Multipliers'!$S$3:$T$10,2,FALSE)))</f>
        <v/>
      </c>
      <c r="AJ74" s="323" t="str">
        <f t="shared" si="6"/>
        <v/>
      </c>
      <c r="AK74" s="295" t="str">
        <f t="shared" si="7"/>
        <v/>
      </c>
      <c r="AL74" s="105"/>
      <c r="AM74" s="119"/>
      <c r="AN74" s="108"/>
      <c r="AO74" s="108"/>
      <c r="AQ74" s="30" t="str">
        <f>IFERROR(INDEX('G-6 Hedgerow Data'!$BJ$3:$BJ$15,MATCH(M74,'G-6 Hedgerow Data'!$B$3:$B$15,0)),"")</f>
        <v/>
      </c>
    </row>
    <row r="75" spans="2:43" ht="13.8" x14ac:dyDescent="0.25">
      <c r="B75" s="311" t="str">
        <f>'E-1 Off-Site Hedge Baseline'!AN73</f>
        <v/>
      </c>
      <c r="C75" s="301" t="str">
        <f>IF(B75="","",IF(ISNA(VLOOKUP($B75,'E-1 Off-Site Hedge Baseline'!$B$1:$L$257,3,FALSE)),"",(VLOOKUP($B75,'E-1 Off-Site Hedge Baseline'!$B$1:$L$257,3,FALSE))))</f>
        <v/>
      </c>
      <c r="D75" s="301" t="str">
        <f>IF(B75="","",IF(ISNA(VLOOKUP($B75,'E-1 Off-Site Hedge Baseline'!$B$1:$L$258,4,FALSE)),"",(VLOOKUP($B75,'E-1 Off-Site Hedge Baseline'!$B$1:$L$258,4,FALSE))))</f>
        <v/>
      </c>
      <c r="E75" s="301" t="str">
        <f>IF(B75="","",IF(ISNA(VLOOKUP($B75,'E-1 Off-Site Hedge Baseline'!$B$1:$L$257,5,FALSE)),"",(VLOOKUP($B75,'E-1 Off-Site Hedge Baseline'!$B$1:$L$257,5,FALSE))))</f>
        <v/>
      </c>
      <c r="F75" s="301" t="str">
        <f>IF(B75="","",IF(ISNA(VLOOKUP($B75,'E-1 Off-Site Hedge Baseline'!$B$1:$L$257,6,FALSE)),"",(VLOOKUP($B75,'E-1 Off-Site Hedge Baseline'!$B$1:$L$257,6,FALSE))))</f>
        <v/>
      </c>
      <c r="G75" s="301" t="str">
        <f>IF(B75="","",IF(ISNA(VLOOKUP($B75,'E-1 Off-Site Hedge Baseline'!$B$1:$L$257,7,FALSE)),"",(VLOOKUP($B75,'E-1 Off-Site Hedge Baseline'!$B$1:$L$257,7,FALSE))))</f>
        <v/>
      </c>
      <c r="H75" s="301" t="str">
        <f>IF(B75="","",IF(ISNA(VLOOKUP($B75,'E-1 Off-Site Hedge Baseline'!$B$1:$L$257,8,FALSE)),"",(VLOOKUP($B75,'E-1 Off-Site Hedge Baseline'!$B$1:$L$257,8,FALSE))))</f>
        <v/>
      </c>
      <c r="I75" s="301" t="str">
        <f>IF(B75="","",IF(ISNA(VLOOKUP($B75,'E-1 Off-Site Hedge Baseline'!$B$1:$L$257,10,FALSE)),"",(VLOOKUP($B75,'E-1 Off-Site Hedge Baseline'!$B$1:$L$257,10,FALSE))))</f>
        <v/>
      </c>
      <c r="J75" s="301" t="str">
        <f>IF(B75="","",IF(ISNA(VLOOKUP($B75,'E-1 Off-Site Hedge Baseline'!$B$1:$L$257,11,FALSE)),"",(VLOOKUP($B75,'E-1 Off-Site Hedge Baseline'!$B$1:$L$257,11,FALSE))))</f>
        <v/>
      </c>
      <c r="K75" s="301" t="str">
        <f>IF(B75="","",IF(ISNA(VLOOKUP($B75,'E-1 Off-Site Hedge Baseline'!$B$1:$X$257,16,FALSE)),"",(VLOOKUP($B75,'E-1 Off-Site Hedge Baseline'!$B$1:$X$257,16,FALSE))))</f>
        <v/>
      </c>
      <c r="L75" s="289" t="str">
        <f>IF(B75="","",IF(ISNA(VLOOKUP($B75,'E-1 Off-Site Hedge Baseline'!$B$1:$X$257,12,FALSE)),"",(VLOOKUP($B75,'E-1 Off-Site Hedge Baseline'!$B$1:$X$257,12,FALSE))))</f>
        <v/>
      </c>
      <c r="M75" s="250"/>
      <c r="N75" s="281" t="str">
        <f>IFERROR(IF(B75="","",INDEX('G-6 Hedgerow Data'!$AN$3:$AZ$15,MATCH(C75,'G-6 Hedgerow Data'!$AM$3:$AM$15,0),MATCH(M75,'G-6 Hedgerow Data'!$AN$2:$AZ$2,0))),"")</f>
        <v/>
      </c>
      <c r="O75" s="282" t="str">
        <f t="shared" si="1"/>
        <v/>
      </c>
      <c r="P75" s="287" t="str">
        <f>IF(B75="","",VLOOKUP(B75,'E-1 Off-Site Hedge Baseline'!$B$10:W320,19,FALSE))</f>
        <v/>
      </c>
      <c r="Q75" s="281" t="str">
        <f>IF(M75="","",VLOOKUP(M75,'G-6 Hedgerow Data'!$B$2:$AG$15,2,FALSE))</f>
        <v/>
      </c>
      <c r="R75" s="282" t="str">
        <f>IF(M75="","",VLOOKUP(M75,'G-6 Hedgerow Data'!$B$2:$AG$15,3,FALSE))</f>
        <v/>
      </c>
      <c r="S75" s="105"/>
      <c r="T75" s="282" t="str">
        <f>IFERROR(IF(S75="","",IF(AND(M75="Non-native and ornamental hedgerow", S75&lt;&gt;"Poor"),"Not possible ▲", (IF(AND(Q75="V.Low",OR(S75="Good",S75="Moderate")),"Error ▲",VLOOKUP(S75,'G-1 All Habitats'!$Z$2:$AA$9,2,FALSE))))),"")</f>
        <v/>
      </c>
      <c r="U75" s="105"/>
      <c r="V75" s="289" t="str">
        <f>IF(U75="","",IF(VLOOKUP(U75,'G-3 Multipliers'!$L$3:$N$6,2,FALSE)=0,"Spatial Data Missing ⚠",VLOOKUP(U75,'G-3 Multipliers'!$L$3:$N$6,2,FALSE)))</f>
        <v/>
      </c>
      <c r="W75" s="287" t="str">
        <f>IF(U75="","",IF(VLOOKUP(U75,'G-3 Multipliers'!$L$3:$N$6,3,FALSE)=0,"Spatial Data Missing ⚠",VLOOKUP(U75,'G-3 Multipliers'!$L$3:$N$6,3,FALSE)))</f>
        <v/>
      </c>
      <c r="X75" s="281" t="str">
        <f>IFERROR(IF(OR(LEFT(O75,5)="Error",LEFT(N75,5)="Error",T75="Error"),"Check Data ⚠",IF(F75&lt;R75,INDEX('G-6 Hedgerow Data'!$S$3:$AE$14,MATCH(C75,'G-6 Hedgerow Data'!$B$3:$B$14,0),MATCH(M75,'G-6 Hedgerow Data'!$S$2:$AE$2,0)),INDEX('G-6 Hedgerow Data'!$K$3:$Q$14,MATCH(M75,'G-6 Hedgerow Data'!$B$3:$B$14,0),MATCH(O75,'G-6 Hedgerow Data'!$K$2:$Q$2,0)))),"")</f>
        <v/>
      </c>
      <c r="Y75" s="137"/>
      <c r="Z75" s="137"/>
      <c r="AA75" s="289" t="str">
        <f t="shared" si="2"/>
        <v/>
      </c>
      <c r="AB75" s="302" t="str">
        <f t="shared" si="3"/>
        <v/>
      </c>
      <c r="AC75" s="303" t="str">
        <f t="shared" si="0"/>
        <v/>
      </c>
      <c r="AD75" s="317" t="str">
        <f>IF(M75="","",VLOOKUP(M75,'G-6 Hedgerow Data'!$B$3:$AG$15,31,FALSE))</f>
        <v/>
      </c>
      <c r="AE75" s="301" t="str">
        <f t="shared" si="4"/>
        <v/>
      </c>
      <c r="AF75" s="289" t="str">
        <f t="shared" si="5"/>
        <v/>
      </c>
      <c r="AG75" s="305" t="str">
        <f>IFERROR(IF(O75="","",VLOOKUP(AD75,'G-3 Multipliers'!$P$3:$Q$6,2,FALSE)),"")</f>
        <v/>
      </c>
      <c r="AH75" s="729" t="str">
        <f>IF(B75="","",IF(ISNA(VLOOKUP($B75,'E-1 Off-Site Hedge Baseline'!$B$1:$Z$257,14,FALSE)),"",(VLOOKUP($B75,'E-1 Off-Site Hedge Baseline'!$B$1:$Z$257,14,FALSE))))</f>
        <v/>
      </c>
      <c r="AI75" s="282" t="str">
        <f>IF(AH75="","",IF(VLOOKUP(AH75,'G-3 Multipliers'!$S$3:$T$10,2,FALSE)=0,"Spatial Data Missing ⚠",VLOOKUP(AH75,'G-3 Multipliers'!$S$3:$T$10,2,FALSE)))</f>
        <v/>
      </c>
      <c r="AJ75" s="323" t="str">
        <f t="shared" si="6"/>
        <v/>
      </c>
      <c r="AK75" s="295" t="str">
        <f t="shared" si="7"/>
        <v/>
      </c>
      <c r="AL75" s="105"/>
      <c r="AM75" s="119"/>
      <c r="AN75" s="108"/>
      <c r="AO75" s="108"/>
      <c r="AQ75" s="30" t="str">
        <f>IFERROR(INDEX('G-6 Hedgerow Data'!$BJ$3:$BJ$15,MATCH(M75,'G-6 Hedgerow Data'!$B$3:$B$15,0)),"")</f>
        <v/>
      </c>
    </row>
    <row r="76" spans="2:43" ht="13.8" x14ac:dyDescent="0.25">
      <c r="B76" s="311" t="str">
        <f>'E-1 Off-Site Hedge Baseline'!AN74</f>
        <v/>
      </c>
      <c r="C76" s="301" t="str">
        <f>IF(B76="","",IF(ISNA(VLOOKUP($B76,'E-1 Off-Site Hedge Baseline'!$B$1:$L$257,3,FALSE)),"",(VLOOKUP($B76,'E-1 Off-Site Hedge Baseline'!$B$1:$L$257,3,FALSE))))</f>
        <v/>
      </c>
      <c r="D76" s="301" t="str">
        <f>IF(B76="","",IF(ISNA(VLOOKUP($B76,'E-1 Off-Site Hedge Baseline'!$B$1:$L$258,4,FALSE)),"",(VLOOKUP($B76,'E-1 Off-Site Hedge Baseline'!$B$1:$L$258,4,FALSE))))</f>
        <v/>
      </c>
      <c r="E76" s="301" t="str">
        <f>IF(B76="","",IF(ISNA(VLOOKUP($B76,'E-1 Off-Site Hedge Baseline'!$B$1:$L$257,5,FALSE)),"",(VLOOKUP($B76,'E-1 Off-Site Hedge Baseline'!$B$1:$L$257,5,FALSE))))</f>
        <v/>
      </c>
      <c r="F76" s="301" t="str">
        <f>IF(B76="","",IF(ISNA(VLOOKUP($B76,'E-1 Off-Site Hedge Baseline'!$B$1:$L$257,6,FALSE)),"",(VLOOKUP($B76,'E-1 Off-Site Hedge Baseline'!$B$1:$L$257,6,FALSE))))</f>
        <v/>
      </c>
      <c r="G76" s="301" t="str">
        <f>IF(B76="","",IF(ISNA(VLOOKUP($B76,'E-1 Off-Site Hedge Baseline'!$B$1:$L$257,7,FALSE)),"",(VLOOKUP($B76,'E-1 Off-Site Hedge Baseline'!$B$1:$L$257,7,FALSE))))</f>
        <v/>
      </c>
      <c r="H76" s="301" t="str">
        <f>IF(B76="","",IF(ISNA(VLOOKUP($B76,'E-1 Off-Site Hedge Baseline'!$B$1:$L$257,8,FALSE)),"",(VLOOKUP($B76,'E-1 Off-Site Hedge Baseline'!$B$1:$L$257,8,FALSE))))</f>
        <v/>
      </c>
      <c r="I76" s="301" t="str">
        <f>IF(B76="","",IF(ISNA(VLOOKUP($B76,'E-1 Off-Site Hedge Baseline'!$B$1:$L$257,10,FALSE)),"",(VLOOKUP($B76,'E-1 Off-Site Hedge Baseline'!$B$1:$L$257,10,FALSE))))</f>
        <v/>
      </c>
      <c r="J76" s="301" t="str">
        <f>IF(B76="","",IF(ISNA(VLOOKUP($B76,'E-1 Off-Site Hedge Baseline'!$B$1:$L$257,11,FALSE)),"",(VLOOKUP($B76,'E-1 Off-Site Hedge Baseline'!$B$1:$L$257,11,FALSE))))</f>
        <v/>
      </c>
      <c r="K76" s="301" t="str">
        <f>IF(B76="","",IF(ISNA(VLOOKUP($B76,'E-1 Off-Site Hedge Baseline'!$B$1:$X$257,16,FALSE)),"",(VLOOKUP($B76,'E-1 Off-Site Hedge Baseline'!$B$1:$X$257,16,FALSE))))</f>
        <v/>
      </c>
      <c r="L76" s="289" t="str">
        <f>IF(B76="","",IF(ISNA(VLOOKUP($B76,'E-1 Off-Site Hedge Baseline'!$B$1:$X$257,12,FALSE)),"",(VLOOKUP($B76,'E-1 Off-Site Hedge Baseline'!$B$1:$X$257,12,FALSE))))</f>
        <v/>
      </c>
      <c r="M76" s="250"/>
      <c r="N76" s="281" t="str">
        <f>IFERROR(IF(B76="","",INDEX('G-6 Hedgerow Data'!$AN$3:$AZ$15,MATCH(C76,'G-6 Hedgerow Data'!$AM$3:$AM$15,0),MATCH(M76,'G-6 Hedgerow Data'!$AN$2:$AZ$2,0))),"")</f>
        <v/>
      </c>
      <c r="O76" s="282" t="str">
        <f t="shared" si="1"/>
        <v/>
      </c>
      <c r="P76" s="287" t="str">
        <f>IF(B76="","",VLOOKUP(B76,'E-1 Off-Site Hedge Baseline'!$B$10:W321,19,FALSE))</f>
        <v/>
      </c>
      <c r="Q76" s="281" t="str">
        <f>IF(M76="","",VLOOKUP(M76,'G-6 Hedgerow Data'!$B$2:$AG$15,2,FALSE))</f>
        <v/>
      </c>
      <c r="R76" s="282" t="str">
        <f>IF(M76="","",VLOOKUP(M76,'G-6 Hedgerow Data'!$B$2:$AG$15,3,FALSE))</f>
        <v/>
      </c>
      <c r="S76" s="105"/>
      <c r="T76" s="282" t="str">
        <f>IFERROR(IF(S76="","",IF(AND(M76="Non-native and ornamental hedgerow", S76&lt;&gt;"Poor"),"Not possible ▲", (IF(AND(Q76="V.Low",OR(S76="Good",S76="Moderate")),"Error ▲",VLOOKUP(S76,'G-1 All Habitats'!$Z$2:$AA$9,2,FALSE))))),"")</f>
        <v/>
      </c>
      <c r="U76" s="105"/>
      <c r="V76" s="289" t="str">
        <f>IF(U76="","",IF(VLOOKUP(U76,'G-3 Multipliers'!$L$3:$N$6,2,FALSE)=0,"Spatial Data Missing ⚠",VLOOKUP(U76,'G-3 Multipliers'!$L$3:$N$6,2,FALSE)))</f>
        <v/>
      </c>
      <c r="W76" s="287" t="str">
        <f>IF(U76="","",IF(VLOOKUP(U76,'G-3 Multipliers'!$L$3:$N$6,3,FALSE)=0,"Spatial Data Missing ⚠",VLOOKUP(U76,'G-3 Multipliers'!$L$3:$N$6,3,FALSE)))</f>
        <v/>
      </c>
      <c r="X76" s="281" t="str">
        <f>IFERROR(IF(OR(LEFT(O76,5)="Error",LEFT(N76,5)="Error",T76="Error"),"Check Data ⚠",IF(F76&lt;R76,INDEX('G-6 Hedgerow Data'!$S$3:$AE$14,MATCH(C76,'G-6 Hedgerow Data'!$B$3:$B$14,0),MATCH(M76,'G-6 Hedgerow Data'!$S$2:$AE$2,0)),INDEX('G-6 Hedgerow Data'!$K$3:$Q$14,MATCH(M76,'G-6 Hedgerow Data'!$B$3:$B$14,0),MATCH(O76,'G-6 Hedgerow Data'!$K$2:$Q$2,0)))),"")</f>
        <v/>
      </c>
      <c r="Y76" s="137"/>
      <c r="Z76" s="137"/>
      <c r="AA76" s="289" t="str">
        <f t="shared" si="2"/>
        <v/>
      </c>
      <c r="AB76" s="302" t="str">
        <f t="shared" si="3"/>
        <v/>
      </c>
      <c r="AC76" s="303" t="str">
        <f t="shared" ref="AC76:AC139" si="8">IF(OR(S76="",M76=""),"",IF(LEFT(AB76,5)="Error ▲","Check Data ⚠",IF(AB76="Check Data ⚠","Check Data ⚠",VLOOKUP(AB76,TemporalMultipliers,3,FALSE))))</f>
        <v/>
      </c>
      <c r="AD76" s="317" t="str">
        <f>IF(M76="","",VLOOKUP(M76,'G-6 Hedgerow Data'!$B$3:$AG$15,31,FALSE))</f>
        <v/>
      </c>
      <c r="AE76" s="301" t="str">
        <f t="shared" si="4"/>
        <v/>
      </c>
      <c r="AF76" s="289" t="str">
        <f t="shared" si="5"/>
        <v/>
      </c>
      <c r="AG76" s="305" t="str">
        <f>IFERROR(IF(O76="","",VLOOKUP(AD76,'G-3 Multipliers'!$P$3:$Q$6,2,FALSE)),"")</f>
        <v/>
      </c>
      <c r="AH76" s="729" t="str">
        <f>IF(B76="","",IF(ISNA(VLOOKUP($B76,'E-1 Off-Site Hedge Baseline'!$B$1:$Z$257,14,FALSE)),"",(VLOOKUP($B76,'E-1 Off-Site Hedge Baseline'!$B$1:$Z$257,14,FALSE))))</f>
        <v/>
      </c>
      <c r="AI76" s="282" t="str">
        <f>IF(AH76="","",IF(VLOOKUP(AH76,'G-3 Multipliers'!$S$3:$T$10,2,FALSE)=0,"Spatial Data Missing ⚠",VLOOKUP(AH76,'G-3 Multipliers'!$S$3:$T$10,2,FALSE)))</f>
        <v/>
      </c>
      <c r="AJ76" s="323" t="str">
        <f t="shared" si="6"/>
        <v/>
      </c>
      <c r="AK76" s="295" t="str">
        <f t="shared" si="7"/>
        <v/>
      </c>
      <c r="AL76" s="105"/>
      <c r="AM76" s="119"/>
      <c r="AN76" s="108"/>
      <c r="AO76" s="108"/>
      <c r="AQ76" s="30" t="str">
        <f>IFERROR(INDEX('G-6 Hedgerow Data'!$BJ$3:$BJ$15,MATCH(M76,'G-6 Hedgerow Data'!$B$3:$B$15,0)),"")</f>
        <v/>
      </c>
    </row>
    <row r="77" spans="2:43" ht="13.8" x14ac:dyDescent="0.25">
      <c r="B77" s="311" t="str">
        <f>'E-1 Off-Site Hedge Baseline'!AN75</f>
        <v/>
      </c>
      <c r="C77" s="301" t="str">
        <f>IF(B77="","",IF(ISNA(VLOOKUP($B77,'E-1 Off-Site Hedge Baseline'!$B$1:$L$257,3,FALSE)),"",(VLOOKUP($B77,'E-1 Off-Site Hedge Baseline'!$B$1:$L$257,3,FALSE))))</f>
        <v/>
      </c>
      <c r="D77" s="301" t="str">
        <f>IF(B77="","",IF(ISNA(VLOOKUP($B77,'E-1 Off-Site Hedge Baseline'!$B$1:$L$258,4,FALSE)),"",(VLOOKUP($B77,'E-1 Off-Site Hedge Baseline'!$B$1:$L$258,4,FALSE))))</f>
        <v/>
      </c>
      <c r="E77" s="301" t="str">
        <f>IF(B77="","",IF(ISNA(VLOOKUP($B77,'E-1 Off-Site Hedge Baseline'!$B$1:$L$257,5,FALSE)),"",(VLOOKUP($B77,'E-1 Off-Site Hedge Baseline'!$B$1:$L$257,5,FALSE))))</f>
        <v/>
      </c>
      <c r="F77" s="301" t="str">
        <f>IF(B77="","",IF(ISNA(VLOOKUP($B77,'E-1 Off-Site Hedge Baseline'!$B$1:$L$257,6,FALSE)),"",(VLOOKUP($B77,'E-1 Off-Site Hedge Baseline'!$B$1:$L$257,6,FALSE))))</f>
        <v/>
      </c>
      <c r="G77" s="301" t="str">
        <f>IF(B77="","",IF(ISNA(VLOOKUP($B77,'E-1 Off-Site Hedge Baseline'!$B$1:$L$257,7,FALSE)),"",(VLOOKUP($B77,'E-1 Off-Site Hedge Baseline'!$B$1:$L$257,7,FALSE))))</f>
        <v/>
      </c>
      <c r="H77" s="301" t="str">
        <f>IF(B77="","",IF(ISNA(VLOOKUP($B77,'E-1 Off-Site Hedge Baseline'!$B$1:$L$257,8,FALSE)),"",(VLOOKUP($B77,'E-1 Off-Site Hedge Baseline'!$B$1:$L$257,8,FALSE))))</f>
        <v/>
      </c>
      <c r="I77" s="301" t="str">
        <f>IF(B77="","",IF(ISNA(VLOOKUP($B77,'E-1 Off-Site Hedge Baseline'!$B$1:$L$257,10,FALSE)),"",(VLOOKUP($B77,'E-1 Off-Site Hedge Baseline'!$B$1:$L$257,10,FALSE))))</f>
        <v/>
      </c>
      <c r="J77" s="301" t="str">
        <f>IF(B77="","",IF(ISNA(VLOOKUP($B77,'E-1 Off-Site Hedge Baseline'!$B$1:$L$257,11,FALSE)),"",(VLOOKUP($B77,'E-1 Off-Site Hedge Baseline'!$B$1:$L$257,11,FALSE))))</f>
        <v/>
      </c>
      <c r="K77" s="301" t="str">
        <f>IF(B77="","",IF(ISNA(VLOOKUP($B77,'E-1 Off-Site Hedge Baseline'!$B$1:$X$257,16,FALSE)),"",(VLOOKUP($B77,'E-1 Off-Site Hedge Baseline'!$B$1:$X$257,16,FALSE))))</f>
        <v/>
      </c>
      <c r="L77" s="289" t="str">
        <f>IF(B77="","",IF(ISNA(VLOOKUP($B77,'E-1 Off-Site Hedge Baseline'!$B$1:$X$257,12,FALSE)),"",(VLOOKUP($B77,'E-1 Off-Site Hedge Baseline'!$B$1:$X$257,12,FALSE))))</f>
        <v/>
      </c>
      <c r="M77" s="250"/>
      <c r="N77" s="281" t="str">
        <f>IFERROR(IF(B77="","",INDEX('G-6 Hedgerow Data'!$AN$3:$AZ$15,MATCH(C77,'G-6 Hedgerow Data'!$AM$3:$AM$15,0),MATCH(M77,'G-6 Hedgerow Data'!$AN$2:$AZ$2,0))),"")</f>
        <v/>
      </c>
      <c r="O77" s="282" t="str">
        <f t="shared" ref="O77:O140" si="9">IFERROR(IF(B77="","",IF(AND(LEFT(C77,55)&lt;&gt;LEFT(M77,55),N77="High - High"),"Error - Not like for like ▲",IF(H77&gt;T77,"Error - Can not reduce condition ▲",IF(AND(F77=R77,H77=T77),"Error - No enhancement ▲",IF(AND(C77&lt;&gt;M77,F77&lt;R77),"Lower Distinctiveness Habitat"&amp;" - "&amp;S77,G77&amp;" - "&amp;S77))))),"")</f>
        <v/>
      </c>
      <c r="P77" s="287" t="str">
        <f>IF(B77="","",VLOOKUP(B77,'E-1 Off-Site Hedge Baseline'!$B$10:W322,19,FALSE))</f>
        <v/>
      </c>
      <c r="Q77" s="281" t="str">
        <f>IF(M77="","",VLOOKUP(M77,'G-6 Hedgerow Data'!$B$2:$AG$15,2,FALSE))</f>
        <v/>
      </c>
      <c r="R77" s="282" t="str">
        <f>IF(M77="","",VLOOKUP(M77,'G-6 Hedgerow Data'!$B$2:$AG$15,3,FALSE))</f>
        <v/>
      </c>
      <c r="S77" s="105"/>
      <c r="T77" s="282" t="str">
        <f>IFERROR(IF(S77="","",IF(AND(M77="Non-native and ornamental hedgerow", S77&lt;&gt;"Poor"),"Not possible ▲", (IF(AND(Q77="V.Low",OR(S77="Good",S77="Moderate")),"Error ▲",VLOOKUP(S77,'G-1 All Habitats'!$Z$2:$AA$9,2,FALSE))))),"")</f>
        <v/>
      </c>
      <c r="U77" s="105"/>
      <c r="V77" s="289" t="str">
        <f>IF(U77="","",IF(VLOOKUP(U77,'G-3 Multipliers'!$L$3:$N$6,2,FALSE)=0,"Spatial Data Missing ⚠",VLOOKUP(U77,'G-3 Multipliers'!$L$3:$N$6,2,FALSE)))</f>
        <v/>
      </c>
      <c r="W77" s="287" t="str">
        <f>IF(U77="","",IF(VLOOKUP(U77,'G-3 Multipliers'!$L$3:$N$6,3,FALSE)=0,"Spatial Data Missing ⚠",VLOOKUP(U77,'G-3 Multipliers'!$L$3:$N$6,3,FALSE)))</f>
        <v/>
      </c>
      <c r="X77" s="281" t="str">
        <f>IFERROR(IF(OR(LEFT(O77,5)="Error",LEFT(N77,5)="Error",T77="Error"),"Check Data ⚠",IF(F77&lt;R77,INDEX('G-6 Hedgerow Data'!$S$3:$AE$14,MATCH(C77,'G-6 Hedgerow Data'!$B$3:$B$14,0),MATCH(M77,'G-6 Hedgerow Data'!$S$2:$AE$2,0)),INDEX('G-6 Hedgerow Data'!$K$3:$Q$14,MATCH(M77,'G-6 Hedgerow Data'!$B$3:$B$14,0),MATCH(O77,'G-6 Hedgerow Data'!$K$2:$Q$2,0)))),"")</f>
        <v/>
      </c>
      <c r="Y77" s="137"/>
      <c r="Z77" s="137"/>
      <c r="AA77" s="289" t="str">
        <f t="shared" ref="AA77:AA140" si="10">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02" t="str">
        <f t="shared" ref="AB77:AB140" si="11">IF(X77="","",IF(AA77="Check Data ⚠","Check Data ⚠",IF(X77="Not possible ▲", "Check data ⚠", IF(Y77="30+",0,IF(Z77="30+","30+",IF(X77+Z77&gt;30,"30+",IF(AA77="Error -both advance and delayed habitat creation ▲","Check Data ⚠",IF(X77+Z77-Y77&gt;0,X77+Z77-Y77,IF(X77-Y77&lt;=0,0,)))))))))</f>
        <v/>
      </c>
      <c r="AC77" s="303" t="str">
        <f t="shared" si="8"/>
        <v/>
      </c>
      <c r="AD77" s="317" t="str">
        <f>IF(M77="","",VLOOKUP(M77,'G-6 Hedgerow Data'!$B$3:$AG$15,31,FALSE))</f>
        <v/>
      </c>
      <c r="AE77" s="301" t="str">
        <f t="shared" ref="AE77:AE140" si="12">IF(M77="","",IF(OR(LEFT(AA77,5)="Error ▲",AA77="Check Data ⚠"),"Check Data ⚠",IF(X77="","",IF($AA77="Check details - Is there evidence that habitat has reached target condition? ⚠","Low Difficulty - only applicable if all habitat created before losses ⚠","Standard difficulty applied"))))</f>
        <v/>
      </c>
      <c r="AF77" s="289" t="str">
        <f t="shared" ref="AF77:AF140" si="13">(IF(AND(AE77="Yes",X77&gt;Y77),AD77,IF(AB77="Check data ⚠", "Check data ⚠", IF(AND(AE77="Low Difficulty - only applicable if all habitat created before losses ⚠",Y77&gt;=X77),"Low",AD77))))</f>
        <v/>
      </c>
      <c r="AG77" s="305" t="str">
        <f>IFERROR(IF(O77="","",VLOOKUP(AD77,'G-3 Multipliers'!$P$3:$Q$6,2,FALSE)),"")</f>
        <v/>
      </c>
      <c r="AH77" s="729" t="str">
        <f>IF(B77="","",IF(ISNA(VLOOKUP($B77,'E-1 Off-Site Hedge Baseline'!$B$1:$Z$257,14,FALSE)),"",(VLOOKUP($B77,'E-1 Off-Site Hedge Baseline'!$B$1:$Z$257,14,FALSE))))</f>
        <v/>
      </c>
      <c r="AI77" s="282" t="str">
        <f>IF(AH77="","",IF(VLOOKUP(AH77,'G-3 Multipliers'!$S$3:$T$10,2,FALSE)=0,"Spatial Data Missing ⚠",VLOOKUP(AH77,'G-3 Multipliers'!$S$3:$T$10,2,FALSE)))</f>
        <v/>
      </c>
      <c r="AJ77" s="323" t="str">
        <f t="shared" ref="AJ77:AJ140" si="14">IFERROR(IF(AK77="Check data ⚠", "Check data ⚠",(IF(OR(M77="",S77="",U77="",AH77=""),"",(((((P77*R77*T77)-(P77*F77*H77))*(AG77*AC77))+(P77*F77*H77))*(W77)*AI77)))),"")</f>
        <v/>
      </c>
      <c r="AK77" s="295" t="str">
        <f t="shared" ref="AK77:AK140" si="15">IFERROR(IF(K77="Check data ⚠", "Check data ⚠", (IF(AND(AH77&lt;&gt;"",AO77=""), "Off-site reference required ▲",(IF(OR(M77="",S77="",U77="",AH77=""),"", IF(AH77="","",(((((P77*R77*T77)-(P77*F77*H77))*(AG77*AC77))+(P77*F77*H77))*(W77)))))))),"")</f>
        <v/>
      </c>
      <c r="AL77" s="105"/>
      <c r="AM77" s="119"/>
      <c r="AN77" s="108"/>
      <c r="AO77" s="108"/>
      <c r="AQ77" s="30" t="str">
        <f>IFERROR(INDEX('G-6 Hedgerow Data'!$BJ$3:$BJ$15,MATCH(M77,'G-6 Hedgerow Data'!$B$3:$B$15,0)),"")</f>
        <v/>
      </c>
    </row>
    <row r="78" spans="2:43" ht="13.8" x14ac:dyDescent="0.25">
      <c r="B78" s="311" t="str">
        <f>'E-1 Off-Site Hedge Baseline'!AN76</f>
        <v/>
      </c>
      <c r="C78" s="301" t="str">
        <f>IF(B78="","",IF(ISNA(VLOOKUP($B78,'E-1 Off-Site Hedge Baseline'!$B$1:$L$257,3,FALSE)),"",(VLOOKUP($B78,'E-1 Off-Site Hedge Baseline'!$B$1:$L$257,3,FALSE))))</f>
        <v/>
      </c>
      <c r="D78" s="301" t="str">
        <f>IF(B78="","",IF(ISNA(VLOOKUP($B78,'E-1 Off-Site Hedge Baseline'!$B$1:$L$258,4,FALSE)),"",(VLOOKUP($B78,'E-1 Off-Site Hedge Baseline'!$B$1:$L$258,4,FALSE))))</f>
        <v/>
      </c>
      <c r="E78" s="301" t="str">
        <f>IF(B78="","",IF(ISNA(VLOOKUP($B78,'E-1 Off-Site Hedge Baseline'!$B$1:$L$257,5,FALSE)),"",(VLOOKUP($B78,'E-1 Off-Site Hedge Baseline'!$B$1:$L$257,5,FALSE))))</f>
        <v/>
      </c>
      <c r="F78" s="301" t="str">
        <f>IF(B78="","",IF(ISNA(VLOOKUP($B78,'E-1 Off-Site Hedge Baseline'!$B$1:$L$257,6,FALSE)),"",(VLOOKUP($B78,'E-1 Off-Site Hedge Baseline'!$B$1:$L$257,6,FALSE))))</f>
        <v/>
      </c>
      <c r="G78" s="301" t="str">
        <f>IF(B78="","",IF(ISNA(VLOOKUP($B78,'E-1 Off-Site Hedge Baseline'!$B$1:$L$257,7,FALSE)),"",(VLOOKUP($B78,'E-1 Off-Site Hedge Baseline'!$B$1:$L$257,7,FALSE))))</f>
        <v/>
      </c>
      <c r="H78" s="301" t="str">
        <f>IF(B78="","",IF(ISNA(VLOOKUP($B78,'E-1 Off-Site Hedge Baseline'!$B$1:$L$257,8,FALSE)),"",(VLOOKUP($B78,'E-1 Off-Site Hedge Baseline'!$B$1:$L$257,8,FALSE))))</f>
        <v/>
      </c>
      <c r="I78" s="301" t="str">
        <f>IF(B78="","",IF(ISNA(VLOOKUP($B78,'E-1 Off-Site Hedge Baseline'!$B$1:$L$257,10,FALSE)),"",(VLOOKUP($B78,'E-1 Off-Site Hedge Baseline'!$B$1:$L$257,10,FALSE))))</f>
        <v/>
      </c>
      <c r="J78" s="301" t="str">
        <f>IF(B78="","",IF(ISNA(VLOOKUP($B78,'E-1 Off-Site Hedge Baseline'!$B$1:$L$257,11,FALSE)),"",(VLOOKUP($B78,'E-1 Off-Site Hedge Baseline'!$B$1:$L$257,11,FALSE))))</f>
        <v/>
      </c>
      <c r="K78" s="301" t="str">
        <f>IF(B78="","",IF(ISNA(VLOOKUP($B78,'E-1 Off-Site Hedge Baseline'!$B$1:$X$257,16,FALSE)),"",(VLOOKUP($B78,'E-1 Off-Site Hedge Baseline'!$B$1:$X$257,16,FALSE))))</f>
        <v/>
      </c>
      <c r="L78" s="289" t="str">
        <f>IF(B78="","",IF(ISNA(VLOOKUP($B78,'E-1 Off-Site Hedge Baseline'!$B$1:$X$257,12,FALSE)),"",(VLOOKUP($B78,'E-1 Off-Site Hedge Baseline'!$B$1:$X$257,12,FALSE))))</f>
        <v/>
      </c>
      <c r="M78" s="250"/>
      <c r="N78" s="281" t="str">
        <f>IFERROR(IF(B78="","",INDEX('G-6 Hedgerow Data'!$AN$3:$AZ$15,MATCH(C78,'G-6 Hedgerow Data'!$AM$3:$AM$15,0),MATCH(M78,'G-6 Hedgerow Data'!$AN$2:$AZ$2,0))),"")</f>
        <v/>
      </c>
      <c r="O78" s="282" t="str">
        <f t="shared" si="9"/>
        <v/>
      </c>
      <c r="P78" s="287" t="str">
        <f>IF(B78="","",VLOOKUP(B78,'E-1 Off-Site Hedge Baseline'!$B$10:W323,19,FALSE))</f>
        <v/>
      </c>
      <c r="Q78" s="281" t="str">
        <f>IF(M78="","",VLOOKUP(M78,'G-6 Hedgerow Data'!$B$2:$AG$15,2,FALSE))</f>
        <v/>
      </c>
      <c r="R78" s="282" t="str">
        <f>IF(M78="","",VLOOKUP(M78,'G-6 Hedgerow Data'!$B$2:$AG$15,3,FALSE))</f>
        <v/>
      </c>
      <c r="S78" s="105"/>
      <c r="T78" s="282" t="str">
        <f>IFERROR(IF(S78="","",IF(AND(M78="Non-native and ornamental hedgerow", S78&lt;&gt;"Poor"),"Not possible ▲", (IF(AND(Q78="V.Low",OR(S78="Good",S78="Moderate")),"Error ▲",VLOOKUP(S78,'G-1 All Habitats'!$Z$2:$AA$9,2,FALSE))))),"")</f>
        <v/>
      </c>
      <c r="U78" s="105"/>
      <c r="V78" s="289" t="str">
        <f>IF(U78="","",IF(VLOOKUP(U78,'G-3 Multipliers'!$L$3:$N$6,2,FALSE)=0,"Spatial Data Missing ⚠",VLOOKUP(U78,'G-3 Multipliers'!$L$3:$N$6,2,FALSE)))</f>
        <v/>
      </c>
      <c r="W78" s="287" t="str">
        <f>IF(U78="","",IF(VLOOKUP(U78,'G-3 Multipliers'!$L$3:$N$6,3,FALSE)=0,"Spatial Data Missing ⚠",VLOOKUP(U78,'G-3 Multipliers'!$L$3:$N$6,3,FALSE)))</f>
        <v/>
      </c>
      <c r="X78" s="281" t="str">
        <f>IFERROR(IF(OR(LEFT(O78,5)="Error",LEFT(N78,5)="Error",T78="Error"),"Check Data ⚠",IF(F78&lt;R78,INDEX('G-6 Hedgerow Data'!$S$3:$AE$14,MATCH(C78,'G-6 Hedgerow Data'!$B$3:$B$14,0),MATCH(M78,'G-6 Hedgerow Data'!$S$2:$AE$2,0)),INDEX('G-6 Hedgerow Data'!$K$3:$Q$14,MATCH(M78,'G-6 Hedgerow Data'!$B$3:$B$14,0),MATCH(O78,'G-6 Hedgerow Data'!$K$2:$Q$2,0)))),"")</f>
        <v/>
      </c>
      <c r="Y78" s="137"/>
      <c r="Z78" s="137"/>
      <c r="AA78" s="289" t="str">
        <f t="shared" si="10"/>
        <v/>
      </c>
      <c r="AB78" s="302" t="str">
        <f t="shared" si="11"/>
        <v/>
      </c>
      <c r="AC78" s="303" t="str">
        <f t="shared" si="8"/>
        <v/>
      </c>
      <c r="AD78" s="317" t="str">
        <f>IF(M78="","",VLOOKUP(M78,'G-6 Hedgerow Data'!$B$3:$AG$15,31,FALSE))</f>
        <v/>
      </c>
      <c r="AE78" s="301" t="str">
        <f t="shared" si="12"/>
        <v/>
      </c>
      <c r="AF78" s="289" t="str">
        <f t="shared" si="13"/>
        <v/>
      </c>
      <c r="AG78" s="305" t="str">
        <f>IFERROR(IF(O78="","",VLOOKUP(AD78,'G-3 Multipliers'!$P$3:$Q$6,2,FALSE)),"")</f>
        <v/>
      </c>
      <c r="AH78" s="729" t="str">
        <f>IF(B78="","",IF(ISNA(VLOOKUP($B78,'E-1 Off-Site Hedge Baseline'!$B$1:$Z$257,14,FALSE)),"",(VLOOKUP($B78,'E-1 Off-Site Hedge Baseline'!$B$1:$Z$257,14,FALSE))))</f>
        <v/>
      </c>
      <c r="AI78" s="282" t="str">
        <f>IF(AH78="","",IF(VLOOKUP(AH78,'G-3 Multipliers'!$S$3:$T$10,2,FALSE)=0,"Spatial Data Missing ⚠",VLOOKUP(AH78,'G-3 Multipliers'!$S$3:$T$10,2,FALSE)))</f>
        <v/>
      </c>
      <c r="AJ78" s="323" t="str">
        <f t="shared" si="14"/>
        <v/>
      </c>
      <c r="AK78" s="295" t="str">
        <f t="shared" si="15"/>
        <v/>
      </c>
      <c r="AL78" s="105"/>
      <c r="AM78" s="119"/>
      <c r="AN78" s="108"/>
      <c r="AO78" s="108"/>
      <c r="AQ78" s="30" t="str">
        <f>IFERROR(INDEX('G-6 Hedgerow Data'!$BJ$3:$BJ$15,MATCH(M78,'G-6 Hedgerow Data'!$B$3:$B$15,0)),"")</f>
        <v/>
      </c>
    </row>
    <row r="79" spans="2:43" ht="13.8" x14ac:dyDescent="0.25">
      <c r="B79" s="311" t="str">
        <f>'E-1 Off-Site Hedge Baseline'!AN77</f>
        <v/>
      </c>
      <c r="C79" s="301" t="str">
        <f>IF(B79="","",IF(ISNA(VLOOKUP($B79,'E-1 Off-Site Hedge Baseline'!$B$1:$L$257,3,FALSE)),"",(VLOOKUP($B79,'E-1 Off-Site Hedge Baseline'!$B$1:$L$257,3,FALSE))))</f>
        <v/>
      </c>
      <c r="D79" s="301" t="str">
        <f>IF(B79="","",IF(ISNA(VLOOKUP($B79,'E-1 Off-Site Hedge Baseline'!$B$1:$L$258,4,FALSE)),"",(VLOOKUP($B79,'E-1 Off-Site Hedge Baseline'!$B$1:$L$258,4,FALSE))))</f>
        <v/>
      </c>
      <c r="E79" s="301" t="str">
        <f>IF(B79="","",IF(ISNA(VLOOKUP($B79,'E-1 Off-Site Hedge Baseline'!$B$1:$L$257,5,FALSE)),"",(VLOOKUP($B79,'E-1 Off-Site Hedge Baseline'!$B$1:$L$257,5,FALSE))))</f>
        <v/>
      </c>
      <c r="F79" s="301" t="str">
        <f>IF(B79="","",IF(ISNA(VLOOKUP($B79,'E-1 Off-Site Hedge Baseline'!$B$1:$L$257,6,FALSE)),"",(VLOOKUP($B79,'E-1 Off-Site Hedge Baseline'!$B$1:$L$257,6,FALSE))))</f>
        <v/>
      </c>
      <c r="G79" s="301" t="str">
        <f>IF(B79="","",IF(ISNA(VLOOKUP($B79,'E-1 Off-Site Hedge Baseline'!$B$1:$L$257,7,FALSE)),"",(VLOOKUP($B79,'E-1 Off-Site Hedge Baseline'!$B$1:$L$257,7,FALSE))))</f>
        <v/>
      </c>
      <c r="H79" s="301" t="str">
        <f>IF(B79="","",IF(ISNA(VLOOKUP($B79,'E-1 Off-Site Hedge Baseline'!$B$1:$L$257,8,FALSE)),"",(VLOOKUP($B79,'E-1 Off-Site Hedge Baseline'!$B$1:$L$257,8,FALSE))))</f>
        <v/>
      </c>
      <c r="I79" s="301" t="str">
        <f>IF(B79="","",IF(ISNA(VLOOKUP($B79,'E-1 Off-Site Hedge Baseline'!$B$1:$L$257,10,FALSE)),"",(VLOOKUP($B79,'E-1 Off-Site Hedge Baseline'!$B$1:$L$257,10,FALSE))))</f>
        <v/>
      </c>
      <c r="J79" s="301" t="str">
        <f>IF(B79="","",IF(ISNA(VLOOKUP($B79,'E-1 Off-Site Hedge Baseline'!$B$1:$L$257,11,FALSE)),"",(VLOOKUP($B79,'E-1 Off-Site Hedge Baseline'!$B$1:$L$257,11,FALSE))))</f>
        <v/>
      </c>
      <c r="K79" s="301" t="str">
        <f>IF(B79="","",IF(ISNA(VLOOKUP($B79,'E-1 Off-Site Hedge Baseline'!$B$1:$X$257,16,FALSE)),"",(VLOOKUP($B79,'E-1 Off-Site Hedge Baseline'!$B$1:$X$257,16,FALSE))))</f>
        <v/>
      </c>
      <c r="L79" s="289" t="str">
        <f>IF(B79="","",IF(ISNA(VLOOKUP($B79,'E-1 Off-Site Hedge Baseline'!$B$1:$X$257,12,FALSE)),"",(VLOOKUP($B79,'E-1 Off-Site Hedge Baseline'!$B$1:$X$257,12,FALSE))))</f>
        <v/>
      </c>
      <c r="M79" s="250"/>
      <c r="N79" s="281" t="str">
        <f>IFERROR(IF(B79="","",INDEX('G-6 Hedgerow Data'!$AN$3:$AZ$15,MATCH(C79,'G-6 Hedgerow Data'!$AM$3:$AM$15,0),MATCH(M79,'G-6 Hedgerow Data'!$AN$2:$AZ$2,0))),"")</f>
        <v/>
      </c>
      <c r="O79" s="282" t="str">
        <f t="shared" si="9"/>
        <v/>
      </c>
      <c r="P79" s="287" t="str">
        <f>IF(B79="","",VLOOKUP(B79,'E-1 Off-Site Hedge Baseline'!$B$10:W324,19,FALSE))</f>
        <v/>
      </c>
      <c r="Q79" s="281" t="str">
        <f>IF(M79="","",VLOOKUP(M79,'G-6 Hedgerow Data'!$B$2:$AG$15,2,FALSE))</f>
        <v/>
      </c>
      <c r="R79" s="282" t="str">
        <f>IF(M79="","",VLOOKUP(M79,'G-6 Hedgerow Data'!$B$2:$AG$15,3,FALSE))</f>
        <v/>
      </c>
      <c r="S79" s="105"/>
      <c r="T79" s="282" t="str">
        <f>IFERROR(IF(S79="","",IF(AND(M79="Non-native and ornamental hedgerow", S79&lt;&gt;"Poor"),"Not possible ▲", (IF(AND(Q79="V.Low",OR(S79="Good",S79="Moderate")),"Error ▲",VLOOKUP(S79,'G-1 All Habitats'!$Z$2:$AA$9,2,FALSE))))),"")</f>
        <v/>
      </c>
      <c r="U79" s="105"/>
      <c r="V79" s="289" t="str">
        <f>IF(U79="","",IF(VLOOKUP(U79,'G-3 Multipliers'!$L$3:$N$6,2,FALSE)=0,"Spatial Data Missing ⚠",VLOOKUP(U79,'G-3 Multipliers'!$L$3:$N$6,2,FALSE)))</f>
        <v/>
      </c>
      <c r="W79" s="287" t="str">
        <f>IF(U79="","",IF(VLOOKUP(U79,'G-3 Multipliers'!$L$3:$N$6,3,FALSE)=0,"Spatial Data Missing ⚠",VLOOKUP(U79,'G-3 Multipliers'!$L$3:$N$6,3,FALSE)))</f>
        <v/>
      </c>
      <c r="X79" s="281" t="str">
        <f>IFERROR(IF(OR(LEFT(O79,5)="Error",LEFT(N79,5)="Error",T79="Error"),"Check Data ⚠",IF(F79&lt;R79,INDEX('G-6 Hedgerow Data'!$S$3:$AE$14,MATCH(C79,'G-6 Hedgerow Data'!$B$3:$B$14,0),MATCH(M79,'G-6 Hedgerow Data'!$S$2:$AE$2,0)),INDEX('G-6 Hedgerow Data'!$K$3:$Q$14,MATCH(M79,'G-6 Hedgerow Data'!$B$3:$B$14,0),MATCH(O79,'G-6 Hedgerow Data'!$K$2:$Q$2,0)))),"")</f>
        <v/>
      </c>
      <c r="Y79" s="137"/>
      <c r="Z79" s="137"/>
      <c r="AA79" s="289" t="str">
        <f t="shared" si="10"/>
        <v/>
      </c>
      <c r="AB79" s="302" t="str">
        <f t="shared" si="11"/>
        <v/>
      </c>
      <c r="AC79" s="303" t="str">
        <f t="shared" si="8"/>
        <v/>
      </c>
      <c r="AD79" s="317" t="str">
        <f>IF(M79="","",VLOOKUP(M79,'G-6 Hedgerow Data'!$B$3:$AG$15,31,FALSE))</f>
        <v/>
      </c>
      <c r="AE79" s="301" t="str">
        <f t="shared" si="12"/>
        <v/>
      </c>
      <c r="AF79" s="289" t="str">
        <f t="shared" si="13"/>
        <v/>
      </c>
      <c r="AG79" s="305" t="str">
        <f>IFERROR(IF(O79="","",VLOOKUP(AD79,'G-3 Multipliers'!$P$3:$Q$6,2,FALSE)),"")</f>
        <v/>
      </c>
      <c r="AH79" s="729" t="str">
        <f>IF(B79="","",IF(ISNA(VLOOKUP($B79,'E-1 Off-Site Hedge Baseline'!$B$1:$Z$257,14,FALSE)),"",(VLOOKUP($B79,'E-1 Off-Site Hedge Baseline'!$B$1:$Z$257,14,FALSE))))</f>
        <v/>
      </c>
      <c r="AI79" s="282" t="str">
        <f>IF(AH79="","",IF(VLOOKUP(AH79,'G-3 Multipliers'!$S$3:$T$10,2,FALSE)=0,"Spatial Data Missing ⚠",VLOOKUP(AH79,'G-3 Multipliers'!$S$3:$T$10,2,FALSE)))</f>
        <v/>
      </c>
      <c r="AJ79" s="323" t="str">
        <f t="shared" si="14"/>
        <v/>
      </c>
      <c r="AK79" s="295" t="str">
        <f t="shared" si="15"/>
        <v/>
      </c>
      <c r="AL79" s="105"/>
      <c r="AM79" s="119"/>
      <c r="AN79" s="108"/>
      <c r="AO79" s="108"/>
      <c r="AQ79" s="30" t="str">
        <f>IFERROR(INDEX('G-6 Hedgerow Data'!$BJ$3:$BJ$15,MATCH(M79,'G-6 Hedgerow Data'!$B$3:$B$15,0)),"")</f>
        <v/>
      </c>
    </row>
    <row r="80" spans="2:43" ht="13.8" x14ac:dyDescent="0.25">
      <c r="B80" s="311" t="str">
        <f>'E-1 Off-Site Hedge Baseline'!AN78</f>
        <v/>
      </c>
      <c r="C80" s="301" t="str">
        <f>IF(B80="","",IF(ISNA(VLOOKUP($B80,'E-1 Off-Site Hedge Baseline'!$B$1:$L$257,3,FALSE)),"",(VLOOKUP($B80,'E-1 Off-Site Hedge Baseline'!$B$1:$L$257,3,FALSE))))</f>
        <v/>
      </c>
      <c r="D80" s="301" t="str">
        <f>IF(B80="","",IF(ISNA(VLOOKUP($B80,'E-1 Off-Site Hedge Baseline'!$B$1:$L$258,4,FALSE)),"",(VLOOKUP($B80,'E-1 Off-Site Hedge Baseline'!$B$1:$L$258,4,FALSE))))</f>
        <v/>
      </c>
      <c r="E80" s="301" t="str">
        <f>IF(B80="","",IF(ISNA(VLOOKUP($B80,'E-1 Off-Site Hedge Baseline'!$B$1:$L$257,5,FALSE)),"",(VLOOKUP($B80,'E-1 Off-Site Hedge Baseline'!$B$1:$L$257,5,FALSE))))</f>
        <v/>
      </c>
      <c r="F80" s="301" t="str">
        <f>IF(B80="","",IF(ISNA(VLOOKUP($B80,'E-1 Off-Site Hedge Baseline'!$B$1:$L$257,6,FALSE)),"",(VLOOKUP($B80,'E-1 Off-Site Hedge Baseline'!$B$1:$L$257,6,FALSE))))</f>
        <v/>
      </c>
      <c r="G80" s="301" t="str">
        <f>IF(B80="","",IF(ISNA(VLOOKUP($B80,'E-1 Off-Site Hedge Baseline'!$B$1:$L$257,7,FALSE)),"",(VLOOKUP($B80,'E-1 Off-Site Hedge Baseline'!$B$1:$L$257,7,FALSE))))</f>
        <v/>
      </c>
      <c r="H80" s="301" t="str">
        <f>IF(B80="","",IF(ISNA(VLOOKUP($B80,'E-1 Off-Site Hedge Baseline'!$B$1:$L$257,8,FALSE)),"",(VLOOKUP($B80,'E-1 Off-Site Hedge Baseline'!$B$1:$L$257,8,FALSE))))</f>
        <v/>
      </c>
      <c r="I80" s="301" t="str">
        <f>IF(B80="","",IF(ISNA(VLOOKUP($B80,'E-1 Off-Site Hedge Baseline'!$B$1:$L$257,10,FALSE)),"",(VLOOKUP($B80,'E-1 Off-Site Hedge Baseline'!$B$1:$L$257,10,FALSE))))</f>
        <v/>
      </c>
      <c r="J80" s="301" t="str">
        <f>IF(B80="","",IF(ISNA(VLOOKUP($B80,'E-1 Off-Site Hedge Baseline'!$B$1:$L$257,11,FALSE)),"",(VLOOKUP($B80,'E-1 Off-Site Hedge Baseline'!$B$1:$L$257,11,FALSE))))</f>
        <v/>
      </c>
      <c r="K80" s="301" t="str">
        <f>IF(B80="","",IF(ISNA(VLOOKUP($B80,'E-1 Off-Site Hedge Baseline'!$B$1:$X$257,16,FALSE)),"",(VLOOKUP($B80,'E-1 Off-Site Hedge Baseline'!$B$1:$X$257,16,FALSE))))</f>
        <v/>
      </c>
      <c r="L80" s="289" t="str">
        <f>IF(B80="","",IF(ISNA(VLOOKUP($B80,'E-1 Off-Site Hedge Baseline'!$B$1:$X$257,12,FALSE)),"",(VLOOKUP($B80,'E-1 Off-Site Hedge Baseline'!$B$1:$X$257,12,FALSE))))</f>
        <v/>
      </c>
      <c r="M80" s="250"/>
      <c r="N80" s="281" t="str">
        <f>IFERROR(IF(B80="","",INDEX('G-6 Hedgerow Data'!$AN$3:$AZ$15,MATCH(C80,'G-6 Hedgerow Data'!$AM$3:$AM$15,0),MATCH(M80,'G-6 Hedgerow Data'!$AN$2:$AZ$2,0))),"")</f>
        <v/>
      </c>
      <c r="O80" s="282" t="str">
        <f t="shared" si="9"/>
        <v/>
      </c>
      <c r="P80" s="287" t="str">
        <f>IF(B80="","",VLOOKUP(B80,'E-1 Off-Site Hedge Baseline'!$B$10:W325,19,FALSE))</f>
        <v/>
      </c>
      <c r="Q80" s="281" t="str">
        <f>IF(M80="","",VLOOKUP(M80,'G-6 Hedgerow Data'!$B$2:$AG$15,2,FALSE))</f>
        <v/>
      </c>
      <c r="R80" s="282" t="str">
        <f>IF(M80="","",VLOOKUP(M80,'G-6 Hedgerow Data'!$B$2:$AG$15,3,FALSE))</f>
        <v/>
      </c>
      <c r="S80" s="105"/>
      <c r="T80" s="282" t="str">
        <f>IFERROR(IF(S80="","",IF(AND(M80="Non-native and ornamental hedgerow", S80&lt;&gt;"Poor"),"Not possible ▲", (IF(AND(Q80="V.Low",OR(S80="Good",S80="Moderate")),"Error ▲",VLOOKUP(S80,'G-1 All Habitats'!$Z$2:$AA$9,2,FALSE))))),"")</f>
        <v/>
      </c>
      <c r="U80" s="105"/>
      <c r="V80" s="289" t="str">
        <f>IF(U80="","",IF(VLOOKUP(U80,'G-3 Multipliers'!$L$3:$N$6,2,FALSE)=0,"Spatial Data Missing ⚠",VLOOKUP(U80,'G-3 Multipliers'!$L$3:$N$6,2,FALSE)))</f>
        <v/>
      </c>
      <c r="W80" s="287" t="str">
        <f>IF(U80="","",IF(VLOOKUP(U80,'G-3 Multipliers'!$L$3:$N$6,3,FALSE)=0,"Spatial Data Missing ⚠",VLOOKUP(U80,'G-3 Multipliers'!$L$3:$N$6,3,FALSE)))</f>
        <v/>
      </c>
      <c r="X80" s="281" t="str">
        <f>IFERROR(IF(OR(LEFT(O80,5)="Error",LEFT(N80,5)="Error",T80="Error"),"Check Data ⚠",IF(F80&lt;R80,INDEX('G-6 Hedgerow Data'!$S$3:$AE$14,MATCH(C80,'G-6 Hedgerow Data'!$B$3:$B$14,0),MATCH(M80,'G-6 Hedgerow Data'!$S$2:$AE$2,0)),INDEX('G-6 Hedgerow Data'!$K$3:$Q$14,MATCH(M80,'G-6 Hedgerow Data'!$B$3:$B$14,0),MATCH(O80,'G-6 Hedgerow Data'!$K$2:$Q$2,0)))),"")</f>
        <v/>
      </c>
      <c r="Y80" s="137"/>
      <c r="Z80" s="137"/>
      <c r="AA80" s="289" t="str">
        <f t="shared" si="10"/>
        <v/>
      </c>
      <c r="AB80" s="302" t="str">
        <f t="shared" si="11"/>
        <v/>
      </c>
      <c r="AC80" s="303" t="str">
        <f t="shared" si="8"/>
        <v/>
      </c>
      <c r="AD80" s="317" t="str">
        <f>IF(M80="","",VLOOKUP(M80,'G-6 Hedgerow Data'!$B$3:$AG$15,31,FALSE))</f>
        <v/>
      </c>
      <c r="AE80" s="301" t="str">
        <f t="shared" si="12"/>
        <v/>
      </c>
      <c r="AF80" s="289" t="str">
        <f t="shared" si="13"/>
        <v/>
      </c>
      <c r="AG80" s="305" t="str">
        <f>IFERROR(IF(O80="","",VLOOKUP(AD80,'G-3 Multipliers'!$P$3:$Q$6,2,FALSE)),"")</f>
        <v/>
      </c>
      <c r="AH80" s="729" t="str">
        <f>IF(B80="","",IF(ISNA(VLOOKUP($B80,'E-1 Off-Site Hedge Baseline'!$B$1:$Z$257,14,FALSE)),"",(VLOOKUP($B80,'E-1 Off-Site Hedge Baseline'!$B$1:$Z$257,14,FALSE))))</f>
        <v/>
      </c>
      <c r="AI80" s="282" t="str">
        <f>IF(AH80="","",IF(VLOOKUP(AH80,'G-3 Multipliers'!$S$3:$T$10,2,FALSE)=0,"Spatial Data Missing ⚠",VLOOKUP(AH80,'G-3 Multipliers'!$S$3:$T$10,2,FALSE)))</f>
        <v/>
      </c>
      <c r="AJ80" s="323" t="str">
        <f t="shared" si="14"/>
        <v/>
      </c>
      <c r="AK80" s="295" t="str">
        <f t="shared" si="15"/>
        <v/>
      </c>
      <c r="AL80" s="105"/>
      <c r="AM80" s="119"/>
      <c r="AN80" s="108"/>
      <c r="AO80" s="108"/>
      <c r="AQ80" s="30" t="str">
        <f>IFERROR(INDEX('G-6 Hedgerow Data'!$BJ$3:$BJ$15,MATCH(M80,'G-6 Hedgerow Data'!$B$3:$B$15,0)),"")</f>
        <v/>
      </c>
    </row>
    <row r="81" spans="2:43" ht="13.8" x14ac:dyDescent="0.25">
      <c r="B81" s="311" t="str">
        <f>'E-1 Off-Site Hedge Baseline'!AN79</f>
        <v/>
      </c>
      <c r="C81" s="301" t="str">
        <f>IF(B81="","",IF(ISNA(VLOOKUP($B81,'E-1 Off-Site Hedge Baseline'!$B$1:$L$257,3,FALSE)),"",(VLOOKUP($B81,'E-1 Off-Site Hedge Baseline'!$B$1:$L$257,3,FALSE))))</f>
        <v/>
      </c>
      <c r="D81" s="301" t="str">
        <f>IF(B81="","",IF(ISNA(VLOOKUP($B81,'E-1 Off-Site Hedge Baseline'!$B$1:$L$258,4,FALSE)),"",(VLOOKUP($B81,'E-1 Off-Site Hedge Baseline'!$B$1:$L$258,4,FALSE))))</f>
        <v/>
      </c>
      <c r="E81" s="301" t="str">
        <f>IF(B81="","",IF(ISNA(VLOOKUP($B81,'E-1 Off-Site Hedge Baseline'!$B$1:$L$257,5,FALSE)),"",(VLOOKUP($B81,'E-1 Off-Site Hedge Baseline'!$B$1:$L$257,5,FALSE))))</f>
        <v/>
      </c>
      <c r="F81" s="301" t="str">
        <f>IF(B81="","",IF(ISNA(VLOOKUP($B81,'E-1 Off-Site Hedge Baseline'!$B$1:$L$257,6,FALSE)),"",(VLOOKUP($B81,'E-1 Off-Site Hedge Baseline'!$B$1:$L$257,6,FALSE))))</f>
        <v/>
      </c>
      <c r="G81" s="301" t="str">
        <f>IF(B81="","",IF(ISNA(VLOOKUP($B81,'E-1 Off-Site Hedge Baseline'!$B$1:$L$257,7,FALSE)),"",(VLOOKUP($B81,'E-1 Off-Site Hedge Baseline'!$B$1:$L$257,7,FALSE))))</f>
        <v/>
      </c>
      <c r="H81" s="301" t="str">
        <f>IF(B81="","",IF(ISNA(VLOOKUP($B81,'E-1 Off-Site Hedge Baseline'!$B$1:$L$257,8,FALSE)),"",(VLOOKUP($B81,'E-1 Off-Site Hedge Baseline'!$B$1:$L$257,8,FALSE))))</f>
        <v/>
      </c>
      <c r="I81" s="301" t="str">
        <f>IF(B81="","",IF(ISNA(VLOOKUP($B81,'E-1 Off-Site Hedge Baseline'!$B$1:$L$257,10,FALSE)),"",(VLOOKUP($B81,'E-1 Off-Site Hedge Baseline'!$B$1:$L$257,10,FALSE))))</f>
        <v/>
      </c>
      <c r="J81" s="301" t="str">
        <f>IF(B81="","",IF(ISNA(VLOOKUP($B81,'E-1 Off-Site Hedge Baseline'!$B$1:$L$257,11,FALSE)),"",(VLOOKUP($B81,'E-1 Off-Site Hedge Baseline'!$B$1:$L$257,11,FALSE))))</f>
        <v/>
      </c>
      <c r="K81" s="301" t="str">
        <f>IF(B81="","",IF(ISNA(VLOOKUP($B81,'E-1 Off-Site Hedge Baseline'!$B$1:$X$257,16,FALSE)),"",(VLOOKUP($B81,'E-1 Off-Site Hedge Baseline'!$B$1:$X$257,16,FALSE))))</f>
        <v/>
      </c>
      <c r="L81" s="289" t="str">
        <f>IF(B81="","",IF(ISNA(VLOOKUP($B81,'E-1 Off-Site Hedge Baseline'!$B$1:$X$257,12,FALSE)),"",(VLOOKUP($B81,'E-1 Off-Site Hedge Baseline'!$B$1:$X$257,12,FALSE))))</f>
        <v/>
      </c>
      <c r="M81" s="250"/>
      <c r="N81" s="281" t="str">
        <f>IFERROR(IF(B81="","",INDEX('G-6 Hedgerow Data'!$AN$3:$AZ$15,MATCH(C81,'G-6 Hedgerow Data'!$AM$3:$AM$15,0),MATCH(M81,'G-6 Hedgerow Data'!$AN$2:$AZ$2,0))),"")</f>
        <v/>
      </c>
      <c r="O81" s="282" t="str">
        <f t="shared" si="9"/>
        <v/>
      </c>
      <c r="P81" s="287" t="str">
        <f>IF(B81="","",VLOOKUP(B81,'E-1 Off-Site Hedge Baseline'!$B$10:W326,19,FALSE))</f>
        <v/>
      </c>
      <c r="Q81" s="281" t="str">
        <f>IF(M81="","",VLOOKUP(M81,'G-6 Hedgerow Data'!$B$2:$AG$15,2,FALSE))</f>
        <v/>
      </c>
      <c r="R81" s="282" t="str">
        <f>IF(M81="","",VLOOKUP(M81,'G-6 Hedgerow Data'!$B$2:$AG$15,3,FALSE))</f>
        <v/>
      </c>
      <c r="S81" s="105"/>
      <c r="T81" s="282" t="str">
        <f>IFERROR(IF(S81="","",IF(AND(M81="Non-native and ornamental hedgerow", S81&lt;&gt;"Poor"),"Not possible ▲", (IF(AND(Q81="V.Low",OR(S81="Good",S81="Moderate")),"Error ▲",VLOOKUP(S81,'G-1 All Habitats'!$Z$2:$AA$9,2,FALSE))))),"")</f>
        <v/>
      </c>
      <c r="U81" s="105"/>
      <c r="V81" s="289" t="str">
        <f>IF(U81="","",IF(VLOOKUP(U81,'G-3 Multipliers'!$L$3:$N$6,2,FALSE)=0,"Spatial Data Missing ⚠",VLOOKUP(U81,'G-3 Multipliers'!$L$3:$N$6,2,FALSE)))</f>
        <v/>
      </c>
      <c r="W81" s="287" t="str">
        <f>IF(U81="","",IF(VLOOKUP(U81,'G-3 Multipliers'!$L$3:$N$6,3,FALSE)=0,"Spatial Data Missing ⚠",VLOOKUP(U81,'G-3 Multipliers'!$L$3:$N$6,3,FALSE)))</f>
        <v/>
      </c>
      <c r="X81" s="281" t="str">
        <f>IFERROR(IF(OR(LEFT(O81,5)="Error",LEFT(N81,5)="Error",T81="Error"),"Check Data ⚠",IF(F81&lt;R81,INDEX('G-6 Hedgerow Data'!$S$3:$AE$14,MATCH(C81,'G-6 Hedgerow Data'!$B$3:$B$14,0),MATCH(M81,'G-6 Hedgerow Data'!$S$2:$AE$2,0)),INDEX('G-6 Hedgerow Data'!$K$3:$Q$14,MATCH(M81,'G-6 Hedgerow Data'!$B$3:$B$14,0),MATCH(O81,'G-6 Hedgerow Data'!$K$2:$Q$2,0)))),"")</f>
        <v/>
      </c>
      <c r="Y81" s="137"/>
      <c r="Z81" s="137"/>
      <c r="AA81" s="289" t="str">
        <f t="shared" si="10"/>
        <v/>
      </c>
      <c r="AB81" s="302" t="str">
        <f t="shared" si="11"/>
        <v/>
      </c>
      <c r="AC81" s="303" t="str">
        <f t="shared" si="8"/>
        <v/>
      </c>
      <c r="AD81" s="317" t="str">
        <f>IF(M81="","",VLOOKUP(M81,'G-6 Hedgerow Data'!$B$3:$AG$15,31,FALSE))</f>
        <v/>
      </c>
      <c r="AE81" s="301" t="str">
        <f t="shared" si="12"/>
        <v/>
      </c>
      <c r="AF81" s="289" t="str">
        <f t="shared" si="13"/>
        <v/>
      </c>
      <c r="AG81" s="305" t="str">
        <f>IFERROR(IF(O81="","",VLOOKUP(AD81,'G-3 Multipliers'!$P$3:$Q$6,2,FALSE)),"")</f>
        <v/>
      </c>
      <c r="AH81" s="729" t="str">
        <f>IF(B81="","",IF(ISNA(VLOOKUP($B81,'E-1 Off-Site Hedge Baseline'!$B$1:$Z$257,14,FALSE)),"",(VLOOKUP($B81,'E-1 Off-Site Hedge Baseline'!$B$1:$Z$257,14,FALSE))))</f>
        <v/>
      </c>
      <c r="AI81" s="282" t="str">
        <f>IF(AH81="","",IF(VLOOKUP(AH81,'G-3 Multipliers'!$S$3:$T$10,2,FALSE)=0,"Spatial Data Missing ⚠",VLOOKUP(AH81,'G-3 Multipliers'!$S$3:$T$10,2,FALSE)))</f>
        <v/>
      </c>
      <c r="AJ81" s="323" t="str">
        <f t="shared" si="14"/>
        <v/>
      </c>
      <c r="AK81" s="295" t="str">
        <f t="shared" si="15"/>
        <v/>
      </c>
      <c r="AL81" s="105"/>
      <c r="AM81" s="119"/>
      <c r="AN81" s="108"/>
      <c r="AO81" s="108"/>
      <c r="AQ81" s="30" t="str">
        <f>IFERROR(INDEX('G-6 Hedgerow Data'!$BJ$3:$BJ$15,MATCH(M81,'G-6 Hedgerow Data'!$B$3:$B$15,0)),"")</f>
        <v/>
      </c>
    </row>
    <row r="82" spans="2:43" ht="13.8" x14ac:dyDescent="0.25">
      <c r="B82" s="311" t="str">
        <f>'E-1 Off-Site Hedge Baseline'!AN80</f>
        <v/>
      </c>
      <c r="C82" s="301" t="str">
        <f>IF(B82="","",IF(ISNA(VLOOKUP($B82,'E-1 Off-Site Hedge Baseline'!$B$1:$L$257,3,FALSE)),"",(VLOOKUP($B82,'E-1 Off-Site Hedge Baseline'!$B$1:$L$257,3,FALSE))))</f>
        <v/>
      </c>
      <c r="D82" s="301" t="str">
        <f>IF(B82="","",IF(ISNA(VLOOKUP($B82,'E-1 Off-Site Hedge Baseline'!$B$1:$L$258,4,FALSE)),"",(VLOOKUP($B82,'E-1 Off-Site Hedge Baseline'!$B$1:$L$258,4,FALSE))))</f>
        <v/>
      </c>
      <c r="E82" s="301" t="str">
        <f>IF(B82="","",IF(ISNA(VLOOKUP($B82,'E-1 Off-Site Hedge Baseline'!$B$1:$L$257,5,FALSE)),"",(VLOOKUP($B82,'E-1 Off-Site Hedge Baseline'!$B$1:$L$257,5,FALSE))))</f>
        <v/>
      </c>
      <c r="F82" s="301" t="str">
        <f>IF(B82="","",IF(ISNA(VLOOKUP($B82,'E-1 Off-Site Hedge Baseline'!$B$1:$L$257,6,FALSE)),"",(VLOOKUP($B82,'E-1 Off-Site Hedge Baseline'!$B$1:$L$257,6,FALSE))))</f>
        <v/>
      </c>
      <c r="G82" s="301" t="str">
        <f>IF(B82="","",IF(ISNA(VLOOKUP($B82,'E-1 Off-Site Hedge Baseline'!$B$1:$L$257,7,FALSE)),"",(VLOOKUP($B82,'E-1 Off-Site Hedge Baseline'!$B$1:$L$257,7,FALSE))))</f>
        <v/>
      </c>
      <c r="H82" s="301" t="str">
        <f>IF(B82="","",IF(ISNA(VLOOKUP($B82,'E-1 Off-Site Hedge Baseline'!$B$1:$L$257,8,FALSE)),"",(VLOOKUP($B82,'E-1 Off-Site Hedge Baseline'!$B$1:$L$257,8,FALSE))))</f>
        <v/>
      </c>
      <c r="I82" s="301" t="str">
        <f>IF(B82="","",IF(ISNA(VLOOKUP($B82,'E-1 Off-Site Hedge Baseline'!$B$1:$L$257,10,FALSE)),"",(VLOOKUP($B82,'E-1 Off-Site Hedge Baseline'!$B$1:$L$257,10,FALSE))))</f>
        <v/>
      </c>
      <c r="J82" s="301" t="str">
        <f>IF(B82="","",IF(ISNA(VLOOKUP($B82,'E-1 Off-Site Hedge Baseline'!$B$1:$L$257,11,FALSE)),"",(VLOOKUP($B82,'E-1 Off-Site Hedge Baseline'!$B$1:$L$257,11,FALSE))))</f>
        <v/>
      </c>
      <c r="K82" s="301" t="str">
        <f>IF(B82="","",IF(ISNA(VLOOKUP($B82,'E-1 Off-Site Hedge Baseline'!$B$1:$X$257,16,FALSE)),"",(VLOOKUP($B82,'E-1 Off-Site Hedge Baseline'!$B$1:$X$257,16,FALSE))))</f>
        <v/>
      </c>
      <c r="L82" s="289" t="str">
        <f>IF(B82="","",IF(ISNA(VLOOKUP($B82,'E-1 Off-Site Hedge Baseline'!$B$1:$X$257,12,FALSE)),"",(VLOOKUP($B82,'E-1 Off-Site Hedge Baseline'!$B$1:$X$257,12,FALSE))))</f>
        <v/>
      </c>
      <c r="M82" s="250"/>
      <c r="N82" s="281" t="str">
        <f>IFERROR(IF(B82="","",INDEX('G-6 Hedgerow Data'!$AN$3:$AZ$15,MATCH(C82,'G-6 Hedgerow Data'!$AM$3:$AM$15,0),MATCH(M82,'G-6 Hedgerow Data'!$AN$2:$AZ$2,0))),"")</f>
        <v/>
      </c>
      <c r="O82" s="282" t="str">
        <f t="shared" si="9"/>
        <v/>
      </c>
      <c r="P82" s="287" t="str">
        <f>IF(B82="","",VLOOKUP(B82,'E-1 Off-Site Hedge Baseline'!$B$10:W327,19,FALSE))</f>
        <v/>
      </c>
      <c r="Q82" s="281" t="str">
        <f>IF(M82="","",VLOOKUP(M82,'G-6 Hedgerow Data'!$B$2:$AG$15,2,FALSE))</f>
        <v/>
      </c>
      <c r="R82" s="282" t="str">
        <f>IF(M82="","",VLOOKUP(M82,'G-6 Hedgerow Data'!$B$2:$AG$15,3,FALSE))</f>
        <v/>
      </c>
      <c r="S82" s="105"/>
      <c r="T82" s="282" t="str">
        <f>IFERROR(IF(S82="","",IF(AND(M82="Non-native and ornamental hedgerow", S82&lt;&gt;"Poor"),"Not possible ▲", (IF(AND(Q82="V.Low",OR(S82="Good",S82="Moderate")),"Error ▲",VLOOKUP(S82,'G-1 All Habitats'!$Z$2:$AA$9,2,FALSE))))),"")</f>
        <v/>
      </c>
      <c r="U82" s="105"/>
      <c r="V82" s="289" t="str">
        <f>IF(U82="","",IF(VLOOKUP(U82,'G-3 Multipliers'!$L$3:$N$6,2,FALSE)=0,"Spatial Data Missing ⚠",VLOOKUP(U82,'G-3 Multipliers'!$L$3:$N$6,2,FALSE)))</f>
        <v/>
      </c>
      <c r="W82" s="287" t="str">
        <f>IF(U82="","",IF(VLOOKUP(U82,'G-3 Multipliers'!$L$3:$N$6,3,FALSE)=0,"Spatial Data Missing ⚠",VLOOKUP(U82,'G-3 Multipliers'!$L$3:$N$6,3,FALSE)))</f>
        <v/>
      </c>
      <c r="X82" s="281" t="str">
        <f>IFERROR(IF(OR(LEFT(O82,5)="Error",LEFT(N82,5)="Error",T82="Error"),"Check Data ⚠",IF(F82&lt;R82,INDEX('G-6 Hedgerow Data'!$S$3:$AE$14,MATCH(C82,'G-6 Hedgerow Data'!$B$3:$B$14,0),MATCH(M82,'G-6 Hedgerow Data'!$S$2:$AE$2,0)),INDEX('G-6 Hedgerow Data'!$K$3:$Q$14,MATCH(M82,'G-6 Hedgerow Data'!$B$3:$B$14,0),MATCH(O82,'G-6 Hedgerow Data'!$K$2:$Q$2,0)))),"")</f>
        <v/>
      </c>
      <c r="Y82" s="137"/>
      <c r="Z82" s="137"/>
      <c r="AA82" s="289" t="str">
        <f t="shared" si="10"/>
        <v/>
      </c>
      <c r="AB82" s="302" t="str">
        <f t="shared" si="11"/>
        <v/>
      </c>
      <c r="AC82" s="303" t="str">
        <f t="shared" si="8"/>
        <v/>
      </c>
      <c r="AD82" s="317" t="str">
        <f>IF(M82="","",VLOOKUP(M82,'G-6 Hedgerow Data'!$B$3:$AG$15,31,FALSE))</f>
        <v/>
      </c>
      <c r="AE82" s="301" t="str">
        <f t="shared" si="12"/>
        <v/>
      </c>
      <c r="AF82" s="289" t="str">
        <f t="shared" si="13"/>
        <v/>
      </c>
      <c r="AG82" s="305" t="str">
        <f>IFERROR(IF(O82="","",VLOOKUP(AD82,'G-3 Multipliers'!$P$3:$Q$6,2,FALSE)),"")</f>
        <v/>
      </c>
      <c r="AH82" s="729" t="str">
        <f>IF(B82="","",IF(ISNA(VLOOKUP($B82,'E-1 Off-Site Hedge Baseline'!$B$1:$Z$257,14,FALSE)),"",(VLOOKUP($B82,'E-1 Off-Site Hedge Baseline'!$B$1:$Z$257,14,FALSE))))</f>
        <v/>
      </c>
      <c r="AI82" s="282" t="str">
        <f>IF(AH82="","",IF(VLOOKUP(AH82,'G-3 Multipliers'!$S$3:$T$10,2,FALSE)=0,"Spatial Data Missing ⚠",VLOOKUP(AH82,'G-3 Multipliers'!$S$3:$T$10,2,FALSE)))</f>
        <v/>
      </c>
      <c r="AJ82" s="323" t="str">
        <f t="shared" si="14"/>
        <v/>
      </c>
      <c r="AK82" s="295" t="str">
        <f t="shared" si="15"/>
        <v/>
      </c>
      <c r="AL82" s="105"/>
      <c r="AM82" s="119"/>
      <c r="AN82" s="108"/>
      <c r="AO82" s="108"/>
      <c r="AQ82" s="30" t="str">
        <f>IFERROR(INDEX('G-6 Hedgerow Data'!$BJ$3:$BJ$15,MATCH(M82,'G-6 Hedgerow Data'!$B$3:$B$15,0)),"")</f>
        <v/>
      </c>
    </row>
    <row r="83" spans="2:43" ht="13.8" x14ac:dyDescent="0.25">
      <c r="B83" s="311" t="str">
        <f>'E-1 Off-Site Hedge Baseline'!AN81</f>
        <v/>
      </c>
      <c r="C83" s="301" t="str">
        <f>IF(B83="","",IF(ISNA(VLOOKUP($B83,'E-1 Off-Site Hedge Baseline'!$B$1:$L$257,3,FALSE)),"",(VLOOKUP($B83,'E-1 Off-Site Hedge Baseline'!$B$1:$L$257,3,FALSE))))</f>
        <v/>
      </c>
      <c r="D83" s="301" t="str">
        <f>IF(B83="","",IF(ISNA(VLOOKUP($B83,'E-1 Off-Site Hedge Baseline'!$B$1:$L$258,4,FALSE)),"",(VLOOKUP($B83,'E-1 Off-Site Hedge Baseline'!$B$1:$L$258,4,FALSE))))</f>
        <v/>
      </c>
      <c r="E83" s="301" t="str">
        <f>IF(B83="","",IF(ISNA(VLOOKUP($B83,'E-1 Off-Site Hedge Baseline'!$B$1:$L$257,5,FALSE)),"",(VLOOKUP($B83,'E-1 Off-Site Hedge Baseline'!$B$1:$L$257,5,FALSE))))</f>
        <v/>
      </c>
      <c r="F83" s="301" t="str">
        <f>IF(B83="","",IF(ISNA(VLOOKUP($B83,'E-1 Off-Site Hedge Baseline'!$B$1:$L$257,6,FALSE)),"",(VLOOKUP($B83,'E-1 Off-Site Hedge Baseline'!$B$1:$L$257,6,FALSE))))</f>
        <v/>
      </c>
      <c r="G83" s="301" t="str">
        <f>IF(B83="","",IF(ISNA(VLOOKUP($B83,'E-1 Off-Site Hedge Baseline'!$B$1:$L$257,7,FALSE)),"",(VLOOKUP($B83,'E-1 Off-Site Hedge Baseline'!$B$1:$L$257,7,FALSE))))</f>
        <v/>
      </c>
      <c r="H83" s="301" t="str">
        <f>IF(B83="","",IF(ISNA(VLOOKUP($B83,'E-1 Off-Site Hedge Baseline'!$B$1:$L$257,8,FALSE)),"",(VLOOKUP($B83,'E-1 Off-Site Hedge Baseline'!$B$1:$L$257,8,FALSE))))</f>
        <v/>
      </c>
      <c r="I83" s="301" t="str">
        <f>IF(B83="","",IF(ISNA(VLOOKUP($B83,'E-1 Off-Site Hedge Baseline'!$B$1:$L$257,10,FALSE)),"",(VLOOKUP($B83,'E-1 Off-Site Hedge Baseline'!$B$1:$L$257,10,FALSE))))</f>
        <v/>
      </c>
      <c r="J83" s="301" t="str">
        <f>IF(B83="","",IF(ISNA(VLOOKUP($B83,'E-1 Off-Site Hedge Baseline'!$B$1:$L$257,11,FALSE)),"",(VLOOKUP($B83,'E-1 Off-Site Hedge Baseline'!$B$1:$L$257,11,FALSE))))</f>
        <v/>
      </c>
      <c r="K83" s="301" t="str">
        <f>IF(B83="","",IF(ISNA(VLOOKUP($B83,'E-1 Off-Site Hedge Baseline'!$B$1:$X$257,16,FALSE)),"",(VLOOKUP($B83,'E-1 Off-Site Hedge Baseline'!$B$1:$X$257,16,FALSE))))</f>
        <v/>
      </c>
      <c r="L83" s="289" t="str">
        <f>IF(B83="","",IF(ISNA(VLOOKUP($B83,'E-1 Off-Site Hedge Baseline'!$B$1:$X$257,12,FALSE)),"",(VLOOKUP($B83,'E-1 Off-Site Hedge Baseline'!$B$1:$X$257,12,FALSE))))</f>
        <v/>
      </c>
      <c r="M83" s="250"/>
      <c r="N83" s="281" t="str">
        <f>IFERROR(IF(B83="","",INDEX('G-6 Hedgerow Data'!$AN$3:$AZ$15,MATCH(C83,'G-6 Hedgerow Data'!$AM$3:$AM$15,0),MATCH(M83,'G-6 Hedgerow Data'!$AN$2:$AZ$2,0))),"")</f>
        <v/>
      </c>
      <c r="O83" s="282" t="str">
        <f t="shared" si="9"/>
        <v/>
      </c>
      <c r="P83" s="287" t="str">
        <f>IF(B83="","",VLOOKUP(B83,'E-1 Off-Site Hedge Baseline'!$B$10:W328,19,FALSE))</f>
        <v/>
      </c>
      <c r="Q83" s="281" t="str">
        <f>IF(M83="","",VLOOKUP(M83,'G-6 Hedgerow Data'!$B$2:$AG$15,2,FALSE))</f>
        <v/>
      </c>
      <c r="R83" s="282" t="str">
        <f>IF(M83="","",VLOOKUP(M83,'G-6 Hedgerow Data'!$B$2:$AG$15,3,FALSE))</f>
        <v/>
      </c>
      <c r="S83" s="105"/>
      <c r="T83" s="282" t="str">
        <f>IFERROR(IF(S83="","",IF(AND(M83="Non-native and ornamental hedgerow", S83&lt;&gt;"Poor"),"Not possible ▲", (IF(AND(Q83="V.Low",OR(S83="Good",S83="Moderate")),"Error ▲",VLOOKUP(S83,'G-1 All Habitats'!$Z$2:$AA$9,2,FALSE))))),"")</f>
        <v/>
      </c>
      <c r="U83" s="105"/>
      <c r="V83" s="289" t="str">
        <f>IF(U83="","",IF(VLOOKUP(U83,'G-3 Multipliers'!$L$3:$N$6,2,FALSE)=0,"Spatial Data Missing ⚠",VLOOKUP(U83,'G-3 Multipliers'!$L$3:$N$6,2,FALSE)))</f>
        <v/>
      </c>
      <c r="W83" s="287" t="str">
        <f>IF(U83="","",IF(VLOOKUP(U83,'G-3 Multipliers'!$L$3:$N$6,3,FALSE)=0,"Spatial Data Missing ⚠",VLOOKUP(U83,'G-3 Multipliers'!$L$3:$N$6,3,FALSE)))</f>
        <v/>
      </c>
      <c r="X83" s="281" t="str">
        <f>IFERROR(IF(OR(LEFT(O83,5)="Error",LEFT(N83,5)="Error",T83="Error"),"Check Data ⚠",IF(F83&lt;R83,INDEX('G-6 Hedgerow Data'!$S$3:$AE$14,MATCH(C83,'G-6 Hedgerow Data'!$B$3:$B$14,0),MATCH(M83,'G-6 Hedgerow Data'!$S$2:$AE$2,0)),INDEX('G-6 Hedgerow Data'!$K$3:$Q$14,MATCH(M83,'G-6 Hedgerow Data'!$B$3:$B$14,0),MATCH(O83,'G-6 Hedgerow Data'!$K$2:$Q$2,0)))),"")</f>
        <v/>
      </c>
      <c r="Y83" s="137"/>
      <c r="Z83" s="137"/>
      <c r="AA83" s="289" t="str">
        <f t="shared" si="10"/>
        <v/>
      </c>
      <c r="AB83" s="302" t="str">
        <f t="shared" si="11"/>
        <v/>
      </c>
      <c r="AC83" s="303" t="str">
        <f t="shared" si="8"/>
        <v/>
      </c>
      <c r="AD83" s="317" t="str">
        <f>IF(M83="","",VLOOKUP(M83,'G-6 Hedgerow Data'!$B$3:$AG$15,31,FALSE))</f>
        <v/>
      </c>
      <c r="AE83" s="301" t="str">
        <f t="shared" si="12"/>
        <v/>
      </c>
      <c r="AF83" s="289" t="str">
        <f t="shared" si="13"/>
        <v/>
      </c>
      <c r="AG83" s="305" t="str">
        <f>IFERROR(IF(O83="","",VLOOKUP(AD83,'G-3 Multipliers'!$P$3:$Q$6,2,FALSE)),"")</f>
        <v/>
      </c>
      <c r="AH83" s="729" t="str">
        <f>IF(B83="","",IF(ISNA(VLOOKUP($B83,'E-1 Off-Site Hedge Baseline'!$B$1:$Z$257,14,FALSE)),"",(VLOOKUP($B83,'E-1 Off-Site Hedge Baseline'!$B$1:$Z$257,14,FALSE))))</f>
        <v/>
      </c>
      <c r="AI83" s="282" t="str">
        <f>IF(AH83="","",IF(VLOOKUP(AH83,'G-3 Multipliers'!$S$3:$T$10,2,FALSE)=0,"Spatial Data Missing ⚠",VLOOKUP(AH83,'G-3 Multipliers'!$S$3:$T$10,2,FALSE)))</f>
        <v/>
      </c>
      <c r="AJ83" s="323" t="str">
        <f t="shared" si="14"/>
        <v/>
      </c>
      <c r="AK83" s="295" t="str">
        <f t="shared" si="15"/>
        <v/>
      </c>
      <c r="AL83" s="105"/>
      <c r="AM83" s="119"/>
      <c r="AN83" s="108"/>
      <c r="AO83" s="108"/>
      <c r="AQ83" s="30" t="str">
        <f>IFERROR(INDEX('G-6 Hedgerow Data'!$BJ$3:$BJ$15,MATCH(M83,'G-6 Hedgerow Data'!$B$3:$B$15,0)),"")</f>
        <v/>
      </c>
    </row>
    <row r="84" spans="2:43" ht="13.8" x14ac:dyDescent="0.25">
      <c r="B84" s="311" t="str">
        <f>'E-1 Off-Site Hedge Baseline'!AN82</f>
        <v/>
      </c>
      <c r="C84" s="301" t="str">
        <f>IF(B84="","",IF(ISNA(VLOOKUP($B84,'E-1 Off-Site Hedge Baseline'!$B$1:$L$257,3,FALSE)),"",(VLOOKUP($B84,'E-1 Off-Site Hedge Baseline'!$B$1:$L$257,3,FALSE))))</f>
        <v/>
      </c>
      <c r="D84" s="301" t="str">
        <f>IF(B84="","",IF(ISNA(VLOOKUP($B84,'E-1 Off-Site Hedge Baseline'!$B$1:$L$258,4,FALSE)),"",(VLOOKUP($B84,'E-1 Off-Site Hedge Baseline'!$B$1:$L$258,4,FALSE))))</f>
        <v/>
      </c>
      <c r="E84" s="301" t="str">
        <f>IF(B84="","",IF(ISNA(VLOOKUP($B84,'E-1 Off-Site Hedge Baseline'!$B$1:$L$257,5,FALSE)),"",(VLOOKUP($B84,'E-1 Off-Site Hedge Baseline'!$B$1:$L$257,5,FALSE))))</f>
        <v/>
      </c>
      <c r="F84" s="301" t="str">
        <f>IF(B84="","",IF(ISNA(VLOOKUP($B84,'E-1 Off-Site Hedge Baseline'!$B$1:$L$257,6,FALSE)),"",(VLOOKUP($B84,'E-1 Off-Site Hedge Baseline'!$B$1:$L$257,6,FALSE))))</f>
        <v/>
      </c>
      <c r="G84" s="301" t="str">
        <f>IF(B84="","",IF(ISNA(VLOOKUP($B84,'E-1 Off-Site Hedge Baseline'!$B$1:$L$257,7,FALSE)),"",(VLOOKUP($B84,'E-1 Off-Site Hedge Baseline'!$B$1:$L$257,7,FALSE))))</f>
        <v/>
      </c>
      <c r="H84" s="301" t="str">
        <f>IF(B84="","",IF(ISNA(VLOOKUP($B84,'E-1 Off-Site Hedge Baseline'!$B$1:$L$257,8,FALSE)),"",(VLOOKUP($B84,'E-1 Off-Site Hedge Baseline'!$B$1:$L$257,8,FALSE))))</f>
        <v/>
      </c>
      <c r="I84" s="301" t="str">
        <f>IF(B84="","",IF(ISNA(VLOOKUP($B84,'E-1 Off-Site Hedge Baseline'!$B$1:$L$257,10,FALSE)),"",(VLOOKUP($B84,'E-1 Off-Site Hedge Baseline'!$B$1:$L$257,10,FALSE))))</f>
        <v/>
      </c>
      <c r="J84" s="301" t="str">
        <f>IF(B84="","",IF(ISNA(VLOOKUP($B84,'E-1 Off-Site Hedge Baseline'!$B$1:$L$257,11,FALSE)),"",(VLOOKUP($B84,'E-1 Off-Site Hedge Baseline'!$B$1:$L$257,11,FALSE))))</f>
        <v/>
      </c>
      <c r="K84" s="301" t="str">
        <f>IF(B84="","",IF(ISNA(VLOOKUP($B84,'E-1 Off-Site Hedge Baseline'!$B$1:$X$257,16,FALSE)),"",(VLOOKUP($B84,'E-1 Off-Site Hedge Baseline'!$B$1:$X$257,16,FALSE))))</f>
        <v/>
      </c>
      <c r="L84" s="289" t="str">
        <f>IF(B84="","",IF(ISNA(VLOOKUP($B84,'E-1 Off-Site Hedge Baseline'!$B$1:$X$257,12,FALSE)),"",(VLOOKUP($B84,'E-1 Off-Site Hedge Baseline'!$B$1:$X$257,12,FALSE))))</f>
        <v/>
      </c>
      <c r="M84" s="250"/>
      <c r="N84" s="281" t="str">
        <f>IFERROR(IF(B84="","",INDEX('G-6 Hedgerow Data'!$AN$3:$AZ$15,MATCH(C84,'G-6 Hedgerow Data'!$AM$3:$AM$15,0),MATCH(M84,'G-6 Hedgerow Data'!$AN$2:$AZ$2,0))),"")</f>
        <v/>
      </c>
      <c r="O84" s="282" t="str">
        <f t="shared" si="9"/>
        <v/>
      </c>
      <c r="P84" s="287" t="str">
        <f>IF(B84="","",VLOOKUP(B84,'E-1 Off-Site Hedge Baseline'!$B$10:W329,19,FALSE))</f>
        <v/>
      </c>
      <c r="Q84" s="281" t="str">
        <f>IF(M84="","",VLOOKUP(M84,'G-6 Hedgerow Data'!$B$2:$AG$15,2,FALSE))</f>
        <v/>
      </c>
      <c r="R84" s="282" t="str">
        <f>IF(M84="","",VLOOKUP(M84,'G-6 Hedgerow Data'!$B$2:$AG$15,3,FALSE))</f>
        <v/>
      </c>
      <c r="S84" s="105"/>
      <c r="T84" s="282" t="str">
        <f>IFERROR(IF(S84="","",IF(AND(M84="Non-native and ornamental hedgerow", S84&lt;&gt;"Poor"),"Not possible ▲", (IF(AND(Q84="V.Low",OR(S84="Good",S84="Moderate")),"Error ▲",VLOOKUP(S84,'G-1 All Habitats'!$Z$2:$AA$9,2,FALSE))))),"")</f>
        <v/>
      </c>
      <c r="U84" s="105"/>
      <c r="V84" s="289" t="str">
        <f>IF(U84="","",IF(VLOOKUP(U84,'G-3 Multipliers'!$L$3:$N$6,2,FALSE)=0,"Spatial Data Missing ⚠",VLOOKUP(U84,'G-3 Multipliers'!$L$3:$N$6,2,FALSE)))</f>
        <v/>
      </c>
      <c r="W84" s="287" t="str">
        <f>IF(U84="","",IF(VLOOKUP(U84,'G-3 Multipliers'!$L$3:$N$6,3,FALSE)=0,"Spatial Data Missing ⚠",VLOOKUP(U84,'G-3 Multipliers'!$L$3:$N$6,3,FALSE)))</f>
        <v/>
      </c>
      <c r="X84" s="281" t="str">
        <f>IFERROR(IF(OR(LEFT(O84,5)="Error",LEFT(N84,5)="Error",T84="Error"),"Check Data ⚠",IF(F84&lt;R84,INDEX('G-6 Hedgerow Data'!$S$3:$AE$14,MATCH(C84,'G-6 Hedgerow Data'!$B$3:$B$14,0),MATCH(M84,'G-6 Hedgerow Data'!$S$2:$AE$2,0)),INDEX('G-6 Hedgerow Data'!$K$3:$Q$14,MATCH(M84,'G-6 Hedgerow Data'!$B$3:$B$14,0),MATCH(O84,'G-6 Hedgerow Data'!$K$2:$Q$2,0)))),"")</f>
        <v/>
      </c>
      <c r="Y84" s="137"/>
      <c r="Z84" s="137"/>
      <c r="AA84" s="289" t="str">
        <f t="shared" si="10"/>
        <v/>
      </c>
      <c r="AB84" s="302" t="str">
        <f t="shared" si="11"/>
        <v/>
      </c>
      <c r="AC84" s="303" t="str">
        <f t="shared" si="8"/>
        <v/>
      </c>
      <c r="AD84" s="317" t="str">
        <f>IF(M84="","",VLOOKUP(M84,'G-6 Hedgerow Data'!$B$3:$AG$15,31,FALSE))</f>
        <v/>
      </c>
      <c r="AE84" s="301" t="str">
        <f t="shared" si="12"/>
        <v/>
      </c>
      <c r="AF84" s="289" t="str">
        <f t="shared" si="13"/>
        <v/>
      </c>
      <c r="AG84" s="305" t="str">
        <f>IFERROR(IF(O84="","",VLOOKUP(AD84,'G-3 Multipliers'!$P$3:$Q$6,2,FALSE)),"")</f>
        <v/>
      </c>
      <c r="AH84" s="729" t="str">
        <f>IF(B84="","",IF(ISNA(VLOOKUP($B84,'E-1 Off-Site Hedge Baseline'!$B$1:$Z$257,14,FALSE)),"",(VLOOKUP($B84,'E-1 Off-Site Hedge Baseline'!$B$1:$Z$257,14,FALSE))))</f>
        <v/>
      </c>
      <c r="AI84" s="282" t="str">
        <f>IF(AH84="","",IF(VLOOKUP(AH84,'G-3 Multipliers'!$S$3:$T$10,2,FALSE)=0,"Spatial Data Missing ⚠",VLOOKUP(AH84,'G-3 Multipliers'!$S$3:$T$10,2,FALSE)))</f>
        <v/>
      </c>
      <c r="AJ84" s="323" t="str">
        <f t="shared" si="14"/>
        <v/>
      </c>
      <c r="AK84" s="295" t="str">
        <f t="shared" si="15"/>
        <v/>
      </c>
      <c r="AL84" s="105"/>
      <c r="AM84" s="119"/>
      <c r="AN84" s="108"/>
      <c r="AO84" s="108"/>
      <c r="AQ84" s="30" t="str">
        <f>IFERROR(INDEX('G-6 Hedgerow Data'!$BJ$3:$BJ$15,MATCH(M84,'G-6 Hedgerow Data'!$B$3:$B$15,0)),"")</f>
        <v/>
      </c>
    </row>
    <row r="85" spans="2:43" ht="13.8" x14ac:dyDescent="0.25">
      <c r="B85" s="311" t="str">
        <f>'E-1 Off-Site Hedge Baseline'!AN83</f>
        <v/>
      </c>
      <c r="C85" s="301" t="str">
        <f>IF(B85="","",IF(ISNA(VLOOKUP($B85,'E-1 Off-Site Hedge Baseline'!$B$1:$L$257,3,FALSE)),"",(VLOOKUP($B85,'E-1 Off-Site Hedge Baseline'!$B$1:$L$257,3,FALSE))))</f>
        <v/>
      </c>
      <c r="D85" s="301" t="str">
        <f>IF(B85="","",IF(ISNA(VLOOKUP($B85,'E-1 Off-Site Hedge Baseline'!$B$1:$L$258,4,FALSE)),"",(VLOOKUP($B85,'E-1 Off-Site Hedge Baseline'!$B$1:$L$258,4,FALSE))))</f>
        <v/>
      </c>
      <c r="E85" s="301" t="str">
        <f>IF(B85="","",IF(ISNA(VLOOKUP($B85,'E-1 Off-Site Hedge Baseline'!$B$1:$L$257,5,FALSE)),"",(VLOOKUP($B85,'E-1 Off-Site Hedge Baseline'!$B$1:$L$257,5,FALSE))))</f>
        <v/>
      </c>
      <c r="F85" s="301" t="str">
        <f>IF(B85="","",IF(ISNA(VLOOKUP($B85,'E-1 Off-Site Hedge Baseline'!$B$1:$L$257,6,FALSE)),"",(VLOOKUP($B85,'E-1 Off-Site Hedge Baseline'!$B$1:$L$257,6,FALSE))))</f>
        <v/>
      </c>
      <c r="G85" s="301" t="str">
        <f>IF(B85="","",IF(ISNA(VLOOKUP($B85,'E-1 Off-Site Hedge Baseline'!$B$1:$L$257,7,FALSE)),"",(VLOOKUP($B85,'E-1 Off-Site Hedge Baseline'!$B$1:$L$257,7,FALSE))))</f>
        <v/>
      </c>
      <c r="H85" s="301" t="str">
        <f>IF(B85="","",IF(ISNA(VLOOKUP($B85,'E-1 Off-Site Hedge Baseline'!$B$1:$L$257,8,FALSE)),"",(VLOOKUP($B85,'E-1 Off-Site Hedge Baseline'!$B$1:$L$257,8,FALSE))))</f>
        <v/>
      </c>
      <c r="I85" s="301" t="str">
        <f>IF(B85="","",IF(ISNA(VLOOKUP($B85,'E-1 Off-Site Hedge Baseline'!$B$1:$L$257,10,FALSE)),"",(VLOOKUP($B85,'E-1 Off-Site Hedge Baseline'!$B$1:$L$257,10,FALSE))))</f>
        <v/>
      </c>
      <c r="J85" s="301" t="str">
        <f>IF(B85="","",IF(ISNA(VLOOKUP($B85,'E-1 Off-Site Hedge Baseline'!$B$1:$L$257,11,FALSE)),"",(VLOOKUP($B85,'E-1 Off-Site Hedge Baseline'!$B$1:$L$257,11,FALSE))))</f>
        <v/>
      </c>
      <c r="K85" s="301" t="str">
        <f>IF(B85="","",IF(ISNA(VLOOKUP($B85,'E-1 Off-Site Hedge Baseline'!$B$1:$X$257,16,FALSE)),"",(VLOOKUP($B85,'E-1 Off-Site Hedge Baseline'!$B$1:$X$257,16,FALSE))))</f>
        <v/>
      </c>
      <c r="L85" s="289" t="str">
        <f>IF(B85="","",IF(ISNA(VLOOKUP($B85,'E-1 Off-Site Hedge Baseline'!$B$1:$X$257,12,FALSE)),"",(VLOOKUP($B85,'E-1 Off-Site Hedge Baseline'!$B$1:$X$257,12,FALSE))))</f>
        <v/>
      </c>
      <c r="M85" s="250"/>
      <c r="N85" s="281" t="str">
        <f>IFERROR(IF(B85="","",INDEX('G-6 Hedgerow Data'!$AN$3:$AZ$15,MATCH(C85,'G-6 Hedgerow Data'!$AM$3:$AM$15,0),MATCH(M85,'G-6 Hedgerow Data'!$AN$2:$AZ$2,0))),"")</f>
        <v/>
      </c>
      <c r="O85" s="282" t="str">
        <f t="shared" si="9"/>
        <v/>
      </c>
      <c r="P85" s="287" t="str">
        <f>IF(B85="","",VLOOKUP(B85,'E-1 Off-Site Hedge Baseline'!$B$10:W330,19,FALSE))</f>
        <v/>
      </c>
      <c r="Q85" s="281" t="str">
        <f>IF(M85="","",VLOOKUP(M85,'G-6 Hedgerow Data'!$B$2:$AG$15,2,FALSE))</f>
        <v/>
      </c>
      <c r="R85" s="282" t="str">
        <f>IF(M85="","",VLOOKUP(M85,'G-6 Hedgerow Data'!$B$2:$AG$15,3,FALSE))</f>
        <v/>
      </c>
      <c r="S85" s="105"/>
      <c r="T85" s="282" t="str">
        <f>IFERROR(IF(S85="","",IF(AND(M85="Non-native and ornamental hedgerow", S85&lt;&gt;"Poor"),"Not possible ▲", (IF(AND(Q85="V.Low",OR(S85="Good",S85="Moderate")),"Error ▲",VLOOKUP(S85,'G-1 All Habitats'!$Z$2:$AA$9,2,FALSE))))),"")</f>
        <v/>
      </c>
      <c r="U85" s="105"/>
      <c r="V85" s="289" t="str">
        <f>IF(U85="","",IF(VLOOKUP(U85,'G-3 Multipliers'!$L$3:$N$6,2,FALSE)=0,"Spatial Data Missing ⚠",VLOOKUP(U85,'G-3 Multipliers'!$L$3:$N$6,2,FALSE)))</f>
        <v/>
      </c>
      <c r="W85" s="287" t="str">
        <f>IF(U85="","",IF(VLOOKUP(U85,'G-3 Multipliers'!$L$3:$N$6,3,FALSE)=0,"Spatial Data Missing ⚠",VLOOKUP(U85,'G-3 Multipliers'!$L$3:$N$6,3,FALSE)))</f>
        <v/>
      </c>
      <c r="X85" s="281" t="str">
        <f>IFERROR(IF(OR(LEFT(O85,5)="Error",LEFT(N85,5)="Error",T85="Error"),"Check Data ⚠",IF(F85&lt;R85,INDEX('G-6 Hedgerow Data'!$S$3:$AE$14,MATCH(C85,'G-6 Hedgerow Data'!$B$3:$B$14,0),MATCH(M85,'G-6 Hedgerow Data'!$S$2:$AE$2,0)),INDEX('G-6 Hedgerow Data'!$K$3:$Q$14,MATCH(M85,'G-6 Hedgerow Data'!$B$3:$B$14,0),MATCH(O85,'G-6 Hedgerow Data'!$K$2:$Q$2,0)))),"")</f>
        <v/>
      </c>
      <c r="Y85" s="137"/>
      <c r="Z85" s="137"/>
      <c r="AA85" s="289" t="str">
        <f t="shared" si="10"/>
        <v/>
      </c>
      <c r="AB85" s="302" t="str">
        <f t="shared" si="11"/>
        <v/>
      </c>
      <c r="AC85" s="303" t="str">
        <f t="shared" si="8"/>
        <v/>
      </c>
      <c r="AD85" s="317" t="str">
        <f>IF(M85="","",VLOOKUP(M85,'G-6 Hedgerow Data'!$B$3:$AG$15,31,FALSE))</f>
        <v/>
      </c>
      <c r="AE85" s="301" t="str">
        <f t="shared" si="12"/>
        <v/>
      </c>
      <c r="AF85" s="289" t="str">
        <f t="shared" si="13"/>
        <v/>
      </c>
      <c r="AG85" s="305" t="str">
        <f>IFERROR(IF(O85="","",VLOOKUP(AD85,'G-3 Multipliers'!$P$3:$Q$6,2,FALSE)),"")</f>
        <v/>
      </c>
      <c r="AH85" s="729" t="str">
        <f>IF(B85="","",IF(ISNA(VLOOKUP($B85,'E-1 Off-Site Hedge Baseline'!$B$1:$Z$257,14,FALSE)),"",(VLOOKUP($B85,'E-1 Off-Site Hedge Baseline'!$B$1:$Z$257,14,FALSE))))</f>
        <v/>
      </c>
      <c r="AI85" s="282" t="str">
        <f>IF(AH85="","",IF(VLOOKUP(AH85,'G-3 Multipliers'!$S$3:$T$10,2,FALSE)=0,"Spatial Data Missing ⚠",VLOOKUP(AH85,'G-3 Multipliers'!$S$3:$T$10,2,FALSE)))</f>
        <v/>
      </c>
      <c r="AJ85" s="323" t="str">
        <f t="shared" si="14"/>
        <v/>
      </c>
      <c r="AK85" s="295" t="str">
        <f t="shared" si="15"/>
        <v/>
      </c>
      <c r="AL85" s="105"/>
      <c r="AM85" s="119"/>
      <c r="AN85" s="108"/>
      <c r="AO85" s="108"/>
      <c r="AQ85" s="30" t="str">
        <f>IFERROR(INDEX('G-6 Hedgerow Data'!$BJ$3:$BJ$15,MATCH(M85,'G-6 Hedgerow Data'!$B$3:$B$15,0)),"")</f>
        <v/>
      </c>
    </row>
    <row r="86" spans="2:43" ht="13.8" x14ac:dyDescent="0.25">
      <c r="B86" s="311" t="str">
        <f>'E-1 Off-Site Hedge Baseline'!AN84</f>
        <v/>
      </c>
      <c r="C86" s="301" t="str">
        <f>IF(B86="","",IF(ISNA(VLOOKUP($B86,'E-1 Off-Site Hedge Baseline'!$B$1:$L$257,3,FALSE)),"",(VLOOKUP($B86,'E-1 Off-Site Hedge Baseline'!$B$1:$L$257,3,FALSE))))</f>
        <v/>
      </c>
      <c r="D86" s="301" t="str">
        <f>IF(B86="","",IF(ISNA(VLOOKUP($B86,'E-1 Off-Site Hedge Baseline'!$B$1:$L$258,4,FALSE)),"",(VLOOKUP($B86,'E-1 Off-Site Hedge Baseline'!$B$1:$L$258,4,FALSE))))</f>
        <v/>
      </c>
      <c r="E86" s="301" t="str">
        <f>IF(B86="","",IF(ISNA(VLOOKUP($B86,'E-1 Off-Site Hedge Baseline'!$B$1:$L$257,5,FALSE)),"",(VLOOKUP($B86,'E-1 Off-Site Hedge Baseline'!$B$1:$L$257,5,FALSE))))</f>
        <v/>
      </c>
      <c r="F86" s="301" t="str">
        <f>IF(B86="","",IF(ISNA(VLOOKUP($B86,'E-1 Off-Site Hedge Baseline'!$B$1:$L$257,6,FALSE)),"",(VLOOKUP($B86,'E-1 Off-Site Hedge Baseline'!$B$1:$L$257,6,FALSE))))</f>
        <v/>
      </c>
      <c r="G86" s="301" t="str">
        <f>IF(B86="","",IF(ISNA(VLOOKUP($B86,'E-1 Off-Site Hedge Baseline'!$B$1:$L$257,7,FALSE)),"",(VLOOKUP($B86,'E-1 Off-Site Hedge Baseline'!$B$1:$L$257,7,FALSE))))</f>
        <v/>
      </c>
      <c r="H86" s="301" t="str">
        <f>IF(B86="","",IF(ISNA(VLOOKUP($B86,'E-1 Off-Site Hedge Baseline'!$B$1:$L$257,8,FALSE)),"",(VLOOKUP($B86,'E-1 Off-Site Hedge Baseline'!$B$1:$L$257,8,FALSE))))</f>
        <v/>
      </c>
      <c r="I86" s="301" t="str">
        <f>IF(B86="","",IF(ISNA(VLOOKUP($B86,'E-1 Off-Site Hedge Baseline'!$B$1:$L$257,10,FALSE)),"",(VLOOKUP($B86,'E-1 Off-Site Hedge Baseline'!$B$1:$L$257,10,FALSE))))</f>
        <v/>
      </c>
      <c r="J86" s="301" t="str">
        <f>IF(B86="","",IF(ISNA(VLOOKUP($B86,'E-1 Off-Site Hedge Baseline'!$B$1:$L$257,11,FALSE)),"",(VLOOKUP($B86,'E-1 Off-Site Hedge Baseline'!$B$1:$L$257,11,FALSE))))</f>
        <v/>
      </c>
      <c r="K86" s="301" t="str">
        <f>IF(B86="","",IF(ISNA(VLOOKUP($B86,'E-1 Off-Site Hedge Baseline'!$B$1:$X$257,16,FALSE)),"",(VLOOKUP($B86,'E-1 Off-Site Hedge Baseline'!$B$1:$X$257,16,FALSE))))</f>
        <v/>
      </c>
      <c r="L86" s="289" t="str">
        <f>IF(B86="","",IF(ISNA(VLOOKUP($B86,'E-1 Off-Site Hedge Baseline'!$B$1:$X$257,12,FALSE)),"",(VLOOKUP($B86,'E-1 Off-Site Hedge Baseline'!$B$1:$X$257,12,FALSE))))</f>
        <v/>
      </c>
      <c r="M86" s="250"/>
      <c r="N86" s="281" t="str">
        <f>IFERROR(IF(B86="","",INDEX('G-6 Hedgerow Data'!$AN$3:$AZ$15,MATCH(C86,'G-6 Hedgerow Data'!$AM$3:$AM$15,0),MATCH(M86,'G-6 Hedgerow Data'!$AN$2:$AZ$2,0))),"")</f>
        <v/>
      </c>
      <c r="O86" s="282" t="str">
        <f t="shared" si="9"/>
        <v/>
      </c>
      <c r="P86" s="287" t="str">
        <f>IF(B86="","",VLOOKUP(B86,'E-1 Off-Site Hedge Baseline'!$B$10:W331,19,FALSE))</f>
        <v/>
      </c>
      <c r="Q86" s="281" t="str">
        <f>IF(M86="","",VLOOKUP(M86,'G-6 Hedgerow Data'!$B$2:$AG$15,2,FALSE))</f>
        <v/>
      </c>
      <c r="R86" s="282" t="str">
        <f>IF(M86="","",VLOOKUP(M86,'G-6 Hedgerow Data'!$B$2:$AG$15,3,FALSE))</f>
        <v/>
      </c>
      <c r="S86" s="105"/>
      <c r="T86" s="282" t="str">
        <f>IFERROR(IF(S86="","",IF(AND(M86="Non-native and ornamental hedgerow", S86&lt;&gt;"Poor"),"Not possible ▲", (IF(AND(Q86="V.Low",OR(S86="Good",S86="Moderate")),"Error ▲",VLOOKUP(S86,'G-1 All Habitats'!$Z$2:$AA$9,2,FALSE))))),"")</f>
        <v/>
      </c>
      <c r="U86" s="105"/>
      <c r="V86" s="289" t="str">
        <f>IF(U86="","",IF(VLOOKUP(U86,'G-3 Multipliers'!$L$3:$N$6,2,FALSE)=0,"Spatial Data Missing ⚠",VLOOKUP(U86,'G-3 Multipliers'!$L$3:$N$6,2,FALSE)))</f>
        <v/>
      </c>
      <c r="W86" s="287" t="str">
        <f>IF(U86="","",IF(VLOOKUP(U86,'G-3 Multipliers'!$L$3:$N$6,3,FALSE)=0,"Spatial Data Missing ⚠",VLOOKUP(U86,'G-3 Multipliers'!$L$3:$N$6,3,FALSE)))</f>
        <v/>
      </c>
      <c r="X86" s="281" t="str">
        <f>IFERROR(IF(OR(LEFT(O86,5)="Error",LEFT(N86,5)="Error",T86="Error"),"Check Data ⚠",IF(F86&lt;R86,INDEX('G-6 Hedgerow Data'!$S$3:$AE$14,MATCH(C86,'G-6 Hedgerow Data'!$B$3:$B$14,0),MATCH(M86,'G-6 Hedgerow Data'!$S$2:$AE$2,0)),INDEX('G-6 Hedgerow Data'!$K$3:$Q$14,MATCH(M86,'G-6 Hedgerow Data'!$B$3:$B$14,0),MATCH(O86,'G-6 Hedgerow Data'!$K$2:$Q$2,0)))),"")</f>
        <v/>
      </c>
      <c r="Y86" s="137"/>
      <c r="Z86" s="137"/>
      <c r="AA86" s="289" t="str">
        <f t="shared" si="10"/>
        <v/>
      </c>
      <c r="AB86" s="302" t="str">
        <f t="shared" si="11"/>
        <v/>
      </c>
      <c r="AC86" s="303" t="str">
        <f t="shared" si="8"/>
        <v/>
      </c>
      <c r="AD86" s="317" t="str">
        <f>IF(M86="","",VLOOKUP(M86,'G-6 Hedgerow Data'!$B$3:$AG$15,31,FALSE))</f>
        <v/>
      </c>
      <c r="AE86" s="301" t="str">
        <f t="shared" si="12"/>
        <v/>
      </c>
      <c r="AF86" s="289" t="str">
        <f t="shared" si="13"/>
        <v/>
      </c>
      <c r="AG86" s="305" t="str">
        <f>IFERROR(IF(O86="","",VLOOKUP(AD86,'G-3 Multipliers'!$P$3:$Q$6,2,FALSE)),"")</f>
        <v/>
      </c>
      <c r="AH86" s="729" t="str">
        <f>IF(B86="","",IF(ISNA(VLOOKUP($B86,'E-1 Off-Site Hedge Baseline'!$B$1:$Z$257,14,FALSE)),"",(VLOOKUP($B86,'E-1 Off-Site Hedge Baseline'!$B$1:$Z$257,14,FALSE))))</f>
        <v/>
      </c>
      <c r="AI86" s="282" t="str">
        <f>IF(AH86="","",IF(VLOOKUP(AH86,'G-3 Multipliers'!$S$3:$T$10,2,FALSE)=0,"Spatial Data Missing ⚠",VLOOKUP(AH86,'G-3 Multipliers'!$S$3:$T$10,2,FALSE)))</f>
        <v/>
      </c>
      <c r="AJ86" s="323" t="str">
        <f t="shared" si="14"/>
        <v/>
      </c>
      <c r="AK86" s="295" t="str">
        <f t="shared" si="15"/>
        <v/>
      </c>
      <c r="AL86" s="105"/>
      <c r="AM86" s="119"/>
      <c r="AN86" s="108"/>
      <c r="AO86" s="108"/>
      <c r="AQ86" s="30" t="str">
        <f>IFERROR(INDEX('G-6 Hedgerow Data'!$BJ$3:$BJ$15,MATCH(M86,'G-6 Hedgerow Data'!$B$3:$B$15,0)),"")</f>
        <v/>
      </c>
    </row>
    <row r="87" spans="2:43" ht="13.8" x14ac:dyDescent="0.25">
      <c r="B87" s="311" t="str">
        <f>'E-1 Off-Site Hedge Baseline'!AN85</f>
        <v/>
      </c>
      <c r="C87" s="301" t="str">
        <f>IF(B87="","",IF(ISNA(VLOOKUP($B87,'E-1 Off-Site Hedge Baseline'!$B$1:$L$257,3,FALSE)),"",(VLOOKUP($B87,'E-1 Off-Site Hedge Baseline'!$B$1:$L$257,3,FALSE))))</f>
        <v/>
      </c>
      <c r="D87" s="301" t="str">
        <f>IF(B87="","",IF(ISNA(VLOOKUP($B87,'E-1 Off-Site Hedge Baseline'!$B$1:$L$258,4,FALSE)),"",(VLOOKUP($B87,'E-1 Off-Site Hedge Baseline'!$B$1:$L$258,4,FALSE))))</f>
        <v/>
      </c>
      <c r="E87" s="301" t="str">
        <f>IF(B87="","",IF(ISNA(VLOOKUP($B87,'E-1 Off-Site Hedge Baseline'!$B$1:$L$257,5,FALSE)),"",(VLOOKUP($B87,'E-1 Off-Site Hedge Baseline'!$B$1:$L$257,5,FALSE))))</f>
        <v/>
      </c>
      <c r="F87" s="301" t="str">
        <f>IF(B87="","",IF(ISNA(VLOOKUP($B87,'E-1 Off-Site Hedge Baseline'!$B$1:$L$257,6,FALSE)),"",(VLOOKUP($B87,'E-1 Off-Site Hedge Baseline'!$B$1:$L$257,6,FALSE))))</f>
        <v/>
      </c>
      <c r="G87" s="301" t="str">
        <f>IF(B87="","",IF(ISNA(VLOOKUP($B87,'E-1 Off-Site Hedge Baseline'!$B$1:$L$257,7,FALSE)),"",(VLOOKUP($B87,'E-1 Off-Site Hedge Baseline'!$B$1:$L$257,7,FALSE))))</f>
        <v/>
      </c>
      <c r="H87" s="301" t="str">
        <f>IF(B87="","",IF(ISNA(VLOOKUP($B87,'E-1 Off-Site Hedge Baseline'!$B$1:$L$257,8,FALSE)),"",(VLOOKUP($B87,'E-1 Off-Site Hedge Baseline'!$B$1:$L$257,8,FALSE))))</f>
        <v/>
      </c>
      <c r="I87" s="301" t="str">
        <f>IF(B87="","",IF(ISNA(VLOOKUP($B87,'E-1 Off-Site Hedge Baseline'!$B$1:$L$257,10,FALSE)),"",(VLOOKUP($B87,'E-1 Off-Site Hedge Baseline'!$B$1:$L$257,10,FALSE))))</f>
        <v/>
      </c>
      <c r="J87" s="301" t="str">
        <f>IF(B87="","",IF(ISNA(VLOOKUP($B87,'E-1 Off-Site Hedge Baseline'!$B$1:$L$257,11,FALSE)),"",(VLOOKUP($B87,'E-1 Off-Site Hedge Baseline'!$B$1:$L$257,11,FALSE))))</f>
        <v/>
      </c>
      <c r="K87" s="301" t="str">
        <f>IF(B87="","",IF(ISNA(VLOOKUP($B87,'E-1 Off-Site Hedge Baseline'!$B$1:$X$257,16,FALSE)),"",(VLOOKUP($B87,'E-1 Off-Site Hedge Baseline'!$B$1:$X$257,16,FALSE))))</f>
        <v/>
      </c>
      <c r="L87" s="289" t="str">
        <f>IF(B87="","",IF(ISNA(VLOOKUP($B87,'E-1 Off-Site Hedge Baseline'!$B$1:$X$257,12,FALSE)),"",(VLOOKUP($B87,'E-1 Off-Site Hedge Baseline'!$B$1:$X$257,12,FALSE))))</f>
        <v/>
      </c>
      <c r="M87" s="250"/>
      <c r="N87" s="281" t="str">
        <f>IFERROR(IF(B87="","",INDEX('G-6 Hedgerow Data'!$AN$3:$AZ$15,MATCH(C87,'G-6 Hedgerow Data'!$AM$3:$AM$15,0),MATCH(M87,'G-6 Hedgerow Data'!$AN$2:$AZ$2,0))),"")</f>
        <v/>
      </c>
      <c r="O87" s="282" t="str">
        <f t="shared" si="9"/>
        <v/>
      </c>
      <c r="P87" s="287" t="str">
        <f>IF(B87="","",VLOOKUP(B87,'E-1 Off-Site Hedge Baseline'!$B$10:W332,19,FALSE))</f>
        <v/>
      </c>
      <c r="Q87" s="281" t="str">
        <f>IF(M87="","",VLOOKUP(M87,'G-6 Hedgerow Data'!$B$2:$AG$15,2,FALSE))</f>
        <v/>
      </c>
      <c r="R87" s="282" t="str">
        <f>IF(M87="","",VLOOKUP(M87,'G-6 Hedgerow Data'!$B$2:$AG$15,3,FALSE))</f>
        <v/>
      </c>
      <c r="S87" s="105"/>
      <c r="T87" s="282" t="str">
        <f>IFERROR(IF(S87="","",IF(AND(M87="Non-native and ornamental hedgerow", S87&lt;&gt;"Poor"),"Not possible ▲", (IF(AND(Q87="V.Low",OR(S87="Good",S87="Moderate")),"Error ▲",VLOOKUP(S87,'G-1 All Habitats'!$Z$2:$AA$9,2,FALSE))))),"")</f>
        <v/>
      </c>
      <c r="U87" s="105"/>
      <c r="V87" s="289" t="str">
        <f>IF(U87="","",IF(VLOOKUP(U87,'G-3 Multipliers'!$L$3:$N$6,2,FALSE)=0,"Spatial Data Missing ⚠",VLOOKUP(U87,'G-3 Multipliers'!$L$3:$N$6,2,FALSE)))</f>
        <v/>
      </c>
      <c r="W87" s="287" t="str">
        <f>IF(U87="","",IF(VLOOKUP(U87,'G-3 Multipliers'!$L$3:$N$6,3,FALSE)=0,"Spatial Data Missing ⚠",VLOOKUP(U87,'G-3 Multipliers'!$L$3:$N$6,3,FALSE)))</f>
        <v/>
      </c>
      <c r="X87" s="281" t="str">
        <f>IFERROR(IF(OR(LEFT(O87,5)="Error",LEFT(N87,5)="Error",T87="Error"),"Check Data ⚠",IF(F87&lt;R87,INDEX('G-6 Hedgerow Data'!$S$3:$AE$14,MATCH(C87,'G-6 Hedgerow Data'!$B$3:$B$14,0),MATCH(M87,'G-6 Hedgerow Data'!$S$2:$AE$2,0)),INDEX('G-6 Hedgerow Data'!$K$3:$Q$14,MATCH(M87,'G-6 Hedgerow Data'!$B$3:$B$14,0),MATCH(O87,'G-6 Hedgerow Data'!$K$2:$Q$2,0)))),"")</f>
        <v/>
      </c>
      <c r="Y87" s="137"/>
      <c r="Z87" s="137"/>
      <c r="AA87" s="289" t="str">
        <f t="shared" si="10"/>
        <v/>
      </c>
      <c r="AB87" s="302" t="str">
        <f t="shared" si="11"/>
        <v/>
      </c>
      <c r="AC87" s="303" t="str">
        <f t="shared" si="8"/>
        <v/>
      </c>
      <c r="AD87" s="317" t="str">
        <f>IF(M87="","",VLOOKUP(M87,'G-6 Hedgerow Data'!$B$3:$AG$15,31,FALSE))</f>
        <v/>
      </c>
      <c r="AE87" s="301" t="str">
        <f t="shared" si="12"/>
        <v/>
      </c>
      <c r="AF87" s="289" t="str">
        <f t="shared" si="13"/>
        <v/>
      </c>
      <c r="AG87" s="305" t="str">
        <f>IFERROR(IF(O87="","",VLOOKUP(AD87,'G-3 Multipliers'!$P$3:$Q$6,2,FALSE)),"")</f>
        <v/>
      </c>
      <c r="AH87" s="729" t="str">
        <f>IF(B87="","",IF(ISNA(VLOOKUP($B87,'E-1 Off-Site Hedge Baseline'!$B$1:$Z$257,14,FALSE)),"",(VLOOKUP($B87,'E-1 Off-Site Hedge Baseline'!$B$1:$Z$257,14,FALSE))))</f>
        <v/>
      </c>
      <c r="AI87" s="282" t="str">
        <f>IF(AH87="","",IF(VLOOKUP(AH87,'G-3 Multipliers'!$S$3:$T$10,2,FALSE)=0,"Spatial Data Missing ⚠",VLOOKUP(AH87,'G-3 Multipliers'!$S$3:$T$10,2,FALSE)))</f>
        <v/>
      </c>
      <c r="AJ87" s="323" t="str">
        <f t="shared" si="14"/>
        <v/>
      </c>
      <c r="AK87" s="295" t="str">
        <f t="shared" si="15"/>
        <v/>
      </c>
      <c r="AL87" s="105"/>
      <c r="AM87" s="119"/>
      <c r="AN87" s="108"/>
      <c r="AO87" s="108"/>
      <c r="AQ87" s="30" t="str">
        <f>IFERROR(INDEX('G-6 Hedgerow Data'!$BJ$3:$BJ$15,MATCH(M87,'G-6 Hedgerow Data'!$B$3:$B$15,0)),"")</f>
        <v/>
      </c>
    </row>
    <row r="88" spans="2:43" ht="13.8" x14ac:dyDescent="0.25">
      <c r="B88" s="311" t="str">
        <f>'E-1 Off-Site Hedge Baseline'!AN86</f>
        <v/>
      </c>
      <c r="C88" s="301" t="str">
        <f>IF(B88="","",IF(ISNA(VLOOKUP($B88,'E-1 Off-Site Hedge Baseline'!$B$1:$L$257,3,FALSE)),"",(VLOOKUP($B88,'E-1 Off-Site Hedge Baseline'!$B$1:$L$257,3,FALSE))))</f>
        <v/>
      </c>
      <c r="D88" s="301" t="str">
        <f>IF(B88="","",IF(ISNA(VLOOKUP($B88,'E-1 Off-Site Hedge Baseline'!$B$1:$L$258,4,FALSE)),"",(VLOOKUP($B88,'E-1 Off-Site Hedge Baseline'!$B$1:$L$258,4,FALSE))))</f>
        <v/>
      </c>
      <c r="E88" s="301" t="str">
        <f>IF(B88="","",IF(ISNA(VLOOKUP($B88,'E-1 Off-Site Hedge Baseline'!$B$1:$L$257,5,FALSE)),"",(VLOOKUP($B88,'E-1 Off-Site Hedge Baseline'!$B$1:$L$257,5,FALSE))))</f>
        <v/>
      </c>
      <c r="F88" s="301" t="str">
        <f>IF(B88="","",IF(ISNA(VLOOKUP($B88,'E-1 Off-Site Hedge Baseline'!$B$1:$L$257,6,FALSE)),"",(VLOOKUP($B88,'E-1 Off-Site Hedge Baseline'!$B$1:$L$257,6,FALSE))))</f>
        <v/>
      </c>
      <c r="G88" s="301" t="str">
        <f>IF(B88="","",IF(ISNA(VLOOKUP($B88,'E-1 Off-Site Hedge Baseline'!$B$1:$L$257,7,FALSE)),"",(VLOOKUP($B88,'E-1 Off-Site Hedge Baseline'!$B$1:$L$257,7,FALSE))))</f>
        <v/>
      </c>
      <c r="H88" s="301" t="str">
        <f>IF(B88="","",IF(ISNA(VLOOKUP($B88,'E-1 Off-Site Hedge Baseline'!$B$1:$L$257,8,FALSE)),"",(VLOOKUP($B88,'E-1 Off-Site Hedge Baseline'!$B$1:$L$257,8,FALSE))))</f>
        <v/>
      </c>
      <c r="I88" s="301" t="str">
        <f>IF(B88="","",IF(ISNA(VLOOKUP($B88,'E-1 Off-Site Hedge Baseline'!$B$1:$L$257,10,FALSE)),"",(VLOOKUP($B88,'E-1 Off-Site Hedge Baseline'!$B$1:$L$257,10,FALSE))))</f>
        <v/>
      </c>
      <c r="J88" s="301" t="str">
        <f>IF(B88="","",IF(ISNA(VLOOKUP($B88,'E-1 Off-Site Hedge Baseline'!$B$1:$L$257,11,FALSE)),"",(VLOOKUP($B88,'E-1 Off-Site Hedge Baseline'!$B$1:$L$257,11,FALSE))))</f>
        <v/>
      </c>
      <c r="K88" s="301" t="str">
        <f>IF(B88="","",IF(ISNA(VLOOKUP($B88,'E-1 Off-Site Hedge Baseline'!$B$1:$X$257,16,FALSE)),"",(VLOOKUP($B88,'E-1 Off-Site Hedge Baseline'!$B$1:$X$257,16,FALSE))))</f>
        <v/>
      </c>
      <c r="L88" s="289" t="str">
        <f>IF(B88="","",IF(ISNA(VLOOKUP($B88,'E-1 Off-Site Hedge Baseline'!$B$1:$X$257,12,FALSE)),"",(VLOOKUP($B88,'E-1 Off-Site Hedge Baseline'!$B$1:$X$257,12,FALSE))))</f>
        <v/>
      </c>
      <c r="M88" s="250"/>
      <c r="N88" s="281" t="str">
        <f>IFERROR(IF(B88="","",INDEX('G-6 Hedgerow Data'!$AN$3:$AZ$15,MATCH(C88,'G-6 Hedgerow Data'!$AM$3:$AM$15,0),MATCH(M88,'G-6 Hedgerow Data'!$AN$2:$AZ$2,0))),"")</f>
        <v/>
      </c>
      <c r="O88" s="282" t="str">
        <f t="shared" si="9"/>
        <v/>
      </c>
      <c r="P88" s="287" t="str">
        <f>IF(B88="","",VLOOKUP(B88,'E-1 Off-Site Hedge Baseline'!$B$10:W333,19,FALSE))</f>
        <v/>
      </c>
      <c r="Q88" s="281" t="str">
        <f>IF(M88="","",VLOOKUP(M88,'G-6 Hedgerow Data'!$B$2:$AG$15,2,FALSE))</f>
        <v/>
      </c>
      <c r="R88" s="282" t="str">
        <f>IF(M88="","",VLOOKUP(M88,'G-6 Hedgerow Data'!$B$2:$AG$15,3,FALSE))</f>
        <v/>
      </c>
      <c r="S88" s="105"/>
      <c r="T88" s="282" t="str">
        <f>IFERROR(IF(S88="","",IF(AND(M88="Non-native and ornamental hedgerow", S88&lt;&gt;"Poor"),"Not possible ▲", (IF(AND(Q88="V.Low",OR(S88="Good",S88="Moderate")),"Error ▲",VLOOKUP(S88,'G-1 All Habitats'!$Z$2:$AA$9,2,FALSE))))),"")</f>
        <v/>
      </c>
      <c r="U88" s="105"/>
      <c r="V88" s="289" t="str">
        <f>IF(U88="","",IF(VLOOKUP(U88,'G-3 Multipliers'!$L$3:$N$6,2,FALSE)=0,"Spatial Data Missing ⚠",VLOOKUP(U88,'G-3 Multipliers'!$L$3:$N$6,2,FALSE)))</f>
        <v/>
      </c>
      <c r="W88" s="287" t="str">
        <f>IF(U88="","",IF(VLOOKUP(U88,'G-3 Multipliers'!$L$3:$N$6,3,FALSE)=0,"Spatial Data Missing ⚠",VLOOKUP(U88,'G-3 Multipliers'!$L$3:$N$6,3,FALSE)))</f>
        <v/>
      </c>
      <c r="X88" s="281" t="str">
        <f>IFERROR(IF(OR(LEFT(O88,5)="Error",LEFT(N88,5)="Error",T88="Error"),"Check Data ⚠",IF(F88&lt;R88,INDEX('G-6 Hedgerow Data'!$S$3:$AE$14,MATCH(C88,'G-6 Hedgerow Data'!$B$3:$B$14,0),MATCH(M88,'G-6 Hedgerow Data'!$S$2:$AE$2,0)),INDEX('G-6 Hedgerow Data'!$K$3:$Q$14,MATCH(M88,'G-6 Hedgerow Data'!$B$3:$B$14,0),MATCH(O88,'G-6 Hedgerow Data'!$K$2:$Q$2,0)))),"")</f>
        <v/>
      </c>
      <c r="Y88" s="137"/>
      <c r="Z88" s="137"/>
      <c r="AA88" s="289" t="str">
        <f t="shared" si="10"/>
        <v/>
      </c>
      <c r="AB88" s="302" t="str">
        <f t="shared" si="11"/>
        <v/>
      </c>
      <c r="AC88" s="303" t="str">
        <f t="shared" si="8"/>
        <v/>
      </c>
      <c r="AD88" s="317" t="str">
        <f>IF(M88="","",VLOOKUP(M88,'G-6 Hedgerow Data'!$B$3:$AG$15,31,FALSE))</f>
        <v/>
      </c>
      <c r="AE88" s="301" t="str">
        <f t="shared" si="12"/>
        <v/>
      </c>
      <c r="AF88" s="289" t="str">
        <f t="shared" si="13"/>
        <v/>
      </c>
      <c r="AG88" s="305" t="str">
        <f>IFERROR(IF(O88="","",VLOOKUP(AD88,'G-3 Multipliers'!$P$3:$Q$6,2,FALSE)),"")</f>
        <v/>
      </c>
      <c r="AH88" s="729" t="str">
        <f>IF(B88="","",IF(ISNA(VLOOKUP($B88,'E-1 Off-Site Hedge Baseline'!$B$1:$Z$257,14,FALSE)),"",(VLOOKUP($B88,'E-1 Off-Site Hedge Baseline'!$B$1:$Z$257,14,FALSE))))</f>
        <v/>
      </c>
      <c r="AI88" s="282" t="str">
        <f>IF(AH88="","",IF(VLOOKUP(AH88,'G-3 Multipliers'!$S$3:$T$10,2,FALSE)=0,"Spatial Data Missing ⚠",VLOOKUP(AH88,'G-3 Multipliers'!$S$3:$T$10,2,FALSE)))</f>
        <v/>
      </c>
      <c r="AJ88" s="323" t="str">
        <f t="shared" si="14"/>
        <v/>
      </c>
      <c r="AK88" s="295" t="str">
        <f t="shared" si="15"/>
        <v/>
      </c>
      <c r="AL88" s="105"/>
      <c r="AM88" s="119"/>
      <c r="AN88" s="108"/>
      <c r="AO88" s="108"/>
      <c r="AQ88" s="30" t="str">
        <f>IFERROR(INDEX('G-6 Hedgerow Data'!$BJ$3:$BJ$15,MATCH(M88,'G-6 Hedgerow Data'!$B$3:$B$15,0)),"")</f>
        <v/>
      </c>
    </row>
    <row r="89" spans="2:43" ht="13.8" x14ac:dyDescent="0.25">
      <c r="B89" s="311" t="str">
        <f>'E-1 Off-Site Hedge Baseline'!AN87</f>
        <v/>
      </c>
      <c r="C89" s="301" t="str">
        <f>IF(B89="","",IF(ISNA(VLOOKUP($B89,'E-1 Off-Site Hedge Baseline'!$B$1:$L$257,3,FALSE)),"",(VLOOKUP($B89,'E-1 Off-Site Hedge Baseline'!$B$1:$L$257,3,FALSE))))</f>
        <v/>
      </c>
      <c r="D89" s="301" t="str">
        <f>IF(B89="","",IF(ISNA(VLOOKUP($B89,'E-1 Off-Site Hedge Baseline'!$B$1:$L$258,4,FALSE)),"",(VLOOKUP($B89,'E-1 Off-Site Hedge Baseline'!$B$1:$L$258,4,FALSE))))</f>
        <v/>
      </c>
      <c r="E89" s="301" t="str">
        <f>IF(B89="","",IF(ISNA(VLOOKUP($B89,'E-1 Off-Site Hedge Baseline'!$B$1:$L$257,5,FALSE)),"",(VLOOKUP($B89,'E-1 Off-Site Hedge Baseline'!$B$1:$L$257,5,FALSE))))</f>
        <v/>
      </c>
      <c r="F89" s="301" t="str">
        <f>IF(B89="","",IF(ISNA(VLOOKUP($B89,'E-1 Off-Site Hedge Baseline'!$B$1:$L$257,6,FALSE)),"",(VLOOKUP($B89,'E-1 Off-Site Hedge Baseline'!$B$1:$L$257,6,FALSE))))</f>
        <v/>
      </c>
      <c r="G89" s="301" t="str">
        <f>IF(B89="","",IF(ISNA(VLOOKUP($B89,'E-1 Off-Site Hedge Baseline'!$B$1:$L$257,7,FALSE)),"",(VLOOKUP($B89,'E-1 Off-Site Hedge Baseline'!$B$1:$L$257,7,FALSE))))</f>
        <v/>
      </c>
      <c r="H89" s="301" t="str">
        <f>IF(B89="","",IF(ISNA(VLOOKUP($B89,'E-1 Off-Site Hedge Baseline'!$B$1:$L$257,8,FALSE)),"",(VLOOKUP($B89,'E-1 Off-Site Hedge Baseline'!$B$1:$L$257,8,FALSE))))</f>
        <v/>
      </c>
      <c r="I89" s="301" t="str">
        <f>IF(B89="","",IF(ISNA(VLOOKUP($B89,'E-1 Off-Site Hedge Baseline'!$B$1:$L$257,10,FALSE)),"",(VLOOKUP($B89,'E-1 Off-Site Hedge Baseline'!$B$1:$L$257,10,FALSE))))</f>
        <v/>
      </c>
      <c r="J89" s="301" t="str">
        <f>IF(B89="","",IF(ISNA(VLOOKUP($B89,'E-1 Off-Site Hedge Baseline'!$B$1:$L$257,11,FALSE)),"",(VLOOKUP($B89,'E-1 Off-Site Hedge Baseline'!$B$1:$L$257,11,FALSE))))</f>
        <v/>
      </c>
      <c r="K89" s="301" t="str">
        <f>IF(B89="","",IF(ISNA(VLOOKUP($B89,'E-1 Off-Site Hedge Baseline'!$B$1:$X$257,16,FALSE)),"",(VLOOKUP($B89,'E-1 Off-Site Hedge Baseline'!$B$1:$X$257,16,FALSE))))</f>
        <v/>
      </c>
      <c r="L89" s="289" t="str">
        <f>IF(B89="","",IF(ISNA(VLOOKUP($B89,'E-1 Off-Site Hedge Baseline'!$B$1:$X$257,12,FALSE)),"",(VLOOKUP($B89,'E-1 Off-Site Hedge Baseline'!$B$1:$X$257,12,FALSE))))</f>
        <v/>
      </c>
      <c r="M89" s="250"/>
      <c r="N89" s="281" t="str">
        <f>IFERROR(IF(B89="","",INDEX('G-6 Hedgerow Data'!$AN$3:$AZ$15,MATCH(C89,'G-6 Hedgerow Data'!$AM$3:$AM$15,0),MATCH(M89,'G-6 Hedgerow Data'!$AN$2:$AZ$2,0))),"")</f>
        <v/>
      </c>
      <c r="O89" s="282" t="str">
        <f t="shared" si="9"/>
        <v/>
      </c>
      <c r="P89" s="287" t="str">
        <f>IF(B89="","",VLOOKUP(B89,'E-1 Off-Site Hedge Baseline'!$B$10:W334,19,FALSE))</f>
        <v/>
      </c>
      <c r="Q89" s="281" t="str">
        <f>IF(M89="","",VLOOKUP(M89,'G-6 Hedgerow Data'!$B$2:$AG$15,2,FALSE))</f>
        <v/>
      </c>
      <c r="R89" s="282" t="str">
        <f>IF(M89="","",VLOOKUP(M89,'G-6 Hedgerow Data'!$B$2:$AG$15,3,FALSE))</f>
        <v/>
      </c>
      <c r="S89" s="105"/>
      <c r="T89" s="282" t="str">
        <f>IFERROR(IF(S89="","",IF(AND(M89="Non-native and ornamental hedgerow", S89&lt;&gt;"Poor"),"Not possible ▲", (IF(AND(Q89="V.Low",OR(S89="Good",S89="Moderate")),"Error ▲",VLOOKUP(S89,'G-1 All Habitats'!$Z$2:$AA$9,2,FALSE))))),"")</f>
        <v/>
      </c>
      <c r="U89" s="105"/>
      <c r="V89" s="289" t="str">
        <f>IF(U89="","",IF(VLOOKUP(U89,'G-3 Multipliers'!$L$3:$N$6,2,FALSE)=0,"Spatial Data Missing ⚠",VLOOKUP(U89,'G-3 Multipliers'!$L$3:$N$6,2,FALSE)))</f>
        <v/>
      </c>
      <c r="W89" s="287" t="str">
        <f>IF(U89="","",IF(VLOOKUP(U89,'G-3 Multipliers'!$L$3:$N$6,3,FALSE)=0,"Spatial Data Missing ⚠",VLOOKUP(U89,'G-3 Multipliers'!$L$3:$N$6,3,FALSE)))</f>
        <v/>
      </c>
      <c r="X89" s="281" t="str">
        <f>IFERROR(IF(OR(LEFT(O89,5)="Error",LEFT(N89,5)="Error",T89="Error"),"Check Data ⚠",IF(F89&lt;R89,INDEX('G-6 Hedgerow Data'!$S$3:$AE$14,MATCH(C89,'G-6 Hedgerow Data'!$B$3:$B$14,0),MATCH(M89,'G-6 Hedgerow Data'!$S$2:$AE$2,0)),INDEX('G-6 Hedgerow Data'!$K$3:$Q$14,MATCH(M89,'G-6 Hedgerow Data'!$B$3:$B$14,0),MATCH(O89,'G-6 Hedgerow Data'!$K$2:$Q$2,0)))),"")</f>
        <v/>
      </c>
      <c r="Y89" s="137"/>
      <c r="Z89" s="137"/>
      <c r="AA89" s="289" t="str">
        <f t="shared" si="10"/>
        <v/>
      </c>
      <c r="AB89" s="302" t="str">
        <f t="shared" si="11"/>
        <v/>
      </c>
      <c r="AC89" s="303" t="str">
        <f t="shared" si="8"/>
        <v/>
      </c>
      <c r="AD89" s="317" t="str">
        <f>IF(M89="","",VLOOKUP(M89,'G-6 Hedgerow Data'!$B$3:$AG$15,31,FALSE))</f>
        <v/>
      </c>
      <c r="AE89" s="301" t="str">
        <f t="shared" si="12"/>
        <v/>
      </c>
      <c r="AF89" s="289" t="str">
        <f t="shared" si="13"/>
        <v/>
      </c>
      <c r="AG89" s="305" t="str">
        <f>IFERROR(IF(O89="","",VLOOKUP(AD89,'G-3 Multipliers'!$P$3:$Q$6,2,FALSE)),"")</f>
        <v/>
      </c>
      <c r="AH89" s="729" t="str">
        <f>IF(B89="","",IF(ISNA(VLOOKUP($B89,'E-1 Off-Site Hedge Baseline'!$B$1:$Z$257,14,FALSE)),"",(VLOOKUP($B89,'E-1 Off-Site Hedge Baseline'!$B$1:$Z$257,14,FALSE))))</f>
        <v/>
      </c>
      <c r="AI89" s="282" t="str">
        <f>IF(AH89="","",IF(VLOOKUP(AH89,'G-3 Multipliers'!$S$3:$T$10,2,FALSE)=0,"Spatial Data Missing ⚠",VLOOKUP(AH89,'G-3 Multipliers'!$S$3:$T$10,2,FALSE)))</f>
        <v/>
      </c>
      <c r="AJ89" s="323" t="str">
        <f t="shared" si="14"/>
        <v/>
      </c>
      <c r="AK89" s="295" t="str">
        <f t="shared" si="15"/>
        <v/>
      </c>
      <c r="AL89" s="105"/>
      <c r="AM89" s="119"/>
      <c r="AN89" s="108"/>
      <c r="AO89" s="108"/>
      <c r="AQ89" s="30" t="str">
        <f>IFERROR(INDEX('G-6 Hedgerow Data'!$BJ$3:$BJ$15,MATCH(M89,'G-6 Hedgerow Data'!$B$3:$B$15,0)),"")</f>
        <v/>
      </c>
    </row>
    <row r="90" spans="2:43" ht="13.8" x14ac:dyDescent="0.25">
      <c r="B90" s="311" t="str">
        <f>'E-1 Off-Site Hedge Baseline'!AN88</f>
        <v/>
      </c>
      <c r="C90" s="301" t="str">
        <f>IF(B90="","",IF(ISNA(VLOOKUP($B90,'E-1 Off-Site Hedge Baseline'!$B$1:$L$257,3,FALSE)),"",(VLOOKUP($B90,'E-1 Off-Site Hedge Baseline'!$B$1:$L$257,3,FALSE))))</f>
        <v/>
      </c>
      <c r="D90" s="301" t="str">
        <f>IF(B90="","",IF(ISNA(VLOOKUP($B90,'E-1 Off-Site Hedge Baseline'!$B$1:$L$258,4,FALSE)),"",(VLOOKUP($B90,'E-1 Off-Site Hedge Baseline'!$B$1:$L$258,4,FALSE))))</f>
        <v/>
      </c>
      <c r="E90" s="301" t="str">
        <f>IF(B90="","",IF(ISNA(VLOOKUP($B90,'E-1 Off-Site Hedge Baseline'!$B$1:$L$257,5,FALSE)),"",(VLOOKUP($B90,'E-1 Off-Site Hedge Baseline'!$B$1:$L$257,5,FALSE))))</f>
        <v/>
      </c>
      <c r="F90" s="301" t="str">
        <f>IF(B90="","",IF(ISNA(VLOOKUP($B90,'E-1 Off-Site Hedge Baseline'!$B$1:$L$257,6,FALSE)),"",(VLOOKUP($B90,'E-1 Off-Site Hedge Baseline'!$B$1:$L$257,6,FALSE))))</f>
        <v/>
      </c>
      <c r="G90" s="301" t="str">
        <f>IF(B90="","",IF(ISNA(VLOOKUP($B90,'E-1 Off-Site Hedge Baseline'!$B$1:$L$257,7,FALSE)),"",(VLOOKUP($B90,'E-1 Off-Site Hedge Baseline'!$B$1:$L$257,7,FALSE))))</f>
        <v/>
      </c>
      <c r="H90" s="301" t="str">
        <f>IF(B90="","",IF(ISNA(VLOOKUP($B90,'E-1 Off-Site Hedge Baseline'!$B$1:$L$257,8,FALSE)),"",(VLOOKUP($B90,'E-1 Off-Site Hedge Baseline'!$B$1:$L$257,8,FALSE))))</f>
        <v/>
      </c>
      <c r="I90" s="301" t="str">
        <f>IF(B90="","",IF(ISNA(VLOOKUP($B90,'E-1 Off-Site Hedge Baseline'!$B$1:$L$257,10,FALSE)),"",(VLOOKUP($B90,'E-1 Off-Site Hedge Baseline'!$B$1:$L$257,10,FALSE))))</f>
        <v/>
      </c>
      <c r="J90" s="301" t="str">
        <f>IF(B90="","",IF(ISNA(VLOOKUP($B90,'E-1 Off-Site Hedge Baseline'!$B$1:$L$257,11,FALSE)),"",(VLOOKUP($B90,'E-1 Off-Site Hedge Baseline'!$B$1:$L$257,11,FALSE))))</f>
        <v/>
      </c>
      <c r="K90" s="301" t="str">
        <f>IF(B90="","",IF(ISNA(VLOOKUP($B90,'E-1 Off-Site Hedge Baseline'!$B$1:$X$257,16,FALSE)),"",(VLOOKUP($B90,'E-1 Off-Site Hedge Baseline'!$B$1:$X$257,16,FALSE))))</f>
        <v/>
      </c>
      <c r="L90" s="289" t="str">
        <f>IF(B90="","",IF(ISNA(VLOOKUP($B90,'E-1 Off-Site Hedge Baseline'!$B$1:$X$257,12,FALSE)),"",(VLOOKUP($B90,'E-1 Off-Site Hedge Baseline'!$B$1:$X$257,12,FALSE))))</f>
        <v/>
      </c>
      <c r="M90" s="250"/>
      <c r="N90" s="281" t="str">
        <f>IFERROR(IF(B90="","",INDEX('G-6 Hedgerow Data'!$AN$3:$AZ$15,MATCH(C90,'G-6 Hedgerow Data'!$AM$3:$AM$15,0),MATCH(M90,'G-6 Hedgerow Data'!$AN$2:$AZ$2,0))),"")</f>
        <v/>
      </c>
      <c r="O90" s="282" t="str">
        <f t="shared" si="9"/>
        <v/>
      </c>
      <c r="P90" s="287" t="str">
        <f>IF(B90="","",VLOOKUP(B90,'E-1 Off-Site Hedge Baseline'!$B$10:W335,19,FALSE))</f>
        <v/>
      </c>
      <c r="Q90" s="281" t="str">
        <f>IF(M90="","",VLOOKUP(M90,'G-6 Hedgerow Data'!$B$2:$AG$15,2,FALSE))</f>
        <v/>
      </c>
      <c r="R90" s="282" t="str">
        <f>IF(M90="","",VLOOKUP(M90,'G-6 Hedgerow Data'!$B$2:$AG$15,3,FALSE))</f>
        <v/>
      </c>
      <c r="S90" s="105"/>
      <c r="T90" s="282" t="str">
        <f>IFERROR(IF(S90="","",IF(AND(M90="Non-native and ornamental hedgerow", S90&lt;&gt;"Poor"),"Not possible ▲", (IF(AND(Q90="V.Low",OR(S90="Good",S90="Moderate")),"Error ▲",VLOOKUP(S90,'G-1 All Habitats'!$Z$2:$AA$9,2,FALSE))))),"")</f>
        <v/>
      </c>
      <c r="U90" s="105"/>
      <c r="V90" s="289" t="str">
        <f>IF(U90="","",IF(VLOOKUP(U90,'G-3 Multipliers'!$L$3:$N$6,2,FALSE)=0,"Spatial Data Missing ⚠",VLOOKUP(U90,'G-3 Multipliers'!$L$3:$N$6,2,FALSE)))</f>
        <v/>
      </c>
      <c r="W90" s="287" t="str">
        <f>IF(U90="","",IF(VLOOKUP(U90,'G-3 Multipliers'!$L$3:$N$6,3,FALSE)=0,"Spatial Data Missing ⚠",VLOOKUP(U90,'G-3 Multipliers'!$L$3:$N$6,3,FALSE)))</f>
        <v/>
      </c>
      <c r="X90" s="281" t="str">
        <f>IFERROR(IF(OR(LEFT(O90,5)="Error",LEFT(N90,5)="Error",T90="Error"),"Check Data ⚠",IF(F90&lt;R90,INDEX('G-6 Hedgerow Data'!$S$3:$AE$14,MATCH(C90,'G-6 Hedgerow Data'!$B$3:$B$14,0),MATCH(M90,'G-6 Hedgerow Data'!$S$2:$AE$2,0)),INDEX('G-6 Hedgerow Data'!$K$3:$Q$14,MATCH(M90,'G-6 Hedgerow Data'!$B$3:$B$14,0),MATCH(O90,'G-6 Hedgerow Data'!$K$2:$Q$2,0)))),"")</f>
        <v/>
      </c>
      <c r="Y90" s="137"/>
      <c r="Z90" s="137"/>
      <c r="AA90" s="289" t="str">
        <f t="shared" si="10"/>
        <v/>
      </c>
      <c r="AB90" s="302" t="str">
        <f t="shared" si="11"/>
        <v/>
      </c>
      <c r="AC90" s="303" t="str">
        <f t="shared" si="8"/>
        <v/>
      </c>
      <c r="AD90" s="317" t="str">
        <f>IF(M90="","",VLOOKUP(M90,'G-6 Hedgerow Data'!$B$3:$AG$15,31,FALSE))</f>
        <v/>
      </c>
      <c r="AE90" s="301" t="str">
        <f t="shared" si="12"/>
        <v/>
      </c>
      <c r="AF90" s="289" t="str">
        <f t="shared" si="13"/>
        <v/>
      </c>
      <c r="AG90" s="305" t="str">
        <f>IFERROR(IF(O90="","",VLOOKUP(AD90,'G-3 Multipliers'!$P$3:$Q$6,2,FALSE)),"")</f>
        <v/>
      </c>
      <c r="AH90" s="729" t="str">
        <f>IF(B90="","",IF(ISNA(VLOOKUP($B90,'E-1 Off-Site Hedge Baseline'!$B$1:$Z$257,14,FALSE)),"",(VLOOKUP($B90,'E-1 Off-Site Hedge Baseline'!$B$1:$Z$257,14,FALSE))))</f>
        <v/>
      </c>
      <c r="AI90" s="282" t="str">
        <f>IF(AH90="","",IF(VLOOKUP(AH90,'G-3 Multipliers'!$S$3:$T$10,2,FALSE)=0,"Spatial Data Missing ⚠",VLOOKUP(AH90,'G-3 Multipliers'!$S$3:$T$10,2,FALSE)))</f>
        <v/>
      </c>
      <c r="AJ90" s="323" t="str">
        <f t="shared" si="14"/>
        <v/>
      </c>
      <c r="AK90" s="295" t="str">
        <f t="shared" si="15"/>
        <v/>
      </c>
      <c r="AL90" s="105"/>
      <c r="AM90" s="119"/>
      <c r="AN90" s="108"/>
      <c r="AO90" s="108"/>
      <c r="AQ90" s="30" t="str">
        <f>IFERROR(INDEX('G-6 Hedgerow Data'!$BJ$3:$BJ$15,MATCH(M90,'G-6 Hedgerow Data'!$B$3:$B$15,0)),"")</f>
        <v/>
      </c>
    </row>
    <row r="91" spans="2:43" ht="13.8" x14ac:dyDescent="0.25">
      <c r="B91" s="311" t="str">
        <f>'E-1 Off-Site Hedge Baseline'!AN89</f>
        <v/>
      </c>
      <c r="C91" s="301" t="str">
        <f>IF(B91="","",IF(ISNA(VLOOKUP($B91,'E-1 Off-Site Hedge Baseline'!$B$1:$L$257,3,FALSE)),"",(VLOOKUP($B91,'E-1 Off-Site Hedge Baseline'!$B$1:$L$257,3,FALSE))))</f>
        <v/>
      </c>
      <c r="D91" s="301" t="str">
        <f>IF(B91="","",IF(ISNA(VLOOKUP($B91,'E-1 Off-Site Hedge Baseline'!$B$1:$L$258,4,FALSE)),"",(VLOOKUP($B91,'E-1 Off-Site Hedge Baseline'!$B$1:$L$258,4,FALSE))))</f>
        <v/>
      </c>
      <c r="E91" s="301" t="str">
        <f>IF(B91="","",IF(ISNA(VLOOKUP($B91,'E-1 Off-Site Hedge Baseline'!$B$1:$L$257,5,FALSE)),"",(VLOOKUP($B91,'E-1 Off-Site Hedge Baseline'!$B$1:$L$257,5,FALSE))))</f>
        <v/>
      </c>
      <c r="F91" s="301" t="str">
        <f>IF(B91="","",IF(ISNA(VLOOKUP($B91,'E-1 Off-Site Hedge Baseline'!$B$1:$L$257,6,FALSE)),"",(VLOOKUP($B91,'E-1 Off-Site Hedge Baseline'!$B$1:$L$257,6,FALSE))))</f>
        <v/>
      </c>
      <c r="G91" s="301" t="str">
        <f>IF(B91="","",IF(ISNA(VLOOKUP($B91,'E-1 Off-Site Hedge Baseline'!$B$1:$L$257,7,FALSE)),"",(VLOOKUP($B91,'E-1 Off-Site Hedge Baseline'!$B$1:$L$257,7,FALSE))))</f>
        <v/>
      </c>
      <c r="H91" s="301" t="str">
        <f>IF(B91="","",IF(ISNA(VLOOKUP($B91,'E-1 Off-Site Hedge Baseline'!$B$1:$L$257,8,FALSE)),"",(VLOOKUP($B91,'E-1 Off-Site Hedge Baseline'!$B$1:$L$257,8,FALSE))))</f>
        <v/>
      </c>
      <c r="I91" s="301" t="str">
        <f>IF(B91="","",IF(ISNA(VLOOKUP($B91,'E-1 Off-Site Hedge Baseline'!$B$1:$L$257,10,FALSE)),"",(VLOOKUP($B91,'E-1 Off-Site Hedge Baseline'!$B$1:$L$257,10,FALSE))))</f>
        <v/>
      </c>
      <c r="J91" s="301" t="str">
        <f>IF(B91="","",IF(ISNA(VLOOKUP($B91,'E-1 Off-Site Hedge Baseline'!$B$1:$L$257,11,FALSE)),"",(VLOOKUP($B91,'E-1 Off-Site Hedge Baseline'!$B$1:$L$257,11,FALSE))))</f>
        <v/>
      </c>
      <c r="K91" s="301" t="str">
        <f>IF(B91="","",IF(ISNA(VLOOKUP($B91,'E-1 Off-Site Hedge Baseline'!$B$1:$X$257,16,FALSE)),"",(VLOOKUP($B91,'E-1 Off-Site Hedge Baseline'!$B$1:$X$257,16,FALSE))))</f>
        <v/>
      </c>
      <c r="L91" s="289" t="str">
        <f>IF(B91="","",IF(ISNA(VLOOKUP($B91,'E-1 Off-Site Hedge Baseline'!$B$1:$X$257,12,FALSE)),"",(VLOOKUP($B91,'E-1 Off-Site Hedge Baseline'!$B$1:$X$257,12,FALSE))))</f>
        <v/>
      </c>
      <c r="M91" s="250"/>
      <c r="N91" s="281" t="str">
        <f>IFERROR(IF(B91="","",INDEX('G-6 Hedgerow Data'!$AN$3:$AZ$15,MATCH(C91,'G-6 Hedgerow Data'!$AM$3:$AM$15,0),MATCH(M91,'G-6 Hedgerow Data'!$AN$2:$AZ$2,0))),"")</f>
        <v/>
      </c>
      <c r="O91" s="282" t="str">
        <f t="shared" si="9"/>
        <v/>
      </c>
      <c r="P91" s="287" t="str">
        <f>IF(B91="","",VLOOKUP(B91,'E-1 Off-Site Hedge Baseline'!$B$10:W336,19,FALSE))</f>
        <v/>
      </c>
      <c r="Q91" s="281" t="str">
        <f>IF(M91="","",VLOOKUP(M91,'G-6 Hedgerow Data'!$B$2:$AG$15,2,FALSE))</f>
        <v/>
      </c>
      <c r="R91" s="282" t="str">
        <f>IF(M91="","",VLOOKUP(M91,'G-6 Hedgerow Data'!$B$2:$AG$15,3,FALSE))</f>
        <v/>
      </c>
      <c r="S91" s="105"/>
      <c r="T91" s="282" t="str">
        <f>IFERROR(IF(S91="","",IF(AND(M91="Non-native and ornamental hedgerow", S91&lt;&gt;"Poor"),"Not possible ▲", (IF(AND(Q91="V.Low",OR(S91="Good",S91="Moderate")),"Error ▲",VLOOKUP(S91,'G-1 All Habitats'!$Z$2:$AA$9,2,FALSE))))),"")</f>
        <v/>
      </c>
      <c r="U91" s="105"/>
      <c r="V91" s="289" t="str">
        <f>IF(U91="","",IF(VLOOKUP(U91,'G-3 Multipliers'!$L$3:$N$6,2,FALSE)=0,"Spatial Data Missing ⚠",VLOOKUP(U91,'G-3 Multipliers'!$L$3:$N$6,2,FALSE)))</f>
        <v/>
      </c>
      <c r="W91" s="287" t="str">
        <f>IF(U91="","",IF(VLOOKUP(U91,'G-3 Multipliers'!$L$3:$N$6,3,FALSE)=0,"Spatial Data Missing ⚠",VLOOKUP(U91,'G-3 Multipliers'!$L$3:$N$6,3,FALSE)))</f>
        <v/>
      </c>
      <c r="X91" s="281" t="str">
        <f>IFERROR(IF(OR(LEFT(O91,5)="Error",LEFT(N91,5)="Error",T91="Error"),"Check Data ⚠",IF(F91&lt;R91,INDEX('G-6 Hedgerow Data'!$S$3:$AE$14,MATCH(C91,'G-6 Hedgerow Data'!$B$3:$B$14,0),MATCH(M91,'G-6 Hedgerow Data'!$S$2:$AE$2,0)),INDEX('G-6 Hedgerow Data'!$K$3:$Q$14,MATCH(M91,'G-6 Hedgerow Data'!$B$3:$B$14,0),MATCH(O91,'G-6 Hedgerow Data'!$K$2:$Q$2,0)))),"")</f>
        <v/>
      </c>
      <c r="Y91" s="137"/>
      <c r="Z91" s="137"/>
      <c r="AA91" s="289" t="str">
        <f t="shared" si="10"/>
        <v/>
      </c>
      <c r="AB91" s="302" t="str">
        <f t="shared" si="11"/>
        <v/>
      </c>
      <c r="AC91" s="303" t="str">
        <f t="shared" si="8"/>
        <v/>
      </c>
      <c r="AD91" s="317" t="str">
        <f>IF(M91="","",VLOOKUP(M91,'G-6 Hedgerow Data'!$B$3:$AG$15,31,FALSE))</f>
        <v/>
      </c>
      <c r="AE91" s="301" t="str">
        <f t="shared" si="12"/>
        <v/>
      </c>
      <c r="AF91" s="289" t="str">
        <f t="shared" si="13"/>
        <v/>
      </c>
      <c r="AG91" s="305" t="str">
        <f>IFERROR(IF(O91="","",VLOOKUP(AD91,'G-3 Multipliers'!$P$3:$Q$6,2,FALSE)),"")</f>
        <v/>
      </c>
      <c r="AH91" s="729" t="str">
        <f>IF(B91="","",IF(ISNA(VLOOKUP($B91,'E-1 Off-Site Hedge Baseline'!$B$1:$Z$257,14,FALSE)),"",(VLOOKUP($B91,'E-1 Off-Site Hedge Baseline'!$B$1:$Z$257,14,FALSE))))</f>
        <v/>
      </c>
      <c r="AI91" s="282" t="str">
        <f>IF(AH91="","",IF(VLOOKUP(AH91,'G-3 Multipliers'!$S$3:$T$10,2,FALSE)=0,"Spatial Data Missing ⚠",VLOOKUP(AH91,'G-3 Multipliers'!$S$3:$T$10,2,FALSE)))</f>
        <v/>
      </c>
      <c r="AJ91" s="323" t="str">
        <f t="shared" si="14"/>
        <v/>
      </c>
      <c r="AK91" s="295" t="str">
        <f t="shared" si="15"/>
        <v/>
      </c>
      <c r="AL91" s="105"/>
      <c r="AM91" s="119"/>
      <c r="AN91" s="108"/>
      <c r="AO91" s="108"/>
      <c r="AQ91" s="30" t="str">
        <f>IFERROR(INDEX('G-6 Hedgerow Data'!$BJ$3:$BJ$15,MATCH(M91,'G-6 Hedgerow Data'!$B$3:$B$15,0)),"")</f>
        <v/>
      </c>
    </row>
    <row r="92" spans="2:43" ht="13.8" x14ac:dyDescent="0.25">
      <c r="B92" s="311" t="str">
        <f>'E-1 Off-Site Hedge Baseline'!AN90</f>
        <v/>
      </c>
      <c r="C92" s="301" t="str">
        <f>IF(B92="","",IF(ISNA(VLOOKUP($B92,'E-1 Off-Site Hedge Baseline'!$B$1:$L$257,3,FALSE)),"",(VLOOKUP($B92,'E-1 Off-Site Hedge Baseline'!$B$1:$L$257,3,FALSE))))</f>
        <v/>
      </c>
      <c r="D92" s="301" t="str">
        <f>IF(B92="","",IF(ISNA(VLOOKUP($B92,'E-1 Off-Site Hedge Baseline'!$B$1:$L$258,4,FALSE)),"",(VLOOKUP($B92,'E-1 Off-Site Hedge Baseline'!$B$1:$L$258,4,FALSE))))</f>
        <v/>
      </c>
      <c r="E92" s="301" t="str">
        <f>IF(B92="","",IF(ISNA(VLOOKUP($B92,'E-1 Off-Site Hedge Baseline'!$B$1:$L$257,5,FALSE)),"",(VLOOKUP($B92,'E-1 Off-Site Hedge Baseline'!$B$1:$L$257,5,FALSE))))</f>
        <v/>
      </c>
      <c r="F92" s="301" t="str">
        <f>IF(B92="","",IF(ISNA(VLOOKUP($B92,'E-1 Off-Site Hedge Baseline'!$B$1:$L$257,6,FALSE)),"",(VLOOKUP($B92,'E-1 Off-Site Hedge Baseline'!$B$1:$L$257,6,FALSE))))</f>
        <v/>
      </c>
      <c r="G92" s="301" t="str">
        <f>IF(B92="","",IF(ISNA(VLOOKUP($B92,'E-1 Off-Site Hedge Baseline'!$B$1:$L$257,7,FALSE)),"",(VLOOKUP($B92,'E-1 Off-Site Hedge Baseline'!$B$1:$L$257,7,FALSE))))</f>
        <v/>
      </c>
      <c r="H92" s="301" t="str">
        <f>IF(B92="","",IF(ISNA(VLOOKUP($B92,'E-1 Off-Site Hedge Baseline'!$B$1:$L$257,8,FALSE)),"",(VLOOKUP($B92,'E-1 Off-Site Hedge Baseline'!$B$1:$L$257,8,FALSE))))</f>
        <v/>
      </c>
      <c r="I92" s="301" t="str">
        <f>IF(B92="","",IF(ISNA(VLOOKUP($B92,'E-1 Off-Site Hedge Baseline'!$B$1:$L$257,10,FALSE)),"",(VLOOKUP($B92,'E-1 Off-Site Hedge Baseline'!$B$1:$L$257,10,FALSE))))</f>
        <v/>
      </c>
      <c r="J92" s="301" t="str">
        <f>IF(B92="","",IF(ISNA(VLOOKUP($B92,'E-1 Off-Site Hedge Baseline'!$B$1:$L$257,11,FALSE)),"",(VLOOKUP($B92,'E-1 Off-Site Hedge Baseline'!$B$1:$L$257,11,FALSE))))</f>
        <v/>
      </c>
      <c r="K92" s="301" t="str">
        <f>IF(B92="","",IF(ISNA(VLOOKUP($B92,'E-1 Off-Site Hedge Baseline'!$B$1:$X$257,16,FALSE)),"",(VLOOKUP($B92,'E-1 Off-Site Hedge Baseline'!$B$1:$X$257,16,FALSE))))</f>
        <v/>
      </c>
      <c r="L92" s="289" t="str">
        <f>IF(B92="","",IF(ISNA(VLOOKUP($B92,'E-1 Off-Site Hedge Baseline'!$B$1:$X$257,12,FALSE)),"",(VLOOKUP($B92,'E-1 Off-Site Hedge Baseline'!$B$1:$X$257,12,FALSE))))</f>
        <v/>
      </c>
      <c r="M92" s="250"/>
      <c r="N92" s="281" t="str">
        <f>IFERROR(IF(B92="","",INDEX('G-6 Hedgerow Data'!$AN$3:$AZ$15,MATCH(C92,'G-6 Hedgerow Data'!$AM$3:$AM$15,0),MATCH(M92,'G-6 Hedgerow Data'!$AN$2:$AZ$2,0))),"")</f>
        <v/>
      </c>
      <c r="O92" s="282" t="str">
        <f t="shared" si="9"/>
        <v/>
      </c>
      <c r="P92" s="287" t="str">
        <f>IF(B92="","",VLOOKUP(B92,'E-1 Off-Site Hedge Baseline'!$B$10:W337,19,FALSE))</f>
        <v/>
      </c>
      <c r="Q92" s="281" t="str">
        <f>IF(M92="","",VLOOKUP(M92,'G-6 Hedgerow Data'!$B$2:$AG$15,2,FALSE))</f>
        <v/>
      </c>
      <c r="R92" s="282" t="str">
        <f>IF(M92="","",VLOOKUP(M92,'G-6 Hedgerow Data'!$B$2:$AG$15,3,FALSE))</f>
        <v/>
      </c>
      <c r="S92" s="105"/>
      <c r="T92" s="282" t="str">
        <f>IFERROR(IF(S92="","",IF(AND(M92="Non-native and ornamental hedgerow", S92&lt;&gt;"Poor"),"Not possible ▲", (IF(AND(Q92="V.Low",OR(S92="Good",S92="Moderate")),"Error ▲",VLOOKUP(S92,'G-1 All Habitats'!$Z$2:$AA$9,2,FALSE))))),"")</f>
        <v/>
      </c>
      <c r="U92" s="105"/>
      <c r="V92" s="289" t="str">
        <f>IF(U92="","",IF(VLOOKUP(U92,'G-3 Multipliers'!$L$3:$N$6,2,FALSE)=0,"Spatial Data Missing ⚠",VLOOKUP(U92,'G-3 Multipliers'!$L$3:$N$6,2,FALSE)))</f>
        <v/>
      </c>
      <c r="W92" s="287" t="str">
        <f>IF(U92="","",IF(VLOOKUP(U92,'G-3 Multipliers'!$L$3:$N$6,3,FALSE)=0,"Spatial Data Missing ⚠",VLOOKUP(U92,'G-3 Multipliers'!$L$3:$N$6,3,FALSE)))</f>
        <v/>
      </c>
      <c r="X92" s="281" t="str">
        <f>IFERROR(IF(OR(LEFT(O92,5)="Error",LEFT(N92,5)="Error",T92="Error"),"Check Data ⚠",IF(F92&lt;R92,INDEX('G-6 Hedgerow Data'!$S$3:$AE$14,MATCH(C92,'G-6 Hedgerow Data'!$B$3:$B$14,0),MATCH(M92,'G-6 Hedgerow Data'!$S$2:$AE$2,0)),INDEX('G-6 Hedgerow Data'!$K$3:$Q$14,MATCH(M92,'G-6 Hedgerow Data'!$B$3:$B$14,0),MATCH(O92,'G-6 Hedgerow Data'!$K$2:$Q$2,0)))),"")</f>
        <v/>
      </c>
      <c r="Y92" s="137"/>
      <c r="Z92" s="137"/>
      <c r="AA92" s="289" t="str">
        <f t="shared" si="10"/>
        <v/>
      </c>
      <c r="AB92" s="302" t="str">
        <f t="shared" si="11"/>
        <v/>
      </c>
      <c r="AC92" s="303" t="str">
        <f t="shared" si="8"/>
        <v/>
      </c>
      <c r="AD92" s="317" t="str">
        <f>IF(M92="","",VLOOKUP(M92,'G-6 Hedgerow Data'!$B$3:$AG$15,31,FALSE))</f>
        <v/>
      </c>
      <c r="AE92" s="301" t="str">
        <f t="shared" si="12"/>
        <v/>
      </c>
      <c r="AF92" s="289" t="str">
        <f t="shared" si="13"/>
        <v/>
      </c>
      <c r="AG92" s="305" t="str">
        <f>IFERROR(IF(O92="","",VLOOKUP(AD92,'G-3 Multipliers'!$P$3:$Q$6,2,FALSE)),"")</f>
        <v/>
      </c>
      <c r="AH92" s="729" t="str">
        <f>IF(B92="","",IF(ISNA(VLOOKUP($B92,'E-1 Off-Site Hedge Baseline'!$B$1:$Z$257,14,FALSE)),"",(VLOOKUP($B92,'E-1 Off-Site Hedge Baseline'!$B$1:$Z$257,14,FALSE))))</f>
        <v/>
      </c>
      <c r="AI92" s="282" t="str">
        <f>IF(AH92="","",IF(VLOOKUP(AH92,'G-3 Multipliers'!$S$3:$T$10,2,FALSE)=0,"Spatial Data Missing ⚠",VLOOKUP(AH92,'G-3 Multipliers'!$S$3:$T$10,2,FALSE)))</f>
        <v/>
      </c>
      <c r="AJ92" s="323" t="str">
        <f t="shared" si="14"/>
        <v/>
      </c>
      <c r="AK92" s="295" t="str">
        <f t="shared" si="15"/>
        <v/>
      </c>
      <c r="AL92" s="105"/>
      <c r="AM92" s="119"/>
      <c r="AN92" s="108"/>
      <c r="AO92" s="108"/>
      <c r="AQ92" s="30" t="str">
        <f>IFERROR(INDEX('G-6 Hedgerow Data'!$BJ$3:$BJ$15,MATCH(M92,'G-6 Hedgerow Data'!$B$3:$B$15,0)),"")</f>
        <v/>
      </c>
    </row>
    <row r="93" spans="2:43" ht="13.8" x14ac:dyDescent="0.25">
      <c r="B93" s="311" t="str">
        <f>'E-1 Off-Site Hedge Baseline'!AN91</f>
        <v/>
      </c>
      <c r="C93" s="301" t="str">
        <f>IF(B93="","",IF(ISNA(VLOOKUP($B93,'E-1 Off-Site Hedge Baseline'!$B$1:$L$257,3,FALSE)),"",(VLOOKUP($B93,'E-1 Off-Site Hedge Baseline'!$B$1:$L$257,3,FALSE))))</f>
        <v/>
      </c>
      <c r="D93" s="301" t="str">
        <f>IF(B93="","",IF(ISNA(VLOOKUP($B93,'E-1 Off-Site Hedge Baseline'!$B$1:$L$258,4,FALSE)),"",(VLOOKUP($B93,'E-1 Off-Site Hedge Baseline'!$B$1:$L$258,4,FALSE))))</f>
        <v/>
      </c>
      <c r="E93" s="301" t="str">
        <f>IF(B93="","",IF(ISNA(VLOOKUP($B93,'E-1 Off-Site Hedge Baseline'!$B$1:$L$257,5,FALSE)),"",(VLOOKUP($B93,'E-1 Off-Site Hedge Baseline'!$B$1:$L$257,5,FALSE))))</f>
        <v/>
      </c>
      <c r="F93" s="301" t="str">
        <f>IF(B93="","",IF(ISNA(VLOOKUP($B93,'E-1 Off-Site Hedge Baseline'!$B$1:$L$257,6,FALSE)),"",(VLOOKUP($B93,'E-1 Off-Site Hedge Baseline'!$B$1:$L$257,6,FALSE))))</f>
        <v/>
      </c>
      <c r="G93" s="301" t="str">
        <f>IF(B93="","",IF(ISNA(VLOOKUP($B93,'E-1 Off-Site Hedge Baseline'!$B$1:$L$257,7,FALSE)),"",(VLOOKUP($B93,'E-1 Off-Site Hedge Baseline'!$B$1:$L$257,7,FALSE))))</f>
        <v/>
      </c>
      <c r="H93" s="301" t="str">
        <f>IF(B93="","",IF(ISNA(VLOOKUP($B93,'E-1 Off-Site Hedge Baseline'!$B$1:$L$257,8,FALSE)),"",(VLOOKUP($B93,'E-1 Off-Site Hedge Baseline'!$B$1:$L$257,8,FALSE))))</f>
        <v/>
      </c>
      <c r="I93" s="301" t="str">
        <f>IF(B93="","",IF(ISNA(VLOOKUP($B93,'E-1 Off-Site Hedge Baseline'!$B$1:$L$257,10,FALSE)),"",(VLOOKUP($B93,'E-1 Off-Site Hedge Baseline'!$B$1:$L$257,10,FALSE))))</f>
        <v/>
      </c>
      <c r="J93" s="301" t="str">
        <f>IF(B93="","",IF(ISNA(VLOOKUP($B93,'E-1 Off-Site Hedge Baseline'!$B$1:$L$257,11,FALSE)),"",(VLOOKUP($B93,'E-1 Off-Site Hedge Baseline'!$B$1:$L$257,11,FALSE))))</f>
        <v/>
      </c>
      <c r="K93" s="301" t="str">
        <f>IF(B93="","",IF(ISNA(VLOOKUP($B93,'E-1 Off-Site Hedge Baseline'!$B$1:$X$257,16,FALSE)),"",(VLOOKUP($B93,'E-1 Off-Site Hedge Baseline'!$B$1:$X$257,16,FALSE))))</f>
        <v/>
      </c>
      <c r="L93" s="289" t="str">
        <f>IF(B93="","",IF(ISNA(VLOOKUP($B93,'E-1 Off-Site Hedge Baseline'!$B$1:$X$257,12,FALSE)),"",(VLOOKUP($B93,'E-1 Off-Site Hedge Baseline'!$B$1:$X$257,12,FALSE))))</f>
        <v/>
      </c>
      <c r="M93" s="250"/>
      <c r="N93" s="281" t="str">
        <f>IFERROR(IF(B93="","",INDEX('G-6 Hedgerow Data'!$AN$3:$AZ$15,MATCH(C93,'G-6 Hedgerow Data'!$AM$3:$AM$15,0),MATCH(M93,'G-6 Hedgerow Data'!$AN$2:$AZ$2,0))),"")</f>
        <v/>
      </c>
      <c r="O93" s="282" t="str">
        <f t="shared" si="9"/>
        <v/>
      </c>
      <c r="P93" s="287" t="str">
        <f>IF(B93="","",VLOOKUP(B93,'E-1 Off-Site Hedge Baseline'!$B$10:W338,19,FALSE))</f>
        <v/>
      </c>
      <c r="Q93" s="281" t="str">
        <f>IF(M93="","",VLOOKUP(M93,'G-6 Hedgerow Data'!$B$2:$AG$15,2,FALSE))</f>
        <v/>
      </c>
      <c r="R93" s="282" t="str">
        <f>IF(M93="","",VLOOKUP(M93,'G-6 Hedgerow Data'!$B$2:$AG$15,3,FALSE))</f>
        <v/>
      </c>
      <c r="S93" s="105"/>
      <c r="T93" s="282" t="str">
        <f>IFERROR(IF(S93="","",IF(AND(M93="Non-native and ornamental hedgerow", S93&lt;&gt;"Poor"),"Not possible ▲", (IF(AND(Q93="V.Low",OR(S93="Good",S93="Moderate")),"Error ▲",VLOOKUP(S93,'G-1 All Habitats'!$Z$2:$AA$9,2,FALSE))))),"")</f>
        <v/>
      </c>
      <c r="U93" s="105"/>
      <c r="V93" s="289" t="str">
        <f>IF(U93="","",IF(VLOOKUP(U93,'G-3 Multipliers'!$L$3:$N$6,2,FALSE)=0,"Spatial Data Missing ⚠",VLOOKUP(U93,'G-3 Multipliers'!$L$3:$N$6,2,FALSE)))</f>
        <v/>
      </c>
      <c r="W93" s="287" t="str">
        <f>IF(U93="","",IF(VLOOKUP(U93,'G-3 Multipliers'!$L$3:$N$6,3,FALSE)=0,"Spatial Data Missing ⚠",VLOOKUP(U93,'G-3 Multipliers'!$L$3:$N$6,3,FALSE)))</f>
        <v/>
      </c>
      <c r="X93" s="281" t="str">
        <f>IFERROR(IF(OR(LEFT(O93,5)="Error",LEFT(N93,5)="Error",T93="Error"),"Check Data ⚠",IF(F93&lt;R93,INDEX('G-6 Hedgerow Data'!$S$3:$AE$14,MATCH(C93,'G-6 Hedgerow Data'!$B$3:$B$14,0),MATCH(M93,'G-6 Hedgerow Data'!$S$2:$AE$2,0)),INDEX('G-6 Hedgerow Data'!$K$3:$Q$14,MATCH(M93,'G-6 Hedgerow Data'!$B$3:$B$14,0),MATCH(O93,'G-6 Hedgerow Data'!$K$2:$Q$2,0)))),"")</f>
        <v/>
      </c>
      <c r="Y93" s="137"/>
      <c r="Z93" s="137"/>
      <c r="AA93" s="289" t="str">
        <f t="shared" si="10"/>
        <v/>
      </c>
      <c r="AB93" s="302" t="str">
        <f t="shared" si="11"/>
        <v/>
      </c>
      <c r="AC93" s="303" t="str">
        <f t="shared" si="8"/>
        <v/>
      </c>
      <c r="AD93" s="317" t="str">
        <f>IF(M93="","",VLOOKUP(M93,'G-6 Hedgerow Data'!$B$3:$AG$15,31,FALSE))</f>
        <v/>
      </c>
      <c r="AE93" s="301" t="str">
        <f t="shared" si="12"/>
        <v/>
      </c>
      <c r="AF93" s="289" t="str">
        <f t="shared" si="13"/>
        <v/>
      </c>
      <c r="AG93" s="305" t="str">
        <f>IFERROR(IF(O93="","",VLOOKUP(AD93,'G-3 Multipliers'!$P$3:$Q$6,2,FALSE)),"")</f>
        <v/>
      </c>
      <c r="AH93" s="729" t="str">
        <f>IF(B93="","",IF(ISNA(VLOOKUP($B93,'E-1 Off-Site Hedge Baseline'!$B$1:$Z$257,14,FALSE)),"",(VLOOKUP($B93,'E-1 Off-Site Hedge Baseline'!$B$1:$Z$257,14,FALSE))))</f>
        <v/>
      </c>
      <c r="AI93" s="282" t="str">
        <f>IF(AH93="","",IF(VLOOKUP(AH93,'G-3 Multipliers'!$S$3:$T$10,2,FALSE)=0,"Spatial Data Missing ⚠",VLOOKUP(AH93,'G-3 Multipliers'!$S$3:$T$10,2,FALSE)))</f>
        <v/>
      </c>
      <c r="AJ93" s="323" t="str">
        <f t="shared" si="14"/>
        <v/>
      </c>
      <c r="AK93" s="295" t="str">
        <f t="shared" si="15"/>
        <v/>
      </c>
      <c r="AL93" s="105"/>
      <c r="AM93" s="119"/>
      <c r="AN93" s="108"/>
      <c r="AO93" s="108"/>
      <c r="AQ93" s="30" t="str">
        <f>IFERROR(INDEX('G-6 Hedgerow Data'!$BJ$3:$BJ$15,MATCH(M93,'G-6 Hedgerow Data'!$B$3:$B$15,0)),"")</f>
        <v/>
      </c>
    </row>
    <row r="94" spans="2:43" ht="13.8" x14ac:dyDescent="0.25">
      <c r="B94" s="311" t="str">
        <f>'E-1 Off-Site Hedge Baseline'!AN92</f>
        <v/>
      </c>
      <c r="C94" s="301" t="str">
        <f>IF(B94="","",IF(ISNA(VLOOKUP($B94,'E-1 Off-Site Hedge Baseline'!$B$1:$L$257,3,FALSE)),"",(VLOOKUP($B94,'E-1 Off-Site Hedge Baseline'!$B$1:$L$257,3,FALSE))))</f>
        <v/>
      </c>
      <c r="D94" s="301" t="str">
        <f>IF(B94="","",IF(ISNA(VLOOKUP($B94,'E-1 Off-Site Hedge Baseline'!$B$1:$L$258,4,FALSE)),"",(VLOOKUP($B94,'E-1 Off-Site Hedge Baseline'!$B$1:$L$258,4,FALSE))))</f>
        <v/>
      </c>
      <c r="E94" s="301" t="str">
        <f>IF(B94="","",IF(ISNA(VLOOKUP($B94,'E-1 Off-Site Hedge Baseline'!$B$1:$L$257,5,FALSE)),"",(VLOOKUP($B94,'E-1 Off-Site Hedge Baseline'!$B$1:$L$257,5,FALSE))))</f>
        <v/>
      </c>
      <c r="F94" s="301" t="str">
        <f>IF(B94="","",IF(ISNA(VLOOKUP($B94,'E-1 Off-Site Hedge Baseline'!$B$1:$L$257,6,FALSE)),"",(VLOOKUP($B94,'E-1 Off-Site Hedge Baseline'!$B$1:$L$257,6,FALSE))))</f>
        <v/>
      </c>
      <c r="G94" s="301" t="str">
        <f>IF(B94="","",IF(ISNA(VLOOKUP($B94,'E-1 Off-Site Hedge Baseline'!$B$1:$L$257,7,FALSE)),"",(VLOOKUP($B94,'E-1 Off-Site Hedge Baseline'!$B$1:$L$257,7,FALSE))))</f>
        <v/>
      </c>
      <c r="H94" s="301" t="str">
        <f>IF(B94="","",IF(ISNA(VLOOKUP($B94,'E-1 Off-Site Hedge Baseline'!$B$1:$L$257,8,FALSE)),"",(VLOOKUP($B94,'E-1 Off-Site Hedge Baseline'!$B$1:$L$257,8,FALSE))))</f>
        <v/>
      </c>
      <c r="I94" s="301" t="str">
        <f>IF(B94="","",IF(ISNA(VLOOKUP($B94,'E-1 Off-Site Hedge Baseline'!$B$1:$L$257,10,FALSE)),"",(VLOOKUP($B94,'E-1 Off-Site Hedge Baseline'!$B$1:$L$257,10,FALSE))))</f>
        <v/>
      </c>
      <c r="J94" s="301" t="str">
        <f>IF(B94="","",IF(ISNA(VLOOKUP($B94,'E-1 Off-Site Hedge Baseline'!$B$1:$L$257,11,FALSE)),"",(VLOOKUP($B94,'E-1 Off-Site Hedge Baseline'!$B$1:$L$257,11,FALSE))))</f>
        <v/>
      </c>
      <c r="K94" s="301" t="str">
        <f>IF(B94="","",IF(ISNA(VLOOKUP($B94,'E-1 Off-Site Hedge Baseline'!$B$1:$X$257,16,FALSE)),"",(VLOOKUP($B94,'E-1 Off-Site Hedge Baseline'!$B$1:$X$257,16,FALSE))))</f>
        <v/>
      </c>
      <c r="L94" s="289" t="str">
        <f>IF(B94="","",IF(ISNA(VLOOKUP($B94,'E-1 Off-Site Hedge Baseline'!$B$1:$X$257,12,FALSE)),"",(VLOOKUP($B94,'E-1 Off-Site Hedge Baseline'!$B$1:$X$257,12,FALSE))))</f>
        <v/>
      </c>
      <c r="M94" s="250"/>
      <c r="N94" s="281" t="str">
        <f>IFERROR(IF(B94="","",INDEX('G-6 Hedgerow Data'!$AN$3:$AZ$15,MATCH(C94,'G-6 Hedgerow Data'!$AM$3:$AM$15,0),MATCH(M94,'G-6 Hedgerow Data'!$AN$2:$AZ$2,0))),"")</f>
        <v/>
      </c>
      <c r="O94" s="282" t="str">
        <f t="shared" si="9"/>
        <v/>
      </c>
      <c r="P94" s="287" t="str">
        <f>IF(B94="","",VLOOKUP(B94,'E-1 Off-Site Hedge Baseline'!$B$10:W339,19,FALSE))</f>
        <v/>
      </c>
      <c r="Q94" s="281" t="str">
        <f>IF(M94="","",VLOOKUP(M94,'G-6 Hedgerow Data'!$B$2:$AG$15,2,FALSE))</f>
        <v/>
      </c>
      <c r="R94" s="282" t="str">
        <f>IF(M94="","",VLOOKUP(M94,'G-6 Hedgerow Data'!$B$2:$AG$15,3,FALSE))</f>
        <v/>
      </c>
      <c r="S94" s="105"/>
      <c r="T94" s="282" t="str">
        <f>IFERROR(IF(S94="","",IF(AND(M94="Non-native and ornamental hedgerow", S94&lt;&gt;"Poor"),"Not possible ▲", (IF(AND(Q94="V.Low",OR(S94="Good",S94="Moderate")),"Error ▲",VLOOKUP(S94,'G-1 All Habitats'!$Z$2:$AA$9,2,FALSE))))),"")</f>
        <v/>
      </c>
      <c r="U94" s="105"/>
      <c r="V94" s="289" t="str">
        <f>IF(U94="","",IF(VLOOKUP(U94,'G-3 Multipliers'!$L$3:$N$6,2,FALSE)=0,"Spatial Data Missing ⚠",VLOOKUP(U94,'G-3 Multipliers'!$L$3:$N$6,2,FALSE)))</f>
        <v/>
      </c>
      <c r="W94" s="287" t="str">
        <f>IF(U94="","",IF(VLOOKUP(U94,'G-3 Multipliers'!$L$3:$N$6,3,FALSE)=0,"Spatial Data Missing ⚠",VLOOKUP(U94,'G-3 Multipliers'!$L$3:$N$6,3,FALSE)))</f>
        <v/>
      </c>
      <c r="X94" s="281" t="str">
        <f>IFERROR(IF(OR(LEFT(O94,5)="Error",LEFT(N94,5)="Error",T94="Error"),"Check Data ⚠",IF(F94&lt;R94,INDEX('G-6 Hedgerow Data'!$S$3:$AE$14,MATCH(C94,'G-6 Hedgerow Data'!$B$3:$B$14,0),MATCH(M94,'G-6 Hedgerow Data'!$S$2:$AE$2,0)),INDEX('G-6 Hedgerow Data'!$K$3:$Q$14,MATCH(M94,'G-6 Hedgerow Data'!$B$3:$B$14,0),MATCH(O94,'G-6 Hedgerow Data'!$K$2:$Q$2,0)))),"")</f>
        <v/>
      </c>
      <c r="Y94" s="137"/>
      <c r="Z94" s="137"/>
      <c r="AA94" s="289" t="str">
        <f t="shared" si="10"/>
        <v/>
      </c>
      <c r="AB94" s="302" t="str">
        <f t="shared" si="11"/>
        <v/>
      </c>
      <c r="AC94" s="303" t="str">
        <f t="shared" si="8"/>
        <v/>
      </c>
      <c r="AD94" s="317" t="str">
        <f>IF(M94="","",VLOOKUP(M94,'G-6 Hedgerow Data'!$B$3:$AG$15,31,FALSE))</f>
        <v/>
      </c>
      <c r="AE94" s="301" t="str">
        <f t="shared" si="12"/>
        <v/>
      </c>
      <c r="AF94" s="289" t="str">
        <f t="shared" si="13"/>
        <v/>
      </c>
      <c r="AG94" s="305" t="str">
        <f>IFERROR(IF(O94="","",VLOOKUP(AD94,'G-3 Multipliers'!$P$3:$Q$6,2,FALSE)),"")</f>
        <v/>
      </c>
      <c r="AH94" s="729" t="str">
        <f>IF(B94="","",IF(ISNA(VLOOKUP($B94,'E-1 Off-Site Hedge Baseline'!$B$1:$Z$257,14,FALSE)),"",(VLOOKUP($B94,'E-1 Off-Site Hedge Baseline'!$B$1:$Z$257,14,FALSE))))</f>
        <v/>
      </c>
      <c r="AI94" s="282" t="str">
        <f>IF(AH94="","",IF(VLOOKUP(AH94,'G-3 Multipliers'!$S$3:$T$10,2,FALSE)=0,"Spatial Data Missing ⚠",VLOOKUP(AH94,'G-3 Multipliers'!$S$3:$T$10,2,FALSE)))</f>
        <v/>
      </c>
      <c r="AJ94" s="323" t="str">
        <f t="shared" si="14"/>
        <v/>
      </c>
      <c r="AK94" s="295" t="str">
        <f t="shared" si="15"/>
        <v/>
      </c>
      <c r="AL94" s="105"/>
      <c r="AM94" s="119"/>
      <c r="AN94" s="108"/>
      <c r="AO94" s="108"/>
      <c r="AQ94" s="30" t="str">
        <f>IFERROR(INDEX('G-6 Hedgerow Data'!$BJ$3:$BJ$15,MATCH(M94,'G-6 Hedgerow Data'!$B$3:$B$15,0)),"")</f>
        <v/>
      </c>
    </row>
    <row r="95" spans="2:43" ht="13.8" x14ac:dyDescent="0.25">
      <c r="B95" s="311" t="str">
        <f>'E-1 Off-Site Hedge Baseline'!AN93</f>
        <v/>
      </c>
      <c r="C95" s="301" t="str">
        <f>IF(B95="","",IF(ISNA(VLOOKUP($B95,'E-1 Off-Site Hedge Baseline'!$B$1:$L$257,3,FALSE)),"",(VLOOKUP($B95,'E-1 Off-Site Hedge Baseline'!$B$1:$L$257,3,FALSE))))</f>
        <v/>
      </c>
      <c r="D95" s="301" t="str">
        <f>IF(B95="","",IF(ISNA(VLOOKUP($B95,'E-1 Off-Site Hedge Baseline'!$B$1:$L$258,4,FALSE)),"",(VLOOKUP($B95,'E-1 Off-Site Hedge Baseline'!$B$1:$L$258,4,FALSE))))</f>
        <v/>
      </c>
      <c r="E95" s="301" t="str">
        <f>IF(B95="","",IF(ISNA(VLOOKUP($B95,'E-1 Off-Site Hedge Baseline'!$B$1:$L$257,5,FALSE)),"",(VLOOKUP($B95,'E-1 Off-Site Hedge Baseline'!$B$1:$L$257,5,FALSE))))</f>
        <v/>
      </c>
      <c r="F95" s="301" t="str">
        <f>IF(B95="","",IF(ISNA(VLOOKUP($B95,'E-1 Off-Site Hedge Baseline'!$B$1:$L$257,6,FALSE)),"",(VLOOKUP($B95,'E-1 Off-Site Hedge Baseline'!$B$1:$L$257,6,FALSE))))</f>
        <v/>
      </c>
      <c r="G95" s="301" t="str">
        <f>IF(B95="","",IF(ISNA(VLOOKUP($B95,'E-1 Off-Site Hedge Baseline'!$B$1:$L$257,7,FALSE)),"",(VLOOKUP($B95,'E-1 Off-Site Hedge Baseline'!$B$1:$L$257,7,FALSE))))</f>
        <v/>
      </c>
      <c r="H95" s="301" t="str">
        <f>IF(B95="","",IF(ISNA(VLOOKUP($B95,'E-1 Off-Site Hedge Baseline'!$B$1:$L$257,8,FALSE)),"",(VLOOKUP($B95,'E-1 Off-Site Hedge Baseline'!$B$1:$L$257,8,FALSE))))</f>
        <v/>
      </c>
      <c r="I95" s="301" t="str">
        <f>IF(B95="","",IF(ISNA(VLOOKUP($B95,'E-1 Off-Site Hedge Baseline'!$B$1:$L$257,10,FALSE)),"",(VLOOKUP($B95,'E-1 Off-Site Hedge Baseline'!$B$1:$L$257,10,FALSE))))</f>
        <v/>
      </c>
      <c r="J95" s="301" t="str">
        <f>IF(B95="","",IF(ISNA(VLOOKUP($B95,'E-1 Off-Site Hedge Baseline'!$B$1:$L$257,11,FALSE)),"",(VLOOKUP($B95,'E-1 Off-Site Hedge Baseline'!$B$1:$L$257,11,FALSE))))</f>
        <v/>
      </c>
      <c r="K95" s="301" t="str">
        <f>IF(B95="","",IF(ISNA(VLOOKUP($B95,'E-1 Off-Site Hedge Baseline'!$B$1:$X$257,16,FALSE)),"",(VLOOKUP($B95,'E-1 Off-Site Hedge Baseline'!$B$1:$X$257,16,FALSE))))</f>
        <v/>
      </c>
      <c r="L95" s="289" t="str">
        <f>IF(B95="","",IF(ISNA(VLOOKUP($B95,'E-1 Off-Site Hedge Baseline'!$B$1:$X$257,12,FALSE)),"",(VLOOKUP($B95,'E-1 Off-Site Hedge Baseline'!$B$1:$X$257,12,FALSE))))</f>
        <v/>
      </c>
      <c r="M95" s="250"/>
      <c r="N95" s="281" t="str">
        <f>IFERROR(IF(B95="","",INDEX('G-6 Hedgerow Data'!$AN$3:$AZ$15,MATCH(C95,'G-6 Hedgerow Data'!$AM$3:$AM$15,0),MATCH(M95,'G-6 Hedgerow Data'!$AN$2:$AZ$2,0))),"")</f>
        <v/>
      </c>
      <c r="O95" s="282" t="str">
        <f t="shared" si="9"/>
        <v/>
      </c>
      <c r="P95" s="287" t="str">
        <f>IF(B95="","",VLOOKUP(B95,'E-1 Off-Site Hedge Baseline'!$B$10:W340,19,FALSE))</f>
        <v/>
      </c>
      <c r="Q95" s="281" t="str">
        <f>IF(M95="","",VLOOKUP(M95,'G-6 Hedgerow Data'!$B$2:$AG$15,2,FALSE))</f>
        <v/>
      </c>
      <c r="R95" s="282" t="str">
        <f>IF(M95="","",VLOOKUP(M95,'G-6 Hedgerow Data'!$B$2:$AG$15,3,FALSE))</f>
        <v/>
      </c>
      <c r="S95" s="105"/>
      <c r="T95" s="282" t="str">
        <f>IFERROR(IF(S95="","",IF(AND(M95="Non-native and ornamental hedgerow", S95&lt;&gt;"Poor"),"Not possible ▲", (IF(AND(Q95="V.Low",OR(S95="Good",S95="Moderate")),"Error ▲",VLOOKUP(S95,'G-1 All Habitats'!$Z$2:$AA$9,2,FALSE))))),"")</f>
        <v/>
      </c>
      <c r="U95" s="105"/>
      <c r="V95" s="289" t="str">
        <f>IF(U95="","",IF(VLOOKUP(U95,'G-3 Multipliers'!$L$3:$N$6,2,FALSE)=0,"Spatial Data Missing ⚠",VLOOKUP(U95,'G-3 Multipliers'!$L$3:$N$6,2,FALSE)))</f>
        <v/>
      </c>
      <c r="W95" s="287" t="str">
        <f>IF(U95="","",IF(VLOOKUP(U95,'G-3 Multipliers'!$L$3:$N$6,3,FALSE)=0,"Spatial Data Missing ⚠",VLOOKUP(U95,'G-3 Multipliers'!$L$3:$N$6,3,FALSE)))</f>
        <v/>
      </c>
      <c r="X95" s="281" t="str">
        <f>IFERROR(IF(OR(LEFT(O95,5)="Error",LEFT(N95,5)="Error",T95="Error"),"Check Data ⚠",IF(F95&lt;R95,INDEX('G-6 Hedgerow Data'!$S$3:$AE$14,MATCH(C95,'G-6 Hedgerow Data'!$B$3:$B$14,0),MATCH(M95,'G-6 Hedgerow Data'!$S$2:$AE$2,0)),INDEX('G-6 Hedgerow Data'!$K$3:$Q$14,MATCH(M95,'G-6 Hedgerow Data'!$B$3:$B$14,0),MATCH(O95,'G-6 Hedgerow Data'!$K$2:$Q$2,0)))),"")</f>
        <v/>
      </c>
      <c r="Y95" s="137"/>
      <c r="Z95" s="137"/>
      <c r="AA95" s="289" t="str">
        <f t="shared" si="10"/>
        <v/>
      </c>
      <c r="AB95" s="302" t="str">
        <f t="shared" si="11"/>
        <v/>
      </c>
      <c r="AC95" s="303" t="str">
        <f t="shared" si="8"/>
        <v/>
      </c>
      <c r="AD95" s="317" t="str">
        <f>IF(M95="","",VLOOKUP(M95,'G-6 Hedgerow Data'!$B$3:$AG$15,31,FALSE))</f>
        <v/>
      </c>
      <c r="AE95" s="301" t="str">
        <f t="shared" si="12"/>
        <v/>
      </c>
      <c r="AF95" s="289" t="str">
        <f t="shared" si="13"/>
        <v/>
      </c>
      <c r="AG95" s="305" t="str">
        <f>IFERROR(IF(O95="","",VLOOKUP(AD95,'G-3 Multipliers'!$P$3:$Q$6,2,FALSE)),"")</f>
        <v/>
      </c>
      <c r="AH95" s="729" t="str">
        <f>IF(B95="","",IF(ISNA(VLOOKUP($B95,'E-1 Off-Site Hedge Baseline'!$B$1:$Z$257,14,FALSE)),"",(VLOOKUP($B95,'E-1 Off-Site Hedge Baseline'!$B$1:$Z$257,14,FALSE))))</f>
        <v/>
      </c>
      <c r="AI95" s="282" t="str">
        <f>IF(AH95="","",IF(VLOOKUP(AH95,'G-3 Multipliers'!$S$3:$T$10,2,FALSE)=0,"Spatial Data Missing ⚠",VLOOKUP(AH95,'G-3 Multipliers'!$S$3:$T$10,2,FALSE)))</f>
        <v/>
      </c>
      <c r="AJ95" s="323" t="str">
        <f t="shared" si="14"/>
        <v/>
      </c>
      <c r="AK95" s="295" t="str">
        <f t="shared" si="15"/>
        <v/>
      </c>
      <c r="AL95" s="105"/>
      <c r="AM95" s="119"/>
      <c r="AN95" s="108"/>
      <c r="AO95" s="108"/>
      <c r="AQ95" s="30" t="str">
        <f>IFERROR(INDEX('G-6 Hedgerow Data'!$BJ$3:$BJ$15,MATCH(M95,'G-6 Hedgerow Data'!$B$3:$B$15,0)),"")</f>
        <v/>
      </c>
    </row>
    <row r="96" spans="2:43" ht="13.8" x14ac:dyDescent="0.25">
      <c r="B96" s="311" t="str">
        <f>'E-1 Off-Site Hedge Baseline'!AN94</f>
        <v/>
      </c>
      <c r="C96" s="301" t="str">
        <f>IF(B96="","",IF(ISNA(VLOOKUP($B96,'E-1 Off-Site Hedge Baseline'!$B$1:$L$257,3,FALSE)),"",(VLOOKUP($B96,'E-1 Off-Site Hedge Baseline'!$B$1:$L$257,3,FALSE))))</f>
        <v/>
      </c>
      <c r="D96" s="301" t="str">
        <f>IF(B96="","",IF(ISNA(VLOOKUP($B96,'E-1 Off-Site Hedge Baseline'!$B$1:$L$258,4,FALSE)),"",(VLOOKUP($B96,'E-1 Off-Site Hedge Baseline'!$B$1:$L$258,4,FALSE))))</f>
        <v/>
      </c>
      <c r="E96" s="301" t="str">
        <f>IF(B96="","",IF(ISNA(VLOOKUP($B96,'E-1 Off-Site Hedge Baseline'!$B$1:$L$257,5,FALSE)),"",(VLOOKUP($B96,'E-1 Off-Site Hedge Baseline'!$B$1:$L$257,5,FALSE))))</f>
        <v/>
      </c>
      <c r="F96" s="301" t="str">
        <f>IF(B96="","",IF(ISNA(VLOOKUP($B96,'E-1 Off-Site Hedge Baseline'!$B$1:$L$257,6,FALSE)),"",(VLOOKUP($B96,'E-1 Off-Site Hedge Baseline'!$B$1:$L$257,6,FALSE))))</f>
        <v/>
      </c>
      <c r="G96" s="301" t="str">
        <f>IF(B96="","",IF(ISNA(VLOOKUP($B96,'E-1 Off-Site Hedge Baseline'!$B$1:$L$257,7,FALSE)),"",(VLOOKUP($B96,'E-1 Off-Site Hedge Baseline'!$B$1:$L$257,7,FALSE))))</f>
        <v/>
      </c>
      <c r="H96" s="301" t="str">
        <f>IF(B96="","",IF(ISNA(VLOOKUP($B96,'E-1 Off-Site Hedge Baseline'!$B$1:$L$257,8,FALSE)),"",(VLOOKUP($B96,'E-1 Off-Site Hedge Baseline'!$B$1:$L$257,8,FALSE))))</f>
        <v/>
      </c>
      <c r="I96" s="301" t="str">
        <f>IF(B96="","",IF(ISNA(VLOOKUP($B96,'E-1 Off-Site Hedge Baseline'!$B$1:$L$257,10,FALSE)),"",(VLOOKUP($B96,'E-1 Off-Site Hedge Baseline'!$B$1:$L$257,10,FALSE))))</f>
        <v/>
      </c>
      <c r="J96" s="301" t="str">
        <f>IF(B96="","",IF(ISNA(VLOOKUP($B96,'E-1 Off-Site Hedge Baseline'!$B$1:$L$257,11,FALSE)),"",(VLOOKUP($B96,'E-1 Off-Site Hedge Baseline'!$B$1:$L$257,11,FALSE))))</f>
        <v/>
      </c>
      <c r="K96" s="301" t="str">
        <f>IF(B96="","",IF(ISNA(VLOOKUP($B96,'E-1 Off-Site Hedge Baseline'!$B$1:$X$257,16,FALSE)),"",(VLOOKUP($B96,'E-1 Off-Site Hedge Baseline'!$B$1:$X$257,16,FALSE))))</f>
        <v/>
      </c>
      <c r="L96" s="289" t="str">
        <f>IF(B96="","",IF(ISNA(VLOOKUP($B96,'E-1 Off-Site Hedge Baseline'!$B$1:$X$257,12,FALSE)),"",(VLOOKUP($B96,'E-1 Off-Site Hedge Baseline'!$B$1:$X$257,12,FALSE))))</f>
        <v/>
      </c>
      <c r="M96" s="250"/>
      <c r="N96" s="281" t="str">
        <f>IFERROR(IF(B96="","",INDEX('G-6 Hedgerow Data'!$AN$3:$AZ$15,MATCH(C96,'G-6 Hedgerow Data'!$AM$3:$AM$15,0),MATCH(M96,'G-6 Hedgerow Data'!$AN$2:$AZ$2,0))),"")</f>
        <v/>
      </c>
      <c r="O96" s="282" t="str">
        <f t="shared" si="9"/>
        <v/>
      </c>
      <c r="P96" s="287" t="str">
        <f>IF(B96="","",VLOOKUP(B96,'E-1 Off-Site Hedge Baseline'!$B$10:W341,19,FALSE))</f>
        <v/>
      </c>
      <c r="Q96" s="281" t="str">
        <f>IF(M96="","",VLOOKUP(M96,'G-6 Hedgerow Data'!$B$2:$AG$15,2,FALSE))</f>
        <v/>
      </c>
      <c r="R96" s="282" t="str">
        <f>IF(M96="","",VLOOKUP(M96,'G-6 Hedgerow Data'!$B$2:$AG$15,3,FALSE))</f>
        <v/>
      </c>
      <c r="S96" s="105"/>
      <c r="T96" s="282" t="str">
        <f>IFERROR(IF(S96="","",IF(AND(M96="Non-native and ornamental hedgerow", S96&lt;&gt;"Poor"),"Not possible ▲", (IF(AND(Q96="V.Low",OR(S96="Good",S96="Moderate")),"Error ▲",VLOOKUP(S96,'G-1 All Habitats'!$Z$2:$AA$9,2,FALSE))))),"")</f>
        <v/>
      </c>
      <c r="U96" s="105"/>
      <c r="V96" s="289" t="str">
        <f>IF(U96="","",IF(VLOOKUP(U96,'G-3 Multipliers'!$L$3:$N$6,2,FALSE)=0,"Spatial Data Missing ⚠",VLOOKUP(U96,'G-3 Multipliers'!$L$3:$N$6,2,FALSE)))</f>
        <v/>
      </c>
      <c r="W96" s="287" t="str">
        <f>IF(U96="","",IF(VLOOKUP(U96,'G-3 Multipliers'!$L$3:$N$6,3,FALSE)=0,"Spatial Data Missing ⚠",VLOOKUP(U96,'G-3 Multipliers'!$L$3:$N$6,3,FALSE)))</f>
        <v/>
      </c>
      <c r="X96" s="281" t="str">
        <f>IFERROR(IF(OR(LEFT(O96,5)="Error",LEFT(N96,5)="Error",T96="Error"),"Check Data ⚠",IF(F96&lt;R96,INDEX('G-6 Hedgerow Data'!$S$3:$AE$14,MATCH(C96,'G-6 Hedgerow Data'!$B$3:$B$14,0),MATCH(M96,'G-6 Hedgerow Data'!$S$2:$AE$2,0)),INDEX('G-6 Hedgerow Data'!$K$3:$Q$14,MATCH(M96,'G-6 Hedgerow Data'!$B$3:$B$14,0),MATCH(O96,'G-6 Hedgerow Data'!$K$2:$Q$2,0)))),"")</f>
        <v/>
      </c>
      <c r="Y96" s="137"/>
      <c r="Z96" s="137"/>
      <c r="AA96" s="289" t="str">
        <f t="shared" si="10"/>
        <v/>
      </c>
      <c r="AB96" s="302" t="str">
        <f t="shared" si="11"/>
        <v/>
      </c>
      <c r="AC96" s="303" t="str">
        <f t="shared" si="8"/>
        <v/>
      </c>
      <c r="AD96" s="317" t="str">
        <f>IF(M96="","",VLOOKUP(M96,'G-6 Hedgerow Data'!$B$3:$AG$15,31,FALSE))</f>
        <v/>
      </c>
      <c r="AE96" s="301" t="str">
        <f t="shared" si="12"/>
        <v/>
      </c>
      <c r="AF96" s="289" t="str">
        <f t="shared" si="13"/>
        <v/>
      </c>
      <c r="AG96" s="305" t="str">
        <f>IFERROR(IF(O96="","",VLOOKUP(AD96,'G-3 Multipliers'!$P$3:$Q$6,2,FALSE)),"")</f>
        <v/>
      </c>
      <c r="AH96" s="729" t="str">
        <f>IF(B96="","",IF(ISNA(VLOOKUP($B96,'E-1 Off-Site Hedge Baseline'!$B$1:$Z$257,14,FALSE)),"",(VLOOKUP($B96,'E-1 Off-Site Hedge Baseline'!$B$1:$Z$257,14,FALSE))))</f>
        <v/>
      </c>
      <c r="AI96" s="282" t="str">
        <f>IF(AH96="","",IF(VLOOKUP(AH96,'G-3 Multipliers'!$S$3:$T$10,2,FALSE)=0,"Spatial Data Missing ⚠",VLOOKUP(AH96,'G-3 Multipliers'!$S$3:$T$10,2,FALSE)))</f>
        <v/>
      </c>
      <c r="AJ96" s="323" t="str">
        <f t="shared" si="14"/>
        <v/>
      </c>
      <c r="AK96" s="295" t="str">
        <f t="shared" si="15"/>
        <v/>
      </c>
      <c r="AL96" s="105"/>
      <c r="AM96" s="119"/>
      <c r="AN96" s="108"/>
      <c r="AO96" s="108"/>
      <c r="AQ96" s="30" t="str">
        <f>IFERROR(INDEX('G-6 Hedgerow Data'!$BJ$3:$BJ$15,MATCH(M96,'G-6 Hedgerow Data'!$B$3:$B$15,0)),"")</f>
        <v/>
      </c>
    </row>
    <row r="97" spans="2:43" ht="13.8" x14ac:dyDescent="0.25">
      <c r="B97" s="311" t="str">
        <f>'E-1 Off-Site Hedge Baseline'!AN95</f>
        <v/>
      </c>
      <c r="C97" s="301" t="str">
        <f>IF(B97="","",IF(ISNA(VLOOKUP($B97,'E-1 Off-Site Hedge Baseline'!$B$1:$L$257,3,FALSE)),"",(VLOOKUP($B97,'E-1 Off-Site Hedge Baseline'!$B$1:$L$257,3,FALSE))))</f>
        <v/>
      </c>
      <c r="D97" s="301" t="str">
        <f>IF(B97="","",IF(ISNA(VLOOKUP($B97,'E-1 Off-Site Hedge Baseline'!$B$1:$L$258,4,FALSE)),"",(VLOOKUP($B97,'E-1 Off-Site Hedge Baseline'!$B$1:$L$258,4,FALSE))))</f>
        <v/>
      </c>
      <c r="E97" s="301" t="str">
        <f>IF(B97="","",IF(ISNA(VLOOKUP($B97,'E-1 Off-Site Hedge Baseline'!$B$1:$L$257,5,FALSE)),"",(VLOOKUP($B97,'E-1 Off-Site Hedge Baseline'!$B$1:$L$257,5,FALSE))))</f>
        <v/>
      </c>
      <c r="F97" s="301" t="str">
        <f>IF(B97="","",IF(ISNA(VLOOKUP($B97,'E-1 Off-Site Hedge Baseline'!$B$1:$L$257,6,FALSE)),"",(VLOOKUP($B97,'E-1 Off-Site Hedge Baseline'!$B$1:$L$257,6,FALSE))))</f>
        <v/>
      </c>
      <c r="G97" s="301" t="str">
        <f>IF(B97="","",IF(ISNA(VLOOKUP($B97,'E-1 Off-Site Hedge Baseline'!$B$1:$L$257,7,FALSE)),"",(VLOOKUP($B97,'E-1 Off-Site Hedge Baseline'!$B$1:$L$257,7,FALSE))))</f>
        <v/>
      </c>
      <c r="H97" s="301" t="str">
        <f>IF(B97="","",IF(ISNA(VLOOKUP($B97,'E-1 Off-Site Hedge Baseline'!$B$1:$L$257,8,FALSE)),"",(VLOOKUP($B97,'E-1 Off-Site Hedge Baseline'!$B$1:$L$257,8,FALSE))))</f>
        <v/>
      </c>
      <c r="I97" s="301" t="str">
        <f>IF(B97="","",IF(ISNA(VLOOKUP($B97,'E-1 Off-Site Hedge Baseline'!$B$1:$L$257,10,FALSE)),"",(VLOOKUP($B97,'E-1 Off-Site Hedge Baseline'!$B$1:$L$257,10,FALSE))))</f>
        <v/>
      </c>
      <c r="J97" s="301" t="str">
        <f>IF(B97="","",IF(ISNA(VLOOKUP($B97,'E-1 Off-Site Hedge Baseline'!$B$1:$L$257,11,FALSE)),"",(VLOOKUP($B97,'E-1 Off-Site Hedge Baseline'!$B$1:$L$257,11,FALSE))))</f>
        <v/>
      </c>
      <c r="K97" s="301" t="str">
        <f>IF(B97="","",IF(ISNA(VLOOKUP($B97,'E-1 Off-Site Hedge Baseline'!$B$1:$X$257,16,FALSE)),"",(VLOOKUP($B97,'E-1 Off-Site Hedge Baseline'!$B$1:$X$257,16,FALSE))))</f>
        <v/>
      </c>
      <c r="L97" s="289" t="str">
        <f>IF(B97="","",IF(ISNA(VLOOKUP($B97,'E-1 Off-Site Hedge Baseline'!$B$1:$X$257,12,FALSE)),"",(VLOOKUP($B97,'E-1 Off-Site Hedge Baseline'!$B$1:$X$257,12,FALSE))))</f>
        <v/>
      </c>
      <c r="M97" s="250"/>
      <c r="N97" s="281" t="str">
        <f>IFERROR(IF(B97="","",INDEX('G-6 Hedgerow Data'!$AN$3:$AZ$15,MATCH(C97,'G-6 Hedgerow Data'!$AM$3:$AM$15,0),MATCH(M97,'G-6 Hedgerow Data'!$AN$2:$AZ$2,0))),"")</f>
        <v/>
      </c>
      <c r="O97" s="282" t="str">
        <f t="shared" si="9"/>
        <v/>
      </c>
      <c r="P97" s="287" t="str">
        <f>IF(B97="","",VLOOKUP(B97,'E-1 Off-Site Hedge Baseline'!$B$10:W342,19,FALSE))</f>
        <v/>
      </c>
      <c r="Q97" s="281" t="str">
        <f>IF(M97="","",VLOOKUP(M97,'G-6 Hedgerow Data'!$B$2:$AG$15,2,FALSE))</f>
        <v/>
      </c>
      <c r="R97" s="282" t="str">
        <f>IF(M97="","",VLOOKUP(M97,'G-6 Hedgerow Data'!$B$2:$AG$15,3,FALSE))</f>
        <v/>
      </c>
      <c r="S97" s="105"/>
      <c r="T97" s="282" t="str">
        <f>IFERROR(IF(S97="","",IF(AND(M97="Non-native and ornamental hedgerow", S97&lt;&gt;"Poor"),"Not possible ▲", (IF(AND(Q97="V.Low",OR(S97="Good",S97="Moderate")),"Error ▲",VLOOKUP(S97,'G-1 All Habitats'!$Z$2:$AA$9,2,FALSE))))),"")</f>
        <v/>
      </c>
      <c r="U97" s="105"/>
      <c r="V97" s="289" t="str">
        <f>IF(U97="","",IF(VLOOKUP(U97,'G-3 Multipliers'!$L$3:$N$6,2,FALSE)=0,"Spatial Data Missing ⚠",VLOOKUP(U97,'G-3 Multipliers'!$L$3:$N$6,2,FALSE)))</f>
        <v/>
      </c>
      <c r="W97" s="287" t="str">
        <f>IF(U97="","",IF(VLOOKUP(U97,'G-3 Multipliers'!$L$3:$N$6,3,FALSE)=0,"Spatial Data Missing ⚠",VLOOKUP(U97,'G-3 Multipliers'!$L$3:$N$6,3,FALSE)))</f>
        <v/>
      </c>
      <c r="X97" s="281" t="str">
        <f>IFERROR(IF(OR(LEFT(O97,5)="Error",LEFT(N97,5)="Error",T97="Error"),"Check Data ⚠",IF(F97&lt;R97,INDEX('G-6 Hedgerow Data'!$S$3:$AE$14,MATCH(C97,'G-6 Hedgerow Data'!$B$3:$B$14,0),MATCH(M97,'G-6 Hedgerow Data'!$S$2:$AE$2,0)),INDEX('G-6 Hedgerow Data'!$K$3:$Q$14,MATCH(M97,'G-6 Hedgerow Data'!$B$3:$B$14,0),MATCH(O97,'G-6 Hedgerow Data'!$K$2:$Q$2,0)))),"")</f>
        <v/>
      </c>
      <c r="Y97" s="137"/>
      <c r="Z97" s="137"/>
      <c r="AA97" s="289" t="str">
        <f t="shared" si="10"/>
        <v/>
      </c>
      <c r="AB97" s="302" t="str">
        <f t="shared" si="11"/>
        <v/>
      </c>
      <c r="AC97" s="303" t="str">
        <f t="shared" si="8"/>
        <v/>
      </c>
      <c r="AD97" s="317" t="str">
        <f>IF(M97="","",VLOOKUP(M97,'G-6 Hedgerow Data'!$B$3:$AG$15,31,FALSE))</f>
        <v/>
      </c>
      <c r="AE97" s="301" t="str">
        <f t="shared" si="12"/>
        <v/>
      </c>
      <c r="AF97" s="289" t="str">
        <f t="shared" si="13"/>
        <v/>
      </c>
      <c r="AG97" s="305" t="str">
        <f>IFERROR(IF(O97="","",VLOOKUP(AD97,'G-3 Multipliers'!$P$3:$Q$6,2,FALSE)),"")</f>
        <v/>
      </c>
      <c r="AH97" s="729" t="str">
        <f>IF(B97="","",IF(ISNA(VLOOKUP($B97,'E-1 Off-Site Hedge Baseline'!$B$1:$Z$257,14,FALSE)),"",(VLOOKUP($B97,'E-1 Off-Site Hedge Baseline'!$B$1:$Z$257,14,FALSE))))</f>
        <v/>
      </c>
      <c r="AI97" s="282" t="str">
        <f>IF(AH97="","",IF(VLOOKUP(AH97,'G-3 Multipliers'!$S$3:$T$10,2,FALSE)=0,"Spatial Data Missing ⚠",VLOOKUP(AH97,'G-3 Multipliers'!$S$3:$T$10,2,FALSE)))</f>
        <v/>
      </c>
      <c r="AJ97" s="323" t="str">
        <f t="shared" si="14"/>
        <v/>
      </c>
      <c r="AK97" s="295" t="str">
        <f t="shared" si="15"/>
        <v/>
      </c>
      <c r="AL97" s="105"/>
      <c r="AM97" s="119"/>
      <c r="AN97" s="108"/>
      <c r="AO97" s="108"/>
      <c r="AQ97" s="30" t="str">
        <f>IFERROR(INDEX('G-6 Hedgerow Data'!$BJ$3:$BJ$15,MATCH(M97,'G-6 Hedgerow Data'!$B$3:$B$15,0)),"")</f>
        <v/>
      </c>
    </row>
    <row r="98" spans="2:43" ht="13.8" x14ac:dyDescent="0.25">
      <c r="B98" s="311" t="str">
        <f>'E-1 Off-Site Hedge Baseline'!AN96</f>
        <v/>
      </c>
      <c r="C98" s="301" t="str">
        <f>IF(B98="","",IF(ISNA(VLOOKUP($B98,'E-1 Off-Site Hedge Baseline'!$B$1:$L$257,3,FALSE)),"",(VLOOKUP($B98,'E-1 Off-Site Hedge Baseline'!$B$1:$L$257,3,FALSE))))</f>
        <v/>
      </c>
      <c r="D98" s="301" t="str">
        <f>IF(B98="","",IF(ISNA(VLOOKUP($B98,'E-1 Off-Site Hedge Baseline'!$B$1:$L$258,4,FALSE)),"",(VLOOKUP($B98,'E-1 Off-Site Hedge Baseline'!$B$1:$L$258,4,FALSE))))</f>
        <v/>
      </c>
      <c r="E98" s="301" t="str">
        <f>IF(B98="","",IF(ISNA(VLOOKUP($B98,'E-1 Off-Site Hedge Baseline'!$B$1:$L$257,5,FALSE)),"",(VLOOKUP($B98,'E-1 Off-Site Hedge Baseline'!$B$1:$L$257,5,FALSE))))</f>
        <v/>
      </c>
      <c r="F98" s="301" t="str">
        <f>IF(B98="","",IF(ISNA(VLOOKUP($B98,'E-1 Off-Site Hedge Baseline'!$B$1:$L$257,6,FALSE)),"",(VLOOKUP($B98,'E-1 Off-Site Hedge Baseline'!$B$1:$L$257,6,FALSE))))</f>
        <v/>
      </c>
      <c r="G98" s="301" t="str">
        <f>IF(B98="","",IF(ISNA(VLOOKUP($B98,'E-1 Off-Site Hedge Baseline'!$B$1:$L$257,7,FALSE)),"",(VLOOKUP($B98,'E-1 Off-Site Hedge Baseline'!$B$1:$L$257,7,FALSE))))</f>
        <v/>
      </c>
      <c r="H98" s="301" t="str">
        <f>IF(B98="","",IF(ISNA(VLOOKUP($B98,'E-1 Off-Site Hedge Baseline'!$B$1:$L$257,8,FALSE)),"",(VLOOKUP($B98,'E-1 Off-Site Hedge Baseline'!$B$1:$L$257,8,FALSE))))</f>
        <v/>
      </c>
      <c r="I98" s="301" t="str">
        <f>IF(B98="","",IF(ISNA(VLOOKUP($B98,'E-1 Off-Site Hedge Baseline'!$B$1:$L$257,10,FALSE)),"",(VLOOKUP($B98,'E-1 Off-Site Hedge Baseline'!$B$1:$L$257,10,FALSE))))</f>
        <v/>
      </c>
      <c r="J98" s="301" t="str">
        <f>IF(B98="","",IF(ISNA(VLOOKUP($B98,'E-1 Off-Site Hedge Baseline'!$B$1:$L$257,11,FALSE)),"",(VLOOKUP($B98,'E-1 Off-Site Hedge Baseline'!$B$1:$L$257,11,FALSE))))</f>
        <v/>
      </c>
      <c r="K98" s="301" t="str">
        <f>IF(B98="","",IF(ISNA(VLOOKUP($B98,'E-1 Off-Site Hedge Baseline'!$B$1:$X$257,16,FALSE)),"",(VLOOKUP($B98,'E-1 Off-Site Hedge Baseline'!$B$1:$X$257,16,FALSE))))</f>
        <v/>
      </c>
      <c r="L98" s="289" t="str">
        <f>IF(B98="","",IF(ISNA(VLOOKUP($B98,'E-1 Off-Site Hedge Baseline'!$B$1:$X$257,12,FALSE)),"",(VLOOKUP($B98,'E-1 Off-Site Hedge Baseline'!$B$1:$X$257,12,FALSE))))</f>
        <v/>
      </c>
      <c r="M98" s="250"/>
      <c r="N98" s="281" t="str">
        <f>IFERROR(IF(B98="","",INDEX('G-6 Hedgerow Data'!$AN$3:$AZ$15,MATCH(C98,'G-6 Hedgerow Data'!$AM$3:$AM$15,0),MATCH(M98,'G-6 Hedgerow Data'!$AN$2:$AZ$2,0))),"")</f>
        <v/>
      </c>
      <c r="O98" s="282" t="str">
        <f t="shared" si="9"/>
        <v/>
      </c>
      <c r="P98" s="287" t="str">
        <f>IF(B98="","",VLOOKUP(B98,'E-1 Off-Site Hedge Baseline'!$B$10:W343,19,FALSE))</f>
        <v/>
      </c>
      <c r="Q98" s="281" t="str">
        <f>IF(M98="","",VLOOKUP(M98,'G-6 Hedgerow Data'!$B$2:$AG$15,2,FALSE))</f>
        <v/>
      </c>
      <c r="R98" s="282" t="str">
        <f>IF(M98="","",VLOOKUP(M98,'G-6 Hedgerow Data'!$B$2:$AG$15,3,FALSE))</f>
        <v/>
      </c>
      <c r="S98" s="105"/>
      <c r="T98" s="282" t="str">
        <f>IFERROR(IF(S98="","",IF(AND(M98="Non-native and ornamental hedgerow", S98&lt;&gt;"Poor"),"Not possible ▲", (IF(AND(Q98="V.Low",OR(S98="Good",S98="Moderate")),"Error ▲",VLOOKUP(S98,'G-1 All Habitats'!$Z$2:$AA$9,2,FALSE))))),"")</f>
        <v/>
      </c>
      <c r="U98" s="105"/>
      <c r="V98" s="289" t="str">
        <f>IF(U98="","",IF(VLOOKUP(U98,'G-3 Multipliers'!$L$3:$N$6,2,FALSE)=0,"Spatial Data Missing ⚠",VLOOKUP(U98,'G-3 Multipliers'!$L$3:$N$6,2,FALSE)))</f>
        <v/>
      </c>
      <c r="W98" s="287" t="str">
        <f>IF(U98="","",IF(VLOOKUP(U98,'G-3 Multipliers'!$L$3:$N$6,3,FALSE)=0,"Spatial Data Missing ⚠",VLOOKUP(U98,'G-3 Multipliers'!$L$3:$N$6,3,FALSE)))</f>
        <v/>
      </c>
      <c r="X98" s="281" t="str">
        <f>IFERROR(IF(OR(LEFT(O98,5)="Error",LEFT(N98,5)="Error",T98="Error"),"Check Data ⚠",IF(F98&lt;R98,INDEX('G-6 Hedgerow Data'!$S$3:$AE$14,MATCH(C98,'G-6 Hedgerow Data'!$B$3:$B$14,0),MATCH(M98,'G-6 Hedgerow Data'!$S$2:$AE$2,0)),INDEX('G-6 Hedgerow Data'!$K$3:$Q$14,MATCH(M98,'G-6 Hedgerow Data'!$B$3:$B$14,0),MATCH(O98,'G-6 Hedgerow Data'!$K$2:$Q$2,0)))),"")</f>
        <v/>
      </c>
      <c r="Y98" s="137"/>
      <c r="Z98" s="137"/>
      <c r="AA98" s="289" t="str">
        <f t="shared" si="10"/>
        <v/>
      </c>
      <c r="AB98" s="302" t="str">
        <f t="shared" si="11"/>
        <v/>
      </c>
      <c r="AC98" s="303" t="str">
        <f t="shared" si="8"/>
        <v/>
      </c>
      <c r="AD98" s="317" t="str">
        <f>IF(M98="","",VLOOKUP(M98,'G-6 Hedgerow Data'!$B$3:$AG$15,31,FALSE))</f>
        <v/>
      </c>
      <c r="AE98" s="301" t="str">
        <f t="shared" si="12"/>
        <v/>
      </c>
      <c r="AF98" s="289" t="str">
        <f t="shared" si="13"/>
        <v/>
      </c>
      <c r="AG98" s="305" t="str">
        <f>IFERROR(IF(O98="","",VLOOKUP(AD98,'G-3 Multipliers'!$P$3:$Q$6,2,FALSE)),"")</f>
        <v/>
      </c>
      <c r="AH98" s="729" t="str">
        <f>IF(B98="","",IF(ISNA(VLOOKUP($B98,'E-1 Off-Site Hedge Baseline'!$B$1:$Z$257,14,FALSE)),"",(VLOOKUP($B98,'E-1 Off-Site Hedge Baseline'!$B$1:$Z$257,14,FALSE))))</f>
        <v/>
      </c>
      <c r="AI98" s="282" t="str">
        <f>IF(AH98="","",IF(VLOOKUP(AH98,'G-3 Multipliers'!$S$3:$T$10,2,FALSE)=0,"Spatial Data Missing ⚠",VLOOKUP(AH98,'G-3 Multipliers'!$S$3:$T$10,2,FALSE)))</f>
        <v/>
      </c>
      <c r="AJ98" s="323" t="str">
        <f t="shared" si="14"/>
        <v/>
      </c>
      <c r="AK98" s="295" t="str">
        <f t="shared" si="15"/>
        <v/>
      </c>
      <c r="AL98" s="105"/>
      <c r="AM98" s="119"/>
      <c r="AN98" s="108"/>
      <c r="AO98" s="108"/>
      <c r="AQ98" s="30" t="str">
        <f>IFERROR(INDEX('G-6 Hedgerow Data'!$BJ$3:$BJ$15,MATCH(M98,'G-6 Hedgerow Data'!$B$3:$B$15,0)),"")</f>
        <v/>
      </c>
    </row>
    <row r="99" spans="2:43" ht="13.8" x14ac:dyDescent="0.25">
      <c r="B99" s="311" t="str">
        <f>'E-1 Off-Site Hedge Baseline'!AN97</f>
        <v/>
      </c>
      <c r="C99" s="301" t="str">
        <f>IF(B99="","",IF(ISNA(VLOOKUP($B99,'E-1 Off-Site Hedge Baseline'!$B$1:$L$257,3,FALSE)),"",(VLOOKUP($B99,'E-1 Off-Site Hedge Baseline'!$B$1:$L$257,3,FALSE))))</f>
        <v/>
      </c>
      <c r="D99" s="301" t="str">
        <f>IF(B99="","",IF(ISNA(VLOOKUP($B99,'E-1 Off-Site Hedge Baseline'!$B$1:$L$258,4,FALSE)),"",(VLOOKUP($B99,'E-1 Off-Site Hedge Baseline'!$B$1:$L$258,4,FALSE))))</f>
        <v/>
      </c>
      <c r="E99" s="301" t="str">
        <f>IF(B99="","",IF(ISNA(VLOOKUP($B99,'E-1 Off-Site Hedge Baseline'!$B$1:$L$257,5,FALSE)),"",(VLOOKUP($B99,'E-1 Off-Site Hedge Baseline'!$B$1:$L$257,5,FALSE))))</f>
        <v/>
      </c>
      <c r="F99" s="301" t="str">
        <f>IF(B99="","",IF(ISNA(VLOOKUP($B99,'E-1 Off-Site Hedge Baseline'!$B$1:$L$257,6,FALSE)),"",(VLOOKUP($B99,'E-1 Off-Site Hedge Baseline'!$B$1:$L$257,6,FALSE))))</f>
        <v/>
      </c>
      <c r="G99" s="301" t="str">
        <f>IF(B99="","",IF(ISNA(VLOOKUP($B99,'E-1 Off-Site Hedge Baseline'!$B$1:$L$257,7,FALSE)),"",(VLOOKUP($B99,'E-1 Off-Site Hedge Baseline'!$B$1:$L$257,7,FALSE))))</f>
        <v/>
      </c>
      <c r="H99" s="301" t="str">
        <f>IF(B99="","",IF(ISNA(VLOOKUP($B99,'E-1 Off-Site Hedge Baseline'!$B$1:$L$257,8,FALSE)),"",(VLOOKUP($B99,'E-1 Off-Site Hedge Baseline'!$B$1:$L$257,8,FALSE))))</f>
        <v/>
      </c>
      <c r="I99" s="301" t="str">
        <f>IF(B99="","",IF(ISNA(VLOOKUP($B99,'E-1 Off-Site Hedge Baseline'!$B$1:$L$257,10,FALSE)),"",(VLOOKUP($B99,'E-1 Off-Site Hedge Baseline'!$B$1:$L$257,10,FALSE))))</f>
        <v/>
      </c>
      <c r="J99" s="301" t="str">
        <f>IF(B99="","",IF(ISNA(VLOOKUP($B99,'E-1 Off-Site Hedge Baseline'!$B$1:$L$257,11,FALSE)),"",(VLOOKUP($B99,'E-1 Off-Site Hedge Baseline'!$B$1:$L$257,11,FALSE))))</f>
        <v/>
      </c>
      <c r="K99" s="301" t="str">
        <f>IF(B99="","",IF(ISNA(VLOOKUP($B99,'E-1 Off-Site Hedge Baseline'!$B$1:$X$257,16,FALSE)),"",(VLOOKUP($B99,'E-1 Off-Site Hedge Baseline'!$B$1:$X$257,16,FALSE))))</f>
        <v/>
      </c>
      <c r="L99" s="289" t="str">
        <f>IF(B99="","",IF(ISNA(VLOOKUP($B99,'E-1 Off-Site Hedge Baseline'!$B$1:$X$257,12,FALSE)),"",(VLOOKUP($B99,'E-1 Off-Site Hedge Baseline'!$B$1:$X$257,12,FALSE))))</f>
        <v/>
      </c>
      <c r="M99" s="250"/>
      <c r="N99" s="281" t="str">
        <f>IFERROR(IF(B99="","",INDEX('G-6 Hedgerow Data'!$AN$3:$AZ$15,MATCH(C99,'G-6 Hedgerow Data'!$AM$3:$AM$15,0),MATCH(M99,'G-6 Hedgerow Data'!$AN$2:$AZ$2,0))),"")</f>
        <v/>
      </c>
      <c r="O99" s="282" t="str">
        <f t="shared" si="9"/>
        <v/>
      </c>
      <c r="P99" s="287" t="str">
        <f>IF(B99="","",VLOOKUP(B99,'E-1 Off-Site Hedge Baseline'!$B$10:W344,19,FALSE))</f>
        <v/>
      </c>
      <c r="Q99" s="281" t="str">
        <f>IF(M99="","",VLOOKUP(M99,'G-6 Hedgerow Data'!$B$2:$AG$15,2,FALSE))</f>
        <v/>
      </c>
      <c r="R99" s="282" t="str">
        <f>IF(M99="","",VLOOKUP(M99,'G-6 Hedgerow Data'!$B$2:$AG$15,3,FALSE))</f>
        <v/>
      </c>
      <c r="S99" s="105"/>
      <c r="T99" s="282" t="str">
        <f>IFERROR(IF(S99="","",IF(AND(M99="Non-native and ornamental hedgerow", S99&lt;&gt;"Poor"),"Not possible ▲", (IF(AND(Q99="V.Low",OR(S99="Good",S99="Moderate")),"Error ▲",VLOOKUP(S99,'G-1 All Habitats'!$Z$2:$AA$9,2,FALSE))))),"")</f>
        <v/>
      </c>
      <c r="U99" s="105"/>
      <c r="V99" s="289" t="str">
        <f>IF(U99="","",IF(VLOOKUP(U99,'G-3 Multipliers'!$L$3:$N$6,2,FALSE)=0,"Spatial Data Missing ⚠",VLOOKUP(U99,'G-3 Multipliers'!$L$3:$N$6,2,FALSE)))</f>
        <v/>
      </c>
      <c r="W99" s="287" t="str">
        <f>IF(U99="","",IF(VLOOKUP(U99,'G-3 Multipliers'!$L$3:$N$6,3,FALSE)=0,"Spatial Data Missing ⚠",VLOOKUP(U99,'G-3 Multipliers'!$L$3:$N$6,3,FALSE)))</f>
        <v/>
      </c>
      <c r="X99" s="281" t="str">
        <f>IFERROR(IF(OR(LEFT(O99,5)="Error",LEFT(N99,5)="Error",T99="Error"),"Check Data ⚠",IF(F99&lt;R99,INDEX('G-6 Hedgerow Data'!$S$3:$AE$14,MATCH(C99,'G-6 Hedgerow Data'!$B$3:$B$14,0),MATCH(M99,'G-6 Hedgerow Data'!$S$2:$AE$2,0)),INDEX('G-6 Hedgerow Data'!$K$3:$Q$14,MATCH(M99,'G-6 Hedgerow Data'!$B$3:$B$14,0),MATCH(O99,'G-6 Hedgerow Data'!$K$2:$Q$2,0)))),"")</f>
        <v/>
      </c>
      <c r="Y99" s="137"/>
      <c r="Z99" s="137"/>
      <c r="AA99" s="289" t="str">
        <f t="shared" si="10"/>
        <v/>
      </c>
      <c r="AB99" s="302" t="str">
        <f t="shared" si="11"/>
        <v/>
      </c>
      <c r="AC99" s="303" t="str">
        <f t="shared" si="8"/>
        <v/>
      </c>
      <c r="AD99" s="317" t="str">
        <f>IF(M99="","",VLOOKUP(M99,'G-6 Hedgerow Data'!$B$3:$AG$15,31,FALSE))</f>
        <v/>
      </c>
      <c r="AE99" s="301" t="str">
        <f t="shared" si="12"/>
        <v/>
      </c>
      <c r="AF99" s="289" t="str">
        <f t="shared" si="13"/>
        <v/>
      </c>
      <c r="AG99" s="305" t="str">
        <f>IFERROR(IF(O99="","",VLOOKUP(AD99,'G-3 Multipliers'!$P$3:$Q$6,2,FALSE)),"")</f>
        <v/>
      </c>
      <c r="AH99" s="729" t="str">
        <f>IF(B99="","",IF(ISNA(VLOOKUP($B99,'E-1 Off-Site Hedge Baseline'!$B$1:$Z$257,14,FALSE)),"",(VLOOKUP($B99,'E-1 Off-Site Hedge Baseline'!$B$1:$Z$257,14,FALSE))))</f>
        <v/>
      </c>
      <c r="AI99" s="282" t="str">
        <f>IF(AH99="","",IF(VLOOKUP(AH99,'G-3 Multipliers'!$S$3:$T$10,2,FALSE)=0,"Spatial Data Missing ⚠",VLOOKUP(AH99,'G-3 Multipliers'!$S$3:$T$10,2,FALSE)))</f>
        <v/>
      </c>
      <c r="AJ99" s="323" t="str">
        <f t="shared" si="14"/>
        <v/>
      </c>
      <c r="AK99" s="295" t="str">
        <f t="shared" si="15"/>
        <v/>
      </c>
      <c r="AL99" s="105"/>
      <c r="AM99" s="119"/>
      <c r="AN99" s="108"/>
      <c r="AO99" s="108"/>
      <c r="AQ99" s="30" t="str">
        <f>IFERROR(INDEX('G-6 Hedgerow Data'!$BJ$3:$BJ$15,MATCH(M99,'G-6 Hedgerow Data'!$B$3:$B$15,0)),"")</f>
        <v/>
      </c>
    </row>
    <row r="100" spans="2:43" ht="13.8" x14ac:dyDescent="0.25">
      <c r="B100" s="311" t="str">
        <f>'E-1 Off-Site Hedge Baseline'!AN98</f>
        <v/>
      </c>
      <c r="C100" s="301" t="str">
        <f>IF(B100="","",IF(ISNA(VLOOKUP($B100,'E-1 Off-Site Hedge Baseline'!$B$1:$L$257,3,FALSE)),"",(VLOOKUP($B100,'E-1 Off-Site Hedge Baseline'!$B$1:$L$257,3,FALSE))))</f>
        <v/>
      </c>
      <c r="D100" s="301" t="str">
        <f>IF(B100="","",IF(ISNA(VLOOKUP($B100,'E-1 Off-Site Hedge Baseline'!$B$1:$L$258,4,FALSE)),"",(VLOOKUP($B100,'E-1 Off-Site Hedge Baseline'!$B$1:$L$258,4,FALSE))))</f>
        <v/>
      </c>
      <c r="E100" s="301" t="str">
        <f>IF(B100="","",IF(ISNA(VLOOKUP($B100,'E-1 Off-Site Hedge Baseline'!$B$1:$L$257,5,FALSE)),"",(VLOOKUP($B100,'E-1 Off-Site Hedge Baseline'!$B$1:$L$257,5,FALSE))))</f>
        <v/>
      </c>
      <c r="F100" s="301" t="str">
        <f>IF(B100="","",IF(ISNA(VLOOKUP($B100,'E-1 Off-Site Hedge Baseline'!$B$1:$L$257,6,FALSE)),"",(VLOOKUP($B100,'E-1 Off-Site Hedge Baseline'!$B$1:$L$257,6,FALSE))))</f>
        <v/>
      </c>
      <c r="G100" s="301" t="str">
        <f>IF(B100="","",IF(ISNA(VLOOKUP($B100,'E-1 Off-Site Hedge Baseline'!$B$1:$L$257,7,FALSE)),"",(VLOOKUP($B100,'E-1 Off-Site Hedge Baseline'!$B$1:$L$257,7,FALSE))))</f>
        <v/>
      </c>
      <c r="H100" s="301" t="str">
        <f>IF(B100="","",IF(ISNA(VLOOKUP($B100,'E-1 Off-Site Hedge Baseline'!$B$1:$L$257,8,FALSE)),"",(VLOOKUP($B100,'E-1 Off-Site Hedge Baseline'!$B$1:$L$257,8,FALSE))))</f>
        <v/>
      </c>
      <c r="I100" s="301" t="str">
        <f>IF(B100="","",IF(ISNA(VLOOKUP($B100,'E-1 Off-Site Hedge Baseline'!$B$1:$L$257,10,FALSE)),"",(VLOOKUP($B100,'E-1 Off-Site Hedge Baseline'!$B$1:$L$257,10,FALSE))))</f>
        <v/>
      </c>
      <c r="J100" s="301" t="str">
        <f>IF(B100="","",IF(ISNA(VLOOKUP($B100,'E-1 Off-Site Hedge Baseline'!$B$1:$L$257,11,FALSE)),"",(VLOOKUP($B100,'E-1 Off-Site Hedge Baseline'!$B$1:$L$257,11,FALSE))))</f>
        <v/>
      </c>
      <c r="K100" s="301" t="str">
        <f>IF(B100="","",IF(ISNA(VLOOKUP($B100,'E-1 Off-Site Hedge Baseline'!$B$1:$X$257,16,FALSE)),"",(VLOOKUP($B100,'E-1 Off-Site Hedge Baseline'!$B$1:$X$257,16,FALSE))))</f>
        <v/>
      </c>
      <c r="L100" s="289" t="str">
        <f>IF(B100="","",IF(ISNA(VLOOKUP($B100,'E-1 Off-Site Hedge Baseline'!$B$1:$X$257,12,FALSE)),"",(VLOOKUP($B100,'E-1 Off-Site Hedge Baseline'!$B$1:$X$257,12,FALSE))))</f>
        <v/>
      </c>
      <c r="M100" s="250"/>
      <c r="N100" s="281" t="str">
        <f>IFERROR(IF(B100="","",INDEX('G-6 Hedgerow Data'!$AN$3:$AZ$15,MATCH(C100,'G-6 Hedgerow Data'!$AM$3:$AM$15,0),MATCH(M100,'G-6 Hedgerow Data'!$AN$2:$AZ$2,0))),"")</f>
        <v/>
      </c>
      <c r="O100" s="282" t="str">
        <f t="shared" si="9"/>
        <v/>
      </c>
      <c r="P100" s="287" t="str">
        <f>IF(B100="","",VLOOKUP(B100,'E-1 Off-Site Hedge Baseline'!$B$10:W345,19,FALSE))</f>
        <v/>
      </c>
      <c r="Q100" s="281" t="str">
        <f>IF(M100="","",VLOOKUP(M100,'G-6 Hedgerow Data'!$B$2:$AG$15,2,FALSE))</f>
        <v/>
      </c>
      <c r="R100" s="282" t="str">
        <f>IF(M100="","",VLOOKUP(M100,'G-6 Hedgerow Data'!$B$2:$AG$15,3,FALSE))</f>
        <v/>
      </c>
      <c r="S100" s="105"/>
      <c r="T100" s="282" t="str">
        <f>IFERROR(IF(S100="","",IF(AND(M100="Non-native and ornamental hedgerow", S100&lt;&gt;"Poor"),"Not possible ▲", (IF(AND(Q100="V.Low",OR(S100="Good",S100="Moderate")),"Error ▲",VLOOKUP(S100,'G-1 All Habitats'!$Z$2:$AA$9,2,FALSE))))),"")</f>
        <v/>
      </c>
      <c r="U100" s="105"/>
      <c r="V100" s="289" t="str">
        <f>IF(U100="","",IF(VLOOKUP(U100,'G-3 Multipliers'!$L$3:$N$6,2,FALSE)=0,"Spatial Data Missing ⚠",VLOOKUP(U100,'G-3 Multipliers'!$L$3:$N$6,2,FALSE)))</f>
        <v/>
      </c>
      <c r="W100" s="287" t="str">
        <f>IF(U100="","",IF(VLOOKUP(U100,'G-3 Multipliers'!$L$3:$N$6,3,FALSE)=0,"Spatial Data Missing ⚠",VLOOKUP(U100,'G-3 Multipliers'!$L$3:$N$6,3,FALSE)))</f>
        <v/>
      </c>
      <c r="X100" s="281" t="str">
        <f>IFERROR(IF(OR(LEFT(O100,5)="Error",LEFT(N100,5)="Error",T100="Error"),"Check Data ⚠",IF(F100&lt;R100,INDEX('G-6 Hedgerow Data'!$S$3:$AE$14,MATCH(C100,'G-6 Hedgerow Data'!$B$3:$B$14,0),MATCH(M100,'G-6 Hedgerow Data'!$S$2:$AE$2,0)),INDEX('G-6 Hedgerow Data'!$K$3:$Q$14,MATCH(M100,'G-6 Hedgerow Data'!$B$3:$B$14,0),MATCH(O100,'G-6 Hedgerow Data'!$K$2:$Q$2,0)))),"")</f>
        <v/>
      </c>
      <c r="Y100" s="137"/>
      <c r="Z100" s="137"/>
      <c r="AA100" s="289" t="str">
        <f t="shared" si="10"/>
        <v/>
      </c>
      <c r="AB100" s="302" t="str">
        <f t="shared" si="11"/>
        <v/>
      </c>
      <c r="AC100" s="303" t="str">
        <f t="shared" si="8"/>
        <v/>
      </c>
      <c r="AD100" s="317" t="str">
        <f>IF(M100="","",VLOOKUP(M100,'G-6 Hedgerow Data'!$B$3:$AG$15,31,FALSE))</f>
        <v/>
      </c>
      <c r="AE100" s="301" t="str">
        <f t="shared" si="12"/>
        <v/>
      </c>
      <c r="AF100" s="289" t="str">
        <f t="shared" si="13"/>
        <v/>
      </c>
      <c r="AG100" s="305" t="str">
        <f>IFERROR(IF(O100="","",VLOOKUP(AD100,'G-3 Multipliers'!$P$3:$Q$6,2,FALSE)),"")</f>
        <v/>
      </c>
      <c r="AH100" s="729" t="str">
        <f>IF(B100="","",IF(ISNA(VLOOKUP($B100,'E-1 Off-Site Hedge Baseline'!$B$1:$Z$257,14,FALSE)),"",(VLOOKUP($B100,'E-1 Off-Site Hedge Baseline'!$B$1:$Z$257,14,FALSE))))</f>
        <v/>
      </c>
      <c r="AI100" s="282" t="str">
        <f>IF(AH100="","",IF(VLOOKUP(AH100,'G-3 Multipliers'!$S$3:$T$10,2,FALSE)=0,"Spatial Data Missing ⚠",VLOOKUP(AH100,'G-3 Multipliers'!$S$3:$T$10,2,FALSE)))</f>
        <v/>
      </c>
      <c r="AJ100" s="323" t="str">
        <f t="shared" si="14"/>
        <v/>
      </c>
      <c r="AK100" s="295" t="str">
        <f t="shared" si="15"/>
        <v/>
      </c>
      <c r="AL100" s="105"/>
      <c r="AM100" s="119"/>
      <c r="AN100" s="108"/>
      <c r="AO100" s="108"/>
      <c r="AQ100" s="30" t="str">
        <f>IFERROR(INDEX('G-6 Hedgerow Data'!$BJ$3:$BJ$15,MATCH(M100,'G-6 Hedgerow Data'!$B$3:$B$15,0)),"")</f>
        <v/>
      </c>
    </row>
    <row r="101" spans="2:43" ht="13.8" x14ac:dyDescent="0.25">
      <c r="B101" s="311" t="str">
        <f>'E-1 Off-Site Hedge Baseline'!AN99</f>
        <v/>
      </c>
      <c r="C101" s="301" t="str">
        <f>IF(B101="","",IF(ISNA(VLOOKUP($B101,'E-1 Off-Site Hedge Baseline'!$B$1:$L$257,3,FALSE)),"",(VLOOKUP($B101,'E-1 Off-Site Hedge Baseline'!$B$1:$L$257,3,FALSE))))</f>
        <v/>
      </c>
      <c r="D101" s="301" t="str">
        <f>IF(B101="","",IF(ISNA(VLOOKUP($B101,'E-1 Off-Site Hedge Baseline'!$B$1:$L$258,4,FALSE)),"",(VLOOKUP($B101,'E-1 Off-Site Hedge Baseline'!$B$1:$L$258,4,FALSE))))</f>
        <v/>
      </c>
      <c r="E101" s="301" t="str">
        <f>IF(B101="","",IF(ISNA(VLOOKUP($B101,'E-1 Off-Site Hedge Baseline'!$B$1:$L$257,5,FALSE)),"",(VLOOKUP($B101,'E-1 Off-Site Hedge Baseline'!$B$1:$L$257,5,FALSE))))</f>
        <v/>
      </c>
      <c r="F101" s="301" t="str">
        <f>IF(B101="","",IF(ISNA(VLOOKUP($B101,'E-1 Off-Site Hedge Baseline'!$B$1:$L$257,6,FALSE)),"",(VLOOKUP($B101,'E-1 Off-Site Hedge Baseline'!$B$1:$L$257,6,FALSE))))</f>
        <v/>
      </c>
      <c r="G101" s="301" t="str">
        <f>IF(B101="","",IF(ISNA(VLOOKUP($B101,'E-1 Off-Site Hedge Baseline'!$B$1:$L$257,7,FALSE)),"",(VLOOKUP($B101,'E-1 Off-Site Hedge Baseline'!$B$1:$L$257,7,FALSE))))</f>
        <v/>
      </c>
      <c r="H101" s="301" t="str">
        <f>IF(B101="","",IF(ISNA(VLOOKUP($B101,'E-1 Off-Site Hedge Baseline'!$B$1:$L$257,8,FALSE)),"",(VLOOKUP($B101,'E-1 Off-Site Hedge Baseline'!$B$1:$L$257,8,FALSE))))</f>
        <v/>
      </c>
      <c r="I101" s="301" t="str">
        <f>IF(B101="","",IF(ISNA(VLOOKUP($B101,'E-1 Off-Site Hedge Baseline'!$B$1:$L$257,10,FALSE)),"",(VLOOKUP($B101,'E-1 Off-Site Hedge Baseline'!$B$1:$L$257,10,FALSE))))</f>
        <v/>
      </c>
      <c r="J101" s="301" t="str">
        <f>IF(B101="","",IF(ISNA(VLOOKUP($B101,'E-1 Off-Site Hedge Baseline'!$B$1:$L$257,11,FALSE)),"",(VLOOKUP($B101,'E-1 Off-Site Hedge Baseline'!$B$1:$L$257,11,FALSE))))</f>
        <v/>
      </c>
      <c r="K101" s="301" t="str">
        <f>IF(B101="","",IF(ISNA(VLOOKUP($B101,'E-1 Off-Site Hedge Baseline'!$B$1:$X$257,16,FALSE)),"",(VLOOKUP($B101,'E-1 Off-Site Hedge Baseline'!$B$1:$X$257,16,FALSE))))</f>
        <v/>
      </c>
      <c r="L101" s="289" t="str">
        <f>IF(B101="","",IF(ISNA(VLOOKUP($B101,'E-1 Off-Site Hedge Baseline'!$B$1:$X$257,12,FALSE)),"",(VLOOKUP($B101,'E-1 Off-Site Hedge Baseline'!$B$1:$X$257,12,FALSE))))</f>
        <v/>
      </c>
      <c r="M101" s="250"/>
      <c r="N101" s="281" t="str">
        <f>IFERROR(IF(B101="","",INDEX('G-6 Hedgerow Data'!$AN$3:$AZ$15,MATCH(C101,'G-6 Hedgerow Data'!$AM$3:$AM$15,0),MATCH(M101,'G-6 Hedgerow Data'!$AN$2:$AZ$2,0))),"")</f>
        <v/>
      </c>
      <c r="O101" s="282" t="str">
        <f t="shared" si="9"/>
        <v/>
      </c>
      <c r="P101" s="287" t="str">
        <f>IF(B101="","",VLOOKUP(B101,'E-1 Off-Site Hedge Baseline'!$B$10:W346,19,FALSE))</f>
        <v/>
      </c>
      <c r="Q101" s="281" t="str">
        <f>IF(M101="","",VLOOKUP(M101,'G-6 Hedgerow Data'!$B$2:$AG$15,2,FALSE))</f>
        <v/>
      </c>
      <c r="R101" s="282" t="str">
        <f>IF(M101="","",VLOOKUP(M101,'G-6 Hedgerow Data'!$B$2:$AG$15,3,FALSE))</f>
        <v/>
      </c>
      <c r="S101" s="105"/>
      <c r="T101" s="282" t="str">
        <f>IFERROR(IF(S101="","",IF(AND(M101="Non-native and ornamental hedgerow", S101&lt;&gt;"Poor"),"Not possible ▲", (IF(AND(Q101="V.Low",OR(S101="Good",S101="Moderate")),"Error ▲",VLOOKUP(S101,'G-1 All Habitats'!$Z$2:$AA$9,2,FALSE))))),"")</f>
        <v/>
      </c>
      <c r="U101" s="105"/>
      <c r="V101" s="289" t="str">
        <f>IF(U101="","",IF(VLOOKUP(U101,'G-3 Multipliers'!$L$3:$N$6,2,FALSE)=0,"Spatial Data Missing ⚠",VLOOKUP(U101,'G-3 Multipliers'!$L$3:$N$6,2,FALSE)))</f>
        <v/>
      </c>
      <c r="W101" s="287" t="str">
        <f>IF(U101="","",IF(VLOOKUP(U101,'G-3 Multipliers'!$L$3:$N$6,3,FALSE)=0,"Spatial Data Missing ⚠",VLOOKUP(U101,'G-3 Multipliers'!$L$3:$N$6,3,FALSE)))</f>
        <v/>
      </c>
      <c r="X101" s="281" t="str">
        <f>IFERROR(IF(OR(LEFT(O101,5)="Error",LEFT(N101,5)="Error",T101="Error"),"Check Data ⚠",IF(F101&lt;R101,INDEX('G-6 Hedgerow Data'!$S$3:$AE$14,MATCH(C101,'G-6 Hedgerow Data'!$B$3:$B$14,0),MATCH(M101,'G-6 Hedgerow Data'!$S$2:$AE$2,0)),INDEX('G-6 Hedgerow Data'!$K$3:$Q$14,MATCH(M101,'G-6 Hedgerow Data'!$B$3:$B$14,0),MATCH(O101,'G-6 Hedgerow Data'!$K$2:$Q$2,0)))),"")</f>
        <v/>
      </c>
      <c r="Y101" s="137"/>
      <c r="Z101" s="137"/>
      <c r="AA101" s="289" t="str">
        <f t="shared" si="10"/>
        <v/>
      </c>
      <c r="AB101" s="302" t="str">
        <f t="shared" si="11"/>
        <v/>
      </c>
      <c r="AC101" s="303" t="str">
        <f t="shared" si="8"/>
        <v/>
      </c>
      <c r="AD101" s="317" t="str">
        <f>IF(M101="","",VLOOKUP(M101,'G-6 Hedgerow Data'!$B$3:$AG$15,31,FALSE))</f>
        <v/>
      </c>
      <c r="AE101" s="301" t="str">
        <f t="shared" si="12"/>
        <v/>
      </c>
      <c r="AF101" s="289" t="str">
        <f t="shared" si="13"/>
        <v/>
      </c>
      <c r="AG101" s="305" t="str">
        <f>IFERROR(IF(O101="","",VLOOKUP(AD101,'G-3 Multipliers'!$P$3:$Q$6,2,FALSE)),"")</f>
        <v/>
      </c>
      <c r="AH101" s="729" t="str">
        <f>IF(B101="","",IF(ISNA(VLOOKUP($B101,'E-1 Off-Site Hedge Baseline'!$B$1:$Z$257,14,FALSE)),"",(VLOOKUP($B101,'E-1 Off-Site Hedge Baseline'!$B$1:$Z$257,14,FALSE))))</f>
        <v/>
      </c>
      <c r="AI101" s="282" t="str">
        <f>IF(AH101="","",IF(VLOOKUP(AH101,'G-3 Multipliers'!$S$3:$T$10,2,FALSE)=0,"Spatial Data Missing ⚠",VLOOKUP(AH101,'G-3 Multipliers'!$S$3:$T$10,2,FALSE)))</f>
        <v/>
      </c>
      <c r="AJ101" s="323" t="str">
        <f t="shared" si="14"/>
        <v/>
      </c>
      <c r="AK101" s="295" t="str">
        <f t="shared" si="15"/>
        <v/>
      </c>
      <c r="AL101" s="105"/>
      <c r="AM101" s="119"/>
      <c r="AN101" s="108"/>
      <c r="AO101" s="108"/>
      <c r="AQ101" s="30" t="str">
        <f>IFERROR(INDEX('G-6 Hedgerow Data'!$BJ$3:$BJ$15,MATCH(M101,'G-6 Hedgerow Data'!$B$3:$B$15,0)),"")</f>
        <v/>
      </c>
    </row>
    <row r="102" spans="2:43" ht="13.8" x14ac:dyDescent="0.25">
      <c r="B102" s="311" t="str">
        <f>'E-1 Off-Site Hedge Baseline'!AN100</f>
        <v/>
      </c>
      <c r="C102" s="301" t="str">
        <f>IF(B102="","",IF(ISNA(VLOOKUP($B102,'E-1 Off-Site Hedge Baseline'!$B$1:$L$257,3,FALSE)),"",(VLOOKUP($B102,'E-1 Off-Site Hedge Baseline'!$B$1:$L$257,3,FALSE))))</f>
        <v/>
      </c>
      <c r="D102" s="301" t="str">
        <f>IF(B102="","",IF(ISNA(VLOOKUP($B102,'E-1 Off-Site Hedge Baseline'!$B$1:$L$258,4,FALSE)),"",(VLOOKUP($B102,'E-1 Off-Site Hedge Baseline'!$B$1:$L$258,4,FALSE))))</f>
        <v/>
      </c>
      <c r="E102" s="301" t="str">
        <f>IF(B102="","",IF(ISNA(VLOOKUP($B102,'E-1 Off-Site Hedge Baseline'!$B$1:$L$257,5,FALSE)),"",(VLOOKUP($B102,'E-1 Off-Site Hedge Baseline'!$B$1:$L$257,5,FALSE))))</f>
        <v/>
      </c>
      <c r="F102" s="301" t="str">
        <f>IF(B102="","",IF(ISNA(VLOOKUP($B102,'E-1 Off-Site Hedge Baseline'!$B$1:$L$257,6,FALSE)),"",(VLOOKUP($B102,'E-1 Off-Site Hedge Baseline'!$B$1:$L$257,6,FALSE))))</f>
        <v/>
      </c>
      <c r="G102" s="301" t="str">
        <f>IF(B102="","",IF(ISNA(VLOOKUP($B102,'E-1 Off-Site Hedge Baseline'!$B$1:$L$257,7,FALSE)),"",(VLOOKUP($B102,'E-1 Off-Site Hedge Baseline'!$B$1:$L$257,7,FALSE))))</f>
        <v/>
      </c>
      <c r="H102" s="301" t="str">
        <f>IF(B102="","",IF(ISNA(VLOOKUP($B102,'E-1 Off-Site Hedge Baseline'!$B$1:$L$257,8,FALSE)),"",(VLOOKUP($B102,'E-1 Off-Site Hedge Baseline'!$B$1:$L$257,8,FALSE))))</f>
        <v/>
      </c>
      <c r="I102" s="301" t="str">
        <f>IF(B102="","",IF(ISNA(VLOOKUP($B102,'E-1 Off-Site Hedge Baseline'!$B$1:$L$257,10,FALSE)),"",(VLOOKUP($B102,'E-1 Off-Site Hedge Baseline'!$B$1:$L$257,10,FALSE))))</f>
        <v/>
      </c>
      <c r="J102" s="301" t="str">
        <f>IF(B102="","",IF(ISNA(VLOOKUP($B102,'E-1 Off-Site Hedge Baseline'!$B$1:$L$257,11,FALSE)),"",(VLOOKUP($B102,'E-1 Off-Site Hedge Baseline'!$B$1:$L$257,11,FALSE))))</f>
        <v/>
      </c>
      <c r="K102" s="301" t="str">
        <f>IF(B102="","",IF(ISNA(VLOOKUP($B102,'E-1 Off-Site Hedge Baseline'!$B$1:$X$257,16,FALSE)),"",(VLOOKUP($B102,'E-1 Off-Site Hedge Baseline'!$B$1:$X$257,16,FALSE))))</f>
        <v/>
      </c>
      <c r="L102" s="289" t="str">
        <f>IF(B102="","",IF(ISNA(VLOOKUP($B102,'E-1 Off-Site Hedge Baseline'!$B$1:$X$257,12,FALSE)),"",(VLOOKUP($B102,'E-1 Off-Site Hedge Baseline'!$B$1:$X$257,12,FALSE))))</f>
        <v/>
      </c>
      <c r="M102" s="250"/>
      <c r="N102" s="281" t="str">
        <f>IFERROR(IF(B102="","",INDEX('G-6 Hedgerow Data'!$AN$3:$AZ$15,MATCH(C102,'G-6 Hedgerow Data'!$AM$3:$AM$15,0),MATCH(M102,'G-6 Hedgerow Data'!$AN$2:$AZ$2,0))),"")</f>
        <v/>
      </c>
      <c r="O102" s="282" t="str">
        <f t="shared" si="9"/>
        <v/>
      </c>
      <c r="P102" s="287" t="str">
        <f>IF(B102="","",VLOOKUP(B102,'E-1 Off-Site Hedge Baseline'!$B$10:W347,19,FALSE))</f>
        <v/>
      </c>
      <c r="Q102" s="281" t="str">
        <f>IF(M102="","",VLOOKUP(M102,'G-6 Hedgerow Data'!$B$2:$AG$15,2,FALSE))</f>
        <v/>
      </c>
      <c r="R102" s="282" t="str">
        <f>IF(M102="","",VLOOKUP(M102,'G-6 Hedgerow Data'!$B$2:$AG$15,3,FALSE))</f>
        <v/>
      </c>
      <c r="S102" s="105"/>
      <c r="T102" s="282" t="str">
        <f>IFERROR(IF(S102="","",IF(AND(M102="Non-native and ornamental hedgerow", S102&lt;&gt;"Poor"),"Not possible ▲", (IF(AND(Q102="V.Low",OR(S102="Good",S102="Moderate")),"Error ▲",VLOOKUP(S102,'G-1 All Habitats'!$Z$2:$AA$9,2,FALSE))))),"")</f>
        <v/>
      </c>
      <c r="U102" s="105"/>
      <c r="V102" s="289" t="str">
        <f>IF(U102="","",IF(VLOOKUP(U102,'G-3 Multipliers'!$L$3:$N$6,2,FALSE)=0,"Spatial Data Missing ⚠",VLOOKUP(U102,'G-3 Multipliers'!$L$3:$N$6,2,FALSE)))</f>
        <v/>
      </c>
      <c r="W102" s="287" t="str">
        <f>IF(U102="","",IF(VLOOKUP(U102,'G-3 Multipliers'!$L$3:$N$6,3,FALSE)=0,"Spatial Data Missing ⚠",VLOOKUP(U102,'G-3 Multipliers'!$L$3:$N$6,3,FALSE)))</f>
        <v/>
      </c>
      <c r="X102" s="281" t="str">
        <f>IFERROR(IF(OR(LEFT(O102,5)="Error",LEFT(N102,5)="Error",T102="Error"),"Check Data ⚠",IF(F102&lt;R102,INDEX('G-6 Hedgerow Data'!$S$3:$AE$14,MATCH(C102,'G-6 Hedgerow Data'!$B$3:$B$14,0),MATCH(M102,'G-6 Hedgerow Data'!$S$2:$AE$2,0)),INDEX('G-6 Hedgerow Data'!$K$3:$Q$14,MATCH(M102,'G-6 Hedgerow Data'!$B$3:$B$14,0),MATCH(O102,'G-6 Hedgerow Data'!$K$2:$Q$2,0)))),"")</f>
        <v/>
      </c>
      <c r="Y102" s="137"/>
      <c r="Z102" s="137"/>
      <c r="AA102" s="289" t="str">
        <f t="shared" si="10"/>
        <v/>
      </c>
      <c r="AB102" s="302" t="str">
        <f t="shared" si="11"/>
        <v/>
      </c>
      <c r="AC102" s="303" t="str">
        <f t="shared" si="8"/>
        <v/>
      </c>
      <c r="AD102" s="317" t="str">
        <f>IF(M102="","",VLOOKUP(M102,'G-6 Hedgerow Data'!$B$3:$AG$15,31,FALSE))</f>
        <v/>
      </c>
      <c r="AE102" s="301" t="str">
        <f t="shared" si="12"/>
        <v/>
      </c>
      <c r="AF102" s="289" t="str">
        <f t="shared" si="13"/>
        <v/>
      </c>
      <c r="AG102" s="305" t="str">
        <f>IFERROR(IF(O102="","",VLOOKUP(AD102,'G-3 Multipliers'!$P$3:$Q$6,2,FALSE)),"")</f>
        <v/>
      </c>
      <c r="AH102" s="729" t="str">
        <f>IF(B102="","",IF(ISNA(VLOOKUP($B102,'E-1 Off-Site Hedge Baseline'!$B$1:$Z$257,14,FALSE)),"",(VLOOKUP($B102,'E-1 Off-Site Hedge Baseline'!$B$1:$Z$257,14,FALSE))))</f>
        <v/>
      </c>
      <c r="AI102" s="282" t="str">
        <f>IF(AH102="","",IF(VLOOKUP(AH102,'G-3 Multipliers'!$S$3:$T$10,2,FALSE)=0,"Spatial Data Missing ⚠",VLOOKUP(AH102,'G-3 Multipliers'!$S$3:$T$10,2,FALSE)))</f>
        <v/>
      </c>
      <c r="AJ102" s="323" t="str">
        <f t="shared" si="14"/>
        <v/>
      </c>
      <c r="AK102" s="295" t="str">
        <f t="shared" si="15"/>
        <v/>
      </c>
      <c r="AL102" s="105"/>
      <c r="AM102" s="119"/>
      <c r="AN102" s="108"/>
      <c r="AO102" s="108"/>
      <c r="AQ102" s="30" t="str">
        <f>IFERROR(INDEX('G-6 Hedgerow Data'!$BJ$3:$BJ$15,MATCH(M102,'G-6 Hedgerow Data'!$B$3:$B$15,0)),"")</f>
        <v/>
      </c>
    </row>
    <row r="103" spans="2:43" ht="13.8" x14ac:dyDescent="0.25">
      <c r="B103" s="311" t="str">
        <f>'E-1 Off-Site Hedge Baseline'!AN101</f>
        <v/>
      </c>
      <c r="C103" s="301" t="str">
        <f>IF(B103="","",IF(ISNA(VLOOKUP($B103,'E-1 Off-Site Hedge Baseline'!$B$1:$L$257,3,FALSE)),"",(VLOOKUP($B103,'E-1 Off-Site Hedge Baseline'!$B$1:$L$257,3,FALSE))))</f>
        <v/>
      </c>
      <c r="D103" s="301" t="str">
        <f>IF(B103="","",IF(ISNA(VLOOKUP($B103,'E-1 Off-Site Hedge Baseline'!$B$1:$L$258,4,FALSE)),"",(VLOOKUP($B103,'E-1 Off-Site Hedge Baseline'!$B$1:$L$258,4,FALSE))))</f>
        <v/>
      </c>
      <c r="E103" s="301" t="str">
        <f>IF(B103="","",IF(ISNA(VLOOKUP($B103,'E-1 Off-Site Hedge Baseline'!$B$1:$L$257,5,FALSE)),"",(VLOOKUP($B103,'E-1 Off-Site Hedge Baseline'!$B$1:$L$257,5,FALSE))))</f>
        <v/>
      </c>
      <c r="F103" s="301" t="str">
        <f>IF(B103="","",IF(ISNA(VLOOKUP($B103,'E-1 Off-Site Hedge Baseline'!$B$1:$L$257,6,FALSE)),"",(VLOOKUP($B103,'E-1 Off-Site Hedge Baseline'!$B$1:$L$257,6,FALSE))))</f>
        <v/>
      </c>
      <c r="G103" s="301" t="str">
        <f>IF(B103="","",IF(ISNA(VLOOKUP($B103,'E-1 Off-Site Hedge Baseline'!$B$1:$L$257,7,FALSE)),"",(VLOOKUP($B103,'E-1 Off-Site Hedge Baseline'!$B$1:$L$257,7,FALSE))))</f>
        <v/>
      </c>
      <c r="H103" s="301" t="str">
        <f>IF(B103="","",IF(ISNA(VLOOKUP($B103,'E-1 Off-Site Hedge Baseline'!$B$1:$L$257,8,FALSE)),"",(VLOOKUP($B103,'E-1 Off-Site Hedge Baseline'!$B$1:$L$257,8,FALSE))))</f>
        <v/>
      </c>
      <c r="I103" s="301" t="str">
        <f>IF(B103="","",IF(ISNA(VLOOKUP($B103,'E-1 Off-Site Hedge Baseline'!$B$1:$L$257,10,FALSE)),"",(VLOOKUP($B103,'E-1 Off-Site Hedge Baseline'!$B$1:$L$257,10,FALSE))))</f>
        <v/>
      </c>
      <c r="J103" s="301" t="str">
        <f>IF(B103="","",IF(ISNA(VLOOKUP($B103,'E-1 Off-Site Hedge Baseline'!$B$1:$L$257,11,FALSE)),"",(VLOOKUP($B103,'E-1 Off-Site Hedge Baseline'!$B$1:$L$257,11,FALSE))))</f>
        <v/>
      </c>
      <c r="K103" s="301" t="str">
        <f>IF(B103="","",IF(ISNA(VLOOKUP($B103,'E-1 Off-Site Hedge Baseline'!$B$1:$X$257,16,FALSE)),"",(VLOOKUP($B103,'E-1 Off-Site Hedge Baseline'!$B$1:$X$257,16,FALSE))))</f>
        <v/>
      </c>
      <c r="L103" s="289" t="str">
        <f>IF(B103="","",IF(ISNA(VLOOKUP($B103,'E-1 Off-Site Hedge Baseline'!$B$1:$X$257,12,FALSE)),"",(VLOOKUP($B103,'E-1 Off-Site Hedge Baseline'!$B$1:$X$257,12,FALSE))))</f>
        <v/>
      </c>
      <c r="M103" s="250"/>
      <c r="N103" s="281" t="str">
        <f>IFERROR(IF(B103="","",INDEX('G-6 Hedgerow Data'!$AN$3:$AZ$15,MATCH(C103,'G-6 Hedgerow Data'!$AM$3:$AM$15,0),MATCH(M103,'G-6 Hedgerow Data'!$AN$2:$AZ$2,0))),"")</f>
        <v/>
      </c>
      <c r="O103" s="282" t="str">
        <f t="shared" si="9"/>
        <v/>
      </c>
      <c r="P103" s="287" t="str">
        <f>IF(B103="","",VLOOKUP(B103,'E-1 Off-Site Hedge Baseline'!$B$10:W348,19,FALSE))</f>
        <v/>
      </c>
      <c r="Q103" s="281" t="str">
        <f>IF(M103="","",VLOOKUP(M103,'G-6 Hedgerow Data'!$B$2:$AG$15,2,FALSE))</f>
        <v/>
      </c>
      <c r="R103" s="282" t="str">
        <f>IF(M103="","",VLOOKUP(M103,'G-6 Hedgerow Data'!$B$2:$AG$15,3,FALSE))</f>
        <v/>
      </c>
      <c r="S103" s="105"/>
      <c r="T103" s="282" t="str">
        <f>IFERROR(IF(S103="","",IF(AND(M103="Non-native and ornamental hedgerow", S103&lt;&gt;"Poor"),"Not possible ▲", (IF(AND(Q103="V.Low",OR(S103="Good",S103="Moderate")),"Error ▲",VLOOKUP(S103,'G-1 All Habitats'!$Z$2:$AA$9,2,FALSE))))),"")</f>
        <v/>
      </c>
      <c r="U103" s="105"/>
      <c r="V103" s="289" t="str">
        <f>IF(U103="","",IF(VLOOKUP(U103,'G-3 Multipliers'!$L$3:$N$6,2,FALSE)=0,"Spatial Data Missing ⚠",VLOOKUP(U103,'G-3 Multipliers'!$L$3:$N$6,2,FALSE)))</f>
        <v/>
      </c>
      <c r="W103" s="287" t="str">
        <f>IF(U103="","",IF(VLOOKUP(U103,'G-3 Multipliers'!$L$3:$N$6,3,FALSE)=0,"Spatial Data Missing ⚠",VLOOKUP(U103,'G-3 Multipliers'!$L$3:$N$6,3,FALSE)))</f>
        <v/>
      </c>
      <c r="X103" s="281" t="str">
        <f>IFERROR(IF(OR(LEFT(O103,5)="Error",LEFT(N103,5)="Error",T103="Error"),"Check Data ⚠",IF(F103&lt;R103,INDEX('G-6 Hedgerow Data'!$S$3:$AE$14,MATCH(C103,'G-6 Hedgerow Data'!$B$3:$B$14,0),MATCH(M103,'G-6 Hedgerow Data'!$S$2:$AE$2,0)),INDEX('G-6 Hedgerow Data'!$K$3:$Q$14,MATCH(M103,'G-6 Hedgerow Data'!$B$3:$B$14,0),MATCH(O103,'G-6 Hedgerow Data'!$K$2:$Q$2,0)))),"")</f>
        <v/>
      </c>
      <c r="Y103" s="137"/>
      <c r="Z103" s="137"/>
      <c r="AA103" s="289" t="str">
        <f t="shared" si="10"/>
        <v/>
      </c>
      <c r="AB103" s="302" t="str">
        <f t="shared" si="11"/>
        <v/>
      </c>
      <c r="AC103" s="303" t="str">
        <f t="shared" si="8"/>
        <v/>
      </c>
      <c r="AD103" s="317" t="str">
        <f>IF(M103="","",VLOOKUP(M103,'G-6 Hedgerow Data'!$B$3:$AG$15,31,FALSE))</f>
        <v/>
      </c>
      <c r="AE103" s="301" t="str">
        <f t="shared" si="12"/>
        <v/>
      </c>
      <c r="AF103" s="289" t="str">
        <f t="shared" si="13"/>
        <v/>
      </c>
      <c r="AG103" s="305" t="str">
        <f>IFERROR(IF(O103="","",VLOOKUP(AD103,'G-3 Multipliers'!$P$3:$Q$6,2,FALSE)),"")</f>
        <v/>
      </c>
      <c r="AH103" s="729" t="str">
        <f>IF(B103="","",IF(ISNA(VLOOKUP($B103,'E-1 Off-Site Hedge Baseline'!$B$1:$Z$257,14,FALSE)),"",(VLOOKUP($B103,'E-1 Off-Site Hedge Baseline'!$B$1:$Z$257,14,FALSE))))</f>
        <v/>
      </c>
      <c r="AI103" s="282" t="str">
        <f>IF(AH103="","",IF(VLOOKUP(AH103,'G-3 Multipliers'!$S$3:$T$10,2,FALSE)=0,"Spatial Data Missing ⚠",VLOOKUP(AH103,'G-3 Multipliers'!$S$3:$T$10,2,FALSE)))</f>
        <v/>
      </c>
      <c r="AJ103" s="323" t="str">
        <f t="shared" si="14"/>
        <v/>
      </c>
      <c r="AK103" s="295" t="str">
        <f t="shared" si="15"/>
        <v/>
      </c>
      <c r="AL103" s="105"/>
      <c r="AM103" s="119"/>
      <c r="AN103" s="108"/>
      <c r="AO103" s="108"/>
      <c r="AQ103" s="30" t="str">
        <f>IFERROR(INDEX('G-6 Hedgerow Data'!$BJ$3:$BJ$15,MATCH(M103,'G-6 Hedgerow Data'!$B$3:$B$15,0)),"")</f>
        <v/>
      </c>
    </row>
    <row r="104" spans="2:43" ht="13.8" x14ac:dyDescent="0.25">
      <c r="B104" s="311" t="str">
        <f>'E-1 Off-Site Hedge Baseline'!AN102</f>
        <v/>
      </c>
      <c r="C104" s="301" t="str">
        <f>IF(B104="","",IF(ISNA(VLOOKUP($B104,'E-1 Off-Site Hedge Baseline'!$B$1:$L$257,3,FALSE)),"",(VLOOKUP($B104,'E-1 Off-Site Hedge Baseline'!$B$1:$L$257,3,FALSE))))</f>
        <v/>
      </c>
      <c r="D104" s="301" t="str">
        <f>IF(B104="","",IF(ISNA(VLOOKUP($B104,'E-1 Off-Site Hedge Baseline'!$B$1:$L$258,4,FALSE)),"",(VLOOKUP($B104,'E-1 Off-Site Hedge Baseline'!$B$1:$L$258,4,FALSE))))</f>
        <v/>
      </c>
      <c r="E104" s="301" t="str">
        <f>IF(B104="","",IF(ISNA(VLOOKUP($B104,'E-1 Off-Site Hedge Baseline'!$B$1:$L$257,5,FALSE)),"",(VLOOKUP($B104,'E-1 Off-Site Hedge Baseline'!$B$1:$L$257,5,FALSE))))</f>
        <v/>
      </c>
      <c r="F104" s="301" t="str">
        <f>IF(B104="","",IF(ISNA(VLOOKUP($B104,'E-1 Off-Site Hedge Baseline'!$B$1:$L$257,6,FALSE)),"",(VLOOKUP($B104,'E-1 Off-Site Hedge Baseline'!$B$1:$L$257,6,FALSE))))</f>
        <v/>
      </c>
      <c r="G104" s="301" t="str">
        <f>IF(B104="","",IF(ISNA(VLOOKUP($B104,'E-1 Off-Site Hedge Baseline'!$B$1:$L$257,7,FALSE)),"",(VLOOKUP($B104,'E-1 Off-Site Hedge Baseline'!$B$1:$L$257,7,FALSE))))</f>
        <v/>
      </c>
      <c r="H104" s="301" t="str">
        <f>IF(B104="","",IF(ISNA(VLOOKUP($B104,'E-1 Off-Site Hedge Baseline'!$B$1:$L$257,8,FALSE)),"",(VLOOKUP($B104,'E-1 Off-Site Hedge Baseline'!$B$1:$L$257,8,FALSE))))</f>
        <v/>
      </c>
      <c r="I104" s="301" t="str">
        <f>IF(B104="","",IF(ISNA(VLOOKUP($B104,'E-1 Off-Site Hedge Baseline'!$B$1:$L$257,10,FALSE)),"",(VLOOKUP($B104,'E-1 Off-Site Hedge Baseline'!$B$1:$L$257,10,FALSE))))</f>
        <v/>
      </c>
      <c r="J104" s="301" t="str">
        <f>IF(B104="","",IF(ISNA(VLOOKUP($B104,'E-1 Off-Site Hedge Baseline'!$B$1:$L$257,11,FALSE)),"",(VLOOKUP($B104,'E-1 Off-Site Hedge Baseline'!$B$1:$L$257,11,FALSE))))</f>
        <v/>
      </c>
      <c r="K104" s="301" t="str">
        <f>IF(B104="","",IF(ISNA(VLOOKUP($B104,'E-1 Off-Site Hedge Baseline'!$B$1:$X$257,16,FALSE)),"",(VLOOKUP($B104,'E-1 Off-Site Hedge Baseline'!$B$1:$X$257,16,FALSE))))</f>
        <v/>
      </c>
      <c r="L104" s="289" t="str">
        <f>IF(B104="","",IF(ISNA(VLOOKUP($B104,'E-1 Off-Site Hedge Baseline'!$B$1:$X$257,12,FALSE)),"",(VLOOKUP($B104,'E-1 Off-Site Hedge Baseline'!$B$1:$X$257,12,FALSE))))</f>
        <v/>
      </c>
      <c r="M104" s="250"/>
      <c r="N104" s="281" t="str">
        <f>IFERROR(IF(B104="","",INDEX('G-6 Hedgerow Data'!$AN$3:$AZ$15,MATCH(C104,'G-6 Hedgerow Data'!$AM$3:$AM$15,0),MATCH(M104,'G-6 Hedgerow Data'!$AN$2:$AZ$2,0))),"")</f>
        <v/>
      </c>
      <c r="O104" s="282" t="str">
        <f t="shared" si="9"/>
        <v/>
      </c>
      <c r="P104" s="287" t="str">
        <f>IF(B104="","",VLOOKUP(B104,'E-1 Off-Site Hedge Baseline'!$B$10:W349,19,FALSE))</f>
        <v/>
      </c>
      <c r="Q104" s="281" t="str">
        <f>IF(M104="","",VLOOKUP(M104,'G-6 Hedgerow Data'!$B$2:$AG$15,2,FALSE))</f>
        <v/>
      </c>
      <c r="R104" s="282" t="str">
        <f>IF(M104="","",VLOOKUP(M104,'G-6 Hedgerow Data'!$B$2:$AG$15,3,FALSE))</f>
        <v/>
      </c>
      <c r="S104" s="105"/>
      <c r="T104" s="282" t="str">
        <f>IFERROR(IF(S104="","",IF(AND(M104="Non-native and ornamental hedgerow", S104&lt;&gt;"Poor"),"Not possible ▲", (IF(AND(Q104="V.Low",OR(S104="Good",S104="Moderate")),"Error ▲",VLOOKUP(S104,'G-1 All Habitats'!$Z$2:$AA$9,2,FALSE))))),"")</f>
        <v/>
      </c>
      <c r="U104" s="105"/>
      <c r="V104" s="289" t="str">
        <f>IF(U104="","",IF(VLOOKUP(U104,'G-3 Multipliers'!$L$3:$N$6,2,FALSE)=0,"Spatial Data Missing ⚠",VLOOKUP(U104,'G-3 Multipliers'!$L$3:$N$6,2,FALSE)))</f>
        <v/>
      </c>
      <c r="W104" s="287" t="str">
        <f>IF(U104="","",IF(VLOOKUP(U104,'G-3 Multipliers'!$L$3:$N$6,3,FALSE)=0,"Spatial Data Missing ⚠",VLOOKUP(U104,'G-3 Multipliers'!$L$3:$N$6,3,FALSE)))</f>
        <v/>
      </c>
      <c r="X104" s="281" t="str">
        <f>IFERROR(IF(OR(LEFT(O104,5)="Error",LEFT(N104,5)="Error",T104="Error"),"Check Data ⚠",IF(F104&lt;R104,INDEX('G-6 Hedgerow Data'!$S$3:$AE$14,MATCH(C104,'G-6 Hedgerow Data'!$B$3:$B$14,0),MATCH(M104,'G-6 Hedgerow Data'!$S$2:$AE$2,0)),INDEX('G-6 Hedgerow Data'!$K$3:$Q$14,MATCH(M104,'G-6 Hedgerow Data'!$B$3:$B$14,0),MATCH(O104,'G-6 Hedgerow Data'!$K$2:$Q$2,0)))),"")</f>
        <v/>
      </c>
      <c r="Y104" s="137"/>
      <c r="Z104" s="137"/>
      <c r="AA104" s="289" t="str">
        <f t="shared" si="10"/>
        <v/>
      </c>
      <c r="AB104" s="302" t="str">
        <f t="shared" si="11"/>
        <v/>
      </c>
      <c r="AC104" s="303" t="str">
        <f t="shared" si="8"/>
        <v/>
      </c>
      <c r="AD104" s="317" t="str">
        <f>IF(M104="","",VLOOKUP(M104,'G-6 Hedgerow Data'!$B$3:$AG$15,31,FALSE))</f>
        <v/>
      </c>
      <c r="AE104" s="301" t="str">
        <f t="shared" si="12"/>
        <v/>
      </c>
      <c r="AF104" s="289" t="str">
        <f t="shared" si="13"/>
        <v/>
      </c>
      <c r="AG104" s="305" t="str">
        <f>IFERROR(IF(O104="","",VLOOKUP(AD104,'G-3 Multipliers'!$P$3:$Q$6,2,FALSE)),"")</f>
        <v/>
      </c>
      <c r="AH104" s="729" t="str">
        <f>IF(B104="","",IF(ISNA(VLOOKUP($B104,'E-1 Off-Site Hedge Baseline'!$B$1:$Z$257,14,FALSE)),"",(VLOOKUP($B104,'E-1 Off-Site Hedge Baseline'!$B$1:$Z$257,14,FALSE))))</f>
        <v/>
      </c>
      <c r="AI104" s="282" t="str">
        <f>IF(AH104="","",IF(VLOOKUP(AH104,'G-3 Multipliers'!$S$3:$T$10,2,FALSE)=0,"Spatial Data Missing ⚠",VLOOKUP(AH104,'G-3 Multipliers'!$S$3:$T$10,2,FALSE)))</f>
        <v/>
      </c>
      <c r="AJ104" s="323" t="str">
        <f t="shared" si="14"/>
        <v/>
      </c>
      <c r="AK104" s="295" t="str">
        <f t="shared" si="15"/>
        <v/>
      </c>
      <c r="AL104" s="105"/>
      <c r="AM104" s="119"/>
      <c r="AN104" s="108"/>
      <c r="AO104" s="108"/>
      <c r="AQ104" s="30" t="str">
        <f>IFERROR(INDEX('G-6 Hedgerow Data'!$BJ$3:$BJ$15,MATCH(M104,'G-6 Hedgerow Data'!$B$3:$B$15,0)),"")</f>
        <v/>
      </c>
    </row>
    <row r="105" spans="2:43" ht="13.8" x14ac:dyDescent="0.25">
      <c r="B105" s="311" t="str">
        <f>'E-1 Off-Site Hedge Baseline'!AN103</f>
        <v/>
      </c>
      <c r="C105" s="301" t="str">
        <f>IF(B105="","",IF(ISNA(VLOOKUP($B105,'E-1 Off-Site Hedge Baseline'!$B$1:$L$257,3,FALSE)),"",(VLOOKUP($B105,'E-1 Off-Site Hedge Baseline'!$B$1:$L$257,3,FALSE))))</f>
        <v/>
      </c>
      <c r="D105" s="301" t="str">
        <f>IF(B105="","",IF(ISNA(VLOOKUP($B105,'E-1 Off-Site Hedge Baseline'!$B$1:$L$258,4,FALSE)),"",(VLOOKUP($B105,'E-1 Off-Site Hedge Baseline'!$B$1:$L$258,4,FALSE))))</f>
        <v/>
      </c>
      <c r="E105" s="301" t="str">
        <f>IF(B105="","",IF(ISNA(VLOOKUP($B105,'E-1 Off-Site Hedge Baseline'!$B$1:$L$257,5,FALSE)),"",(VLOOKUP($B105,'E-1 Off-Site Hedge Baseline'!$B$1:$L$257,5,FALSE))))</f>
        <v/>
      </c>
      <c r="F105" s="301" t="str">
        <f>IF(B105="","",IF(ISNA(VLOOKUP($B105,'E-1 Off-Site Hedge Baseline'!$B$1:$L$257,6,FALSE)),"",(VLOOKUP($B105,'E-1 Off-Site Hedge Baseline'!$B$1:$L$257,6,FALSE))))</f>
        <v/>
      </c>
      <c r="G105" s="301" t="str">
        <f>IF(B105="","",IF(ISNA(VLOOKUP($B105,'E-1 Off-Site Hedge Baseline'!$B$1:$L$257,7,FALSE)),"",(VLOOKUP($B105,'E-1 Off-Site Hedge Baseline'!$B$1:$L$257,7,FALSE))))</f>
        <v/>
      </c>
      <c r="H105" s="301" t="str">
        <f>IF(B105="","",IF(ISNA(VLOOKUP($B105,'E-1 Off-Site Hedge Baseline'!$B$1:$L$257,8,FALSE)),"",(VLOOKUP($B105,'E-1 Off-Site Hedge Baseline'!$B$1:$L$257,8,FALSE))))</f>
        <v/>
      </c>
      <c r="I105" s="301" t="str">
        <f>IF(B105="","",IF(ISNA(VLOOKUP($B105,'E-1 Off-Site Hedge Baseline'!$B$1:$L$257,10,FALSE)),"",(VLOOKUP($B105,'E-1 Off-Site Hedge Baseline'!$B$1:$L$257,10,FALSE))))</f>
        <v/>
      </c>
      <c r="J105" s="301" t="str">
        <f>IF(B105="","",IF(ISNA(VLOOKUP($B105,'E-1 Off-Site Hedge Baseline'!$B$1:$L$257,11,FALSE)),"",(VLOOKUP($B105,'E-1 Off-Site Hedge Baseline'!$B$1:$L$257,11,FALSE))))</f>
        <v/>
      </c>
      <c r="K105" s="301" t="str">
        <f>IF(B105="","",IF(ISNA(VLOOKUP($B105,'E-1 Off-Site Hedge Baseline'!$B$1:$X$257,16,FALSE)),"",(VLOOKUP($B105,'E-1 Off-Site Hedge Baseline'!$B$1:$X$257,16,FALSE))))</f>
        <v/>
      </c>
      <c r="L105" s="289" t="str">
        <f>IF(B105="","",IF(ISNA(VLOOKUP($B105,'E-1 Off-Site Hedge Baseline'!$B$1:$X$257,12,FALSE)),"",(VLOOKUP($B105,'E-1 Off-Site Hedge Baseline'!$B$1:$X$257,12,FALSE))))</f>
        <v/>
      </c>
      <c r="M105" s="250"/>
      <c r="N105" s="281" t="str">
        <f>IFERROR(IF(B105="","",INDEX('G-6 Hedgerow Data'!$AN$3:$AZ$15,MATCH(C105,'G-6 Hedgerow Data'!$AM$3:$AM$15,0),MATCH(M105,'G-6 Hedgerow Data'!$AN$2:$AZ$2,0))),"")</f>
        <v/>
      </c>
      <c r="O105" s="282" t="str">
        <f t="shared" si="9"/>
        <v/>
      </c>
      <c r="P105" s="287" t="str">
        <f>IF(B105="","",VLOOKUP(B105,'E-1 Off-Site Hedge Baseline'!$B$10:W350,19,FALSE))</f>
        <v/>
      </c>
      <c r="Q105" s="281" t="str">
        <f>IF(M105="","",VLOOKUP(M105,'G-6 Hedgerow Data'!$B$2:$AG$15,2,FALSE))</f>
        <v/>
      </c>
      <c r="R105" s="282" t="str">
        <f>IF(M105="","",VLOOKUP(M105,'G-6 Hedgerow Data'!$B$2:$AG$15,3,FALSE))</f>
        <v/>
      </c>
      <c r="S105" s="105"/>
      <c r="T105" s="282" t="str">
        <f>IFERROR(IF(S105="","",IF(AND(M105="Non-native and ornamental hedgerow", S105&lt;&gt;"Poor"),"Not possible ▲", (IF(AND(Q105="V.Low",OR(S105="Good",S105="Moderate")),"Error ▲",VLOOKUP(S105,'G-1 All Habitats'!$Z$2:$AA$9,2,FALSE))))),"")</f>
        <v/>
      </c>
      <c r="U105" s="105"/>
      <c r="V105" s="289" t="str">
        <f>IF(U105="","",IF(VLOOKUP(U105,'G-3 Multipliers'!$L$3:$N$6,2,FALSE)=0,"Spatial Data Missing ⚠",VLOOKUP(U105,'G-3 Multipliers'!$L$3:$N$6,2,FALSE)))</f>
        <v/>
      </c>
      <c r="W105" s="287" t="str">
        <f>IF(U105="","",IF(VLOOKUP(U105,'G-3 Multipliers'!$L$3:$N$6,3,FALSE)=0,"Spatial Data Missing ⚠",VLOOKUP(U105,'G-3 Multipliers'!$L$3:$N$6,3,FALSE)))</f>
        <v/>
      </c>
      <c r="X105" s="281" t="str">
        <f>IFERROR(IF(OR(LEFT(O105,5)="Error",LEFT(N105,5)="Error",T105="Error"),"Check Data ⚠",IF(F105&lt;R105,INDEX('G-6 Hedgerow Data'!$S$3:$AE$14,MATCH(C105,'G-6 Hedgerow Data'!$B$3:$B$14,0),MATCH(M105,'G-6 Hedgerow Data'!$S$2:$AE$2,0)),INDEX('G-6 Hedgerow Data'!$K$3:$Q$14,MATCH(M105,'G-6 Hedgerow Data'!$B$3:$B$14,0),MATCH(O105,'G-6 Hedgerow Data'!$K$2:$Q$2,0)))),"")</f>
        <v/>
      </c>
      <c r="Y105" s="137"/>
      <c r="Z105" s="137"/>
      <c r="AA105" s="289" t="str">
        <f t="shared" si="10"/>
        <v/>
      </c>
      <c r="AB105" s="302" t="str">
        <f t="shared" si="11"/>
        <v/>
      </c>
      <c r="AC105" s="303" t="str">
        <f t="shared" si="8"/>
        <v/>
      </c>
      <c r="AD105" s="317" t="str">
        <f>IF(M105="","",VLOOKUP(M105,'G-6 Hedgerow Data'!$B$3:$AG$15,31,FALSE))</f>
        <v/>
      </c>
      <c r="AE105" s="301" t="str">
        <f t="shared" si="12"/>
        <v/>
      </c>
      <c r="AF105" s="289" t="str">
        <f t="shared" si="13"/>
        <v/>
      </c>
      <c r="AG105" s="305" t="str">
        <f>IFERROR(IF(O105="","",VLOOKUP(AD105,'G-3 Multipliers'!$P$3:$Q$6,2,FALSE)),"")</f>
        <v/>
      </c>
      <c r="AH105" s="729" t="str">
        <f>IF(B105="","",IF(ISNA(VLOOKUP($B105,'E-1 Off-Site Hedge Baseline'!$B$1:$Z$257,14,FALSE)),"",(VLOOKUP($B105,'E-1 Off-Site Hedge Baseline'!$B$1:$Z$257,14,FALSE))))</f>
        <v/>
      </c>
      <c r="AI105" s="282" t="str">
        <f>IF(AH105="","",IF(VLOOKUP(AH105,'G-3 Multipliers'!$S$3:$T$10,2,FALSE)=0,"Spatial Data Missing ⚠",VLOOKUP(AH105,'G-3 Multipliers'!$S$3:$T$10,2,FALSE)))</f>
        <v/>
      </c>
      <c r="AJ105" s="323" t="str">
        <f t="shared" si="14"/>
        <v/>
      </c>
      <c r="AK105" s="295" t="str">
        <f t="shared" si="15"/>
        <v/>
      </c>
      <c r="AL105" s="105"/>
      <c r="AM105" s="119"/>
      <c r="AN105" s="108"/>
      <c r="AO105" s="108"/>
      <c r="AQ105" s="30" t="str">
        <f>IFERROR(INDEX('G-6 Hedgerow Data'!$BJ$3:$BJ$15,MATCH(M105,'G-6 Hedgerow Data'!$B$3:$B$15,0)),"")</f>
        <v/>
      </c>
    </row>
    <row r="106" spans="2:43" ht="13.8" x14ac:dyDescent="0.25">
      <c r="B106" s="311" t="str">
        <f>'E-1 Off-Site Hedge Baseline'!AN104</f>
        <v/>
      </c>
      <c r="C106" s="301" t="str">
        <f>IF(B106="","",IF(ISNA(VLOOKUP($B106,'E-1 Off-Site Hedge Baseline'!$B$1:$L$257,3,FALSE)),"",(VLOOKUP($B106,'E-1 Off-Site Hedge Baseline'!$B$1:$L$257,3,FALSE))))</f>
        <v/>
      </c>
      <c r="D106" s="301" t="str">
        <f>IF(B106="","",IF(ISNA(VLOOKUP($B106,'E-1 Off-Site Hedge Baseline'!$B$1:$L$258,4,FALSE)),"",(VLOOKUP($B106,'E-1 Off-Site Hedge Baseline'!$B$1:$L$258,4,FALSE))))</f>
        <v/>
      </c>
      <c r="E106" s="301" t="str">
        <f>IF(B106="","",IF(ISNA(VLOOKUP($B106,'E-1 Off-Site Hedge Baseline'!$B$1:$L$257,5,FALSE)),"",(VLOOKUP($B106,'E-1 Off-Site Hedge Baseline'!$B$1:$L$257,5,FALSE))))</f>
        <v/>
      </c>
      <c r="F106" s="301" t="str">
        <f>IF(B106="","",IF(ISNA(VLOOKUP($B106,'E-1 Off-Site Hedge Baseline'!$B$1:$L$257,6,FALSE)),"",(VLOOKUP($B106,'E-1 Off-Site Hedge Baseline'!$B$1:$L$257,6,FALSE))))</f>
        <v/>
      </c>
      <c r="G106" s="301" t="str">
        <f>IF(B106="","",IF(ISNA(VLOOKUP($B106,'E-1 Off-Site Hedge Baseline'!$B$1:$L$257,7,FALSE)),"",(VLOOKUP($B106,'E-1 Off-Site Hedge Baseline'!$B$1:$L$257,7,FALSE))))</f>
        <v/>
      </c>
      <c r="H106" s="301" t="str">
        <f>IF(B106="","",IF(ISNA(VLOOKUP($B106,'E-1 Off-Site Hedge Baseline'!$B$1:$L$257,8,FALSE)),"",(VLOOKUP($B106,'E-1 Off-Site Hedge Baseline'!$B$1:$L$257,8,FALSE))))</f>
        <v/>
      </c>
      <c r="I106" s="301" t="str">
        <f>IF(B106="","",IF(ISNA(VLOOKUP($B106,'E-1 Off-Site Hedge Baseline'!$B$1:$L$257,10,FALSE)),"",(VLOOKUP($B106,'E-1 Off-Site Hedge Baseline'!$B$1:$L$257,10,FALSE))))</f>
        <v/>
      </c>
      <c r="J106" s="301" t="str">
        <f>IF(B106="","",IF(ISNA(VLOOKUP($B106,'E-1 Off-Site Hedge Baseline'!$B$1:$L$257,11,FALSE)),"",(VLOOKUP($B106,'E-1 Off-Site Hedge Baseline'!$B$1:$L$257,11,FALSE))))</f>
        <v/>
      </c>
      <c r="K106" s="301" t="str">
        <f>IF(B106="","",IF(ISNA(VLOOKUP($B106,'E-1 Off-Site Hedge Baseline'!$B$1:$X$257,16,FALSE)),"",(VLOOKUP($B106,'E-1 Off-Site Hedge Baseline'!$B$1:$X$257,16,FALSE))))</f>
        <v/>
      </c>
      <c r="L106" s="289" t="str">
        <f>IF(B106="","",IF(ISNA(VLOOKUP($B106,'E-1 Off-Site Hedge Baseline'!$B$1:$X$257,12,FALSE)),"",(VLOOKUP($B106,'E-1 Off-Site Hedge Baseline'!$B$1:$X$257,12,FALSE))))</f>
        <v/>
      </c>
      <c r="M106" s="250"/>
      <c r="N106" s="281" t="str">
        <f>IFERROR(IF(B106="","",INDEX('G-6 Hedgerow Data'!$AN$3:$AZ$15,MATCH(C106,'G-6 Hedgerow Data'!$AM$3:$AM$15,0),MATCH(M106,'G-6 Hedgerow Data'!$AN$2:$AZ$2,0))),"")</f>
        <v/>
      </c>
      <c r="O106" s="282" t="str">
        <f t="shared" si="9"/>
        <v/>
      </c>
      <c r="P106" s="287" t="str">
        <f>IF(B106="","",VLOOKUP(B106,'E-1 Off-Site Hedge Baseline'!$B$10:W351,19,FALSE))</f>
        <v/>
      </c>
      <c r="Q106" s="281" t="str">
        <f>IF(M106="","",VLOOKUP(M106,'G-6 Hedgerow Data'!$B$2:$AG$15,2,FALSE))</f>
        <v/>
      </c>
      <c r="R106" s="282" t="str">
        <f>IF(M106="","",VLOOKUP(M106,'G-6 Hedgerow Data'!$B$2:$AG$15,3,FALSE))</f>
        <v/>
      </c>
      <c r="S106" s="105"/>
      <c r="T106" s="282" t="str">
        <f>IFERROR(IF(S106="","",IF(AND(M106="Non-native and ornamental hedgerow", S106&lt;&gt;"Poor"),"Not possible ▲", (IF(AND(Q106="V.Low",OR(S106="Good",S106="Moderate")),"Error ▲",VLOOKUP(S106,'G-1 All Habitats'!$Z$2:$AA$9,2,FALSE))))),"")</f>
        <v/>
      </c>
      <c r="U106" s="105"/>
      <c r="V106" s="289" t="str">
        <f>IF(U106="","",IF(VLOOKUP(U106,'G-3 Multipliers'!$L$3:$N$6,2,FALSE)=0,"Spatial Data Missing ⚠",VLOOKUP(U106,'G-3 Multipliers'!$L$3:$N$6,2,FALSE)))</f>
        <v/>
      </c>
      <c r="W106" s="287" t="str">
        <f>IF(U106="","",IF(VLOOKUP(U106,'G-3 Multipliers'!$L$3:$N$6,3,FALSE)=0,"Spatial Data Missing ⚠",VLOOKUP(U106,'G-3 Multipliers'!$L$3:$N$6,3,FALSE)))</f>
        <v/>
      </c>
      <c r="X106" s="281" t="str">
        <f>IFERROR(IF(OR(LEFT(O106,5)="Error",LEFT(N106,5)="Error",T106="Error"),"Check Data ⚠",IF(F106&lt;R106,INDEX('G-6 Hedgerow Data'!$S$3:$AE$14,MATCH(C106,'G-6 Hedgerow Data'!$B$3:$B$14,0),MATCH(M106,'G-6 Hedgerow Data'!$S$2:$AE$2,0)),INDEX('G-6 Hedgerow Data'!$K$3:$Q$14,MATCH(M106,'G-6 Hedgerow Data'!$B$3:$B$14,0),MATCH(O106,'G-6 Hedgerow Data'!$K$2:$Q$2,0)))),"")</f>
        <v/>
      </c>
      <c r="Y106" s="137"/>
      <c r="Z106" s="137"/>
      <c r="AA106" s="289" t="str">
        <f t="shared" si="10"/>
        <v/>
      </c>
      <c r="AB106" s="302" t="str">
        <f t="shared" si="11"/>
        <v/>
      </c>
      <c r="AC106" s="303" t="str">
        <f t="shared" si="8"/>
        <v/>
      </c>
      <c r="AD106" s="317" t="str">
        <f>IF(M106="","",VLOOKUP(M106,'G-6 Hedgerow Data'!$B$3:$AG$15,31,FALSE))</f>
        <v/>
      </c>
      <c r="AE106" s="301" t="str">
        <f t="shared" si="12"/>
        <v/>
      </c>
      <c r="AF106" s="289" t="str">
        <f t="shared" si="13"/>
        <v/>
      </c>
      <c r="AG106" s="305" t="str">
        <f>IFERROR(IF(O106="","",VLOOKUP(AD106,'G-3 Multipliers'!$P$3:$Q$6,2,FALSE)),"")</f>
        <v/>
      </c>
      <c r="AH106" s="729" t="str">
        <f>IF(B106="","",IF(ISNA(VLOOKUP($B106,'E-1 Off-Site Hedge Baseline'!$B$1:$Z$257,14,FALSE)),"",(VLOOKUP($B106,'E-1 Off-Site Hedge Baseline'!$B$1:$Z$257,14,FALSE))))</f>
        <v/>
      </c>
      <c r="AI106" s="282" t="str">
        <f>IF(AH106="","",IF(VLOOKUP(AH106,'G-3 Multipliers'!$S$3:$T$10,2,FALSE)=0,"Spatial Data Missing ⚠",VLOOKUP(AH106,'G-3 Multipliers'!$S$3:$T$10,2,FALSE)))</f>
        <v/>
      </c>
      <c r="AJ106" s="323" t="str">
        <f t="shared" si="14"/>
        <v/>
      </c>
      <c r="AK106" s="295" t="str">
        <f t="shared" si="15"/>
        <v/>
      </c>
      <c r="AL106" s="105"/>
      <c r="AM106" s="119"/>
      <c r="AN106" s="108"/>
      <c r="AO106" s="108"/>
      <c r="AQ106" s="30" t="str">
        <f>IFERROR(INDEX('G-6 Hedgerow Data'!$BJ$3:$BJ$15,MATCH(M106,'G-6 Hedgerow Data'!$B$3:$B$15,0)),"")</f>
        <v/>
      </c>
    </row>
    <row r="107" spans="2:43" ht="13.8" x14ac:dyDescent="0.25">
      <c r="B107" s="311" t="str">
        <f>'E-1 Off-Site Hedge Baseline'!AN105</f>
        <v/>
      </c>
      <c r="C107" s="301" t="str">
        <f>IF(B107="","",IF(ISNA(VLOOKUP($B107,'E-1 Off-Site Hedge Baseline'!$B$1:$L$257,3,FALSE)),"",(VLOOKUP($B107,'E-1 Off-Site Hedge Baseline'!$B$1:$L$257,3,FALSE))))</f>
        <v/>
      </c>
      <c r="D107" s="301" t="str">
        <f>IF(B107="","",IF(ISNA(VLOOKUP($B107,'E-1 Off-Site Hedge Baseline'!$B$1:$L$258,4,FALSE)),"",(VLOOKUP($B107,'E-1 Off-Site Hedge Baseline'!$B$1:$L$258,4,FALSE))))</f>
        <v/>
      </c>
      <c r="E107" s="301" t="str">
        <f>IF(B107="","",IF(ISNA(VLOOKUP($B107,'E-1 Off-Site Hedge Baseline'!$B$1:$L$257,5,FALSE)),"",(VLOOKUP($B107,'E-1 Off-Site Hedge Baseline'!$B$1:$L$257,5,FALSE))))</f>
        <v/>
      </c>
      <c r="F107" s="301" t="str">
        <f>IF(B107="","",IF(ISNA(VLOOKUP($B107,'E-1 Off-Site Hedge Baseline'!$B$1:$L$257,6,FALSE)),"",(VLOOKUP($B107,'E-1 Off-Site Hedge Baseline'!$B$1:$L$257,6,FALSE))))</f>
        <v/>
      </c>
      <c r="G107" s="301" t="str">
        <f>IF(B107="","",IF(ISNA(VLOOKUP($B107,'E-1 Off-Site Hedge Baseline'!$B$1:$L$257,7,FALSE)),"",(VLOOKUP($B107,'E-1 Off-Site Hedge Baseline'!$B$1:$L$257,7,FALSE))))</f>
        <v/>
      </c>
      <c r="H107" s="301" t="str">
        <f>IF(B107="","",IF(ISNA(VLOOKUP($B107,'E-1 Off-Site Hedge Baseline'!$B$1:$L$257,8,FALSE)),"",(VLOOKUP($B107,'E-1 Off-Site Hedge Baseline'!$B$1:$L$257,8,FALSE))))</f>
        <v/>
      </c>
      <c r="I107" s="301" t="str">
        <f>IF(B107="","",IF(ISNA(VLOOKUP($B107,'E-1 Off-Site Hedge Baseline'!$B$1:$L$257,10,FALSE)),"",(VLOOKUP($B107,'E-1 Off-Site Hedge Baseline'!$B$1:$L$257,10,FALSE))))</f>
        <v/>
      </c>
      <c r="J107" s="301" t="str">
        <f>IF(B107="","",IF(ISNA(VLOOKUP($B107,'E-1 Off-Site Hedge Baseline'!$B$1:$L$257,11,FALSE)),"",(VLOOKUP($B107,'E-1 Off-Site Hedge Baseline'!$B$1:$L$257,11,FALSE))))</f>
        <v/>
      </c>
      <c r="K107" s="301" t="str">
        <f>IF(B107="","",IF(ISNA(VLOOKUP($B107,'E-1 Off-Site Hedge Baseline'!$B$1:$X$257,16,FALSE)),"",(VLOOKUP($B107,'E-1 Off-Site Hedge Baseline'!$B$1:$X$257,16,FALSE))))</f>
        <v/>
      </c>
      <c r="L107" s="289" t="str">
        <f>IF(B107="","",IF(ISNA(VLOOKUP($B107,'E-1 Off-Site Hedge Baseline'!$B$1:$X$257,12,FALSE)),"",(VLOOKUP($B107,'E-1 Off-Site Hedge Baseline'!$B$1:$X$257,12,FALSE))))</f>
        <v/>
      </c>
      <c r="M107" s="250"/>
      <c r="N107" s="281" t="str">
        <f>IFERROR(IF(B107="","",INDEX('G-6 Hedgerow Data'!$AN$3:$AZ$15,MATCH(C107,'G-6 Hedgerow Data'!$AM$3:$AM$15,0),MATCH(M107,'G-6 Hedgerow Data'!$AN$2:$AZ$2,0))),"")</f>
        <v/>
      </c>
      <c r="O107" s="282" t="str">
        <f t="shared" si="9"/>
        <v/>
      </c>
      <c r="P107" s="287" t="str">
        <f>IF(B107="","",VLOOKUP(B107,'E-1 Off-Site Hedge Baseline'!$B$10:W352,19,FALSE))</f>
        <v/>
      </c>
      <c r="Q107" s="281" t="str">
        <f>IF(M107="","",VLOOKUP(M107,'G-6 Hedgerow Data'!$B$2:$AG$15,2,FALSE))</f>
        <v/>
      </c>
      <c r="R107" s="282" t="str">
        <f>IF(M107="","",VLOOKUP(M107,'G-6 Hedgerow Data'!$B$2:$AG$15,3,FALSE))</f>
        <v/>
      </c>
      <c r="S107" s="105"/>
      <c r="T107" s="282" t="str">
        <f>IFERROR(IF(S107="","",IF(AND(M107="Non-native and ornamental hedgerow", S107&lt;&gt;"Poor"),"Not possible ▲", (IF(AND(Q107="V.Low",OR(S107="Good",S107="Moderate")),"Error ▲",VLOOKUP(S107,'G-1 All Habitats'!$Z$2:$AA$9,2,FALSE))))),"")</f>
        <v/>
      </c>
      <c r="U107" s="105"/>
      <c r="V107" s="289" t="str">
        <f>IF(U107="","",IF(VLOOKUP(U107,'G-3 Multipliers'!$L$3:$N$6,2,FALSE)=0,"Spatial Data Missing ⚠",VLOOKUP(U107,'G-3 Multipliers'!$L$3:$N$6,2,FALSE)))</f>
        <v/>
      </c>
      <c r="W107" s="287" t="str">
        <f>IF(U107="","",IF(VLOOKUP(U107,'G-3 Multipliers'!$L$3:$N$6,3,FALSE)=0,"Spatial Data Missing ⚠",VLOOKUP(U107,'G-3 Multipliers'!$L$3:$N$6,3,FALSE)))</f>
        <v/>
      </c>
      <c r="X107" s="281" t="str">
        <f>IFERROR(IF(OR(LEFT(O107,5)="Error",LEFT(N107,5)="Error",T107="Error"),"Check Data ⚠",IF(F107&lt;R107,INDEX('G-6 Hedgerow Data'!$S$3:$AE$14,MATCH(C107,'G-6 Hedgerow Data'!$B$3:$B$14,0),MATCH(M107,'G-6 Hedgerow Data'!$S$2:$AE$2,0)),INDEX('G-6 Hedgerow Data'!$K$3:$Q$14,MATCH(M107,'G-6 Hedgerow Data'!$B$3:$B$14,0),MATCH(O107,'G-6 Hedgerow Data'!$K$2:$Q$2,0)))),"")</f>
        <v/>
      </c>
      <c r="Y107" s="137"/>
      <c r="Z107" s="137"/>
      <c r="AA107" s="289" t="str">
        <f t="shared" si="10"/>
        <v/>
      </c>
      <c r="AB107" s="302" t="str">
        <f t="shared" si="11"/>
        <v/>
      </c>
      <c r="AC107" s="303" t="str">
        <f t="shared" si="8"/>
        <v/>
      </c>
      <c r="AD107" s="317" t="str">
        <f>IF(M107="","",VLOOKUP(M107,'G-6 Hedgerow Data'!$B$3:$AG$15,31,FALSE))</f>
        <v/>
      </c>
      <c r="AE107" s="301" t="str">
        <f t="shared" si="12"/>
        <v/>
      </c>
      <c r="AF107" s="289" t="str">
        <f t="shared" si="13"/>
        <v/>
      </c>
      <c r="AG107" s="305" t="str">
        <f>IFERROR(IF(O107="","",VLOOKUP(AD107,'G-3 Multipliers'!$P$3:$Q$6,2,FALSE)),"")</f>
        <v/>
      </c>
      <c r="AH107" s="729" t="str">
        <f>IF(B107="","",IF(ISNA(VLOOKUP($B107,'E-1 Off-Site Hedge Baseline'!$B$1:$Z$257,14,FALSE)),"",(VLOOKUP($B107,'E-1 Off-Site Hedge Baseline'!$B$1:$Z$257,14,FALSE))))</f>
        <v/>
      </c>
      <c r="AI107" s="282" t="str">
        <f>IF(AH107="","",IF(VLOOKUP(AH107,'G-3 Multipliers'!$S$3:$T$10,2,FALSE)=0,"Spatial Data Missing ⚠",VLOOKUP(AH107,'G-3 Multipliers'!$S$3:$T$10,2,FALSE)))</f>
        <v/>
      </c>
      <c r="AJ107" s="323" t="str">
        <f t="shared" si="14"/>
        <v/>
      </c>
      <c r="AK107" s="295" t="str">
        <f t="shared" si="15"/>
        <v/>
      </c>
      <c r="AL107" s="105"/>
      <c r="AM107" s="119"/>
      <c r="AN107" s="108"/>
      <c r="AO107" s="108"/>
      <c r="AQ107" s="30" t="str">
        <f>IFERROR(INDEX('G-6 Hedgerow Data'!$BJ$3:$BJ$15,MATCH(M107,'G-6 Hedgerow Data'!$B$3:$B$15,0)),"")</f>
        <v/>
      </c>
    </row>
    <row r="108" spans="2:43" ht="13.8" x14ac:dyDescent="0.25">
      <c r="B108" s="311" t="str">
        <f>'E-1 Off-Site Hedge Baseline'!AN106</f>
        <v/>
      </c>
      <c r="C108" s="301" t="str">
        <f>IF(B108="","",IF(ISNA(VLOOKUP($B108,'E-1 Off-Site Hedge Baseline'!$B$1:$L$257,3,FALSE)),"",(VLOOKUP($B108,'E-1 Off-Site Hedge Baseline'!$B$1:$L$257,3,FALSE))))</f>
        <v/>
      </c>
      <c r="D108" s="301" t="str">
        <f>IF(B108="","",IF(ISNA(VLOOKUP($B108,'E-1 Off-Site Hedge Baseline'!$B$1:$L$258,4,FALSE)),"",(VLOOKUP($B108,'E-1 Off-Site Hedge Baseline'!$B$1:$L$258,4,FALSE))))</f>
        <v/>
      </c>
      <c r="E108" s="301" t="str">
        <f>IF(B108="","",IF(ISNA(VLOOKUP($B108,'E-1 Off-Site Hedge Baseline'!$B$1:$L$257,5,FALSE)),"",(VLOOKUP($B108,'E-1 Off-Site Hedge Baseline'!$B$1:$L$257,5,FALSE))))</f>
        <v/>
      </c>
      <c r="F108" s="301" t="str">
        <f>IF(B108="","",IF(ISNA(VLOOKUP($B108,'E-1 Off-Site Hedge Baseline'!$B$1:$L$257,6,FALSE)),"",(VLOOKUP($B108,'E-1 Off-Site Hedge Baseline'!$B$1:$L$257,6,FALSE))))</f>
        <v/>
      </c>
      <c r="G108" s="301" t="str">
        <f>IF(B108="","",IF(ISNA(VLOOKUP($B108,'E-1 Off-Site Hedge Baseline'!$B$1:$L$257,7,FALSE)),"",(VLOOKUP($B108,'E-1 Off-Site Hedge Baseline'!$B$1:$L$257,7,FALSE))))</f>
        <v/>
      </c>
      <c r="H108" s="301" t="str">
        <f>IF(B108="","",IF(ISNA(VLOOKUP($B108,'E-1 Off-Site Hedge Baseline'!$B$1:$L$257,8,FALSE)),"",(VLOOKUP($B108,'E-1 Off-Site Hedge Baseline'!$B$1:$L$257,8,FALSE))))</f>
        <v/>
      </c>
      <c r="I108" s="301" t="str">
        <f>IF(B108="","",IF(ISNA(VLOOKUP($B108,'E-1 Off-Site Hedge Baseline'!$B$1:$L$257,10,FALSE)),"",(VLOOKUP($B108,'E-1 Off-Site Hedge Baseline'!$B$1:$L$257,10,FALSE))))</f>
        <v/>
      </c>
      <c r="J108" s="301" t="str">
        <f>IF(B108="","",IF(ISNA(VLOOKUP($B108,'E-1 Off-Site Hedge Baseline'!$B$1:$L$257,11,FALSE)),"",(VLOOKUP($B108,'E-1 Off-Site Hedge Baseline'!$B$1:$L$257,11,FALSE))))</f>
        <v/>
      </c>
      <c r="K108" s="301" t="str">
        <f>IF(B108="","",IF(ISNA(VLOOKUP($B108,'E-1 Off-Site Hedge Baseline'!$B$1:$X$257,16,FALSE)),"",(VLOOKUP($B108,'E-1 Off-Site Hedge Baseline'!$B$1:$X$257,16,FALSE))))</f>
        <v/>
      </c>
      <c r="L108" s="289" t="str">
        <f>IF(B108="","",IF(ISNA(VLOOKUP($B108,'E-1 Off-Site Hedge Baseline'!$B$1:$X$257,12,FALSE)),"",(VLOOKUP($B108,'E-1 Off-Site Hedge Baseline'!$B$1:$X$257,12,FALSE))))</f>
        <v/>
      </c>
      <c r="M108" s="250"/>
      <c r="N108" s="281" t="str">
        <f>IFERROR(IF(B108="","",INDEX('G-6 Hedgerow Data'!$AN$3:$AZ$15,MATCH(C108,'G-6 Hedgerow Data'!$AM$3:$AM$15,0),MATCH(M108,'G-6 Hedgerow Data'!$AN$2:$AZ$2,0))),"")</f>
        <v/>
      </c>
      <c r="O108" s="282" t="str">
        <f t="shared" si="9"/>
        <v/>
      </c>
      <c r="P108" s="287" t="str">
        <f>IF(B108="","",VLOOKUP(B108,'E-1 Off-Site Hedge Baseline'!$B$10:W353,19,FALSE))</f>
        <v/>
      </c>
      <c r="Q108" s="281" t="str">
        <f>IF(M108="","",VLOOKUP(M108,'G-6 Hedgerow Data'!$B$2:$AG$15,2,FALSE))</f>
        <v/>
      </c>
      <c r="R108" s="282" t="str">
        <f>IF(M108="","",VLOOKUP(M108,'G-6 Hedgerow Data'!$B$2:$AG$15,3,FALSE))</f>
        <v/>
      </c>
      <c r="S108" s="105"/>
      <c r="T108" s="282" t="str">
        <f>IFERROR(IF(S108="","",IF(AND(M108="Non-native and ornamental hedgerow", S108&lt;&gt;"Poor"),"Not possible ▲", (IF(AND(Q108="V.Low",OR(S108="Good",S108="Moderate")),"Error ▲",VLOOKUP(S108,'G-1 All Habitats'!$Z$2:$AA$9,2,FALSE))))),"")</f>
        <v/>
      </c>
      <c r="U108" s="105"/>
      <c r="V108" s="289" t="str">
        <f>IF(U108="","",IF(VLOOKUP(U108,'G-3 Multipliers'!$L$3:$N$6,2,FALSE)=0,"Spatial Data Missing ⚠",VLOOKUP(U108,'G-3 Multipliers'!$L$3:$N$6,2,FALSE)))</f>
        <v/>
      </c>
      <c r="W108" s="287" t="str">
        <f>IF(U108="","",IF(VLOOKUP(U108,'G-3 Multipliers'!$L$3:$N$6,3,FALSE)=0,"Spatial Data Missing ⚠",VLOOKUP(U108,'G-3 Multipliers'!$L$3:$N$6,3,FALSE)))</f>
        <v/>
      </c>
      <c r="X108" s="281" t="str">
        <f>IFERROR(IF(OR(LEFT(O108,5)="Error",LEFT(N108,5)="Error",T108="Error"),"Check Data ⚠",IF(F108&lt;R108,INDEX('G-6 Hedgerow Data'!$S$3:$AE$14,MATCH(C108,'G-6 Hedgerow Data'!$B$3:$B$14,0),MATCH(M108,'G-6 Hedgerow Data'!$S$2:$AE$2,0)),INDEX('G-6 Hedgerow Data'!$K$3:$Q$14,MATCH(M108,'G-6 Hedgerow Data'!$B$3:$B$14,0),MATCH(O108,'G-6 Hedgerow Data'!$K$2:$Q$2,0)))),"")</f>
        <v/>
      </c>
      <c r="Y108" s="137"/>
      <c r="Z108" s="137"/>
      <c r="AA108" s="289" t="str">
        <f t="shared" si="10"/>
        <v/>
      </c>
      <c r="AB108" s="302" t="str">
        <f t="shared" si="11"/>
        <v/>
      </c>
      <c r="AC108" s="303" t="str">
        <f t="shared" si="8"/>
        <v/>
      </c>
      <c r="AD108" s="317" t="str">
        <f>IF(M108="","",VLOOKUP(M108,'G-6 Hedgerow Data'!$B$3:$AG$15,31,FALSE))</f>
        <v/>
      </c>
      <c r="AE108" s="301" t="str">
        <f t="shared" si="12"/>
        <v/>
      </c>
      <c r="AF108" s="289" t="str">
        <f t="shared" si="13"/>
        <v/>
      </c>
      <c r="AG108" s="305" t="str">
        <f>IFERROR(IF(O108="","",VLOOKUP(AD108,'G-3 Multipliers'!$P$3:$Q$6,2,FALSE)),"")</f>
        <v/>
      </c>
      <c r="AH108" s="729" t="str">
        <f>IF(B108="","",IF(ISNA(VLOOKUP($B108,'E-1 Off-Site Hedge Baseline'!$B$1:$Z$257,14,FALSE)),"",(VLOOKUP($B108,'E-1 Off-Site Hedge Baseline'!$B$1:$Z$257,14,FALSE))))</f>
        <v/>
      </c>
      <c r="AI108" s="282" t="str">
        <f>IF(AH108="","",IF(VLOOKUP(AH108,'G-3 Multipliers'!$S$3:$T$10,2,FALSE)=0,"Spatial Data Missing ⚠",VLOOKUP(AH108,'G-3 Multipliers'!$S$3:$T$10,2,FALSE)))</f>
        <v/>
      </c>
      <c r="AJ108" s="323" t="str">
        <f t="shared" si="14"/>
        <v/>
      </c>
      <c r="AK108" s="295" t="str">
        <f t="shared" si="15"/>
        <v/>
      </c>
      <c r="AL108" s="105"/>
      <c r="AM108" s="119"/>
      <c r="AN108" s="108"/>
      <c r="AO108" s="108"/>
      <c r="AQ108" s="30" t="str">
        <f>IFERROR(INDEX('G-6 Hedgerow Data'!$BJ$3:$BJ$15,MATCH(M108,'G-6 Hedgerow Data'!$B$3:$B$15,0)),"")</f>
        <v/>
      </c>
    </row>
    <row r="109" spans="2:43" ht="13.8" x14ac:dyDescent="0.25">
      <c r="B109" s="311" t="str">
        <f>'E-1 Off-Site Hedge Baseline'!AN107</f>
        <v/>
      </c>
      <c r="C109" s="301" t="str">
        <f>IF(B109="","",IF(ISNA(VLOOKUP($B109,'E-1 Off-Site Hedge Baseline'!$B$1:$L$257,3,FALSE)),"",(VLOOKUP($B109,'E-1 Off-Site Hedge Baseline'!$B$1:$L$257,3,FALSE))))</f>
        <v/>
      </c>
      <c r="D109" s="301" t="str">
        <f>IF(B109="","",IF(ISNA(VLOOKUP($B109,'E-1 Off-Site Hedge Baseline'!$B$1:$L$258,4,FALSE)),"",(VLOOKUP($B109,'E-1 Off-Site Hedge Baseline'!$B$1:$L$258,4,FALSE))))</f>
        <v/>
      </c>
      <c r="E109" s="301" t="str">
        <f>IF(B109="","",IF(ISNA(VLOOKUP($B109,'E-1 Off-Site Hedge Baseline'!$B$1:$L$257,5,FALSE)),"",(VLOOKUP($B109,'E-1 Off-Site Hedge Baseline'!$B$1:$L$257,5,FALSE))))</f>
        <v/>
      </c>
      <c r="F109" s="301" t="str">
        <f>IF(B109="","",IF(ISNA(VLOOKUP($B109,'E-1 Off-Site Hedge Baseline'!$B$1:$L$257,6,FALSE)),"",(VLOOKUP($B109,'E-1 Off-Site Hedge Baseline'!$B$1:$L$257,6,FALSE))))</f>
        <v/>
      </c>
      <c r="G109" s="301" t="str">
        <f>IF(B109="","",IF(ISNA(VLOOKUP($B109,'E-1 Off-Site Hedge Baseline'!$B$1:$L$257,7,FALSE)),"",(VLOOKUP($B109,'E-1 Off-Site Hedge Baseline'!$B$1:$L$257,7,FALSE))))</f>
        <v/>
      </c>
      <c r="H109" s="301" t="str">
        <f>IF(B109="","",IF(ISNA(VLOOKUP($B109,'E-1 Off-Site Hedge Baseline'!$B$1:$L$257,8,FALSE)),"",(VLOOKUP($B109,'E-1 Off-Site Hedge Baseline'!$B$1:$L$257,8,FALSE))))</f>
        <v/>
      </c>
      <c r="I109" s="301" t="str">
        <f>IF(B109="","",IF(ISNA(VLOOKUP($B109,'E-1 Off-Site Hedge Baseline'!$B$1:$L$257,10,FALSE)),"",(VLOOKUP($B109,'E-1 Off-Site Hedge Baseline'!$B$1:$L$257,10,FALSE))))</f>
        <v/>
      </c>
      <c r="J109" s="301" t="str">
        <f>IF(B109="","",IF(ISNA(VLOOKUP($B109,'E-1 Off-Site Hedge Baseline'!$B$1:$L$257,11,FALSE)),"",(VLOOKUP($B109,'E-1 Off-Site Hedge Baseline'!$B$1:$L$257,11,FALSE))))</f>
        <v/>
      </c>
      <c r="K109" s="301" t="str">
        <f>IF(B109="","",IF(ISNA(VLOOKUP($B109,'E-1 Off-Site Hedge Baseline'!$B$1:$X$257,16,FALSE)),"",(VLOOKUP($B109,'E-1 Off-Site Hedge Baseline'!$B$1:$X$257,16,FALSE))))</f>
        <v/>
      </c>
      <c r="L109" s="289" t="str">
        <f>IF(B109="","",IF(ISNA(VLOOKUP($B109,'E-1 Off-Site Hedge Baseline'!$B$1:$X$257,12,FALSE)),"",(VLOOKUP($B109,'E-1 Off-Site Hedge Baseline'!$B$1:$X$257,12,FALSE))))</f>
        <v/>
      </c>
      <c r="M109" s="250"/>
      <c r="N109" s="281" t="str">
        <f>IFERROR(IF(B109="","",INDEX('G-6 Hedgerow Data'!$AN$3:$AZ$15,MATCH(C109,'G-6 Hedgerow Data'!$AM$3:$AM$15,0),MATCH(M109,'G-6 Hedgerow Data'!$AN$2:$AZ$2,0))),"")</f>
        <v/>
      </c>
      <c r="O109" s="282" t="str">
        <f t="shared" si="9"/>
        <v/>
      </c>
      <c r="P109" s="287" t="str">
        <f>IF(B109="","",VLOOKUP(B109,'E-1 Off-Site Hedge Baseline'!$B$10:W354,19,FALSE))</f>
        <v/>
      </c>
      <c r="Q109" s="281" t="str">
        <f>IF(M109="","",VLOOKUP(M109,'G-6 Hedgerow Data'!$B$2:$AG$15,2,FALSE))</f>
        <v/>
      </c>
      <c r="R109" s="282" t="str">
        <f>IF(M109="","",VLOOKUP(M109,'G-6 Hedgerow Data'!$B$2:$AG$15,3,FALSE))</f>
        <v/>
      </c>
      <c r="S109" s="105"/>
      <c r="T109" s="282" t="str">
        <f>IFERROR(IF(S109="","",IF(AND(M109="Non-native and ornamental hedgerow", S109&lt;&gt;"Poor"),"Not possible ▲", (IF(AND(Q109="V.Low",OR(S109="Good",S109="Moderate")),"Error ▲",VLOOKUP(S109,'G-1 All Habitats'!$Z$2:$AA$9,2,FALSE))))),"")</f>
        <v/>
      </c>
      <c r="U109" s="105"/>
      <c r="V109" s="289" t="str">
        <f>IF(U109="","",IF(VLOOKUP(U109,'G-3 Multipliers'!$L$3:$N$6,2,FALSE)=0,"Spatial Data Missing ⚠",VLOOKUP(U109,'G-3 Multipliers'!$L$3:$N$6,2,FALSE)))</f>
        <v/>
      </c>
      <c r="W109" s="287" t="str">
        <f>IF(U109="","",IF(VLOOKUP(U109,'G-3 Multipliers'!$L$3:$N$6,3,FALSE)=0,"Spatial Data Missing ⚠",VLOOKUP(U109,'G-3 Multipliers'!$L$3:$N$6,3,FALSE)))</f>
        <v/>
      </c>
      <c r="X109" s="281" t="str">
        <f>IFERROR(IF(OR(LEFT(O109,5)="Error",LEFT(N109,5)="Error",T109="Error"),"Check Data ⚠",IF(F109&lt;R109,INDEX('G-6 Hedgerow Data'!$S$3:$AE$14,MATCH(C109,'G-6 Hedgerow Data'!$B$3:$B$14,0),MATCH(M109,'G-6 Hedgerow Data'!$S$2:$AE$2,0)),INDEX('G-6 Hedgerow Data'!$K$3:$Q$14,MATCH(M109,'G-6 Hedgerow Data'!$B$3:$B$14,0),MATCH(O109,'G-6 Hedgerow Data'!$K$2:$Q$2,0)))),"")</f>
        <v/>
      </c>
      <c r="Y109" s="137"/>
      <c r="Z109" s="137"/>
      <c r="AA109" s="289" t="str">
        <f t="shared" si="10"/>
        <v/>
      </c>
      <c r="AB109" s="302" t="str">
        <f t="shared" si="11"/>
        <v/>
      </c>
      <c r="AC109" s="303" t="str">
        <f t="shared" si="8"/>
        <v/>
      </c>
      <c r="AD109" s="317" t="str">
        <f>IF(M109="","",VLOOKUP(M109,'G-6 Hedgerow Data'!$B$3:$AG$15,31,FALSE))</f>
        <v/>
      </c>
      <c r="AE109" s="301" t="str">
        <f t="shared" si="12"/>
        <v/>
      </c>
      <c r="AF109" s="289" t="str">
        <f t="shared" si="13"/>
        <v/>
      </c>
      <c r="AG109" s="305" t="str">
        <f>IFERROR(IF(O109="","",VLOOKUP(AD109,'G-3 Multipliers'!$P$3:$Q$6,2,FALSE)),"")</f>
        <v/>
      </c>
      <c r="AH109" s="729" t="str">
        <f>IF(B109="","",IF(ISNA(VLOOKUP($B109,'E-1 Off-Site Hedge Baseline'!$B$1:$Z$257,14,FALSE)),"",(VLOOKUP($B109,'E-1 Off-Site Hedge Baseline'!$B$1:$Z$257,14,FALSE))))</f>
        <v/>
      </c>
      <c r="AI109" s="282" t="str">
        <f>IF(AH109="","",IF(VLOOKUP(AH109,'G-3 Multipliers'!$S$3:$T$10,2,FALSE)=0,"Spatial Data Missing ⚠",VLOOKUP(AH109,'G-3 Multipliers'!$S$3:$T$10,2,FALSE)))</f>
        <v/>
      </c>
      <c r="AJ109" s="323" t="str">
        <f t="shared" si="14"/>
        <v/>
      </c>
      <c r="AK109" s="295" t="str">
        <f t="shared" si="15"/>
        <v/>
      </c>
      <c r="AL109" s="105"/>
      <c r="AM109" s="119"/>
      <c r="AN109" s="108"/>
      <c r="AO109" s="108"/>
      <c r="AQ109" s="30" t="str">
        <f>IFERROR(INDEX('G-6 Hedgerow Data'!$BJ$3:$BJ$15,MATCH(M109,'G-6 Hedgerow Data'!$B$3:$B$15,0)),"")</f>
        <v/>
      </c>
    </row>
    <row r="110" spans="2:43" ht="13.8" x14ac:dyDescent="0.25">
      <c r="B110" s="311" t="str">
        <f>'E-1 Off-Site Hedge Baseline'!AN108</f>
        <v/>
      </c>
      <c r="C110" s="301" t="str">
        <f>IF(B110="","",IF(ISNA(VLOOKUP($B110,'E-1 Off-Site Hedge Baseline'!$B$1:$L$257,3,FALSE)),"",(VLOOKUP($B110,'E-1 Off-Site Hedge Baseline'!$B$1:$L$257,3,FALSE))))</f>
        <v/>
      </c>
      <c r="D110" s="301" t="str">
        <f>IF(B110="","",IF(ISNA(VLOOKUP($B110,'E-1 Off-Site Hedge Baseline'!$B$1:$L$258,4,FALSE)),"",(VLOOKUP($B110,'E-1 Off-Site Hedge Baseline'!$B$1:$L$258,4,FALSE))))</f>
        <v/>
      </c>
      <c r="E110" s="301" t="str">
        <f>IF(B110="","",IF(ISNA(VLOOKUP($B110,'E-1 Off-Site Hedge Baseline'!$B$1:$L$257,5,FALSE)),"",(VLOOKUP($B110,'E-1 Off-Site Hedge Baseline'!$B$1:$L$257,5,FALSE))))</f>
        <v/>
      </c>
      <c r="F110" s="301" t="str">
        <f>IF(B110="","",IF(ISNA(VLOOKUP($B110,'E-1 Off-Site Hedge Baseline'!$B$1:$L$257,6,FALSE)),"",(VLOOKUP($B110,'E-1 Off-Site Hedge Baseline'!$B$1:$L$257,6,FALSE))))</f>
        <v/>
      </c>
      <c r="G110" s="301" t="str">
        <f>IF(B110="","",IF(ISNA(VLOOKUP($B110,'E-1 Off-Site Hedge Baseline'!$B$1:$L$257,7,FALSE)),"",(VLOOKUP($B110,'E-1 Off-Site Hedge Baseline'!$B$1:$L$257,7,FALSE))))</f>
        <v/>
      </c>
      <c r="H110" s="301" t="str">
        <f>IF(B110="","",IF(ISNA(VLOOKUP($B110,'E-1 Off-Site Hedge Baseline'!$B$1:$L$257,8,FALSE)),"",(VLOOKUP($B110,'E-1 Off-Site Hedge Baseline'!$B$1:$L$257,8,FALSE))))</f>
        <v/>
      </c>
      <c r="I110" s="301" t="str">
        <f>IF(B110="","",IF(ISNA(VLOOKUP($B110,'E-1 Off-Site Hedge Baseline'!$B$1:$L$257,10,FALSE)),"",(VLOOKUP($B110,'E-1 Off-Site Hedge Baseline'!$B$1:$L$257,10,FALSE))))</f>
        <v/>
      </c>
      <c r="J110" s="301" t="str">
        <f>IF(B110="","",IF(ISNA(VLOOKUP($B110,'E-1 Off-Site Hedge Baseline'!$B$1:$L$257,11,FALSE)),"",(VLOOKUP($B110,'E-1 Off-Site Hedge Baseline'!$B$1:$L$257,11,FALSE))))</f>
        <v/>
      </c>
      <c r="K110" s="301" t="str">
        <f>IF(B110="","",IF(ISNA(VLOOKUP($B110,'E-1 Off-Site Hedge Baseline'!$B$1:$X$257,16,FALSE)),"",(VLOOKUP($B110,'E-1 Off-Site Hedge Baseline'!$B$1:$X$257,16,FALSE))))</f>
        <v/>
      </c>
      <c r="L110" s="289" t="str">
        <f>IF(B110="","",IF(ISNA(VLOOKUP($B110,'E-1 Off-Site Hedge Baseline'!$B$1:$X$257,12,FALSE)),"",(VLOOKUP($B110,'E-1 Off-Site Hedge Baseline'!$B$1:$X$257,12,FALSE))))</f>
        <v/>
      </c>
      <c r="M110" s="250"/>
      <c r="N110" s="281" t="str">
        <f>IFERROR(IF(B110="","",INDEX('G-6 Hedgerow Data'!$AN$3:$AZ$15,MATCH(C110,'G-6 Hedgerow Data'!$AM$3:$AM$15,0),MATCH(M110,'G-6 Hedgerow Data'!$AN$2:$AZ$2,0))),"")</f>
        <v/>
      </c>
      <c r="O110" s="282" t="str">
        <f t="shared" si="9"/>
        <v/>
      </c>
      <c r="P110" s="287" t="str">
        <f>IF(B110="","",VLOOKUP(B110,'E-1 Off-Site Hedge Baseline'!$B$10:W355,19,FALSE))</f>
        <v/>
      </c>
      <c r="Q110" s="281" t="str">
        <f>IF(M110="","",VLOOKUP(M110,'G-6 Hedgerow Data'!$B$2:$AG$15,2,FALSE))</f>
        <v/>
      </c>
      <c r="R110" s="282" t="str">
        <f>IF(M110="","",VLOOKUP(M110,'G-6 Hedgerow Data'!$B$2:$AG$15,3,FALSE))</f>
        <v/>
      </c>
      <c r="S110" s="105"/>
      <c r="T110" s="282" t="str">
        <f>IFERROR(IF(S110="","",IF(AND(M110="Non-native and ornamental hedgerow", S110&lt;&gt;"Poor"),"Not possible ▲", (IF(AND(Q110="V.Low",OR(S110="Good",S110="Moderate")),"Error ▲",VLOOKUP(S110,'G-1 All Habitats'!$Z$2:$AA$9,2,FALSE))))),"")</f>
        <v/>
      </c>
      <c r="U110" s="105"/>
      <c r="V110" s="289" t="str">
        <f>IF(U110="","",IF(VLOOKUP(U110,'G-3 Multipliers'!$L$3:$N$6,2,FALSE)=0,"Spatial Data Missing ⚠",VLOOKUP(U110,'G-3 Multipliers'!$L$3:$N$6,2,FALSE)))</f>
        <v/>
      </c>
      <c r="W110" s="287" t="str">
        <f>IF(U110="","",IF(VLOOKUP(U110,'G-3 Multipliers'!$L$3:$N$6,3,FALSE)=0,"Spatial Data Missing ⚠",VLOOKUP(U110,'G-3 Multipliers'!$L$3:$N$6,3,FALSE)))</f>
        <v/>
      </c>
      <c r="X110" s="281" t="str">
        <f>IFERROR(IF(OR(LEFT(O110,5)="Error",LEFT(N110,5)="Error",T110="Error"),"Check Data ⚠",IF(F110&lt;R110,INDEX('G-6 Hedgerow Data'!$S$3:$AE$14,MATCH(C110,'G-6 Hedgerow Data'!$B$3:$B$14,0),MATCH(M110,'G-6 Hedgerow Data'!$S$2:$AE$2,0)),INDEX('G-6 Hedgerow Data'!$K$3:$Q$14,MATCH(M110,'G-6 Hedgerow Data'!$B$3:$B$14,0),MATCH(O110,'G-6 Hedgerow Data'!$K$2:$Q$2,0)))),"")</f>
        <v/>
      </c>
      <c r="Y110" s="137"/>
      <c r="Z110" s="137"/>
      <c r="AA110" s="289" t="str">
        <f t="shared" si="10"/>
        <v/>
      </c>
      <c r="AB110" s="302" t="str">
        <f t="shared" si="11"/>
        <v/>
      </c>
      <c r="AC110" s="303" t="str">
        <f t="shared" si="8"/>
        <v/>
      </c>
      <c r="AD110" s="317" t="str">
        <f>IF(M110="","",VLOOKUP(M110,'G-6 Hedgerow Data'!$B$3:$AG$15,31,FALSE))</f>
        <v/>
      </c>
      <c r="AE110" s="301" t="str">
        <f t="shared" si="12"/>
        <v/>
      </c>
      <c r="AF110" s="289" t="str">
        <f t="shared" si="13"/>
        <v/>
      </c>
      <c r="AG110" s="305" t="str">
        <f>IFERROR(IF(O110="","",VLOOKUP(AD110,'G-3 Multipliers'!$P$3:$Q$6,2,FALSE)),"")</f>
        <v/>
      </c>
      <c r="AH110" s="729" t="str">
        <f>IF(B110="","",IF(ISNA(VLOOKUP($B110,'E-1 Off-Site Hedge Baseline'!$B$1:$Z$257,14,FALSE)),"",(VLOOKUP($B110,'E-1 Off-Site Hedge Baseline'!$B$1:$Z$257,14,FALSE))))</f>
        <v/>
      </c>
      <c r="AI110" s="282" t="str">
        <f>IF(AH110="","",IF(VLOOKUP(AH110,'G-3 Multipliers'!$S$3:$T$10,2,FALSE)=0,"Spatial Data Missing ⚠",VLOOKUP(AH110,'G-3 Multipliers'!$S$3:$T$10,2,FALSE)))</f>
        <v/>
      </c>
      <c r="AJ110" s="323" t="str">
        <f t="shared" si="14"/>
        <v/>
      </c>
      <c r="AK110" s="295" t="str">
        <f t="shared" si="15"/>
        <v/>
      </c>
      <c r="AL110" s="105"/>
      <c r="AM110" s="119"/>
      <c r="AN110" s="108"/>
      <c r="AO110" s="108"/>
      <c r="AQ110" s="30" t="str">
        <f>IFERROR(INDEX('G-6 Hedgerow Data'!$BJ$3:$BJ$15,MATCH(M110,'G-6 Hedgerow Data'!$B$3:$B$15,0)),"")</f>
        <v/>
      </c>
    </row>
    <row r="111" spans="2:43" ht="13.8" x14ac:dyDescent="0.25">
      <c r="B111" s="311" t="str">
        <f>'E-1 Off-Site Hedge Baseline'!AN109</f>
        <v/>
      </c>
      <c r="C111" s="301" t="str">
        <f>IF(B111="","",IF(ISNA(VLOOKUP($B111,'E-1 Off-Site Hedge Baseline'!$B$1:$L$257,3,FALSE)),"",(VLOOKUP($B111,'E-1 Off-Site Hedge Baseline'!$B$1:$L$257,3,FALSE))))</f>
        <v/>
      </c>
      <c r="D111" s="301" t="str">
        <f>IF(B111="","",IF(ISNA(VLOOKUP($B111,'E-1 Off-Site Hedge Baseline'!$B$1:$L$258,4,FALSE)),"",(VLOOKUP($B111,'E-1 Off-Site Hedge Baseline'!$B$1:$L$258,4,FALSE))))</f>
        <v/>
      </c>
      <c r="E111" s="301" t="str">
        <f>IF(B111="","",IF(ISNA(VLOOKUP($B111,'E-1 Off-Site Hedge Baseline'!$B$1:$L$257,5,FALSE)),"",(VLOOKUP($B111,'E-1 Off-Site Hedge Baseline'!$B$1:$L$257,5,FALSE))))</f>
        <v/>
      </c>
      <c r="F111" s="301" t="str">
        <f>IF(B111="","",IF(ISNA(VLOOKUP($B111,'E-1 Off-Site Hedge Baseline'!$B$1:$L$257,6,FALSE)),"",(VLOOKUP($B111,'E-1 Off-Site Hedge Baseline'!$B$1:$L$257,6,FALSE))))</f>
        <v/>
      </c>
      <c r="G111" s="301" t="str">
        <f>IF(B111="","",IF(ISNA(VLOOKUP($B111,'E-1 Off-Site Hedge Baseline'!$B$1:$L$257,7,FALSE)),"",(VLOOKUP($B111,'E-1 Off-Site Hedge Baseline'!$B$1:$L$257,7,FALSE))))</f>
        <v/>
      </c>
      <c r="H111" s="301" t="str">
        <f>IF(B111="","",IF(ISNA(VLOOKUP($B111,'E-1 Off-Site Hedge Baseline'!$B$1:$L$257,8,FALSE)),"",(VLOOKUP($B111,'E-1 Off-Site Hedge Baseline'!$B$1:$L$257,8,FALSE))))</f>
        <v/>
      </c>
      <c r="I111" s="301" t="str">
        <f>IF(B111="","",IF(ISNA(VLOOKUP($B111,'E-1 Off-Site Hedge Baseline'!$B$1:$L$257,10,FALSE)),"",(VLOOKUP($B111,'E-1 Off-Site Hedge Baseline'!$B$1:$L$257,10,FALSE))))</f>
        <v/>
      </c>
      <c r="J111" s="301" t="str">
        <f>IF(B111="","",IF(ISNA(VLOOKUP($B111,'E-1 Off-Site Hedge Baseline'!$B$1:$L$257,11,FALSE)),"",(VLOOKUP($B111,'E-1 Off-Site Hedge Baseline'!$B$1:$L$257,11,FALSE))))</f>
        <v/>
      </c>
      <c r="K111" s="301" t="str">
        <f>IF(B111="","",IF(ISNA(VLOOKUP($B111,'E-1 Off-Site Hedge Baseline'!$B$1:$X$257,16,FALSE)),"",(VLOOKUP($B111,'E-1 Off-Site Hedge Baseline'!$B$1:$X$257,16,FALSE))))</f>
        <v/>
      </c>
      <c r="L111" s="289" t="str">
        <f>IF(B111="","",IF(ISNA(VLOOKUP($B111,'E-1 Off-Site Hedge Baseline'!$B$1:$X$257,12,FALSE)),"",(VLOOKUP($B111,'E-1 Off-Site Hedge Baseline'!$B$1:$X$257,12,FALSE))))</f>
        <v/>
      </c>
      <c r="M111" s="250"/>
      <c r="N111" s="281" t="str">
        <f>IFERROR(IF(B111="","",INDEX('G-6 Hedgerow Data'!$AN$3:$AZ$15,MATCH(C111,'G-6 Hedgerow Data'!$AM$3:$AM$15,0),MATCH(M111,'G-6 Hedgerow Data'!$AN$2:$AZ$2,0))),"")</f>
        <v/>
      </c>
      <c r="O111" s="282" t="str">
        <f t="shared" si="9"/>
        <v/>
      </c>
      <c r="P111" s="287" t="str">
        <f>IF(B111="","",VLOOKUP(B111,'E-1 Off-Site Hedge Baseline'!$B$10:W356,19,FALSE))</f>
        <v/>
      </c>
      <c r="Q111" s="281" t="str">
        <f>IF(M111="","",VLOOKUP(M111,'G-6 Hedgerow Data'!$B$2:$AG$15,2,FALSE))</f>
        <v/>
      </c>
      <c r="R111" s="282" t="str">
        <f>IF(M111="","",VLOOKUP(M111,'G-6 Hedgerow Data'!$B$2:$AG$15,3,FALSE))</f>
        <v/>
      </c>
      <c r="S111" s="105"/>
      <c r="T111" s="282" t="str">
        <f>IFERROR(IF(S111="","",IF(AND(M111="Non-native and ornamental hedgerow", S111&lt;&gt;"Poor"),"Not possible ▲", (IF(AND(Q111="V.Low",OR(S111="Good",S111="Moderate")),"Error ▲",VLOOKUP(S111,'G-1 All Habitats'!$Z$2:$AA$9,2,FALSE))))),"")</f>
        <v/>
      </c>
      <c r="U111" s="105"/>
      <c r="V111" s="289" t="str">
        <f>IF(U111="","",IF(VLOOKUP(U111,'G-3 Multipliers'!$L$3:$N$6,2,FALSE)=0,"Spatial Data Missing ⚠",VLOOKUP(U111,'G-3 Multipliers'!$L$3:$N$6,2,FALSE)))</f>
        <v/>
      </c>
      <c r="W111" s="287" t="str">
        <f>IF(U111="","",IF(VLOOKUP(U111,'G-3 Multipliers'!$L$3:$N$6,3,FALSE)=0,"Spatial Data Missing ⚠",VLOOKUP(U111,'G-3 Multipliers'!$L$3:$N$6,3,FALSE)))</f>
        <v/>
      </c>
      <c r="X111" s="281" t="str">
        <f>IFERROR(IF(OR(LEFT(O111,5)="Error",LEFT(N111,5)="Error",T111="Error"),"Check Data ⚠",IF(F111&lt;R111,INDEX('G-6 Hedgerow Data'!$S$3:$AE$14,MATCH(C111,'G-6 Hedgerow Data'!$B$3:$B$14,0),MATCH(M111,'G-6 Hedgerow Data'!$S$2:$AE$2,0)),INDEX('G-6 Hedgerow Data'!$K$3:$Q$14,MATCH(M111,'G-6 Hedgerow Data'!$B$3:$B$14,0),MATCH(O111,'G-6 Hedgerow Data'!$K$2:$Q$2,0)))),"")</f>
        <v/>
      </c>
      <c r="Y111" s="137"/>
      <c r="Z111" s="137"/>
      <c r="AA111" s="289" t="str">
        <f t="shared" si="10"/>
        <v/>
      </c>
      <c r="AB111" s="302" t="str">
        <f t="shared" si="11"/>
        <v/>
      </c>
      <c r="AC111" s="303" t="str">
        <f t="shared" si="8"/>
        <v/>
      </c>
      <c r="AD111" s="317" t="str">
        <f>IF(M111="","",VLOOKUP(M111,'G-6 Hedgerow Data'!$B$3:$AG$15,31,FALSE))</f>
        <v/>
      </c>
      <c r="AE111" s="301" t="str">
        <f t="shared" si="12"/>
        <v/>
      </c>
      <c r="AF111" s="289" t="str">
        <f t="shared" si="13"/>
        <v/>
      </c>
      <c r="AG111" s="305" t="str">
        <f>IFERROR(IF(O111="","",VLOOKUP(AD111,'G-3 Multipliers'!$P$3:$Q$6,2,FALSE)),"")</f>
        <v/>
      </c>
      <c r="AH111" s="729" t="str">
        <f>IF(B111="","",IF(ISNA(VLOOKUP($B111,'E-1 Off-Site Hedge Baseline'!$B$1:$Z$257,14,FALSE)),"",(VLOOKUP($B111,'E-1 Off-Site Hedge Baseline'!$B$1:$Z$257,14,FALSE))))</f>
        <v/>
      </c>
      <c r="AI111" s="282" t="str">
        <f>IF(AH111="","",IF(VLOOKUP(AH111,'G-3 Multipliers'!$S$3:$T$10,2,FALSE)=0,"Spatial Data Missing ⚠",VLOOKUP(AH111,'G-3 Multipliers'!$S$3:$T$10,2,FALSE)))</f>
        <v/>
      </c>
      <c r="AJ111" s="323" t="str">
        <f t="shared" si="14"/>
        <v/>
      </c>
      <c r="AK111" s="295" t="str">
        <f t="shared" si="15"/>
        <v/>
      </c>
      <c r="AL111" s="105"/>
      <c r="AM111" s="119"/>
      <c r="AN111" s="108"/>
      <c r="AO111" s="108"/>
      <c r="AQ111" s="30" t="str">
        <f>IFERROR(INDEX('G-6 Hedgerow Data'!$BJ$3:$BJ$15,MATCH(M111,'G-6 Hedgerow Data'!$B$3:$B$15,0)),"")</f>
        <v/>
      </c>
    </row>
    <row r="112" spans="2:43" ht="13.8" x14ac:dyDescent="0.25">
      <c r="B112" s="311" t="str">
        <f>'E-1 Off-Site Hedge Baseline'!AN110</f>
        <v/>
      </c>
      <c r="C112" s="301" t="str">
        <f>IF(B112="","",IF(ISNA(VLOOKUP($B112,'E-1 Off-Site Hedge Baseline'!$B$1:$L$257,3,FALSE)),"",(VLOOKUP($B112,'E-1 Off-Site Hedge Baseline'!$B$1:$L$257,3,FALSE))))</f>
        <v/>
      </c>
      <c r="D112" s="301" t="str">
        <f>IF(B112="","",IF(ISNA(VLOOKUP($B112,'E-1 Off-Site Hedge Baseline'!$B$1:$L$258,4,FALSE)),"",(VLOOKUP($B112,'E-1 Off-Site Hedge Baseline'!$B$1:$L$258,4,FALSE))))</f>
        <v/>
      </c>
      <c r="E112" s="301" t="str">
        <f>IF(B112="","",IF(ISNA(VLOOKUP($B112,'E-1 Off-Site Hedge Baseline'!$B$1:$L$257,5,FALSE)),"",(VLOOKUP($B112,'E-1 Off-Site Hedge Baseline'!$B$1:$L$257,5,FALSE))))</f>
        <v/>
      </c>
      <c r="F112" s="301" t="str">
        <f>IF(B112="","",IF(ISNA(VLOOKUP($B112,'E-1 Off-Site Hedge Baseline'!$B$1:$L$257,6,FALSE)),"",(VLOOKUP($B112,'E-1 Off-Site Hedge Baseline'!$B$1:$L$257,6,FALSE))))</f>
        <v/>
      </c>
      <c r="G112" s="301" t="str">
        <f>IF(B112="","",IF(ISNA(VLOOKUP($B112,'E-1 Off-Site Hedge Baseline'!$B$1:$L$257,7,FALSE)),"",(VLOOKUP($B112,'E-1 Off-Site Hedge Baseline'!$B$1:$L$257,7,FALSE))))</f>
        <v/>
      </c>
      <c r="H112" s="301" t="str">
        <f>IF(B112="","",IF(ISNA(VLOOKUP($B112,'E-1 Off-Site Hedge Baseline'!$B$1:$L$257,8,FALSE)),"",(VLOOKUP($B112,'E-1 Off-Site Hedge Baseline'!$B$1:$L$257,8,FALSE))))</f>
        <v/>
      </c>
      <c r="I112" s="301" t="str">
        <f>IF(B112="","",IF(ISNA(VLOOKUP($B112,'E-1 Off-Site Hedge Baseline'!$B$1:$L$257,10,FALSE)),"",(VLOOKUP($B112,'E-1 Off-Site Hedge Baseline'!$B$1:$L$257,10,FALSE))))</f>
        <v/>
      </c>
      <c r="J112" s="301" t="str">
        <f>IF(B112="","",IF(ISNA(VLOOKUP($B112,'E-1 Off-Site Hedge Baseline'!$B$1:$L$257,11,FALSE)),"",(VLOOKUP($B112,'E-1 Off-Site Hedge Baseline'!$B$1:$L$257,11,FALSE))))</f>
        <v/>
      </c>
      <c r="K112" s="301" t="str">
        <f>IF(B112="","",IF(ISNA(VLOOKUP($B112,'E-1 Off-Site Hedge Baseline'!$B$1:$X$257,16,FALSE)),"",(VLOOKUP($B112,'E-1 Off-Site Hedge Baseline'!$B$1:$X$257,16,FALSE))))</f>
        <v/>
      </c>
      <c r="L112" s="289" t="str">
        <f>IF(B112="","",IF(ISNA(VLOOKUP($B112,'E-1 Off-Site Hedge Baseline'!$B$1:$X$257,12,FALSE)),"",(VLOOKUP($B112,'E-1 Off-Site Hedge Baseline'!$B$1:$X$257,12,FALSE))))</f>
        <v/>
      </c>
      <c r="M112" s="250"/>
      <c r="N112" s="281" t="str">
        <f>IFERROR(IF(B112="","",INDEX('G-6 Hedgerow Data'!$AN$3:$AZ$15,MATCH(C112,'G-6 Hedgerow Data'!$AM$3:$AM$15,0),MATCH(M112,'G-6 Hedgerow Data'!$AN$2:$AZ$2,0))),"")</f>
        <v/>
      </c>
      <c r="O112" s="282" t="str">
        <f t="shared" si="9"/>
        <v/>
      </c>
      <c r="P112" s="287" t="str">
        <f>IF(B112="","",VLOOKUP(B112,'E-1 Off-Site Hedge Baseline'!$B$10:W357,19,FALSE))</f>
        <v/>
      </c>
      <c r="Q112" s="281" t="str">
        <f>IF(M112="","",VLOOKUP(M112,'G-6 Hedgerow Data'!$B$2:$AG$15,2,FALSE))</f>
        <v/>
      </c>
      <c r="R112" s="282" t="str">
        <f>IF(M112="","",VLOOKUP(M112,'G-6 Hedgerow Data'!$B$2:$AG$15,3,FALSE))</f>
        <v/>
      </c>
      <c r="S112" s="105"/>
      <c r="T112" s="282" t="str">
        <f>IFERROR(IF(S112="","",IF(AND(M112="Non-native and ornamental hedgerow", S112&lt;&gt;"Poor"),"Not possible ▲", (IF(AND(Q112="V.Low",OR(S112="Good",S112="Moderate")),"Error ▲",VLOOKUP(S112,'G-1 All Habitats'!$Z$2:$AA$9,2,FALSE))))),"")</f>
        <v/>
      </c>
      <c r="U112" s="105"/>
      <c r="V112" s="289" t="str">
        <f>IF(U112="","",IF(VLOOKUP(U112,'G-3 Multipliers'!$L$3:$N$6,2,FALSE)=0,"Spatial Data Missing ⚠",VLOOKUP(U112,'G-3 Multipliers'!$L$3:$N$6,2,FALSE)))</f>
        <v/>
      </c>
      <c r="W112" s="287" t="str">
        <f>IF(U112="","",IF(VLOOKUP(U112,'G-3 Multipliers'!$L$3:$N$6,3,FALSE)=0,"Spatial Data Missing ⚠",VLOOKUP(U112,'G-3 Multipliers'!$L$3:$N$6,3,FALSE)))</f>
        <v/>
      </c>
      <c r="X112" s="281" t="str">
        <f>IFERROR(IF(OR(LEFT(O112,5)="Error",LEFT(N112,5)="Error",T112="Error"),"Check Data ⚠",IF(F112&lt;R112,INDEX('G-6 Hedgerow Data'!$S$3:$AE$14,MATCH(C112,'G-6 Hedgerow Data'!$B$3:$B$14,0),MATCH(M112,'G-6 Hedgerow Data'!$S$2:$AE$2,0)),INDEX('G-6 Hedgerow Data'!$K$3:$Q$14,MATCH(M112,'G-6 Hedgerow Data'!$B$3:$B$14,0),MATCH(O112,'G-6 Hedgerow Data'!$K$2:$Q$2,0)))),"")</f>
        <v/>
      </c>
      <c r="Y112" s="137"/>
      <c r="Z112" s="137"/>
      <c r="AA112" s="289" t="str">
        <f t="shared" si="10"/>
        <v/>
      </c>
      <c r="AB112" s="302" t="str">
        <f t="shared" si="11"/>
        <v/>
      </c>
      <c r="AC112" s="303" t="str">
        <f t="shared" si="8"/>
        <v/>
      </c>
      <c r="AD112" s="317" t="str">
        <f>IF(M112="","",VLOOKUP(M112,'G-6 Hedgerow Data'!$B$3:$AG$15,31,FALSE))</f>
        <v/>
      </c>
      <c r="AE112" s="301" t="str">
        <f t="shared" si="12"/>
        <v/>
      </c>
      <c r="AF112" s="289" t="str">
        <f t="shared" si="13"/>
        <v/>
      </c>
      <c r="AG112" s="305" t="str">
        <f>IFERROR(IF(O112="","",VLOOKUP(AD112,'G-3 Multipliers'!$P$3:$Q$6,2,FALSE)),"")</f>
        <v/>
      </c>
      <c r="AH112" s="729" t="str">
        <f>IF(B112="","",IF(ISNA(VLOOKUP($B112,'E-1 Off-Site Hedge Baseline'!$B$1:$Z$257,14,FALSE)),"",(VLOOKUP($B112,'E-1 Off-Site Hedge Baseline'!$B$1:$Z$257,14,FALSE))))</f>
        <v/>
      </c>
      <c r="AI112" s="282" t="str">
        <f>IF(AH112="","",IF(VLOOKUP(AH112,'G-3 Multipliers'!$S$3:$T$10,2,FALSE)=0,"Spatial Data Missing ⚠",VLOOKUP(AH112,'G-3 Multipliers'!$S$3:$T$10,2,FALSE)))</f>
        <v/>
      </c>
      <c r="AJ112" s="323" t="str">
        <f t="shared" si="14"/>
        <v/>
      </c>
      <c r="AK112" s="295" t="str">
        <f t="shared" si="15"/>
        <v/>
      </c>
      <c r="AL112" s="105"/>
      <c r="AM112" s="119"/>
      <c r="AN112" s="108"/>
      <c r="AO112" s="108"/>
      <c r="AQ112" s="30" t="str">
        <f>IFERROR(INDEX('G-6 Hedgerow Data'!$BJ$3:$BJ$15,MATCH(M112,'G-6 Hedgerow Data'!$B$3:$B$15,0)),"")</f>
        <v/>
      </c>
    </row>
    <row r="113" spans="2:43" ht="13.8" x14ac:dyDescent="0.25">
      <c r="B113" s="311" t="str">
        <f>'E-1 Off-Site Hedge Baseline'!AN111</f>
        <v/>
      </c>
      <c r="C113" s="301" t="str">
        <f>IF(B113="","",IF(ISNA(VLOOKUP($B113,'E-1 Off-Site Hedge Baseline'!$B$1:$L$257,3,FALSE)),"",(VLOOKUP($B113,'E-1 Off-Site Hedge Baseline'!$B$1:$L$257,3,FALSE))))</f>
        <v/>
      </c>
      <c r="D113" s="301" t="str">
        <f>IF(B113="","",IF(ISNA(VLOOKUP($B113,'E-1 Off-Site Hedge Baseline'!$B$1:$L$258,4,FALSE)),"",(VLOOKUP($B113,'E-1 Off-Site Hedge Baseline'!$B$1:$L$258,4,FALSE))))</f>
        <v/>
      </c>
      <c r="E113" s="301" t="str">
        <f>IF(B113="","",IF(ISNA(VLOOKUP($B113,'E-1 Off-Site Hedge Baseline'!$B$1:$L$257,5,FALSE)),"",(VLOOKUP($B113,'E-1 Off-Site Hedge Baseline'!$B$1:$L$257,5,FALSE))))</f>
        <v/>
      </c>
      <c r="F113" s="301" t="str">
        <f>IF(B113="","",IF(ISNA(VLOOKUP($B113,'E-1 Off-Site Hedge Baseline'!$B$1:$L$257,6,FALSE)),"",(VLOOKUP($B113,'E-1 Off-Site Hedge Baseline'!$B$1:$L$257,6,FALSE))))</f>
        <v/>
      </c>
      <c r="G113" s="301" t="str">
        <f>IF(B113="","",IF(ISNA(VLOOKUP($B113,'E-1 Off-Site Hedge Baseline'!$B$1:$L$257,7,FALSE)),"",(VLOOKUP($B113,'E-1 Off-Site Hedge Baseline'!$B$1:$L$257,7,FALSE))))</f>
        <v/>
      </c>
      <c r="H113" s="301" t="str">
        <f>IF(B113="","",IF(ISNA(VLOOKUP($B113,'E-1 Off-Site Hedge Baseline'!$B$1:$L$257,8,FALSE)),"",(VLOOKUP($B113,'E-1 Off-Site Hedge Baseline'!$B$1:$L$257,8,FALSE))))</f>
        <v/>
      </c>
      <c r="I113" s="301" t="str">
        <f>IF(B113="","",IF(ISNA(VLOOKUP($B113,'E-1 Off-Site Hedge Baseline'!$B$1:$L$257,10,FALSE)),"",(VLOOKUP($B113,'E-1 Off-Site Hedge Baseline'!$B$1:$L$257,10,FALSE))))</f>
        <v/>
      </c>
      <c r="J113" s="301" t="str">
        <f>IF(B113="","",IF(ISNA(VLOOKUP($B113,'E-1 Off-Site Hedge Baseline'!$B$1:$L$257,11,FALSE)),"",(VLOOKUP($B113,'E-1 Off-Site Hedge Baseline'!$B$1:$L$257,11,FALSE))))</f>
        <v/>
      </c>
      <c r="K113" s="301" t="str">
        <f>IF(B113="","",IF(ISNA(VLOOKUP($B113,'E-1 Off-Site Hedge Baseline'!$B$1:$X$257,16,FALSE)),"",(VLOOKUP($B113,'E-1 Off-Site Hedge Baseline'!$B$1:$X$257,16,FALSE))))</f>
        <v/>
      </c>
      <c r="L113" s="289" t="str">
        <f>IF(B113="","",IF(ISNA(VLOOKUP($B113,'E-1 Off-Site Hedge Baseline'!$B$1:$X$257,12,FALSE)),"",(VLOOKUP($B113,'E-1 Off-Site Hedge Baseline'!$B$1:$X$257,12,FALSE))))</f>
        <v/>
      </c>
      <c r="M113" s="250"/>
      <c r="N113" s="281" t="str">
        <f>IFERROR(IF(B113="","",INDEX('G-6 Hedgerow Data'!$AN$3:$AZ$15,MATCH(C113,'G-6 Hedgerow Data'!$AM$3:$AM$15,0),MATCH(M113,'G-6 Hedgerow Data'!$AN$2:$AZ$2,0))),"")</f>
        <v/>
      </c>
      <c r="O113" s="282" t="str">
        <f t="shared" si="9"/>
        <v/>
      </c>
      <c r="P113" s="287" t="str">
        <f>IF(B113="","",VLOOKUP(B113,'E-1 Off-Site Hedge Baseline'!$B$10:W358,19,FALSE))</f>
        <v/>
      </c>
      <c r="Q113" s="281" t="str">
        <f>IF(M113="","",VLOOKUP(M113,'G-6 Hedgerow Data'!$B$2:$AG$15,2,FALSE))</f>
        <v/>
      </c>
      <c r="R113" s="282" t="str">
        <f>IF(M113="","",VLOOKUP(M113,'G-6 Hedgerow Data'!$B$2:$AG$15,3,FALSE))</f>
        <v/>
      </c>
      <c r="S113" s="105"/>
      <c r="T113" s="282" t="str">
        <f>IFERROR(IF(S113="","",IF(AND(M113="Non-native and ornamental hedgerow", S113&lt;&gt;"Poor"),"Not possible ▲", (IF(AND(Q113="V.Low",OR(S113="Good",S113="Moderate")),"Error ▲",VLOOKUP(S113,'G-1 All Habitats'!$Z$2:$AA$9,2,FALSE))))),"")</f>
        <v/>
      </c>
      <c r="U113" s="105"/>
      <c r="V113" s="289" t="str">
        <f>IF(U113="","",IF(VLOOKUP(U113,'G-3 Multipliers'!$L$3:$N$6,2,FALSE)=0,"Spatial Data Missing ⚠",VLOOKUP(U113,'G-3 Multipliers'!$L$3:$N$6,2,FALSE)))</f>
        <v/>
      </c>
      <c r="W113" s="287" t="str">
        <f>IF(U113="","",IF(VLOOKUP(U113,'G-3 Multipliers'!$L$3:$N$6,3,FALSE)=0,"Spatial Data Missing ⚠",VLOOKUP(U113,'G-3 Multipliers'!$L$3:$N$6,3,FALSE)))</f>
        <v/>
      </c>
      <c r="X113" s="281" t="str">
        <f>IFERROR(IF(OR(LEFT(O113,5)="Error",LEFT(N113,5)="Error",T113="Error"),"Check Data ⚠",IF(F113&lt;R113,INDEX('G-6 Hedgerow Data'!$S$3:$AE$14,MATCH(C113,'G-6 Hedgerow Data'!$B$3:$B$14,0),MATCH(M113,'G-6 Hedgerow Data'!$S$2:$AE$2,0)),INDEX('G-6 Hedgerow Data'!$K$3:$Q$14,MATCH(M113,'G-6 Hedgerow Data'!$B$3:$B$14,0),MATCH(O113,'G-6 Hedgerow Data'!$K$2:$Q$2,0)))),"")</f>
        <v/>
      </c>
      <c r="Y113" s="137"/>
      <c r="Z113" s="137"/>
      <c r="AA113" s="289" t="str">
        <f t="shared" si="10"/>
        <v/>
      </c>
      <c r="AB113" s="302" t="str">
        <f t="shared" si="11"/>
        <v/>
      </c>
      <c r="AC113" s="303" t="str">
        <f t="shared" si="8"/>
        <v/>
      </c>
      <c r="AD113" s="317" t="str">
        <f>IF(M113="","",VLOOKUP(M113,'G-6 Hedgerow Data'!$B$3:$AG$15,31,FALSE))</f>
        <v/>
      </c>
      <c r="AE113" s="301" t="str">
        <f t="shared" si="12"/>
        <v/>
      </c>
      <c r="AF113" s="289" t="str">
        <f t="shared" si="13"/>
        <v/>
      </c>
      <c r="AG113" s="305" t="str">
        <f>IFERROR(IF(O113="","",VLOOKUP(AD113,'G-3 Multipliers'!$P$3:$Q$6,2,FALSE)),"")</f>
        <v/>
      </c>
      <c r="AH113" s="729" t="str">
        <f>IF(B113="","",IF(ISNA(VLOOKUP($B113,'E-1 Off-Site Hedge Baseline'!$B$1:$Z$257,14,FALSE)),"",(VLOOKUP($B113,'E-1 Off-Site Hedge Baseline'!$B$1:$Z$257,14,FALSE))))</f>
        <v/>
      </c>
      <c r="AI113" s="282" t="str">
        <f>IF(AH113="","",IF(VLOOKUP(AH113,'G-3 Multipliers'!$S$3:$T$10,2,FALSE)=0,"Spatial Data Missing ⚠",VLOOKUP(AH113,'G-3 Multipliers'!$S$3:$T$10,2,FALSE)))</f>
        <v/>
      </c>
      <c r="AJ113" s="323" t="str">
        <f t="shared" si="14"/>
        <v/>
      </c>
      <c r="AK113" s="295" t="str">
        <f t="shared" si="15"/>
        <v/>
      </c>
      <c r="AL113" s="105"/>
      <c r="AM113" s="119"/>
      <c r="AN113" s="108"/>
      <c r="AO113" s="108"/>
      <c r="AQ113" s="30" t="str">
        <f>IFERROR(INDEX('G-6 Hedgerow Data'!$BJ$3:$BJ$15,MATCH(M113,'G-6 Hedgerow Data'!$B$3:$B$15,0)),"")</f>
        <v/>
      </c>
    </row>
    <row r="114" spans="2:43" ht="13.8" x14ac:dyDescent="0.25">
      <c r="B114" s="311" t="str">
        <f>'E-1 Off-Site Hedge Baseline'!AN112</f>
        <v/>
      </c>
      <c r="C114" s="301" t="str">
        <f>IF(B114="","",IF(ISNA(VLOOKUP($B114,'E-1 Off-Site Hedge Baseline'!$B$1:$L$257,3,FALSE)),"",(VLOOKUP($B114,'E-1 Off-Site Hedge Baseline'!$B$1:$L$257,3,FALSE))))</f>
        <v/>
      </c>
      <c r="D114" s="301" t="str">
        <f>IF(B114="","",IF(ISNA(VLOOKUP($B114,'E-1 Off-Site Hedge Baseline'!$B$1:$L$258,4,FALSE)),"",(VLOOKUP($B114,'E-1 Off-Site Hedge Baseline'!$B$1:$L$258,4,FALSE))))</f>
        <v/>
      </c>
      <c r="E114" s="301" t="str">
        <f>IF(B114="","",IF(ISNA(VLOOKUP($B114,'E-1 Off-Site Hedge Baseline'!$B$1:$L$257,5,FALSE)),"",(VLOOKUP($B114,'E-1 Off-Site Hedge Baseline'!$B$1:$L$257,5,FALSE))))</f>
        <v/>
      </c>
      <c r="F114" s="301" t="str">
        <f>IF(B114="","",IF(ISNA(VLOOKUP($B114,'E-1 Off-Site Hedge Baseline'!$B$1:$L$257,6,FALSE)),"",(VLOOKUP($B114,'E-1 Off-Site Hedge Baseline'!$B$1:$L$257,6,FALSE))))</f>
        <v/>
      </c>
      <c r="G114" s="301" t="str">
        <f>IF(B114="","",IF(ISNA(VLOOKUP($B114,'E-1 Off-Site Hedge Baseline'!$B$1:$L$257,7,FALSE)),"",(VLOOKUP($B114,'E-1 Off-Site Hedge Baseline'!$B$1:$L$257,7,FALSE))))</f>
        <v/>
      </c>
      <c r="H114" s="301" t="str">
        <f>IF(B114="","",IF(ISNA(VLOOKUP($B114,'E-1 Off-Site Hedge Baseline'!$B$1:$L$257,8,FALSE)),"",(VLOOKUP($B114,'E-1 Off-Site Hedge Baseline'!$B$1:$L$257,8,FALSE))))</f>
        <v/>
      </c>
      <c r="I114" s="301" t="str">
        <f>IF(B114="","",IF(ISNA(VLOOKUP($B114,'E-1 Off-Site Hedge Baseline'!$B$1:$L$257,10,FALSE)),"",(VLOOKUP($B114,'E-1 Off-Site Hedge Baseline'!$B$1:$L$257,10,FALSE))))</f>
        <v/>
      </c>
      <c r="J114" s="301" t="str">
        <f>IF(B114="","",IF(ISNA(VLOOKUP($B114,'E-1 Off-Site Hedge Baseline'!$B$1:$L$257,11,FALSE)),"",(VLOOKUP($B114,'E-1 Off-Site Hedge Baseline'!$B$1:$L$257,11,FALSE))))</f>
        <v/>
      </c>
      <c r="K114" s="301" t="str">
        <f>IF(B114="","",IF(ISNA(VLOOKUP($B114,'E-1 Off-Site Hedge Baseline'!$B$1:$X$257,16,FALSE)),"",(VLOOKUP($B114,'E-1 Off-Site Hedge Baseline'!$B$1:$X$257,16,FALSE))))</f>
        <v/>
      </c>
      <c r="L114" s="289" t="str">
        <f>IF(B114="","",IF(ISNA(VLOOKUP($B114,'E-1 Off-Site Hedge Baseline'!$B$1:$X$257,12,FALSE)),"",(VLOOKUP($B114,'E-1 Off-Site Hedge Baseline'!$B$1:$X$257,12,FALSE))))</f>
        <v/>
      </c>
      <c r="M114" s="250"/>
      <c r="N114" s="281" t="str">
        <f>IFERROR(IF(B114="","",INDEX('G-6 Hedgerow Data'!$AN$3:$AZ$15,MATCH(C114,'G-6 Hedgerow Data'!$AM$3:$AM$15,0),MATCH(M114,'G-6 Hedgerow Data'!$AN$2:$AZ$2,0))),"")</f>
        <v/>
      </c>
      <c r="O114" s="282" t="str">
        <f t="shared" si="9"/>
        <v/>
      </c>
      <c r="P114" s="287" t="str">
        <f>IF(B114="","",VLOOKUP(B114,'E-1 Off-Site Hedge Baseline'!$B$10:W359,19,FALSE))</f>
        <v/>
      </c>
      <c r="Q114" s="281" t="str">
        <f>IF(M114="","",VLOOKUP(M114,'G-6 Hedgerow Data'!$B$2:$AG$15,2,FALSE))</f>
        <v/>
      </c>
      <c r="R114" s="282" t="str">
        <f>IF(M114="","",VLOOKUP(M114,'G-6 Hedgerow Data'!$B$2:$AG$15,3,FALSE))</f>
        <v/>
      </c>
      <c r="S114" s="105"/>
      <c r="T114" s="282" t="str">
        <f>IFERROR(IF(S114="","",IF(AND(M114="Non-native and ornamental hedgerow", S114&lt;&gt;"Poor"),"Not possible ▲", (IF(AND(Q114="V.Low",OR(S114="Good",S114="Moderate")),"Error ▲",VLOOKUP(S114,'G-1 All Habitats'!$Z$2:$AA$9,2,FALSE))))),"")</f>
        <v/>
      </c>
      <c r="U114" s="105"/>
      <c r="V114" s="289" t="str">
        <f>IF(U114="","",IF(VLOOKUP(U114,'G-3 Multipliers'!$L$3:$N$6,2,FALSE)=0,"Spatial Data Missing ⚠",VLOOKUP(U114,'G-3 Multipliers'!$L$3:$N$6,2,FALSE)))</f>
        <v/>
      </c>
      <c r="W114" s="287" t="str">
        <f>IF(U114="","",IF(VLOOKUP(U114,'G-3 Multipliers'!$L$3:$N$6,3,FALSE)=0,"Spatial Data Missing ⚠",VLOOKUP(U114,'G-3 Multipliers'!$L$3:$N$6,3,FALSE)))</f>
        <v/>
      </c>
      <c r="X114" s="281" t="str">
        <f>IFERROR(IF(OR(LEFT(O114,5)="Error",LEFT(N114,5)="Error",T114="Error"),"Check Data ⚠",IF(F114&lt;R114,INDEX('G-6 Hedgerow Data'!$S$3:$AE$14,MATCH(C114,'G-6 Hedgerow Data'!$B$3:$B$14,0),MATCH(M114,'G-6 Hedgerow Data'!$S$2:$AE$2,0)),INDEX('G-6 Hedgerow Data'!$K$3:$Q$14,MATCH(M114,'G-6 Hedgerow Data'!$B$3:$B$14,0),MATCH(O114,'G-6 Hedgerow Data'!$K$2:$Q$2,0)))),"")</f>
        <v/>
      </c>
      <c r="Y114" s="137"/>
      <c r="Z114" s="137"/>
      <c r="AA114" s="289" t="str">
        <f t="shared" si="10"/>
        <v/>
      </c>
      <c r="AB114" s="302" t="str">
        <f t="shared" si="11"/>
        <v/>
      </c>
      <c r="AC114" s="303" t="str">
        <f t="shared" si="8"/>
        <v/>
      </c>
      <c r="AD114" s="317" t="str">
        <f>IF(M114="","",VLOOKUP(M114,'G-6 Hedgerow Data'!$B$3:$AG$15,31,FALSE))</f>
        <v/>
      </c>
      <c r="AE114" s="301" t="str">
        <f t="shared" si="12"/>
        <v/>
      </c>
      <c r="AF114" s="289" t="str">
        <f t="shared" si="13"/>
        <v/>
      </c>
      <c r="AG114" s="305" t="str">
        <f>IFERROR(IF(O114="","",VLOOKUP(AD114,'G-3 Multipliers'!$P$3:$Q$6,2,FALSE)),"")</f>
        <v/>
      </c>
      <c r="AH114" s="729" t="str">
        <f>IF(B114="","",IF(ISNA(VLOOKUP($B114,'E-1 Off-Site Hedge Baseline'!$B$1:$Z$257,14,FALSE)),"",(VLOOKUP($B114,'E-1 Off-Site Hedge Baseline'!$B$1:$Z$257,14,FALSE))))</f>
        <v/>
      </c>
      <c r="AI114" s="282" t="str">
        <f>IF(AH114="","",IF(VLOOKUP(AH114,'G-3 Multipliers'!$S$3:$T$10,2,FALSE)=0,"Spatial Data Missing ⚠",VLOOKUP(AH114,'G-3 Multipliers'!$S$3:$T$10,2,FALSE)))</f>
        <v/>
      </c>
      <c r="AJ114" s="323" t="str">
        <f t="shared" si="14"/>
        <v/>
      </c>
      <c r="AK114" s="295" t="str">
        <f t="shared" si="15"/>
        <v/>
      </c>
      <c r="AL114" s="105"/>
      <c r="AM114" s="119"/>
      <c r="AN114" s="108"/>
      <c r="AO114" s="108"/>
      <c r="AQ114" s="30" t="str">
        <f>IFERROR(INDEX('G-6 Hedgerow Data'!$BJ$3:$BJ$15,MATCH(M114,'G-6 Hedgerow Data'!$B$3:$B$15,0)),"")</f>
        <v/>
      </c>
    </row>
    <row r="115" spans="2:43" ht="13.8" x14ac:dyDescent="0.25">
      <c r="B115" s="311" t="str">
        <f>'E-1 Off-Site Hedge Baseline'!AN113</f>
        <v/>
      </c>
      <c r="C115" s="301" t="str">
        <f>IF(B115="","",IF(ISNA(VLOOKUP($B115,'E-1 Off-Site Hedge Baseline'!$B$1:$L$257,3,FALSE)),"",(VLOOKUP($B115,'E-1 Off-Site Hedge Baseline'!$B$1:$L$257,3,FALSE))))</f>
        <v/>
      </c>
      <c r="D115" s="301" t="str">
        <f>IF(B115="","",IF(ISNA(VLOOKUP($B115,'E-1 Off-Site Hedge Baseline'!$B$1:$L$258,4,FALSE)),"",(VLOOKUP($B115,'E-1 Off-Site Hedge Baseline'!$B$1:$L$258,4,FALSE))))</f>
        <v/>
      </c>
      <c r="E115" s="301" t="str">
        <f>IF(B115="","",IF(ISNA(VLOOKUP($B115,'E-1 Off-Site Hedge Baseline'!$B$1:$L$257,5,FALSE)),"",(VLOOKUP($B115,'E-1 Off-Site Hedge Baseline'!$B$1:$L$257,5,FALSE))))</f>
        <v/>
      </c>
      <c r="F115" s="301" t="str">
        <f>IF(B115="","",IF(ISNA(VLOOKUP($B115,'E-1 Off-Site Hedge Baseline'!$B$1:$L$257,6,FALSE)),"",(VLOOKUP($B115,'E-1 Off-Site Hedge Baseline'!$B$1:$L$257,6,FALSE))))</f>
        <v/>
      </c>
      <c r="G115" s="301" t="str">
        <f>IF(B115="","",IF(ISNA(VLOOKUP($B115,'E-1 Off-Site Hedge Baseline'!$B$1:$L$257,7,FALSE)),"",(VLOOKUP($B115,'E-1 Off-Site Hedge Baseline'!$B$1:$L$257,7,FALSE))))</f>
        <v/>
      </c>
      <c r="H115" s="301" t="str">
        <f>IF(B115="","",IF(ISNA(VLOOKUP($B115,'E-1 Off-Site Hedge Baseline'!$B$1:$L$257,8,FALSE)),"",(VLOOKUP($B115,'E-1 Off-Site Hedge Baseline'!$B$1:$L$257,8,FALSE))))</f>
        <v/>
      </c>
      <c r="I115" s="301" t="str">
        <f>IF(B115="","",IF(ISNA(VLOOKUP($B115,'E-1 Off-Site Hedge Baseline'!$B$1:$L$257,10,FALSE)),"",(VLOOKUP($B115,'E-1 Off-Site Hedge Baseline'!$B$1:$L$257,10,FALSE))))</f>
        <v/>
      </c>
      <c r="J115" s="301" t="str">
        <f>IF(B115="","",IF(ISNA(VLOOKUP($B115,'E-1 Off-Site Hedge Baseline'!$B$1:$L$257,11,FALSE)),"",(VLOOKUP($B115,'E-1 Off-Site Hedge Baseline'!$B$1:$L$257,11,FALSE))))</f>
        <v/>
      </c>
      <c r="K115" s="301" t="str">
        <f>IF(B115="","",IF(ISNA(VLOOKUP($B115,'E-1 Off-Site Hedge Baseline'!$B$1:$X$257,16,FALSE)),"",(VLOOKUP($B115,'E-1 Off-Site Hedge Baseline'!$B$1:$X$257,16,FALSE))))</f>
        <v/>
      </c>
      <c r="L115" s="289" t="str">
        <f>IF(B115="","",IF(ISNA(VLOOKUP($B115,'E-1 Off-Site Hedge Baseline'!$B$1:$X$257,12,FALSE)),"",(VLOOKUP($B115,'E-1 Off-Site Hedge Baseline'!$B$1:$X$257,12,FALSE))))</f>
        <v/>
      </c>
      <c r="M115" s="250"/>
      <c r="N115" s="281" t="str">
        <f>IFERROR(IF(B115="","",INDEX('G-6 Hedgerow Data'!$AN$3:$AZ$15,MATCH(C115,'G-6 Hedgerow Data'!$AM$3:$AM$15,0),MATCH(M115,'G-6 Hedgerow Data'!$AN$2:$AZ$2,0))),"")</f>
        <v/>
      </c>
      <c r="O115" s="282" t="str">
        <f t="shared" si="9"/>
        <v/>
      </c>
      <c r="P115" s="287" t="str">
        <f>IF(B115="","",VLOOKUP(B115,'E-1 Off-Site Hedge Baseline'!$B$10:W360,19,FALSE))</f>
        <v/>
      </c>
      <c r="Q115" s="281" t="str">
        <f>IF(M115="","",VLOOKUP(M115,'G-6 Hedgerow Data'!$B$2:$AG$15,2,FALSE))</f>
        <v/>
      </c>
      <c r="R115" s="282" t="str">
        <f>IF(M115="","",VLOOKUP(M115,'G-6 Hedgerow Data'!$B$2:$AG$15,3,FALSE))</f>
        <v/>
      </c>
      <c r="S115" s="105"/>
      <c r="T115" s="282" t="str">
        <f>IFERROR(IF(S115="","",IF(AND(M115="Non-native and ornamental hedgerow", S115&lt;&gt;"Poor"),"Not possible ▲", (IF(AND(Q115="V.Low",OR(S115="Good",S115="Moderate")),"Error ▲",VLOOKUP(S115,'G-1 All Habitats'!$Z$2:$AA$9,2,FALSE))))),"")</f>
        <v/>
      </c>
      <c r="U115" s="105"/>
      <c r="V115" s="289" t="str">
        <f>IF(U115="","",IF(VLOOKUP(U115,'G-3 Multipliers'!$L$3:$N$6,2,FALSE)=0,"Spatial Data Missing ⚠",VLOOKUP(U115,'G-3 Multipliers'!$L$3:$N$6,2,FALSE)))</f>
        <v/>
      </c>
      <c r="W115" s="287" t="str">
        <f>IF(U115="","",IF(VLOOKUP(U115,'G-3 Multipliers'!$L$3:$N$6,3,FALSE)=0,"Spatial Data Missing ⚠",VLOOKUP(U115,'G-3 Multipliers'!$L$3:$N$6,3,FALSE)))</f>
        <v/>
      </c>
      <c r="X115" s="281" t="str">
        <f>IFERROR(IF(OR(LEFT(O115,5)="Error",LEFT(N115,5)="Error",T115="Error"),"Check Data ⚠",IF(F115&lt;R115,INDEX('G-6 Hedgerow Data'!$S$3:$AE$14,MATCH(C115,'G-6 Hedgerow Data'!$B$3:$B$14,0),MATCH(M115,'G-6 Hedgerow Data'!$S$2:$AE$2,0)),INDEX('G-6 Hedgerow Data'!$K$3:$Q$14,MATCH(M115,'G-6 Hedgerow Data'!$B$3:$B$14,0),MATCH(O115,'G-6 Hedgerow Data'!$K$2:$Q$2,0)))),"")</f>
        <v/>
      </c>
      <c r="Y115" s="137"/>
      <c r="Z115" s="137"/>
      <c r="AA115" s="289" t="str">
        <f t="shared" si="10"/>
        <v/>
      </c>
      <c r="AB115" s="302" t="str">
        <f t="shared" si="11"/>
        <v/>
      </c>
      <c r="AC115" s="303" t="str">
        <f t="shared" si="8"/>
        <v/>
      </c>
      <c r="AD115" s="317" t="str">
        <f>IF(M115="","",VLOOKUP(M115,'G-6 Hedgerow Data'!$B$3:$AG$15,31,FALSE))</f>
        <v/>
      </c>
      <c r="AE115" s="301" t="str">
        <f t="shared" si="12"/>
        <v/>
      </c>
      <c r="AF115" s="289" t="str">
        <f t="shared" si="13"/>
        <v/>
      </c>
      <c r="AG115" s="305" t="str">
        <f>IFERROR(IF(O115="","",VLOOKUP(AD115,'G-3 Multipliers'!$P$3:$Q$6,2,FALSE)),"")</f>
        <v/>
      </c>
      <c r="AH115" s="729" t="str">
        <f>IF(B115="","",IF(ISNA(VLOOKUP($B115,'E-1 Off-Site Hedge Baseline'!$B$1:$Z$257,14,FALSE)),"",(VLOOKUP($B115,'E-1 Off-Site Hedge Baseline'!$B$1:$Z$257,14,FALSE))))</f>
        <v/>
      </c>
      <c r="AI115" s="282" t="str">
        <f>IF(AH115="","",IF(VLOOKUP(AH115,'G-3 Multipliers'!$S$3:$T$10,2,FALSE)=0,"Spatial Data Missing ⚠",VLOOKUP(AH115,'G-3 Multipliers'!$S$3:$T$10,2,FALSE)))</f>
        <v/>
      </c>
      <c r="AJ115" s="323" t="str">
        <f t="shared" si="14"/>
        <v/>
      </c>
      <c r="AK115" s="295" t="str">
        <f t="shared" si="15"/>
        <v/>
      </c>
      <c r="AL115" s="105"/>
      <c r="AM115" s="119"/>
      <c r="AN115" s="108"/>
      <c r="AO115" s="108"/>
      <c r="AQ115" s="30" t="str">
        <f>IFERROR(INDEX('G-6 Hedgerow Data'!$BJ$3:$BJ$15,MATCH(M115,'G-6 Hedgerow Data'!$B$3:$B$15,0)),"")</f>
        <v/>
      </c>
    </row>
    <row r="116" spans="2:43" ht="13.8" x14ac:dyDescent="0.25">
      <c r="B116" s="311" t="str">
        <f>'E-1 Off-Site Hedge Baseline'!AN114</f>
        <v/>
      </c>
      <c r="C116" s="301" t="str">
        <f>IF(B116="","",IF(ISNA(VLOOKUP($B116,'E-1 Off-Site Hedge Baseline'!$B$1:$L$257,3,FALSE)),"",(VLOOKUP($B116,'E-1 Off-Site Hedge Baseline'!$B$1:$L$257,3,FALSE))))</f>
        <v/>
      </c>
      <c r="D116" s="301" t="str">
        <f>IF(B116="","",IF(ISNA(VLOOKUP($B116,'E-1 Off-Site Hedge Baseline'!$B$1:$L$258,4,FALSE)),"",(VLOOKUP($B116,'E-1 Off-Site Hedge Baseline'!$B$1:$L$258,4,FALSE))))</f>
        <v/>
      </c>
      <c r="E116" s="301" t="str">
        <f>IF(B116="","",IF(ISNA(VLOOKUP($B116,'E-1 Off-Site Hedge Baseline'!$B$1:$L$257,5,FALSE)),"",(VLOOKUP($B116,'E-1 Off-Site Hedge Baseline'!$B$1:$L$257,5,FALSE))))</f>
        <v/>
      </c>
      <c r="F116" s="301" t="str">
        <f>IF(B116="","",IF(ISNA(VLOOKUP($B116,'E-1 Off-Site Hedge Baseline'!$B$1:$L$257,6,FALSE)),"",(VLOOKUP($B116,'E-1 Off-Site Hedge Baseline'!$B$1:$L$257,6,FALSE))))</f>
        <v/>
      </c>
      <c r="G116" s="301" t="str">
        <f>IF(B116="","",IF(ISNA(VLOOKUP($B116,'E-1 Off-Site Hedge Baseline'!$B$1:$L$257,7,FALSE)),"",(VLOOKUP($B116,'E-1 Off-Site Hedge Baseline'!$B$1:$L$257,7,FALSE))))</f>
        <v/>
      </c>
      <c r="H116" s="301" t="str">
        <f>IF(B116="","",IF(ISNA(VLOOKUP($B116,'E-1 Off-Site Hedge Baseline'!$B$1:$L$257,8,FALSE)),"",(VLOOKUP($B116,'E-1 Off-Site Hedge Baseline'!$B$1:$L$257,8,FALSE))))</f>
        <v/>
      </c>
      <c r="I116" s="301" t="str">
        <f>IF(B116="","",IF(ISNA(VLOOKUP($B116,'E-1 Off-Site Hedge Baseline'!$B$1:$L$257,10,FALSE)),"",(VLOOKUP($B116,'E-1 Off-Site Hedge Baseline'!$B$1:$L$257,10,FALSE))))</f>
        <v/>
      </c>
      <c r="J116" s="301" t="str">
        <f>IF(B116="","",IF(ISNA(VLOOKUP($B116,'E-1 Off-Site Hedge Baseline'!$B$1:$L$257,11,FALSE)),"",(VLOOKUP($B116,'E-1 Off-Site Hedge Baseline'!$B$1:$L$257,11,FALSE))))</f>
        <v/>
      </c>
      <c r="K116" s="301" t="str">
        <f>IF(B116="","",IF(ISNA(VLOOKUP($B116,'E-1 Off-Site Hedge Baseline'!$B$1:$X$257,16,FALSE)),"",(VLOOKUP($B116,'E-1 Off-Site Hedge Baseline'!$B$1:$X$257,16,FALSE))))</f>
        <v/>
      </c>
      <c r="L116" s="289" t="str">
        <f>IF(B116="","",IF(ISNA(VLOOKUP($B116,'E-1 Off-Site Hedge Baseline'!$B$1:$X$257,12,FALSE)),"",(VLOOKUP($B116,'E-1 Off-Site Hedge Baseline'!$B$1:$X$257,12,FALSE))))</f>
        <v/>
      </c>
      <c r="M116" s="250"/>
      <c r="N116" s="281" t="str">
        <f>IFERROR(IF(B116="","",INDEX('G-6 Hedgerow Data'!$AN$3:$AZ$15,MATCH(C116,'G-6 Hedgerow Data'!$AM$3:$AM$15,0),MATCH(M116,'G-6 Hedgerow Data'!$AN$2:$AZ$2,0))),"")</f>
        <v/>
      </c>
      <c r="O116" s="282" t="str">
        <f t="shared" si="9"/>
        <v/>
      </c>
      <c r="P116" s="287" t="str">
        <f>IF(B116="","",VLOOKUP(B116,'E-1 Off-Site Hedge Baseline'!$B$10:W361,19,FALSE))</f>
        <v/>
      </c>
      <c r="Q116" s="281" t="str">
        <f>IF(M116="","",VLOOKUP(M116,'G-6 Hedgerow Data'!$B$2:$AG$15,2,FALSE))</f>
        <v/>
      </c>
      <c r="R116" s="282" t="str">
        <f>IF(M116="","",VLOOKUP(M116,'G-6 Hedgerow Data'!$B$2:$AG$15,3,FALSE))</f>
        <v/>
      </c>
      <c r="S116" s="105"/>
      <c r="T116" s="282" t="str">
        <f>IFERROR(IF(S116="","",IF(AND(M116="Non-native and ornamental hedgerow", S116&lt;&gt;"Poor"),"Not possible ▲", (IF(AND(Q116="V.Low",OR(S116="Good",S116="Moderate")),"Error ▲",VLOOKUP(S116,'G-1 All Habitats'!$Z$2:$AA$9,2,FALSE))))),"")</f>
        <v/>
      </c>
      <c r="U116" s="105"/>
      <c r="V116" s="289" t="str">
        <f>IF(U116="","",IF(VLOOKUP(U116,'G-3 Multipliers'!$L$3:$N$6,2,FALSE)=0,"Spatial Data Missing ⚠",VLOOKUP(U116,'G-3 Multipliers'!$L$3:$N$6,2,FALSE)))</f>
        <v/>
      </c>
      <c r="W116" s="287" t="str">
        <f>IF(U116="","",IF(VLOOKUP(U116,'G-3 Multipliers'!$L$3:$N$6,3,FALSE)=0,"Spatial Data Missing ⚠",VLOOKUP(U116,'G-3 Multipliers'!$L$3:$N$6,3,FALSE)))</f>
        <v/>
      </c>
      <c r="X116" s="281" t="str">
        <f>IFERROR(IF(OR(LEFT(O116,5)="Error",LEFT(N116,5)="Error",T116="Error"),"Check Data ⚠",IF(F116&lt;R116,INDEX('G-6 Hedgerow Data'!$S$3:$AE$14,MATCH(C116,'G-6 Hedgerow Data'!$B$3:$B$14,0),MATCH(M116,'G-6 Hedgerow Data'!$S$2:$AE$2,0)),INDEX('G-6 Hedgerow Data'!$K$3:$Q$14,MATCH(M116,'G-6 Hedgerow Data'!$B$3:$B$14,0),MATCH(O116,'G-6 Hedgerow Data'!$K$2:$Q$2,0)))),"")</f>
        <v/>
      </c>
      <c r="Y116" s="137"/>
      <c r="Z116" s="137"/>
      <c r="AA116" s="289" t="str">
        <f t="shared" si="10"/>
        <v/>
      </c>
      <c r="AB116" s="302" t="str">
        <f t="shared" si="11"/>
        <v/>
      </c>
      <c r="AC116" s="303" t="str">
        <f t="shared" si="8"/>
        <v/>
      </c>
      <c r="AD116" s="317" t="str">
        <f>IF(M116="","",VLOOKUP(M116,'G-6 Hedgerow Data'!$B$3:$AG$15,31,FALSE))</f>
        <v/>
      </c>
      <c r="AE116" s="301" t="str">
        <f t="shared" si="12"/>
        <v/>
      </c>
      <c r="AF116" s="289" t="str">
        <f t="shared" si="13"/>
        <v/>
      </c>
      <c r="AG116" s="305" t="str">
        <f>IFERROR(IF(O116="","",VLOOKUP(AD116,'G-3 Multipliers'!$P$3:$Q$6,2,FALSE)),"")</f>
        <v/>
      </c>
      <c r="AH116" s="729" t="str">
        <f>IF(B116="","",IF(ISNA(VLOOKUP($B116,'E-1 Off-Site Hedge Baseline'!$B$1:$Z$257,14,FALSE)),"",(VLOOKUP($B116,'E-1 Off-Site Hedge Baseline'!$B$1:$Z$257,14,FALSE))))</f>
        <v/>
      </c>
      <c r="AI116" s="282" t="str">
        <f>IF(AH116="","",IF(VLOOKUP(AH116,'G-3 Multipliers'!$S$3:$T$10,2,FALSE)=0,"Spatial Data Missing ⚠",VLOOKUP(AH116,'G-3 Multipliers'!$S$3:$T$10,2,FALSE)))</f>
        <v/>
      </c>
      <c r="AJ116" s="323" t="str">
        <f t="shared" si="14"/>
        <v/>
      </c>
      <c r="AK116" s="295" t="str">
        <f t="shared" si="15"/>
        <v/>
      </c>
      <c r="AL116" s="105"/>
      <c r="AM116" s="119"/>
      <c r="AN116" s="108"/>
      <c r="AO116" s="108"/>
      <c r="AQ116" s="30" t="str">
        <f>IFERROR(INDEX('G-6 Hedgerow Data'!$BJ$3:$BJ$15,MATCH(M116,'G-6 Hedgerow Data'!$B$3:$B$15,0)),"")</f>
        <v/>
      </c>
    </row>
    <row r="117" spans="2:43" ht="13.8" x14ac:dyDescent="0.25">
      <c r="B117" s="311" t="str">
        <f>'E-1 Off-Site Hedge Baseline'!AN115</f>
        <v/>
      </c>
      <c r="C117" s="301" t="str">
        <f>IF(B117="","",IF(ISNA(VLOOKUP($B117,'E-1 Off-Site Hedge Baseline'!$B$1:$L$257,3,FALSE)),"",(VLOOKUP($B117,'E-1 Off-Site Hedge Baseline'!$B$1:$L$257,3,FALSE))))</f>
        <v/>
      </c>
      <c r="D117" s="301" t="str">
        <f>IF(B117="","",IF(ISNA(VLOOKUP($B117,'E-1 Off-Site Hedge Baseline'!$B$1:$L$258,4,FALSE)),"",(VLOOKUP($B117,'E-1 Off-Site Hedge Baseline'!$B$1:$L$258,4,FALSE))))</f>
        <v/>
      </c>
      <c r="E117" s="301" t="str">
        <f>IF(B117="","",IF(ISNA(VLOOKUP($B117,'E-1 Off-Site Hedge Baseline'!$B$1:$L$257,5,FALSE)),"",(VLOOKUP($B117,'E-1 Off-Site Hedge Baseline'!$B$1:$L$257,5,FALSE))))</f>
        <v/>
      </c>
      <c r="F117" s="301" t="str">
        <f>IF(B117="","",IF(ISNA(VLOOKUP($B117,'E-1 Off-Site Hedge Baseline'!$B$1:$L$257,6,FALSE)),"",(VLOOKUP($B117,'E-1 Off-Site Hedge Baseline'!$B$1:$L$257,6,FALSE))))</f>
        <v/>
      </c>
      <c r="G117" s="301" t="str">
        <f>IF(B117="","",IF(ISNA(VLOOKUP($B117,'E-1 Off-Site Hedge Baseline'!$B$1:$L$257,7,FALSE)),"",(VLOOKUP($B117,'E-1 Off-Site Hedge Baseline'!$B$1:$L$257,7,FALSE))))</f>
        <v/>
      </c>
      <c r="H117" s="301" t="str">
        <f>IF(B117="","",IF(ISNA(VLOOKUP($B117,'E-1 Off-Site Hedge Baseline'!$B$1:$L$257,8,FALSE)),"",(VLOOKUP($B117,'E-1 Off-Site Hedge Baseline'!$B$1:$L$257,8,FALSE))))</f>
        <v/>
      </c>
      <c r="I117" s="301" t="str">
        <f>IF(B117="","",IF(ISNA(VLOOKUP($B117,'E-1 Off-Site Hedge Baseline'!$B$1:$L$257,10,FALSE)),"",(VLOOKUP($B117,'E-1 Off-Site Hedge Baseline'!$B$1:$L$257,10,FALSE))))</f>
        <v/>
      </c>
      <c r="J117" s="301" t="str">
        <f>IF(B117="","",IF(ISNA(VLOOKUP($B117,'E-1 Off-Site Hedge Baseline'!$B$1:$L$257,11,FALSE)),"",(VLOOKUP($B117,'E-1 Off-Site Hedge Baseline'!$B$1:$L$257,11,FALSE))))</f>
        <v/>
      </c>
      <c r="K117" s="301" t="str">
        <f>IF(B117="","",IF(ISNA(VLOOKUP($B117,'E-1 Off-Site Hedge Baseline'!$B$1:$X$257,16,FALSE)),"",(VLOOKUP($B117,'E-1 Off-Site Hedge Baseline'!$B$1:$X$257,16,FALSE))))</f>
        <v/>
      </c>
      <c r="L117" s="289" t="str">
        <f>IF(B117="","",IF(ISNA(VLOOKUP($B117,'E-1 Off-Site Hedge Baseline'!$B$1:$X$257,12,FALSE)),"",(VLOOKUP($B117,'E-1 Off-Site Hedge Baseline'!$B$1:$X$257,12,FALSE))))</f>
        <v/>
      </c>
      <c r="M117" s="250"/>
      <c r="N117" s="281" t="str">
        <f>IFERROR(IF(B117="","",INDEX('G-6 Hedgerow Data'!$AN$3:$AZ$15,MATCH(C117,'G-6 Hedgerow Data'!$AM$3:$AM$15,0),MATCH(M117,'G-6 Hedgerow Data'!$AN$2:$AZ$2,0))),"")</f>
        <v/>
      </c>
      <c r="O117" s="282" t="str">
        <f t="shared" si="9"/>
        <v/>
      </c>
      <c r="P117" s="287" t="str">
        <f>IF(B117="","",VLOOKUP(B117,'E-1 Off-Site Hedge Baseline'!$B$10:W362,19,FALSE))</f>
        <v/>
      </c>
      <c r="Q117" s="281" t="str">
        <f>IF(M117="","",VLOOKUP(M117,'G-6 Hedgerow Data'!$B$2:$AG$15,2,FALSE))</f>
        <v/>
      </c>
      <c r="R117" s="282" t="str">
        <f>IF(M117="","",VLOOKUP(M117,'G-6 Hedgerow Data'!$B$2:$AG$15,3,FALSE))</f>
        <v/>
      </c>
      <c r="S117" s="105"/>
      <c r="T117" s="282" t="str">
        <f>IFERROR(IF(S117="","",IF(AND(M117="Non-native and ornamental hedgerow", S117&lt;&gt;"Poor"),"Not possible ▲", (IF(AND(Q117="V.Low",OR(S117="Good",S117="Moderate")),"Error ▲",VLOOKUP(S117,'G-1 All Habitats'!$Z$2:$AA$9,2,FALSE))))),"")</f>
        <v/>
      </c>
      <c r="U117" s="105"/>
      <c r="V117" s="289" t="str">
        <f>IF(U117="","",IF(VLOOKUP(U117,'G-3 Multipliers'!$L$3:$N$6,2,FALSE)=0,"Spatial Data Missing ⚠",VLOOKUP(U117,'G-3 Multipliers'!$L$3:$N$6,2,FALSE)))</f>
        <v/>
      </c>
      <c r="W117" s="287" t="str">
        <f>IF(U117="","",IF(VLOOKUP(U117,'G-3 Multipliers'!$L$3:$N$6,3,FALSE)=0,"Spatial Data Missing ⚠",VLOOKUP(U117,'G-3 Multipliers'!$L$3:$N$6,3,FALSE)))</f>
        <v/>
      </c>
      <c r="X117" s="281" t="str">
        <f>IFERROR(IF(OR(LEFT(O117,5)="Error",LEFT(N117,5)="Error",T117="Error"),"Check Data ⚠",IF(F117&lt;R117,INDEX('G-6 Hedgerow Data'!$S$3:$AE$14,MATCH(C117,'G-6 Hedgerow Data'!$B$3:$B$14,0),MATCH(M117,'G-6 Hedgerow Data'!$S$2:$AE$2,0)),INDEX('G-6 Hedgerow Data'!$K$3:$Q$14,MATCH(M117,'G-6 Hedgerow Data'!$B$3:$B$14,0),MATCH(O117,'G-6 Hedgerow Data'!$K$2:$Q$2,0)))),"")</f>
        <v/>
      </c>
      <c r="Y117" s="137"/>
      <c r="Z117" s="137"/>
      <c r="AA117" s="289" t="str">
        <f t="shared" si="10"/>
        <v/>
      </c>
      <c r="AB117" s="302" t="str">
        <f t="shared" si="11"/>
        <v/>
      </c>
      <c r="AC117" s="303" t="str">
        <f t="shared" si="8"/>
        <v/>
      </c>
      <c r="AD117" s="317" t="str">
        <f>IF(M117="","",VLOOKUP(M117,'G-6 Hedgerow Data'!$B$3:$AG$15,31,FALSE))</f>
        <v/>
      </c>
      <c r="AE117" s="301" t="str">
        <f t="shared" si="12"/>
        <v/>
      </c>
      <c r="AF117" s="289" t="str">
        <f t="shared" si="13"/>
        <v/>
      </c>
      <c r="AG117" s="305" t="str">
        <f>IFERROR(IF(O117="","",VLOOKUP(AD117,'G-3 Multipliers'!$P$3:$Q$6,2,FALSE)),"")</f>
        <v/>
      </c>
      <c r="AH117" s="729" t="str">
        <f>IF(B117="","",IF(ISNA(VLOOKUP($B117,'E-1 Off-Site Hedge Baseline'!$B$1:$Z$257,14,FALSE)),"",(VLOOKUP($B117,'E-1 Off-Site Hedge Baseline'!$B$1:$Z$257,14,FALSE))))</f>
        <v/>
      </c>
      <c r="AI117" s="282" t="str">
        <f>IF(AH117="","",IF(VLOOKUP(AH117,'G-3 Multipliers'!$S$3:$T$10,2,FALSE)=0,"Spatial Data Missing ⚠",VLOOKUP(AH117,'G-3 Multipliers'!$S$3:$T$10,2,FALSE)))</f>
        <v/>
      </c>
      <c r="AJ117" s="323" t="str">
        <f t="shared" si="14"/>
        <v/>
      </c>
      <c r="AK117" s="295" t="str">
        <f t="shared" si="15"/>
        <v/>
      </c>
      <c r="AL117" s="105"/>
      <c r="AM117" s="119"/>
      <c r="AN117" s="108"/>
      <c r="AO117" s="108"/>
      <c r="AQ117" s="30" t="str">
        <f>IFERROR(INDEX('G-6 Hedgerow Data'!$BJ$3:$BJ$15,MATCH(M117,'G-6 Hedgerow Data'!$B$3:$B$15,0)),"")</f>
        <v/>
      </c>
    </row>
    <row r="118" spans="2:43" ht="13.8" x14ac:dyDescent="0.25">
      <c r="B118" s="311" t="str">
        <f>'E-1 Off-Site Hedge Baseline'!AN116</f>
        <v/>
      </c>
      <c r="C118" s="301" t="str">
        <f>IF(B118="","",IF(ISNA(VLOOKUP($B118,'E-1 Off-Site Hedge Baseline'!$B$1:$L$257,3,FALSE)),"",(VLOOKUP($B118,'E-1 Off-Site Hedge Baseline'!$B$1:$L$257,3,FALSE))))</f>
        <v/>
      </c>
      <c r="D118" s="301" t="str">
        <f>IF(B118="","",IF(ISNA(VLOOKUP($B118,'E-1 Off-Site Hedge Baseline'!$B$1:$L$258,4,FALSE)),"",(VLOOKUP($B118,'E-1 Off-Site Hedge Baseline'!$B$1:$L$258,4,FALSE))))</f>
        <v/>
      </c>
      <c r="E118" s="301" t="str">
        <f>IF(B118="","",IF(ISNA(VLOOKUP($B118,'E-1 Off-Site Hedge Baseline'!$B$1:$L$257,5,FALSE)),"",(VLOOKUP($B118,'E-1 Off-Site Hedge Baseline'!$B$1:$L$257,5,FALSE))))</f>
        <v/>
      </c>
      <c r="F118" s="301" t="str">
        <f>IF(B118="","",IF(ISNA(VLOOKUP($B118,'E-1 Off-Site Hedge Baseline'!$B$1:$L$257,6,FALSE)),"",(VLOOKUP($B118,'E-1 Off-Site Hedge Baseline'!$B$1:$L$257,6,FALSE))))</f>
        <v/>
      </c>
      <c r="G118" s="301" t="str">
        <f>IF(B118="","",IF(ISNA(VLOOKUP($B118,'E-1 Off-Site Hedge Baseline'!$B$1:$L$257,7,FALSE)),"",(VLOOKUP($B118,'E-1 Off-Site Hedge Baseline'!$B$1:$L$257,7,FALSE))))</f>
        <v/>
      </c>
      <c r="H118" s="301" t="str">
        <f>IF(B118="","",IF(ISNA(VLOOKUP($B118,'E-1 Off-Site Hedge Baseline'!$B$1:$L$257,8,FALSE)),"",(VLOOKUP($B118,'E-1 Off-Site Hedge Baseline'!$B$1:$L$257,8,FALSE))))</f>
        <v/>
      </c>
      <c r="I118" s="301" t="str">
        <f>IF(B118="","",IF(ISNA(VLOOKUP($B118,'E-1 Off-Site Hedge Baseline'!$B$1:$L$257,10,FALSE)),"",(VLOOKUP($B118,'E-1 Off-Site Hedge Baseline'!$B$1:$L$257,10,FALSE))))</f>
        <v/>
      </c>
      <c r="J118" s="301" t="str">
        <f>IF(B118="","",IF(ISNA(VLOOKUP($B118,'E-1 Off-Site Hedge Baseline'!$B$1:$L$257,11,FALSE)),"",(VLOOKUP($B118,'E-1 Off-Site Hedge Baseline'!$B$1:$L$257,11,FALSE))))</f>
        <v/>
      </c>
      <c r="K118" s="301" t="str">
        <f>IF(B118="","",IF(ISNA(VLOOKUP($B118,'E-1 Off-Site Hedge Baseline'!$B$1:$X$257,16,FALSE)),"",(VLOOKUP($B118,'E-1 Off-Site Hedge Baseline'!$B$1:$X$257,16,FALSE))))</f>
        <v/>
      </c>
      <c r="L118" s="289" t="str">
        <f>IF(B118="","",IF(ISNA(VLOOKUP($B118,'E-1 Off-Site Hedge Baseline'!$B$1:$X$257,12,FALSE)),"",(VLOOKUP($B118,'E-1 Off-Site Hedge Baseline'!$B$1:$X$257,12,FALSE))))</f>
        <v/>
      </c>
      <c r="M118" s="250"/>
      <c r="N118" s="281" t="str">
        <f>IFERROR(IF(B118="","",INDEX('G-6 Hedgerow Data'!$AN$3:$AZ$15,MATCH(C118,'G-6 Hedgerow Data'!$AM$3:$AM$15,0),MATCH(M118,'G-6 Hedgerow Data'!$AN$2:$AZ$2,0))),"")</f>
        <v/>
      </c>
      <c r="O118" s="282" t="str">
        <f t="shared" si="9"/>
        <v/>
      </c>
      <c r="P118" s="287" t="str">
        <f>IF(B118="","",VLOOKUP(B118,'E-1 Off-Site Hedge Baseline'!$B$10:W363,19,FALSE))</f>
        <v/>
      </c>
      <c r="Q118" s="281" t="str">
        <f>IF(M118="","",VLOOKUP(M118,'G-6 Hedgerow Data'!$B$2:$AG$15,2,FALSE))</f>
        <v/>
      </c>
      <c r="R118" s="282" t="str">
        <f>IF(M118="","",VLOOKUP(M118,'G-6 Hedgerow Data'!$B$2:$AG$15,3,FALSE))</f>
        <v/>
      </c>
      <c r="S118" s="105"/>
      <c r="T118" s="282" t="str">
        <f>IFERROR(IF(S118="","",IF(AND(M118="Non-native and ornamental hedgerow", S118&lt;&gt;"Poor"),"Not possible ▲", (IF(AND(Q118="V.Low",OR(S118="Good",S118="Moderate")),"Error ▲",VLOOKUP(S118,'G-1 All Habitats'!$Z$2:$AA$9,2,FALSE))))),"")</f>
        <v/>
      </c>
      <c r="U118" s="105"/>
      <c r="V118" s="289" t="str">
        <f>IF(U118="","",IF(VLOOKUP(U118,'G-3 Multipliers'!$L$3:$N$6,2,FALSE)=0,"Spatial Data Missing ⚠",VLOOKUP(U118,'G-3 Multipliers'!$L$3:$N$6,2,FALSE)))</f>
        <v/>
      </c>
      <c r="W118" s="287" t="str">
        <f>IF(U118="","",IF(VLOOKUP(U118,'G-3 Multipliers'!$L$3:$N$6,3,FALSE)=0,"Spatial Data Missing ⚠",VLOOKUP(U118,'G-3 Multipliers'!$L$3:$N$6,3,FALSE)))</f>
        <v/>
      </c>
      <c r="X118" s="281" t="str">
        <f>IFERROR(IF(OR(LEFT(O118,5)="Error",LEFT(N118,5)="Error",T118="Error"),"Check Data ⚠",IF(F118&lt;R118,INDEX('G-6 Hedgerow Data'!$S$3:$AE$14,MATCH(C118,'G-6 Hedgerow Data'!$B$3:$B$14,0),MATCH(M118,'G-6 Hedgerow Data'!$S$2:$AE$2,0)),INDEX('G-6 Hedgerow Data'!$K$3:$Q$14,MATCH(M118,'G-6 Hedgerow Data'!$B$3:$B$14,0),MATCH(O118,'G-6 Hedgerow Data'!$K$2:$Q$2,0)))),"")</f>
        <v/>
      </c>
      <c r="Y118" s="137"/>
      <c r="Z118" s="137"/>
      <c r="AA118" s="289" t="str">
        <f t="shared" si="10"/>
        <v/>
      </c>
      <c r="AB118" s="302" t="str">
        <f t="shared" si="11"/>
        <v/>
      </c>
      <c r="AC118" s="303" t="str">
        <f t="shared" si="8"/>
        <v/>
      </c>
      <c r="AD118" s="317" t="str">
        <f>IF(M118="","",VLOOKUP(M118,'G-6 Hedgerow Data'!$B$3:$AG$15,31,FALSE))</f>
        <v/>
      </c>
      <c r="AE118" s="301" t="str">
        <f t="shared" si="12"/>
        <v/>
      </c>
      <c r="AF118" s="289" t="str">
        <f t="shared" si="13"/>
        <v/>
      </c>
      <c r="AG118" s="305" t="str">
        <f>IFERROR(IF(O118="","",VLOOKUP(AD118,'G-3 Multipliers'!$P$3:$Q$6,2,FALSE)),"")</f>
        <v/>
      </c>
      <c r="AH118" s="729" t="str">
        <f>IF(B118="","",IF(ISNA(VLOOKUP($B118,'E-1 Off-Site Hedge Baseline'!$B$1:$Z$257,14,FALSE)),"",(VLOOKUP($B118,'E-1 Off-Site Hedge Baseline'!$B$1:$Z$257,14,FALSE))))</f>
        <v/>
      </c>
      <c r="AI118" s="282" t="str">
        <f>IF(AH118="","",IF(VLOOKUP(AH118,'G-3 Multipliers'!$S$3:$T$10,2,FALSE)=0,"Spatial Data Missing ⚠",VLOOKUP(AH118,'G-3 Multipliers'!$S$3:$T$10,2,FALSE)))</f>
        <v/>
      </c>
      <c r="AJ118" s="323" t="str">
        <f t="shared" si="14"/>
        <v/>
      </c>
      <c r="AK118" s="295" t="str">
        <f t="shared" si="15"/>
        <v/>
      </c>
      <c r="AL118" s="105"/>
      <c r="AM118" s="119"/>
      <c r="AN118" s="108"/>
      <c r="AO118" s="108"/>
      <c r="AQ118" s="30" t="str">
        <f>IFERROR(INDEX('G-6 Hedgerow Data'!$BJ$3:$BJ$15,MATCH(M118,'G-6 Hedgerow Data'!$B$3:$B$15,0)),"")</f>
        <v/>
      </c>
    </row>
    <row r="119" spans="2:43" ht="13.8" x14ac:dyDescent="0.25">
      <c r="B119" s="311" t="str">
        <f>'E-1 Off-Site Hedge Baseline'!AN117</f>
        <v/>
      </c>
      <c r="C119" s="301" t="str">
        <f>IF(B119="","",IF(ISNA(VLOOKUP($B119,'E-1 Off-Site Hedge Baseline'!$B$1:$L$257,3,FALSE)),"",(VLOOKUP($B119,'E-1 Off-Site Hedge Baseline'!$B$1:$L$257,3,FALSE))))</f>
        <v/>
      </c>
      <c r="D119" s="301" t="str">
        <f>IF(B119="","",IF(ISNA(VLOOKUP($B119,'E-1 Off-Site Hedge Baseline'!$B$1:$L$258,4,FALSE)),"",(VLOOKUP($B119,'E-1 Off-Site Hedge Baseline'!$B$1:$L$258,4,FALSE))))</f>
        <v/>
      </c>
      <c r="E119" s="301" t="str">
        <f>IF(B119="","",IF(ISNA(VLOOKUP($B119,'E-1 Off-Site Hedge Baseline'!$B$1:$L$257,5,FALSE)),"",(VLOOKUP($B119,'E-1 Off-Site Hedge Baseline'!$B$1:$L$257,5,FALSE))))</f>
        <v/>
      </c>
      <c r="F119" s="301" t="str">
        <f>IF(B119="","",IF(ISNA(VLOOKUP($B119,'E-1 Off-Site Hedge Baseline'!$B$1:$L$257,6,FALSE)),"",(VLOOKUP($B119,'E-1 Off-Site Hedge Baseline'!$B$1:$L$257,6,FALSE))))</f>
        <v/>
      </c>
      <c r="G119" s="301" t="str">
        <f>IF(B119="","",IF(ISNA(VLOOKUP($B119,'E-1 Off-Site Hedge Baseline'!$B$1:$L$257,7,FALSE)),"",(VLOOKUP($B119,'E-1 Off-Site Hedge Baseline'!$B$1:$L$257,7,FALSE))))</f>
        <v/>
      </c>
      <c r="H119" s="301" t="str">
        <f>IF(B119="","",IF(ISNA(VLOOKUP($B119,'E-1 Off-Site Hedge Baseline'!$B$1:$L$257,8,FALSE)),"",(VLOOKUP($B119,'E-1 Off-Site Hedge Baseline'!$B$1:$L$257,8,FALSE))))</f>
        <v/>
      </c>
      <c r="I119" s="301" t="str">
        <f>IF(B119="","",IF(ISNA(VLOOKUP($B119,'E-1 Off-Site Hedge Baseline'!$B$1:$L$257,10,FALSE)),"",(VLOOKUP($B119,'E-1 Off-Site Hedge Baseline'!$B$1:$L$257,10,FALSE))))</f>
        <v/>
      </c>
      <c r="J119" s="301" t="str">
        <f>IF(B119="","",IF(ISNA(VLOOKUP($B119,'E-1 Off-Site Hedge Baseline'!$B$1:$L$257,11,FALSE)),"",(VLOOKUP($B119,'E-1 Off-Site Hedge Baseline'!$B$1:$L$257,11,FALSE))))</f>
        <v/>
      </c>
      <c r="K119" s="301" t="str">
        <f>IF(B119="","",IF(ISNA(VLOOKUP($B119,'E-1 Off-Site Hedge Baseline'!$B$1:$X$257,16,FALSE)),"",(VLOOKUP($B119,'E-1 Off-Site Hedge Baseline'!$B$1:$X$257,16,FALSE))))</f>
        <v/>
      </c>
      <c r="L119" s="289" t="str">
        <f>IF(B119="","",IF(ISNA(VLOOKUP($B119,'E-1 Off-Site Hedge Baseline'!$B$1:$X$257,12,FALSE)),"",(VLOOKUP($B119,'E-1 Off-Site Hedge Baseline'!$B$1:$X$257,12,FALSE))))</f>
        <v/>
      </c>
      <c r="M119" s="250"/>
      <c r="N119" s="281" t="str">
        <f>IFERROR(IF(B119="","",INDEX('G-6 Hedgerow Data'!$AN$3:$AZ$15,MATCH(C119,'G-6 Hedgerow Data'!$AM$3:$AM$15,0),MATCH(M119,'G-6 Hedgerow Data'!$AN$2:$AZ$2,0))),"")</f>
        <v/>
      </c>
      <c r="O119" s="282" t="str">
        <f t="shared" si="9"/>
        <v/>
      </c>
      <c r="P119" s="287" t="str">
        <f>IF(B119="","",VLOOKUP(B119,'E-1 Off-Site Hedge Baseline'!$B$10:W364,19,FALSE))</f>
        <v/>
      </c>
      <c r="Q119" s="281" t="str">
        <f>IF(M119="","",VLOOKUP(M119,'G-6 Hedgerow Data'!$B$2:$AG$15,2,FALSE))</f>
        <v/>
      </c>
      <c r="R119" s="282" t="str">
        <f>IF(M119="","",VLOOKUP(M119,'G-6 Hedgerow Data'!$B$2:$AG$15,3,FALSE))</f>
        <v/>
      </c>
      <c r="S119" s="105"/>
      <c r="T119" s="282" t="str">
        <f>IFERROR(IF(S119="","",IF(AND(M119="Non-native and ornamental hedgerow", S119&lt;&gt;"Poor"),"Not possible ▲", (IF(AND(Q119="V.Low",OR(S119="Good",S119="Moderate")),"Error ▲",VLOOKUP(S119,'G-1 All Habitats'!$Z$2:$AA$9,2,FALSE))))),"")</f>
        <v/>
      </c>
      <c r="U119" s="105"/>
      <c r="V119" s="289" t="str">
        <f>IF(U119="","",IF(VLOOKUP(U119,'G-3 Multipliers'!$L$3:$N$6,2,FALSE)=0,"Spatial Data Missing ⚠",VLOOKUP(U119,'G-3 Multipliers'!$L$3:$N$6,2,FALSE)))</f>
        <v/>
      </c>
      <c r="W119" s="287" t="str">
        <f>IF(U119="","",IF(VLOOKUP(U119,'G-3 Multipliers'!$L$3:$N$6,3,FALSE)=0,"Spatial Data Missing ⚠",VLOOKUP(U119,'G-3 Multipliers'!$L$3:$N$6,3,FALSE)))</f>
        <v/>
      </c>
      <c r="X119" s="281" t="str">
        <f>IFERROR(IF(OR(LEFT(O119,5)="Error",LEFT(N119,5)="Error",T119="Error"),"Check Data ⚠",IF(F119&lt;R119,INDEX('G-6 Hedgerow Data'!$S$3:$AE$14,MATCH(C119,'G-6 Hedgerow Data'!$B$3:$B$14,0),MATCH(M119,'G-6 Hedgerow Data'!$S$2:$AE$2,0)),INDEX('G-6 Hedgerow Data'!$K$3:$Q$14,MATCH(M119,'G-6 Hedgerow Data'!$B$3:$B$14,0),MATCH(O119,'G-6 Hedgerow Data'!$K$2:$Q$2,0)))),"")</f>
        <v/>
      </c>
      <c r="Y119" s="137"/>
      <c r="Z119" s="137"/>
      <c r="AA119" s="289" t="str">
        <f t="shared" si="10"/>
        <v/>
      </c>
      <c r="AB119" s="302" t="str">
        <f t="shared" si="11"/>
        <v/>
      </c>
      <c r="AC119" s="303" t="str">
        <f t="shared" si="8"/>
        <v/>
      </c>
      <c r="AD119" s="317" t="str">
        <f>IF(M119="","",VLOOKUP(M119,'G-6 Hedgerow Data'!$B$3:$AG$15,31,FALSE))</f>
        <v/>
      </c>
      <c r="AE119" s="301" t="str">
        <f t="shared" si="12"/>
        <v/>
      </c>
      <c r="AF119" s="289" t="str">
        <f t="shared" si="13"/>
        <v/>
      </c>
      <c r="AG119" s="305" t="str">
        <f>IFERROR(IF(O119="","",VLOOKUP(AD119,'G-3 Multipliers'!$P$3:$Q$6,2,FALSE)),"")</f>
        <v/>
      </c>
      <c r="AH119" s="729" t="str">
        <f>IF(B119="","",IF(ISNA(VLOOKUP($B119,'E-1 Off-Site Hedge Baseline'!$B$1:$Z$257,14,FALSE)),"",(VLOOKUP($B119,'E-1 Off-Site Hedge Baseline'!$B$1:$Z$257,14,FALSE))))</f>
        <v/>
      </c>
      <c r="AI119" s="282" t="str">
        <f>IF(AH119="","",IF(VLOOKUP(AH119,'G-3 Multipliers'!$S$3:$T$10,2,FALSE)=0,"Spatial Data Missing ⚠",VLOOKUP(AH119,'G-3 Multipliers'!$S$3:$T$10,2,FALSE)))</f>
        <v/>
      </c>
      <c r="AJ119" s="323" t="str">
        <f t="shared" si="14"/>
        <v/>
      </c>
      <c r="AK119" s="295" t="str">
        <f t="shared" si="15"/>
        <v/>
      </c>
      <c r="AL119" s="105"/>
      <c r="AM119" s="119"/>
      <c r="AN119" s="108"/>
      <c r="AO119" s="108"/>
      <c r="AQ119" s="30" t="str">
        <f>IFERROR(INDEX('G-6 Hedgerow Data'!$BJ$3:$BJ$15,MATCH(M119,'G-6 Hedgerow Data'!$B$3:$B$15,0)),"")</f>
        <v/>
      </c>
    </row>
    <row r="120" spans="2:43" ht="13.8" x14ac:dyDescent="0.25">
      <c r="B120" s="311" t="str">
        <f>'E-1 Off-Site Hedge Baseline'!AN118</f>
        <v/>
      </c>
      <c r="C120" s="301" t="str">
        <f>IF(B120="","",IF(ISNA(VLOOKUP($B120,'E-1 Off-Site Hedge Baseline'!$B$1:$L$257,3,FALSE)),"",(VLOOKUP($B120,'E-1 Off-Site Hedge Baseline'!$B$1:$L$257,3,FALSE))))</f>
        <v/>
      </c>
      <c r="D120" s="301" t="str">
        <f>IF(B120="","",IF(ISNA(VLOOKUP($B120,'E-1 Off-Site Hedge Baseline'!$B$1:$L$258,4,FALSE)),"",(VLOOKUP($B120,'E-1 Off-Site Hedge Baseline'!$B$1:$L$258,4,FALSE))))</f>
        <v/>
      </c>
      <c r="E120" s="301" t="str">
        <f>IF(B120="","",IF(ISNA(VLOOKUP($B120,'E-1 Off-Site Hedge Baseline'!$B$1:$L$257,5,FALSE)),"",(VLOOKUP($B120,'E-1 Off-Site Hedge Baseline'!$B$1:$L$257,5,FALSE))))</f>
        <v/>
      </c>
      <c r="F120" s="301" t="str">
        <f>IF(B120="","",IF(ISNA(VLOOKUP($B120,'E-1 Off-Site Hedge Baseline'!$B$1:$L$257,6,FALSE)),"",(VLOOKUP($B120,'E-1 Off-Site Hedge Baseline'!$B$1:$L$257,6,FALSE))))</f>
        <v/>
      </c>
      <c r="G120" s="301" t="str">
        <f>IF(B120="","",IF(ISNA(VLOOKUP($B120,'E-1 Off-Site Hedge Baseline'!$B$1:$L$257,7,FALSE)),"",(VLOOKUP($B120,'E-1 Off-Site Hedge Baseline'!$B$1:$L$257,7,FALSE))))</f>
        <v/>
      </c>
      <c r="H120" s="301" t="str">
        <f>IF(B120="","",IF(ISNA(VLOOKUP($B120,'E-1 Off-Site Hedge Baseline'!$B$1:$L$257,8,FALSE)),"",(VLOOKUP($B120,'E-1 Off-Site Hedge Baseline'!$B$1:$L$257,8,FALSE))))</f>
        <v/>
      </c>
      <c r="I120" s="301" t="str">
        <f>IF(B120="","",IF(ISNA(VLOOKUP($B120,'E-1 Off-Site Hedge Baseline'!$B$1:$L$257,10,FALSE)),"",(VLOOKUP($B120,'E-1 Off-Site Hedge Baseline'!$B$1:$L$257,10,FALSE))))</f>
        <v/>
      </c>
      <c r="J120" s="301" t="str">
        <f>IF(B120="","",IF(ISNA(VLOOKUP($B120,'E-1 Off-Site Hedge Baseline'!$B$1:$L$257,11,FALSE)),"",(VLOOKUP($B120,'E-1 Off-Site Hedge Baseline'!$B$1:$L$257,11,FALSE))))</f>
        <v/>
      </c>
      <c r="K120" s="301" t="str">
        <f>IF(B120="","",IF(ISNA(VLOOKUP($B120,'E-1 Off-Site Hedge Baseline'!$B$1:$X$257,16,FALSE)),"",(VLOOKUP($B120,'E-1 Off-Site Hedge Baseline'!$B$1:$X$257,16,FALSE))))</f>
        <v/>
      </c>
      <c r="L120" s="289" t="str">
        <f>IF(B120="","",IF(ISNA(VLOOKUP($B120,'E-1 Off-Site Hedge Baseline'!$B$1:$X$257,12,FALSE)),"",(VLOOKUP($B120,'E-1 Off-Site Hedge Baseline'!$B$1:$X$257,12,FALSE))))</f>
        <v/>
      </c>
      <c r="M120" s="250"/>
      <c r="N120" s="281" t="str">
        <f>IFERROR(IF(B120="","",INDEX('G-6 Hedgerow Data'!$AN$3:$AZ$15,MATCH(C120,'G-6 Hedgerow Data'!$AM$3:$AM$15,0),MATCH(M120,'G-6 Hedgerow Data'!$AN$2:$AZ$2,0))),"")</f>
        <v/>
      </c>
      <c r="O120" s="282" t="str">
        <f t="shared" si="9"/>
        <v/>
      </c>
      <c r="P120" s="287" t="str">
        <f>IF(B120="","",VLOOKUP(B120,'E-1 Off-Site Hedge Baseline'!$B$10:W365,19,FALSE))</f>
        <v/>
      </c>
      <c r="Q120" s="281" t="str">
        <f>IF(M120="","",VLOOKUP(M120,'G-6 Hedgerow Data'!$B$2:$AG$15,2,FALSE))</f>
        <v/>
      </c>
      <c r="R120" s="282" t="str">
        <f>IF(M120="","",VLOOKUP(M120,'G-6 Hedgerow Data'!$B$2:$AG$15,3,FALSE))</f>
        <v/>
      </c>
      <c r="S120" s="105"/>
      <c r="T120" s="282" t="str">
        <f>IFERROR(IF(S120="","",IF(AND(M120="Non-native and ornamental hedgerow", S120&lt;&gt;"Poor"),"Not possible ▲", (IF(AND(Q120="V.Low",OR(S120="Good",S120="Moderate")),"Error ▲",VLOOKUP(S120,'G-1 All Habitats'!$Z$2:$AA$9,2,FALSE))))),"")</f>
        <v/>
      </c>
      <c r="U120" s="105"/>
      <c r="V120" s="289" t="str">
        <f>IF(U120="","",IF(VLOOKUP(U120,'G-3 Multipliers'!$L$3:$N$6,2,FALSE)=0,"Spatial Data Missing ⚠",VLOOKUP(U120,'G-3 Multipliers'!$L$3:$N$6,2,FALSE)))</f>
        <v/>
      </c>
      <c r="W120" s="287" t="str">
        <f>IF(U120="","",IF(VLOOKUP(U120,'G-3 Multipliers'!$L$3:$N$6,3,FALSE)=0,"Spatial Data Missing ⚠",VLOOKUP(U120,'G-3 Multipliers'!$L$3:$N$6,3,FALSE)))</f>
        <v/>
      </c>
      <c r="X120" s="281" t="str">
        <f>IFERROR(IF(OR(LEFT(O120,5)="Error",LEFT(N120,5)="Error",T120="Error"),"Check Data ⚠",IF(F120&lt;R120,INDEX('G-6 Hedgerow Data'!$S$3:$AE$14,MATCH(C120,'G-6 Hedgerow Data'!$B$3:$B$14,0),MATCH(M120,'G-6 Hedgerow Data'!$S$2:$AE$2,0)),INDEX('G-6 Hedgerow Data'!$K$3:$Q$14,MATCH(M120,'G-6 Hedgerow Data'!$B$3:$B$14,0),MATCH(O120,'G-6 Hedgerow Data'!$K$2:$Q$2,0)))),"")</f>
        <v/>
      </c>
      <c r="Y120" s="137"/>
      <c r="Z120" s="137"/>
      <c r="AA120" s="289" t="str">
        <f t="shared" si="10"/>
        <v/>
      </c>
      <c r="AB120" s="302" t="str">
        <f t="shared" si="11"/>
        <v/>
      </c>
      <c r="AC120" s="303" t="str">
        <f t="shared" si="8"/>
        <v/>
      </c>
      <c r="AD120" s="317" t="str">
        <f>IF(M120="","",VLOOKUP(M120,'G-6 Hedgerow Data'!$B$3:$AG$15,31,FALSE))</f>
        <v/>
      </c>
      <c r="AE120" s="301" t="str">
        <f t="shared" si="12"/>
        <v/>
      </c>
      <c r="AF120" s="289" t="str">
        <f t="shared" si="13"/>
        <v/>
      </c>
      <c r="AG120" s="305" t="str">
        <f>IFERROR(IF(O120="","",VLOOKUP(AD120,'G-3 Multipliers'!$P$3:$Q$6,2,FALSE)),"")</f>
        <v/>
      </c>
      <c r="AH120" s="729" t="str">
        <f>IF(B120="","",IF(ISNA(VLOOKUP($B120,'E-1 Off-Site Hedge Baseline'!$B$1:$Z$257,14,FALSE)),"",(VLOOKUP($B120,'E-1 Off-Site Hedge Baseline'!$B$1:$Z$257,14,FALSE))))</f>
        <v/>
      </c>
      <c r="AI120" s="282" t="str">
        <f>IF(AH120="","",IF(VLOOKUP(AH120,'G-3 Multipliers'!$S$3:$T$10,2,FALSE)=0,"Spatial Data Missing ⚠",VLOOKUP(AH120,'G-3 Multipliers'!$S$3:$T$10,2,FALSE)))</f>
        <v/>
      </c>
      <c r="AJ120" s="323" t="str">
        <f t="shared" si="14"/>
        <v/>
      </c>
      <c r="AK120" s="295" t="str">
        <f t="shared" si="15"/>
        <v/>
      </c>
      <c r="AL120" s="105"/>
      <c r="AM120" s="119"/>
      <c r="AN120" s="108"/>
      <c r="AO120" s="108"/>
      <c r="AQ120" s="30" t="str">
        <f>IFERROR(INDEX('G-6 Hedgerow Data'!$BJ$3:$BJ$15,MATCH(M120,'G-6 Hedgerow Data'!$B$3:$B$15,0)),"")</f>
        <v/>
      </c>
    </row>
    <row r="121" spans="2:43" ht="13.8" x14ac:dyDescent="0.25">
      <c r="B121" s="311" t="str">
        <f>'E-1 Off-Site Hedge Baseline'!AN119</f>
        <v/>
      </c>
      <c r="C121" s="301" t="str">
        <f>IF(B121="","",IF(ISNA(VLOOKUP($B121,'E-1 Off-Site Hedge Baseline'!$B$1:$L$257,3,FALSE)),"",(VLOOKUP($B121,'E-1 Off-Site Hedge Baseline'!$B$1:$L$257,3,FALSE))))</f>
        <v/>
      </c>
      <c r="D121" s="301" t="str">
        <f>IF(B121="","",IF(ISNA(VLOOKUP($B121,'E-1 Off-Site Hedge Baseline'!$B$1:$L$258,4,FALSE)),"",(VLOOKUP($B121,'E-1 Off-Site Hedge Baseline'!$B$1:$L$258,4,FALSE))))</f>
        <v/>
      </c>
      <c r="E121" s="301" t="str">
        <f>IF(B121="","",IF(ISNA(VLOOKUP($B121,'E-1 Off-Site Hedge Baseline'!$B$1:$L$257,5,FALSE)),"",(VLOOKUP($B121,'E-1 Off-Site Hedge Baseline'!$B$1:$L$257,5,FALSE))))</f>
        <v/>
      </c>
      <c r="F121" s="301" t="str">
        <f>IF(B121="","",IF(ISNA(VLOOKUP($B121,'E-1 Off-Site Hedge Baseline'!$B$1:$L$257,6,FALSE)),"",(VLOOKUP($B121,'E-1 Off-Site Hedge Baseline'!$B$1:$L$257,6,FALSE))))</f>
        <v/>
      </c>
      <c r="G121" s="301" t="str">
        <f>IF(B121="","",IF(ISNA(VLOOKUP($B121,'E-1 Off-Site Hedge Baseline'!$B$1:$L$257,7,FALSE)),"",(VLOOKUP($B121,'E-1 Off-Site Hedge Baseline'!$B$1:$L$257,7,FALSE))))</f>
        <v/>
      </c>
      <c r="H121" s="301" t="str">
        <f>IF(B121="","",IF(ISNA(VLOOKUP($B121,'E-1 Off-Site Hedge Baseline'!$B$1:$L$257,8,FALSE)),"",(VLOOKUP($B121,'E-1 Off-Site Hedge Baseline'!$B$1:$L$257,8,FALSE))))</f>
        <v/>
      </c>
      <c r="I121" s="301" t="str">
        <f>IF(B121="","",IF(ISNA(VLOOKUP($B121,'E-1 Off-Site Hedge Baseline'!$B$1:$L$257,10,FALSE)),"",(VLOOKUP($B121,'E-1 Off-Site Hedge Baseline'!$B$1:$L$257,10,FALSE))))</f>
        <v/>
      </c>
      <c r="J121" s="301" t="str">
        <f>IF(B121="","",IF(ISNA(VLOOKUP($B121,'E-1 Off-Site Hedge Baseline'!$B$1:$L$257,11,FALSE)),"",(VLOOKUP($B121,'E-1 Off-Site Hedge Baseline'!$B$1:$L$257,11,FALSE))))</f>
        <v/>
      </c>
      <c r="K121" s="301" t="str">
        <f>IF(B121="","",IF(ISNA(VLOOKUP($B121,'E-1 Off-Site Hedge Baseline'!$B$1:$X$257,16,FALSE)),"",(VLOOKUP($B121,'E-1 Off-Site Hedge Baseline'!$B$1:$X$257,16,FALSE))))</f>
        <v/>
      </c>
      <c r="L121" s="289" t="str">
        <f>IF(B121="","",IF(ISNA(VLOOKUP($B121,'E-1 Off-Site Hedge Baseline'!$B$1:$X$257,12,FALSE)),"",(VLOOKUP($B121,'E-1 Off-Site Hedge Baseline'!$B$1:$X$257,12,FALSE))))</f>
        <v/>
      </c>
      <c r="M121" s="250"/>
      <c r="N121" s="281" t="str">
        <f>IFERROR(IF(B121="","",INDEX('G-6 Hedgerow Data'!$AN$3:$AZ$15,MATCH(C121,'G-6 Hedgerow Data'!$AM$3:$AM$15,0),MATCH(M121,'G-6 Hedgerow Data'!$AN$2:$AZ$2,0))),"")</f>
        <v/>
      </c>
      <c r="O121" s="282" t="str">
        <f t="shared" si="9"/>
        <v/>
      </c>
      <c r="P121" s="287" t="str">
        <f>IF(B121="","",VLOOKUP(B121,'E-1 Off-Site Hedge Baseline'!$B$10:W366,19,FALSE))</f>
        <v/>
      </c>
      <c r="Q121" s="281" t="str">
        <f>IF(M121="","",VLOOKUP(M121,'G-6 Hedgerow Data'!$B$2:$AG$15,2,FALSE))</f>
        <v/>
      </c>
      <c r="R121" s="282" t="str">
        <f>IF(M121="","",VLOOKUP(M121,'G-6 Hedgerow Data'!$B$2:$AG$15,3,FALSE))</f>
        <v/>
      </c>
      <c r="S121" s="105"/>
      <c r="T121" s="282" t="str">
        <f>IFERROR(IF(S121="","",IF(AND(M121="Non-native and ornamental hedgerow", S121&lt;&gt;"Poor"),"Not possible ▲", (IF(AND(Q121="V.Low",OR(S121="Good",S121="Moderate")),"Error ▲",VLOOKUP(S121,'G-1 All Habitats'!$Z$2:$AA$9,2,FALSE))))),"")</f>
        <v/>
      </c>
      <c r="U121" s="105"/>
      <c r="V121" s="289" t="str">
        <f>IF(U121="","",IF(VLOOKUP(U121,'G-3 Multipliers'!$L$3:$N$6,2,FALSE)=0,"Spatial Data Missing ⚠",VLOOKUP(U121,'G-3 Multipliers'!$L$3:$N$6,2,FALSE)))</f>
        <v/>
      </c>
      <c r="W121" s="287" t="str">
        <f>IF(U121="","",IF(VLOOKUP(U121,'G-3 Multipliers'!$L$3:$N$6,3,FALSE)=0,"Spatial Data Missing ⚠",VLOOKUP(U121,'G-3 Multipliers'!$L$3:$N$6,3,FALSE)))</f>
        <v/>
      </c>
      <c r="X121" s="281" t="str">
        <f>IFERROR(IF(OR(LEFT(O121,5)="Error",LEFT(N121,5)="Error",T121="Error"),"Check Data ⚠",IF(F121&lt;R121,INDEX('G-6 Hedgerow Data'!$S$3:$AE$14,MATCH(C121,'G-6 Hedgerow Data'!$B$3:$B$14,0),MATCH(M121,'G-6 Hedgerow Data'!$S$2:$AE$2,0)),INDEX('G-6 Hedgerow Data'!$K$3:$Q$14,MATCH(M121,'G-6 Hedgerow Data'!$B$3:$B$14,0),MATCH(O121,'G-6 Hedgerow Data'!$K$2:$Q$2,0)))),"")</f>
        <v/>
      </c>
      <c r="Y121" s="137"/>
      <c r="Z121" s="137"/>
      <c r="AA121" s="289" t="str">
        <f t="shared" si="10"/>
        <v/>
      </c>
      <c r="AB121" s="302" t="str">
        <f t="shared" si="11"/>
        <v/>
      </c>
      <c r="AC121" s="303" t="str">
        <f t="shared" si="8"/>
        <v/>
      </c>
      <c r="AD121" s="317" t="str">
        <f>IF(M121="","",VLOOKUP(M121,'G-6 Hedgerow Data'!$B$3:$AG$15,31,FALSE))</f>
        <v/>
      </c>
      <c r="AE121" s="301" t="str">
        <f t="shared" si="12"/>
        <v/>
      </c>
      <c r="AF121" s="289" t="str">
        <f t="shared" si="13"/>
        <v/>
      </c>
      <c r="AG121" s="305" t="str">
        <f>IFERROR(IF(O121="","",VLOOKUP(AD121,'G-3 Multipliers'!$P$3:$Q$6,2,FALSE)),"")</f>
        <v/>
      </c>
      <c r="AH121" s="729" t="str">
        <f>IF(B121="","",IF(ISNA(VLOOKUP($B121,'E-1 Off-Site Hedge Baseline'!$B$1:$Z$257,14,FALSE)),"",(VLOOKUP($B121,'E-1 Off-Site Hedge Baseline'!$B$1:$Z$257,14,FALSE))))</f>
        <v/>
      </c>
      <c r="AI121" s="282" t="str">
        <f>IF(AH121="","",IF(VLOOKUP(AH121,'G-3 Multipliers'!$S$3:$T$10,2,FALSE)=0,"Spatial Data Missing ⚠",VLOOKUP(AH121,'G-3 Multipliers'!$S$3:$T$10,2,FALSE)))</f>
        <v/>
      </c>
      <c r="AJ121" s="323" t="str">
        <f t="shared" si="14"/>
        <v/>
      </c>
      <c r="AK121" s="295" t="str">
        <f t="shared" si="15"/>
        <v/>
      </c>
      <c r="AL121" s="105"/>
      <c r="AM121" s="119"/>
      <c r="AN121" s="108"/>
      <c r="AO121" s="108"/>
      <c r="AQ121" s="30" t="str">
        <f>IFERROR(INDEX('G-6 Hedgerow Data'!$BJ$3:$BJ$15,MATCH(M121,'G-6 Hedgerow Data'!$B$3:$B$15,0)),"")</f>
        <v/>
      </c>
    </row>
    <row r="122" spans="2:43" ht="13.8" x14ac:dyDescent="0.25">
      <c r="B122" s="311" t="str">
        <f>'E-1 Off-Site Hedge Baseline'!AN120</f>
        <v/>
      </c>
      <c r="C122" s="301" t="str">
        <f>IF(B122="","",IF(ISNA(VLOOKUP($B122,'E-1 Off-Site Hedge Baseline'!$B$1:$L$257,3,FALSE)),"",(VLOOKUP($B122,'E-1 Off-Site Hedge Baseline'!$B$1:$L$257,3,FALSE))))</f>
        <v/>
      </c>
      <c r="D122" s="301" t="str">
        <f>IF(B122="","",IF(ISNA(VLOOKUP($B122,'E-1 Off-Site Hedge Baseline'!$B$1:$L$258,4,FALSE)),"",(VLOOKUP($B122,'E-1 Off-Site Hedge Baseline'!$B$1:$L$258,4,FALSE))))</f>
        <v/>
      </c>
      <c r="E122" s="301" t="str">
        <f>IF(B122="","",IF(ISNA(VLOOKUP($B122,'E-1 Off-Site Hedge Baseline'!$B$1:$L$257,5,FALSE)),"",(VLOOKUP($B122,'E-1 Off-Site Hedge Baseline'!$B$1:$L$257,5,FALSE))))</f>
        <v/>
      </c>
      <c r="F122" s="301" t="str">
        <f>IF(B122="","",IF(ISNA(VLOOKUP($B122,'E-1 Off-Site Hedge Baseline'!$B$1:$L$257,6,FALSE)),"",(VLOOKUP($B122,'E-1 Off-Site Hedge Baseline'!$B$1:$L$257,6,FALSE))))</f>
        <v/>
      </c>
      <c r="G122" s="301" t="str">
        <f>IF(B122="","",IF(ISNA(VLOOKUP($B122,'E-1 Off-Site Hedge Baseline'!$B$1:$L$257,7,FALSE)),"",(VLOOKUP($B122,'E-1 Off-Site Hedge Baseline'!$B$1:$L$257,7,FALSE))))</f>
        <v/>
      </c>
      <c r="H122" s="301" t="str">
        <f>IF(B122="","",IF(ISNA(VLOOKUP($B122,'E-1 Off-Site Hedge Baseline'!$B$1:$L$257,8,FALSE)),"",(VLOOKUP($B122,'E-1 Off-Site Hedge Baseline'!$B$1:$L$257,8,FALSE))))</f>
        <v/>
      </c>
      <c r="I122" s="301" t="str">
        <f>IF(B122="","",IF(ISNA(VLOOKUP($B122,'E-1 Off-Site Hedge Baseline'!$B$1:$L$257,10,FALSE)),"",(VLOOKUP($B122,'E-1 Off-Site Hedge Baseline'!$B$1:$L$257,10,FALSE))))</f>
        <v/>
      </c>
      <c r="J122" s="301" t="str">
        <f>IF(B122="","",IF(ISNA(VLOOKUP($B122,'E-1 Off-Site Hedge Baseline'!$B$1:$L$257,11,FALSE)),"",(VLOOKUP($B122,'E-1 Off-Site Hedge Baseline'!$B$1:$L$257,11,FALSE))))</f>
        <v/>
      </c>
      <c r="K122" s="301" t="str">
        <f>IF(B122="","",IF(ISNA(VLOOKUP($B122,'E-1 Off-Site Hedge Baseline'!$B$1:$X$257,16,FALSE)),"",(VLOOKUP($B122,'E-1 Off-Site Hedge Baseline'!$B$1:$X$257,16,FALSE))))</f>
        <v/>
      </c>
      <c r="L122" s="289" t="str">
        <f>IF(B122="","",IF(ISNA(VLOOKUP($B122,'E-1 Off-Site Hedge Baseline'!$B$1:$X$257,12,FALSE)),"",(VLOOKUP($B122,'E-1 Off-Site Hedge Baseline'!$B$1:$X$257,12,FALSE))))</f>
        <v/>
      </c>
      <c r="M122" s="250"/>
      <c r="N122" s="281" t="str">
        <f>IFERROR(IF(B122="","",INDEX('G-6 Hedgerow Data'!$AN$3:$AZ$15,MATCH(C122,'G-6 Hedgerow Data'!$AM$3:$AM$15,0),MATCH(M122,'G-6 Hedgerow Data'!$AN$2:$AZ$2,0))),"")</f>
        <v/>
      </c>
      <c r="O122" s="282" t="str">
        <f t="shared" si="9"/>
        <v/>
      </c>
      <c r="P122" s="287" t="str">
        <f>IF(B122="","",VLOOKUP(B122,'E-1 Off-Site Hedge Baseline'!$B$10:W367,19,FALSE))</f>
        <v/>
      </c>
      <c r="Q122" s="281" t="str">
        <f>IF(M122="","",VLOOKUP(M122,'G-6 Hedgerow Data'!$B$2:$AG$15,2,FALSE))</f>
        <v/>
      </c>
      <c r="R122" s="282" t="str">
        <f>IF(M122="","",VLOOKUP(M122,'G-6 Hedgerow Data'!$B$2:$AG$15,3,FALSE))</f>
        <v/>
      </c>
      <c r="S122" s="105"/>
      <c r="T122" s="282" t="str">
        <f>IFERROR(IF(S122="","",IF(AND(M122="Non-native and ornamental hedgerow", S122&lt;&gt;"Poor"),"Not possible ▲", (IF(AND(Q122="V.Low",OR(S122="Good",S122="Moderate")),"Error ▲",VLOOKUP(S122,'G-1 All Habitats'!$Z$2:$AA$9,2,FALSE))))),"")</f>
        <v/>
      </c>
      <c r="U122" s="105"/>
      <c r="V122" s="289" t="str">
        <f>IF(U122="","",IF(VLOOKUP(U122,'G-3 Multipliers'!$L$3:$N$6,2,FALSE)=0,"Spatial Data Missing ⚠",VLOOKUP(U122,'G-3 Multipliers'!$L$3:$N$6,2,FALSE)))</f>
        <v/>
      </c>
      <c r="W122" s="287" t="str">
        <f>IF(U122="","",IF(VLOOKUP(U122,'G-3 Multipliers'!$L$3:$N$6,3,FALSE)=0,"Spatial Data Missing ⚠",VLOOKUP(U122,'G-3 Multipliers'!$L$3:$N$6,3,FALSE)))</f>
        <v/>
      </c>
      <c r="X122" s="281" t="str">
        <f>IFERROR(IF(OR(LEFT(O122,5)="Error",LEFT(N122,5)="Error",T122="Error"),"Check Data ⚠",IF(F122&lt;R122,INDEX('G-6 Hedgerow Data'!$S$3:$AE$14,MATCH(C122,'G-6 Hedgerow Data'!$B$3:$B$14,0),MATCH(M122,'G-6 Hedgerow Data'!$S$2:$AE$2,0)),INDEX('G-6 Hedgerow Data'!$K$3:$Q$14,MATCH(M122,'G-6 Hedgerow Data'!$B$3:$B$14,0),MATCH(O122,'G-6 Hedgerow Data'!$K$2:$Q$2,0)))),"")</f>
        <v/>
      </c>
      <c r="Y122" s="137"/>
      <c r="Z122" s="137"/>
      <c r="AA122" s="289" t="str">
        <f t="shared" si="10"/>
        <v/>
      </c>
      <c r="AB122" s="302" t="str">
        <f t="shared" si="11"/>
        <v/>
      </c>
      <c r="AC122" s="303" t="str">
        <f t="shared" si="8"/>
        <v/>
      </c>
      <c r="AD122" s="317" t="str">
        <f>IF(M122="","",VLOOKUP(M122,'G-6 Hedgerow Data'!$B$3:$AG$15,31,FALSE))</f>
        <v/>
      </c>
      <c r="AE122" s="301" t="str">
        <f t="shared" si="12"/>
        <v/>
      </c>
      <c r="AF122" s="289" t="str">
        <f t="shared" si="13"/>
        <v/>
      </c>
      <c r="AG122" s="305" t="str">
        <f>IFERROR(IF(O122="","",VLOOKUP(AD122,'G-3 Multipliers'!$P$3:$Q$6,2,FALSE)),"")</f>
        <v/>
      </c>
      <c r="AH122" s="729" t="str">
        <f>IF(B122="","",IF(ISNA(VLOOKUP($B122,'E-1 Off-Site Hedge Baseline'!$B$1:$Z$257,14,FALSE)),"",(VLOOKUP($B122,'E-1 Off-Site Hedge Baseline'!$B$1:$Z$257,14,FALSE))))</f>
        <v/>
      </c>
      <c r="AI122" s="282" t="str">
        <f>IF(AH122="","",IF(VLOOKUP(AH122,'G-3 Multipliers'!$S$3:$T$10,2,FALSE)=0,"Spatial Data Missing ⚠",VLOOKUP(AH122,'G-3 Multipliers'!$S$3:$T$10,2,FALSE)))</f>
        <v/>
      </c>
      <c r="AJ122" s="323" t="str">
        <f t="shared" si="14"/>
        <v/>
      </c>
      <c r="AK122" s="295" t="str">
        <f t="shared" si="15"/>
        <v/>
      </c>
      <c r="AL122" s="105"/>
      <c r="AM122" s="119"/>
      <c r="AN122" s="108"/>
      <c r="AO122" s="108"/>
      <c r="AQ122" s="30" t="str">
        <f>IFERROR(INDEX('G-6 Hedgerow Data'!$BJ$3:$BJ$15,MATCH(M122,'G-6 Hedgerow Data'!$B$3:$B$15,0)),"")</f>
        <v/>
      </c>
    </row>
    <row r="123" spans="2:43" ht="13.8" x14ac:dyDescent="0.25">
      <c r="B123" s="311" t="str">
        <f>'E-1 Off-Site Hedge Baseline'!AN121</f>
        <v/>
      </c>
      <c r="C123" s="301" t="str">
        <f>IF(B123="","",IF(ISNA(VLOOKUP($B123,'E-1 Off-Site Hedge Baseline'!$B$1:$L$257,3,FALSE)),"",(VLOOKUP($B123,'E-1 Off-Site Hedge Baseline'!$B$1:$L$257,3,FALSE))))</f>
        <v/>
      </c>
      <c r="D123" s="301" t="str">
        <f>IF(B123="","",IF(ISNA(VLOOKUP($B123,'E-1 Off-Site Hedge Baseline'!$B$1:$L$258,4,FALSE)),"",(VLOOKUP($B123,'E-1 Off-Site Hedge Baseline'!$B$1:$L$258,4,FALSE))))</f>
        <v/>
      </c>
      <c r="E123" s="301" t="str">
        <f>IF(B123="","",IF(ISNA(VLOOKUP($B123,'E-1 Off-Site Hedge Baseline'!$B$1:$L$257,5,FALSE)),"",(VLOOKUP($B123,'E-1 Off-Site Hedge Baseline'!$B$1:$L$257,5,FALSE))))</f>
        <v/>
      </c>
      <c r="F123" s="301" t="str">
        <f>IF(B123="","",IF(ISNA(VLOOKUP($B123,'E-1 Off-Site Hedge Baseline'!$B$1:$L$257,6,FALSE)),"",(VLOOKUP($B123,'E-1 Off-Site Hedge Baseline'!$B$1:$L$257,6,FALSE))))</f>
        <v/>
      </c>
      <c r="G123" s="301" t="str">
        <f>IF(B123="","",IF(ISNA(VLOOKUP($B123,'E-1 Off-Site Hedge Baseline'!$B$1:$L$257,7,FALSE)),"",(VLOOKUP($B123,'E-1 Off-Site Hedge Baseline'!$B$1:$L$257,7,FALSE))))</f>
        <v/>
      </c>
      <c r="H123" s="301" t="str">
        <f>IF(B123="","",IF(ISNA(VLOOKUP($B123,'E-1 Off-Site Hedge Baseline'!$B$1:$L$257,8,FALSE)),"",(VLOOKUP($B123,'E-1 Off-Site Hedge Baseline'!$B$1:$L$257,8,FALSE))))</f>
        <v/>
      </c>
      <c r="I123" s="301" t="str">
        <f>IF(B123="","",IF(ISNA(VLOOKUP($B123,'E-1 Off-Site Hedge Baseline'!$B$1:$L$257,10,FALSE)),"",(VLOOKUP($B123,'E-1 Off-Site Hedge Baseline'!$B$1:$L$257,10,FALSE))))</f>
        <v/>
      </c>
      <c r="J123" s="301" t="str">
        <f>IF(B123="","",IF(ISNA(VLOOKUP($B123,'E-1 Off-Site Hedge Baseline'!$B$1:$L$257,11,FALSE)),"",(VLOOKUP($B123,'E-1 Off-Site Hedge Baseline'!$B$1:$L$257,11,FALSE))))</f>
        <v/>
      </c>
      <c r="K123" s="301" t="str">
        <f>IF(B123="","",IF(ISNA(VLOOKUP($B123,'E-1 Off-Site Hedge Baseline'!$B$1:$X$257,16,FALSE)),"",(VLOOKUP($B123,'E-1 Off-Site Hedge Baseline'!$B$1:$X$257,16,FALSE))))</f>
        <v/>
      </c>
      <c r="L123" s="289" t="str">
        <f>IF(B123="","",IF(ISNA(VLOOKUP($B123,'E-1 Off-Site Hedge Baseline'!$B$1:$X$257,12,FALSE)),"",(VLOOKUP($B123,'E-1 Off-Site Hedge Baseline'!$B$1:$X$257,12,FALSE))))</f>
        <v/>
      </c>
      <c r="M123" s="250"/>
      <c r="N123" s="281" t="str">
        <f>IFERROR(IF(B123="","",INDEX('G-6 Hedgerow Data'!$AN$3:$AZ$15,MATCH(C123,'G-6 Hedgerow Data'!$AM$3:$AM$15,0),MATCH(M123,'G-6 Hedgerow Data'!$AN$2:$AZ$2,0))),"")</f>
        <v/>
      </c>
      <c r="O123" s="282" t="str">
        <f t="shared" si="9"/>
        <v/>
      </c>
      <c r="P123" s="287" t="str">
        <f>IF(B123="","",VLOOKUP(B123,'E-1 Off-Site Hedge Baseline'!$B$10:W368,19,FALSE))</f>
        <v/>
      </c>
      <c r="Q123" s="281" t="str">
        <f>IF(M123="","",VLOOKUP(M123,'G-6 Hedgerow Data'!$B$2:$AG$15,2,FALSE))</f>
        <v/>
      </c>
      <c r="R123" s="282" t="str">
        <f>IF(M123="","",VLOOKUP(M123,'G-6 Hedgerow Data'!$B$2:$AG$15,3,FALSE))</f>
        <v/>
      </c>
      <c r="S123" s="105"/>
      <c r="T123" s="282" t="str">
        <f>IFERROR(IF(S123="","",IF(AND(M123="Non-native and ornamental hedgerow", S123&lt;&gt;"Poor"),"Not possible ▲", (IF(AND(Q123="V.Low",OR(S123="Good",S123="Moderate")),"Error ▲",VLOOKUP(S123,'G-1 All Habitats'!$Z$2:$AA$9,2,FALSE))))),"")</f>
        <v/>
      </c>
      <c r="U123" s="105"/>
      <c r="V123" s="289" t="str">
        <f>IF(U123="","",IF(VLOOKUP(U123,'G-3 Multipliers'!$L$3:$N$6,2,FALSE)=0,"Spatial Data Missing ⚠",VLOOKUP(U123,'G-3 Multipliers'!$L$3:$N$6,2,FALSE)))</f>
        <v/>
      </c>
      <c r="W123" s="287" t="str">
        <f>IF(U123="","",IF(VLOOKUP(U123,'G-3 Multipliers'!$L$3:$N$6,3,FALSE)=0,"Spatial Data Missing ⚠",VLOOKUP(U123,'G-3 Multipliers'!$L$3:$N$6,3,FALSE)))</f>
        <v/>
      </c>
      <c r="X123" s="281" t="str">
        <f>IFERROR(IF(OR(LEFT(O123,5)="Error",LEFT(N123,5)="Error",T123="Error"),"Check Data ⚠",IF(F123&lt;R123,INDEX('G-6 Hedgerow Data'!$S$3:$AE$14,MATCH(C123,'G-6 Hedgerow Data'!$B$3:$B$14,0),MATCH(M123,'G-6 Hedgerow Data'!$S$2:$AE$2,0)),INDEX('G-6 Hedgerow Data'!$K$3:$Q$14,MATCH(M123,'G-6 Hedgerow Data'!$B$3:$B$14,0),MATCH(O123,'G-6 Hedgerow Data'!$K$2:$Q$2,0)))),"")</f>
        <v/>
      </c>
      <c r="Y123" s="137"/>
      <c r="Z123" s="137"/>
      <c r="AA123" s="289" t="str">
        <f t="shared" si="10"/>
        <v/>
      </c>
      <c r="AB123" s="302" t="str">
        <f t="shared" si="11"/>
        <v/>
      </c>
      <c r="AC123" s="303" t="str">
        <f t="shared" si="8"/>
        <v/>
      </c>
      <c r="AD123" s="317" t="str">
        <f>IF(M123="","",VLOOKUP(M123,'G-6 Hedgerow Data'!$B$3:$AG$15,31,FALSE))</f>
        <v/>
      </c>
      <c r="AE123" s="301" t="str">
        <f t="shared" si="12"/>
        <v/>
      </c>
      <c r="AF123" s="289" t="str">
        <f t="shared" si="13"/>
        <v/>
      </c>
      <c r="AG123" s="305" t="str">
        <f>IFERROR(IF(O123="","",VLOOKUP(AD123,'G-3 Multipliers'!$P$3:$Q$6,2,FALSE)),"")</f>
        <v/>
      </c>
      <c r="AH123" s="729" t="str">
        <f>IF(B123="","",IF(ISNA(VLOOKUP($B123,'E-1 Off-Site Hedge Baseline'!$B$1:$Z$257,14,FALSE)),"",(VLOOKUP($B123,'E-1 Off-Site Hedge Baseline'!$B$1:$Z$257,14,FALSE))))</f>
        <v/>
      </c>
      <c r="AI123" s="282" t="str">
        <f>IF(AH123="","",IF(VLOOKUP(AH123,'G-3 Multipliers'!$S$3:$T$10,2,FALSE)=0,"Spatial Data Missing ⚠",VLOOKUP(AH123,'G-3 Multipliers'!$S$3:$T$10,2,FALSE)))</f>
        <v/>
      </c>
      <c r="AJ123" s="323" t="str">
        <f t="shared" si="14"/>
        <v/>
      </c>
      <c r="AK123" s="295" t="str">
        <f t="shared" si="15"/>
        <v/>
      </c>
      <c r="AL123" s="105"/>
      <c r="AM123" s="119"/>
      <c r="AN123" s="108"/>
      <c r="AO123" s="108"/>
      <c r="AQ123" s="30" t="str">
        <f>IFERROR(INDEX('G-6 Hedgerow Data'!$BJ$3:$BJ$15,MATCH(M123,'G-6 Hedgerow Data'!$B$3:$B$15,0)),"")</f>
        <v/>
      </c>
    </row>
    <row r="124" spans="2:43" ht="13.8" x14ac:dyDescent="0.25">
      <c r="B124" s="311" t="str">
        <f>'E-1 Off-Site Hedge Baseline'!AN122</f>
        <v/>
      </c>
      <c r="C124" s="301" t="str">
        <f>IF(B124="","",IF(ISNA(VLOOKUP($B124,'E-1 Off-Site Hedge Baseline'!$B$1:$L$257,3,FALSE)),"",(VLOOKUP($B124,'E-1 Off-Site Hedge Baseline'!$B$1:$L$257,3,FALSE))))</f>
        <v/>
      </c>
      <c r="D124" s="301" t="str">
        <f>IF(B124="","",IF(ISNA(VLOOKUP($B124,'E-1 Off-Site Hedge Baseline'!$B$1:$L$258,4,FALSE)),"",(VLOOKUP($B124,'E-1 Off-Site Hedge Baseline'!$B$1:$L$258,4,FALSE))))</f>
        <v/>
      </c>
      <c r="E124" s="301" t="str">
        <f>IF(B124="","",IF(ISNA(VLOOKUP($B124,'E-1 Off-Site Hedge Baseline'!$B$1:$L$257,5,FALSE)),"",(VLOOKUP($B124,'E-1 Off-Site Hedge Baseline'!$B$1:$L$257,5,FALSE))))</f>
        <v/>
      </c>
      <c r="F124" s="301" t="str">
        <f>IF(B124="","",IF(ISNA(VLOOKUP($B124,'E-1 Off-Site Hedge Baseline'!$B$1:$L$257,6,FALSE)),"",(VLOOKUP($B124,'E-1 Off-Site Hedge Baseline'!$B$1:$L$257,6,FALSE))))</f>
        <v/>
      </c>
      <c r="G124" s="301" t="str">
        <f>IF(B124="","",IF(ISNA(VLOOKUP($B124,'E-1 Off-Site Hedge Baseline'!$B$1:$L$257,7,FALSE)),"",(VLOOKUP($B124,'E-1 Off-Site Hedge Baseline'!$B$1:$L$257,7,FALSE))))</f>
        <v/>
      </c>
      <c r="H124" s="301" t="str">
        <f>IF(B124="","",IF(ISNA(VLOOKUP($B124,'E-1 Off-Site Hedge Baseline'!$B$1:$L$257,8,FALSE)),"",(VLOOKUP($B124,'E-1 Off-Site Hedge Baseline'!$B$1:$L$257,8,FALSE))))</f>
        <v/>
      </c>
      <c r="I124" s="301" t="str">
        <f>IF(B124="","",IF(ISNA(VLOOKUP($B124,'E-1 Off-Site Hedge Baseline'!$B$1:$L$257,10,FALSE)),"",(VLOOKUP($B124,'E-1 Off-Site Hedge Baseline'!$B$1:$L$257,10,FALSE))))</f>
        <v/>
      </c>
      <c r="J124" s="301" t="str">
        <f>IF(B124="","",IF(ISNA(VLOOKUP($B124,'E-1 Off-Site Hedge Baseline'!$B$1:$L$257,11,FALSE)),"",(VLOOKUP($B124,'E-1 Off-Site Hedge Baseline'!$B$1:$L$257,11,FALSE))))</f>
        <v/>
      </c>
      <c r="K124" s="301" t="str">
        <f>IF(B124="","",IF(ISNA(VLOOKUP($B124,'E-1 Off-Site Hedge Baseline'!$B$1:$X$257,16,FALSE)),"",(VLOOKUP($B124,'E-1 Off-Site Hedge Baseline'!$B$1:$X$257,16,FALSE))))</f>
        <v/>
      </c>
      <c r="L124" s="289" t="str">
        <f>IF(B124="","",IF(ISNA(VLOOKUP($B124,'E-1 Off-Site Hedge Baseline'!$B$1:$X$257,12,FALSE)),"",(VLOOKUP($B124,'E-1 Off-Site Hedge Baseline'!$B$1:$X$257,12,FALSE))))</f>
        <v/>
      </c>
      <c r="M124" s="250"/>
      <c r="N124" s="281" t="str">
        <f>IFERROR(IF(B124="","",INDEX('G-6 Hedgerow Data'!$AN$3:$AZ$15,MATCH(C124,'G-6 Hedgerow Data'!$AM$3:$AM$15,0),MATCH(M124,'G-6 Hedgerow Data'!$AN$2:$AZ$2,0))),"")</f>
        <v/>
      </c>
      <c r="O124" s="282" t="str">
        <f t="shared" si="9"/>
        <v/>
      </c>
      <c r="P124" s="287" t="str">
        <f>IF(B124="","",VLOOKUP(B124,'E-1 Off-Site Hedge Baseline'!$B$10:W369,19,FALSE))</f>
        <v/>
      </c>
      <c r="Q124" s="281" t="str">
        <f>IF(M124="","",VLOOKUP(M124,'G-6 Hedgerow Data'!$B$2:$AG$15,2,FALSE))</f>
        <v/>
      </c>
      <c r="R124" s="282" t="str">
        <f>IF(M124="","",VLOOKUP(M124,'G-6 Hedgerow Data'!$B$2:$AG$15,3,FALSE))</f>
        <v/>
      </c>
      <c r="S124" s="105"/>
      <c r="T124" s="282" t="str">
        <f>IFERROR(IF(S124="","",IF(AND(M124="Non-native and ornamental hedgerow", S124&lt;&gt;"Poor"),"Not possible ▲", (IF(AND(Q124="V.Low",OR(S124="Good",S124="Moderate")),"Error ▲",VLOOKUP(S124,'G-1 All Habitats'!$Z$2:$AA$9,2,FALSE))))),"")</f>
        <v/>
      </c>
      <c r="U124" s="105"/>
      <c r="V124" s="289" t="str">
        <f>IF(U124="","",IF(VLOOKUP(U124,'G-3 Multipliers'!$L$3:$N$6,2,FALSE)=0,"Spatial Data Missing ⚠",VLOOKUP(U124,'G-3 Multipliers'!$L$3:$N$6,2,FALSE)))</f>
        <v/>
      </c>
      <c r="W124" s="287" t="str">
        <f>IF(U124="","",IF(VLOOKUP(U124,'G-3 Multipliers'!$L$3:$N$6,3,FALSE)=0,"Spatial Data Missing ⚠",VLOOKUP(U124,'G-3 Multipliers'!$L$3:$N$6,3,FALSE)))</f>
        <v/>
      </c>
      <c r="X124" s="281" t="str">
        <f>IFERROR(IF(OR(LEFT(O124,5)="Error",LEFT(N124,5)="Error",T124="Error"),"Check Data ⚠",IF(F124&lt;R124,INDEX('G-6 Hedgerow Data'!$S$3:$AE$14,MATCH(C124,'G-6 Hedgerow Data'!$B$3:$B$14,0),MATCH(M124,'G-6 Hedgerow Data'!$S$2:$AE$2,0)),INDEX('G-6 Hedgerow Data'!$K$3:$Q$14,MATCH(M124,'G-6 Hedgerow Data'!$B$3:$B$14,0),MATCH(O124,'G-6 Hedgerow Data'!$K$2:$Q$2,0)))),"")</f>
        <v/>
      </c>
      <c r="Y124" s="137"/>
      <c r="Z124" s="137"/>
      <c r="AA124" s="289" t="str">
        <f t="shared" si="10"/>
        <v/>
      </c>
      <c r="AB124" s="302" t="str">
        <f t="shared" si="11"/>
        <v/>
      </c>
      <c r="AC124" s="303" t="str">
        <f t="shared" si="8"/>
        <v/>
      </c>
      <c r="AD124" s="317" t="str">
        <f>IF(M124="","",VLOOKUP(M124,'G-6 Hedgerow Data'!$B$3:$AG$15,31,FALSE))</f>
        <v/>
      </c>
      <c r="AE124" s="301" t="str">
        <f t="shared" si="12"/>
        <v/>
      </c>
      <c r="AF124" s="289" t="str">
        <f t="shared" si="13"/>
        <v/>
      </c>
      <c r="AG124" s="305" t="str">
        <f>IFERROR(IF(O124="","",VLOOKUP(AD124,'G-3 Multipliers'!$P$3:$Q$6,2,FALSE)),"")</f>
        <v/>
      </c>
      <c r="AH124" s="729" t="str">
        <f>IF(B124="","",IF(ISNA(VLOOKUP($B124,'E-1 Off-Site Hedge Baseline'!$B$1:$Z$257,14,FALSE)),"",(VLOOKUP($B124,'E-1 Off-Site Hedge Baseline'!$B$1:$Z$257,14,FALSE))))</f>
        <v/>
      </c>
      <c r="AI124" s="282" t="str">
        <f>IF(AH124="","",IF(VLOOKUP(AH124,'G-3 Multipliers'!$S$3:$T$10,2,FALSE)=0,"Spatial Data Missing ⚠",VLOOKUP(AH124,'G-3 Multipliers'!$S$3:$T$10,2,FALSE)))</f>
        <v/>
      </c>
      <c r="AJ124" s="323" t="str">
        <f t="shared" si="14"/>
        <v/>
      </c>
      <c r="AK124" s="295" t="str">
        <f t="shared" si="15"/>
        <v/>
      </c>
      <c r="AL124" s="105"/>
      <c r="AM124" s="119"/>
      <c r="AN124" s="108"/>
      <c r="AO124" s="108"/>
      <c r="AQ124" s="30" t="str">
        <f>IFERROR(INDEX('G-6 Hedgerow Data'!$BJ$3:$BJ$15,MATCH(M124,'G-6 Hedgerow Data'!$B$3:$B$15,0)),"")</f>
        <v/>
      </c>
    </row>
    <row r="125" spans="2:43" ht="13.8" x14ac:dyDescent="0.25">
      <c r="B125" s="311" t="str">
        <f>'E-1 Off-Site Hedge Baseline'!AN123</f>
        <v/>
      </c>
      <c r="C125" s="301" t="str">
        <f>IF(B125="","",IF(ISNA(VLOOKUP($B125,'E-1 Off-Site Hedge Baseline'!$B$1:$L$257,3,FALSE)),"",(VLOOKUP($B125,'E-1 Off-Site Hedge Baseline'!$B$1:$L$257,3,FALSE))))</f>
        <v/>
      </c>
      <c r="D125" s="301" t="str">
        <f>IF(B125="","",IF(ISNA(VLOOKUP($B125,'E-1 Off-Site Hedge Baseline'!$B$1:$L$258,4,FALSE)),"",(VLOOKUP($B125,'E-1 Off-Site Hedge Baseline'!$B$1:$L$258,4,FALSE))))</f>
        <v/>
      </c>
      <c r="E125" s="301" t="str">
        <f>IF(B125="","",IF(ISNA(VLOOKUP($B125,'E-1 Off-Site Hedge Baseline'!$B$1:$L$257,5,FALSE)),"",(VLOOKUP($B125,'E-1 Off-Site Hedge Baseline'!$B$1:$L$257,5,FALSE))))</f>
        <v/>
      </c>
      <c r="F125" s="301" t="str">
        <f>IF(B125="","",IF(ISNA(VLOOKUP($B125,'E-1 Off-Site Hedge Baseline'!$B$1:$L$257,6,FALSE)),"",(VLOOKUP($B125,'E-1 Off-Site Hedge Baseline'!$B$1:$L$257,6,FALSE))))</f>
        <v/>
      </c>
      <c r="G125" s="301" t="str">
        <f>IF(B125="","",IF(ISNA(VLOOKUP($B125,'E-1 Off-Site Hedge Baseline'!$B$1:$L$257,7,FALSE)),"",(VLOOKUP($B125,'E-1 Off-Site Hedge Baseline'!$B$1:$L$257,7,FALSE))))</f>
        <v/>
      </c>
      <c r="H125" s="301" t="str">
        <f>IF(B125="","",IF(ISNA(VLOOKUP($B125,'E-1 Off-Site Hedge Baseline'!$B$1:$L$257,8,FALSE)),"",(VLOOKUP($B125,'E-1 Off-Site Hedge Baseline'!$B$1:$L$257,8,FALSE))))</f>
        <v/>
      </c>
      <c r="I125" s="301" t="str">
        <f>IF(B125="","",IF(ISNA(VLOOKUP($B125,'E-1 Off-Site Hedge Baseline'!$B$1:$L$257,10,FALSE)),"",(VLOOKUP($B125,'E-1 Off-Site Hedge Baseline'!$B$1:$L$257,10,FALSE))))</f>
        <v/>
      </c>
      <c r="J125" s="301" t="str">
        <f>IF(B125="","",IF(ISNA(VLOOKUP($B125,'E-1 Off-Site Hedge Baseline'!$B$1:$L$257,11,FALSE)),"",(VLOOKUP($B125,'E-1 Off-Site Hedge Baseline'!$B$1:$L$257,11,FALSE))))</f>
        <v/>
      </c>
      <c r="K125" s="301" t="str">
        <f>IF(B125="","",IF(ISNA(VLOOKUP($B125,'E-1 Off-Site Hedge Baseline'!$B$1:$X$257,16,FALSE)),"",(VLOOKUP($B125,'E-1 Off-Site Hedge Baseline'!$B$1:$X$257,16,FALSE))))</f>
        <v/>
      </c>
      <c r="L125" s="289" t="str">
        <f>IF(B125="","",IF(ISNA(VLOOKUP($B125,'E-1 Off-Site Hedge Baseline'!$B$1:$X$257,12,FALSE)),"",(VLOOKUP($B125,'E-1 Off-Site Hedge Baseline'!$B$1:$X$257,12,FALSE))))</f>
        <v/>
      </c>
      <c r="M125" s="250"/>
      <c r="N125" s="281" t="str">
        <f>IFERROR(IF(B125="","",INDEX('G-6 Hedgerow Data'!$AN$3:$AZ$15,MATCH(C125,'G-6 Hedgerow Data'!$AM$3:$AM$15,0),MATCH(M125,'G-6 Hedgerow Data'!$AN$2:$AZ$2,0))),"")</f>
        <v/>
      </c>
      <c r="O125" s="282" t="str">
        <f t="shared" si="9"/>
        <v/>
      </c>
      <c r="P125" s="287" t="str">
        <f>IF(B125="","",VLOOKUP(B125,'E-1 Off-Site Hedge Baseline'!$B$10:W370,19,FALSE))</f>
        <v/>
      </c>
      <c r="Q125" s="281" t="str">
        <f>IF(M125="","",VLOOKUP(M125,'G-6 Hedgerow Data'!$B$2:$AG$15,2,FALSE))</f>
        <v/>
      </c>
      <c r="R125" s="282" t="str">
        <f>IF(M125="","",VLOOKUP(M125,'G-6 Hedgerow Data'!$B$2:$AG$15,3,FALSE))</f>
        <v/>
      </c>
      <c r="S125" s="105"/>
      <c r="T125" s="282" t="str">
        <f>IFERROR(IF(S125="","",IF(AND(M125="Non-native and ornamental hedgerow", S125&lt;&gt;"Poor"),"Not possible ▲", (IF(AND(Q125="V.Low",OR(S125="Good",S125="Moderate")),"Error ▲",VLOOKUP(S125,'G-1 All Habitats'!$Z$2:$AA$9,2,FALSE))))),"")</f>
        <v/>
      </c>
      <c r="U125" s="105"/>
      <c r="V125" s="289" t="str">
        <f>IF(U125="","",IF(VLOOKUP(U125,'G-3 Multipliers'!$L$3:$N$6,2,FALSE)=0,"Spatial Data Missing ⚠",VLOOKUP(U125,'G-3 Multipliers'!$L$3:$N$6,2,FALSE)))</f>
        <v/>
      </c>
      <c r="W125" s="287" t="str">
        <f>IF(U125="","",IF(VLOOKUP(U125,'G-3 Multipliers'!$L$3:$N$6,3,FALSE)=0,"Spatial Data Missing ⚠",VLOOKUP(U125,'G-3 Multipliers'!$L$3:$N$6,3,FALSE)))</f>
        <v/>
      </c>
      <c r="X125" s="281" t="str">
        <f>IFERROR(IF(OR(LEFT(O125,5)="Error",LEFT(N125,5)="Error",T125="Error"),"Check Data ⚠",IF(F125&lt;R125,INDEX('G-6 Hedgerow Data'!$S$3:$AE$14,MATCH(C125,'G-6 Hedgerow Data'!$B$3:$B$14,0),MATCH(M125,'G-6 Hedgerow Data'!$S$2:$AE$2,0)),INDEX('G-6 Hedgerow Data'!$K$3:$Q$14,MATCH(M125,'G-6 Hedgerow Data'!$B$3:$B$14,0),MATCH(O125,'G-6 Hedgerow Data'!$K$2:$Q$2,0)))),"")</f>
        <v/>
      </c>
      <c r="Y125" s="137"/>
      <c r="Z125" s="137"/>
      <c r="AA125" s="289" t="str">
        <f t="shared" si="10"/>
        <v/>
      </c>
      <c r="AB125" s="302" t="str">
        <f t="shared" si="11"/>
        <v/>
      </c>
      <c r="AC125" s="303" t="str">
        <f t="shared" si="8"/>
        <v/>
      </c>
      <c r="AD125" s="317" t="str">
        <f>IF(M125="","",VLOOKUP(M125,'G-6 Hedgerow Data'!$B$3:$AG$15,31,FALSE))</f>
        <v/>
      </c>
      <c r="AE125" s="301" t="str">
        <f t="shared" si="12"/>
        <v/>
      </c>
      <c r="AF125" s="289" t="str">
        <f t="shared" si="13"/>
        <v/>
      </c>
      <c r="AG125" s="305" t="str">
        <f>IFERROR(IF(O125="","",VLOOKUP(AD125,'G-3 Multipliers'!$P$3:$Q$6,2,FALSE)),"")</f>
        <v/>
      </c>
      <c r="AH125" s="729" t="str">
        <f>IF(B125="","",IF(ISNA(VLOOKUP($B125,'E-1 Off-Site Hedge Baseline'!$B$1:$Z$257,14,FALSE)),"",(VLOOKUP($B125,'E-1 Off-Site Hedge Baseline'!$B$1:$Z$257,14,FALSE))))</f>
        <v/>
      </c>
      <c r="AI125" s="282" t="str">
        <f>IF(AH125="","",IF(VLOOKUP(AH125,'G-3 Multipliers'!$S$3:$T$10,2,FALSE)=0,"Spatial Data Missing ⚠",VLOOKUP(AH125,'G-3 Multipliers'!$S$3:$T$10,2,FALSE)))</f>
        <v/>
      </c>
      <c r="AJ125" s="323" t="str">
        <f t="shared" si="14"/>
        <v/>
      </c>
      <c r="AK125" s="295" t="str">
        <f t="shared" si="15"/>
        <v/>
      </c>
      <c r="AL125" s="105"/>
      <c r="AM125" s="119"/>
      <c r="AN125" s="108"/>
      <c r="AO125" s="108"/>
      <c r="AQ125" s="30" t="str">
        <f>IFERROR(INDEX('G-6 Hedgerow Data'!$BJ$3:$BJ$15,MATCH(M125,'G-6 Hedgerow Data'!$B$3:$B$15,0)),"")</f>
        <v/>
      </c>
    </row>
    <row r="126" spans="2:43" ht="13.8" x14ac:dyDescent="0.25">
      <c r="B126" s="311" t="str">
        <f>'E-1 Off-Site Hedge Baseline'!AN124</f>
        <v/>
      </c>
      <c r="C126" s="301" t="str">
        <f>IF(B126="","",IF(ISNA(VLOOKUP($B126,'E-1 Off-Site Hedge Baseline'!$B$1:$L$257,3,FALSE)),"",(VLOOKUP($B126,'E-1 Off-Site Hedge Baseline'!$B$1:$L$257,3,FALSE))))</f>
        <v/>
      </c>
      <c r="D126" s="301" t="str">
        <f>IF(B126="","",IF(ISNA(VLOOKUP($B126,'E-1 Off-Site Hedge Baseline'!$B$1:$L$258,4,FALSE)),"",(VLOOKUP($B126,'E-1 Off-Site Hedge Baseline'!$B$1:$L$258,4,FALSE))))</f>
        <v/>
      </c>
      <c r="E126" s="301" t="str">
        <f>IF(B126="","",IF(ISNA(VLOOKUP($B126,'E-1 Off-Site Hedge Baseline'!$B$1:$L$257,5,FALSE)),"",(VLOOKUP($B126,'E-1 Off-Site Hedge Baseline'!$B$1:$L$257,5,FALSE))))</f>
        <v/>
      </c>
      <c r="F126" s="301" t="str">
        <f>IF(B126="","",IF(ISNA(VLOOKUP($B126,'E-1 Off-Site Hedge Baseline'!$B$1:$L$257,6,FALSE)),"",(VLOOKUP($B126,'E-1 Off-Site Hedge Baseline'!$B$1:$L$257,6,FALSE))))</f>
        <v/>
      </c>
      <c r="G126" s="301" t="str">
        <f>IF(B126="","",IF(ISNA(VLOOKUP($B126,'E-1 Off-Site Hedge Baseline'!$B$1:$L$257,7,FALSE)),"",(VLOOKUP($B126,'E-1 Off-Site Hedge Baseline'!$B$1:$L$257,7,FALSE))))</f>
        <v/>
      </c>
      <c r="H126" s="301" t="str">
        <f>IF(B126="","",IF(ISNA(VLOOKUP($B126,'E-1 Off-Site Hedge Baseline'!$B$1:$L$257,8,FALSE)),"",(VLOOKUP($B126,'E-1 Off-Site Hedge Baseline'!$B$1:$L$257,8,FALSE))))</f>
        <v/>
      </c>
      <c r="I126" s="301" t="str">
        <f>IF(B126="","",IF(ISNA(VLOOKUP($B126,'E-1 Off-Site Hedge Baseline'!$B$1:$L$257,10,FALSE)),"",(VLOOKUP($B126,'E-1 Off-Site Hedge Baseline'!$B$1:$L$257,10,FALSE))))</f>
        <v/>
      </c>
      <c r="J126" s="301" t="str">
        <f>IF(B126="","",IF(ISNA(VLOOKUP($B126,'E-1 Off-Site Hedge Baseline'!$B$1:$L$257,11,FALSE)),"",(VLOOKUP($B126,'E-1 Off-Site Hedge Baseline'!$B$1:$L$257,11,FALSE))))</f>
        <v/>
      </c>
      <c r="K126" s="301" t="str">
        <f>IF(B126="","",IF(ISNA(VLOOKUP($B126,'E-1 Off-Site Hedge Baseline'!$B$1:$X$257,16,FALSE)),"",(VLOOKUP($B126,'E-1 Off-Site Hedge Baseline'!$B$1:$X$257,16,FALSE))))</f>
        <v/>
      </c>
      <c r="L126" s="289" t="str">
        <f>IF(B126="","",IF(ISNA(VLOOKUP($B126,'E-1 Off-Site Hedge Baseline'!$B$1:$X$257,12,FALSE)),"",(VLOOKUP($B126,'E-1 Off-Site Hedge Baseline'!$B$1:$X$257,12,FALSE))))</f>
        <v/>
      </c>
      <c r="M126" s="250"/>
      <c r="N126" s="281" t="str">
        <f>IFERROR(IF(B126="","",INDEX('G-6 Hedgerow Data'!$AN$3:$AZ$15,MATCH(C126,'G-6 Hedgerow Data'!$AM$3:$AM$15,0),MATCH(M126,'G-6 Hedgerow Data'!$AN$2:$AZ$2,0))),"")</f>
        <v/>
      </c>
      <c r="O126" s="282" t="str">
        <f t="shared" si="9"/>
        <v/>
      </c>
      <c r="P126" s="287" t="str">
        <f>IF(B126="","",VLOOKUP(B126,'E-1 Off-Site Hedge Baseline'!$B$10:W371,19,FALSE))</f>
        <v/>
      </c>
      <c r="Q126" s="281" t="str">
        <f>IF(M126="","",VLOOKUP(M126,'G-6 Hedgerow Data'!$B$2:$AG$15,2,FALSE))</f>
        <v/>
      </c>
      <c r="R126" s="282" t="str">
        <f>IF(M126="","",VLOOKUP(M126,'G-6 Hedgerow Data'!$B$2:$AG$15,3,FALSE))</f>
        <v/>
      </c>
      <c r="S126" s="105"/>
      <c r="T126" s="282" t="str">
        <f>IFERROR(IF(S126="","",IF(AND(M126="Non-native and ornamental hedgerow", S126&lt;&gt;"Poor"),"Not possible ▲", (IF(AND(Q126="V.Low",OR(S126="Good",S126="Moderate")),"Error ▲",VLOOKUP(S126,'G-1 All Habitats'!$Z$2:$AA$9,2,FALSE))))),"")</f>
        <v/>
      </c>
      <c r="U126" s="105"/>
      <c r="V126" s="289" t="str">
        <f>IF(U126="","",IF(VLOOKUP(U126,'G-3 Multipliers'!$L$3:$N$6,2,FALSE)=0,"Spatial Data Missing ⚠",VLOOKUP(U126,'G-3 Multipliers'!$L$3:$N$6,2,FALSE)))</f>
        <v/>
      </c>
      <c r="W126" s="287" t="str">
        <f>IF(U126="","",IF(VLOOKUP(U126,'G-3 Multipliers'!$L$3:$N$6,3,FALSE)=0,"Spatial Data Missing ⚠",VLOOKUP(U126,'G-3 Multipliers'!$L$3:$N$6,3,FALSE)))</f>
        <v/>
      </c>
      <c r="X126" s="281" t="str">
        <f>IFERROR(IF(OR(LEFT(O126,5)="Error",LEFT(N126,5)="Error",T126="Error"),"Check Data ⚠",IF(F126&lt;R126,INDEX('G-6 Hedgerow Data'!$S$3:$AE$14,MATCH(C126,'G-6 Hedgerow Data'!$B$3:$B$14,0),MATCH(M126,'G-6 Hedgerow Data'!$S$2:$AE$2,0)),INDEX('G-6 Hedgerow Data'!$K$3:$Q$14,MATCH(M126,'G-6 Hedgerow Data'!$B$3:$B$14,0),MATCH(O126,'G-6 Hedgerow Data'!$K$2:$Q$2,0)))),"")</f>
        <v/>
      </c>
      <c r="Y126" s="137"/>
      <c r="Z126" s="137"/>
      <c r="AA126" s="289" t="str">
        <f t="shared" si="10"/>
        <v/>
      </c>
      <c r="AB126" s="302" t="str">
        <f t="shared" si="11"/>
        <v/>
      </c>
      <c r="AC126" s="303" t="str">
        <f t="shared" si="8"/>
        <v/>
      </c>
      <c r="AD126" s="317" t="str">
        <f>IF(M126="","",VLOOKUP(M126,'G-6 Hedgerow Data'!$B$3:$AG$15,31,FALSE))</f>
        <v/>
      </c>
      <c r="AE126" s="301" t="str">
        <f t="shared" si="12"/>
        <v/>
      </c>
      <c r="AF126" s="289" t="str">
        <f t="shared" si="13"/>
        <v/>
      </c>
      <c r="AG126" s="305" t="str">
        <f>IFERROR(IF(O126="","",VLOOKUP(AD126,'G-3 Multipliers'!$P$3:$Q$6,2,FALSE)),"")</f>
        <v/>
      </c>
      <c r="AH126" s="729" t="str">
        <f>IF(B126="","",IF(ISNA(VLOOKUP($B126,'E-1 Off-Site Hedge Baseline'!$B$1:$Z$257,14,FALSE)),"",(VLOOKUP($B126,'E-1 Off-Site Hedge Baseline'!$B$1:$Z$257,14,FALSE))))</f>
        <v/>
      </c>
      <c r="AI126" s="282" t="str">
        <f>IF(AH126="","",IF(VLOOKUP(AH126,'G-3 Multipliers'!$S$3:$T$10,2,FALSE)=0,"Spatial Data Missing ⚠",VLOOKUP(AH126,'G-3 Multipliers'!$S$3:$T$10,2,FALSE)))</f>
        <v/>
      </c>
      <c r="AJ126" s="323" t="str">
        <f t="shared" si="14"/>
        <v/>
      </c>
      <c r="AK126" s="295" t="str">
        <f t="shared" si="15"/>
        <v/>
      </c>
      <c r="AL126" s="105"/>
      <c r="AM126" s="119"/>
      <c r="AN126" s="108"/>
      <c r="AO126" s="108"/>
      <c r="AQ126" s="30" t="str">
        <f>IFERROR(INDEX('G-6 Hedgerow Data'!$BJ$3:$BJ$15,MATCH(M126,'G-6 Hedgerow Data'!$B$3:$B$15,0)),"")</f>
        <v/>
      </c>
    </row>
    <row r="127" spans="2:43" ht="13.8" x14ac:dyDescent="0.25">
      <c r="B127" s="311" t="str">
        <f>'E-1 Off-Site Hedge Baseline'!AN125</f>
        <v/>
      </c>
      <c r="C127" s="301" t="str">
        <f>IF(B127="","",IF(ISNA(VLOOKUP($B127,'E-1 Off-Site Hedge Baseline'!$B$1:$L$257,3,FALSE)),"",(VLOOKUP($B127,'E-1 Off-Site Hedge Baseline'!$B$1:$L$257,3,FALSE))))</f>
        <v/>
      </c>
      <c r="D127" s="301" t="str">
        <f>IF(B127="","",IF(ISNA(VLOOKUP($B127,'E-1 Off-Site Hedge Baseline'!$B$1:$L$258,4,FALSE)),"",(VLOOKUP($B127,'E-1 Off-Site Hedge Baseline'!$B$1:$L$258,4,FALSE))))</f>
        <v/>
      </c>
      <c r="E127" s="301" t="str">
        <f>IF(B127="","",IF(ISNA(VLOOKUP($B127,'E-1 Off-Site Hedge Baseline'!$B$1:$L$257,5,FALSE)),"",(VLOOKUP($B127,'E-1 Off-Site Hedge Baseline'!$B$1:$L$257,5,FALSE))))</f>
        <v/>
      </c>
      <c r="F127" s="301" t="str">
        <f>IF(B127="","",IF(ISNA(VLOOKUP($B127,'E-1 Off-Site Hedge Baseline'!$B$1:$L$257,6,FALSE)),"",(VLOOKUP($B127,'E-1 Off-Site Hedge Baseline'!$B$1:$L$257,6,FALSE))))</f>
        <v/>
      </c>
      <c r="G127" s="301" t="str">
        <f>IF(B127="","",IF(ISNA(VLOOKUP($B127,'E-1 Off-Site Hedge Baseline'!$B$1:$L$257,7,FALSE)),"",(VLOOKUP($B127,'E-1 Off-Site Hedge Baseline'!$B$1:$L$257,7,FALSE))))</f>
        <v/>
      </c>
      <c r="H127" s="301" t="str">
        <f>IF(B127="","",IF(ISNA(VLOOKUP($B127,'E-1 Off-Site Hedge Baseline'!$B$1:$L$257,8,FALSE)),"",(VLOOKUP($B127,'E-1 Off-Site Hedge Baseline'!$B$1:$L$257,8,FALSE))))</f>
        <v/>
      </c>
      <c r="I127" s="301" t="str">
        <f>IF(B127="","",IF(ISNA(VLOOKUP($B127,'E-1 Off-Site Hedge Baseline'!$B$1:$L$257,10,FALSE)),"",(VLOOKUP($B127,'E-1 Off-Site Hedge Baseline'!$B$1:$L$257,10,FALSE))))</f>
        <v/>
      </c>
      <c r="J127" s="301" t="str">
        <f>IF(B127="","",IF(ISNA(VLOOKUP($B127,'E-1 Off-Site Hedge Baseline'!$B$1:$L$257,11,FALSE)),"",(VLOOKUP($B127,'E-1 Off-Site Hedge Baseline'!$B$1:$L$257,11,FALSE))))</f>
        <v/>
      </c>
      <c r="K127" s="301" t="str">
        <f>IF(B127="","",IF(ISNA(VLOOKUP($B127,'E-1 Off-Site Hedge Baseline'!$B$1:$X$257,16,FALSE)),"",(VLOOKUP($B127,'E-1 Off-Site Hedge Baseline'!$B$1:$X$257,16,FALSE))))</f>
        <v/>
      </c>
      <c r="L127" s="289" t="str">
        <f>IF(B127="","",IF(ISNA(VLOOKUP($B127,'E-1 Off-Site Hedge Baseline'!$B$1:$X$257,12,FALSE)),"",(VLOOKUP($B127,'E-1 Off-Site Hedge Baseline'!$B$1:$X$257,12,FALSE))))</f>
        <v/>
      </c>
      <c r="M127" s="250"/>
      <c r="N127" s="281" t="str">
        <f>IFERROR(IF(B127="","",INDEX('G-6 Hedgerow Data'!$AN$3:$AZ$15,MATCH(C127,'G-6 Hedgerow Data'!$AM$3:$AM$15,0),MATCH(M127,'G-6 Hedgerow Data'!$AN$2:$AZ$2,0))),"")</f>
        <v/>
      </c>
      <c r="O127" s="282" t="str">
        <f t="shared" si="9"/>
        <v/>
      </c>
      <c r="P127" s="287" t="str">
        <f>IF(B127="","",VLOOKUP(B127,'E-1 Off-Site Hedge Baseline'!$B$10:W372,19,FALSE))</f>
        <v/>
      </c>
      <c r="Q127" s="281" t="str">
        <f>IF(M127="","",VLOOKUP(M127,'G-6 Hedgerow Data'!$B$2:$AG$15,2,FALSE))</f>
        <v/>
      </c>
      <c r="R127" s="282" t="str">
        <f>IF(M127="","",VLOOKUP(M127,'G-6 Hedgerow Data'!$B$2:$AG$15,3,FALSE))</f>
        <v/>
      </c>
      <c r="S127" s="105"/>
      <c r="T127" s="282" t="str">
        <f>IFERROR(IF(S127="","",IF(AND(M127="Non-native and ornamental hedgerow", S127&lt;&gt;"Poor"),"Not possible ▲", (IF(AND(Q127="V.Low",OR(S127="Good",S127="Moderate")),"Error ▲",VLOOKUP(S127,'G-1 All Habitats'!$Z$2:$AA$9,2,FALSE))))),"")</f>
        <v/>
      </c>
      <c r="U127" s="105"/>
      <c r="V127" s="289" t="str">
        <f>IF(U127="","",IF(VLOOKUP(U127,'G-3 Multipliers'!$L$3:$N$6,2,FALSE)=0,"Spatial Data Missing ⚠",VLOOKUP(U127,'G-3 Multipliers'!$L$3:$N$6,2,FALSE)))</f>
        <v/>
      </c>
      <c r="W127" s="287" t="str">
        <f>IF(U127="","",IF(VLOOKUP(U127,'G-3 Multipliers'!$L$3:$N$6,3,FALSE)=0,"Spatial Data Missing ⚠",VLOOKUP(U127,'G-3 Multipliers'!$L$3:$N$6,3,FALSE)))</f>
        <v/>
      </c>
      <c r="X127" s="281" t="str">
        <f>IFERROR(IF(OR(LEFT(O127,5)="Error",LEFT(N127,5)="Error",T127="Error"),"Check Data ⚠",IF(F127&lt;R127,INDEX('G-6 Hedgerow Data'!$S$3:$AE$14,MATCH(C127,'G-6 Hedgerow Data'!$B$3:$B$14,0),MATCH(M127,'G-6 Hedgerow Data'!$S$2:$AE$2,0)),INDEX('G-6 Hedgerow Data'!$K$3:$Q$14,MATCH(M127,'G-6 Hedgerow Data'!$B$3:$B$14,0),MATCH(O127,'G-6 Hedgerow Data'!$K$2:$Q$2,0)))),"")</f>
        <v/>
      </c>
      <c r="Y127" s="137"/>
      <c r="Z127" s="137"/>
      <c r="AA127" s="289" t="str">
        <f t="shared" si="10"/>
        <v/>
      </c>
      <c r="AB127" s="302" t="str">
        <f t="shared" si="11"/>
        <v/>
      </c>
      <c r="AC127" s="303" t="str">
        <f t="shared" si="8"/>
        <v/>
      </c>
      <c r="AD127" s="317" t="str">
        <f>IF(M127="","",VLOOKUP(M127,'G-6 Hedgerow Data'!$B$3:$AG$15,31,FALSE))</f>
        <v/>
      </c>
      <c r="AE127" s="301" t="str">
        <f t="shared" si="12"/>
        <v/>
      </c>
      <c r="AF127" s="289" t="str">
        <f t="shared" si="13"/>
        <v/>
      </c>
      <c r="AG127" s="305" t="str">
        <f>IFERROR(IF(O127="","",VLOOKUP(AD127,'G-3 Multipliers'!$P$3:$Q$6,2,FALSE)),"")</f>
        <v/>
      </c>
      <c r="AH127" s="729" t="str">
        <f>IF(B127="","",IF(ISNA(VLOOKUP($B127,'E-1 Off-Site Hedge Baseline'!$B$1:$Z$257,14,FALSE)),"",(VLOOKUP($B127,'E-1 Off-Site Hedge Baseline'!$B$1:$Z$257,14,FALSE))))</f>
        <v/>
      </c>
      <c r="AI127" s="282" t="str">
        <f>IF(AH127="","",IF(VLOOKUP(AH127,'G-3 Multipliers'!$S$3:$T$10,2,FALSE)=0,"Spatial Data Missing ⚠",VLOOKUP(AH127,'G-3 Multipliers'!$S$3:$T$10,2,FALSE)))</f>
        <v/>
      </c>
      <c r="AJ127" s="323" t="str">
        <f t="shared" si="14"/>
        <v/>
      </c>
      <c r="AK127" s="295" t="str">
        <f t="shared" si="15"/>
        <v/>
      </c>
      <c r="AL127" s="105"/>
      <c r="AM127" s="119"/>
      <c r="AN127" s="108"/>
      <c r="AO127" s="108"/>
      <c r="AQ127" s="30" t="str">
        <f>IFERROR(INDEX('G-6 Hedgerow Data'!$BJ$3:$BJ$15,MATCH(M127,'G-6 Hedgerow Data'!$B$3:$B$15,0)),"")</f>
        <v/>
      </c>
    </row>
    <row r="128" spans="2:43" ht="13.8" x14ac:dyDescent="0.25">
      <c r="B128" s="311" t="str">
        <f>'E-1 Off-Site Hedge Baseline'!AN126</f>
        <v/>
      </c>
      <c r="C128" s="301" t="str">
        <f>IF(B128="","",IF(ISNA(VLOOKUP($B128,'E-1 Off-Site Hedge Baseline'!$B$1:$L$257,3,FALSE)),"",(VLOOKUP($B128,'E-1 Off-Site Hedge Baseline'!$B$1:$L$257,3,FALSE))))</f>
        <v/>
      </c>
      <c r="D128" s="301" t="str">
        <f>IF(B128="","",IF(ISNA(VLOOKUP($B128,'E-1 Off-Site Hedge Baseline'!$B$1:$L$258,4,FALSE)),"",(VLOOKUP($B128,'E-1 Off-Site Hedge Baseline'!$B$1:$L$258,4,FALSE))))</f>
        <v/>
      </c>
      <c r="E128" s="301" t="str">
        <f>IF(B128="","",IF(ISNA(VLOOKUP($B128,'E-1 Off-Site Hedge Baseline'!$B$1:$L$257,5,FALSE)),"",(VLOOKUP($B128,'E-1 Off-Site Hedge Baseline'!$B$1:$L$257,5,FALSE))))</f>
        <v/>
      </c>
      <c r="F128" s="301" t="str">
        <f>IF(B128="","",IF(ISNA(VLOOKUP($B128,'E-1 Off-Site Hedge Baseline'!$B$1:$L$257,6,FALSE)),"",(VLOOKUP($B128,'E-1 Off-Site Hedge Baseline'!$B$1:$L$257,6,FALSE))))</f>
        <v/>
      </c>
      <c r="G128" s="301" t="str">
        <f>IF(B128="","",IF(ISNA(VLOOKUP($B128,'E-1 Off-Site Hedge Baseline'!$B$1:$L$257,7,FALSE)),"",(VLOOKUP($B128,'E-1 Off-Site Hedge Baseline'!$B$1:$L$257,7,FALSE))))</f>
        <v/>
      </c>
      <c r="H128" s="301" t="str">
        <f>IF(B128="","",IF(ISNA(VLOOKUP($B128,'E-1 Off-Site Hedge Baseline'!$B$1:$L$257,8,FALSE)),"",(VLOOKUP($B128,'E-1 Off-Site Hedge Baseline'!$B$1:$L$257,8,FALSE))))</f>
        <v/>
      </c>
      <c r="I128" s="301" t="str">
        <f>IF(B128="","",IF(ISNA(VLOOKUP($B128,'E-1 Off-Site Hedge Baseline'!$B$1:$L$257,10,FALSE)),"",(VLOOKUP($B128,'E-1 Off-Site Hedge Baseline'!$B$1:$L$257,10,FALSE))))</f>
        <v/>
      </c>
      <c r="J128" s="301" t="str">
        <f>IF(B128="","",IF(ISNA(VLOOKUP($B128,'E-1 Off-Site Hedge Baseline'!$B$1:$L$257,11,FALSE)),"",(VLOOKUP($B128,'E-1 Off-Site Hedge Baseline'!$B$1:$L$257,11,FALSE))))</f>
        <v/>
      </c>
      <c r="K128" s="301" t="str">
        <f>IF(B128="","",IF(ISNA(VLOOKUP($B128,'E-1 Off-Site Hedge Baseline'!$B$1:$X$257,16,FALSE)),"",(VLOOKUP($B128,'E-1 Off-Site Hedge Baseline'!$B$1:$X$257,16,FALSE))))</f>
        <v/>
      </c>
      <c r="L128" s="289" t="str">
        <f>IF(B128="","",IF(ISNA(VLOOKUP($B128,'E-1 Off-Site Hedge Baseline'!$B$1:$X$257,12,FALSE)),"",(VLOOKUP($B128,'E-1 Off-Site Hedge Baseline'!$B$1:$X$257,12,FALSE))))</f>
        <v/>
      </c>
      <c r="M128" s="250"/>
      <c r="N128" s="281" t="str">
        <f>IFERROR(IF(B128="","",INDEX('G-6 Hedgerow Data'!$AN$3:$AZ$15,MATCH(C128,'G-6 Hedgerow Data'!$AM$3:$AM$15,0),MATCH(M128,'G-6 Hedgerow Data'!$AN$2:$AZ$2,0))),"")</f>
        <v/>
      </c>
      <c r="O128" s="282" t="str">
        <f t="shared" si="9"/>
        <v/>
      </c>
      <c r="P128" s="287" t="str">
        <f>IF(B128="","",VLOOKUP(B128,'E-1 Off-Site Hedge Baseline'!$B$10:W373,19,FALSE))</f>
        <v/>
      </c>
      <c r="Q128" s="281" t="str">
        <f>IF(M128="","",VLOOKUP(M128,'G-6 Hedgerow Data'!$B$2:$AG$15,2,FALSE))</f>
        <v/>
      </c>
      <c r="R128" s="282" t="str">
        <f>IF(M128="","",VLOOKUP(M128,'G-6 Hedgerow Data'!$B$2:$AG$15,3,FALSE))</f>
        <v/>
      </c>
      <c r="S128" s="105"/>
      <c r="T128" s="282" t="str">
        <f>IFERROR(IF(S128="","",IF(AND(M128="Non-native and ornamental hedgerow", S128&lt;&gt;"Poor"),"Not possible ▲", (IF(AND(Q128="V.Low",OR(S128="Good",S128="Moderate")),"Error ▲",VLOOKUP(S128,'G-1 All Habitats'!$Z$2:$AA$9,2,FALSE))))),"")</f>
        <v/>
      </c>
      <c r="U128" s="105"/>
      <c r="V128" s="289" t="str">
        <f>IF(U128="","",IF(VLOOKUP(U128,'G-3 Multipliers'!$L$3:$N$6,2,FALSE)=0,"Spatial Data Missing ⚠",VLOOKUP(U128,'G-3 Multipliers'!$L$3:$N$6,2,FALSE)))</f>
        <v/>
      </c>
      <c r="W128" s="287" t="str">
        <f>IF(U128="","",IF(VLOOKUP(U128,'G-3 Multipliers'!$L$3:$N$6,3,FALSE)=0,"Spatial Data Missing ⚠",VLOOKUP(U128,'G-3 Multipliers'!$L$3:$N$6,3,FALSE)))</f>
        <v/>
      </c>
      <c r="X128" s="281" t="str">
        <f>IFERROR(IF(OR(LEFT(O128,5)="Error",LEFT(N128,5)="Error",T128="Error"),"Check Data ⚠",IF(F128&lt;R128,INDEX('G-6 Hedgerow Data'!$S$3:$AE$14,MATCH(C128,'G-6 Hedgerow Data'!$B$3:$B$14,0),MATCH(M128,'G-6 Hedgerow Data'!$S$2:$AE$2,0)),INDEX('G-6 Hedgerow Data'!$K$3:$Q$14,MATCH(M128,'G-6 Hedgerow Data'!$B$3:$B$14,0),MATCH(O128,'G-6 Hedgerow Data'!$K$2:$Q$2,0)))),"")</f>
        <v/>
      </c>
      <c r="Y128" s="137"/>
      <c r="Z128" s="137"/>
      <c r="AA128" s="289" t="str">
        <f t="shared" si="10"/>
        <v/>
      </c>
      <c r="AB128" s="302" t="str">
        <f t="shared" si="11"/>
        <v/>
      </c>
      <c r="AC128" s="303" t="str">
        <f t="shared" si="8"/>
        <v/>
      </c>
      <c r="AD128" s="317" t="str">
        <f>IF(M128="","",VLOOKUP(M128,'G-6 Hedgerow Data'!$B$3:$AG$15,31,FALSE))</f>
        <v/>
      </c>
      <c r="AE128" s="301" t="str">
        <f t="shared" si="12"/>
        <v/>
      </c>
      <c r="AF128" s="289" t="str">
        <f t="shared" si="13"/>
        <v/>
      </c>
      <c r="AG128" s="305" t="str">
        <f>IFERROR(IF(O128="","",VLOOKUP(AD128,'G-3 Multipliers'!$P$3:$Q$6,2,FALSE)),"")</f>
        <v/>
      </c>
      <c r="AH128" s="729" t="str">
        <f>IF(B128="","",IF(ISNA(VLOOKUP($B128,'E-1 Off-Site Hedge Baseline'!$B$1:$Z$257,14,FALSE)),"",(VLOOKUP($B128,'E-1 Off-Site Hedge Baseline'!$B$1:$Z$257,14,FALSE))))</f>
        <v/>
      </c>
      <c r="AI128" s="282" t="str">
        <f>IF(AH128="","",IF(VLOOKUP(AH128,'G-3 Multipliers'!$S$3:$T$10,2,FALSE)=0,"Spatial Data Missing ⚠",VLOOKUP(AH128,'G-3 Multipliers'!$S$3:$T$10,2,FALSE)))</f>
        <v/>
      </c>
      <c r="AJ128" s="323" t="str">
        <f t="shared" si="14"/>
        <v/>
      </c>
      <c r="AK128" s="295" t="str">
        <f t="shared" si="15"/>
        <v/>
      </c>
      <c r="AL128" s="105"/>
      <c r="AM128" s="119"/>
      <c r="AN128" s="108"/>
      <c r="AO128" s="108"/>
      <c r="AQ128" s="30" t="str">
        <f>IFERROR(INDEX('G-6 Hedgerow Data'!$BJ$3:$BJ$15,MATCH(M128,'G-6 Hedgerow Data'!$B$3:$B$15,0)),"")</f>
        <v/>
      </c>
    </row>
    <row r="129" spans="2:43" ht="13.8" x14ac:dyDescent="0.25">
      <c r="B129" s="311" t="str">
        <f>'E-1 Off-Site Hedge Baseline'!AN127</f>
        <v/>
      </c>
      <c r="C129" s="301" t="str">
        <f>IF(B129="","",IF(ISNA(VLOOKUP($B129,'E-1 Off-Site Hedge Baseline'!$B$1:$L$257,3,FALSE)),"",(VLOOKUP($B129,'E-1 Off-Site Hedge Baseline'!$B$1:$L$257,3,FALSE))))</f>
        <v/>
      </c>
      <c r="D129" s="301" t="str">
        <f>IF(B129="","",IF(ISNA(VLOOKUP($B129,'E-1 Off-Site Hedge Baseline'!$B$1:$L$258,4,FALSE)),"",(VLOOKUP($B129,'E-1 Off-Site Hedge Baseline'!$B$1:$L$258,4,FALSE))))</f>
        <v/>
      </c>
      <c r="E129" s="301" t="str">
        <f>IF(B129="","",IF(ISNA(VLOOKUP($B129,'E-1 Off-Site Hedge Baseline'!$B$1:$L$257,5,FALSE)),"",(VLOOKUP($B129,'E-1 Off-Site Hedge Baseline'!$B$1:$L$257,5,FALSE))))</f>
        <v/>
      </c>
      <c r="F129" s="301" t="str">
        <f>IF(B129="","",IF(ISNA(VLOOKUP($B129,'E-1 Off-Site Hedge Baseline'!$B$1:$L$257,6,FALSE)),"",(VLOOKUP($B129,'E-1 Off-Site Hedge Baseline'!$B$1:$L$257,6,FALSE))))</f>
        <v/>
      </c>
      <c r="G129" s="301" t="str">
        <f>IF(B129="","",IF(ISNA(VLOOKUP($B129,'E-1 Off-Site Hedge Baseline'!$B$1:$L$257,7,FALSE)),"",(VLOOKUP($B129,'E-1 Off-Site Hedge Baseline'!$B$1:$L$257,7,FALSE))))</f>
        <v/>
      </c>
      <c r="H129" s="301" t="str">
        <f>IF(B129="","",IF(ISNA(VLOOKUP($B129,'E-1 Off-Site Hedge Baseline'!$B$1:$L$257,8,FALSE)),"",(VLOOKUP($B129,'E-1 Off-Site Hedge Baseline'!$B$1:$L$257,8,FALSE))))</f>
        <v/>
      </c>
      <c r="I129" s="301" t="str">
        <f>IF(B129="","",IF(ISNA(VLOOKUP($B129,'E-1 Off-Site Hedge Baseline'!$B$1:$L$257,10,FALSE)),"",(VLOOKUP($B129,'E-1 Off-Site Hedge Baseline'!$B$1:$L$257,10,FALSE))))</f>
        <v/>
      </c>
      <c r="J129" s="301" t="str">
        <f>IF(B129="","",IF(ISNA(VLOOKUP($B129,'E-1 Off-Site Hedge Baseline'!$B$1:$L$257,11,FALSE)),"",(VLOOKUP($B129,'E-1 Off-Site Hedge Baseline'!$B$1:$L$257,11,FALSE))))</f>
        <v/>
      </c>
      <c r="K129" s="301" t="str">
        <f>IF(B129="","",IF(ISNA(VLOOKUP($B129,'E-1 Off-Site Hedge Baseline'!$B$1:$X$257,16,FALSE)),"",(VLOOKUP($B129,'E-1 Off-Site Hedge Baseline'!$B$1:$X$257,16,FALSE))))</f>
        <v/>
      </c>
      <c r="L129" s="289" t="str">
        <f>IF(B129="","",IF(ISNA(VLOOKUP($B129,'E-1 Off-Site Hedge Baseline'!$B$1:$X$257,12,FALSE)),"",(VLOOKUP($B129,'E-1 Off-Site Hedge Baseline'!$B$1:$X$257,12,FALSE))))</f>
        <v/>
      </c>
      <c r="M129" s="250"/>
      <c r="N129" s="281" t="str">
        <f>IFERROR(IF(B129="","",INDEX('G-6 Hedgerow Data'!$AN$3:$AZ$15,MATCH(C129,'G-6 Hedgerow Data'!$AM$3:$AM$15,0),MATCH(M129,'G-6 Hedgerow Data'!$AN$2:$AZ$2,0))),"")</f>
        <v/>
      </c>
      <c r="O129" s="282" t="str">
        <f t="shared" si="9"/>
        <v/>
      </c>
      <c r="P129" s="287" t="str">
        <f>IF(B129="","",VLOOKUP(B129,'E-1 Off-Site Hedge Baseline'!$B$10:W374,19,FALSE))</f>
        <v/>
      </c>
      <c r="Q129" s="281" t="str">
        <f>IF(M129="","",VLOOKUP(M129,'G-6 Hedgerow Data'!$B$2:$AG$15,2,FALSE))</f>
        <v/>
      </c>
      <c r="R129" s="282" t="str">
        <f>IF(M129="","",VLOOKUP(M129,'G-6 Hedgerow Data'!$B$2:$AG$15,3,FALSE))</f>
        <v/>
      </c>
      <c r="S129" s="105"/>
      <c r="T129" s="282" t="str">
        <f>IFERROR(IF(S129="","",IF(AND(M129="Non-native and ornamental hedgerow", S129&lt;&gt;"Poor"),"Not possible ▲", (IF(AND(Q129="V.Low",OR(S129="Good",S129="Moderate")),"Error ▲",VLOOKUP(S129,'G-1 All Habitats'!$Z$2:$AA$9,2,FALSE))))),"")</f>
        <v/>
      </c>
      <c r="U129" s="105"/>
      <c r="V129" s="289" t="str">
        <f>IF(U129="","",IF(VLOOKUP(U129,'G-3 Multipliers'!$L$3:$N$6,2,FALSE)=0,"Spatial Data Missing ⚠",VLOOKUP(U129,'G-3 Multipliers'!$L$3:$N$6,2,FALSE)))</f>
        <v/>
      </c>
      <c r="W129" s="287" t="str">
        <f>IF(U129="","",IF(VLOOKUP(U129,'G-3 Multipliers'!$L$3:$N$6,3,FALSE)=0,"Spatial Data Missing ⚠",VLOOKUP(U129,'G-3 Multipliers'!$L$3:$N$6,3,FALSE)))</f>
        <v/>
      </c>
      <c r="X129" s="281" t="str">
        <f>IFERROR(IF(OR(LEFT(O129,5)="Error",LEFT(N129,5)="Error",T129="Error"),"Check Data ⚠",IF(F129&lt;R129,INDEX('G-6 Hedgerow Data'!$S$3:$AE$14,MATCH(C129,'G-6 Hedgerow Data'!$B$3:$B$14,0),MATCH(M129,'G-6 Hedgerow Data'!$S$2:$AE$2,0)),INDEX('G-6 Hedgerow Data'!$K$3:$Q$14,MATCH(M129,'G-6 Hedgerow Data'!$B$3:$B$14,0),MATCH(O129,'G-6 Hedgerow Data'!$K$2:$Q$2,0)))),"")</f>
        <v/>
      </c>
      <c r="Y129" s="137"/>
      <c r="Z129" s="137"/>
      <c r="AA129" s="289" t="str">
        <f t="shared" si="10"/>
        <v/>
      </c>
      <c r="AB129" s="302" t="str">
        <f t="shared" si="11"/>
        <v/>
      </c>
      <c r="AC129" s="303" t="str">
        <f t="shared" si="8"/>
        <v/>
      </c>
      <c r="AD129" s="317" t="str">
        <f>IF(M129="","",VLOOKUP(M129,'G-6 Hedgerow Data'!$B$3:$AG$15,31,FALSE))</f>
        <v/>
      </c>
      <c r="AE129" s="301" t="str">
        <f t="shared" si="12"/>
        <v/>
      </c>
      <c r="AF129" s="289" t="str">
        <f t="shared" si="13"/>
        <v/>
      </c>
      <c r="AG129" s="305" t="str">
        <f>IFERROR(IF(O129="","",VLOOKUP(AD129,'G-3 Multipliers'!$P$3:$Q$6,2,FALSE)),"")</f>
        <v/>
      </c>
      <c r="AH129" s="729" t="str">
        <f>IF(B129="","",IF(ISNA(VLOOKUP($B129,'E-1 Off-Site Hedge Baseline'!$B$1:$Z$257,14,FALSE)),"",(VLOOKUP($B129,'E-1 Off-Site Hedge Baseline'!$B$1:$Z$257,14,FALSE))))</f>
        <v/>
      </c>
      <c r="AI129" s="282" t="str">
        <f>IF(AH129="","",IF(VLOOKUP(AH129,'G-3 Multipliers'!$S$3:$T$10,2,FALSE)=0,"Spatial Data Missing ⚠",VLOOKUP(AH129,'G-3 Multipliers'!$S$3:$T$10,2,FALSE)))</f>
        <v/>
      </c>
      <c r="AJ129" s="323" t="str">
        <f t="shared" si="14"/>
        <v/>
      </c>
      <c r="AK129" s="295" t="str">
        <f t="shared" si="15"/>
        <v/>
      </c>
      <c r="AL129" s="105"/>
      <c r="AM129" s="119"/>
      <c r="AN129" s="108"/>
      <c r="AO129" s="108"/>
      <c r="AQ129" s="30" t="str">
        <f>IFERROR(INDEX('G-6 Hedgerow Data'!$BJ$3:$BJ$15,MATCH(M129,'G-6 Hedgerow Data'!$B$3:$B$15,0)),"")</f>
        <v/>
      </c>
    </row>
    <row r="130" spans="2:43" ht="13.8" x14ac:dyDescent="0.25">
      <c r="B130" s="311" t="str">
        <f>'E-1 Off-Site Hedge Baseline'!AN128</f>
        <v/>
      </c>
      <c r="C130" s="301" t="str">
        <f>IF(B130="","",IF(ISNA(VLOOKUP($B130,'E-1 Off-Site Hedge Baseline'!$B$1:$L$257,3,FALSE)),"",(VLOOKUP($B130,'E-1 Off-Site Hedge Baseline'!$B$1:$L$257,3,FALSE))))</f>
        <v/>
      </c>
      <c r="D130" s="301" t="str">
        <f>IF(B130="","",IF(ISNA(VLOOKUP($B130,'E-1 Off-Site Hedge Baseline'!$B$1:$L$258,4,FALSE)),"",(VLOOKUP($B130,'E-1 Off-Site Hedge Baseline'!$B$1:$L$258,4,FALSE))))</f>
        <v/>
      </c>
      <c r="E130" s="301" t="str">
        <f>IF(B130="","",IF(ISNA(VLOOKUP($B130,'E-1 Off-Site Hedge Baseline'!$B$1:$L$257,5,FALSE)),"",(VLOOKUP($B130,'E-1 Off-Site Hedge Baseline'!$B$1:$L$257,5,FALSE))))</f>
        <v/>
      </c>
      <c r="F130" s="301" t="str">
        <f>IF(B130="","",IF(ISNA(VLOOKUP($B130,'E-1 Off-Site Hedge Baseline'!$B$1:$L$257,6,FALSE)),"",(VLOOKUP($B130,'E-1 Off-Site Hedge Baseline'!$B$1:$L$257,6,FALSE))))</f>
        <v/>
      </c>
      <c r="G130" s="301" t="str">
        <f>IF(B130="","",IF(ISNA(VLOOKUP($B130,'E-1 Off-Site Hedge Baseline'!$B$1:$L$257,7,FALSE)),"",(VLOOKUP($B130,'E-1 Off-Site Hedge Baseline'!$B$1:$L$257,7,FALSE))))</f>
        <v/>
      </c>
      <c r="H130" s="301" t="str">
        <f>IF(B130="","",IF(ISNA(VLOOKUP($B130,'E-1 Off-Site Hedge Baseline'!$B$1:$L$257,8,FALSE)),"",(VLOOKUP($B130,'E-1 Off-Site Hedge Baseline'!$B$1:$L$257,8,FALSE))))</f>
        <v/>
      </c>
      <c r="I130" s="301" t="str">
        <f>IF(B130="","",IF(ISNA(VLOOKUP($B130,'E-1 Off-Site Hedge Baseline'!$B$1:$L$257,10,FALSE)),"",(VLOOKUP($B130,'E-1 Off-Site Hedge Baseline'!$B$1:$L$257,10,FALSE))))</f>
        <v/>
      </c>
      <c r="J130" s="301" t="str">
        <f>IF(B130="","",IF(ISNA(VLOOKUP($B130,'E-1 Off-Site Hedge Baseline'!$B$1:$L$257,11,FALSE)),"",(VLOOKUP($B130,'E-1 Off-Site Hedge Baseline'!$B$1:$L$257,11,FALSE))))</f>
        <v/>
      </c>
      <c r="K130" s="301" t="str">
        <f>IF(B130="","",IF(ISNA(VLOOKUP($B130,'E-1 Off-Site Hedge Baseline'!$B$1:$X$257,16,FALSE)),"",(VLOOKUP($B130,'E-1 Off-Site Hedge Baseline'!$B$1:$X$257,16,FALSE))))</f>
        <v/>
      </c>
      <c r="L130" s="289" t="str">
        <f>IF(B130="","",IF(ISNA(VLOOKUP($B130,'E-1 Off-Site Hedge Baseline'!$B$1:$X$257,12,FALSE)),"",(VLOOKUP($B130,'E-1 Off-Site Hedge Baseline'!$B$1:$X$257,12,FALSE))))</f>
        <v/>
      </c>
      <c r="M130" s="250"/>
      <c r="N130" s="281" t="str">
        <f>IFERROR(IF(B130="","",INDEX('G-6 Hedgerow Data'!$AN$3:$AZ$15,MATCH(C130,'G-6 Hedgerow Data'!$AM$3:$AM$15,0),MATCH(M130,'G-6 Hedgerow Data'!$AN$2:$AZ$2,0))),"")</f>
        <v/>
      </c>
      <c r="O130" s="282" t="str">
        <f t="shared" si="9"/>
        <v/>
      </c>
      <c r="P130" s="287" t="str">
        <f>IF(B130="","",VLOOKUP(B130,'E-1 Off-Site Hedge Baseline'!$B$10:W375,19,FALSE))</f>
        <v/>
      </c>
      <c r="Q130" s="281" t="str">
        <f>IF(M130="","",VLOOKUP(M130,'G-6 Hedgerow Data'!$B$2:$AG$15,2,FALSE))</f>
        <v/>
      </c>
      <c r="R130" s="282" t="str">
        <f>IF(M130="","",VLOOKUP(M130,'G-6 Hedgerow Data'!$B$2:$AG$15,3,FALSE))</f>
        <v/>
      </c>
      <c r="S130" s="105"/>
      <c r="T130" s="282" t="str">
        <f>IFERROR(IF(S130="","",IF(AND(M130="Non-native and ornamental hedgerow", S130&lt;&gt;"Poor"),"Not possible ▲", (IF(AND(Q130="V.Low",OR(S130="Good",S130="Moderate")),"Error ▲",VLOOKUP(S130,'G-1 All Habitats'!$Z$2:$AA$9,2,FALSE))))),"")</f>
        <v/>
      </c>
      <c r="U130" s="105"/>
      <c r="V130" s="289" t="str">
        <f>IF(U130="","",IF(VLOOKUP(U130,'G-3 Multipliers'!$L$3:$N$6,2,FALSE)=0,"Spatial Data Missing ⚠",VLOOKUP(U130,'G-3 Multipliers'!$L$3:$N$6,2,FALSE)))</f>
        <v/>
      </c>
      <c r="W130" s="287" t="str">
        <f>IF(U130="","",IF(VLOOKUP(U130,'G-3 Multipliers'!$L$3:$N$6,3,FALSE)=0,"Spatial Data Missing ⚠",VLOOKUP(U130,'G-3 Multipliers'!$L$3:$N$6,3,FALSE)))</f>
        <v/>
      </c>
      <c r="X130" s="281" t="str">
        <f>IFERROR(IF(OR(LEFT(O130,5)="Error",LEFT(N130,5)="Error",T130="Error"),"Check Data ⚠",IF(F130&lt;R130,INDEX('G-6 Hedgerow Data'!$S$3:$AE$14,MATCH(C130,'G-6 Hedgerow Data'!$B$3:$B$14,0),MATCH(M130,'G-6 Hedgerow Data'!$S$2:$AE$2,0)),INDEX('G-6 Hedgerow Data'!$K$3:$Q$14,MATCH(M130,'G-6 Hedgerow Data'!$B$3:$B$14,0),MATCH(O130,'G-6 Hedgerow Data'!$K$2:$Q$2,0)))),"")</f>
        <v/>
      </c>
      <c r="Y130" s="137"/>
      <c r="Z130" s="137"/>
      <c r="AA130" s="289" t="str">
        <f t="shared" si="10"/>
        <v/>
      </c>
      <c r="AB130" s="302" t="str">
        <f t="shared" si="11"/>
        <v/>
      </c>
      <c r="AC130" s="303" t="str">
        <f t="shared" si="8"/>
        <v/>
      </c>
      <c r="AD130" s="317" t="str">
        <f>IF(M130="","",VLOOKUP(M130,'G-6 Hedgerow Data'!$B$3:$AG$15,31,FALSE))</f>
        <v/>
      </c>
      <c r="AE130" s="301" t="str">
        <f t="shared" si="12"/>
        <v/>
      </c>
      <c r="AF130" s="289" t="str">
        <f t="shared" si="13"/>
        <v/>
      </c>
      <c r="AG130" s="305" t="str">
        <f>IFERROR(IF(O130="","",VLOOKUP(AD130,'G-3 Multipliers'!$P$3:$Q$6,2,FALSE)),"")</f>
        <v/>
      </c>
      <c r="AH130" s="729" t="str">
        <f>IF(B130="","",IF(ISNA(VLOOKUP($B130,'E-1 Off-Site Hedge Baseline'!$B$1:$Z$257,14,FALSE)),"",(VLOOKUP($B130,'E-1 Off-Site Hedge Baseline'!$B$1:$Z$257,14,FALSE))))</f>
        <v/>
      </c>
      <c r="AI130" s="282" t="str">
        <f>IF(AH130="","",IF(VLOOKUP(AH130,'G-3 Multipliers'!$S$3:$T$10,2,FALSE)=0,"Spatial Data Missing ⚠",VLOOKUP(AH130,'G-3 Multipliers'!$S$3:$T$10,2,FALSE)))</f>
        <v/>
      </c>
      <c r="AJ130" s="323" t="str">
        <f t="shared" si="14"/>
        <v/>
      </c>
      <c r="AK130" s="295" t="str">
        <f t="shared" si="15"/>
        <v/>
      </c>
      <c r="AL130" s="105"/>
      <c r="AM130" s="119"/>
      <c r="AN130" s="108"/>
      <c r="AO130" s="108"/>
      <c r="AQ130" s="30" t="str">
        <f>IFERROR(INDEX('G-6 Hedgerow Data'!$BJ$3:$BJ$15,MATCH(M130,'G-6 Hedgerow Data'!$B$3:$B$15,0)),"")</f>
        <v/>
      </c>
    </row>
    <row r="131" spans="2:43" ht="13.8" x14ac:dyDescent="0.25">
      <c r="B131" s="311" t="str">
        <f>'E-1 Off-Site Hedge Baseline'!AN129</f>
        <v/>
      </c>
      <c r="C131" s="301" t="str">
        <f>IF(B131="","",IF(ISNA(VLOOKUP($B131,'E-1 Off-Site Hedge Baseline'!$B$1:$L$257,3,FALSE)),"",(VLOOKUP($B131,'E-1 Off-Site Hedge Baseline'!$B$1:$L$257,3,FALSE))))</f>
        <v/>
      </c>
      <c r="D131" s="301" t="str">
        <f>IF(B131="","",IF(ISNA(VLOOKUP($B131,'E-1 Off-Site Hedge Baseline'!$B$1:$L$258,4,FALSE)),"",(VLOOKUP($B131,'E-1 Off-Site Hedge Baseline'!$B$1:$L$258,4,FALSE))))</f>
        <v/>
      </c>
      <c r="E131" s="301" t="str">
        <f>IF(B131="","",IF(ISNA(VLOOKUP($B131,'E-1 Off-Site Hedge Baseline'!$B$1:$L$257,5,FALSE)),"",(VLOOKUP($B131,'E-1 Off-Site Hedge Baseline'!$B$1:$L$257,5,FALSE))))</f>
        <v/>
      </c>
      <c r="F131" s="301" t="str">
        <f>IF(B131="","",IF(ISNA(VLOOKUP($B131,'E-1 Off-Site Hedge Baseline'!$B$1:$L$257,6,FALSE)),"",(VLOOKUP($B131,'E-1 Off-Site Hedge Baseline'!$B$1:$L$257,6,FALSE))))</f>
        <v/>
      </c>
      <c r="G131" s="301" t="str">
        <f>IF(B131="","",IF(ISNA(VLOOKUP($B131,'E-1 Off-Site Hedge Baseline'!$B$1:$L$257,7,FALSE)),"",(VLOOKUP($B131,'E-1 Off-Site Hedge Baseline'!$B$1:$L$257,7,FALSE))))</f>
        <v/>
      </c>
      <c r="H131" s="301" t="str">
        <f>IF(B131="","",IF(ISNA(VLOOKUP($B131,'E-1 Off-Site Hedge Baseline'!$B$1:$L$257,8,FALSE)),"",(VLOOKUP($B131,'E-1 Off-Site Hedge Baseline'!$B$1:$L$257,8,FALSE))))</f>
        <v/>
      </c>
      <c r="I131" s="301" t="str">
        <f>IF(B131="","",IF(ISNA(VLOOKUP($B131,'E-1 Off-Site Hedge Baseline'!$B$1:$L$257,10,FALSE)),"",(VLOOKUP($B131,'E-1 Off-Site Hedge Baseline'!$B$1:$L$257,10,FALSE))))</f>
        <v/>
      </c>
      <c r="J131" s="301" t="str">
        <f>IF(B131="","",IF(ISNA(VLOOKUP($B131,'E-1 Off-Site Hedge Baseline'!$B$1:$L$257,11,FALSE)),"",(VLOOKUP($B131,'E-1 Off-Site Hedge Baseline'!$B$1:$L$257,11,FALSE))))</f>
        <v/>
      </c>
      <c r="K131" s="301" t="str">
        <f>IF(B131="","",IF(ISNA(VLOOKUP($B131,'E-1 Off-Site Hedge Baseline'!$B$1:$X$257,16,FALSE)),"",(VLOOKUP($B131,'E-1 Off-Site Hedge Baseline'!$B$1:$X$257,16,FALSE))))</f>
        <v/>
      </c>
      <c r="L131" s="289" t="str">
        <f>IF(B131="","",IF(ISNA(VLOOKUP($B131,'E-1 Off-Site Hedge Baseline'!$B$1:$X$257,12,FALSE)),"",(VLOOKUP($B131,'E-1 Off-Site Hedge Baseline'!$B$1:$X$257,12,FALSE))))</f>
        <v/>
      </c>
      <c r="M131" s="250"/>
      <c r="N131" s="281" t="str">
        <f>IFERROR(IF(B131="","",INDEX('G-6 Hedgerow Data'!$AN$3:$AZ$15,MATCH(C131,'G-6 Hedgerow Data'!$AM$3:$AM$15,0),MATCH(M131,'G-6 Hedgerow Data'!$AN$2:$AZ$2,0))),"")</f>
        <v/>
      </c>
      <c r="O131" s="282" t="str">
        <f t="shared" si="9"/>
        <v/>
      </c>
      <c r="P131" s="287" t="str">
        <f>IF(B131="","",VLOOKUP(B131,'E-1 Off-Site Hedge Baseline'!$B$10:W376,19,FALSE))</f>
        <v/>
      </c>
      <c r="Q131" s="281" t="str">
        <f>IF(M131="","",VLOOKUP(M131,'G-6 Hedgerow Data'!$B$2:$AG$15,2,FALSE))</f>
        <v/>
      </c>
      <c r="R131" s="282" t="str">
        <f>IF(M131="","",VLOOKUP(M131,'G-6 Hedgerow Data'!$B$2:$AG$15,3,FALSE))</f>
        <v/>
      </c>
      <c r="S131" s="105"/>
      <c r="T131" s="282" t="str">
        <f>IFERROR(IF(S131="","",IF(AND(M131="Non-native and ornamental hedgerow", S131&lt;&gt;"Poor"),"Not possible ▲", (IF(AND(Q131="V.Low",OR(S131="Good",S131="Moderate")),"Error ▲",VLOOKUP(S131,'G-1 All Habitats'!$Z$2:$AA$9,2,FALSE))))),"")</f>
        <v/>
      </c>
      <c r="U131" s="105"/>
      <c r="V131" s="289" t="str">
        <f>IF(U131="","",IF(VLOOKUP(U131,'G-3 Multipliers'!$L$3:$N$6,2,FALSE)=0,"Spatial Data Missing ⚠",VLOOKUP(U131,'G-3 Multipliers'!$L$3:$N$6,2,FALSE)))</f>
        <v/>
      </c>
      <c r="W131" s="287" t="str">
        <f>IF(U131="","",IF(VLOOKUP(U131,'G-3 Multipliers'!$L$3:$N$6,3,FALSE)=0,"Spatial Data Missing ⚠",VLOOKUP(U131,'G-3 Multipliers'!$L$3:$N$6,3,FALSE)))</f>
        <v/>
      </c>
      <c r="X131" s="281" t="str">
        <f>IFERROR(IF(OR(LEFT(O131,5)="Error",LEFT(N131,5)="Error",T131="Error"),"Check Data ⚠",IF(F131&lt;R131,INDEX('G-6 Hedgerow Data'!$S$3:$AE$14,MATCH(C131,'G-6 Hedgerow Data'!$B$3:$B$14,0),MATCH(M131,'G-6 Hedgerow Data'!$S$2:$AE$2,0)),INDEX('G-6 Hedgerow Data'!$K$3:$Q$14,MATCH(M131,'G-6 Hedgerow Data'!$B$3:$B$14,0),MATCH(O131,'G-6 Hedgerow Data'!$K$2:$Q$2,0)))),"")</f>
        <v/>
      </c>
      <c r="Y131" s="137"/>
      <c r="Z131" s="137"/>
      <c r="AA131" s="289" t="str">
        <f t="shared" si="10"/>
        <v/>
      </c>
      <c r="AB131" s="302" t="str">
        <f t="shared" si="11"/>
        <v/>
      </c>
      <c r="AC131" s="303" t="str">
        <f t="shared" si="8"/>
        <v/>
      </c>
      <c r="AD131" s="317" t="str">
        <f>IF(M131="","",VLOOKUP(M131,'G-6 Hedgerow Data'!$B$3:$AG$15,31,FALSE))</f>
        <v/>
      </c>
      <c r="AE131" s="301" t="str">
        <f t="shared" si="12"/>
        <v/>
      </c>
      <c r="AF131" s="289" t="str">
        <f t="shared" si="13"/>
        <v/>
      </c>
      <c r="AG131" s="305" t="str">
        <f>IFERROR(IF(O131="","",VLOOKUP(AD131,'G-3 Multipliers'!$P$3:$Q$6,2,FALSE)),"")</f>
        <v/>
      </c>
      <c r="AH131" s="729" t="str">
        <f>IF(B131="","",IF(ISNA(VLOOKUP($B131,'E-1 Off-Site Hedge Baseline'!$B$1:$Z$257,14,FALSE)),"",(VLOOKUP($B131,'E-1 Off-Site Hedge Baseline'!$B$1:$Z$257,14,FALSE))))</f>
        <v/>
      </c>
      <c r="AI131" s="282" t="str">
        <f>IF(AH131="","",IF(VLOOKUP(AH131,'G-3 Multipliers'!$S$3:$T$10,2,FALSE)=0,"Spatial Data Missing ⚠",VLOOKUP(AH131,'G-3 Multipliers'!$S$3:$T$10,2,FALSE)))</f>
        <v/>
      </c>
      <c r="AJ131" s="323" t="str">
        <f t="shared" si="14"/>
        <v/>
      </c>
      <c r="AK131" s="295" t="str">
        <f t="shared" si="15"/>
        <v/>
      </c>
      <c r="AL131" s="105"/>
      <c r="AM131" s="119"/>
      <c r="AN131" s="108"/>
      <c r="AO131" s="108"/>
      <c r="AQ131" s="30" t="str">
        <f>IFERROR(INDEX('G-6 Hedgerow Data'!$BJ$3:$BJ$15,MATCH(M131,'G-6 Hedgerow Data'!$B$3:$B$15,0)),"")</f>
        <v/>
      </c>
    </row>
    <row r="132" spans="2:43" ht="13.8" x14ac:dyDescent="0.25">
      <c r="B132" s="311" t="str">
        <f>'E-1 Off-Site Hedge Baseline'!AN130</f>
        <v/>
      </c>
      <c r="C132" s="301" t="str">
        <f>IF(B132="","",IF(ISNA(VLOOKUP($B132,'E-1 Off-Site Hedge Baseline'!$B$1:$L$257,3,FALSE)),"",(VLOOKUP($B132,'E-1 Off-Site Hedge Baseline'!$B$1:$L$257,3,FALSE))))</f>
        <v/>
      </c>
      <c r="D132" s="301" t="str">
        <f>IF(B132="","",IF(ISNA(VLOOKUP($B132,'E-1 Off-Site Hedge Baseline'!$B$1:$L$258,4,FALSE)),"",(VLOOKUP($B132,'E-1 Off-Site Hedge Baseline'!$B$1:$L$258,4,FALSE))))</f>
        <v/>
      </c>
      <c r="E132" s="301" t="str">
        <f>IF(B132="","",IF(ISNA(VLOOKUP($B132,'E-1 Off-Site Hedge Baseline'!$B$1:$L$257,5,FALSE)),"",(VLOOKUP($B132,'E-1 Off-Site Hedge Baseline'!$B$1:$L$257,5,FALSE))))</f>
        <v/>
      </c>
      <c r="F132" s="301" t="str">
        <f>IF(B132="","",IF(ISNA(VLOOKUP($B132,'E-1 Off-Site Hedge Baseline'!$B$1:$L$257,6,FALSE)),"",(VLOOKUP($B132,'E-1 Off-Site Hedge Baseline'!$B$1:$L$257,6,FALSE))))</f>
        <v/>
      </c>
      <c r="G132" s="301" t="str">
        <f>IF(B132="","",IF(ISNA(VLOOKUP($B132,'E-1 Off-Site Hedge Baseline'!$B$1:$L$257,7,FALSE)),"",(VLOOKUP($B132,'E-1 Off-Site Hedge Baseline'!$B$1:$L$257,7,FALSE))))</f>
        <v/>
      </c>
      <c r="H132" s="301" t="str">
        <f>IF(B132="","",IF(ISNA(VLOOKUP($B132,'E-1 Off-Site Hedge Baseline'!$B$1:$L$257,8,FALSE)),"",(VLOOKUP($B132,'E-1 Off-Site Hedge Baseline'!$B$1:$L$257,8,FALSE))))</f>
        <v/>
      </c>
      <c r="I132" s="301" t="str">
        <f>IF(B132="","",IF(ISNA(VLOOKUP($B132,'E-1 Off-Site Hedge Baseline'!$B$1:$L$257,10,FALSE)),"",(VLOOKUP($B132,'E-1 Off-Site Hedge Baseline'!$B$1:$L$257,10,FALSE))))</f>
        <v/>
      </c>
      <c r="J132" s="301" t="str">
        <f>IF(B132="","",IF(ISNA(VLOOKUP($B132,'E-1 Off-Site Hedge Baseline'!$B$1:$L$257,11,FALSE)),"",(VLOOKUP($B132,'E-1 Off-Site Hedge Baseline'!$B$1:$L$257,11,FALSE))))</f>
        <v/>
      </c>
      <c r="K132" s="301" t="str">
        <f>IF(B132="","",IF(ISNA(VLOOKUP($B132,'E-1 Off-Site Hedge Baseline'!$B$1:$X$257,16,FALSE)),"",(VLOOKUP($B132,'E-1 Off-Site Hedge Baseline'!$B$1:$X$257,16,FALSE))))</f>
        <v/>
      </c>
      <c r="L132" s="289" t="str">
        <f>IF(B132="","",IF(ISNA(VLOOKUP($B132,'E-1 Off-Site Hedge Baseline'!$B$1:$X$257,12,FALSE)),"",(VLOOKUP($B132,'E-1 Off-Site Hedge Baseline'!$B$1:$X$257,12,FALSE))))</f>
        <v/>
      </c>
      <c r="M132" s="250"/>
      <c r="N132" s="281" t="str">
        <f>IFERROR(IF(B132="","",INDEX('G-6 Hedgerow Data'!$AN$3:$AZ$15,MATCH(C132,'G-6 Hedgerow Data'!$AM$3:$AM$15,0),MATCH(M132,'G-6 Hedgerow Data'!$AN$2:$AZ$2,0))),"")</f>
        <v/>
      </c>
      <c r="O132" s="282" t="str">
        <f t="shared" si="9"/>
        <v/>
      </c>
      <c r="P132" s="287" t="str">
        <f>IF(B132="","",VLOOKUP(B132,'E-1 Off-Site Hedge Baseline'!$B$10:W377,19,FALSE))</f>
        <v/>
      </c>
      <c r="Q132" s="281" t="str">
        <f>IF(M132="","",VLOOKUP(M132,'G-6 Hedgerow Data'!$B$2:$AG$15,2,FALSE))</f>
        <v/>
      </c>
      <c r="R132" s="282" t="str">
        <f>IF(M132="","",VLOOKUP(M132,'G-6 Hedgerow Data'!$B$2:$AG$15,3,FALSE))</f>
        <v/>
      </c>
      <c r="S132" s="105"/>
      <c r="T132" s="282" t="str">
        <f>IFERROR(IF(S132="","",IF(AND(M132="Non-native and ornamental hedgerow", S132&lt;&gt;"Poor"),"Not possible ▲", (IF(AND(Q132="V.Low",OR(S132="Good",S132="Moderate")),"Error ▲",VLOOKUP(S132,'G-1 All Habitats'!$Z$2:$AA$9,2,FALSE))))),"")</f>
        <v/>
      </c>
      <c r="U132" s="105"/>
      <c r="V132" s="289" t="str">
        <f>IF(U132="","",IF(VLOOKUP(U132,'G-3 Multipliers'!$L$3:$N$6,2,FALSE)=0,"Spatial Data Missing ⚠",VLOOKUP(U132,'G-3 Multipliers'!$L$3:$N$6,2,FALSE)))</f>
        <v/>
      </c>
      <c r="W132" s="287" t="str">
        <f>IF(U132="","",IF(VLOOKUP(U132,'G-3 Multipliers'!$L$3:$N$6,3,FALSE)=0,"Spatial Data Missing ⚠",VLOOKUP(U132,'G-3 Multipliers'!$L$3:$N$6,3,FALSE)))</f>
        <v/>
      </c>
      <c r="X132" s="281" t="str">
        <f>IFERROR(IF(OR(LEFT(O132,5)="Error",LEFT(N132,5)="Error",T132="Error"),"Check Data ⚠",IF(F132&lt;R132,INDEX('G-6 Hedgerow Data'!$S$3:$AE$14,MATCH(C132,'G-6 Hedgerow Data'!$B$3:$B$14,0),MATCH(M132,'G-6 Hedgerow Data'!$S$2:$AE$2,0)),INDEX('G-6 Hedgerow Data'!$K$3:$Q$14,MATCH(M132,'G-6 Hedgerow Data'!$B$3:$B$14,0),MATCH(O132,'G-6 Hedgerow Data'!$K$2:$Q$2,0)))),"")</f>
        <v/>
      </c>
      <c r="Y132" s="137"/>
      <c r="Z132" s="137"/>
      <c r="AA132" s="289" t="str">
        <f t="shared" si="10"/>
        <v/>
      </c>
      <c r="AB132" s="302" t="str">
        <f t="shared" si="11"/>
        <v/>
      </c>
      <c r="AC132" s="303" t="str">
        <f t="shared" si="8"/>
        <v/>
      </c>
      <c r="AD132" s="317" t="str">
        <f>IF(M132="","",VLOOKUP(M132,'G-6 Hedgerow Data'!$B$3:$AG$15,31,FALSE))</f>
        <v/>
      </c>
      <c r="AE132" s="301" t="str">
        <f t="shared" si="12"/>
        <v/>
      </c>
      <c r="AF132" s="289" t="str">
        <f t="shared" si="13"/>
        <v/>
      </c>
      <c r="AG132" s="305" t="str">
        <f>IFERROR(IF(O132="","",VLOOKUP(AD132,'G-3 Multipliers'!$P$3:$Q$6,2,FALSE)),"")</f>
        <v/>
      </c>
      <c r="AH132" s="729" t="str">
        <f>IF(B132="","",IF(ISNA(VLOOKUP($B132,'E-1 Off-Site Hedge Baseline'!$B$1:$Z$257,14,FALSE)),"",(VLOOKUP($B132,'E-1 Off-Site Hedge Baseline'!$B$1:$Z$257,14,FALSE))))</f>
        <v/>
      </c>
      <c r="AI132" s="282" t="str">
        <f>IF(AH132="","",IF(VLOOKUP(AH132,'G-3 Multipliers'!$S$3:$T$10,2,FALSE)=0,"Spatial Data Missing ⚠",VLOOKUP(AH132,'G-3 Multipliers'!$S$3:$T$10,2,FALSE)))</f>
        <v/>
      </c>
      <c r="AJ132" s="323" t="str">
        <f t="shared" si="14"/>
        <v/>
      </c>
      <c r="AK132" s="295" t="str">
        <f t="shared" si="15"/>
        <v/>
      </c>
      <c r="AL132" s="105"/>
      <c r="AM132" s="119"/>
      <c r="AN132" s="108"/>
      <c r="AO132" s="108"/>
      <c r="AQ132" s="30" t="str">
        <f>IFERROR(INDEX('G-6 Hedgerow Data'!$BJ$3:$BJ$15,MATCH(M132,'G-6 Hedgerow Data'!$B$3:$B$15,0)),"")</f>
        <v/>
      </c>
    </row>
    <row r="133" spans="2:43" ht="13.8" x14ac:dyDescent="0.25">
      <c r="B133" s="311" t="str">
        <f>'E-1 Off-Site Hedge Baseline'!AN131</f>
        <v/>
      </c>
      <c r="C133" s="301" t="str">
        <f>IF(B133="","",IF(ISNA(VLOOKUP($B133,'E-1 Off-Site Hedge Baseline'!$B$1:$L$257,3,FALSE)),"",(VLOOKUP($B133,'E-1 Off-Site Hedge Baseline'!$B$1:$L$257,3,FALSE))))</f>
        <v/>
      </c>
      <c r="D133" s="301" t="str">
        <f>IF(B133="","",IF(ISNA(VLOOKUP($B133,'E-1 Off-Site Hedge Baseline'!$B$1:$L$258,4,FALSE)),"",(VLOOKUP($B133,'E-1 Off-Site Hedge Baseline'!$B$1:$L$258,4,FALSE))))</f>
        <v/>
      </c>
      <c r="E133" s="301" t="str">
        <f>IF(B133="","",IF(ISNA(VLOOKUP($B133,'E-1 Off-Site Hedge Baseline'!$B$1:$L$257,5,FALSE)),"",(VLOOKUP($B133,'E-1 Off-Site Hedge Baseline'!$B$1:$L$257,5,FALSE))))</f>
        <v/>
      </c>
      <c r="F133" s="301" t="str">
        <f>IF(B133="","",IF(ISNA(VLOOKUP($B133,'E-1 Off-Site Hedge Baseline'!$B$1:$L$257,6,FALSE)),"",(VLOOKUP($B133,'E-1 Off-Site Hedge Baseline'!$B$1:$L$257,6,FALSE))))</f>
        <v/>
      </c>
      <c r="G133" s="301" t="str">
        <f>IF(B133="","",IF(ISNA(VLOOKUP($B133,'E-1 Off-Site Hedge Baseline'!$B$1:$L$257,7,FALSE)),"",(VLOOKUP($B133,'E-1 Off-Site Hedge Baseline'!$B$1:$L$257,7,FALSE))))</f>
        <v/>
      </c>
      <c r="H133" s="301" t="str">
        <f>IF(B133="","",IF(ISNA(VLOOKUP($B133,'E-1 Off-Site Hedge Baseline'!$B$1:$L$257,8,FALSE)),"",(VLOOKUP($B133,'E-1 Off-Site Hedge Baseline'!$B$1:$L$257,8,FALSE))))</f>
        <v/>
      </c>
      <c r="I133" s="301" t="str">
        <f>IF(B133="","",IF(ISNA(VLOOKUP($B133,'E-1 Off-Site Hedge Baseline'!$B$1:$L$257,10,FALSE)),"",(VLOOKUP($B133,'E-1 Off-Site Hedge Baseline'!$B$1:$L$257,10,FALSE))))</f>
        <v/>
      </c>
      <c r="J133" s="301" t="str">
        <f>IF(B133="","",IF(ISNA(VLOOKUP($B133,'E-1 Off-Site Hedge Baseline'!$B$1:$L$257,11,FALSE)),"",(VLOOKUP($B133,'E-1 Off-Site Hedge Baseline'!$B$1:$L$257,11,FALSE))))</f>
        <v/>
      </c>
      <c r="K133" s="301" t="str">
        <f>IF(B133="","",IF(ISNA(VLOOKUP($B133,'E-1 Off-Site Hedge Baseline'!$B$1:$X$257,16,FALSE)),"",(VLOOKUP($B133,'E-1 Off-Site Hedge Baseline'!$B$1:$X$257,16,FALSE))))</f>
        <v/>
      </c>
      <c r="L133" s="289" t="str">
        <f>IF(B133="","",IF(ISNA(VLOOKUP($B133,'E-1 Off-Site Hedge Baseline'!$B$1:$X$257,12,FALSE)),"",(VLOOKUP($B133,'E-1 Off-Site Hedge Baseline'!$B$1:$X$257,12,FALSE))))</f>
        <v/>
      </c>
      <c r="M133" s="250"/>
      <c r="N133" s="281" t="str">
        <f>IFERROR(IF(B133="","",INDEX('G-6 Hedgerow Data'!$AN$3:$AZ$15,MATCH(C133,'G-6 Hedgerow Data'!$AM$3:$AM$15,0),MATCH(M133,'G-6 Hedgerow Data'!$AN$2:$AZ$2,0))),"")</f>
        <v/>
      </c>
      <c r="O133" s="282" t="str">
        <f t="shared" si="9"/>
        <v/>
      </c>
      <c r="P133" s="287" t="str">
        <f>IF(B133="","",VLOOKUP(B133,'E-1 Off-Site Hedge Baseline'!$B$10:W378,19,FALSE))</f>
        <v/>
      </c>
      <c r="Q133" s="281" t="str">
        <f>IF(M133="","",VLOOKUP(M133,'G-6 Hedgerow Data'!$B$2:$AG$15,2,FALSE))</f>
        <v/>
      </c>
      <c r="R133" s="282" t="str">
        <f>IF(M133="","",VLOOKUP(M133,'G-6 Hedgerow Data'!$B$2:$AG$15,3,FALSE))</f>
        <v/>
      </c>
      <c r="S133" s="105"/>
      <c r="T133" s="282" t="str">
        <f>IFERROR(IF(S133="","",IF(AND(M133="Non-native and ornamental hedgerow", S133&lt;&gt;"Poor"),"Not possible ▲", (IF(AND(Q133="V.Low",OR(S133="Good",S133="Moderate")),"Error ▲",VLOOKUP(S133,'G-1 All Habitats'!$Z$2:$AA$9,2,FALSE))))),"")</f>
        <v/>
      </c>
      <c r="U133" s="105"/>
      <c r="V133" s="289" t="str">
        <f>IF(U133="","",IF(VLOOKUP(U133,'G-3 Multipliers'!$L$3:$N$6,2,FALSE)=0,"Spatial Data Missing ⚠",VLOOKUP(U133,'G-3 Multipliers'!$L$3:$N$6,2,FALSE)))</f>
        <v/>
      </c>
      <c r="W133" s="287" t="str">
        <f>IF(U133="","",IF(VLOOKUP(U133,'G-3 Multipliers'!$L$3:$N$6,3,FALSE)=0,"Spatial Data Missing ⚠",VLOOKUP(U133,'G-3 Multipliers'!$L$3:$N$6,3,FALSE)))</f>
        <v/>
      </c>
      <c r="X133" s="281" t="str">
        <f>IFERROR(IF(OR(LEFT(O133,5)="Error",LEFT(N133,5)="Error",T133="Error"),"Check Data ⚠",IF(F133&lt;R133,INDEX('G-6 Hedgerow Data'!$S$3:$AE$14,MATCH(C133,'G-6 Hedgerow Data'!$B$3:$B$14,0),MATCH(M133,'G-6 Hedgerow Data'!$S$2:$AE$2,0)),INDEX('G-6 Hedgerow Data'!$K$3:$Q$14,MATCH(M133,'G-6 Hedgerow Data'!$B$3:$B$14,0),MATCH(O133,'G-6 Hedgerow Data'!$K$2:$Q$2,0)))),"")</f>
        <v/>
      </c>
      <c r="Y133" s="137"/>
      <c r="Z133" s="137"/>
      <c r="AA133" s="289" t="str">
        <f t="shared" si="10"/>
        <v/>
      </c>
      <c r="AB133" s="302" t="str">
        <f t="shared" si="11"/>
        <v/>
      </c>
      <c r="AC133" s="303" t="str">
        <f t="shared" si="8"/>
        <v/>
      </c>
      <c r="AD133" s="317" t="str">
        <f>IF(M133="","",VLOOKUP(M133,'G-6 Hedgerow Data'!$B$3:$AG$15,31,FALSE))</f>
        <v/>
      </c>
      <c r="AE133" s="301" t="str">
        <f t="shared" si="12"/>
        <v/>
      </c>
      <c r="AF133" s="289" t="str">
        <f t="shared" si="13"/>
        <v/>
      </c>
      <c r="AG133" s="305" t="str">
        <f>IFERROR(IF(O133="","",VLOOKUP(AD133,'G-3 Multipliers'!$P$3:$Q$6,2,FALSE)),"")</f>
        <v/>
      </c>
      <c r="AH133" s="729" t="str">
        <f>IF(B133="","",IF(ISNA(VLOOKUP($B133,'E-1 Off-Site Hedge Baseline'!$B$1:$Z$257,14,FALSE)),"",(VLOOKUP($B133,'E-1 Off-Site Hedge Baseline'!$B$1:$Z$257,14,FALSE))))</f>
        <v/>
      </c>
      <c r="AI133" s="282" t="str">
        <f>IF(AH133="","",IF(VLOOKUP(AH133,'G-3 Multipliers'!$S$3:$T$10,2,FALSE)=0,"Spatial Data Missing ⚠",VLOOKUP(AH133,'G-3 Multipliers'!$S$3:$T$10,2,FALSE)))</f>
        <v/>
      </c>
      <c r="AJ133" s="323" t="str">
        <f t="shared" si="14"/>
        <v/>
      </c>
      <c r="AK133" s="295" t="str">
        <f t="shared" si="15"/>
        <v/>
      </c>
      <c r="AL133" s="105"/>
      <c r="AM133" s="119"/>
      <c r="AN133" s="108"/>
      <c r="AO133" s="108"/>
      <c r="AQ133" s="30" t="str">
        <f>IFERROR(INDEX('G-6 Hedgerow Data'!$BJ$3:$BJ$15,MATCH(M133,'G-6 Hedgerow Data'!$B$3:$B$15,0)),"")</f>
        <v/>
      </c>
    </row>
    <row r="134" spans="2:43" ht="13.8" x14ac:dyDescent="0.25">
      <c r="B134" s="311" t="str">
        <f>'E-1 Off-Site Hedge Baseline'!AN132</f>
        <v/>
      </c>
      <c r="C134" s="301" t="str">
        <f>IF(B134="","",IF(ISNA(VLOOKUP($B134,'E-1 Off-Site Hedge Baseline'!$B$1:$L$257,3,FALSE)),"",(VLOOKUP($B134,'E-1 Off-Site Hedge Baseline'!$B$1:$L$257,3,FALSE))))</f>
        <v/>
      </c>
      <c r="D134" s="301" t="str">
        <f>IF(B134="","",IF(ISNA(VLOOKUP($B134,'E-1 Off-Site Hedge Baseline'!$B$1:$L$258,4,FALSE)),"",(VLOOKUP($B134,'E-1 Off-Site Hedge Baseline'!$B$1:$L$258,4,FALSE))))</f>
        <v/>
      </c>
      <c r="E134" s="301" t="str">
        <f>IF(B134="","",IF(ISNA(VLOOKUP($B134,'E-1 Off-Site Hedge Baseline'!$B$1:$L$257,5,FALSE)),"",(VLOOKUP($B134,'E-1 Off-Site Hedge Baseline'!$B$1:$L$257,5,FALSE))))</f>
        <v/>
      </c>
      <c r="F134" s="301" t="str">
        <f>IF(B134="","",IF(ISNA(VLOOKUP($B134,'E-1 Off-Site Hedge Baseline'!$B$1:$L$257,6,FALSE)),"",(VLOOKUP($B134,'E-1 Off-Site Hedge Baseline'!$B$1:$L$257,6,FALSE))))</f>
        <v/>
      </c>
      <c r="G134" s="301" t="str">
        <f>IF(B134="","",IF(ISNA(VLOOKUP($B134,'E-1 Off-Site Hedge Baseline'!$B$1:$L$257,7,FALSE)),"",(VLOOKUP($B134,'E-1 Off-Site Hedge Baseline'!$B$1:$L$257,7,FALSE))))</f>
        <v/>
      </c>
      <c r="H134" s="301" t="str">
        <f>IF(B134="","",IF(ISNA(VLOOKUP($B134,'E-1 Off-Site Hedge Baseline'!$B$1:$L$257,8,FALSE)),"",(VLOOKUP($B134,'E-1 Off-Site Hedge Baseline'!$B$1:$L$257,8,FALSE))))</f>
        <v/>
      </c>
      <c r="I134" s="301" t="str">
        <f>IF(B134="","",IF(ISNA(VLOOKUP($B134,'E-1 Off-Site Hedge Baseline'!$B$1:$L$257,10,FALSE)),"",(VLOOKUP($B134,'E-1 Off-Site Hedge Baseline'!$B$1:$L$257,10,FALSE))))</f>
        <v/>
      </c>
      <c r="J134" s="301" t="str">
        <f>IF(B134="","",IF(ISNA(VLOOKUP($B134,'E-1 Off-Site Hedge Baseline'!$B$1:$L$257,11,FALSE)),"",(VLOOKUP($B134,'E-1 Off-Site Hedge Baseline'!$B$1:$L$257,11,FALSE))))</f>
        <v/>
      </c>
      <c r="K134" s="301" t="str">
        <f>IF(B134="","",IF(ISNA(VLOOKUP($B134,'E-1 Off-Site Hedge Baseline'!$B$1:$X$257,16,FALSE)),"",(VLOOKUP($B134,'E-1 Off-Site Hedge Baseline'!$B$1:$X$257,16,FALSE))))</f>
        <v/>
      </c>
      <c r="L134" s="289" t="str">
        <f>IF(B134="","",IF(ISNA(VLOOKUP($B134,'E-1 Off-Site Hedge Baseline'!$B$1:$X$257,12,FALSE)),"",(VLOOKUP($B134,'E-1 Off-Site Hedge Baseline'!$B$1:$X$257,12,FALSE))))</f>
        <v/>
      </c>
      <c r="M134" s="250"/>
      <c r="N134" s="281" t="str">
        <f>IFERROR(IF(B134="","",INDEX('G-6 Hedgerow Data'!$AN$3:$AZ$15,MATCH(C134,'G-6 Hedgerow Data'!$AM$3:$AM$15,0),MATCH(M134,'G-6 Hedgerow Data'!$AN$2:$AZ$2,0))),"")</f>
        <v/>
      </c>
      <c r="O134" s="282" t="str">
        <f t="shared" si="9"/>
        <v/>
      </c>
      <c r="P134" s="287" t="str">
        <f>IF(B134="","",VLOOKUP(B134,'E-1 Off-Site Hedge Baseline'!$B$10:W379,19,FALSE))</f>
        <v/>
      </c>
      <c r="Q134" s="281" t="str">
        <f>IF(M134="","",VLOOKUP(M134,'G-6 Hedgerow Data'!$B$2:$AG$15,2,FALSE))</f>
        <v/>
      </c>
      <c r="R134" s="282" t="str">
        <f>IF(M134="","",VLOOKUP(M134,'G-6 Hedgerow Data'!$B$2:$AG$15,3,FALSE))</f>
        <v/>
      </c>
      <c r="S134" s="105"/>
      <c r="T134" s="282" t="str">
        <f>IFERROR(IF(S134="","",IF(AND(M134="Non-native and ornamental hedgerow", S134&lt;&gt;"Poor"),"Not possible ▲", (IF(AND(Q134="V.Low",OR(S134="Good",S134="Moderate")),"Error ▲",VLOOKUP(S134,'G-1 All Habitats'!$Z$2:$AA$9,2,FALSE))))),"")</f>
        <v/>
      </c>
      <c r="U134" s="105"/>
      <c r="V134" s="289" t="str">
        <f>IF(U134="","",IF(VLOOKUP(U134,'G-3 Multipliers'!$L$3:$N$6,2,FALSE)=0,"Spatial Data Missing ⚠",VLOOKUP(U134,'G-3 Multipliers'!$L$3:$N$6,2,FALSE)))</f>
        <v/>
      </c>
      <c r="W134" s="287" t="str">
        <f>IF(U134="","",IF(VLOOKUP(U134,'G-3 Multipliers'!$L$3:$N$6,3,FALSE)=0,"Spatial Data Missing ⚠",VLOOKUP(U134,'G-3 Multipliers'!$L$3:$N$6,3,FALSE)))</f>
        <v/>
      </c>
      <c r="X134" s="281" t="str">
        <f>IFERROR(IF(OR(LEFT(O134,5)="Error",LEFT(N134,5)="Error",T134="Error"),"Check Data ⚠",IF(F134&lt;R134,INDEX('G-6 Hedgerow Data'!$S$3:$AE$14,MATCH(C134,'G-6 Hedgerow Data'!$B$3:$B$14,0),MATCH(M134,'G-6 Hedgerow Data'!$S$2:$AE$2,0)),INDEX('G-6 Hedgerow Data'!$K$3:$Q$14,MATCH(M134,'G-6 Hedgerow Data'!$B$3:$B$14,0),MATCH(O134,'G-6 Hedgerow Data'!$K$2:$Q$2,0)))),"")</f>
        <v/>
      </c>
      <c r="Y134" s="137"/>
      <c r="Z134" s="137"/>
      <c r="AA134" s="289" t="str">
        <f t="shared" si="10"/>
        <v/>
      </c>
      <c r="AB134" s="302" t="str">
        <f t="shared" si="11"/>
        <v/>
      </c>
      <c r="AC134" s="303" t="str">
        <f t="shared" si="8"/>
        <v/>
      </c>
      <c r="AD134" s="317" t="str">
        <f>IF(M134="","",VLOOKUP(M134,'G-6 Hedgerow Data'!$B$3:$AG$15,31,FALSE))</f>
        <v/>
      </c>
      <c r="AE134" s="301" t="str">
        <f t="shared" si="12"/>
        <v/>
      </c>
      <c r="AF134" s="289" t="str">
        <f t="shared" si="13"/>
        <v/>
      </c>
      <c r="AG134" s="305" t="str">
        <f>IFERROR(IF(O134="","",VLOOKUP(AD134,'G-3 Multipliers'!$P$3:$Q$6,2,FALSE)),"")</f>
        <v/>
      </c>
      <c r="AH134" s="729" t="str">
        <f>IF(B134="","",IF(ISNA(VLOOKUP($B134,'E-1 Off-Site Hedge Baseline'!$B$1:$Z$257,14,FALSE)),"",(VLOOKUP($B134,'E-1 Off-Site Hedge Baseline'!$B$1:$Z$257,14,FALSE))))</f>
        <v/>
      </c>
      <c r="AI134" s="282" t="str">
        <f>IF(AH134="","",IF(VLOOKUP(AH134,'G-3 Multipliers'!$S$3:$T$10,2,FALSE)=0,"Spatial Data Missing ⚠",VLOOKUP(AH134,'G-3 Multipliers'!$S$3:$T$10,2,FALSE)))</f>
        <v/>
      </c>
      <c r="AJ134" s="323" t="str">
        <f t="shared" si="14"/>
        <v/>
      </c>
      <c r="AK134" s="295" t="str">
        <f t="shared" si="15"/>
        <v/>
      </c>
      <c r="AL134" s="105"/>
      <c r="AM134" s="119"/>
      <c r="AN134" s="108"/>
      <c r="AO134" s="108"/>
      <c r="AQ134" s="30" t="str">
        <f>IFERROR(INDEX('G-6 Hedgerow Data'!$BJ$3:$BJ$15,MATCH(M134,'G-6 Hedgerow Data'!$B$3:$B$15,0)),"")</f>
        <v/>
      </c>
    </row>
    <row r="135" spans="2:43" ht="13.8" x14ac:dyDescent="0.25">
      <c r="B135" s="311" t="str">
        <f>'E-1 Off-Site Hedge Baseline'!AN133</f>
        <v/>
      </c>
      <c r="C135" s="301" t="str">
        <f>IF(B135="","",IF(ISNA(VLOOKUP($B135,'E-1 Off-Site Hedge Baseline'!$B$1:$L$257,3,FALSE)),"",(VLOOKUP($B135,'E-1 Off-Site Hedge Baseline'!$B$1:$L$257,3,FALSE))))</f>
        <v/>
      </c>
      <c r="D135" s="301" t="str">
        <f>IF(B135="","",IF(ISNA(VLOOKUP($B135,'E-1 Off-Site Hedge Baseline'!$B$1:$L$258,4,FALSE)),"",(VLOOKUP($B135,'E-1 Off-Site Hedge Baseline'!$B$1:$L$258,4,FALSE))))</f>
        <v/>
      </c>
      <c r="E135" s="301" t="str">
        <f>IF(B135="","",IF(ISNA(VLOOKUP($B135,'E-1 Off-Site Hedge Baseline'!$B$1:$L$257,5,FALSE)),"",(VLOOKUP($B135,'E-1 Off-Site Hedge Baseline'!$B$1:$L$257,5,FALSE))))</f>
        <v/>
      </c>
      <c r="F135" s="301" t="str">
        <f>IF(B135="","",IF(ISNA(VLOOKUP($B135,'E-1 Off-Site Hedge Baseline'!$B$1:$L$257,6,FALSE)),"",(VLOOKUP($B135,'E-1 Off-Site Hedge Baseline'!$B$1:$L$257,6,FALSE))))</f>
        <v/>
      </c>
      <c r="G135" s="301" t="str">
        <f>IF(B135="","",IF(ISNA(VLOOKUP($B135,'E-1 Off-Site Hedge Baseline'!$B$1:$L$257,7,FALSE)),"",(VLOOKUP($B135,'E-1 Off-Site Hedge Baseline'!$B$1:$L$257,7,FALSE))))</f>
        <v/>
      </c>
      <c r="H135" s="301" t="str">
        <f>IF(B135="","",IF(ISNA(VLOOKUP($B135,'E-1 Off-Site Hedge Baseline'!$B$1:$L$257,8,FALSE)),"",(VLOOKUP($B135,'E-1 Off-Site Hedge Baseline'!$B$1:$L$257,8,FALSE))))</f>
        <v/>
      </c>
      <c r="I135" s="301" t="str">
        <f>IF(B135="","",IF(ISNA(VLOOKUP($B135,'E-1 Off-Site Hedge Baseline'!$B$1:$L$257,10,FALSE)),"",(VLOOKUP($B135,'E-1 Off-Site Hedge Baseline'!$B$1:$L$257,10,FALSE))))</f>
        <v/>
      </c>
      <c r="J135" s="301" t="str">
        <f>IF(B135="","",IF(ISNA(VLOOKUP($B135,'E-1 Off-Site Hedge Baseline'!$B$1:$L$257,11,FALSE)),"",(VLOOKUP($B135,'E-1 Off-Site Hedge Baseline'!$B$1:$L$257,11,FALSE))))</f>
        <v/>
      </c>
      <c r="K135" s="301" t="str">
        <f>IF(B135="","",IF(ISNA(VLOOKUP($B135,'E-1 Off-Site Hedge Baseline'!$B$1:$X$257,16,FALSE)),"",(VLOOKUP($B135,'E-1 Off-Site Hedge Baseline'!$B$1:$X$257,16,FALSE))))</f>
        <v/>
      </c>
      <c r="L135" s="289" t="str">
        <f>IF(B135="","",IF(ISNA(VLOOKUP($B135,'E-1 Off-Site Hedge Baseline'!$B$1:$X$257,12,FALSE)),"",(VLOOKUP($B135,'E-1 Off-Site Hedge Baseline'!$B$1:$X$257,12,FALSE))))</f>
        <v/>
      </c>
      <c r="M135" s="250"/>
      <c r="N135" s="281" t="str">
        <f>IFERROR(IF(B135="","",INDEX('G-6 Hedgerow Data'!$AN$3:$AZ$15,MATCH(C135,'G-6 Hedgerow Data'!$AM$3:$AM$15,0),MATCH(M135,'G-6 Hedgerow Data'!$AN$2:$AZ$2,0))),"")</f>
        <v/>
      </c>
      <c r="O135" s="282" t="str">
        <f t="shared" si="9"/>
        <v/>
      </c>
      <c r="P135" s="287" t="str">
        <f>IF(B135="","",VLOOKUP(B135,'E-1 Off-Site Hedge Baseline'!$B$10:W380,19,FALSE))</f>
        <v/>
      </c>
      <c r="Q135" s="281" t="str">
        <f>IF(M135="","",VLOOKUP(M135,'G-6 Hedgerow Data'!$B$2:$AG$15,2,FALSE))</f>
        <v/>
      </c>
      <c r="R135" s="282" t="str">
        <f>IF(M135="","",VLOOKUP(M135,'G-6 Hedgerow Data'!$B$2:$AG$15,3,FALSE))</f>
        <v/>
      </c>
      <c r="S135" s="105"/>
      <c r="T135" s="282" t="str">
        <f>IFERROR(IF(S135="","",IF(AND(M135="Non-native and ornamental hedgerow", S135&lt;&gt;"Poor"),"Not possible ▲", (IF(AND(Q135="V.Low",OR(S135="Good",S135="Moderate")),"Error ▲",VLOOKUP(S135,'G-1 All Habitats'!$Z$2:$AA$9,2,FALSE))))),"")</f>
        <v/>
      </c>
      <c r="U135" s="105"/>
      <c r="V135" s="289" t="str">
        <f>IF(U135="","",IF(VLOOKUP(U135,'G-3 Multipliers'!$L$3:$N$6,2,FALSE)=0,"Spatial Data Missing ⚠",VLOOKUP(U135,'G-3 Multipliers'!$L$3:$N$6,2,FALSE)))</f>
        <v/>
      </c>
      <c r="W135" s="287" t="str">
        <f>IF(U135="","",IF(VLOOKUP(U135,'G-3 Multipliers'!$L$3:$N$6,3,FALSE)=0,"Spatial Data Missing ⚠",VLOOKUP(U135,'G-3 Multipliers'!$L$3:$N$6,3,FALSE)))</f>
        <v/>
      </c>
      <c r="X135" s="281" t="str">
        <f>IFERROR(IF(OR(LEFT(O135,5)="Error",LEFT(N135,5)="Error",T135="Error"),"Check Data ⚠",IF(F135&lt;R135,INDEX('G-6 Hedgerow Data'!$S$3:$AE$14,MATCH(C135,'G-6 Hedgerow Data'!$B$3:$B$14,0),MATCH(M135,'G-6 Hedgerow Data'!$S$2:$AE$2,0)),INDEX('G-6 Hedgerow Data'!$K$3:$Q$14,MATCH(M135,'G-6 Hedgerow Data'!$B$3:$B$14,0),MATCH(O135,'G-6 Hedgerow Data'!$K$2:$Q$2,0)))),"")</f>
        <v/>
      </c>
      <c r="Y135" s="137"/>
      <c r="Z135" s="137"/>
      <c r="AA135" s="289" t="str">
        <f t="shared" si="10"/>
        <v/>
      </c>
      <c r="AB135" s="302" t="str">
        <f t="shared" si="11"/>
        <v/>
      </c>
      <c r="AC135" s="303" t="str">
        <f t="shared" si="8"/>
        <v/>
      </c>
      <c r="AD135" s="317" t="str">
        <f>IF(M135="","",VLOOKUP(M135,'G-6 Hedgerow Data'!$B$3:$AG$15,31,FALSE))</f>
        <v/>
      </c>
      <c r="AE135" s="301" t="str">
        <f t="shared" si="12"/>
        <v/>
      </c>
      <c r="AF135" s="289" t="str">
        <f t="shared" si="13"/>
        <v/>
      </c>
      <c r="AG135" s="305" t="str">
        <f>IFERROR(IF(O135="","",VLOOKUP(AD135,'G-3 Multipliers'!$P$3:$Q$6,2,FALSE)),"")</f>
        <v/>
      </c>
      <c r="AH135" s="729" t="str">
        <f>IF(B135="","",IF(ISNA(VLOOKUP($B135,'E-1 Off-Site Hedge Baseline'!$B$1:$Z$257,14,FALSE)),"",(VLOOKUP($B135,'E-1 Off-Site Hedge Baseline'!$B$1:$Z$257,14,FALSE))))</f>
        <v/>
      </c>
      <c r="AI135" s="282" t="str">
        <f>IF(AH135="","",IF(VLOOKUP(AH135,'G-3 Multipliers'!$S$3:$T$10,2,FALSE)=0,"Spatial Data Missing ⚠",VLOOKUP(AH135,'G-3 Multipliers'!$S$3:$T$10,2,FALSE)))</f>
        <v/>
      </c>
      <c r="AJ135" s="323" t="str">
        <f t="shared" si="14"/>
        <v/>
      </c>
      <c r="AK135" s="295" t="str">
        <f t="shared" si="15"/>
        <v/>
      </c>
      <c r="AL135" s="105"/>
      <c r="AM135" s="119"/>
      <c r="AN135" s="108"/>
      <c r="AO135" s="108"/>
      <c r="AQ135" s="30" t="str">
        <f>IFERROR(INDEX('G-6 Hedgerow Data'!$BJ$3:$BJ$15,MATCH(M135,'G-6 Hedgerow Data'!$B$3:$B$15,0)),"")</f>
        <v/>
      </c>
    </row>
    <row r="136" spans="2:43" ht="13.8" x14ac:dyDescent="0.25">
      <c r="B136" s="311" t="str">
        <f>'E-1 Off-Site Hedge Baseline'!AN134</f>
        <v/>
      </c>
      <c r="C136" s="301" t="str">
        <f>IF(B136="","",IF(ISNA(VLOOKUP($B136,'E-1 Off-Site Hedge Baseline'!$B$1:$L$257,3,FALSE)),"",(VLOOKUP($B136,'E-1 Off-Site Hedge Baseline'!$B$1:$L$257,3,FALSE))))</f>
        <v/>
      </c>
      <c r="D136" s="301" t="str">
        <f>IF(B136="","",IF(ISNA(VLOOKUP($B136,'E-1 Off-Site Hedge Baseline'!$B$1:$L$258,4,FALSE)),"",(VLOOKUP($B136,'E-1 Off-Site Hedge Baseline'!$B$1:$L$258,4,FALSE))))</f>
        <v/>
      </c>
      <c r="E136" s="301" t="str">
        <f>IF(B136="","",IF(ISNA(VLOOKUP($B136,'E-1 Off-Site Hedge Baseline'!$B$1:$L$257,5,FALSE)),"",(VLOOKUP($B136,'E-1 Off-Site Hedge Baseline'!$B$1:$L$257,5,FALSE))))</f>
        <v/>
      </c>
      <c r="F136" s="301" t="str">
        <f>IF(B136="","",IF(ISNA(VLOOKUP($B136,'E-1 Off-Site Hedge Baseline'!$B$1:$L$257,6,FALSE)),"",(VLOOKUP($B136,'E-1 Off-Site Hedge Baseline'!$B$1:$L$257,6,FALSE))))</f>
        <v/>
      </c>
      <c r="G136" s="301" t="str">
        <f>IF(B136="","",IF(ISNA(VLOOKUP($B136,'E-1 Off-Site Hedge Baseline'!$B$1:$L$257,7,FALSE)),"",(VLOOKUP($B136,'E-1 Off-Site Hedge Baseline'!$B$1:$L$257,7,FALSE))))</f>
        <v/>
      </c>
      <c r="H136" s="301" t="str">
        <f>IF(B136="","",IF(ISNA(VLOOKUP($B136,'E-1 Off-Site Hedge Baseline'!$B$1:$L$257,8,FALSE)),"",(VLOOKUP($B136,'E-1 Off-Site Hedge Baseline'!$B$1:$L$257,8,FALSE))))</f>
        <v/>
      </c>
      <c r="I136" s="301" t="str">
        <f>IF(B136="","",IF(ISNA(VLOOKUP($B136,'E-1 Off-Site Hedge Baseline'!$B$1:$L$257,10,FALSE)),"",(VLOOKUP($B136,'E-1 Off-Site Hedge Baseline'!$B$1:$L$257,10,FALSE))))</f>
        <v/>
      </c>
      <c r="J136" s="301" t="str">
        <f>IF(B136="","",IF(ISNA(VLOOKUP($B136,'E-1 Off-Site Hedge Baseline'!$B$1:$L$257,11,FALSE)),"",(VLOOKUP($B136,'E-1 Off-Site Hedge Baseline'!$B$1:$L$257,11,FALSE))))</f>
        <v/>
      </c>
      <c r="K136" s="301" t="str">
        <f>IF(B136="","",IF(ISNA(VLOOKUP($B136,'E-1 Off-Site Hedge Baseline'!$B$1:$X$257,16,FALSE)),"",(VLOOKUP($B136,'E-1 Off-Site Hedge Baseline'!$B$1:$X$257,16,FALSE))))</f>
        <v/>
      </c>
      <c r="L136" s="289" t="str">
        <f>IF(B136="","",IF(ISNA(VLOOKUP($B136,'E-1 Off-Site Hedge Baseline'!$B$1:$X$257,12,FALSE)),"",(VLOOKUP($B136,'E-1 Off-Site Hedge Baseline'!$B$1:$X$257,12,FALSE))))</f>
        <v/>
      </c>
      <c r="M136" s="250"/>
      <c r="N136" s="281" t="str">
        <f>IFERROR(IF(B136="","",INDEX('G-6 Hedgerow Data'!$AN$3:$AZ$15,MATCH(C136,'G-6 Hedgerow Data'!$AM$3:$AM$15,0),MATCH(M136,'G-6 Hedgerow Data'!$AN$2:$AZ$2,0))),"")</f>
        <v/>
      </c>
      <c r="O136" s="282" t="str">
        <f t="shared" si="9"/>
        <v/>
      </c>
      <c r="P136" s="287" t="str">
        <f>IF(B136="","",VLOOKUP(B136,'E-1 Off-Site Hedge Baseline'!$B$10:W381,19,FALSE))</f>
        <v/>
      </c>
      <c r="Q136" s="281" t="str">
        <f>IF(M136="","",VLOOKUP(M136,'G-6 Hedgerow Data'!$B$2:$AG$15,2,FALSE))</f>
        <v/>
      </c>
      <c r="R136" s="282" t="str">
        <f>IF(M136="","",VLOOKUP(M136,'G-6 Hedgerow Data'!$B$2:$AG$15,3,FALSE))</f>
        <v/>
      </c>
      <c r="S136" s="105"/>
      <c r="T136" s="282" t="str">
        <f>IFERROR(IF(S136="","",IF(AND(M136="Non-native and ornamental hedgerow", S136&lt;&gt;"Poor"),"Not possible ▲", (IF(AND(Q136="V.Low",OR(S136="Good",S136="Moderate")),"Error ▲",VLOOKUP(S136,'G-1 All Habitats'!$Z$2:$AA$9,2,FALSE))))),"")</f>
        <v/>
      </c>
      <c r="U136" s="105"/>
      <c r="V136" s="289" t="str">
        <f>IF(U136="","",IF(VLOOKUP(U136,'G-3 Multipliers'!$L$3:$N$6,2,FALSE)=0,"Spatial Data Missing ⚠",VLOOKUP(U136,'G-3 Multipliers'!$L$3:$N$6,2,FALSE)))</f>
        <v/>
      </c>
      <c r="W136" s="287" t="str">
        <f>IF(U136="","",IF(VLOOKUP(U136,'G-3 Multipliers'!$L$3:$N$6,3,FALSE)=0,"Spatial Data Missing ⚠",VLOOKUP(U136,'G-3 Multipliers'!$L$3:$N$6,3,FALSE)))</f>
        <v/>
      </c>
      <c r="X136" s="281" t="str">
        <f>IFERROR(IF(OR(LEFT(O136,5)="Error",LEFT(N136,5)="Error",T136="Error"),"Check Data ⚠",IF(F136&lt;R136,INDEX('G-6 Hedgerow Data'!$S$3:$AE$14,MATCH(C136,'G-6 Hedgerow Data'!$B$3:$B$14,0),MATCH(M136,'G-6 Hedgerow Data'!$S$2:$AE$2,0)),INDEX('G-6 Hedgerow Data'!$K$3:$Q$14,MATCH(M136,'G-6 Hedgerow Data'!$B$3:$B$14,0),MATCH(O136,'G-6 Hedgerow Data'!$K$2:$Q$2,0)))),"")</f>
        <v/>
      </c>
      <c r="Y136" s="137"/>
      <c r="Z136" s="137"/>
      <c r="AA136" s="289" t="str">
        <f t="shared" si="10"/>
        <v/>
      </c>
      <c r="AB136" s="302" t="str">
        <f t="shared" si="11"/>
        <v/>
      </c>
      <c r="AC136" s="303" t="str">
        <f t="shared" si="8"/>
        <v/>
      </c>
      <c r="AD136" s="317" t="str">
        <f>IF(M136="","",VLOOKUP(M136,'G-6 Hedgerow Data'!$B$3:$AG$15,31,FALSE))</f>
        <v/>
      </c>
      <c r="AE136" s="301" t="str">
        <f t="shared" si="12"/>
        <v/>
      </c>
      <c r="AF136" s="289" t="str">
        <f t="shared" si="13"/>
        <v/>
      </c>
      <c r="AG136" s="305" t="str">
        <f>IFERROR(IF(O136="","",VLOOKUP(AD136,'G-3 Multipliers'!$P$3:$Q$6,2,FALSE)),"")</f>
        <v/>
      </c>
      <c r="AH136" s="729" t="str">
        <f>IF(B136="","",IF(ISNA(VLOOKUP($B136,'E-1 Off-Site Hedge Baseline'!$B$1:$Z$257,14,FALSE)),"",(VLOOKUP($B136,'E-1 Off-Site Hedge Baseline'!$B$1:$Z$257,14,FALSE))))</f>
        <v/>
      </c>
      <c r="AI136" s="282" t="str">
        <f>IF(AH136="","",IF(VLOOKUP(AH136,'G-3 Multipliers'!$S$3:$T$10,2,FALSE)=0,"Spatial Data Missing ⚠",VLOOKUP(AH136,'G-3 Multipliers'!$S$3:$T$10,2,FALSE)))</f>
        <v/>
      </c>
      <c r="AJ136" s="323" t="str">
        <f t="shared" si="14"/>
        <v/>
      </c>
      <c r="AK136" s="295" t="str">
        <f t="shared" si="15"/>
        <v/>
      </c>
      <c r="AL136" s="105"/>
      <c r="AM136" s="119"/>
      <c r="AN136" s="108"/>
      <c r="AO136" s="108"/>
      <c r="AQ136" s="30" t="str">
        <f>IFERROR(INDEX('G-6 Hedgerow Data'!$BJ$3:$BJ$15,MATCH(M136,'G-6 Hedgerow Data'!$B$3:$B$15,0)),"")</f>
        <v/>
      </c>
    </row>
    <row r="137" spans="2:43" ht="13.8" x14ac:dyDescent="0.25">
      <c r="B137" s="311" t="str">
        <f>'E-1 Off-Site Hedge Baseline'!AN135</f>
        <v/>
      </c>
      <c r="C137" s="301" t="str">
        <f>IF(B137="","",IF(ISNA(VLOOKUP($B137,'E-1 Off-Site Hedge Baseline'!$B$1:$L$257,3,FALSE)),"",(VLOOKUP($B137,'E-1 Off-Site Hedge Baseline'!$B$1:$L$257,3,FALSE))))</f>
        <v/>
      </c>
      <c r="D137" s="301" t="str">
        <f>IF(B137="","",IF(ISNA(VLOOKUP($B137,'E-1 Off-Site Hedge Baseline'!$B$1:$L$258,4,FALSE)),"",(VLOOKUP($B137,'E-1 Off-Site Hedge Baseline'!$B$1:$L$258,4,FALSE))))</f>
        <v/>
      </c>
      <c r="E137" s="301" t="str">
        <f>IF(B137="","",IF(ISNA(VLOOKUP($B137,'E-1 Off-Site Hedge Baseline'!$B$1:$L$257,5,FALSE)),"",(VLOOKUP($B137,'E-1 Off-Site Hedge Baseline'!$B$1:$L$257,5,FALSE))))</f>
        <v/>
      </c>
      <c r="F137" s="301" t="str">
        <f>IF(B137="","",IF(ISNA(VLOOKUP($B137,'E-1 Off-Site Hedge Baseline'!$B$1:$L$257,6,FALSE)),"",(VLOOKUP($B137,'E-1 Off-Site Hedge Baseline'!$B$1:$L$257,6,FALSE))))</f>
        <v/>
      </c>
      <c r="G137" s="301" t="str">
        <f>IF(B137="","",IF(ISNA(VLOOKUP($B137,'E-1 Off-Site Hedge Baseline'!$B$1:$L$257,7,FALSE)),"",(VLOOKUP($B137,'E-1 Off-Site Hedge Baseline'!$B$1:$L$257,7,FALSE))))</f>
        <v/>
      </c>
      <c r="H137" s="301" t="str">
        <f>IF(B137="","",IF(ISNA(VLOOKUP($B137,'E-1 Off-Site Hedge Baseline'!$B$1:$L$257,8,FALSE)),"",(VLOOKUP($B137,'E-1 Off-Site Hedge Baseline'!$B$1:$L$257,8,FALSE))))</f>
        <v/>
      </c>
      <c r="I137" s="301" t="str">
        <f>IF(B137="","",IF(ISNA(VLOOKUP($B137,'E-1 Off-Site Hedge Baseline'!$B$1:$L$257,10,FALSE)),"",(VLOOKUP($B137,'E-1 Off-Site Hedge Baseline'!$B$1:$L$257,10,FALSE))))</f>
        <v/>
      </c>
      <c r="J137" s="301" t="str">
        <f>IF(B137="","",IF(ISNA(VLOOKUP($B137,'E-1 Off-Site Hedge Baseline'!$B$1:$L$257,11,FALSE)),"",(VLOOKUP($B137,'E-1 Off-Site Hedge Baseline'!$B$1:$L$257,11,FALSE))))</f>
        <v/>
      </c>
      <c r="K137" s="301" t="str">
        <f>IF(B137="","",IF(ISNA(VLOOKUP($B137,'E-1 Off-Site Hedge Baseline'!$B$1:$X$257,16,FALSE)),"",(VLOOKUP($B137,'E-1 Off-Site Hedge Baseline'!$B$1:$X$257,16,FALSE))))</f>
        <v/>
      </c>
      <c r="L137" s="289" t="str">
        <f>IF(B137="","",IF(ISNA(VLOOKUP($B137,'E-1 Off-Site Hedge Baseline'!$B$1:$X$257,12,FALSE)),"",(VLOOKUP($B137,'E-1 Off-Site Hedge Baseline'!$B$1:$X$257,12,FALSE))))</f>
        <v/>
      </c>
      <c r="M137" s="250"/>
      <c r="N137" s="281" t="str">
        <f>IFERROR(IF(B137="","",INDEX('G-6 Hedgerow Data'!$AN$3:$AZ$15,MATCH(C137,'G-6 Hedgerow Data'!$AM$3:$AM$15,0),MATCH(M137,'G-6 Hedgerow Data'!$AN$2:$AZ$2,0))),"")</f>
        <v/>
      </c>
      <c r="O137" s="282" t="str">
        <f t="shared" si="9"/>
        <v/>
      </c>
      <c r="P137" s="287" t="str">
        <f>IF(B137="","",VLOOKUP(B137,'E-1 Off-Site Hedge Baseline'!$B$10:W382,19,FALSE))</f>
        <v/>
      </c>
      <c r="Q137" s="281" t="str">
        <f>IF(M137="","",VLOOKUP(M137,'G-6 Hedgerow Data'!$B$2:$AG$15,2,FALSE))</f>
        <v/>
      </c>
      <c r="R137" s="282" t="str">
        <f>IF(M137="","",VLOOKUP(M137,'G-6 Hedgerow Data'!$B$2:$AG$15,3,FALSE))</f>
        <v/>
      </c>
      <c r="S137" s="105"/>
      <c r="T137" s="282" t="str">
        <f>IFERROR(IF(S137="","",IF(AND(M137="Non-native and ornamental hedgerow", S137&lt;&gt;"Poor"),"Not possible ▲", (IF(AND(Q137="V.Low",OR(S137="Good",S137="Moderate")),"Error ▲",VLOOKUP(S137,'G-1 All Habitats'!$Z$2:$AA$9,2,FALSE))))),"")</f>
        <v/>
      </c>
      <c r="U137" s="105"/>
      <c r="V137" s="289" t="str">
        <f>IF(U137="","",IF(VLOOKUP(U137,'G-3 Multipliers'!$L$3:$N$6,2,FALSE)=0,"Spatial Data Missing ⚠",VLOOKUP(U137,'G-3 Multipliers'!$L$3:$N$6,2,FALSE)))</f>
        <v/>
      </c>
      <c r="W137" s="287" t="str">
        <f>IF(U137="","",IF(VLOOKUP(U137,'G-3 Multipliers'!$L$3:$N$6,3,FALSE)=0,"Spatial Data Missing ⚠",VLOOKUP(U137,'G-3 Multipliers'!$L$3:$N$6,3,FALSE)))</f>
        <v/>
      </c>
      <c r="X137" s="281" t="str">
        <f>IFERROR(IF(OR(LEFT(O137,5)="Error",LEFT(N137,5)="Error",T137="Error"),"Check Data ⚠",IF(F137&lt;R137,INDEX('G-6 Hedgerow Data'!$S$3:$AE$14,MATCH(C137,'G-6 Hedgerow Data'!$B$3:$B$14,0),MATCH(M137,'G-6 Hedgerow Data'!$S$2:$AE$2,0)),INDEX('G-6 Hedgerow Data'!$K$3:$Q$14,MATCH(M137,'G-6 Hedgerow Data'!$B$3:$B$14,0),MATCH(O137,'G-6 Hedgerow Data'!$K$2:$Q$2,0)))),"")</f>
        <v/>
      </c>
      <c r="Y137" s="137"/>
      <c r="Z137" s="137"/>
      <c r="AA137" s="289" t="str">
        <f t="shared" si="10"/>
        <v/>
      </c>
      <c r="AB137" s="302" t="str">
        <f t="shared" si="11"/>
        <v/>
      </c>
      <c r="AC137" s="303" t="str">
        <f t="shared" si="8"/>
        <v/>
      </c>
      <c r="AD137" s="317" t="str">
        <f>IF(M137="","",VLOOKUP(M137,'G-6 Hedgerow Data'!$B$3:$AG$15,31,FALSE))</f>
        <v/>
      </c>
      <c r="AE137" s="301" t="str">
        <f t="shared" si="12"/>
        <v/>
      </c>
      <c r="AF137" s="289" t="str">
        <f t="shared" si="13"/>
        <v/>
      </c>
      <c r="AG137" s="305" t="str">
        <f>IFERROR(IF(O137="","",VLOOKUP(AD137,'G-3 Multipliers'!$P$3:$Q$6,2,FALSE)),"")</f>
        <v/>
      </c>
      <c r="AH137" s="729" t="str">
        <f>IF(B137="","",IF(ISNA(VLOOKUP($B137,'E-1 Off-Site Hedge Baseline'!$B$1:$Z$257,14,FALSE)),"",(VLOOKUP($B137,'E-1 Off-Site Hedge Baseline'!$B$1:$Z$257,14,FALSE))))</f>
        <v/>
      </c>
      <c r="AI137" s="282" t="str">
        <f>IF(AH137="","",IF(VLOOKUP(AH137,'G-3 Multipliers'!$S$3:$T$10,2,FALSE)=0,"Spatial Data Missing ⚠",VLOOKUP(AH137,'G-3 Multipliers'!$S$3:$T$10,2,FALSE)))</f>
        <v/>
      </c>
      <c r="AJ137" s="323" t="str">
        <f t="shared" si="14"/>
        <v/>
      </c>
      <c r="AK137" s="295" t="str">
        <f t="shared" si="15"/>
        <v/>
      </c>
      <c r="AL137" s="105"/>
      <c r="AM137" s="119"/>
      <c r="AN137" s="108"/>
      <c r="AO137" s="108"/>
      <c r="AQ137" s="30" t="str">
        <f>IFERROR(INDEX('G-6 Hedgerow Data'!$BJ$3:$BJ$15,MATCH(M137,'G-6 Hedgerow Data'!$B$3:$B$15,0)),"")</f>
        <v/>
      </c>
    </row>
    <row r="138" spans="2:43" ht="13.8" x14ac:dyDescent="0.25">
      <c r="B138" s="311" t="str">
        <f>'E-1 Off-Site Hedge Baseline'!AN136</f>
        <v/>
      </c>
      <c r="C138" s="301" t="str">
        <f>IF(B138="","",IF(ISNA(VLOOKUP($B138,'E-1 Off-Site Hedge Baseline'!$B$1:$L$257,3,FALSE)),"",(VLOOKUP($B138,'E-1 Off-Site Hedge Baseline'!$B$1:$L$257,3,FALSE))))</f>
        <v/>
      </c>
      <c r="D138" s="301" t="str">
        <f>IF(B138="","",IF(ISNA(VLOOKUP($B138,'E-1 Off-Site Hedge Baseline'!$B$1:$L$258,4,FALSE)),"",(VLOOKUP($B138,'E-1 Off-Site Hedge Baseline'!$B$1:$L$258,4,FALSE))))</f>
        <v/>
      </c>
      <c r="E138" s="301" t="str">
        <f>IF(B138="","",IF(ISNA(VLOOKUP($B138,'E-1 Off-Site Hedge Baseline'!$B$1:$L$257,5,FALSE)),"",(VLOOKUP($B138,'E-1 Off-Site Hedge Baseline'!$B$1:$L$257,5,FALSE))))</f>
        <v/>
      </c>
      <c r="F138" s="301" t="str">
        <f>IF(B138="","",IF(ISNA(VLOOKUP($B138,'E-1 Off-Site Hedge Baseline'!$B$1:$L$257,6,FALSE)),"",(VLOOKUP($B138,'E-1 Off-Site Hedge Baseline'!$B$1:$L$257,6,FALSE))))</f>
        <v/>
      </c>
      <c r="G138" s="301" t="str">
        <f>IF(B138="","",IF(ISNA(VLOOKUP($B138,'E-1 Off-Site Hedge Baseline'!$B$1:$L$257,7,FALSE)),"",(VLOOKUP($B138,'E-1 Off-Site Hedge Baseline'!$B$1:$L$257,7,FALSE))))</f>
        <v/>
      </c>
      <c r="H138" s="301" t="str">
        <f>IF(B138="","",IF(ISNA(VLOOKUP($B138,'E-1 Off-Site Hedge Baseline'!$B$1:$L$257,8,FALSE)),"",(VLOOKUP($B138,'E-1 Off-Site Hedge Baseline'!$B$1:$L$257,8,FALSE))))</f>
        <v/>
      </c>
      <c r="I138" s="301" t="str">
        <f>IF(B138="","",IF(ISNA(VLOOKUP($B138,'E-1 Off-Site Hedge Baseline'!$B$1:$L$257,10,FALSE)),"",(VLOOKUP($B138,'E-1 Off-Site Hedge Baseline'!$B$1:$L$257,10,FALSE))))</f>
        <v/>
      </c>
      <c r="J138" s="301" t="str">
        <f>IF(B138="","",IF(ISNA(VLOOKUP($B138,'E-1 Off-Site Hedge Baseline'!$B$1:$L$257,11,FALSE)),"",(VLOOKUP($B138,'E-1 Off-Site Hedge Baseline'!$B$1:$L$257,11,FALSE))))</f>
        <v/>
      </c>
      <c r="K138" s="301" t="str">
        <f>IF(B138="","",IF(ISNA(VLOOKUP($B138,'E-1 Off-Site Hedge Baseline'!$B$1:$X$257,16,FALSE)),"",(VLOOKUP($B138,'E-1 Off-Site Hedge Baseline'!$B$1:$X$257,16,FALSE))))</f>
        <v/>
      </c>
      <c r="L138" s="289" t="str">
        <f>IF(B138="","",IF(ISNA(VLOOKUP($B138,'E-1 Off-Site Hedge Baseline'!$B$1:$X$257,12,FALSE)),"",(VLOOKUP($B138,'E-1 Off-Site Hedge Baseline'!$B$1:$X$257,12,FALSE))))</f>
        <v/>
      </c>
      <c r="M138" s="250"/>
      <c r="N138" s="281" t="str">
        <f>IFERROR(IF(B138="","",INDEX('G-6 Hedgerow Data'!$AN$3:$AZ$15,MATCH(C138,'G-6 Hedgerow Data'!$AM$3:$AM$15,0),MATCH(M138,'G-6 Hedgerow Data'!$AN$2:$AZ$2,0))),"")</f>
        <v/>
      </c>
      <c r="O138" s="282" t="str">
        <f t="shared" si="9"/>
        <v/>
      </c>
      <c r="P138" s="287" t="str">
        <f>IF(B138="","",VLOOKUP(B138,'E-1 Off-Site Hedge Baseline'!$B$10:W383,19,FALSE))</f>
        <v/>
      </c>
      <c r="Q138" s="281" t="str">
        <f>IF(M138="","",VLOOKUP(M138,'G-6 Hedgerow Data'!$B$2:$AG$15,2,FALSE))</f>
        <v/>
      </c>
      <c r="R138" s="282" t="str">
        <f>IF(M138="","",VLOOKUP(M138,'G-6 Hedgerow Data'!$B$2:$AG$15,3,FALSE))</f>
        <v/>
      </c>
      <c r="S138" s="105"/>
      <c r="T138" s="282" t="str">
        <f>IFERROR(IF(S138="","",IF(AND(M138="Non-native and ornamental hedgerow", S138&lt;&gt;"Poor"),"Not possible ▲", (IF(AND(Q138="V.Low",OR(S138="Good",S138="Moderate")),"Error ▲",VLOOKUP(S138,'G-1 All Habitats'!$Z$2:$AA$9,2,FALSE))))),"")</f>
        <v/>
      </c>
      <c r="U138" s="105"/>
      <c r="V138" s="289" t="str">
        <f>IF(U138="","",IF(VLOOKUP(U138,'G-3 Multipliers'!$L$3:$N$6,2,FALSE)=0,"Spatial Data Missing ⚠",VLOOKUP(U138,'G-3 Multipliers'!$L$3:$N$6,2,FALSE)))</f>
        <v/>
      </c>
      <c r="W138" s="287" t="str">
        <f>IF(U138="","",IF(VLOOKUP(U138,'G-3 Multipliers'!$L$3:$N$6,3,FALSE)=0,"Spatial Data Missing ⚠",VLOOKUP(U138,'G-3 Multipliers'!$L$3:$N$6,3,FALSE)))</f>
        <v/>
      </c>
      <c r="X138" s="281" t="str">
        <f>IFERROR(IF(OR(LEFT(O138,5)="Error",LEFT(N138,5)="Error",T138="Error"),"Check Data ⚠",IF(F138&lt;R138,INDEX('G-6 Hedgerow Data'!$S$3:$AE$14,MATCH(C138,'G-6 Hedgerow Data'!$B$3:$B$14,0),MATCH(M138,'G-6 Hedgerow Data'!$S$2:$AE$2,0)),INDEX('G-6 Hedgerow Data'!$K$3:$Q$14,MATCH(M138,'G-6 Hedgerow Data'!$B$3:$B$14,0),MATCH(O138,'G-6 Hedgerow Data'!$K$2:$Q$2,0)))),"")</f>
        <v/>
      </c>
      <c r="Y138" s="137"/>
      <c r="Z138" s="137"/>
      <c r="AA138" s="289" t="str">
        <f t="shared" si="10"/>
        <v/>
      </c>
      <c r="AB138" s="302" t="str">
        <f t="shared" si="11"/>
        <v/>
      </c>
      <c r="AC138" s="303" t="str">
        <f t="shared" si="8"/>
        <v/>
      </c>
      <c r="AD138" s="317" t="str">
        <f>IF(M138="","",VLOOKUP(M138,'G-6 Hedgerow Data'!$B$3:$AG$15,31,FALSE))</f>
        <v/>
      </c>
      <c r="AE138" s="301" t="str">
        <f t="shared" si="12"/>
        <v/>
      </c>
      <c r="AF138" s="289" t="str">
        <f t="shared" si="13"/>
        <v/>
      </c>
      <c r="AG138" s="305" t="str">
        <f>IFERROR(IF(O138="","",VLOOKUP(AD138,'G-3 Multipliers'!$P$3:$Q$6,2,FALSE)),"")</f>
        <v/>
      </c>
      <c r="AH138" s="729" t="str">
        <f>IF(B138="","",IF(ISNA(VLOOKUP($B138,'E-1 Off-Site Hedge Baseline'!$B$1:$Z$257,14,FALSE)),"",(VLOOKUP($B138,'E-1 Off-Site Hedge Baseline'!$B$1:$Z$257,14,FALSE))))</f>
        <v/>
      </c>
      <c r="AI138" s="282" t="str">
        <f>IF(AH138="","",IF(VLOOKUP(AH138,'G-3 Multipliers'!$S$3:$T$10,2,FALSE)=0,"Spatial Data Missing ⚠",VLOOKUP(AH138,'G-3 Multipliers'!$S$3:$T$10,2,FALSE)))</f>
        <v/>
      </c>
      <c r="AJ138" s="323" t="str">
        <f t="shared" si="14"/>
        <v/>
      </c>
      <c r="AK138" s="295" t="str">
        <f t="shared" si="15"/>
        <v/>
      </c>
      <c r="AL138" s="105"/>
      <c r="AM138" s="119"/>
      <c r="AN138" s="108"/>
      <c r="AO138" s="108"/>
      <c r="AQ138" s="30" t="str">
        <f>IFERROR(INDEX('G-6 Hedgerow Data'!$BJ$3:$BJ$15,MATCH(M138,'G-6 Hedgerow Data'!$B$3:$B$15,0)),"")</f>
        <v/>
      </c>
    </row>
    <row r="139" spans="2:43" ht="13.8" x14ac:dyDescent="0.25">
      <c r="B139" s="311" t="str">
        <f>'E-1 Off-Site Hedge Baseline'!AN137</f>
        <v/>
      </c>
      <c r="C139" s="301" t="str">
        <f>IF(B139="","",IF(ISNA(VLOOKUP($B139,'E-1 Off-Site Hedge Baseline'!$B$1:$L$257,3,FALSE)),"",(VLOOKUP($B139,'E-1 Off-Site Hedge Baseline'!$B$1:$L$257,3,FALSE))))</f>
        <v/>
      </c>
      <c r="D139" s="301" t="str">
        <f>IF(B139="","",IF(ISNA(VLOOKUP($B139,'E-1 Off-Site Hedge Baseline'!$B$1:$L$258,4,FALSE)),"",(VLOOKUP($B139,'E-1 Off-Site Hedge Baseline'!$B$1:$L$258,4,FALSE))))</f>
        <v/>
      </c>
      <c r="E139" s="301" t="str">
        <f>IF(B139="","",IF(ISNA(VLOOKUP($B139,'E-1 Off-Site Hedge Baseline'!$B$1:$L$257,5,FALSE)),"",(VLOOKUP($B139,'E-1 Off-Site Hedge Baseline'!$B$1:$L$257,5,FALSE))))</f>
        <v/>
      </c>
      <c r="F139" s="301" t="str">
        <f>IF(B139="","",IF(ISNA(VLOOKUP($B139,'E-1 Off-Site Hedge Baseline'!$B$1:$L$257,6,FALSE)),"",(VLOOKUP($B139,'E-1 Off-Site Hedge Baseline'!$B$1:$L$257,6,FALSE))))</f>
        <v/>
      </c>
      <c r="G139" s="301" t="str">
        <f>IF(B139="","",IF(ISNA(VLOOKUP($B139,'E-1 Off-Site Hedge Baseline'!$B$1:$L$257,7,FALSE)),"",(VLOOKUP($B139,'E-1 Off-Site Hedge Baseline'!$B$1:$L$257,7,FALSE))))</f>
        <v/>
      </c>
      <c r="H139" s="301" t="str">
        <f>IF(B139="","",IF(ISNA(VLOOKUP($B139,'E-1 Off-Site Hedge Baseline'!$B$1:$L$257,8,FALSE)),"",(VLOOKUP($B139,'E-1 Off-Site Hedge Baseline'!$B$1:$L$257,8,FALSE))))</f>
        <v/>
      </c>
      <c r="I139" s="301" t="str">
        <f>IF(B139="","",IF(ISNA(VLOOKUP($B139,'E-1 Off-Site Hedge Baseline'!$B$1:$L$257,10,FALSE)),"",(VLOOKUP($B139,'E-1 Off-Site Hedge Baseline'!$B$1:$L$257,10,FALSE))))</f>
        <v/>
      </c>
      <c r="J139" s="301" t="str">
        <f>IF(B139="","",IF(ISNA(VLOOKUP($B139,'E-1 Off-Site Hedge Baseline'!$B$1:$L$257,11,FALSE)),"",(VLOOKUP($B139,'E-1 Off-Site Hedge Baseline'!$B$1:$L$257,11,FALSE))))</f>
        <v/>
      </c>
      <c r="K139" s="301" t="str">
        <f>IF(B139="","",IF(ISNA(VLOOKUP($B139,'E-1 Off-Site Hedge Baseline'!$B$1:$X$257,16,FALSE)),"",(VLOOKUP($B139,'E-1 Off-Site Hedge Baseline'!$B$1:$X$257,16,FALSE))))</f>
        <v/>
      </c>
      <c r="L139" s="289" t="str">
        <f>IF(B139="","",IF(ISNA(VLOOKUP($B139,'E-1 Off-Site Hedge Baseline'!$B$1:$X$257,12,FALSE)),"",(VLOOKUP($B139,'E-1 Off-Site Hedge Baseline'!$B$1:$X$257,12,FALSE))))</f>
        <v/>
      </c>
      <c r="M139" s="250"/>
      <c r="N139" s="281" t="str">
        <f>IFERROR(IF(B139="","",INDEX('G-6 Hedgerow Data'!$AN$3:$AZ$15,MATCH(C139,'G-6 Hedgerow Data'!$AM$3:$AM$15,0),MATCH(M139,'G-6 Hedgerow Data'!$AN$2:$AZ$2,0))),"")</f>
        <v/>
      </c>
      <c r="O139" s="282" t="str">
        <f t="shared" si="9"/>
        <v/>
      </c>
      <c r="P139" s="287" t="str">
        <f>IF(B139="","",VLOOKUP(B139,'E-1 Off-Site Hedge Baseline'!$B$10:W384,19,FALSE))</f>
        <v/>
      </c>
      <c r="Q139" s="281" t="str">
        <f>IF(M139="","",VLOOKUP(M139,'G-6 Hedgerow Data'!$B$2:$AG$15,2,FALSE))</f>
        <v/>
      </c>
      <c r="R139" s="282" t="str">
        <f>IF(M139="","",VLOOKUP(M139,'G-6 Hedgerow Data'!$B$2:$AG$15,3,FALSE))</f>
        <v/>
      </c>
      <c r="S139" s="105"/>
      <c r="T139" s="282" t="str">
        <f>IFERROR(IF(S139="","",IF(AND(M139="Non-native and ornamental hedgerow", S139&lt;&gt;"Poor"),"Not possible ▲", (IF(AND(Q139="V.Low",OR(S139="Good",S139="Moderate")),"Error ▲",VLOOKUP(S139,'G-1 All Habitats'!$Z$2:$AA$9,2,FALSE))))),"")</f>
        <v/>
      </c>
      <c r="U139" s="105"/>
      <c r="V139" s="289" t="str">
        <f>IF(U139="","",IF(VLOOKUP(U139,'G-3 Multipliers'!$L$3:$N$6,2,FALSE)=0,"Spatial Data Missing ⚠",VLOOKUP(U139,'G-3 Multipliers'!$L$3:$N$6,2,FALSE)))</f>
        <v/>
      </c>
      <c r="W139" s="287" t="str">
        <f>IF(U139="","",IF(VLOOKUP(U139,'G-3 Multipliers'!$L$3:$N$6,3,FALSE)=0,"Spatial Data Missing ⚠",VLOOKUP(U139,'G-3 Multipliers'!$L$3:$N$6,3,FALSE)))</f>
        <v/>
      </c>
      <c r="X139" s="281" t="str">
        <f>IFERROR(IF(OR(LEFT(O139,5)="Error",LEFT(N139,5)="Error",T139="Error"),"Check Data ⚠",IF(F139&lt;R139,INDEX('G-6 Hedgerow Data'!$S$3:$AE$14,MATCH(C139,'G-6 Hedgerow Data'!$B$3:$B$14,0),MATCH(M139,'G-6 Hedgerow Data'!$S$2:$AE$2,0)),INDEX('G-6 Hedgerow Data'!$K$3:$Q$14,MATCH(M139,'G-6 Hedgerow Data'!$B$3:$B$14,0),MATCH(O139,'G-6 Hedgerow Data'!$K$2:$Q$2,0)))),"")</f>
        <v/>
      </c>
      <c r="Y139" s="137"/>
      <c r="Z139" s="137"/>
      <c r="AA139" s="289" t="str">
        <f t="shared" si="10"/>
        <v/>
      </c>
      <c r="AB139" s="302" t="str">
        <f t="shared" si="11"/>
        <v/>
      </c>
      <c r="AC139" s="303" t="str">
        <f t="shared" si="8"/>
        <v/>
      </c>
      <c r="AD139" s="317" t="str">
        <f>IF(M139="","",VLOOKUP(M139,'G-6 Hedgerow Data'!$B$3:$AG$15,31,FALSE))</f>
        <v/>
      </c>
      <c r="AE139" s="301" t="str">
        <f t="shared" si="12"/>
        <v/>
      </c>
      <c r="AF139" s="289" t="str">
        <f t="shared" si="13"/>
        <v/>
      </c>
      <c r="AG139" s="305" t="str">
        <f>IFERROR(IF(O139="","",VLOOKUP(AD139,'G-3 Multipliers'!$P$3:$Q$6,2,FALSE)),"")</f>
        <v/>
      </c>
      <c r="AH139" s="729" t="str">
        <f>IF(B139="","",IF(ISNA(VLOOKUP($B139,'E-1 Off-Site Hedge Baseline'!$B$1:$Z$257,14,FALSE)),"",(VLOOKUP($B139,'E-1 Off-Site Hedge Baseline'!$B$1:$Z$257,14,FALSE))))</f>
        <v/>
      </c>
      <c r="AI139" s="282" t="str">
        <f>IF(AH139="","",IF(VLOOKUP(AH139,'G-3 Multipliers'!$S$3:$T$10,2,FALSE)=0,"Spatial Data Missing ⚠",VLOOKUP(AH139,'G-3 Multipliers'!$S$3:$T$10,2,FALSE)))</f>
        <v/>
      </c>
      <c r="AJ139" s="323" t="str">
        <f t="shared" si="14"/>
        <v/>
      </c>
      <c r="AK139" s="295" t="str">
        <f t="shared" si="15"/>
        <v/>
      </c>
      <c r="AL139" s="105"/>
      <c r="AM139" s="119"/>
      <c r="AN139" s="108"/>
      <c r="AO139" s="108"/>
      <c r="AQ139" s="30" t="str">
        <f>IFERROR(INDEX('G-6 Hedgerow Data'!$BJ$3:$BJ$15,MATCH(M139,'G-6 Hedgerow Data'!$B$3:$B$15,0)),"")</f>
        <v/>
      </c>
    </row>
    <row r="140" spans="2:43" ht="13.8" x14ac:dyDescent="0.25">
      <c r="B140" s="311" t="str">
        <f>'E-1 Off-Site Hedge Baseline'!AN138</f>
        <v/>
      </c>
      <c r="C140" s="301" t="str">
        <f>IF(B140="","",IF(ISNA(VLOOKUP($B140,'E-1 Off-Site Hedge Baseline'!$B$1:$L$257,3,FALSE)),"",(VLOOKUP($B140,'E-1 Off-Site Hedge Baseline'!$B$1:$L$257,3,FALSE))))</f>
        <v/>
      </c>
      <c r="D140" s="301" t="str">
        <f>IF(B140="","",IF(ISNA(VLOOKUP($B140,'E-1 Off-Site Hedge Baseline'!$B$1:$L$258,4,FALSE)),"",(VLOOKUP($B140,'E-1 Off-Site Hedge Baseline'!$B$1:$L$258,4,FALSE))))</f>
        <v/>
      </c>
      <c r="E140" s="301" t="str">
        <f>IF(B140="","",IF(ISNA(VLOOKUP($B140,'E-1 Off-Site Hedge Baseline'!$B$1:$L$257,5,FALSE)),"",(VLOOKUP($B140,'E-1 Off-Site Hedge Baseline'!$B$1:$L$257,5,FALSE))))</f>
        <v/>
      </c>
      <c r="F140" s="301" t="str">
        <f>IF(B140="","",IF(ISNA(VLOOKUP($B140,'E-1 Off-Site Hedge Baseline'!$B$1:$L$257,6,FALSE)),"",(VLOOKUP($B140,'E-1 Off-Site Hedge Baseline'!$B$1:$L$257,6,FALSE))))</f>
        <v/>
      </c>
      <c r="G140" s="301" t="str">
        <f>IF(B140="","",IF(ISNA(VLOOKUP($B140,'E-1 Off-Site Hedge Baseline'!$B$1:$L$257,7,FALSE)),"",(VLOOKUP($B140,'E-1 Off-Site Hedge Baseline'!$B$1:$L$257,7,FALSE))))</f>
        <v/>
      </c>
      <c r="H140" s="301" t="str">
        <f>IF(B140="","",IF(ISNA(VLOOKUP($B140,'E-1 Off-Site Hedge Baseline'!$B$1:$L$257,8,FALSE)),"",(VLOOKUP($B140,'E-1 Off-Site Hedge Baseline'!$B$1:$L$257,8,FALSE))))</f>
        <v/>
      </c>
      <c r="I140" s="301" t="str">
        <f>IF(B140="","",IF(ISNA(VLOOKUP($B140,'E-1 Off-Site Hedge Baseline'!$B$1:$L$257,10,FALSE)),"",(VLOOKUP($B140,'E-1 Off-Site Hedge Baseline'!$B$1:$L$257,10,FALSE))))</f>
        <v/>
      </c>
      <c r="J140" s="301" t="str">
        <f>IF(B140="","",IF(ISNA(VLOOKUP($B140,'E-1 Off-Site Hedge Baseline'!$B$1:$L$257,11,FALSE)),"",(VLOOKUP($B140,'E-1 Off-Site Hedge Baseline'!$B$1:$L$257,11,FALSE))))</f>
        <v/>
      </c>
      <c r="K140" s="301" t="str">
        <f>IF(B140="","",IF(ISNA(VLOOKUP($B140,'E-1 Off-Site Hedge Baseline'!$B$1:$X$257,16,FALSE)),"",(VLOOKUP($B140,'E-1 Off-Site Hedge Baseline'!$B$1:$X$257,16,FALSE))))</f>
        <v/>
      </c>
      <c r="L140" s="289" t="str">
        <f>IF(B140="","",IF(ISNA(VLOOKUP($B140,'E-1 Off-Site Hedge Baseline'!$B$1:$X$257,12,FALSE)),"",(VLOOKUP($B140,'E-1 Off-Site Hedge Baseline'!$B$1:$X$257,12,FALSE))))</f>
        <v/>
      </c>
      <c r="M140" s="250"/>
      <c r="N140" s="281" t="str">
        <f>IFERROR(IF(B140="","",INDEX('G-6 Hedgerow Data'!$AN$3:$AZ$15,MATCH(C140,'G-6 Hedgerow Data'!$AM$3:$AM$15,0),MATCH(M140,'G-6 Hedgerow Data'!$AN$2:$AZ$2,0))),"")</f>
        <v/>
      </c>
      <c r="O140" s="282" t="str">
        <f t="shared" si="9"/>
        <v/>
      </c>
      <c r="P140" s="287" t="str">
        <f>IF(B140="","",VLOOKUP(B140,'E-1 Off-Site Hedge Baseline'!$B$10:W385,19,FALSE))</f>
        <v/>
      </c>
      <c r="Q140" s="281" t="str">
        <f>IF(M140="","",VLOOKUP(M140,'G-6 Hedgerow Data'!$B$2:$AG$15,2,FALSE))</f>
        <v/>
      </c>
      <c r="R140" s="282" t="str">
        <f>IF(M140="","",VLOOKUP(M140,'G-6 Hedgerow Data'!$B$2:$AG$15,3,FALSE))</f>
        <v/>
      </c>
      <c r="S140" s="105"/>
      <c r="T140" s="282" t="str">
        <f>IFERROR(IF(S140="","",IF(AND(M140="Non-native and ornamental hedgerow", S140&lt;&gt;"Poor"),"Not possible ▲", (IF(AND(Q140="V.Low",OR(S140="Good",S140="Moderate")),"Error ▲",VLOOKUP(S140,'G-1 All Habitats'!$Z$2:$AA$9,2,FALSE))))),"")</f>
        <v/>
      </c>
      <c r="U140" s="105"/>
      <c r="V140" s="289" t="str">
        <f>IF(U140="","",IF(VLOOKUP(U140,'G-3 Multipliers'!$L$3:$N$6,2,FALSE)=0,"Spatial Data Missing ⚠",VLOOKUP(U140,'G-3 Multipliers'!$L$3:$N$6,2,FALSE)))</f>
        <v/>
      </c>
      <c r="W140" s="287" t="str">
        <f>IF(U140="","",IF(VLOOKUP(U140,'G-3 Multipliers'!$L$3:$N$6,3,FALSE)=0,"Spatial Data Missing ⚠",VLOOKUP(U140,'G-3 Multipliers'!$L$3:$N$6,3,FALSE)))</f>
        <v/>
      </c>
      <c r="X140" s="281" t="str">
        <f>IFERROR(IF(OR(LEFT(O140,5)="Error",LEFT(N140,5)="Error",T140="Error"),"Check Data ⚠",IF(F140&lt;R140,INDEX('G-6 Hedgerow Data'!$S$3:$AE$14,MATCH(C140,'G-6 Hedgerow Data'!$B$3:$B$14,0),MATCH(M140,'G-6 Hedgerow Data'!$S$2:$AE$2,0)),INDEX('G-6 Hedgerow Data'!$K$3:$Q$14,MATCH(M140,'G-6 Hedgerow Data'!$B$3:$B$14,0),MATCH(O140,'G-6 Hedgerow Data'!$K$2:$Q$2,0)))),"")</f>
        <v/>
      </c>
      <c r="Y140" s="137"/>
      <c r="Z140" s="137"/>
      <c r="AA140" s="289" t="str">
        <f t="shared" si="10"/>
        <v/>
      </c>
      <c r="AB140" s="302" t="str">
        <f t="shared" si="11"/>
        <v/>
      </c>
      <c r="AC140" s="303" t="str">
        <f t="shared" ref="AC140:AC203" si="16">IF(OR(S140="",M140=""),"",IF(LEFT(AB140,5)="Error ▲","Check Data ⚠",IF(AB140="Check Data ⚠","Check Data ⚠",VLOOKUP(AB140,TemporalMultipliers,3,FALSE))))</f>
        <v/>
      </c>
      <c r="AD140" s="317" t="str">
        <f>IF(M140="","",VLOOKUP(M140,'G-6 Hedgerow Data'!$B$3:$AG$15,31,FALSE))</f>
        <v/>
      </c>
      <c r="AE140" s="301" t="str">
        <f t="shared" si="12"/>
        <v/>
      </c>
      <c r="AF140" s="289" t="str">
        <f t="shared" si="13"/>
        <v/>
      </c>
      <c r="AG140" s="305" t="str">
        <f>IFERROR(IF(O140="","",VLOOKUP(AD140,'G-3 Multipliers'!$P$3:$Q$6,2,FALSE)),"")</f>
        <v/>
      </c>
      <c r="AH140" s="729" t="str">
        <f>IF(B140="","",IF(ISNA(VLOOKUP($B140,'E-1 Off-Site Hedge Baseline'!$B$1:$Z$257,14,FALSE)),"",(VLOOKUP($B140,'E-1 Off-Site Hedge Baseline'!$B$1:$Z$257,14,FALSE))))</f>
        <v/>
      </c>
      <c r="AI140" s="282" t="str">
        <f>IF(AH140="","",IF(VLOOKUP(AH140,'G-3 Multipliers'!$S$3:$T$10,2,FALSE)=0,"Spatial Data Missing ⚠",VLOOKUP(AH140,'G-3 Multipliers'!$S$3:$T$10,2,FALSE)))</f>
        <v/>
      </c>
      <c r="AJ140" s="323" t="str">
        <f t="shared" si="14"/>
        <v/>
      </c>
      <c r="AK140" s="295" t="str">
        <f t="shared" si="15"/>
        <v/>
      </c>
      <c r="AL140" s="105"/>
      <c r="AM140" s="119"/>
      <c r="AN140" s="108"/>
      <c r="AO140" s="108"/>
      <c r="AQ140" s="30" t="str">
        <f>IFERROR(INDEX('G-6 Hedgerow Data'!$BJ$3:$BJ$15,MATCH(M140,'G-6 Hedgerow Data'!$B$3:$B$15,0)),"")</f>
        <v/>
      </c>
    </row>
    <row r="141" spans="2:43" ht="13.8" x14ac:dyDescent="0.25">
      <c r="B141" s="311" t="str">
        <f>'E-1 Off-Site Hedge Baseline'!AN139</f>
        <v/>
      </c>
      <c r="C141" s="301" t="str">
        <f>IF(B141="","",IF(ISNA(VLOOKUP($B141,'E-1 Off-Site Hedge Baseline'!$B$1:$L$257,3,FALSE)),"",(VLOOKUP($B141,'E-1 Off-Site Hedge Baseline'!$B$1:$L$257,3,FALSE))))</f>
        <v/>
      </c>
      <c r="D141" s="301" t="str">
        <f>IF(B141="","",IF(ISNA(VLOOKUP($B141,'E-1 Off-Site Hedge Baseline'!$B$1:$L$258,4,FALSE)),"",(VLOOKUP($B141,'E-1 Off-Site Hedge Baseline'!$B$1:$L$258,4,FALSE))))</f>
        <v/>
      </c>
      <c r="E141" s="301" t="str">
        <f>IF(B141="","",IF(ISNA(VLOOKUP($B141,'E-1 Off-Site Hedge Baseline'!$B$1:$L$257,5,FALSE)),"",(VLOOKUP($B141,'E-1 Off-Site Hedge Baseline'!$B$1:$L$257,5,FALSE))))</f>
        <v/>
      </c>
      <c r="F141" s="301" t="str">
        <f>IF(B141="","",IF(ISNA(VLOOKUP($B141,'E-1 Off-Site Hedge Baseline'!$B$1:$L$257,6,FALSE)),"",(VLOOKUP($B141,'E-1 Off-Site Hedge Baseline'!$B$1:$L$257,6,FALSE))))</f>
        <v/>
      </c>
      <c r="G141" s="301" t="str">
        <f>IF(B141="","",IF(ISNA(VLOOKUP($B141,'E-1 Off-Site Hedge Baseline'!$B$1:$L$257,7,FALSE)),"",(VLOOKUP($B141,'E-1 Off-Site Hedge Baseline'!$B$1:$L$257,7,FALSE))))</f>
        <v/>
      </c>
      <c r="H141" s="301" t="str">
        <f>IF(B141="","",IF(ISNA(VLOOKUP($B141,'E-1 Off-Site Hedge Baseline'!$B$1:$L$257,8,FALSE)),"",(VLOOKUP($B141,'E-1 Off-Site Hedge Baseline'!$B$1:$L$257,8,FALSE))))</f>
        <v/>
      </c>
      <c r="I141" s="301" t="str">
        <f>IF(B141="","",IF(ISNA(VLOOKUP($B141,'E-1 Off-Site Hedge Baseline'!$B$1:$L$257,10,FALSE)),"",(VLOOKUP($B141,'E-1 Off-Site Hedge Baseline'!$B$1:$L$257,10,FALSE))))</f>
        <v/>
      </c>
      <c r="J141" s="301" t="str">
        <f>IF(B141="","",IF(ISNA(VLOOKUP($B141,'E-1 Off-Site Hedge Baseline'!$B$1:$L$257,11,FALSE)),"",(VLOOKUP($B141,'E-1 Off-Site Hedge Baseline'!$B$1:$L$257,11,FALSE))))</f>
        <v/>
      </c>
      <c r="K141" s="301" t="str">
        <f>IF(B141="","",IF(ISNA(VLOOKUP($B141,'E-1 Off-Site Hedge Baseline'!$B$1:$X$257,16,FALSE)),"",(VLOOKUP($B141,'E-1 Off-Site Hedge Baseline'!$B$1:$X$257,16,FALSE))))</f>
        <v/>
      </c>
      <c r="L141" s="289" t="str">
        <f>IF(B141="","",IF(ISNA(VLOOKUP($B141,'E-1 Off-Site Hedge Baseline'!$B$1:$X$257,12,FALSE)),"",(VLOOKUP($B141,'E-1 Off-Site Hedge Baseline'!$B$1:$X$257,12,FALSE))))</f>
        <v/>
      </c>
      <c r="M141" s="250"/>
      <c r="N141" s="281" t="str">
        <f>IFERROR(IF(B141="","",INDEX('G-6 Hedgerow Data'!$AN$3:$AZ$15,MATCH(C141,'G-6 Hedgerow Data'!$AM$3:$AM$15,0),MATCH(M141,'G-6 Hedgerow Data'!$AN$2:$AZ$2,0))),"")</f>
        <v/>
      </c>
      <c r="O141" s="282" t="str">
        <f t="shared" ref="O141:O204" si="17">IFERROR(IF(B141="","",IF(AND(LEFT(C141,55)&lt;&gt;LEFT(M141,55),N141="High - High"),"Error - Not like for like ▲",IF(H141&gt;T141,"Error - Can not reduce condition ▲",IF(AND(F141=R141,H141=T141),"Error - No enhancement ▲",IF(AND(C141&lt;&gt;M141,F141&lt;R141),"Lower Distinctiveness Habitat"&amp;" - "&amp;S141,G141&amp;" - "&amp;S141))))),"")</f>
        <v/>
      </c>
      <c r="P141" s="287" t="str">
        <f>IF(B141="","",VLOOKUP(B141,'E-1 Off-Site Hedge Baseline'!$B$10:W386,19,FALSE))</f>
        <v/>
      </c>
      <c r="Q141" s="281" t="str">
        <f>IF(M141="","",VLOOKUP(M141,'G-6 Hedgerow Data'!$B$2:$AG$15,2,FALSE))</f>
        <v/>
      </c>
      <c r="R141" s="282" t="str">
        <f>IF(M141="","",VLOOKUP(M141,'G-6 Hedgerow Data'!$B$2:$AG$15,3,FALSE))</f>
        <v/>
      </c>
      <c r="S141" s="105"/>
      <c r="T141" s="282" t="str">
        <f>IFERROR(IF(S141="","",IF(AND(M141="Non-native and ornamental hedgerow", S141&lt;&gt;"Poor"),"Not possible ▲", (IF(AND(Q141="V.Low",OR(S141="Good",S141="Moderate")),"Error ▲",VLOOKUP(S141,'G-1 All Habitats'!$Z$2:$AA$9,2,FALSE))))),"")</f>
        <v/>
      </c>
      <c r="U141" s="105"/>
      <c r="V141" s="289" t="str">
        <f>IF(U141="","",IF(VLOOKUP(U141,'G-3 Multipliers'!$L$3:$N$6,2,FALSE)=0,"Spatial Data Missing ⚠",VLOOKUP(U141,'G-3 Multipliers'!$L$3:$N$6,2,FALSE)))</f>
        <v/>
      </c>
      <c r="W141" s="287" t="str">
        <f>IF(U141="","",IF(VLOOKUP(U141,'G-3 Multipliers'!$L$3:$N$6,3,FALSE)=0,"Spatial Data Missing ⚠",VLOOKUP(U141,'G-3 Multipliers'!$L$3:$N$6,3,FALSE)))</f>
        <v/>
      </c>
      <c r="X141" s="281" t="str">
        <f>IFERROR(IF(OR(LEFT(O141,5)="Error",LEFT(N141,5)="Error",T141="Error"),"Check Data ⚠",IF(F141&lt;R141,INDEX('G-6 Hedgerow Data'!$S$3:$AE$14,MATCH(C141,'G-6 Hedgerow Data'!$B$3:$B$14,0),MATCH(M141,'G-6 Hedgerow Data'!$S$2:$AE$2,0)),INDEX('G-6 Hedgerow Data'!$K$3:$Q$14,MATCH(M141,'G-6 Hedgerow Data'!$B$3:$B$14,0),MATCH(O141,'G-6 Hedgerow Data'!$K$2:$Q$2,0)))),"")</f>
        <v/>
      </c>
      <c r="Y141" s="137"/>
      <c r="Z141" s="137"/>
      <c r="AA141" s="289" t="str">
        <f t="shared" ref="AA141:AA204" si="18">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02" t="str">
        <f t="shared" ref="AB141:AB204" si="19">IF(X141="","",IF(AA141="Check Data ⚠","Check Data ⚠",IF(X141="Not possible ▲", "Check data ⚠", IF(Y141="30+",0,IF(Z141="30+","30+",IF(X141+Z141&gt;30,"30+",IF(AA141="Error -both advance and delayed habitat creation ▲","Check Data ⚠",IF(X141+Z141-Y141&gt;0,X141+Z141-Y141,IF(X141-Y141&lt;=0,0,)))))))))</f>
        <v/>
      </c>
      <c r="AC141" s="303" t="str">
        <f t="shared" si="16"/>
        <v/>
      </c>
      <c r="AD141" s="317" t="str">
        <f>IF(M141="","",VLOOKUP(M141,'G-6 Hedgerow Data'!$B$3:$AG$15,31,FALSE))</f>
        <v/>
      </c>
      <c r="AE141" s="301" t="str">
        <f t="shared" ref="AE141:AE204" si="20">IF(M141="","",IF(OR(LEFT(AA141,5)="Error ▲",AA141="Check Data ⚠"),"Check Data ⚠",IF(X141="","",IF($AA141="Check details - Is there evidence that habitat has reached target condition? ⚠","Low Difficulty - only applicable if all habitat created before losses ⚠","Standard difficulty applied"))))</f>
        <v/>
      </c>
      <c r="AF141" s="289" t="str">
        <f t="shared" ref="AF141:AF204" si="21">(IF(AND(AE141="Yes",X141&gt;Y141),AD141,IF(AB141="Check data ⚠", "Check data ⚠", IF(AND(AE141="Low Difficulty - only applicable if all habitat created before losses ⚠",Y141&gt;=X141),"Low",AD141))))</f>
        <v/>
      </c>
      <c r="AG141" s="305" t="str">
        <f>IFERROR(IF(O141="","",VLOOKUP(AD141,'G-3 Multipliers'!$P$3:$Q$6,2,FALSE)),"")</f>
        <v/>
      </c>
      <c r="AH141" s="729" t="str">
        <f>IF(B141="","",IF(ISNA(VLOOKUP($B141,'E-1 Off-Site Hedge Baseline'!$B$1:$Z$257,14,FALSE)),"",(VLOOKUP($B141,'E-1 Off-Site Hedge Baseline'!$B$1:$Z$257,14,FALSE))))</f>
        <v/>
      </c>
      <c r="AI141" s="282" t="str">
        <f>IF(AH141="","",IF(VLOOKUP(AH141,'G-3 Multipliers'!$S$3:$T$10,2,FALSE)=0,"Spatial Data Missing ⚠",VLOOKUP(AH141,'G-3 Multipliers'!$S$3:$T$10,2,FALSE)))</f>
        <v/>
      </c>
      <c r="AJ141" s="323" t="str">
        <f t="shared" ref="AJ141:AJ204" si="22">IFERROR(IF(AK141="Check data ⚠", "Check data ⚠",(IF(OR(M141="",S141="",U141="",AH141=""),"",(((((P141*R141*T141)-(P141*F141*H141))*(AG141*AC141))+(P141*F141*H141))*(W141)*AI141)))),"")</f>
        <v/>
      </c>
      <c r="AK141" s="295" t="str">
        <f t="shared" ref="AK141:AK204" si="23">IFERROR(IF(K141="Check data ⚠", "Check data ⚠", (IF(AND(AH141&lt;&gt;"",AO141=""), "Off-site reference required ▲",(IF(OR(M141="",S141="",U141="",AH141=""),"", IF(AH141="","",(((((P141*R141*T141)-(P141*F141*H141))*(AG141*AC141))+(P141*F141*H141))*(W141)))))))),"")</f>
        <v/>
      </c>
      <c r="AL141" s="105"/>
      <c r="AM141" s="119"/>
      <c r="AN141" s="108"/>
      <c r="AO141" s="108"/>
      <c r="AQ141" s="30" t="str">
        <f>IFERROR(INDEX('G-6 Hedgerow Data'!$BJ$3:$BJ$15,MATCH(M141,'G-6 Hedgerow Data'!$B$3:$B$15,0)),"")</f>
        <v/>
      </c>
    </row>
    <row r="142" spans="2:43" ht="13.8" x14ac:dyDescent="0.25">
      <c r="B142" s="311" t="str">
        <f>'E-1 Off-Site Hedge Baseline'!AN140</f>
        <v/>
      </c>
      <c r="C142" s="301" t="str">
        <f>IF(B142="","",IF(ISNA(VLOOKUP($B142,'E-1 Off-Site Hedge Baseline'!$B$1:$L$257,3,FALSE)),"",(VLOOKUP($B142,'E-1 Off-Site Hedge Baseline'!$B$1:$L$257,3,FALSE))))</f>
        <v/>
      </c>
      <c r="D142" s="301" t="str">
        <f>IF(B142="","",IF(ISNA(VLOOKUP($B142,'E-1 Off-Site Hedge Baseline'!$B$1:$L$258,4,FALSE)),"",(VLOOKUP($B142,'E-1 Off-Site Hedge Baseline'!$B$1:$L$258,4,FALSE))))</f>
        <v/>
      </c>
      <c r="E142" s="301" t="str">
        <f>IF(B142="","",IF(ISNA(VLOOKUP($B142,'E-1 Off-Site Hedge Baseline'!$B$1:$L$257,5,FALSE)),"",(VLOOKUP($B142,'E-1 Off-Site Hedge Baseline'!$B$1:$L$257,5,FALSE))))</f>
        <v/>
      </c>
      <c r="F142" s="301" t="str">
        <f>IF(B142="","",IF(ISNA(VLOOKUP($B142,'E-1 Off-Site Hedge Baseline'!$B$1:$L$257,6,FALSE)),"",(VLOOKUP($B142,'E-1 Off-Site Hedge Baseline'!$B$1:$L$257,6,FALSE))))</f>
        <v/>
      </c>
      <c r="G142" s="301" t="str">
        <f>IF(B142="","",IF(ISNA(VLOOKUP($B142,'E-1 Off-Site Hedge Baseline'!$B$1:$L$257,7,FALSE)),"",(VLOOKUP($B142,'E-1 Off-Site Hedge Baseline'!$B$1:$L$257,7,FALSE))))</f>
        <v/>
      </c>
      <c r="H142" s="301" t="str">
        <f>IF(B142="","",IF(ISNA(VLOOKUP($B142,'E-1 Off-Site Hedge Baseline'!$B$1:$L$257,8,FALSE)),"",(VLOOKUP($B142,'E-1 Off-Site Hedge Baseline'!$B$1:$L$257,8,FALSE))))</f>
        <v/>
      </c>
      <c r="I142" s="301" t="str">
        <f>IF(B142="","",IF(ISNA(VLOOKUP($B142,'E-1 Off-Site Hedge Baseline'!$B$1:$L$257,10,FALSE)),"",(VLOOKUP($B142,'E-1 Off-Site Hedge Baseline'!$B$1:$L$257,10,FALSE))))</f>
        <v/>
      </c>
      <c r="J142" s="301" t="str">
        <f>IF(B142="","",IF(ISNA(VLOOKUP($B142,'E-1 Off-Site Hedge Baseline'!$B$1:$L$257,11,FALSE)),"",(VLOOKUP($B142,'E-1 Off-Site Hedge Baseline'!$B$1:$L$257,11,FALSE))))</f>
        <v/>
      </c>
      <c r="K142" s="301" t="str">
        <f>IF(B142="","",IF(ISNA(VLOOKUP($B142,'E-1 Off-Site Hedge Baseline'!$B$1:$X$257,16,FALSE)),"",(VLOOKUP($B142,'E-1 Off-Site Hedge Baseline'!$B$1:$X$257,16,FALSE))))</f>
        <v/>
      </c>
      <c r="L142" s="289" t="str">
        <f>IF(B142="","",IF(ISNA(VLOOKUP($B142,'E-1 Off-Site Hedge Baseline'!$B$1:$X$257,12,FALSE)),"",(VLOOKUP($B142,'E-1 Off-Site Hedge Baseline'!$B$1:$X$257,12,FALSE))))</f>
        <v/>
      </c>
      <c r="M142" s="250"/>
      <c r="N142" s="281" t="str">
        <f>IFERROR(IF(B142="","",INDEX('G-6 Hedgerow Data'!$AN$3:$AZ$15,MATCH(C142,'G-6 Hedgerow Data'!$AM$3:$AM$15,0),MATCH(M142,'G-6 Hedgerow Data'!$AN$2:$AZ$2,0))),"")</f>
        <v/>
      </c>
      <c r="O142" s="282" t="str">
        <f t="shared" si="17"/>
        <v/>
      </c>
      <c r="P142" s="287" t="str">
        <f>IF(B142="","",VLOOKUP(B142,'E-1 Off-Site Hedge Baseline'!$B$10:W387,19,FALSE))</f>
        <v/>
      </c>
      <c r="Q142" s="281" t="str">
        <f>IF(M142="","",VLOOKUP(M142,'G-6 Hedgerow Data'!$B$2:$AG$15,2,FALSE))</f>
        <v/>
      </c>
      <c r="R142" s="282" t="str">
        <f>IF(M142="","",VLOOKUP(M142,'G-6 Hedgerow Data'!$B$2:$AG$15,3,FALSE))</f>
        <v/>
      </c>
      <c r="S142" s="105"/>
      <c r="T142" s="282" t="str">
        <f>IFERROR(IF(S142="","",IF(AND(M142="Non-native and ornamental hedgerow", S142&lt;&gt;"Poor"),"Not possible ▲", (IF(AND(Q142="V.Low",OR(S142="Good",S142="Moderate")),"Error ▲",VLOOKUP(S142,'G-1 All Habitats'!$Z$2:$AA$9,2,FALSE))))),"")</f>
        <v/>
      </c>
      <c r="U142" s="105"/>
      <c r="V142" s="289" t="str">
        <f>IF(U142="","",IF(VLOOKUP(U142,'G-3 Multipliers'!$L$3:$N$6,2,FALSE)=0,"Spatial Data Missing ⚠",VLOOKUP(U142,'G-3 Multipliers'!$L$3:$N$6,2,FALSE)))</f>
        <v/>
      </c>
      <c r="W142" s="287" t="str">
        <f>IF(U142="","",IF(VLOOKUP(U142,'G-3 Multipliers'!$L$3:$N$6,3,FALSE)=0,"Spatial Data Missing ⚠",VLOOKUP(U142,'G-3 Multipliers'!$L$3:$N$6,3,FALSE)))</f>
        <v/>
      </c>
      <c r="X142" s="281" t="str">
        <f>IFERROR(IF(OR(LEFT(O142,5)="Error",LEFT(N142,5)="Error",T142="Error"),"Check Data ⚠",IF(F142&lt;R142,INDEX('G-6 Hedgerow Data'!$S$3:$AE$14,MATCH(C142,'G-6 Hedgerow Data'!$B$3:$B$14,0),MATCH(M142,'G-6 Hedgerow Data'!$S$2:$AE$2,0)),INDEX('G-6 Hedgerow Data'!$K$3:$Q$14,MATCH(M142,'G-6 Hedgerow Data'!$B$3:$B$14,0),MATCH(O142,'G-6 Hedgerow Data'!$K$2:$Q$2,0)))),"")</f>
        <v/>
      </c>
      <c r="Y142" s="137"/>
      <c r="Z142" s="137"/>
      <c r="AA142" s="289" t="str">
        <f t="shared" si="18"/>
        <v/>
      </c>
      <c r="AB142" s="302" t="str">
        <f t="shared" si="19"/>
        <v/>
      </c>
      <c r="AC142" s="303" t="str">
        <f t="shared" si="16"/>
        <v/>
      </c>
      <c r="AD142" s="317" t="str">
        <f>IF(M142="","",VLOOKUP(M142,'G-6 Hedgerow Data'!$B$3:$AG$15,31,FALSE))</f>
        <v/>
      </c>
      <c r="AE142" s="301" t="str">
        <f t="shared" si="20"/>
        <v/>
      </c>
      <c r="AF142" s="289" t="str">
        <f t="shared" si="21"/>
        <v/>
      </c>
      <c r="AG142" s="305" t="str">
        <f>IFERROR(IF(O142="","",VLOOKUP(AD142,'G-3 Multipliers'!$P$3:$Q$6,2,FALSE)),"")</f>
        <v/>
      </c>
      <c r="AH142" s="729" t="str">
        <f>IF(B142="","",IF(ISNA(VLOOKUP($B142,'E-1 Off-Site Hedge Baseline'!$B$1:$Z$257,14,FALSE)),"",(VLOOKUP($B142,'E-1 Off-Site Hedge Baseline'!$B$1:$Z$257,14,FALSE))))</f>
        <v/>
      </c>
      <c r="AI142" s="282" t="str">
        <f>IF(AH142="","",IF(VLOOKUP(AH142,'G-3 Multipliers'!$S$3:$T$10,2,FALSE)=0,"Spatial Data Missing ⚠",VLOOKUP(AH142,'G-3 Multipliers'!$S$3:$T$10,2,FALSE)))</f>
        <v/>
      </c>
      <c r="AJ142" s="323" t="str">
        <f t="shared" si="22"/>
        <v/>
      </c>
      <c r="AK142" s="295" t="str">
        <f t="shared" si="23"/>
        <v/>
      </c>
      <c r="AL142" s="105"/>
      <c r="AM142" s="119"/>
      <c r="AN142" s="108"/>
      <c r="AO142" s="108"/>
      <c r="AQ142" s="30" t="str">
        <f>IFERROR(INDEX('G-6 Hedgerow Data'!$BJ$3:$BJ$15,MATCH(M142,'G-6 Hedgerow Data'!$B$3:$B$15,0)),"")</f>
        <v/>
      </c>
    </row>
    <row r="143" spans="2:43" ht="13.8" x14ac:dyDescent="0.25">
      <c r="B143" s="311" t="str">
        <f>'E-1 Off-Site Hedge Baseline'!AN141</f>
        <v/>
      </c>
      <c r="C143" s="301" t="str">
        <f>IF(B143="","",IF(ISNA(VLOOKUP($B143,'E-1 Off-Site Hedge Baseline'!$B$1:$L$257,3,FALSE)),"",(VLOOKUP($B143,'E-1 Off-Site Hedge Baseline'!$B$1:$L$257,3,FALSE))))</f>
        <v/>
      </c>
      <c r="D143" s="301" t="str">
        <f>IF(B143="","",IF(ISNA(VLOOKUP($B143,'E-1 Off-Site Hedge Baseline'!$B$1:$L$258,4,FALSE)),"",(VLOOKUP($B143,'E-1 Off-Site Hedge Baseline'!$B$1:$L$258,4,FALSE))))</f>
        <v/>
      </c>
      <c r="E143" s="301" t="str">
        <f>IF(B143="","",IF(ISNA(VLOOKUP($B143,'E-1 Off-Site Hedge Baseline'!$B$1:$L$257,5,FALSE)),"",(VLOOKUP($B143,'E-1 Off-Site Hedge Baseline'!$B$1:$L$257,5,FALSE))))</f>
        <v/>
      </c>
      <c r="F143" s="301" t="str">
        <f>IF(B143="","",IF(ISNA(VLOOKUP($B143,'E-1 Off-Site Hedge Baseline'!$B$1:$L$257,6,FALSE)),"",(VLOOKUP($B143,'E-1 Off-Site Hedge Baseline'!$B$1:$L$257,6,FALSE))))</f>
        <v/>
      </c>
      <c r="G143" s="301" t="str">
        <f>IF(B143="","",IF(ISNA(VLOOKUP($B143,'E-1 Off-Site Hedge Baseline'!$B$1:$L$257,7,FALSE)),"",(VLOOKUP($B143,'E-1 Off-Site Hedge Baseline'!$B$1:$L$257,7,FALSE))))</f>
        <v/>
      </c>
      <c r="H143" s="301" t="str">
        <f>IF(B143="","",IF(ISNA(VLOOKUP($B143,'E-1 Off-Site Hedge Baseline'!$B$1:$L$257,8,FALSE)),"",(VLOOKUP($B143,'E-1 Off-Site Hedge Baseline'!$B$1:$L$257,8,FALSE))))</f>
        <v/>
      </c>
      <c r="I143" s="301" t="str">
        <f>IF(B143="","",IF(ISNA(VLOOKUP($B143,'E-1 Off-Site Hedge Baseline'!$B$1:$L$257,10,FALSE)),"",(VLOOKUP($B143,'E-1 Off-Site Hedge Baseline'!$B$1:$L$257,10,FALSE))))</f>
        <v/>
      </c>
      <c r="J143" s="301" t="str">
        <f>IF(B143="","",IF(ISNA(VLOOKUP($B143,'E-1 Off-Site Hedge Baseline'!$B$1:$L$257,11,FALSE)),"",(VLOOKUP($B143,'E-1 Off-Site Hedge Baseline'!$B$1:$L$257,11,FALSE))))</f>
        <v/>
      </c>
      <c r="K143" s="301" t="str">
        <f>IF(B143="","",IF(ISNA(VLOOKUP($B143,'E-1 Off-Site Hedge Baseline'!$B$1:$X$257,16,FALSE)),"",(VLOOKUP($B143,'E-1 Off-Site Hedge Baseline'!$B$1:$X$257,16,FALSE))))</f>
        <v/>
      </c>
      <c r="L143" s="289" t="str">
        <f>IF(B143="","",IF(ISNA(VLOOKUP($B143,'E-1 Off-Site Hedge Baseline'!$B$1:$X$257,12,FALSE)),"",(VLOOKUP($B143,'E-1 Off-Site Hedge Baseline'!$B$1:$X$257,12,FALSE))))</f>
        <v/>
      </c>
      <c r="M143" s="250"/>
      <c r="N143" s="281" t="str">
        <f>IFERROR(IF(B143="","",INDEX('G-6 Hedgerow Data'!$AN$3:$AZ$15,MATCH(C143,'G-6 Hedgerow Data'!$AM$3:$AM$15,0),MATCH(M143,'G-6 Hedgerow Data'!$AN$2:$AZ$2,0))),"")</f>
        <v/>
      </c>
      <c r="O143" s="282" t="str">
        <f t="shared" si="17"/>
        <v/>
      </c>
      <c r="P143" s="287" t="str">
        <f>IF(B143="","",VLOOKUP(B143,'E-1 Off-Site Hedge Baseline'!$B$10:W388,19,FALSE))</f>
        <v/>
      </c>
      <c r="Q143" s="281" t="str">
        <f>IF(M143="","",VLOOKUP(M143,'G-6 Hedgerow Data'!$B$2:$AG$15,2,FALSE))</f>
        <v/>
      </c>
      <c r="R143" s="282" t="str">
        <f>IF(M143="","",VLOOKUP(M143,'G-6 Hedgerow Data'!$B$2:$AG$15,3,FALSE))</f>
        <v/>
      </c>
      <c r="S143" s="105"/>
      <c r="T143" s="282" t="str">
        <f>IFERROR(IF(S143="","",IF(AND(M143="Non-native and ornamental hedgerow", S143&lt;&gt;"Poor"),"Not possible ▲", (IF(AND(Q143="V.Low",OR(S143="Good",S143="Moderate")),"Error ▲",VLOOKUP(S143,'G-1 All Habitats'!$Z$2:$AA$9,2,FALSE))))),"")</f>
        <v/>
      </c>
      <c r="U143" s="105"/>
      <c r="V143" s="289" t="str">
        <f>IF(U143="","",IF(VLOOKUP(U143,'G-3 Multipliers'!$L$3:$N$6,2,FALSE)=0,"Spatial Data Missing ⚠",VLOOKUP(U143,'G-3 Multipliers'!$L$3:$N$6,2,FALSE)))</f>
        <v/>
      </c>
      <c r="W143" s="287" t="str">
        <f>IF(U143="","",IF(VLOOKUP(U143,'G-3 Multipliers'!$L$3:$N$6,3,FALSE)=0,"Spatial Data Missing ⚠",VLOOKUP(U143,'G-3 Multipliers'!$L$3:$N$6,3,FALSE)))</f>
        <v/>
      </c>
      <c r="X143" s="281" t="str">
        <f>IFERROR(IF(OR(LEFT(O143,5)="Error",LEFT(N143,5)="Error",T143="Error"),"Check Data ⚠",IF(F143&lt;R143,INDEX('G-6 Hedgerow Data'!$S$3:$AE$14,MATCH(C143,'G-6 Hedgerow Data'!$B$3:$B$14,0),MATCH(M143,'G-6 Hedgerow Data'!$S$2:$AE$2,0)),INDEX('G-6 Hedgerow Data'!$K$3:$Q$14,MATCH(M143,'G-6 Hedgerow Data'!$B$3:$B$14,0),MATCH(O143,'G-6 Hedgerow Data'!$K$2:$Q$2,0)))),"")</f>
        <v/>
      </c>
      <c r="Y143" s="137"/>
      <c r="Z143" s="137"/>
      <c r="AA143" s="289" t="str">
        <f t="shared" si="18"/>
        <v/>
      </c>
      <c r="AB143" s="302" t="str">
        <f t="shared" si="19"/>
        <v/>
      </c>
      <c r="AC143" s="303" t="str">
        <f t="shared" si="16"/>
        <v/>
      </c>
      <c r="AD143" s="317" t="str">
        <f>IF(M143="","",VLOOKUP(M143,'G-6 Hedgerow Data'!$B$3:$AG$15,31,FALSE))</f>
        <v/>
      </c>
      <c r="AE143" s="301" t="str">
        <f t="shared" si="20"/>
        <v/>
      </c>
      <c r="AF143" s="289" t="str">
        <f t="shared" si="21"/>
        <v/>
      </c>
      <c r="AG143" s="305" t="str">
        <f>IFERROR(IF(O143="","",VLOOKUP(AD143,'G-3 Multipliers'!$P$3:$Q$6,2,FALSE)),"")</f>
        <v/>
      </c>
      <c r="AH143" s="729" t="str">
        <f>IF(B143="","",IF(ISNA(VLOOKUP($B143,'E-1 Off-Site Hedge Baseline'!$B$1:$Z$257,14,FALSE)),"",(VLOOKUP($B143,'E-1 Off-Site Hedge Baseline'!$B$1:$Z$257,14,FALSE))))</f>
        <v/>
      </c>
      <c r="AI143" s="282" t="str">
        <f>IF(AH143="","",IF(VLOOKUP(AH143,'G-3 Multipliers'!$S$3:$T$10,2,FALSE)=0,"Spatial Data Missing ⚠",VLOOKUP(AH143,'G-3 Multipliers'!$S$3:$T$10,2,FALSE)))</f>
        <v/>
      </c>
      <c r="AJ143" s="323" t="str">
        <f t="shared" si="22"/>
        <v/>
      </c>
      <c r="AK143" s="295" t="str">
        <f t="shared" si="23"/>
        <v/>
      </c>
      <c r="AL143" s="105"/>
      <c r="AM143" s="119"/>
      <c r="AN143" s="108"/>
      <c r="AO143" s="108"/>
      <c r="AQ143" s="30" t="str">
        <f>IFERROR(INDEX('G-6 Hedgerow Data'!$BJ$3:$BJ$15,MATCH(M143,'G-6 Hedgerow Data'!$B$3:$B$15,0)),"")</f>
        <v/>
      </c>
    </row>
    <row r="144" spans="2:43" ht="13.8" x14ac:dyDescent="0.25">
      <c r="B144" s="311" t="str">
        <f>'E-1 Off-Site Hedge Baseline'!AN142</f>
        <v/>
      </c>
      <c r="C144" s="301" t="str">
        <f>IF(B144="","",IF(ISNA(VLOOKUP($B144,'E-1 Off-Site Hedge Baseline'!$B$1:$L$257,3,FALSE)),"",(VLOOKUP($B144,'E-1 Off-Site Hedge Baseline'!$B$1:$L$257,3,FALSE))))</f>
        <v/>
      </c>
      <c r="D144" s="301" t="str">
        <f>IF(B144="","",IF(ISNA(VLOOKUP($B144,'E-1 Off-Site Hedge Baseline'!$B$1:$L$258,4,FALSE)),"",(VLOOKUP($B144,'E-1 Off-Site Hedge Baseline'!$B$1:$L$258,4,FALSE))))</f>
        <v/>
      </c>
      <c r="E144" s="301" t="str">
        <f>IF(B144="","",IF(ISNA(VLOOKUP($B144,'E-1 Off-Site Hedge Baseline'!$B$1:$L$257,5,FALSE)),"",(VLOOKUP($B144,'E-1 Off-Site Hedge Baseline'!$B$1:$L$257,5,FALSE))))</f>
        <v/>
      </c>
      <c r="F144" s="301" t="str">
        <f>IF(B144="","",IF(ISNA(VLOOKUP($B144,'E-1 Off-Site Hedge Baseline'!$B$1:$L$257,6,FALSE)),"",(VLOOKUP($B144,'E-1 Off-Site Hedge Baseline'!$B$1:$L$257,6,FALSE))))</f>
        <v/>
      </c>
      <c r="G144" s="301" t="str">
        <f>IF(B144="","",IF(ISNA(VLOOKUP($B144,'E-1 Off-Site Hedge Baseline'!$B$1:$L$257,7,FALSE)),"",(VLOOKUP($B144,'E-1 Off-Site Hedge Baseline'!$B$1:$L$257,7,FALSE))))</f>
        <v/>
      </c>
      <c r="H144" s="301" t="str">
        <f>IF(B144="","",IF(ISNA(VLOOKUP($B144,'E-1 Off-Site Hedge Baseline'!$B$1:$L$257,8,FALSE)),"",(VLOOKUP($B144,'E-1 Off-Site Hedge Baseline'!$B$1:$L$257,8,FALSE))))</f>
        <v/>
      </c>
      <c r="I144" s="301" t="str">
        <f>IF(B144="","",IF(ISNA(VLOOKUP($B144,'E-1 Off-Site Hedge Baseline'!$B$1:$L$257,10,FALSE)),"",(VLOOKUP($B144,'E-1 Off-Site Hedge Baseline'!$B$1:$L$257,10,FALSE))))</f>
        <v/>
      </c>
      <c r="J144" s="301" t="str">
        <f>IF(B144="","",IF(ISNA(VLOOKUP($B144,'E-1 Off-Site Hedge Baseline'!$B$1:$L$257,11,FALSE)),"",(VLOOKUP($B144,'E-1 Off-Site Hedge Baseline'!$B$1:$L$257,11,FALSE))))</f>
        <v/>
      </c>
      <c r="K144" s="301" t="str">
        <f>IF(B144="","",IF(ISNA(VLOOKUP($B144,'E-1 Off-Site Hedge Baseline'!$B$1:$X$257,16,FALSE)),"",(VLOOKUP($B144,'E-1 Off-Site Hedge Baseline'!$B$1:$X$257,16,FALSE))))</f>
        <v/>
      </c>
      <c r="L144" s="289" t="str">
        <f>IF(B144="","",IF(ISNA(VLOOKUP($B144,'E-1 Off-Site Hedge Baseline'!$B$1:$X$257,12,FALSE)),"",(VLOOKUP($B144,'E-1 Off-Site Hedge Baseline'!$B$1:$X$257,12,FALSE))))</f>
        <v/>
      </c>
      <c r="M144" s="250"/>
      <c r="N144" s="281" t="str">
        <f>IFERROR(IF(B144="","",INDEX('G-6 Hedgerow Data'!$AN$3:$AZ$15,MATCH(C144,'G-6 Hedgerow Data'!$AM$3:$AM$15,0),MATCH(M144,'G-6 Hedgerow Data'!$AN$2:$AZ$2,0))),"")</f>
        <v/>
      </c>
      <c r="O144" s="282" t="str">
        <f t="shared" si="17"/>
        <v/>
      </c>
      <c r="P144" s="287" t="str">
        <f>IF(B144="","",VLOOKUP(B144,'E-1 Off-Site Hedge Baseline'!$B$10:W389,19,FALSE))</f>
        <v/>
      </c>
      <c r="Q144" s="281" t="str">
        <f>IF(M144="","",VLOOKUP(M144,'G-6 Hedgerow Data'!$B$2:$AG$15,2,FALSE))</f>
        <v/>
      </c>
      <c r="R144" s="282" t="str">
        <f>IF(M144="","",VLOOKUP(M144,'G-6 Hedgerow Data'!$B$2:$AG$15,3,FALSE))</f>
        <v/>
      </c>
      <c r="S144" s="105"/>
      <c r="T144" s="282" t="str">
        <f>IFERROR(IF(S144="","",IF(AND(M144="Non-native and ornamental hedgerow", S144&lt;&gt;"Poor"),"Not possible ▲", (IF(AND(Q144="V.Low",OR(S144="Good",S144="Moderate")),"Error ▲",VLOOKUP(S144,'G-1 All Habitats'!$Z$2:$AA$9,2,FALSE))))),"")</f>
        <v/>
      </c>
      <c r="U144" s="105"/>
      <c r="V144" s="289" t="str">
        <f>IF(U144="","",IF(VLOOKUP(U144,'G-3 Multipliers'!$L$3:$N$6,2,FALSE)=0,"Spatial Data Missing ⚠",VLOOKUP(U144,'G-3 Multipliers'!$L$3:$N$6,2,FALSE)))</f>
        <v/>
      </c>
      <c r="W144" s="287" t="str">
        <f>IF(U144="","",IF(VLOOKUP(U144,'G-3 Multipliers'!$L$3:$N$6,3,FALSE)=0,"Spatial Data Missing ⚠",VLOOKUP(U144,'G-3 Multipliers'!$L$3:$N$6,3,FALSE)))</f>
        <v/>
      </c>
      <c r="X144" s="281" t="str">
        <f>IFERROR(IF(OR(LEFT(O144,5)="Error",LEFT(N144,5)="Error",T144="Error"),"Check Data ⚠",IF(F144&lt;R144,INDEX('G-6 Hedgerow Data'!$S$3:$AE$14,MATCH(C144,'G-6 Hedgerow Data'!$B$3:$B$14,0),MATCH(M144,'G-6 Hedgerow Data'!$S$2:$AE$2,0)),INDEX('G-6 Hedgerow Data'!$K$3:$Q$14,MATCH(M144,'G-6 Hedgerow Data'!$B$3:$B$14,0),MATCH(O144,'G-6 Hedgerow Data'!$K$2:$Q$2,0)))),"")</f>
        <v/>
      </c>
      <c r="Y144" s="137"/>
      <c r="Z144" s="137"/>
      <c r="AA144" s="289" t="str">
        <f t="shared" si="18"/>
        <v/>
      </c>
      <c r="AB144" s="302" t="str">
        <f t="shared" si="19"/>
        <v/>
      </c>
      <c r="AC144" s="303" t="str">
        <f t="shared" si="16"/>
        <v/>
      </c>
      <c r="AD144" s="317" t="str">
        <f>IF(M144="","",VLOOKUP(M144,'G-6 Hedgerow Data'!$B$3:$AG$15,31,FALSE))</f>
        <v/>
      </c>
      <c r="AE144" s="301" t="str">
        <f t="shared" si="20"/>
        <v/>
      </c>
      <c r="AF144" s="289" t="str">
        <f t="shared" si="21"/>
        <v/>
      </c>
      <c r="AG144" s="305" t="str">
        <f>IFERROR(IF(O144="","",VLOOKUP(AD144,'G-3 Multipliers'!$P$3:$Q$6,2,FALSE)),"")</f>
        <v/>
      </c>
      <c r="AH144" s="729" t="str">
        <f>IF(B144="","",IF(ISNA(VLOOKUP($B144,'E-1 Off-Site Hedge Baseline'!$B$1:$Z$257,14,FALSE)),"",(VLOOKUP($B144,'E-1 Off-Site Hedge Baseline'!$B$1:$Z$257,14,FALSE))))</f>
        <v/>
      </c>
      <c r="AI144" s="282" t="str">
        <f>IF(AH144="","",IF(VLOOKUP(AH144,'G-3 Multipliers'!$S$3:$T$10,2,FALSE)=0,"Spatial Data Missing ⚠",VLOOKUP(AH144,'G-3 Multipliers'!$S$3:$T$10,2,FALSE)))</f>
        <v/>
      </c>
      <c r="AJ144" s="323" t="str">
        <f t="shared" si="22"/>
        <v/>
      </c>
      <c r="AK144" s="295" t="str">
        <f t="shared" si="23"/>
        <v/>
      </c>
      <c r="AL144" s="105"/>
      <c r="AM144" s="119"/>
      <c r="AN144" s="108"/>
      <c r="AO144" s="108"/>
      <c r="AQ144" s="30" t="str">
        <f>IFERROR(INDEX('G-6 Hedgerow Data'!$BJ$3:$BJ$15,MATCH(M144,'G-6 Hedgerow Data'!$B$3:$B$15,0)),"")</f>
        <v/>
      </c>
    </row>
    <row r="145" spans="2:43" ht="13.8" x14ac:dyDescent="0.25">
      <c r="B145" s="311" t="str">
        <f>'E-1 Off-Site Hedge Baseline'!AN143</f>
        <v/>
      </c>
      <c r="C145" s="301" t="str">
        <f>IF(B145="","",IF(ISNA(VLOOKUP($B145,'E-1 Off-Site Hedge Baseline'!$B$1:$L$257,3,FALSE)),"",(VLOOKUP($B145,'E-1 Off-Site Hedge Baseline'!$B$1:$L$257,3,FALSE))))</f>
        <v/>
      </c>
      <c r="D145" s="301" t="str">
        <f>IF(B145="","",IF(ISNA(VLOOKUP($B145,'E-1 Off-Site Hedge Baseline'!$B$1:$L$258,4,FALSE)),"",(VLOOKUP($B145,'E-1 Off-Site Hedge Baseline'!$B$1:$L$258,4,FALSE))))</f>
        <v/>
      </c>
      <c r="E145" s="301" t="str">
        <f>IF(B145="","",IF(ISNA(VLOOKUP($B145,'E-1 Off-Site Hedge Baseline'!$B$1:$L$257,5,FALSE)),"",(VLOOKUP($B145,'E-1 Off-Site Hedge Baseline'!$B$1:$L$257,5,FALSE))))</f>
        <v/>
      </c>
      <c r="F145" s="301" t="str">
        <f>IF(B145="","",IF(ISNA(VLOOKUP($B145,'E-1 Off-Site Hedge Baseline'!$B$1:$L$257,6,FALSE)),"",(VLOOKUP($B145,'E-1 Off-Site Hedge Baseline'!$B$1:$L$257,6,FALSE))))</f>
        <v/>
      </c>
      <c r="G145" s="301" t="str">
        <f>IF(B145="","",IF(ISNA(VLOOKUP($B145,'E-1 Off-Site Hedge Baseline'!$B$1:$L$257,7,FALSE)),"",(VLOOKUP($B145,'E-1 Off-Site Hedge Baseline'!$B$1:$L$257,7,FALSE))))</f>
        <v/>
      </c>
      <c r="H145" s="301" t="str">
        <f>IF(B145="","",IF(ISNA(VLOOKUP($B145,'E-1 Off-Site Hedge Baseline'!$B$1:$L$257,8,FALSE)),"",(VLOOKUP($B145,'E-1 Off-Site Hedge Baseline'!$B$1:$L$257,8,FALSE))))</f>
        <v/>
      </c>
      <c r="I145" s="301" t="str">
        <f>IF(B145="","",IF(ISNA(VLOOKUP($B145,'E-1 Off-Site Hedge Baseline'!$B$1:$L$257,10,FALSE)),"",(VLOOKUP($B145,'E-1 Off-Site Hedge Baseline'!$B$1:$L$257,10,FALSE))))</f>
        <v/>
      </c>
      <c r="J145" s="301" t="str">
        <f>IF(B145="","",IF(ISNA(VLOOKUP($B145,'E-1 Off-Site Hedge Baseline'!$B$1:$L$257,11,FALSE)),"",(VLOOKUP($B145,'E-1 Off-Site Hedge Baseline'!$B$1:$L$257,11,FALSE))))</f>
        <v/>
      </c>
      <c r="K145" s="301" t="str">
        <f>IF(B145="","",IF(ISNA(VLOOKUP($B145,'E-1 Off-Site Hedge Baseline'!$B$1:$X$257,16,FALSE)),"",(VLOOKUP($B145,'E-1 Off-Site Hedge Baseline'!$B$1:$X$257,16,FALSE))))</f>
        <v/>
      </c>
      <c r="L145" s="289" t="str">
        <f>IF(B145="","",IF(ISNA(VLOOKUP($B145,'E-1 Off-Site Hedge Baseline'!$B$1:$X$257,12,FALSE)),"",(VLOOKUP($B145,'E-1 Off-Site Hedge Baseline'!$B$1:$X$257,12,FALSE))))</f>
        <v/>
      </c>
      <c r="M145" s="250"/>
      <c r="N145" s="281" t="str">
        <f>IFERROR(IF(B145="","",INDEX('G-6 Hedgerow Data'!$AN$3:$AZ$15,MATCH(C145,'G-6 Hedgerow Data'!$AM$3:$AM$15,0),MATCH(M145,'G-6 Hedgerow Data'!$AN$2:$AZ$2,0))),"")</f>
        <v/>
      </c>
      <c r="O145" s="282" t="str">
        <f t="shared" si="17"/>
        <v/>
      </c>
      <c r="P145" s="287" t="str">
        <f>IF(B145="","",VLOOKUP(B145,'E-1 Off-Site Hedge Baseline'!$B$10:W390,19,FALSE))</f>
        <v/>
      </c>
      <c r="Q145" s="281" t="str">
        <f>IF(M145="","",VLOOKUP(M145,'G-6 Hedgerow Data'!$B$2:$AG$15,2,FALSE))</f>
        <v/>
      </c>
      <c r="R145" s="282" t="str">
        <f>IF(M145="","",VLOOKUP(M145,'G-6 Hedgerow Data'!$B$2:$AG$15,3,FALSE))</f>
        <v/>
      </c>
      <c r="S145" s="105"/>
      <c r="T145" s="282" t="str">
        <f>IFERROR(IF(S145="","",IF(AND(M145="Non-native and ornamental hedgerow", S145&lt;&gt;"Poor"),"Not possible ▲", (IF(AND(Q145="V.Low",OR(S145="Good",S145="Moderate")),"Error ▲",VLOOKUP(S145,'G-1 All Habitats'!$Z$2:$AA$9,2,FALSE))))),"")</f>
        <v/>
      </c>
      <c r="U145" s="105"/>
      <c r="V145" s="289" t="str">
        <f>IF(U145="","",IF(VLOOKUP(U145,'G-3 Multipliers'!$L$3:$N$6,2,FALSE)=0,"Spatial Data Missing ⚠",VLOOKUP(U145,'G-3 Multipliers'!$L$3:$N$6,2,FALSE)))</f>
        <v/>
      </c>
      <c r="W145" s="287" t="str">
        <f>IF(U145="","",IF(VLOOKUP(U145,'G-3 Multipliers'!$L$3:$N$6,3,FALSE)=0,"Spatial Data Missing ⚠",VLOOKUP(U145,'G-3 Multipliers'!$L$3:$N$6,3,FALSE)))</f>
        <v/>
      </c>
      <c r="X145" s="281" t="str">
        <f>IFERROR(IF(OR(LEFT(O145,5)="Error",LEFT(N145,5)="Error",T145="Error"),"Check Data ⚠",IF(F145&lt;R145,INDEX('G-6 Hedgerow Data'!$S$3:$AE$14,MATCH(C145,'G-6 Hedgerow Data'!$B$3:$B$14,0),MATCH(M145,'G-6 Hedgerow Data'!$S$2:$AE$2,0)),INDEX('G-6 Hedgerow Data'!$K$3:$Q$14,MATCH(M145,'G-6 Hedgerow Data'!$B$3:$B$14,0),MATCH(O145,'G-6 Hedgerow Data'!$K$2:$Q$2,0)))),"")</f>
        <v/>
      </c>
      <c r="Y145" s="137"/>
      <c r="Z145" s="137"/>
      <c r="AA145" s="289" t="str">
        <f t="shared" si="18"/>
        <v/>
      </c>
      <c r="AB145" s="302" t="str">
        <f t="shared" si="19"/>
        <v/>
      </c>
      <c r="AC145" s="303" t="str">
        <f t="shared" si="16"/>
        <v/>
      </c>
      <c r="AD145" s="317" t="str">
        <f>IF(M145="","",VLOOKUP(M145,'G-6 Hedgerow Data'!$B$3:$AG$15,31,FALSE))</f>
        <v/>
      </c>
      <c r="AE145" s="301" t="str">
        <f t="shared" si="20"/>
        <v/>
      </c>
      <c r="AF145" s="289" t="str">
        <f t="shared" si="21"/>
        <v/>
      </c>
      <c r="AG145" s="305" t="str">
        <f>IFERROR(IF(O145="","",VLOOKUP(AD145,'G-3 Multipliers'!$P$3:$Q$6,2,FALSE)),"")</f>
        <v/>
      </c>
      <c r="AH145" s="729" t="str">
        <f>IF(B145="","",IF(ISNA(VLOOKUP($B145,'E-1 Off-Site Hedge Baseline'!$B$1:$Z$257,14,FALSE)),"",(VLOOKUP($B145,'E-1 Off-Site Hedge Baseline'!$B$1:$Z$257,14,FALSE))))</f>
        <v/>
      </c>
      <c r="AI145" s="282" t="str">
        <f>IF(AH145="","",IF(VLOOKUP(AH145,'G-3 Multipliers'!$S$3:$T$10,2,FALSE)=0,"Spatial Data Missing ⚠",VLOOKUP(AH145,'G-3 Multipliers'!$S$3:$T$10,2,FALSE)))</f>
        <v/>
      </c>
      <c r="AJ145" s="323" t="str">
        <f t="shared" si="22"/>
        <v/>
      </c>
      <c r="AK145" s="295" t="str">
        <f t="shared" si="23"/>
        <v/>
      </c>
      <c r="AL145" s="105"/>
      <c r="AM145" s="119"/>
      <c r="AN145" s="108"/>
      <c r="AO145" s="108"/>
      <c r="AQ145" s="30" t="str">
        <f>IFERROR(INDEX('G-6 Hedgerow Data'!$BJ$3:$BJ$15,MATCH(M145,'G-6 Hedgerow Data'!$B$3:$B$15,0)),"")</f>
        <v/>
      </c>
    </row>
    <row r="146" spans="2:43" ht="13.8" x14ac:dyDescent="0.25">
      <c r="B146" s="311" t="str">
        <f>'E-1 Off-Site Hedge Baseline'!AN144</f>
        <v/>
      </c>
      <c r="C146" s="301" t="str">
        <f>IF(B146="","",IF(ISNA(VLOOKUP($B146,'E-1 Off-Site Hedge Baseline'!$B$1:$L$257,3,FALSE)),"",(VLOOKUP($B146,'E-1 Off-Site Hedge Baseline'!$B$1:$L$257,3,FALSE))))</f>
        <v/>
      </c>
      <c r="D146" s="301" t="str">
        <f>IF(B146="","",IF(ISNA(VLOOKUP($B146,'E-1 Off-Site Hedge Baseline'!$B$1:$L$258,4,FALSE)),"",(VLOOKUP($B146,'E-1 Off-Site Hedge Baseline'!$B$1:$L$258,4,FALSE))))</f>
        <v/>
      </c>
      <c r="E146" s="301" t="str">
        <f>IF(B146="","",IF(ISNA(VLOOKUP($B146,'E-1 Off-Site Hedge Baseline'!$B$1:$L$257,5,FALSE)),"",(VLOOKUP($B146,'E-1 Off-Site Hedge Baseline'!$B$1:$L$257,5,FALSE))))</f>
        <v/>
      </c>
      <c r="F146" s="301" t="str">
        <f>IF(B146="","",IF(ISNA(VLOOKUP($B146,'E-1 Off-Site Hedge Baseline'!$B$1:$L$257,6,FALSE)),"",(VLOOKUP($B146,'E-1 Off-Site Hedge Baseline'!$B$1:$L$257,6,FALSE))))</f>
        <v/>
      </c>
      <c r="G146" s="301" t="str">
        <f>IF(B146="","",IF(ISNA(VLOOKUP($B146,'E-1 Off-Site Hedge Baseline'!$B$1:$L$257,7,FALSE)),"",(VLOOKUP($B146,'E-1 Off-Site Hedge Baseline'!$B$1:$L$257,7,FALSE))))</f>
        <v/>
      </c>
      <c r="H146" s="301" t="str">
        <f>IF(B146="","",IF(ISNA(VLOOKUP($B146,'E-1 Off-Site Hedge Baseline'!$B$1:$L$257,8,FALSE)),"",(VLOOKUP($B146,'E-1 Off-Site Hedge Baseline'!$B$1:$L$257,8,FALSE))))</f>
        <v/>
      </c>
      <c r="I146" s="301" t="str">
        <f>IF(B146="","",IF(ISNA(VLOOKUP($B146,'E-1 Off-Site Hedge Baseline'!$B$1:$L$257,10,FALSE)),"",(VLOOKUP($B146,'E-1 Off-Site Hedge Baseline'!$B$1:$L$257,10,FALSE))))</f>
        <v/>
      </c>
      <c r="J146" s="301" t="str">
        <f>IF(B146="","",IF(ISNA(VLOOKUP($B146,'E-1 Off-Site Hedge Baseline'!$B$1:$L$257,11,FALSE)),"",(VLOOKUP($B146,'E-1 Off-Site Hedge Baseline'!$B$1:$L$257,11,FALSE))))</f>
        <v/>
      </c>
      <c r="K146" s="301" t="str">
        <f>IF(B146="","",IF(ISNA(VLOOKUP($B146,'E-1 Off-Site Hedge Baseline'!$B$1:$X$257,16,FALSE)),"",(VLOOKUP($B146,'E-1 Off-Site Hedge Baseline'!$B$1:$X$257,16,FALSE))))</f>
        <v/>
      </c>
      <c r="L146" s="289" t="str">
        <f>IF(B146="","",IF(ISNA(VLOOKUP($B146,'E-1 Off-Site Hedge Baseline'!$B$1:$X$257,12,FALSE)),"",(VLOOKUP($B146,'E-1 Off-Site Hedge Baseline'!$B$1:$X$257,12,FALSE))))</f>
        <v/>
      </c>
      <c r="M146" s="250"/>
      <c r="N146" s="281" t="str">
        <f>IFERROR(IF(B146="","",INDEX('G-6 Hedgerow Data'!$AN$3:$AZ$15,MATCH(C146,'G-6 Hedgerow Data'!$AM$3:$AM$15,0),MATCH(M146,'G-6 Hedgerow Data'!$AN$2:$AZ$2,0))),"")</f>
        <v/>
      </c>
      <c r="O146" s="282" t="str">
        <f t="shared" si="17"/>
        <v/>
      </c>
      <c r="P146" s="287" t="str">
        <f>IF(B146="","",VLOOKUP(B146,'E-1 Off-Site Hedge Baseline'!$B$10:W391,19,FALSE))</f>
        <v/>
      </c>
      <c r="Q146" s="281" t="str">
        <f>IF(M146="","",VLOOKUP(M146,'G-6 Hedgerow Data'!$B$2:$AG$15,2,FALSE))</f>
        <v/>
      </c>
      <c r="R146" s="282" t="str">
        <f>IF(M146="","",VLOOKUP(M146,'G-6 Hedgerow Data'!$B$2:$AG$15,3,FALSE))</f>
        <v/>
      </c>
      <c r="S146" s="105"/>
      <c r="T146" s="282" t="str">
        <f>IFERROR(IF(S146="","",IF(AND(M146="Non-native and ornamental hedgerow", S146&lt;&gt;"Poor"),"Not possible ▲", (IF(AND(Q146="V.Low",OR(S146="Good",S146="Moderate")),"Error ▲",VLOOKUP(S146,'G-1 All Habitats'!$Z$2:$AA$9,2,FALSE))))),"")</f>
        <v/>
      </c>
      <c r="U146" s="105"/>
      <c r="V146" s="289" t="str">
        <f>IF(U146="","",IF(VLOOKUP(U146,'G-3 Multipliers'!$L$3:$N$6,2,FALSE)=0,"Spatial Data Missing ⚠",VLOOKUP(U146,'G-3 Multipliers'!$L$3:$N$6,2,FALSE)))</f>
        <v/>
      </c>
      <c r="W146" s="287" t="str">
        <f>IF(U146="","",IF(VLOOKUP(U146,'G-3 Multipliers'!$L$3:$N$6,3,FALSE)=0,"Spatial Data Missing ⚠",VLOOKUP(U146,'G-3 Multipliers'!$L$3:$N$6,3,FALSE)))</f>
        <v/>
      </c>
      <c r="X146" s="281" t="str">
        <f>IFERROR(IF(OR(LEFT(O146,5)="Error",LEFT(N146,5)="Error",T146="Error"),"Check Data ⚠",IF(F146&lt;R146,INDEX('G-6 Hedgerow Data'!$S$3:$AE$14,MATCH(C146,'G-6 Hedgerow Data'!$B$3:$B$14,0),MATCH(M146,'G-6 Hedgerow Data'!$S$2:$AE$2,0)),INDEX('G-6 Hedgerow Data'!$K$3:$Q$14,MATCH(M146,'G-6 Hedgerow Data'!$B$3:$B$14,0),MATCH(O146,'G-6 Hedgerow Data'!$K$2:$Q$2,0)))),"")</f>
        <v/>
      </c>
      <c r="Y146" s="137"/>
      <c r="Z146" s="137"/>
      <c r="AA146" s="289" t="str">
        <f t="shared" si="18"/>
        <v/>
      </c>
      <c r="AB146" s="302" t="str">
        <f t="shared" si="19"/>
        <v/>
      </c>
      <c r="AC146" s="303" t="str">
        <f t="shared" si="16"/>
        <v/>
      </c>
      <c r="AD146" s="317" t="str">
        <f>IF(M146="","",VLOOKUP(M146,'G-6 Hedgerow Data'!$B$3:$AG$15,31,FALSE))</f>
        <v/>
      </c>
      <c r="AE146" s="301" t="str">
        <f t="shared" si="20"/>
        <v/>
      </c>
      <c r="AF146" s="289" t="str">
        <f t="shared" si="21"/>
        <v/>
      </c>
      <c r="AG146" s="305" t="str">
        <f>IFERROR(IF(O146="","",VLOOKUP(AD146,'G-3 Multipliers'!$P$3:$Q$6,2,FALSE)),"")</f>
        <v/>
      </c>
      <c r="AH146" s="729" t="str">
        <f>IF(B146="","",IF(ISNA(VLOOKUP($B146,'E-1 Off-Site Hedge Baseline'!$B$1:$Z$257,14,FALSE)),"",(VLOOKUP($B146,'E-1 Off-Site Hedge Baseline'!$B$1:$Z$257,14,FALSE))))</f>
        <v/>
      </c>
      <c r="AI146" s="282" t="str">
        <f>IF(AH146="","",IF(VLOOKUP(AH146,'G-3 Multipliers'!$S$3:$T$10,2,FALSE)=0,"Spatial Data Missing ⚠",VLOOKUP(AH146,'G-3 Multipliers'!$S$3:$T$10,2,FALSE)))</f>
        <v/>
      </c>
      <c r="AJ146" s="323" t="str">
        <f t="shared" si="22"/>
        <v/>
      </c>
      <c r="AK146" s="295" t="str">
        <f t="shared" si="23"/>
        <v/>
      </c>
      <c r="AL146" s="105"/>
      <c r="AM146" s="119"/>
      <c r="AN146" s="108"/>
      <c r="AO146" s="108"/>
      <c r="AQ146" s="30" t="str">
        <f>IFERROR(INDEX('G-6 Hedgerow Data'!$BJ$3:$BJ$15,MATCH(M146,'G-6 Hedgerow Data'!$B$3:$B$15,0)),"")</f>
        <v/>
      </c>
    </row>
    <row r="147" spans="2:43" ht="13.8" x14ac:dyDescent="0.25">
      <c r="B147" s="311" t="str">
        <f>'E-1 Off-Site Hedge Baseline'!AN145</f>
        <v/>
      </c>
      <c r="C147" s="301" t="str">
        <f>IF(B147="","",IF(ISNA(VLOOKUP($B147,'E-1 Off-Site Hedge Baseline'!$B$1:$L$257,3,FALSE)),"",(VLOOKUP($B147,'E-1 Off-Site Hedge Baseline'!$B$1:$L$257,3,FALSE))))</f>
        <v/>
      </c>
      <c r="D147" s="301" t="str">
        <f>IF(B147="","",IF(ISNA(VLOOKUP($B147,'E-1 Off-Site Hedge Baseline'!$B$1:$L$258,4,FALSE)),"",(VLOOKUP($B147,'E-1 Off-Site Hedge Baseline'!$B$1:$L$258,4,FALSE))))</f>
        <v/>
      </c>
      <c r="E147" s="301" t="str">
        <f>IF(B147="","",IF(ISNA(VLOOKUP($B147,'E-1 Off-Site Hedge Baseline'!$B$1:$L$257,5,FALSE)),"",(VLOOKUP($B147,'E-1 Off-Site Hedge Baseline'!$B$1:$L$257,5,FALSE))))</f>
        <v/>
      </c>
      <c r="F147" s="301" t="str">
        <f>IF(B147="","",IF(ISNA(VLOOKUP($B147,'E-1 Off-Site Hedge Baseline'!$B$1:$L$257,6,FALSE)),"",(VLOOKUP($B147,'E-1 Off-Site Hedge Baseline'!$B$1:$L$257,6,FALSE))))</f>
        <v/>
      </c>
      <c r="G147" s="301" t="str">
        <f>IF(B147="","",IF(ISNA(VLOOKUP($B147,'E-1 Off-Site Hedge Baseline'!$B$1:$L$257,7,FALSE)),"",(VLOOKUP($B147,'E-1 Off-Site Hedge Baseline'!$B$1:$L$257,7,FALSE))))</f>
        <v/>
      </c>
      <c r="H147" s="301" t="str">
        <f>IF(B147="","",IF(ISNA(VLOOKUP($B147,'E-1 Off-Site Hedge Baseline'!$B$1:$L$257,8,FALSE)),"",(VLOOKUP($B147,'E-1 Off-Site Hedge Baseline'!$B$1:$L$257,8,FALSE))))</f>
        <v/>
      </c>
      <c r="I147" s="301" t="str">
        <f>IF(B147="","",IF(ISNA(VLOOKUP($B147,'E-1 Off-Site Hedge Baseline'!$B$1:$L$257,10,FALSE)),"",(VLOOKUP($B147,'E-1 Off-Site Hedge Baseline'!$B$1:$L$257,10,FALSE))))</f>
        <v/>
      </c>
      <c r="J147" s="301" t="str">
        <f>IF(B147="","",IF(ISNA(VLOOKUP($B147,'E-1 Off-Site Hedge Baseline'!$B$1:$L$257,11,FALSE)),"",(VLOOKUP($B147,'E-1 Off-Site Hedge Baseline'!$B$1:$L$257,11,FALSE))))</f>
        <v/>
      </c>
      <c r="K147" s="301" t="str">
        <f>IF(B147="","",IF(ISNA(VLOOKUP($B147,'E-1 Off-Site Hedge Baseline'!$B$1:$X$257,16,FALSE)),"",(VLOOKUP($B147,'E-1 Off-Site Hedge Baseline'!$B$1:$X$257,16,FALSE))))</f>
        <v/>
      </c>
      <c r="L147" s="289" t="str">
        <f>IF(B147="","",IF(ISNA(VLOOKUP($B147,'E-1 Off-Site Hedge Baseline'!$B$1:$X$257,12,FALSE)),"",(VLOOKUP($B147,'E-1 Off-Site Hedge Baseline'!$B$1:$X$257,12,FALSE))))</f>
        <v/>
      </c>
      <c r="M147" s="250"/>
      <c r="N147" s="281" t="str">
        <f>IFERROR(IF(B147="","",INDEX('G-6 Hedgerow Data'!$AN$3:$AZ$15,MATCH(C147,'G-6 Hedgerow Data'!$AM$3:$AM$15,0),MATCH(M147,'G-6 Hedgerow Data'!$AN$2:$AZ$2,0))),"")</f>
        <v/>
      </c>
      <c r="O147" s="282" t="str">
        <f t="shared" si="17"/>
        <v/>
      </c>
      <c r="P147" s="287" t="str">
        <f>IF(B147="","",VLOOKUP(B147,'E-1 Off-Site Hedge Baseline'!$B$10:W392,19,FALSE))</f>
        <v/>
      </c>
      <c r="Q147" s="281" t="str">
        <f>IF(M147="","",VLOOKUP(M147,'G-6 Hedgerow Data'!$B$2:$AG$15,2,FALSE))</f>
        <v/>
      </c>
      <c r="R147" s="282" t="str">
        <f>IF(M147="","",VLOOKUP(M147,'G-6 Hedgerow Data'!$B$2:$AG$15,3,FALSE))</f>
        <v/>
      </c>
      <c r="S147" s="105"/>
      <c r="T147" s="282" t="str">
        <f>IFERROR(IF(S147="","",IF(AND(M147="Non-native and ornamental hedgerow", S147&lt;&gt;"Poor"),"Not possible ▲", (IF(AND(Q147="V.Low",OR(S147="Good",S147="Moderate")),"Error ▲",VLOOKUP(S147,'G-1 All Habitats'!$Z$2:$AA$9,2,FALSE))))),"")</f>
        <v/>
      </c>
      <c r="U147" s="105"/>
      <c r="V147" s="289" t="str">
        <f>IF(U147="","",IF(VLOOKUP(U147,'G-3 Multipliers'!$L$3:$N$6,2,FALSE)=0,"Spatial Data Missing ⚠",VLOOKUP(U147,'G-3 Multipliers'!$L$3:$N$6,2,FALSE)))</f>
        <v/>
      </c>
      <c r="W147" s="287" t="str">
        <f>IF(U147="","",IF(VLOOKUP(U147,'G-3 Multipliers'!$L$3:$N$6,3,FALSE)=0,"Spatial Data Missing ⚠",VLOOKUP(U147,'G-3 Multipliers'!$L$3:$N$6,3,FALSE)))</f>
        <v/>
      </c>
      <c r="X147" s="281" t="str">
        <f>IFERROR(IF(OR(LEFT(O147,5)="Error",LEFT(N147,5)="Error",T147="Error"),"Check Data ⚠",IF(F147&lt;R147,INDEX('G-6 Hedgerow Data'!$S$3:$AE$14,MATCH(C147,'G-6 Hedgerow Data'!$B$3:$B$14,0),MATCH(M147,'G-6 Hedgerow Data'!$S$2:$AE$2,0)),INDEX('G-6 Hedgerow Data'!$K$3:$Q$14,MATCH(M147,'G-6 Hedgerow Data'!$B$3:$B$14,0),MATCH(O147,'G-6 Hedgerow Data'!$K$2:$Q$2,0)))),"")</f>
        <v/>
      </c>
      <c r="Y147" s="137"/>
      <c r="Z147" s="137"/>
      <c r="AA147" s="289" t="str">
        <f t="shared" si="18"/>
        <v/>
      </c>
      <c r="AB147" s="302" t="str">
        <f t="shared" si="19"/>
        <v/>
      </c>
      <c r="AC147" s="303" t="str">
        <f t="shared" si="16"/>
        <v/>
      </c>
      <c r="AD147" s="317" t="str">
        <f>IF(M147="","",VLOOKUP(M147,'G-6 Hedgerow Data'!$B$3:$AG$15,31,FALSE))</f>
        <v/>
      </c>
      <c r="AE147" s="301" t="str">
        <f t="shared" si="20"/>
        <v/>
      </c>
      <c r="AF147" s="289" t="str">
        <f t="shared" si="21"/>
        <v/>
      </c>
      <c r="AG147" s="305" t="str">
        <f>IFERROR(IF(O147="","",VLOOKUP(AD147,'G-3 Multipliers'!$P$3:$Q$6,2,FALSE)),"")</f>
        <v/>
      </c>
      <c r="AH147" s="729" t="str">
        <f>IF(B147="","",IF(ISNA(VLOOKUP($B147,'E-1 Off-Site Hedge Baseline'!$B$1:$Z$257,14,FALSE)),"",(VLOOKUP($B147,'E-1 Off-Site Hedge Baseline'!$B$1:$Z$257,14,FALSE))))</f>
        <v/>
      </c>
      <c r="AI147" s="282" t="str">
        <f>IF(AH147="","",IF(VLOOKUP(AH147,'G-3 Multipliers'!$S$3:$T$10,2,FALSE)=0,"Spatial Data Missing ⚠",VLOOKUP(AH147,'G-3 Multipliers'!$S$3:$T$10,2,FALSE)))</f>
        <v/>
      </c>
      <c r="AJ147" s="323" t="str">
        <f t="shared" si="22"/>
        <v/>
      </c>
      <c r="AK147" s="295" t="str">
        <f t="shared" si="23"/>
        <v/>
      </c>
      <c r="AL147" s="105"/>
      <c r="AM147" s="119"/>
      <c r="AN147" s="108"/>
      <c r="AO147" s="108"/>
      <c r="AQ147" s="30" t="str">
        <f>IFERROR(INDEX('G-6 Hedgerow Data'!$BJ$3:$BJ$15,MATCH(M147,'G-6 Hedgerow Data'!$B$3:$B$15,0)),"")</f>
        <v/>
      </c>
    </row>
    <row r="148" spans="2:43" ht="13.8" x14ac:dyDescent="0.25">
      <c r="B148" s="311" t="str">
        <f>'E-1 Off-Site Hedge Baseline'!AN146</f>
        <v/>
      </c>
      <c r="C148" s="301" t="str">
        <f>IF(B148="","",IF(ISNA(VLOOKUP($B148,'E-1 Off-Site Hedge Baseline'!$B$1:$L$257,3,FALSE)),"",(VLOOKUP($B148,'E-1 Off-Site Hedge Baseline'!$B$1:$L$257,3,FALSE))))</f>
        <v/>
      </c>
      <c r="D148" s="301" t="str">
        <f>IF(B148="","",IF(ISNA(VLOOKUP($B148,'E-1 Off-Site Hedge Baseline'!$B$1:$L$258,4,FALSE)),"",(VLOOKUP($B148,'E-1 Off-Site Hedge Baseline'!$B$1:$L$258,4,FALSE))))</f>
        <v/>
      </c>
      <c r="E148" s="301" t="str">
        <f>IF(B148="","",IF(ISNA(VLOOKUP($B148,'E-1 Off-Site Hedge Baseline'!$B$1:$L$257,5,FALSE)),"",(VLOOKUP($B148,'E-1 Off-Site Hedge Baseline'!$B$1:$L$257,5,FALSE))))</f>
        <v/>
      </c>
      <c r="F148" s="301" t="str">
        <f>IF(B148="","",IF(ISNA(VLOOKUP($B148,'E-1 Off-Site Hedge Baseline'!$B$1:$L$257,6,FALSE)),"",(VLOOKUP($B148,'E-1 Off-Site Hedge Baseline'!$B$1:$L$257,6,FALSE))))</f>
        <v/>
      </c>
      <c r="G148" s="301" t="str">
        <f>IF(B148="","",IF(ISNA(VLOOKUP($B148,'E-1 Off-Site Hedge Baseline'!$B$1:$L$257,7,FALSE)),"",(VLOOKUP($B148,'E-1 Off-Site Hedge Baseline'!$B$1:$L$257,7,FALSE))))</f>
        <v/>
      </c>
      <c r="H148" s="301" t="str">
        <f>IF(B148="","",IF(ISNA(VLOOKUP($B148,'E-1 Off-Site Hedge Baseline'!$B$1:$L$257,8,FALSE)),"",(VLOOKUP($B148,'E-1 Off-Site Hedge Baseline'!$B$1:$L$257,8,FALSE))))</f>
        <v/>
      </c>
      <c r="I148" s="301" t="str">
        <f>IF(B148="","",IF(ISNA(VLOOKUP($B148,'E-1 Off-Site Hedge Baseline'!$B$1:$L$257,10,FALSE)),"",(VLOOKUP($B148,'E-1 Off-Site Hedge Baseline'!$B$1:$L$257,10,FALSE))))</f>
        <v/>
      </c>
      <c r="J148" s="301" t="str">
        <f>IF(B148="","",IF(ISNA(VLOOKUP($B148,'E-1 Off-Site Hedge Baseline'!$B$1:$L$257,11,FALSE)),"",(VLOOKUP($B148,'E-1 Off-Site Hedge Baseline'!$B$1:$L$257,11,FALSE))))</f>
        <v/>
      </c>
      <c r="K148" s="301" t="str">
        <f>IF(B148="","",IF(ISNA(VLOOKUP($B148,'E-1 Off-Site Hedge Baseline'!$B$1:$X$257,16,FALSE)),"",(VLOOKUP($B148,'E-1 Off-Site Hedge Baseline'!$B$1:$X$257,16,FALSE))))</f>
        <v/>
      </c>
      <c r="L148" s="289" t="str">
        <f>IF(B148="","",IF(ISNA(VLOOKUP($B148,'E-1 Off-Site Hedge Baseline'!$B$1:$X$257,12,FALSE)),"",(VLOOKUP($B148,'E-1 Off-Site Hedge Baseline'!$B$1:$X$257,12,FALSE))))</f>
        <v/>
      </c>
      <c r="M148" s="250"/>
      <c r="N148" s="281" t="str">
        <f>IFERROR(IF(B148="","",INDEX('G-6 Hedgerow Data'!$AN$3:$AZ$15,MATCH(C148,'G-6 Hedgerow Data'!$AM$3:$AM$15,0),MATCH(M148,'G-6 Hedgerow Data'!$AN$2:$AZ$2,0))),"")</f>
        <v/>
      </c>
      <c r="O148" s="282" t="str">
        <f t="shared" si="17"/>
        <v/>
      </c>
      <c r="P148" s="287" t="str">
        <f>IF(B148="","",VLOOKUP(B148,'E-1 Off-Site Hedge Baseline'!$B$10:W393,19,FALSE))</f>
        <v/>
      </c>
      <c r="Q148" s="281" t="str">
        <f>IF(M148="","",VLOOKUP(M148,'G-6 Hedgerow Data'!$B$2:$AG$15,2,FALSE))</f>
        <v/>
      </c>
      <c r="R148" s="282" t="str">
        <f>IF(M148="","",VLOOKUP(M148,'G-6 Hedgerow Data'!$B$2:$AG$15,3,FALSE))</f>
        <v/>
      </c>
      <c r="S148" s="105"/>
      <c r="T148" s="282" t="str">
        <f>IFERROR(IF(S148="","",IF(AND(M148="Non-native and ornamental hedgerow", S148&lt;&gt;"Poor"),"Not possible ▲", (IF(AND(Q148="V.Low",OR(S148="Good",S148="Moderate")),"Error ▲",VLOOKUP(S148,'G-1 All Habitats'!$Z$2:$AA$9,2,FALSE))))),"")</f>
        <v/>
      </c>
      <c r="U148" s="105"/>
      <c r="V148" s="289" t="str">
        <f>IF(U148="","",IF(VLOOKUP(U148,'G-3 Multipliers'!$L$3:$N$6,2,FALSE)=0,"Spatial Data Missing ⚠",VLOOKUP(U148,'G-3 Multipliers'!$L$3:$N$6,2,FALSE)))</f>
        <v/>
      </c>
      <c r="W148" s="287" t="str">
        <f>IF(U148="","",IF(VLOOKUP(U148,'G-3 Multipliers'!$L$3:$N$6,3,FALSE)=0,"Spatial Data Missing ⚠",VLOOKUP(U148,'G-3 Multipliers'!$L$3:$N$6,3,FALSE)))</f>
        <v/>
      </c>
      <c r="X148" s="281" t="str">
        <f>IFERROR(IF(OR(LEFT(O148,5)="Error",LEFT(N148,5)="Error",T148="Error"),"Check Data ⚠",IF(F148&lt;R148,INDEX('G-6 Hedgerow Data'!$S$3:$AE$14,MATCH(C148,'G-6 Hedgerow Data'!$B$3:$B$14,0),MATCH(M148,'G-6 Hedgerow Data'!$S$2:$AE$2,0)),INDEX('G-6 Hedgerow Data'!$K$3:$Q$14,MATCH(M148,'G-6 Hedgerow Data'!$B$3:$B$14,0),MATCH(O148,'G-6 Hedgerow Data'!$K$2:$Q$2,0)))),"")</f>
        <v/>
      </c>
      <c r="Y148" s="137"/>
      <c r="Z148" s="137"/>
      <c r="AA148" s="289" t="str">
        <f t="shared" si="18"/>
        <v/>
      </c>
      <c r="AB148" s="302" t="str">
        <f t="shared" si="19"/>
        <v/>
      </c>
      <c r="AC148" s="303" t="str">
        <f t="shared" si="16"/>
        <v/>
      </c>
      <c r="AD148" s="317" t="str">
        <f>IF(M148="","",VLOOKUP(M148,'G-6 Hedgerow Data'!$B$3:$AG$15,31,FALSE))</f>
        <v/>
      </c>
      <c r="AE148" s="301" t="str">
        <f t="shared" si="20"/>
        <v/>
      </c>
      <c r="AF148" s="289" t="str">
        <f t="shared" si="21"/>
        <v/>
      </c>
      <c r="AG148" s="305" t="str">
        <f>IFERROR(IF(O148="","",VLOOKUP(AD148,'G-3 Multipliers'!$P$3:$Q$6,2,FALSE)),"")</f>
        <v/>
      </c>
      <c r="AH148" s="729" t="str">
        <f>IF(B148="","",IF(ISNA(VLOOKUP($B148,'E-1 Off-Site Hedge Baseline'!$B$1:$Z$257,14,FALSE)),"",(VLOOKUP($B148,'E-1 Off-Site Hedge Baseline'!$B$1:$Z$257,14,FALSE))))</f>
        <v/>
      </c>
      <c r="AI148" s="282" t="str">
        <f>IF(AH148="","",IF(VLOOKUP(AH148,'G-3 Multipliers'!$S$3:$T$10,2,FALSE)=0,"Spatial Data Missing ⚠",VLOOKUP(AH148,'G-3 Multipliers'!$S$3:$T$10,2,FALSE)))</f>
        <v/>
      </c>
      <c r="AJ148" s="323" t="str">
        <f t="shared" si="22"/>
        <v/>
      </c>
      <c r="AK148" s="295" t="str">
        <f t="shared" si="23"/>
        <v/>
      </c>
      <c r="AL148" s="105"/>
      <c r="AM148" s="119"/>
      <c r="AN148" s="108"/>
      <c r="AO148" s="108"/>
      <c r="AQ148" s="30" t="str">
        <f>IFERROR(INDEX('G-6 Hedgerow Data'!$BJ$3:$BJ$15,MATCH(M148,'G-6 Hedgerow Data'!$B$3:$B$15,0)),"")</f>
        <v/>
      </c>
    </row>
    <row r="149" spans="2:43" ht="13.8" x14ac:dyDescent="0.25">
      <c r="B149" s="311" t="str">
        <f>'E-1 Off-Site Hedge Baseline'!AN147</f>
        <v/>
      </c>
      <c r="C149" s="301" t="str">
        <f>IF(B149="","",IF(ISNA(VLOOKUP($B149,'E-1 Off-Site Hedge Baseline'!$B$1:$L$257,3,FALSE)),"",(VLOOKUP($B149,'E-1 Off-Site Hedge Baseline'!$B$1:$L$257,3,FALSE))))</f>
        <v/>
      </c>
      <c r="D149" s="301" t="str">
        <f>IF(B149="","",IF(ISNA(VLOOKUP($B149,'E-1 Off-Site Hedge Baseline'!$B$1:$L$258,4,FALSE)),"",(VLOOKUP($B149,'E-1 Off-Site Hedge Baseline'!$B$1:$L$258,4,FALSE))))</f>
        <v/>
      </c>
      <c r="E149" s="301" t="str">
        <f>IF(B149="","",IF(ISNA(VLOOKUP($B149,'E-1 Off-Site Hedge Baseline'!$B$1:$L$257,5,FALSE)),"",(VLOOKUP($B149,'E-1 Off-Site Hedge Baseline'!$B$1:$L$257,5,FALSE))))</f>
        <v/>
      </c>
      <c r="F149" s="301" t="str">
        <f>IF(B149="","",IF(ISNA(VLOOKUP($B149,'E-1 Off-Site Hedge Baseline'!$B$1:$L$257,6,FALSE)),"",(VLOOKUP($B149,'E-1 Off-Site Hedge Baseline'!$B$1:$L$257,6,FALSE))))</f>
        <v/>
      </c>
      <c r="G149" s="301" t="str">
        <f>IF(B149="","",IF(ISNA(VLOOKUP($B149,'E-1 Off-Site Hedge Baseline'!$B$1:$L$257,7,FALSE)),"",(VLOOKUP($B149,'E-1 Off-Site Hedge Baseline'!$B$1:$L$257,7,FALSE))))</f>
        <v/>
      </c>
      <c r="H149" s="301" t="str">
        <f>IF(B149="","",IF(ISNA(VLOOKUP($B149,'E-1 Off-Site Hedge Baseline'!$B$1:$L$257,8,FALSE)),"",(VLOOKUP($B149,'E-1 Off-Site Hedge Baseline'!$B$1:$L$257,8,FALSE))))</f>
        <v/>
      </c>
      <c r="I149" s="301" t="str">
        <f>IF(B149="","",IF(ISNA(VLOOKUP($B149,'E-1 Off-Site Hedge Baseline'!$B$1:$L$257,10,FALSE)),"",(VLOOKUP($B149,'E-1 Off-Site Hedge Baseline'!$B$1:$L$257,10,FALSE))))</f>
        <v/>
      </c>
      <c r="J149" s="301" t="str">
        <f>IF(B149="","",IF(ISNA(VLOOKUP($B149,'E-1 Off-Site Hedge Baseline'!$B$1:$L$257,11,FALSE)),"",(VLOOKUP($B149,'E-1 Off-Site Hedge Baseline'!$B$1:$L$257,11,FALSE))))</f>
        <v/>
      </c>
      <c r="K149" s="301" t="str">
        <f>IF(B149="","",IF(ISNA(VLOOKUP($B149,'E-1 Off-Site Hedge Baseline'!$B$1:$X$257,16,FALSE)),"",(VLOOKUP($B149,'E-1 Off-Site Hedge Baseline'!$B$1:$X$257,16,FALSE))))</f>
        <v/>
      </c>
      <c r="L149" s="289" t="str">
        <f>IF(B149="","",IF(ISNA(VLOOKUP($B149,'E-1 Off-Site Hedge Baseline'!$B$1:$X$257,12,FALSE)),"",(VLOOKUP($B149,'E-1 Off-Site Hedge Baseline'!$B$1:$X$257,12,FALSE))))</f>
        <v/>
      </c>
      <c r="M149" s="250"/>
      <c r="N149" s="281" t="str">
        <f>IFERROR(IF(B149="","",INDEX('G-6 Hedgerow Data'!$AN$3:$AZ$15,MATCH(C149,'G-6 Hedgerow Data'!$AM$3:$AM$15,0),MATCH(M149,'G-6 Hedgerow Data'!$AN$2:$AZ$2,0))),"")</f>
        <v/>
      </c>
      <c r="O149" s="282" t="str">
        <f t="shared" si="17"/>
        <v/>
      </c>
      <c r="P149" s="287" t="str">
        <f>IF(B149="","",VLOOKUP(B149,'E-1 Off-Site Hedge Baseline'!$B$10:W394,19,FALSE))</f>
        <v/>
      </c>
      <c r="Q149" s="281" t="str">
        <f>IF(M149="","",VLOOKUP(M149,'G-6 Hedgerow Data'!$B$2:$AG$15,2,FALSE))</f>
        <v/>
      </c>
      <c r="R149" s="282" t="str">
        <f>IF(M149="","",VLOOKUP(M149,'G-6 Hedgerow Data'!$B$2:$AG$15,3,FALSE))</f>
        <v/>
      </c>
      <c r="S149" s="105"/>
      <c r="T149" s="282" t="str">
        <f>IFERROR(IF(S149="","",IF(AND(M149="Non-native and ornamental hedgerow", S149&lt;&gt;"Poor"),"Not possible ▲", (IF(AND(Q149="V.Low",OR(S149="Good",S149="Moderate")),"Error ▲",VLOOKUP(S149,'G-1 All Habitats'!$Z$2:$AA$9,2,FALSE))))),"")</f>
        <v/>
      </c>
      <c r="U149" s="105"/>
      <c r="V149" s="289" t="str">
        <f>IF(U149="","",IF(VLOOKUP(U149,'G-3 Multipliers'!$L$3:$N$6,2,FALSE)=0,"Spatial Data Missing ⚠",VLOOKUP(U149,'G-3 Multipliers'!$L$3:$N$6,2,FALSE)))</f>
        <v/>
      </c>
      <c r="W149" s="287" t="str">
        <f>IF(U149="","",IF(VLOOKUP(U149,'G-3 Multipliers'!$L$3:$N$6,3,FALSE)=0,"Spatial Data Missing ⚠",VLOOKUP(U149,'G-3 Multipliers'!$L$3:$N$6,3,FALSE)))</f>
        <v/>
      </c>
      <c r="X149" s="281" t="str">
        <f>IFERROR(IF(OR(LEFT(O149,5)="Error",LEFT(N149,5)="Error",T149="Error"),"Check Data ⚠",IF(F149&lt;R149,INDEX('G-6 Hedgerow Data'!$S$3:$AE$14,MATCH(C149,'G-6 Hedgerow Data'!$B$3:$B$14,0),MATCH(M149,'G-6 Hedgerow Data'!$S$2:$AE$2,0)),INDEX('G-6 Hedgerow Data'!$K$3:$Q$14,MATCH(M149,'G-6 Hedgerow Data'!$B$3:$B$14,0),MATCH(O149,'G-6 Hedgerow Data'!$K$2:$Q$2,0)))),"")</f>
        <v/>
      </c>
      <c r="Y149" s="137"/>
      <c r="Z149" s="137"/>
      <c r="AA149" s="289" t="str">
        <f t="shared" si="18"/>
        <v/>
      </c>
      <c r="AB149" s="302" t="str">
        <f t="shared" si="19"/>
        <v/>
      </c>
      <c r="AC149" s="303" t="str">
        <f t="shared" si="16"/>
        <v/>
      </c>
      <c r="AD149" s="317" t="str">
        <f>IF(M149="","",VLOOKUP(M149,'G-6 Hedgerow Data'!$B$3:$AG$15,31,FALSE))</f>
        <v/>
      </c>
      <c r="AE149" s="301" t="str">
        <f t="shared" si="20"/>
        <v/>
      </c>
      <c r="AF149" s="289" t="str">
        <f t="shared" si="21"/>
        <v/>
      </c>
      <c r="AG149" s="305" t="str">
        <f>IFERROR(IF(O149="","",VLOOKUP(AD149,'G-3 Multipliers'!$P$3:$Q$6,2,FALSE)),"")</f>
        <v/>
      </c>
      <c r="AH149" s="729" t="str">
        <f>IF(B149="","",IF(ISNA(VLOOKUP($B149,'E-1 Off-Site Hedge Baseline'!$B$1:$Z$257,14,FALSE)),"",(VLOOKUP($B149,'E-1 Off-Site Hedge Baseline'!$B$1:$Z$257,14,FALSE))))</f>
        <v/>
      </c>
      <c r="AI149" s="282" t="str">
        <f>IF(AH149="","",IF(VLOOKUP(AH149,'G-3 Multipliers'!$S$3:$T$10,2,FALSE)=0,"Spatial Data Missing ⚠",VLOOKUP(AH149,'G-3 Multipliers'!$S$3:$T$10,2,FALSE)))</f>
        <v/>
      </c>
      <c r="AJ149" s="323" t="str">
        <f t="shared" si="22"/>
        <v/>
      </c>
      <c r="AK149" s="295" t="str">
        <f t="shared" si="23"/>
        <v/>
      </c>
      <c r="AL149" s="105"/>
      <c r="AM149" s="119"/>
      <c r="AN149" s="108"/>
      <c r="AO149" s="108"/>
      <c r="AQ149" s="30" t="str">
        <f>IFERROR(INDEX('G-6 Hedgerow Data'!$BJ$3:$BJ$15,MATCH(M149,'G-6 Hedgerow Data'!$B$3:$B$15,0)),"")</f>
        <v/>
      </c>
    </row>
    <row r="150" spans="2:43" ht="13.8" x14ac:dyDescent="0.25">
      <c r="B150" s="311" t="str">
        <f>'E-1 Off-Site Hedge Baseline'!AN148</f>
        <v/>
      </c>
      <c r="C150" s="301" t="str">
        <f>IF(B150="","",IF(ISNA(VLOOKUP($B150,'E-1 Off-Site Hedge Baseline'!$B$1:$L$257,3,FALSE)),"",(VLOOKUP($B150,'E-1 Off-Site Hedge Baseline'!$B$1:$L$257,3,FALSE))))</f>
        <v/>
      </c>
      <c r="D150" s="301" t="str">
        <f>IF(B150="","",IF(ISNA(VLOOKUP($B150,'E-1 Off-Site Hedge Baseline'!$B$1:$L$258,4,FALSE)),"",(VLOOKUP($B150,'E-1 Off-Site Hedge Baseline'!$B$1:$L$258,4,FALSE))))</f>
        <v/>
      </c>
      <c r="E150" s="301" t="str">
        <f>IF(B150="","",IF(ISNA(VLOOKUP($B150,'E-1 Off-Site Hedge Baseline'!$B$1:$L$257,5,FALSE)),"",(VLOOKUP($B150,'E-1 Off-Site Hedge Baseline'!$B$1:$L$257,5,FALSE))))</f>
        <v/>
      </c>
      <c r="F150" s="301" t="str">
        <f>IF(B150="","",IF(ISNA(VLOOKUP($B150,'E-1 Off-Site Hedge Baseline'!$B$1:$L$257,6,FALSE)),"",(VLOOKUP($B150,'E-1 Off-Site Hedge Baseline'!$B$1:$L$257,6,FALSE))))</f>
        <v/>
      </c>
      <c r="G150" s="301" t="str">
        <f>IF(B150="","",IF(ISNA(VLOOKUP($B150,'E-1 Off-Site Hedge Baseline'!$B$1:$L$257,7,FALSE)),"",(VLOOKUP($B150,'E-1 Off-Site Hedge Baseline'!$B$1:$L$257,7,FALSE))))</f>
        <v/>
      </c>
      <c r="H150" s="301" t="str">
        <f>IF(B150="","",IF(ISNA(VLOOKUP($B150,'E-1 Off-Site Hedge Baseline'!$B$1:$L$257,8,FALSE)),"",(VLOOKUP($B150,'E-1 Off-Site Hedge Baseline'!$B$1:$L$257,8,FALSE))))</f>
        <v/>
      </c>
      <c r="I150" s="301" t="str">
        <f>IF(B150="","",IF(ISNA(VLOOKUP($B150,'E-1 Off-Site Hedge Baseline'!$B$1:$L$257,10,FALSE)),"",(VLOOKUP($B150,'E-1 Off-Site Hedge Baseline'!$B$1:$L$257,10,FALSE))))</f>
        <v/>
      </c>
      <c r="J150" s="301" t="str">
        <f>IF(B150="","",IF(ISNA(VLOOKUP($B150,'E-1 Off-Site Hedge Baseline'!$B$1:$L$257,11,FALSE)),"",(VLOOKUP($B150,'E-1 Off-Site Hedge Baseline'!$B$1:$L$257,11,FALSE))))</f>
        <v/>
      </c>
      <c r="K150" s="301" t="str">
        <f>IF(B150="","",IF(ISNA(VLOOKUP($B150,'E-1 Off-Site Hedge Baseline'!$B$1:$X$257,16,FALSE)),"",(VLOOKUP($B150,'E-1 Off-Site Hedge Baseline'!$B$1:$X$257,16,FALSE))))</f>
        <v/>
      </c>
      <c r="L150" s="289" t="str">
        <f>IF(B150="","",IF(ISNA(VLOOKUP($B150,'E-1 Off-Site Hedge Baseline'!$B$1:$X$257,12,FALSE)),"",(VLOOKUP($B150,'E-1 Off-Site Hedge Baseline'!$B$1:$X$257,12,FALSE))))</f>
        <v/>
      </c>
      <c r="M150" s="250"/>
      <c r="N150" s="281" t="str">
        <f>IFERROR(IF(B150="","",INDEX('G-6 Hedgerow Data'!$AN$3:$AZ$15,MATCH(C150,'G-6 Hedgerow Data'!$AM$3:$AM$15,0),MATCH(M150,'G-6 Hedgerow Data'!$AN$2:$AZ$2,0))),"")</f>
        <v/>
      </c>
      <c r="O150" s="282" t="str">
        <f t="shared" si="17"/>
        <v/>
      </c>
      <c r="P150" s="287" t="str">
        <f>IF(B150="","",VLOOKUP(B150,'E-1 Off-Site Hedge Baseline'!$B$10:W395,19,FALSE))</f>
        <v/>
      </c>
      <c r="Q150" s="281" t="str">
        <f>IF(M150="","",VLOOKUP(M150,'G-6 Hedgerow Data'!$B$2:$AG$15,2,FALSE))</f>
        <v/>
      </c>
      <c r="R150" s="282" t="str">
        <f>IF(M150="","",VLOOKUP(M150,'G-6 Hedgerow Data'!$B$2:$AG$15,3,FALSE))</f>
        <v/>
      </c>
      <c r="S150" s="105"/>
      <c r="T150" s="282" t="str">
        <f>IFERROR(IF(S150="","",IF(AND(M150="Non-native and ornamental hedgerow", S150&lt;&gt;"Poor"),"Not possible ▲", (IF(AND(Q150="V.Low",OR(S150="Good",S150="Moderate")),"Error ▲",VLOOKUP(S150,'G-1 All Habitats'!$Z$2:$AA$9,2,FALSE))))),"")</f>
        <v/>
      </c>
      <c r="U150" s="105"/>
      <c r="V150" s="289" t="str">
        <f>IF(U150="","",IF(VLOOKUP(U150,'G-3 Multipliers'!$L$3:$N$6,2,FALSE)=0,"Spatial Data Missing ⚠",VLOOKUP(U150,'G-3 Multipliers'!$L$3:$N$6,2,FALSE)))</f>
        <v/>
      </c>
      <c r="W150" s="287" t="str">
        <f>IF(U150="","",IF(VLOOKUP(U150,'G-3 Multipliers'!$L$3:$N$6,3,FALSE)=0,"Spatial Data Missing ⚠",VLOOKUP(U150,'G-3 Multipliers'!$L$3:$N$6,3,FALSE)))</f>
        <v/>
      </c>
      <c r="X150" s="281" t="str">
        <f>IFERROR(IF(OR(LEFT(O150,5)="Error",LEFT(N150,5)="Error",T150="Error"),"Check Data ⚠",IF(F150&lt;R150,INDEX('G-6 Hedgerow Data'!$S$3:$AE$14,MATCH(C150,'G-6 Hedgerow Data'!$B$3:$B$14,0),MATCH(M150,'G-6 Hedgerow Data'!$S$2:$AE$2,0)),INDEX('G-6 Hedgerow Data'!$K$3:$Q$14,MATCH(M150,'G-6 Hedgerow Data'!$B$3:$B$14,0),MATCH(O150,'G-6 Hedgerow Data'!$K$2:$Q$2,0)))),"")</f>
        <v/>
      </c>
      <c r="Y150" s="137"/>
      <c r="Z150" s="137"/>
      <c r="AA150" s="289" t="str">
        <f t="shared" si="18"/>
        <v/>
      </c>
      <c r="AB150" s="302" t="str">
        <f t="shared" si="19"/>
        <v/>
      </c>
      <c r="AC150" s="303" t="str">
        <f t="shared" si="16"/>
        <v/>
      </c>
      <c r="AD150" s="317" t="str">
        <f>IF(M150="","",VLOOKUP(M150,'G-6 Hedgerow Data'!$B$3:$AG$15,31,FALSE))</f>
        <v/>
      </c>
      <c r="AE150" s="301" t="str">
        <f t="shared" si="20"/>
        <v/>
      </c>
      <c r="AF150" s="289" t="str">
        <f t="shared" si="21"/>
        <v/>
      </c>
      <c r="AG150" s="305" t="str">
        <f>IFERROR(IF(O150="","",VLOOKUP(AD150,'G-3 Multipliers'!$P$3:$Q$6,2,FALSE)),"")</f>
        <v/>
      </c>
      <c r="AH150" s="729" t="str">
        <f>IF(B150="","",IF(ISNA(VLOOKUP($B150,'E-1 Off-Site Hedge Baseline'!$B$1:$Z$257,14,FALSE)),"",(VLOOKUP($B150,'E-1 Off-Site Hedge Baseline'!$B$1:$Z$257,14,FALSE))))</f>
        <v/>
      </c>
      <c r="AI150" s="282" t="str">
        <f>IF(AH150="","",IF(VLOOKUP(AH150,'G-3 Multipliers'!$S$3:$T$10,2,FALSE)=0,"Spatial Data Missing ⚠",VLOOKUP(AH150,'G-3 Multipliers'!$S$3:$T$10,2,FALSE)))</f>
        <v/>
      </c>
      <c r="AJ150" s="323" t="str">
        <f t="shared" si="22"/>
        <v/>
      </c>
      <c r="AK150" s="295" t="str">
        <f t="shared" si="23"/>
        <v/>
      </c>
      <c r="AL150" s="105"/>
      <c r="AM150" s="119"/>
      <c r="AN150" s="108"/>
      <c r="AO150" s="108"/>
      <c r="AQ150" s="30" t="str">
        <f>IFERROR(INDEX('G-6 Hedgerow Data'!$BJ$3:$BJ$15,MATCH(M150,'G-6 Hedgerow Data'!$B$3:$B$15,0)),"")</f>
        <v/>
      </c>
    </row>
    <row r="151" spans="2:43" ht="13.8" x14ac:dyDescent="0.25">
      <c r="B151" s="311" t="str">
        <f>'E-1 Off-Site Hedge Baseline'!AN149</f>
        <v/>
      </c>
      <c r="C151" s="301" t="str">
        <f>IF(B151="","",IF(ISNA(VLOOKUP($B151,'E-1 Off-Site Hedge Baseline'!$B$1:$L$257,3,FALSE)),"",(VLOOKUP($B151,'E-1 Off-Site Hedge Baseline'!$B$1:$L$257,3,FALSE))))</f>
        <v/>
      </c>
      <c r="D151" s="301" t="str">
        <f>IF(B151="","",IF(ISNA(VLOOKUP($B151,'E-1 Off-Site Hedge Baseline'!$B$1:$L$258,4,FALSE)),"",(VLOOKUP($B151,'E-1 Off-Site Hedge Baseline'!$B$1:$L$258,4,FALSE))))</f>
        <v/>
      </c>
      <c r="E151" s="301" t="str">
        <f>IF(B151="","",IF(ISNA(VLOOKUP($B151,'E-1 Off-Site Hedge Baseline'!$B$1:$L$257,5,FALSE)),"",(VLOOKUP($B151,'E-1 Off-Site Hedge Baseline'!$B$1:$L$257,5,FALSE))))</f>
        <v/>
      </c>
      <c r="F151" s="301" t="str">
        <f>IF(B151="","",IF(ISNA(VLOOKUP($B151,'E-1 Off-Site Hedge Baseline'!$B$1:$L$257,6,FALSE)),"",(VLOOKUP($B151,'E-1 Off-Site Hedge Baseline'!$B$1:$L$257,6,FALSE))))</f>
        <v/>
      </c>
      <c r="G151" s="301" t="str">
        <f>IF(B151="","",IF(ISNA(VLOOKUP($B151,'E-1 Off-Site Hedge Baseline'!$B$1:$L$257,7,FALSE)),"",(VLOOKUP($B151,'E-1 Off-Site Hedge Baseline'!$B$1:$L$257,7,FALSE))))</f>
        <v/>
      </c>
      <c r="H151" s="301" t="str">
        <f>IF(B151="","",IF(ISNA(VLOOKUP($B151,'E-1 Off-Site Hedge Baseline'!$B$1:$L$257,8,FALSE)),"",(VLOOKUP($B151,'E-1 Off-Site Hedge Baseline'!$B$1:$L$257,8,FALSE))))</f>
        <v/>
      </c>
      <c r="I151" s="301" t="str">
        <f>IF(B151="","",IF(ISNA(VLOOKUP($B151,'E-1 Off-Site Hedge Baseline'!$B$1:$L$257,10,FALSE)),"",(VLOOKUP($B151,'E-1 Off-Site Hedge Baseline'!$B$1:$L$257,10,FALSE))))</f>
        <v/>
      </c>
      <c r="J151" s="301" t="str">
        <f>IF(B151="","",IF(ISNA(VLOOKUP($B151,'E-1 Off-Site Hedge Baseline'!$B$1:$L$257,11,FALSE)),"",(VLOOKUP($B151,'E-1 Off-Site Hedge Baseline'!$B$1:$L$257,11,FALSE))))</f>
        <v/>
      </c>
      <c r="K151" s="301" t="str">
        <f>IF(B151="","",IF(ISNA(VLOOKUP($B151,'E-1 Off-Site Hedge Baseline'!$B$1:$X$257,16,FALSE)),"",(VLOOKUP($B151,'E-1 Off-Site Hedge Baseline'!$B$1:$X$257,16,FALSE))))</f>
        <v/>
      </c>
      <c r="L151" s="289" t="str">
        <f>IF(B151="","",IF(ISNA(VLOOKUP($B151,'E-1 Off-Site Hedge Baseline'!$B$1:$X$257,12,FALSE)),"",(VLOOKUP($B151,'E-1 Off-Site Hedge Baseline'!$B$1:$X$257,12,FALSE))))</f>
        <v/>
      </c>
      <c r="M151" s="250"/>
      <c r="N151" s="281" t="str">
        <f>IFERROR(IF(B151="","",INDEX('G-6 Hedgerow Data'!$AN$3:$AZ$15,MATCH(C151,'G-6 Hedgerow Data'!$AM$3:$AM$15,0),MATCH(M151,'G-6 Hedgerow Data'!$AN$2:$AZ$2,0))),"")</f>
        <v/>
      </c>
      <c r="O151" s="282" t="str">
        <f t="shared" si="17"/>
        <v/>
      </c>
      <c r="P151" s="287" t="str">
        <f>IF(B151="","",VLOOKUP(B151,'E-1 Off-Site Hedge Baseline'!$B$10:W396,19,FALSE))</f>
        <v/>
      </c>
      <c r="Q151" s="281" t="str">
        <f>IF(M151="","",VLOOKUP(M151,'G-6 Hedgerow Data'!$B$2:$AG$15,2,FALSE))</f>
        <v/>
      </c>
      <c r="R151" s="282" t="str">
        <f>IF(M151="","",VLOOKUP(M151,'G-6 Hedgerow Data'!$B$2:$AG$15,3,FALSE))</f>
        <v/>
      </c>
      <c r="S151" s="105"/>
      <c r="T151" s="282" t="str">
        <f>IFERROR(IF(S151="","",IF(AND(M151="Non-native and ornamental hedgerow", S151&lt;&gt;"Poor"),"Not possible ▲", (IF(AND(Q151="V.Low",OR(S151="Good",S151="Moderate")),"Error ▲",VLOOKUP(S151,'G-1 All Habitats'!$Z$2:$AA$9,2,FALSE))))),"")</f>
        <v/>
      </c>
      <c r="U151" s="105"/>
      <c r="V151" s="289" t="str">
        <f>IF(U151="","",IF(VLOOKUP(U151,'G-3 Multipliers'!$L$3:$N$6,2,FALSE)=0,"Spatial Data Missing ⚠",VLOOKUP(U151,'G-3 Multipliers'!$L$3:$N$6,2,FALSE)))</f>
        <v/>
      </c>
      <c r="W151" s="287" t="str">
        <f>IF(U151="","",IF(VLOOKUP(U151,'G-3 Multipliers'!$L$3:$N$6,3,FALSE)=0,"Spatial Data Missing ⚠",VLOOKUP(U151,'G-3 Multipliers'!$L$3:$N$6,3,FALSE)))</f>
        <v/>
      </c>
      <c r="X151" s="281" t="str">
        <f>IFERROR(IF(OR(LEFT(O151,5)="Error",LEFT(N151,5)="Error",T151="Error"),"Check Data ⚠",IF(F151&lt;R151,INDEX('G-6 Hedgerow Data'!$S$3:$AE$14,MATCH(C151,'G-6 Hedgerow Data'!$B$3:$B$14,0),MATCH(M151,'G-6 Hedgerow Data'!$S$2:$AE$2,0)),INDEX('G-6 Hedgerow Data'!$K$3:$Q$14,MATCH(M151,'G-6 Hedgerow Data'!$B$3:$B$14,0),MATCH(O151,'G-6 Hedgerow Data'!$K$2:$Q$2,0)))),"")</f>
        <v/>
      </c>
      <c r="Y151" s="137"/>
      <c r="Z151" s="137"/>
      <c r="AA151" s="289" t="str">
        <f t="shared" si="18"/>
        <v/>
      </c>
      <c r="AB151" s="302" t="str">
        <f t="shared" si="19"/>
        <v/>
      </c>
      <c r="AC151" s="303" t="str">
        <f t="shared" si="16"/>
        <v/>
      </c>
      <c r="AD151" s="317" t="str">
        <f>IF(M151="","",VLOOKUP(M151,'G-6 Hedgerow Data'!$B$3:$AG$15,31,FALSE))</f>
        <v/>
      </c>
      <c r="AE151" s="301" t="str">
        <f t="shared" si="20"/>
        <v/>
      </c>
      <c r="AF151" s="289" t="str">
        <f t="shared" si="21"/>
        <v/>
      </c>
      <c r="AG151" s="305" t="str">
        <f>IFERROR(IF(O151="","",VLOOKUP(AD151,'G-3 Multipliers'!$P$3:$Q$6,2,FALSE)),"")</f>
        <v/>
      </c>
      <c r="AH151" s="729" t="str">
        <f>IF(B151="","",IF(ISNA(VLOOKUP($B151,'E-1 Off-Site Hedge Baseline'!$B$1:$Z$257,14,FALSE)),"",(VLOOKUP($B151,'E-1 Off-Site Hedge Baseline'!$B$1:$Z$257,14,FALSE))))</f>
        <v/>
      </c>
      <c r="AI151" s="282" t="str">
        <f>IF(AH151="","",IF(VLOOKUP(AH151,'G-3 Multipliers'!$S$3:$T$10,2,FALSE)=0,"Spatial Data Missing ⚠",VLOOKUP(AH151,'G-3 Multipliers'!$S$3:$T$10,2,FALSE)))</f>
        <v/>
      </c>
      <c r="AJ151" s="323" t="str">
        <f t="shared" si="22"/>
        <v/>
      </c>
      <c r="AK151" s="295" t="str">
        <f t="shared" si="23"/>
        <v/>
      </c>
      <c r="AL151" s="105"/>
      <c r="AM151" s="119"/>
      <c r="AN151" s="108"/>
      <c r="AO151" s="108"/>
      <c r="AQ151" s="30" t="str">
        <f>IFERROR(INDEX('G-6 Hedgerow Data'!$BJ$3:$BJ$15,MATCH(M151,'G-6 Hedgerow Data'!$B$3:$B$15,0)),"")</f>
        <v/>
      </c>
    </row>
    <row r="152" spans="2:43" ht="13.8" x14ac:dyDescent="0.25">
      <c r="B152" s="311" t="str">
        <f>'E-1 Off-Site Hedge Baseline'!AN150</f>
        <v/>
      </c>
      <c r="C152" s="301" t="str">
        <f>IF(B152="","",IF(ISNA(VLOOKUP($B152,'E-1 Off-Site Hedge Baseline'!$B$1:$L$257,3,FALSE)),"",(VLOOKUP($B152,'E-1 Off-Site Hedge Baseline'!$B$1:$L$257,3,FALSE))))</f>
        <v/>
      </c>
      <c r="D152" s="301" t="str">
        <f>IF(B152="","",IF(ISNA(VLOOKUP($B152,'E-1 Off-Site Hedge Baseline'!$B$1:$L$258,4,FALSE)),"",(VLOOKUP($B152,'E-1 Off-Site Hedge Baseline'!$B$1:$L$258,4,FALSE))))</f>
        <v/>
      </c>
      <c r="E152" s="301" t="str">
        <f>IF(B152="","",IF(ISNA(VLOOKUP($B152,'E-1 Off-Site Hedge Baseline'!$B$1:$L$257,5,FALSE)),"",(VLOOKUP($B152,'E-1 Off-Site Hedge Baseline'!$B$1:$L$257,5,FALSE))))</f>
        <v/>
      </c>
      <c r="F152" s="301" t="str">
        <f>IF(B152="","",IF(ISNA(VLOOKUP($B152,'E-1 Off-Site Hedge Baseline'!$B$1:$L$257,6,FALSE)),"",(VLOOKUP($B152,'E-1 Off-Site Hedge Baseline'!$B$1:$L$257,6,FALSE))))</f>
        <v/>
      </c>
      <c r="G152" s="301" t="str">
        <f>IF(B152="","",IF(ISNA(VLOOKUP($B152,'E-1 Off-Site Hedge Baseline'!$B$1:$L$257,7,FALSE)),"",(VLOOKUP($B152,'E-1 Off-Site Hedge Baseline'!$B$1:$L$257,7,FALSE))))</f>
        <v/>
      </c>
      <c r="H152" s="301" t="str">
        <f>IF(B152="","",IF(ISNA(VLOOKUP($B152,'E-1 Off-Site Hedge Baseline'!$B$1:$L$257,8,FALSE)),"",(VLOOKUP($B152,'E-1 Off-Site Hedge Baseline'!$B$1:$L$257,8,FALSE))))</f>
        <v/>
      </c>
      <c r="I152" s="301" t="str">
        <f>IF(B152="","",IF(ISNA(VLOOKUP($B152,'E-1 Off-Site Hedge Baseline'!$B$1:$L$257,10,FALSE)),"",(VLOOKUP($B152,'E-1 Off-Site Hedge Baseline'!$B$1:$L$257,10,FALSE))))</f>
        <v/>
      </c>
      <c r="J152" s="301" t="str">
        <f>IF(B152="","",IF(ISNA(VLOOKUP($B152,'E-1 Off-Site Hedge Baseline'!$B$1:$L$257,11,FALSE)),"",(VLOOKUP($B152,'E-1 Off-Site Hedge Baseline'!$B$1:$L$257,11,FALSE))))</f>
        <v/>
      </c>
      <c r="K152" s="301" t="str">
        <f>IF(B152="","",IF(ISNA(VLOOKUP($B152,'E-1 Off-Site Hedge Baseline'!$B$1:$X$257,16,FALSE)),"",(VLOOKUP($B152,'E-1 Off-Site Hedge Baseline'!$B$1:$X$257,16,FALSE))))</f>
        <v/>
      </c>
      <c r="L152" s="289" t="str">
        <f>IF(B152="","",IF(ISNA(VLOOKUP($B152,'E-1 Off-Site Hedge Baseline'!$B$1:$X$257,12,FALSE)),"",(VLOOKUP($B152,'E-1 Off-Site Hedge Baseline'!$B$1:$X$257,12,FALSE))))</f>
        <v/>
      </c>
      <c r="M152" s="250"/>
      <c r="N152" s="281" t="str">
        <f>IFERROR(IF(B152="","",INDEX('G-6 Hedgerow Data'!$AN$3:$AZ$15,MATCH(C152,'G-6 Hedgerow Data'!$AM$3:$AM$15,0),MATCH(M152,'G-6 Hedgerow Data'!$AN$2:$AZ$2,0))),"")</f>
        <v/>
      </c>
      <c r="O152" s="282" t="str">
        <f t="shared" si="17"/>
        <v/>
      </c>
      <c r="P152" s="287" t="str">
        <f>IF(B152="","",VLOOKUP(B152,'E-1 Off-Site Hedge Baseline'!$B$10:W397,19,FALSE))</f>
        <v/>
      </c>
      <c r="Q152" s="281" t="str">
        <f>IF(M152="","",VLOOKUP(M152,'G-6 Hedgerow Data'!$B$2:$AG$15,2,FALSE))</f>
        <v/>
      </c>
      <c r="R152" s="282" t="str">
        <f>IF(M152="","",VLOOKUP(M152,'G-6 Hedgerow Data'!$B$2:$AG$15,3,FALSE))</f>
        <v/>
      </c>
      <c r="S152" s="105"/>
      <c r="T152" s="282" t="str">
        <f>IFERROR(IF(S152="","",IF(AND(M152="Non-native and ornamental hedgerow", S152&lt;&gt;"Poor"),"Not possible ▲", (IF(AND(Q152="V.Low",OR(S152="Good",S152="Moderate")),"Error ▲",VLOOKUP(S152,'G-1 All Habitats'!$Z$2:$AA$9,2,FALSE))))),"")</f>
        <v/>
      </c>
      <c r="U152" s="105"/>
      <c r="V152" s="289" t="str">
        <f>IF(U152="","",IF(VLOOKUP(U152,'G-3 Multipliers'!$L$3:$N$6,2,FALSE)=0,"Spatial Data Missing ⚠",VLOOKUP(U152,'G-3 Multipliers'!$L$3:$N$6,2,FALSE)))</f>
        <v/>
      </c>
      <c r="W152" s="287" t="str">
        <f>IF(U152="","",IF(VLOOKUP(U152,'G-3 Multipliers'!$L$3:$N$6,3,FALSE)=0,"Spatial Data Missing ⚠",VLOOKUP(U152,'G-3 Multipliers'!$L$3:$N$6,3,FALSE)))</f>
        <v/>
      </c>
      <c r="X152" s="281" t="str">
        <f>IFERROR(IF(OR(LEFT(O152,5)="Error",LEFT(N152,5)="Error",T152="Error"),"Check Data ⚠",IF(F152&lt;R152,INDEX('G-6 Hedgerow Data'!$S$3:$AE$14,MATCH(C152,'G-6 Hedgerow Data'!$B$3:$B$14,0),MATCH(M152,'G-6 Hedgerow Data'!$S$2:$AE$2,0)),INDEX('G-6 Hedgerow Data'!$K$3:$Q$14,MATCH(M152,'G-6 Hedgerow Data'!$B$3:$B$14,0),MATCH(O152,'G-6 Hedgerow Data'!$K$2:$Q$2,0)))),"")</f>
        <v/>
      </c>
      <c r="Y152" s="137"/>
      <c r="Z152" s="137"/>
      <c r="AA152" s="289" t="str">
        <f t="shared" si="18"/>
        <v/>
      </c>
      <c r="AB152" s="302" t="str">
        <f t="shared" si="19"/>
        <v/>
      </c>
      <c r="AC152" s="303" t="str">
        <f t="shared" si="16"/>
        <v/>
      </c>
      <c r="AD152" s="317" t="str">
        <f>IF(M152="","",VLOOKUP(M152,'G-6 Hedgerow Data'!$B$3:$AG$15,31,FALSE))</f>
        <v/>
      </c>
      <c r="AE152" s="301" t="str">
        <f t="shared" si="20"/>
        <v/>
      </c>
      <c r="AF152" s="289" t="str">
        <f t="shared" si="21"/>
        <v/>
      </c>
      <c r="AG152" s="305" t="str">
        <f>IFERROR(IF(O152="","",VLOOKUP(AD152,'G-3 Multipliers'!$P$3:$Q$6,2,FALSE)),"")</f>
        <v/>
      </c>
      <c r="AH152" s="729" t="str">
        <f>IF(B152="","",IF(ISNA(VLOOKUP($B152,'E-1 Off-Site Hedge Baseline'!$B$1:$Z$257,14,FALSE)),"",(VLOOKUP($B152,'E-1 Off-Site Hedge Baseline'!$B$1:$Z$257,14,FALSE))))</f>
        <v/>
      </c>
      <c r="AI152" s="282" t="str">
        <f>IF(AH152="","",IF(VLOOKUP(AH152,'G-3 Multipliers'!$S$3:$T$10,2,FALSE)=0,"Spatial Data Missing ⚠",VLOOKUP(AH152,'G-3 Multipliers'!$S$3:$T$10,2,FALSE)))</f>
        <v/>
      </c>
      <c r="AJ152" s="323" t="str">
        <f t="shared" si="22"/>
        <v/>
      </c>
      <c r="AK152" s="295" t="str">
        <f t="shared" si="23"/>
        <v/>
      </c>
      <c r="AL152" s="105"/>
      <c r="AM152" s="119"/>
      <c r="AN152" s="108"/>
      <c r="AO152" s="108"/>
      <c r="AQ152" s="30" t="str">
        <f>IFERROR(INDEX('G-6 Hedgerow Data'!$BJ$3:$BJ$15,MATCH(M152,'G-6 Hedgerow Data'!$B$3:$B$15,0)),"")</f>
        <v/>
      </c>
    </row>
    <row r="153" spans="2:43" ht="13.8" x14ac:dyDescent="0.25">
      <c r="B153" s="311" t="str">
        <f>'E-1 Off-Site Hedge Baseline'!AN151</f>
        <v/>
      </c>
      <c r="C153" s="301" t="str">
        <f>IF(B153="","",IF(ISNA(VLOOKUP($B153,'E-1 Off-Site Hedge Baseline'!$B$1:$L$257,3,FALSE)),"",(VLOOKUP($B153,'E-1 Off-Site Hedge Baseline'!$B$1:$L$257,3,FALSE))))</f>
        <v/>
      </c>
      <c r="D153" s="301" t="str">
        <f>IF(B153="","",IF(ISNA(VLOOKUP($B153,'E-1 Off-Site Hedge Baseline'!$B$1:$L$258,4,FALSE)),"",(VLOOKUP($B153,'E-1 Off-Site Hedge Baseline'!$B$1:$L$258,4,FALSE))))</f>
        <v/>
      </c>
      <c r="E153" s="301" t="str">
        <f>IF(B153="","",IF(ISNA(VLOOKUP($B153,'E-1 Off-Site Hedge Baseline'!$B$1:$L$257,5,FALSE)),"",(VLOOKUP($B153,'E-1 Off-Site Hedge Baseline'!$B$1:$L$257,5,FALSE))))</f>
        <v/>
      </c>
      <c r="F153" s="301" t="str">
        <f>IF(B153="","",IF(ISNA(VLOOKUP($B153,'E-1 Off-Site Hedge Baseline'!$B$1:$L$257,6,FALSE)),"",(VLOOKUP($B153,'E-1 Off-Site Hedge Baseline'!$B$1:$L$257,6,FALSE))))</f>
        <v/>
      </c>
      <c r="G153" s="301" t="str">
        <f>IF(B153="","",IF(ISNA(VLOOKUP($B153,'E-1 Off-Site Hedge Baseline'!$B$1:$L$257,7,FALSE)),"",(VLOOKUP($B153,'E-1 Off-Site Hedge Baseline'!$B$1:$L$257,7,FALSE))))</f>
        <v/>
      </c>
      <c r="H153" s="301" t="str">
        <f>IF(B153="","",IF(ISNA(VLOOKUP($B153,'E-1 Off-Site Hedge Baseline'!$B$1:$L$257,8,FALSE)),"",(VLOOKUP($B153,'E-1 Off-Site Hedge Baseline'!$B$1:$L$257,8,FALSE))))</f>
        <v/>
      </c>
      <c r="I153" s="301" t="str">
        <f>IF(B153="","",IF(ISNA(VLOOKUP($B153,'E-1 Off-Site Hedge Baseline'!$B$1:$L$257,10,FALSE)),"",(VLOOKUP($B153,'E-1 Off-Site Hedge Baseline'!$B$1:$L$257,10,FALSE))))</f>
        <v/>
      </c>
      <c r="J153" s="301" t="str">
        <f>IF(B153="","",IF(ISNA(VLOOKUP($B153,'E-1 Off-Site Hedge Baseline'!$B$1:$L$257,11,FALSE)),"",(VLOOKUP($B153,'E-1 Off-Site Hedge Baseline'!$B$1:$L$257,11,FALSE))))</f>
        <v/>
      </c>
      <c r="K153" s="301" t="str">
        <f>IF(B153="","",IF(ISNA(VLOOKUP($B153,'E-1 Off-Site Hedge Baseline'!$B$1:$X$257,16,FALSE)),"",(VLOOKUP($B153,'E-1 Off-Site Hedge Baseline'!$B$1:$X$257,16,FALSE))))</f>
        <v/>
      </c>
      <c r="L153" s="289" t="str">
        <f>IF(B153="","",IF(ISNA(VLOOKUP($B153,'E-1 Off-Site Hedge Baseline'!$B$1:$X$257,12,FALSE)),"",(VLOOKUP($B153,'E-1 Off-Site Hedge Baseline'!$B$1:$X$257,12,FALSE))))</f>
        <v/>
      </c>
      <c r="M153" s="250"/>
      <c r="N153" s="281" t="str">
        <f>IFERROR(IF(B153="","",INDEX('G-6 Hedgerow Data'!$AN$3:$AZ$15,MATCH(C153,'G-6 Hedgerow Data'!$AM$3:$AM$15,0),MATCH(M153,'G-6 Hedgerow Data'!$AN$2:$AZ$2,0))),"")</f>
        <v/>
      </c>
      <c r="O153" s="282" t="str">
        <f t="shared" si="17"/>
        <v/>
      </c>
      <c r="P153" s="287" t="str">
        <f>IF(B153="","",VLOOKUP(B153,'E-1 Off-Site Hedge Baseline'!$B$10:W398,19,FALSE))</f>
        <v/>
      </c>
      <c r="Q153" s="281" t="str">
        <f>IF(M153="","",VLOOKUP(M153,'G-6 Hedgerow Data'!$B$2:$AG$15,2,FALSE))</f>
        <v/>
      </c>
      <c r="R153" s="282" t="str">
        <f>IF(M153="","",VLOOKUP(M153,'G-6 Hedgerow Data'!$B$2:$AG$15,3,FALSE))</f>
        <v/>
      </c>
      <c r="S153" s="105"/>
      <c r="T153" s="282" t="str">
        <f>IFERROR(IF(S153="","",IF(AND(M153="Non-native and ornamental hedgerow", S153&lt;&gt;"Poor"),"Not possible ▲", (IF(AND(Q153="V.Low",OR(S153="Good",S153="Moderate")),"Error ▲",VLOOKUP(S153,'G-1 All Habitats'!$Z$2:$AA$9,2,FALSE))))),"")</f>
        <v/>
      </c>
      <c r="U153" s="105"/>
      <c r="V153" s="289" t="str">
        <f>IF(U153="","",IF(VLOOKUP(U153,'G-3 Multipliers'!$L$3:$N$6,2,FALSE)=0,"Spatial Data Missing ⚠",VLOOKUP(U153,'G-3 Multipliers'!$L$3:$N$6,2,FALSE)))</f>
        <v/>
      </c>
      <c r="W153" s="287" t="str">
        <f>IF(U153="","",IF(VLOOKUP(U153,'G-3 Multipliers'!$L$3:$N$6,3,FALSE)=0,"Spatial Data Missing ⚠",VLOOKUP(U153,'G-3 Multipliers'!$L$3:$N$6,3,FALSE)))</f>
        <v/>
      </c>
      <c r="X153" s="281" t="str">
        <f>IFERROR(IF(OR(LEFT(O153,5)="Error",LEFT(N153,5)="Error",T153="Error"),"Check Data ⚠",IF(F153&lt;R153,INDEX('G-6 Hedgerow Data'!$S$3:$AE$14,MATCH(C153,'G-6 Hedgerow Data'!$B$3:$B$14,0),MATCH(M153,'G-6 Hedgerow Data'!$S$2:$AE$2,0)),INDEX('G-6 Hedgerow Data'!$K$3:$Q$14,MATCH(M153,'G-6 Hedgerow Data'!$B$3:$B$14,0),MATCH(O153,'G-6 Hedgerow Data'!$K$2:$Q$2,0)))),"")</f>
        <v/>
      </c>
      <c r="Y153" s="137"/>
      <c r="Z153" s="137"/>
      <c r="AA153" s="289" t="str">
        <f t="shared" si="18"/>
        <v/>
      </c>
      <c r="AB153" s="302" t="str">
        <f t="shared" si="19"/>
        <v/>
      </c>
      <c r="AC153" s="303" t="str">
        <f t="shared" si="16"/>
        <v/>
      </c>
      <c r="AD153" s="317" t="str">
        <f>IF(M153="","",VLOOKUP(M153,'G-6 Hedgerow Data'!$B$3:$AG$15,31,FALSE))</f>
        <v/>
      </c>
      <c r="AE153" s="301" t="str">
        <f t="shared" si="20"/>
        <v/>
      </c>
      <c r="AF153" s="289" t="str">
        <f t="shared" si="21"/>
        <v/>
      </c>
      <c r="AG153" s="305" t="str">
        <f>IFERROR(IF(O153="","",VLOOKUP(AD153,'G-3 Multipliers'!$P$3:$Q$6,2,FALSE)),"")</f>
        <v/>
      </c>
      <c r="AH153" s="729" t="str">
        <f>IF(B153="","",IF(ISNA(VLOOKUP($B153,'E-1 Off-Site Hedge Baseline'!$B$1:$Z$257,14,FALSE)),"",(VLOOKUP($B153,'E-1 Off-Site Hedge Baseline'!$B$1:$Z$257,14,FALSE))))</f>
        <v/>
      </c>
      <c r="AI153" s="282" t="str">
        <f>IF(AH153="","",IF(VLOOKUP(AH153,'G-3 Multipliers'!$S$3:$T$10,2,FALSE)=0,"Spatial Data Missing ⚠",VLOOKUP(AH153,'G-3 Multipliers'!$S$3:$T$10,2,FALSE)))</f>
        <v/>
      </c>
      <c r="AJ153" s="323" t="str">
        <f t="shared" si="22"/>
        <v/>
      </c>
      <c r="AK153" s="295" t="str">
        <f t="shared" si="23"/>
        <v/>
      </c>
      <c r="AL153" s="105"/>
      <c r="AM153" s="119"/>
      <c r="AN153" s="108"/>
      <c r="AO153" s="108"/>
      <c r="AQ153" s="30" t="str">
        <f>IFERROR(INDEX('G-6 Hedgerow Data'!$BJ$3:$BJ$15,MATCH(M153,'G-6 Hedgerow Data'!$B$3:$B$15,0)),"")</f>
        <v/>
      </c>
    </row>
    <row r="154" spans="2:43" ht="13.8" x14ac:dyDescent="0.25">
      <c r="B154" s="311" t="str">
        <f>'E-1 Off-Site Hedge Baseline'!AN152</f>
        <v/>
      </c>
      <c r="C154" s="301" t="str">
        <f>IF(B154="","",IF(ISNA(VLOOKUP($B154,'E-1 Off-Site Hedge Baseline'!$B$1:$L$257,3,FALSE)),"",(VLOOKUP($B154,'E-1 Off-Site Hedge Baseline'!$B$1:$L$257,3,FALSE))))</f>
        <v/>
      </c>
      <c r="D154" s="301" t="str">
        <f>IF(B154="","",IF(ISNA(VLOOKUP($B154,'E-1 Off-Site Hedge Baseline'!$B$1:$L$258,4,FALSE)),"",(VLOOKUP($B154,'E-1 Off-Site Hedge Baseline'!$B$1:$L$258,4,FALSE))))</f>
        <v/>
      </c>
      <c r="E154" s="301" t="str">
        <f>IF(B154="","",IF(ISNA(VLOOKUP($B154,'E-1 Off-Site Hedge Baseline'!$B$1:$L$257,5,FALSE)),"",(VLOOKUP($B154,'E-1 Off-Site Hedge Baseline'!$B$1:$L$257,5,FALSE))))</f>
        <v/>
      </c>
      <c r="F154" s="301" t="str">
        <f>IF(B154="","",IF(ISNA(VLOOKUP($B154,'E-1 Off-Site Hedge Baseline'!$B$1:$L$257,6,FALSE)),"",(VLOOKUP($B154,'E-1 Off-Site Hedge Baseline'!$B$1:$L$257,6,FALSE))))</f>
        <v/>
      </c>
      <c r="G154" s="301" t="str">
        <f>IF(B154="","",IF(ISNA(VLOOKUP($B154,'E-1 Off-Site Hedge Baseline'!$B$1:$L$257,7,FALSE)),"",(VLOOKUP($B154,'E-1 Off-Site Hedge Baseline'!$B$1:$L$257,7,FALSE))))</f>
        <v/>
      </c>
      <c r="H154" s="301" t="str">
        <f>IF(B154="","",IF(ISNA(VLOOKUP($B154,'E-1 Off-Site Hedge Baseline'!$B$1:$L$257,8,FALSE)),"",(VLOOKUP($B154,'E-1 Off-Site Hedge Baseline'!$B$1:$L$257,8,FALSE))))</f>
        <v/>
      </c>
      <c r="I154" s="301" t="str">
        <f>IF(B154="","",IF(ISNA(VLOOKUP($B154,'E-1 Off-Site Hedge Baseline'!$B$1:$L$257,10,FALSE)),"",(VLOOKUP($B154,'E-1 Off-Site Hedge Baseline'!$B$1:$L$257,10,FALSE))))</f>
        <v/>
      </c>
      <c r="J154" s="301" t="str">
        <f>IF(B154="","",IF(ISNA(VLOOKUP($B154,'E-1 Off-Site Hedge Baseline'!$B$1:$L$257,11,FALSE)),"",(VLOOKUP($B154,'E-1 Off-Site Hedge Baseline'!$B$1:$L$257,11,FALSE))))</f>
        <v/>
      </c>
      <c r="K154" s="301" t="str">
        <f>IF(B154="","",IF(ISNA(VLOOKUP($B154,'E-1 Off-Site Hedge Baseline'!$B$1:$X$257,16,FALSE)),"",(VLOOKUP($B154,'E-1 Off-Site Hedge Baseline'!$B$1:$X$257,16,FALSE))))</f>
        <v/>
      </c>
      <c r="L154" s="289" t="str">
        <f>IF(B154="","",IF(ISNA(VLOOKUP($B154,'E-1 Off-Site Hedge Baseline'!$B$1:$X$257,12,FALSE)),"",(VLOOKUP($B154,'E-1 Off-Site Hedge Baseline'!$B$1:$X$257,12,FALSE))))</f>
        <v/>
      </c>
      <c r="M154" s="250"/>
      <c r="N154" s="281" t="str">
        <f>IFERROR(IF(B154="","",INDEX('G-6 Hedgerow Data'!$AN$3:$AZ$15,MATCH(C154,'G-6 Hedgerow Data'!$AM$3:$AM$15,0),MATCH(M154,'G-6 Hedgerow Data'!$AN$2:$AZ$2,0))),"")</f>
        <v/>
      </c>
      <c r="O154" s="282" t="str">
        <f t="shared" si="17"/>
        <v/>
      </c>
      <c r="P154" s="287" t="str">
        <f>IF(B154="","",VLOOKUP(B154,'E-1 Off-Site Hedge Baseline'!$B$10:W399,19,FALSE))</f>
        <v/>
      </c>
      <c r="Q154" s="281" t="str">
        <f>IF(M154="","",VLOOKUP(M154,'G-6 Hedgerow Data'!$B$2:$AG$15,2,FALSE))</f>
        <v/>
      </c>
      <c r="R154" s="282" t="str">
        <f>IF(M154="","",VLOOKUP(M154,'G-6 Hedgerow Data'!$B$2:$AG$15,3,FALSE))</f>
        <v/>
      </c>
      <c r="S154" s="105"/>
      <c r="T154" s="282" t="str">
        <f>IFERROR(IF(S154="","",IF(AND(M154="Non-native and ornamental hedgerow", S154&lt;&gt;"Poor"),"Not possible ▲", (IF(AND(Q154="V.Low",OR(S154="Good",S154="Moderate")),"Error ▲",VLOOKUP(S154,'G-1 All Habitats'!$Z$2:$AA$9,2,FALSE))))),"")</f>
        <v/>
      </c>
      <c r="U154" s="105"/>
      <c r="V154" s="289" t="str">
        <f>IF(U154="","",IF(VLOOKUP(U154,'G-3 Multipliers'!$L$3:$N$6,2,FALSE)=0,"Spatial Data Missing ⚠",VLOOKUP(U154,'G-3 Multipliers'!$L$3:$N$6,2,FALSE)))</f>
        <v/>
      </c>
      <c r="W154" s="287" t="str">
        <f>IF(U154="","",IF(VLOOKUP(U154,'G-3 Multipliers'!$L$3:$N$6,3,FALSE)=0,"Spatial Data Missing ⚠",VLOOKUP(U154,'G-3 Multipliers'!$L$3:$N$6,3,FALSE)))</f>
        <v/>
      </c>
      <c r="X154" s="281" t="str">
        <f>IFERROR(IF(OR(LEFT(O154,5)="Error",LEFT(N154,5)="Error",T154="Error"),"Check Data ⚠",IF(F154&lt;R154,INDEX('G-6 Hedgerow Data'!$S$3:$AE$14,MATCH(C154,'G-6 Hedgerow Data'!$B$3:$B$14,0),MATCH(M154,'G-6 Hedgerow Data'!$S$2:$AE$2,0)),INDEX('G-6 Hedgerow Data'!$K$3:$Q$14,MATCH(M154,'G-6 Hedgerow Data'!$B$3:$B$14,0),MATCH(O154,'G-6 Hedgerow Data'!$K$2:$Q$2,0)))),"")</f>
        <v/>
      </c>
      <c r="Y154" s="137"/>
      <c r="Z154" s="137"/>
      <c r="AA154" s="289" t="str">
        <f t="shared" si="18"/>
        <v/>
      </c>
      <c r="AB154" s="302" t="str">
        <f t="shared" si="19"/>
        <v/>
      </c>
      <c r="AC154" s="303" t="str">
        <f t="shared" si="16"/>
        <v/>
      </c>
      <c r="AD154" s="317" t="str">
        <f>IF(M154="","",VLOOKUP(M154,'G-6 Hedgerow Data'!$B$3:$AG$15,31,FALSE))</f>
        <v/>
      </c>
      <c r="AE154" s="301" t="str">
        <f t="shared" si="20"/>
        <v/>
      </c>
      <c r="AF154" s="289" t="str">
        <f t="shared" si="21"/>
        <v/>
      </c>
      <c r="AG154" s="305" t="str">
        <f>IFERROR(IF(O154="","",VLOOKUP(AD154,'G-3 Multipliers'!$P$3:$Q$6,2,FALSE)),"")</f>
        <v/>
      </c>
      <c r="AH154" s="729" t="str">
        <f>IF(B154="","",IF(ISNA(VLOOKUP($B154,'E-1 Off-Site Hedge Baseline'!$B$1:$Z$257,14,FALSE)),"",(VLOOKUP($B154,'E-1 Off-Site Hedge Baseline'!$B$1:$Z$257,14,FALSE))))</f>
        <v/>
      </c>
      <c r="AI154" s="282" t="str">
        <f>IF(AH154="","",IF(VLOOKUP(AH154,'G-3 Multipliers'!$S$3:$T$10,2,FALSE)=0,"Spatial Data Missing ⚠",VLOOKUP(AH154,'G-3 Multipliers'!$S$3:$T$10,2,FALSE)))</f>
        <v/>
      </c>
      <c r="AJ154" s="323" t="str">
        <f t="shared" si="22"/>
        <v/>
      </c>
      <c r="AK154" s="295" t="str">
        <f t="shared" si="23"/>
        <v/>
      </c>
      <c r="AL154" s="105"/>
      <c r="AM154" s="119"/>
      <c r="AN154" s="108"/>
      <c r="AO154" s="108"/>
      <c r="AQ154" s="30" t="str">
        <f>IFERROR(INDEX('G-6 Hedgerow Data'!$BJ$3:$BJ$15,MATCH(M154,'G-6 Hedgerow Data'!$B$3:$B$15,0)),"")</f>
        <v/>
      </c>
    </row>
    <row r="155" spans="2:43" ht="13.8" x14ac:dyDescent="0.25">
      <c r="B155" s="311" t="str">
        <f>'E-1 Off-Site Hedge Baseline'!AN153</f>
        <v/>
      </c>
      <c r="C155" s="301" t="str">
        <f>IF(B155="","",IF(ISNA(VLOOKUP($B155,'E-1 Off-Site Hedge Baseline'!$B$1:$L$257,3,FALSE)),"",(VLOOKUP($B155,'E-1 Off-Site Hedge Baseline'!$B$1:$L$257,3,FALSE))))</f>
        <v/>
      </c>
      <c r="D155" s="301" t="str">
        <f>IF(B155="","",IF(ISNA(VLOOKUP($B155,'E-1 Off-Site Hedge Baseline'!$B$1:$L$258,4,FALSE)),"",(VLOOKUP($B155,'E-1 Off-Site Hedge Baseline'!$B$1:$L$258,4,FALSE))))</f>
        <v/>
      </c>
      <c r="E155" s="301" t="str">
        <f>IF(B155="","",IF(ISNA(VLOOKUP($B155,'E-1 Off-Site Hedge Baseline'!$B$1:$L$257,5,FALSE)),"",(VLOOKUP($B155,'E-1 Off-Site Hedge Baseline'!$B$1:$L$257,5,FALSE))))</f>
        <v/>
      </c>
      <c r="F155" s="301" t="str">
        <f>IF(B155="","",IF(ISNA(VLOOKUP($B155,'E-1 Off-Site Hedge Baseline'!$B$1:$L$257,6,FALSE)),"",(VLOOKUP($B155,'E-1 Off-Site Hedge Baseline'!$B$1:$L$257,6,FALSE))))</f>
        <v/>
      </c>
      <c r="G155" s="301" t="str">
        <f>IF(B155="","",IF(ISNA(VLOOKUP($B155,'E-1 Off-Site Hedge Baseline'!$B$1:$L$257,7,FALSE)),"",(VLOOKUP($B155,'E-1 Off-Site Hedge Baseline'!$B$1:$L$257,7,FALSE))))</f>
        <v/>
      </c>
      <c r="H155" s="301" t="str">
        <f>IF(B155="","",IF(ISNA(VLOOKUP($B155,'E-1 Off-Site Hedge Baseline'!$B$1:$L$257,8,FALSE)),"",(VLOOKUP($B155,'E-1 Off-Site Hedge Baseline'!$B$1:$L$257,8,FALSE))))</f>
        <v/>
      </c>
      <c r="I155" s="301" t="str">
        <f>IF(B155="","",IF(ISNA(VLOOKUP($B155,'E-1 Off-Site Hedge Baseline'!$B$1:$L$257,10,FALSE)),"",(VLOOKUP($B155,'E-1 Off-Site Hedge Baseline'!$B$1:$L$257,10,FALSE))))</f>
        <v/>
      </c>
      <c r="J155" s="301" t="str">
        <f>IF(B155="","",IF(ISNA(VLOOKUP($B155,'E-1 Off-Site Hedge Baseline'!$B$1:$L$257,11,FALSE)),"",(VLOOKUP($B155,'E-1 Off-Site Hedge Baseline'!$B$1:$L$257,11,FALSE))))</f>
        <v/>
      </c>
      <c r="K155" s="301" t="str">
        <f>IF(B155="","",IF(ISNA(VLOOKUP($B155,'E-1 Off-Site Hedge Baseline'!$B$1:$X$257,16,FALSE)),"",(VLOOKUP($B155,'E-1 Off-Site Hedge Baseline'!$B$1:$X$257,16,FALSE))))</f>
        <v/>
      </c>
      <c r="L155" s="289" t="str">
        <f>IF(B155="","",IF(ISNA(VLOOKUP($B155,'E-1 Off-Site Hedge Baseline'!$B$1:$X$257,12,FALSE)),"",(VLOOKUP($B155,'E-1 Off-Site Hedge Baseline'!$B$1:$X$257,12,FALSE))))</f>
        <v/>
      </c>
      <c r="M155" s="250"/>
      <c r="N155" s="281" t="str">
        <f>IFERROR(IF(B155="","",INDEX('G-6 Hedgerow Data'!$AN$3:$AZ$15,MATCH(C155,'G-6 Hedgerow Data'!$AM$3:$AM$15,0),MATCH(M155,'G-6 Hedgerow Data'!$AN$2:$AZ$2,0))),"")</f>
        <v/>
      </c>
      <c r="O155" s="282" t="str">
        <f t="shared" si="17"/>
        <v/>
      </c>
      <c r="P155" s="287" t="str">
        <f>IF(B155="","",VLOOKUP(B155,'E-1 Off-Site Hedge Baseline'!$B$10:W400,19,FALSE))</f>
        <v/>
      </c>
      <c r="Q155" s="281" t="str">
        <f>IF(M155="","",VLOOKUP(M155,'G-6 Hedgerow Data'!$B$2:$AG$15,2,FALSE))</f>
        <v/>
      </c>
      <c r="R155" s="282" t="str">
        <f>IF(M155="","",VLOOKUP(M155,'G-6 Hedgerow Data'!$B$2:$AG$15,3,FALSE))</f>
        <v/>
      </c>
      <c r="S155" s="105"/>
      <c r="T155" s="282" t="str">
        <f>IFERROR(IF(S155="","",IF(AND(M155="Non-native and ornamental hedgerow", S155&lt;&gt;"Poor"),"Not possible ▲", (IF(AND(Q155="V.Low",OR(S155="Good",S155="Moderate")),"Error ▲",VLOOKUP(S155,'G-1 All Habitats'!$Z$2:$AA$9,2,FALSE))))),"")</f>
        <v/>
      </c>
      <c r="U155" s="105"/>
      <c r="V155" s="289" t="str">
        <f>IF(U155="","",IF(VLOOKUP(U155,'G-3 Multipliers'!$L$3:$N$6,2,FALSE)=0,"Spatial Data Missing ⚠",VLOOKUP(U155,'G-3 Multipliers'!$L$3:$N$6,2,FALSE)))</f>
        <v/>
      </c>
      <c r="W155" s="287" t="str">
        <f>IF(U155="","",IF(VLOOKUP(U155,'G-3 Multipliers'!$L$3:$N$6,3,FALSE)=0,"Spatial Data Missing ⚠",VLOOKUP(U155,'G-3 Multipliers'!$L$3:$N$6,3,FALSE)))</f>
        <v/>
      </c>
      <c r="X155" s="281" t="str">
        <f>IFERROR(IF(OR(LEFT(O155,5)="Error",LEFT(N155,5)="Error",T155="Error"),"Check Data ⚠",IF(F155&lt;R155,INDEX('G-6 Hedgerow Data'!$S$3:$AE$14,MATCH(C155,'G-6 Hedgerow Data'!$B$3:$B$14,0),MATCH(M155,'G-6 Hedgerow Data'!$S$2:$AE$2,0)),INDEX('G-6 Hedgerow Data'!$K$3:$Q$14,MATCH(M155,'G-6 Hedgerow Data'!$B$3:$B$14,0),MATCH(O155,'G-6 Hedgerow Data'!$K$2:$Q$2,0)))),"")</f>
        <v/>
      </c>
      <c r="Y155" s="137"/>
      <c r="Z155" s="137"/>
      <c r="AA155" s="289" t="str">
        <f t="shared" si="18"/>
        <v/>
      </c>
      <c r="AB155" s="302" t="str">
        <f t="shared" si="19"/>
        <v/>
      </c>
      <c r="AC155" s="303" t="str">
        <f t="shared" si="16"/>
        <v/>
      </c>
      <c r="AD155" s="317" t="str">
        <f>IF(M155="","",VLOOKUP(M155,'G-6 Hedgerow Data'!$B$3:$AG$15,31,FALSE))</f>
        <v/>
      </c>
      <c r="AE155" s="301" t="str">
        <f t="shared" si="20"/>
        <v/>
      </c>
      <c r="AF155" s="289" t="str">
        <f t="shared" si="21"/>
        <v/>
      </c>
      <c r="AG155" s="305" t="str">
        <f>IFERROR(IF(O155="","",VLOOKUP(AD155,'G-3 Multipliers'!$P$3:$Q$6,2,FALSE)),"")</f>
        <v/>
      </c>
      <c r="AH155" s="729" t="str">
        <f>IF(B155="","",IF(ISNA(VLOOKUP($B155,'E-1 Off-Site Hedge Baseline'!$B$1:$Z$257,14,FALSE)),"",(VLOOKUP($B155,'E-1 Off-Site Hedge Baseline'!$B$1:$Z$257,14,FALSE))))</f>
        <v/>
      </c>
      <c r="AI155" s="282" t="str">
        <f>IF(AH155="","",IF(VLOOKUP(AH155,'G-3 Multipliers'!$S$3:$T$10,2,FALSE)=0,"Spatial Data Missing ⚠",VLOOKUP(AH155,'G-3 Multipliers'!$S$3:$T$10,2,FALSE)))</f>
        <v/>
      </c>
      <c r="AJ155" s="323" t="str">
        <f t="shared" si="22"/>
        <v/>
      </c>
      <c r="AK155" s="295" t="str">
        <f t="shared" si="23"/>
        <v/>
      </c>
      <c r="AL155" s="105"/>
      <c r="AM155" s="119"/>
      <c r="AN155" s="108"/>
      <c r="AO155" s="108"/>
      <c r="AQ155" s="30" t="str">
        <f>IFERROR(INDEX('G-6 Hedgerow Data'!$BJ$3:$BJ$15,MATCH(M155,'G-6 Hedgerow Data'!$B$3:$B$15,0)),"")</f>
        <v/>
      </c>
    </row>
    <row r="156" spans="2:43" ht="13.8" x14ac:dyDescent="0.25">
      <c r="B156" s="311" t="str">
        <f>'E-1 Off-Site Hedge Baseline'!AN154</f>
        <v/>
      </c>
      <c r="C156" s="301" t="str">
        <f>IF(B156="","",IF(ISNA(VLOOKUP($B156,'E-1 Off-Site Hedge Baseline'!$B$1:$L$257,3,FALSE)),"",(VLOOKUP($B156,'E-1 Off-Site Hedge Baseline'!$B$1:$L$257,3,FALSE))))</f>
        <v/>
      </c>
      <c r="D156" s="301" t="str">
        <f>IF(B156="","",IF(ISNA(VLOOKUP($B156,'E-1 Off-Site Hedge Baseline'!$B$1:$L$258,4,FALSE)),"",(VLOOKUP($B156,'E-1 Off-Site Hedge Baseline'!$B$1:$L$258,4,FALSE))))</f>
        <v/>
      </c>
      <c r="E156" s="301" t="str">
        <f>IF(B156="","",IF(ISNA(VLOOKUP($B156,'E-1 Off-Site Hedge Baseline'!$B$1:$L$257,5,FALSE)),"",(VLOOKUP($B156,'E-1 Off-Site Hedge Baseline'!$B$1:$L$257,5,FALSE))))</f>
        <v/>
      </c>
      <c r="F156" s="301" t="str">
        <f>IF(B156="","",IF(ISNA(VLOOKUP($B156,'E-1 Off-Site Hedge Baseline'!$B$1:$L$257,6,FALSE)),"",(VLOOKUP($B156,'E-1 Off-Site Hedge Baseline'!$B$1:$L$257,6,FALSE))))</f>
        <v/>
      </c>
      <c r="G156" s="301" t="str">
        <f>IF(B156="","",IF(ISNA(VLOOKUP($B156,'E-1 Off-Site Hedge Baseline'!$B$1:$L$257,7,FALSE)),"",(VLOOKUP($B156,'E-1 Off-Site Hedge Baseline'!$B$1:$L$257,7,FALSE))))</f>
        <v/>
      </c>
      <c r="H156" s="301" t="str">
        <f>IF(B156="","",IF(ISNA(VLOOKUP($B156,'E-1 Off-Site Hedge Baseline'!$B$1:$L$257,8,FALSE)),"",(VLOOKUP($B156,'E-1 Off-Site Hedge Baseline'!$B$1:$L$257,8,FALSE))))</f>
        <v/>
      </c>
      <c r="I156" s="301" t="str">
        <f>IF(B156="","",IF(ISNA(VLOOKUP($B156,'E-1 Off-Site Hedge Baseline'!$B$1:$L$257,10,FALSE)),"",(VLOOKUP($B156,'E-1 Off-Site Hedge Baseline'!$B$1:$L$257,10,FALSE))))</f>
        <v/>
      </c>
      <c r="J156" s="301" t="str">
        <f>IF(B156="","",IF(ISNA(VLOOKUP($B156,'E-1 Off-Site Hedge Baseline'!$B$1:$L$257,11,FALSE)),"",(VLOOKUP($B156,'E-1 Off-Site Hedge Baseline'!$B$1:$L$257,11,FALSE))))</f>
        <v/>
      </c>
      <c r="K156" s="301" t="str">
        <f>IF(B156="","",IF(ISNA(VLOOKUP($B156,'E-1 Off-Site Hedge Baseline'!$B$1:$X$257,16,FALSE)),"",(VLOOKUP($B156,'E-1 Off-Site Hedge Baseline'!$B$1:$X$257,16,FALSE))))</f>
        <v/>
      </c>
      <c r="L156" s="289" t="str">
        <f>IF(B156="","",IF(ISNA(VLOOKUP($B156,'E-1 Off-Site Hedge Baseline'!$B$1:$X$257,12,FALSE)),"",(VLOOKUP($B156,'E-1 Off-Site Hedge Baseline'!$B$1:$X$257,12,FALSE))))</f>
        <v/>
      </c>
      <c r="M156" s="250"/>
      <c r="N156" s="281" t="str">
        <f>IFERROR(IF(B156="","",INDEX('G-6 Hedgerow Data'!$AN$3:$AZ$15,MATCH(C156,'G-6 Hedgerow Data'!$AM$3:$AM$15,0),MATCH(M156,'G-6 Hedgerow Data'!$AN$2:$AZ$2,0))),"")</f>
        <v/>
      </c>
      <c r="O156" s="282" t="str">
        <f t="shared" si="17"/>
        <v/>
      </c>
      <c r="P156" s="287" t="str">
        <f>IF(B156="","",VLOOKUP(B156,'E-1 Off-Site Hedge Baseline'!$B$10:W401,19,FALSE))</f>
        <v/>
      </c>
      <c r="Q156" s="281" t="str">
        <f>IF(M156="","",VLOOKUP(M156,'G-6 Hedgerow Data'!$B$2:$AG$15,2,FALSE))</f>
        <v/>
      </c>
      <c r="R156" s="282" t="str">
        <f>IF(M156="","",VLOOKUP(M156,'G-6 Hedgerow Data'!$B$2:$AG$15,3,FALSE))</f>
        <v/>
      </c>
      <c r="S156" s="105"/>
      <c r="T156" s="282" t="str">
        <f>IFERROR(IF(S156="","",IF(AND(M156="Non-native and ornamental hedgerow", S156&lt;&gt;"Poor"),"Not possible ▲", (IF(AND(Q156="V.Low",OR(S156="Good",S156="Moderate")),"Error ▲",VLOOKUP(S156,'G-1 All Habitats'!$Z$2:$AA$9,2,FALSE))))),"")</f>
        <v/>
      </c>
      <c r="U156" s="105"/>
      <c r="V156" s="289" t="str">
        <f>IF(U156="","",IF(VLOOKUP(U156,'G-3 Multipliers'!$L$3:$N$6,2,FALSE)=0,"Spatial Data Missing ⚠",VLOOKUP(U156,'G-3 Multipliers'!$L$3:$N$6,2,FALSE)))</f>
        <v/>
      </c>
      <c r="W156" s="287" t="str">
        <f>IF(U156="","",IF(VLOOKUP(U156,'G-3 Multipliers'!$L$3:$N$6,3,FALSE)=0,"Spatial Data Missing ⚠",VLOOKUP(U156,'G-3 Multipliers'!$L$3:$N$6,3,FALSE)))</f>
        <v/>
      </c>
      <c r="X156" s="281" t="str">
        <f>IFERROR(IF(OR(LEFT(O156,5)="Error",LEFT(N156,5)="Error",T156="Error"),"Check Data ⚠",IF(F156&lt;R156,INDEX('G-6 Hedgerow Data'!$S$3:$AE$14,MATCH(C156,'G-6 Hedgerow Data'!$B$3:$B$14,0),MATCH(M156,'G-6 Hedgerow Data'!$S$2:$AE$2,0)),INDEX('G-6 Hedgerow Data'!$K$3:$Q$14,MATCH(M156,'G-6 Hedgerow Data'!$B$3:$B$14,0),MATCH(O156,'G-6 Hedgerow Data'!$K$2:$Q$2,0)))),"")</f>
        <v/>
      </c>
      <c r="Y156" s="137"/>
      <c r="Z156" s="137"/>
      <c r="AA156" s="289" t="str">
        <f t="shared" si="18"/>
        <v/>
      </c>
      <c r="AB156" s="302" t="str">
        <f t="shared" si="19"/>
        <v/>
      </c>
      <c r="AC156" s="303" t="str">
        <f t="shared" si="16"/>
        <v/>
      </c>
      <c r="AD156" s="317" t="str">
        <f>IF(M156="","",VLOOKUP(M156,'G-6 Hedgerow Data'!$B$3:$AG$15,31,FALSE))</f>
        <v/>
      </c>
      <c r="AE156" s="301" t="str">
        <f t="shared" si="20"/>
        <v/>
      </c>
      <c r="AF156" s="289" t="str">
        <f t="shared" si="21"/>
        <v/>
      </c>
      <c r="AG156" s="305" t="str">
        <f>IFERROR(IF(O156="","",VLOOKUP(AD156,'G-3 Multipliers'!$P$3:$Q$6,2,FALSE)),"")</f>
        <v/>
      </c>
      <c r="AH156" s="729" t="str">
        <f>IF(B156="","",IF(ISNA(VLOOKUP($B156,'E-1 Off-Site Hedge Baseline'!$B$1:$Z$257,14,FALSE)),"",(VLOOKUP($B156,'E-1 Off-Site Hedge Baseline'!$B$1:$Z$257,14,FALSE))))</f>
        <v/>
      </c>
      <c r="AI156" s="282" t="str">
        <f>IF(AH156="","",IF(VLOOKUP(AH156,'G-3 Multipliers'!$S$3:$T$10,2,FALSE)=0,"Spatial Data Missing ⚠",VLOOKUP(AH156,'G-3 Multipliers'!$S$3:$T$10,2,FALSE)))</f>
        <v/>
      </c>
      <c r="AJ156" s="323" t="str">
        <f t="shared" si="22"/>
        <v/>
      </c>
      <c r="AK156" s="295" t="str">
        <f t="shared" si="23"/>
        <v/>
      </c>
      <c r="AL156" s="105"/>
      <c r="AM156" s="119"/>
      <c r="AN156" s="108"/>
      <c r="AO156" s="108"/>
      <c r="AQ156" s="30" t="str">
        <f>IFERROR(INDEX('G-6 Hedgerow Data'!$BJ$3:$BJ$15,MATCH(M156,'G-6 Hedgerow Data'!$B$3:$B$15,0)),"")</f>
        <v/>
      </c>
    </row>
    <row r="157" spans="2:43" ht="13.8" x14ac:dyDescent="0.25">
      <c r="B157" s="311" t="str">
        <f>'E-1 Off-Site Hedge Baseline'!AN155</f>
        <v/>
      </c>
      <c r="C157" s="301" t="str">
        <f>IF(B157="","",IF(ISNA(VLOOKUP($B157,'E-1 Off-Site Hedge Baseline'!$B$1:$L$257,3,FALSE)),"",(VLOOKUP($B157,'E-1 Off-Site Hedge Baseline'!$B$1:$L$257,3,FALSE))))</f>
        <v/>
      </c>
      <c r="D157" s="301" t="str">
        <f>IF(B157="","",IF(ISNA(VLOOKUP($B157,'E-1 Off-Site Hedge Baseline'!$B$1:$L$258,4,FALSE)),"",(VLOOKUP($B157,'E-1 Off-Site Hedge Baseline'!$B$1:$L$258,4,FALSE))))</f>
        <v/>
      </c>
      <c r="E157" s="301" t="str">
        <f>IF(B157="","",IF(ISNA(VLOOKUP($B157,'E-1 Off-Site Hedge Baseline'!$B$1:$L$257,5,FALSE)),"",(VLOOKUP($B157,'E-1 Off-Site Hedge Baseline'!$B$1:$L$257,5,FALSE))))</f>
        <v/>
      </c>
      <c r="F157" s="301" t="str">
        <f>IF(B157="","",IF(ISNA(VLOOKUP($B157,'E-1 Off-Site Hedge Baseline'!$B$1:$L$257,6,FALSE)),"",(VLOOKUP($B157,'E-1 Off-Site Hedge Baseline'!$B$1:$L$257,6,FALSE))))</f>
        <v/>
      </c>
      <c r="G157" s="301" t="str">
        <f>IF(B157="","",IF(ISNA(VLOOKUP($B157,'E-1 Off-Site Hedge Baseline'!$B$1:$L$257,7,FALSE)),"",(VLOOKUP($B157,'E-1 Off-Site Hedge Baseline'!$B$1:$L$257,7,FALSE))))</f>
        <v/>
      </c>
      <c r="H157" s="301" t="str">
        <f>IF(B157="","",IF(ISNA(VLOOKUP($B157,'E-1 Off-Site Hedge Baseline'!$B$1:$L$257,8,FALSE)),"",(VLOOKUP($B157,'E-1 Off-Site Hedge Baseline'!$B$1:$L$257,8,FALSE))))</f>
        <v/>
      </c>
      <c r="I157" s="301" t="str">
        <f>IF(B157="","",IF(ISNA(VLOOKUP($B157,'E-1 Off-Site Hedge Baseline'!$B$1:$L$257,10,FALSE)),"",(VLOOKUP($B157,'E-1 Off-Site Hedge Baseline'!$B$1:$L$257,10,FALSE))))</f>
        <v/>
      </c>
      <c r="J157" s="301" t="str">
        <f>IF(B157="","",IF(ISNA(VLOOKUP($B157,'E-1 Off-Site Hedge Baseline'!$B$1:$L$257,11,FALSE)),"",(VLOOKUP($B157,'E-1 Off-Site Hedge Baseline'!$B$1:$L$257,11,FALSE))))</f>
        <v/>
      </c>
      <c r="K157" s="301" t="str">
        <f>IF(B157="","",IF(ISNA(VLOOKUP($B157,'E-1 Off-Site Hedge Baseline'!$B$1:$X$257,16,FALSE)),"",(VLOOKUP($B157,'E-1 Off-Site Hedge Baseline'!$B$1:$X$257,16,FALSE))))</f>
        <v/>
      </c>
      <c r="L157" s="289" t="str">
        <f>IF(B157="","",IF(ISNA(VLOOKUP($B157,'E-1 Off-Site Hedge Baseline'!$B$1:$X$257,12,FALSE)),"",(VLOOKUP($B157,'E-1 Off-Site Hedge Baseline'!$B$1:$X$257,12,FALSE))))</f>
        <v/>
      </c>
      <c r="M157" s="250"/>
      <c r="N157" s="281" t="str">
        <f>IFERROR(IF(B157="","",INDEX('G-6 Hedgerow Data'!$AN$3:$AZ$15,MATCH(C157,'G-6 Hedgerow Data'!$AM$3:$AM$15,0),MATCH(M157,'G-6 Hedgerow Data'!$AN$2:$AZ$2,0))),"")</f>
        <v/>
      </c>
      <c r="O157" s="282" t="str">
        <f t="shared" si="17"/>
        <v/>
      </c>
      <c r="P157" s="287" t="str">
        <f>IF(B157="","",VLOOKUP(B157,'E-1 Off-Site Hedge Baseline'!$B$10:W402,19,FALSE))</f>
        <v/>
      </c>
      <c r="Q157" s="281" t="str">
        <f>IF(M157="","",VLOOKUP(M157,'G-6 Hedgerow Data'!$B$2:$AG$15,2,FALSE))</f>
        <v/>
      </c>
      <c r="R157" s="282" t="str">
        <f>IF(M157="","",VLOOKUP(M157,'G-6 Hedgerow Data'!$B$2:$AG$15,3,FALSE))</f>
        <v/>
      </c>
      <c r="S157" s="105"/>
      <c r="T157" s="282" t="str">
        <f>IFERROR(IF(S157="","",IF(AND(M157="Non-native and ornamental hedgerow", S157&lt;&gt;"Poor"),"Not possible ▲", (IF(AND(Q157="V.Low",OR(S157="Good",S157="Moderate")),"Error ▲",VLOOKUP(S157,'G-1 All Habitats'!$Z$2:$AA$9,2,FALSE))))),"")</f>
        <v/>
      </c>
      <c r="U157" s="105"/>
      <c r="V157" s="289" t="str">
        <f>IF(U157="","",IF(VLOOKUP(U157,'G-3 Multipliers'!$L$3:$N$6,2,FALSE)=0,"Spatial Data Missing ⚠",VLOOKUP(U157,'G-3 Multipliers'!$L$3:$N$6,2,FALSE)))</f>
        <v/>
      </c>
      <c r="W157" s="287" t="str">
        <f>IF(U157="","",IF(VLOOKUP(U157,'G-3 Multipliers'!$L$3:$N$6,3,FALSE)=0,"Spatial Data Missing ⚠",VLOOKUP(U157,'G-3 Multipliers'!$L$3:$N$6,3,FALSE)))</f>
        <v/>
      </c>
      <c r="X157" s="281" t="str">
        <f>IFERROR(IF(OR(LEFT(O157,5)="Error",LEFT(N157,5)="Error",T157="Error"),"Check Data ⚠",IF(F157&lt;R157,INDEX('G-6 Hedgerow Data'!$S$3:$AE$14,MATCH(C157,'G-6 Hedgerow Data'!$B$3:$B$14,0),MATCH(M157,'G-6 Hedgerow Data'!$S$2:$AE$2,0)),INDEX('G-6 Hedgerow Data'!$K$3:$Q$14,MATCH(M157,'G-6 Hedgerow Data'!$B$3:$B$14,0),MATCH(O157,'G-6 Hedgerow Data'!$K$2:$Q$2,0)))),"")</f>
        <v/>
      </c>
      <c r="Y157" s="137"/>
      <c r="Z157" s="137"/>
      <c r="AA157" s="289" t="str">
        <f t="shared" si="18"/>
        <v/>
      </c>
      <c r="AB157" s="302" t="str">
        <f t="shared" si="19"/>
        <v/>
      </c>
      <c r="AC157" s="303" t="str">
        <f t="shared" si="16"/>
        <v/>
      </c>
      <c r="AD157" s="317" t="str">
        <f>IF(M157="","",VLOOKUP(M157,'G-6 Hedgerow Data'!$B$3:$AG$15,31,FALSE))</f>
        <v/>
      </c>
      <c r="AE157" s="301" t="str">
        <f t="shared" si="20"/>
        <v/>
      </c>
      <c r="AF157" s="289" t="str">
        <f t="shared" si="21"/>
        <v/>
      </c>
      <c r="AG157" s="305" t="str">
        <f>IFERROR(IF(O157="","",VLOOKUP(AD157,'G-3 Multipliers'!$P$3:$Q$6,2,FALSE)),"")</f>
        <v/>
      </c>
      <c r="AH157" s="729" t="str">
        <f>IF(B157="","",IF(ISNA(VLOOKUP($B157,'E-1 Off-Site Hedge Baseline'!$B$1:$Z$257,14,FALSE)),"",(VLOOKUP($B157,'E-1 Off-Site Hedge Baseline'!$B$1:$Z$257,14,FALSE))))</f>
        <v/>
      </c>
      <c r="AI157" s="282" t="str">
        <f>IF(AH157="","",IF(VLOOKUP(AH157,'G-3 Multipliers'!$S$3:$T$10,2,FALSE)=0,"Spatial Data Missing ⚠",VLOOKUP(AH157,'G-3 Multipliers'!$S$3:$T$10,2,FALSE)))</f>
        <v/>
      </c>
      <c r="AJ157" s="323" t="str">
        <f t="shared" si="22"/>
        <v/>
      </c>
      <c r="AK157" s="295" t="str">
        <f t="shared" si="23"/>
        <v/>
      </c>
      <c r="AL157" s="105"/>
      <c r="AM157" s="119"/>
      <c r="AN157" s="108"/>
      <c r="AO157" s="108"/>
      <c r="AQ157" s="30" t="str">
        <f>IFERROR(INDEX('G-6 Hedgerow Data'!$BJ$3:$BJ$15,MATCH(M157,'G-6 Hedgerow Data'!$B$3:$B$15,0)),"")</f>
        <v/>
      </c>
    </row>
    <row r="158" spans="2:43" ht="13.8" x14ac:dyDescent="0.25">
      <c r="B158" s="311" t="str">
        <f>'E-1 Off-Site Hedge Baseline'!AN156</f>
        <v/>
      </c>
      <c r="C158" s="301" t="str">
        <f>IF(B158="","",IF(ISNA(VLOOKUP($B158,'E-1 Off-Site Hedge Baseline'!$B$1:$L$257,3,FALSE)),"",(VLOOKUP($B158,'E-1 Off-Site Hedge Baseline'!$B$1:$L$257,3,FALSE))))</f>
        <v/>
      </c>
      <c r="D158" s="301" t="str">
        <f>IF(B158="","",IF(ISNA(VLOOKUP($B158,'E-1 Off-Site Hedge Baseline'!$B$1:$L$258,4,FALSE)),"",(VLOOKUP($B158,'E-1 Off-Site Hedge Baseline'!$B$1:$L$258,4,FALSE))))</f>
        <v/>
      </c>
      <c r="E158" s="301" t="str">
        <f>IF(B158="","",IF(ISNA(VLOOKUP($B158,'E-1 Off-Site Hedge Baseline'!$B$1:$L$257,5,FALSE)),"",(VLOOKUP($B158,'E-1 Off-Site Hedge Baseline'!$B$1:$L$257,5,FALSE))))</f>
        <v/>
      </c>
      <c r="F158" s="301" t="str">
        <f>IF(B158="","",IF(ISNA(VLOOKUP($B158,'E-1 Off-Site Hedge Baseline'!$B$1:$L$257,6,FALSE)),"",(VLOOKUP($B158,'E-1 Off-Site Hedge Baseline'!$B$1:$L$257,6,FALSE))))</f>
        <v/>
      </c>
      <c r="G158" s="301" t="str">
        <f>IF(B158="","",IF(ISNA(VLOOKUP($B158,'E-1 Off-Site Hedge Baseline'!$B$1:$L$257,7,FALSE)),"",(VLOOKUP($B158,'E-1 Off-Site Hedge Baseline'!$B$1:$L$257,7,FALSE))))</f>
        <v/>
      </c>
      <c r="H158" s="301" t="str">
        <f>IF(B158="","",IF(ISNA(VLOOKUP($B158,'E-1 Off-Site Hedge Baseline'!$B$1:$L$257,8,FALSE)),"",(VLOOKUP($B158,'E-1 Off-Site Hedge Baseline'!$B$1:$L$257,8,FALSE))))</f>
        <v/>
      </c>
      <c r="I158" s="301" t="str">
        <f>IF(B158="","",IF(ISNA(VLOOKUP($B158,'E-1 Off-Site Hedge Baseline'!$B$1:$L$257,10,FALSE)),"",(VLOOKUP($B158,'E-1 Off-Site Hedge Baseline'!$B$1:$L$257,10,FALSE))))</f>
        <v/>
      </c>
      <c r="J158" s="301" t="str">
        <f>IF(B158="","",IF(ISNA(VLOOKUP($B158,'E-1 Off-Site Hedge Baseline'!$B$1:$L$257,11,FALSE)),"",(VLOOKUP($B158,'E-1 Off-Site Hedge Baseline'!$B$1:$L$257,11,FALSE))))</f>
        <v/>
      </c>
      <c r="K158" s="301" t="str">
        <f>IF(B158="","",IF(ISNA(VLOOKUP($B158,'E-1 Off-Site Hedge Baseline'!$B$1:$X$257,16,FALSE)),"",(VLOOKUP($B158,'E-1 Off-Site Hedge Baseline'!$B$1:$X$257,16,FALSE))))</f>
        <v/>
      </c>
      <c r="L158" s="289" t="str">
        <f>IF(B158="","",IF(ISNA(VLOOKUP($B158,'E-1 Off-Site Hedge Baseline'!$B$1:$X$257,12,FALSE)),"",(VLOOKUP($B158,'E-1 Off-Site Hedge Baseline'!$B$1:$X$257,12,FALSE))))</f>
        <v/>
      </c>
      <c r="M158" s="250"/>
      <c r="N158" s="281" t="str">
        <f>IFERROR(IF(B158="","",INDEX('G-6 Hedgerow Data'!$AN$3:$AZ$15,MATCH(C158,'G-6 Hedgerow Data'!$AM$3:$AM$15,0),MATCH(M158,'G-6 Hedgerow Data'!$AN$2:$AZ$2,0))),"")</f>
        <v/>
      </c>
      <c r="O158" s="282" t="str">
        <f t="shared" si="17"/>
        <v/>
      </c>
      <c r="P158" s="287" t="str">
        <f>IF(B158="","",VLOOKUP(B158,'E-1 Off-Site Hedge Baseline'!$B$10:W403,19,FALSE))</f>
        <v/>
      </c>
      <c r="Q158" s="281" t="str">
        <f>IF(M158="","",VLOOKUP(M158,'G-6 Hedgerow Data'!$B$2:$AG$15,2,FALSE))</f>
        <v/>
      </c>
      <c r="R158" s="282" t="str">
        <f>IF(M158="","",VLOOKUP(M158,'G-6 Hedgerow Data'!$B$2:$AG$15,3,FALSE))</f>
        <v/>
      </c>
      <c r="S158" s="105"/>
      <c r="T158" s="282" t="str">
        <f>IFERROR(IF(S158="","",IF(AND(M158="Non-native and ornamental hedgerow", S158&lt;&gt;"Poor"),"Not possible ▲", (IF(AND(Q158="V.Low",OR(S158="Good",S158="Moderate")),"Error ▲",VLOOKUP(S158,'G-1 All Habitats'!$Z$2:$AA$9,2,FALSE))))),"")</f>
        <v/>
      </c>
      <c r="U158" s="105"/>
      <c r="V158" s="289" t="str">
        <f>IF(U158="","",IF(VLOOKUP(U158,'G-3 Multipliers'!$L$3:$N$6,2,FALSE)=0,"Spatial Data Missing ⚠",VLOOKUP(U158,'G-3 Multipliers'!$L$3:$N$6,2,FALSE)))</f>
        <v/>
      </c>
      <c r="W158" s="287" t="str">
        <f>IF(U158="","",IF(VLOOKUP(U158,'G-3 Multipliers'!$L$3:$N$6,3,FALSE)=0,"Spatial Data Missing ⚠",VLOOKUP(U158,'G-3 Multipliers'!$L$3:$N$6,3,FALSE)))</f>
        <v/>
      </c>
      <c r="X158" s="281" t="str">
        <f>IFERROR(IF(OR(LEFT(O158,5)="Error",LEFT(N158,5)="Error",T158="Error"),"Check Data ⚠",IF(F158&lt;R158,INDEX('G-6 Hedgerow Data'!$S$3:$AE$14,MATCH(C158,'G-6 Hedgerow Data'!$B$3:$B$14,0),MATCH(M158,'G-6 Hedgerow Data'!$S$2:$AE$2,0)),INDEX('G-6 Hedgerow Data'!$K$3:$Q$14,MATCH(M158,'G-6 Hedgerow Data'!$B$3:$B$14,0),MATCH(O158,'G-6 Hedgerow Data'!$K$2:$Q$2,0)))),"")</f>
        <v/>
      </c>
      <c r="Y158" s="137"/>
      <c r="Z158" s="137"/>
      <c r="AA158" s="289" t="str">
        <f t="shared" si="18"/>
        <v/>
      </c>
      <c r="AB158" s="302" t="str">
        <f t="shared" si="19"/>
        <v/>
      </c>
      <c r="AC158" s="303" t="str">
        <f t="shared" si="16"/>
        <v/>
      </c>
      <c r="AD158" s="317" t="str">
        <f>IF(M158="","",VLOOKUP(M158,'G-6 Hedgerow Data'!$B$3:$AG$15,31,FALSE))</f>
        <v/>
      </c>
      <c r="AE158" s="301" t="str">
        <f t="shared" si="20"/>
        <v/>
      </c>
      <c r="AF158" s="289" t="str">
        <f t="shared" si="21"/>
        <v/>
      </c>
      <c r="AG158" s="305" t="str">
        <f>IFERROR(IF(O158="","",VLOOKUP(AD158,'G-3 Multipliers'!$P$3:$Q$6,2,FALSE)),"")</f>
        <v/>
      </c>
      <c r="AH158" s="729" t="str">
        <f>IF(B158="","",IF(ISNA(VLOOKUP($B158,'E-1 Off-Site Hedge Baseline'!$B$1:$Z$257,14,FALSE)),"",(VLOOKUP($B158,'E-1 Off-Site Hedge Baseline'!$B$1:$Z$257,14,FALSE))))</f>
        <v/>
      </c>
      <c r="AI158" s="282" t="str">
        <f>IF(AH158="","",IF(VLOOKUP(AH158,'G-3 Multipliers'!$S$3:$T$10,2,FALSE)=0,"Spatial Data Missing ⚠",VLOOKUP(AH158,'G-3 Multipliers'!$S$3:$T$10,2,FALSE)))</f>
        <v/>
      </c>
      <c r="AJ158" s="323" t="str">
        <f t="shared" si="22"/>
        <v/>
      </c>
      <c r="AK158" s="295" t="str">
        <f t="shared" si="23"/>
        <v/>
      </c>
      <c r="AL158" s="105"/>
      <c r="AM158" s="119"/>
      <c r="AN158" s="108"/>
      <c r="AO158" s="108"/>
      <c r="AQ158" s="30" t="str">
        <f>IFERROR(INDEX('G-6 Hedgerow Data'!$BJ$3:$BJ$15,MATCH(M158,'G-6 Hedgerow Data'!$B$3:$B$15,0)),"")</f>
        <v/>
      </c>
    </row>
    <row r="159" spans="2:43" ht="13.8" x14ac:dyDescent="0.25">
      <c r="B159" s="311" t="str">
        <f>'E-1 Off-Site Hedge Baseline'!AN157</f>
        <v/>
      </c>
      <c r="C159" s="301" t="str">
        <f>IF(B159="","",IF(ISNA(VLOOKUP($B159,'E-1 Off-Site Hedge Baseline'!$B$1:$L$257,3,FALSE)),"",(VLOOKUP($B159,'E-1 Off-Site Hedge Baseline'!$B$1:$L$257,3,FALSE))))</f>
        <v/>
      </c>
      <c r="D159" s="301" t="str">
        <f>IF(B159="","",IF(ISNA(VLOOKUP($B159,'E-1 Off-Site Hedge Baseline'!$B$1:$L$258,4,FALSE)),"",(VLOOKUP($B159,'E-1 Off-Site Hedge Baseline'!$B$1:$L$258,4,FALSE))))</f>
        <v/>
      </c>
      <c r="E159" s="301" t="str">
        <f>IF(B159="","",IF(ISNA(VLOOKUP($B159,'E-1 Off-Site Hedge Baseline'!$B$1:$L$257,5,FALSE)),"",(VLOOKUP($B159,'E-1 Off-Site Hedge Baseline'!$B$1:$L$257,5,FALSE))))</f>
        <v/>
      </c>
      <c r="F159" s="301" t="str">
        <f>IF(B159="","",IF(ISNA(VLOOKUP($B159,'E-1 Off-Site Hedge Baseline'!$B$1:$L$257,6,FALSE)),"",(VLOOKUP($B159,'E-1 Off-Site Hedge Baseline'!$B$1:$L$257,6,FALSE))))</f>
        <v/>
      </c>
      <c r="G159" s="301" t="str">
        <f>IF(B159="","",IF(ISNA(VLOOKUP($B159,'E-1 Off-Site Hedge Baseline'!$B$1:$L$257,7,FALSE)),"",(VLOOKUP($B159,'E-1 Off-Site Hedge Baseline'!$B$1:$L$257,7,FALSE))))</f>
        <v/>
      </c>
      <c r="H159" s="301" t="str">
        <f>IF(B159="","",IF(ISNA(VLOOKUP($B159,'E-1 Off-Site Hedge Baseline'!$B$1:$L$257,8,FALSE)),"",(VLOOKUP($B159,'E-1 Off-Site Hedge Baseline'!$B$1:$L$257,8,FALSE))))</f>
        <v/>
      </c>
      <c r="I159" s="301" t="str">
        <f>IF(B159="","",IF(ISNA(VLOOKUP($B159,'E-1 Off-Site Hedge Baseline'!$B$1:$L$257,10,FALSE)),"",(VLOOKUP($B159,'E-1 Off-Site Hedge Baseline'!$B$1:$L$257,10,FALSE))))</f>
        <v/>
      </c>
      <c r="J159" s="301" t="str">
        <f>IF(B159="","",IF(ISNA(VLOOKUP($B159,'E-1 Off-Site Hedge Baseline'!$B$1:$L$257,11,FALSE)),"",(VLOOKUP($B159,'E-1 Off-Site Hedge Baseline'!$B$1:$L$257,11,FALSE))))</f>
        <v/>
      </c>
      <c r="K159" s="301" t="str">
        <f>IF(B159="","",IF(ISNA(VLOOKUP($B159,'E-1 Off-Site Hedge Baseline'!$B$1:$X$257,16,FALSE)),"",(VLOOKUP($B159,'E-1 Off-Site Hedge Baseline'!$B$1:$X$257,16,FALSE))))</f>
        <v/>
      </c>
      <c r="L159" s="289" t="str">
        <f>IF(B159="","",IF(ISNA(VLOOKUP($B159,'E-1 Off-Site Hedge Baseline'!$B$1:$X$257,12,FALSE)),"",(VLOOKUP($B159,'E-1 Off-Site Hedge Baseline'!$B$1:$X$257,12,FALSE))))</f>
        <v/>
      </c>
      <c r="M159" s="250"/>
      <c r="N159" s="281" t="str">
        <f>IFERROR(IF(B159="","",INDEX('G-6 Hedgerow Data'!$AN$3:$AZ$15,MATCH(C159,'G-6 Hedgerow Data'!$AM$3:$AM$15,0),MATCH(M159,'G-6 Hedgerow Data'!$AN$2:$AZ$2,0))),"")</f>
        <v/>
      </c>
      <c r="O159" s="282" t="str">
        <f t="shared" si="17"/>
        <v/>
      </c>
      <c r="P159" s="287" t="str">
        <f>IF(B159="","",VLOOKUP(B159,'E-1 Off-Site Hedge Baseline'!$B$10:W404,19,FALSE))</f>
        <v/>
      </c>
      <c r="Q159" s="281" t="str">
        <f>IF(M159="","",VLOOKUP(M159,'G-6 Hedgerow Data'!$B$2:$AG$15,2,FALSE))</f>
        <v/>
      </c>
      <c r="R159" s="282" t="str">
        <f>IF(M159="","",VLOOKUP(M159,'G-6 Hedgerow Data'!$B$2:$AG$15,3,FALSE))</f>
        <v/>
      </c>
      <c r="S159" s="105"/>
      <c r="T159" s="282" t="str">
        <f>IFERROR(IF(S159="","",IF(AND(M159="Non-native and ornamental hedgerow", S159&lt;&gt;"Poor"),"Not possible ▲", (IF(AND(Q159="V.Low",OR(S159="Good",S159="Moderate")),"Error ▲",VLOOKUP(S159,'G-1 All Habitats'!$Z$2:$AA$9,2,FALSE))))),"")</f>
        <v/>
      </c>
      <c r="U159" s="105"/>
      <c r="V159" s="289" t="str">
        <f>IF(U159="","",IF(VLOOKUP(U159,'G-3 Multipliers'!$L$3:$N$6,2,FALSE)=0,"Spatial Data Missing ⚠",VLOOKUP(U159,'G-3 Multipliers'!$L$3:$N$6,2,FALSE)))</f>
        <v/>
      </c>
      <c r="W159" s="287" t="str">
        <f>IF(U159="","",IF(VLOOKUP(U159,'G-3 Multipliers'!$L$3:$N$6,3,FALSE)=0,"Spatial Data Missing ⚠",VLOOKUP(U159,'G-3 Multipliers'!$L$3:$N$6,3,FALSE)))</f>
        <v/>
      </c>
      <c r="X159" s="281" t="str">
        <f>IFERROR(IF(OR(LEFT(O159,5)="Error",LEFT(N159,5)="Error",T159="Error"),"Check Data ⚠",IF(F159&lt;R159,INDEX('G-6 Hedgerow Data'!$S$3:$AE$14,MATCH(C159,'G-6 Hedgerow Data'!$B$3:$B$14,0),MATCH(M159,'G-6 Hedgerow Data'!$S$2:$AE$2,0)),INDEX('G-6 Hedgerow Data'!$K$3:$Q$14,MATCH(M159,'G-6 Hedgerow Data'!$B$3:$B$14,0),MATCH(O159,'G-6 Hedgerow Data'!$K$2:$Q$2,0)))),"")</f>
        <v/>
      </c>
      <c r="Y159" s="137"/>
      <c r="Z159" s="137"/>
      <c r="AA159" s="289" t="str">
        <f t="shared" si="18"/>
        <v/>
      </c>
      <c r="AB159" s="302" t="str">
        <f t="shared" si="19"/>
        <v/>
      </c>
      <c r="AC159" s="303" t="str">
        <f t="shared" si="16"/>
        <v/>
      </c>
      <c r="AD159" s="317" t="str">
        <f>IF(M159="","",VLOOKUP(M159,'G-6 Hedgerow Data'!$B$3:$AG$15,31,FALSE))</f>
        <v/>
      </c>
      <c r="AE159" s="301" t="str">
        <f t="shared" si="20"/>
        <v/>
      </c>
      <c r="AF159" s="289" t="str">
        <f t="shared" si="21"/>
        <v/>
      </c>
      <c r="AG159" s="305" t="str">
        <f>IFERROR(IF(O159="","",VLOOKUP(AD159,'G-3 Multipliers'!$P$3:$Q$6,2,FALSE)),"")</f>
        <v/>
      </c>
      <c r="AH159" s="729" t="str">
        <f>IF(B159="","",IF(ISNA(VLOOKUP($B159,'E-1 Off-Site Hedge Baseline'!$B$1:$Z$257,14,FALSE)),"",(VLOOKUP($B159,'E-1 Off-Site Hedge Baseline'!$B$1:$Z$257,14,FALSE))))</f>
        <v/>
      </c>
      <c r="AI159" s="282" t="str">
        <f>IF(AH159="","",IF(VLOOKUP(AH159,'G-3 Multipliers'!$S$3:$T$10,2,FALSE)=0,"Spatial Data Missing ⚠",VLOOKUP(AH159,'G-3 Multipliers'!$S$3:$T$10,2,FALSE)))</f>
        <v/>
      </c>
      <c r="AJ159" s="323" t="str">
        <f t="shared" si="22"/>
        <v/>
      </c>
      <c r="AK159" s="295" t="str">
        <f t="shared" si="23"/>
        <v/>
      </c>
      <c r="AL159" s="105"/>
      <c r="AM159" s="119"/>
      <c r="AN159" s="108"/>
      <c r="AO159" s="108"/>
      <c r="AQ159" s="30" t="str">
        <f>IFERROR(INDEX('G-6 Hedgerow Data'!$BJ$3:$BJ$15,MATCH(M159,'G-6 Hedgerow Data'!$B$3:$B$15,0)),"")</f>
        <v/>
      </c>
    </row>
    <row r="160" spans="2:43" ht="13.8" x14ac:dyDescent="0.25">
      <c r="B160" s="311" t="str">
        <f>'E-1 Off-Site Hedge Baseline'!AN158</f>
        <v/>
      </c>
      <c r="C160" s="301" t="str">
        <f>IF(B160="","",IF(ISNA(VLOOKUP($B160,'E-1 Off-Site Hedge Baseline'!$B$1:$L$257,3,FALSE)),"",(VLOOKUP($B160,'E-1 Off-Site Hedge Baseline'!$B$1:$L$257,3,FALSE))))</f>
        <v/>
      </c>
      <c r="D160" s="301" t="str">
        <f>IF(B160="","",IF(ISNA(VLOOKUP($B160,'E-1 Off-Site Hedge Baseline'!$B$1:$L$258,4,FALSE)),"",(VLOOKUP($B160,'E-1 Off-Site Hedge Baseline'!$B$1:$L$258,4,FALSE))))</f>
        <v/>
      </c>
      <c r="E160" s="301" t="str">
        <f>IF(B160="","",IF(ISNA(VLOOKUP($B160,'E-1 Off-Site Hedge Baseline'!$B$1:$L$257,5,FALSE)),"",(VLOOKUP($B160,'E-1 Off-Site Hedge Baseline'!$B$1:$L$257,5,FALSE))))</f>
        <v/>
      </c>
      <c r="F160" s="301" t="str">
        <f>IF(B160="","",IF(ISNA(VLOOKUP($B160,'E-1 Off-Site Hedge Baseline'!$B$1:$L$257,6,FALSE)),"",(VLOOKUP($B160,'E-1 Off-Site Hedge Baseline'!$B$1:$L$257,6,FALSE))))</f>
        <v/>
      </c>
      <c r="G160" s="301" t="str">
        <f>IF(B160="","",IF(ISNA(VLOOKUP($B160,'E-1 Off-Site Hedge Baseline'!$B$1:$L$257,7,FALSE)),"",(VLOOKUP($B160,'E-1 Off-Site Hedge Baseline'!$B$1:$L$257,7,FALSE))))</f>
        <v/>
      </c>
      <c r="H160" s="301" t="str">
        <f>IF(B160="","",IF(ISNA(VLOOKUP($B160,'E-1 Off-Site Hedge Baseline'!$B$1:$L$257,8,FALSE)),"",(VLOOKUP($B160,'E-1 Off-Site Hedge Baseline'!$B$1:$L$257,8,FALSE))))</f>
        <v/>
      </c>
      <c r="I160" s="301" t="str">
        <f>IF(B160="","",IF(ISNA(VLOOKUP($B160,'E-1 Off-Site Hedge Baseline'!$B$1:$L$257,10,FALSE)),"",(VLOOKUP($B160,'E-1 Off-Site Hedge Baseline'!$B$1:$L$257,10,FALSE))))</f>
        <v/>
      </c>
      <c r="J160" s="301" t="str">
        <f>IF(B160="","",IF(ISNA(VLOOKUP($B160,'E-1 Off-Site Hedge Baseline'!$B$1:$L$257,11,FALSE)),"",(VLOOKUP($B160,'E-1 Off-Site Hedge Baseline'!$B$1:$L$257,11,FALSE))))</f>
        <v/>
      </c>
      <c r="K160" s="301" t="str">
        <f>IF(B160="","",IF(ISNA(VLOOKUP($B160,'E-1 Off-Site Hedge Baseline'!$B$1:$X$257,16,FALSE)),"",(VLOOKUP($B160,'E-1 Off-Site Hedge Baseline'!$B$1:$X$257,16,FALSE))))</f>
        <v/>
      </c>
      <c r="L160" s="289" t="str">
        <f>IF(B160="","",IF(ISNA(VLOOKUP($B160,'E-1 Off-Site Hedge Baseline'!$B$1:$X$257,12,FALSE)),"",(VLOOKUP($B160,'E-1 Off-Site Hedge Baseline'!$B$1:$X$257,12,FALSE))))</f>
        <v/>
      </c>
      <c r="M160" s="250"/>
      <c r="N160" s="281" t="str">
        <f>IFERROR(IF(B160="","",INDEX('G-6 Hedgerow Data'!$AN$3:$AZ$15,MATCH(C160,'G-6 Hedgerow Data'!$AM$3:$AM$15,0),MATCH(M160,'G-6 Hedgerow Data'!$AN$2:$AZ$2,0))),"")</f>
        <v/>
      </c>
      <c r="O160" s="282" t="str">
        <f t="shared" si="17"/>
        <v/>
      </c>
      <c r="P160" s="287" t="str">
        <f>IF(B160="","",VLOOKUP(B160,'E-1 Off-Site Hedge Baseline'!$B$10:W405,19,FALSE))</f>
        <v/>
      </c>
      <c r="Q160" s="281" t="str">
        <f>IF(M160="","",VLOOKUP(M160,'G-6 Hedgerow Data'!$B$2:$AG$15,2,FALSE))</f>
        <v/>
      </c>
      <c r="R160" s="282" t="str">
        <f>IF(M160="","",VLOOKUP(M160,'G-6 Hedgerow Data'!$B$2:$AG$15,3,FALSE))</f>
        <v/>
      </c>
      <c r="S160" s="105"/>
      <c r="T160" s="282" t="str">
        <f>IFERROR(IF(S160="","",IF(AND(M160="Non-native and ornamental hedgerow", S160&lt;&gt;"Poor"),"Not possible ▲", (IF(AND(Q160="V.Low",OR(S160="Good",S160="Moderate")),"Error ▲",VLOOKUP(S160,'G-1 All Habitats'!$Z$2:$AA$9,2,FALSE))))),"")</f>
        <v/>
      </c>
      <c r="U160" s="105"/>
      <c r="V160" s="289" t="str">
        <f>IF(U160="","",IF(VLOOKUP(U160,'G-3 Multipliers'!$L$3:$N$6,2,FALSE)=0,"Spatial Data Missing ⚠",VLOOKUP(U160,'G-3 Multipliers'!$L$3:$N$6,2,FALSE)))</f>
        <v/>
      </c>
      <c r="W160" s="287" t="str">
        <f>IF(U160="","",IF(VLOOKUP(U160,'G-3 Multipliers'!$L$3:$N$6,3,FALSE)=0,"Spatial Data Missing ⚠",VLOOKUP(U160,'G-3 Multipliers'!$L$3:$N$6,3,FALSE)))</f>
        <v/>
      </c>
      <c r="X160" s="281" t="str">
        <f>IFERROR(IF(OR(LEFT(O160,5)="Error",LEFT(N160,5)="Error",T160="Error"),"Check Data ⚠",IF(F160&lt;R160,INDEX('G-6 Hedgerow Data'!$S$3:$AE$14,MATCH(C160,'G-6 Hedgerow Data'!$B$3:$B$14,0),MATCH(M160,'G-6 Hedgerow Data'!$S$2:$AE$2,0)),INDEX('G-6 Hedgerow Data'!$K$3:$Q$14,MATCH(M160,'G-6 Hedgerow Data'!$B$3:$B$14,0),MATCH(O160,'G-6 Hedgerow Data'!$K$2:$Q$2,0)))),"")</f>
        <v/>
      </c>
      <c r="Y160" s="137"/>
      <c r="Z160" s="137"/>
      <c r="AA160" s="289" t="str">
        <f t="shared" si="18"/>
        <v/>
      </c>
      <c r="AB160" s="302" t="str">
        <f t="shared" si="19"/>
        <v/>
      </c>
      <c r="AC160" s="303" t="str">
        <f t="shared" si="16"/>
        <v/>
      </c>
      <c r="AD160" s="317" t="str">
        <f>IF(M160="","",VLOOKUP(M160,'G-6 Hedgerow Data'!$B$3:$AG$15,31,FALSE))</f>
        <v/>
      </c>
      <c r="AE160" s="301" t="str">
        <f t="shared" si="20"/>
        <v/>
      </c>
      <c r="AF160" s="289" t="str">
        <f t="shared" si="21"/>
        <v/>
      </c>
      <c r="AG160" s="305" t="str">
        <f>IFERROR(IF(O160="","",VLOOKUP(AD160,'G-3 Multipliers'!$P$3:$Q$6,2,FALSE)),"")</f>
        <v/>
      </c>
      <c r="AH160" s="729" t="str">
        <f>IF(B160="","",IF(ISNA(VLOOKUP($B160,'E-1 Off-Site Hedge Baseline'!$B$1:$Z$257,14,FALSE)),"",(VLOOKUP($B160,'E-1 Off-Site Hedge Baseline'!$B$1:$Z$257,14,FALSE))))</f>
        <v/>
      </c>
      <c r="AI160" s="282" t="str">
        <f>IF(AH160="","",IF(VLOOKUP(AH160,'G-3 Multipliers'!$S$3:$T$10,2,FALSE)=0,"Spatial Data Missing ⚠",VLOOKUP(AH160,'G-3 Multipliers'!$S$3:$T$10,2,FALSE)))</f>
        <v/>
      </c>
      <c r="AJ160" s="323" t="str">
        <f t="shared" si="22"/>
        <v/>
      </c>
      <c r="AK160" s="295" t="str">
        <f t="shared" si="23"/>
        <v/>
      </c>
      <c r="AL160" s="105"/>
      <c r="AM160" s="119"/>
      <c r="AN160" s="108"/>
      <c r="AO160" s="108"/>
      <c r="AQ160" s="30" t="str">
        <f>IFERROR(INDEX('G-6 Hedgerow Data'!$BJ$3:$BJ$15,MATCH(M160,'G-6 Hedgerow Data'!$B$3:$B$15,0)),"")</f>
        <v/>
      </c>
    </row>
    <row r="161" spans="2:43" ht="13.8" x14ac:dyDescent="0.25">
      <c r="B161" s="311" t="str">
        <f>'E-1 Off-Site Hedge Baseline'!AN159</f>
        <v/>
      </c>
      <c r="C161" s="301" t="str">
        <f>IF(B161="","",IF(ISNA(VLOOKUP($B161,'E-1 Off-Site Hedge Baseline'!$B$1:$L$257,3,FALSE)),"",(VLOOKUP($B161,'E-1 Off-Site Hedge Baseline'!$B$1:$L$257,3,FALSE))))</f>
        <v/>
      </c>
      <c r="D161" s="301" t="str">
        <f>IF(B161="","",IF(ISNA(VLOOKUP($B161,'E-1 Off-Site Hedge Baseline'!$B$1:$L$258,4,FALSE)),"",(VLOOKUP($B161,'E-1 Off-Site Hedge Baseline'!$B$1:$L$258,4,FALSE))))</f>
        <v/>
      </c>
      <c r="E161" s="301" t="str">
        <f>IF(B161="","",IF(ISNA(VLOOKUP($B161,'E-1 Off-Site Hedge Baseline'!$B$1:$L$257,5,FALSE)),"",(VLOOKUP($B161,'E-1 Off-Site Hedge Baseline'!$B$1:$L$257,5,FALSE))))</f>
        <v/>
      </c>
      <c r="F161" s="301" t="str">
        <f>IF(B161="","",IF(ISNA(VLOOKUP($B161,'E-1 Off-Site Hedge Baseline'!$B$1:$L$257,6,FALSE)),"",(VLOOKUP($B161,'E-1 Off-Site Hedge Baseline'!$B$1:$L$257,6,FALSE))))</f>
        <v/>
      </c>
      <c r="G161" s="301" t="str">
        <f>IF(B161="","",IF(ISNA(VLOOKUP($B161,'E-1 Off-Site Hedge Baseline'!$B$1:$L$257,7,FALSE)),"",(VLOOKUP($B161,'E-1 Off-Site Hedge Baseline'!$B$1:$L$257,7,FALSE))))</f>
        <v/>
      </c>
      <c r="H161" s="301" t="str">
        <f>IF(B161="","",IF(ISNA(VLOOKUP($B161,'E-1 Off-Site Hedge Baseline'!$B$1:$L$257,8,FALSE)),"",(VLOOKUP($B161,'E-1 Off-Site Hedge Baseline'!$B$1:$L$257,8,FALSE))))</f>
        <v/>
      </c>
      <c r="I161" s="301" t="str">
        <f>IF(B161="","",IF(ISNA(VLOOKUP($B161,'E-1 Off-Site Hedge Baseline'!$B$1:$L$257,10,FALSE)),"",(VLOOKUP($B161,'E-1 Off-Site Hedge Baseline'!$B$1:$L$257,10,FALSE))))</f>
        <v/>
      </c>
      <c r="J161" s="301" t="str">
        <f>IF(B161="","",IF(ISNA(VLOOKUP($B161,'E-1 Off-Site Hedge Baseline'!$B$1:$L$257,11,FALSE)),"",(VLOOKUP($B161,'E-1 Off-Site Hedge Baseline'!$B$1:$L$257,11,FALSE))))</f>
        <v/>
      </c>
      <c r="K161" s="301" t="str">
        <f>IF(B161="","",IF(ISNA(VLOOKUP($B161,'E-1 Off-Site Hedge Baseline'!$B$1:$X$257,16,FALSE)),"",(VLOOKUP($B161,'E-1 Off-Site Hedge Baseline'!$B$1:$X$257,16,FALSE))))</f>
        <v/>
      </c>
      <c r="L161" s="289" t="str">
        <f>IF(B161="","",IF(ISNA(VLOOKUP($B161,'E-1 Off-Site Hedge Baseline'!$B$1:$X$257,12,FALSE)),"",(VLOOKUP($B161,'E-1 Off-Site Hedge Baseline'!$B$1:$X$257,12,FALSE))))</f>
        <v/>
      </c>
      <c r="M161" s="250"/>
      <c r="N161" s="281" t="str">
        <f>IFERROR(IF(B161="","",INDEX('G-6 Hedgerow Data'!$AN$3:$AZ$15,MATCH(C161,'G-6 Hedgerow Data'!$AM$3:$AM$15,0),MATCH(M161,'G-6 Hedgerow Data'!$AN$2:$AZ$2,0))),"")</f>
        <v/>
      </c>
      <c r="O161" s="282" t="str">
        <f t="shared" si="17"/>
        <v/>
      </c>
      <c r="P161" s="287" t="str">
        <f>IF(B161="","",VLOOKUP(B161,'E-1 Off-Site Hedge Baseline'!$B$10:W406,19,FALSE))</f>
        <v/>
      </c>
      <c r="Q161" s="281" t="str">
        <f>IF(M161="","",VLOOKUP(M161,'G-6 Hedgerow Data'!$B$2:$AG$15,2,FALSE))</f>
        <v/>
      </c>
      <c r="R161" s="282" t="str">
        <f>IF(M161="","",VLOOKUP(M161,'G-6 Hedgerow Data'!$B$2:$AG$15,3,FALSE))</f>
        <v/>
      </c>
      <c r="S161" s="105"/>
      <c r="T161" s="282" t="str">
        <f>IFERROR(IF(S161="","",IF(AND(M161="Non-native and ornamental hedgerow", S161&lt;&gt;"Poor"),"Not possible ▲", (IF(AND(Q161="V.Low",OR(S161="Good",S161="Moderate")),"Error ▲",VLOOKUP(S161,'G-1 All Habitats'!$Z$2:$AA$9,2,FALSE))))),"")</f>
        <v/>
      </c>
      <c r="U161" s="105"/>
      <c r="V161" s="289" t="str">
        <f>IF(U161="","",IF(VLOOKUP(U161,'G-3 Multipliers'!$L$3:$N$6,2,FALSE)=0,"Spatial Data Missing ⚠",VLOOKUP(U161,'G-3 Multipliers'!$L$3:$N$6,2,FALSE)))</f>
        <v/>
      </c>
      <c r="W161" s="287" t="str">
        <f>IF(U161="","",IF(VLOOKUP(U161,'G-3 Multipliers'!$L$3:$N$6,3,FALSE)=0,"Spatial Data Missing ⚠",VLOOKUP(U161,'G-3 Multipliers'!$L$3:$N$6,3,FALSE)))</f>
        <v/>
      </c>
      <c r="X161" s="281" t="str">
        <f>IFERROR(IF(OR(LEFT(O161,5)="Error",LEFT(N161,5)="Error",T161="Error"),"Check Data ⚠",IF(F161&lt;R161,INDEX('G-6 Hedgerow Data'!$S$3:$AE$14,MATCH(C161,'G-6 Hedgerow Data'!$B$3:$B$14,0),MATCH(M161,'G-6 Hedgerow Data'!$S$2:$AE$2,0)),INDEX('G-6 Hedgerow Data'!$K$3:$Q$14,MATCH(M161,'G-6 Hedgerow Data'!$B$3:$B$14,0),MATCH(O161,'G-6 Hedgerow Data'!$K$2:$Q$2,0)))),"")</f>
        <v/>
      </c>
      <c r="Y161" s="137"/>
      <c r="Z161" s="137"/>
      <c r="AA161" s="289" t="str">
        <f t="shared" si="18"/>
        <v/>
      </c>
      <c r="AB161" s="302" t="str">
        <f t="shared" si="19"/>
        <v/>
      </c>
      <c r="AC161" s="303" t="str">
        <f t="shared" si="16"/>
        <v/>
      </c>
      <c r="AD161" s="317" t="str">
        <f>IF(M161="","",VLOOKUP(M161,'G-6 Hedgerow Data'!$B$3:$AG$15,31,FALSE))</f>
        <v/>
      </c>
      <c r="AE161" s="301" t="str">
        <f t="shared" si="20"/>
        <v/>
      </c>
      <c r="AF161" s="289" t="str">
        <f t="shared" si="21"/>
        <v/>
      </c>
      <c r="AG161" s="305" t="str">
        <f>IFERROR(IF(O161="","",VLOOKUP(AD161,'G-3 Multipliers'!$P$3:$Q$6,2,FALSE)),"")</f>
        <v/>
      </c>
      <c r="AH161" s="729" t="str">
        <f>IF(B161="","",IF(ISNA(VLOOKUP($B161,'E-1 Off-Site Hedge Baseline'!$B$1:$Z$257,14,FALSE)),"",(VLOOKUP($B161,'E-1 Off-Site Hedge Baseline'!$B$1:$Z$257,14,FALSE))))</f>
        <v/>
      </c>
      <c r="AI161" s="282" t="str">
        <f>IF(AH161="","",IF(VLOOKUP(AH161,'G-3 Multipliers'!$S$3:$T$10,2,FALSE)=0,"Spatial Data Missing ⚠",VLOOKUP(AH161,'G-3 Multipliers'!$S$3:$T$10,2,FALSE)))</f>
        <v/>
      </c>
      <c r="AJ161" s="323" t="str">
        <f t="shared" si="22"/>
        <v/>
      </c>
      <c r="AK161" s="295" t="str">
        <f t="shared" si="23"/>
        <v/>
      </c>
      <c r="AL161" s="105"/>
      <c r="AM161" s="119"/>
      <c r="AN161" s="108"/>
      <c r="AO161" s="108"/>
      <c r="AQ161" s="30" t="str">
        <f>IFERROR(INDEX('G-6 Hedgerow Data'!$BJ$3:$BJ$15,MATCH(M161,'G-6 Hedgerow Data'!$B$3:$B$15,0)),"")</f>
        <v/>
      </c>
    </row>
    <row r="162" spans="2:43" ht="13.8" x14ac:dyDescent="0.25">
      <c r="B162" s="311" t="str">
        <f>'E-1 Off-Site Hedge Baseline'!AN160</f>
        <v/>
      </c>
      <c r="C162" s="301" t="str">
        <f>IF(B162="","",IF(ISNA(VLOOKUP($B162,'E-1 Off-Site Hedge Baseline'!$B$1:$L$257,3,FALSE)),"",(VLOOKUP($B162,'E-1 Off-Site Hedge Baseline'!$B$1:$L$257,3,FALSE))))</f>
        <v/>
      </c>
      <c r="D162" s="301" t="str">
        <f>IF(B162="","",IF(ISNA(VLOOKUP($B162,'E-1 Off-Site Hedge Baseline'!$B$1:$L$258,4,FALSE)),"",(VLOOKUP($B162,'E-1 Off-Site Hedge Baseline'!$B$1:$L$258,4,FALSE))))</f>
        <v/>
      </c>
      <c r="E162" s="301" t="str">
        <f>IF(B162="","",IF(ISNA(VLOOKUP($B162,'E-1 Off-Site Hedge Baseline'!$B$1:$L$257,5,FALSE)),"",(VLOOKUP($B162,'E-1 Off-Site Hedge Baseline'!$B$1:$L$257,5,FALSE))))</f>
        <v/>
      </c>
      <c r="F162" s="301" t="str">
        <f>IF(B162="","",IF(ISNA(VLOOKUP($B162,'E-1 Off-Site Hedge Baseline'!$B$1:$L$257,6,FALSE)),"",(VLOOKUP($B162,'E-1 Off-Site Hedge Baseline'!$B$1:$L$257,6,FALSE))))</f>
        <v/>
      </c>
      <c r="G162" s="301" t="str">
        <f>IF(B162="","",IF(ISNA(VLOOKUP($B162,'E-1 Off-Site Hedge Baseline'!$B$1:$L$257,7,FALSE)),"",(VLOOKUP($B162,'E-1 Off-Site Hedge Baseline'!$B$1:$L$257,7,FALSE))))</f>
        <v/>
      </c>
      <c r="H162" s="301" t="str">
        <f>IF(B162="","",IF(ISNA(VLOOKUP($B162,'E-1 Off-Site Hedge Baseline'!$B$1:$L$257,8,FALSE)),"",(VLOOKUP($B162,'E-1 Off-Site Hedge Baseline'!$B$1:$L$257,8,FALSE))))</f>
        <v/>
      </c>
      <c r="I162" s="301" t="str">
        <f>IF(B162="","",IF(ISNA(VLOOKUP($B162,'E-1 Off-Site Hedge Baseline'!$B$1:$L$257,10,FALSE)),"",(VLOOKUP($B162,'E-1 Off-Site Hedge Baseline'!$B$1:$L$257,10,FALSE))))</f>
        <v/>
      </c>
      <c r="J162" s="301" t="str">
        <f>IF(B162="","",IF(ISNA(VLOOKUP($B162,'E-1 Off-Site Hedge Baseline'!$B$1:$L$257,11,FALSE)),"",(VLOOKUP($B162,'E-1 Off-Site Hedge Baseline'!$B$1:$L$257,11,FALSE))))</f>
        <v/>
      </c>
      <c r="K162" s="301" t="str">
        <f>IF(B162="","",IF(ISNA(VLOOKUP($B162,'E-1 Off-Site Hedge Baseline'!$B$1:$X$257,16,FALSE)),"",(VLOOKUP($B162,'E-1 Off-Site Hedge Baseline'!$B$1:$X$257,16,FALSE))))</f>
        <v/>
      </c>
      <c r="L162" s="289" t="str">
        <f>IF(B162="","",IF(ISNA(VLOOKUP($B162,'E-1 Off-Site Hedge Baseline'!$B$1:$X$257,12,FALSE)),"",(VLOOKUP($B162,'E-1 Off-Site Hedge Baseline'!$B$1:$X$257,12,FALSE))))</f>
        <v/>
      </c>
      <c r="M162" s="250"/>
      <c r="N162" s="281" t="str">
        <f>IFERROR(IF(B162="","",INDEX('G-6 Hedgerow Data'!$AN$3:$AZ$15,MATCH(C162,'G-6 Hedgerow Data'!$AM$3:$AM$15,0),MATCH(M162,'G-6 Hedgerow Data'!$AN$2:$AZ$2,0))),"")</f>
        <v/>
      </c>
      <c r="O162" s="282" t="str">
        <f t="shared" si="17"/>
        <v/>
      </c>
      <c r="P162" s="287" t="str">
        <f>IF(B162="","",VLOOKUP(B162,'E-1 Off-Site Hedge Baseline'!$B$10:W407,19,FALSE))</f>
        <v/>
      </c>
      <c r="Q162" s="281" t="str">
        <f>IF(M162="","",VLOOKUP(M162,'G-6 Hedgerow Data'!$B$2:$AG$15,2,FALSE))</f>
        <v/>
      </c>
      <c r="R162" s="282" t="str">
        <f>IF(M162="","",VLOOKUP(M162,'G-6 Hedgerow Data'!$B$2:$AG$15,3,FALSE))</f>
        <v/>
      </c>
      <c r="S162" s="105"/>
      <c r="T162" s="282" t="str">
        <f>IFERROR(IF(S162="","",IF(AND(M162="Non-native and ornamental hedgerow", S162&lt;&gt;"Poor"),"Not possible ▲", (IF(AND(Q162="V.Low",OR(S162="Good",S162="Moderate")),"Error ▲",VLOOKUP(S162,'G-1 All Habitats'!$Z$2:$AA$9,2,FALSE))))),"")</f>
        <v/>
      </c>
      <c r="U162" s="105"/>
      <c r="V162" s="289" t="str">
        <f>IF(U162="","",IF(VLOOKUP(U162,'G-3 Multipliers'!$L$3:$N$6,2,FALSE)=0,"Spatial Data Missing ⚠",VLOOKUP(U162,'G-3 Multipliers'!$L$3:$N$6,2,FALSE)))</f>
        <v/>
      </c>
      <c r="W162" s="287" t="str">
        <f>IF(U162="","",IF(VLOOKUP(U162,'G-3 Multipliers'!$L$3:$N$6,3,FALSE)=0,"Spatial Data Missing ⚠",VLOOKUP(U162,'G-3 Multipliers'!$L$3:$N$6,3,FALSE)))</f>
        <v/>
      </c>
      <c r="X162" s="281" t="str">
        <f>IFERROR(IF(OR(LEFT(O162,5)="Error",LEFT(N162,5)="Error",T162="Error"),"Check Data ⚠",IF(F162&lt;R162,INDEX('G-6 Hedgerow Data'!$S$3:$AE$14,MATCH(C162,'G-6 Hedgerow Data'!$B$3:$B$14,0),MATCH(M162,'G-6 Hedgerow Data'!$S$2:$AE$2,0)),INDEX('G-6 Hedgerow Data'!$K$3:$Q$14,MATCH(M162,'G-6 Hedgerow Data'!$B$3:$B$14,0),MATCH(O162,'G-6 Hedgerow Data'!$K$2:$Q$2,0)))),"")</f>
        <v/>
      </c>
      <c r="Y162" s="137"/>
      <c r="Z162" s="137"/>
      <c r="AA162" s="289" t="str">
        <f t="shared" si="18"/>
        <v/>
      </c>
      <c r="AB162" s="302" t="str">
        <f t="shared" si="19"/>
        <v/>
      </c>
      <c r="AC162" s="303" t="str">
        <f t="shared" si="16"/>
        <v/>
      </c>
      <c r="AD162" s="317" t="str">
        <f>IF(M162="","",VLOOKUP(M162,'G-6 Hedgerow Data'!$B$3:$AG$15,31,FALSE))</f>
        <v/>
      </c>
      <c r="AE162" s="301" t="str">
        <f t="shared" si="20"/>
        <v/>
      </c>
      <c r="AF162" s="289" t="str">
        <f t="shared" si="21"/>
        <v/>
      </c>
      <c r="AG162" s="305" t="str">
        <f>IFERROR(IF(O162="","",VLOOKUP(AD162,'G-3 Multipliers'!$P$3:$Q$6,2,FALSE)),"")</f>
        <v/>
      </c>
      <c r="AH162" s="729" t="str">
        <f>IF(B162="","",IF(ISNA(VLOOKUP($B162,'E-1 Off-Site Hedge Baseline'!$B$1:$Z$257,14,FALSE)),"",(VLOOKUP($B162,'E-1 Off-Site Hedge Baseline'!$B$1:$Z$257,14,FALSE))))</f>
        <v/>
      </c>
      <c r="AI162" s="282" t="str">
        <f>IF(AH162="","",IF(VLOOKUP(AH162,'G-3 Multipliers'!$S$3:$T$10,2,FALSE)=0,"Spatial Data Missing ⚠",VLOOKUP(AH162,'G-3 Multipliers'!$S$3:$T$10,2,FALSE)))</f>
        <v/>
      </c>
      <c r="AJ162" s="323" t="str">
        <f t="shared" si="22"/>
        <v/>
      </c>
      <c r="AK162" s="295" t="str">
        <f t="shared" si="23"/>
        <v/>
      </c>
      <c r="AL162" s="105"/>
      <c r="AM162" s="119"/>
      <c r="AN162" s="108"/>
      <c r="AO162" s="108"/>
      <c r="AQ162" s="30" t="str">
        <f>IFERROR(INDEX('G-6 Hedgerow Data'!$BJ$3:$BJ$15,MATCH(M162,'G-6 Hedgerow Data'!$B$3:$B$15,0)),"")</f>
        <v/>
      </c>
    </row>
    <row r="163" spans="2:43" ht="13.8" x14ac:dyDescent="0.25">
      <c r="B163" s="311" t="str">
        <f>'E-1 Off-Site Hedge Baseline'!AN161</f>
        <v/>
      </c>
      <c r="C163" s="301" t="str">
        <f>IF(B163="","",IF(ISNA(VLOOKUP($B163,'E-1 Off-Site Hedge Baseline'!$B$1:$L$257,3,FALSE)),"",(VLOOKUP($B163,'E-1 Off-Site Hedge Baseline'!$B$1:$L$257,3,FALSE))))</f>
        <v/>
      </c>
      <c r="D163" s="301" t="str">
        <f>IF(B163="","",IF(ISNA(VLOOKUP($B163,'E-1 Off-Site Hedge Baseline'!$B$1:$L$258,4,FALSE)),"",(VLOOKUP($B163,'E-1 Off-Site Hedge Baseline'!$B$1:$L$258,4,FALSE))))</f>
        <v/>
      </c>
      <c r="E163" s="301" t="str">
        <f>IF(B163="","",IF(ISNA(VLOOKUP($B163,'E-1 Off-Site Hedge Baseline'!$B$1:$L$257,5,FALSE)),"",(VLOOKUP($B163,'E-1 Off-Site Hedge Baseline'!$B$1:$L$257,5,FALSE))))</f>
        <v/>
      </c>
      <c r="F163" s="301" t="str">
        <f>IF(B163="","",IF(ISNA(VLOOKUP($B163,'E-1 Off-Site Hedge Baseline'!$B$1:$L$257,6,FALSE)),"",(VLOOKUP($B163,'E-1 Off-Site Hedge Baseline'!$B$1:$L$257,6,FALSE))))</f>
        <v/>
      </c>
      <c r="G163" s="301" t="str">
        <f>IF(B163="","",IF(ISNA(VLOOKUP($B163,'E-1 Off-Site Hedge Baseline'!$B$1:$L$257,7,FALSE)),"",(VLOOKUP($B163,'E-1 Off-Site Hedge Baseline'!$B$1:$L$257,7,FALSE))))</f>
        <v/>
      </c>
      <c r="H163" s="301" t="str">
        <f>IF(B163="","",IF(ISNA(VLOOKUP($B163,'E-1 Off-Site Hedge Baseline'!$B$1:$L$257,8,FALSE)),"",(VLOOKUP($B163,'E-1 Off-Site Hedge Baseline'!$B$1:$L$257,8,FALSE))))</f>
        <v/>
      </c>
      <c r="I163" s="301" t="str">
        <f>IF(B163="","",IF(ISNA(VLOOKUP($B163,'E-1 Off-Site Hedge Baseline'!$B$1:$L$257,10,FALSE)),"",(VLOOKUP($B163,'E-1 Off-Site Hedge Baseline'!$B$1:$L$257,10,FALSE))))</f>
        <v/>
      </c>
      <c r="J163" s="301" t="str">
        <f>IF(B163="","",IF(ISNA(VLOOKUP($B163,'E-1 Off-Site Hedge Baseline'!$B$1:$L$257,11,FALSE)),"",(VLOOKUP($B163,'E-1 Off-Site Hedge Baseline'!$B$1:$L$257,11,FALSE))))</f>
        <v/>
      </c>
      <c r="K163" s="301" t="str">
        <f>IF(B163="","",IF(ISNA(VLOOKUP($B163,'E-1 Off-Site Hedge Baseline'!$B$1:$X$257,16,FALSE)),"",(VLOOKUP($B163,'E-1 Off-Site Hedge Baseline'!$B$1:$X$257,16,FALSE))))</f>
        <v/>
      </c>
      <c r="L163" s="289" t="str">
        <f>IF(B163="","",IF(ISNA(VLOOKUP($B163,'E-1 Off-Site Hedge Baseline'!$B$1:$X$257,12,FALSE)),"",(VLOOKUP($B163,'E-1 Off-Site Hedge Baseline'!$B$1:$X$257,12,FALSE))))</f>
        <v/>
      </c>
      <c r="M163" s="250"/>
      <c r="N163" s="281" t="str">
        <f>IFERROR(IF(B163="","",INDEX('G-6 Hedgerow Data'!$AN$3:$AZ$15,MATCH(C163,'G-6 Hedgerow Data'!$AM$3:$AM$15,0),MATCH(M163,'G-6 Hedgerow Data'!$AN$2:$AZ$2,0))),"")</f>
        <v/>
      </c>
      <c r="O163" s="282" t="str">
        <f t="shared" si="17"/>
        <v/>
      </c>
      <c r="P163" s="287" t="str">
        <f>IF(B163="","",VLOOKUP(B163,'E-1 Off-Site Hedge Baseline'!$B$10:W408,19,FALSE))</f>
        <v/>
      </c>
      <c r="Q163" s="281" t="str">
        <f>IF(M163="","",VLOOKUP(M163,'G-6 Hedgerow Data'!$B$2:$AG$15,2,FALSE))</f>
        <v/>
      </c>
      <c r="R163" s="282" t="str">
        <f>IF(M163="","",VLOOKUP(M163,'G-6 Hedgerow Data'!$B$2:$AG$15,3,FALSE))</f>
        <v/>
      </c>
      <c r="S163" s="105"/>
      <c r="T163" s="282" t="str">
        <f>IFERROR(IF(S163="","",IF(AND(M163="Non-native and ornamental hedgerow", S163&lt;&gt;"Poor"),"Not possible ▲", (IF(AND(Q163="V.Low",OR(S163="Good",S163="Moderate")),"Error ▲",VLOOKUP(S163,'G-1 All Habitats'!$Z$2:$AA$9,2,FALSE))))),"")</f>
        <v/>
      </c>
      <c r="U163" s="105"/>
      <c r="V163" s="289" t="str">
        <f>IF(U163="","",IF(VLOOKUP(U163,'G-3 Multipliers'!$L$3:$N$6,2,FALSE)=0,"Spatial Data Missing ⚠",VLOOKUP(U163,'G-3 Multipliers'!$L$3:$N$6,2,FALSE)))</f>
        <v/>
      </c>
      <c r="W163" s="287" t="str">
        <f>IF(U163="","",IF(VLOOKUP(U163,'G-3 Multipliers'!$L$3:$N$6,3,FALSE)=0,"Spatial Data Missing ⚠",VLOOKUP(U163,'G-3 Multipliers'!$L$3:$N$6,3,FALSE)))</f>
        <v/>
      </c>
      <c r="X163" s="281" t="str">
        <f>IFERROR(IF(OR(LEFT(O163,5)="Error",LEFT(N163,5)="Error",T163="Error"),"Check Data ⚠",IF(F163&lt;R163,INDEX('G-6 Hedgerow Data'!$S$3:$AE$14,MATCH(C163,'G-6 Hedgerow Data'!$B$3:$B$14,0),MATCH(M163,'G-6 Hedgerow Data'!$S$2:$AE$2,0)),INDEX('G-6 Hedgerow Data'!$K$3:$Q$14,MATCH(M163,'G-6 Hedgerow Data'!$B$3:$B$14,0),MATCH(O163,'G-6 Hedgerow Data'!$K$2:$Q$2,0)))),"")</f>
        <v/>
      </c>
      <c r="Y163" s="137"/>
      <c r="Z163" s="137"/>
      <c r="AA163" s="289" t="str">
        <f t="shared" si="18"/>
        <v/>
      </c>
      <c r="AB163" s="302" t="str">
        <f t="shared" si="19"/>
        <v/>
      </c>
      <c r="AC163" s="303" t="str">
        <f t="shared" si="16"/>
        <v/>
      </c>
      <c r="AD163" s="317" t="str">
        <f>IF(M163="","",VLOOKUP(M163,'G-6 Hedgerow Data'!$B$3:$AG$15,31,FALSE))</f>
        <v/>
      </c>
      <c r="AE163" s="301" t="str">
        <f t="shared" si="20"/>
        <v/>
      </c>
      <c r="AF163" s="289" t="str">
        <f t="shared" si="21"/>
        <v/>
      </c>
      <c r="AG163" s="305" t="str">
        <f>IFERROR(IF(O163="","",VLOOKUP(AD163,'G-3 Multipliers'!$P$3:$Q$6,2,FALSE)),"")</f>
        <v/>
      </c>
      <c r="AH163" s="729" t="str">
        <f>IF(B163="","",IF(ISNA(VLOOKUP($B163,'E-1 Off-Site Hedge Baseline'!$B$1:$Z$257,14,FALSE)),"",(VLOOKUP($B163,'E-1 Off-Site Hedge Baseline'!$B$1:$Z$257,14,FALSE))))</f>
        <v/>
      </c>
      <c r="AI163" s="282" t="str">
        <f>IF(AH163="","",IF(VLOOKUP(AH163,'G-3 Multipliers'!$S$3:$T$10,2,FALSE)=0,"Spatial Data Missing ⚠",VLOOKUP(AH163,'G-3 Multipliers'!$S$3:$T$10,2,FALSE)))</f>
        <v/>
      </c>
      <c r="AJ163" s="323" t="str">
        <f t="shared" si="22"/>
        <v/>
      </c>
      <c r="AK163" s="295" t="str">
        <f t="shared" si="23"/>
        <v/>
      </c>
      <c r="AL163" s="105"/>
      <c r="AM163" s="119"/>
      <c r="AN163" s="108"/>
      <c r="AO163" s="108"/>
      <c r="AQ163" s="30" t="str">
        <f>IFERROR(INDEX('G-6 Hedgerow Data'!$BJ$3:$BJ$15,MATCH(M163,'G-6 Hedgerow Data'!$B$3:$B$15,0)),"")</f>
        <v/>
      </c>
    </row>
    <row r="164" spans="2:43" ht="13.8" x14ac:dyDescent="0.25">
      <c r="B164" s="311" t="str">
        <f>'E-1 Off-Site Hedge Baseline'!AN162</f>
        <v/>
      </c>
      <c r="C164" s="301" t="str">
        <f>IF(B164="","",IF(ISNA(VLOOKUP($B164,'E-1 Off-Site Hedge Baseline'!$B$1:$L$257,3,FALSE)),"",(VLOOKUP($B164,'E-1 Off-Site Hedge Baseline'!$B$1:$L$257,3,FALSE))))</f>
        <v/>
      </c>
      <c r="D164" s="301" t="str">
        <f>IF(B164="","",IF(ISNA(VLOOKUP($B164,'E-1 Off-Site Hedge Baseline'!$B$1:$L$258,4,FALSE)),"",(VLOOKUP($B164,'E-1 Off-Site Hedge Baseline'!$B$1:$L$258,4,FALSE))))</f>
        <v/>
      </c>
      <c r="E164" s="301" t="str">
        <f>IF(B164="","",IF(ISNA(VLOOKUP($B164,'E-1 Off-Site Hedge Baseline'!$B$1:$L$257,5,FALSE)),"",(VLOOKUP($B164,'E-1 Off-Site Hedge Baseline'!$B$1:$L$257,5,FALSE))))</f>
        <v/>
      </c>
      <c r="F164" s="301" t="str">
        <f>IF(B164="","",IF(ISNA(VLOOKUP($B164,'E-1 Off-Site Hedge Baseline'!$B$1:$L$257,6,FALSE)),"",(VLOOKUP($B164,'E-1 Off-Site Hedge Baseline'!$B$1:$L$257,6,FALSE))))</f>
        <v/>
      </c>
      <c r="G164" s="301" t="str">
        <f>IF(B164="","",IF(ISNA(VLOOKUP($B164,'E-1 Off-Site Hedge Baseline'!$B$1:$L$257,7,FALSE)),"",(VLOOKUP($B164,'E-1 Off-Site Hedge Baseline'!$B$1:$L$257,7,FALSE))))</f>
        <v/>
      </c>
      <c r="H164" s="301" t="str">
        <f>IF(B164="","",IF(ISNA(VLOOKUP($B164,'E-1 Off-Site Hedge Baseline'!$B$1:$L$257,8,FALSE)),"",(VLOOKUP($B164,'E-1 Off-Site Hedge Baseline'!$B$1:$L$257,8,FALSE))))</f>
        <v/>
      </c>
      <c r="I164" s="301" t="str">
        <f>IF(B164="","",IF(ISNA(VLOOKUP($B164,'E-1 Off-Site Hedge Baseline'!$B$1:$L$257,10,FALSE)),"",(VLOOKUP($B164,'E-1 Off-Site Hedge Baseline'!$B$1:$L$257,10,FALSE))))</f>
        <v/>
      </c>
      <c r="J164" s="301" t="str">
        <f>IF(B164="","",IF(ISNA(VLOOKUP($B164,'E-1 Off-Site Hedge Baseline'!$B$1:$L$257,11,FALSE)),"",(VLOOKUP($B164,'E-1 Off-Site Hedge Baseline'!$B$1:$L$257,11,FALSE))))</f>
        <v/>
      </c>
      <c r="K164" s="301" t="str">
        <f>IF(B164="","",IF(ISNA(VLOOKUP($B164,'E-1 Off-Site Hedge Baseline'!$B$1:$X$257,16,FALSE)),"",(VLOOKUP($B164,'E-1 Off-Site Hedge Baseline'!$B$1:$X$257,16,FALSE))))</f>
        <v/>
      </c>
      <c r="L164" s="289" t="str">
        <f>IF(B164="","",IF(ISNA(VLOOKUP($B164,'E-1 Off-Site Hedge Baseline'!$B$1:$X$257,12,FALSE)),"",(VLOOKUP($B164,'E-1 Off-Site Hedge Baseline'!$B$1:$X$257,12,FALSE))))</f>
        <v/>
      </c>
      <c r="M164" s="250"/>
      <c r="N164" s="281" t="str">
        <f>IFERROR(IF(B164="","",INDEX('G-6 Hedgerow Data'!$AN$3:$AZ$15,MATCH(C164,'G-6 Hedgerow Data'!$AM$3:$AM$15,0),MATCH(M164,'G-6 Hedgerow Data'!$AN$2:$AZ$2,0))),"")</f>
        <v/>
      </c>
      <c r="O164" s="282" t="str">
        <f t="shared" si="17"/>
        <v/>
      </c>
      <c r="P164" s="287" t="str">
        <f>IF(B164="","",VLOOKUP(B164,'E-1 Off-Site Hedge Baseline'!$B$10:W409,19,FALSE))</f>
        <v/>
      </c>
      <c r="Q164" s="281" t="str">
        <f>IF(M164="","",VLOOKUP(M164,'G-6 Hedgerow Data'!$B$2:$AG$15,2,FALSE))</f>
        <v/>
      </c>
      <c r="R164" s="282" t="str">
        <f>IF(M164="","",VLOOKUP(M164,'G-6 Hedgerow Data'!$B$2:$AG$15,3,FALSE))</f>
        <v/>
      </c>
      <c r="S164" s="105"/>
      <c r="T164" s="282" t="str">
        <f>IFERROR(IF(S164="","",IF(AND(M164="Non-native and ornamental hedgerow", S164&lt;&gt;"Poor"),"Not possible ▲", (IF(AND(Q164="V.Low",OR(S164="Good",S164="Moderate")),"Error ▲",VLOOKUP(S164,'G-1 All Habitats'!$Z$2:$AA$9,2,FALSE))))),"")</f>
        <v/>
      </c>
      <c r="U164" s="105"/>
      <c r="V164" s="289" t="str">
        <f>IF(U164="","",IF(VLOOKUP(U164,'G-3 Multipliers'!$L$3:$N$6,2,FALSE)=0,"Spatial Data Missing ⚠",VLOOKUP(U164,'G-3 Multipliers'!$L$3:$N$6,2,FALSE)))</f>
        <v/>
      </c>
      <c r="W164" s="287" t="str">
        <f>IF(U164="","",IF(VLOOKUP(U164,'G-3 Multipliers'!$L$3:$N$6,3,FALSE)=0,"Spatial Data Missing ⚠",VLOOKUP(U164,'G-3 Multipliers'!$L$3:$N$6,3,FALSE)))</f>
        <v/>
      </c>
      <c r="X164" s="281" t="str">
        <f>IFERROR(IF(OR(LEFT(O164,5)="Error",LEFT(N164,5)="Error",T164="Error"),"Check Data ⚠",IF(F164&lt;R164,INDEX('G-6 Hedgerow Data'!$S$3:$AE$14,MATCH(C164,'G-6 Hedgerow Data'!$B$3:$B$14,0),MATCH(M164,'G-6 Hedgerow Data'!$S$2:$AE$2,0)),INDEX('G-6 Hedgerow Data'!$K$3:$Q$14,MATCH(M164,'G-6 Hedgerow Data'!$B$3:$B$14,0),MATCH(O164,'G-6 Hedgerow Data'!$K$2:$Q$2,0)))),"")</f>
        <v/>
      </c>
      <c r="Y164" s="137"/>
      <c r="Z164" s="137"/>
      <c r="AA164" s="289" t="str">
        <f t="shared" si="18"/>
        <v/>
      </c>
      <c r="AB164" s="302" t="str">
        <f t="shared" si="19"/>
        <v/>
      </c>
      <c r="AC164" s="303" t="str">
        <f t="shared" si="16"/>
        <v/>
      </c>
      <c r="AD164" s="317" t="str">
        <f>IF(M164="","",VLOOKUP(M164,'G-6 Hedgerow Data'!$B$3:$AG$15,31,FALSE))</f>
        <v/>
      </c>
      <c r="AE164" s="301" t="str">
        <f t="shared" si="20"/>
        <v/>
      </c>
      <c r="AF164" s="289" t="str">
        <f t="shared" si="21"/>
        <v/>
      </c>
      <c r="AG164" s="305" t="str">
        <f>IFERROR(IF(O164="","",VLOOKUP(AD164,'G-3 Multipliers'!$P$3:$Q$6,2,FALSE)),"")</f>
        <v/>
      </c>
      <c r="AH164" s="729" t="str">
        <f>IF(B164="","",IF(ISNA(VLOOKUP($B164,'E-1 Off-Site Hedge Baseline'!$B$1:$Z$257,14,FALSE)),"",(VLOOKUP($B164,'E-1 Off-Site Hedge Baseline'!$B$1:$Z$257,14,FALSE))))</f>
        <v/>
      </c>
      <c r="AI164" s="282" t="str">
        <f>IF(AH164="","",IF(VLOOKUP(AH164,'G-3 Multipliers'!$S$3:$T$10,2,FALSE)=0,"Spatial Data Missing ⚠",VLOOKUP(AH164,'G-3 Multipliers'!$S$3:$T$10,2,FALSE)))</f>
        <v/>
      </c>
      <c r="AJ164" s="323" t="str">
        <f t="shared" si="22"/>
        <v/>
      </c>
      <c r="AK164" s="295" t="str">
        <f t="shared" si="23"/>
        <v/>
      </c>
      <c r="AL164" s="105"/>
      <c r="AM164" s="119"/>
      <c r="AN164" s="108"/>
      <c r="AO164" s="108"/>
      <c r="AQ164" s="30" t="str">
        <f>IFERROR(INDEX('G-6 Hedgerow Data'!$BJ$3:$BJ$15,MATCH(M164,'G-6 Hedgerow Data'!$B$3:$B$15,0)),"")</f>
        <v/>
      </c>
    </row>
    <row r="165" spans="2:43" ht="13.8" x14ac:dyDescent="0.25">
      <c r="B165" s="311" t="str">
        <f>'E-1 Off-Site Hedge Baseline'!AN163</f>
        <v/>
      </c>
      <c r="C165" s="301" t="str">
        <f>IF(B165="","",IF(ISNA(VLOOKUP($B165,'E-1 Off-Site Hedge Baseline'!$B$1:$L$257,3,FALSE)),"",(VLOOKUP($B165,'E-1 Off-Site Hedge Baseline'!$B$1:$L$257,3,FALSE))))</f>
        <v/>
      </c>
      <c r="D165" s="301" t="str">
        <f>IF(B165="","",IF(ISNA(VLOOKUP($B165,'E-1 Off-Site Hedge Baseline'!$B$1:$L$258,4,FALSE)),"",(VLOOKUP($B165,'E-1 Off-Site Hedge Baseline'!$B$1:$L$258,4,FALSE))))</f>
        <v/>
      </c>
      <c r="E165" s="301" t="str">
        <f>IF(B165="","",IF(ISNA(VLOOKUP($B165,'E-1 Off-Site Hedge Baseline'!$B$1:$L$257,5,FALSE)),"",(VLOOKUP($B165,'E-1 Off-Site Hedge Baseline'!$B$1:$L$257,5,FALSE))))</f>
        <v/>
      </c>
      <c r="F165" s="301" t="str">
        <f>IF(B165="","",IF(ISNA(VLOOKUP($B165,'E-1 Off-Site Hedge Baseline'!$B$1:$L$257,6,FALSE)),"",(VLOOKUP($B165,'E-1 Off-Site Hedge Baseline'!$B$1:$L$257,6,FALSE))))</f>
        <v/>
      </c>
      <c r="G165" s="301" t="str">
        <f>IF(B165="","",IF(ISNA(VLOOKUP($B165,'E-1 Off-Site Hedge Baseline'!$B$1:$L$257,7,FALSE)),"",(VLOOKUP($B165,'E-1 Off-Site Hedge Baseline'!$B$1:$L$257,7,FALSE))))</f>
        <v/>
      </c>
      <c r="H165" s="301" t="str">
        <f>IF(B165="","",IF(ISNA(VLOOKUP($B165,'E-1 Off-Site Hedge Baseline'!$B$1:$L$257,8,FALSE)),"",(VLOOKUP($B165,'E-1 Off-Site Hedge Baseline'!$B$1:$L$257,8,FALSE))))</f>
        <v/>
      </c>
      <c r="I165" s="301" t="str">
        <f>IF(B165="","",IF(ISNA(VLOOKUP($B165,'E-1 Off-Site Hedge Baseline'!$B$1:$L$257,10,FALSE)),"",(VLOOKUP($B165,'E-1 Off-Site Hedge Baseline'!$B$1:$L$257,10,FALSE))))</f>
        <v/>
      </c>
      <c r="J165" s="301" t="str">
        <f>IF(B165="","",IF(ISNA(VLOOKUP($B165,'E-1 Off-Site Hedge Baseline'!$B$1:$L$257,11,FALSE)),"",(VLOOKUP($B165,'E-1 Off-Site Hedge Baseline'!$B$1:$L$257,11,FALSE))))</f>
        <v/>
      </c>
      <c r="K165" s="301" t="str">
        <f>IF(B165="","",IF(ISNA(VLOOKUP($B165,'E-1 Off-Site Hedge Baseline'!$B$1:$X$257,16,FALSE)),"",(VLOOKUP($B165,'E-1 Off-Site Hedge Baseline'!$B$1:$X$257,16,FALSE))))</f>
        <v/>
      </c>
      <c r="L165" s="289" t="str">
        <f>IF(B165="","",IF(ISNA(VLOOKUP($B165,'E-1 Off-Site Hedge Baseline'!$B$1:$X$257,12,FALSE)),"",(VLOOKUP($B165,'E-1 Off-Site Hedge Baseline'!$B$1:$X$257,12,FALSE))))</f>
        <v/>
      </c>
      <c r="M165" s="250"/>
      <c r="N165" s="281" t="str">
        <f>IFERROR(IF(B165="","",INDEX('G-6 Hedgerow Data'!$AN$3:$AZ$15,MATCH(C165,'G-6 Hedgerow Data'!$AM$3:$AM$15,0),MATCH(M165,'G-6 Hedgerow Data'!$AN$2:$AZ$2,0))),"")</f>
        <v/>
      </c>
      <c r="O165" s="282" t="str">
        <f t="shared" si="17"/>
        <v/>
      </c>
      <c r="P165" s="287" t="str">
        <f>IF(B165="","",VLOOKUP(B165,'E-1 Off-Site Hedge Baseline'!$B$10:W410,19,FALSE))</f>
        <v/>
      </c>
      <c r="Q165" s="281" t="str">
        <f>IF(M165="","",VLOOKUP(M165,'G-6 Hedgerow Data'!$B$2:$AG$15,2,FALSE))</f>
        <v/>
      </c>
      <c r="R165" s="282" t="str">
        <f>IF(M165="","",VLOOKUP(M165,'G-6 Hedgerow Data'!$B$2:$AG$15,3,FALSE))</f>
        <v/>
      </c>
      <c r="S165" s="105"/>
      <c r="T165" s="282" t="str">
        <f>IFERROR(IF(S165="","",IF(AND(M165="Non-native and ornamental hedgerow", S165&lt;&gt;"Poor"),"Not possible ▲", (IF(AND(Q165="V.Low",OR(S165="Good",S165="Moderate")),"Error ▲",VLOOKUP(S165,'G-1 All Habitats'!$Z$2:$AA$9,2,FALSE))))),"")</f>
        <v/>
      </c>
      <c r="U165" s="105"/>
      <c r="V165" s="289" t="str">
        <f>IF(U165="","",IF(VLOOKUP(U165,'G-3 Multipliers'!$L$3:$N$6,2,FALSE)=0,"Spatial Data Missing ⚠",VLOOKUP(U165,'G-3 Multipliers'!$L$3:$N$6,2,FALSE)))</f>
        <v/>
      </c>
      <c r="W165" s="287" t="str">
        <f>IF(U165="","",IF(VLOOKUP(U165,'G-3 Multipliers'!$L$3:$N$6,3,FALSE)=0,"Spatial Data Missing ⚠",VLOOKUP(U165,'G-3 Multipliers'!$L$3:$N$6,3,FALSE)))</f>
        <v/>
      </c>
      <c r="X165" s="281" t="str">
        <f>IFERROR(IF(OR(LEFT(O165,5)="Error",LEFT(N165,5)="Error",T165="Error"),"Check Data ⚠",IF(F165&lt;R165,INDEX('G-6 Hedgerow Data'!$S$3:$AE$14,MATCH(C165,'G-6 Hedgerow Data'!$B$3:$B$14,0),MATCH(M165,'G-6 Hedgerow Data'!$S$2:$AE$2,0)),INDEX('G-6 Hedgerow Data'!$K$3:$Q$14,MATCH(M165,'G-6 Hedgerow Data'!$B$3:$B$14,0),MATCH(O165,'G-6 Hedgerow Data'!$K$2:$Q$2,0)))),"")</f>
        <v/>
      </c>
      <c r="Y165" s="137"/>
      <c r="Z165" s="137"/>
      <c r="AA165" s="289" t="str">
        <f t="shared" si="18"/>
        <v/>
      </c>
      <c r="AB165" s="302" t="str">
        <f t="shared" si="19"/>
        <v/>
      </c>
      <c r="AC165" s="303" t="str">
        <f t="shared" si="16"/>
        <v/>
      </c>
      <c r="AD165" s="317" t="str">
        <f>IF(M165="","",VLOOKUP(M165,'G-6 Hedgerow Data'!$B$3:$AG$15,31,FALSE))</f>
        <v/>
      </c>
      <c r="AE165" s="301" t="str">
        <f t="shared" si="20"/>
        <v/>
      </c>
      <c r="AF165" s="289" t="str">
        <f t="shared" si="21"/>
        <v/>
      </c>
      <c r="AG165" s="305" t="str">
        <f>IFERROR(IF(O165="","",VLOOKUP(AD165,'G-3 Multipliers'!$P$3:$Q$6,2,FALSE)),"")</f>
        <v/>
      </c>
      <c r="AH165" s="729" t="str">
        <f>IF(B165="","",IF(ISNA(VLOOKUP($B165,'E-1 Off-Site Hedge Baseline'!$B$1:$Z$257,14,FALSE)),"",(VLOOKUP($B165,'E-1 Off-Site Hedge Baseline'!$B$1:$Z$257,14,FALSE))))</f>
        <v/>
      </c>
      <c r="AI165" s="282" t="str">
        <f>IF(AH165="","",IF(VLOOKUP(AH165,'G-3 Multipliers'!$S$3:$T$10,2,FALSE)=0,"Spatial Data Missing ⚠",VLOOKUP(AH165,'G-3 Multipliers'!$S$3:$T$10,2,FALSE)))</f>
        <v/>
      </c>
      <c r="AJ165" s="323" t="str">
        <f t="shared" si="22"/>
        <v/>
      </c>
      <c r="AK165" s="295" t="str">
        <f t="shared" si="23"/>
        <v/>
      </c>
      <c r="AL165" s="105"/>
      <c r="AM165" s="119"/>
      <c r="AN165" s="108"/>
      <c r="AO165" s="108"/>
      <c r="AQ165" s="30" t="str">
        <f>IFERROR(INDEX('G-6 Hedgerow Data'!$BJ$3:$BJ$15,MATCH(M165,'G-6 Hedgerow Data'!$B$3:$B$15,0)),"")</f>
        <v/>
      </c>
    </row>
    <row r="166" spans="2:43" ht="13.8" x14ac:dyDescent="0.25">
      <c r="B166" s="311" t="str">
        <f>'E-1 Off-Site Hedge Baseline'!AN164</f>
        <v/>
      </c>
      <c r="C166" s="301" t="str">
        <f>IF(B166="","",IF(ISNA(VLOOKUP($B166,'E-1 Off-Site Hedge Baseline'!$B$1:$L$257,3,FALSE)),"",(VLOOKUP($B166,'E-1 Off-Site Hedge Baseline'!$B$1:$L$257,3,FALSE))))</f>
        <v/>
      </c>
      <c r="D166" s="301" t="str">
        <f>IF(B166="","",IF(ISNA(VLOOKUP($B166,'E-1 Off-Site Hedge Baseline'!$B$1:$L$258,4,FALSE)),"",(VLOOKUP($B166,'E-1 Off-Site Hedge Baseline'!$B$1:$L$258,4,FALSE))))</f>
        <v/>
      </c>
      <c r="E166" s="301" t="str">
        <f>IF(B166="","",IF(ISNA(VLOOKUP($B166,'E-1 Off-Site Hedge Baseline'!$B$1:$L$257,5,FALSE)),"",(VLOOKUP($B166,'E-1 Off-Site Hedge Baseline'!$B$1:$L$257,5,FALSE))))</f>
        <v/>
      </c>
      <c r="F166" s="301" t="str">
        <f>IF(B166="","",IF(ISNA(VLOOKUP($B166,'E-1 Off-Site Hedge Baseline'!$B$1:$L$257,6,FALSE)),"",(VLOOKUP($B166,'E-1 Off-Site Hedge Baseline'!$B$1:$L$257,6,FALSE))))</f>
        <v/>
      </c>
      <c r="G166" s="301" t="str">
        <f>IF(B166="","",IF(ISNA(VLOOKUP($B166,'E-1 Off-Site Hedge Baseline'!$B$1:$L$257,7,FALSE)),"",(VLOOKUP($B166,'E-1 Off-Site Hedge Baseline'!$B$1:$L$257,7,FALSE))))</f>
        <v/>
      </c>
      <c r="H166" s="301" t="str">
        <f>IF(B166="","",IF(ISNA(VLOOKUP($B166,'E-1 Off-Site Hedge Baseline'!$B$1:$L$257,8,FALSE)),"",(VLOOKUP($B166,'E-1 Off-Site Hedge Baseline'!$B$1:$L$257,8,FALSE))))</f>
        <v/>
      </c>
      <c r="I166" s="301" t="str">
        <f>IF(B166="","",IF(ISNA(VLOOKUP($B166,'E-1 Off-Site Hedge Baseline'!$B$1:$L$257,10,FALSE)),"",(VLOOKUP($B166,'E-1 Off-Site Hedge Baseline'!$B$1:$L$257,10,FALSE))))</f>
        <v/>
      </c>
      <c r="J166" s="301" t="str">
        <f>IF(B166="","",IF(ISNA(VLOOKUP($B166,'E-1 Off-Site Hedge Baseline'!$B$1:$L$257,11,FALSE)),"",(VLOOKUP($B166,'E-1 Off-Site Hedge Baseline'!$B$1:$L$257,11,FALSE))))</f>
        <v/>
      </c>
      <c r="K166" s="301" t="str">
        <f>IF(B166="","",IF(ISNA(VLOOKUP($B166,'E-1 Off-Site Hedge Baseline'!$B$1:$X$257,16,FALSE)),"",(VLOOKUP($B166,'E-1 Off-Site Hedge Baseline'!$B$1:$X$257,16,FALSE))))</f>
        <v/>
      </c>
      <c r="L166" s="289" t="str">
        <f>IF(B166="","",IF(ISNA(VLOOKUP($B166,'E-1 Off-Site Hedge Baseline'!$B$1:$X$257,12,FALSE)),"",(VLOOKUP($B166,'E-1 Off-Site Hedge Baseline'!$B$1:$X$257,12,FALSE))))</f>
        <v/>
      </c>
      <c r="M166" s="250"/>
      <c r="N166" s="281" t="str">
        <f>IFERROR(IF(B166="","",INDEX('G-6 Hedgerow Data'!$AN$3:$AZ$15,MATCH(C166,'G-6 Hedgerow Data'!$AM$3:$AM$15,0),MATCH(M166,'G-6 Hedgerow Data'!$AN$2:$AZ$2,0))),"")</f>
        <v/>
      </c>
      <c r="O166" s="282" t="str">
        <f t="shared" si="17"/>
        <v/>
      </c>
      <c r="P166" s="287" t="str">
        <f>IF(B166="","",VLOOKUP(B166,'E-1 Off-Site Hedge Baseline'!$B$10:W411,19,FALSE))</f>
        <v/>
      </c>
      <c r="Q166" s="281" t="str">
        <f>IF(M166="","",VLOOKUP(M166,'G-6 Hedgerow Data'!$B$2:$AG$15,2,FALSE))</f>
        <v/>
      </c>
      <c r="R166" s="282" t="str">
        <f>IF(M166="","",VLOOKUP(M166,'G-6 Hedgerow Data'!$B$2:$AG$15,3,FALSE))</f>
        <v/>
      </c>
      <c r="S166" s="105"/>
      <c r="T166" s="282" t="str">
        <f>IFERROR(IF(S166="","",IF(AND(M166="Non-native and ornamental hedgerow", S166&lt;&gt;"Poor"),"Not possible ▲", (IF(AND(Q166="V.Low",OR(S166="Good",S166="Moderate")),"Error ▲",VLOOKUP(S166,'G-1 All Habitats'!$Z$2:$AA$9,2,FALSE))))),"")</f>
        <v/>
      </c>
      <c r="U166" s="105"/>
      <c r="V166" s="289" t="str">
        <f>IF(U166="","",IF(VLOOKUP(U166,'G-3 Multipliers'!$L$3:$N$6,2,FALSE)=0,"Spatial Data Missing ⚠",VLOOKUP(U166,'G-3 Multipliers'!$L$3:$N$6,2,FALSE)))</f>
        <v/>
      </c>
      <c r="W166" s="287" t="str">
        <f>IF(U166="","",IF(VLOOKUP(U166,'G-3 Multipliers'!$L$3:$N$6,3,FALSE)=0,"Spatial Data Missing ⚠",VLOOKUP(U166,'G-3 Multipliers'!$L$3:$N$6,3,FALSE)))</f>
        <v/>
      </c>
      <c r="X166" s="281" t="str">
        <f>IFERROR(IF(OR(LEFT(O166,5)="Error",LEFT(N166,5)="Error",T166="Error"),"Check Data ⚠",IF(F166&lt;R166,INDEX('G-6 Hedgerow Data'!$S$3:$AE$14,MATCH(C166,'G-6 Hedgerow Data'!$B$3:$B$14,0),MATCH(M166,'G-6 Hedgerow Data'!$S$2:$AE$2,0)),INDEX('G-6 Hedgerow Data'!$K$3:$Q$14,MATCH(M166,'G-6 Hedgerow Data'!$B$3:$B$14,0),MATCH(O166,'G-6 Hedgerow Data'!$K$2:$Q$2,0)))),"")</f>
        <v/>
      </c>
      <c r="Y166" s="137"/>
      <c r="Z166" s="137"/>
      <c r="AA166" s="289" t="str">
        <f t="shared" si="18"/>
        <v/>
      </c>
      <c r="AB166" s="302" t="str">
        <f t="shared" si="19"/>
        <v/>
      </c>
      <c r="AC166" s="303" t="str">
        <f t="shared" si="16"/>
        <v/>
      </c>
      <c r="AD166" s="317" t="str">
        <f>IF(M166="","",VLOOKUP(M166,'G-6 Hedgerow Data'!$B$3:$AG$15,31,FALSE))</f>
        <v/>
      </c>
      <c r="AE166" s="301" t="str">
        <f t="shared" si="20"/>
        <v/>
      </c>
      <c r="AF166" s="289" t="str">
        <f t="shared" si="21"/>
        <v/>
      </c>
      <c r="AG166" s="305" t="str">
        <f>IFERROR(IF(O166="","",VLOOKUP(AD166,'G-3 Multipliers'!$P$3:$Q$6,2,FALSE)),"")</f>
        <v/>
      </c>
      <c r="AH166" s="729" t="str">
        <f>IF(B166="","",IF(ISNA(VLOOKUP($B166,'E-1 Off-Site Hedge Baseline'!$B$1:$Z$257,14,FALSE)),"",(VLOOKUP($B166,'E-1 Off-Site Hedge Baseline'!$B$1:$Z$257,14,FALSE))))</f>
        <v/>
      </c>
      <c r="AI166" s="282" t="str">
        <f>IF(AH166="","",IF(VLOOKUP(AH166,'G-3 Multipliers'!$S$3:$T$10,2,FALSE)=0,"Spatial Data Missing ⚠",VLOOKUP(AH166,'G-3 Multipliers'!$S$3:$T$10,2,FALSE)))</f>
        <v/>
      </c>
      <c r="AJ166" s="323" t="str">
        <f t="shared" si="22"/>
        <v/>
      </c>
      <c r="AK166" s="295" t="str">
        <f t="shared" si="23"/>
        <v/>
      </c>
      <c r="AL166" s="105"/>
      <c r="AM166" s="119"/>
      <c r="AN166" s="108"/>
      <c r="AO166" s="108"/>
      <c r="AQ166" s="30" t="str">
        <f>IFERROR(INDEX('G-6 Hedgerow Data'!$BJ$3:$BJ$15,MATCH(M166,'G-6 Hedgerow Data'!$B$3:$B$15,0)),"")</f>
        <v/>
      </c>
    </row>
    <row r="167" spans="2:43" ht="13.8" x14ac:dyDescent="0.25">
      <c r="B167" s="311" t="str">
        <f>'E-1 Off-Site Hedge Baseline'!AN165</f>
        <v/>
      </c>
      <c r="C167" s="301" t="str">
        <f>IF(B167="","",IF(ISNA(VLOOKUP($B167,'E-1 Off-Site Hedge Baseline'!$B$1:$L$257,3,FALSE)),"",(VLOOKUP($B167,'E-1 Off-Site Hedge Baseline'!$B$1:$L$257,3,FALSE))))</f>
        <v/>
      </c>
      <c r="D167" s="301" t="str">
        <f>IF(B167="","",IF(ISNA(VLOOKUP($B167,'E-1 Off-Site Hedge Baseline'!$B$1:$L$258,4,FALSE)),"",(VLOOKUP($B167,'E-1 Off-Site Hedge Baseline'!$B$1:$L$258,4,FALSE))))</f>
        <v/>
      </c>
      <c r="E167" s="301" t="str">
        <f>IF(B167="","",IF(ISNA(VLOOKUP($B167,'E-1 Off-Site Hedge Baseline'!$B$1:$L$257,5,FALSE)),"",(VLOOKUP($B167,'E-1 Off-Site Hedge Baseline'!$B$1:$L$257,5,FALSE))))</f>
        <v/>
      </c>
      <c r="F167" s="301" t="str">
        <f>IF(B167="","",IF(ISNA(VLOOKUP($B167,'E-1 Off-Site Hedge Baseline'!$B$1:$L$257,6,FALSE)),"",(VLOOKUP($B167,'E-1 Off-Site Hedge Baseline'!$B$1:$L$257,6,FALSE))))</f>
        <v/>
      </c>
      <c r="G167" s="301" t="str">
        <f>IF(B167="","",IF(ISNA(VLOOKUP($B167,'E-1 Off-Site Hedge Baseline'!$B$1:$L$257,7,FALSE)),"",(VLOOKUP($B167,'E-1 Off-Site Hedge Baseline'!$B$1:$L$257,7,FALSE))))</f>
        <v/>
      </c>
      <c r="H167" s="301" t="str">
        <f>IF(B167="","",IF(ISNA(VLOOKUP($B167,'E-1 Off-Site Hedge Baseline'!$B$1:$L$257,8,FALSE)),"",(VLOOKUP($B167,'E-1 Off-Site Hedge Baseline'!$B$1:$L$257,8,FALSE))))</f>
        <v/>
      </c>
      <c r="I167" s="301" t="str">
        <f>IF(B167="","",IF(ISNA(VLOOKUP($B167,'E-1 Off-Site Hedge Baseline'!$B$1:$L$257,10,FALSE)),"",(VLOOKUP($B167,'E-1 Off-Site Hedge Baseline'!$B$1:$L$257,10,FALSE))))</f>
        <v/>
      </c>
      <c r="J167" s="301" t="str">
        <f>IF(B167="","",IF(ISNA(VLOOKUP($B167,'E-1 Off-Site Hedge Baseline'!$B$1:$L$257,11,FALSE)),"",(VLOOKUP($B167,'E-1 Off-Site Hedge Baseline'!$B$1:$L$257,11,FALSE))))</f>
        <v/>
      </c>
      <c r="K167" s="301" t="str">
        <f>IF(B167="","",IF(ISNA(VLOOKUP($B167,'E-1 Off-Site Hedge Baseline'!$B$1:$X$257,16,FALSE)),"",(VLOOKUP($B167,'E-1 Off-Site Hedge Baseline'!$B$1:$X$257,16,FALSE))))</f>
        <v/>
      </c>
      <c r="L167" s="289" t="str">
        <f>IF(B167="","",IF(ISNA(VLOOKUP($B167,'E-1 Off-Site Hedge Baseline'!$B$1:$X$257,12,FALSE)),"",(VLOOKUP($B167,'E-1 Off-Site Hedge Baseline'!$B$1:$X$257,12,FALSE))))</f>
        <v/>
      </c>
      <c r="M167" s="250"/>
      <c r="N167" s="281" t="str">
        <f>IFERROR(IF(B167="","",INDEX('G-6 Hedgerow Data'!$AN$3:$AZ$15,MATCH(C167,'G-6 Hedgerow Data'!$AM$3:$AM$15,0),MATCH(M167,'G-6 Hedgerow Data'!$AN$2:$AZ$2,0))),"")</f>
        <v/>
      </c>
      <c r="O167" s="282" t="str">
        <f t="shared" si="17"/>
        <v/>
      </c>
      <c r="P167" s="287" t="str">
        <f>IF(B167="","",VLOOKUP(B167,'E-1 Off-Site Hedge Baseline'!$B$10:W412,19,FALSE))</f>
        <v/>
      </c>
      <c r="Q167" s="281" t="str">
        <f>IF(M167="","",VLOOKUP(M167,'G-6 Hedgerow Data'!$B$2:$AG$15,2,FALSE))</f>
        <v/>
      </c>
      <c r="R167" s="282" t="str">
        <f>IF(M167="","",VLOOKUP(M167,'G-6 Hedgerow Data'!$B$2:$AG$15,3,FALSE))</f>
        <v/>
      </c>
      <c r="S167" s="105"/>
      <c r="T167" s="282" t="str">
        <f>IFERROR(IF(S167="","",IF(AND(M167="Non-native and ornamental hedgerow", S167&lt;&gt;"Poor"),"Not possible ▲", (IF(AND(Q167="V.Low",OR(S167="Good",S167="Moderate")),"Error ▲",VLOOKUP(S167,'G-1 All Habitats'!$Z$2:$AA$9,2,FALSE))))),"")</f>
        <v/>
      </c>
      <c r="U167" s="105"/>
      <c r="V167" s="289" t="str">
        <f>IF(U167="","",IF(VLOOKUP(U167,'G-3 Multipliers'!$L$3:$N$6,2,FALSE)=0,"Spatial Data Missing ⚠",VLOOKUP(U167,'G-3 Multipliers'!$L$3:$N$6,2,FALSE)))</f>
        <v/>
      </c>
      <c r="W167" s="287" t="str">
        <f>IF(U167="","",IF(VLOOKUP(U167,'G-3 Multipliers'!$L$3:$N$6,3,FALSE)=0,"Spatial Data Missing ⚠",VLOOKUP(U167,'G-3 Multipliers'!$L$3:$N$6,3,FALSE)))</f>
        <v/>
      </c>
      <c r="X167" s="281" t="str">
        <f>IFERROR(IF(OR(LEFT(O167,5)="Error",LEFT(N167,5)="Error",T167="Error"),"Check Data ⚠",IF(F167&lt;R167,INDEX('G-6 Hedgerow Data'!$S$3:$AE$14,MATCH(C167,'G-6 Hedgerow Data'!$B$3:$B$14,0),MATCH(M167,'G-6 Hedgerow Data'!$S$2:$AE$2,0)),INDEX('G-6 Hedgerow Data'!$K$3:$Q$14,MATCH(M167,'G-6 Hedgerow Data'!$B$3:$B$14,0),MATCH(O167,'G-6 Hedgerow Data'!$K$2:$Q$2,0)))),"")</f>
        <v/>
      </c>
      <c r="Y167" s="137"/>
      <c r="Z167" s="137"/>
      <c r="AA167" s="289" t="str">
        <f t="shared" si="18"/>
        <v/>
      </c>
      <c r="AB167" s="302" t="str">
        <f t="shared" si="19"/>
        <v/>
      </c>
      <c r="AC167" s="303" t="str">
        <f t="shared" si="16"/>
        <v/>
      </c>
      <c r="AD167" s="317" t="str">
        <f>IF(M167="","",VLOOKUP(M167,'G-6 Hedgerow Data'!$B$3:$AG$15,31,FALSE))</f>
        <v/>
      </c>
      <c r="AE167" s="301" t="str">
        <f t="shared" si="20"/>
        <v/>
      </c>
      <c r="AF167" s="289" t="str">
        <f t="shared" si="21"/>
        <v/>
      </c>
      <c r="AG167" s="305" t="str">
        <f>IFERROR(IF(O167="","",VLOOKUP(AD167,'G-3 Multipliers'!$P$3:$Q$6,2,FALSE)),"")</f>
        <v/>
      </c>
      <c r="AH167" s="729" t="str">
        <f>IF(B167="","",IF(ISNA(VLOOKUP($B167,'E-1 Off-Site Hedge Baseline'!$B$1:$Z$257,14,FALSE)),"",(VLOOKUP($B167,'E-1 Off-Site Hedge Baseline'!$B$1:$Z$257,14,FALSE))))</f>
        <v/>
      </c>
      <c r="AI167" s="282" t="str">
        <f>IF(AH167="","",IF(VLOOKUP(AH167,'G-3 Multipliers'!$S$3:$T$10,2,FALSE)=0,"Spatial Data Missing ⚠",VLOOKUP(AH167,'G-3 Multipliers'!$S$3:$T$10,2,FALSE)))</f>
        <v/>
      </c>
      <c r="AJ167" s="323" t="str">
        <f t="shared" si="22"/>
        <v/>
      </c>
      <c r="AK167" s="295" t="str">
        <f t="shared" si="23"/>
        <v/>
      </c>
      <c r="AL167" s="105"/>
      <c r="AM167" s="119"/>
      <c r="AN167" s="108"/>
      <c r="AO167" s="108"/>
      <c r="AQ167" s="30" t="str">
        <f>IFERROR(INDEX('G-6 Hedgerow Data'!$BJ$3:$BJ$15,MATCH(M167,'G-6 Hedgerow Data'!$B$3:$B$15,0)),"")</f>
        <v/>
      </c>
    </row>
    <row r="168" spans="2:43" ht="13.8" x14ac:dyDescent="0.25">
      <c r="B168" s="311" t="str">
        <f>'E-1 Off-Site Hedge Baseline'!AN166</f>
        <v/>
      </c>
      <c r="C168" s="301" t="str">
        <f>IF(B168="","",IF(ISNA(VLOOKUP($B168,'E-1 Off-Site Hedge Baseline'!$B$1:$L$257,3,FALSE)),"",(VLOOKUP($B168,'E-1 Off-Site Hedge Baseline'!$B$1:$L$257,3,FALSE))))</f>
        <v/>
      </c>
      <c r="D168" s="301" t="str">
        <f>IF(B168="","",IF(ISNA(VLOOKUP($B168,'E-1 Off-Site Hedge Baseline'!$B$1:$L$258,4,FALSE)),"",(VLOOKUP($B168,'E-1 Off-Site Hedge Baseline'!$B$1:$L$258,4,FALSE))))</f>
        <v/>
      </c>
      <c r="E168" s="301" t="str">
        <f>IF(B168="","",IF(ISNA(VLOOKUP($B168,'E-1 Off-Site Hedge Baseline'!$B$1:$L$257,5,FALSE)),"",(VLOOKUP($B168,'E-1 Off-Site Hedge Baseline'!$B$1:$L$257,5,FALSE))))</f>
        <v/>
      </c>
      <c r="F168" s="301" t="str">
        <f>IF(B168="","",IF(ISNA(VLOOKUP($B168,'E-1 Off-Site Hedge Baseline'!$B$1:$L$257,6,FALSE)),"",(VLOOKUP($B168,'E-1 Off-Site Hedge Baseline'!$B$1:$L$257,6,FALSE))))</f>
        <v/>
      </c>
      <c r="G168" s="301" t="str">
        <f>IF(B168="","",IF(ISNA(VLOOKUP($B168,'E-1 Off-Site Hedge Baseline'!$B$1:$L$257,7,FALSE)),"",(VLOOKUP($B168,'E-1 Off-Site Hedge Baseline'!$B$1:$L$257,7,FALSE))))</f>
        <v/>
      </c>
      <c r="H168" s="301" t="str">
        <f>IF(B168="","",IF(ISNA(VLOOKUP($B168,'E-1 Off-Site Hedge Baseline'!$B$1:$L$257,8,FALSE)),"",(VLOOKUP($B168,'E-1 Off-Site Hedge Baseline'!$B$1:$L$257,8,FALSE))))</f>
        <v/>
      </c>
      <c r="I168" s="301" t="str">
        <f>IF(B168="","",IF(ISNA(VLOOKUP($B168,'E-1 Off-Site Hedge Baseline'!$B$1:$L$257,10,FALSE)),"",(VLOOKUP($B168,'E-1 Off-Site Hedge Baseline'!$B$1:$L$257,10,FALSE))))</f>
        <v/>
      </c>
      <c r="J168" s="301" t="str">
        <f>IF(B168="","",IF(ISNA(VLOOKUP($B168,'E-1 Off-Site Hedge Baseline'!$B$1:$L$257,11,FALSE)),"",(VLOOKUP($B168,'E-1 Off-Site Hedge Baseline'!$B$1:$L$257,11,FALSE))))</f>
        <v/>
      </c>
      <c r="K168" s="301" t="str">
        <f>IF(B168="","",IF(ISNA(VLOOKUP($B168,'E-1 Off-Site Hedge Baseline'!$B$1:$X$257,16,FALSE)),"",(VLOOKUP($B168,'E-1 Off-Site Hedge Baseline'!$B$1:$X$257,16,FALSE))))</f>
        <v/>
      </c>
      <c r="L168" s="289" t="str">
        <f>IF(B168="","",IF(ISNA(VLOOKUP($B168,'E-1 Off-Site Hedge Baseline'!$B$1:$X$257,12,FALSE)),"",(VLOOKUP($B168,'E-1 Off-Site Hedge Baseline'!$B$1:$X$257,12,FALSE))))</f>
        <v/>
      </c>
      <c r="M168" s="250"/>
      <c r="N168" s="281" t="str">
        <f>IFERROR(IF(B168="","",INDEX('G-6 Hedgerow Data'!$AN$3:$AZ$15,MATCH(C168,'G-6 Hedgerow Data'!$AM$3:$AM$15,0),MATCH(M168,'G-6 Hedgerow Data'!$AN$2:$AZ$2,0))),"")</f>
        <v/>
      </c>
      <c r="O168" s="282" t="str">
        <f t="shared" si="17"/>
        <v/>
      </c>
      <c r="P168" s="287" t="str">
        <f>IF(B168="","",VLOOKUP(B168,'E-1 Off-Site Hedge Baseline'!$B$10:W413,19,FALSE))</f>
        <v/>
      </c>
      <c r="Q168" s="281" t="str">
        <f>IF(M168="","",VLOOKUP(M168,'G-6 Hedgerow Data'!$B$2:$AG$15,2,FALSE))</f>
        <v/>
      </c>
      <c r="R168" s="282" t="str">
        <f>IF(M168="","",VLOOKUP(M168,'G-6 Hedgerow Data'!$B$2:$AG$15,3,FALSE))</f>
        <v/>
      </c>
      <c r="S168" s="105"/>
      <c r="T168" s="282" t="str">
        <f>IFERROR(IF(S168="","",IF(AND(M168="Non-native and ornamental hedgerow", S168&lt;&gt;"Poor"),"Not possible ▲", (IF(AND(Q168="V.Low",OR(S168="Good",S168="Moderate")),"Error ▲",VLOOKUP(S168,'G-1 All Habitats'!$Z$2:$AA$9,2,FALSE))))),"")</f>
        <v/>
      </c>
      <c r="U168" s="105"/>
      <c r="V168" s="289" t="str">
        <f>IF(U168="","",IF(VLOOKUP(U168,'G-3 Multipliers'!$L$3:$N$6,2,FALSE)=0,"Spatial Data Missing ⚠",VLOOKUP(U168,'G-3 Multipliers'!$L$3:$N$6,2,FALSE)))</f>
        <v/>
      </c>
      <c r="W168" s="287" t="str">
        <f>IF(U168="","",IF(VLOOKUP(U168,'G-3 Multipliers'!$L$3:$N$6,3,FALSE)=0,"Spatial Data Missing ⚠",VLOOKUP(U168,'G-3 Multipliers'!$L$3:$N$6,3,FALSE)))</f>
        <v/>
      </c>
      <c r="X168" s="281" t="str">
        <f>IFERROR(IF(OR(LEFT(O168,5)="Error",LEFT(N168,5)="Error",T168="Error"),"Check Data ⚠",IF(F168&lt;R168,INDEX('G-6 Hedgerow Data'!$S$3:$AE$14,MATCH(C168,'G-6 Hedgerow Data'!$B$3:$B$14,0),MATCH(M168,'G-6 Hedgerow Data'!$S$2:$AE$2,0)),INDEX('G-6 Hedgerow Data'!$K$3:$Q$14,MATCH(M168,'G-6 Hedgerow Data'!$B$3:$B$14,0),MATCH(O168,'G-6 Hedgerow Data'!$K$2:$Q$2,0)))),"")</f>
        <v/>
      </c>
      <c r="Y168" s="137"/>
      <c r="Z168" s="137"/>
      <c r="AA168" s="289" t="str">
        <f t="shared" si="18"/>
        <v/>
      </c>
      <c r="AB168" s="302" t="str">
        <f t="shared" si="19"/>
        <v/>
      </c>
      <c r="AC168" s="303" t="str">
        <f t="shared" si="16"/>
        <v/>
      </c>
      <c r="AD168" s="317" t="str">
        <f>IF(M168="","",VLOOKUP(M168,'G-6 Hedgerow Data'!$B$3:$AG$15,31,FALSE))</f>
        <v/>
      </c>
      <c r="AE168" s="301" t="str">
        <f t="shared" si="20"/>
        <v/>
      </c>
      <c r="AF168" s="289" t="str">
        <f t="shared" si="21"/>
        <v/>
      </c>
      <c r="AG168" s="305" t="str">
        <f>IFERROR(IF(O168="","",VLOOKUP(AD168,'G-3 Multipliers'!$P$3:$Q$6,2,FALSE)),"")</f>
        <v/>
      </c>
      <c r="AH168" s="729" t="str">
        <f>IF(B168="","",IF(ISNA(VLOOKUP($B168,'E-1 Off-Site Hedge Baseline'!$B$1:$Z$257,14,FALSE)),"",(VLOOKUP($B168,'E-1 Off-Site Hedge Baseline'!$B$1:$Z$257,14,FALSE))))</f>
        <v/>
      </c>
      <c r="AI168" s="282" t="str">
        <f>IF(AH168="","",IF(VLOOKUP(AH168,'G-3 Multipliers'!$S$3:$T$10,2,FALSE)=0,"Spatial Data Missing ⚠",VLOOKUP(AH168,'G-3 Multipliers'!$S$3:$T$10,2,FALSE)))</f>
        <v/>
      </c>
      <c r="AJ168" s="323" t="str">
        <f t="shared" si="22"/>
        <v/>
      </c>
      <c r="AK168" s="295" t="str">
        <f t="shared" si="23"/>
        <v/>
      </c>
      <c r="AL168" s="105"/>
      <c r="AM168" s="119"/>
      <c r="AN168" s="108"/>
      <c r="AO168" s="108"/>
      <c r="AQ168" s="30" t="str">
        <f>IFERROR(INDEX('G-6 Hedgerow Data'!$BJ$3:$BJ$15,MATCH(M168,'G-6 Hedgerow Data'!$B$3:$B$15,0)),"")</f>
        <v/>
      </c>
    </row>
    <row r="169" spans="2:43" ht="13.8" x14ac:dyDescent="0.25">
      <c r="B169" s="311" t="str">
        <f>'E-1 Off-Site Hedge Baseline'!AN167</f>
        <v/>
      </c>
      <c r="C169" s="301" t="str">
        <f>IF(B169="","",IF(ISNA(VLOOKUP($B169,'E-1 Off-Site Hedge Baseline'!$B$1:$L$257,3,FALSE)),"",(VLOOKUP($B169,'E-1 Off-Site Hedge Baseline'!$B$1:$L$257,3,FALSE))))</f>
        <v/>
      </c>
      <c r="D169" s="301" t="str">
        <f>IF(B169="","",IF(ISNA(VLOOKUP($B169,'E-1 Off-Site Hedge Baseline'!$B$1:$L$258,4,FALSE)),"",(VLOOKUP($B169,'E-1 Off-Site Hedge Baseline'!$B$1:$L$258,4,FALSE))))</f>
        <v/>
      </c>
      <c r="E169" s="301" t="str">
        <f>IF(B169="","",IF(ISNA(VLOOKUP($B169,'E-1 Off-Site Hedge Baseline'!$B$1:$L$257,5,FALSE)),"",(VLOOKUP($B169,'E-1 Off-Site Hedge Baseline'!$B$1:$L$257,5,FALSE))))</f>
        <v/>
      </c>
      <c r="F169" s="301" t="str">
        <f>IF(B169="","",IF(ISNA(VLOOKUP($B169,'E-1 Off-Site Hedge Baseline'!$B$1:$L$257,6,FALSE)),"",(VLOOKUP($B169,'E-1 Off-Site Hedge Baseline'!$B$1:$L$257,6,FALSE))))</f>
        <v/>
      </c>
      <c r="G169" s="301" t="str">
        <f>IF(B169="","",IF(ISNA(VLOOKUP($B169,'E-1 Off-Site Hedge Baseline'!$B$1:$L$257,7,FALSE)),"",(VLOOKUP($B169,'E-1 Off-Site Hedge Baseline'!$B$1:$L$257,7,FALSE))))</f>
        <v/>
      </c>
      <c r="H169" s="301" t="str">
        <f>IF(B169="","",IF(ISNA(VLOOKUP($B169,'E-1 Off-Site Hedge Baseline'!$B$1:$L$257,8,FALSE)),"",(VLOOKUP($B169,'E-1 Off-Site Hedge Baseline'!$B$1:$L$257,8,FALSE))))</f>
        <v/>
      </c>
      <c r="I169" s="301" t="str">
        <f>IF(B169="","",IF(ISNA(VLOOKUP($B169,'E-1 Off-Site Hedge Baseline'!$B$1:$L$257,10,FALSE)),"",(VLOOKUP($B169,'E-1 Off-Site Hedge Baseline'!$B$1:$L$257,10,FALSE))))</f>
        <v/>
      </c>
      <c r="J169" s="301" t="str">
        <f>IF(B169="","",IF(ISNA(VLOOKUP($B169,'E-1 Off-Site Hedge Baseline'!$B$1:$L$257,11,FALSE)),"",(VLOOKUP($B169,'E-1 Off-Site Hedge Baseline'!$B$1:$L$257,11,FALSE))))</f>
        <v/>
      </c>
      <c r="K169" s="301" t="str">
        <f>IF(B169="","",IF(ISNA(VLOOKUP($B169,'E-1 Off-Site Hedge Baseline'!$B$1:$X$257,16,FALSE)),"",(VLOOKUP($B169,'E-1 Off-Site Hedge Baseline'!$B$1:$X$257,16,FALSE))))</f>
        <v/>
      </c>
      <c r="L169" s="289" t="str">
        <f>IF(B169="","",IF(ISNA(VLOOKUP($B169,'E-1 Off-Site Hedge Baseline'!$B$1:$X$257,12,FALSE)),"",(VLOOKUP($B169,'E-1 Off-Site Hedge Baseline'!$B$1:$X$257,12,FALSE))))</f>
        <v/>
      </c>
      <c r="M169" s="250"/>
      <c r="N169" s="281" t="str">
        <f>IFERROR(IF(B169="","",INDEX('G-6 Hedgerow Data'!$AN$3:$AZ$15,MATCH(C169,'G-6 Hedgerow Data'!$AM$3:$AM$15,0),MATCH(M169,'G-6 Hedgerow Data'!$AN$2:$AZ$2,0))),"")</f>
        <v/>
      </c>
      <c r="O169" s="282" t="str">
        <f t="shared" si="17"/>
        <v/>
      </c>
      <c r="P169" s="287" t="str">
        <f>IF(B169="","",VLOOKUP(B169,'E-1 Off-Site Hedge Baseline'!$B$10:W414,19,FALSE))</f>
        <v/>
      </c>
      <c r="Q169" s="281" t="str">
        <f>IF(M169="","",VLOOKUP(M169,'G-6 Hedgerow Data'!$B$2:$AG$15,2,FALSE))</f>
        <v/>
      </c>
      <c r="R169" s="282" t="str">
        <f>IF(M169="","",VLOOKUP(M169,'G-6 Hedgerow Data'!$B$2:$AG$15,3,FALSE))</f>
        <v/>
      </c>
      <c r="S169" s="105"/>
      <c r="T169" s="282" t="str">
        <f>IFERROR(IF(S169="","",IF(AND(M169="Non-native and ornamental hedgerow", S169&lt;&gt;"Poor"),"Not possible ▲", (IF(AND(Q169="V.Low",OR(S169="Good",S169="Moderate")),"Error ▲",VLOOKUP(S169,'G-1 All Habitats'!$Z$2:$AA$9,2,FALSE))))),"")</f>
        <v/>
      </c>
      <c r="U169" s="105"/>
      <c r="V169" s="289" t="str">
        <f>IF(U169="","",IF(VLOOKUP(U169,'G-3 Multipliers'!$L$3:$N$6,2,FALSE)=0,"Spatial Data Missing ⚠",VLOOKUP(U169,'G-3 Multipliers'!$L$3:$N$6,2,FALSE)))</f>
        <v/>
      </c>
      <c r="W169" s="287" t="str">
        <f>IF(U169="","",IF(VLOOKUP(U169,'G-3 Multipliers'!$L$3:$N$6,3,FALSE)=0,"Spatial Data Missing ⚠",VLOOKUP(U169,'G-3 Multipliers'!$L$3:$N$6,3,FALSE)))</f>
        <v/>
      </c>
      <c r="X169" s="281" t="str">
        <f>IFERROR(IF(OR(LEFT(O169,5)="Error",LEFT(N169,5)="Error",T169="Error"),"Check Data ⚠",IF(F169&lt;R169,INDEX('G-6 Hedgerow Data'!$S$3:$AE$14,MATCH(C169,'G-6 Hedgerow Data'!$B$3:$B$14,0),MATCH(M169,'G-6 Hedgerow Data'!$S$2:$AE$2,0)),INDEX('G-6 Hedgerow Data'!$K$3:$Q$14,MATCH(M169,'G-6 Hedgerow Data'!$B$3:$B$14,0),MATCH(O169,'G-6 Hedgerow Data'!$K$2:$Q$2,0)))),"")</f>
        <v/>
      </c>
      <c r="Y169" s="137"/>
      <c r="Z169" s="137"/>
      <c r="AA169" s="289" t="str">
        <f t="shared" si="18"/>
        <v/>
      </c>
      <c r="AB169" s="302" t="str">
        <f t="shared" si="19"/>
        <v/>
      </c>
      <c r="AC169" s="303" t="str">
        <f t="shared" si="16"/>
        <v/>
      </c>
      <c r="AD169" s="317" t="str">
        <f>IF(M169="","",VLOOKUP(M169,'G-6 Hedgerow Data'!$B$3:$AG$15,31,FALSE))</f>
        <v/>
      </c>
      <c r="AE169" s="301" t="str">
        <f t="shared" si="20"/>
        <v/>
      </c>
      <c r="AF169" s="289" t="str">
        <f t="shared" si="21"/>
        <v/>
      </c>
      <c r="AG169" s="305" t="str">
        <f>IFERROR(IF(O169="","",VLOOKUP(AD169,'G-3 Multipliers'!$P$3:$Q$6,2,FALSE)),"")</f>
        <v/>
      </c>
      <c r="AH169" s="729" t="str">
        <f>IF(B169="","",IF(ISNA(VLOOKUP($B169,'E-1 Off-Site Hedge Baseline'!$B$1:$Z$257,14,FALSE)),"",(VLOOKUP($B169,'E-1 Off-Site Hedge Baseline'!$B$1:$Z$257,14,FALSE))))</f>
        <v/>
      </c>
      <c r="AI169" s="282" t="str">
        <f>IF(AH169="","",IF(VLOOKUP(AH169,'G-3 Multipliers'!$S$3:$T$10,2,FALSE)=0,"Spatial Data Missing ⚠",VLOOKUP(AH169,'G-3 Multipliers'!$S$3:$T$10,2,FALSE)))</f>
        <v/>
      </c>
      <c r="AJ169" s="323" t="str">
        <f t="shared" si="22"/>
        <v/>
      </c>
      <c r="AK169" s="295" t="str">
        <f t="shared" si="23"/>
        <v/>
      </c>
      <c r="AL169" s="105"/>
      <c r="AM169" s="119"/>
      <c r="AN169" s="108"/>
      <c r="AO169" s="108"/>
      <c r="AQ169" s="30" t="str">
        <f>IFERROR(INDEX('G-6 Hedgerow Data'!$BJ$3:$BJ$15,MATCH(M169,'G-6 Hedgerow Data'!$B$3:$B$15,0)),"")</f>
        <v/>
      </c>
    </row>
    <row r="170" spans="2:43" ht="13.8" x14ac:dyDescent="0.25">
      <c r="B170" s="311" t="str">
        <f>'E-1 Off-Site Hedge Baseline'!AN168</f>
        <v/>
      </c>
      <c r="C170" s="301" t="str">
        <f>IF(B170="","",IF(ISNA(VLOOKUP($B170,'E-1 Off-Site Hedge Baseline'!$B$1:$L$257,3,FALSE)),"",(VLOOKUP($B170,'E-1 Off-Site Hedge Baseline'!$B$1:$L$257,3,FALSE))))</f>
        <v/>
      </c>
      <c r="D170" s="301" t="str">
        <f>IF(B170="","",IF(ISNA(VLOOKUP($B170,'E-1 Off-Site Hedge Baseline'!$B$1:$L$258,4,FALSE)),"",(VLOOKUP($B170,'E-1 Off-Site Hedge Baseline'!$B$1:$L$258,4,FALSE))))</f>
        <v/>
      </c>
      <c r="E170" s="301" t="str">
        <f>IF(B170="","",IF(ISNA(VLOOKUP($B170,'E-1 Off-Site Hedge Baseline'!$B$1:$L$257,5,FALSE)),"",(VLOOKUP($B170,'E-1 Off-Site Hedge Baseline'!$B$1:$L$257,5,FALSE))))</f>
        <v/>
      </c>
      <c r="F170" s="301" t="str">
        <f>IF(B170="","",IF(ISNA(VLOOKUP($B170,'E-1 Off-Site Hedge Baseline'!$B$1:$L$257,6,FALSE)),"",(VLOOKUP($B170,'E-1 Off-Site Hedge Baseline'!$B$1:$L$257,6,FALSE))))</f>
        <v/>
      </c>
      <c r="G170" s="301" t="str">
        <f>IF(B170="","",IF(ISNA(VLOOKUP($B170,'E-1 Off-Site Hedge Baseline'!$B$1:$L$257,7,FALSE)),"",(VLOOKUP($B170,'E-1 Off-Site Hedge Baseline'!$B$1:$L$257,7,FALSE))))</f>
        <v/>
      </c>
      <c r="H170" s="301" t="str">
        <f>IF(B170="","",IF(ISNA(VLOOKUP($B170,'E-1 Off-Site Hedge Baseline'!$B$1:$L$257,8,FALSE)),"",(VLOOKUP($B170,'E-1 Off-Site Hedge Baseline'!$B$1:$L$257,8,FALSE))))</f>
        <v/>
      </c>
      <c r="I170" s="301" t="str">
        <f>IF(B170="","",IF(ISNA(VLOOKUP($B170,'E-1 Off-Site Hedge Baseline'!$B$1:$L$257,10,FALSE)),"",(VLOOKUP($B170,'E-1 Off-Site Hedge Baseline'!$B$1:$L$257,10,FALSE))))</f>
        <v/>
      </c>
      <c r="J170" s="301" t="str">
        <f>IF(B170="","",IF(ISNA(VLOOKUP($B170,'E-1 Off-Site Hedge Baseline'!$B$1:$L$257,11,FALSE)),"",(VLOOKUP($B170,'E-1 Off-Site Hedge Baseline'!$B$1:$L$257,11,FALSE))))</f>
        <v/>
      </c>
      <c r="K170" s="301" t="str">
        <f>IF(B170="","",IF(ISNA(VLOOKUP($B170,'E-1 Off-Site Hedge Baseline'!$B$1:$X$257,16,FALSE)),"",(VLOOKUP($B170,'E-1 Off-Site Hedge Baseline'!$B$1:$X$257,16,FALSE))))</f>
        <v/>
      </c>
      <c r="L170" s="289" t="str">
        <f>IF(B170="","",IF(ISNA(VLOOKUP($B170,'E-1 Off-Site Hedge Baseline'!$B$1:$X$257,12,FALSE)),"",(VLOOKUP($B170,'E-1 Off-Site Hedge Baseline'!$B$1:$X$257,12,FALSE))))</f>
        <v/>
      </c>
      <c r="M170" s="250"/>
      <c r="N170" s="281" t="str">
        <f>IFERROR(IF(B170="","",INDEX('G-6 Hedgerow Data'!$AN$3:$AZ$15,MATCH(C170,'G-6 Hedgerow Data'!$AM$3:$AM$15,0),MATCH(M170,'G-6 Hedgerow Data'!$AN$2:$AZ$2,0))),"")</f>
        <v/>
      </c>
      <c r="O170" s="282" t="str">
        <f t="shared" si="17"/>
        <v/>
      </c>
      <c r="P170" s="287" t="str">
        <f>IF(B170="","",VLOOKUP(B170,'E-1 Off-Site Hedge Baseline'!$B$10:W415,19,FALSE))</f>
        <v/>
      </c>
      <c r="Q170" s="281" t="str">
        <f>IF(M170="","",VLOOKUP(M170,'G-6 Hedgerow Data'!$B$2:$AG$15,2,FALSE))</f>
        <v/>
      </c>
      <c r="R170" s="282" t="str">
        <f>IF(M170="","",VLOOKUP(M170,'G-6 Hedgerow Data'!$B$2:$AG$15,3,FALSE))</f>
        <v/>
      </c>
      <c r="S170" s="105"/>
      <c r="T170" s="282" t="str">
        <f>IFERROR(IF(S170="","",IF(AND(M170="Non-native and ornamental hedgerow", S170&lt;&gt;"Poor"),"Not possible ▲", (IF(AND(Q170="V.Low",OR(S170="Good",S170="Moderate")),"Error ▲",VLOOKUP(S170,'G-1 All Habitats'!$Z$2:$AA$9,2,FALSE))))),"")</f>
        <v/>
      </c>
      <c r="U170" s="105"/>
      <c r="V170" s="289" t="str">
        <f>IF(U170="","",IF(VLOOKUP(U170,'G-3 Multipliers'!$L$3:$N$6,2,FALSE)=0,"Spatial Data Missing ⚠",VLOOKUP(U170,'G-3 Multipliers'!$L$3:$N$6,2,FALSE)))</f>
        <v/>
      </c>
      <c r="W170" s="287" t="str">
        <f>IF(U170="","",IF(VLOOKUP(U170,'G-3 Multipliers'!$L$3:$N$6,3,FALSE)=0,"Spatial Data Missing ⚠",VLOOKUP(U170,'G-3 Multipliers'!$L$3:$N$6,3,FALSE)))</f>
        <v/>
      </c>
      <c r="X170" s="281" t="str">
        <f>IFERROR(IF(OR(LEFT(O170,5)="Error",LEFT(N170,5)="Error",T170="Error"),"Check Data ⚠",IF(F170&lt;R170,INDEX('G-6 Hedgerow Data'!$S$3:$AE$14,MATCH(C170,'G-6 Hedgerow Data'!$B$3:$B$14,0),MATCH(M170,'G-6 Hedgerow Data'!$S$2:$AE$2,0)),INDEX('G-6 Hedgerow Data'!$K$3:$Q$14,MATCH(M170,'G-6 Hedgerow Data'!$B$3:$B$14,0),MATCH(O170,'G-6 Hedgerow Data'!$K$2:$Q$2,0)))),"")</f>
        <v/>
      </c>
      <c r="Y170" s="137"/>
      <c r="Z170" s="137"/>
      <c r="AA170" s="289" t="str">
        <f t="shared" si="18"/>
        <v/>
      </c>
      <c r="AB170" s="302" t="str">
        <f t="shared" si="19"/>
        <v/>
      </c>
      <c r="AC170" s="303" t="str">
        <f t="shared" si="16"/>
        <v/>
      </c>
      <c r="AD170" s="317" t="str">
        <f>IF(M170="","",VLOOKUP(M170,'G-6 Hedgerow Data'!$B$3:$AG$15,31,FALSE))</f>
        <v/>
      </c>
      <c r="AE170" s="301" t="str">
        <f t="shared" si="20"/>
        <v/>
      </c>
      <c r="AF170" s="289" t="str">
        <f t="shared" si="21"/>
        <v/>
      </c>
      <c r="AG170" s="305" t="str">
        <f>IFERROR(IF(O170="","",VLOOKUP(AD170,'G-3 Multipliers'!$P$3:$Q$6,2,FALSE)),"")</f>
        <v/>
      </c>
      <c r="AH170" s="729" t="str">
        <f>IF(B170="","",IF(ISNA(VLOOKUP($B170,'E-1 Off-Site Hedge Baseline'!$B$1:$Z$257,14,FALSE)),"",(VLOOKUP($B170,'E-1 Off-Site Hedge Baseline'!$B$1:$Z$257,14,FALSE))))</f>
        <v/>
      </c>
      <c r="AI170" s="282" t="str">
        <f>IF(AH170="","",IF(VLOOKUP(AH170,'G-3 Multipliers'!$S$3:$T$10,2,FALSE)=0,"Spatial Data Missing ⚠",VLOOKUP(AH170,'G-3 Multipliers'!$S$3:$T$10,2,FALSE)))</f>
        <v/>
      </c>
      <c r="AJ170" s="323" t="str">
        <f t="shared" si="22"/>
        <v/>
      </c>
      <c r="AK170" s="295" t="str">
        <f t="shared" si="23"/>
        <v/>
      </c>
      <c r="AL170" s="105"/>
      <c r="AM170" s="119"/>
      <c r="AN170" s="108"/>
      <c r="AO170" s="108"/>
      <c r="AQ170" s="30" t="str">
        <f>IFERROR(INDEX('G-6 Hedgerow Data'!$BJ$3:$BJ$15,MATCH(M170,'G-6 Hedgerow Data'!$B$3:$B$15,0)),"")</f>
        <v/>
      </c>
    </row>
    <row r="171" spans="2:43" ht="13.8" x14ac:dyDescent="0.25">
      <c r="B171" s="311" t="str">
        <f>'E-1 Off-Site Hedge Baseline'!AN169</f>
        <v/>
      </c>
      <c r="C171" s="301" t="str">
        <f>IF(B171="","",IF(ISNA(VLOOKUP($B171,'E-1 Off-Site Hedge Baseline'!$B$1:$L$257,3,FALSE)),"",(VLOOKUP($B171,'E-1 Off-Site Hedge Baseline'!$B$1:$L$257,3,FALSE))))</f>
        <v/>
      </c>
      <c r="D171" s="301" t="str">
        <f>IF(B171="","",IF(ISNA(VLOOKUP($B171,'E-1 Off-Site Hedge Baseline'!$B$1:$L$258,4,FALSE)),"",(VLOOKUP($B171,'E-1 Off-Site Hedge Baseline'!$B$1:$L$258,4,FALSE))))</f>
        <v/>
      </c>
      <c r="E171" s="301" t="str">
        <f>IF(B171="","",IF(ISNA(VLOOKUP($B171,'E-1 Off-Site Hedge Baseline'!$B$1:$L$257,5,FALSE)),"",(VLOOKUP($B171,'E-1 Off-Site Hedge Baseline'!$B$1:$L$257,5,FALSE))))</f>
        <v/>
      </c>
      <c r="F171" s="301" t="str">
        <f>IF(B171="","",IF(ISNA(VLOOKUP($B171,'E-1 Off-Site Hedge Baseline'!$B$1:$L$257,6,FALSE)),"",(VLOOKUP($B171,'E-1 Off-Site Hedge Baseline'!$B$1:$L$257,6,FALSE))))</f>
        <v/>
      </c>
      <c r="G171" s="301" t="str">
        <f>IF(B171="","",IF(ISNA(VLOOKUP($B171,'E-1 Off-Site Hedge Baseline'!$B$1:$L$257,7,FALSE)),"",(VLOOKUP($B171,'E-1 Off-Site Hedge Baseline'!$B$1:$L$257,7,FALSE))))</f>
        <v/>
      </c>
      <c r="H171" s="301" t="str">
        <f>IF(B171="","",IF(ISNA(VLOOKUP($B171,'E-1 Off-Site Hedge Baseline'!$B$1:$L$257,8,FALSE)),"",(VLOOKUP($B171,'E-1 Off-Site Hedge Baseline'!$B$1:$L$257,8,FALSE))))</f>
        <v/>
      </c>
      <c r="I171" s="301" t="str">
        <f>IF(B171="","",IF(ISNA(VLOOKUP($B171,'E-1 Off-Site Hedge Baseline'!$B$1:$L$257,10,FALSE)),"",(VLOOKUP($B171,'E-1 Off-Site Hedge Baseline'!$B$1:$L$257,10,FALSE))))</f>
        <v/>
      </c>
      <c r="J171" s="301" t="str">
        <f>IF(B171="","",IF(ISNA(VLOOKUP($B171,'E-1 Off-Site Hedge Baseline'!$B$1:$L$257,11,FALSE)),"",(VLOOKUP($B171,'E-1 Off-Site Hedge Baseline'!$B$1:$L$257,11,FALSE))))</f>
        <v/>
      </c>
      <c r="K171" s="301" t="str">
        <f>IF(B171="","",IF(ISNA(VLOOKUP($B171,'E-1 Off-Site Hedge Baseline'!$B$1:$X$257,16,FALSE)),"",(VLOOKUP($B171,'E-1 Off-Site Hedge Baseline'!$B$1:$X$257,16,FALSE))))</f>
        <v/>
      </c>
      <c r="L171" s="289" t="str">
        <f>IF(B171="","",IF(ISNA(VLOOKUP($B171,'E-1 Off-Site Hedge Baseline'!$B$1:$X$257,12,FALSE)),"",(VLOOKUP($B171,'E-1 Off-Site Hedge Baseline'!$B$1:$X$257,12,FALSE))))</f>
        <v/>
      </c>
      <c r="M171" s="250"/>
      <c r="N171" s="281" t="str">
        <f>IFERROR(IF(B171="","",INDEX('G-6 Hedgerow Data'!$AN$3:$AZ$15,MATCH(C171,'G-6 Hedgerow Data'!$AM$3:$AM$15,0),MATCH(M171,'G-6 Hedgerow Data'!$AN$2:$AZ$2,0))),"")</f>
        <v/>
      </c>
      <c r="O171" s="282" t="str">
        <f t="shared" si="17"/>
        <v/>
      </c>
      <c r="P171" s="287" t="str">
        <f>IF(B171="","",VLOOKUP(B171,'E-1 Off-Site Hedge Baseline'!$B$10:W416,19,FALSE))</f>
        <v/>
      </c>
      <c r="Q171" s="281" t="str">
        <f>IF(M171="","",VLOOKUP(M171,'G-6 Hedgerow Data'!$B$2:$AG$15,2,FALSE))</f>
        <v/>
      </c>
      <c r="R171" s="282" t="str">
        <f>IF(M171="","",VLOOKUP(M171,'G-6 Hedgerow Data'!$B$2:$AG$15,3,FALSE))</f>
        <v/>
      </c>
      <c r="S171" s="105"/>
      <c r="T171" s="282" t="str">
        <f>IFERROR(IF(S171="","",IF(AND(M171="Non-native and ornamental hedgerow", S171&lt;&gt;"Poor"),"Not possible ▲", (IF(AND(Q171="V.Low",OR(S171="Good",S171="Moderate")),"Error ▲",VLOOKUP(S171,'G-1 All Habitats'!$Z$2:$AA$9,2,FALSE))))),"")</f>
        <v/>
      </c>
      <c r="U171" s="105"/>
      <c r="V171" s="289" t="str">
        <f>IF(U171="","",IF(VLOOKUP(U171,'G-3 Multipliers'!$L$3:$N$6,2,FALSE)=0,"Spatial Data Missing ⚠",VLOOKUP(U171,'G-3 Multipliers'!$L$3:$N$6,2,FALSE)))</f>
        <v/>
      </c>
      <c r="W171" s="287" t="str">
        <f>IF(U171="","",IF(VLOOKUP(U171,'G-3 Multipliers'!$L$3:$N$6,3,FALSE)=0,"Spatial Data Missing ⚠",VLOOKUP(U171,'G-3 Multipliers'!$L$3:$N$6,3,FALSE)))</f>
        <v/>
      </c>
      <c r="X171" s="281" t="str">
        <f>IFERROR(IF(OR(LEFT(O171,5)="Error",LEFT(N171,5)="Error",T171="Error"),"Check Data ⚠",IF(F171&lt;R171,INDEX('G-6 Hedgerow Data'!$S$3:$AE$14,MATCH(C171,'G-6 Hedgerow Data'!$B$3:$B$14,0),MATCH(M171,'G-6 Hedgerow Data'!$S$2:$AE$2,0)),INDEX('G-6 Hedgerow Data'!$K$3:$Q$14,MATCH(M171,'G-6 Hedgerow Data'!$B$3:$B$14,0),MATCH(O171,'G-6 Hedgerow Data'!$K$2:$Q$2,0)))),"")</f>
        <v/>
      </c>
      <c r="Y171" s="137"/>
      <c r="Z171" s="137"/>
      <c r="AA171" s="289" t="str">
        <f t="shared" si="18"/>
        <v/>
      </c>
      <c r="AB171" s="302" t="str">
        <f t="shared" si="19"/>
        <v/>
      </c>
      <c r="AC171" s="303" t="str">
        <f t="shared" si="16"/>
        <v/>
      </c>
      <c r="AD171" s="317" t="str">
        <f>IF(M171="","",VLOOKUP(M171,'G-6 Hedgerow Data'!$B$3:$AG$15,31,FALSE))</f>
        <v/>
      </c>
      <c r="AE171" s="301" t="str">
        <f t="shared" si="20"/>
        <v/>
      </c>
      <c r="AF171" s="289" t="str">
        <f t="shared" si="21"/>
        <v/>
      </c>
      <c r="AG171" s="305" t="str">
        <f>IFERROR(IF(O171="","",VLOOKUP(AD171,'G-3 Multipliers'!$P$3:$Q$6,2,FALSE)),"")</f>
        <v/>
      </c>
      <c r="AH171" s="729" t="str">
        <f>IF(B171="","",IF(ISNA(VLOOKUP($B171,'E-1 Off-Site Hedge Baseline'!$B$1:$Z$257,14,FALSE)),"",(VLOOKUP($B171,'E-1 Off-Site Hedge Baseline'!$B$1:$Z$257,14,FALSE))))</f>
        <v/>
      </c>
      <c r="AI171" s="282" t="str">
        <f>IF(AH171="","",IF(VLOOKUP(AH171,'G-3 Multipliers'!$S$3:$T$10,2,FALSE)=0,"Spatial Data Missing ⚠",VLOOKUP(AH171,'G-3 Multipliers'!$S$3:$T$10,2,FALSE)))</f>
        <v/>
      </c>
      <c r="AJ171" s="323" t="str">
        <f t="shared" si="22"/>
        <v/>
      </c>
      <c r="AK171" s="295" t="str">
        <f t="shared" si="23"/>
        <v/>
      </c>
      <c r="AL171" s="105"/>
      <c r="AM171" s="119"/>
      <c r="AN171" s="108"/>
      <c r="AO171" s="108"/>
      <c r="AQ171" s="30" t="str">
        <f>IFERROR(INDEX('G-6 Hedgerow Data'!$BJ$3:$BJ$15,MATCH(M171,'G-6 Hedgerow Data'!$B$3:$B$15,0)),"")</f>
        <v/>
      </c>
    </row>
    <row r="172" spans="2:43" ht="13.8" x14ac:dyDescent="0.25">
      <c r="B172" s="311" t="str">
        <f>'E-1 Off-Site Hedge Baseline'!AN170</f>
        <v/>
      </c>
      <c r="C172" s="301" t="str">
        <f>IF(B172="","",IF(ISNA(VLOOKUP($B172,'E-1 Off-Site Hedge Baseline'!$B$1:$L$257,3,FALSE)),"",(VLOOKUP($B172,'E-1 Off-Site Hedge Baseline'!$B$1:$L$257,3,FALSE))))</f>
        <v/>
      </c>
      <c r="D172" s="301" t="str">
        <f>IF(B172="","",IF(ISNA(VLOOKUP($B172,'E-1 Off-Site Hedge Baseline'!$B$1:$L$258,4,FALSE)),"",(VLOOKUP($B172,'E-1 Off-Site Hedge Baseline'!$B$1:$L$258,4,FALSE))))</f>
        <v/>
      </c>
      <c r="E172" s="301" t="str">
        <f>IF(B172="","",IF(ISNA(VLOOKUP($B172,'E-1 Off-Site Hedge Baseline'!$B$1:$L$257,5,FALSE)),"",(VLOOKUP($B172,'E-1 Off-Site Hedge Baseline'!$B$1:$L$257,5,FALSE))))</f>
        <v/>
      </c>
      <c r="F172" s="301" t="str">
        <f>IF(B172="","",IF(ISNA(VLOOKUP($B172,'E-1 Off-Site Hedge Baseline'!$B$1:$L$257,6,FALSE)),"",(VLOOKUP($B172,'E-1 Off-Site Hedge Baseline'!$B$1:$L$257,6,FALSE))))</f>
        <v/>
      </c>
      <c r="G172" s="301" t="str">
        <f>IF(B172="","",IF(ISNA(VLOOKUP($B172,'E-1 Off-Site Hedge Baseline'!$B$1:$L$257,7,FALSE)),"",(VLOOKUP($B172,'E-1 Off-Site Hedge Baseline'!$B$1:$L$257,7,FALSE))))</f>
        <v/>
      </c>
      <c r="H172" s="301" t="str">
        <f>IF(B172="","",IF(ISNA(VLOOKUP($B172,'E-1 Off-Site Hedge Baseline'!$B$1:$L$257,8,FALSE)),"",(VLOOKUP($B172,'E-1 Off-Site Hedge Baseline'!$B$1:$L$257,8,FALSE))))</f>
        <v/>
      </c>
      <c r="I172" s="301" t="str">
        <f>IF(B172="","",IF(ISNA(VLOOKUP($B172,'E-1 Off-Site Hedge Baseline'!$B$1:$L$257,10,FALSE)),"",(VLOOKUP($B172,'E-1 Off-Site Hedge Baseline'!$B$1:$L$257,10,FALSE))))</f>
        <v/>
      </c>
      <c r="J172" s="301" t="str">
        <f>IF(B172="","",IF(ISNA(VLOOKUP($B172,'E-1 Off-Site Hedge Baseline'!$B$1:$L$257,11,FALSE)),"",(VLOOKUP($B172,'E-1 Off-Site Hedge Baseline'!$B$1:$L$257,11,FALSE))))</f>
        <v/>
      </c>
      <c r="K172" s="301" t="str">
        <f>IF(B172="","",IF(ISNA(VLOOKUP($B172,'E-1 Off-Site Hedge Baseline'!$B$1:$X$257,16,FALSE)),"",(VLOOKUP($B172,'E-1 Off-Site Hedge Baseline'!$B$1:$X$257,16,FALSE))))</f>
        <v/>
      </c>
      <c r="L172" s="289" t="str">
        <f>IF(B172="","",IF(ISNA(VLOOKUP($B172,'E-1 Off-Site Hedge Baseline'!$B$1:$X$257,12,FALSE)),"",(VLOOKUP($B172,'E-1 Off-Site Hedge Baseline'!$B$1:$X$257,12,FALSE))))</f>
        <v/>
      </c>
      <c r="M172" s="250"/>
      <c r="N172" s="281" t="str">
        <f>IFERROR(IF(B172="","",INDEX('G-6 Hedgerow Data'!$AN$3:$AZ$15,MATCH(C172,'G-6 Hedgerow Data'!$AM$3:$AM$15,0),MATCH(M172,'G-6 Hedgerow Data'!$AN$2:$AZ$2,0))),"")</f>
        <v/>
      </c>
      <c r="O172" s="282" t="str">
        <f t="shared" si="17"/>
        <v/>
      </c>
      <c r="P172" s="287" t="str">
        <f>IF(B172="","",VLOOKUP(B172,'E-1 Off-Site Hedge Baseline'!$B$10:W417,19,FALSE))</f>
        <v/>
      </c>
      <c r="Q172" s="281" t="str">
        <f>IF(M172="","",VLOOKUP(M172,'G-6 Hedgerow Data'!$B$2:$AG$15,2,FALSE))</f>
        <v/>
      </c>
      <c r="R172" s="282" t="str">
        <f>IF(M172="","",VLOOKUP(M172,'G-6 Hedgerow Data'!$B$2:$AG$15,3,FALSE))</f>
        <v/>
      </c>
      <c r="S172" s="105"/>
      <c r="T172" s="282" t="str">
        <f>IFERROR(IF(S172="","",IF(AND(M172="Non-native and ornamental hedgerow", S172&lt;&gt;"Poor"),"Not possible ▲", (IF(AND(Q172="V.Low",OR(S172="Good",S172="Moderate")),"Error ▲",VLOOKUP(S172,'G-1 All Habitats'!$Z$2:$AA$9,2,FALSE))))),"")</f>
        <v/>
      </c>
      <c r="U172" s="105"/>
      <c r="V172" s="289" t="str">
        <f>IF(U172="","",IF(VLOOKUP(U172,'G-3 Multipliers'!$L$3:$N$6,2,FALSE)=0,"Spatial Data Missing ⚠",VLOOKUP(U172,'G-3 Multipliers'!$L$3:$N$6,2,FALSE)))</f>
        <v/>
      </c>
      <c r="W172" s="287" t="str">
        <f>IF(U172="","",IF(VLOOKUP(U172,'G-3 Multipliers'!$L$3:$N$6,3,FALSE)=0,"Spatial Data Missing ⚠",VLOOKUP(U172,'G-3 Multipliers'!$L$3:$N$6,3,FALSE)))</f>
        <v/>
      </c>
      <c r="X172" s="281" t="str">
        <f>IFERROR(IF(OR(LEFT(O172,5)="Error",LEFT(N172,5)="Error",T172="Error"),"Check Data ⚠",IF(F172&lt;R172,INDEX('G-6 Hedgerow Data'!$S$3:$AE$14,MATCH(C172,'G-6 Hedgerow Data'!$B$3:$B$14,0),MATCH(M172,'G-6 Hedgerow Data'!$S$2:$AE$2,0)),INDEX('G-6 Hedgerow Data'!$K$3:$Q$14,MATCH(M172,'G-6 Hedgerow Data'!$B$3:$B$14,0),MATCH(O172,'G-6 Hedgerow Data'!$K$2:$Q$2,0)))),"")</f>
        <v/>
      </c>
      <c r="Y172" s="137"/>
      <c r="Z172" s="137"/>
      <c r="AA172" s="289" t="str">
        <f t="shared" si="18"/>
        <v/>
      </c>
      <c r="AB172" s="302" t="str">
        <f t="shared" si="19"/>
        <v/>
      </c>
      <c r="AC172" s="303" t="str">
        <f t="shared" si="16"/>
        <v/>
      </c>
      <c r="AD172" s="317" t="str">
        <f>IF(M172="","",VLOOKUP(M172,'G-6 Hedgerow Data'!$B$3:$AG$15,31,FALSE))</f>
        <v/>
      </c>
      <c r="AE172" s="301" t="str">
        <f t="shared" si="20"/>
        <v/>
      </c>
      <c r="AF172" s="289" t="str">
        <f t="shared" si="21"/>
        <v/>
      </c>
      <c r="AG172" s="305" t="str">
        <f>IFERROR(IF(O172="","",VLOOKUP(AD172,'G-3 Multipliers'!$P$3:$Q$6,2,FALSE)),"")</f>
        <v/>
      </c>
      <c r="AH172" s="729" t="str">
        <f>IF(B172="","",IF(ISNA(VLOOKUP($B172,'E-1 Off-Site Hedge Baseline'!$B$1:$Z$257,14,FALSE)),"",(VLOOKUP($B172,'E-1 Off-Site Hedge Baseline'!$B$1:$Z$257,14,FALSE))))</f>
        <v/>
      </c>
      <c r="AI172" s="282" t="str">
        <f>IF(AH172="","",IF(VLOOKUP(AH172,'G-3 Multipliers'!$S$3:$T$10,2,FALSE)=0,"Spatial Data Missing ⚠",VLOOKUP(AH172,'G-3 Multipliers'!$S$3:$T$10,2,FALSE)))</f>
        <v/>
      </c>
      <c r="AJ172" s="323" t="str">
        <f t="shared" si="22"/>
        <v/>
      </c>
      <c r="AK172" s="295" t="str">
        <f t="shared" si="23"/>
        <v/>
      </c>
      <c r="AL172" s="105"/>
      <c r="AM172" s="119"/>
      <c r="AN172" s="108"/>
      <c r="AO172" s="108"/>
      <c r="AQ172" s="30" t="str">
        <f>IFERROR(INDEX('G-6 Hedgerow Data'!$BJ$3:$BJ$15,MATCH(M172,'G-6 Hedgerow Data'!$B$3:$B$15,0)),"")</f>
        <v/>
      </c>
    </row>
    <row r="173" spans="2:43" ht="13.8" x14ac:dyDescent="0.25">
      <c r="B173" s="311" t="str">
        <f>'E-1 Off-Site Hedge Baseline'!AN171</f>
        <v/>
      </c>
      <c r="C173" s="301" t="str">
        <f>IF(B173="","",IF(ISNA(VLOOKUP($B173,'E-1 Off-Site Hedge Baseline'!$B$1:$L$257,3,FALSE)),"",(VLOOKUP($B173,'E-1 Off-Site Hedge Baseline'!$B$1:$L$257,3,FALSE))))</f>
        <v/>
      </c>
      <c r="D173" s="301" t="str">
        <f>IF(B173="","",IF(ISNA(VLOOKUP($B173,'E-1 Off-Site Hedge Baseline'!$B$1:$L$258,4,FALSE)),"",(VLOOKUP($B173,'E-1 Off-Site Hedge Baseline'!$B$1:$L$258,4,FALSE))))</f>
        <v/>
      </c>
      <c r="E173" s="301" t="str">
        <f>IF(B173="","",IF(ISNA(VLOOKUP($B173,'E-1 Off-Site Hedge Baseline'!$B$1:$L$257,5,FALSE)),"",(VLOOKUP($B173,'E-1 Off-Site Hedge Baseline'!$B$1:$L$257,5,FALSE))))</f>
        <v/>
      </c>
      <c r="F173" s="301" t="str">
        <f>IF(B173="","",IF(ISNA(VLOOKUP($B173,'E-1 Off-Site Hedge Baseline'!$B$1:$L$257,6,FALSE)),"",(VLOOKUP($B173,'E-1 Off-Site Hedge Baseline'!$B$1:$L$257,6,FALSE))))</f>
        <v/>
      </c>
      <c r="G173" s="301" t="str">
        <f>IF(B173="","",IF(ISNA(VLOOKUP($B173,'E-1 Off-Site Hedge Baseline'!$B$1:$L$257,7,FALSE)),"",(VLOOKUP($B173,'E-1 Off-Site Hedge Baseline'!$B$1:$L$257,7,FALSE))))</f>
        <v/>
      </c>
      <c r="H173" s="301" t="str">
        <f>IF(B173="","",IF(ISNA(VLOOKUP($B173,'E-1 Off-Site Hedge Baseline'!$B$1:$L$257,8,FALSE)),"",(VLOOKUP($B173,'E-1 Off-Site Hedge Baseline'!$B$1:$L$257,8,FALSE))))</f>
        <v/>
      </c>
      <c r="I173" s="301" t="str">
        <f>IF(B173="","",IF(ISNA(VLOOKUP($B173,'E-1 Off-Site Hedge Baseline'!$B$1:$L$257,10,FALSE)),"",(VLOOKUP($B173,'E-1 Off-Site Hedge Baseline'!$B$1:$L$257,10,FALSE))))</f>
        <v/>
      </c>
      <c r="J173" s="301" t="str">
        <f>IF(B173="","",IF(ISNA(VLOOKUP($B173,'E-1 Off-Site Hedge Baseline'!$B$1:$L$257,11,FALSE)),"",(VLOOKUP($B173,'E-1 Off-Site Hedge Baseline'!$B$1:$L$257,11,FALSE))))</f>
        <v/>
      </c>
      <c r="K173" s="301" t="str">
        <f>IF(B173="","",IF(ISNA(VLOOKUP($B173,'E-1 Off-Site Hedge Baseline'!$B$1:$X$257,16,FALSE)),"",(VLOOKUP($B173,'E-1 Off-Site Hedge Baseline'!$B$1:$X$257,16,FALSE))))</f>
        <v/>
      </c>
      <c r="L173" s="289" t="str">
        <f>IF(B173="","",IF(ISNA(VLOOKUP($B173,'E-1 Off-Site Hedge Baseline'!$B$1:$X$257,12,FALSE)),"",(VLOOKUP($B173,'E-1 Off-Site Hedge Baseline'!$B$1:$X$257,12,FALSE))))</f>
        <v/>
      </c>
      <c r="M173" s="250"/>
      <c r="N173" s="281" t="str">
        <f>IFERROR(IF(B173="","",INDEX('G-6 Hedgerow Data'!$AN$3:$AZ$15,MATCH(C173,'G-6 Hedgerow Data'!$AM$3:$AM$15,0),MATCH(M173,'G-6 Hedgerow Data'!$AN$2:$AZ$2,0))),"")</f>
        <v/>
      </c>
      <c r="O173" s="282" t="str">
        <f t="shared" si="17"/>
        <v/>
      </c>
      <c r="P173" s="287" t="str">
        <f>IF(B173="","",VLOOKUP(B173,'E-1 Off-Site Hedge Baseline'!$B$10:W418,19,FALSE))</f>
        <v/>
      </c>
      <c r="Q173" s="281" t="str">
        <f>IF(M173="","",VLOOKUP(M173,'G-6 Hedgerow Data'!$B$2:$AG$15,2,FALSE))</f>
        <v/>
      </c>
      <c r="R173" s="282" t="str">
        <f>IF(M173="","",VLOOKUP(M173,'G-6 Hedgerow Data'!$B$2:$AG$15,3,FALSE))</f>
        <v/>
      </c>
      <c r="S173" s="105"/>
      <c r="T173" s="282" t="str">
        <f>IFERROR(IF(S173="","",IF(AND(M173="Non-native and ornamental hedgerow", S173&lt;&gt;"Poor"),"Not possible ▲", (IF(AND(Q173="V.Low",OR(S173="Good",S173="Moderate")),"Error ▲",VLOOKUP(S173,'G-1 All Habitats'!$Z$2:$AA$9,2,FALSE))))),"")</f>
        <v/>
      </c>
      <c r="U173" s="105"/>
      <c r="V173" s="289" t="str">
        <f>IF(U173="","",IF(VLOOKUP(U173,'G-3 Multipliers'!$L$3:$N$6,2,FALSE)=0,"Spatial Data Missing ⚠",VLOOKUP(U173,'G-3 Multipliers'!$L$3:$N$6,2,FALSE)))</f>
        <v/>
      </c>
      <c r="W173" s="287" t="str">
        <f>IF(U173="","",IF(VLOOKUP(U173,'G-3 Multipliers'!$L$3:$N$6,3,FALSE)=0,"Spatial Data Missing ⚠",VLOOKUP(U173,'G-3 Multipliers'!$L$3:$N$6,3,FALSE)))</f>
        <v/>
      </c>
      <c r="X173" s="281" t="str">
        <f>IFERROR(IF(OR(LEFT(O173,5)="Error",LEFT(N173,5)="Error",T173="Error"),"Check Data ⚠",IF(F173&lt;R173,INDEX('G-6 Hedgerow Data'!$S$3:$AE$14,MATCH(C173,'G-6 Hedgerow Data'!$B$3:$B$14,0),MATCH(M173,'G-6 Hedgerow Data'!$S$2:$AE$2,0)),INDEX('G-6 Hedgerow Data'!$K$3:$Q$14,MATCH(M173,'G-6 Hedgerow Data'!$B$3:$B$14,0),MATCH(O173,'G-6 Hedgerow Data'!$K$2:$Q$2,0)))),"")</f>
        <v/>
      </c>
      <c r="Y173" s="137"/>
      <c r="Z173" s="137"/>
      <c r="AA173" s="289" t="str">
        <f t="shared" si="18"/>
        <v/>
      </c>
      <c r="AB173" s="302" t="str">
        <f t="shared" si="19"/>
        <v/>
      </c>
      <c r="AC173" s="303" t="str">
        <f t="shared" si="16"/>
        <v/>
      </c>
      <c r="AD173" s="317" t="str">
        <f>IF(M173="","",VLOOKUP(M173,'G-6 Hedgerow Data'!$B$3:$AG$15,31,FALSE))</f>
        <v/>
      </c>
      <c r="AE173" s="301" t="str">
        <f t="shared" si="20"/>
        <v/>
      </c>
      <c r="AF173" s="289" t="str">
        <f t="shared" si="21"/>
        <v/>
      </c>
      <c r="AG173" s="305" t="str">
        <f>IFERROR(IF(O173="","",VLOOKUP(AD173,'G-3 Multipliers'!$P$3:$Q$6,2,FALSE)),"")</f>
        <v/>
      </c>
      <c r="AH173" s="729" t="str">
        <f>IF(B173="","",IF(ISNA(VLOOKUP($B173,'E-1 Off-Site Hedge Baseline'!$B$1:$Z$257,14,FALSE)),"",(VLOOKUP($B173,'E-1 Off-Site Hedge Baseline'!$B$1:$Z$257,14,FALSE))))</f>
        <v/>
      </c>
      <c r="AI173" s="282" t="str">
        <f>IF(AH173="","",IF(VLOOKUP(AH173,'G-3 Multipliers'!$S$3:$T$10,2,FALSE)=0,"Spatial Data Missing ⚠",VLOOKUP(AH173,'G-3 Multipliers'!$S$3:$T$10,2,FALSE)))</f>
        <v/>
      </c>
      <c r="AJ173" s="323" t="str">
        <f t="shared" si="22"/>
        <v/>
      </c>
      <c r="AK173" s="295" t="str">
        <f t="shared" si="23"/>
        <v/>
      </c>
      <c r="AL173" s="105"/>
      <c r="AM173" s="119"/>
      <c r="AN173" s="108"/>
      <c r="AO173" s="108"/>
      <c r="AQ173" s="30" t="str">
        <f>IFERROR(INDEX('G-6 Hedgerow Data'!$BJ$3:$BJ$15,MATCH(M173,'G-6 Hedgerow Data'!$B$3:$B$15,0)),"")</f>
        <v/>
      </c>
    </row>
    <row r="174" spans="2:43" ht="13.8" x14ac:dyDescent="0.25">
      <c r="B174" s="311" t="str">
        <f>'E-1 Off-Site Hedge Baseline'!AN172</f>
        <v/>
      </c>
      <c r="C174" s="301" t="str">
        <f>IF(B174="","",IF(ISNA(VLOOKUP($B174,'E-1 Off-Site Hedge Baseline'!$B$1:$L$257,3,FALSE)),"",(VLOOKUP($B174,'E-1 Off-Site Hedge Baseline'!$B$1:$L$257,3,FALSE))))</f>
        <v/>
      </c>
      <c r="D174" s="301" t="str">
        <f>IF(B174="","",IF(ISNA(VLOOKUP($B174,'E-1 Off-Site Hedge Baseline'!$B$1:$L$258,4,FALSE)),"",(VLOOKUP($B174,'E-1 Off-Site Hedge Baseline'!$B$1:$L$258,4,FALSE))))</f>
        <v/>
      </c>
      <c r="E174" s="301" t="str">
        <f>IF(B174="","",IF(ISNA(VLOOKUP($B174,'E-1 Off-Site Hedge Baseline'!$B$1:$L$257,5,FALSE)),"",(VLOOKUP($B174,'E-1 Off-Site Hedge Baseline'!$B$1:$L$257,5,FALSE))))</f>
        <v/>
      </c>
      <c r="F174" s="301" t="str">
        <f>IF(B174="","",IF(ISNA(VLOOKUP($B174,'E-1 Off-Site Hedge Baseline'!$B$1:$L$257,6,FALSE)),"",(VLOOKUP($B174,'E-1 Off-Site Hedge Baseline'!$B$1:$L$257,6,FALSE))))</f>
        <v/>
      </c>
      <c r="G174" s="301" t="str">
        <f>IF(B174="","",IF(ISNA(VLOOKUP($B174,'E-1 Off-Site Hedge Baseline'!$B$1:$L$257,7,FALSE)),"",(VLOOKUP($B174,'E-1 Off-Site Hedge Baseline'!$B$1:$L$257,7,FALSE))))</f>
        <v/>
      </c>
      <c r="H174" s="301" t="str">
        <f>IF(B174="","",IF(ISNA(VLOOKUP($B174,'E-1 Off-Site Hedge Baseline'!$B$1:$L$257,8,FALSE)),"",(VLOOKUP($B174,'E-1 Off-Site Hedge Baseline'!$B$1:$L$257,8,FALSE))))</f>
        <v/>
      </c>
      <c r="I174" s="301" t="str">
        <f>IF(B174="","",IF(ISNA(VLOOKUP($B174,'E-1 Off-Site Hedge Baseline'!$B$1:$L$257,10,FALSE)),"",(VLOOKUP($B174,'E-1 Off-Site Hedge Baseline'!$B$1:$L$257,10,FALSE))))</f>
        <v/>
      </c>
      <c r="J174" s="301" t="str">
        <f>IF(B174="","",IF(ISNA(VLOOKUP($B174,'E-1 Off-Site Hedge Baseline'!$B$1:$L$257,11,FALSE)),"",(VLOOKUP($B174,'E-1 Off-Site Hedge Baseline'!$B$1:$L$257,11,FALSE))))</f>
        <v/>
      </c>
      <c r="K174" s="301" t="str">
        <f>IF(B174="","",IF(ISNA(VLOOKUP($B174,'E-1 Off-Site Hedge Baseline'!$B$1:$X$257,16,FALSE)),"",(VLOOKUP($B174,'E-1 Off-Site Hedge Baseline'!$B$1:$X$257,16,FALSE))))</f>
        <v/>
      </c>
      <c r="L174" s="289" t="str">
        <f>IF(B174="","",IF(ISNA(VLOOKUP($B174,'E-1 Off-Site Hedge Baseline'!$B$1:$X$257,12,FALSE)),"",(VLOOKUP($B174,'E-1 Off-Site Hedge Baseline'!$B$1:$X$257,12,FALSE))))</f>
        <v/>
      </c>
      <c r="M174" s="250"/>
      <c r="N174" s="281" t="str">
        <f>IFERROR(IF(B174="","",INDEX('G-6 Hedgerow Data'!$AN$3:$AZ$15,MATCH(C174,'G-6 Hedgerow Data'!$AM$3:$AM$15,0),MATCH(M174,'G-6 Hedgerow Data'!$AN$2:$AZ$2,0))),"")</f>
        <v/>
      </c>
      <c r="O174" s="282" t="str">
        <f t="shared" si="17"/>
        <v/>
      </c>
      <c r="P174" s="287" t="str">
        <f>IF(B174="","",VLOOKUP(B174,'E-1 Off-Site Hedge Baseline'!$B$10:W419,19,FALSE))</f>
        <v/>
      </c>
      <c r="Q174" s="281" t="str">
        <f>IF(M174="","",VLOOKUP(M174,'G-6 Hedgerow Data'!$B$2:$AG$15,2,FALSE))</f>
        <v/>
      </c>
      <c r="R174" s="282" t="str">
        <f>IF(M174="","",VLOOKUP(M174,'G-6 Hedgerow Data'!$B$2:$AG$15,3,FALSE))</f>
        <v/>
      </c>
      <c r="S174" s="105"/>
      <c r="T174" s="282" t="str">
        <f>IFERROR(IF(S174="","",IF(AND(M174="Non-native and ornamental hedgerow", S174&lt;&gt;"Poor"),"Not possible ▲", (IF(AND(Q174="V.Low",OR(S174="Good",S174="Moderate")),"Error ▲",VLOOKUP(S174,'G-1 All Habitats'!$Z$2:$AA$9,2,FALSE))))),"")</f>
        <v/>
      </c>
      <c r="U174" s="105"/>
      <c r="V174" s="289" t="str">
        <f>IF(U174="","",IF(VLOOKUP(U174,'G-3 Multipliers'!$L$3:$N$6,2,FALSE)=0,"Spatial Data Missing ⚠",VLOOKUP(U174,'G-3 Multipliers'!$L$3:$N$6,2,FALSE)))</f>
        <v/>
      </c>
      <c r="W174" s="287" t="str">
        <f>IF(U174="","",IF(VLOOKUP(U174,'G-3 Multipliers'!$L$3:$N$6,3,FALSE)=0,"Spatial Data Missing ⚠",VLOOKUP(U174,'G-3 Multipliers'!$L$3:$N$6,3,FALSE)))</f>
        <v/>
      </c>
      <c r="X174" s="281" t="str">
        <f>IFERROR(IF(OR(LEFT(O174,5)="Error",LEFT(N174,5)="Error",T174="Error"),"Check Data ⚠",IF(F174&lt;R174,INDEX('G-6 Hedgerow Data'!$S$3:$AE$14,MATCH(C174,'G-6 Hedgerow Data'!$B$3:$B$14,0),MATCH(M174,'G-6 Hedgerow Data'!$S$2:$AE$2,0)),INDEX('G-6 Hedgerow Data'!$K$3:$Q$14,MATCH(M174,'G-6 Hedgerow Data'!$B$3:$B$14,0),MATCH(O174,'G-6 Hedgerow Data'!$K$2:$Q$2,0)))),"")</f>
        <v/>
      </c>
      <c r="Y174" s="137"/>
      <c r="Z174" s="137"/>
      <c r="AA174" s="289" t="str">
        <f t="shared" si="18"/>
        <v/>
      </c>
      <c r="AB174" s="302" t="str">
        <f t="shared" si="19"/>
        <v/>
      </c>
      <c r="AC174" s="303" t="str">
        <f t="shared" si="16"/>
        <v/>
      </c>
      <c r="AD174" s="317" t="str">
        <f>IF(M174="","",VLOOKUP(M174,'G-6 Hedgerow Data'!$B$3:$AG$15,31,FALSE))</f>
        <v/>
      </c>
      <c r="AE174" s="301" t="str">
        <f t="shared" si="20"/>
        <v/>
      </c>
      <c r="AF174" s="289" t="str">
        <f t="shared" si="21"/>
        <v/>
      </c>
      <c r="AG174" s="305" t="str">
        <f>IFERROR(IF(O174="","",VLOOKUP(AD174,'G-3 Multipliers'!$P$3:$Q$6,2,FALSE)),"")</f>
        <v/>
      </c>
      <c r="AH174" s="729" t="str">
        <f>IF(B174="","",IF(ISNA(VLOOKUP($B174,'E-1 Off-Site Hedge Baseline'!$B$1:$Z$257,14,FALSE)),"",(VLOOKUP($B174,'E-1 Off-Site Hedge Baseline'!$B$1:$Z$257,14,FALSE))))</f>
        <v/>
      </c>
      <c r="AI174" s="282" t="str">
        <f>IF(AH174="","",IF(VLOOKUP(AH174,'G-3 Multipliers'!$S$3:$T$10,2,FALSE)=0,"Spatial Data Missing ⚠",VLOOKUP(AH174,'G-3 Multipliers'!$S$3:$T$10,2,FALSE)))</f>
        <v/>
      </c>
      <c r="AJ174" s="323" t="str">
        <f t="shared" si="22"/>
        <v/>
      </c>
      <c r="AK174" s="295" t="str">
        <f t="shared" si="23"/>
        <v/>
      </c>
      <c r="AL174" s="105"/>
      <c r="AM174" s="119"/>
      <c r="AN174" s="108"/>
      <c r="AO174" s="108"/>
      <c r="AQ174" s="30" t="str">
        <f>IFERROR(INDEX('G-6 Hedgerow Data'!$BJ$3:$BJ$15,MATCH(M174,'G-6 Hedgerow Data'!$B$3:$B$15,0)),"")</f>
        <v/>
      </c>
    </row>
    <row r="175" spans="2:43" ht="13.8" x14ac:dyDescent="0.25">
      <c r="B175" s="311" t="str">
        <f>'E-1 Off-Site Hedge Baseline'!AN173</f>
        <v/>
      </c>
      <c r="C175" s="301" t="str">
        <f>IF(B175="","",IF(ISNA(VLOOKUP($B175,'E-1 Off-Site Hedge Baseline'!$B$1:$L$257,3,FALSE)),"",(VLOOKUP($B175,'E-1 Off-Site Hedge Baseline'!$B$1:$L$257,3,FALSE))))</f>
        <v/>
      </c>
      <c r="D175" s="301" t="str">
        <f>IF(B175="","",IF(ISNA(VLOOKUP($B175,'E-1 Off-Site Hedge Baseline'!$B$1:$L$258,4,FALSE)),"",(VLOOKUP($B175,'E-1 Off-Site Hedge Baseline'!$B$1:$L$258,4,FALSE))))</f>
        <v/>
      </c>
      <c r="E175" s="301" t="str">
        <f>IF(B175="","",IF(ISNA(VLOOKUP($B175,'E-1 Off-Site Hedge Baseline'!$B$1:$L$257,5,FALSE)),"",(VLOOKUP($B175,'E-1 Off-Site Hedge Baseline'!$B$1:$L$257,5,FALSE))))</f>
        <v/>
      </c>
      <c r="F175" s="301" t="str">
        <f>IF(B175="","",IF(ISNA(VLOOKUP($B175,'E-1 Off-Site Hedge Baseline'!$B$1:$L$257,6,FALSE)),"",(VLOOKUP($B175,'E-1 Off-Site Hedge Baseline'!$B$1:$L$257,6,FALSE))))</f>
        <v/>
      </c>
      <c r="G175" s="301" t="str">
        <f>IF(B175="","",IF(ISNA(VLOOKUP($B175,'E-1 Off-Site Hedge Baseline'!$B$1:$L$257,7,FALSE)),"",(VLOOKUP($B175,'E-1 Off-Site Hedge Baseline'!$B$1:$L$257,7,FALSE))))</f>
        <v/>
      </c>
      <c r="H175" s="301" t="str">
        <f>IF(B175="","",IF(ISNA(VLOOKUP($B175,'E-1 Off-Site Hedge Baseline'!$B$1:$L$257,8,FALSE)),"",(VLOOKUP($B175,'E-1 Off-Site Hedge Baseline'!$B$1:$L$257,8,FALSE))))</f>
        <v/>
      </c>
      <c r="I175" s="301" t="str">
        <f>IF(B175="","",IF(ISNA(VLOOKUP($B175,'E-1 Off-Site Hedge Baseline'!$B$1:$L$257,10,FALSE)),"",(VLOOKUP($B175,'E-1 Off-Site Hedge Baseline'!$B$1:$L$257,10,FALSE))))</f>
        <v/>
      </c>
      <c r="J175" s="301" t="str">
        <f>IF(B175="","",IF(ISNA(VLOOKUP($B175,'E-1 Off-Site Hedge Baseline'!$B$1:$L$257,11,FALSE)),"",(VLOOKUP($B175,'E-1 Off-Site Hedge Baseline'!$B$1:$L$257,11,FALSE))))</f>
        <v/>
      </c>
      <c r="K175" s="301" t="str">
        <f>IF(B175="","",IF(ISNA(VLOOKUP($B175,'E-1 Off-Site Hedge Baseline'!$B$1:$X$257,16,FALSE)),"",(VLOOKUP($B175,'E-1 Off-Site Hedge Baseline'!$B$1:$X$257,16,FALSE))))</f>
        <v/>
      </c>
      <c r="L175" s="289" t="str">
        <f>IF(B175="","",IF(ISNA(VLOOKUP($B175,'E-1 Off-Site Hedge Baseline'!$B$1:$X$257,12,FALSE)),"",(VLOOKUP($B175,'E-1 Off-Site Hedge Baseline'!$B$1:$X$257,12,FALSE))))</f>
        <v/>
      </c>
      <c r="M175" s="250"/>
      <c r="N175" s="281" t="str">
        <f>IFERROR(IF(B175="","",INDEX('G-6 Hedgerow Data'!$AN$3:$AZ$15,MATCH(C175,'G-6 Hedgerow Data'!$AM$3:$AM$15,0),MATCH(M175,'G-6 Hedgerow Data'!$AN$2:$AZ$2,0))),"")</f>
        <v/>
      </c>
      <c r="O175" s="282" t="str">
        <f t="shared" si="17"/>
        <v/>
      </c>
      <c r="P175" s="287" t="str">
        <f>IF(B175="","",VLOOKUP(B175,'E-1 Off-Site Hedge Baseline'!$B$10:W420,19,FALSE))</f>
        <v/>
      </c>
      <c r="Q175" s="281" t="str">
        <f>IF(M175="","",VLOOKUP(M175,'G-6 Hedgerow Data'!$B$2:$AG$15,2,FALSE))</f>
        <v/>
      </c>
      <c r="R175" s="282" t="str">
        <f>IF(M175="","",VLOOKUP(M175,'G-6 Hedgerow Data'!$B$2:$AG$15,3,FALSE))</f>
        <v/>
      </c>
      <c r="S175" s="105"/>
      <c r="T175" s="282" t="str">
        <f>IFERROR(IF(S175="","",IF(AND(M175="Non-native and ornamental hedgerow", S175&lt;&gt;"Poor"),"Not possible ▲", (IF(AND(Q175="V.Low",OR(S175="Good",S175="Moderate")),"Error ▲",VLOOKUP(S175,'G-1 All Habitats'!$Z$2:$AA$9,2,FALSE))))),"")</f>
        <v/>
      </c>
      <c r="U175" s="105"/>
      <c r="V175" s="289" t="str">
        <f>IF(U175="","",IF(VLOOKUP(U175,'G-3 Multipliers'!$L$3:$N$6,2,FALSE)=0,"Spatial Data Missing ⚠",VLOOKUP(U175,'G-3 Multipliers'!$L$3:$N$6,2,FALSE)))</f>
        <v/>
      </c>
      <c r="W175" s="287" t="str">
        <f>IF(U175="","",IF(VLOOKUP(U175,'G-3 Multipliers'!$L$3:$N$6,3,FALSE)=0,"Spatial Data Missing ⚠",VLOOKUP(U175,'G-3 Multipliers'!$L$3:$N$6,3,FALSE)))</f>
        <v/>
      </c>
      <c r="X175" s="281" t="str">
        <f>IFERROR(IF(OR(LEFT(O175,5)="Error",LEFT(N175,5)="Error",T175="Error"),"Check Data ⚠",IF(F175&lt;R175,INDEX('G-6 Hedgerow Data'!$S$3:$AE$14,MATCH(C175,'G-6 Hedgerow Data'!$B$3:$B$14,0),MATCH(M175,'G-6 Hedgerow Data'!$S$2:$AE$2,0)),INDEX('G-6 Hedgerow Data'!$K$3:$Q$14,MATCH(M175,'G-6 Hedgerow Data'!$B$3:$B$14,0),MATCH(O175,'G-6 Hedgerow Data'!$K$2:$Q$2,0)))),"")</f>
        <v/>
      </c>
      <c r="Y175" s="137"/>
      <c r="Z175" s="137"/>
      <c r="AA175" s="289" t="str">
        <f t="shared" si="18"/>
        <v/>
      </c>
      <c r="AB175" s="302" t="str">
        <f t="shared" si="19"/>
        <v/>
      </c>
      <c r="AC175" s="303" t="str">
        <f t="shared" si="16"/>
        <v/>
      </c>
      <c r="AD175" s="317" t="str">
        <f>IF(M175="","",VLOOKUP(M175,'G-6 Hedgerow Data'!$B$3:$AG$15,31,FALSE))</f>
        <v/>
      </c>
      <c r="AE175" s="301" t="str">
        <f t="shared" si="20"/>
        <v/>
      </c>
      <c r="AF175" s="289" t="str">
        <f t="shared" si="21"/>
        <v/>
      </c>
      <c r="AG175" s="305" t="str">
        <f>IFERROR(IF(O175="","",VLOOKUP(AD175,'G-3 Multipliers'!$P$3:$Q$6,2,FALSE)),"")</f>
        <v/>
      </c>
      <c r="AH175" s="729" t="str">
        <f>IF(B175="","",IF(ISNA(VLOOKUP($B175,'E-1 Off-Site Hedge Baseline'!$B$1:$Z$257,14,FALSE)),"",(VLOOKUP($B175,'E-1 Off-Site Hedge Baseline'!$B$1:$Z$257,14,FALSE))))</f>
        <v/>
      </c>
      <c r="AI175" s="282" t="str">
        <f>IF(AH175="","",IF(VLOOKUP(AH175,'G-3 Multipliers'!$S$3:$T$10,2,FALSE)=0,"Spatial Data Missing ⚠",VLOOKUP(AH175,'G-3 Multipliers'!$S$3:$T$10,2,FALSE)))</f>
        <v/>
      </c>
      <c r="AJ175" s="323" t="str">
        <f t="shared" si="22"/>
        <v/>
      </c>
      <c r="AK175" s="295" t="str">
        <f t="shared" si="23"/>
        <v/>
      </c>
      <c r="AL175" s="105"/>
      <c r="AM175" s="119"/>
      <c r="AN175" s="108"/>
      <c r="AO175" s="108"/>
      <c r="AQ175" s="30" t="str">
        <f>IFERROR(INDEX('G-6 Hedgerow Data'!$BJ$3:$BJ$15,MATCH(M175,'G-6 Hedgerow Data'!$B$3:$B$15,0)),"")</f>
        <v/>
      </c>
    </row>
    <row r="176" spans="2:43" ht="13.8" x14ac:dyDescent="0.25">
      <c r="B176" s="311" t="str">
        <f>'E-1 Off-Site Hedge Baseline'!AN174</f>
        <v/>
      </c>
      <c r="C176" s="301" t="str">
        <f>IF(B176="","",IF(ISNA(VLOOKUP($B176,'E-1 Off-Site Hedge Baseline'!$B$1:$L$257,3,FALSE)),"",(VLOOKUP($B176,'E-1 Off-Site Hedge Baseline'!$B$1:$L$257,3,FALSE))))</f>
        <v/>
      </c>
      <c r="D176" s="301" t="str">
        <f>IF(B176="","",IF(ISNA(VLOOKUP($B176,'E-1 Off-Site Hedge Baseline'!$B$1:$L$258,4,FALSE)),"",(VLOOKUP($B176,'E-1 Off-Site Hedge Baseline'!$B$1:$L$258,4,FALSE))))</f>
        <v/>
      </c>
      <c r="E176" s="301" t="str">
        <f>IF(B176="","",IF(ISNA(VLOOKUP($B176,'E-1 Off-Site Hedge Baseline'!$B$1:$L$257,5,FALSE)),"",(VLOOKUP($B176,'E-1 Off-Site Hedge Baseline'!$B$1:$L$257,5,FALSE))))</f>
        <v/>
      </c>
      <c r="F176" s="301" t="str">
        <f>IF(B176="","",IF(ISNA(VLOOKUP($B176,'E-1 Off-Site Hedge Baseline'!$B$1:$L$257,6,FALSE)),"",(VLOOKUP($B176,'E-1 Off-Site Hedge Baseline'!$B$1:$L$257,6,FALSE))))</f>
        <v/>
      </c>
      <c r="G176" s="301" t="str">
        <f>IF(B176="","",IF(ISNA(VLOOKUP($B176,'E-1 Off-Site Hedge Baseline'!$B$1:$L$257,7,FALSE)),"",(VLOOKUP($B176,'E-1 Off-Site Hedge Baseline'!$B$1:$L$257,7,FALSE))))</f>
        <v/>
      </c>
      <c r="H176" s="301" t="str">
        <f>IF(B176="","",IF(ISNA(VLOOKUP($B176,'E-1 Off-Site Hedge Baseline'!$B$1:$L$257,8,FALSE)),"",(VLOOKUP($B176,'E-1 Off-Site Hedge Baseline'!$B$1:$L$257,8,FALSE))))</f>
        <v/>
      </c>
      <c r="I176" s="301" t="str">
        <f>IF(B176="","",IF(ISNA(VLOOKUP($B176,'E-1 Off-Site Hedge Baseline'!$B$1:$L$257,10,FALSE)),"",(VLOOKUP($B176,'E-1 Off-Site Hedge Baseline'!$B$1:$L$257,10,FALSE))))</f>
        <v/>
      </c>
      <c r="J176" s="301" t="str">
        <f>IF(B176="","",IF(ISNA(VLOOKUP($B176,'E-1 Off-Site Hedge Baseline'!$B$1:$L$257,11,FALSE)),"",(VLOOKUP($B176,'E-1 Off-Site Hedge Baseline'!$B$1:$L$257,11,FALSE))))</f>
        <v/>
      </c>
      <c r="K176" s="301" t="str">
        <f>IF(B176="","",IF(ISNA(VLOOKUP($B176,'E-1 Off-Site Hedge Baseline'!$B$1:$X$257,16,FALSE)),"",(VLOOKUP($B176,'E-1 Off-Site Hedge Baseline'!$B$1:$X$257,16,FALSE))))</f>
        <v/>
      </c>
      <c r="L176" s="289" t="str">
        <f>IF(B176="","",IF(ISNA(VLOOKUP($B176,'E-1 Off-Site Hedge Baseline'!$B$1:$X$257,12,FALSE)),"",(VLOOKUP($B176,'E-1 Off-Site Hedge Baseline'!$B$1:$X$257,12,FALSE))))</f>
        <v/>
      </c>
      <c r="M176" s="250"/>
      <c r="N176" s="281" t="str">
        <f>IFERROR(IF(B176="","",INDEX('G-6 Hedgerow Data'!$AN$3:$AZ$15,MATCH(C176,'G-6 Hedgerow Data'!$AM$3:$AM$15,0),MATCH(M176,'G-6 Hedgerow Data'!$AN$2:$AZ$2,0))),"")</f>
        <v/>
      </c>
      <c r="O176" s="282" t="str">
        <f t="shared" si="17"/>
        <v/>
      </c>
      <c r="P176" s="287" t="str">
        <f>IF(B176="","",VLOOKUP(B176,'E-1 Off-Site Hedge Baseline'!$B$10:W421,19,FALSE))</f>
        <v/>
      </c>
      <c r="Q176" s="281" t="str">
        <f>IF(M176="","",VLOOKUP(M176,'G-6 Hedgerow Data'!$B$2:$AG$15,2,FALSE))</f>
        <v/>
      </c>
      <c r="R176" s="282" t="str">
        <f>IF(M176="","",VLOOKUP(M176,'G-6 Hedgerow Data'!$B$2:$AG$15,3,FALSE))</f>
        <v/>
      </c>
      <c r="S176" s="105"/>
      <c r="T176" s="282" t="str">
        <f>IFERROR(IF(S176="","",IF(AND(M176="Non-native and ornamental hedgerow", S176&lt;&gt;"Poor"),"Not possible ▲", (IF(AND(Q176="V.Low",OR(S176="Good",S176="Moderate")),"Error ▲",VLOOKUP(S176,'G-1 All Habitats'!$Z$2:$AA$9,2,FALSE))))),"")</f>
        <v/>
      </c>
      <c r="U176" s="105"/>
      <c r="V176" s="289" t="str">
        <f>IF(U176="","",IF(VLOOKUP(U176,'G-3 Multipliers'!$L$3:$N$6,2,FALSE)=0,"Spatial Data Missing ⚠",VLOOKUP(U176,'G-3 Multipliers'!$L$3:$N$6,2,FALSE)))</f>
        <v/>
      </c>
      <c r="W176" s="287" t="str">
        <f>IF(U176="","",IF(VLOOKUP(U176,'G-3 Multipliers'!$L$3:$N$6,3,FALSE)=0,"Spatial Data Missing ⚠",VLOOKUP(U176,'G-3 Multipliers'!$L$3:$N$6,3,FALSE)))</f>
        <v/>
      </c>
      <c r="X176" s="281" t="str">
        <f>IFERROR(IF(OR(LEFT(O176,5)="Error",LEFT(N176,5)="Error",T176="Error"),"Check Data ⚠",IF(F176&lt;R176,INDEX('G-6 Hedgerow Data'!$S$3:$AE$14,MATCH(C176,'G-6 Hedgerow Data'!$B$3:$B$14,0),MATCH(M176,'G-6 Hedgerow Data'!$S$2:$AE$2,0)),INDEX('G-6 Hedgerow Data'!$K$3:$Q$14,MATCH(M176,'G-6 Hedgerow Data'!$B$3:$B$14,0),MATCH(O176,'G-6 Hedgerow Data'!$K$2:$Q$2,0)))),"")</f>
        <v/>
      </c>
      <c r="Y176" s="137"/>
      <c r="Z176" s="137"/>
      <c r="AA176" s="289" t="str">
        <f t="shared" si="18"/>
        <v/>
      </c>
      <c r="AB176" s="302" t="str">
        <f t="shared" si="19"/>
        <v/>
      </c>
      <c r="AC176" s="303" t="str">
        <f t="shared" si="16"/>
        <v/>
      </c>
      <c r="AD176" s="317" t="str">
        <f>IF(M176="","",VLOOKUP(M176,'G-6 Hedgerow Data'!$B$3:$AG$15,31,FALSE))</f>
        <v/>
      </c>
      <c r="AE176" s="301" t="str">
        <f t="shared" si="20"/>
        <v/>
      </c>
      <c r="AF176" s="289" t="str">
        <f t="shared" si="21"/>
        <v/>
      </c>
      <c r="AG176" s="305" t="str">
        <f>IFERROR(IF(O176="","",VLOOKUP(AD176,'G-3 Multipliers'!$P$3:$Q$6,2,FALSE)),"")</f>
        <v/>
      </c>
      <c r="AH176" s="729" t="str">
        <f>IF(B176="","",IF(ISNA(VLOOKUP($B176,'E-1 Off-Site Hedge Baseline'!$B$1:$Z$257,14,FALSE)),"",(VLOOKUP($B176,'E-1 Off-Site Hedge Baseline'!$B$1:$Z$257,14,FALSE))))</f>
        <v/>
      </c>
      <c r="AI176" s="282" t="str">
        <f>IF(AH176="","",IF(VLOOKUP(AH176,'G-3 Multipliers'!$S$3:$T$10,2,FALSE)=0,"Spatial Data Missing ⚠",VLOOKUP(AH176,'G-3 Multipliers'!$S$3:$T$10,2,FALSE)))</f>
        <v/>
      </c>
      <c r="AJ176" s="323" t="str">
        <f t="shared" si="22"/>
        <v/>
      </c>
      <c r="AK176" s="295" t="str">
        <f t="shared" si="23"/>
        <v/>
      </c>
      <c r="AL176" s="105"/>
      <c r="AM176" s="119"/>
      <c r="AN176" s="108"/>
      <c r="AO176" s="108"/>
      <c r="AQ176" s="30" t="str">
        <f>IFERROR(INDEX('G-6 Hedgerow Data'!$BJ$3:$BJ$15,MATCH(M176,'G-6 Hedgerow Data'!$B$3:$B$15,0)),"")</f>
        <v/>
      </c>
    </row>
    <row r="177" spans="2:43" ht="13.8" x14ac:dyDescent="0.25">
      <c r="B177" s="311" t="str">
        <f>'E-1 Off-Site Hedge Baseline'!AN175</f>
        <v/>
      </c>
      <c r="C177" s="301" t="str">
        <f>IF(B177="","",IF(ISNA(VLOOKUP($B177,'E-1 Off-Site Hedge Baseline'!$B$1:$L$257,3,FALSE)),"",(VLOOKUP($B177,'E-1 Off-Site Hedge Baseline'!$B$1:$L$257,3,FALSE))))</f>
        <v/>
      </c>
      <c r="D177" s="301" t="str">
        <f>IF(B177="","",IF(ISNA(VLOOKUP($B177,'E-1 Off-Site Hedge Baseline'!$B$1:$L$258,4,FALSE)),"",(VLOOKUP($B177,'E-1 Off-Site Hedge Baseline'!$B$1:$L$258,4,FALSE))))</f>
        <v/>
      </c>
      <c r="E177" s="301" t="str">
        <f>IF(B177="","",IF(ISNA(VLOOKUP($B177,'E-1 Off-Site Hedge Baseline'!$B$1:$L$257,5,FALSE)),"",(VLOOKUP($B177,'E-1 Off-Site Hedge Baseline'!$B$1:$L$257,5,FALSE))))</f>
        <v/>
      </c>
      <c r="F177" s="301" t="str">
        <f>IF(B177="","",IF(ISNA(VLOOKUP($B177,'E-1 Off-Site Hedge Baseline'!$B$1:$L$257,6,FALSE)),"",(VLOOKUP($B177,'E-1 Off-Site Hedge Baseline'!$B$1:$L$257,6,FALSE))))</f>
        <v/>
      </c>
      <c r="G177" s="301" t="str">
        <f>IF(B177="","",IF(ISNA(VLOOKUP($B177,'E-1 Off-Site Hedge Baseline'!$B$1:$L$257,7,FALSE)),"",(VLOOKUP($B177,'E-1 Off-Site Hedge Baseline'!$B$1:$L$257,7,FALSE))))</f>
        <v/>
      </c>
      <c r="H177" s="301" t="str">
        <f>IF(B177="","",IF(ISNA(VLOOKUP($B177,'E-1 Off-Site Hedge Baseline'!$B$1:$L$257,8,FALSE)),"",(VLOOKUP($B177,'E-1 Off-Site Hedge Baseline'!$B$1:$L$257,8,FALSE))))</f>
        <v/>
      </c>
      <c r="I177" s="301" t="str">
        <f>IF(B177="","",IF(ISNA(VLOOKUP($B177,'E-1 Off-Site Hedge Baseline'!$B$1:$L$257,10,FALSE)),"",(VLOOKUP($B177,'E-1 Off-Site Hedge Baseline'!$B$1:$L$257,10,FALSE))))</f>
        <v/>
      </c>
      <c r="J177" s="301" t="str">
        <f>IF(B177="","",IF(ISNA(VLOOKUP($B177,'E-1 Off-Site Hedge Baseline'!$B$1:$L$257,11,FALSE)),"",(VLOOKUP($B177,'E-1 Off-Site Hedge Baseline'!$B$1:$L$257,11,FALSE))))</f>
        <v/>
      </c>
      <c r="K177" s="301" t="str">
        <f>IF(B177="","",IF(ISNA(VLOOKUP($B177,'E-1 Off-Site Hedge Baseline'!$B$1:$X$257,16,FALSE)),"",(VLOOKUP($B177,'E-1 Off-Site Hedge Baseline'!$B$1:$X$257,16,FALSE))))</f>
        <v/>
      </c>
      <c r="L177" s="289" t="str">
        <f>IF(B177="","",IF(ISNA(VLOOKUP($B177,'E-1 Off-Site Hedge Baseline'!$B$1:$X$257,12,FALSE)),"",(VLOOKUP($B177,'E-1 Off-Site Hedge Baseline'!$B$1:$X$257,12,FALSE))))</f>
        <v/>
      </c>
      <c r="M177" s="250"/>
      <c r="N177" s="281" t="str">
        <f>IFERROR(IF(B177="","",INDEX('G-6 Hedgerow Data'!$AN$3:$AZ$15,MATCH(C177,'G-6 Hedgerow Data'!$AM$3:$AM$15,0),MATCH(M177,'G-6 Hedgerow Data'!$AN$2:$AZ$2,0))),"")</f>
        <v/>
      </c>
      <c r="O177" s="282" t="str">
        <f t="shared" si="17"/>
        <v/>
      </c>
      <c r="P177" s="287" t="str">
        <f>IF(B177="","",VLOOKUP(B177,'E-1 Off-Site Hedge Baseline'!$B$10:W422,19,FALSE))</f>
        <v/>
      </c>
      <c r="Q177" s="281" t="str">
        <f>IF(M177="","",VLOOKUP(M177,'G-6 Hedgerow Data'!$B$2:$AG$15,2,FALSE))</f>
        <v/>
      </c>
      <c r="R177" s="282" t="str">
        <f>IF(M177="","",VLOOKUP(M177,'G-6 Hedgerow Data'!$B$2:$AG$15,3,FALSE))</f>
        <v/>
      </c>
      <c r="S177" s="105"/>
      <c r="T177" s="282" t="str">
        <f>IFERROR(IF(S177="","",IF(AND(M177="Non-native and ornamental hedgerow", S177&lt;&gt;"Poor"),"Not possible ▲", (IF(AND(Q177="V.Low",OR(S177="Good",S177="Moderate")),"Error ▲",VLOOKUP(S177,'G-1 All Habitats'!$Z$2:$AA$9,2,FALSE))))),"")</f>
        <v/>
      </c>
      <c r="U177" s="105"/>
      <c r="V177" s="289" t="str">
        <f>IF(U177="","",IF(VLOOKUP(U177,'G-3 Multipliers'!$L$3:$N$6,2,FALSE)=0,"Spatial Data Missing ⚠",VLOOKUP(U177,'G-3 Multipliers'!$L$3:$N$6,2,FALSE)))</f>
        <v/>
      </c>
      <c r="W177" s="287" t="str">
        <f>IF(U177="","",IF(VLOOKUP(U177,'G-3 Multipliers'!$L$3:$N$6,3,FALSE)=0,"Spatial Data Missing ⚠",VLOOKUP(U177,'G-3 Multipliers'!$L$3:$N$6,3,FALSE)))</f>
        <v/>
      </c>
      <c r="X177" s="281" t="str">
        <f>IFERROR(IF(OR(LEFT(O177,5)="Error",LEFT(N177,5)="Error",T177="Error"),"Check Data ⚠",IF(F177&lt;R177,INDEX('G-6 Hedgerow Data'!$S$3:$AE$14,MATCH(C177,'G-6 Hedgerow Data'!$B$3:$B$14,0),MATCH(M177,'G-6 Hedgerow Data'!$S$2:$AE$2,0)),INDEX('G-6 Hedgerow Data'!$K$3:$Q$14,MATCH(M177,'G-6 Hedgerow Data'!$B$3:$B$14,0),MATCH(O177,'G-6 Hedgerow Data'!$K$2:$Q$2,0)))),"")</f>
        <v/>
      </c>
      <c r="Y177" s="137"/>
      <c r="Z177" s="137"/>
      <c r="AA177" s="289" t="str">
        <f t="shared" si="18"/>
        <v/>
      </c>
      <c r="AB177" s="302" t="str">
        <f t="shared" si="19"/>
        <v/>
      </c>
      <c r="AC177" s="303" t="str">
        <f t="shared" si="16"/>
        <v/>
      </c>
      <c r="AD177" s="317" t="str">
        <f>IF(M177="","",VLOOKUP(M177,'G-6 Hedgerow Data'!$B$3:$AG$15,31,FALSE))</f>
        <v/>
      </c>
      <c r="AE177" s="301" t="str">
        <f t="shared" si="20"/>
        <v/>
      </c>
      <c r="AF177" s="289" t="str">
        <f t="shared" si="21"/>
        <v/>
      </c>
      <c r="AG177" s="305" t="str">
        <f>IFERROR(IF(O177="","",VLOOKUP(AD177,'G-3 Multipliers'!$P$3:$Q$6,2,FALSE)),"")</f>
        <v/>
      </c>
      <c r="AH177" s="729" t="str">
        <f>IF(B177="","",IF(ISNA(VLOOKUP($B177,'E-1 Off-Site Hedge Baseline'!$B$1:$Z$257,14,FALSE)),"",(VLOOKUP($B177,'E-1 Off-Site Hedge Baseline'!$B$1:$Z$257,14,FALSE))))</f>
        <v/>
      </c>
      <c r="AI177" s="282" t="str">
        <f>IF(AH177="","",IF(VLOOKUP(AH177,'G-3 Multipliers'!$S$3:$T$10,2,FALSE)=0,"Spatial Data Missing ⚠",VLOOKUP(AH177,'G-3 Multipliers'!$S$3:$T$10,2,FALSE)))</f>
        <v/>
      </c>
      <c r="AJ177" s="323" t="str">
        <f t="shared" si="22"/>
        <v/>
      </c>
      <c r="AK177" s="295" t="str">
        <f t="shared" si="23"/>
        <v/>
      </c>
      <c r="AL177" s="105"/>
      <c r="AM177" s="119"/>
      <c r="AN177" s="108"/>
      <c r="AO177" s="108"/>
      <c r="AQ177" s="30" t="str">
        <f>IFERROR(INDEX('G-6 Hedgerow Data'!$BJ$3:$BJ$15,MATCH(M177,'G-6 Hedgerow Data'!$B$3:$B$15,0)),"")</f>
        <v/>
      </c>
    </row>
    <row r="178" spans="2:43" ht="13.8" x14ac:dyDescent="0.25">
      <c r="B178" s="311" t="str">
        <f>'E-1 Off-Site Hedge Baseline'!AN176</f>
        <v/>
      </c>
      <c r="C178" s="301" t="str">
        <f>IF(B178="","",IF(ISNA(VLOOKUP($B178,'E-1 Off-Site Hedge Baseline'!$B$1:$L$257,3,FALSE)),"",(VLOOKUP($B178,'E-1 Off-Site Hedge Baseline'!$B$1:$L$257,3,FALSE))))</f>
        <v/>
      </c>
      <c r="D178" s="301" t="str">
        <f>IF(B178="","",IF(ISNA(VLOOKUP($B178,'E-1 Off-Site Hedge Baseline'!$B$1:$L$258,4,FALSE)),"",(VLOOKUP($B178,'E-1 Off-Site Hedge Baseline'!$B$1:$L$258,4,FALSE))))</f>
        <v/>
      </c>
      <c r="E178" s="301" t="str">
        <f>IF(B178="","",IF(ISNA(VLOOKUP($B178,'E-1 Off-Site Hedge Baseline'!$B$1:$L$257,5,FALSE)),"",(VLOOKUP($B178,'E-1 Off-Site Hedge Baseline'!$B$1:$L$257,5,FALSE))))</f>
        <v/>
      </c>
      <c r="F178" s="301" t="str">
        <f>IF(B178="","",IF(ISNA(VLOOKUP($B178,'E-1 Off-Site Hedge Baseline'!$B$1:$L$257,6,FALSE)),"",(VLOOKUP($B178,'E-1 Off-Site Hedge Baseline'!$B$1:$L$257,6,FALSE))))</f>
        <v/>
      </c>
      <c r="G178" s="301" t="str">
        <f>IF(B178="","",IF(ISNA(VLOOKUP($B178,'E-1 Off-Site Hedge Baseline'!$B$1:$L$257,7,FALSE)),"",(VLOOKUP($B178,'E-1 Off-Site Hedge Baseline'!$B$1:$L$257,7,FALSE))))</f>
        <v/>
      </c>
      <c r="H178" s="301" t="str">
        <f>IF(B178="","",IF(ISNA(VLOOKUP($B178,'E-1 Off-Site Hedge Baseline'!$B$1:$L$257,8,FALSE)),"",(VLOOKUP($B178,'E-1 Off-Site Hedge Baseline'!$B$1:$L$257,8,FALSE))))</f>
        <v/>
      </c>
      <c r="I178" s="301" t="str">
        <f>IF(B178="","",IF(ISNA(VLOOKUP($B178,'E-1 Off-Site Hedge Baseline'!$B$1:$L$257,10,FALSE)),"",(VLOOKUP($B178,'E-1 Off-Site Hedge Baseline'!$B$1:$L$257,10,FALSE))))</f>
        <v/>
      </c>
      <c r="J178" s="301" t="str">
        <f>IF(B178="","",IF(ISNA(VLOOKUP($B178,'E-1 Off-Site Hedge Baseline'!$B$1:$L$257,11,FALSE)),"",(VLOOKUP($B178,'E-1 Off-Site Hedge Baseline'!$B$1:$L$257,11,FALSE))))</f>
        <v/>
      </c>
      <c r="K178" s="301" t="str">
        <f>IF(B178="","",IF(ISNA(VLOOKUP($B178,'E-1 Off-Site Hedge Baseline'!$B$1:$X$257,16,FALSE)),"",(VLOOKUP($B178,'E-1 Off-Site Hedge Baseline'!$B$1:$X$257,16,FALSE))))</f>
        <v/>
      </c>
      <c r="L178" s="289" t="str">
        <f>IF(B178="","",IF(ISNA(VLOOKUP($B178,'E-1 Off-Site Hedge Baseline'!$B$1:$X$257,12,FALSE)),"",(VLOOKUP($B178,'E-1 Off-Site Hedge Baseline'!$B$1:$X$257,12,FALSE))))</f>
        <v/>
      </c>
      <c r="M178" s="250"/>
      <c r="N178" s="281" t="str">
        <f>IFERROR(IF(B178="","",INDEX('G-6 Hedgerow Data'!$AN$3:$AZ$15,MATCH(C178,'G-6 Hedgerow Data'!$AM$3:$AM$15,0),MATCH(M178,'G-6 Hedgerow Data'!$AN$2:$AZ$2,0))),"")</f>
        <v/>
      </c>
      <c r="O178" s="282" t="str">
        <f t="shared" si="17"/>
        <v/>
      </c>
      <c r="P178" s="287" t="str">
        <f>IF(B178="","",VLOOKUP(B178,'E-1 Off-Site Hedge Baseline'!$B$10:W423,19,FALSE))</f>
        <v/>
      </c>
      <c r="Q178" s="281" t="str">
        <f>IF(M178="","",VLOOKUP(M178,'G-6 Hedgerow Data'!$B$2:$AG$15,2,FALSE))</f>
        <v/>
      </c>
      <c r="R178" s="282" t="str">
        <f>IF(M178="","",VLOOKUP(M178,'G-6 Hedgerow Data'!$B$2:$AG$15,3,FALSE))</f>
        <v/>
      </c>
      <c r="S178" s="105"/>
      <c r="T178" s="282" t="str">
        <f>IFERROR(IF(S178="","",IF(AND(M178="Non-native and ornamental hedgerow", S178&lt;&gt;"Poor"),"Not possible ▲", (IF(AND(Q178="V.Low",OR(S178="Good",S178="Moderate")),"Error ▲",VLOOKUP(S178,'G-1 All Habitats'!$Z$2:$AA$9,2,FALSE))))),"")</f>
        <v/>
      </c>
      <c r="U178" s="105"/>
      <c r="V178" s="289" t="str">
        <f>IF(U178="","",IF(VLOOKUP(U178,'G-3 Multipliers'!$L$3:$N$6,2,FALSE)=0,"Spatial Data Missing ⚠",VLOOKUP(U178,'G-3 Multipliers'!$L$3:$N$6,2,FALSE)))</f>
        <v/>
      </c>
      <c r="W178" s="287" t="str">
        <f>IF(U178="","",IF(VLOOKUP(U178,'G-3 Multipliers'!$L$3:$N$6,3,FALSE)=0,"Spatial Data Missing ⚠",VLOOKUP(U178,'G-3 Multipliers'!$L$3:$N$6,3,FALSE)))</f>
        <v/>
      </c>
      <c r="X178" s="281" t="str">
        <f>IFERROR(IF(OR(LEFT(O178,5)="Error",LEFT(N178,5)="Error",T178="Error"),"Check Data ⚠",IF(F178&lt;R178,INDEX('G-6 Hedgerow Data'!$S$3:$AE$14,MATCH(C178,'G-6 Hedgerow Data'!$B$3:$B$14,0),MATCH(M178,'G-6 Hedgerow Data'!$S$2:$AE$2,0)),INDEX('G-6 Hedgerow Data'!$K$3:$Q$14,MATCH(M178,'G-6 Hedgerow Data'!$B$3:$B$14,0),MATCH(O178,'G-6 Hedgerow Data'!$K$2:$Q$2,0)))),"")</f>
        <v/>
      </c>
      <c r="Y178" s="137"/>
      <c r="Z178" s="137"/>
      <c r="AA178" s="289" t="str">
        <f t="shared" si="18"/>
        <v/>
      </c>
      <c r="AB178" s="302" t="str">
        <f t="shared" si="19"/>
        <v/>
      </c>
      <c r="AC178" s="303" t="str">
        <f t="shared" si="16"/>
        <v/>
      </c>
      <c r="AD178" s="317" t="str">
        <f>IF(M178="","",VLOOKUP(M178,'G-6 Hedgerow Data'!$B$3:$AG$15,31,FALSE))</f>
        <v/>
      </c>
      <c r="AE178" s="301" t="str">
        <f t="shared" si="20"/>
        <v/>
      </c>
      <c r="AF178" s="289" t="str">
        <f t="shared" si="21"/>
        <v/>
      </c>
      <c r="AG178" s="305" t="str">
        <f>IFERROR(IF(O178="","",VLOOKUP(AD178,'G-3 Multipliers'!$P$3:$Q$6,2,FALSE)),"")</f>
        <v/>
      </c>
      <c r="AH178" s="729" t="str">
        <f>IF(B178="","",IF(ISNA(VLOOKUP($B178,'E-1 Off-Site Hedge Baseline'!$B$1:$Z$257,14,FALSE)),"",(VLOOKUP($B178,'E-1 Off-Site Hedge Baseline'!$B$1:$Z$257,14,FALSE))))</f>
        <v/>
      </c>
      <c r="AI178" s="282" t="str">
        <f>IF(AH178="","",IF(VLOOKUP(AH178,'G-3 Multipliers'!$S$3:$T$10,2,FALSE)=0,"Spatial Data Missing ⚠",VLOOKUP(AH178,'G-3 Multipliers'!$S$3:$T$10,2,FALSE)))</f>
        <v/>
      </c>
      <c r="AJ178" s="323" t="str">
        <f t="shared" si="22"/>
        <v/>
      </c>
      <c r="AK178" s="295" t="str">
        <f t="shared" si="23"/>
        <v/>
      </c>
      <c r="AL178" s="105"/>
      <c r="AM178" s="119"/>
      <c r="AN178" s="108"/>
      <c r="AO178" s="108"/>
      <c r="AQ178" s="30" t="str">
        <f>IFERROR(INDEX('G-6 Hedgerow Data'!$BJ$3:$BJ$15,MATCH(M178,'G-6 Hedgerow Data'!$B$3:$B$15,0)),"")</f>
        <v/>
      </c>
    </row>
    <row r="179" spans="2:43" ht="13.8" x14ac:dyDescent="0.25">
      <c r="B179" s="311" t="str">
        <f>'E-1 Off-Site Hedge Baseline'!AN177</f>
        <v/>
      </c>
      <c r="C179" s="301" t="str">
        <f>IF(B179="","",IF(ISNA(VLOOKUP($B179,'E-1 Off-Site Hedge Baseline'!$B$1:$L$257,3,FALSE)),"",(VLOOKUP($B179,'E-1 Off-Site Hedge Baseline'!$B$1:$L$257,3,FALSE))))</f>
        <v/>
      </c>
      <c r="D179" s="301" t="str">
        <f>IF(B179="","",IF(ISNA(VLOOKUP($B179,'E-1 Off-Site Hedge Baseline'!$B$1:$L$258,4,FALSE)),"",(VLOOKUP($B179,'E-1 Off-Site Hedge Baseline'!$B$1:$L$258,4,FALSE))))</f>
        <v/>
      </c>
      <c r="E179" s="301" t="str">
        <f>IF(B179="","",IF(ISNA(VLOOKUP($B179,'E-1 Off-Site Hedge Baseline'!$B$1:$L$257,5,FALSE)),"",(VLOOKUP($B179,'E-1 Off-Site Hedge Baseline'!$B$1:$L$257,5,FALSE))))</f>
        <v/>
      </c>
      <c r="F179" s="301" t="str">
        <f>IF(B179="","",IF(ISNA(VLOOKUP($B179,'E-1 Off-Site Hedge Baseline'!$B$1:$L$257,6,FALSE)),"",(VLOOKUP($B179,'E-1 Off-Site Hedge Baseline'!$B$1:$L$257,6,FALSE))))</f>
        <v/>
      </c>
      <c r="G179" s="301" t="str">
        <f>IF(B179="","",IF(ISNA(VLOOKUP($B179,'E-1 Off-Site Hedge Baseline'!$B$1:$L$257,7,FALSE)),"",(VLOOKUP($B179,'E-1 Off-Site Hedge Baseline'!$B$1:$L$257,7,FALSE))))</f>
        <v/>
      </c>
      <c r="H179" s="301" t="str">
        <f>IF(B179="","",IF(ISNA(VLOOKUP($B179,'E-1 Off-Site Hedge Baseline'!$B$1:$L$257,8,FALSE)),"",(VLOOKUP($B179,'E-1 Off-Site Hedge Baseline'!$B$1:$L$257,8,FALSE))))</f>
        <v/>
      </c>
      <c r="I179" s="301" t="str">
        <f>IF(B179="","",IF(ISNA(VLOOKUP($B179,'E-1 Off-Site Hedge Baseline'!$B$1:$L$257,10,FALSE)),"",(VLOOKUP($B179,'E-1 Off-Site Hedge Baseline'!$B$1:$L$257,10,FALSE))))</f>
        <v/>
      </c>
      <c r="J179" s="301" t="str">
        <f>IF(B179="","",IF(ISNA(VLOOKUP($B179,'E-1 Off-Site Hedge Baseline'!$B$1:$L$257,11,FALSE)),"",(VLOOKUP($B179,'E-1 Off-Site Hedge Baseline'!$B$1:$L$257,11,FALSE))))</f>
        <v/>
      </c>
      <c r="K179" s="301" t="str">
        <f>IF(B179="","",IF(ISNA(VLOOKUP($B179,'E-1 Off-Site Hedge Baseline'!$B$1:$X$257,16,FALSE)),"",(VLOOKUP($B179,'E-1 Off-Site Hedge Baseline'!$B$1:$X$257,16,FALSE))))</f>
        <v/>
      </c>
      <c r="L179" s="289" t="str">
        <f>IF(B179="","",IF(ISNA(VLOOKUP($B179,'E-1 Off-Site Hedge Baseline'!$B$1:$X$257,12,FALSE)),"",(VLOOKUP($B179,'E-1 Off-Site Hedge Baseline'!$B$1:$X$257,12,FALSE))))</f>
        <v/>
      </c>
      <c r="M179" s="250"/>
      <c r="N179" s="281" t="str">
        <f>IFERROR(IF(B179="","",INDEX('G-6 Hedgerow Data'!$AN$3:$AZ$15,MATCH(C179,'G-6 Hedgerow Data'!$AM$3:$AM$15,0),MATCH(M179,'G-6 Hedgerow Data'!$AN$2:$AZ$2,0))),"")</f>
        <v/>
      </c>
      <c r="O179" s="282" t="str">
        <f t="shared" si="17"/>
        <v/>
      </c>
      <c r="P179" s="287" t="str">
        <f>IF(B179="","",VLOOKUP(B179,'E-1 Off-Site Hedge Baseline'!$B$10:W424,19,FALSE))</f>
        <v/>
      </c>
      <c r="Q179" s="281" t="str">
        <f>IF(M179="","",VLOOKUP(M179,'G-6 Hedgerow Data'!$B$2:$AG$15,2,FALSE))</f>
        <v/>
      </c>
      <c r="R179" s="282" t="str">
        <f>IF(M179="","",VLOOKUP(M179,'G-6 Hedgerow Data'!$B$2:$AG$15,3,FALSE))</f>
        <v/>
      </c>
      <c r="S179" s="105"/>
      <c r="T179" s="282" t="str">
        <f>IFERROR(IF(S179="","",IF(AND(M179="Non-native and ornamental hedgerow", S179&lt;&gt;"Poor"),"Not possible ▲", (IF(AND(Q179="V.Low",OR(S179="Good",S179="Moderate")),"Error ▲",VLOOKUP(S179,'G-1 All Habitats'!$Z$2:$AA$9,2,FALSE))))),"")</f>
        <v/>
      </c>
      <c r="U179" s="105"/>
      <c r="V179" s="289" t="str">
        <f>IF(U179="","",IF(VLOOKUP(U179,'G-3 Multipliers'!$L$3:$N$6,2,FALSE)=0,"Spatial Data Missing ⚠",VLOOKUP(U179,'G-3 Multipliers'!$L$3:$N$6,2,FALSE)))</f>
        <v/>
      </c>
      <c r="W179" s="287" t="str">
        <f>IF(U179="","",IF(VLOOKUP(U179,'G-3 Multipliers'!$L$3:$N$6,3,FALSE)=0,"Spatial Data Missing ⚠",VLOOKUP(U179,'G-3 Multipliers'!$L$3:$N$6,3,FALSE)))</f>
        <v/>
      </c>
      <c r="X179" s="281" t="str">
        <f>IFERROR(IF(OR(LEFT(O179,5)="Error",LEFT(N179,5)="Error",T179="Error"),"Check Data ⚠",IF(F179&lt;R179,INDEX('G-6 Hedgerow Data'!$S$3:$AE$14,MATCH(C179,'G-6 Hedgerow Data'!$B$3:$B$14,0),MATCH(M179,'G-6 Hedgerow Data'!$S$2:$AE$2,0)),INDEX('G-6 Hedgerow Data'!$K$3:$Q$14,MATCH(M179,'G-6 Hedgerow Data'!$B$3:$B$14,0),MATCH(O179,'G-6 Hedgerow Data'!$K$2:$Q$2,0)))),"")</f>
        <v/>
      </c>
      <c r="Y179" s="137"/>
      <c r="Z179" s="137"/>
      <c r="AA179" s="289" t="str">
        <f t="shared" si="18"/>
        <v/>
      </c>
      <c r="AB179" s="302" t="str">
        <f t="shared" si="19"/>
        <v/>
      </c>
      <c r="AC179" s="303" t="str">
        <f t="shared" si="16"/>
        <v/>
      </c>
      <c r="AD179" s="317" t="str">
        <f>IF(M179="","",VLOOKUP(M179,'G-6 Hedgerow Data'!$B$3:$AG$15,31,FALSE))</f>
        <v/>
      </c>
      <c r="AE179" s="301" t="str">
        <f t="shared" si="20"/>
        <v/>
      </c>
      <c r="AF179" s="289" t="str">
        <f t="shared" si="21"/>
        <v/>
      </c>
      <c r="AG179" s="305" t="str">
        <f>IFERROR(IF(O179="","",VLOOKUP(AD179,'G-3 Multipliers'!$P$3:$Q$6,2,FALSE)),"")</f>
        <v/>
      </c>
      <c r="AH179" s="729" t="str">
        <f>IF(B179="","",IF(ISNA(VLOOKUP($B179,'E-1 Off-Site Hedge Baseline'!$B$1:$Z$257,14,FALSE)),"",(VLOOKUP($B179,'E-1 Off-Site Hedge Baseline'!$B$1:$Z$257,14,FALSE))))</f>
        <v/>
      </c>
      <c r="AI179" s="282" t="str">
        <f>IF(AH179="","",IF(VLOOKUP(AH179,'G-3 Multipliers'!$S$3:$T$10,2,FALSE)=0,"Spatial Data Missing ⚠",VLOOKUP(AH179,'G-3 Multipliers'!$S$3:$T$10,2,FALSE)))</f>
        <v/>
      </c>
      <c r="AJ179" s="323" t="str">
        <f t="shared" si="22"/>
        <v/>
      </c>
      <c r="AK179" s="295" t="str">
        <f t="shared" si="23"/>
        <v/>
      </c>
      <c r="AL179" s="105"/>
      <c r="AM179" s="119"/>
      <c r="AN179" s="108"/>
      <c r="AO179" s="108"/>
      <c r="AQ179" s="30" t="str">
        <f>IFERROR(INDEX('G-6 Hedgerow Data'!$BJ$3:$BJ$15,MATCH(M179,'G-6 Hedgerow Data'!$B$3:$B$15,0)),"")</f>
        <v/>
      </c>
    </row>
    <row r="180" spans="2:43" ht="13.8" x14ac:dyDescent="0.25">
      <c r="B180" s="311" t="str">
        <f>'E-1 Off-Site Hedge Baseline'!AN178</f>
        <v/>
      </c>
      <c r="C180" s="301" t="str">
        <f>IF(B180="","",IF(ISNA(VLOOKUP($B180,'E-1 Off-Site Hedge Baseline'!$B$1:$L$257,3,FALSE)),"",(VLOOKUP($B180,'E-1 Off-Site Hedge Baseline'!$B$1:$L$257,3,FALSE))))</f>
        <v/>
      </c>
      <c r="D180" s="301" t="str">
        <f>IF(B180="","",IF(ISNA(VLOOKUP($B180,'E-1 Off-Site Hedge Baseline'!$B$1:$L$258,4,FALSE)),"",(VLOOKUP($B180,'E-1 Off-Site Hedge Baseline'!$B$1:$L$258,4,FALSE))))</f>
        <v/>
      </c>
      <c r="E180" s="301" t="str">
        <f>IF(B180="","",IF(ISNA(VLOOKUP($B180,'E-1 Off-Site Hedge Baseline'!$B$1:$L$257,5,FALSE)),"",(VLOOKUP($B180,'E-1 Off-Site Hedge Baseline'!$B$1:$L$257,5,FALSE))))</f>
        <v/>
      </c>
      <c r="F180" s="301" t="str">
        <f>IF(B180="","",IF(ISNA(VLOOKUP($B180,'E-1 Off-Site Hedge Baseline'!$B$1:$L$257,6,FALSE)),"",(VLOOKUP($B180,'E-1 Off-Site Hedge Baseline'!$B$1:$L$257,6,FALSE))))</f>
        <v/>
      </c>
      <c r="G180" s="301" t="str">
        <f>IF(B180="","",IF(ISNA(VLOOKUP($B180,'E-1 Off-Site Hedge Baseline'!$B$1:$L$257,7,FALSE)),"",(VLOOKUP($B180,'E-1 Off-Site Hedge Baseline'!$B$1:$L$257,7,FALSE))))</f>
        <v/>
      </c>
      <c r="H180" s="301" t="str">
        <f>IF(B180="","",IF(ISNA(VLOOKUP($B180,'E-1 Off-Site Hedge Baseline'!$B$1:$L$257,8,FALSE)),"",(VLOOKUP($B180,'E-1 Off-Site Hedge Baseline'!$B$1:$L$257,8,FALSE))))</f>
        <v/>
      </c>
      <c r="I180" s="301" t="str">
        <f>IF(B180="","",IF(ISNA(VLOOKUP($B180,'E-1 Off-Site Hedge Baseline'!$B$1:$L$257,10,FALSE)),"",(VLOOKUP($B180,'E-1 Off-Site Hedge Baseline'!$B$1:$L$257,10,FALSE))))</f>
        <v/>
      </c>
      <c r="J180" s="301" t="str">
        <f>IF(B180="","",IF(ISNA(VLOOKUP($B180,'E-1 Off-Site Hedge Baseline'!$B$1:$L$257,11,FALSE)),"",(VLOOKUP($B180,'E-1 Off-Site Hedge Baseline'!$B$1:$L$257,11,FALSE))))</f>
        <v/>
      </c>
      <c r="K180" s="301" t="str">
        <f>IF(B180="","",IF(ISNA(VLOOKUP($B180,'E-1 Off-Site Hedge Baseline'!$B$1:$X$257,16,FALSE)),"",(VLOOKUP($B180,'E-1 Off-Site Hedge Baseline'!$B$1:$X$257,16,FALSE))))</f>
        <v/>
      </c>
      <c r="L180" s="289" t="str">
        <f>IF(B180="","",IF(ISNA(VLOOKUP($B180,'E-1 Off-Site Hedge Baseline'!$B$1:$X$257,12,FALSE)),"",(VLOOKUP($B180,'E-1 Off-Site Hedge Baseline'!$B$1:$X$257,12,FALSE))))</f>
        <v/>
      </c>
      <c r="M180" s="250"/>
      <c r="N180" s="281" t="str">
        <f>IFERROR(IF(B180="","",INDEX('G-6 Hedgerow Data'!$AN$3:$AZ$15,MATCH(C180,'G-6 Hedgerow Data'!$AM$3:$AM$15,0),MATCH(M180,'G-6 Hedgerow Data'!$AN$2:$AZ$2,0))),"")</f>
        <v/>
      </c>
      <c r="O180" s="282" t="str">
        <f t="shared" si="17"/>
        <v/>
      </c>
      <c r="P180" s="287" t="str">
        <f>IF(B180="","",VLOOKUP(B180,'E-1 Off-Site Hedge Baseline'!$B$10:W425,19,FALSE))</f>
        <v/>
      </c>
      <c r="Q180" s="281" t="str">
        <f>IF(M180="","",VLOOKUP(M180,'G-6 Hedgerow Data'!$B$2:$AG$15,2,FALSE))</f>
        <v/>
      </c>
      <c r="R180" s="282" t="str">
        <f>IF(M180="","",VLOOKUP(M180,'G-6 Hedgerow Data'!$B$2:$AG$15,3,FALSE))</f>
        <v/>
      </c>
      <c r="S180" s="105"/>
      <c r="T180" s="282" t="str">
        <f>IFERROR(IF(S180="","",IF(AND(M180="Non-native and ornamental hedgerow", S180&lt;&gt;"Poor"),"Not possible ▲", (IF(AND(Q180="V.Low",OR(S180="Good",S180="Moderate")),"Error ▲",VLOOKUP(S180,'G-1 All Habitats'!$Z$2:$AA$9,2,FALSE))))),"")</f>
        <v/>
      </c>
      <c r="U180" s="105"/>
      <c r="V180" s="289" t="str">
        <f>IF(U180="","",IF(VLOOKUP(U180,'G-3 Multipliers'!$L$3:$N$6,2,FALSE)=0,"Spatial Data Missing ⚠",VLOOKUP(U180,'G-3 Multipliers'!$L$3:$N$6,2,FALSE)))</f>
        <v/>
      </c>
      <c r="W180" s="287" t="str">
        <f>IF(U180="","",IF(VLOOKUP(U180,'G-3 Multipliers'!$L$3:$N$6,3,FALSE)=0,"Spatial Data Missing ⚠",VLOOKUP(U180,'G-3 Multipliers'!$L$3:$N$6,3,FALSE)))</f>
        <v/>
      </c>
      <c r="X180" s="281" t="str">
        <f>IFERROR(IF(OR(LEFT(O180,5)="Error",LEFT(N180,5)="Error",T180="Error"),"Check Data ⚠",IF(F180&lt;R180,INDEX('G-6 Hedgerow Data'!$S$3:$AE$14,MATCH(C180,'G-6 Hedgerow Data'!$B$3:$B$14,0),MATCH(M180,'G-6 Hedgerow Data'!$S$2:$AE$2,0)),INDEX('G-6 Hedgerow Data'!$K$3:$Q$14,MATCH(M180,'G-6 Hedgerow Data'!$B$3:$B$14,0),MATCH(O180,'G-6 Hedgerow Data'!$K$2:$Q$2,0)))),"")</f>
        <v/>
      </c>
      <c r="Y180" s="137"/>
      <c r="Z180" s="137"/>
      <c r="AA180" s="289" t="str">
        <f t="shared" si="18"/>
        <v/>
      </c>
      <c r="AB180" s="302" t="str">
        <f t="shared" si="19"/>
        <v/>
      </c>
      <c r="AC180" s="303" t="str">
        <f t="shared" si="16"/>
        <v/>
      </c>
      <c r="AD180" s="317" t="str">
        <f>IF(M180="","",VLOOKUP(M180,'G-6 Hedgerow Data'!$B$3:$AG$15,31,FALSE))</f>
        <v/>
      </c>
      <c r="AE180" s="301" t="str">
        <f t="shared" si="20"/>
        <v/>
      </c>
      <c r="AF180" s="289" t="str">
        <f t="shared" si="21"/>
        <v/>
      </c>
      <c r="AG180" s="305" t="str">
        <f>IFERROR(IF(O180="","",VLOOKUP(AD180,'G-3 Multipliers'!$P$3:$Q$6,2,FALSE)),"")</f>
        <v/>
      </c>
      <c r="AH180" s="729" t="str">
        <f>IF(B180="","",IF(ISNA(VLOOKUP($B180,'E-1 Off-Site Hedge Baseline'!$B$1:$Z$257,14,FALSE)),"",(VLOOKUP($B180,'E-1 Off-Site Hedge Baseline'!$B$1:$Z$257,14,FALSE))))</f>
        <v/>
      </c>
      <c r="AI180" s="282" t="str">
        <f>IF(AH180="","",IF(VLOOKUP(AH180,'G-3 Multipliers'!$S$3:$T$10,2,FALSE)=0,"Spatial Data Missing ⚠",VLOOKUP(AH180,'G-3 Multipliers'!$S$3:$T$10,2,FALSE)))</f>
        <v/>
      </c>
      <c r="AJ180" s="323" t="str">
        <f t="shared" si="22"/>
        <v/>
      </c>
      <c r="AK180" s="295" t="str">
        <f t="shared" si="23"/>
        <v/>
      </c>
      <c r="AL180" s="105"/>
      <c r="AM180" s="119"/>
      <c r="AN180" s="108"/>
      <c r="AO180" s="108"/>
      <c r="AQ180" s="30" t="str">
        <f>IFERROR(INDEX('G-6 Hedgerow Data'!$BJ$3:$BJ$15,MATCH(M180,'G-6 Hedgerow Data'!$B$3:$B$15,0)),"")</f>
        <v/>
      </c>
    </row>
    <row r="181" spans="2:43" ht="13.8" x14ac:dyDescent="0.25">
      <c r="B181" s="311" t="str">
        <f>'E-1 Off-Site Hedge Baseline'!AN179</f>
        <v/>
      </c>
      <c r="C181" s="301" t="str">
        <f>IF(B181="","",IF(ISNA(VLOOKUP($B181,'E-1 Off-Site Hedge Baseline'!$B$1:$L$257,3,FALSE)),"",(VLOOKUP($B181,'E-1 Off-Site Hedge Baseline'!$B$1:$L$257,3,FALSE))))</f>
        <v/>
      </c>
      <c r="D181" s="301" t="str">
        <f>IF(B181="","",IF(ISNA(VLOOKUP($B181,'E-1 Off-Site Hedge Baseline'!$B$1:$L$258,4,FALSE)),"",(VLOOKUP($B181,'E-1 Off-Site Hedge Baseline'!$B$1:$L$258,4,FALSE))))</f>
        <v/>
      </c>
      <c r="E181" s="301" t="str">
        <f>IF(B181="","",IF(ISNA(VLOOKUP($B181,'E-1 Off-Site Hedge Baseline'!$B$1:$L$257,5,FALSE)),"",(VLOOKUP($B181,'E-1 Off-Site Hedge Baseline'!$B$1:$L$257,5,FALSE))))</f>
        <v/>
      </c>
      <c r="F181" s="301" t="str">
        <f>IF(B181="","",IF(ISNA(VLOOKUP($B181,'E-1 Off-Site Hedge Baseline'!$B$1:$L$257,6,FALSE)),"",(VLOOKUP($B181,'E-1 Off-Site Hedge Baseline'!$B$1:$L$257,6,FALSE))))</f>
        <v/>
      </c>
      <c r="G181" s="301" t="str">
        <f>IF(B181="","",IF(ISNA(VLOOKUP($B181,'E-1 Off-Site Hedge Baseline'!$B$1:$L$257,7,FALSE)),"",(VLOOKUP($B181,'E-1 Off-Site Hedge Baseline'!$B$1:$L$257,7,FALSE))))</f>
        <v/>
      </c>
      <c r="H181" s="301" t="str">
        <f>IF(B181="","",IF(ISNA(VLOOKUP($B181,'E-1 Off-Site Hedge Baseline'!$B$1:$L$257,8,FALSE)),"",(VLOOKUP($B181,'E-1 Off-Site Hedge Baseline'!$B$1:$L$257,8,FALSE))))</f>
        <v/>
      </c>
      <c r="I181" s="301" t="str">
        <f>IF(B181="","",IF(ISNA(VLOOKUP($B181,'E-1 Off-Site Hedge Baseline'!$B$1:$L$257,10,FALSE)),"",(VLOOKUP($B181,'E-1 Off-Site Hedge Baseline'!$B$1:$L$257,10,FALSE))))</f>
        <v/>
      </c>
      <c r="J181" s="301" t="str">
        <f>IF(B181="","",IF(ISNA(VLOOKUP($B181,'E-1 Off-Site Hedge Baseline'!$B$1:$L$257,11,FALSE)),"",(VLOOKUP($B181,'E-1 Off-Site Hedge Baseline'!$B$1:$L$257,11,FALSE))))</f>
        <v/>
      </c>
      <c r="K181" s="301" t="str">
        <f>IF(B181="","",IF(ISNA(VLOOKUP($B181,'E-1 Off-Site Hedge Baseline'!$B$1:$X$257,16,FALSE)),"",(VLOOKUP($B181,'E-1 Off-Site Hedge Baseline'!$B$1:$X$257,16,FALSE))))</f>
        <v/>
      </c>
      <c r="L181" s="289" t="str">
        <f>IF(B181="","",IF(ISNA(VLOOKUP($B181,'E-1 Off-Site Hedge Baseline'!$B$1:$X$257,12,FALSE)),"",(VLOOKUP($B181,'E-1 Off-Site Hedge Baseline'!$B$1:$X$257,12,FALSE))))</f>
        <v/>
      </c>
      <c r="M181" s="250"/>
      <c r="N181" s="281" t="str">
        <f>IFERROR(IF(B181="","",INDEX('G-6 Hedgerow Data'!$AN$3:$AZ$15,MATCH(C181,'G-6 Hedgerow Data'!$AM$3:$AM$15,0),MATCH(M181,'G-6 Hedgerow Data'!$AN$2:$AZ$2,0))),"")</f>
        <v/>
      </c>
      <c r="O181" s="282" t="str">
        <f t="shared" si="17"/>
        <v/>
      </c>
      <c r="P181" s="287" t="str">
        <f>IF(B181="","",VLOOKUP(B181,'E-1 Off-Site Hedge Baseline'!$B$10:W426,19,FALSE))</f>
        <v/>
      </c>
      <c r="Q181" s="281" t="str">
        <f>IF(M181="","",VLOOKUP(M181,'G-6 Hedgerow Data'!$B$2:$AG$15,2,FALSE))</f>
        <v/>
      </c>
      <c r="R181" s="282" t="str">
        <f>IF(M181="","",VLOOKUP(M181,'G-6 Hedgerow Data'!$B$2:$AG$15,3,FALSE))</f>
        <v/>
      </c>
      <c r="S181" s="105"/>
      <c r="T181" s="282" t="str">
        <f>IFERROR(IF(S181="","",IF(AND(M181="Non-native and ornamental hedgerow", S181&lt;&gt;"Poor"),"Not possible ▲", (IF(AND(Q181="V.Low",OR(S181="Good",S181="Moderate")),"Error ▲",VLOOKUP(S181,'G-1 All Habitats'!$Z$2:$AA$9,2,FALSE))))),"")</f>
        <v/>
      </c>
      <c r="U181" s="105"/>
      <c r="V181" s="289" t="str">
        <f>IF(U181="","",IF(VLOOKUP(U181,'G-3 Multipliers'!$L$3:$N$6,2,FALSE)=0,"Spatial Data Missing ⚠",VLOOKUP(U181,'G-3 Multipliers'!$L$3:$N$6,2,FALSE)))</f>
        <v/>
      </c>
      <c r="W181" s="287" t="str">
        <f>IF(U181="","",IF(VLOOKUP(U181,'G-3 Multipliers'!$L$3:$N$6,3,FALSE)=0,"Spatial Data Missing ⚠",VLOOKUP(U181,'G-3 Multipliers'!$L$3:$N$6,3,FALSE)))</f>
        <v/>
      </c>
      <c r="X181" s="281" t="str">
        <f>IFERROR(IF(OR(LEFT(O181,5)="Error",LEFT(N181,5)="Error",T181="Error"),"Check Data ⚠",IF(F181&lt;R181,INDEX('G-6 Hedgerow Data'!$S$3:$AE$14,MATCH(C181,'G-6 Hedgerow Data'!$B$3:$B$14,0),MATCH(M181,'G-6 Hedgerow Data'!$S$2:$AE$2,0)),INDEX('G-6 Hedgerow Data'!$K$3:$Q$14,MATCH(M181,'G-6 Hedgerow Data'!$B$3:$B$14,0),MATCH(O181,'G-6 Hedgerow Data'!$K$2:$Q$2,0)))),"")</f>
        <v/>
      </c>
      <c r="Y181" s="137"/>
      <c r="Z181" s="137"/>
      <c r="AA181" s="289" t="str">
        <f t="shared" si="18"/>
        <v/>
      </c>
      <c r="AB181" s="302" t="str">
        <f t="shared" si="19"/>
        <v/>
      </c>
      <c r="AC181" s="303" t="str">
        <f t="shared" si="16"/>
        <v/>
      </c>
      <c r="AD181" s="317" t="str">
        <f>IF(M181="","",VLOOKUP(M181,'G-6 Hedgerow Data'!$B$3:$AG$15,31,FALSE))</f>
        <v/>
      </c>
      <c r="AE181" s="301" t="str">
        <f t="shared" si="20"/>
        <v/>
      </c>
      <c r="AF181" s="289" t="str">
        <f t="shared" si="21"/>
        <v/>
      </c>
      <c r="AG181" s="305" t="str">
        <f>IFERROR(IF(O181="","",VLOOKUP(AD181,'G-3 Multipliers'!$P$3:$Q$6,2,FALSE)),"")</f>
        <v/>
      </c>
      <c r="AH181" s="729" t="str">
        <f>IF(B181="","",IF(ISNA(VLOOKUP($B181,'E-1 Off-Site Hedge Baseline'!$B$1:$Z$257,14,FALSE)),"",(VLOOKUP($B181,'E-1 Off-Site Hedge Baseline'!$B$1:$Z$257,14,FALSE))))</f>
        <v/>
      </c>
      <c r="AI181" s="282" t="str">
        <f>IF(AH181="","",IF(VLOOKUP(AH181,'G-3 Multipliers'!$S$3:$T$10,2,FALSE)=0,"Spatial Data Missing ⚠",VLOOKUP(AH181,'G-3 Multipliers'!$S$3:$T$10,2,FALSE)))</f>
        <v/>
      </c>
      <c r="AJ181" s="323" t="str">
        <f t="shared" si="22"/>
        <v/>
      </c>
      <c r="AK181" s="295" t="str">
        <f t="shared" si="23"/>
        <v/>
      </c>
      <c r="AL181" s="105"/>
      <c r="AM181" s="119"/>
      <c r="AN181" s="108"/>
      <c r="AO181" s="108"/>
      <c r="AQ181" s="30" t="str">
        <f>IFERROR(INDEX('G-6 Hedgerow Data'!$BJ$3:$BJ$15,MATCH(M181,'G-6 Hedgerow Data'!$B$3:$B$15,0)),"")</f>
        <v/>
      </c>
    </row>
    <row r="182" spans="2:43" ht="13.8" x14ac:dyDescent="0.25">
      <c r="B182" s="311" t="str">
        <f>'E-1 Off-Site Hedge Baseline'!AN180</f>
        <v/>
      </c>
      <c r="C182" s="301" t="str">
        <f>IF(B182="","",IF(ISNA(VLOOKUP($B182,'E-1 Off-Site Hedge Baseline'!$B$1:$L$257,3,FALSE)),"",(VLOOKUP($B182,'E-1 Off-Site Hedge Baseline'!$B$1:$L$257,3,FALSE))))</f>
        <v/>
      </c>
      <c r="D182" s="301" t="str">
        <f>IF(B182="","",IF(ISNA(VLOOKUP($B182,'E-1 Off-Site Hedge Baseline'!$B$1:$L$258,4,FALSE)),"",(VLOOKUP($B182,'E-1 Off-Site Hedge Baseline'!$B$1:$L$258,4,FALSE))))</f>
        <v/>
      </c>
      <c r="E182" s="301" t="str">
        <f>IF(B182="","",IF(ISNA(VLOOKUP($B182,'E-1 Off-Site Hedge Baseline'!$B$1:$L$257,5,FALSE)),"",(VLOOKUP($B182,'E-1 Off-Site Hedge Baseline'!$B$1:$L$257,5,FALSE))))</f>
        <v/>
      </c>
      <c r="F182" s="301" t="str">
        <f>IF(B182="","",IF(ISNA(VLOOKUP($B182,'E-1 Off-Site Hedge Baseline'!$B$1:$L$257,6,FALSE)),"",(VLOOKUP($B182,'E-1 Off-Site Hedge Baseline'!$B$1:$L$257,6,FALSE))))</f>
        <v/>
      </c>
      <c r="G182" s="301" t="str">
        <f>IF(B182="","",IF(ISNA(VLOOKUP($B182,'E-1 Off-Site Hedge Baseline'!$B$1:$L$257,7,FALSE)),"",(VLOOKUP($B182,'E-1 Off-Site Hedge Baseline'!$B$1:$L$257,7,FALSE))))</f>
        <v/>
      </c>
      <c r="H182" s="301" t="str">
        <f>IF(B182="","",IF(ISNA(VLOOKUP($B182,'E-1 Off-Site Hedge Baseline'!$B$1:$L$257,8,FALSE)),"",(VLOOKUP($B182,'E-1 Off-Site Hedge Baseline'!$B$1:$L$257,8,FALSE))))</f>
        <v/>
      </c>
      <c r="I182" s="301" t="str">
        <f>IF(B182="","",IF(ISNA(VLOOKUP($B182,'E-1 Off-Site Hedge Baseline'!$B$1:$L$257,10,FALSE)),"",(VLOOKUP($B182,'E-1 Off-Site Hedge Baseline'!$B$1:$L$257,10,FALSE))))</f>
        <v/>
      </c>
      <c r="J182" s="301" t="str">
        <f>IF(B182="","",IF(ISNA(VLOOKUP($B182,'E-1 Off-Site Hedge Baseline'!$B$1:$L$257,11,FALSE)),"",(VLOOKUP($B182,'E-1 Off-Site Hedge Baseline'!$B$1:$L$257,11,FALSE))))</f>
        <v/>
      </c>
      <c r="K182" s="301" t="str">
        <f>IF(B182="","",IF(ISNA(VLOOKUP($B182,'E-1 Off-Site Hedge Baseline'!$B$1:$X$257,16,FALSE)),"",(VLOOKUP($B182,'E-1 Off-Site Hedge Baseline'!$B$1:$X$257,16,FALSE))))</f>
        <v/>
      </c>
      <c r="L182" s="289" t="str">
        <f>IF(B182="","",IF(ISNA(VLOOKUP($B182,'E-1 Off-Site Hedge Baseline'!$B$1:$X$257,12,FALSE)),"",(VLOOKUP($B182,'E-1 Off-Site Hedge Baseline'!$B$1:$X$257,12,FALSE))))</f>
        <v/>
      </c>
      <c r="M182" s="250"/>
      <c r="N182" s="281" t="str">
        <f>IFERROR(IF(B182="","",INDEX('G-6 Hedgerow Data'!$AN$3:$AZ$15,MATCH(C182,'G-6 Hedgerow Data'!$AM$3:$AM$15,0),MATCH(M182,'G-6 Hedgerow Data'!$AN$2:$AZ$2,0))),"")</f>
        <v/>
      </c>
      <c r="O182" s="282" t="str">
        <f t="shared" si="17"/>
        <v/>
      </c>
      <c r="P182" s="287" t="str">
        <f>IF(B182="","",VLOOKUP(B182,'E-1 Off-Site Hedge Baseline'!$B$10:W427,19,FALSE))</f>
        <v/>
      </c>
      <c r="Q182" s="281" t="str">
        <f>IF(M182="","",VLOOKUP(M182,'G-6 Hedgerow Data'!$B$2:$AG$15,2,FALSE))</f>
        <v/>
      </c>
      <c r="R182" s="282" t="str">
        <f>IF(M182="","",VLOOKUP(M182,'G-6 Hedgerow Data'!$B$2:$AG$15,3,FALSE))</f>
        <v/>
      </c>
      <c r="S182" s="105"/>
      <c r="T182" s="282" t="str">
        <f>IFERROR(IF(S182="","",IF(AND(M182="Non-native and ornamental hedgerow", S182&lt;&gt;"Poor"),"Not possible ▲", (IF(AND(Q182="V.Low",OR(S182="Good",S182="Moderate")),"Error ▲",VLOOKUP(S182,'G-1 All Habitats'!$Z$2:$AA$9,2,FALSE))))),"")</f>
        <v/>
      </c>
      <c r="U182" s="105"/>
      <c r="V182" s="289" t="str">
        <f>IF(U182="","",IF(VLOOKUP(U182,'G-3 Multipliers'!$L$3:$N$6,2,FALSE)=0,"Spatial Data Missing ⚠",VLOOKUP(U182,'G-3 Multipliers'!$L$3:$N$6,2,FALSE)))</f>
        <v/>
      </c>
      <c r="W182" s="287" t="str">
        <f>IF(U182="","",IF(VLOOKUP(U182,'G-3 Multipliers'!$L$3:$N$6,3,FALSE)=0,"Spatial Data Missing ⚠",VLOOKUP(U182,'G-3 Multipliers'!$L$3:$N$6,3,FALSE)))</f>
        <v/>
      </c>
      <c r="X182" s="281" t="str">
        <f>IFERROR(IF(OR(LEFT(O182,5)="Error",LEFT(N182,5)="Error",T182="Error"),"Check Data ⚠",IF(F182&lt;R182,INDEX('G-6 Hedgerow Data'!$S$3:$AE$14,MATCH(C182,'G-6 Hedgerow Data'!$B$3:$B$14,0),MATCH(M182,'G-6 Hedgerow Data'!$S$2:$AE$2,0)),INDEX('G-6 Hedgerow Data'!$K$3:$Q$14,MATCH(M182,'G-6 Hedgerow Data'!$B$3:$B$14,0),MATCH(O182,'G-6 Hedgerow Data'!$K$2:$Q$2,0)))),"")</f>
        <v/>
      </c>
      <c r="Y182" s="137"/>
      <c r="Z182" s="137"/>
      <c r="AA182" s="289" t="str">
        <f t="shared" si="18"/>
        <v/>
      </c>
      <c r="AB182" s="302" t="str">
        <f t="shared" si="19"/>
        <v/>
      </c>
      <c r="AC182" s="303" t="str">
        <f t="shared" si="16"/>
        <v/>
      </c>
      <c r="AD182" s="317" t="str">
        <f>IF(M182="","",VLOOKUP(M182,'G-6 Hedgerow Data'!$B$3:$AG$15,31,FALSE))</f>
        <v/>
      </c>
      <c r="AE182" s="301" t="str">
        <f t="shared" si="20"/>
        <v/>
      </c>
      <c r="AF182" s="289" t="str">
        <f t="shared" si="21"/>
        <v/>
      </c>
      <c r="AG182" s="305" t="str">
        <f>IFERROR(IF(O182="","",VLOOKUP(AD182,'G-3 Multipliers'!$P$3:$Q$6,2,FALSE)),"")</f>
        <v/>
      </c>
      <c r="AH182" s="729" t="str">
        <f>IF(B182="","",IF(ISNA(VLOOKUP($B182,'E-1 Off-Site Hedge Baseline'!$B$1:$Z$257,14,FALSE)),"",(VLOOKUP($B182,'E-1 Off-Site Hedge Baseline'!$B$1:$Z$257,14,FALSE))))</f>
        <v/>
      </c>
      <c r="AI182" s="282" t="str">
        <f>IF(AH182="","",IF(VLOOKUP(AH182,'G-3 Multipliers'!$S$3:$T$10,2,FALSE)=0,"Spatial Data Missing ⚠",VLOOKUP(AH182,'G-3 Multipliers'!$S$3:$T$10,2,FALSE)))</f>
        <v/>
      </c>
      <c r="AJ182" s="323" t="str">
        <f t="shared" si="22"/>
        <v/>
      </c>
      <c r="AK182" s="295" t="str">
        <f t="shared" si="23"/>
        <v/>
      </c>
      <c r="AL182" s="105"/>
      <c r="AM182" s="119"/>
      <c r="AN182" s="108"/>
      <c r="AO182" s="108"/>
      <c r="AQ182" s="30" t="str">
        <f>IFERROR(INDEX('G-6 Hedgerow Data'!$BJ$3:$BJ$15,MATCH(M182,'G-6 Hedgerow Data'!$B$3:$B$15,0)),"")</f>
        <v/>
      </c>
    </row>
    <row r="183" spans="2:43" ht="13.8" x14ac:dyDescent="0.25">
      <c r="B183" s="311" t="str">
        <f>'E-1 Off-Site Hedge Baseline'!AN181</f>
        <v/>
      </c>
      <c r="C183" s="301" t="str">
        <f>IF(B183="","",IF(ISNA(VLOOKUP($B183,'E-1 Off-Site Hedge Baseline'!$B$1:$L$257,3,FALSE)),"",(VLOOKUP($B183,'E-1 Off-Site Hedge Baseline'!$B$1:$L$257,3,FALSE))))</f>
        <v/>
      </c>
      <c r="D183" s="301" t="str">
        <f>IF(B183="","",IF(ISNA(VLOOKUP($B183,'E-1 Off-Site Hedge Baseline'!$B$1:$L$258,4,FALSE)),"",(VLOOKUP($B183,'E-1 Off-Site Hedge Baseline'!$B$1:$L$258,4,FALSE))))</f>
        <v/>
      </c>
      <c r="E183" s="301" t="str">
        <f>IF(B183="","",IF(ISNA(VLOOKUP($B183,'E-1 Off-Site Hedge Baseline'!$B$1:$L$257,5,FALSE)),"",(VLOOKUP($B183,'E-1 Off-Site Hedge Baseline'!$B$1:$L$257,5,FALSE))))</f>
        <v/>
      </c>
      <c r="F183" s="301" t="str">
        <f>IF(B183="","",IF(ISNA(VLOOKUP($B183,'E-1 Off-Site Hedge Baseline'!$B$1:$L$257,6,FALSE)),"",(VLOOKUP($B183,'E-1 Off-Site Hedge Baseline'!$B$1:$L$257,6,FALSE))))</f>
        <v/>
      </c>
      <c r="G183" s="301" t="str">
        <f>IF(B183="","",IF(ISNA(VLOOKUP($B183,'E-1 Off-Site Hedge Baseline'!$B$1:$L$257,7,FALSE)),"",(VLOOKUP($B183,'E-1 Off-Site Hedge Baseline'!$B$1:$L$257,7,FALSE))))</f>
        <v/>
      </c>
      <c r="H183" s="301" t="str">
        <f>IF(B183="","",IF(ISNA(VLOOKUP($B183,'E-1 Off-Site Hedge Baseline'!$B$1:$L$257,8,FALSE)),"",(VLOOKUP($B183,'E-1 Off-Site Hedge Baseline'!$B$1:$L$257,8,FALSE))))</f>
        <v/>
      </c>
      <c r="I183" s="301" t="str">
        <f>IF(B183="","",IF(ISNA(VLOOKUP($B183,'E-1 Off-Site Hedge Baseline'!$B$1:$L$257,10,FALSE)),"",(VLOOKUP($B183,'E-1 Off-Site Hedge Baseline'!$B$1:$L$257,10,FALSE))))</f>
        <v/>
      </c>
      <c r="J183" s="301" t="str">
        <f>IF(B183="","",IF(ISNA(VLOOKUP($B183,'E-1 Off-Site Hedge Baseline'!$B$1:$L$257,11,FALSE)),"",(VLOOKUP($B183,'E-1 Off-Site Hedge Baseline'!$B$1:$L$257,11,FALSE))))</f>
        <v/>
      </c>
      <c r="K183" s="301" t="str">
        <f>IF(B183="","",IF(ISNA(VLOOKUP($B183,'E-1 Off-Site Hedge Baseline'!$B$1:$X$257,16,FALSE)),"",(VLOOKUP($B183,'E-1 Off-Site Hedge Baseline'!$B$1:$X$257,16,FALSE))))</f>
        <v/>
      </c>
      <c r="L183" s="289" t="str">
        <f>IF(B183="","",IF(ISNA(VLOOKUP($B183,'E-1 Off-Site Hedge Baseline'!$B$1:$X$257,12,FALSE)),"",(VLOOKUP($B183,'E-1 Off-Site Hedge Baseline'!$B$1:$X$257,12,FALSE))))</f>
        <v/>
      </c>
      <c r="M183" s="250"/>
      <c r="N183" s="281" t="str">
        <f>IFERROR(IF(B183="","",INDEX('G-6 Hedgerow Data'!$AN$3:$AZ$15,MATCH(C183,'G-6 Hedgerow Data'!$AM$3:$AM$15,0),MATCH(M183,'G-6 Hedgerow Data'!$AN$2:$AZ$2,0))),"")</f>
        <v/>
      </c>
      <c r="O183" s="282" t="str">
        <f t="shared" si="17"/>
        <v/>
      </c>
      <c r="P183" s="287" t="str">
        <f>IF(B183="","",VLOOKUP(B183,'E-1 Off-Site Hedge Baseline'!$B$10:W428,19,FALSE))</f>
        <v/>
      </c>
      <c r="Q183" s="281" t="str">
        <f>IF(M183="","",VLOOKUP(M183,'G-6 Hedgerow Data'!$B$2:$AG$15,2,FALSE))</f>
        <v/>
      </c>
      <c r="R183" s="282" t="str">
        <f>IF(M183="","",VLOOKUP(M183,'G-6 Hedgerow Data'!$B$2:$AG$15,3,FALSE))</f>
        <v/>
      </c>
      <c r="S183" s="105"/>
      <c r="T183" s="282" t="str">
        <f>IFERROR(IF(S183="","",IF(AND(M183="Non-native and ornamental hedgerow", S183&lt;&gt;"Poor"),"Not possible ▲", (IF(AND(Q183="V.Low",OR(S183="Good",S183="Moderate")),"Error ▲",VLOOKUP(S183,'G-1 All Habitats'!$Z$2:$AA$9,2,FALSE))))),"")</f>
        <v/>
      </c>
      <c r="U183" s="105"/>
      <c r="V183" s="289" t="str">
        <f>IF(U183="","",IF(VLOOKUP(U183,'G-3 Multipliers'!$L$3:$N$6,2,FALSE)=0,"Spatial Data Missing ⚠",VLOOKUP(U183,'G-3 Multipliers'!$L$3:$N$6,2,FALSE)))</f>
        <v/>
      </c>
      <c r="W183" s="287" t="str">
        <f>IF(U183="","",IF(VLOOKUP(U183,'G-3 Multipliers'!$L$3:$N$6,3,FALSE)=0,"Spatial Data Missing ⚠",VLOOKUP(U183,'G-3 Multipliers'!$L$3:$N$6,3,FALSE)))</f>
        <v/>
      </c>
      <c r="X183" s="281" t="str">
        <f>IFERROR(IF(OR(LEFT(O183,5)="Error",LEFT(N183,5)="Error",T183="Error"),"Check Data ⚠",IF(F183&lt;R183,INDEX('G-6 Hedgerow Data'!$S$3:$AE$14,MATCH(C183,'G-6 Hedgerow Data'!$B$3:$B$14,0),MATCH(M183,'G-6 Hedgerow Data'!$S$2:$AE$2,0)),INDEX('G-6 Hedgerow Data'!$K$3:$Q$14,MATCH(M183,'G-6 Hedgerow Data'!$B$3:$B$14,0),MATCH(O183,'G-6 Hedgerow Data'!$K$2:$Q$2,0)))),"")</f>
        <v/>
      </c>
      <c r="Y183" s="137"/>
      <c r="Z183" s="137"/>
      <c r="AA183" s="289" t="str">
        <f t="shared" si="18"/>
        <v/>
      </c>
      <c r="AB183" s="302" t="str">
        <f t="shared" si="19"/>
        <v/>
      </c>
      <c r="AC183" s="303" t="str">
        <f t="shared" si="16"/>
        <v/>
      </c>
      <c r="AD183" s="317" t="str">
        <f>IF(M183="","",VLOOKUP(M183,'G-6 Hedgerow Data'!$B$3:$AG$15,31,FALSE))</f>
        <v/>
      </c>
      <c r="AE183" s="301" t="str">
        <f t="shared" si="20"/>
        <v/>
      </c>
      <c r="AF183" s="289" t="str">
        <f t="shared" si="21"/>
        <v/>
      </c>
      <c r="AG183" s="305" t="str">
        <f>IFERROR(IF(O183="","",VLOOKUP(AD183,'G-3 Multipliers'!$P$3:$Q$6,2,FALSE)),"")</f>
        <v/>
      </c>
      <c r="AH183" s="729" t="str">
        <f>IF(B183="","",IF(ISNA(VLOOKUP($B183,'E-1 Off-Site Hedge Baseline'!$B$1:$Z$257,14,FALSE)),"",(VLOOKUP($B183,'E-1 Off-Site Hedge Baseline'!$B$1:$Z$257,14,FALSE))))</f>
        <v/>
      </c>
      <c r="AI183" s="282" t="str">
        <f>IF(AH183="","",IF(VLOOKUP(AH183,'G-3 Multipliers'!$S$3:$T$10,2,FALSE)=0,"Spatial Data Missing ⚠",VLOOKUP(AH183,'G-3 Multipliers'!$S$3:$T$10,2,FALSE)))</f>
        <v/>
      </c>
      <c r="AJ183" s="323" t="str">
        <f t="shared" si="22"/>
        <v/>
      </c>
      <c r="AK183" s="295" t="str">
        <f t="shared" si="23"/>
        <v/>
      </c>
      <c r="AL183" s="105"/>
      <c r="AM183" s="119"/>
      <c r="AN183" s="108"/>
      <c r="AO183" s="108"/>
      <c r="AQ183" s="30" t="str">
        <f>IFERROR(INDEX('G-6 Hedgerow Data'!$BJ$3:$BJ$15,MATCH(M183,'G-6 Hedgerow Data'!$B$3:$B$15,0)),"")</f>
        <v/>
      </c>
    </row>
    <row r="184" spans="2:43" ht="13.8" x14ac:dyDescent="0.25">
      <c r="B184" s="311" t="str">
        <f>'E-1 Off-Site Hedge Baseline'!AN182</f>
        <v/>
      </c>
      <c r="C184" s="301" t="str">
        <f>IF(B184="","",IF(ISNA(VLOOKUP($B184,'E-1 Off-Site Hedge Baseline'!$B$1:$L$257,3,FALSE)),"",(VLOOKUP($B184,'E-1 Off-Site Hedge Baseline'!$B$1:$L$257,3,FALSE))))</f>
        <v/>
      </c>
      <c r="D184" s="301" t="str">
        <f>IF(B184="","",IF(ISNA(VLOOKUP($B184,'E-1 Off-Site Hedge Baseline'!$B$1:$L$258,4,FALSE)),"",(VLOOKUP($B184,'E-1 Off-Site Hedge Baseline'!$B$1:$L$258,4,FALSE))))</f>
        <v/>
      </c>
      <c r="E184" s="301" t="str">
        <f>IF(B184="","",IF(ISNA(VLOOKUP($B184,'E-1 Off-Site Hedge Baseline'!$B$1:$L$257,5,FALSE)),"",(VLOOKUP($B184,'E-1 Off-Site Hedge Baseline'!$B$1:$L$257,5,FALSE))))</f>
        <v/>
      </c>
      <c r="F184" s="301" t="str">
        <f>IF(B184="","",IF(ISNA(VLOOKUP($B184,'E-1 Off-Site Hedge Baseline'!$B$1:$L$257,6,FALSE)),"",(VLOOKUP($B184,'E-1 Off-Site Hedge Baseline'!$B$1:$L$257,6,FALSE))))</f>
        <v/>
      </c>
      <c r="G184" s="301" t="str">
        <f>IF(B184="","",IF(ISNA(VLOOKUP($B184,'E-1 Off-Site Hedge Baseline'!$B$1:$L$257,7,FALSE)),"",(VLOOKUP($B184,'E-1 Off-Site Hedge Baseline'!$B$1:$L$257,7,FALSE))))</f>
        <v/>
      </c>
      <c r="H184" s="301" t="str">
        <f>IF(B184="","",IF(ISNA(VLOOKUP($B184,'E-1 Off-Site Hedge Baseline'!$B$1:$L$257,8,FALSE)),"",(VLOOKUP($B184,'E-1 Off-Site Hedge Baseline'!$B$1:$L$257,8,FALSE))))</f>
        <v/>
      </c>
      <c r="I184" s="301" t="str">
        <f>IF(B184="","",IF(ISNA(VLOOKUP($B184,'E-1 Off-Site Hedge Baseline'!$B$1:$L$257,10,FALSE)),"",(VLOOKUP($B184,'E-1 Off-Site Hedge Baseline'!$B$1:$L$257,10,FALSE))))</f>
        <v/>
      </c>
      <c r="J184" s="301" t="str">
        <f>IF(B184="","",IF(ISNA(VLOOKUP($B184,'E-1 Off-Site Hedge Baseline'!$B$1:$L$257,11,FALSE)),"",(VLOOKUP($B184,'E-1 Off-Site Hedge Baseline'!$B$1:$L$257,11,FALSE))))</f>
        <v/>
      </c>
      <c r="K184" s="301" t="str">
        <f>IF(B184="","",IF(ISNA(VLOOKUP($B184,'E-1 Off-Site Hedge Baseline'!$B$1:$X$257,16,FALSE)),"",(VLOOKUP($B184,'E-1 Off-Site Hedge Baseline'!$B$1:$X$257,16,FALSE))))</f>
        <v/>
      </c>
      <c r="L184" s="289" t="str">
        <f>IF(B184="","",IF(ISNA(VLOOKUP($B184,'E-1 Off-Site Hedge Baseline'!$B$1:$X$257,12,FALSE)),"",(VLOOKUP($B184,'E-1 Off-Site Hedge Baseline'!$B$1:$X$257,12,FALSE))))</f>
        <v/>
      </c>
      <c r="M184" s="250"/>
      <c r="N184" s="281" t="str">
        <f>IFERROR(IF(B184="","",INDEX('G-6 Hedgerow Data'!$AN$3:$AZ$15,MATCH(C184,'G-6 Hedgerow Data'!$AM$3:$AM$15,0),MATCH(M184,'G-6 Hedgerow Data'!$AN$2:$AZ$2,0))),"")</f>
        <v/>
      </c>
      <c r="O184" s="282" t="str">
        <f t="shared" si="17"/>
        <v/>
      </c>
      <c r="P184" s="287" t="str">
        <f>IF(B184="","",VLOOKUP(B184,'E-1 Off-Site Hedge Baseline'!$B$10:W429,19,FALSE))</f>
        <v/>
      </c>
      <c r="Q184" s="281" t="str">
        <f>IF(M184="","",VLOOKUP(M184,'G-6 Hedgerow Data'!$B$2:$AG$15,2,FALSE))</f>
        <v/>
      </c>
      <c r="R184" s="282" t="str">
        <f>IF(M184="","",VLOOKUP(M184,'G-6 Hedgerow Data'!$B$2:$AG$15,3,FALSE))</f>
        <v/>
      </c>
      <c r="S184" s="105"/>
      <c r="T184" s="282" t="str">
        <f>IFERROR(IF(S184="","",IF(AND(M184="Non-native and ornamental hedgerow", S184&lt;&gt;"Poor"),"Not possible ▲", (IF(AND(Q184="V.Low",OR(S184="Good",S184="Moderate")),"Error ▲",VLOOKUP(S184,'G-1 All Habitats'!$Z$2:$AA$9,2,FALSE))))),"")</f>
        <v/>
      </c>
      <c r="U184" s="105"/>
      <c r="V184" s="289" t="str">
        <f>IF(U184="","",IF(VLOOKUP(U184,'G-3 Multipliers'!$L$3:$N$6,2,FALSE)=0,"Spatial Data Missing ⚠",VLOOKUP(U184,'G-3 Multipliers'!$L$3:$N$6,2,FALSE)))</f>
        <v/>
      </c>
      <c r="W184" s="287" t="str">
        <f>IF(U184="","",IF(VLOOKUP(U184,'G-3 Multipliers'!$L$3:$N$6,3,FALSE)=0,"Spatial Data Missing ⚠",VLOOKUP(U184,'G-3 Multipliers'!$L$3:$N$6,3,FALSE)))</f>
        <v/>
      </c>
      <c r="X184" s="281" t="str">
        <f>IFERROR(IF(OR(LEFT(O184,5)="Error",LEFT(N184,5)="Error",T184="Error"),"Check Data ⚠",IF(F184&lt;R184,INDEX('G-6 Hedgerow Data'!$S$3:$AE$14,MATCH(C184,'G-6 Hedgerow Data'!$B$3:$B$14,0),MATCH(M184,'G-6 Hedgerow Data'!$S$2:$AE$2,0)),INDEX('G-6 Hedgerow Data'!$K$3:$Q$14,MATCH(M184,'G-6 Hedgerow Data'!$B$3:$B$14,0),MATCH(O184,'G-6 Hedgerow Data'!$K$2:$Q$2,0)))),"")</f>
        <v/>
      </c>
      <c r="Y184" s="137"/>
      <c r="Z184" s="137"/>
      <c r="AA184" s="289" t="str">
        <f t="shared" si="18"/>
        <v/>
      </c>
      <c r="AB184" s="302" t="str">
        <f t="shared" si="19"/>
        <v/>
      </c>
      <c r="AC184" s="303" t="str">
        <f t="shared" si="16"/>
        <v/>
      </c>
      <c r="AD184" s="317" t="str">
        <f>IF(M184="","",VLOOKUP(M184,'G-6 Hedgerow Data'!$B$3:$AG$15,31,FALSE))</f>
        <v/>
      </c>
      <c r="AE184" s="301" t="str">
        <f t="shared" si="20"/>
        <v/>
      </c>
      <c r="AF184" s="289" t="str">
        <f t="shared" si="21"/>
        <v/>
      </c>
      <c r="AG184" s="305" t="str">
        <f>IFERROR(IF(O184="","",VLOOKUP(AD184,'G-3 Multipliers'!$P$3:$Q$6,2,FALSE)),"")</f>
        <v/>
      </c>
      <c r="AH184" s="729" t="str">
        <f>IF(B184="","",IF(ISNA(VLOOKUP($B184,'E-1 Off-Site Hedge Baseline'!$B$1:$Z$257,14,FALSE)),"",(VLOOKUP($B184,'E-1 Off-Site Hedge Baseline'!$B$1:$Z$257,14,FALSE))))</f>
        <v/>
      </c>
      <c r="AI184" s="282" t="str">
        <f>IF(AH184="","",IF(VLOOKUP(AH184,'G-3 Multipliers'!$S$3:$T$10,2,FALSE)=0,"Spatial Data Missing ⚠",VLOOKUP(AH184,'G-3 Multipliers'!$S$3:$T$10,2,FALSE)))</f>
        <v/>
      </c>
      <c r="AJ184" s="323" t="str">
        <f t="shared" si="22"/>
        <v/>
      </c>
      <c r="AK184" s="295" t="str">
        <f t="shared" si="23"/>
        <v/>
      </c>
      <c r="AL184" s="105"/>
      <c r="AM184" s="119"/>
      <c r="AN184" s="108"/>
      <c r="AO184" s="108"/>
      <c r="AQ184" s="30" t="str">
        <f>IFERROR(INDEX('G-6 Hedgerow Data'!$BJ$3:$BJ$15,MATCH(M184,'G-6 Hedgerow Data'!$B$3:$B$15,0)),"")</f>
        <v/>
      </c>
    </row>
    <row r="185" spans="2:43" ht="13.8" x14ac:dyDescent="0.25">
      <c r="B185" s="311" t="str">
        <f>'E-1 Off-Site Hedge Baseline'!AN183</f>
        <v/>
      </c>
      <c r="C185" s="301" t="str">
        <f>IF(B185="","",IF(ISNA(VLOOKUP($B185,'E-1 Off-Site Hedge Baseline'!$B$1:$L$257,3,FALSE)),"",(VLOOKUP($B185,'E-1 Off-Site Hedge Baseline'!$B$1:$L$257,3,FALSE))))</f>
        <v/>
      </c>
      <c r="D185" s="301" t="str">
        <f>IF(B185="","",IF(ISNA(VLOOKUP($B185,'E-1 Off-Site Hedge Baseline'!$B$1:$L$258,4,FALSE)),"",(VLOOKUP($B185,'E-1 Off-Site Hedge Baseline'!$B$1:$L$258,4,FALSE))))</f>
        <v/>
      </c>
      <c r="E185" s="301" t="str">
        <f>IF(B185="","",IF(ISNA(VLOOKUP($B185,'E-1 Off-Site Hedge Baseline'!$B$1:$L$257,5,FALSE)),"",(VLOOKUP($B185,'E-1 Off-Site Hedge Baseline'!$B$1:$L$257,5,FALSE))))</f>
        <v/>
      </c>
      <c r="F185" s="301" t="str">
        <f>IF(B185="","",IF(ISNA(VLOOKUP($B185,'E-1 Off-Site Hedge Baseline'!$B$1:$L$257,6,FALSE)),"",(VLOOKUP($B185,'E-1 Off-Site Hedge Baseline'!$B$1:$L$257,6,FALSE))))</f>
        <v/>
      </c>
      <c r="G185" s="301" t="str">
        <f>IF(B185="","",IF(ISNA(VLOOKUP($B185,'E-1 Off-Site Hedge Baseline'!$B$1:$L$257,7,FALSE)),"",(VLOOKUP($B185,'E-1 Off-Site Hedge Baseline'!$B$1:$L$257,7,FALSE))))</f>
        <v/>
      </c>
      <c r="H185" s="301" t="str">
        <f>IF(B185="","",IF(ISNA(VLOOKUP($B185,'E-1 Off-Site Hedge Baseline'!$B$1:$L$257,8,FALSE)),"",(VLOOKUP($B185,'E-1 Off-Site Hedge Baseline'!$B$1:$L$257,8,FALSE))))</f>
        <v/>
      </c>
      <c r="I185" s="301" t="str">
        <f>IF(B185="","",IF(ISNA(VLOOKUP($B185,'E-1 Off-Site Hedge Baseline'!$B$1:$L$257,10,FALSE)),"",(VLOOKUP($B185,'E-1 Off-Site Hedge Baseline'!$B$1:$L$257,10,FALSE))))</f>
        <v/>
      </c>
      <c r="J185" s="301" t="str">
        <f>IF(B185="","",IF(ISNA(VLOOKUP($B185,'E-1 Off-Site Hedge Baseline'!$B$1:$L$257,11,FALSE)),"",(VLOOKUP($B185,'E-1 Off-Site Hedge Baseline'!$B$1:$L$257,11,FALSE))))</f>
        <v/>
      </c>
      <c r="K185" s="301" t="str">
        <f>IF(B185="","",IF(ISNA(VLOOKUP($B185,'E-1 Off-Site Hedge Baseline'!$B$1:$X$257,16,FALSE)),"",(VLOOKUP($B185,'E-1 Off-Site Hedge Baseline'!$B$1:$X$257,16,FALSE))))</f>
        <v/>
      </c>
      <c r="L185" s="289" t="str">
        <f>IF(B185="","",IF(ISNA(VLOOKUP($B185,'E-1 Off-Site Hedge Baseline'!$B$1:$X$257,12,FALSE)),"",(VLOOKUP($B185,'E-1 Off-Site Hedge Baseline'!$B$1:$X$257,12,FALSE))))</f>
        <v/>
      </c>
      <c r="M185" s="250"/>
      <c r="N185" s="281" t="str">
        <f>IFERROR(IF(B185="","",INDEX('G-6 Hedgerow Data'!$AN$3:$AZ$15,MATCH(C185,'G-6 Hedgerow Data'!$AM$3:$AM$15,0),MATCH(M185,'G-6 Hedgerow Data'!$AN$2:$AZ$2,0))),"")</f>
        <v/>
      </c>
      <c r="O185" s="282" t="str">
        <f t="shared" si="17"/>
        <v/>
      </c>
      <c r="P185" s="287" t="str">
        <f>IF(B185="","",VLOOKUP(B185,'E-1 Off-Site Hedge Baseline'!$B$10:W430,19,FALSE))</f>
        <v/>
      </c>
      <c r="Q185" s="281" t="str">
        <f>IF(M185="","",VLOOKUP(M185,'G-6 Hedgerow Data'!$B$2:$AG$15,2,FALSE))</f>
        <v/>
      </c>
      <c r="R185" s="282" t="str">
        <f>IF(M185="","",VLOOKUP(M185,'G-6 Hedgerow Data'!$B$2:$AG$15,3,FALSE))</f>
        <v/>
      </c>
      <c r="S185" s="105"/>
      <c r="T185" s="282" t="str">
        <f>IFERROR(IF(S185="","",IF(AND(M185="Non-native and ornamental hedgerow", S185&lt;&gt;"Poor"),"Not possible ▲", (IF(AND(Q185="V.Low",OR(S185="Good",S185="Moderate")),"Error ▲",VLOOKUP(S185,'G-1 All Habitats'!$Z$2:$AA$9,2,FALSE))))),"")</f>
        <v/>
      </c>
      <c r="U185" s="105"/>
      <c r="V185" s="289" t="str">
        <f>IF(U185="","",IF(VLOOKUP(U185,'G-3 Multipliers'!$L$3:$N$6,2,FALSE)=0,"Spatial Data Missing ⚠",VLOOKUP(U185,'G-3 Multipliers'!$L$3:$N$6,2,FALSE)))</f>
        <v/>
      </c>
      <c r="W185" s="287" t="str">
        <f>IF(U185="","",IF(VLOOKUP(U185,'G-3 Multipliers'!$L$3:$N$6,3,FALSE)=0,"Spatial Data Missing ⚠",VLOOKUP(U185,'G-3 Multipliers'!$L$3:$N$6,3,FALSE)))</f>
        <v/>
      </c>
      <c r="X185" s="281" t="str">
        <f>IFERROR(IF(OR(LEFT(O185,5)="Error",LEFT(N185,5)="Error",T185="Error"),"Check Data ⚠",IF(F185&lt;R185,INDEX('G-6 Hedgerow Data'!$S$3:$AE$14,MATCH(C185,'G-6 Hedgerow Data'!$B$3:$B$14,0),MATCH(M185,'G-6 Hedgerow Data'!$S$2:$AE$2,0)),INDEX('G-6 Hedgerow Data'!$K$3:$Q$14,MATCH(M185,'G-6 Hedgerow Data'!$B$3:$B$14,0),MATCH(O185,'G-6 Hedgerow Data'!$K$2:$Q$2,0)))),"")</f>
        <v/>
      </c>
      <c r="Y185" s="137"/>
      <c r="Z185" s="137"/>
      <c r="AA185" s="289" t="str">
        <f t="shared" si="18"/>
        <v/>
      </c>
      <c r="AB185" s="302" t="str">
        <f t="shared" si="19"/>
        <v/>
      </c>
      <c r="AC185" s="303" t="str">
        <f t="shared" si="16"/>
        <v/>
      </c>
      <c r="AD185" s="317" t="str">
        <f>IF(M185="","",VLOOKUP(M185,'G-6 Hedgerow Data'!$B$3:$AG$15,31,FALSE))</f>
        <v/>
      </c>
      <c r="AE185" s="301" t="str">
        <f t="shared" si="20"/>
        <v/>
      </c>
      <c r="AF185" s="289" t="str">
        <f t="shared" si="21"/>
        <v/>
      </c>
      <c r="AG185" s="305" t="str">
        <f>IFERROR(IF(O185="","",VLOOKUP(AD185,'G-3 Multipliers'!$P$3:$Q$6,2,FALSE)),"")</f>
        <v/>
      </c>
      <c r="AH185" s="729" t="str">
        <f>IF(B185="","",IF(ISNA(VLOOKUP($B185,'E-1 Off-Site Hedge Baseline'!$B$1:$Z$257,14,FALSE)),"",(VLOOKUP($B185,'E-1 Off-Site Hedge Baseline'!$B$1:$Z$257,14,FALSE))))</f>
        <v/>
      </c>
      <c r="AI185" s="282" t="str">
        <f>IF(AH185="","",IF(VLOOKUP(AH185,'G-3 Multipliers'!$S$3:$T$10,2,FALSE)=0,"Spatial Data Missing ⚠",VLOOKUP(AH185,'G-3 Multipliers'!$S$3:$T$10,2,FALSE)))</f>
        <v/>
      </c>
      <c r="AJ185" s="323" t="str">
        <f t="shared" si="22"/>
        <v/>
      </c>
      <c r="AK185" s="295" t="str">
        <f t="shared" si="23"/>
        <v/>
      </c>
      <c r="AL185" s="105"/>
      <c r="AM185" s="119"/>
      <c r="AN185" s="108"/>
      <c r="AO185" s="108"/>
      <c r="AQ185" s="30" t="str">
        <f>IFERROR(INDEX('G-6 Hedgerow Data'!$BJ$3:$BJ$15,MATCH(M185,'G-6 Hedgerow Data'!$B$3:$B$15,0)),"")</f>
        <v/>
      </c>
    </row>
    <row r="186" spans="2:43" ht="13.8" x14ac:dyDescent="0.25">
      <c r="B186" s="311" t="str">
        <f>'E-1 Off-Site Hedge Baseline'!AN184</f>
        <v/>
      </c>
      <c r="C186" s="301" t="str">
        <f>IF(B186="","",IF(ISNA(VLOOKUP($B186,'E-1 Off-Site Hedge Baseline'!$B$1:$L$257,3,FALSE)),"",(VLOOKUP($B186,'E-1 Off-Site Hedge Baseline'!$B$1:$L$257,3,FALSE))))</f>
        <v/>
      </c>
      <c r="D186" s="301" t="str">
        <f>IF(B186="","",IF(ISNA(VLOOKUP($B186,'E-1 Off-Site Hedge Baseline'!$B$1:$L$258,4,FALSE)),"",(VLOOKUP($B186,'E-1 Off-Site Hedge Baseline'!$B$1:$L$258,4,FALSE))))</f>
        <v/>
      </c>
      <c r="E186" s="301" t="str">
        <f>IF(B186="","",IF(ISNA(VLOOKUP($B186,'E-1 Off-Site Hedge Baseline'!$B$1:$L$257,5,FALSE)),"",(VLOOKUP($B186,'E-1 Off-Site Hedge Baseline'!$B$1:$L$257,5,FALSE))))</f>
        <v/>
      </c>
      <c r="F186" s="301" t="str">
        <f>IF(B186="","",IF(ISNA(VLOOKUP($B186,'E-1 Off-Site Hedge Baseline'!$B$1:$L$257,6,FALSE)),"",(VLOOKUP($B186,'E-1 Off-Site Hedge Baseline'!$B$1:$L$257,6,FALSE))))</f>
        <v/>
      </c>
      <c r="G186" s="301" t="str">
        <f>IF(B186="","",IF(ISNA(VLOOKUP($B186,'E-1 Off-Site Hedge Baseline'!$B$1:$L$257,7,FALSE)),"",(VLOOKUP($B186,'E-1 Off-Site Hedge Baseline'!$B$1:$L$257,7,FALSE))))</f>
        <v/>
      </c>
      <c r="H186" s="301" t="str">
        <f>IF(B186="","",IF(ISNA(VLOOKUP($B186,'E-1 Off-Site Hedge Baseline'!$B$1:$L$257,8,FALSE)),"",(VLOOKUP($B186,'E-1 Off-Site Hedge Baseline'!$B$1:$L$257,8,FALSE))))</f>
        <v/>
      </c>
      <c r="I186" s="301" t="str">
        <f>IF(B186="","",IF(ISNA(VLOOKUP($B186,'E-1 Off-Site Hedge Baseline'!$B$1:$L$257,10,FALSE)),"",(VLOOKUP($B186,'E-1 Off-Site Hedge Baseline'!$B$1:$L$257,10,FALSE))))</f>
        <v/>
      </c>
      <c r="J186" s="301" t="str">
        <f>IF(B186="","",IF(ISNA(VLOOKUP($B186,'E-1 Off-Site Hedge Baseline'!$B$1:$L$257,11,FALSE)),"",(VLOOKUP($B186,'E-1 Off-Site Hedge Baseline'!$B$1:$L$257,11,FALSE))))</f>
        <v/>
      </c>
      <c r="K186" s="301" t="str">
        <f>IF(B186="","",IF(ISNA(VLOOKUP($B186,'E-1 Off-Site Hedge Baseline'!$B$1:$X$257,16,FALSE)),"",(VLOOKUP($B186,'E-1 Off-Site Hedge Baseline'!$B$1:$X$257,16,FALSE))))</f>
        <v/>
      </c>
      <c r="L186" s="289" t="str">
        <f>IF(B186="","",IF(ISNA(VLOOKUP($B186,'E-1 Off-Site Hedge Baseline'!$B$1:$X$257,12,FALSE)),"",(VLOOKUP($B186,'E-1 Off-Site Hedge Baseline'!$B$1:$X$257,12,FALSE))))</f>
        <v/>
      </c>
      <c r="M186" s="250"/>
      <c r="N186" s="281" t="str">
        <f>IFERROR(IF(B186="","",INDEX('G-6 Hedgerow Data'!$AN$3:$AZ$15,MATCH(C186,'G-6 Hedgerow Data'!$AM$3:$AM$15,0),MATCH(M186,'G-6 Hedgerow Data'!$AN$2:$AZ$2,0))),"")</f>
        <v/>
      </c>
      <c r="O186" s="282" t="str">
        <f t="shared" si="17"/>
        <v/>
      </c>
      <c r="P186" s="287" t="str">
        <f>IF(B186="","",VLOOKUP(B186,'E-1 Off-Site Hedge Baseline'!$B$10:W431,19,FALSE))</f>
        <v/>
      </c>
      <c r="Q186" s="281" t="str">
        <f>IF(M186="","",VLOOKUP(M186,'G-6 Hedgerow Data'!$B$2:$AG$15,2,FALSE))</f>
        <v/>
      </c>
      <c r="R186" s="282" t="str">
        <f>IF(M186="","",VLOOKUP(M186,'G-6 Hedgerow Data'!$B$2:$AG$15,3,FALSE))</f>
        <v/>
      </c>
      <c r="S186" s="105"/>
      <c r="T186" s="282" t="str">
        <f>IFERROR(IF(S186="","",IF(AND(M186="Non-native and ornamental hedgerow", S186&lt;&gt;"Poor"),"Not possible ▲", (IF(AND(Q186="V.Low",OR(S186="Good",S186="Moderate")),"Error ▲",VLOOKUP(S186,'G-1 All Habitats'!$Z$2:$AA$9,2,FALSE))))),"")</f>
        <v/>
      </c>
      <c r="U186" s="105"/>
      <c r="V186" s="289" t="str">
        <f>IF(U186="","",IF(VLOOKUP(U186,'G-3 Multipliers'!$L$3:$N$6,2,FALSE)=0,"Spatial Data Missing ⚠",VLOOKUP(U186,'G-3 Multipliers'!$L$3:$N$6,2,FALSE)))</f>
        <v/>
      </c>
      <c r="W186" s="287" t="str">
        <f>IF(U186="","",IF(VLOOKUP(U186,'G-3 Multipliers'!$L$3:$N$6,3,FALSE)=0,"Spatial Data Missing ⚠",VLOOKUP(U186,'G-3 Multipliers'!$L$3:$N$6,3,FALSE)))</f>
        <v/>
      </c>
      <c r="X186" s="281" t="str">
        <f>IFERROR(IF(OR(LEFT(O186,5)="Error",LEFT(N186,5)="Error",T186="Error"),"Check Data ⚠",IF(F186&lt;R186,INDEX('G-6 Hedgerow Data'!$S$3:$AE$14,MATCH(C186,'G-6 Hedgerow Data'!$B$3:$B$14,0),MATCH(M186,'G-6 Hedgerow Data'!$S$2:$AE$2,0)),INDEX('G-6 Hedgerow Data'!$K$3:$Q$14,MATCH(M186,'G-6 Hedgerow Data'!$B$3:$B$14,0),MATCH(O186,'G-6 Hedgerow Data'!$K$2:$Q$2,0)))),"")</f>
        <v/>
      </c>
      <c r="Y186" s="137"/>
      <c r="Z186" s="137"/>
      <c r="AA186" s="289" t="str">
        <f t="shared" si="18"/>
        <v/>
      </c>
      <c r="AB186" s="302" t="str">
        <f t="shared" si="19"/>
        <v/>
      </c>
      <c r="AC186" s="303" t="str">
        <f t="shared" si="16"/>
        <v/>
      </c>
      <c r="AD186" s="317" t="str">
        <f>IF(M186="","",VLOOKUP(M186,'G-6 Hedgerow Data'!$B$3:$AG$15,31,FALSE))</f>
        <v/>
      </c>
      <c r="AE186" s="301" t="str">
        <f t="shared" si="20"/>
        <v/>
      </c>
      <c r="AF186" s="289" t="str">
        <f t="shared" si="21"/>
        <v/>
      </c>
      <c r="AG186" s="305" t="str">
        <f>IFERROR(IF(O186="","",VLOOKUP(AD186,'G-3 Multipliers'!$P$3:$Q$6,2,FALSE)),"")</f>
        <v/>
      </c>
      <c r="AH186" s="729" t="str">
        <f>IF(B186="","",IF(ISNA(VLOOKUP($B186,'E-1 Off-Site Hedge Baseline'!$B$1:$Z$257,14,FALSE)),"",(VLOOKUP($B186,'E-1 Off-Site Hedge Baseline'!$B$1:$Z$257,14,FALSE))))</f>
        <v/>
      </c>
      <c r="AI186" s="282" t="str">
        <f>IF(AH186="","",IF(VLOOKUP(AH186,'G-3 Multipliers'!$S$3:$T$10,2,FALSE)=0,"Spatial Data Missing ⚠",VLOOKUP(AH186,'G-3 Multipliers'!$S$3:$T$10,2,FALSE)))</f>
        <v/>
      </c>
      <c r="AJ186" s="323" t="str">
        <f t="shared" si="22"/>
        <v/>
      </c>
      <c r="AK186" s="295" t="str">
        <f t="shared" si="23"/>
        <v/>
      </c>
      <c r="AL186" s="105"/>
      <c r="AM186" s="119"/>
      <c r="AN186" s="108"/>
      <c r="AO186" s="108"/>
      <c r="AQ186" s="30" t="str">
        <f>IFERROR(INDEX('G-6 Hedgerow Data'!$BJ$3:$BJ$15,MATCH(M186,'G-6 Hedgerow Data'!$B$3:$B$15,0)),"")</f>
        <v/>
      </c>
    </row>
    <row r="187" spans="2:43" ht="13.8" x14ac:dyDescent="0.25">
      <c r="B187" s="311" t="str">
        <f>'E-1 Off-Site Hedge Baseline'!AN185</f>
        <v/>
      </c>
      <c r="C187" s="301" t="str">
        <f>IF(B187="","",IF(ISNA(VLOOKUP($B187,'E-1 Off-Site Hedge Baseline'!$B$1:$L$257,3,FALSE)),"",(VLOOKUP($B187,'E-1 Off-Site Hedge Baseline'!$B$1:$L$257,3,FALSE))))</f>
        <v/>
      </c>
      <c r="D187" s="301" t="str">
        <f>IF(B187="","",IF(ISNA(VLOOKUP($B187,'E-1 Off-Site Hedge Baseline'!$B$1:$L$258,4,FALSE)),"",(VLOOKUP($B187,'E-1 Off-Site Hedge Baseline'!$B$1:$L$258,4,FALSE))))</f>
        <v/>
      </c>
      <c r="E187" s="301" t="str">
        <f>IF(B187="","",IF(ISNA(VLOOKUP($B187,'E-1 Off-Site Hedge Baseline'!$B$1:$L$257,5,FALSE)),"",(VLOOKUP($B187,'E-1 Off-Site Hedge Baseline'!$B$1:$L$257,5,FALSE))))</f>
        <v/>
      </c>
      <c r="F187" s="301" t="str">
        <f>IF(B187="","",IF(ISNA(VLOOKUP($B187,'E-1 Off-Site Hedge Baseline'!$B$1:$L$257,6,FALSE)),"",(VLOOKUP($B187,'E-1 Off-Site Hedge Baseline'!$B$1:$L$257,6,FALSE))))</f>
        <v/>
      </c>
      <c r="G187" s="301" t="str">
        <f>IF(B187="","",IF(ISNA(VLOOKUP($B187,'E-1 Off-Site Hedge Baseline'!$B$1:$L$257,7,FALSE)),"",(VLOOKUP($B187,'E-1 Off-Site Hedge Baseline'!$B$1:$L$257,7,FALSE))))</f>
        <v/>
      </c>
      <c r="H187" s="301" t="str">
        <f>IF(B187="","",IF(ISNA(VLOOKUP($B187,'E-1 Off-Site Hedge Baseline'!$B$1:$L$257,8,FALSE)),"",(VLOOKUP($B187,'E-1 Off-Site Hedge Baseline'!$B$1:$L$257,8,FALSE))))</f>
        <v/>
      </c>
      <c r="I187" s="301" t="str">
        <f>IF(B187="","",IF(ISNA(VLOOKUP($B187,'E-1 Off-Site Hedge Baseline'!$B$1:$L$257,10,FALSE)),"",(VLOOKUP($B187,'E-1 Off-Site Hedge Baseline'!$B$1:$L$257,10,FALSE))))</f>
        <v/>
      </c>
      <c r="J187" s="301" t="str">
        <f>IF(B187="","",IF(ISNA(VLOOKUP($B187,'E-1 Off-Site Hedge Baseline'!$B$1:$L$257,11,FALSE)),"",(VLOOKUP($B187,'E-1 Off-Site Hedge Baseline'!$B$1:$L$257,11,FALSE))))</f>
        <v/>
      </c>
      <c r="K187" s="301" t="str">
        <f>IF(B187="","",IF(ISNA(VLOOKUP($B187,'E-1 Off-Site Hedge Baseline'!$B$1:$X$257,16,FALSE)),"",(VLOOKUP($B187,'E-1 Off-Site Hedge Baseline'!$B$1:$X$257,16,FALSE))))</f>
        <v/>
      </c>
      <c r="L187" s="289" t="str">
        <f>IF(B187="","",IF(ISNA(VLOOKUP($B187,'E-1 Off-Site Hedge Baseline'!$B$1:$X$257,12,FALSE)),"",(VLOOKUP($B187,'E-1 Off-Site Hedge Baseline'!$B$1:$X$257,12,FALSE))))</f>
        <v/>
      </c>
      <c r="M187" s="250"/>
      <c r="N187" s="281" t="str">
        <f>IFERROR(IF(B187="","",INDEX('G-6 Hedgerow Data'!$AN$3:$AZ$15,MATCH(C187,'G-6 Hedgerow Data'!$AM$3:$AM$15,0),MATCH(M187,'G-6 Hedgerow Data'!$AN$2:$AZ$2,0))),"")</f>
        <v/>
      </c>
      <c r="O187" s="282" t="str">
        <f t="shared" si="17"/>
        <v/>
      </c>
      <c r="P187" s="287" t="str">
        <f>IF(B187="","",VLOOKUP(B187,'E-1 Off-Site Hedge Baseline'!$B$10:W432,19,FALSE))</f>
        <v/>
      </c>
      <c r="Q187" s="281" t="str">
        <f>IF(M187="","",VLOOKUP(M187,'G-6 Hedgerow Data'!$B$2:$AG$15,2,FALSE))</f>
        <v/>
      </c>
      <c r="R187" s="282" t="str">
        <f>IF(M187="","",VLOOKUP(M187,'G-6 Hedgerow Data'!$B$2:$AG$15,3,FALSE))</f>
        <v/>
      </c>
      <c r="S187" s="105"/>
      <c r="T187" s="282" t="str">
        <f>IFERROR(IF(S187="","",IF(AND(M187="Non-native and ornamental hedgerow", S187&lt;&gt;"Poor"),"Not possible ▲", (IF(AND(Q187="V.Low",OR(S187="Good",S187="Moderate")),"Error ▲",VLOOKUP(S187,'G-1 All Habitats'!$Z$2:$AA$9,2,FALSE))))),"")</f>
        <v/>
      </c>
      <c r="U187" s="105"/>
      <c r="V187" s="289" t="str">
        <f>IF(U187="","",IF(VLOOKUP(U187,'G-3 Multipliers'!$L$3:$N$6,2,FALSE)=0,"Spatial Data Missing ⚠",VLOOKUP(U187,'G-3 Multipliers'!$L$3:$N$6,2,FALSE)))</f>
        <v/>
      </c>
      <c r="W187" s="287" t="str">
        <f>IF(U187="","",IF(VLOOKUP(U187,'G-3 Multipliers'!$L$3:$N$6,3,FALSE)=0,"Spatial Data Missing ⚠",VLOOKUP(U187,'G-3 Multipliers'!$L$3:$N$6,3,FALSE)))</f>
        <v/>
      </c>
      <c r="X187" s="281" t="str">
        <f>IFERROR(IF(OR(LEFT(O187,5)="Error",LEFT(N187,5)="Error",T187="Error"),"Check Data ⚠",IF(F187&lt;R187,INDEX('G-6 Hedgerow Data'!$S$3:$AE$14,MATCH(C187,'G-6 Hedgerow Data'!$B$3:$B$14,0),MATCH(M187,'G-6 Hedgerow Data'!$S$2:$AE$2,0)),INDEX('G-6 Hedgerow Data'!$K$3:$Q$14,MATCH(M187,'G-6 Hedgerow Data'!$B$3:$B$14,0),MATCH(O187,'G-6 Hedgerow Data'!$K$2:$Q$2,0)))),"")</f>
        <v/>
      </c>
      <c r="Y187" s="137"/>
      <c r="Z187" s="137"/>
      <c r="AA187" s="289" t="str">
        <f t="shared" si="18"/>
        <v/>
      </c>
      <c r="AB187" s="302" t="str">
        <f t="shared" si="19"/>
        <v/>
      </c>
      <c r="AC187" s="303" t="str">
        <f t="shared" si="16"/>
        <v/>
      </c>
      <c r="AD187" s="317" t="str">
        <f>IF(M187="","",VLOOKUP(M187,'G-6 Hedgerow Data'!$B$3:$AG$15,31,FALSE))</f>
        <v/>
      </c>
      <c r="AE187" s="301" t="str">
        <f t="shared" si="20"/>
        <v/>
      </c>
      <c r="AF187" s="289" t="str">
        <f t="shared" si="21"/>
        <v/>
      </c>
      <c r="AG187" s="305" t="str">
        <f>IFERROR(IF(O187="","",VLOOKUP(AD187,'G-3 Multipliers'!$P$3:$Q$6,2,FALSE)),"")</f>
        <v/>
      </c>
      <c r="AH187" s="729" t="str">
        <f>IF(B187="","",IF(ISNA(VLOOKUP($B187,'E-1 Off-Site Hedge Baseline'!$B$1:$Z$257,14,FALSE)),"",(VLOOKUP($B187,'E-1 Off-Site Hedge Baseline'!$B$1:$Z$257,14,FALSE))))</f>
        <v/>
      </c>
      <c r="AI187" s="282" t="str">
        <f>IF(AH187="","",IF(VLOOKUP(AH187,'G-3 Multipliers'!$S$3:$T$10,2,FALSE)=0,"Spatial Data Missing ⚠",VLOOKUP(AH187,'G-3 Multipliers'!$S$3:$T$10,2,FALSE)))</f>
        <v/>
      </c>
      <c r="AJ187" s="323" t="str">
        <f t="shared" si="22"/>
        <v/>
      </c>
      <c r="AK187" s="295" t="str">
        <f t="shared" si="23"/>
        <v/>
      </c>
      <c r="AL187" s="105"/>
      <c r="AM187" s="119"/>
      <c r="AN187" s="108"/>
      <c r="AO187" s="108"/>
      <c r="AQ187" s="30" t="str">
        <f>IFERROR(INDEX('G-6 Hedgerow Data'!$BJ$3:$BJ$15,MATCH(M187,'G-6 Hedgerow Data'!$B$3:$B$15,0)),"")</f>
        <v/>
      </c>
    </row>
    <row r="188" spans="2:43" ht="13.8" x14ac:dyDescent="0.25">
      <c r="B188" s="311" t="str">
        <f>'E-1 Off-Site Hedge Baseline'!AN186</f>
        <v/>
      </c>
      <c r="C188" s="301" t="str">
        <f>IF(B188="","",IF(ISNA(VLOOKUP($B188,'E-1 Off-Site Hedge Baseline'!$B$1:$L$257,3,FALSE)),"",(VLOOKUP($B188,'E-1 Off-Site Hedge Baseline'!$B$1:$L$257,3,FALSE))))</f>
        <v/>
      </c>
      <c r="D188" s="301" t="str">
        <f>IF(B188="","",IF(ISNA(VLOOKUP($B188,'E-1 Off-Site Hedge Baseline'!$B$1:$L$258,4,FALSE)),"",(VLOOKUP($B188,'E-1 Off-Site Hedge Baseline'!$B$1:$L$258,4,FALSE))))</f>
        <v/>
      </c>
      <c r="E188" s="301" t="str">
        <f>IF(B188="","",IF(ISNA(VLOOKUP($B188,'E-1 Off-Site Hedge Baseline'!$B$1:$L$257,5,FALSE)),"",(VLOOKUP($B188,'E-1 Off-Site Hedge Baseline'!$B$1:$L$257,5,FALSE))))</f>
        <v/>
      </c>
      <c r="F188" s="301" t="str">
        <f>IF(B188="","",IF(ISNA(VLOOKUP($B188,'E-1 Off-Site Hedge Baseline'!$B$1:$L$257,6,FALSE)),"",(VLOOKUP($B188,'E-1 Off-Site Hedge Baseline'!$B$1:$L$257,6,FALSE))))</f>
        <v/>
      </c>
      <c r="G188" s="301" t="str">
        <f>IF(B188="","",IF(ISNA(VLOOKUP($B188,'E-1 Off-Site Hedge Baseline'!$B$1:$L$257,7,FALSE)),"",(VLOOKUP($B188,'E-1 Off-Site Hedge Baseline'!$B$1:$L$257,7,FALSE))))</f>
        <v/>
      </c>
      <c r="H188" s="301" t="str">
        <f>IF(B188="","",IF(ISNA(VLOOKUP($B188,'E-1 Off-Site Hedge Baseline'!$B$1:$L$257,8,FALSE)),"",(VLOOKUP($B188,'E-1 Off-Site Hedge Baseline'!$B$1:$L$257,8,FALSE))))</f>
        <v/>
      </c>
      <c r="I188" s="301" t="str">
        <f>IF(B188="","",IF(ISNA(VLOOKUP($B188,'E-1 Off-Site Hedge Baseline'!$B$1:$L$257,10,FALSE)),"",(VLOOKUP($B188,'E-1 Off-Site Hedge Baseline'!$B$1:$L$257,10,FALSE))))</f>
        <v/>
      </c>
      <c r="J188" s="301" t="str">
        <f>IF(B188="","",IF(ISNA(VLOOKUP($B188,'E-1 Off-Site Hedge Baseline'!$B$1:$L$257,11,FALSE)),"",(VLOOKUP($B188,'E-1 Off-Site Hedge Baseline'!$B$1:$L$257,11,FALSE))))</f>
        <v/>
      </c>
      <c r="K188" s="301" t="str">
        <f>IF(B188="","",IF(ISNA(VLOOKUP($B188,'E-1 Off-Site Hedge Baseline'!$B$1:$X$257,16,FALSE)),"",(VLOOKUP($B188,'E-1 Off-Site Hedge Baseline'!$B$1:$X$257,16,FALSE))))</f>
        <v/>
      </c>
      <c r="L188" s="289" t="str">
        <f>IF(B188="","",IF(ISNA(VLOOKUP($B188,'E-1 Off-Site Hedge Baseline'!$B$1:$X$257,12,FALSE)),"",(VLOOKUP($B188,'E-1 Off-Site Hedge Baseline'!$B$1:$X$257,12,FALSE))))</f>
        <v/>
      </c>
      <c r="M188" s="250"/>
      <c r="N188" s="281" t="str">
        <f>IFERROR(IF(B188="","",INDEX('G-6 Hedgerow Data'!$AN$3:$AZ$15,MATCH(C188,'G-6 Hedgerow Data'!$AM$3:$AM$15,0),MATCH(M188,'G-6 Hedgerow Data'!$AN$2:$AZ$2,0))),"")</f>
        <v/>
      </c>
      <c r="O188" s="282" t="str">
        <f t="shared" si="17"/>
        <v/>
      </c>
      <c r="P188" s="287" t="str">
        <f>IF(B188="","",VLOOKUP(B188,'E-1 Off-Site Hedge Baseline'!$B$10:W433,19,FALSE))</f>
        <v/>
      </c>
      <c r="Q188" s="281" t="str">
        <f>IF(M188="","",VLOOKUP(M188,'G-6 Hedgerow Data'!$B$2:$AG$15,2,FALSE))</f>
        <v/>
      </c>
      <c r="R188" s="282" t="str">
        <f>IF(M188="","",VLOOKUP(M188,'G-6 Hedgerow Data'!$B$2:$AG$15,3,FALSE))</f>
        <v/>
      </c>
      <c r="S188" s="105"/>
      <c r="T188" s="282" t="str">
        <f>IFERROR(IF(S188="","",IF(AND(M188="Non-native and ornamental hedgerow", S188&lt;&gt;"Poor"),"Not possible ▲", (IF(AND(Q188="V.Low",OR(S188="Good",S188="Moderate")),"Error ▲",VLOOKUP(S188,'G-1 All Habitats'!$Z$2:$AA$9,2,FALSE))))),"")</f>
        <v/>
      </c>
      <c r="U188" s="105"/>
      <c r="V188" s="289" t="str">
        <f>IF(U188="","",IF(VLOOKUP(U188,'G-3 Multipliers'!$L$3:$N$6,2,FALSE)=0,"Spatial Data Missing ⚠",VLOOKUP(U188,'G-3 Multipliers'!$L$3:$N$6,2,FALSE)))</f>
        <v/>
      </c>
      <c r="W188" s="287" t="str">
        <f>IF(U188="","",IF(VLOOKUP(U188,'G-3 Multipliers'!$L$3:$N$6,3,FALSE)=0,"Spatial Data Missing ⚠",VLOOKUP(U188,'G-3 Multipliers'!$L$3:$N$6,3,FALSE)))</f>
        <v/>
      </c>
      <c r="X188" s="281" t="str">
        <f>IFERROR(IF(OR(LEFT(O188,5)="Error",LEFT(N188,5)="Error",T188="Error"),"Check Data ⚠",IF(F188&lt;R188,INDEX('G-6 Hedgerow Data'!$S$3:$AE$14,MATCH(C188,'G-6 Hedgerow Data'!$B$3:$B$14,0),MATCH(M188,'G-6 Hedgerow Data'!$S$2:$AE$2,0)),INDEX('G-6 Hedgerow Data'!$K$3:$Q$14,MATCH(M188,'G-6 Hedgerow Data'!$B$3:$B$14,0),MATCH(O188,'G-6 Hedgerow Data'!$K$2:$Q$2,0)))),"")</f>
        <v/>
      </c>
      <c r="Y188" s="137"/>
      <c r="Z188" s="137"/>
      <c r="AA188" s="289" t="str">
        <f t="shared" si="18"/>
        <v/>
      </c>
      <c r="AB188" s="302" t="str">
        <f t="shared" si="19"/>
        <v/>
      </c>
      <c r="AC188" s="303" t="str">
        <f t="shared" si="16"/>
        <v/>
      </c>
      <c r="AD188" s="317" t="str">
        <f>IF(M188="","",VLOOKUP(M188,'G-6 Hedgerow Data'!$B$3:$AG$15,31,FALSE))</f>
        <v/>
      </c>
      <c r="AE188" s="301" t="str">
        <f t="shared" si="20"/>
        <v/>
      </c>
      <c r="AF188" s="289" t="str">
        <f t="shared" si="21"/>
        <v/>
      </c>
      <c r="AG188" s="305" t="str">
        <f>IFERROR(IF(O188="","",VLOOKUP(AD188,'G-3 Multipliers'!$P$3:$Q$6,2,FALSE)),"")</f>
        <v/>
      </c>
      <c r="AH188" s="729" t="str">
        <f>IF(B188="","",IF(ISNA(VLOOKUP($B188,'E-1 Off-Site Hedge Baseline'!$B$1:$Z$257,14,FALSE)),"",(VLOOKUP($B188,'E-1 Off-Site Hedge Baseline'!$B$1:$Z$257,14,FALSE))))</f>
        <v/>
      </c>
      <c r="AI188" s="282" t="str">
        <f>IF(AH188="","",IF(VLOOKUP(AH188,'G-3 Multipliers'!$S$3:$T$10,2,FALSE)=0,"Spatial Data Missing ⚠",VLOOKUP(AH188,'G-3 Multipliers'!$S$3:$T$10,2,FALSE)))</f>
        <v/>
      </c>
      <c r="AJ188" s="323" t="str">
        <f t="shared" si="22"/>
        <v/>
      </c>
      <c r="AK188" s="295" t="str">
        <f t="shared" si="23"/>
        <v/>
      </c>
      <c r="AL188" s="105"/>
      <c r="AM188" s="119"/>
      <c r="AN188" s="108"/>
      <c r="AO188" s="108"/>
      <c r="AQ188" s="30" t="str">
        <f>IFERROR(INDEX('G-6 Hedgerow Data'!$BJ$3:$BJ$15,MATCH(M188,'G-6 Hedgerow Data'!$B$3:$B$15,0)),"")</f>
        <v/>
      </c>
    </row>
    <row r="189" spans="2:43" ht="13.8" x14ac:dyDescent="0.25">
      <c r="B189" s="311" t="str">
        <f>'E-1 Off-Site Hedge Baseline'!AN187</f>
        <v/>
      </c>
      <c r="C189" s="301" t="str">
        <f>IF(B189="","",IF(ISNA(VLOOKUP($B189,'E-1 Off-Site Hedge Baseline'!$B$1:$L$257,3,FALSE)),"",(VLOOKUP($B189,'E-1 Off-Site Hedge Baseline'!$B$1:$L$257,3,FALSE))))</f>
        <v/>
      </c>
      <c r="D189" s="301" t="str">
        <f>IF(B189="","",IF(ISNA(VLOOKUP($B189,'E-1 Off-Site Hedge Baseline'!$B$1:$L$258,4,FALSE)),"",(VLOOKUP($B189,'E-1 Off-Site Hedge Baseline'!$B$1:$L$258,4,FALSE))))</f>
        <v/>
      </c>
      <c r="E189" s="301" t="str">
        <f>IF(B189="","",IF(ISNA(VLOOKUP($B189,'E-1 Off-Site Hedge Baseline'!$B$1:$L$257,5,FALSE)),"",(VLOOKUP($B189,'E-1 Off-Site Hedge Baseline'!$B$1:$L$257,5,FALSE))))</f>
        <v/>
      </c>
      <c r="F189" s="301" t="str">
        <f>IF(B189="","",IF(ISNA(VLOOKUP($B189,'E-1 Off-Site Hedge Baseline'!$B$1:$L$257,6,FALSE)),"",(VLOOKUP($B189,'E-1 Off-Site Hedge Baseline'!$B$1:$L$257,6,FALSE))))</f>
        <v/>
      </c>
      <c r="G189" s="301" t="str">
        <f>IF(B189="","",IF(ISNA(VLOOKUP($B189,'E-1 Off-Site Hedge Baseline'!$B$1:$L$257,7,FALSE)),"",(VLOOKUP($B189,'E-1 Off-Site Hedge Baseline'!$B$1:$L$257,7,FALSE))))</f>
        <v/>
      </c>
      <c r="H189" s="301" t="str">
        <f>IF(B189="","",IF(ISNA(VLOOKUP($B189,'E-1 Off-Site Hedge Baseline'!$B$1:$L$257,8,FALSE)),"",(VLOOKUP($B189,'E-1 Off-Site Hedge Baseline'!$B$1:$L$257,8,FALSE))))</f>
        <v/>
      </c>
      <c r="I189" s="301" t="str">
        <f>IF(B189="","",IF(ISNA(VLOOKUP($B189,'E-1 Off-Site Hedge Baseline'!$B$1:$L$257,10,FALSE)),"",(VLOOKUP($B189,'E-1 Off-Site Hedge Baseline'!$B$1:$L$257,10,FALSE))))</f>
        <v/>
      </c>
      <c r="J189" s="301" t="str">
        <f>IF(B189="","",IF(ISNA(VLOOKUP($B189,'E-1 Off-Site Hedge Baseline'!$B$1:$L$257,11,FALSE)),"",(VLOOKUP($B189,'E-1 Off-Site Hedge Baseline'!$B$1:$L$257,11,FALSE))))</f>
        <v/>
      </c>
      <c r="K189" s="301" t="str">
        <f>IF(B189="","",IF(ISNA(VLOOKUP($B189,'E-1 Off-Site Hedge Baseline'!$B$1:$X$257,16,FALSE)),"",(VLOOKUP($B189,'E-1 Off-Site Hedge Baseline'!$B$1:$X$257,16,FALSE))))</f>
        <v/>
      </c>
      <c r="L189" s="289" t="str">
        <f>IF(B189="","",IF(ISNA(VLOOKUP($B189,'E-1 Off-Site Hedge Baseline'!$B$1:$X$257,12,FALSE)),"",(VLOOKUP($B189,'E-1 Off-Site Hedge Baseline'!$B$1:$X$257,12,FALSE))))</f>
        <v/>
      </c>
      <c r="M189" s="250"/>
      <c r="N189" s="281" t="str">
        <f>IFERROR(IF(B189="","",INDEX('G-6 Hedgerow Data'!$AN$3:$AZ$15,MATCH(C189,'G-6 Hedgerow Data'!$AM$3:$AM$15,0),MATCH(M189,'G-6 Hedgerow Data'!$AN$2:$AZ$2,0))),"")</f>
        <v/>
      </c>
      <c r="O189" s="282" t="str">
        <f t="shared" si="17"/>
        <v/>
      </c>
      <c r="P189" s="287" t="str">
        <f>IF(B189="","",VLOOKUP(B189,'E-1 Off-Site Hedge Baseline'!$B$10:W434,19,FALSE))</f>
        <v/>
      </c>
      <c r="Q189" s="281" t="str">
        <f>IF(M189="","",VLOOKUP(M189,'G-6 Hedgerow Data'!$B$2:$AG$15,2,FALSE))</f>
        <v/>
      </c>
      <c r="R189" s="282" t="str">
        <f>IF(M189="","",VLOOKUP(M189,'G-6 Hedgerow Data'!$B$2:$AG$15,3,FALSE))</f>
        <v/>
      </c>
      <c r="S189" s="105"/>
      <c r="T189" s="282" t="str">
        <f>IFERROR(IF(S189="","",IF(AND(M189="Non-native and ornamental hedgerow", S189&lt;&gt;"Poor"),"Not possible ▲", (IF(AND(Q189="V.Low",OR(S189="Good",S189="Moderate")),"Error ▲",VLOOKUP(S189,'G-1 All Habitats'!$Z$2:$AA$9,2,FALSE))))),"")</f>
        <v/>
      </c>
      <c r="U189" s="105"/>
      <c r="V189" s="289" t="str">
        <f>IF(U189="","",IF(VLOOKUP(U189,'G-3 Multipliers'!$L$3:$N$6,2,FALSE)=0,"Spatial Data Missing ⚠",VLOOKUP(U189,'G-3 Multipliers'!$L$3:$N$6,2,FALSE)))</f>
        <v/>
      </c>
      <c r="W189" s="287" t="str">
        <f>IF(U189="","",IF(VLOOKUP(U189,'G-3 Multipliers'!$L$3:$N$6,3,FALSE)=0,"Spatial Data Missing ⚠",VLOOKUP(U189,'G-3 Multipliers'!$L$3:$N$6,3,FALSE)))</f>
        <v/>
      </c>
      <c r="X189" s="281" t="str">
        <f>IFERROR(IF(OR(LEFT(O189,5)="Error",LEFT(N189,5)="Error",T189="Error"),"Check Data ⚠",IF(F189&lt;R189,INDEX('G-6 Hedgerow Data'!$S$3:$AE$14,MATCH(C189,'G-6 Hedgerow Data'!$B$3:$B$14,0),MATCH(M189,'G-6 Hedgerow Data'!$S$2:$AE$2,0)),INDEX('G-6 Hedgerow Data'!$K$3:$Q$14,MATCH(M189,'G-6 Hedgerow Data'!$B$3:$B$14,0),MATCH(O189,'G-6 Hedgerow Data'!$K$2:$Q$2,0)))),"")</f>
        <v/>
      </c>
      <c r="Y189" s="137"/>
      <c r="Z189" s="137"/>
      <c r="AA189" s="289" t="str">
        <f t="shared" si="18"/>
        <v/>
      </c>
      <c r="AB189" s="302" t="str">
        <f t="shared" si="19"/>
        <v/>
      </c>
      <c r="AC189" s="303" t="str">
        <f t="shared" si="16"/>
        <v/>
      </c>
      <c r="AD189" s="317" t="str">
        <f>IF(M189="","",VLOOKUP(M189,'G-6 Hedgerow Data'!$B$3:$AG$15,31,FALSE))</f>
        <v/>
      </c>
      <c r="AE189" s="301" t="str">
        <f t="shared" si="20"/>
        <v/>
      </c>
      <c r="AF189" s="289" t="str">
        <f t="shared" si="21"/>
        <v/>
      </c>
      <c r="AG189" s="305" t="str">
        <f>IFERROR(IF(O189="","",VLOOKUP(AD189,'G-3 Multipliers'!$P$3:$Q$6,2,FALSE)),"")</f>
        <v/>
      </c>
      <c r="AH189" s="729" t="str">
        <f>IF(B189="","",IF(ISNA(VLOOKUP($B189,'E-1 Off-Site Hedge Baseline'!$B$1:$Z$257,14,FALSE)),"",(VLOOKUP($B189,'E-1 Off-Site Hedge Baseline'!$B$1:$Z$257,14,FALSE))))</f>
        <v/>
      </c>
      <c r="AI189" s="282" t="str">
        <f>IF(AH189="","",IF(VLOOKUP(AH189,'G-3 Multipliers'!$S$3:$T$10,2,FALSE)=0,"Spatial Data Missing ⚠",VLOOKUP(AH189,'G-3 Multipliers'!$S$3:$T$10,2,FALSE)))</f>
        <v/>
      </c>
      <c r="AJ189" s="323" t="str">
        <f t="shared" si="22"/>
        <v/>
      </c>
      <c r="AK189" s="295" t="str">
        <f t="shared" si="23"/>
        <v/>
      </c>
      <c r="AL189" s="105"/>
      <c r="AM189" s="119"/>
      <c r="AN189" s="108"/>
      <c r="AO189" s="108"/>
      <c r="AQ189" s="30" t="str">
        <f>IFERROR(INDEX('G-6 Hedgerow Data'!$BJ$3:$BJ$15,MATCH(M189,'G-6 Hedgerow Data'!$B$3:$B$15,0)),"")</f>
        <v/>
      </c>
    </row>
    <row r="190" spans="2:43" ht="13.8" x14ac:dyDescent="0.25">
      <c r="B190" s="311" t="str">
        <f>'E-1 Off-Site Hedge Baseline'!AN188</f>
        <v/>
      </c>
      <c r="C190" s="301" t="str">
        <f>IF(B190="","",IF(ISNA(VLOOKUP($B190,'E-1 Off-Site Hedge Baseline'!$B$1:$L$257,3,FALSE)),"",(VLOOKUP($B190,'E-1 Off-Site Hedge Baseline'!$B$1:$L$257,3,FALSE))))</f>
        <v/>
      </c>
      <c r="D190" s="301" t="str">
        <f>IF(B190="","",IF(ISNA(VLOOKUP($B190,'E-1 Off-Site Hedge Baseline'!$B$1:$L$258,4,FALSE)),"",(VLOOKUP($B190,'E-1 Off-Site Hedge Baseline'!$B$1:$L$258,4,FALSE))))</f>
        <v/>
      </c>
      <c r="E190" s="301" t="str">
        <f>IF(B190="","",IF(ISNA(VLOOKUP($B190,'E-1 Off-Site Hedge Baseline'!$B$1:$L$257,5,FALSE)),"",(VLOOKUP($B190,'E-1 Off-Site Hedge Baseline'!$B$1:$L$257,5,FALSE))))</f>
        <v/>
      </c>
      <c r="F190" s="301" t="str">
        <f>IF(B190="","",IF(ISNA(VLOOKUP($B190,'E-1 Off-Site Hedge Baseline'!$B$1:$L$257,6,FALSE)),"",(VLOOKUP($B190,'E-1 Off-Site Hedge Baseline'!$B$1:$L$257,6,FALSE))))</f>
        <v/>
      </c>
      <c r="G190" s="301" t="str">
        <f>IF(B190="","",IF(ISNA(VLOOKUP($B190,'E-1 Off-Site Hedge Baseline'!$B$1:$L$257,7,FALSE)),"",(VLOOKUP($B190,'E-1 Off-Site Hedge Baseline'!$B$1:$L$257,7,FALSE))))</f>
        <v/>
      </c>
      <c r="H190" s="301" t="str">
        <f>IF(B190="","",IF(ISNA(VLOOKUP($B190,'E-1 Off-Site Hedge Baseline'!$B$1:$L$257,8,FALSE)),"",(VLOOKUP($B190,'E-1 Off-Site Hedge Baseline'!$B$1:$L$257,8,FALSE))))</f>
        <v/>
      </c>
      <c r="I190" s="301" t="str">
        <f>IF(B190="","",IF(ISNA(VLOOKUP($B190,'E-1 Off-Site Hedge Baseline'!$B$1:$L$257,10,FALSE)),"",(VLOOKUP($B190,'E-1 Off-Site Hedge Baseline'!$B$1:$L$257,10,FALSE))))</f>
        <v/>
      </c>
      <c r="J190" s="301" t="str">
        <f>IF(B190="","",IF(ISNA(VLOOKUP($B190,'E-1 Off-Site Hedge Baseline'!$B$1:$L$257,11,FALSE)),"",(VLOOKUP($B190,'E-1 Off-Site Hedge Baseline'!$B$1:$L$257,11,FALSE))))</f>
        <v/>
      </c>
      <c r="K190" s="301" t="str">
        <f>IF(B190="","",IF(ISNA(VLOOKUP($B190,'E-1 Off-Site Hedge Baseline'!$B$1:$X$257,16,FALSE)),"",(VLOOKUP($B190,'E-1 Off-Site Hedge Baseline'!$B$1:$X$257,16,FALSE))))</f>
        <v/>
      </c>
      <c r="L190" s="289" t="str">
        <f>IF(B190="","",IF(ISNA(VLOOKUP($B190,'E-1 Off-Site Hedge Baseline'!$B$1:$X$257,12,FALSE)),"",(VLOOKUP($B190,'E-1 Off-Site Hedge Baseline'!$B$1:$X$257,12,FALSE))))</f>
        <v/>
      </c>
      <c r="M190" s="250"/>
      <c r="N190" s="281" t="str">
        <f>IFERROR(IF(B190="","",INDEX('G-6 Hedgerow Data'!$AN$3:$AZ$15,MATCH(C190,'G-6 Hedgerow Data'!$AM$3:$AM$15,0),MATCH(M190,'G-6 Hedgerow Data'!$AN$2:$AZ$2,0))),"")</f>
        <v/>
      </c>
      <c r="O190" s="282" t="str">
        <f t="shared" si="17"/>
        <v/>
      </c>
      <c r="P190" s="287" t="str">
        <f>IF(B190="","",VLOOKUP(B190,'E-1 Off-Site Hedge Baseline'!$B$10:W435,19,FALSE))</f>
        <v/>
      </c>
      <c r="Q190" s="281" t="str">
        <f>IF(M190="","",VLOOKUP(M190,'G-6 Hedgerow Data'!$B$2:$AG$15,2,FALSE))</f>
        <v/>
      </c>
      <c r="R190" s="282" t="str">
        <f>IF(M190="","",VLOOKUP(M190,'G-6 Hedgerow Data'!$B$2:$AG$15,3,FALSE))</f>
        <v/>
      </c>
      <c r="S190" s="105"/>
      <c r="T190" s="282" t="str">
        <f>IFERROR(IF(S190="","",IF(AND(M190="Non-native and ornamental hedgerow", S190&lt;&gt;"Poor"),"Not possible ▲", (IF(AND(Q190="V.Low",OR(S190="Good",S190="Moderate")),"Error ▲",VLOOKUP(S190,'G-1 All Habitats'!$Z$2:$AA$9,2,FALSE))))),"")</f>
        <v/>
      </c>
      <c r="U190" s="105"/>
      <c r="V190" s="289" t="str">
        <f>IF(U190="","",IF(VLOOKUP(U190,'G-3 Multipliers'!$L$3:$N$6,2,FALSE)=0,"Spatial Data Missing ⚠",VLOOKUP(U190,'G-3 Multipliers'!$L$3:$N$6,2,FALSE)))</f>
        <v/>
      </c>
      <c r="W190" s="287" t="str">
        <f>IF(U190="","",IF(VLOOKUP(U190,'G-3 Multipliers'!$L$3:$N$6,3,FALSE)=0,"Spatial Data Missing ⚠",VLOOKUP(U190,'G-3 Multipliers'!$L$3:$N$6,3,FALSE)))</f>
        <v/>
      </c>
      <c r="X190" s="281" t="str">
        <f>IFERROR(IF(OR(LEFT(O190,5)="Error",LEFT(N190,5)="Error",T190="Error"),"Check Data ⚠",IF(F190&lt;R190,INDEX('G-6 Hedgerow Data'!$S$3:$AE$14,MATCH(C190,'G-6 Hedgerow Data'!$B$3:$B$14,0),MATCH(M190,'G-6 Hedgerow Data'!$S$2:$AE$2,0)),INDEX('G-6 Hedgerow Data'!$K$3:$Q$14,MATCH(M190,'G-6 Hedgerow Data'!$B$3:$B$14,0),MATCH(O190,'G-6 Hedgerow Data'!$K$2:$Q$2,0)))),"")</f>
        <v/>
      </c>
      <c r="Y190" s="137"/>
      <c r="Z190" s="137"/>
      <c r="AA190" s="289" t="str">
        <f t="shared" si="18"/>
        <v/>
      </c>
      <c r="AB190" s="302" t="str">
        <f t="shared" si="19"/>
        <v/>
      </c>
      <c r="AC190" s="303" t="str">
        <f t="shared" si="16"/>
        <v/>
      </c>
      <c r="AD190" s="317" t="str">
        <f>IF(M190="","",VLOOKUP(M190,'G-6 Hedgerow Data'!$B$3:$AG$15,31,FALSE))</f>
        <v/>
      </c>
      <c r="AE190" s="301" t="str">
        <f t="shared" si="20"/>
        <v/>
      </c>
      <c r="AF190" s="289" t="str">
        <f t="shared" si="21"/>
        <v/>
      </c>
      <c r="AG190" s="305" t="str">
        <f>IFERROR(IF(O190="","",VLOOKUP(AD190,'G-3 Multipliers'!$P$3:$Q$6,2,FALSE)),"")</f>
        <v/>
      </c>
      <c r="AH190" s="729" t="str">
        <f>IF(B190="","",IF(ISNA(VLOOKUP($B190,'E-1 Off-Site Hedge Baseline'!$B$1:$Z$257,14,FALSE)),"",(VLOOKUP($B190,'E-1 Off-Site Hedge Baseline'!$B$1:$Z$257,14,FALSE))))</f>
        <v/>
      </c>
      <c r="AI190" s="282" t="str">
        <f>IF(AH190="","",IF(VLOOKUP(AH190,'G-3 Multipliers'!$S$3:$T$10,2,FALSE)=0,"Spatial Data Missing ⚠",VLOOKUP(AH190,'G-3 Multipliers'!$S$3:$T$10,2,FALSE)))</f>
        <v/>
      </c>
      <c r="AJ190" s="323" t="str">
        <f t="shared" si="22"/>
        <v/>
      </c>
      <c r="AK190" s="295" t="str">
        <f t="shared" si="23"/>
        <v/>
      </c>
      <c r="AL190" s="105"/>
      <c r="AM190" s="119"/>
      <c r="AN190" s="108"/>
      <c r="AO190" s="108"/>
      <c r="AQ190" s="30" t="str">
        <f>IFERROR(INDEX('G-6 Hedgerow Data'!$BJ$3:$BJ$15,MATCH(M190,'G-6 Hedgerow Data'!$B$3:$B$15,0)),"")</f>
        <v/>
      </c>
    </row>
    <row r="191" spans="2:43" ht="13.8" x14ac:dyDescent="0.25">
      <c r="B191" s="311" t="str">
        <f>'E-1 Off-Site Hedge Baseline'!AN189</f>
        <v/>
      </c>
      <c r="C191" s="301" t="str">
        <f>IF(B191="","",IF(ISNA(VLOOKUP($B191,'E-1 Off-Site Hedge Baseline'!$B$1:$L$257,3,FALSE)),"",(VLOOKUP($B191,'E-1 Off-Site Hedge Baseline'!$B$1:$L$257,3,FALSE))))</f>
        <v/>
      </c>
      <c r="D191" s="301" t="str">
        <f>IF(B191="","",IF(ISNA(VLOOKUP($B191,'E-1 Off-Site Hedge Baseline'!$B$1:$L$258,4,FALSE)),"",(VLOOKUP($B191,'E-1 Off-Site Hedge Baseline'!$B$1:$L$258,4,FALSE))))</f>
        <v/>
      </c>
      <c r="E191" s="301" t="str">
        <f>IF(B191="","",IF(ISNA(VLOOKUP($B191,'E-1 Off-Site Hedge Baseline'!$B$1:$L$257,5,FALSE)),"",(VLOOKUP($B191,'E-1 Off-Site Hedge Baseline'!$B$1:$L$257,5,FALSE))))</f>
        <v/>
      </c>
      <c r="F191" s="301" t="str">
        <f>IF(B191="","",IF(ISNA(VLOOKUP($B191,'E-1 Off-Site Hedge Baseline'!$B$1:$L$257,6,FALSE)),"",(VLOOKUP($B191,'E-1 Off-Site Hedge Baseline'!$B$1:$L$257,6,FALSE))))</f>
        <v/>
      </c>
      <c r="G191" s="301" t="str">
        <f>IF(B191="","",IF(ISNA(VLOOKUP($B191,'E-1 Off-Site Hedge Baseline'!$B$1:$L$257,7,FALSE)),"",(VLOOKUP($B191,'E-1 Off-Site Hedge Baseline'!$B$1:$L$257,7,FALSE))))</f>
        <v/>
      </c>
      <c r="H191" s="301" t="str">
        <f>IF(B191="","",IF(ISNA(VLOOKUP($B191,'E-1 Off-Site Hedge Baseline'!$B$1:$L$257,8,FALSE)),"",(VLOOKUP($B191,'E-1 Off-Site Hedge Baseline'!$B$1:$L$257,8,FALSE))))</f>
        <v/>
      </c>
      <c r="I191" s="301" t="str">
        <f>IF(B191="","",IF(ISNA(VLOOKUP($B191,'E-1 Off-Site Hedge Baseline'!$B$1:$L$257,10,FALSE)),"",(VLOOKUP($B191,'E-1 Off-Site Hedge Baseline'!$B$1:$L$257,10,FALSE))))</f>
        <v/>
      </c>
      <c r="J191" s="301" t="str">
        <f>IF(B191="","",IF(ISNA(VLOOKUP($B191,'E-1 Off-Site Hedge Baseline'!$B$1:$L$257,11,FALSE)),"",(VLOOKUP($B191,'E-1 Off-Site Hedge Baseline'!$B$1:$L$257,11,FALSE))))</f>
        <v/>
      </c>
      <c r="K191" s="301" t="str">
        <f>IF(B191="","",IF(ISNA(VLOOKUP($B191,'E-1 Off-Site Hedge Baseline'!$B$1:$X$257,16,FALSE)),"",(VLOOKUP($B191,'E-1 Off-Site Hedge Baseline'!$B$1:$X$257,16,FALSE))))</f>
        <v/>
      </c>
      <c r="L191" s="289" t="str">
        <f>IF(B191="","",IF(ISNA(VLOOKUP($B191,'E-1 Off-Site Hedge Baseline'!$B$1:$X$257,12,FALSE)),"",(VLOOKUP($B191,'E-1 Off-Site Hedge Baseline'!$B$1:$X$257,12,FALSE))))</f>
        <v/>
      </c>
      <c r="M191" s="250"/>
      <c r="N191" s="281" t="str">
        <f>IFERROR(IF(B191="","",INDEX('G-6 Hedgerow Data'!$AN$3:$AZ$15,MATCH(C191,'G-6 Hedgerow Data'!$AM$3:$AM$15,0),MATCH(M191,'G-6 Hedgerow Data'!$AN$2:$AZ$2,0))),"")</f>
        <v/>
      </c>
      <c r="O191" s="282" t="str">
        <f t="shared" si="17"/>
        <v/>
      </c>
      <c r="P191" s="287" t="str">
        <f>IF(B191="","",VLOOKUP(B191,'E-1 Off-Site Hedge Baseline'!$B$10:W436,19,FALSE))</f>
        <v/>
      </c>
      <c r="Q191" s="281" t="str">
        <f>IF(M191="","",VLOOKUP(M191,'G-6 Hedgerow Data'!$B$2:$AG$15,2,FALSE))</f>
        <v/>
      </c>
      <c r="R191" s="282" t="str">
        <f>IF(M191="","",VLOOKUP(M191,'G-6 Hedgerow Data'!$B$2:$AG$15,3,FALSE))</f>
        <v/>
      </c>
      <c r="S191" s="105"/>
      <c r="T191" s="282" t="str">
        <f>IFERROR(IF(S191="","",IF(AND(M191="Non-native and ornamental hedgerow", S191&lt;&gt;"Poor"),"Not possible ▲", (IF(AND(Q191="V.Low",OR(S191="Good",S191="Moderate")),"Error ▲",VLOOKUP(S191,'G-1 All Habitats'!$Z$2:$AA$9,2,FALSE))))),"")</f>
        <v/>
      </c>
      <c r="U191" s="105"/>
      <c r="V191" s="289" t="str">
        <f>IF(U191="","",IF(VLOOKUP(U191,'G-3 Multipliers'!$L$3:$N$6,2,FALSE)=0,"Spatial Data Missing ⚠",VLOOKUP(U191,'G-3 Multipliers'!$L$3:$N$6,2,FALSE)))</f>
        <v/>
      </c>
      <c r="W191" s="287" t="str">
        <f>IF(U191="","",IF(VLOOKUP(U191,'G-3 Multipliers'!$L$3:$N$6,3,FALSE)=0,"Spatial Data Missing ⚠",VLOOKUP(U191,'G-3 Multipliers'!$L$3:$N$6,3,FALSE)))</f>
        <v/>
      </c>
      <c r="X191" s="281" t="str">
        <f>IFERROR(IF(OR(LEFT(O191,5)="Error",LEFT(N191,5)="Error",T191="Error"),"Check Data ⚠",IF(F191&lt;R191,INDEX('G-6 Hedgerow Data'!$S$3:$AE$14,MATCH(C191,'G-6 Hedgerow Data'!$B$3:$B$14,0),MATCH(M191,'G-6 Hedgerow Data'!$S$2:$AE$2,0)),INDEX('G-6 Hedgerow Data'!$K$3:$Q$14,MATCH(M191,'G-6 Hedgerow Data'!$B$3:$B$14,0),MATCH(O191,'G-6 Hedgerow Data'!$K$2:$Q$2,0)))),"")</f>
        <v/>
      </c>
      <c r="Y191" s="137"/>
      <c r="Z191" s="137"/>
      <c r="AA191" s="289" t="str">
        <f t="shared" si="18"/>
        <v/>
      </c>
      <c r="AB191" s="302" t="str">
        <f t="shared" si="19"/>
        <v/>
      </c>
      <c r="AC191" s="303" t="str">
        <f t="shared" si="16"/>
        <v/>
      </c>
      <c r="AD191" s="317" t="str">
        <f>IF(M191="","",VLOOKUP(M191,'G-6 Hedgerow Data'!$B$3:$AG$15,31,FALSE))</f>
        <v/>
      </c>
      <c r="AE191" s="301" t="str">
        <f t="shared" si="20"/>
        <v/>
      </c>
      <c r="AF191" s="289" t="str">
        <f t="shared" si="21"/>
        <v/>
      </c>
      <c r="AG191" s="305" t="str">
        <f>IFERROR(IF(O191="","",VLOOKUP(AD191,'G-3 Multipliers'!$P$3:$Q$6,2,FALSE)),"")</f>
        <v/>
      </c>
      <c r="AH191" s="729" t="str">
        <f>IF(B191="","",IF(ISNA(VLOOKUP($B191,'E-1 Off-Site Hedge Baseline'!$B$1:$Z$257,14,FALSE)),"",(VLOOKUP($B191,'E-1 Off-Site Hedge Baseline'!$B$1:$Z$257,14,FALSE))))</f>
        <v/>
      </c>
      <c r="AI191" s="282" t="str">
        <f>IF(AH191="","",IF(VLOOKUP(AH191,'G-3 Multipliers'!$S$3:$T$10,2,FALSE)=0,"Spatial Data Missing ⚠",VLOOKUP(AH191,'G-3 Multipliers'!$S$3:$T$10,2,FALSE)))</f>
        <v/>
      </c>
      <c r="AJ191" s="323" t="str">
        <f t="shared" si="22"/>
        <v/>
      </c>
      <c r="AK191" s="295" t="str">
        <f t="shared" si="23"/>
        <v/>
      </c>
      <c r="AL191" s="105"/>
      <c r="AM191" s="119"/>
      <c r="AN191" s="108"/>
      <c r="AO191" s="108"/>
      <c r="AQ191" s="30" t="str">
        <f>IFERROR(INDEX('G-6 Hedgerow Data'!$BJ$3:$BJ$15,MATCH(M191,'G-6 Hedgerow Data'!$B$3:$B$15,0)),"")</f>
        <v/>
      </c>
    </row>
    <row r="192" spans="2:43" ht="13.8" x14ac:dyDescent="0.25">
      <c r="B192" s="311" t="str">
        <f>'E-1 Off-Site Hedge Baseline'!AN190</f>
        <v/>
      </c>
      <c r="C192" s="301" t="str">
        <f>IF(B192="","",IF(ISNA(VLOOKUP($B192,'E-1 Off-Site Hedge Baseline'!$B$1:$L$257,3,FALSE)),"",(VLOOKUP($B192,'E-1 Off-Site Hedge Baseline'!$B$1:$L$257,3,FALSE))))</f>
        <v/>
      </c>
      <c r="D192" s="301" t="str">
        <f>IF(B192="","",IF(ISNA(VLOOKUP($B192,'E-1 Off-Site Hedge Baseline'!$B$1:$L$258,4,FALSE)),"",(VLOOKUP($B192,'E-1 Off-Site Hedge Baseline'!$B$1:$L$258,4,FALSE))))</f>
        <v/>
      </c>
      <c r="E192" s="301" t="str">
        <f>IF(B192="","",IF(ISNA(VLOOKUP($B192,'E-1 Off-Site Hedge Baseline'!$B$1:$L$257,5,FALSE)),"",(VLOOKUP($B192,'E-1 Off-Site Hedge Baseline'!$B$1:$L$257,5,FALSE))))</f>
        <v/>
      </c>
      <c r="F192" s="301" t="str">
        <f>IF(B192="","",IF(ISNA(VLOOKUP($B192,'E-1 Off-Site Hedge Baseline'!$B$1:$L$257,6,FALSE)),"",(VLOOKUP($B192,'E-1 Off-Site Hedge Baseline'!$B$1:$L$257,6,FALSE))))</f>
        <v/>
      </c>
      <c r="G192" s="301" t="str">
        <f>IF(B192="","",IF(ISNA(VLOOKUP($B192,'E-1 Off-Site Hedge Baseline'!$B$1:$L$257,7,FALSE)),"",(VLOOKUP($B192,'E-1 Off-Site Hedge Baseline'!$B$1:$L$257,7,FALSE))))</f>
        <v/>
      </c>
      <c r="H192" s="301" t="str">
        <f>IF(B192="","",IF(ISNA(VLOOKUP($B192,'E-1 Off-Site Hedge Baseline'!$B$1:$L$257,8,FALSE)),"",(VLOOKUP($B192,'E-1 Off-Site Hedge Baseline'!$B$1:$L$257,8,FALSE))))</f>
        <v/>
      </c>
      <c r="I192" s="301" t="str">
        <f>IF(B192="","",IF(ISNA(VLOOKUP($B192,'E-1 Off-Site Hedge Baseline'!$B$1:$L$257,10,FALSE)),"",(VLOOKUP($B192,'E-1 Off-Site Hedge Baseline'!$B$1:$L$257,10,FALSE))))</f>
        <v/>
      </c>
      <c r="J192" s="301" t="str">
        <f>IF(B192="","",IF(ISNA(VLOOKUP($B192,'E-1 Off-Site Hedge Baseline'!$B$1:$L$257,11,FALSE)),"",(VLOOKUP($B192,'E-1 Off-Site Hedge Baseline'!$B$1:$L$257,11,FALSE))))</f>
        <v/>
      </c>
      <c r="K192" s="301" t="str">
        <f>IF(B192="","",IF(ISNA(VLOOKUP($B192,'E-1 Off-Site Hedge Baseline'!$B$1:$X$257,16,FALSE)),"",(VLOOKUP($B192,'E-1 Off-Site Hedge Baseline'!$B$1:$X$257,16,FALSE))))</f>
        <v/>
      </c>
      <c r="L192" s="289" t="str">
        <f>IF(B192="","",IF(ISNA(VLOOKUP($B192,'E-1 Off-Site Hedge Baseline'!$B$1:$X$257,12,FALSE)),"",(VLOOKUP($B192,'E-1 Off-Site Hedge Baseline'!$B$1:$X$257,12,FALSE))))</f>
        <v/>
      </c>
      <c r="M192" s="250"/>
      <c r="N192" s="281" t="str">
        <f>IFERROR(IF(B192="","",INDEX('G-6 Hedgerow Data'!$AN$3:$AZ$15,MATCH(C192,'G-6 Hedgerow Data'!$AM$3:$AM$15,0),MATCH(M192,'G-6 Hedgerow Data'!$AN$2:$AZ$2,0))),"")</f>
        <v/>
      </c>
      <c r="O192" s="282" t="str">
        <f t="shared" si="17"/>
        <v/>
      </c>
      <c r="P192" s="287" t="str">
        <f>IF(B192="","",VLOOKUP(B192,'E-1 Off-Site Hedge Baseline'!$B$10:W437,19,FALSE))</f>
        <v/>
      </c>
      <c r="Q192" s="281" t="str">
        <f>IF(M192="","",VLOOKUP(M192,'G-6 Hedgerow Data'!$B$2:$AG$15,2,FALSE))</f>
        <v/>
      </c>
      <c r="R192" s="282" t="str">
        <f>IF(M192="","",VLOOKUP(M192,'G-6 Hedgerow Data'!$B$2:$AG$15,3,FALSE))</f>
        <v/>
      </c>
      <c r="S192" s="105"/>
      <c r="T192" s="282" t="str">
        <f>IFERROR(IF(S192="","",IF(AND(M192="Non-native and ornamental hedgerow", S192&lt;&gt;"Poor"),"Not possible ▲", (IF(AND(Q192="V.Low",OR(S192="Good",S192="Moderate")),"Error ▲",VLOOKUP(S192,'G-1 All Habitats'!$Z$2:$AA$9,2,FALSE))))),"")</f>
        <v/>
      </c>
      <c r="U192" s="105"/>
      <c r="V192" s="289" t="str">
        <f>IF(U192="","",IF(VLOOKUP(U192,'G-3 Multipliers'!$L$3:$N$6,2,FALSE)=0,"Spatial Data Missing ⚠",VLOOKUP(U192,'G-3 Multipliers'!$L$3:$N$6,2,FALSE)))</f>
        <v/>
      </c>
      <c r="W192" s="287" t="str">
        <f>IF(U192="","",IF(VLOOKUP(U192,'G-3 Multipliers'!$L$3:$N$6,3,FALSE)=0,"Spatial Data Missing ⚠",VLOOKUP(U192,'G-3 Multipliers'!$L$3:$N$6,3,FALSE)))</f>
        <v/>
      </c>
      <c r="X192" s="281" t="str">
        <f>IFERROR(IF(OR(LEFT(O192,5)="Error",LEFT(N192,5)="Error",T192="Error"),"Check Data ⚠",IF(F192&lt;R192,INDEX('G-6 Hedgerow Data'!$S$3:$AE$14,MATCH(C192,'G-6 Hedgerow Data'!$B$3:$B$14,0),MATCH(M192,'G-6 Hedgerow Data'!$S$2:$AE$2,0)),INDEX('G-6 Hedgerow Data'!$K$3:$Q$14,MATCH(M192,'G-6 Hedgerow Data'!$B$3:$B$14,0),MATCH(O192,'G-6 Hedgerow Data'!$K$2:$Q$2,0)))),"")</f>
        <v/>
      </c>
      <c r="Y192" s="137"/>
      <c r="Z192" s="137"/>
      <c r="AA192" s="289" t="str">
        <f t="shared" si="18"/>
        <v/>
      </c>
      <c r="AB192" s="302" t="str">
        <f t="shared" si="19"/>
        <v/>
      </c>
      <c r="AC192" s="303" t="str">
        <f t="shared" si="16"/>
        <v/>
      </c>
      <c r="AD192" s="317" t="str">
        <f>IF(M192="","",VLOOKUP(M192,'G-6 Hedgerow Data'!$B$3:$AG$15,31,FALSE))</f>
        <v/>
      </c>
      <c r="AE192" s="301" t="str">
        <f t="shared" si="20"/>
        <v/>
      </c>
      <c r="AF192" s="289" t="str">
        <f t="shared" si="21"/>
        <v/>
      </c>
      <c r="AG192" s="305" t="str">
        <f>IFERROR(IF(O192="","",VLOOKUP(AD192,'G-3 Multipliers'!$P$3:$Q$6,2,FALSE)),"")</f>
        <v/>
      </c>
      <c r="AH192" s="729" t="str">
        <f>IF(B192="","",IF(ISNA(VLOOKUP($B192,'E-1 Off-Site Hedge Baseline'!$B$1:$Z$257,14,FALSE)),"",(VLOOKUP($B192,'E-1 Off-Site Hedge Baseline'!$B$1:$Z$257,14,FALSE))))</f>
        <v/>
      </c>
      <c r="AI192" s="282" t="str">
        <f>IF(AH192="","",IF(VLOOKUP(AH192,'G-3 Multipliers'!$S$3:$T$10,2,FALSE)=0,"Spatial Data Missing ⚠",VLOOKUP(AH192,'G-3 Multipliers'!$S$3:$T$10,2,FALSE)))</f>
        <v/>
      </c>
      <c r="AJ192" s="323" t="str">
        <f t="shared" si="22"/>
        <v/>
      </c>
      <c r="AK192" s="295" t="str">
        <f t="shared" si="23"/>
        <v/>
      </c>
      <c r="AL192" s="105"/>
      <c r="AM192" s="119"/>
      <c r="AN192" s="108"/>
      <c r="AO192" s="108"/>
      <c r="AQ192" s="30" t="str">
        <f>IFERROR(INDEX('G-6 Hedgerow Data'!$BJ$3:$BJ$15,MATCH(M192,'G-6 Hedgerow Data'!$B$3:$B$15,0)),"")</f>
        <v/>
      </c>
    </row>
    <row r="193" spans="2:43" ht="13.8" x14ac:dyDescent="0.25">
      <c r="B193" s="311" t="str">
        <f>'E-1 Off-Site Hedge Baseline'!AN191</f>
        <v/>
      </c>
      <c r="C193" s="301" t="str">
        <f>IF(B193="","",IF(ISNA(VLOOKUP($B193,'E-1 Off-Site Hedge Baseline'!$B$1:$L$257,3,FALSE)),"",(VLOOKUP($B193,'E-1 Off-Site Hedge Baseline'!$B$1:$L$257,3,FALSE))))</f>
        <v/>
      </c>
      <c r="D193" s="301" t="str">
        <f>IF(B193="","",IF(ISNA(VLOOKUP($B193,'E-1 Off-Site Hedge Baseline'!$B$1:$L$258,4,FALSE)),"",(VLOOKUP($B193,'E-1 Off-Site Hedge Baseline'!$B$1:$L$258,4,FALSE))))</f>
        <v/>
      </c>
      <c r="E193" s="301" t="str">
        <f>IF(B193="","",IF(ISNA(VLOOKUP($B193,'E-1 Off-Site Hedge Baseline'!$B$1:$L$257,5,FALSE)),"",(VLOOKUP($B193,'E-1 Off-Site Hedge Baseline'!$B$1:$L$257,5,FALSE))))</f>
        <v/>
      </c>
      <c r="F193" s="301" t="str">
        <f>IF(B193="","",IF(ISNA(VLOOKUP($B193,'E-1 Off-Site Hedge Baseline'!$B$1:$L$257,6,FALSE)),"",(VLOOKUP($B193,'E-1 Off-Site Hedge Baseline'!$B$1:$L$257,6,FALSE))))</f>
        <v/>
      </c>
      <c r="G193" s="301" t="str">
        <f>IF(B193="","",IF(ISNA(VLOOKUP($B193,'E-1 Off-Site Hedge Baseline'!$B$1:$L$257,7,FALSE)),"",(VLOOKUP($B193,'E-1 Off-Site Hedge Baseline'!$B$1:$L$257,7,FALSE))))</f>
        <v/>
      </c>
      <c r="H193" s="301" t="str">
        <f>IF(B193="","",IF(ISNA(VLOOKUP($B193,'E-1 Off-Site Hedge Baseline'!$B$1:$L$257,8,FALSE)),"",(VLOOKUP($B193,'E-1 Off-Site Hedge Baseline'!$B$1:$L$257,8,FALSE))))</f>
        <v/>
      </c>
      <c r="I193" s="301" t="str">
        <f>IF(B193="","",IF(ISNA(VLOOKUP($B193,'E-1 Off-Site Hedge Baseline'!$B$1:$L$257,10,FALSE)),"",(VLOOKUP($B193,'E-1 Off-Site Hedge Baseline'!$B$1:$L$257,10,FALSE))))</f>
        <v/>
      </c>
      <c r="J193" s="301" t="str">
        <f>IF(B193="","",IF(ISNA(VLOOKUP($B193,'E-1 Off-Site Hedge Baseline'!$B$1:$L$257,11,FALSE)),"",(VLOOKUP($B193,'E-1 Off-Site Hedge Baseline'!$B$1:$L$257,11,FALSE))))</f>
        <v/>
      </c>
      <c r="K193" s="301" t="str">
        <f>IF(B193="","",IF(ISNA(VLOOKUP($B193,'E-1 Off-Site Hedge Baseline'!$B$1:$X$257,16,FALSE)),"",(VLOOKUP($B193,'E-1 Off-Site Hedge Baseline'!$B$1:$X$257,16,FALSE))))</f>
        <v/>
      </c>
      <c r="L193" s="289" t="str">
        <f>IF(B193="","",IF(ISNA(VLOOKUP($B193,'E-1 Off-Site Hedge Baseline'!$B$1:$X$257,12,FALSE)),"",(VLOOKUP($B193,'E-1 Off-Site Hedge Baseline'!$B$1:$X$257,12,FALSE))))</f>
        <v/>
      </c>
      <c r="M193" s="250"/>
      <c r="N193" s="281" t="str">
        <f>IFERROR(IF(B193="","",INDEX('G-6 Hedgerow Data'!$AN$3:$AZ$15,MATCH(C193,'G-6 Hedgerow Data'!$AM$3:$AM$15,0),MATCH(M193,'G-6 Hedgerow Data'!$AN$2:$AZ$2,0))),"")</f>
        <v/>
      </c>
      <c r="O193" s="282" t="str">
        <f t="shared" si="17"/>
        <v/>
      </c>
      <c r="P193" s="287" t="str">
        <f>IF(B193="","",VLOOKUP(B193,'E-1 Off-Site Hedge Baseline'!$B$10:W438,19,FALSE))</f>
        <v/>
      </c>
      <c r="Q193" s="281" t="str">
        <f>IF(M193="","",VLOOKUP(M193,'G-6 Hedgerow Data'!$B$2:$AG$15,2,FALSE))</f>
        <v/>
      </c>
      <c r="R193" s="282" t="str">
        <f>IF(M193="","",VLOOKUP(M193,'G-6 Hedgerow Data'!$B$2:$AG$15,3,FALSE))</f>
        <v/>
      </c>
      <c r="S193" s="105"/>
      <c r="T193" s="282" t="str">
        <f>IFERROR(IF(S193="","",IF(AND(M193="Non-native and ornamental hedgerow", S193&lt;&gt;"Poor"),"Not possible ▲", (IF(AND(Q193="V.Low",OR(S193="Good",S193="Moderate")),"Error ▲",VLOOKUP(S193,'G-1 All Habitats'!$Z$2:$AA$9,2,FALSE))))),"")</f>
        <v/>
      </c>
      <c r="U193" s="105"/>
      <c r="V193" s="289" t="str">
        <f>IF(U193="","",IF(VLOOKUP(U193,'G-3 Multipliers'!$L$3:$N$6,2,FALSE)=0,"Spatial Data Missing ⚠",VLOOKUP(U193,'G-3 Multipliers'!$L$3:$N$6,2,FALSE)))</f>
        <v/>
      </c>
      <c r="W193" s="287" t="str">
        <f>IF(U193="","",IF(VLOOKUP(U193,'G-3 Multipliers'!$L$3:$N$6,3,FALSE)=0,"Spatial Data Missing ⚠",VLOOKUP(U193,'G-3 Multipliers'!$L$3:$N$6,3,FALSE)))</f>
        <v/>
      </c>
      <c r="X193" s="281" t="str">
        <f>IFERROR(IF(OR(LEFT(O193,5)="Error",LEFT(N193,5)="Error",T193="Error"),"Check Data ⚠",IF(F193&lt;R193,INDEX('G-6 Hedgerow Data'!$S$3:$AE$14,MATCH(C193,'G-6 Hedgerow Data'!$B$3:$B$14,0),MATCH(M193,'G-6 Hedgerow Data'!$S$2:$AE$2,0)),INDEX('G-6 Hedgerow Data'!$K$3:$Q$14,MATCH(M193,'G-6 Hedgerow Data'!$B$3:$B$14,0),MATCH(O193,'G-6 Hedgerow Data'!$K$2:$Q$2,0)))),"")</f>
        <v/>
      </c>
      <c r="Y193" s="137"/>
      <c r="Z193" s="137"/>
      <c r="AA193" s="289" t="str">
        <f t="shared" si="18"/>
        <v/>
      </c>
      <c r="AB193" s="302" t="str">
        <f t="shared" si="19"/>
        <v/>
      </c>
      <c r="AC193" s="303" t="str">
        <f t="shared" si="16"/>
        <v/>
      </c>
      <c r="AD193" s="317" t="str">
        <f>IF(M193="","",VLOOKUP(M193,'G-6 Hedgerow Data'!$B$3:$AG$15,31,FALSE))</f>
        <v/>
      </c>
      <c r="AE193" s="301" t="str">
        <f t="shared" si="20"/>
        <v/>
      </c>
      <c r="AF193" s="289" t="str">
        <f t="shared" si="21"/>
        <v/>
      </c>
      <c r="AG193" s="305" t="str">
        <f>IFERROR(IF(O193="","",VLOOKUP(AD193,'G-3 Multipliers'!$P$3:$Q$6,2,FALSE)),"")</f>
        <v/>
      </c>
      <c r="AH193" s="729" t="str">
        <f>IF(B193="","",IF(ISNA(VLOOKUP($B193,'E-1 Off-Site Hedge Baseline'!$B$1:$Z$257,14,FALSE)),"",(VLOOKUP($B193,'E-1 Off-Site Hedge Baseline'!$B$1:$Z$257,14,FALSE))))</f>
        <v/>
      </c>
      <c r="AI193" s="282" t="str">
        <f>IF(AH193="","",IF(VLOOKUP(AH193,'G-3 Multipliers'!$S$3:$T$10,2,FALSE)=0,"Spatial Data Missing ⚠",VLOOKUP(AH193,'G-3 Multipliers'!$S$3:$T$10,2,FALSE)))</f>
        <v/>
      </c>
      <c r="AJ193" s="323" t="str">
        <f t="shared" si="22"/>
        <v/>
      </c>
      <c r="AK193" s="295" t="str">
        <f t="shared" si="23"/>
        <v/>
      </c>
      <c r="AL193" s="105"/>
      <c r="AM193" s="119"/>
      <c r="AN193" s="108"/>
      <c r="AO193" s="108"/>
      <c r="AQ193" s="30" t="str">
        <f>IFERROR(INDEX('G-6 Hedgerow Data'!$BJ$3:$BJ$15,MATCH(M193,'G-6 Hedgerow Data'!$B$3:$B$15,0)),"")</f>
        <v/>
      </c>
    </row>
    <row r="194" spans="2:43" ht="13.8" x14ac:dyDescent="0.25">
      <c r="B194" s="311" t="str">
        <f>'E-1 Off-Site Hedge Baseline'!AN192</f>
        <v/>
      </c>
      <c r="C194" s="301" t="str">
        <f>IF(B194="","",IF(ISNA(VLOOKUP($B194,'E-1 Off-Site Hedge Baseline'!$B$1:$L$257,3,FALSE)),"",(VLOOKUP($B194,'E-1 Off-Site Hedge Baseline'!$B$1:$L$257,3,FALSE))))</f>
        <v/>
      </c>
      <c r="D194" s="301" t="str">
        <f>IF(B194="","",IF(ISNA(VLOOKUP($B194,'E-1 Off-Site Hedge Baseline'!$B$1:$L$258,4,FALSE)),"",(VLOOKUP($B194,'E-1 Off-Site Hedge Baseline'!$B$1:$L$258,4,FALSE))))</f>
        <v/>
      </c>
      <c r="E194" s="301" t="str">
        <f>IF(B194="","",IF(ISNA(VLOOKUP($B194,'E-1 Off-Site Hedge Baseline'!$B$1:$L$257,5,FALSE)),"",(VLOOKUP($B194,'E-1 Off-Site Hedge Baseline'!$B$1:$L$257,5,FALSE))))</f>
        <v/>
      </c>
      <c r="F194" s="301" t="str">
        <f>IF(B194="","",IF(ISNA(VLOOKUP($B194,'E-1 Off-Site Hedge Baseline'!$B$1:$L$257,6,FALSE)),"",(VLOOKUP($B194,'E-1 Off-Site Hedge Baseline'!$B$1:$L$257,6,FALSE))))</f>
        <v/>
      </c>
      <c r="G194" s="301" t="str">
        <f>IF(B194="","",IF(ISNA(VLOOKUP($B194,'E-1 Off-Site Hedge Baseline'!$B$1:$L$257,7,FALSE)),"",(VLOOKUP($B194,'E-1 Off-Site Hedge Baseline'!$B$1:$L$257,7,FALSE))))</f>
        <v/>
      </c>
      <c r="H194" s="301" t="str">
        <f>IF(B194="","",IF(ISNA(VLOOKUP($B194,'E-1 Off-Site Hedge Baseline'!$B$1:$L$257,8,FALSE)),"",(VLOOKUP($B194,'E-1 Off-Site Hedge Baseline'!$B$1:$L$257,8,FALSE))))</f>
        <v/>
      </c>
      <c r="I194" s="301" t="str">
        <f>IF(B194="","",IF(ISNA(VLOOKUP($B194,'E-1 Off-Site Hedge Baseline'!$B$1:$L$257,10,FALSE)),"",(VLOOKUP($B194,'E-1 Off-Site Hedge Baseline'!$B$1:$L$257,10,FALSE))))</f>
        <v/>
      </c>
      <c r="J194" s="301" t="str">
        <f>IF(B194="","",IF(ISNA(VLOOKUP($B194,'E-1 Off-Site Hedge Baseline'!$B$1:$L$257,11,FALSE)),"",(VLOOKUP($B194,'E-1 Off-Site Hedge Baseline'!$B$1:$L$257,11,FALSE))))</f>
        <v/>
      </c>
      <c r="K194" s="301" t="str">
        <f>IF(B194="","",IF(ISNA(VLOOKUP($B194,'E-1 Off-Site Hedge Baseline'!$B$1:$X$257,16,FALSE)),"",(VLOOKUP($B194,'E-1 Off-Site Hedge Baseline'!$B$1:$X$257,16,FALSE))))</f>
        <v/>
      </c>
      <c r="L194" s="289" t="str">
        <f>IF(B194="","",IF(ISNA(VLOOKUP($B194,'E-1 Off-Site Hedge Baseline'!$B$1:$X$257,12,FALSE)),"",(VLOOKUP($B194,'E-1 Off-Site Hedge Baseline'!$B$1:$X$257,12,FALSE))))</f>
        <v/>
      </c>
      <c r="M194" s="250"/>
      <c r="N194" s="281" t="str">
        <f>IFERROR(IF(B194="","",INDEX('G-6 Hedgerow Data'!$AN$3:$AZ$15,MATCH(C194,'G-6 Hedgerow Data'!$AM$3:$AM$15,0),MATCH(M194,'G-6 Hedgerow Data'!$AN$2:$AZ$2,0))),"")</f>
        <v/>
      </c>
      <c r="O194" s="282" t="str">
        <f t="shared" si="17"/>
        <v/>
      </c>
      <c r="P194" s="287" t="str">
        <f>IF(B194="","",VLOOKUP(B194,'E-1 Off-Site Hedge Baseline'!$B$10:W439,19,FALSE))</f>
        <v/>
      </c>
      <c r="Q194" s="281" t="str">
        <f>IF(M194="","",VLOOKUP(M194,'G-6 Hedgerow Data'!$B$2:$AG$15,2,FALSE))</f>
        <v/>
      </c>
      <c r="R194" s="282" t="str">
        <f>IF(M194="","",VLOOKUP(M194,'G-6 Hedgerow Data'!$B$2:$AG$15,3,FALSE))</f>
        <v/>
      </c>
      <c r="S194" s="105"/>
      <c r="T194" s="282" t="str">
        <f>IFERROR(IF(S194="","",IF(AND(M194="Non-native and ornamental hedgerow", S194&lt;&gt;"Poor"),"Not possible ▲", (IF(AND(Q194="V.Low",OR(S194="Good",S194="Moderate")),"Error ▲",VLOOKUP(S194,'G-1 All Habitats'!$Z$2:$AA$9,2,FALSE))))),"")</f>
        <v/>
      </c>
      <c r="U194" s="105"/>
      <c r="V194" s="289" t="str">
        <f>IF(U194="","",IF(VLOOKUP(U194,'G-3 Multipliers'!$L$3:$N$6,2,FALSE)=0,"Spatial Data Missing ⚠",VLOOKUP(U194,'G-3 Multipliers'!$L$3:$N$6,2,FALSE)))</f>
        <v/>
      </c>
      <c r="W194" s="287" t="str">
        <f>IF(U194="","",IF(VLOOKUP(U194,'G-3 Multipliers'!$L$3:$N$6,3,FALSE)=0,"Spatial Data Missing ⚠",VLOOKUP(U194,'G-3 Multipliers'!$L$3:$N$6,3,FALSE)))</f>
        <v/>
      </c>
      <c r="X194" s="281" t="str">
        <f>IFERROR(IF(OR(LEFT(O194,5)="Error",LEFT(N194,5)="Error",T194="Error"),"Check Data ⚠",IF(F194&lt;R194,INDEX('G-6 Hedgerow Data'!$S$3:$AE$14,MATCH(C194,'G-6 Hedgerow Data'!$B$3:$B$14,0),MATCH(M194,'G-6 Hedgerow Data'!$S$2:$AE$2,0)),INDEX('G-6 Hedgerow Data'!$K$3:$Q$14,MATCH(M194,'G-6 Hedgerow Data'!$B$3:$B$14,0),MATCH(O194,'G-6 Hedgerow Data'!$K$2:$Q$2,0)))),"")</f>
        <v/>
      </c>
      <c r="Y194" s="137"/>
      <c r="Z194" s="137"/>
      <c r="AA194" s="289" t="str">
        <f t="shared" si="18"/>
        <v/>
      </c>
      <c r="AB194" s="302" t="str">
        <f t="shared" si="19"/>
        <v/>
      </c>
      <c r="AC194" s="303" t="str">
        <f t="shared" si="16"/>
        <v/>
      </c>
      <c r="AD194" s="317" t="str">
        <f>IF(M194="","",VLOOKUP(M194,'G-6 Hedgerow Data'!$B$3:$AG$15,31,FALSE))</f>
        <v/>
      </c>
      <c r="AE194" s="301" t="str">
        <f t="shared" si="20"/>
        <v/>
      </c>
      <c r="AF194" s="289" t="str">
        <f t="shared" si="21"/>
        <v/>
      </c>
      <c r="AG194" s="305" t="str">
        <f>IFERROR(IF(O194="","",VLOOKUP(AD194,'G-3 Multipliers'!$P$3:$Q$6,2,FALSE)),"")</f>
        <v/>
      </c>
      <c r="AH194" s="729" t="str">
        <f>IF(B194="","",IF(ISNA(VLOOKUP($B194,'E-1 Off-Site Hedge Baseline'!$B$1:$Z$257,14,FALSE)),"",(VLOOKUP($B194,'E-1 Off-Site Hedge Baseline'!$B$1:$Z$257,14,FALSE))))</f>
        <v/>
      </c>
      <c r="AI194" s="282" t="str">
        <f>IF(AH194="","",IF(VLOOKUP(AH194,'G-3 Multipliers'!$S$3:$T$10,2,FALSE)=0,"Spatial Data Missing ⚠",VLOOKUP(AH194,'G-3 Multipliers'!$S$3:$T$10,2,FALSE)))</f>
        <v/>
      </c>
      <c r="AJ194" s="323" t="str">
        <f t="shared" si="22"/>
        <v/>
      </c>
      <c r="AK194" s="295" t="str">
        <f t="shared" si="23"/>
        <v/>
      </c>
      <c r="AL194" s="105"/>
      <c r="AM194" s="119"/>
      <c r="AN194" s="108"/>
      <c r="AO194" s="108"/>
      <c r="AQ194" s="30" t="str">
        <f>IFERROR(INDEX('G-6 Hedgerow Data'!$BJ$3:$BJ$15,MATCH(M194,'G-6 Hedgerow Data'!$B$3:$B$15,0)),"")</f>
        <v/>
      </c>
    </row>
    <row r="195" spans="2:43" ht="13.8" x14ac:dyDescent="0.25">
      <c r="B195" s="311" t="str">
        <f>'E-1 Off-Site Hedge Baseline'!AN193</f>
        <v/>
      </c>
      <c r="C195" s="301" t="str">
        <f>IF(B195="","",IF(ISNA(VLOOKUP($B195,'E-1 Off-Site Hedge Baseline'!$B$1:$L$257,3,FALSE)),"",(VLOOKUP($B195,'E-1 Off-Site Hedge Baseline'!$B$1:$L$257,3,FALSE))))</f>
        <v/>
      </c>
      <c r="D195" s="301" t="str">
        <f>IF(B195="","",IF(ISNA(VLOOKUP($B195,'E-1 Off-Site Hedge Baseline'!$B$1:$L$258,4,FALSE)),"",(VLOOKUP($B195,'E-1 Off-Site Hedge Baseline'!$B$1:$L$258,4,FALSE))))</f>
        <v/>
      </c>
      <c r="E195" s="301" t="str">
        <f>IF(B195="","",IF(ISNA(VLOOKUP($B195,'E-1 Off-Site Hedge Baseline'!$B$1:$L$257,5,FALSE)),"",(VLOOKUP($B195,'E-1 Off-Site Hedge Baseline'!$B$1:$L$257,5,FALSE))))</f>
        <v/>
      </c>
      <c r="F195" s="301" t="str">
        <f>IF(B195="","",IF(ISNA(VLOOKUP($B195,'E-1 Off-Site Hedge Baseline'!$B$1:$L$257,6,FALSE)),"",(VLOOKUP($B195,'E-1 Off-Site Hedge Baseline'!$B$1:$L$257,6,FALSE))))</f>
        <v/>
      </c>
      <c r="G195" s="301" t="str">
        <f>IF(B195="","",IF(ISNA(VLOOKUP($B195,'E-1 Off-Site Hedge Baseline'!$B$1:$L$257,7,FALSE)),"",(VLOOKUP($B195,'E-1 Off-Site Hedge Baseline'!$B$1:$L$257,7,FALSE))))</f>
        <v/>
      </c>
      <c r="H195" s="301" t="str">
        <f>IF(B195="","",IF(ISNA(VLOOKUP($B195,'E-1 Off-Site Hedge Baseline'!$B$1:$L$257,8,FALSE)),"",(VLOOKUP($B195,'E-1 Off-Site Hedge Baseline'!$B$1:$L$257,8,FALSE))))</f>
        <v/>
      </c>
      <c r="I195" s="301" t="str">
        <f>IF(B195="","",IF(ISNA(VLOOKUP($B195,'E-1 Off-Site Hedge Baseline'!$B$1:$L$257,10,FALSE)),"",(VLOOKUP($B195,'E-1 Off-Site Hedge Baseline'!$B$1:$L$257,10,FALSE))))</f>
        <v/>
      </c>
      <c r="J195" s="301" t="str">
        <f>IF(B195="","",IF(ISNA(VLOOKUP($B195,'E-1 Off-Site Hedge Baseline'!$B$1:$L$257,11,FALSE)),"",(VLOOKUP($B195,'E-1 Off-Site Hedge Baseline'!$B$1:$L$257,11,FALSE))))</f>
        <v/>
      </c>
      <c r="K195" s="301" t="str">
        <f>IF(B195="","",IF(ISNA(VLOOKUP($B195,'E-1 Off-Site Hedge Baseline'!$B$1:$X$257,16,FALSE)),"",(VLOOKUP($B195,'E-1 Off-Site Hedge Baseline'!$B$1:$X$257,16,FALSE))))</f>
        <v/>
      </c>
      <c r="L195" s="289" t="str">
        <f>IF(B195="","",IF(ISNA(VLOOKUP($B195,'E-1 Off-Site Hedge Baseline'!$B$1:$X$257,12,FALSE)),"",(VLOOKUP($B195,'E-1 Off-Site Hedge Baseline'!$B$1:$X$257,12,FALSE))))</f>
        <v/>
      </c>
      <c r="M195" s="250"/>
      <c r="N195" s="281" t="str">
        <f>IFERROR(IF(B195="","",INDEX('G-6 Hedgerow Data'!$AN$3:$AZ$15,MATCH(C195,'G-6 Hedgerow Data'!$AM$3:$AM$15,0),MATCH(M195,'G-6 Hedgerow Data'!$AN$2:$AZ$2,0))),"")</f>
        <v/>
      </c>
      <c r="O195" s="282" t="str">
        <f t="shared" si="17"/>
        <v/>
      </c>
      <c r="P195" s="287" t="str">
        <f>IF(B195="","",VLOOKUP(B195,'E-1 Off-Site Hedge Baseline'!$B$10:W440,19,FALSE))</f>
        <v/>
      </c>
      <c r="Q195" s="281" t="str">
        <f>IF(M195="","",VLOOKUP(M195,'G-6 Hedgerow Data'!$B$2:$AG$15,2,FALSE))</f>
        <v/>
      </c>
      <c r="R195" s="282" t="str">
        <f>IF(M195="","",VLOOKUP(M195,'G-6 Hedgerow Data'!$B$2:$AG$15,3,FALSE))</f>
        <v/>
      </c>
      <c r="S195" s="105"/>
      <c r="T195" s="282" t="str">
        <f>IFERROR(IF(S195="","",IF(AND(M195="Non-native and ornamental hedgerow", S195&lt;&gt;"Poor"),"Not possible ▲", (IF(AND(Q195="V.Low",OR(S195="Good",S195="Moderate")),"Error ▲",VLOOKUP(S195,'G-1 All Habitats'!$Z$2:$AA$9,2,FALSE))))),"")</f>
        <v/>
      </c>
      <c r="U195" s="105"/>
      <c r="V195" s="289" t="str">
        <f>IF(U195="","",IF(VLOOKUP(U195,'G-3 Multipliers'!$L$3:$N$6,2,FALSE)=0,"Spatial Data Missing ⚠",VLOOKUP(U195,'G-3 Multipliers'!$L$3:$N$6,2,FALSE)))</f>
        <v/>
      </c>
      <c r="W195" s="287" t="str">
        <f>IF(U195="","",IF(VLOOKUP(U195,'G-3 Multipliers'!$L$3:$N$6,3,FALSE)=0,"Spatial Data Missing ⚠",VLOOKUP(U195,'G-3 Multipliers'!$L$3:$N$6,3,FALSE)))</f>
        <v/>
      </c>
      <c r="X195" s="281" t="str">
        <f>IFERROR(IF(OR(LEFT(O195,5)="Error",LEFT(N195,5)="Error",T195="Error"),"Check Data ⚠",IF(F195&lt;R195,INDEX('G-6 Hedgerow Data'!$S$3:$AE$14,MATCH(C195,'G-6 Hedgerow Data'!$B$3:$B$14,0),MATCH(M195,'G-6 Hedgerow Data'!$S$2:$AE$2,0)),INDEX('G-6 Hedgerow Data'!$K$3:$Q$14,MATCH(M195,'G-6 Hedgerow Data'!$B$3:$B$14,0),MATCH(O195,'G-6 Hedgerow Data'!$K$2:$Q$2,0)))),"")</f>
        <v/>
      </c>
      <c r="Y195" s="137"/>
      <c r="Z195" s="137"/>
      <c r="AA195" s="289" t="str">
        <f t="shared" si="18"/>
        <v/>
      </c>
      <c r="AB195" s="302" t="str">
        <f t="shared" si="19"/>
        <v/>
      </c>
      <c r="AC195" s="303" t="str">
        <f t="shared" si="16"/>
        <v/>
      </c>
      <c r="AD195" s="317" t="str">
        <f>IF(M195="","",VLOOKUP(M195,'G-6 Hedgerow Data'!$B$3:$AG$15,31,FALSE))</f>
        <v/>
      </c>
      <c r="AE195" s="301" t="str">
        <f t="shared" si="20"/>
        <v/>
      </c>
      <c r="AF195" s="289" t="str">
        <f t="shared" si="21"/>
        <v/>
      </c>
      <c r="AG195" s="305" t="str">
        <f>IFERROR(IF(O195="","",VLOOKUP(AD195,'G-3 Multipliers'!$P$3:$Q$6,2,FALSE)),"")</f>
        <v/>
      </c>
      <c r="AH195" s="729" t="str">
        <f>IF(B195="","",IF(ISNA(VLOOKUP($B195,'E-1 Off-Site Hedge Baseline'!$B$1:$Z$257,14,FALSE)),"",(VLOOKUP($B195,'E-1 Off-Site Hedge Baseline'!$B$1:$Z$257,14,FALSE))))</f>
        <v/>
      </c>
      <c r="AI195" s="282" t="str">
        <f>IF(AH195="","",IF(VLOOKUP(AH195,'G-3 Multipliers'!$S$3:$T$10,2,FALSE)=0,"Spatial Data Missing ⚠",VLOOKUP(AH195,'G-3 Multipliers'!$S$3:$T$10,2,FALSE)))</f>
        <v/>
      </c>
      <c r="AJ195" s="323" t="str">
        <f t="shared" si="22"/>
        <v/>
      </c>
      <c r="AK195" s="295" t="str">
        <f t="shared" si="23"/>
        <v/>
      </c>
      <c r="AL195" s="105"/>
      <c r="AM195" s="119"/>
      <c r="AN195" s="108"/>
      <c r="AO195" s="108"/>
      <c r="AQ195" s="30" t="str">
        <f>IFERROR(INDEX('G-6 Hedgerow Data'!$BJ$3:$BJ$15,MATCH(M195,'G-6 Hedgerow Data'!$B$3:$B$15,0)),"")</f>
        <v/>
      </c>
    </row>
    <row r="196" spans="2:43" ht="13.8" x14ac:dyDescent="0.25">
      <c r="B196" s="311" t="str">
        <f>'E-1 Off-Site Hedge Baseline'!AN194</f>
        <v/>
      </c>
      <c r="C196" s="301" t="str">
        <f>IF(B196="","",IF(ISNA(VLOOKUP($B196,'E-1 Off-Site Hedge Baseline'!$B$1:$L$257,3,FALSE)),"",(VLOOKUP($B196,'E-1 Off-Site Hedge Baseline'!$B$1:$L$257,3,FALSE))))</f>
        <v/>
      </c>
      <c r="D196" s="301" t="str">
        <f>IF(B196="","",IF(ISNA(VLOOKUP($B196,'E-1 Off-Site Hedge Baseline'!$B$1:$L$258,4,FALSE)),"",(VLOOKUP($B196,'E-1 Off-Site Hedge Baseline'!$B$1:$L$258,4,FALSE))))</f>
        <v/>
      </c>
      <c r="E196" s="301" t="str">
        <f>IF(B196="","",IF(ISNA(VLOOKUP($B196,'E-1 Off-Site Hedge Baseline'!$B$1:$L$257,5,FALSE)),"",(VLOOKUP($B196,'E-1 Off-Site Hedge Baseline'!$B$1:$L$257,5,FALSE))))</f>
        <v/>
      </c>
      <c r="F196" s="301" t="str">
        <f>IF(B196="","",IF(ISNA(VLOOKUP($B196,'E-1 Off-Site Hedge Baseline'!$B$1:$L$257,6,FALSE)),"",(VLOOKUP($B196,'E-1 Off-Site Hedge Baseline'!$B$1:$L$257,6,FALSE))))</f>
        <v/>
      </c>
      <c r="G196" s="301" t="str">
        <f>IF(B196="","",IF(ISNA(VLOOKUP($B196,'E-1 Off-Site Hedge Baseline'!$B$1:$L$257,7,FALSE)),"",(VLOOKUP($B196,'E-1 Off-Site Hedge Baseline'!$B$1:$L$257,7,FALSE))))</f>
        <v/>
      </c>
      <c r="H196" s="301" t="str">
        <f>IF(B196="","",IF(ISNA(VLOOKUP($B196,'E-1 Off-Site Hedge Baseline'!$B$1:$L$257,8,FALSE)),"",(VLOOKUP($B196,'E-1 Off-Site Hedge Baseline'!$B$1:$L$257,8,FALSE))))</f>
        <v/>
      </c>
      <c r="I196" s="301" t="str">
        <f>IF(B196="","",IF(ISNA(VLOOKUP($B196,'E-1 Off-Site Hedge Baseline'!$B$1:$L$257,10,FALSE)),"",(VLOOKUP($B196,'E-1 Off-Site Hedge Baseline'!$B$1:$L$257,10,FALSE))))</f>
        <v/>
      </c>
      <c r="J196" s="301" t="str">
        <f>IF(B196="","",IF(ISNA(VLOOKUP($B196,'E-1 Off-Site Hedge Baseline'!$B$1:$L$257,11,FALSE)),"",(VLOOKUP($B196,'E-1 Off-Site Hedge Baseline'!$B$1:$L$257,11,FALSE))))</f>
        <v/>
      </c>
      <c r="K196" s="301" t="str">
        <f>IF(B196="","",IF(ISNA(VLOOKUP($B196,'E-1 Off-Site Hedge Baseline'!$B$1:$X$257,16,FALSE)),"",(VLOOKUP($B196,'E-1 Off-Site Hedge Baseline'!$B$1:$X$257,16,FALSE))))</f>
        <v/>
      </c>
      <c r="L196" s="289" t="str">
        <f>IF(B196="","",IF(ISNA(VLOOKUP($B196,'E-1 Off-Site Hedge Baseline'!$B$1:$X$257,12,FALSE)),"",(VLOOKUP($B196,'E-1 Off-Site Hedge Baseline'!$B$1:$X$257,12,FALSE))))</f>
        <v/>
      </c>
      <c r="M196" s="250"/>
      <c r="N196" s="281" t="str">
        <f>IFERROR(IF(B196="","",INDEX('G-6 Hedgerow Data'!$AN$3:$AZ$15,MATCH(C196,'G-6 Hedgerow Data'!$AM$3:$AM$15,0),MATCH(M196,'G-6 Hedgerow Data'!$AN$2:$AZ$2,0))),"")</f>
        <v/>
      </c>
      <c r="O196" s="282" t="str">
        <f t="shared" si="17"/>
        <v/>
      </c>
      <c r="P196" s="287" t="str">
        <f>IF(B196="","",VLOOKUP(B196,'E-1 Off-Site Hedge Baseline'!$B$10:W441,19,FALSE))</f>
        <v/>
      </c>
      <c r="Q196" s="281" t="str">
        <f>IF(M196="","",VLOOKUP(M196,'G-6 Hedgerow Data'!$B$2:$AG$15,2,FALSE))</f>
        <v/>
      </c>
      <c r="R196" s="282" t="str">
        <f>IF(M196="","",VLOOKUP(M196,'G-6 Hedgerow Data'!$B$2:$AG$15,3,FALSE))</f>
        <v/>
      </c>
      <c r="S196" s="105"/>
      <c r="T196" s="282" t="str">
        <f>IFERROR(IF(S196="","",IF(AND(M196="Non-native and ornamental hedgerow", S196&lt;&gt;"Poor"),"Not possible ▲", (IF(AND(Q196="V.Low",OR(S196="Good",S196="Moderate")),"Error ▲",VLOOKUP(S196,'G-1 All Habitats'!$Z$2:$AA$9,2,FALSE))))),"")</f>
        <v/>
      </c>
      <c r="U196" s="105"/>
      <c r="V196" s="289" t="str">
        <f>IF(U196="","",IF(VLOOKUP(U196,'G-3 Multipliers'!$L$3:$N$6,2,FALSE)=0,"Spatial Data Missing ⚠",VLOOKUP(U196,'G-3 Multipliers'!$L$3:$N$6,2,FALSE)))</f>
        <v/>
      </c>
      <c r="W196" s="287" t="str">
        <f>IF(U196="","",IF(VLOOKUP(U196,'G-3 Multipliers'!$L$3:$N$6,3,FALSE)=0,"Spatial Data Missing ⚠",VLOOKUP(U196,'G-3 Multipliers'!$L$3:$N$6,3,FALSE)))</f>
        <v/>
      </c>
      <c r="X196" s="281" t="str">
        <f>IFERROR(IF(OR(LEFT(O196,5)="Error",LEFT(N196,5)="Error",T196="Error"),"Check Data ⚠",IF(F196&lt;R196,INDEX('G-6 Hedgerow Data'!$S$3:$AE$14,MATCH(C196,'G-6 Hedgerow Data'!$B$3:$B$14,0),MATCH(M196,'G-6 Hedgerow Data'!$S$2:$AE$2,0)),INDEX('G-6 Hedgerow Data'!$K$3:$Q$14,MATCH(M196,'G-6 Hedgerow Data'!$B$3:$B$14,0),MATCH(O196,'G-6 Hedgerow Data'!$K$2:$Q$2,0)))),"")</f>
        <v/>
      </c>
      <c r="Y196" s="137"/>
      <c r="Z196" s="137"/>
      <c r="AA196" s="289" t="str">
        <f t="shared" si="18"/>
        <v/>
      </c>
      <c r="AB196" s="302" t="str">
        <f t="shared" si="19"/>
        <v/>
      </c>
      <c r="AC196" s="303" t="str">
        <f t="shared" si="16"/>
        <v/>
      </c>
      <c r="AD196" s="317" t="str">
        <f>IF(M196="","",VLOOKUP(M196,'G-6 Hedgerow Data'!$B$3:$AG$15,31,FALSE))</f>
        <v/>
      </c>
      <c r="AE196" s="301" t="str">
        <f t="shared" si="20"/>
        <v/>
      </c>
      <c r="AF196" s="289" t="str">
        <f t="shared" si="21"/>
        <v/>
      </c>
      <c r="AG196" s="305" t="str">
        <f>IFERROR(IF(O196="","",VLOOKUP(AD196,'G-3 Multipliers'!$P$3:$Q$6,2,FALSE)),"")</f>
        <v/>
      </c>
      <c r="AH196" s="729" t="str">
        <f>IF(B196="","",IF(ISNA(VLOOKUP($B196,'E-1 Off-Site Hedge Baseline'!$B$1:$Z$257,14,FALSE)),"",(VLOOKUP($B196,'E-1 Off-Site Hedge Baseline'!$B$1:$Z$257,14,FALSE))))</f>
        <v/>
      </c>
      <c r="AI196" s="282" t="str">
        <f>IF(AH196="","",IF(VLOOKUP(AH196,'G-3 Multipliers'!$S$3:$T$10,2,FALSE)=0,"Spatial Data Missing ⚠",VLOOKUP(AH196,'G-3 Multipliers'!$S$3:$T$10,2,FALSE)))</f>
        <v/>
      </c>
      <c r="AJ196" s="323" t="str">
        <f t="shared" si="22"/>
        <v/>
      </c>
      <c r="AK196" s="295" t="str">
        <f t="shared" si="23"/>
        <v/>
      </c>
      <c r="AL196" s="105"/>
      <c r="AM196" s="119"/>
      <c r="AN196" s="108"/>
      <c r="AO196" s="108"/>
      <c r="AQ196" s="30" t="str">
        <f>IFERROR(INDEX('G-6 Hedgerow Data'!$BJ$3:$BJ$15,MATCH(M196,'G-6 Hedgerow Data'!$B$3:$B$15,0)),"")</f>
        <v/>
      </c>
    </row>
    <row r="197" spans="2:43" ht="13.8" x14ac:dyDescent="0.25">
      <c r="B197" s="311" t="str">
        <f>'E-1 Off-Site Hedge Baseline'!AN195</f>
        <v/>
      </c>
      <c r="C197" s="301" t="str">
        <f>IF(B197="","",IF(ISNA(VLOOKUP($B197,'E-1 Off-Site Hedge Baseline'!$B$1:$L$257,3,FALSE)),"",(VLOOKUP($B197,'E-1 Off-Site Hedge Baseline'!$B$1:$L$257,3,FALSE))))</f>
        <v/>
      </c>
      <c r="D197" s="301" t="str">
        <f>IF(B197="","",IF(ISNA(VLOOKUP($B197,'E-1 Off-Site Hedge Baseline'!$B$1:$L$258,4,FALSE)),"",(VLOOKUP($B197,'E-1 Off-Site Hedge Baseline'!$B$1:$L$258,4,FALSE))))</f>
        <v/>
      </c>
      <c r="E197" s="301" t="str">
        <f>IF(B197="","",IF(ISNA(VLOOKUP($B197,'E-1 Off-Site Hedge Baseline'!$B$1:$L$257,5,FALSE)),"",(VLOOKUP($B197,'E-1 Off-Site Hedge Baseline'!$B$1:$L$257,5,FALSE))))</f>
        <v/>
      </c>
      <c r="F197" s="301" t="str">
        <f>IF(B197="","",IF(ISNA(VLOOKUP($B197,'E-1 Off-Site Hedge Baseline'!$B$1:$L$257,6,FALSE)),"",(VLOOKUP($B197,'E-1 Off-Site Hedge Baseline'!$B$1:$L$257,6,FALSE))))</f>
        <v/>
      </c>
      <c r="G197" s="301" t="str">
        <f>IF(B197="","",IF(ISNA(VLOOKUP($B197,'E-1 Off-Site Hedge Baseline'!$B$1:$L$257,7,FALSE)),"",(VLOOKUP($B197,'E-1 Off-Site Hedge Baseline'!$B$1:$L$257,7,FALSE))))</f>
        <v/>
      </c>
      <c r="H197" s="301" t="str">
        <f>IF(B197="","",IF(ISNA(VLOOKUP($B197,'E-1 Off-Site Hedge Baseline'!$B$1:$L$257,8,FALSE)),"",(VLOOKUP($B197,'E-1 Off-Site Hedge Baseline'!$B$1:$L$257,8,FALSE))))</f>
        <v/>
      </c>
      <c r="I197" s="301" t="str">
        <f>IF(B197="","",IF(ISNA(VLOOKUP($B197,'E-1 Off-Site Hedge Baseline'!$B$1:$L$257,10,FALSE)),"",(VLOOKUP($B197,'E-1 Off-Site Hedge Baseline'!$B$1:$L$257,10,FALSE))))</f>
        <v/>
      </c>
      <c r="J197" s="301" t="str">
        <f>IF(B197="","",IF(ISNA(VLOOKUP($B197,'E-1 Off-Site Hedge Baseline'!$B$1:$L$257,11,FALSE)),"",(VLOOKUP($B197,'E-1 Off-Site Hedge Baseline'!$B$1:$L$257,11,FALSE))))</f>
        <v/>
      </c>
      <c r="K197" s="301" t="str">
        <f>IF(B197="","",IF(ISNA(VLOOKUP($B197,'E-1 Off-Site Hedge Baseline'!$B$1:$X$257,16,FALSE)),"",(VLOOKUP($B197,'E-1 Off-Site Hedge Baseline'!$B$1:$X$257,16,FALSE))))</f>
        <v/>
      </c>
      <c r="L197" s="289" t="str">
        <f>IF(B197="","",IF(ISNA(VLOOKUP($B197,'E-1 Off-Site Hedge Baseline'!$B$1:$X$257,12,FALSE)),"",(VLOOKUP($B197,'E-1 Off-Site Hedge Baseline'!$B$1:$X$257,12,FALSE))))</f>
        <v/>
      </c>
      <c r="M197" s="250"/>
      <c r="N197" s="281" t="str">
        <f>IFERROR(IF(B197="","",INDEX('G-6 Hedgerow Data'!$AN$3:$AZ$15,MATCH(C197,'G-6 Hedgerow Data'!$AM$3:$AM$15,0),MATCH(M197,'G-6 Hedgerow Data'!$AN$2:$AZ$2,0))),"")</f>
        <v/>
      </c>
      <c r="O197" s="282" t="str">
        <f t="shared" si="17"/>
        <v/>
      </c>
      <c r="P197" s="287" t="str">
        <f>IF(B197="","",VLOOKUP(B197,'E-1 Off-Site Hedge Baseline'!$B$10:W442,19,FALSE))</f>
        <v/>
      </c>
      <c r="Q197" s="281" t="str">
        <f>IF(M197="","",VLOOKUP(M197,'G-6 Hedgerow Data'!$B$2:$AG$15,2,FALSE))</f>
        <v/>
      </c>
      <c r="R197" s="282" t="str">
        <f>IF(M197="","",VLOOKUP(M197,'G-6 Hedgerow Data'!$B$2:$AG$15,3,FALSE))</f>
        <v/>
      </c>
      <c r="S197" s="105"/>
      <c r="T197" s="282" t="str">
        <f>IFERROR(IF(S197="","",IF(AND(M197="Non-native and ornamental hedgerow", S197&lt;&gt;"Poor"),"Not possible ▲", (IF(AND(Q197="V.Low",OR(S197="Good",S197="Moderate")),"Error ▲",VLOOKUP(S197,'G-1 All Habitats'!$Z$2:$AA$9,2,FALSE))))),"")</f>
        <v/>
      </c>
      <c r="U197" s="105"/>
      <c r="V197" s="289" t="str">
        <f>IF(U197="","",IF(VLOOKUP(U197,'G-3 Multipliers'!$L$3:$N$6,2,FALSE)=0,"Spatial Data Missing ⚠",VLOOKUP(U197,'G-3 Multipliers'!$L$3:$N$6,2,FALSE)))</f>
        <v/>
      </c>
      <c r="W197" s="287" t="str">
        <f>IF(U197="","",IF(VLOOKUP(U197,'G-3 Multipliers'!$L$3:$N$6,3,FALSE)=0,"Spatial Data Missing ⚠",VLOOKUP(U197,'G-3 Multipliers'!$L$3:$N$6,3,FALSE)))</f>
        <v/>
      </c>
      <c r="X197" s="281" t="str">
        <f>IFERROR(IF(OR(LEFT(O197,5)="Error",LEFT(N197,5)="Error",T197="Error"),"Check Data ⚠",IF(F197&lt;R197,INDEX('G-6 Hedgerow Data'!$S$3:$AE$14,MATCH(C197,'G-6 Hedgerow Data'!$B$3:$B$14,0),MATCH(M197,'G-6 Hedgerow Data'!$S$2:$AE$2,0)),INDEX('G-6 Hedgerow Data'!$K$3:$Q$14,MATCH(M197,'G-6 Hedgerow Data'!$B$3:$B$14,0),MATCH(O197,'G-6 Hedgerow Data'!$K$2:$Q$2,0)))),"")</f>
        <v/>
      </c>
      <c r="Y197" s="137"/>
      <c r="Z197" s="137"/>
      <c r="AA197" s="289" t="str">
        <f t="shared" si="18"/>
        <v/>
      </c>
      <c r="AB197" s="302" t="str">
        <f t="shared" si="19"/>
        <v/>
      </c>
      <c r="AC197" s="303" t="str">
        <f t="shared" si="16"/>
        <v/>
      </c>
      <c r="AD197" s="317" t="str">
        <f>IF(M197="","",VLOOKUP(M197,'G-6 Hedgerow Data'!$B$3:$AG$15,31,FALSE))</f>
        <v/>
      </c>
      <c r="AE197" s="301" t="str">
        <f t="shared" si="20"/>
        <v/>
      </c>
      <c r="AF197" s="289" t="str">
        <f t="shared" si="21"/>
        <v/>
      </c>
      <c r="AG197" s="305" t="str">
        <f>IFERROR(IF(O197="","",VLOOKUP(AD197,'G-3 Multipliers'!$P$3:$Q$6,2,FALSE)),"")</f>
        <v/>
      </c>
      <c r="AH197" s="729" t="str">
        <f>IF(B197="","",IF(ISNA(VLOOKUP($B197,'E-1 Off-Site Hedge Baseline'!$B$1:$Z$257,14,FALSE)),"",(VLOOKUP($B197,'E-1 Off-Site Hedge Baseline'!$B$1:$Z$257,14,FALSE))))</f>
        <v/>
      </c>
      <c r="AI197" s="282" t="str">
        <f>IF(AH197="","",IF(VLOOKUP(AH197,'G-3 Multipliers'!$S$3:$T$10,2,FALSE)=0,"Spatial Data Missing ⚠",VLOOKUP(AH197,'G-3 Multipliers'!$S$3:$T$10,2,FALSE)))</f>
        <v/>
      </c>
      <c r="AJ197" s="323" t="str">
        <f t="shared" si="22"/>
        <v/>
      </c>
      <c r="AK197" s="295" t="str">
        <f t="shared" si="23"/>
        <v/>
      </c>
      <c r="AL197" s="105"/>
      <c r="AM197" s="119"/>
      <c r="AN197" s="108"/>
      <c r="AO197" s="108"/>
      <c r="AQ197" s="30" t="str">
        <f>IFERROR(INDEX('G-6 Hedgerow Data'!$BJ$3:$BJ$15,MATCH(M197,'G-6 Hedgerow Data'!$B$3:$B$15,0)),"")</f>
        <v/>
      </c>
    </row>
    <row r="198" spans="2:43" ht="13.8" x14ac:dyDescent="0.25">
      <c r="B198" s="311" t="str">
        <f>'E-1 Off-Site Hedge Baseline'!AN196</f>
        <v/>
      </c>
      <c r="C198" s="301" t="str">
        <f>IF(B198="","",IF(ISNA(VLOOKUP($B198,'E-1 Off-Site Hedge Baseline'!$B$1:$L$257,3,FALSE)),"",(VLOOKUP($B198,'E-1 Off-Site Hedge Baseline'!$B$1:$L$257,3,FALSE))))</f>
        <v/>
      </c>
      <c r="D198" s="301" t="str">
        <f>IF(B198="","",IF(ISNA(VLOOKUP($B198,'E-1 Off-Site Hedge Baseline'!$B$1:$L$258,4,FALSE)),"",(VLOOKUP($B198,'E-1 Off-Site Hedge Baseline'!$B$1:$L$258,4,FALSE))))</f>
        <v/>
      </c>
      <c r="E198" s="301" t="str">
        <f>IF(B198="","",IF(ISNA(VLOOKUP($B198,'E-1 Off-Site Hedge Baseline'!$B$1:$L$257,5,FALSE)),"",(VLOOKUP($B198,'E-1 Off-Site Hedge Baseline'!$B$1:$L$257,5,FALSE))))</f>
        <v/>
      </c>
      <c r="F198" s="301" t="str">
        <f>IF(B198="","",IF(ISNA(VLOOKUP($B198,'E-1 Off-Site Hedge Baseline'!$B$1:$L$257,6,FALSE)),"",(VLOOKUP($B198,'E-1 Off-Site Hedge Baseline'!$B$1:$L$257,6,FALSE))))</f>
        <v/>
      </c>
      <c r="G198" s="301" t="str">
        <f>IF(B198="","",IF(ISNA(VLOOKUP($B198,'E-1 Off-Site Hedge Baseline'!$B$1:$L$257,7,FALSE)),"",(VLOOKUP($B198,'E-1 Off-Site Hedge Baseline'!$B$1:$L$257,7,FALSE))))</f>
        <v/>
      </c>
      <c r="H198" s="301" t="str">
        <f>IF(B198="","",IF(ISNA(VLOOKUP($B198,'E-1 Off-Site Hedge Baseline'!$B$1:$L$257,8,FALSE)),"",(VLOOKUP($B198,'E-1 Off-Site Hedge Baseline'!$B$1:$L$257,8,FALSE))))</f>
        <v/>
      </c>
      <c r="I198" s="301" t="str">
        <f>IF(B198="","",IF(ISNA(VLOOKUP($B198,'E-1 Off-Site Hedge Baseline'!$B$1:$L$257,10,FALSE)),"",(VLOOKUP($B198,'E-1 Off-Site Hedge Baseline'!$B$1:$L$257,10,FALSE))))</f>
        <v/>
      </c>
      <c r="J198" s="301" t="str">
        <f>IF(B198="","",IF(ISNA(VLOOKUP($B198,'E-1 Off-Site Hedge Baseline'!$B$1:$L$257,11,FALSE)),"",(VLOOKUP($B198,'E-1 Off-Site Hedge Baseline'!$B$1:$L$257,11,FALSE))))</f>
        <v/>
      </c>
      <c r="K198" s="301" t="str">
        <f>IF(B198="","",IF(ISNA(VLOOKUP($B198,'E-1 Off-Site Hedge Baseline'!$B$1:$X$257,16,FALSE)),"",(VLOOKUP($B198,'E-1 Off-Site Hedge Baseline'!$B$1:$X$257,16,FALSE))))</f>
        <v/>
      </c>
      <c r="L198" s="289" t="str">
        <f>IF(B198="","",IF(ISNA(VLOOKUP($B198,'E-1 Off-Site Hedge Baseline'!$B$1:$X$257,12,FALSE)),"",(VLOOKUP($B198,'E-1 Off-Site Hedge Baseline'!$B$1:$X$257,12,FALSE))))</f>
        <v/>
      </c>
      <c r="M198" s="250"/>
      <c r="N198" s="281" t="str">
        <f>IFERROR(IF(B198="","",INDEX('G-6 Hedgerow Data'!$AN$3:$AZ$15,MATCH(C198,'G-6 Hedgerow Data'!$AM$3:$AM$15,0),MATCH(M198,'G-6 Hedgerow Data'!$AN$2:$AZ$2,0))),"")</f>
        <v/>
      </c>
      <c r="O198" s="282" t="str">
        <f t="shared" si="17"/>
        <v/>
      </c>
      <c r="P198" s="287" t="str">
        <f>IF(B198="","",VLOOKUP(B198,'E-1 Off-Site Hedge Baseline'!$B$10:W443,19,FALSE))</f>
        <v/>
      </c>
      <c r="Q198" s="281" t="str">
        <f>IF(M198="","",VLOOKUP(M198,'G-6 Hedgerow Data'!$B$2:$AG$15,2,FALSE))</f>
        <v/>
      </c>
      <c r="R198" s="282" t="str">
        <f>IF(M198="","",VLOOKUP(M198,'G-6 Hedgerow Data'!$B$2:$AG$15,3,FALSE))</f>
        <v/>
      </c>
      <c r="S198" s="105"/>
      <c r="T198" s="282" t="str">
        <f>IFERROR(IF(S198="","",IF(AND(M198="Non-native and ornamental hedgerow", S198&lt;&gt;"Poor"),"Not possible ▲", (IF(AND(Q198="V.Low",OR(S198="Good",S198="Moderate")),"Error ▲",VLOOKUP(S198,'G-1 All Habitats'!$Z$2:$AA$9,2,FALSE))))),"")</f>
        <v/>
      </c>
      <c r="U198" s="105"/>
      <c r="V198" s="289" t="str">
        <f>IF(U198="","",IF(VLOOKUP(U198,'G-3 Multipliers'!$L$3:$N$6,2,FALSE)=0,"Spatial Data Missing ⚠",VLOOKUP(U198,'G-3 Multipliers'!$L$3:$N$6,2,FALSE)))</f>
        <v/>
      </c>
      <c r="W198" s="287" t="str">
        <f>IF(U198="","",IF(VLOOKUP(U198,'G-3 Multipliers'!$L$3:$N$6,3,FALSE)=0,"Spatial Data Missing ⚠",VLOOKUP(U198,'G-3 Multipliers'!$L$3:$N$6,3,FALSE)))</f>
        <v/>
      </c>
      <c r="X198" s="281" t="str">
        <f>IFERROR(IF(OR(LEFT(O198,5)="Error",LEFT(N198,5)="Error",T198="Error"),"Check Data ⚠",IF(F198&lt;R198,INDEX('G-6 Hedgerow Data'!$S$3:$AE$14,MATCH(C198,'G-6 Hedgerow Data'!$B$3:$B$14,0),MATCH(M198,'G-6 Hedgerow Data'!$S$2:$AE$2,0)),INDEX('G-6 Hedgerow Data'!$K$3:$Q$14,MATCH(M198,'G-6 Hedgerow Data'!$B$3:$B$14,0),MATCH(O198,'G-6 Hedgerow Data'!$K$2:$Q$2,0)))),"")</f>
        <v/>
      </c>
      <c r="Y198" s="137"/>
      <c r="Z198" s="137"/>
      <c r="AA198" s="289" t="str">
        <f t="shared" si="18"/>
        <v/>
      </c>
      <c r="AB198" s="302" t="str">
        <f t="shared" si="19"/>
        <v/>
      </c>
      <c r="AC198" s="303" t="str">
        <f t="shared" si="16"/>
        <v/>
      </c>
      <c r="AD198" s="317" t="str">
        <f>IF(M198="","",VLOOKUP(M198,'G-6 Hedgerow Data'!$B$3:$AG$15,31,FALSE))</f>
        <v/>
      </c>
      <c r="AE198" s="301" t="str">
        <f t="shared" si="20"/>
        <v/>
      </c>
      <c r="AF198" s="289" t="str">
        <f t="shared" si="21"/>
        <v/>
      </c>
      <c r="AG198" s="305" t="str">
        <f>IFERROR(IF(O198="","",VLOOKUP(AD198,'G-3 Multipliers'!$P$3:$Q$6,2,FALSE)),"")</f>
        <v/>
      </c>
      <c r="AH198" s="729" t="str">
        <f>IF(B198="","",IF(ISNA(VLOOKUP($B198,'E-1 Off-Site Hedge Baseline'!$B$1:$Z$257,14,FALSE)),"",(VLOOKUP($B198,'E-1 Off-Site Hedge Baseline'!$B$1:$Z$257,14,FALSE))))</f>
        <v/>
      </c>
      <c r="AI198" s="282" t="str">
        <f>IF(AH198="","",IF(VLOOKUP(AH198,'G-3 Multipliers'!$S$3:$T$10,2,FALSE)=0,"Spatial Data Missing ⚠",VLOOKUP(AH198,'G-3 Multipliers'!$S$3:$T$10,2,FALSE)))</f>
        <v/>
      </c>
      <c r="AJ198" s="323" t="str">
        <f t="shared" si="22"/>
        <v/>
      </c>
      <c r="AK198" s="295" t="str">
        <f t="shared" si="23"/>
        <v/>
      </c>
      <c r="AL198" s="105"/>
      <c r="AM198" s="119"/>
      <c r="AN198" s="108"/>
      <c r="AO198" s="108"/>
      <c r="AQ198" s="30" t="str">
        <f>IFERROR(INDEX('G-6 Hedgerow Data'!$BJ$3:$BJ$15,MATCH(M198,'G-6 Hedgerow Data'!$B$3:$B$15,0)),"")</f>
        <v/>
      </c>
    </row>
    <row r="199" spans="2:43" ht="13.8" x14ac:dyDescent="0.25">
      <c r="B199" s="311" t="str">
        <f>'E-1 Off-Site Hedge Baseline'!AN197</f>
        <v/>
      </c>
      <c r="C199" s="301" t="str">
        <f>IF(B199="","",IF(ISNA(VLOOKUP($B199,'E-1 Off-Site Hedge Baseline'!$B$1:$L$257,3,FALSE)),"",(VLOOKUP($B199,'E-1 Off-Site Hedge Baseline'!$B$1:$L$257,3,FALSE))))</f>
        <v/>
      </c>
      <c r="D199" s="301" t="str">
        <f>IF(B199="","",IF(ISNA(VLOOKUP($B199,'E-1 Off-Site Hedge Baseline'!$B$1:$L$258,4,FALSE)),"",(VLOOKUP($B199,'E-1 Off-Site Hedge Baseline'!$B$1:$L$258,4,FALSE))))</f>
        <v/>
      </c>
      <c r="E199" s="301" t="str">
        <f>IF(B199="","",IF(ISNA(VLOOKUP($B199,'E-1 Off-Site Hedge Baseline'!$B$1:$L$257,5,FALSE)),"",(VLOOKUP($B199,'E-1 Off-Site Hedge Baseline'!$B$1:$L$257,5,FALSE))))</f>
        <v/>
      </c>
      <c r="F199" s="301" t="str">
        <f>IF(B199="","",IF(ISNA(VLOOKUP($B199,'E-1 Off-Site Hedge Baseline'!$B$1:$L$257,6,FALSE)),"",(VLOOKUP($B199,'E-1 Off-Site Hedge Baseline'!$B$1:$L$257,6,FALSE))))</f>
        <v/>
      </c>
      <c r="G199" s="301" t="str">
        <f>IF(B199="","",IF(ISNA(VLOOKUP($B199,'E-1 Off-Site Hedge Baseline'!$B$1:$L$257,7,FALSE)),"",(VLOOKUP($B199,'E-1 Off-Site Hedge Baseline'!$B$1:$L$257,7,FALSE))))</f>
        <v/>
      </c>
      <c r="H199" s="301" t="str">
        <f>IF(B199="","",IF(ISNA(VLOOKUP($B199,'E-1 Off-Site Hedge Baseline'!$B$1:$L$257,8,FALSE)),"",(VLOOKUP($B199,'E-1 Off-Site Hedge Baseline'!$B$1:$L$257,8,FALSE))))</f>
        <v/>
      </c>
      <c r="I199" s="301" t="str">
        <f>IF(B199="","",IF(ISNA(VLOOKUP($B199,'E-1 Off-Site Hedge Baseline'!$B$1:$L$257,10,FALSE)),"",(VLOOKUP($B199,'E-1 Off-Site Hedge Baseline'!$B$1:$L$257,10,FALSE))))</f>
        <v/>
      </c>
      <c r="J199" s="301" t="str">
        <f>IF(B199="","",IF(ISNA(VLOOKUP($B199,'E-1 Off-Site Hedge Baseline'!$B$1:$L$257,11,FALSE)),"",(VLOOKUP($B199,'E-1 Off-Site Hedge Baseline'!$B$1:$L$257,11,FALSE))))</f>
        <v/>
      </c>
      <c r="K199" s="301" t="str">
        <f>IF(B199="","",IF(ISNA(VLOOKUP($B199,'E-1 Off-Site Hedge Baseline'!$B$1:$X$257,16,FALSE)),"",(VLOOKUP($B199,'E-1 Off-Site Hedge Baseline'!$B$1:$X$257,16,FALSE))))</f>
        <v/>
      </c>
      <c r="L199" s="289" t="str">
        <f>IF(B199="","",IF(ISNA(VLOOKUP($B199,'E-1 Off-Site Hedge Baseline'!$B$1:$X$257,12,FALSE)),"",(VLOOKUP($B199,'E-1 Off-Site Hedge Baseline'!$B$1:$X$257,12,FALSE))))</f>
        <v/>
      </c>
      <c r="M199" s="250"/>
      <c r="N199" s="281" t="str">
        <f>IFERROR(IF(B199="","",INDEX('G-6 Hedgerow Data'!$AN$3:$AZ$15,MATCH(C199,'G-6 Hedgerow Data'!$AM$3:$AM$15,0),MATCH(M199,'G-6 Hedgerow Data'!$AN$2:$AZ$2,0))),"")</f>
        <v/>
      </c>
      <c r="O199" s="282" t="str">
        <f t="shared" si="17"/>
        <v/>
      </c>
      <c r="P199" s="287" t="str">
        <f>IF(B199="","",VLOOKUP(B199,'E-1 Off-Site Hedge Baseline'!$B$10:W444,19,FALSE))</f>
        <v/>
      </c>
      <c r="Q199" s="281" t="str">
        <f>IF(M199="","",VLOOKUP(M199,'G-6 Hedgerow Data'!$B$2:$AG$15,2,FALSE))</f>
        <v/>
      </c>
      <c r="R199" s="282" t="str">
        <f>IF(M199="","",VLOOKUP(M199,'G-6 Hedgerow Data'!$B$2:$AG$15,3,FALSE))</f>
        <v/>
      </c>
      <c r="S199" s="105"/>
      <c r="T199" s="282" t="str">
        <f>IFERROR(IF(S199="","",IF(AND(M199="Non-native and ornamental hedgerow", S199&lt;&gt;"Poor"),"Not possible ▲", (IF(AND(Q199="V.Low",OR(S199="Good",S199="Moderate")),"Error ▲",VLOOKUP(S199,'G-1 All Habitats'!$Z$2:$AA$9,2,FALSE))))),"")</f>
        <v/>
      </c>
      <c r="U199" s="105"/>
      <c r="V199" s="289" t="str">
        <f>IF(U199="","",IF(VLOOKUP(U199,'G-3 Multipliers'!$L$3:$N$6,2,FALSE)=0,"Spatial Data Missing ⚠",VLOOKUP(U199,'G-3 Multipliers'!$L$3:$N$6,2,FALSE)))</f>
        <v/>
      </c>
      <c r="W199" s="287" t="str">
        <f>IF(U199="","",IF(VLOOKUP(U199,'G-3 Multipliers'!$L$3:$N$6,3,FALSE)=0,"Spatial Data Missing ⚠",VLOOKUP(U199,'G-3 Multipliers'!$L$3:$N$6,3,FALSE)))</f>
        <v/>
      </c>
      <c r="X199" s="281" t="str">
        <f>IFERROR(IF(OR(LEFT(O199,5)="Error",LEFT(N199,5)="Error",T199="Error"),"Check Data ⚠",IF(F199&lt;R199,INDEX('G-6 Hedgerow Data'!$S$3:$AE$14,MATCH(C199,'G-6 Hedgerow Data'!$B$3:$B$14,0),MATCH(M199,'G-6 Hedgerow Data'!$S$2:$AE$2,0)),INDEX('G-6 Hedgerow Data'!$K$3:$Q$14,MATCH(M199,'G-6 Hedgerow Data'!$B$3:$B$14,0),MATCH(O199,'G-6 Hedgerow Data'!$K$2:$Q$2,0)))),"")</f>
        <v/>
      </c>
      <c r="Y199" s="137"/>
      <c r="Z199" s="137"/>
      <c r="AA199" s="289" t="str">
        <f t="shared" si="18"/>
        <v/>
      </c>
      <c r="AB199" s="302" t="str">
        <f t="shared" si="19"/>
        <v/>
      </c>
      <c r="AC199" s="303" t="str">
        <f t="shared" si="16"/>
        <v/>
      </c>
      <c r="AD199" s="317" t="str">
        <f>IF(M199="","",VLOOKUP(M199,'G-6 Hedgerow Data'!$B$3:$AG$15,31,FALSE))</f>
        <v/>
      </c>
      <c r="AE199" s="301" t="str">
        <f t="shared" si="20"/>
        <v/>
      </c>
      <c r="AF199" s="289" t="str">
        <f t="shared" si="21"/>
        <v/>
      </c>
      <c r="AG199" s="305" t="str">
        <f>IFERROR(IF(O199="","",VLOOKUP(AD199,'G-3 Multipliers'!$P$3:$Q$6,2,FALSE)),"")</f>
        <v/>
      </c>
      <c r="AH199" s="729" t="str">
        <f>IF(B199="","",IF(ISNA(VLOOKUP($B199,'E-1 Off-Site Hedge Baseline'!$B$1:$Z$257,14,FALSE)),"",(VLOOKUP($B199,'E-1 Off-Site Hedge Baseline'!$B$1:$Z$257,14,FALSE))))</f>
        <v/>
      </c>
      <c r="AI199" s="282" t="str">
        <f>IF(AH199="","",IF(VLOOKUP(AH199,'G-3 Multipliers'!$S$3:$T$10,2,FALSE)=0,"Spatial Data Missing ⚠",VLOOKUP(AH199,'G-3 Multipliers'!$S$3:$T$10,2,FALSE)))</f>
        <v/>
      </c>
      <c r="AJ199" s="323" t="str">
        <f t="shared" si="22"/>
        <v/>
      </c>
      <c r="AK199" s="295" t="str">
        <f t="shared" si="23"/>
        <v/>
      </c>
      <c r="AL199" s="105"/>
      <c r="AM199" s="119"/>
      <c r="AN199" s="108"/>
      <c r="AO199" s="108"/>
      <c r="AQ199" s="30" t="str">
        <f>IFERROR(INDEX('G-6 Hedgerow Data'!$BJ$3:$BJ$15,MATCH(M199,'G-6 Hedgerow Data'!$B$3:$B$15,0)),"")</f>
        <v/>
      </c>
    </row>
    <row r="200" spans="2:43" ht="13.8" x14ac:dyDescent="0.25">
      <c r="B200" s="311" t="str">
        <f>'E-1 Off-Site Hedge Baseline'!AN198</f>
        <v/>
      </c>
      <c r="C200" s="301" t="str">
        <f>IF(B200="","",IF(ISNA(VLOOKUP($B200,'E-1 Off-Site Hedge Baseline'!$B$1:$L$257,3,FALSE)),"",(VLOOKUP($B200,'E-1 Off-Site Hedge Baseline'!$B$1:$L$257,3,FALSE))))</f>
        <v/>
      </c>
      <c r="D200" s="301" t="str">
        <f>IF(B200="","",IF(ISNA(VLOOKUP($B200,'E-1 Off-Site Hedge Baseline'!$B$1:$L$258,4,FALSE)),"",(VLOOKUP($B200,'E-1 Off-Site Hedge Baseline'!$B$1:$L$258,4,FALSE))))</f>
        <v/>
      </c>
      <c r="E200" s="301" t="str">
        <f>IF(B200="","",IF(ISNA(VLOOKUP($B200,'E-1 Off-Site Hedge Baseline'!$B$1:$L$257,5,FALSE)),"",(VLOOKUP($B200,'E-1 Off-Site Hedge Baseline'!$B$1:$L$257,5,FALSE))))</f>
        <v/>
      </c>
      <c r="F200" s="301" t="str">
        <f>IF(B200="","",IF(ISNA(VLOOKUP($B200,'E-1 Off-Site Hedge Baseline'!$B$1:$L$257,6,FALSE)),"",(VLOOKUP($B200,'E-1 Off-Site Hedge Baseline'!$B$1:$L$257,6,FALSE))))</f>
        <v/>
      </c>
      <c r="G200" s="301" t="str">
        <f>IF(B200="","",IF(ISNA(VLOOKUP($B200,'E-1 Off-Site Hedge Baseline'!$B$1:$L$257,7,FALSE)),"",(VLOOKUP($B200,'E-1 Off-Site Hedge Baseline'!$B$1:$L$257,7,FALSE))))</f>
        <v/>
      </c>
      <c r="H200" s="301" t="str">
        <f>IF(B200="","",IF(ISNA(VLOOKUP($B200,'E-1 Off-Site Hedge Baseline'!$B$1:$L$257,8,FALSE)),"",(VLOOKUP($B200,'E-1 Off-Site Hedge Baseline'!$B$1:$L$257,8,FALSE))))</f>
        <v/>
      </c>
      <c r="I200" s="301" t="str">
        <f>IF(B200="","",IF(ISNA(VLOOKUP($B200,'E-1 Off-Site Hedge Baseline'!$B$1:$L$257,10,FALSE)),"",(VLOOKUP($B200,'E-1 Off-Site Hedge Baseline'!$B$1:$L$257,10,FALSE))))</f>
        <v/>
      </c>
      <c r="J200" s="301" t="str">
        <f>IF(B200="","",IF(ISNA(VLOOKUP($B200,'E-1 Off-Site Hedge Baseline'!$B$1:$L$257,11,FALSE)),"",(VLOOKUP($B200,'E-1 Off-Site Hedge Baseline'!$B$1:$L$257,11,FALSE))))</f>
        <v/>
      </c>
      <c r="K200" s="301" t="str">
        <f>IF(B200="","",IF(ISNA(VLOOKUP($B200,'E-1 Off-Site Hedge Baseline'!$B$1:$X$257,16,FALSE)),"",(VLOOKUP($B200,'E-1 Off-Site Hedge Baseline'!$B$1:$X$257,16,FALSE))))</f>
        <v/>
      </c>
      <c r="L200" s="289" t="str">
        <f>IF(B200="","",IF(ISNA(VLOOKUP($B200,'E-1 Off-Site Hedge Baseline'!$B$1:$X$257,12,FALSE)),"",(VLOOKUP($B200,'E-1 Off-Site Hedge Baseline'!$B$1:$X$257,12,FALSE))))</f>
        <v/>
      </c>
      <c r="M200" s="250"/>
      <c r="N200" s="281" t="str">
        <f>IFERROR(IF(B200="","",INDEX('G-6 Hedgerow Data'!$AN$3:$AZ$15,MATCH(C200,'G-6 Hedgerow Data'!$AM$3:$AM$15,0),MATCH(M200,'G-6 Hedgerow Data'!$AN$2:$AZ$2,0))),"")</f>
        <v/>
      </c>
      <c r="O200" s="282" t="str">
        <f t="shared" si="17"/>
        <v/>
      </c>
      <c r="P200" s="287" t="str">
        <f>IF(B200="","",VLOOKUP(B200,'E-1 Off-Site Hedge Baseline'!$B$10:W445,19,FALSE))</f>
        <v/>
      </c>
      <c r="Q200" s="281" t="str">
        <f>IF(M200="","",VLOOKUP(M200,'G-6 Hedgerow Data'!$B$2:$AG$15,2,FALSE))</f>
        <v/>
      </c>
      <c r="R200" s="282" t="str">
        <f>IF(M200="","",VLOOKUP(M200,'G-6 Hedgerow Data'!$B$2:$AG$15,3,FALSE))</f>
        <v/>
      </c>
      <c r="S200" s="105"/>
      <c r="T200" s="282" t="str">
        <f>IFERROR(IF(S200="","",IF(AND(M200="Non-native and ornamental hedgerow", S200&lt;&gt;"Poor"),"Not possible ▲", (IF(AND(Q200="V.Low",OR(S200="Good",S200="Moderate")),"Error ▲",VLOOKUP(S200,'G-1 All Habitats'!$Z$2:$AA$9,2,FALSE))))),"")</f>
        <v/>
      </c>
      <c r="U200" s="105"/>
      <c r="V200" s="289" t="str">
        <f>IF(U200="","",IF(VLOOKUP(U200,'G-3 Multipliers'!$L$3:$N$6,2,FALSE)=0,"Spatial Data Missing ⚠",VLOOKUP(U200,'G-3 Multipliers'!$L$3:$N$6,2,FALSE)))</f>
        <v/>
      </c>
      <c r="W200" s="287" t="str">
        <f>IF(U200="","",IF(VLOOKUP(U200,'G-3 Multipliers'!$L$3:$N$6,3,FALSE)=0,"Spatial Data Missing ⚠",VLOOKUP(U200,'G-3 Multipliers'!$L$3:$N$6,3,FALSE)))</f>
        <v/>
      </c>
      <c r="X200" s="281" t="str">
        <f>IFERROR(IF(OR(LEFT(O200,5)="Error",LEFT(N200,5)="Error",T200="Error"),"Check Data ⚠",IF(F200&lt;R200,INDEX('G-6 Hedgerow Data'!$S$3:$AE$14,MATCH(C200,'G-6 Hedgerow Data'!$B$3:$B$14,0),MATCH(M200,'G-6 Hedgerow Data'!$S$2:$AE$2,0)),INDEX('G-6 Hedgerow Data'!$K$3:$Q$14,MATCH(M200,'G-6 Hedgerow Data'!$B$3:$B$14,0),MATCH(O200,'G-6 Hedgerow Data'!$K$2:$Q$2,0)))),"")</f>
        <v/>
      </c>
      <c r="Y200" s="137"/>
      <c r="Z200" s="137"/>
      <c r="AA200" s="289" t="str">
        <f t="shared" si="18"/>
        <v/>
      </c>
      <c r="AB200" s="302" t="str">
        <f t="shared" si="19"/>
        <v/>
      </c>
      <c r="AC200" s="303" t="str">
        <f t="shared" si="16"/>
        <v/>
      </c>
      <c r="AD200" s="317" t="str">
        <f>IF(M200="","",VLOOKUP(M200,'G-6 Hedgerow Data'!$B$3:$AG$15,31,FALSE))</f>
        <v/>
      </c>
      <c r="AE200" s="301" t="str">
        <f t="shared" si="20"/>
        <v/>
      </c>
      <c r="AF200" s="289" t="str">
        <f t="shared" si="21"/>
        <v/>
      </c>
      <c r="AG200" s="305" t="str">
        <f>IFERROR(IF(O200="","",VLOOKUP(AD200,'G-3 Multipliers'!$P$3:$Q$6,2,FALSE)),"")</f>
        <v/>
      </c>
      <c r="AH200" s="729" t="str">
        <f>IF(B200="","",IF(ISNA(VLOOKUP($B200,'E-1 Off-Site Hedge Baseline'!$B$1:$Z$257,14,FALSE)),"",(VLOOKUP($B200,'E-1 Off-Site Hedge Baseline'!$B$1:$Z$257,14,FALSE))))</f>
        <v/>
      </c>
      <c r="AI200" s="282" t="str">
        <f>IF(AH200="","",IF(VLOOKUP(AH200,'G-3 Multipliers'!$S$3:$T$10,2,FALSE)=0,"Spatial Data Missing ⚠",VLOOKUP(AH200,'G-3 Multipliers'!$S$3:$T$10,2,FALSE)))</f>
        <v/>
      </c>
      <c r="AJ200" s="323" t="str">
        <f t="shared" si="22"/>
        <v/>
      </c>
      <c r="AK200" s="295" t="str">
        <f t="shared" si="23"/>
        <v/>
      </c>
      <c r="AL200" s="105"/>
      <c r="AM200" s="119"/>
      <c r="AN200" s="108"/>
      <c r="AO200" s="108"/>
      <c r="AQ200" s="30" t="str">
        <f>IFERROR(INDEX('G-6 Hedgerow Data'!$BJ$3:$BJ$15,MATCH(M200,'G-6 Hedgerow Data'!$B$3:$B$15,0)),"")</f>
        <v/>
      </c>
    </row>
    <row r="201" spans="2:43" ht="13.8" x14ac:dyDescent="0.25">
      <c r="B201" s="311" t="str">
        <f>'E-1 Off-Site Hedge Baseline'!AN199</f>
        <v/>
      </c>
      <c r="C201" s="301" t="str">
        <f>IF(B201="","",IF(ISNA(VLOOKUP($B201,'E-1 Off-Site Hedge Baseline'!$B$1:$L$257,3,FALSE)),"",(VLOOKUP($B201,'E-1 Off-Site Hedge Baseline'!$B$1:$L$257,3,FALSE))))</f>
        <v/>
      </c>
      <c r="D201" s="301" t="str">
        <f>IF(B201="","",IF(ISNA(VLOOKUP($B201,'E-1 Off-Site Hedge Baseline'!$B$1:$L$258,4,FALSE)),"",(VLOOKUP($B201,'E-1 Off-Site Hedge Baseline'!$B$1:$L$258,4,FALSE))))</f>
        <v/>
      </c>
      <c r="E201" s="301" t="str">
        <f>IF(B201="","",IF(ISNA(VLOOKUP($B201,'E-1 Off-Site Hedge Baseline'!$B$1:$L$257,5,FALSE)),"",(VLOOKUP($B201,'E-1 Off-Site Hedge Baseline'!$B$1:$L$257,5,FALSE))))</f>
        <v/>
      </c>
      <c r="F201" s="301" t="str">
        <f>IF(B201="","",IF(ISNA(VLOOKUP($B201,'E-1 Off-Site Hedge Baseline'!$B$1:$L$257,6,FALSE)),"",(VLOOKUP($B201,'E-1 Off-Site Hedge Baseline'!$B$1:$L$257,6,FALSE))))</f>
        <v/>
      </c>
      <c r="G201" s="301" t="str">
        <f>IF(B201="","",IF(ISNA(VLOOKUP($B201,'E-1 Off-Site Hedge Baseline'!$B$1:$L$257,7,FALSE)),"",(VLOOKUP($B201,'E-1 Off-Site Hedge Baseline'!$B$1:$L$257,7,FALSE))))</f>
        <v/>
      </c>
      <c r="H201" s="301" t="str">
        <f>IF(B201="","",IF(ISNA(VLOOKUP($B201,'E-1 Off-Site Hedge Baseline'!$B$1:$L$257,8,FALSE)),"",(VLOOKUP($B201,'E-1 Off-Site Hedge Baseline'!$B$1:$L$257,8,FALSE))))</f>
        <v/>
      </c>
      <c r="I201" s="301" t="str">
        <f>IF(B201="","",IF(ISNA(VLOOKUP($B201,'E-1 Off-Site Hedge Baseline'!$B$1:$L$257,10,FALSE)),"",(VLOOKUP($B201,'E-1 Off-Site Hedge Baseline'!$B$1:$L$257,10,FALSE))))</f>
        <v/>
      </c>
      <c r="J201" s="301" t="str">
        <f>IF(B201="","",IF(ISNA(VLOOKUP($B201,'E-1 Off-Site Hedge Baseline'!$B$1:$L$257,11,FALSE)),"",(VLOOKUP($B201,'E-1 Off-Site Hedge Baseline'!$B$1:$L$257,11,FALSE))))</f>
        <v/>
      </c>
      <c r="K201" s="301" t="str">
        <f>IF(B201="","",IF(ISNA(VLOOKUP($B201,'E-1 Off-Site Hedge Baseline'!$B$1:$X$257,16,FALSE)),"",(VLOOKUP($B201,'E-1 Off-Site Hedge Baseline'!$B$1:$X$257,16,FALSE))))</f>
        <v/>
      </c>
      <c r="L201" s="289" t="str">
        <f>IF(B201="","",IF(ISNA(VLOOKUP($B201,'E-1 Off-Site Hedge Baseline'!$B$1:$X$257,12,FALSE)),"",(VLOOKUP($B201,'E-1 Off-Site Hedge Baseline'!$B$1:$X$257,12,FALSE))))</f>
        <v/>
      </c>
      <c r="M201" s="250"/>
      <c r="N201" s="281" t="str">
        <f>IFERROR(IF(B201="","",INDEX('G-6 Hedgerow Data'!$AN$3:$AZ$15,MATCH(C201,'G-6 Hedgerow Data'!$AM$3:$AM$15,0),MATCH(M201,'G-6 Hedgerow Data'!$AN$2:$AZ$2,0))),"")</f>
        <v/>
      </c>
      <c r="O201" s="282" t="str">
        <f t="shared" si="17"/>
        <v/>
      </c>
      <c r="P201" s="287" t="str">
        <f>IF(B201="","",VLOOKUP(B201,'E-1 Off-Site Hedge Baseline'!$B$10:W446,19,FALSE))</f>
        <v/>
      </c>
      <c r="Q201" s="281" t="str">
        <f>IF(M201="","",VLOOKUP(M201,'G-6 Hedgerow Data'!$B$2:$AG$15,2,FALSE))</f>
        <v/>
      </c>
      <c r="R201" s="282" t="str">
        <f>IF(M201="","",VLOOKUP(M201,'G-6 Hedgerow Data'!$B$2:$AG$15,3,FALSE))</f>
        <v/>
      </c>
      <c r="S201" s="105"/>
      <c r="T201" s="282" t="str">
        <f>IFERROR(IF(S201="","",IF(AND(M201="Non-native and ornamental hedgerow", S201&lt;&gt;"Poor"),"Not possible ▲", (IF(AND(Q201="V.Low",OR(S201="Good",S201="Moderate")),"Error ▲",VLOOKUP(S201,'G-1 All Habitats'!$Z$2:$AA$9,2,FALSE))))),"")</f>
        <v/>
      </c>
      <c r="U201" s="105"/>
      <c r="V201" s="289" t="str">
        <f>IF(U201="","",IF(VLOOKUP(U201,'G-3 Multipliers'!$L$3:$N$6,2,FALSE)=0,"Spatial Data Missing ⚠",VLOOKUP(U201,'G-3 Multipliers'!$L$3:$N$6,2,FALSE)))</f>
        <v/>
      </c>
      <c r="W201" s="287" t="str">
        <f>IF(U201="","",IF(VLOOKUP(U201,'G-3 Multipliers'!$L$3:$N$6,3,FALSE)=0,"Spatial Data Missing ⚠",VLOOKUP(U201,'G-3 Multipliers'!$L$3:$N$6,3,FALSE)))</f>
        <v/>
      </c>
      <c r="X201" s="281" t="str">
        <f>IFERROR(IF(OR(LEFT(O201,5)="Error",LEFT(N201,5)="Error",T201="Error"),"Check Data ⚠",IF(F201&lt;R201,INDEX('G-6 Hedgerow Data'!$S$3:$AE$14,MATCH(C201,'G-6 Hedgerow Data'!$B$3:$B$14,0),MATCH(M201,'G-6 Hedgerow Data'!$S$2:$AE$2,0)),INDEX('G-6 Hedgerow Data'!$K$3:$Q$14,MATCH(M201,'G-6 Hedgerow Data'!$B$3:$B$14,0),MATCH(O201,'G-6 Hedgerow Data'!$K$2:$Q$2,0)))),"")</f>
        <v/>
      </c>
      <c r="Y201" s="137"/>
      <c r="Z201" s="137"/>
      <c r="AA201" s="289" t="str">
        <f t="shared" si="18"/>
        <v/>
      </c>
      <c r="AB201" s="302" t="str">
        <f t="shared" si="19"/>
        <v/>
      </c>
      <c r="AC201" s="303" t="str">
        <f t="shared" si="16"/>
        <v/>
      </c>
      <c r="AD201" s="317" t="str">
        <f>IF(M201="","",VLOOKUP(M201,'G-6 Hedgerow Data'!$B$3:$AG$15,31,FALSE))</f>
        <v/>
      </c>
      <c r="AE201" s="301" t="str">
        <f t="shared" si="20"/>
        <v/>
      </c>
      <c r="AF201" s="289" t="str">
        <f t="shared" si="21"/>
        <v/>
      </c>
      <c r="AG201" s="305" t="str">
        <f>IFERROR(IF(O201="","",VLOOKUP(AD201,'G-3 Multipliers'!$P$3:$Q$6,2,FALSE)),"")</f>
        <v/>
      </c>
      <c r="AH201" s="729" t="str">
        <f>IF(B201="","",IF(ISNA(VLOOKUP($B201,'E-1 Off-Site Hedge Baseline'!$B$1:$Z$257,14,FALSE)),"",(VLOOKUP($B201,'E-1 Off-Site Hedge Baseline'!$B$1:$Z$257,14,FALSE))))</f>
        <v/>
      </c>
      <c r="AI201" s="282" t="str">
        <f>IF(AH201="","",IF(VLOOKUP(AH201,'G-3 Multipliers'!$S$3:$T$10,2,FALSE)=0,"Spatial Data Missing ⚠",VLOOKUP(AH201,'G-3 Multipliers'!$S$3:$T$10,2,FALSE)))</f>
        <v/>
      </c>
      <c r="AJ201" s="323" t="str">
        <f t="shared" si="22"/>
        <v/>
      </c>
      <c r="AK201" s="295" t="str">
        <f t="shared" si="23"/>
        <v/>
      </c>
      <c r="AL201" s="105"/>
      <c r="AM201" s="119"/>
      <c r="AN201" s="108"/>
      <c r="AO201" s="108"/>
      <c r="AQ201" s="30" t="str">
        <f>IFERROR(INDEX('G-6 Hedgerow Data'!$BJ$3:$BJ$15,MATCH(M201,'G-6 Hedgerow Data'!$B$3:$B$15,0)),"")</f>
        <v/>
      </c>
    </row>
    <row r="202" spans="2:43" ht="13.8" x14ac:dyDescent="0.25">
      <c r="B202" s="311" t="str">
        <f>'E-1 Off-Site Hedge Baseline'!AN200</f>
        <v/>
      </c>
      <c r="C202" s="301" t="str">
        <f>IF(B202="","",IF(ISNA(VLOOKUP($B202,'E-1 Off-Site Hedge Baseline'!$B$1:$L$257,3,FALSE)),"",(VLOOKUP($B202,'E-1 Off-Site Hedge Baseline'!$B$1:$L$257,3,FALSE))))</f>
        <v/>
      </c>
      <c r="D202" s="301" t="str">
        <f>IF(B202="","",IF(ISNA(VLOOKUP($B202,'E-1 Off-Site Hedge Baseline'!$B$1:$L$258,4,FALSE)),"",(VLOOKUP($B202,'E-1 Off-Site Hedge Baseline'!$B$1:$L$258,4,FALSE))))</f>
        <v/>
      </c>
      <c r="E202" s="301" t="str">
        <f>IF(B202="","",IF(ISNA(VLOOKUP($B202,'E-1 Off-Site Hedge Baseline'!$B$1:$L$257,5,FALSE)),"",(VLOOKUP($B202,'E-1 Off-Site Hedge Baseline'!$B$1:$L$257,5,FALSE))))</f>
        <v/>
      </c>
      <c r="F202" s="301" t="str">
        <f>IF(B202="","",IF(ISNA(VLOOKUP($B202,'E-1 Off-Site Hedge Baseline'!$B$1:$L$257,6,FALSE)),"",(VLOOKUP($B202,'E-1 Off-Site Hedge Baseline'!$B$1:$L$257,6,FALSE))))</f>
        <v/>
      </c>
      <c r="G202" s="301" t="str">
        <f>IF(B202="","",IF(ISNA(VLOOKUP($B202,'E-1 Off-Site Hedge Baseline'!$B$1:$L$257,7,FALSE)),"",(VLOOKUP($B202,'E-1 Off-Site Hedge Baseline'!$B$1:$L$257,7,FALSE))))</f>
        <v/>
      </c>
      <c r="H202" s="301" t="str">
        <f>IF(B202="","",IF(ISNA(VLOOKUP($B202,'E-1 Off-Site Hedge Baseline'!$B$1:$L$257,8,FALSE)),"",(VLOOKUP($B202,'E-1 Off-Site Hedge Baseline'!$B$1:$L$257,8,FALSE))))</f>
        <v/>
      </c>
      <c r="I202" s="301" t="str">
        <f>IF(B202="","",IF(ISNA(VLOOKUP($B202,'E-1 Off-Site Hedge Baseline'!$B$1:$L$257,10,FALSE)),"",(VLOOKUP($B202,'E-1 Off-Site Hedge Baseline'!$B$1:$L$257,10,FALSE))))</f>
        <v/>
      </c>
      <c r="J202" s="301" t="str">
        <f>IF(B202="","",IF(ISNA(VLOOKUP($B202,'E-1 Off-Site Hedge Baseline'!$B$1:$L$257,11,FALSE)),"",(VLOOKUP($B202,'E-1 Off-Site Hedge Baseline'!$B$1:$L$257,11,FALSE))))</f>
        <v/>
      </c>
      <c r="K202" s="301" t="str">
        <f>IF(B202="","",IF(ISNA(VLOOKUP($B202,'E-1 Off-Site Hedge Baseline'!$B$1:$X$257,16,FALSE)),"",(VLOOKUP($B202,'E-1 Off-Site Hedge Baseline'!$B$1:$X$257,16,FALSE))))</f>
        <v/>
      </c>
      <c r="L202" s="289" t="str">
        <f>IF(B202="","",IF(ISNA(VLOOKUP($B202,'E-1 Off-Site Hedge Baseline'!$B$1:$X$257,12,FALSE)),"",(VLOOKUP($B202,'E-1 Off-Site Hedge Baseline'!$B$1:$X$257,12,FALSE))))</f>
        <v/>
      </c>
      <c r="M202" s="250"/>
      <c r="N202" s="281" t="str">
        <f>IFERROR(IF(B202="","",INDEX('G-6 Hedgerow Data'!$AN$3:$AZ$15,MATCH(C202,'G-6 Hedgerow Data'!$AM$3:$AM$15,0),MATCH(M202,'G-6 Hedgerow Data'!$AN$2:$AZ$2,0))),"")</f>
        <v/>
      </c>
      <c r="O202" s="282" t="str">
        <f t="shared" si="17"/>
        <v/>
      </c>
      <c r="P202" s="287" t="str">
        <f>IF(B202="","",VLOOKUP(B202,'E-1 Off-Site Hedge Baseline'!$B$10:W447,19,FALSE))</f>
        <v/>
      </c>
      <c r="Q202" s="281" t="str">
        <f>IF(M202="","",VLOOKUP(M202,'G-6 Hedgerow Data'!$B$2:$AG$15,2,FALSE))</f>
        <v/>
      </c>
      <c r="R202" s="282" t="str">
        <f>IF(M202="","",VLOOKUP(M202,'G-6 Hedgerow Data'!$B$2:$AG$15,3,FALSE))</f>
        <v/>
      </c>
      <c r="S202" s="105"/>
      <c r="T202" s="282" t="str">
        <f>IFERROR(IF(S202="","",IF(AND(M202="Non-native and ornamental hedgerow", S202&lt;&gt;"Poor"),"Not possible ▲", (IF(AND(Q202="V.Low",OR(S202="Good",S202="Moderate")),"Error ▲",VLOOKUP(S202,'G-1 All Habitats'!$Z$2:$AA$9,2,FALSE))))),"")</f>
        <v/>
      </c>
      <c r="U202" s="105"/>
      <c r="V202" s="289" t="str">
        <f>IF(U202="","",IF(VLOOKUP(U202,'G-3 Multipliers'!$L$3:$N$6,2,FALSE)=0,"Spatial Data Missing ⚠",VLOOKUP(U202,'G-3 Multipliers'!$L$3:$N$6,2,FALSE)))</f>
        <v/>
      </c>
      <c r="W202" s="287" t="str">
        <f>IF(U202="","",IF(VLOOKUP(U202,'G-3 Multipliers'!$L$3:$N$6,3,FALSE)=0,"Spatial Data Missing ⚠",VLOOKUP(U202,'G-3 Multipliers'!$L$3:$N$6,3,FALSE)))</f>
        <v/>
      </c>
      <c r="X202" s="281" t="str">
        <f>IFERROR(IF(OR(LEFT(O202,5)="Error",LEFT(N202,5)="Error",T202="Error"),"Check Data ⚠",IF(F202&lt;R202,INDEX('G-6 Hedgerow Data'!$S$3:$AE$14,MATCH(C202,'G-6 Hedgerow Data'!$B$3:$B$14,0),MATCH(M202,'G-6 Hedgerow Data'!$S$2:$AE$2,0)),INDEX('G-6 Hedgerow Data'!$K$3:$Q$14,MATCH(M202,'G-6 Hedgerow Data'!$B$3:$B$14,0),MATCH(O202,'G-6 Hedgerow Data'!$K$2:$Q$2,0)))),"")</f>
        <v/>
      </c>
      <c r="Y202" s="137"/>
      <c r="Z202" s="137"/>
      <c r="AA202" s="289" t="str">
        <f t="shared" si="18"/>
        <v/>
      </c>
      <c r="AB202" s="302" t="str">
        <f t="shared" si="19"/>
        <v/>
      </c>
      <c r="AC202" s="303" t="str">
        <f t="shared" si="16"/>
        <v/>
      </c>
      <c r="AD202" s="317" t="str">
        <f>IF(M202="","",VLOOKUP(M202,'G-6 Hedgerow Data'!$B$3:$AG$15,31,FALSE))</f>
        <v/>
      </c>
      <c r="AE202" s="301" t="str">
        <f t="shared" si="20"/>
        <v/>
      </c>
      <c r="AF202" s="289" t="str">
        <f t="shared" si="21"/>
        <v/>
      </c>
      <c r="AG202" s="305" t="str">
        <f>IFERROR(IF(O202="","",VLOOKUP(AD202,'G-3 Multipliers'!$P$3:$Q$6,2,FALSE)),"")</f>
        <v/>
      </c>
      <c r="AH202" s="729" t="str">
        <f>IF(B202="","",IF(ISNA(VLOOKUP($B202,'E-1 Off-Site Hedge Baseline'!$B$1:$Z$257,14,FALSE)),"",(VLOOKUP($B202,'E-1 Off-Site Hedge Baseline'!$B$1:$Z$257,14,FALSE))))</f>
        <v/>
      </c>
      <c r="AI202" s="282" t="str">
        <f>IF(AH202="","",IF(VLOOKUP(AH202,'G-3 Multipliers'!$S$3:$T$10,2,FALSE)=0,"Spatial Data Missing ⚠",VLOOKUP(AH202,'G-3 Multipliers'!$S$3:$T$10,2,FALSE)))</f>
        <v/>
      </c>
      <c r="AJ202" s="323" t="str">
        <f t="shared" si="22"/>
        <v/>
      </c>
      <c r="AK202" s="295" t="str">
        <f t="shared" si="23"/>
        <v/>
      </c>
      <c r="AL202" s="105"/>
      <c r="AM202" s="119"/>
      <c r="AN202" s="108"/>
      <c r="AO202" s="108"/>
      <c r="AQ202" s="30" t="str">
        <f>IFERROR(INDEX('G-6 Hedgerow Data'!$BJ$3:$BJ$15,MATCH(M202,'G-6 Hedgerow Data'!$B$3:$B$15,0)),"")</f>
        <v/>
      </c>
    </row>
    <row r="203" spans="2:43" ht="13.8" x14ac:dyDescent="0.25">
      <c r="B203" s="311" t="str">
        <f>'E-1 Off-Site Hedge Baseline'!AN201</f>
        <v/>
      </c>
      <c r="C203" s="301" t="str">
        <f>IF(B203="","",IF(ISNA(VLOOKUP($B203,'E-1 Off-Site Hedge Baseline'!$B$1:$L$257,3,FALSE)),"",(VLOOKUP($B203,'E-1 Off-Site Hedge Baseline'!$B$1:$L$257,3,FALSE))))</f>
        <v/>
      </c>
      <c r="D203" s="301" t="str">
        <f>IF(B203="","",IF(ISNA(VLOOKUP($B203,'E-1 Off-Site Hedge Baseline'!$B$1:$L$258,4,FALSE)),"",(VLOOKUP($B203,'E-1 Off-Site Hedge Baseline'!$B$1:$L$258,4,FALSE))))</f>
        <v/>
      </c>
      <c r="E203" s="301" t="str">
        <f>IF(B203="","",IF(ISNA(VLOOKUP($B203,'E-1 Off-Site Hedge Baseline'!$B$1:$L$257,5,FALSE)),"",(VLOOKUP($B203,'E-1 Off-Site Hedge Baseline'!$B$1:$L$257,5,FALSE))))</f>
        <v/>
      </c>
      <c r="F203" s="301" t="str">
        <f>IF(B203="","",IF(ISNA(VLOOKUP($B203,'E-1 Off-Site Hedge Baseline'!$B$1:$L$257,6,FALSE)),"",(VLOOKUP($B203,'E-1 Off-Site Hedge Baseline'!$B$1:$L$257,6,FALSE))))</f>
        <v/>
      </c>
      <c r="G203" s="301" t="str">
        <f>IF(B203="","",IF(ISNA(VLOOKUP($B203,'E-1 Off-Site Hedge Baseline'!$B$1:$L$257,7,FALSE)),"",(VLOOKUP($B203,'E-1 Off-Site Hedge Baseline'!$B$1:$L$257,7,FALSE))))</f>
        <v/>
      </c>
      <c r="H203" s="301" t="str">
        <f>IF(B203="","",IF(ISNA(VLOOKUP($B203,'E-1 Off-Site Hedge Baseline'!$B$1:$L$257,8,FALSE)),"",(VLOOKUP($B203,'E-1 Off-Site Hedge Baseline'!$B$1:$L$257,8,FALSE))))</f>
        <v/>
      </c>
      <c r="I203" s="301" t="str">
        <f>IF(B203="","",IF(ISNA(VLOOKUP($B203,'E-1 Off-Site Hedge Baseline'!$B$1:$L$257,10,FALSE)),"",(VLOOKUP($B203,'E-1 Off-Site Hedge Baseline'!$B$1:$L$257,10,FALSE))))</f>
        <v/>
      </c>
      <c r="J203" s="301" t="str">
        <f>IF(B203="","",IF(ISNA(VLOOKUP($B203,'E-1 Off-Site Hedge Baseline'!$B$1:$L$257,11,FALSE)),"",(VLOOKUP($B203,'E-1 Off-Site Hedge Baseline'!$B$1:$L$257,11,FALSE))))</f>
        <v/>
      </c>
      <c r="K203" s="301" t="str">
        <f>IF(B203="","",IF(ISNA(VLOOKUP($B203,'E-1 Off-Site Hedge Baseline'!$B$1:$X$257,16,FALSE)),"",(VLOOKUP($B203,'E-1 Off-Site Hedge Baseline'!$B$1:$X$257,16,FALSE))))</f>
        <v/>
      </c>
      <c r="L203" s="289" t="str">
        <f>IF(B203="","",IF(ISNA(VLOOKUP($B203,'E-1 Off-Site Hedge Baseline'!$B$1:$X$257,12,FALSE)),"",(VLOOKUP($B203,'E-1 Off-Site Hedge Baseline'!$B$1:$X$257,12,FALSE))))</f>
        <v/>
      </c>
      <c r="M203" s="250"/>
      <c r="N203" s="281" t="str">
        <f>IFERROR(IF(B203="","",INDEX('G-6 Hedgerow Data'!$AN$3:$AZ$15,MATCH(C203,'G-6 Hedgerow Data'!$AM$3:$AM$15,0),MATCH(M203,'G-6 Hedgerow Data'!$AN$2:$AZ$2,0))),"")</f>
        <v/>
      </c>
      <c r="O203" s="282" t="str">
        <f t="shared" si="17"/>
        <v/>
      </c>
      <c r="P203" s="287" t="str">
        <f>IF(B203="","",VLOOKUP(B203,'E-1 Off-Site Hedge Baseline'!$B$10:W448,19,FALSE))</f>
        <v/>
      </c>
      <c r="Q203" s="281" t="str">
        <f>IF(M203="","",VLOOKUP(M203,'G-6 Hedgerow Data'!$B$2:$AG$15,2,FALSE))</f>
        <v/>
      </c>
      <c r="R203" s="282" t="str">
        <f>IF(M203="","",VLOOKUP(M203,'G-6 Hedgerow Data'!$B$2:$AG$15,3,FALSE))</f>
        <v/>
      </c>
      <c r="S203" s="105"/>
      <c r="T203" s="282" t="str">
        <f>IFERROR(IF(S203="","",IF(AND(M203="Non-native and ornamental hedgerow", S203&lt;&gt;"Poor"),"Not possible ▲", (IF(AND(Q203="V.Low",OR(S203="Good",S203="Moderate")),"Error ▲",VLOOKUP(S203,'G-1 All Habitats'!$Z$2:$AA$9,2,FALSE))))),"")</f>
        <v/>
      </c>
      <c r="U203" s="105"/>
      <c r="V203" s="289" t="str">
        <f>IF(U203="","",IF(VLOOKUP(U203,'G-3 Multipliers'!$L$3:$N$6,2,FALSE)=0,"Spatial Data Missing ⚠",VLOOKUP(U203,'G-3 Multipliers'!$L$3:$N$6,2,FALSE)))</f>
        <v/>
      </c>
      <c r="W203" s="287" t="str">
        <f>IF(U203="","",IF(VLOOKUP(U203,'G-3 Multipliers'!$L$3:$N$6,3,FALSE)=0,"Spatial Data Missing ⚠",VLOOKUP(U203,'G-3 Multipliers'!$L$3:$N$6,3,FALSE)))</f>
        <v/>
      </c>
      <c r="X203" s="281" t="str">
        <f>IFERROR(IF(OR(LEFT(O203,5)="Error",LEFT(N203,5)="Error",T203="Error"),"Check Data ⚠",IF(F203&lt;R203,INDEX('G-6 Hedgerow Data'!$S$3:$AE$14,MATCH(C203,'G-6 Hedgerow Data'!$B$3:$B$14,0),MATCH(M203,'G-6 Hedgerow Data'!$S$2:$AE$2,0)),INDEX('G-6 Hedgerow Data'!$K$3:$Q$14,MATCH(M203,'G-6 Hedgerow Data'!$B$3:$B$14,0),MATCH(O203,'G-6 Hedgerow Data'!$K$2:$Q$2,0)))),"")</f>
        <v/>
      </c>
      <c r="Y203" s="137"/>
      <c r="Z203" s="137"/>
      <c r="AA203" s="289" t="str">
        <f t="shared" si="18"/>
        <v/>
      </c>
      <c r="AB203" s="302" t="str">
        <f t="shared" si="19"/>
        <v/>
      </c>
      <c r="AC203" s="303" t="str">
        <f t="shared" si="16"/>
        <v/>
      </c>
      <c r="AD203" s="317" t="str">
        <f>IF(M203="","",VLOOKUP(M203,'G-6 Hedgerow Data'!$B$3:$AG$15,31,FALSE))</f>
        <v/>
      </c>
      <c r="AE203" s="301" t="str">
        <f t="shared" si="20"/>
        <v/>
      </c>
      <c r="AF203" s="289" t="str">
        <f t="shared" si="21"/>
        <v/>
      </c>
      <c r="AG203" s="305" t="str">
        <f>IFERROR(IF(O203="","",VLOOKUP(AD203,'G-3 Multipliers'!$P$3:$Q$6,2,FALSE)),"")</f>
        <v/>
      </c>
      <c r="AH203" s="729" t="str">
        <f>IF(B203="","",IF(ISNA(VLOOKUP($B203,'E-1 Off-Site Hedge Baseline'!$B$1:$Z$257,14,FALSE)),"",(VLOOKUP($B203,'E-1 Off-Site Hedge Baseline'!$B$1:$Z$257,14,FALSE))))</f>
        <v/>
      </c>
      <c r="AI203" s="282" t="str">
        <f>IF(AH203="","",IF(VLOOKUP(AH203,'G-3 Multipliers'!$S$3:$T$10,2,FALSE)=0,"Spatial Data Missing ⚠",VLOOKUP(AH203,'G-3 Multipliers'!$S$3:$T$10,2,FALSE)))</f>
        <v/>
      </c>
      <c r="AJ203" s="323" t="str">
        <f t="shared" si="22"/>
        <v/>
      </c>
      <c r="AK203" s="295" t="str">
        <f t="shared" si="23"/>
        <v/>
      </c>
      <c r="AL203" s="105"/>
      <c r="AM203" s="119"/>
      <c r="AN203" s="108"/>
      <c r="AO203" s="108"/>
      <c r="AQ203" s="30" t="str">
        <f>IFERROR(INDEX('G-6 Hedgerow Data'!$BJ$3:$BJ$15,MATCH(M203,'G-6 Hedgerow Data'!$B$3:$B$15,0)),"")</f>
        <v/>
      </c>
    </row>
    <row r="204" spans="2:43" ht="13.8" x14ac:dyDescent="0.25">
      <c r="B204" s="311" t="str">
        <f>'E-1 Off-Site Hedge Baseline'!AN202</f>
        <v/>
      </c>
      <c r="C204" s="301" t="str">
        <f>IF(B204="","",IF(ISNA(VLOOKUP($B204,'E-1 Off-Site Hedge Baseline'!$B$1:$L$257,3,FALSE)),"",(VLOOKUP($B204,'E-1 Off-Site Hedge Baseline'!$B$1:$L$257,3,FALSE))))</f>
        <v/>
      </c>
      <c r="D204" s="301" t="str">
        <f>IF(B204="","",IF(ISNA(VLOOKUP($B204,'E-1 Off-Site Hedge Baseline'!$B$1:$L$258,4,FALSE)),"",(VLOOKUP($B204,'E-1 Off-Site Hedge Baseline'!$B$1:$L$258,4,FALSE))))</f>
        <v/>
      </c>
      <c r="E204" s="301" t="str">
        <f>IF(B204="","",IF(ISNA(VLOOKUP($B204,'E-1 Off-Site Hedge Baseline'!$B$1:$L$257,5,FALSE)),"",(VLOOKUP($B204,'E-1 Off-Site Hedge Baseline'!$B$1:$L$257,5,FALSE))))</f>
        <v/>
      </c>
      <c r="F204" s="301" t="str">
        <f>IF(B204="","",IF(ISNA(VLOOKUP($B204,'E-1 Off-Site Hedge Baseline'!$B$1:$L$257,6,FALSE)),"",(VLOOKUP($B204,'E-1 Off-Site Hedge Baseline'!$B$1:$L$257,6,FALSE))))</f>
        <v/>
      </c>
      <c r="G204" s="301" t="str">
        <f>IF(B204="","",IF(ISNA(VLOOKUP($B204,'E-1 Off-Site Hedge Baseline'!$B$1:$L$257,7,FALSE)),"",(VLOOKUP($B204,'E-1 Off-Site Hedge Baseline'!$B$1:$L$257,7,FALSE))))</f>
        <v/>
      </c>
      <c r="H204" s="301" t="str">
        <f>IF(B204="","",IF(ISNA(VLOOKUP($B204,'E-1 Off-Site Hedge Baseline'!$B$1:$L$257,8,FALSE)),"",(VLOOKUP($B204,'E-1 Off-Site Hedge Baseline'!$B$1:$L$257,8,FALSE))))</f>
        <v/>
      </c>
      <c r="I204" s="301" t="str">
        <f>IF(B204="","",IF(ISNA(VLOOKUP($B204,'E-1 Off-Site Hedge Baseline'!$B$1:$L$257,10,FALSE)),"",(VLOOKUP($B204,'E-1 Off-Site Hedge Baseline'!$B$1:$L$257,10,FALSE))))</f>
        <v/>
      </c>
      <c r="J204" s="301" t="str">
        <f>IF(B204="","",IF(ISNA(VLOOKUP($B204,'E-1 Off-Site Hedge Baseline'!$B$1:$L$257,11,FALSE)),"",(VLOOKUP($B204,'E-1 Off-Site Hedge Baseline'!$B$1:$L$257,11,FALSE))))</f>
        <v/>
      </c>
      <c r="K204" s="301" t="str">
        <f>IF(B204="","",IF(ISNA(VLOOKUP($B204,'E-1 Off-Site Hedge Baseline'!$B$1:$X$257,16,FALSE)),"",(VLOOKUP($B204,'E-1 Off-Site Hedge Baseline'!$B$1:$X$257,16,FALSE))))</f>
        <v/>
      </c>
      <c r="L204" s="289" t="str">
        <f>IF(B204="","",IF(ISNA(VLOOKUP($B204,'E-1 Off-Site Hedge Baseline'!$B$1:$X$257,12,FALSE)),"",(VLOOKUP($B204,'E-1 Off-Site Hedge Baseline'!$B$1:$X$257,12,FALSE))))</f>
        <v/>
      </c>
      <c r="M204" s="250"/>
      <c r="N204" s="281" t="str">
        <f>IFERROR(IF(B204="","",INDEX('G-6 Hedgerow Data'!$AN$3:$AZ$15,MATCH(C204,'G-6 Hedgerow Data'!$AM$3:$AM$15,0),MATCH(M204,'G-6 Hedgerow Data'!$AN$2:$AZ$2,0))),"")</f>
        <v/>
      </c>
      <c r="O204" s="282" t="str">
        <f t="shared" si="17"/>
        <v/>
      </c>
      <c r="P204" s="287" t="str">
        <f>IF(B204="","",VLOOKUP(B204,'E-1 Off-Site Hedge Baseline'!$B$10:W449,19,FALSE))</f>
        <v/>
      </c>
      <c r="Q204" s="281" t="str">
        <f>IF(M204="","",VLOOKUP(M204,'G-6 Hedgerow Data'!$B$2:$AG$15,2,FALSE))</f>
        <v/>
      </c>
      <c r="R204" s="282" t="str">
        <f>IF(M204="","",VLOOKUP(M204,'G-6 Hedgerow Data'!$B$2:$AG$15,3,FALSE))</f>
        <v/>
      </c>
      <c r="S204" s="105"/>
      <c r="T204" s="282" t="str">
        <f>IFERROR(IF(S204="","",IF(AND(M204="Non-native and ornamental hedgerow", S204&lt;&gt;"Poor"),"Not possible ▲", (IF(AND(Q204="V.Low",OR(S204="Good",S204="Moderate")),"Error ▲",VLOOKUP(S204,'G-1 All Habitats'!$Z$2:$AA$9,2,FALSE))))),"")</f>
        <v/>
      </c>
      <c r="U204" s="105"/>
      <c r="V204" s="289" t="str">
        <f>IF(U204="","",IF(VLOOKUP(U204,'G-3 Multipliers'!$L$3:$N$6,2,FALSE)=0,"Spatial Data Missing ⚠",VLOOKUP(U204,'G-3 Multipliers'!$L$3:$N$6,2,FALSE)))</f>
        <v/>
      </c>
      <c r="W204" s="287" t="str">
        <f>IF(U204="","",IF(VLOOKUP(U204,'G-3 Multipliers'!$L$3:$N$6,3,FALSE)=0,"Spatial Data Missing ⚠",VLOOKUP(U204,'G-3 Multipliers'!$L$3:$N$6,3,FALSE)))</f>
        <v/>
      </c>
      <c r="X204" s="281" t="str">
        <f>IFERROR(IF(OR(LEFT(O204,5)="Error",LEFT(N204,5)="Error",T204="Error"),"Check Data ⚠",IF(F204&lt;R204,INDEX('G-6 Hedgerow Data'!$S$3:$AE$14,MATCH(C204,'G-6 Hedgerow Data'!$B$3:$B$14,0),MATCH(M204,'G-6 Hedgerow Data'!$S$2:$AE$2,0)),INDEX('G-6 Hedgerow Data'!$K$3:$Q$14,MATCH(M204,'G-6 Hedgerow Data'!$B$3:$B$14,0),MATCH(O204,'G-6 Hedgerow Data'!$K$2:$Q$2,0)))),"")</f>
        <v/>
      </c>
      <c r="Y204" s="137"/>
      <c r="Z204" s="137"/>
      <c r="AA204" s="289" t="str">
        <f t="shared" si="18"/>
        <v/>
      </c>
      <c r="AB204" s="302" t="str">
        <f t="shared" si="19"/>
        <v/>
      </c>
      <c r="AC204" s="303" t="str">
        <f t="shared" ref="AC204:AC257" si="24">IF(OR(S204="",M204=""),"",IF(LEFT(AB204,5)="Error ▲","Check Data ⚠",IF(AB204="Check Data ⚠","Check Data ⚠",VLOOKUP(AB204,TemporalMultipliers,3,FALSE))))</f>
        <v/>
      </c>
      <c r="AD204" s="317" t="str">
        <f>IF(M204="","",VLOOKUP(M204,'G-6 Hedgerow Data'!$B$3:$AG$15,31,FALSE))</f>
        <v/>
      </c>
      <c r="AE204" s="301" t="str">
        <f t="shared" si="20"/>
        <v/>
      </c>
      <c r="AF204" s="289" t="str">
        <f t="shared" si="21"/>
        <v/>
      </c>
      <c r="AG204" s="305" t="str">
        <f>IFERROR(IF(O204="","",VLOOKUP(AD204,'G-3 Multipliers'!$P$3:$Q$6,2,FALSE)),"")</f>
        <v/>
      </c>
      <c r="AH204" s="729" t="str">
        <f>IF(B204="","",IF(ISNA(VLOOKUP($B204,'E-1 Off-Site Hedge Baseline'!$B$1:$Z$257,14,FALSE)),"",(VLOOKUP($B204,'E-1 Off-Site Hedge Baseline'!$B$1:$Z$257,14,FALSE))))</f>
        <v/>
      </c>
      <c r="AI204" s="282" t="str">
        <f>IF(AH204="","",IF(VLOOKUP(AH204,'G-3 Multipliers'!$S$3:$T$10,2,FALSE)=0,"Spatial Data Missing ⚠",VLOOKUP(AH204,'G-3 Multipliers'!$S$3:$T$10,2,FALSE)))</f>
        <v/>
      </c>
      <c r="AJ204" s="323" t="str">
        <f t="shared" si="22"/>
        <v/>
      </c>
      <c r="AK204" s="295" t="str">
        <f t="shared" si="23"/>
        <v/>
      </c>
      <c r="AL204" s="105"/>
      <c r="AM204" s="119"/>
      <c r="AN204" s="108"/>
      <c r="AO204" s="108"/>
      <c r="AQ204" s="30" t="str">
        <f>IFERROR(INDEX('G-6 Hedgerow Data'!$BJ$3:$BJ$15,MATCH(M204,'G-6 Hedgerow Data'!$B$3:$B$15,0)),"")</f>
        <v/>
      </c>
    </row>
    <row r="205" spans="2:43" ht="13.8" x14ac:dyDescent="0.25">
      <c r="B205" s="311" t="str">
        <f>'E-1 Off-Site Hedge Baseline'!AN203</f>
        <v/>
      </c>
      <c r="C205" s="301" t="str">
        <f>IF(B205="","",IF(ISNA(VLOOKUP($B205,'E-1 Off-Site Hedge Baseline'!$B$1:$L$257,3,FALSE)),"",(VLOOKUP($B205,'E-1 Off-Site Hedge Baseline'!$B$1:$L$257,3,FALSE))))</f>
        <v/>
      </c>
      <c r="D205" s="301" t="str">
        <f>IF(B205="","",IF(ISNA(VLOOKUP($B205,'E-1 Off-Site Hedge Baseline'!$B$1:$L$258,4,FALSE)),"",(VLOOKUP($B205,'E-1 Off-Site Hedge Baseline'!$B$1:$L$258,4,FALSE))))</f>
        <v/>
      </c>
      <c r="E205" s="301" t="str">
        <f>IF(B205="","",IF(ISNA(VLOOKUP($B205,'E-1 Off-Site Hedge Baseline'!$B$1:$L$257,5,FALSE)),"",(VLOOKUP($B205,'E-1 Off-Site Hedge Baseline'!$B$1:$L$257,5,FALSE))))</f>
        <v/>
      </c>
      <c r="F205" s="301" t="str">
        <f>IF(B205="","",IF(ISNA(VLOOKUP($B205,'E-1 Off-Site Hedge Baseline'!$B$1:$L$257,6,FALSE)),"",(VLOOKUP($B205,'E-1 Off-Site Hedge Baseline'!$B$1:$L$257,6,FALSE))))</f>
        <v/>
      </c>
      <c r="G205" s="301" t="str">
        <f>IF(B205="","",IF(ISNA(VLOOKUP($B205,'E-1 Off-Site Hedge Baseline'!$B$1:$L$257,7,FALSE)),"",(VLOOKUP($B205,'E-1 Off-Site Hedge Baseline'!$B$1:$L$257,7,FALSE))))</f>
        <v/>
      </c>
      <c r="H205" s="301" t="str">
        <f>IF(B205="","",IF(ISNA(VLOOKUP($B205,'E-1 Off-Site Hedge Baseline'!$B$1:$L$257,8,FALSE)),"",(VLOOKUP($B205,'E-1 Off-Site Hedge Baseline'!$B$1:$L$257,8,FALSE))))</f>
        <v/>
      </c>
      <c r="I205" s="301" t="str">
        <f>IF(B205="","",IF(ISNA(VLOOKUP($B205,'E-1 Off-Site Hedge Baseline'!$B$1:$L$257,10,FALSE)),"",(VLOOKUP($B205,'E-1 Off-Site Hedge Baseline'!$B$1:$L$257,10,FALSE))))</f>
        <v/>
      </c>
      <c r="J205" s="301" t="str">
        <f>IF(B205="","",IF(ISNA(VLOOKUP($B205,'E-1 Off-Site Hedge Baseline'!$B$1:$L$257,11,FALSE)),"",(VLOOKUP($B205,'E-1 Off-Site Hedge Baseline'!$B$1:$L$257,11,FALSE))))</f>
        <v/>
      </c>
      <c r="K205" s="301" t="str">
        <f>IF(B205="","",IF(ISNA(VLOOKUP($B205,'E-1 Off-Site Hedge Baseline'!$B$1:$X$257,16,FALSE)),"",(VLOOKUP($B205,'E-1 Off-Site Hedge Baseline'!$B$1:$X$257,16,FALSE))))</f>
        <v/>
      </c>
      <c r="L205" s="289" t="str">
        <f>IF(B205="","",IF(ISNA(VLOOKUP($B205,'E-1 Off-Site Hedge Baseline'!$B$1:$X$257,12,FALSE)),"",(VLOOKUP($B205,'E-1 Off-Site Hedge Baseline'!$B$1:$X$257,12,FALSE))))</f>
        <v/>
      </c>
      <c r="M205" s="250"/>
      <c r="N205" s="281" t="str">
        <f>IFERROR(IF(B205="","",INDEX('G-6 Hedgerow Data'!$AN$3:$AZ$15,MATCH(C205,'G-6 Hedgerow Data'!$AM$3:$AM$15,0),MATCH(M205,'G-6 Hedgerow Data'!$AN$2:$AZ$2,0))),"")</f>
        <v/>
      </c>
      <c r="O205" s="282" t="str">
        <f t="shared" ref="O205:O257" si="25">IFERROR(IF(B205="","",IF(AND(LEFT(C205,55)&lt;&gt;LEFT(M205,55),N205="High - High"),"Error - Not like for like ▲",IF(H205&gt;T205,"Error - Can not reduce condition ▲",IF(AND(F205=R205,H205=T205),"Error - No enhancement ▲",IF(AND(C205&lt;&gt;M205,F205&lt;R205),"Lower Distinctiveness Habitat"&amp;" - "&amp;S205,G205&amp;" - "&amp;S205))))),"")</f>
        <v/>
      </c>
      <c r="P205" s="287" t="str">
        <f>IF(B205="","",VLOOKUP(B205,'E-1 Off-Site Hedge Baseline'!$B$10:W450,19,FALSE))</f>
        <v/>
      </c>
      <c r="Q205" s="281" t="str">
        <f>IF(M205="","",VLOOKUP(M205,'G-6 Hedgerow Data'!$B$2:$AG$15,2,FALSE))</f>
        <v/>
      </c>
      <c r="R205" s="282" t="str">
        <f>IF(M205="","",VLOOKUP(M205,'G-6 Hedgerow Data'!$B$2:$AG$15,3,FALSE))</f>
        <v/>
      </c>
      <c r="S205" s="105"/>
      <c r="T205" s="282" t="str">
        <f>IFERROR(IF(S205="","",IF(AND(M205="Non-native and ornamental hedgerow", S205&lt;&gt;"Poor"),"Not possible ▲", (IF(AND(Q205="V.Low",OR(S205="Good",S205="Moderate")),"Error ▲",VLOOKUP(S205,'G-1 All Habitats'!$Z$2:$AA$9,2,FALSE))))),"")</f>
        <v/>
      </c>
      <c r="U205" s="105"/>
      <c r="V205" s="289" t="str">
        <f>IF(U205="","",IF(VLOOKUP(U205,'G-3 Multipliers'!$L$3:$N$6,2,FALSE)=0,"Spatial Data Missing ⚠",VLOOKUP(U205,'G-3 Multipliers'!$L$3:$N$6,2,FALSE)))</f>
        <v/>
      </c>
      <c r="W205" s="287" t="str">
        <f>IF(U205="","",IF(VLOOKUP(U205,'G-3 Multipliers'!$L$3:$N$6,3,FALSE)=0,"Spatial Data Missing ⚠",VLOOKUP(U205,'G-3 Multipliers'!$L$3:$N$6,3,FALSE)))</f>
        <v/>
      </c>
      <c r="X205" s="281" t="str">
        <f>IFERROR(IF(OR(LEFT(O205,5)="Error",LEFT(N205,5)="Error",T205="Error"),"Check Data ⚠",IF(F205&lt;R205,INDEX('G-6 Hedgerow Data'!$S$3:$AE$14,MATCH(C205,'G-6 Hedgerow Data'!$B$3:$B$14,0),MATCH(M205,'G-6 Hedgerow Data'!$S$2:$AE$2,0)),INDEX('G-6 Hedgerow Data'!$K$3:$Q$14,MATCH(M205,'G-6 Hedgerow Data'!$B$3:$B$14,0),MATCH(O205,'G-6 Hedgerow Data'!$K$2:$Q$2,0)))),"")</f>
        <v/>
      </c>
      <c r="Y205" s="137"/>
      <c r="Z205" s="137"/>
      <c r="AA205" s="289" t="str">
        <f t="shared" ref="AA205:AA257" si="26">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02" t="str">
        <f t="shared" ref="AB205:AB257" si="27">IF(X205="","",IF(AA205="Check Data ⚠","Check Data ⚠",IF(X205="Not possible ▲", "Check data ⚠", IF(Y205="30+",0,IF(Z205="30+","30+",IF(X205+Z205&gt;30,"30+",IF(AA205="Error -both advance and delayed habitat creation ▲","Check Data ⚠",IF(X205+Z205-Y205&gt;0,X205+Z205-Y205,IF(X205-Y205&lt;=0,0,)))))))))</f>
        <v/>
      </c>
      <c r="AC205" s="303" t="str">
        <f t="shared" si="24"/>
        <v/>
      </c>
      <c r="AD205" s="317" t="str">
        <f>IF(M205="","",VLOOKUP(M205,'G-6 Hedgerow Data'!$B$3:$AG$15,31,FALSE))</f>
        <v/>
      </c>
      <c r="AE205" s="301" t="str">
        <f t="shared" ref="AE205:AE257" si="28">IF(M205="","",IF(OR(LEFT(AA205,5)="Error ▲",AA205="Check Data ⚠"),"Check Data ⚠",IF(X205="","",IF($AA205="Check details - Is there evidence that habitat has reached target condition? ⚠","Low Difficulty - only applicable if all habitat created before losses ⚠","Standard difficulty applied"))))</f>
        <v/>
      </c>
      <c r="AF205" s="289" t="str">
        <f t="shared" ref="AF205:AF257" si="29">(IF(AND(AE205="Yes",X205&gt;Y205),AD205,IF(AB205="Check data ⚠", "Check data ⚠", IF(AND(AE205="Low Difficulty - only applicable if all habitat created before losses ⚠",Y205&gt;=X205),"Low",AD205))))</f>
        <v/>
      </c>
      <c r="AG205" s="305" t="str">
        <f>IFERROR(IF(O205="","",VLOOKUP(AD205,'G-3 Multipliers'!$P$3:$Q$6,2,FALSE)),"")</f>
        <v/>
      </c>
      <c r="AH205" s="729" t="str">
        <f>IF(B205="","",IF(ISNA(VLOOKUP($B205,'E-1 Off-Site Hedge Baseline'!$B$1:$Z$257,14,FALSE)),"",(VLOOKUP($B205,'E-1 Off-Site Hedge Baseline'!$B$1:$Z$257,14,FALSE))))</f>
        <v/>
      </c>
      <c r="AI205" s="282" t="str">
        <f>IF(AH205="","",IF(VLOOKUP(AH205,'G-3 Multipliers'!$S$3:$T$10,2,FALSE)=0,"Spatial Data Missing ⚠",VLOOKUP(AH205,'G-3 Multipliers'!$S$3:$T$10,2,FALSE)))</f>
        <v/>
      </c>
      <c r="AJ205" s="323" t="str">
        <f t="shared" ref="AJ205:AJ257" si="30">IFERROR(IF(AK205="Check data ⚠", "Check data ⚠",(IF(OR(M205="",S205="",U205="",AH205=""),"",(((((P205*R205*T205)-(P205*F205*H205))*(AG205*AC205))+(P205*F205*H205))*(W205)*AI205)))),"")</f>
        <v/>
      </c>
      <c r="AK205" s="295" t="str">
        <f t="shared" ref="AK205:AK257" si="31">IFERROR(IF(K205="Check data ⚠", "Check data ⚠", (IF(AND(AH205&lt;&gt;"",AO205=""), "Off-site reference required ▲",(IF(OR(M205="",S205="",U205="",AH205=""),"", IF(AH205="","",(((((P205*R205*T205)-(P205*F205*H205))*(AG205*AC205))+(P205*F205*H205))*(W205)))))))),"")</f>
        <v/>
      </c>
      <c r="AL205" s="105"/>
      <c r="AM205" s="119"/>
      <c r="AN205" s="108"/>
      <c r="AO205" s="108"/>
      <c r="AQ205" s="30" t="str">
        <f>IFERROR(INDEX('G-6 Hedgerow Data'!$BJ$3:$BJ$15,MATCH(M205,'G-6 Hedgerow Data'!$B$3:$B$15,0)),"")</f>
        <v/>
      </c>
    </row>
    <row r="206" spans="2:43" ht="13.8" x14ac:dyDescent="0.25">
      <c r="B206" s="311" t="str">
        <f>'E-1 Off-Site Hedge Baseline'!AN204</f>
        <v/>
      </c>
      <c r="C206" s="301" t="str">
        <f>IF(B206="","",IF(ISNA(VLOOKUP($B206,'E-1 Off-Site Hedge Baseline'!$B$1:$L$257,3,FALSE)),"",(VLOOKUP($B206,'E-1 Off-Site Hedge Baseline'!$B$1:$L$257,3,FALSE))))</f>
        <v/>
      </c>
      <c r="D206" s="301" t="str">
        <f>IF(B206="","",IF(ISNA(VLOOKUP($B206,'E-1 Off-Site Hedge Baseline'!$B$1:$L$258,4,FALSE)),"",(VLOOKUP($B206,'E-1 Off-Site Hedge Baseline'!$B$1:$L$258,4,FALSE))))</f>
        <v/>
      </c>
      <c r="E206" s="301" t="str">
        <f>IF(B206="","",IF(ISNA(VLOOKUP($B206,'E-1 Off-Site Hedge Baseline'!$B$1:$L$257,5,FALSE)),"",(VLOOKUP($B206,'E-1 Off-Site Hedge Baseline'!$B$1:$L$257,5,FALSE))))</f>
        <v/>
      </c>
      <c r="F206" s="301" t="str">
        <f>IF(B206="","",IF(ISNA(VLOOKUP($B206,'E-1 Off-Site Hedge Baseline'!$B$1:$L$257,6,FALSE)),"",(VLOOKUP($B206,'E-1 Off-Site Hedge Baseline'!$B$1:$L$257,6,FALSE))))</f>
        <v/>
      </c>
      <c r="G206" s="301" t="str">
        <f>IF(B206="","",IF(ISNA(VLOOKUP($B206,'E-1 Off-Site Hedge Baseline'!$B$1:$L$257,7,FALSE)),"",(VLOOKUP($B206,'E-1 Off-Site Hedge Baseline'!$B$1:$L$257,7,FALSE))))</f>
        <v/>
      </c>
      <c r="H206" s="301" t="str">
        <f>IF(B206="","",IF(ISNA(VLOOKUP($B206,'E-1 Off-Site Hedge Baseline'!$B$1:$L$257,8,FALSE)),"",(VLOOKUP($B206,'E-1 Off-Site Hedge Baseline'!$B$1:$L$257,8,FALSE))))</f>
        <v/>
      </c>
      <c r="I206" s="301" t="str">
        <f>IF(B206="","",IF(ISNA(VLOOKUP($B206,'E-1 Off-Site Hedge Baseline'!$B$1:$L$257,10,FALSE)),"",(VLOOKUP($B206,'E-1 Off-Site Hedge Baseline'!$B$1:$L$257,10,FALSE))))</f>
        <v/>
      </c>
      <c r="J206" s="301" t="str">
        <f>IF(B206="","",IF(ISNA(VLOOKUP($B206,'E-1 Off-Site Hedge Baseline'!$B$1:$L$257,11,FALSE)),"",(VLOOKUP($B206,'E-1 Off-Site Hedge Baseline'!$B$1:$L$257,11,FALSE))))</f>
        <v/>
      </c>
      <c r="K206" s="301" t="str">
        <f>IF(B206="","",IF(ISNA(VLOOKUP($B206,'E-1 Off-Site Hedge Baseline'!$B$1:$X$257,16,FALSE)),"",(VLOOKUP($B206,'E-1 Off-Site Hedge Baseline'!$B$1:$X$257,16,FALSE))))</f>
        <v/>
      </c>
      <c r="L206" s="289" t="str">
        <f>IF(B206="","",IF(ISNA(VLOOKUP($B206,'E-1 Off-Site Hedge Baseline'!$B$1:$X$257,12,FALSE)),"",(VLOOKUP($B206,'E-1 Off-Site Hedge Baseline'!$B$1:$X$257,12,FALSE))))</f>
        <v/>
      </c>
      <c r="M206" s="250"/>
      <c r="N206" s="281" t="str">
        <f>IFERROR(IF(B206="","",INDEX('G-6 Hedgerow Data'!$AN$3:$AZ$15,MATCH(C206,'G-6 Hedgerow Data'!$AM$3:$AM$15,0),MATCH(M206,'G-6 Hedgerow Data'!$AN$2:$AZ$2,0))),"")</f>
        <v/>
      </c>
      <c r="O206" s="282" t="str">
        <f t="shared" si="25"/>
        <v/>
      </c>
      <c r="P206" s="287" t="str">
        <f>IF(B206="","",VLOOKUP(B206,'E-1 Off-Site Hedge Baseline'!$B$10:W451,19,FALSE))</f>
        <v/>
      </c>
      <c r="Q206" s="281" t="str">
        <f>IF(M206="","",VLOOKUP(M206,'G-6 Hedgerow Data'!$B$2:$AG$15,2,FALSE))</f>
        <v/>
      </c>
      <c r="R206" s="282" t="str">
        <f>IF(M206="","",VLOOKUP(M206,'G-6 Hedgerow Data'!$B$2:$AG$15,3,FALSE))</f>
        <v/>
      </c>
      <c r="S206" s="105"/>
      <c r="T206" s="282" t="str">
        <f>IFERROR(IF(S206="","",IF(AND(M206="Non-native and ornamental hedgerow", S206&lt;&gt;"Poor"),"Not possible ▲", (IF(AND(Q206="V.Low",OR(S206="Good",S206="Moderate")),"Error ▲",VLOOKUP(S206,'G-1 All Habitats'!$Z$2:$AA$9,2,FALSE))))),"")</f>
        <v/>
      </c>
      <c r="U206" s="105"/>
      <c r="V206" s="289" t="str">
        <f>IF(U206="","",IF(VLOOKUP(U206,'G-3 Multipliers'!$L$3:$N$6,2,FALSE)=0,"Spatial Data Missing ⚠",VLOOKUP(U206,'G-3 Multipliers'!$L$3:$N$6,2,FALSE)))</f>
        <v/>
      </c>
      <c r="W206" s="287" t="str">
        <f>IF(U206="","",IF(VLOOKUP(U206,'G-3 Multipliers'!$L$3:$N$6,3,FALSE)=0,"Spatial Data Missing ⚠",VLOOKUP(U206,'G-3 Multipliers'!$L$3:$N$6,3,FALSE)))</f>
        <v/>
      </c>
      <c r="X206" s="281" t="str">
        <f>IFERROR(IF(OR(LEFT(O206,5)="Error",LEFT(N206,5)="Error",T206="Error"),"Check Data ⚠",IF(F206&lt;R206,INDEX('G-6 Hedgerow Data'!$S$3:$AE$14,MATCH(C206,'G-6 Hedgerow Data'!$B$3:$B$14,0),MATCH(M206,'G-6 Hedgerow Data'!$S$2:$AE$2,0)),INDEX('G-6 Hedgerow Data'!$K$3:$Q$14,MATCH(M206,'G-6 Hedgerow Data'!$B$3:$B$14,0),MATCH(O206,'G-6 Hedgerow Data'!$K$2:$Q$2,0)))),"")</f>
        <v/>
      </c>
      <c r="Y206" s="137"/>
      <c r="Z206" s="137"/>
      <c r="AA206" s="289" t="str">
        <f t="shared" si="26"/>
        <v/>
      </c>
      <c r="AB206" s="302" t="str">
        <f t="shared" si="27"/>
        <v/>
      </c>
      <c r="AC206" s="303" t="str">
        <f t="shared" si="24"/>
        <v/>
      </c>
      <c r="AD206" s="317" t="str">
        <f>IF(M206="","",VLOOKUP(M206,'G-6 Hedgerow Data'!$B$3:$AG$15,31,FALSE))</f>
        <v/>
      </c>
      <c r="AE206" s="301" t="str">
        <f t="shared" si="28"/>
        <v/>
      </c>
      <c r="AF206" s="289" t="str">
        <f t="shared" si="29"/>
        <v/>
      </c>
      <c r="AG206" s="305" t="str">
        <f>IFERROR(IF(O206="","",VLOOKUP(AD206,'G-3 Multipliers'!$P$3:$Q$6,2,FALSE)),"")</f>
        <v/>
      </c>
      <c r="AH206" s="729" t="str">
        <f>IF(B206="","",IF(ISNA(VLOOKUP($B206,'E-1 Off-Site Hedge Baseline'!$B$1:$Z$257,14,FALSE)),"",(VLOOKUP($B206,'E-1 Off-Site Hedge Baseline'!$B$1:$Z$257,14,FALSE))))</f>
        <v/>
      </c>
      <c r="AI206" s="282" t="str">
        <f>IF(AH206="","",IF(VLOOKUP(AH206,'G-3 Multipliers'!$S$3:$T$10,2,FALSE)=0,"Spatial Data Missing ⚠",VLOOKUP(AH206,'G-3 Multipliers'!$S$3:$T$10,2,FALSE)))</f>
        <v/>
      </c>
      <c r="AJ206" s="323" t="str">
        <f t="shared" si="30"/>
        <v/>
      </c>
      <c r="AK206" s="295" t="str">
        <f t="shared" si="31"/>
        <v/>
      </c>
      <c r="AL206" s="105"/>
      <c r="AM206" s="119"/>
      <c r="AN206" s="108"/>
      <c r="AO206" s="108"/>
      <c r="AQ206" s="30" t="str">
        <f>IFERROR(INDEX('G-6 Hedgerow Data'!$BJ$3:$BJ$15,MATCH(M206,'G-6 Hedgerow Data'!$B$3:$B$15,0)),"")</f>
        <v/>
      </c>
    </row>
    <row r="207" spans="2:43" ht="13.8" x14ac:dyDescent="0.25">
      <c r="B207" s="311" t="str">
        <f>'E-1 Off-Site Hedge Baseline'!AN205</f>
        <v/>
      </c>
      <c r="C207" s="301" t="str">
        <f>IF(B207="","",IF(ISNA(VLOOKUP($B207,'E-1 Off-Site Hedge Baseline'!$B$1:$L$257,3,FALSE)),"",(VLOOKUP($B207,'E-1 Off-Site Hedge Baseline'!$B$1:$L$257,3,FALSE))))</f>
        <v/>
      </c>
      <c r="D207" s="301" t="str">
        <f>IF(B207="","",IF(ISNA(VLOOKUP($B207,'E-1 Off-Site Hedge Baseline'!$B$1:$L$258,4,FALSE)),"",(VLOOKUP($B207,'E-1 Off-Site Hedge Baseline'!$B$1:$L$258,4,FALSE))))</f>
        <v/>
      </c>
      <c r="E207" s="301" t="str">
        <f>IF(B207="","",IF(ISNA(VLOOKUP($B207,'E-1 Off-Site Hedge Baseline'!$B$1:$L$257,5,FALSE)),"",(VLOOKUP($B207,'E-1 Off-Site Hedge Baseline'!$B$1:$L$257,5,FALSE))))</f>
        <v/>
      </c>
      <c r="F207" s="301" t="str">
        <f>IF(B207="","",IF(ISNA(VLOOKUP($B207,'E-1 Off-Site Hedge Baseline'!$B$1:$L$257,6,FALSE)),"",(VLOOKUP($B207,'E-1 Off-Site Hedge Baseline'!$B$1:$L$257,6,FALSE))))</f>
        <v/>
      </c>
      <c r="G207" s="301" t="str">
        <f>IF(B207="","",IF(ISNA(VLOOKUP($B207,'E-1 Off-Site Hedge Baseline'!$B$1:$L$257,7,FALSE)),"",(VLOOKUP($B207,'E-1 Off-Site Hedge Baseline'!$B$1:$L$257,7,FALSE))))</f>
        <v/>
      </c>
      <c r="H207" s="301" t="str">
        <f>IF(B207="","",IF(ISNA(VLOOKUP($B207,'E-1 Off-Site Hedge Baseline'!$B$1:$L$257,8,FALSE)),"",(VLOOKUP($B207,'E-1 Off-Site Hedge Baseline'!$B$1:$L$257,8,FALSE))))</f>
        <v/>
      </c>
      <c r="I207" s="301" t="str">
        <f>IF(B207="","",IF(ISNA(VLOOKUP($B207,'E-1 Off-Site Hedge Baseline'!$B$1:$L$257,10,FALSE)),"",(VLOOKUP($B207,'E-1 Off-Site Hedge Baseline'!$B$1:$L$257,10,FALSE))))</f>
        <v/>
      </c>
      <c r="J207" s="301" t="str">
        <f>IF(B207="","",IF(ISNA(VLOOKUP($B207,'E-1 Off-Site Hedge Baseline'!$B$1:$L$257,11,FALSE)),"",(VLOOKUP($B207,'E-1 Off-Site Hedge Baseline'!$B$1:$L$257,11,FALSE))))</f>
        <v/>
      </c>
      <c r="K207" s="301" t="str">
        <f>IF(B207="","",IF(ISNA(VLOOKUP($B207,'E-1 Off-Site Hedge Baseline'!$B$1:$X$257,16,FALSE)),"",(VLOOKUP($B207,'E-1 Off-Site Hedge Baseline'!$B$1:$X$257,16,FALSE))))</f>
        <v/>
      </c>
      <c r="L207" s="289" t="str">
        <f>IF(B207="","",IF(ISNA(VLOOKUP($B207,'E-1 Off-Site Hedge Baseline'!$B$1:$X$257,12,FALSE)),"",(VLOOKUP($B207,'E-1 Off-Site Hedge Baseline'!$B$1:$X$257,12,FALSE))))</f>
        <v/>
      </c>
      <c r="M207" s="250"/>
      <c r="N207" s="281" t="str">
        <f>IFERROR(IF(B207="","",INDEX('G-6 Hedgerow Data'!$AN$3:$AZ$15,MATCH(C207,'G-6 Hedgerow Data'!$AM$3:$AM$15,0),MATCH(M207,'G-6 Hedgerow Data'!$AN$2:$AZ$2,0))),"")</f>
        <v/>
      </c>
      <c r="O207" s="282" t="str">
        <f t="shared" si="25"/>
        <v/>
      </c>
      <c r="P207" s="287" t="str">
        <f>IF(B207="","",VLOOKUP(B207,'E-1 Off-Site Hedge Baseline'!$B$10:W452,19,FALSE))</f>
        <v/>
      </c>
      <c r="Q207" s="281" t="str">
        <f>IF(M207="","",VLOOKUP(M207,'G-6 Hedgerow Data'!$B$2:$AG$15,2,FALSE))</f>
        <v/>
      </c>
      <c r="R207" s="282" t="str">
        <f>IF(M207="","",VLOOKUP(M207,'G-6 Hedgerow Data'!$B$2:$AG$15,3,FALSE))</f>
        <v/>
      </c>
      <c r="S207" s="105"/>
      <c r="T207" s="282" t="str">
        <f>IFERROR(IF(S207="","",IF(AND(M207="Non-native and ornamental hedgerow", S207&lt;&gt;"Poor"),"Not possible ▲", (IF(AND(Q207="V.Low",OR(S207="Good",S207="Moderate")),"Error ▲",VLOOKUP(S207,'G-1 All Habitats'!$Z$2:$AA$9,2,FALSE))))),"")</f>
        <v/>
      </c>
      <c r="U207" s="105"/>
      <c r="V207" s="289" t="str">
        <f>IF(U207="","",IF(VLOOKUP(U207,'G-3 Multipliers'!$L$3:$N$6,2,FALSE)=0,"Spatial Data Missing ⚠",VLOOKUP(U207,'G-3 Multipliers'!$L$3:$N$6,2,FALSE)))</f>
        <v/>
      </c>
      <c r="W207" s="287" t="str">
        <f>IF(U207="","",IF(VLOOKUP(U207,'G-3 Multipliers'!$L$3:$N$6,3,FALSE)=0,"Spatial Data Missing ⚠",VLOOKUP(U207,'G-3 Multipliers'!$L$3:$N$6,3,FALSE)))</f>
        <v/>
      </c>
      <c r="X207" s="281" t="str">
        <f>IFERROR(IF(OR(LEFT(O207,5)="Error",LEFT(N207,5)="Error",T207="Error"),"Check Data ⚠",IF(F207&lt;R207,INDEX('G-6 Hedgerow Data'!$S$3:$AE$14,MATCH(C207,'G-6 Hedgerow Data'!$B$3:$B$14,0),MATCH(M207,'G-6 Hedgerow Data'!$S$2:$AE$2,0)),INDEX('G-6 Hedgerow Data'!$K$3:$Q$14,MATCH(M207,'G-6 Hedgerow Data'!$B$3:$B$14,0),MATCH(O207,'G-6 Hedgerow Data'!$K$2:$Q$2,0)))),"")</f>
        <v/>
      </c>
      <c r="Y207" s="137"/>
      <c r="Z207" s="137"/>
      <c r="AA207" s="289" t="str">
        <f t="shared" si="26"/>
        <v/>
      </c>
      <c r="AB207" s="302" t="str">
        <f t="shared" si="27"/>
        <v/>
      </c>
      <c r="AC207" s="303" t="str">
        <f t="shared" si="24"/>
        <v/>
      </c>
      <c r="AD207" s="317" t="str">
        <f>IF(M207="","",VLOOKUP(M207,'G-6 Hedgerow Data'!$B$3:$AG$15,31,FALSE))</f>
        <v/>
      </c>
      <c r="AE207" s="301" t="str">
        <f t="shared" si="28"/>
        <v/>
      </c>
      <c r="AF207" s="289" t="str">
        <f t="shared" si="29"/>
        <v/>
      </c>
      <c r="AG207" s="305" t="str">
        <f>IFERROR(IF(O207="","",VLOOKUP(AD207,'G-3 Multipliers'!$P$3:$Q$6,2,FALSE)),"")</f>
        <v/>
      </c>
      <c r="AH207" s="729" t="str">
        <f>IF(B207="","",IF(ISNA(VLOOKUP($B207,'E-1 Off-Site Hedge Baseline'!$B$1:$Z$257,14,FALSE)),"",(VLOOKUP($B207,'E-1 Off-Site Hedge Baseline'!$B$1:$Z$257,14,FALSE))))</f>
        <v/>
      </c>
      <c r="AI207" s="282" t="str">
        <f>IF(AH207="","",IF(VLOOKUP(AH207,'G-3 Multipliers'!$S$3:$T$10,2,FALSE)=0,"Spatial Data Missing ⚠",VLOOKUP(AH207,'G-3 Multipliers'!$S$3:$T$10,2,FALSE)))</f>
        <v/>
      </c>
      <c r="AJ207" s="323" t="str">
        <f t="shared" si="30"/>
        <v/>
      </c>
      <c r="AK207" s="295" t="str">
        <f t="shared" si="31"/>
        <v/>
      </c>
      <c r="AL207" s="105"/>
      <c r="AM207" s="119"/>
      <c r="AN207" s="108"/>
      <c r="AO207" s="108"/>
      <c r="AQ207" s="30" t="str">
        <f>IFERROR(INDEX('G-6 Hedgerow Data'!$BJ$3:$BJ$15,MATCH(M207,'G-6 Hedgerow Data'!$B$3:$B$15,0)),"")</f>
        <v/>
      </c>
    </row>
    <row r="208" spans="2:43" ht="13.8" x14ac:dyDescent="0.25">
      <c r="B208" s="311" t="str">
        <f>'E-1 Off-Site Hedge Baseline'!AN206</f>
        <v/>
      </c>
      <c r="C208" s="301" t="str">
        <f>IF(B208="","",IF(ISNA(VLOOKUP($B208,'E-1 Off-Site Hedge Baseline'!$B$1:$L$257,3,FALSE)),"",(VLOOKUP($B208,'E-1 Off-Site Hedge Baseline'!$B$1:$L$257,3,FALSE))))</f>
        <v/>
      </c>
      <c r="D208" s="301" t="str">
        <f>IF(B208="","",IF(ISNA(VLOOKUP($B208,'E-1 Off-Site Hedge Baseline'!$B$1:$L$258,4,FALSE)),"",(VLOOKUP($B208,'E-1 Off-Site Hedge Baseline'!$B$1:$L$258,4,FALSE))))</f>
        <v/>
      </c>
      <c r="E208" s="301" t="str">
        <f>IF(B208="","",IF(ISNA(VLOOKUP($B208,'E-1 Off-Site Hedge Baseline'!$B$1:$L$257,5,FALSE)),"",(VLOOKUP($B208,'E-1 Off-Site Hedge Baseline'!$B$1:$L$257,5,FALSE))))</f>
        <v/>
      </c>
      <c r="F208" s="301" t="str">
        <f>IF(B208="","",IF(ISNA(VLOOKUP($B208,'E-1 Off-Site Hedge Baseline'!$B$1:$L$257,6,FALSE)),"",(VLOOKUP($B208,'E-1 Off-Site Hedge Baseline'!$B$1:$L$257,6,FALSE))))</f>
        <v/>
      </c>
      <c r="G208" s="301" t="str">
        <f>IF(B208="","",IF(ISNA(VLOOKUP($B208,'E-1 Off-Site Hedge Baseline'!$B$1:$L$257,7,FALSE)),"",(VLOOKUP($B208,'E-1 Off-Site Hedge Baseline'!$B$1:$L$257,7,FALSE))))</f>
        <v/>
      </c>
      <c r="H208" s="301" t="str">
        <f>IF(B208="","",IF(ISNA(VLOOKUP($B208,'E-1 Off-Site Hedge Baseline'!$B$1:$L$257,8,FALSE)),"",(VLOOKUP($B208,'E-1 Off-Site Hedge Baseline'!$B$1:$L$257,8,FALSE))))</f>
        <v/>
      </c>
      <c r="I208" s="301" t="str">
        <f>IF(B208="","",IF(ISNA(VLOOKUP($B208,'E-1 Off-Site Hedge Baseline'!$B$1:$L$257,10,FALSE)),"",(VLOOKUP($B208,'E-1 Off-Site Hedge Baseline'!$B$1:$L$257,10,FALSE))))</f>
        <v/>
      </c>
      <c r="J208" s="301" t="str">
        <f>IF(B208="","",IF(ISNA(VLOOKUP($B208,'E-1 Off-Site Hedge Baseline'!$B$1:$L$257,11,FALSE)),"",(VLOOKUP($B208,'E-1 Off-Site Hedge Baseline'!$B$1:$L$257,11,FALSE))))</f>
        <v/>
      </c>
      <c r="K208" s="301" t="str">
        <f>IF(B208="","",IF(ISNA(VLOOKUP($B208,'E-1 Off-Site Hedge Baseline'!$B$1:$X$257,16,FALSE)),"",(VLOOKUP($B208,'E-1 Off-Site Hedge Baseline'!$B$1:$X$257,16,FALSE))))</f>
        <v/>
      </c>
      <c r="L208" s="289" t="str">
        <f>IF(B208="","",IF(ISNA(VLOOKUP($B208,'E-1 Off-Site Hedge Baseline'!$B$1:$X$257,12,FALSE)),"",(VLOOKUP($B208,'E-1 Off-Site Hedge Baseline'!$B$1:$X$257,12,FALSE))))</f>
        <v/>
      </c>
      <c r="M208" s="250"/>
      <c r="N208" s="281" t="str">
        <f>IFERROR(IF(B208="","",INDEX('G-6 Hedgerow Data'!$AN$3:$AZ$15,MATCH(C208,'G-6 Hedgerow Data'!$AM$3:$AM$15,0),MATCH(M208,'G-6 Hedgerow Data'!$AN$2:$AZ$2,0))),"")</f>
        <v/>
      </c>
      <c r="O208" s="282" t="str">
        <f t="shared" si="25"/>
        <v/>
      </c>
      <c r="P208" s="287" t="str">
        <f>IF(B208="","",VLOOKUP(B208,'E-1 Off-Site Hedge Baseline'!$B$10:W453,19,FALSE))</f>
        <v/>
      </c>
      <c r="Q208" s="281" t="str">
        <f>IF(M208="","",VLOOKUP(M208,'G-6 Hedgerow Data'!$B$2:$AG$15,2,FALSE))</f>
        <v/>
      </c>
      <c r="R208" s="282" t="str">
        <f>IF(M208="","",VLOOKUP(M208,'G-6 Hedgerow Data'!$B$2:$AG$15,3,FALSE))</f>
        <v/>
      </c>
      <c r="S208" s="105"/>
      <c r="T208" s="282" t="str">
        <f>IFERROR(IF(S208="","",IF(AND(M208="Non-native and ornamental hedgerow", S208&lt;&gt;"Poor"),"Not possible ▲", (IF(AND(Q208="V.Low",OR(S208="Good",S208="Moderate")),"Error ▲",VLOOKUP(S208,'G-1 All Habitats'!$Z$2:$AA$9,2,FALSE))))),"")</f>
        <v/>
      </c>
      <c r="U208" s="105"/>
      <c r="V208" s="289" t="str">
        <f>IF(U208="","",IF(VLOOKUP(U208,'G-3 Multipliers'!$L$3:$N$6,2,FALSE)=0,"Spatial Data Missing ⚠",VLOOKUP(U208,'G-3 Multipliers'!$L$3:$N$6,2,FALSE)))</f>
        <v/>
      </c>
      <c r="W208" s="287" t="str">
        <f>IF(U208="","",IF(VLOOKUP(U208,'G-3 Multipliers'!$L$3:$N$6,3,FALSE)=0,"Spatial Data Missing ⚠",VLOOKUP(U208,'G-3 Multipliers'!$L$3:$N$6,3,FALSE)))</f>
        <v/>
      </c>
      <c r="X208" s="281" t="str">
        <f>IFERROR(IF(OR(LEFT(O208,5)="Error",LEFT(N208,5)="Error",T208="Error"),"Check Data ⚠",IF(F208&lt;R208,INDEX('G-6 Hedgerow Data'!$S$3:$AE$14,MATCH(C208,'G-6 Hedgerow Data'!$B$3:$B$14,0),MATCH(M208,'G-6 Hedgerow Data'!$S$2:$AE$2,0)),INDEX('G-6 Hedgerow Data'!$K$3:$Q$14,MATCH(M208,'G-6 Hedgerow Data'!$B$3:$B$14,0),MATCH(O208,'G-6 Hedgerow Data'!$K$2:$Q$2,0)))),"")</f>
        <v/>
      </c>
      <c r="Y208" s="137"/>
      <c r="Z208" s="137"/>
      <c r="AA208" s="289" t="str">
        <f t="shared" si="26"/>
        <v/>
      </c>
      <c r="AB208" s="302" t="str">
        <f t="shared" si="27"/>
        <v/>
      </c>
      <c r="AC208" s="303" t="str">
        <f t="shared" si="24"/>
        <v/>
      </c>
      <c r="AD208" s="317" t="str">
        <f>IF(M208="","",VLOOKUP(M208,'G-6 Hedgerow Data'!$B$3:$AG$15,31,FALSE))</f>
        <v/>
      </c>
      <c r="AE208" s="301" t="str">
        <f t="shared" si="28"/>
        <v/>
      </c>
      <c r="AF208" s="289" t="str">
        <f t="shared" si="29"/>
        <v/>
      </c>
      <c r="AG208" s="305" t="str">
        <f>IFERROR(IF(O208="","",VLOOKUP(AD208,'G-3 Multipliers'!$P$3:$Q$6,2,FALSE)),"")</f>
        <v/>
      </c>
      <c r="AH208" s="729" t="str">
        <f>IF(B208="","",IF(ISNA(VLOOKUP($B208,'E-1 Off-Site Hedge Baseline'!$B$1:$Z$257,14,FALSE)),"",(VLOOKUP($B208,'E-1 Off-Site Hedge Baseline'!$B$1:$Z$257,14,FALSE))))</f>
        <v/>
      </c>
      <c r="AI208" s="282" t="str">
        <f>IF(AH208="","",IF(VLOOKUP(AH208,'G-3 Multipliers'!$S$3:$T$10,2,FALSE)=0,"Spatial Data Missing ⚠",VLOOKUP(AH208,'G-3 Multipliers'!$S$3:$T$10,2,FALSE)))</f>
        <v/>
      </c>
      <c r="AJ208" s="323" t="str">
        <f t="shared" si="30"/>
        <v/>
      </c>
      <c r="AK208" s="295" t="str">
        <f t="shared" si="31"/>
        <v/>
      </c>
      <c r="AL208" s="105"/>
      <c r="AM208" s="119"/>
      <c r="AN208" s="108"/>
      <c r="AO208" s="108"/>
      <c r="AQ208" s="30" t="str">
        <f>IFERROR(INDEX('G-6 Hedgerow Data'!$BJ$3:$BJ$15,MATCH(M208,'G-6 Hedgerow Data'!$B$3:$B$15,0)),"")</f>
        <v/>
      </c>
    </row>
    <row r="209" spans="2:43" ht="13.8" x14ac:dyDescent="0.25">
      <c r="B209" s="311" t="str">
        <f>'E-1 Off-Site Hedge Baseline'!AN207</f>
        <v/>
      </c>
      <c r="C209" s="301" t="str">
        <f>IF(B209="","",IF(ISNA(VLOOKUP($B209,'E-1 Off-Site Hedge Baseline'!$B$1:$L$257,3,FALSE)),"",(VLOOKUP($B209,'E-1 Off-Site Hedge Baseline'!$B$1:$L$257,3,FALSE))))</f>
        <v/>
      </c>
      <c r="D209" s="301" t="str">
        <f>IF(B209="","",IF(ISNA(VLOOKUP($B209,'E-1 Off-Site Hedge Baseline'!$B$1:$L$258,4,FALSE)),"",(VLOOKUP($B209,'E-1 Off-Site Hedge Baseline'!$B$1:$L$258,4,FALSE))))</f>
        <v/>
      </c>
      <c r="E209" s="301" t="str">
        <f>IF(B209="","",IF(ISNA(VLOOKUP($B209,'E-1 Off-Site Hedge Baseline'!$B$1:$L$257,5,FALSE)),"",(VLOOKUP($B209,'E-1 Off-Site Hedge Baseline'!$B$1:$L$257,5,FALSE))))</f>
        <v/>
      </c>
      <c r="F209" s="301" t="str">
        <f>IF(B209="","",IF(ISNA(VLOOKUP($B209,'E-1 Off-Site Hedge Baseline'!$B$1:$L$257,6,FALSE)),"",(VLOOKUP($B209,'E-1 Off-Site Hedge Baseline'!$B$1:$L$257,6,FALSE))))</f>
        <v/>
      </c>
      <c r="G209" s="301" t="str">
        <f>IF(B209="","",IF(ISNA(VLOOKUP($B209,'E-1 Off-Site Hedge Baseline'!$B$1:$L$257,7,FALSE)),"",(VLOOKUP($B209,'E-1 Off-Site Hedge Baseline'!$B$1:$L$257,7,FALSE))))</f>
        <v/>
      </c>
      <c r="H209" s="301" t="str">
        <f>IF(B209="","",IF(ISNA(VLOOKUP($B209,'E-1 Off-Site Hedge Baseline'!$B$1:$L$257,8,FALSE)),"",(VLOOKUP($B209,'E-1 Off-Site Hedge Baseline'!$B$1:$L$257,8,FALSE))))</f>
        <v/>
      </c>
      <c r="I209" s="301" t="str">
        <f>IF(B209="","",IF(ISNA(VLOOKUP($B209,'E-1 Off-Site Hedge Baseline'!$B$1:$L$257,10,FALSE)),"",(VLOOKUP($B209,'E-1 Off-Site Hedge Baseline'!$B$1:$L$257,10,FALSE))))</f>
        <v/>
      </c>
      <c r="J209" s="301" t="str">
        <f>IF(B209="","",IF(ISNA(VLOOKUP($B209,'E-1 Off-Site Hedge Baseline'!$B$1:$L$257,11,FALSE)),"",(VLOOKUP($B209,'E-1 Off-Site Hedge Baseline'!$B$1:$L$257,11,FALSE))))</f>
        <v/>
      </c>
      <c r="K209" s="301" t="str">
        <f>IF(B209="","",IF(ISNA(VLOOKUP($B209,'E-1 Off-Site Hedge Baseline'!$B$1:$X$257,16,FALSE)),"",(VLOOKUP($B209,'E-1 Off-Site Hedge Baseline'!$B$1:$X$257,16,FALSE))))</f>
        <v/>
      </c>
      <c r="L209" s="289" t="str">
        <f>IF(B209="","",IF(ISNA(VLOOKUP($B209,'E-1 Off-Site Hedge Baseline'!$B$1:$X$257,12,FALSE)),"",(VLOOKUP($B209,'E-1 Off-Site Hedge Baseline'!$B$1:$X$257,12,FALSE))))</f>
        <v/>
      </c>
      <c r="M209" s="250"/>
      <c r="N209" s="281" t="str">
        <f>IFERROR(IF(B209="","",INDEX('G-6 Hedgerow Data'!$AN$3:$AZ$15,MATCH(C209,'G-6 Hedgerow Data'!$AM$3:$AM$15,0),MATCH(M209,'G-6 Hedgerow Data'!$AN$2:$AZ$2,0))),"")</f>
        <v/>
      </c>
      <c r="O209" s="282" t="str">
        <f t="shared" si="25"/>
        <v/>
      </c>
      <c r="P209" s="287" t="str">
        <f>IF(B209="","",VLOOKUP(B209,'E-1 Off-Site Hedge Baseline'!$B$10:W454,19,FALSE))</f>
        <v/>
      </c>
      <c r="Q209" s="281" t="str">
        <f>IF(M209="","",VLOOKUP(M209,'G-6 Hedgerow Data'!$B$2:$AG$15,2,FALSE))</f>
        <v/>
      </c>
      <c r="R209" s="282" t="str">
        <f>IF(M209="","",VLOOKUP(M209,'G-6 Hedgerow Data'!$B$2:$AG$15,3,FALSE))</f>
        <v/>
      </c>
      <c r="S209" s="105"/>
      <c r="T209" s="282" t="str">
        <f>IFERROR(IF(S209="","",IF(AND(M209="Non-native and ornamental hedgerow", S209&lt;&gt;"Poor"),"Not possible ▲", (IF(AND(Q209="V.Low",OR(S209="Good",S209="Moderate")),"Error ▲",VLOOKUP(S209,'G-1 All Habitats'!$Z$2:$AA$9,2,FALSE))))),"")</f>
        <v/>
      </c>
      <c r="U209" s="105"/>
      <c r="V209" s="289" t="str">
        <f>IF(U209="","",IF(VLOOKUP(U209,'G-3 Multipliers'!$L$3:$N$6,2,FALSE)=0,"Spatial Data Missing ⚠",VLOOKUP(U209,'G-3 Multipliers'!$L$3:$N$6,2,FALSE)))</f>
        <v/>
      </c>
      <c r="W209" s="287" t="str">
        <f>IF(U209="","",IF(VLOOKUP(U209,'G-3 Multipliers'!$L$3:$N$6,3,FALSE)=0,"Spatial Data Missing ⚠",VLOOKUP(U209,'G-3 Multipliers'!$L$3:$N$6,3,FALSE)))</f>
        <v/>
      </c>
      <c r="X209" s="281" t="str">
        <f>IFERROR(IF(OR(LEFT(O209,5)="Error",LEFT(N209,5)="Error",T209="Error"),"Check Data ⚠",IF(F209&lt;R209,INDEX('G-6 Hedgerow Data'!$S$3:$AE$14,MATCH(C209,'G-6 Hedgerow Data'!$B$3:$B$14,0),MATCH(M209,'G-6 Hedgerow Data'!$S$2:$AE$2,0)),INDEX('G-6 Hedgerow Data'!$K$3:$Q$14,MATCH(M209,'G-6 Hedgerow Data'!$B$3:$B$14,0),MATCH(O209,'G-6 Hedgerow Data'!$K$2:$Q$2,0)))),"")</f>
        <v/>
      </c>
      <c r="Y209" s="137"/>
      <c r="Z209" s="137"/>
      <c r="AA209" s="289" t="str">
        <f t="shared" si="26"/>
        <v/>
      </c>
      <c r="AB209" s="302" t="str">
        <f t="shared" si="27"/>
        <v/>
      </c>
      <c r="AC209" s="303" t="str">
        <f t="shared" si="24"/>
        <v/>
      </c>
      <c r="AD209" s="317" t="str">
        <f>IF(M209="","",VLOOKUP(M209,'G-6 Hedgerow Data'!$B$3:$AG$15,31,FALSE))</f>
        <v/>
      </c>
      <c r="AE209" s="301" t="str">
        <f t="shared" si="28"/>
        <v/>
      </c>
      <c r="AF209" s="289" t="str">
        <f t="shared" si="29"/>
        <v/>
      </c>
      <c r="AG209" s="305" t="str">
        <f>IFERROR(IF(O209="","",VLOOKUP(AD209,'G-3 Multipliers'!$P$3:$Q$6,2,FALSE)),"")</f>
        <v/>
      </c>
      <c r="AH209" s="729" t="str">
        <f>IF(B209="","",IF(ISNA(VLOOKUP($B209,'E-1 Off-Site Hedge Baseline'!$B$1:$Z$257,14,FALSE)),"",(VLOOKUP($B209,'E-1 Off-Site Hedge Baseline'!$B$1:$Z$257,14,FALSE))))</f>
        <v/>
      </c>
      <c r="AI209" s="282" t="str">
        <f>IF(AH209="","",IF(VLOOKUP(AH209,'G-3 Multipliers'!$S$3:$T$10,2,FALSE)=0,"Spatial Data Missing ⚠",VLOOKUP(AH209,'G-3 Multipliers'!$S$3:$T$10,2,FALSE)))</f>
        <v/>
      </c>
      <c r="AJ209" s="323" t="str">
        <f t="shared" si="30"/>
        <v/>
      </c>
      <c r="AK209" s="295" t="str">
        <f t="shared" si="31"/>
        <v/>
      </c>
      <c r="AL209" s="105"/>
      <c r="AM209" s="119"/>
      <c r="AN209" s="108"/>
      <c r="AO209" s="108"/>
      <c r="AQ209" s="30" t="str">
        <f>IFERROR(INDEX('G-6 Hedgerow Data'!$BJ$3:$BJ$15,MATCH(M209,'G-6 Hedgerow Data'!$B$3:$B$15,0)),"")</f>
        <v/>
      </c>
    </row>
    <row r="210" spans="2:43" ht="13.8" x14ac:dyDescent="0.25">
      <c r="B210" s="311" t="str">
        <f>'E-1 Off-Site Hedge Baseline'!AN208</f>
        <v/>
      </c>
      <c r="C210" s="301" t="str">
        <f>IF(B210="","",IF(ISNA(VLOOKUP($B210,'E-1 Off-Site Hedge Baseline'!$B$1:$L$257,3,FALSE)),"",(VLOOKUP($B210,'E-1 Off-Site Hedge Baseline'!$B$1:$L$257,3,FALSE))))</f>
        <v/>
      </c>
      <c r="D210" s="301" t="str">
        <f>IF(B210="","",IF(ISNA(VLOOKUP($B210,'E-1 Off-Site Hedge Baseline'!$B$1:$L$258,4,FALSE)),"",(VLOOKUP($B210,'E-1 Off-Site Hedge Baseline'!$B$1:$L$258,4,FALSE))))</f>
        <v/>
      </c>
      <c r="E210" s="301" t="str">
        <f>IF(B210="","",IF(ISNA(VLOOKUP($B210,'E-1 Off-Site Hedge Baseline'!$B$1:$L$257,5,FALSE)),"",(VLOOKUP($B210,'E-1 Off-Site Hedge Baseline'!$B$1:$L$257,5,FALSE))))</f>
        <v/>
      </c>
      <c r="F210" s="301" t="str">
        <f>IF(B210="","",IF(ISNA(VLOOKUP($B210,'E-1 Off-Site Hedge Baseline'!$B$1:$L$257,6,FALSE)),"",(VLOOKUP($B210,'E-1 Off-Site Hedge Baseline'!$B$1:$L$257,6,FALSE))))</f>
        <v/>
      </c>
      <c r="G210" s="301" t="str">
        <f>IF(B210="","",IF(ISNA(VLOOKUP($B210,'E-1 Off-Site Hedge Baseline'!$B$1:$L$257,7,FALSE)),"",(VLOOKUP($B210,'E-1 Off-Site Hedge Baseline'!$B$1:$L$257,7,FALSE))))</f>
        <v/>
      </c>
      <c r="H210" s="301" t="str">
        <f>IF(B210="","",IF(ISNA(VLOOKUP($B210,'E-1 Off-Site Hedge Baseline'!$B$1:$L$257,8,FALSE)),"",(VLOOKUP($B210,'E-1 Off-Site Hedge Baseline'!$B$1:$L$257,8,FALSE))))</f>
        <v/>
      </c>
      <c r="I210" s="301" t="str">
        <f>IF(B210="","",IF(ISNA(VLOOKUP($B210,'E-1 Off-Site Hedge Baseline'!$B$1:$L$257,10,FALSE)),"",(VLOOKUP($B210,'E-1 Off-Site Hedge Baseline'!$B$1:$L$257,10,FALSE))))</f>
        <v/>
      </c>
      <c r="J210" s="301" t="str">
        <f>IF(B210="","",IF(ISNA(VLOOKUP($B210,'E-1 Off-Site Hedge Baseline'!$B$1:$L$257,11,FALSE)),"",(VLOOKUP($B210,'E-1 Off-Site Hedge Baseline'!$B$1:$L$257,11,FALSE))))</f>
        <v/>
      </c>
      <c r="K210" s="301" t="str">
        <f>IF(B210="","",IF(ISNA(VLOOKUP($B210,'E-1 Off-Site Hedge Baseline'!$B$1:$X$257,16,FALSE)),"",(VLOOKUP($B210,'E-1 Off-Site Hedge Baseline'!$B$1:$X$257,16,FALSE))))</f>
        <v/>
      </c>
      <c r="L210" s="289" t="str">
        <f>IF(B210="","",IF(ISNA(VLOOKUP($B210,'E-1 Off-Site Hedge Baseline'!$B$1:$X$257,12,FALSE)),"",(VLOOKUP($B210,'E-1 Off-Site Hedge Baseline'!$B$1:$X$257,12,FALSE))))</f>
        <v/>
      </c>
      <c r="M210" s="250"/>
      <c r="N210" s="281" t="str">
        <f>IFERROR(IF(B210="","",INDEX('G-6 Hedgerow Data'!$AN$3:$AZ$15,MATCH(C210,'G-6 Hedgerow Data'!$AM$3:$AM$15,0),MATCH(M210,'G-6 Hedgerow Data'!$AN$2:$AZ$2,0))),"")</f>
        <v/>
      </c>
      <c r="O210" s="282" t="str">
        <f t="shared" si="25"/>
        <v/>
      </c>
      <c r="P210" s="287" t="str">
        <f>IF(B210="","",VLOOKUP(B210,'E-1 Off-Site Hedge Baseline'!$B$10:W455,19,FALSE))</f>
        <v/>
      </c>
      <c r="Q210" s="281" t="str">
        <f>IF(M210="","",VLOOKUP(M210,'G-6 Hedgerow Data'!$B$2:$AG$15,2,FALSE))</f>
        <v/>
      </c>
      <c r="R210" s="282" t="str">
        <f>IF(M210="","",VLOOKUP(M210,'G-6 Hedgerow Data'!$B$2:$AG$15,3,FALSE))</f>
        <v/>
      </c>
      <c r="S210" s="105"/>
      <c r="T210" s="282" t="str">
        <f>IFERROR(IF(S210="","",IF(AND(M210="Non-native and ornamental hedgerow", S210&lt;&gt;"Poor"),"Not possible ▲", (IF(AND(Q210="V.Low",OR(S210="Good",S210="Moderate")),"Error ▲",VLOOKUP(S210,'G-1 All Habitats'!$Z$2:$AA$9,2,FALSE))))),"")</f>
        <v/>
      </c>
      <c r="U210" s="105"/>
      <c r="V210" s="289" t="str">
        <f>IF(U210="","",IF(VLOOKUP(U210,'G-3 Multipliers'!$L$3:$N$6,2,FALSE)=0,"Spatial Data Missing ⚠",VLOOKUP(U210,'G-3 Multipliers'!$L$3:$N$6,2,FALSE)))</f>
        <v/>
      </c>
      <c r="W210" s="287" t="str">
        <f>IF(U210="","",IF(VLOOKUP(U210,'G-3 Multipliers'!$L$3:$N$6,3,FALSE)=0,"Spatial Data Missing ⚠",VLOOKUP(U210,'G-3 Multipliers'!$L$3:$N$6,3,FALSE)))</f>
        <v/>
      </c>
      <c r="X210" s="281" t="str">
        <f>IFERROR(IF(OR(LEFT(O210,5)="Error",LEFT(N210,5)="Error",T210="Error"),"Check Data ⚠",IF(F210&lt;R210,INDEX('G-6 Hedgerow Data'!$S$3:$AE$14,MATCH(C210,'G-6 Hedgerow Data'!$B$3:$B$14,0),MATCH(M210,'G-6 Hedgerow Data'!$S$2:$AE$2,0)),INDEX('G-6 Hedgerow Data'!$K$3:$Q$14,MATCH(M210,'G-6 Hedgerow Data'!$B$3:$B$14,0),MATCH(O210,'G-6 Hedgerow Data'!$K$2:$Q$2,0)))),"")</f>
        <v/>
      </c>
      <c r="Y210" s="137"/>
      <c r="Z210" s="137"/>
      <c r="AA210" s="289" t="str">
        <f t="shared" si="26"/>
        <v/>
      </c>
      <c r="AB210" s="302" t="str">
        <f t="shared" si="27"/>
        <v/>
      </c>
      <c r="AC210" s="303" t="str">
        <f t="shared" si="24"/>
        <v/>
      </c>
      <c r="AD210" s="317" t="str">
        <f>IF(M210="","",VLOOKUP(M210,'G-6 Hedgerow Data'!$B$3:$AG$15,31,FALSE))</f>
        <v/>
      </c>
      <c r="AE210" s="301" t="str">
        <f t="shared" si="28"/>
        <v/>
      </c>
      <c r="AF210" s="289" t="str">
        <f t="shared" si="29"/>
        <v/>
      </c>
      <c r="AG210" s="305" t="str">
        <f>IFERROR(IF(O210="","",VLOOKUP(AD210,'G-3 Multipliers'!$P$3:$Q$6,2,FALSE)),"")</f>
        <v/>
      </c>
      <c r="AH210" s="729" t="str">
        <f>IF(B210="","",IF(ISNA(VLOOKUP($B210,'E-1 Off-Site Hedge Baseline'!$B$1:$Z$257,14,FALSE)),"",(VLOOKUP($B210,'E-1 Off-Site Hedge Baseline'!$B$1:$Z$257,14,FALSE))))</f>
        <v/>
      </c>
      <c r="AI210" s="282" t="str">
        <f>IF(AH210="","",IF(VLOOKUP(AH210,'G-3 Multipliers'!$S$3:$T$10,2,FALSE)=0,"Spatial Data Missing ⚠",VLOOKUP(AH210,'G-3 Multipliers'!$S$3:$T$10,2,FALSE)))</f>
        <v/>
      </c>
      <c r="AJ210" s="323" t="str">
        <f t="shared" si="30"/>
        <v/>
      </c>
      <c r="AK210" s="295" t="str">
        <f t="shared" si="31"/>
        <v/>
      </c>
      <c r="AL210" s="105"/>
      <c r="AM210" s="119"/>
      <c r="AN210" s="108"/>
      <c r="AO210" s="108"/>
      <c r="AQ210" s="30" t="str">
        <f>IFERROR(INDEX('G-6 Hedgerow Data'!$BJ$3:$BJ$15,MATCH(M210,'G-6 Hedgerow Data'!$B$3:$B$15,0)),"")</f>
        <v/>
      </c>
    </row>
    <row r="211" spans="2:43" ht="13.8" x14ac:dyDescent="0.25">
      <c r="B211" s="311" t="str">
        <f>'E-1 Off-Site Hedge Baseline'!AN209</f>
        <v/>
      </c>
      <c r="C211" s="301" t="str">
        <f>IF(B211="","",IF(ISNA(VLOOKUP($B211,'E-1 Off-Site Hedge Baseline'!$B$1:$L$257,3,FALSE)),"",(VLOOKUP($B211,'E-1 Off-Site Hedge Baseline'!$B$1:$L$257,3,FALSE))))</f>
        <v/>
      </c>
      <c r="D211" s="301" t="str">
        <f>IF(B211="","",IF(ISNA(VLOOKUP($B211,'E-1 Off-Site Hedge Baseline'!$B$1:$L$258,4,FALSE)),"",(VLOOKUP($B211,'E-1 Off-Site Hedge Baseline'!$B$1:$L$258,4,FALSE))))</f>
        <v/>
      </c>
      <c r="E211" s="301" t="str">
        <f>IF(B211="","",IF(ISNA(VLOOKUP($B211,'E-1 Off-Site Hedge Baseline'!$B$1:$L$257,5,FALSE)),"",(VLOOKUP($B211,'E-1 Off-Site Hedge Baseline'!$B$1:$L$257,5,FALSE))))</f>
        <v/>
      </c>
      <c r="F211" s="301" t="str">
        <f>IF(B211="","",IF(ISNA(VLOOKUP($B211,'E-1 Off-Site Hedge Baseline'!$B$1:$L$257,6,FALSE)),"",(VLOOKUP($B211,'E-1 Off-Site Hedge Baseline'!$B$1:$L$257,6,FALSE))))</f>
        <v/>
      </c>
      <c r="G211" s="301" t="str">
        <f>IF(B211="","",IF(ISNA(VLOOKUP($B211,'E-1 Off-Site Hedge Baseline'!$B$1:$L$257,7,FALSE)),"",(VLOOKUP($B211,'E-1 Off-Site Hedge Baseline'!$B$1:$L$257,7,FALSE))))</f>
        <v/>
      </c>
      <c r="H211" s="301" t="str">
        <f>IF(B211="","",IF(ISNA(VLOOKUP($B211,'E-1 Off-Site Hedge Baseline'!$B$1:$L$257,8,FALSE)),"",(VLOOKUP($B211,'E-1 Off-Site Hedge Baseline'!$B$1:$L$257,8,FALSE))))</f>
        <v/>
      </c>
      <c r="I211" s="301" t="str">
        <f>IF(B211="","",IF(ISNA(VLOOKUP($B211,'E-1 Off-Site Hedge Baseline'!$B$1:$L$257,10,FALSE)),"",(VLOOKUP($B211,'E-1 Off-Site Hedge Baseline'!$B$1:$L$257,10,FALSE))))</f>
        <v/>
      </c>
      <c r="J211" s="301" t="str">
        <f>IF(B211="","",IF(ISNA(VLOOKUP($B211,'E-1 Off-Site Hedge Baseline'!$B$1:$L$257,11,FALSE)),"",(VLOOKUP($B211,'E-1 Off-Site Hedge Baseline'!$B$1:$L$257,11,FALSE))))</f>
        <v/>
      </c>
      <c r="K211" s="301" t="str">
        <f>IF(B211="","",IF(ISNA(VLOOKUP($B211,'E-1 Off-Site Hedge Baseline'!$B$1:$X$257,16,FALSE)),"",(VLOOKUP($B211,'E-1 Off-Site Hedge Baseline'!$B$1:$X$257,16,FALSE))))</f>
        <v/>
      </c>
      <c r="L211" s="289" t="str">
        <f>IF(B211="","",IF(ISNA(VLOOKUP($B211,'E-1 Off-Site Hedge Baseline'!$B$1:$X$257,12,FALSE)),"",(VLOOKUP($B211,'E-1 Off-Site Hedge Baseline'!$B$1:$X$257,12,FALSE))))</f>
        <v/>
      </c>
      <c r="M211" s="250"/>
      <c r="N211" s="281" t="str">
        <f>IFERROR(IF(B211="","",INDEX('G-6 Hedgerow Data'!$AN$3:$AZ$15,MATCH(C211,'G-6 Hedgerow Data'!$AM$3:$AM$15,0),MATCH(M211,'G-6 Hedgerow Data'!$AN$2:$AZ$2,0))),"")</f>
        <v/>
      </c>
      <c r="O211" s="282" t="str">
        <f t="shared" si="25"/>
        <v/>
      </c>
      <c r="P211" s="287" t="str">
        <f>IF(B211="","",VLOOKUP(B211,'E-1 Off-Site Hedge Baseline'!$B$10:W456,19,FALSE))</f>
        <v/>
      </c>
      <c r="Q211" s="281" t="str">
        <f>IF(M211="","",VLOOKUP(M211,'G-6 Hedgerow Data'!$B$2:$AG$15,2,FALSE))</f>
        <v/>
      </c>
      <c r="R211" s="282" t="str">
        <f>IF(M211="","",VLOOKUP(M211,'G-6 Hedgerow Data'!$B$2:$AG$15,3,FALSE))</f>
        <v/>
      </c>
      <c r="S211" s="105"/>
      <c r="T211" s="282" t="str">
        <f>IFERROR(IF(S211="","",IF(AND(M211="Non-native and ornamental hedgerow", S211&lt;&gt;"Poor"),"Not possible ▲", (IF(AND(Q211="V.Low",OR(S211="Good",S211="Moderate")),"Error ▲",VLOOKUP(S211,'G-1 All Habitats'!$Z$2:$AA$9,2,FALSE))))),"")</f>
        <v/>
      </c>
      <c r="U211" s="105"/>
      <c r="V211" s="289" t="str">
        <f>IF(U211="","",IF(VLOOKUP(U211,'G-3 Multipliers'!$L$3:$N$6,2,FALSE)=0,"Spatial Data Missing ⚠",VLOOKUP(U211,'G-3 Multipliers'!$L$3:$N$6,2,FALSE)))</f>
        <v/>
      </c>
      <c r="W211" s="287" t="str">
        <f>IF(U211="","",IF(VLOOKUP(U211,'G-3 Multipliers'!$L$3:$N$6,3,FALSE)=0,"Spatial Data Missing ⚠",VLOOKUP(U211,'G-3 Multipliers'!$L$3:$N$6,3,FALSE)))</f>
        <v/>
      </c>
      <c r="X211" s="281" t="str">
        <f>IFERROR(IF(OR(LEFT(O211,5)="Error",LEFT(N211,5)="Error",T211="Error"),"Check Data ⚠",IF(F211&lt;R211,INDEX('G-6 Hedgerow Data'!$S$3:$AE$14,MATCH(C211,'G-6 Hedgerow Data'!$B$3:$B$14,0),MATCH(M211,'G-6 Hedgerow Data'!$S$2:$AE$2,0)),INDEX('G-6 Hedgerow Data'!$K$3:$Q$14,MATCH(M211,'G-6 Hedgerow Data'!$B$3:$B$14,0),MATCH(O211,'G-6 Hedgerow Data'!$K$2:$Q$2,0)))),"")</f>
        <v/>
      </c>
      <c r="Y211" s="137"/>
      <c r="Z211" s="137"/>
      <c r="AA211" s="289" t="str">
        <f t="shared" si="26"/>
        <v/>
      </c>
      <c r="AB211" s="302" t="str">
        <f t="shared" si="27"/>
        <v/>
      </c>
      <c r="AC211" s="303" t="str">
        <f t="shared" si="24"/>
        <v/>
      </c>
      <c r="AD211" s="317" t="str">
        <f>IF(M211="","",VLOOKUP(M211,'G-6 Hedgerow Data'!$B$3:$AG$15,31,FALSE))</f>
        <v/>
      </c>
      <c r="AE211" s="301" t="str">
        <f t="shared" si="28"/>
        <v/>
      </c>
      <c r="AF211" s="289" t="str">
        <f t="shared" si="29"/>
        <v/>
      </c>
      <c r="AG211" s="305" t="str">
        <f>IFERROR(IF(O211="","",VLOOKUP(AD211,'G-3 Multipliers'!$P$3:$Q$6,2,FALSE)),"")</f>
        <v/>
      </c>
      <c r="AH211" s="729" t="str">
        <f>IF(B211="","",IF(ISNA(VLOOKUP($B211,'E-1 Off-Site Hedge Baseline'!$B$1:$Z$257,14,FALSE)),"",(VLOOKUP($B211,'E-1 Off-Site Hedge Baseline'!$B$1:$Z$257,14,FALSE))))</f>
        <v/>
      </c>
      <c r="AI211" s="282" t="str">
        <f>IF(AH211="","",IF(VLOOKUP(AH211,'G-3 Multipliers'!$S$3:$T$10,2,FALSE)=0,"Spatial Data Missing ⚠",VLOOKUP(AH211,'G-3 Multipliers'!$S$3:$T$10,2,FALSE)))</f>
        <v/>
      </c>
      <c r="AJ211" s="323" t="str">
        <f t="shared" si="30"/>
        <v/>
      </c>
      <c r="AK211" s="295" t="str">
        <f t="shared" si="31"/>
        <v/>
      </c>
      <c r="AL211" s="105"/>
      <c r="AM211" s="119"/>
      <c r="AN211" s="108"/>
      <c r="AO211" s="108"/>
      <c r="AQ211" s="30" t="str">
        <f>IFERROR(INDEX('G-6 Hedgerow Data'!$BJ$3:$BJ$15,MATCH(M211,'G-6 Hedgerow Data'!$B$3:$B$15,0)),"")</f>
        <v/>
      </c>
    </row>
    <row r="212" spans="2:43" ht="13.8" x14ac:dyDescent="0.25">
      <c r="B212" s="311" t="str">
        <f>'E-1 Off-Site Hedge Baseline'!AN210</f>
        <v/>
      </c>
      <c r="C212" s="301" t="str">
        <f>IF(B212="","",IF(ISNA(VLOOKUP($B212,'E-1 Off-Site Hedge Baseline'!$B$1:$L$257,3,FALSE)),"",(VLOOKUP($B212,'E-1 Off-Site Hedge Baseline'!$B$1:$L$257,3,FALSE))))</f>
        <v/>
      </c>
      <c r="D212" s="301" t="str">
        <f>IF(B212="","",IF(ISNA(VLOOKUP($B212,'E-1 Off-Site Hedge Baseline'!$B$1:$L$258,4,FALSE)),"",(VLOOKUP($B212,'E-1 Off-Site Hedge Baseline'!$B$1:$L$258,4,FALSE))))</f>
        <v/>
      </c>
      <c r="E212" s="301" t="str">
        <f>IF(B212="","",IF(ISNA(VLOOKUP($B212,'E-1 Off-Site Hedge Baseline'!$B$1:$L$257,5,FALSE)),"",(VLOOKUP($B212,'E-1 Off-Site Hedge Baseline'!$B$1:$L$257,5,FALSE))))</f>
        <v/>
      </c>
      <c r="F212" s="301" t="str">
        <f>IF(B212="","",IF(ISNA(VLOOKUP($B212,'E-1 Off-Site Hedge Baseline'!$B$1:$L$257,6,FALSE)),"",(VLOOKUP($B212,'E-1 Off-Site Hedge Baseline'!$B$1:$L$257,6,FALSE))))</f>
        <v/>
      </c>
      <c r="G212" s="301" t="str">
        <f>IF(B212="","",IF(ISNA(VLOOKUP($B212,'E-1 Off-Site Hedge Baseline'!$B$1:$L$257,7,FALSE)),"",(VLOOKUP($B212,'E-1 Off-Site Hedge Baseline'!$B$1:$L$257,7,FALSE))))</f>
        <v/>
      </c>
      <c r="H212" s="301" t="str">
        <f>IF(B212="","",IF(ISNA(VLOOKUP($B212,'E-1 Off-Site Hedge Baseline'!$B$1:$L$257,8,FALSE)),"",(VLOOKUP($B212,'E-1 Off-Site Hedge Baseline'!$B$1:$L$257,8,FALSE))))</f>
        <v/>
      </c>
      <c r="I212" s="301" t="str">
        <f>IF(B212="","",IF(ISNA(VLOOKUP($B212,'E-1 Off-Site Hedge Baseline'!$B$1:$L$257,10,FALSE)),"",(VLOOKUP($B212,'E-1 Off-Site Hedge Baseline'!$B$1:$L$257,10,FALSE))))</f>
        <v/>
      </c>
      <c r="J212" s="301" t="str">
        <f>IF(B212="","",IF(ISNA(VLOOKUP($B212,'E-1 Off-Site Hedge Baseline'!$B$1:$L$257,11,FALSE)),"",(VLOOKUP($B212,'E-1 Off-Site Hedge Baseline'!$B$1:$L$257,11,FALSE))))</f>
        <v/>
      </c>
      <c r="K212" s="301" t="str">
        <f>IF(B212="","",IF(ISNA(VLOOKUP($B212,'E-1 Off-Site Hedge Baseline'!$B$1:$X$257,16,FALSE)),"",(VLOOKUP($B212,'E-1 Off-Site Hedge Baseline'!$B$1:$X$257,16,FALSE))))</f>
        <v/>
      </c>
      <c r="L212" s="289" t="str">
        <f>IF(B212="","",IF(ISNA(VLOOKUP($B212,'E-1 Off-Site Hedge Baseline'!$B$1:$X$257,12,FALSE)),"",(VLOOKUP($B212,'E-1 Off-Site Hedge Baseline'!$B$1:$X$257,12,FALSE))))</f>
        <v/>
      </c>
      <c r="M212" s="250"/>
      <c r="N212" s="281" t="str">
        <f>IFERROR(IF(B212="","",INDEX('G-6 Hedgerow Data'!$AN$3:$AZ$15,MATCH(C212,'G-6 Hedgerow Data'!$AM$3:$AM$15,0),MATCH(M212,'G-6 Hedgerow Data'!$AN$2:$AZ$2,0))),"")</f>
        <v/>
      </c>
      <c r="O212" s="282" t="str">
        <f t="shared" si="25"/>
        <v/>
      </c>
      <c r="P212" s="287" t="str">
        <f>IF(B212="","",VLOOKUP(B212,'E-1 Off-Site Hedge Baseline'!$B$10:W457,19,FALSE))</f>
        <v/>
      </c>
      <c r="Q212" s="281" t="str">
        <f>IF(M212="","",VLOOKUP(M212,'G-6 Hedgerow Data'!$B$2:$AG$15,2,FALSE))</f>
        <v/>
      </c>
      <c r="R212" s="282" t="str">
        <f>IF(M212="","",VLOOKUP(M212,'G-6 Hedgerow Data'!$B$2:$AG$15,3,FALSE))</f>
        <v/>
      </c>
      <c r="S212" s="105"/>
      <c r="T212" s="282" t="str">
        <f>IFERROR(IF(S212="","",IF(AND(M212="Non-native and ornamental hedgerow", S212&lt;&gt;"Poor"),"Not possible ▲", (IF(AND(Q212="V.Low",OR(S212="Good",S212="Moderate")),"Error ▲",VLOOKUP(S212,'G-1 All Habitats'!$Z$2:$AA$9,2,FALSE))))),"")</f>
        <v/>
      </c>
      <c r="U212" s="105"/>
      <c r="V212" s="289" t="str">
        <f>IF(U212="","",IF(VLOOKUP(U212,'G-3 Multipliers'!$L$3:$N$6,2,FALSE)=0,"Spatial Data Missing ⚠",VLOOKUP(U212,'G-3 Multipliers'!$L$3:$N$6,2,FALSE)))</f>
        <v/>
      </c>
      <c r="W212" s="287" t="str">
        <f>IF(U212="","",IF(VLOOKUP(U212,'G-3 Multipliers'!$L$3:$N$6,3,FALSE)=0,"Spatial Data Missing ⚠",VLOOKUP(U212,'G-3 Multipliers'!$L$3:$N$6,3,FALSE)))</f>
        <v/>
      </c>
      <c r="X212" s="281" t="str">
        <f>IFERROR(IF(OR(LEFT(O212,5)="Error",LEFT(N212,5)="Error",T212="Error"),"Check Data ⚠",IF(F212&lt;R212,INDEX('G-6 Hedgerow Data'!$S$3:$AE$14,MATCH(C212,'G-6 Hedgerow Data'!$B$3:$B$14,0),MATCH(M212,'G-6 Hedgerow Data'!$S$2:$AE$2,0)),INDEX('G-6 Hedgerow Data'!$K$3:$Q$14,MATCH(M212,'G-6 Hedgerow Data'!$B$3:$B$14,0),MATCH(O212,'G-6 Hedgerow Data'!$K$2:$Q$2,0)))),"")</f>
        <v/>
      </c>
      <c r="Y212" s="137"/>
      <c r="Z212" s="137"/>
      <c r="AA212" s="289" t="str">
        <f t="shared" si="26"/>
        <v/>
      </c>
      <c r="AB212" s="302" t="str">
        <f t="shared" si="27"/>
        <v/>
      </c>
      <c r="AC212" s="303" t="str">
        <f t="shared" si="24"/>
        <v/>
      </c>
      <c r="AD212" s="317" t="str">
        <f>IF(M212="","",VLOOKUP(M212,'G-6 Hedgerow Data'!$B$3:$AG$15,31,FALSE))</f>
        <v/>
      </c>
      <c r="AE212" s="301" t="str">
        <f t="shared" si="28"/>
        <v/>
      </c>
      <c r="AF212" s="289" t="str">
        <f t="shared" si="29"/>
        <v/>
      </c>
      <c r="AG212" s="305" t="str">
        <f>IFERROR(IF(O212="","",VLOOKUP(AD212,'G-3 Multipliers'!$P$3:$Q$6,2,FALSE)),"")</f>
        <v/>
      </c>
      <c r="AH212" s="729" t="str">
        <f>IF(B212="","",IF(ISNA(VLOOKUP($B212,'E-1 Off-Site Hedge Baseline'!$B$1:$Z$257,14,FALSE)),"",(VLOOKUP($B212,'E-1 Off-Site Hedge Baseline'!$B$1:$Z$257,14,FALSE))))</f>
        <v/>
      </c>
      <c r="AI212" s="282" t="str">
        <f>IF(AH212="","",IF(VLOOKUP(AH212,'G-3 Multipliers'!$S$3:$T$10,2,FALSE)=0,"Spatial Data Missing ⚠",VLOOKUP(AH212,'G-3 Multipliers'!$S$3:$T$10,2,FALSE)))</f>
        <v/>
      </c>
      <c r="AJ212" s="323" t="str">
        <f t="shared" si="30"/>
        <v/>
      </c>
      <c r="AK212" s="295" t="str">
        <f t="shared" si="31"/>
        <v/>
      </c>
      <c r="AL212" s="105"/>
      <c r="AM212" s="119"/>
      <c r="AN212" s="108"/>
      <c r="AO212" s="108"/>
      <c r="AQ212" s="30" t="str">
        <f>IFERROR(INDEX('G-6 Hedgerow Data'!$BJ$3:$BJ$15,MATCH(M212,'G-6 Hedgerow Data'!$B$3:$B$15,0)),"")</f>
        <v/>
      </c>
    </row>
    <row r="213" spans="2:43" ht="13.8" x14ac:dyDescent="0.25">
      <c r="B213" s="311" t="str">
        <f>'E-1 Off-Site Hedge Baseline'!AN211</f>
        <v/>
      </c>
      <c r="C213" s="301" t="str">
        <f>IF(B213="","",IF(ISNA(VLOOKUP($B213,'E-1 Off-Site Hedge Baseline'!$B$1:$L$257,3,FALSE)),"",(VLOOKUP($B213,'E-1 Off-Site Hedge Baseline'!$B$1:$L$257,3,FALSE))))</f>
        <v/>
      </c>
      <c r="D213" s="301" t="str">
        <f>IF(B213="","",IF(ISNA(VLOOKUP($B213,'E-1 Off-Site Hedge Baseline'!$B$1:$L$258,4,FALSE)),"",(VLOOKUP($B213,'E-1 Off-Site Hedge Baseline'!$B$1:$L$258,4,FALSE))))</f>
        <v/>
      </c>
      <c r="E213" s="301" t="str">
        <f>IF(B213="","",IF(ISNA(VLOOKUP($B213,'E-1 Off-Site Hedge Baseline'!$B$1:$L$257,5,FALSE)),"",(VLOOKUP($B213,'E-1 Off-Site Hedge Baseline'!$B$1:$L$257,5,FALSE))))</f>
        <v/>
      </c>
      <c r="F213" s="301" t="str">
        <f>IF(B213="","",IF(ISNA(VLOOKUP($B213,'E-1 Off-Site Hedge Baseline'!$B$1:$L$257,6,FALSE)),"",(VLOOKUP($B213,'E-1 Off-Site Hedge Baseline'!$B$1:$L$257,6,FALSE))))</f>
        <v/>
      </c>
      <c r="G213" s="301" t="str">
        <f>IF(B213="","",IF(ISNA(VLOOKUP($B213,'E-1 Off-Site Hedge Baseline'!$B$1:$L$257,7,FALSE)),"",(VLOOKUP($B213,'E-1 Off-Site Hedge Baseline'!$B$1:$L$257,7,FALSE))))</f>
        <v/>
      </c>
      <c r="H213" s="301" t="str">
        <f>IF(B213="","",IF(ISNA(VLOOKUP($B213,'E-1 Off-Site Hedge Baseline'!$B$1:$L$257,8,FALSE)),"",(VLOOKUP($B213,'E-1 Off-Site Hedge Baseline'!$B$1:$L$257,8,FALSE))))</f>
        <v/>
      </c>
      <c r="I213" s="301" t="str">
        <f>IF(B213="","",IF(ISNA(VLOOKUP($B213,'E-1 Off-Site Hedge Baseline'!$B$1:$L$257,10,FALSE)),"",(VLOOKUP($B213,'E-1 Off-Site Hedge Baseline'!$B$1:$L$257,10,FALSE))))</f>
        <v/>
      </c>
      <c r="J213" s="301" t="str">
        <f>IF(B213="","",IF(ISNA(VLOOKUP($B213,'E-1 Off-Site Hedge Baseline'!$B$1:$L$257,11,FALSE)),"",(VLOOKUP($B213,'E-1 Off-Site Hedge Baseline'!$B$1:$L$257,11,FALSE))))</f>
        <v/>
      </c>
      <c r="K213" s="301" t="str">
        <f>IF(B213="","",IF(ISNA(VLOOKUP($B213,'E-1 Off-Site Hedge Baseline'!$B$1:$X$257,16,FALSE)),"",(VLOOKUP($B213,'E-1 Off-Site Hedge Baseline'!$B$1:$X$257,16,FALSE))))</f>
        <v/>
      </c>
      <c r="L213" s="289" t="str">
        <f>IF(B213="","",IF(ISNA(VLOOKUP($B213,'E-1 Off-Site Hedge Baseline'!$B$1:$X$257,12,FALSE)),"",(VLOOKUP($B213,'E-1 Off-Site Hedge Baseline'!$B$1:$X$257,12,FALSE))))</f>
        <v/>
      </c>
      <c r="M213" s="250"/>
      <c r="N213" s="281" t="str">
        <f>IFERROR(IF(B213="","",INDEX('G-6 Hedgerow Data'!$AN$3:$AZ$15,MATCH(C213,'G-6 Hedgerow Data'!$AM$3:$AM$15,0),MATCH(M213,'G-6 Hedgerow Data'!$AN$2:$AZ$2,0))),"")</f>
        <v/>
      </c>
      <c r="O213" s="282" t="str">
        <f t="shared" si="25"/>
        <v/>
      </c>
      <c r="P213" s="287" t="str">
        <f>IF(B213="","",VLOOKUP(B213,'E-1 Off-Site Hedge Baseline'!$B$10:W458,19,FALSE))</f>
        <v/>
      </c>
      <c r="Q213" s="281" t="str">
        <f>IF(M213="","",VLOOKUP(M213,'G-6 Hedgerow Data'!$B$2:$AG$15,2,FALSE))</f>
        <v/>
      </c>
      <c r="R213" s="282" t="str">
        <f>IF(M213="","",VLOOKUP(M213,'G-6 Hedgerow Data'!$B$2:$AG$15,3,FALSE))</f>
        <v/>
      </c>
      <c r="S213" s="105"/>
      <c r="T213" s="282" t="str">
        <f>IFERROR(IF(S213="","",IF(AND(M213="Non-native and ornamental hedgerow", S213&lt;&gt;"Poor"),"Not possible ▲", (IF(AND(Q213="V.Low",OR(S213="Good",S213="Moderate")),"Error ▲",VLOOKUP(S213,'G-1 All Habitats'!$Z$2:$AA$9,2,FALSE))))),"")</f>
        <v/>
      </c>
      <c r="U213" s="105"/>
      <c r="V213" s="289" t="str">
        <f>IF(U213="","",IF(VLOOKUP(U213,'G-3 Multipliers'!$L$3:$N$6,2,FALSE)=0,"Spatial Data Missing ⚠",VLOOKUP(U213,'G-3 Multipliers'!$L$3:$N$6,2,FALSE)))</f>
        <v/>
      </c>
      <c r="W213" s="287" t="str">
        <f>IF(U213="","",IF(VLOOKUP(U213,'G-3 Multipliers'!$L$3:$N$6,3,FALSE)=0,"Spatial Data Missing ⚠",VLOOKUP(U213,'G-3 Multipliers'!$L$3:$N$6,3,FALSE)))</f>
        <v/>
      </c>
      <c r="X213" s="281" t="str">
        <f>IFERROR(IF(OR(LEFT(O213,5)="Error",LEFT(N213,5)="Error",T213="Error"),"Check Data ⚠",IF(F213&lt;R213,INDEX('G-6 Hedgerow Data'!$S$3:$AE$14,MATCH(C213,'G-6 Hedgerow Data'!$B$3:$B$14,0),MATCH(M213,'G-6 Hedgerow Data'!$S$2:$AE$2,0)),INDEX('G-6 Hedgerow Data'!$K$3:$Q$14,MATCH(M213,'G-6 Hedgerow Data'!$B$3:$B$14,0),MATCH(O213,'G-6 Hedgerow Data'!$K$2:$Q$2,0)))),"")</f>
        <v/>
      </c>
      <c r="Y213" s="137"/>
      <c r="Z213" s="137"/>
      <c r="AA213" s="289" t="str">
        <f t="shared" si="26"/>
        <v/>
      </c>
      <c r="AB213" s="302" t="str">
        <f t="shared" si="27"/>
        <v/>
      </c>
      <c r="AC213" s="303" t="str">
        <f t="shared" si="24"/>
        <v/>
      </c>
      <c r="AD213" s="317" t="str">
        <f>IF(M213="","",VLOOKUP(M213,'G-6 Hedgerow Data'!$B$3:$AG$15,31,FALSE))</f>
        <v/>
      </c>
      <c r="AE213" s="301" t="str">
        <f t="shared" si="28"/>
        <v/>
      </c>
      <c r="AF213" s="289" t="str">
        <f t="shared" si="29"/>
        <v/>
      </c>
      <c r="AG213" s="305" t="str">
        <f>IFERROR(IF(O213="","",VLOOKUP(AD213,'G-3 Multipliers'!$P$3:$Q$6,2,FALSE)),"")</f>
        <v/>
      </c>
      <c r="AH213" s="729" t="str">
        <f>IF(B213="","",IF(ISNA(VLOOKUP($B213,'E-1 Off-Site Hedge Baseline'!$B$1:$Z$257,14,FALSE)),"",(VLOOKUP($B213,'E-1 Off-Site Hedge Baseline'!$B$1:$Z$257,14,FALSE))))</f>
        <v/>
      </c>
      <c r="AI213" s="282" t="str">
        <f>IF(AH213="","",IF(VLOOKUP(AH213,'G-3 Multipliers'!$S$3:$T$10,2,FALSE)=0,"Spatial Data Missing ⚠",VLOOKUP(AH213,'G-3 Multipliers'!$S$3:$T$10,2,FALSE)))</f>
        <v/>
      </c>
      <c r="AJ213" s="323" t="str">
        <f t="shared" si="30"/>
        <v/>
      </c>
      <c r="AK213" s="295" t="str">
        <f t="shared" si="31"/>
        <v/>
      </c>
      <c r="AL213" s="105"/>
      <c r="AM213" s="119"/>
      <c r="AN213" s="108"/>
      <c r="AO213" s="108"/>
      <c r="AQ213" s="30" t="str">
        <f>IFERROR(INDEX('G-6 Hedgerow Data'!$BJ$3:$BJ$15,MATCH(M213,'G-6 Hedgerow Data'!$B$3:$B$15,0)),"")</f>
        <v/>
      </c>
    </row>
    <row r="214" spans="2:43" ht="13.8" x14ac:dyDescent="0.25">
      <c r="B214" s="311" t="str">
        <f>'E-1 Off-Site Hedge Baseline'!AN212</f>
        <v/>
      </c>
      <c r="C214" s="301" t="str">
        <f>IF(B214="","",IF(ISNA(VLOOKUP($B214,'E-1 Off-Site Hedge Baseline'!$B$1:$L$257,3,FALSE)),"",(VLOOKUP($B214,'E-1 Off-Site Hedge Baseline'!$B$1:$L$257,3,FALSE))))</f>
        <v/>
      </c>
      <c r="D214" s="301" t="str">
        <f>IF(B214="","",IF(ISNA(VLOOKUP($B214,'E-1 Off-Site Hedge Baseline'!$B$1:$L$258,4,FALSE)),"",(VLOOKUP($B214,'E-1 Off-Site Hedge Baseline'!$B$1:$L$258,4,FALSE))))</f>
        <v/>
      </c>
      <c r="E214" s="301" t="str">
        <f>IF(B214="","",IF(ISNA(VLOOKUP($B214,'E-1 Off-Site Hedge Baseline'!$B$1:$L$257,5,FALSE)),"",(VLOOKUP($B214,'E-1 Off-Site Hedge Baseline'!$B$1:$L$257,5,FALSE))))</f>
        <v/>
      </c>
      <c r="F214" s="301" t="str">
        <f>IF(B214="","",IF(ISNA(VLOOKUP($B214,'E-1 Off-Site Hedge Baseline'!$B$1:$L$257,6,FALSE)),"",(VLOOKUP($B214,'E-1 Off-Site Hedge Baseline'!$B$1:$L$257,6,FALSE))))</f>
        <v/>
      </c>
      <c r="G214" s="301" t="str">
        <f>IF(B214="","",IF(ISNA(VLOOKUP($B214,'E-1 Off-Site Hedge Baseline'!$B$1:$L$257,7,FALSE)),"",(VLOOKUP($B214,'E-1 Off-Site Hedge Baseline'!$B$1:$L$257,7,FALSE))))</f>
        <v/>
      </c>
      <c r="H214" s="301" t="str">
        <f>IF(B214="","",IF(ISNA(VLOOKUP($B214,'E-1 Off-Site Hedge Baseline'!$B$1:$L$257,8,FALSE)),"",(VLOOKUP($B214,'E-1 Off-Site Hedge Baseline'!$B$1:$L$257,8,FALSE))))</f>
        <v/>
      </c>
      <c r="I214" s="301" t="str">
        <f>IF(B214="","",IF(ISNA(VLOOKUP($B214,'E-1 Off-Site Hedge Baseline'!$B$1:$L$257,10,FALSE)),"",(VLOOKUP($B214,'E-1 Off-Site Hedge Baseline'!$B$1:$L$257,10,FALSE))))</f>
        <v/>
      </c>
      <c r="J214" s="301" t="str">
        <f>IF(B214="","",IF(ISNA(VLOOKUP($B214,'E-1 Off-Site Hedge Baseline'!$B$1:$L$257,11,FALSE)),"",(VLOOKUP($B214,'E-1 Off-Site Hedge Baseline'!$B$1:$L$257,11,FALSE))))</f>
        <v/>
      </c>
      <c r="K214" s="301" t="str">
        <f>IF(B214="","",IF(ISNA(VLOOKUP($B214,'E-1 Off-Site Hedge Baseline'!$B$1:$X$257,16,FALSE)),"",(VLOOKUP($B214,'E-1 Off-Site Hedge Baseline'!$B$1:$X$257,16,FALSE))))</f>
        <v/>
      </c>
      <c r="L214" s="289" t="str">
        <f>IF(B214="","",IF(ISNA(VLOOKUP($B214,'E-1 Off-Site Hedge Baseline'!$B$1:$X$257,12,FALSE)),"",(VLOOKUP($B214,'E-1 Off-Site Hedge Baseline'!$B$1:$X$257,12,FALSE))))</f>
        <v/>
      </c>
      <c r="M214" s="250"/>
      <c r="N214" s="281" t="str">
        <f>IFERROR(IF(B214="","",INDEX('G-6 Hedgerow Data'!$AN$3:$AZ$15,MATCH(C214,'G-6 Hedgerow Data'!$AM$3:$AM$15,0),MATCH(M214,'G-6 Hedgerow Data'!$AN$2:$AZ$2,0))),"")</f>
        <v/>
      </c>
      <c r="O214" s="282" t="str">
        <f t="shared" si="25"/>
        <v/>
      </c>
      <c r="P214" s="287" t="str">
        <f>IF(B214="","",VLOOKUP(B214,'E-1 Off-Site Hedge Baseline'!$B$10:W459,19,FALSE))</f>
        <v/>
      </c>
      <c r="Q214" s="281" t="str">
        <f>IF(M214="","",VLOOKUP(M214,'G-6 Hedgerow Data'!$B$2:$AG$15,2,FALSE))</f>
        <v/>
      </c>
      <c r="R214" s="282" t="str">
        <f>IF(M214="","",VLOOKUP(M214,'G-6 Hedgerow Data'!$B$2:$AG$15,3,FALSE))</f>
        <v/>
      </c>
      <c r="S214" s="105"/>
      <c r="T214" s="282" t="str">
        <f>IFERROR(IF(S214="","",IF(AND(M214="Non-native and ornamental hedgerow", S214&lt;&gt;"Poor"),"Not possible ▲", (IF(AND(Q214="V.Low",OR(S214="Good",S214="Moderate")),"Error ▲",VLOOKUP(S214,'G-1 All Habitats'!$Z$2:$AA$9,2,FALSE))))),"")</f>
        <v/>
      </c>
      <c r="U214" s="105"/>
      <c r="V214" s="289" t="str">
        <f>IF(U214="","",IF(VLOOKUP(U214,'G-3 Multipliers'!$L$3:$N$6,2,FALSE)=0,"Spatial Data Missing ⚠",VLOOKUP(U214,'G-3 Multipliers'!$L$3:$N$6,2,FALSE)))</f>
        <v/>
      </c>
      <c r="W214" s="287" t="str">
        <f>IF(U214="","",IF(VLOOKUP(U214,'G-3 Multipliers'!$L$3:$N$6,3,FALSE)=0,"Spatial Data Missing ⚠",VLOOKUP(U214,'G-3 Multipliers'!$L$3:$N$6,3,FALSE)))</f>
        <v/>
      </c>
      <c r="X214" s="281" t="str">
        <f>IFERROR(IF(OR(LEFT(O214,5)="Error",LEFT(N214,5)="Error",T214="Error"),"Check Data ⚠",IF(F214&lt;R214,INDEX('G-6 Hedgerow Data'!$S$3:$AE$14,MATCH(C214,'G-6 Hedgerow Data'!$B$3:$B$14,0),MATCH(M214,'G-6 Hedgerow Data'!$S$2:$AE$2,0)),INDEX('G-6 Hedgerow Data'!$K$3:$Q$14,MATCH(M214,'G-6 Hedgerow Data'!$B$3:$B$14,0),MATCH(O214,'G-6 Hedgerow Data'!$K$2:$Q$2,0)))),"")</f>
        <v/>
      </c>
      <c r="Y214" s="137"/>
      <c r="Z214" s="137"/>
      <c r="AA214" s="289" t="str">
        <f t="shared" si="26"/>
        <v/>
      </c>
      <c r="AB214" s="302" t="str">
        <f t="shared" si="27"/>
        <v/>
      </c>
      <c r="AC214" s="303" t="str">
        <f t="shared" si="24"/>
        <v/>
      </c>
      <c r="AD214" s="317" t="str">
        <f>IF(M214="","",VLOOKUP(M214,'G-6 Hedgerow Data'!$B$3:$AG$15,31,FALSE))</f>
        <v/>
      </c>
      <c r="AE214" s="301" t="str">
        <f t="shared" si="28"/>
        <v/>
      </c>
      <c r="AF214" s="289" t="str">
        <f t="shared" si="29"/>
        <v/>
      </c>
      <c r="AG214" s="305" t="str">
        <f>IFERROR(IF(O214="","",VLOOKUP(AD214,'G-3 Multipliers'!$P$3:$Q$6,2,FALSE)),"")</f>
        <v/>
      </c>
      <c r="AH214" s="729" t="str">
        <f>IF(B214="","",IF(ISNA(VLOOKUP($B214,'E-1 Off-Site Hedge Baseline'!$B$1:$Z$257,14,FALSE)),"",(VLOOKUP($B214,'E-1 Off-Site Hedge Baseline'!$B$1:$Z$257,14,FALSE))))</f>
        <v/>
      </c>
      <c r="AI214" s="282" t="str">
        <f>IF(AH214="","",IF(VLOOKUP(AH214,'G-3 Multipliers'!$S$3:$T$10,2,FALSE)=0,"Spatial Data Missing ⚠",VLOOKUP(AH214,'G-3 Multipliers'!$S$3:$T$10,2,FALSE)))</f>
        <v/>
      </c>
      <c r="AJ214" s="323" t="str">
        <f t="shared" si="30"/>
        <v/>
      </c>
      <c r="AK214" s="295" t="str">
        <f t="shared" si="31"/>
        <v/>
      </c>
      <c r="AL214" s="105"/>
      <c r="AM214" s="119"/>
      <c r="AN214" s="108"/>
      <c r="AO214" s="108"/>
      <c r="AQ214" s="30" t="str">
        <f>IFERROR(INDEX('G-6 Hedgerow Data'!$BJ$3:$BJ$15,MATCH(M214,'G-6 Hedgerow Data'!$B$3:$B$15,0)),"")</f>
        <v/>
      </c>
    </row>
    <row r="215" spans="2:43" ht="13.8" x14ac:dyDescent="0.25">
      <c r="B215" s="311" t="str">
        <f>'E-1 Off-Site Hedge Baseline'!AN213</f>
        <v/>
      </c>
      <c r="C215" s="301" t="str">
        <f>IF(B215="","",IF(ISNA(VLOOKUP($B215,'E-1 Off-Site Hedge Baseline'!$B$1:$L$257,3,FALSE)),"",(VLOOKUP($B215,'E-1 Off-Site Hedge Baseline'!$B$1:$L$257,3,FALSE))))</f>
        <v/>
      </c>
      <c r="D215" s="301" t="str">
        <f>IF(B215="","",IF(ISNA(VLOOKUP($B215,'E-1 Off-Site Hedge Baseline'!$B$1:$L$258,4,FALSE)),"",(VLOOKUP($B215,'E-1 Off-Site Hedge Baseline'!$B$1:$L$258,4,FALSE))))</f>
        <v/>
      </c>
      <c r="E215" s="301" t="str">
        <f>IF(B215="","",IF(ISNA(VLOOKUP($B215,'E-1 Off-Site Hedge Baseline'!$B$1:$L$257,5,FALSE)),"",(VLOOKUP($B215,'E-1 Off-Site Hedge Baseline'!$B$1:$L$257,5,FALSE))))</f>
        <v/>
      </c>
      <c r="F215" s="301" t="str">
        <f>IF(B215="","",IF(ISNA(VLOOKUP($B215,'E-1 Off-Site Hedge Baseline'!$B$1:$L$257,6,FALSE)),"",(VLOOKUP($B215,'E-1 Off-Site Hedge Baseline'!$B$1:$L$257,6,FALSE))))</f>
        <v/>
      </c>
      <c r="G215" s="301" t="str">
        <f>IF(B215="","",IF(ISNA(VLOOKUP($B215,'E-1 Off-Site Hedge Baseline'!$B$1:$L$257,7,FALSE)),"",(VLOOKUP($B215,'E-1 Off-Site Hedge Baseline'!$B$1:$L$257,7,FALSE))))</f>
        <v/>
      </c>
      <c r="H215" s="301" t="str">
        <f>IF(B215="","",IF(ISNA(VLOOKUP($B215,'E-1 Off-Site Hedge Baseline'!$B$1:$L$257,8,FALSE)),"",(VLOOKUP($B215,'E-1 Off-Site Hedge Baseline'!$B$1:$L$257,8,FALSE))))</f>
        <v/>
      </c>
      <c r="I215" s="301" t="str">
        <f>IF(B215="","",IF(ISNA(VLOOKUP($B215,'E-1 Off-Site Hedge Baseline'!$B$1:$L$257,10,FALSE)),"",(VLOOKUP($B215,'E-1 Off-Site Hedge Baseline'!$B$1:$L$257,10,FALSE))))</f>
        <v/>
      </c>
      <c r="J215" s="301" t="str">
        <f>IF(B215="","",IF(ISNA(VLOOKUP($B215,'E-1 Off-Site Hedge Baseline'!$B$1:$L$257,11,FALSE)),"",(VLOOKUP($B215,'E-1 Off-Site Hedge Baseline'!$B$1:$L$257,11,FALSE))))</f>
        <v/>
      </c>
      <c r="K215" s="301" t="str">
        <f>IF(B215="","",IF(ISNA(VLOOKUP($B215,'E-1 Off-Site Hedge Baseline'!$B$1:$X$257,16,FALSE)),"",(VLOOKUP($B215,'E-1 Off-Site Hedge Baseline'!$B$1:$X$257,16,FALSE))))</f>
        <v/>
      </c>
      <c r="L215" s="289" t="str">
        <f>IF(B215="","",IF(ISNA(VLOOKUP($B215,'E-1 Off-Site Hedge Baseline'!$B$1:$X$257,12,FALSE)),"",(VLOOKUP($B215,'E-1 Off-Site Hedge Baseline'!$B$1:$X$257,12,FALSE))))</f>
        <v/>
      </c>
      <c r="M215" s="250"/>
      <c r="N215" s="281" t="str">
        <f>IFERROR(IF(B215="","",INDEX('G-6 Hedgerow Data'!$AN$3:$AZ$15,MATCH(C215,'G-6 Hedgerow Data'!$AM$3:$AM$15,0),MATCH(M215,'G-6 Hedgerow Data'!$AN$2:$AZ$2,0))),"")</f>
        <v/>
      </c>
      <c r="O215" s="282" t="str">
        <f t="shared" si="25"/>
        <v/>
      </c>
      <c r="P215" s="287" t="str">
        <f>IF(B215="","",VLOOKUP(B215,'E-1 Off-Site Hedge Baseline'!$B$10:W460,19,FALSE))</f>
        <v/>
      </c>
      <c r="Q215" s="281" t="str">
        <f>IF(M215="","",VLOOKUP(M215,'G-6 Hedgerow Data'!$B$2:$AG$15,2,FALSE))</f>
        <v/>
      </c>
      <c r="R215" s="282" t="str">
        <f>IF(M215="","",VLOOKUP(M215,'G-6 Hedgerow Data'!$B$2:$AG$15,3,FALSE))</f>
        <v/>
      </c>
      <c r="S215" s="105"/>
      <c r="T215" s="282" t="str">
        <f>IFERROR(IF(S215="","",IF(AND(M215="Non-native and ornamental hedgerow", S215&lt;&gt;"Poor"),"Not possible ▲", (IF(AND(Q215="V.Low",OR(S215="Good",S215="Moderate")),"Error ▲",VLOOKUP(S215,'G-1 All Habitats'!$Z$2:$AA$9,2,FALSE))))),"")</f>
        <v/>
      </c>
      <c r="U215" s="105"/>
      <c r="V215" s="289" t="str">
        <f>IF(U215="","",IF(VLOOKUP(U215,'G-3 Multipliers'!$L$3:$N$6,2,FALSE)=0,"Spatial Data Missing ⚠",VLOOKUP(U215,'G-3 Multipliers'!$L$3:$N$6,2,FALSE)))</f>
        <v/>
      </c>
      <c r="W215" s="287" t="str">
        <f>IF(U215="","",IF(VLOOKUP(U215,'G-3 Multipliers'!$L$3:$N$6,3,FALSE)=0,"Spatial Data Missing ⚠",VLOOKUP(U215,'G-3 Multipliers'!$L$3:$N$6,3,FALSE)))</f>
        <v/>
      </c>
      <c r="X215" s="281" t="str">
        <f>IFERROR(IF(OR(LEFT(O215,5)="Error",LEFT(N215,5)="Error",T215="Error"),"Check Data ⚠",IF(F215&lt;R215,INDEX('G-6 Hedgerow Data'!$S$3:$AE$14,MATCH(C215,'G-6 Hedgerow Data'!$B$3:$B$14,0),MATCH(M215,'G-6 Hedgerow Data'!$S$2:$AE$2,0)),INDEX('G-6 Hedgerow Data'!$K$3:$Q$14,MATCH(M215,'G-6 Hedgerow Data'!$B$3:$B$14,0),MATCH(O215,'G-6 Hedgerow Data'!$K$2:$Q$2,0)))),"")</f>
        <v/>
      </c>
      <c r="Y215" s="137"/>
      <c r="Z215" s="137"/>
      <c r="AA215" s="289" t="str">
        <f t="shared" si="26"/>
        <v/>
      </c>
      <c r="AB215" s="302" t="str">
        <f t="shared" si="27"/>
        <v/>
      </c>
      <c r="AC215" s="303" t="str">
        <f t="shared" si="24"/>
        <v/>
      </c>
      <c r="AD215" s="317" t="str">
        <f>IF(M215="","",VLOOKUP(M215,'G-6 Hedgerow Data'!$B$3:$AG$15,31,FALSE))</f>
        <v/>
      </c>
      <c r="AE215" s="301" t="str">
        <f t="shared" si="28"/>
        <v/>
      </c>
      <c r="AF215" s="289" t="str">
        <f t="shared" si="29"/>
        <v/>
      </c>
      <c r="AG215" s="305" t="str">
        <f>IFERROR(IF(O215="","",VLOOKUP(AD215,'G-3 Multipliers'!$P$3:$Q$6,2,FALSE)),"")</f>
        <v/>
      </c>
      <c r="AH215" s="729" t="str">
        <f>IF(B215="","",IF(ISNA(VLOOKUP($B215,'E-1 Off-Site Hedge Baseline'!$B$1:$Z$257,14,FALSE)),"",(VLOOKUP($B215,'E-1 Off-Site Hedge Baseline'!$B$1:$Z$257,14,FALSE))))</f>
        <v/>
      </c>
      <c r="AI215" s="282" t="str">
        <f>IF(AH215="","",IF(VLOOKUP(AH215,'G-3 Multipliers'!$S$3:$T$10,2,FALSE)=0,"Spatial Data Missing ⚠",VLOOKUP(AH215,'G-3 Multipliers'!$S$3:$T$10,2,FALSE)))</f>
        <v/>
      </c>
      <c r="AJ215" s="323" t="str">
        <f t="shared" si="30"/>
        <v/>
      </c>
      <c r="AK215" s="295" t="str">
        <f t="shared" si="31"/>
        <v/>
      </c>
      <c r="AL215" s="105"/>
      <c r="AM215" s="119"/>
      <c r="AN215" s="108"/>
      <c r="AO215" s="108"/>
      <c r="AQ215" s="30" t="str">
        <f>IFERROR(INDEX('G-6 Hedgerow Data'!$BJ$3:$BJ$15,MATCH(M215,'G-6 Hedgerow Data'!$B$3:$B$15,0)),"")</f>
        <v/>
      </c>
    </row>
    <row r="216" spans="2:43" ht="13.8" x14ac:dyDescent="0.25">
      <c r="B216" s="311" t="str">
        <f>'E-1 Off-Site Hedge Baseline'!AN214</f>
        <v/>
      </c>
      <c r="C216" s="301" t="str">
        <f>IF(B216="","",IF(ISNA(VLOOKUP($B216,'E-1 Off-Site Hedge Baseline'!$B$1:$L$257,3,FALSE)),"",(VLOOKUP($B216,'E-1 Off-Site Hedge Baseline'!$B$1:$L$257,3,FALSE))))</f>
        <v/>
      </c>
      <c r="D216" s="301" t="str">
        <f>IF(B216="","",IF(ISNA(VLOOKUP($B216,'E-1 Off-Site Hedge Baseline'!$B$1:$L$258,4,FALSE)),"",(VLOOKUP($B216,'E-1 Off-Site Hedge Baseline'!$B$1:$L$258,4,FALSE))))</f>
        <v/>
      </c>
      <c r="E216" s="301" t="str">
        <f>IF(B216="","",IF(ISNA(VLOOKUP($B216,'E-1 Off-Site Hedge Baseline'!$B$1:$L$257,5,FALSE)),"",(VLOOKUP($B216,'E-1 Off-Site Hedge Baseline'!$B$1:$L$257,5,FALSE))))</f>
        <v/>
      </c>
      <c r="F216" s="301" t="str">
        <f>IF(B216="","",IF(ISNA(VLOOKUP($B216,'E-1 Off-Site Hedge Baseline'!$B$1:$L$257,6,FALSE)),"",(VLOOKUP($B216,'E-1 Off-Site Hedge Baseline'!$B$1:$L$257,6,FALSE))))</f>
        <v/>
      </c>
      <c r="G216" s="301" t="str">
        <f>IF(B216="","",IF(ISNA(VLOOKUP($B216,'E-1 Off-Site Hedge Baseline'!$B$1:$L$257,7,FALSE)),"",(VLOOKUP($B216,'E-1 Off-Site Hedge Baseline'!$B$1:$L$257,7,FALSE))))</f>
        <v/>
      </c>
      <c r="H216" s="301" t="str">
        <f>IF(B216="","",IF(ISNA(VLOOKUP($B216,'E-1 Off-Site Hedge Baseline'!$B$1:$L$257,8,FALSE)),"",(VLOOKUP($B216,'E-1 Off-Site Hedge Baseline'!$B$1:$L$257,8,FALSE))))</f>
        <v/>
      </c>
      <c r="I216" s="301" t="str">
        <f>IF(B216="","",IF(ISNA(VLOOKUP($B216,'E-1 Off-Site Hedge Baseline'!$B$1:$L$257,10,FALSE)),"",(VLOOKUP($B216,'E-1 Off-Site Hedge Baseline'!$B$1:$L$257,10,FALSE))))</f>
        <v/>
      </c>
      <c r="J216" s="301" t="str">
        <f>IF(B216="","",IF(ISNA(VLOOKUP($B216,'E-1 Off-Site Hedge Baseline'!$B$1:$L$257,11,FALSE)),"",(VLOOKUP($B216,'E-1 Off-Site Hedge Baseline'!$B$1:$L$257,11,FALSE))))</f>
        <v/>
      </c>
      <c r="K216" s="301" t="str">
        <f>IF(B216="","",IF(ISNA(VLOOKUP($B216,'E-1 Off-Site Hedge Baseline'!$B$1:$X$257,16,FALSE)),"",(VLOOKUP($B216,'E-1 Off-Site Hedge Baseline'!$B$1:$X$257,16,FALSE))))</f>
        <v/>
      </c>
      <c r="L216" s="289" t="str">
        <f>IF(B216="","",IF(ISNA(VLOOKUP($B216,'E-1 Off-Site Hedge Baseline'!$B$1:$X$257,12,FALSE)),"",(VLOOKUP($B216,'E-1 Off-Site Hedge Baseline'!$B$1:$X$257,12,FALSE))))</f>
        <v/>
      </c>
      <c r="M216" s="250"/>
      <c r="N216" s="281" t="str">
        <f>IFERROR(IF(B216="","",INDEX('G-6 Hedgerow Data'!$AN$3:$AZ$15,MATCH(C216,'G-6 Hedgerow Data'!$AM$3:$AM$15,0),MATCH(M216,'G-6 Hedgerow Data'!$AN$2:$AZ$2,0))),"")</f>
        <v/>
      </c>
      <c r="O216" s="282" t="str">
        <f t="shared" si="25"/>
        <v/>
      </c>
      <c r="P216" s="287" t="str">
        <f>IF(B216="","",VLOOKUP(B216,'E-1 Off-Site Hedge Baseline'!$B$10:W461,19,FALSE))</f>
        <v/>
      </c>
      <c r="Q216" s="281" t="str">
        <f>IF(M216="","",VLOOKUP(M216,'G-6 Hedgerow Data'!$B$2:$AG$15,2,FALSE))</f>
        <v/>
      </c>
      <c r="R216" s="282" t="str">
        <f>IF(M216="","",VLOOKUP(M216,'G-6 Hedgerow Data'!$B$2:$AG$15,3,FALSE))</f>
        <v/>
      </c>
      <c r="S216" s="105"/>
      <c r="T216" s="282" t="str">
        <f>IFERROR(IF(S216="","",IF(AND(M216="Non-native and ornamental hedgerow", S216&lt;&gt;"Poor"),"Not possible ▲", (IF(AND(Q216="V.Low",OR(S216="Good",S216="Moderate")),"Error ▲",VLOOKUP(S216,'G-1 All Habitats'!$Z$2:$AA$9,2,FALSE))))),"")</f>
        <v/>
      </c>
      <c r="U216" s="105"/>
      <c r="V216" s="289" t="str">
        <f>IF(U216="","",IF(VLOOKUP(U216,'G-3 Multipliers'!$L$3:$N$6,2,FALSE)=0,"Spatial Data Missing ⚠",VLOOKUP(U216,'G-3 Multipliers'!$L$3:$N$6,2,FALSE)))</f>
        <v/>
      </c>
      <c r="W216" s="287" t="str">
        <f>IF(U216="","",IF(VLOOKUP(U216,'G-3 Multipliers'!$L$3:$N$6,3,FALSE)=0,"Spatial Data Missing ⚠",VLOOKUP(U216,'G-3 Multipliers'!$L$3:$N$6,3,FALSE)))</f>
        <v/>
      </c>
      <c r="X216" s="281" t="str">
        <f>IFERROR(IF(OR(LEFT(O216,5)="Error",LEFT(N216,5)="Error",T216="Error"),"Check Data ⚠",IF(F216&lt;R216,INDEX('G-6 Hedgerow Data'!$S$3:$AE$14,MATCH(C216,'G-6 Hedgerow Data'!$B$3:$B$14,0),MATCH(M216,'G-6 Hedgerow Data'!$S$2:$AE$2,0)),INDEX('G-6 Hedgerow Data'!$K$3:$Q$14,MATCH(M216,'G-6 Hedgerow Data'!$B$3:$B$14,0),MATCH(O216,'G-6 Hedgerow Data'!$K$2:$Q$2,0)))),"")</f>
        <v/>
      </c>
      <c r="Y216" s="137"/>
      <c r="Z216" s="137"/>
      <c r="AA216" s="289" t="str">
        <f t="shared" si="26"/>
        <v/>
      </c>
      <c r="AB216" s="302" t="str">
        <f t="shared" si="27"/>
        <v/>
      </c>
      <c r="AC216" s="303" t="str">
        <f t="shared" si="24"/>
        <v/>
      </c>
      <c r="AD216" s="317" t="str">
        <f>IF(M216="","",VLOOKUP(M216,'G-6 Hedgerow Data'!$B$3:$AG$15,31,FALSE))</f>
        <v/>
      </c>
      <c r="AE216" s="301" t="str">
        <f t="shared" si="28"/>
        <v/>
      </c>
      <c r="AF216" s="289" t="str">
        <f t="shared" si="29"/>
        <v/>
      </c>
      <c r="AG216" s="305" t="str">
        <f>IFERROR(IF(O216="","",VLOOKUP(AD216,'G-3 Multipliers'!$P$3:$Q$6,2,FALSE)),"")</f>
        <v/>
      </c>
      <c r="AH216" s="729" t="str">
        <f>IF(B216="","",IF(ISNA(VLOOKUP($B216,'E-1 Off-Site Hedge Baseline'!$B$1:$Z$257,14,FALSE)),"",(VLOOKUP($B216,'E-1 Off-Site Hedge Baseline'!$B$1:$Z$257,14,FALSE))))</f>
        <v/>
      </c>
      <c r="AI216" s="282" t="str">
        <f>IF(AH216="","",IF(VLOOKUP(AH216,'G-3 Multipliers'!$S$3:$T$10,2,FALSE)=0,"Spatial Data Missing ⚠",VLOOKUP(AH216,'G-3 Multipliers'!$S$3:$T$10,2,FALSE)))</f>
        <v/>
      </c>
      <c r="AJ216" s="323" t="str">
        <f t="shared" si="30"/>
        <v/>
      </c>
      <c r="AK216" s="295" t="str">
        <f t="shared" si="31"/>
        <v/>
      </c>
      <c r="AL216" s="105"/>
      <c r="AM216" s="119"/>
      <c r="AN216" s="108"/>
      <c r="AO216" s="108"/>
      <c r="AQ216" s="30" t="str">
        <f>IFERROR(INDEX('G-6 Hedgerow Data'!$BJ$3:$BJ$15,MATCH(M216,'G-6 Hedgerow Data'!$B$3:$B$15,0)),"")</f>
        <v/>
      </c>
    </row>
    <row r="217" spans="2:43" ht="13.8" x14ac:dyDescent="0.25">
      <c r="B217" s="311" t="str">
        <f>'E-1 Off-Site Hedge Baseline'!AN215</f>
        <v/>
      </c>
      <c r="C217" s="301" t="str">
        <f>IF(B217="","",IF(ISNA(VLOOKUP($B217,'E-1 Off-Site Hedge Baseline'!$B$1:$L$257,3,FALSE)),"",(VLOOKUP($B217,'E-1 Off-Site Hedge Baseline'!$B$1:$L$257,3,FALSE))))</f>
        <v/>
      </c>
      <c r="D217" s="301" t="str">
        <f>IF(B217="","",IF(ISNA(VLOOKUP($B217,'E-1 Off-Site Hedge Baseline'!$B$1:$L$258,4,FALSE)),"",(VLOOKUP($B217,'E-1 Off-Site Hedge Baseline'!$B$1:$L$258,4,FALSE))))</f>
        <v/>
      </c>
      <c r="E217" s="301" t="str">
        <f>IF(B217="","",IF(ISNA(VLOOKUP($B217,'E-1 Off-Site Hedge Baseline'!$B$1:$L$257,5,FALSE)),"",(VLOOKUP($B217,'E-1 Off-Site Hedge Baseline'!$B$1:$L$257,5,FALSE))))</f>
        <v/>
      </c>
      <c r="F217" s="301" t="str">
        <f>IF(B217="","",IF(ISNA(VLOOKUP($B217,'E-1 Off-Site Hedge Baseline'!$B$1:$L$257,6,FALSE)),"",(VLOOKUP($B217,'E-1 Off-Site Hedge Baseline'!$B$1:$L$257,6,FALSE))))</f>
        <v/>
      </c>
      <c r="G217" s="301" t="str">
        <f>IF(B217="","",IF(ISNA(VLOOKUP($B217,'E-1 Off-Site Hedge Baseline'!$B$1:$L$257,7,FALSE)),"",(VLOOKUP($B217,'E-1 Off-Site Hedge Baseline'!$B$1:$L$257,7,FALSE))))</f>
        <v/>
      </c>
      <c r="H217" s="301" t="str">
        <f>IF(B217="","",IF(ISNA(VLOOKUP($B217,'E-1 Off-Site Hedge Baseline'!$B$1:$L$257,8,FALSE)),"",(VLOOKUP($B217,'E-1 Off-Site Hedge Baseline'!$B$1:$L$257,8,FALSE))))</f>
        <v/>
      </c>
      <c r="I217" s="301" t="str">
        <f>IF(B217="","",IF(ISNA(VLOOKUP($B217,'E-1 Off-Site Hedge Baseline'!$B$1:$L$257,10,FALSE)),"",(VLOOKUP($B217,'E-1 Off-Site Hedge Baseline'!$B$1:$L$257,10,FALSE))))</f>
        <v/>
      </c>
      <c r="J217" s="301" t="str">
        <f>IF(B217="","",IF(ISNA(VLOOKUP($B217,'E-1 Off-Site Hedge Baseline'!$B$1:$L$257,11,FALSE)),"",(VLOOKUP($B217,'E-1 Off-Site Hedge Baseline'!$B$1:$L$257,11,FALSE))))</f>
        <v/>
      </c>
      <c r="K217" s="301" t="str">
        <f>IF(B217="","",IF(ISNA(VLOOKUP($B217,'E-1 Off-Site Hedge Baseline'!$B$1:$X$257,16,FALSE)),"",(VLOOKUP($B217,'E-1 Off-Site Hedge Baseline'!$B$1:$X$257,16,FALSE))))</f>
        <v/>
      </c>
      <c r="L217" s="289" t="str">
        <f>IF(B217="","",IF(ISNA(VLOOKUP($B217,'E-1 Off-Site Hedge Baseline'!$B$1:$X$257,12,FALSE)),"",(VLOOKUP($B217,'E-1 Off-Site Hedge Baseline'!$B$1:$X$257,12,FALSE))))</f>
        <v/>
      </c>
      <c r="M217" s="250"/>
      <c r="N217" s="281" t="str">
        <f>IFERROR(IF(B217="","",INDEX('G-6 Hedgerow Data'!$AN$3:$AZ$15,MATCH(C217,'G-6 Hedgerow Data'!$AM$3:$AM$15,0),MATCH(M217,'G-6 Hedgerow Data'!$AN$2:$AZ$2,0))),"")</f>
        <v/>
      </c>
      <c r="O217" s="282" t="str">
        <f t="shared" si="25"/>
        <v/>
      </c>
      <c r="P217" s="287" t="str">
        <f>IF(B217="","",VLOOKUP(B217,'E-1 Off-Site Hedge Baseline'!$B$10:W462,19,FALSE))</f>
        <v/>
      </c>
      <c r="Q217" s="281" t="str">
        <f>IF(M217="","",VLOOKUP(M217,'G-6 Hedgerow Data'!$B$2:$AG$15,2,FALSE))</f>
        <v/>
      </c>
      <c r="R217" s="282" t="str">
        <f>IF(M217="","",VLOOKUP(M217,'G-6 Hedgerow Data'!$B$2:$AG$15,3,FALSE))</f>
        <v/>
      </c>
      <c r="S217" s="105"/>
      <c r="T217" s="282" t="str">
        <f>IFERROR(IF(S217="","",IF(AND(M217="Non-native and ornamental hedgerow", S217&lt;&gt;"Poor"),"Not possible ▲", (IF(AND(Q217="V.Low",OR(S217="Good",S217="Moderate")),"Error ▲",VLOOKUP(S217,'G-1 All Habitats'!$Z$2:$AA$9,2,FALSE))))),"")</f>
        <v/>
      </c>
      <c r="U217" s="105"/>
      <c r="V217" s="289" t="str">
        <f>IF(U217="","",IF(VLOOKUP(U217,'G-3 Multipliers'!$L$3:$N$6,2,FALSE)=0,"Spatial Data Missing ⚠",VLOOKUP(U217,'G-3 Multipliers'!$L$3:$N$6,2,FALSE)))</f>
        <v/>
      </c>
      <c r="W217" s="287" t="str">
        <f>IF(U217="","",IF(VLOOKUP(U217,'G-3 Multipliers'!$L$3:$N$6,3,FALSE)=0,"Spatial Data Missing ⚠",VLOOKUP(U217,'G-3 Multipliers'!$L$3:$N$6,3,FALSE)))</f>
        <v/>
      </c>
      <c r="X217" s="281" t="str">
        <f>IFERROR(IF(OR(LEFT(O217,5)="Error",LEFT(N217,5)="Error",T217="Error"),"Check Data ⚠",IF(F217&lt;R217,INDEX('G-6 Hedgerow Data'!$S$3:$AE$14,MATCH(C217,'G-6 Hedgerow Data'!$B$3:$B$14,0),MATCH(M217,'G-6 Hedgerow Data'!$S$2:$AE$2,0)),INDEX('G-6 Hedgerow Data'!$K$3:$Q$14,MATCH(M217,'G-6 Hedgerow Data'!$B$3:$B$14,0),MATCH(O217,'G-6 Hedgerow Data'!$K$2:$Q$2,0)))),"")</f>
        <v/>
      </c>
      <c r="Y217" s="137"/>
      <c r="Z217" s="137"/>
      <c r="AA217" s="289" t="str">
        <f t="shared" si="26"/>
        <v/>
      </c>
      <c r="AB217" s="302" t="str">
        <f t="shared" si="27"/>
        <v/>
      </c>
      <c r="AC217" s="303" t="str">
        <f t="shared" si="24"/>
        <v/>
      </c>
      <c r="AD217" s="317" t="str">
        <f>IF(M217="","",VLOOKUP(M217,'G-6 Hedgerow Data'!$B$3:$AG$15,31,FALSE))</f>
        <v/>
      </c>
      <c r="AE217" s="301" t="str">
        <f t="shared" si="28"/>
        <v/>
      </c>
      <c r="AF217" s="289" t="str">
        <f t="shared" si="29"/>
        <v/>
      </c>
      <c r="AG217" s="305" t="str">
        <f>IFERROR(IF(O217="","",VLOOKUP(AD217,'G-3 Multipliers'!$P$3:$Q$6,2,FALSE)),"")</f>
        <v/>
      </c>
      <c r="AH217" s="729" t="str">
        <f>IF(B217="","",IF(ISNA(VLOOKUP($B217,'E-1 Off-Site Hedge Baseline'!$B$1:$Z$257,14,FALSE)),"",(VLOOKUP($B217,'E-1 Off-Site Hedge Baseline'!$B$1:$Z$257,14,FALSE))))</f>
        <v/>
      </c>
      <c r="AI217" s="282" t="str">
        <f>IF(AH217="","",IF(VLOOKUP(AH217,'G-3 Multipliers'!$S$3:$T$10,2,FALSE)=0,"Spatial Data Missing ⚠",VLOOKUP(AH217,'G-3 Multipliers'!$S$3:$T$10,2,FALSE)))</f>
        <v/>
      </c>
      <c r="AJ217" s="323" t="str">
        <f t="shared" si="30"/>
        <v/>
      </c>
      <c r="AK217" s="295" t="str">
        <f t="shared" si="31"/>
        <v/>
      </c>
      <c r="AL217" s="105"/>
      <c r="AM217" s="119"/>
      <c r="AN217" s="108"/>
      <c r="AO217" s="108"/>
      <c r="AQ217" s="30" t="str">
        <f>IFERROR(INDEX('G-6 Hedgerow Data'!$BJ$3:$BJ$15,MATCH(M217,'G-6 Hedgerow Data'!$B$3:$B$15,0)),"")</f>
        <v/>
      </c>
    </row>
    <row r="218" spans="2:43" ht="13.8" x14ac:dyDescent="0.25">
      <c r="B218" s="311" t="str">
        <f>'E-1 Off-Site Hedge Baseline'!AN216</f>
        <v/>
      </c>
      <c r="C218" s="301" t="str">
        <f>IF(B218="","",IF(ISNA(VLOOKUP($B218,'E-1 Off-Site Hedge Baseline'!$B$1:$L$257,3,FALSE)),"",(VLOOKUP($B218,'E-1 Off-Site Hedge Baseline'!$B$1:$L$257,3,FALSE))))</f>
        <v/>
      </c>
      <c r="D218" s="301" t="str">
        <f>IF(B218="","",IF(ISNA(VLOOKUP($B218,'E-1 Off-Site Hedge Baseline'!$B$1:$L$258,4,FALSE)),"",(VLOOKUP($B218,'E-1 Off-Site Hedge Baseline'!$B$1:$L$258,4,FALSE))))</f>
        <v/>
      </c>
      <c r="E218" s="301" t="str">
        <f>IF(B218="","",IF(ISNA(VLOOKUP($B218,'E-1 Off-Site Hedge Baseline'!$B$1:$L$257,5,FALSE)),"",(VLOOKUP($B218,'E-1 Off-Site Hedge Baseline'!$B$1:$L$257,5,FALSE))))</f>
        <v/>
      </c>
      <c r="F218" s="301" t="str">
        <f>IF(B218="","",IF(ISNA(VLOOKUP($B218,'E-1 Off-Site Hedge Baseline'!$B$1:$L$257,6,FALSE)),"",(VLOOKUP($B218,'E-1 Off-Site Hedge Baseline'!$B$1:$L$257,6,FALSE))))</f>
        <v/>
      </c>
      <c r="G218" s="301" t="str">
        <f>IF(B218="","",IF(ISNA(VLOOKUP($B218,'E-1 Off-Site Hedge Baseline'!$B$1:$L$257,7,FALSE)),"",(VLOOKUP($B218,'E-1 Off-Site Hedge Baseline'!$B$1:$L$257,7,FALSE))))</f>
        <v/>
      </c>
      <c r="H218" s="301" t="str">
        <f>IF(B218="","",IF(ISNA(VLOOKUP($B218,'E-1 Off-Site Hedge Baseline'!$B$1:$L$257,8,FALSE)),"",(VLOOKUP($B218,'E-1 Off-Site Hedge Baseline'!$B$1:$L$257,8,FALSE))))</f>
        <v/>
      </c>
      <c r="I218" s="301" t="str">
        <f>IF(B218="","",IF(ISNA(VLOOKUP($B218,'E-1 Off-Site Hedge Baseline'!$B$1:$L$257,10,FALSE)),"",(VLOOKUP($B218,'E-1 Off-Site Hedge Baseline'!$B$1:$L$257,10,FALSE))))</f>
        <v/>
      </c>
      <c r="J218" s="301" t="str">
        <f>IF(B218="","",IF(ISNA(VLOOKUP($B218,'E-1 Off-Site Hedge Baseline'!$B$1:$L$257,11,FALSE)),"",(VLOOKUP($B218,'E-1 Off-Site Hedge Baseline'!$B$1:$L$257,11,FALSE))))</f>
        <v/>
      </c>
      <c r="K218" s="301" t="str">
        <f>IF(B218="","",IF(ISNA(VLOOKUP($B218,'E-1 Off-Site Hedge Baseline'!$B$1:$X$257,16,FALSE)),"",(VLOOKUP($B218,'E-1 Off-Site Hedge Baseline'!$B$1:$X$257,16,FALSE))))</f>
        <v/>
      </c>
      <c r="L218" s="289" t="str">
        <f>IF(B218="","",IF(ISNA(VLOOKUP($B218,'E-1 Off-Site Hedge Baseline'!$B$1:$X$257,12,FALSE)),"",(VLOOKUP($B218,'E-1 Off-Site Hedge Baseline'!$B$1:$X$257,12,FALSE))))</f>
        <v/>
      </c>
      <c r="M218" s="250"/>
      <c r="N218" s="281" t="str">
        <f>IFERROR(IF(B218="","",INDEX('G-6 Hedgerow Data'!$AN$3:$AZ$15,MATCH(C218,'G-6 Hedgerow Data'!$AM$3:$AM$15,0),MATCH(M218,'G-6 Hedgerow Data'!$AN$2:$AZ$2,0))),"")</f>
        <v/>
      </c>
      <c r="O218" s="282" t="str">
        <f t="shared" si="25"/>
        <v/>
      </c>
      <c r="P218" s="287" t="str">
        <f>IF(B218="","",VLOOKUP(B218,'E-1 Off-Site Hedge Baseline'!$B$10:W463,19,FALSE))</f>
        <v/>
      </c>
      <c r="Q218" s="281" t="str">
        <f>IF(M218="","",VLOOKUP(M218,'G-6 Hedgerow Data'!$B$2:$AG$15,2,FALSE))</f>
        <v/>
      </c>
      <c r="R218" s="282" t="str">
        <f>IF(M218="","",VLOOKUP(M218,'G-6 Hedgerow Data'!$B$2:$AG$15,3,FALSE))</f>
        <v/>
      </c>
      <c r="S218" s="105"/>
      <c r="T218" s="282" t="str">
        <f>IFERROR(IF(S218="","",IF(AND(M218="Non-native and ornamental hedgerow", S218&lt;&gt;"Poor"),"Not possible ▲", (IF(AND(Q218="V.Low",OR(S218="Good",S218="Moderate")),"Error ▲",VLOOKUP(S218,'G-1 All Habitats'!$Z$2:$AA$9,2,FALSE))))),"")</f>
        <v/>
      </c>
      <c r="U218" s="105"/>
      <c r="V218" s="289" t="str">
        <f>IF(U218="","",IF(VLOOKUP(U218,'G-3 Multipliers'!$L$3:$N$6,2,FALSE)=0,"Spatial Data Missing ⚠",VLOOKUP(U218,'G-3 Multipliers'!$L$3:$N$6,2,FALSE)))</f>
        <v/>
      </c>
      <c r="W218" s="287" t="str">
        <f>IF(U218="","",IF(VLOOKUP(U218,'G-3 Multipliers'!$L$3:$N$6,3,FALSE)=0,"Spatial Data Missing ⚠",VLOOKUP(U218,'G-3 Multipliers'!$L$3:$N$6,3,FALSE)))</f>
        <v/>
      </c>
      <c r="X218" s="281" t="str">
        <f>IFERROR(IF(OR(LEFT(O218,5)="Error",LEFT(N218,5)="Error",T218="Error"),"Check Data ⚠",IF(F218&lt;R218,INDEX('G-6 Hedgerow Data'!$S$3:$AE$14,MATCH(C218,'G-6 Hedgerow Data'!$B$3:$B$14,0),MATCH(M218,'G-6 Hedgerow Data'!$S$2:$AE$2,0)),INDEX('G-6 Hedgerow Data'!$K$3:$Q$14,MATCH(M218,'G-6 Hedgerow Data'!$B$3:$B$14,0),MATCH(O218,'G-6 Hedgerow Data'!$K$2:$Q$2,0)))),"")</f>
        <v/>
      </c>
      <c r="Y218" s="137"/>
      <c r="Z218" s="137"/>
      <c r="AA218" s="289" t="str">
        <f t="shared" si="26"/>
        <v/>
      </c>
      <c r="AB218" s="302" t="str">
        <f t="shared" si="27"/>
        <v/>
      </c>
      <c r="AC218" s="303" t="str">
        <f t="shared" si="24"/>
        <v/>
      </c>
      <c r="AD218" s="317" t="str">
        <f>IF(M218="","",VLOOKUP(M218,'G-6 Hedgerow Data'!$B$3:$AG$15,31,FALSE))</f>
        <v/>
      </c>
      <c r="AE218" s="301" t="str">
        <f t="shared" si="28"/>
        <v/>
      </c>
      <c r="AF218" s="289" t="str">
        <f t="shared" si="29"/>
        <v/>
      </c>
      <c r="AG218" s="305" t="str">
        <f>IFERROR(IF(O218="","",VLOOKUP(AD218,'G-3 Multipliers'!$P$3:$Q$6,2,FALSE)),"")</f>
        <v/>
      </c>
      <c r="AH218" s="729" t="str">
        <f>IF(B218="","",IF(ISNA(VLOOKUP($B218,'E-1 Off-Site Hedge Baseline'!$B$1:$Z$257,14,FALSE)),"",(VLOOKUP($B218,'E-1 Off-Site Hedge Baseline'!$B$1:$Z$257,14,FALSE))))</f>
        <v/>
      </c>
      <c r="AI218" s="282" t="str">
        <f>IF(AH218="","",IF(VLOOKUP(AH218,'G-3 Multipliers'!$S$3:$T$10,2,FALSE)=0,"Spatial Data Missing ⚠",VLOOKUP(AH218,'G-3 Multipliers'!$S$3:$T$10,2,FALSE)))</f>
        <v/>
      </c>
      <c r="AJ218" s="323" t="str">
        <f t="shared" si="30"/>
        <v/>
      </c>
      <c r="AK218" s="295" t="str">
        <f t="shared" si="31"/>
        <v/>
      </c>
      <c r="AL218" s="105"/>
      <c r="AM218" s="119"/>
      <c r="AN218" s="108"/>
      <c r="AO218" s="108"/>
      <c r="AQ218" s="30" t="str">
        <f>IFERROR(INDEX('G-6 Hedgerow Data'!$BJ$3:$BJ$15,MATCH(M218,'G-6 Hedgerow Data'!$B$3:$B$15,0)),"")</f>
        <v/>
      </c>
    </row>
    <row r="219" spans="2:43" ht="13.8" x14ac:dyDescent="0.25">
      <c r="B219" s="311" t="str">
        <f>'E-1 Off-Site Hedge Baseline'!AN217</f>
        <v/>
      </c>
      <c r="C219" s="301" t="str">
        <f>IF(B219="","",IF(ISNA(VLOOKUP($B219,'E-1 Off-Site Hedge Baseline'!$B$1:$L$257,3,FALSE)),"",(VLOOKUP($B219,'E-1 Off-Site Hedge Baseline'!$B$1:$L$257,3,FALSE))))</f>
        <v/>
      </c>
      <c r="D219" s="301" t="str">
        <f>IF(B219="","",IF(ISNA(VLOOKUP($B219,'E-1 Off-Site Hedge Baseline'!$B$1:$L$258,4,FALSE)),"",(VLOOKUP($B219,'E-1 Off-Site Hedge Baseline'!$B$1:$L$258,4,FALSE))))</f>
        <v/>
      </c>
      <c r="E219" s="301" t="str">
        <f>IF(B219="","",IF(ISNA(VLOOKUP($B219,'E-1 Off-Site Hedge Baseline'!$B$1:$L$257,5,FALSE)),"",(VLOOKUP($B219,'E-1 Off-Site Hedge Baseline'!$B$1:$L$257,5,FALSE))))</f>
        <v/>
      </c>
      <c r="F219" s="301" t="str">
        <f>IF(B219="","",IF(ISNA(VLOOKUP($B219,'E-1 Off-Site Hedge Baseline'!$B$1:$L$257,6,FALSE)),"",(VLOOKUP($B219,'E-1 Off-Site Hedge Baseline'!$B$1:$L$257,6,FALSE))))</f>
        <v/>
      </c>
      <c r="G219" s="301" t="str">
        <f>IF(B219="","",IF(ISNA(VLOOKUP($B219,'E-1 Off-Site Hedge Baseline'!$B$1:$L$257,7,FALSE)),"",(VLOOKUP($B219,'E-1 Off-Site Hedge Baseline'!$B$1:$L$257,7,FALSE))))</f>
        <v/>
      </c>
      <c r="H219" s="301" t="str">
        <f>IF(B219="","",IF(ISNA(VLOOKUP($B219,'E-1 Off-Site Hedge Baseline'!$B$1:$L$257,8,FALSE)),"",(VLOOKUP($B219,'E-1 Off-Site Hedge Baseline'!$B$1:$L$257,8,FALSE))))</f>
        <v/>
      </c>
      <c r="I219" s="301" t="str">
        <f>IF(B219="","",IF(ISNA(VLOOKUP($B219,'E-1 Off-Site Hedge Baseline'!$B$1:$L$257,10,FALSE)),"",(VLOOKUP($B219,'E-1 Off-Site Hedge Baseline'!$B$1:$L$257,10,FALSE))))</f>
        <v/>
      </c>
      <c r="J219" s="301" t="str">
        <f>IF(B219="","",IF(ISNA(VLOOKUP($B219,'E-1 Off-Site Hedge Baseline'!$B$1:$L$257,11,FALSE)),"",(VLOOKUP($B219,'E-1 Off-Site Hedge Baseline'!$B$1:$L$257,11,FALSE))))</f>
        <v/>
      </c>
      <c r="K219" s="301" t="str">
        <f>IF(B219="","",IF(ISNA(VLOOKUP($B219,'E-1 Off-Site Hedge Baseline'!$B$1:$X$257,16,FALSE)),"",(VLOOKUP($B219,'E-1 Off-Site Hedge Baseline'!$B$1:$X$257,16,FALSE))))</f>
        <v/>
      </c>
      <c r="L219" s="289" t="str">
        <f>IF(B219="","",IF(ISNA(VLOOKUP($B219,'E-1 Off-Site Hedge Baseline'!$B$1:$X$257,12,FALSE)),"",(VLOOKUP($B219,'E-1 Off-Site Hedge Baseline'!$B$1:$X$257,12,FALSE))))</f>
        <v/>
      </c>
      <c r="M219" s="250"/>
      <c r="N219" s="281" t="str">
        <f>IFERROR(IF(B219="","",INDEX('G-6 Hedgerow Data'!$AN$3:$AZ$15,MATCH(C219,'G-6 Hedgerow Data'!$AM$3:$AM$15,0),MATCH(M219,'G-6 Hedgerow Data'!$AN$2:$AZ$2,0))),"")</f>
        <v/>
      </c>
      <c r="O219" s="282" t="str">
        <f t="shared" si="25"/>
        <v/>
      </c>
      <c r="P219" s="287" t="str">
        <f>IF(B219="","",VLOOKUP(B219,'E-1 Off-Site Hedge Baseline'!$B$10:W464,19,FALSE))</f>
        <v/>
      </c>
      <c r="Q219" s="281" t="str">
        <f>IF(M219="","",VLOOKUP(M219,'G-6 Hedgerow Data'!$B$2:$AG$15,2,FALSE))</f>
        <v/>
      </c>
      <c r="R219" s="282" t="str">
        <f>IF(M219="","",VLOOKUP(M219,'G-6 Hedgerow Data'!$B$2:$AG$15,3,FALSE))</f>
        <v/>
      </c>
      <c r="S219" s="105"/>
      <c r="T219" s="282" t="str">
        <f>IFERROR(IF(S219="","",IF(AND(M219="Non-native and ornamental hedgerow", S219&lt;&gt;"Poor"),"Not possible ▲", (IF(AND(Q219="V.Low",OR(S219="Good",S219="Moderate")),"Error ▲",VLOOKUP(S219,'G-1 All Habitats'!$Z$2:$AA$9,2,FALSE))))),"")</f>
        <v/>
      </c>
      <c r="U219" s="105"/>
      <c r="V219" s="289" t="str">
        <f>IF(U219="","",IF(VLOOKUP(U219,'G-3 Multipliers'!$L$3:$N$6,2,FALSE)=0,"Spatial Data Missing ⚠",VLOOKUP(U219,'G-3 Multipliers'!$L$3:$N$6,2,FALSE)))</f>
        <v/>
      </c>
      <c r="W219" s="287" t="str">
        <f>IF(U219="","",IF(VLOOKUP(U219,'G-3 Multipliers'!$L$3:$N$6,3,FALSE)=0,"Spatial Data Missing ⚠",VLOOKUP(U219,'G-3 Multipliers'!$L$3:$N$6,3,FALSE)))</f>
        <v/>
      </c>
      <c r="X219" s="281" t="str">
        <f>IFERROR(IF(OR(LEFT(O219,5)="Error",LEFT(N219,5)="Error",T219="Error"),"Check Data ⚠",IF(F219&lt;R219,INDEX('G-6 Hedgerow Data'!$S$3:$AE$14,MATCH(C219,'G-6 Hedgerow Data'!$B$3:$B$14,0),MATCH(M219,'G-6 Hedgerow Data'!$S$2:$AE$2,0)),INDEX('G-6 Hedgerow Data'!$K$3:$Q$14,MATCH(M219,'G-6 Hedgerow Data'!$B$3:$B$14,0),MATCH(O219,'G-6 Hedgerow Data'!$K$2:$Q$2,0)))),"")</f>
        <v/>
      </c>
      <c r="Y219" s="137"/>
      <c r="Z219" s="137"/>
      <c r="AA219" s="289" t="str">
        <f t="shared" si="26"/>
        <v/>
      </c>
      <c r="AB219" s="302" t="str">
        <f t="shared" si="27"/>
        <v/>
      </c>
      <c r="AC219" s="303" t="str">
        <f t="shared" si="24"/>
        <v/>
      </c>
      <c r="AD219" s="317" t="str">
        <f>IF(M219="","",VLOOKUP(M219,'G-6 Hedgerow Data'!$B$3:$AG$15,31,FALSE))</f>
        <v/>
      </c>
      <c r="AE219" s="301" t="str">
        <f t="shared" si="28"/>
        <v/>
      </c>
      <c r="AF219" s="289" t="str">
        <f t="shared" si="29"/>
        <v/>
      </c>
      <c r="AG219" s="305" t="str">
        <f>IFERROR(IF(O219="","",VLOOKUP(AD219,'G-3 Multipliers'!$P$3:$Q$6,2,FALSE)),"")</f>
        <v/>
      </c>
      <c r="AH219" s="729" t="str">
        <f>IF(B219="","",IF(ISNA(VLOOKUP($B219,'E-1 Off-Site Hedge Baseline'!$B$1:$Z$257,14,FALSE)),"",(VLOOKUP($B219,'E-1 Off-Site Hedge Baseline'!$B$1:$Z$257,14,FALSE))))</f>
        <v/>
      </c>
      <c r="AI219" s="282" t="str">
        <f>IF(AH219="","",IF(VLOOKUP(AH219,'G-3 Multipliers'!$S$3:$T$10,2,FALSE)=0,"Spatial Data Missing ⚠",VLOOKUP(AH219,'G-3 Multipliers'!$S$3:$T$10,2,FALSE)))</f>
        <v/>
      </c>
      <c r="AJ219" s="323" t="str">
        <f t="shared" si="30"/>
        <v/>
      </c>
      <c r="AK219" s="295" t="str">
        <f t="shared" si="31"/>
        <v/>
      </c>
      <c r="AL219" s="105"/>
      <c r="AM219" s="119"/>
      <c r="AN219" s="108"/>
      <c r="AO219" s="108"/>
      <c r="AQ219" s="30" t="str">
        <f>IFERROR(INDEX('G-6 Hedgerow Data'!$BJ$3:$BJ$15,MATCH(M219,'G-6 Hedgerow Data'!$B$3:$B$15,0)),"")</f>
        <v/>
      </c>
    </row>
    <row r="220" spans="2:43" ht="13.8" x14ac:dyDescent="0.25">
      <c r="B220" s="311" t="str">
        <f>'E-1 Off-Site Hedge Baseline'!AN218</f>
        <v/>
      </c>
      <c r="C220" s="301" t="str">
        <f>IF(B220="","",IF(ISNA(VLOOKUP($B220,'E-1 Off-Site Hedge Baseline'!$B$1:$L$257,3,FALSE)),"",(VLOOKUP($B220,'E-1 Off-Site Hedge Baseline'!$B$1:$L$257,3,FALSE))))</f>
        <v/>
      </c>
      <c r="D220" s="301" t="str">
        <f>IF(B220="","",IF(ISNA(VLOOKUP($B220,'E-1 Off-Site Hedge Baseline'!$B$1:$L$258,4,FALSE)),"",(VLOOKUP($B220,'E-1 Off-Site Hedge Baseline'!$B$1:$L$258,4,FALSE))))</f>
        <v/>
      </c>
      <c r="E220" s="301" t="str">
        <f>IF(B220="","",IF(ISNA(VLOOKUP($B220,'E-1 Off-Site Hedge Baseline'!$B$1:$L$257,5,FALSE)),"",(VLOOKUP($B220,'E-1 Off-Site Hedge Baseline'!$B$1:$L$257,5,FALSE))))</f>
        <v/>
      </c>
      <c r="F220" s="301" t="str">
        <f>IF(B220="","",IF(ISNA(VLOOKUP($B220,'E-1 Off-Site Hedge Baseline'!$B$1:$L$257,6,FALSE)),"",(VLOOKUP($B220,'E-1 Off-Site Hedge Baseline'!$B$1:$L$257,6,FALSE))))</f>
        <v/>
      </c>
      <c r="G220" s="301" t="str">
        <f>IF(B220="","",IF(ISNA(VLOOKUP($B220,'E-1 Off-Site Hedge Baseline'!$B$1:$L$257,7,FALSE)),"",(VLOOKUP($B220,'E-1 Off-Site Hedge Baseline'!$B$1:$L$257,7,FALSE))))</f>
        <v/>
      </c>
      <c r="H220" s="301" t="str">
        <f>IF(B220="","",IF(ISNA(VLOOKUP($B220,'E-1 Off-Site Hedge Baseline'!$B$1:$L$257,8,FALSE)),"",(VLOOKUP($B220,'E-1 Off-Site Hedge Baseline'!$B$1:$L$257,8,FALSE))))</f>
        <v/>
      </c>
      <c r="I220" s="301" t="str">
        <f>IF(B220="","",IF(ISNA(VLOOKUP($B220,'E-1 Off-Site Hedge Baseline'!$B$1:$L$257,10,FALSE)),"",(VLOOKUP($B220,'E-1 Off-Site Hedge Baseline'!$B$1:$L$257,10,FALSE))))</f>
        <v/>
      </c>
      <c r="J220" s="301" t="str">
        <f>IF(B220="","",IF(ISNA(VLOOKUP($B220,'E-1 Off-Site Hedge Baseline'!$B$1:$L$257,11,FALSE)),"",(VLOOKUP($B220,'E-1 Off-Site Hedge Baseline'!$B$1:$L$257,11,FALSE))))</f>
        <v/>
      </c>
      <c r="K220" s="301" t="str">
        <f>IF(B220="","",IF(ISNA(VLOOKUP($B220,'E-1 Off-Site Hedge Baseline'!$B$1:$X$257,16,FALSE)),"",(VLOOKUP($B220,'E-1 Off-Site Hedge Baseline'!$B$1:$X$257,16,FALSE))))</f>
        <v/>
      </c>
      <c r="L220" s="289" t="str">
        <f>IF(B220="","",IF(ISNA(VLOOKUP($B220,'E-1 Off-Site Hedge Baseline'!$B$1:$X$257,12,FALSE)),"",(VLOOKUP($B220,'E-1 Off-Site Hedge Baseline'!$B$1:$X$257,12,FALSE))))</f>
        <v/>
      </c>
      <c r="M220" s="250"/>
      <c r="N220" s="281" t="str">
        <f>IFERROR(IF(B220="","",INDEX('G-6 Hedgerow Data'!$AN$3:$AZ$15,MATCH(C220,'G-6 Hedgerow Data'!$AM$3:$AM$15,0),MATCH(M220,'G-6 Hedgerow Data'!$AN$2:$AZ$2,0))),"")</f>
        <v/>
      </c>
      <c r="O220" s="282" t="str">
        <f t="shared" si="25"/>
        <v/>
      </c>
      <c r="P220" s="287" t="str">
        <f>IF(B220="","",VLOOKUP(B220,'E-1 Off-Site Hedge Baseline'!$B$10:W465,19,FALSE))</f>
        <v/>
      </c>
      <c r="Q220" s="281" t="str">
        <f>IF(M220="","",VLOOKUP(M220,'G-6 Hedgerow Data'!$B$2:$AG$15,2,FALSE))</f>
        <v/>
      </c>
      <c r="R220" s="282" t="str">
        <f>IF(M220="","",VLOOKUP(M220,'G-6 Hedgerow Data'!$B$2:$AG$15,3,FALSE))</f>
        <v/>
      </c>
      <c r="S220" s="105"/>
      <c r="T220" s="282" t="str">
        <f>IFERROR(IF(S220="","",IF(AND(M220="Non-native and ornamental hedgerow", S220&lt;&gt;"Poor"),"Not possible ▲", (IF(AND(Q220="V.Low",OR(S220="Good",S220="Moderate")),"Error ▲",VLOOKUP(S220,'G-1 All Habitats'!$Z$2:$AA$9,2,FALSE))))),"")</f>
        <v/>
      </c>
      <c r="U220" s="105"/>
      <c r="V220" s="289" t="str">
        <f>IF(U220="","",IF(VLOOKUP(U220,'G-3 Multipliers'!$L$3:$N$6,2,FALSE)=0,"Spatial Data Missing ⚠",VLOOKUP(U220,'G-3 Multipliers'!$L$3:$N$6,2,FALSE)))</f>
        <v/>
      </c>
      <c r="W220" s="287" t="str">
        <f>IF(U220="","",IF(VLOOKUP(U220,'G-3 Multipliers'!$L$3:$N$6,3,FALSE)=0,"Spatial Data Missing ⚠",VLOOKUP(U220,'G-3 Multipliers'!$L$3:$N$6,3,FALSE)))</f>
        <v/>
      </c>
      <c r="X220" s="281" t="str">
        <f>IFERROR(IF(OR(LEFT(O220,5)="Error",LEFT(N220,5)="Error",T220="Error"),"Check Data ⚠",IF(F220&lt;R220,INDEX('G-6 Hedgerow Data'!$S$3:$AE$14,MATCH(C220,'G-6 Hedgerow Data'!$B$3:$B$14,0),MATCH(M220,'G-6 Hedgerow Data'!$S$2:$AE$2,0)),INDEX('G-6 Hedgerow Data'!$K$3:$Q$14,MATCH(M220,'G-6 Hedgerow Data'!$B$3:$B$14,0),MATCH(O220,'G-6 Hedgerow Data'!$K$2:$Q$2,0)))),"")</f>
        <v/>
      </c>
      <c r="Y220" s="137"/>
      <c r="Z220" s="137"/>
      <c r="AA220" s="289" t="str">
        <f t="shared" si="26"/>
        <v/>
      </c>
      <c r="AB220" s="302" t="str">
        <f t="shared" si="27"/>
        <v/>
      </c>
      <c r="AC220" s="303" t="str">
        <f t="shared" si="24"/>
        <v/>
      </c>
      <c r="AD220" s="317" t="str">
        <f>IF(M220="","",VLOOKUP(M220,'G-6 Hedgerow Data'!$B$3:$AG$15,31,FALSE))</f>
        <v/>
      </c>
      <c r="AE220" s="301" t="str">
        <f t="shared" si="28"/>
        <v/>
      </c>
      <c r="AF220" s="289" t="str">
        <f t="shared" si="29"/>
        <v/>
      </c>
      <c r="AG220" s="305" t="str">
        <f>IFERROR(IF(O220="","",VLOOKUP(AD220,'G-3 Multipliers'!$P$3:$Q$6,2,FALSE)),"")</f>
        <v/>
      </c>
      <c r="AH220" s="729" t="str">
        <f>IF(B220="","",IF(ISNA(VLOOKUP($B220,'E-1 Off-Site Hedge Baseline'!$B$1:$Z$257,14,FALSE)),"",(VLOOKUP($B220,'E-1 Off-Site Hedge Baseline'!$B$1:$Z$257,14,FALSE))))</f>
        <v/>
      </c>
      <c r="AI220" s="282" t="str">
        <f>IF(AH220="","",IF(VLOOKUP(AH220,'G-3 Multipliers'!$S$3:$T$10,2,FALSE)=0,"Spatial Data Missing ⚠",VLOOKUP(AH220,'G-3 Multipliers'!$S$3:$T$10,2,FALSE)))</f>
        <v/>
      </c>
      <c r="AJ220" s="323" t="str">
        <f t="shared" si="30"/>
        <v/>
      </c>
      <c r="AK220" s="295" t="str">
        <f t="shared" si="31"/>
        <v/>
      </c>
      <c r="AL220" s="105"/>
      <c r="AM220" s="119"/>
      <c r="AN220" s="108"/>
      <c r="AO220" s="108"/>
      <c r="AQ220" s="30" t="str">
        <f>IFERROR(INDEX('G-6 Hedgerow Data'!$BJ$3:$BJ$15,MATCH(M220,'G-6 Hedgerow Data'!$B$3:$B$15,0)),"")</f>
        <v/>
      </c>
    </row>
    <row r="221" spans="2:43" ht="13.8" x14ac:dyDescent="0.25">
      <c r="B221" s="311" t="str">
        <f>'E-1 Off-Site Hedge Baseline'!AN219</f>
        <v/>
      </c>
      <c r="C221" s="301" t="str">
        <f>IF(B221="","",IF(ISNA(VLOOKUP($B221,'E-1 Off-Site Hedge Baseline'!$B$1:$L$257,3,FALSE)),"",(VLOOKUP($B221,'E-1 Off-Site Hedge Baseline'!$B$1:$L$257,3,FALSE))))</f>
        <v/>
      </c>
      <c r="D221" s="301" t="str">
        <f>IF(B221="","",IF(ISNA(VLOOKUP($B221,'E-1 Off-Site Hedge Baseline'!$B$1:$L$258,4,FALSE)),"",(VLOOKUP($B221,'E-1 Off-Site Hedge Baseline'!$B$1:$L$258,4,FALSE))))</f>
        <v/>
      </c>
      <c r="E221" s="301" t="str">
        <f>IF(B221="","",IF(ISNA(VLOOKUP($B221,'E-1 Off-Site Hedge Baseline'!$B$1:$L$257,5,FALSE)),"",(VLOOKUP($B221,'E-1 Off-Site Hedge Baseline'!$B$1:$L$257,5,FALSE))))</f>
        <v/>
      </c>
      <c r="F221" s="301" t="str">
        <f>IF(B221="","",IF(ISNA(VLOOKUP($B221,'E-1 Off-Site Hedge Baseline'!$B$1:$L$257,6,FALSE)),"",(VLOOKUP($B221,'E-1 Off-Site Hedge Baseline'!$B$1:$L$257,6,FALSE))))</f>
        <v/>
      </c>
      <c r="G221" s="301" t="str">
        <f>IF(B221="","",IF(ISNA(VLOOKUP($B221,'E-1 Off-Site Hedge Baseline'!$B$1:$L$257,7,FALSE)),"",(VLOOKUP($B221,'E-1 Off-Site Hedge Baseline'!$B$1:$L$257,7,FALSE))))</f>
        <v/>
      </c>
      <c r="H221" s="301" t="str">
        <f>IF(B221="","",IF(ISNA(VLOOKUP($B221,'E-1 Off-Site Hedge Baseline'!$B$1:$L$257,8,FALSE)),"",(VLOOKUP($B221,'E-1 Off-Site Hedge Baseline'!$B$1:$L$257,8,FALSE))))</f>
        <v/>
      </c>
      <c r="I221" s="301" t="str">
        <f>IF(B221="","",IF(ISNA(VLOOKUP($B221,'E-1 Off-Site Hedge Baseline'!$B$1:$L$257,10,FALSE)),"",(VLOOKUP($B221,'E-1 Off-Site Hedge Baseline'!$B$1:$L$257,10,FALSE))))</f>
        <v/>
      </c>
      <c r="J221" s="301" t="str">
        <f>IF(B221="","",IF(ISNA(VLOOKUP($B221,'E-1 Off-Site Hedge Baseline'!$B$1:$L$257,11,FALSE)),"",(VLOOKUP($B221,'E-1 Off-Site Hedge Baseline'!$B$1:$L$257,11,FALSE))))</f>
        <v/>
      </c>
      <c r="K221" s="301" t="str">
        <f>IF(B221="","",IF(ISNA(VLOOKUP($B221,'E-1 Off-Site Hedge Baseline'!$B$1:$X$257,16,FALSE)),"",(VLOOKUP($B221,'E-1 Off-Site Hedge Baseline'!$B$1:$X$257,16,FALSE))))</f>
        <v/>
      </c>
      <c r="L221" s="289" t="str">
        <f>IF(B221="","",IF(ISNA(VLOOKUP($B221,'E-1 Off-Site Hedge Baseline'!$B$1:$X$257,12,FALSE)),"",(VLOOKUP($B221,'E-1 Off-Site Hedge Baseline'!$B$1:$X$257,12,FALSE))))</f>
        <v/>
      </c>
      <c r="M221" s="250"/>
      <c r="N221" s="281" t="str">
        <f>IFERROR(IF(B221="","",INDEX('G-6 Hedgerow Data'!$AN$3:$AZ$15,MATCH(C221,'G-6 Hedgerow Data'!$AM$3:$AM$15,0),MATCH(M221,'G-6 Hedgerow Data'!$AN$2:$AZ$2,0))),"")</f>
        <v/>
      </c>
      <c r="O221" s="282" t="str">
        <f t="shared" si="25"/>
        <v/>
      </c>
      <c r="P221" s="287" t="str">
        <f>IF(B221="","",VLOOKUP(B221,'E-1 Off-Site Hedge Baseline'!$B$10:W466,19,FALSE))</f>
        <v/>
      </c>
      <c r="Q221" s="281" t="str">
        <f>IF(M221="","",VLOOKUP(M221,'G-6 Hedgerow Data'!$B$2:$AG$15,2,FALSE))</f>
        <v/>
      </c>
      <c r="R221" s="282" t="str">
        <f>IF(M221="","",VLOOKUP(M221,'G-6 Hedgerow Data'!$B$2:$AG$15,3,FALSE))</f>
        <v/>
      </c>
      <c r="S221" s="105"/>
      <c r="T221" s="282" t="str">
        <f>IFERROR(IF(S221="","",IF(AND(M221="Non-native and ornamental hedgerow", S221&lt;&gt;"Poor"),"Not possible ▲", (IF(AND(Q221="V.Low",OR(S221="Good",S221="Moderate")),"Error ▲",VLOOKUP(S221,'G-1 All Habitats'!$Z$2:$AA$9,2,FALSE))))),"")</f>
        <v/>
      </c>
      <c r="U221" s="105"/>
      <c r="V221" s="289" t="str">
        <f>IF(U221="","",IF(VLOOKUP(U221,'G-3 Multipliers'!$L$3:$N$6,2,FALSE)=0,"Spatial Data Missing ⚠",VLOOKUP(U221,'G-3 Multipliers'!$L$3:$N$6,2,FALSE)))</f>
        <v/>
      </c>
      <c r="W221" s="287" t="str">
        <f>IF(U221="","",IF(VLOOKUP(U221,'G-3 Multipliers'!$L$3:$N$6,3,FALSE)=0,"Spatial Data Missing ⚠",VLOOKUP(U221,'G-3 Multipliers'!$L$3:$N$6,3,FALSE)))</f>
        <v/>
      </c>
      <c r="X221" s="281" t="str">
        <f>IFERROR(IF(OR(LEFT(O221,5)="Error",LEFT(N221,5)="Error",T221="Error"),"Check Data ⚠",IF(F221&lt;R221,INDEX('G-6 Hedgerow Data'!$S$3:$AE$14,MATCH(C221,'G-6 Hedgerow Data'!$B$3:$B$14,0),MATCH(M221,'G-6 Hedgerow Data'!$S$2:$AE$2,0)),INDEX('G-6 Hedgerow Data'!$K$3:$Q$14,MATCH(M221,'G-6 Hedgerow Data'!$B$3:$B$14,0),MATCH(O221,'G-6 Hedgerow Data'!$K$2:$Q$2,0)))),"")</f>
        <v/>
      </c>
      <c r="Y221" s="137"/>
      <c r="Z221" s="137"/>
      <c r="AA221" s="289" t="str">
        <f t="shared" si="26"/>
        <v/>
      </c>
      <c r="AB221" s="302" t="str">
        <f t="shared" si="27"/>
        <v/>
      </c>
      <c r="AC221" s="303" t="str">
        <f t="shared" si="24"/>
        <v/>
      </c>
      <c r="AD221" s="317" t="str">
        <f>IF(M221="","",VLOOKUP(M221,'G-6 Hedgerow Data'!$B$3:$AG$15,31,FALSE))</f>
        <v/>
      </c>
      <c r="AE221" s="301" t="str">
        <f t="shared" si="28"/>
        <v/>
      </c>
      <c r="AF221" s="289" t="str">
        <f t="shared" si="29"/>
        <v/>
      </c>
      <c r="AG221" s="305" t="str">
        <f>IFERROR(IF(O221="","",VLOOKUP(AD221,'G-3 Multipliers'!$P$3:$Q$6,2,FALSE)),"")</f>
        <v/>
      </c>
      <c r="AH221" s="729" t="str">
        <f>IF(B221="","",IF(ISNA(VLOOKUP($B221,'E-1 Off-Site Hedge Baseline'!$B$1:$Z$257,14,FALSE)),"",(VLOOKUP($B221,'E-1 Off-Site Hedge Baseline'!$B$1:$Z$257,14,FALSE))))</f>
        <v/>
      </c>
      <c r="AI221" s="282" t="str">
        <f>IF(AH221="","",IF(VLOOKUP(AH221,'G-3 Multipliers'!$S$3:$T$10,2,FALSE)=0,"Spatial Data Missing ⚠",VLOOKUP(AH221,'G-3 Multipliers'!$S$3:$T$10,2,FALSE)))</f>
        <v/>
      </c>
      <c r="AJ221" s="323" t="str">
        <f t="shared" si="30"/>
        <v/>
      </c>
      <c r="AK221" s="295" t="str">
        <f t="shared" si="31"/>
        <v/>
      </c>
      <c r="AL221" s="105"/>
      <c r="AM221" s="119"/>
      <c r="AN221" s="108"/>
      <c r="AO221" s="108"/>
      <c r="AQ221" s="30" t="str">
        <f>IFERROR(INDEX('G-6 Hedgerow Data'!$BJ$3:$BJ$15,MATCH(M221,'G-6 Hedgerow Data'!$B$3:$B$15,0)),"")</f>
        <v/>
      </c>
    </row>
    <row r="222" spans="2:43" ht="13.8" x14ac:dyDescent="0.25">
      <c r="B222" s="311" t="str">
        <f>'E-1 Off-Site Hedge Baseline'!AN220</f>
        <v/>
      </c>
      <c r="C222" s="301" t="str">
        <f>IF(B222="","",IF(ISNA(VLOOKUP($B222,'E-1 Off-Site Hedge Baseline'!$B$1:$L$257,3,FALSE)),"",(VLOOKUP($B222,'E-1 Off-Site Hedge Baseline'!$B$1:$L$257,3,FALSE))))</f>
        <v/>
      </c>
      <c r="D222" s="301" t="str">
        <f>IF(B222="","",IF(ISNA(VLOOKUP($B222,'E-1 Off-Site Hedge Baseline'!$B$1:$L$258,4,FALSE)),"",(VLOOKUP($B222,'E-1 Off-Site Hedge Baseline'!$B$1:$L$258,4,FALSE))))</f>
        <v/>
      </c>
      <c r="E222" s="301" t="str">
        <f>IF(B222="","",IF(ISNA(VLOOKUP($B222,'E-1 Off-Site Hedge Baseline'!$B$1:$L$257,5,FALSE)),"",(VLOOKUP($B222,'E-1 Off-Site Hedge Baseline'!$B$1:$L$257,5,FALSE))))</f>
        <v/>
      </c>
      <c r="F222" s="301" t="str">
        <f>IF(B222="","",IF(ISNA(VLOOKUP($B222,'E-1 Off-Site Hedge Baseline'!$B$1:$L$257,6,FALSE)),"",(VLOOKUP($B222,'E-1 Off-Site Hedge Baseline'!$B$1:$L$257,6,FALSE))))</f>
        <v/>
      </c>
      <c r="G222" s="301" t="str">
        <f>IF(B222="","",IF(ISNA(VLOOKUP($B222,'E-1 Off-Site Hedge Baseline'!$B$1:$L$257,7,FALSE)),"",(VLOOKUP($B222,'E-1 Off-Site Hedge Baseline'!$B$1:$L$257,7,FALSE))))</f>
        <v/>
      </c>
      <c r="H222" s="301" t="str">
        <f>IF(B222="","",IF(ISNA(VLOOKUP($B222,'E-1 Off-Site Hedge Baseline'!$B$1:$L$257,8,FALSE)),"",(VLOOKUP($B222,'E-1 Off-Site Hedge Baseline'!$B$1:$L$257,8,FALSE))))</f>
        <v/>
      </c>
      <c r="I222" s="301" t="str">
        <f>IF(B222="","",IF(ISNA(VLOOKUP($B222,'E-1 Off-Site Hedge Baseline'!$B$1:$L$257,10,FALSE)),"",(VLOOKUP($B222,'E-1 Off-Site Hedge Baseline'!$B$1:$L$257,10,FALSE))))</f>
        <v/>
      </c>
      <c r="J222" s="301" t="str">
        <f>IF(B222="","",IF(ISNA(VLOOKUP($B222,'E-1 Off-Site Hedge Baseline'!$B$1:$L$257,11,FALSE)),"",(VLOOKUP($B222,'E-1 Off-Site Hedge Baseline'!$B$1:$L$257,11,FALSE))))</f>
        <v/>
      </c>
      <c r="K222" s="301" t="str">
        <f>IF(B222="","",IF(ISNA(VLOOKUP($B222,'E-1 Off-Site Hedge Baseline'!$B$1:$X$257,16,FALSE)),"",(VLOOKUP($B222,'E-1 Off-Site Hedge Baseline'!$B$1:$X$257,16,FALSE))))</f>
        <v/>
      </c>
      <c r="L222" s="289" t="str">
        <f>IF(B222="","",IF(ISNA(VLOOKUP($B222,'E-1 Off-Site Hedge Baseline'!$B$1:$X$257,12,FALSE)),"",(VLOOKUP($B222,'E-1 Off-Site Hedge Baseline'!$B$1:$X$257,12,FALSE))))</f>
        <v/>
      </c>
      <c r="M222" s="250"/>
      <c r="N222" s="281" t="str">
        <f>IFERROR(IF(B222="","",INDEX('G-6 Hedgerow Data'!$AN$3:$AZ$15,MATCH(C222,'G-6 Hedgerow Data'!$AM$3:$AM$15,0),MATCH(M222,'G-6 Hedgerow Data'!$AN$2:$AZ$2,0))),"")</f>
        <v/>
      </c>
      <c r="O222" s="282" t="str">
        <f t="shared" si="25"/>
        <v/>
      </c>
      <c r="P222" s="287" t="str">
        <f>IF(B222="","",VLOOKUP(B222,'E-1 Off-Site Hedge Baseline'!$B$10:W467,19,FALSE))</f>
        <v/>
      </c>
      <c r="Q222" s="281" t="str">
        <f>IF(M222="","",VLOOKUP(M222,'G-6 Hedgerow Data'!$B$2:$AG$15,2,FALSE))</f>
        <v/>
      </c>
      <c r="R222" s="282" t="str">
        <f>IF(M222="","",VLOOKUP(M222,'G-6 Hedgerow Data'!$B$2:$AG$15,3,FALSE))</f>
        <v/>
      </c>
      <c r="S222" s="105"/>
      <c r="T222" s="282" t="str">
        <f>IFERROR(IF(S222="","",IF(AND(M222="Non-native and ornamental hedgerow", S222&lt;&gt;"Poor"),"Not possible ▲", (IF(AND(Q222="V.Low",OR(S222="Good",S222="Moderate")),"Error ▲",VLOOKUP(S222,'G-1 All Habitats'!$Z$2:$AA$9,2,FALSE))))),"")</f>
        <v/>
      </c>
      <c r="U222" s="105"/>
      <c r="V222" s="289" t="str">
        <f>IF(U222="","",IF(VLOOKUP(U222,'G-3 Multipliers'!$L$3:$N$6,2,FALSE)=0,"Spatial Data Missing ⚠",VLOOKUP(U222,'G-3 Multipliers'!$L$3:$N$6,2,FALSE)))</f>
        <v/>
      </c>
      <c r="W222" s="287" t="str">
        <f>IF(U222="","",IF(VLOOKUP(U222,'G-3 Multipliers'!$L$3:$N$6,3,FALSE)=0,"Spatial Data Missing ⚠",VLOOKUP(U222,'G-3 Multipliers'!$L$3:$N$6,3,FALSE)))</f>
        <v/>
      </c>
      <c r="X222" s="281" t="str">
        <f>IFERROR(IF(OR(LEFT(O222,5)="Error",LEFT(N222,5)="Error",T222="Error"),"Check Data ⚠",IF(F222&lt;R222,INDEX('G-6 Hedgerow Data'!$S$3:$AE$14,MATCH(C222,'G-6 Hedgerow Data'!$B$3:$B$14,0),MATCH(M222,'G-6 Hedgerow Data'!$S$2:$AE$2,0)),INDEX('G-6 Hedgerow Data'!$K$3:$Q$14,MATCH(M222,'G-6 Hedgerow Data'!$B$3:$B$14,0),MATCH(O222,'G-6 Hedgerow Data'!$K$2:$Q$2,0)))),"")</f>
        <v/>
      </c>
      <c r="Y222" s="137"/>
      <c r="Z222" s="137"/>
      <c r="AA222" s="289" t="str">
        <f t="shared" si="26"/>
        <v/>
      </c>
      <c r="AB222" s="302" t="str">
        <f t="shared" si="27"/>
        <v/>
      </c>
      <c r="AC222" s="303" t="str">
        <f t="shared" si="24"/>
        <v/>
      </c>
      <c r="AD222" s="317" t="str">
        <f>IF(M222="","",VLOOKUP(M222,'G-6 Hedgerow Data'!$B$3:$AG$15,31,FALSE))</f>
        <v/>
      </c>
      <c r="AE222" s="301" t="str">
        <f t="shared" si="28"/>
        <v/>
      </c>
      <c r="AF222" s="289" t="str">
        <f t="shared" si="29"/>
        <v/>
      </c>
      <c r="AG222" s="305" t="str">
        <f>IFERROR(IF(O222="","",VLOOKUP(AD222,'G-3 Multipliers'!$P$3:$Q$6,2,FALSE)),"")</f>
        <v/>
      </c>
      <c r="AH222" s="729" t="str">
        <f>IF(B222="","",IF(ISNA(VLOOKUP($B222,'E-1 Off-Site Hedge Baseline'!$B$1:$Z$257,14,FALSE)),"",(VLOOKUP($B222,'E-1 Off-Site Hedge Baseline'!$B$1:$Z$257,14,FALSE))))</f>
        <v/>
      </c>
      <c r="AI222" s="282" t="str">
        <f>IF(AH222="","",IF(VLOOKUP(AH222,'G-3 Multipliers'!$S$3:$T$10,2,FALSE)=0,"Spatial Data Missing ⚠",VLOOKUP(AH222,'G-3 Multipliers'!$S$3:$T$10,2,FALSE)))</f>
        <v/>
      </c>
      <c r="AJ222" s="323" t="str">
        <f t="shared" si="30"/>
        <v/>
      </c>
      <c r="AK222" s="295" t="str">
        <f t="shared" si="31"/>
        <v/>
      </c>
      <c r="AL222" s="105"/>
      <c r="AM222" s="119"/>
      <c r="AN222" s="108"/>
      <c r="AO222" s="108"/>
      <c r="AQ222" s="30" t="str">
        <f>IFERROR(INDEX('G-6 Hedgerow Data'!$BJ$3:$BJ$15,MATCH(M222,'G-6 Hedgerow Data'!$B$3:$B$15,0)),"")</f>
        <v/>
      </c>
    </row>
    <row r="223" spans="2:43" ht="13.8" x14ac:dyDescent="0.25">
      <c r="B223" s="311" t="str">
        <f>'E-1 Off-Site Hedge Baseline'!AN221</f>
        <v/>
      </c>
      <c r="C223" s="301" t="str">
        <f>IF(B223="","",IF(ISNA(VLOOKUP($B223,'E-1 Off-Site Hedge Baseline'!$B$1:$L$257,3,FALSE)),"",(VLOOKUP($B223,'E-1 Off-Site Hedge Baseline'!$B$1:$L$257,3,FALSE))))</f>
        <v/>
      </c>
      <c r="D223" s="301" t="str">
        <f>IF(B223="","",IF(ISNA(VLOOKUP($B223,'E-1 Off-Site Hedge Baseline'!$B$1:$L$258,4,FALSE)),"",(VLOOKUP($B223,'E-1 Off-Site Hedge Baseline'!$B$1:$L$258,4,FALSE))))</f>
        <v/>
      </c>
      <c r="E223" s="301" t="str">
        <f>IF(B223="","",IF(ISNA(VLOOKUP($B223,'E-1 Off-Site Hedge Baseline'!$B$1:$L$257,5,FALSE)),"",(VLOOKUP($B223,'E-1 Off-Site Hedge Baseline'!$B$1:$L$257,5,FALSE))))</f>
        <v/>
      </c>
      <c r="F223" s="301" t="str">
        <f>IF(B223="","",IF(ISNA(VLOOKUP($B223,'E-1 Off-Site Hedge Baseline'!$B$1:$L$257,6,FALSE)),"",(VLOOKUP($B223,'E-1 Off-Site Hedge Baseline'!$B$1:$L$257,6,FALSE))))</f>
        <v/>
      </c>
      <c r="G223" s="301" t="str">
        <f>IF(B223="","",IF(ISNA(VLOOKUP($B223,'E-1 Off-Site Hedge Baseline'!$B$1:$L$257,7,FALSE)),"",(VLOOKUP($B223,'E-1 Off-Site Hedge Baseline'!$B$1:$L$257,7,FALSE))))</f>
        <v/>
      </c>
      <c r="H223" s="301" t="str">
        <f>IF(B223="","",IF(ISNA(VLOOKUP($B223,'E-1 Off-Site Hedge Baseline'!$B$1:$L$257,8,FALSE)),"",(VLOOKUP($B223,'E-1 Off-Site Hedge Baseline'!$B$1:$L$257,8,FALSE))))</f>
        <v/>
      </c>
      <c r="I223" s="301" t="str">
        <f>IF(B223="","",IF(ISNA(VLOOKUP($B223,'E-1 Off-Site Hedge Baseline'!$B$1:$L$257,10,FALSE)),"",(VLOOKUP($B223,'E-1 Off-Site Hedge Baseline'!$B$1:$L$257,10,FALSE))))</f>
        <v/>
      </c>
      <c r="J223" s="301" t="str">
        <f>IF(B223="","",IF(ISNA(VLOOKUP($B223,'E-1 Off-Site Hedge Baseline'!$B$1:$L$257,11,FALSE)),"",(VLOOKUP($B223,'E-1 Off-Site Hedge Baseline'!$B$1:$L$257,11,FALSE))))</f>
        <v/>
      </c>
      <c r="K223" s="301" t="str">
        <f>IF(B223="","",IF(ISNA(VLOOKUP($B223,'E-1 Off-Site Hedge Baseline'!$B$1:$X$257,16,FALSE)),"",(VLOOKUP($B223,'E-1 Off-Site Hedge Baseline'!$B$1:$X$257,16,FALSE))))</f>
        <v/>
      </c>
      <c r="L223" s="289" t="str">
        <f>IF(B223="","",IF(ISNA(VLOOKUP($B223,'E-1 Off-Site Hedge Baseline'!$B$1:$X$257,12,FALSE)),"",(VLOOKUP($B223,'E-1 Off-Site Hedge Baseline'!$B$1:$X$257,12,FALSE))))</f>
        <v/>
      </c>
      <c r="M223" s="250"/>
      <c r="N223" s="281" t="str">
        <f>IFERROR(IF(B223="","",INDEX('G-6 Hedgerow Data'!$AN$3:$AZ$15,MATCH(C223,'G-6 Hedgerow Data'!$AM$3:$AM$15,0),MATCH(M223,'G-6 Hedgerow Data'!$AN$2:$AZ$2,0))),"")</f>
        <v/>
      </c>
      <c r="O223" s="282" t="str">
        <f t="shared" si="25"/>
        <v/>
      </c>
      <c r="P223" s="287" t="str">
        <f>IF(B223="","",VLOOKUP(B223,'E-1 Off-Site Hedge Baseline'!$B$10:W468,19,FALSE))</f>
        <v/>
      </c>
      <c r="Q223" s="281" t="str">
        <f>IF(M223="","",VLOOKUP(M223,'G-6 Hedgerow Data'!$B$2:$AG$15,2,FALSE))</f>
        <v/>
      </c>
      <c r="R223" s="282" t="str">
        <f>IF(M223="","",VLOOKUP(M223,'G-6 Hedgerow Data'!$B$2:$AG$15,3,FALSE))</f>
        <v/>
      </c>
      <c r="S223" s="105"/>
      <c r="T223" s="282" t="str">
        <f>IFERROR(IF(S223="","",IF(AND(M223="Non-native and ornamental hedgerow", S223&lt;&gt;"Poor"),"Not possible ▲", (IF(AND(Q223="V.Low",OR(S223="Good",S223="Moderate")),"Error ▲",VLOOKUP(S223,'G-1 All Habitats'!$Z$2:$AA$9,2,FALSE))))),"")</f>
        <v/>
      </c>
      <c r="U223" s="105"/>
      <c r="V223" s="289" t="str">
        <f>IF(U223="","",IF(VLOOKUP(U223,'G-3 Multipliers'!$L$3:$N$6,2,FALSE)=0,"Spatial Data Missing ⚠",VLOOKUP(U223,'G-3 Multipliers'!$L$3:$N$6,2,FALSE)))</f>
        <v/>
      </c>
      <c r="W223" s="287" t="str">
        <f>IF(U223="","",IF(VLOOKUP(U223,'G-3 Multipliers'!$L$3:$N$6,3,FALSE)=0,"Spatial Data Missing ⚠",VLOOKUP(U223,'G-3 Multipliers'!$L$3:$N$6,3,FALSE)))</f>
        <v/>
      </c>
      <c r="X223" s="281" t="str">
        <f>IFERROR(IF(OR(LEFT(O223,5)="Error",LEFT(N223,5)="Error",T223="Error"),"Check Data ⚠",IF(F223&lt;R223,INDEX('G-6 Hedgerow Data'!$S$3:$AE$14,MATCH(C223,'G-6 Hedgerow Data'!$B$3:$B$14,0),MATCH(M223,'G-6 Hedgerow Data'!$S$2:$AE$2,0)),INDEX('G-6 Hedgerow Data'!$K$3:$Q$14,MATCH(M223,'G-6 Hedgerow Data'!$B$3:$B$14,0),MATCH(O223,'G-6 Hedgerow Data'!$K$2:$Q$2,0)))),"")</f>
        <v/>
      </c>
      <c r="Y223" s="137"/>
      <c r="Z223" s="137"/>
      <c r="AA223" s="289" t="str">
        <f t="shared" si="26"/>
        <v/>
      </c>
      <c r="AB223" s="302" t="str">
        <f t="shared" si="27"/>
        <v/>
      </c>
      <c r="AC223" s="303" t="str">
        <f t="shared" si="24"/>
        <v/>
      </c>
      <c r="AD223" s="317" t="str">
        <f>IF(M223="","",VLOOKUP(M223,'G-6 Hedgerow Data'!$B$3:$AG$15,31,FALSE))</f>
        <v/>
      </c>
      <c r="AE223" s="301" t="str">
        <f t="shared" si="28"/>
        <v/>
      </c>
      <c r="AF223" s="289" t="str">
        <f t="shared" si="29"/>
        <v/>
      </c>
      <c r="AG223" s="305" t="str">
        <f>IFERROR(IF(O223="","",VLOOKUP(AD223,'G-3 Multipliers'!$P$3:$Q$6,2,FALSE)),"")</f>
        <v/>
      </c>
      <c r="AH223" s="729" t="str">
        <f>IF(B223="","",IF(ISNA(VLOOKUP($B223,'E-1 Off-Site Hedge Baseline'!$B$1:$Z$257,14,FALSE)),"",(VLOOKUP($B223,'E-1 Off-Site Hedge Baseline'!$B$1:$Z$257,14,FALSE))))</f>
        <v/>
      </c>
      <c r="AI223" s="282" t="str">
        <f>IF(AH223="","",IF(VLOOKUP(AH223,'G-3 Multipliers'!$S$3:$T$10,2,FALSE)=0,"Spatial Data Missing ⚠",VLOOKUP(AH223,'G-3 Multipliers'!$S$3:$T$10,2,FALSE)))</f>
        <v/>
      </c>
      <c r="AJ223" s="323" t="str">
        <f t="shared" si="30"/>
        <v/>
      </c>
      <c r="AK223" s="295" t="str">
        <f t="shared" si="31"/>
        <v/>
      </c>
      <c r="AL223" s="105"/>
      <c r="AM223" s="119"/>
      <c r="AN223" s="108"/>
      <c r="AO223" s="108"/>
      <c r="AQ223" s="30" t="str">
        <f>IFERROR(INDEX('G-6 Hedgerow Data'!$BJ$3:$BJ$15,MATCH(M223,'G-6 Hedgerow Data'!$B$3:$B$15,0)),"")</f>
        <v/>
      </c>
    </row>
    <row r="224" spans="2:43" ht="13.8" x14ac:dyDescent="0.25">
      <c r="B224" s="311" t="str">
        <f>'E-1 Off-Site Hedge Baseline'!AN222</f>
        <v/>
      </c>
      <c r="C224" s="301" t="str">
        <f>IF(B224="","",IF(ISNA(VLOOKUP($B224,'E-1 Off-Site Hedge Baseline'!$B$1:$L$257,3,FALSE)),"",(VLOOKUP($B224,'E-1 Off-Site Hedge Baseline'!$B$1:$L$257,3,FALSE))))</f>
        <v/>
      </c>
      <c r="D224" s="301" t="str">
        <f>IF(B224="","",IF(ISNA(VLOOKUP($B224,'E-1 Off-Site Hedge Baseline'!$B$1:$L$258,4,FALSE)),"",(VLOOKUP($B224,'E-1 Off-Site Hedge Baseline'!$B$1:$L$258,4,FALSE))))</f>
        <v/>
      </c>
      <c r="E224" s="301" t="str">
        <f>IF(B224="","",IF(ISNA(VLOOKUP($B224,'E-1 Off-Site Hedge Baseline'!$B$1:$L$257,5,FALSE)),"",(VLOOKUP($B224,'E-1 Off-Site Hedge Baseline'!$B$1:$L$257,5,FALSE))))</f>
        <v/>
      </c>
      <c r="F224" s="301" t="str">
        <f>IF(B224="","",IF(ISNA(VLOOKUP($B224,'E-1 Off-Site Hedge Baseline'!$B$1:$L$257,6,FALSE)),"",(VLOOKUP($B224,'E-1 Off-Site Hedge Baseline'!$B$1:$L$257,6,FALSE))))</f>
        <v/>
      </c>
      <c r="G224" s="301" t="str">
        <f>IF(B224="","",IF(ISNA(VLOOKUP($B224,'E-1 Off-Site Hedge Baseline'!$B$1:$L$257,7,FALSE)),"",(VLOOKUP($B224,'E-1 Off-Site Hedge Baseline'!$B$1:$L$257,7,FALSE))))</f>
        <v/>
      </c>
      <c r="H224" s="301" t="str">
        <f>IF(B224="","",IF(ISNA(VLOOKUP($B224,'E-1 Off-Site Hedge Baseline'!$B$1:$L$257,8,FALSE)),"",(VLOOKUP($B224,'E-1 Off-Site Hedge Baseline'!$B$1:$L$257,8,FALSE))))</f>
        <v/>
      </c>
      <c r="I224" s="301" t="str">
        <f>IF(B224="","",IF(ISNA(VLOOKUP($B224,'E-1 Off-Site Hedge Baseline'!$B$1:$L$257,10,FALSE)),"",(VLOOKUP($B224,'E-1 Off-Site Hedge Baseline'!$B$1:$L$257,10,FALSE))))</f>
        <v/>
      </c>
      <c r="J224" s="301" t="str">
        <f>IF(B224="","",IF(ISNA(VLOOKUP($B224,'E-1 Off-Site Hedge Baseline'!$B$1:$L$257,11,FALSE)),"",(VLOOKUP($B224,'E-1 Off-Site Hedge Baseline'!$B$1:$L$257,11,FALSE))))</f>
        <v/>
      </c>
      <c r="K224" s="301" t="str">
        <f>IF(B224="","",IF(ISNA(VLOOKUP($B224,'E-1 Off-Site Hedge Baseline'!$B$1:$X$257,16,FALSE)),"",(VLOOKUP($B224,'E-1 Off-Site Hedge Baseline'!$B$1:$X$257,16,FALSE))))</f>
        <v/>
      </c>
      <c r="L224" s="289" t="str">
        <f>IF(B224="","",IF(ISNA(VLOOKUP($B224,'E-1 Off-Site Hedge Baseline'!$B$1:$X$257,12,FALSE)),"",(VLOOKUP($B224,'E-1 Off-Site Hedge Baseline'!$B$1:$X$257,12,FALSE))))</f>
        <v/>
      </c>
      <c r="M224" s="250"/>
      <c r="N224" s="281" t="str">
        <f>IFERROR(IF(B224="","",INDEX('G-6 Hedgerow Data'!$AN$3:$AZ$15,MATCH(C224,'G-6 Hedgerow Data'!$AM$3:$AM$15,0),MATCH(M224,'G-6 Hedgerow Data'!$AN$2:$AZ$2,0))),"")</f>
        <v/>
      </c>
      <c r="O224" s="282" t="str">
        <f t="shared" si="25"/>
        <v/>
      </c>
      <c r="P224" s="287" t="str">
        <f>IF(B224="","",VLOOKUP(B224,'E-1 Off-Site Hedge Baseline'!$B$10:W469,19,FALSE))</f>
        <v/>
      </c>
      <c r="Q224" s="281" t="str">
        <f>IF(M224="","",VLOOKUP(M224,'G-6 Hedgerow Data'!$B$2:$AG$15,2,FALSE))</f>
        <v/>
      </c>
      <c r="R224" s="282" t="str">
        <f>IF(M224="","",VLOOKUP(M224,'G-6 Hedgerow Data'!$B$2:$AG$15,3,FALSE))</f>
        <v/>
      </c>
      <c r="S224" s="105"/>
      <c r="T224" s="282" t="str">
        <f>IFERROR(IF(S224="","",IF(AND(M224="Non-native and ornamental hedgerow", S224&lt;&gt;"Poor"),"Not possible ▲", (IF(AND(Q224="V.Low",OR(S224="Good",S224="Moderate")),"Error ▲",VLOOKUP(S224,'G-1 All Habitats'!$Z$2:$AA$9,2,FALSE))))),"")</f>
        <v/>
      </c>
      <c r="U224" s="105"/>
      <c r="V224" s="289" t="str">
        <f>IF(U224="","",IF(VLOOKUP(U224,'G-3 Multipliers'!$L$3:$N$6,2,FALSE)=0,"Spatial Data Missing ⚠",VLOOKUP(U224,'G-3 Multipliers'!$L$3:$N$6,2,FALSE)))</f>
        <v/>
      </c>
      <c r="W224" s="287" t="str">
        <f>IF(U224="","",IF(VLOOKUP(U224,'G-3 Multipliers'!$L$3:$N$6,3,FALSE)=0,"Spatial Data Missing ⚠",VLOOKUP(U224,'G-3 Multipliers'!$L$3:$N$6,3,FALSE)))</f>
        <v/>
      </c>
      <c r="X224" s="281" t="str">
        <f>IFERROR(IF(OR(LEFT(O224,5)="Error",LEFT(N224,5)="Error",T224="Error"),"Check Data ⚠",IF(F224&lt;R224,INDEX('G-6 Hedgerow Data'!$S$3:$AE$14,MATCH(C224,'G-6 Hedgerow Data'!$B$3:$B$14,0),MATCH(M224,'G-6 Hedgerow Data'!$S$2:$AE$2,0)),INDEX('G-6 Hedgerow Data'!$K$3:$Q$14,MATCH(M224,'G-6 Hedgerow Data'!$B$3:$B$14,0),MATCH(O224,'G-6 Hedgerow Data'!$K$2:$Q$2,0)))),"")</f>
        <v/>
      </c>
      <c r="Y224" s="137"/>
      <c r="Z224" s="137"/>
      <c r="AA224" s="289" t="str">
        <f t="shared" si="26"/>
        <v/>
      </c>
      <c r="AB224" s="302" t="str">
        <f t="shared" si="27"/>
        <v/>
      </c>
      <c r="AC224" s="303" t="str">
        <f t="shared" si="24"/>
        <v/>
      </c>
      <c r="AD224" s="317" t="str">
        <f>IF(M224="","",VLOOKUP(M224,'G-6 Hedgerow Data'!$B$3:$AG$15,31,FALSE))</f>
        <v/>
      </c>
      <c r="AE224" s="301" t="str">
        <f t="shared" si="28"/>
        <v/>
      </c>
      <c r="AF224" s="289" t="str">
        <f t="shared" si="29"/>
        <v/>
      </c>
      <c r="AG224" s="305" t="str">
        <f>IFERROR(IF(O224="","",VLOOKUP(AD224,'G-3 Multipliers'!$P$3:$Q$6,2,FALSE)),"")</f>
        <v/>
      </c>
      <c r="AH224" s="729" t="str">
        <f>IF(B224="","",IF(ISNA(VLOOKUP($B224,'E-1 Off-Site Hedge Baseline'!$B$1:$Z$257,14,FALSE)),"",(VLOOKUP($B224,'E-1 Off-Site Hedge Baseline'!$B$1:$Z$257,14,FALSE))))</f>
        <v/>
      </c>
      <c r="AI224" s="282" t="str">
        <f>IF(AH224="","",IF(VLOOKUP(AH224,'G-3 Multipliers'!$S$3:$T$10,2,FALSE)=0,"Spatial Data Missing ⚠",VLOOKUP(AH224,'G-3 Multipliers'!$S$3:$T$10,2,FALSE)))</f>
        <v/>
      </c>
      <c r="AJ224" s="323" t="str">
        <f t="shared" si="30"/>
        <v/>
      </c>
      <c r="AK224" s="295" t="str">
        <f t="shared" si="31"/>
        <v/>
      </c>
      <c r="AL224" s="105"/>
      <c r="AM224" s="119"/>
      <c r="AN224" s="108"/>
      <c r="AO224" s="108"/>
      <c r="AQ224" s="30" t="str">
        <f>IFERROR(INDEX('G-6 Hedgerow Data'!$BJ$3:$BJ$15,MATCH(M224,'G-6 Hedgerow Data'!$B$3:$B$15,0)),"")</f>
        <v/>
      </c>
    </row>
    <row r="225" spans="2:43" ht="13.8" x14ac:dyDescent="0.25">
      <c r="B225" s="311" t="str">
        <f>'E-1 Off-Site Hedge Baseline'!AN223</f>
        <v/>
      </c>
      <c r="C225" s="301" t="str">
        <f>IF(B225="","",IF(ISNA(VLOOKUP($B225,'E-1 Off-Site Hedge Baseline'!$B$1:$L$257,3,FALSE)),"",(VLOOKUP($B225,'E-1 Off-Site Hedge Baseline'!$B$1:$L$257,3,FALSE))))</f>
        <v/>
      </c>
      <c r="D225" s="301" t="str">
        <f>IF(B225="","",IF(ISNA(VLOOKUP($B225,'E-1 Off-Site Hedge Baseline'!$B$1:$L$258,4,FALSE)),"",(VLOOKUP($B225,'E-1 Off-Site Hedge Baseline'!$B$1:$L$258,4,FALSE))))</f>
        <v/>
      </c>
      <c r="E225" s="301" t="str">
        <f>IF(B225="","",IF(ISNA(VLOOKUP($B225,'E-1 Off-Site Hedge Baseline'!$B$1:$L$257,5,FALSE)),"",(VLOOKUP($B225,'E-1 Off-Site Hedge Baseline'!$B$1:$L$257,5,FALSE))))</f>
        <v/>
      </c>
      <c r="F225" s="301" t="str">
        <f>IF(B225="","",IF(ISNA(VLOOKUP($B225,'E-1 Off-Site Hedge Baseline'!$B$1:$L$257,6,FALSE)),"",(VLOOKUP($B225,'E-1 Off-Site Hedge Baseline'!$B$1:$L$257,6,FALSE))))</f>
        <v/>
      </c>
      <c r="G225" s="301" t="str">
        <f>IF(B225="","",IF(ISNA(VLOOKUP($B225,'E-1 Off-Site Hedge Baseline'!$B$1:$L$257,7,FALSE)),"",(VLOOKUP($B225,'E-1 Off-Site Hedge Baseline'!$B$1:$L$257,7,FALSE))))</f>
        <v/>
      </c>
      <c r="H225" s="301" t="str">
        <f>IF(B225="","",IF(ISNA(VLOOKUP($B225,'E-1 Off-Site Hedge Baseline'!$B$1:$L$257,8,FALSE)),"",(VLOOKUP($B225,'E-1 Off-Site Hedge Baseline'!$B$1:$L$257,8,FALSE))))</f>
        <v/>
      </c>
      <c r="I225" s="301" t="str">
        <f>IF(B225="","",IF(ISNA(VLOOKUP($B225,'E-1 Off-Site Hedge Baseline'!$B$1:$L$257,10,FALSE)),"",(VLOOKUP($B225,'E-1 Off-Site Hedge Baseline'!$B$1:$L$257,10,FALSE))))</f>
        <v/>
      </c>
      <c r="J225" s="301" t="str">
        <f>IF(B225="","",IF(ISNA(VLOOKUP($B225,'E-1 Off-Site Hedge Baseline'!$B$1:$L$257,11,FALSE)),"",(VLOOKUP($B225,'E-1 Off-Site Hedge Baseline'!$B$1:$L$257,11,FALSE))))</f>
        <v/>
      </c>
      <c r="K225" s="301" t="str">
        <f>IF(B225="","",IF(ISNA(VLOOKUP($B225,'E-1 Off-Site Hedge Baseline'!$B$1:$X$257,16,FALSE)),"",(VLOOKUP($B225,'E-1 Off-Site Hedge Baseline'!$B$1:$X$257,16,FALSE))))</f>
        <v/>
      </c>
      <c r="L225" s="289" t="str">
        <f>IF(B225="","",IF(ISNA(VLOOKUP($B225,'E-1 Off-Site Hedge Baseline'!$B$1:$X$257,12,FALSE)),"",(VLOOKUP($B225,'E-1 Off-Site Hedge Baseline'!$B$1:$X$257,12,FALSE))))</f>
        <v/>
      </c>
      <c r="M225" s="250"/>
      <c r="N225" s="281" t="str">
        <f>IFERROR(IF(B225="","",INDEX('G-6 Hedgerow Data'!$AN$3:$AZ$15,MATCH(C225,'G-6 Hedgerow Data'!$AM$3:$AM$15,0),MATCH(M225,'G-6 Hedgerow Data'!$AN$2:$AZ$2,0))),"")</f>
        <v/>
      </c>
      <c r="O225" s="282" t="str">
        <f t="shared" si="25"/>
        <v/>
      </c>
      <c r="P225" s="287" t="str">
        <f>IF(B225="","",VLOOKUP(B225,'E-1 Off-Site Hedge Baseline'!$B$10:W470,19,FALSE))</f>
        <v/>
      </c>
      <c r="Q225" s="281" t="str">
        <f>IF(M225="","",VLOOKUP(M225,'G-6 Hedgerow Data'!$B$2:$AG$15,2,FALSE))</f>
        <v/>
      </c>
      <c r="R225" s="282" t="str">
        <f>IF(M225="","",VLOOKUP(M225,'G-6 Hedgerow Data'!$B$2:$AG$15,3,FALSE))</f>
        <v/>
      </c>
      <c r="S225" s="105"/>
      <c r="T225" s="282" t="str">
        <f>IFERROR(IF(S225="","",IF(AND(M225="Non-native and ornamental hedgerow", S225&lt;&gt;"Poor"),"Not possible ▲", (IF(AND(Q225="V.Low",OR(S225="Good",S225="Moderate")),"Error ▲",VLOOKUP(S225,'G-1 All Habitats'!$Z$2:$AA$9,2,FALSE))))),"")</f>
        <v/>
      </c>
      <c r="U225" s="105"/>
      <c r="V225" s="289" t="str">
        <f>IF(U225="","",IF(VLOOKUP(U225,'G-3 Multipliers'!$L$3:$N$6,2,FALSE)=0,"Spatial Data Missing ⚠",VLOOKUP(U225,'G-3 Multipliers'!$L$3:$N$6,2,FALSE)))</f>
        <v/>
      </c>
      <c r="W225" s="287" t="str">
        <f>IF(U225="","",IF(VLOOKUP(U225,'G-3 Multipliers'!$L$3:$N$6,3,FALSE)=0,"Spatial Data Missing ⚠",VLOOKUP(U225,'G-3 Multipliers'!$L$3:$N$6,3,FALSE)))</f>
        <v/>
      </c>
      <c r="X225" s="281" t="str">
        <f>IFERROR(IF(OR(LEFT(O225,5)="Error",LEFT(N225,5)="Error",T225="Error"),"Check Data ⚠",IF(F225&lt;R225,INDEX('G-6 Hedgerow Data'!$S$3:$AE$14,MATCH(C225,'G-6 Hedgerow Data'!$B$3:$B$14,0),MATCH(M225,'G-6 Hedgerow Data'!$S$2:$AE$2,0)),INDEX('G-6 Hedgerow Data'!$K$3:$Q$14,MATCH(M225,'G-6 Hedgerow Data'!$B$3:$B$14,0),MATCH(O225,'G-6 Hedgerow Data'!$K$2:$Q$2,0)))),"")</f>
        <v/>
      </c>
      <c r="Y225" s="137"/>
      <c r="Z225" s="137"/>
      <c r="AA225" s="289" t="str">
        <f t="shared" si="26"/>
        <v/>
      </c>
      <c r="AB225" s="302" t="str">
        <f t="shared" si="27"/>
        <v/>
      </c>
      <c r="AC225" s="303" t="str">
        <f t="shared" si="24"/>
        <v/>
      </c>
      <c r="AD225" s="317" t="str">
        <f>IF(M225="","",VLOOKUP(M225,'G-6 Hedgerow Data'!$B$3:$AG$15,31,FALSE))</f>
        <v/>
      </c>
      <c r="AE225" s="301" t="str">
        <f t="shared" si="28"/>
        <v/>
      </c>
      <c r="AF225" s="289" t="str">
        <f t="shared" si="29"/>
        <v/>
      </c>
      <c r="AG225" s="305" t="str">
        <f>IFERROR(IF(O225="","",VLOOKUP(AD225,'G-3 Multipliers'!$P$3:$Q$6,2,FALSE)),"")</f>
        <v/>
      </c>
      <c r="AH225" s="729" t="str">
        <f>IF(B225="","",IF(ISNA(VLOOKUP($B225,'E-1 Off-Site Hedge Baseline'!$B$1:$Z$257,14,FALSE)),"",(VLOOKUP($B225,'E-1 Off-Site Hedge Baseline'!$B$1:$Z$257,14,FALSE))))</f>
        <v/>
      </c>
      <c r="AI225" s="282" t="str">
        <f>IF(AH225="","",IF(VLOOKUP(AH225,'G-3 Multipliers'!$S$3:$T$10,2,FALSE)=0,"Spatial Data Missing ⚠",VLOOKUP(AH225,'G-3 Multipliers'!$S$3:$T$10,2,FALSE)))</f>
        <v/>
      </c>
      <c r="AJ225" s="323" t="str">
        <f t="shared" si="30"/>
        <v/>
      </c>
      <c r="AK225" s="295" t="str">
        <f t="shared" si="31"/>
        <v/>
      </c>
      <c r="AL225" s="105"/>
      <c r="AM225" s="119"/>
      <c r="AN225" s="108"/>
      <c r="AO225" s="108"/>
      <c r="AQ225" s="30" t="str">
        <f>IFERROR(INDEX('G-6 Hedgerow Data'!$BJ$3:$BJ$15,MATCH(M225,'G-6 Hedgerow Data'!$B$3:$B$15,0)),"")</f>
        <v/>
      </c>
    </row>
    <row r="226" spans="2:43" ht="13.8" x14ac:dyDescent="0.25">
      <c r="B226" s="311" t="str">
        <f>'E-1 Off-Site Hedge Baseline'!AN224</f>
        <v/>
      </c>
      <c r="C226" s="301" t="str">
        <f>IF(B226="","",IF(ISNA(VLOOKUP($B226,'E-1 Off-Site Hedge Baseline'!$B$1:$L$257,3,FALSE)),"",(VLOOKUP($B226,'E-1 Off-Site Hedge Baseline'!$B$1:$L$257,3,FALSE))))</f>
        <v/>
      </c>
      <c r="D226" s="301" t="str">
        <f>IF(B226="","",IF(ISNA(VLOOKUP($B226,'E-1 Off-Site Hedge Baseline'!$B$1:$L$258,4,FALSE)),"",(VLOOKUP($B226,'E-1 Off-Site Hedge Baseline'!$B$1:$L$258,4,FALSE))))</f>
        <v/>
      </c>
      <c r="E226" s="301" t="str">
        <f>IF(B226="","",IF(ISNA(VLOOKUP($B226,'E-1 Off-Site Hedge Baseline'!$B$1:$L$257,5,FALSE)),"",(VLOOKUP($B226,'E-1 Off-Site Hedge Baseline'!$B$1:$L$257,5,FALSE))))</f>
        <v/>
      </c>
      <c r="F226" s="301" t="str">
        <f>IF(B226="","",IF(ISNA(VLOOKUP($B226,'E-1 Off-Site Hedge Baseline'!$B$1:$L$257,6,FALSE)),"",(VLOOKUP($B226,'E-1 Off-Site Hedge Baseline'!$B$1:$L$257,6,FALSE))))</f>
        <v/>
      </c>
      <c r="G226" s="301" t="str">
        <f>IF(B226="","",IF(ISNA(VLOOKUP($B226,'E-1 Off-Site Hedge Baseline'!$B$1:$L$257,7,FALSE)),"",(VLOOKUP($B226,'E-1 Off-Site Hedge Baseline'!$B$1:$L$257,7,FALSE))))</f>
        <v/>
      </c>
      <c r="H226" s="301" t="str">
        <f>IF(B226="","",IF(ISNA(VLOOKUP($B226,'E-1 Off-Site Hedge Baseline'!$B$1:$L$257,8,FALSE)),"",(VLOOKUP($B226,'E-1 Off-Site Hedge Baseline'!$B$1:$L$257,8,FALSE))))</f>
        <v/>
      </c>
      <c r="I226" s="301" t="str">
        <f>IF(B226="","",IF(ISNA(VLOOKUP($B226,'E-1 Off-Site Hedge Baseline'!$B$1:$L$257,10,FALSE)),"",(VLOOKUP($B226,'E-1 Off-Site Hedge Baseline'!$B$1:$L$257,10,FALSE))))</f>
        <v/>
      </c>
      <c r="J226" s="301" t="str">
        <f>IF(B226="","",IF(ISNA(VLOOKUP($B226,'E-1 Off-Site Hedge Baseline'!$B$1:$L$257,11,FALSE)),"",(VLOOKUP($B226,'E-1 Off-Site Hedge Baseline'!$B$1:$L$257,11,FALSE))))</f>
        <v/>
      </c>
      <c r="K226" s="301" t="str">
        <f>IF(B226="","",IF(ISNA(VLOOKUP($B226,'E-1 Off-Site Hedge Baseline'!$B$1:$X$257,16,FALSE)),"",(VLOOKUP($B226,'E-1 Off-Site Hedge Baseline'!$B$1:$X$257,16,FALSE))))</f>
        <v/>
      </c>
      <c r="L226" s="289" t="str">
        <f>IF(B226="","",IF(ISNA(VLOOKUP($B226,'E-1 Off-Site Hedge Baseline'!$B$1:$X$257,12,FALSE)),"",(VLOOKUP($B226,'E-1 Off-Site Hedge Baseline'!$B$1:$X$257,12,FALSE))))</f>
        <v/>
      </c>
      <c r="M226" s="250"/>
      <c r="N226" s="281" t="str">
        <f>IFERROR(IF(B226="","",INDEX('G-6 Hedgerow Data'!$AN$3:$AZ$15,MATCH(C226,'G-6 Hedgerow Data'!$AM$3:$AM$15,0),MATCH(M226,'G-6 Hedgerow Data'!$AN$2:$AZ$2,0))),"")</f>
        <v/>
      </c>
      <c r="O226" s="282" t="str">
        <f t="shared" si="25"/>
        <v/>
      </c>
      <c r="P226" s="287" t="str">
        <f>IF(B226="","",VLOOKUP(B226,'E-1 Off-Site Hedge Baseline'!$B$10:W471,19,FALSE))</f>
        <v/>
      </c>
      <c r="Q226" s="281" t="str">
        <f>IF(M226="","",VLOOKUP(M226,'G-6 Hedgerow Data'!$B$2:$AG$15,2,FALSE))</f>
        <v/>
      </c>
      <c r="R226" s="282" t="str">
        <f>IF(M226="","",VLOOKUP(M226,'G-6 Hedgerow Data'!$B$2:$AG$15,3,FALSE))</f>
        <v/>
      </c>
      <c r="S226" s="105"/>
      <c r="T226" s="282" t="str">
        <f>IFERROR(IF(S226="","",IF(AND(M226="Non-native and ornamental hedgerow", S226&lt;&gt;"Poor"),"Not possible ▲", (IF(AND(Q226="V.Low",OR(S226="Good",S226="Moderate")),"Error ▲",VLOOKUP(S226,'G-1 All Habitats'!$Z$2:$AA$9,2,FALSE))))),"")</f>
        <v/>
      </c>
      <c r="U226" s="105"/>
      <c r="V226" s="289" t="str">
        <f>IF(U226="","",IF(VLOOKUP(U226,'G-3 Multipliers'!$L$3:$N$6,2,FALSE)=0,"Spatial Data Missing ⚠",VLOOKUP(U226,'G-3 Multipliers'!$L$3:$N$6,2,FALSE)))</f>
        <v/>
      </c>
      <c r="W226" s="287" t="str">
        <f>IF(U226="","",IF(VLOOKUP(U226,'G-3 Multipliers'!$L$3:$N$6,3,FALSE)=0,"Spatial Data Missing ⚠",VLOOKUP(U226,'G-3 Multipliers'!$L$3:$N$6,3,FALSE)))</f>
        <v/>
      </c>
      <c r="X226" s="281" t="str">
        <f>IFERROR(IF(OR(LEFT(O226,5)="Error",LEFT(N226,5)="Error",T226="Error"),"Check Data ⚠",IF(F226&lt;R226,INDEX('G-6 Hedgerow Data'!$S$3:$AE$14,MATCH(C226,'G-6 Hedgerow Data'!$B$3:$B$14,0),MATCH(M226,'G-6 Hedgerow Data'!$S$2:$AE$2,0)),INDEX('G-6 Hedgerow Data'!$K$3:$Q$14,MATCH(M226,'G-6 Hedgerow Data'!$B$3:$B$14,0),MATCH(O226,'G-6 Hedgerow Data'!$K$2:$Q$2,0)))),"")</f>
        <v/>
      </c>
      <c r="Y226" s="137"/>
      <c r="Z226" s="137"/>
      <c r="AA226" s="289" t="str">
        <f t="shared" si="26"/>
        <v/>
      </c>
      <c r="AB226" s="302" t="str">
        <f t="shared" si="27"/>
        <v/>
      </c>
      <c r="AC226" s="303" t="str">
        <f t="shared" si="24"/>
        <v/>
      </c>
      <c r="AD226" s="317" t="str">
        <f>IF(M226="","",VLOOKUP(M226,'G-6 Hedgerow Data'!$B$3:$AG$15,31,FALSE))</f>
        <v/>
      </c>
      <c r="AE226" s="301" t="str">
        <f t="shared" si="28"/>
        <v/>
      </c>
      <c r="AF226" s="289" t="str">
        <f t="shared" si="29"/>
        <v/>
      </c>
      <c r="AG226" s="305" t="str">
        <f>IFERROR(IF(O226="","",VLOOKUP(AD226,'G-3 Multipliers'!$P$3:$Q$6,2,FALSE)),"")</f>
        <v/>
      </c>
      <c r="AH226" s="729" t="str">
        <f>IF(B226="","",IF(ISNA(VLOOKUP($B226,'E-1 Off-Site Hedge Baseline'!$B$1:$Z$257,14,FALSE)),"",(VLOOKUP($B226,'E-1 Off-Site Hedge Baseline'!$B$1:$Z$257,14,FALSE))))</f>
        <v/>
      </c>
      <c r="AI226" s="282" t="str">
        <f>IF(AH226="","",IF(VLOOKUP(AH226,'G-3 Multipliers'!$S$3:$T$10,2,FALSE)=0,"Spatial Data Missing ⚠",VLOOKUP(AH226,'G-3 Multipliers'!$S$3:$T$10,2,FALSE)))</f>
        <v/>
      </c>
      <c r="AJ226" s="323" t="str">
        <f t="shared" si="30"/>
        <v/>
      </c>
      <c r="AK226" s="295" t="str">
        <f t="shared" si="31"/>
        <v/>
      </c>
      <c r="AL226" s="105"/>
      <c r="AM226" s="119"/>
      <c r="AN226" s="108"/>
      <c r="AO226" s="108"/>
      <c r="AQ226" s="30" t="str">
        <f>IFERROR(INDEX('G-6 Hedgerow Data'!$BJ$3:$BJ$15,MATCH(M226,'G-6 Hedgerow Data'!$B$3:$B$15,0)),"")</f>
        <v/>
      </c>
    </row>
    <row r="227" spans="2:43" ht="13.8" x14ac:dyDescent="0.25">
      <c r="B227" s="311" t="str">
        <f>'E-1 Off-Site Hedge Baseline'!AN225</f>
        <v/>
      </c>
      <c r="C227" s="301" t="str">
        <f>IF(B227="","",IF(ISNA(VLOOKUP($B227,'E-1 Off-Site Hedge Baseline'!$B$1:$L$257,3,FALSE)),"",(VLOOKUP($B227,'E-1 Off-Site Hedge Baseline'!$B$1:$L$257,3,FALSE))))</f>
        <v/>
      </c>
      <c r="D227" s="301" t="str">
        <f>IF(B227="","",IF(ISNA(VLOOKUP($B227,'E-1 Off-Site Hedge Baseline'!$B$1:$L$258,4,FALSE)),"",(VLOOKUP($B227,'E-1 Off-Site Hedge Baseline'!$B$1:$L$258,4,FALSE))))</f>
        <v/>
      </c>
      <c r="E227" s="301" t="str">
        <f>IF(B227="","",IF(ISNA(VLOOKUP($B227,'E-1 Off-Site Hedge Baseline'!$B$1:$L$257,5,FALSE)),"",(VLOOKUP($B227,'E-1 Off-Site Hedge Baseline'!$B$1:$L$257,5,FALSE))))</f>
        <v/>
      </c>
      <c r="F227" s="301" t="str">
        <f>IF(B227="","",IF(ISNA(VLOOKUP($B227,'E-1 Off-Site Hedge Baseline'!$B$1:$L$257,6,FALSE)),"",(VLOOKUP($B227,'E-1 Off-Site Hedge Baseline'!$B$1:$L$257,6,FALSE))))</f>
        <v/>
      </c>
      <c r="G227" s="301" t="str">
        <f>IF(B227="","",IF(ISNA(VLOOKUP($B227,'E-1 Off-Site Hedge Baseline'!$B$1:$L$257,7,FALSE)),"",(VLOOKUP($B227,'E-1 Off-Site Hedge Baseline'!$B$1:$L$257,7,FALSE))))</f>
        <v/>
      </c>
      <c r="H227" s="301" t="str">
        <f>IF(B227="","",IF(ISNA(VLOOKUP($B227,'E-1 Off-Site Hedge Baseline'!$B$1:$L$257,8,FALSE)),"",(VLOOKUP($B227,'E-1 Off-Site Hedge Baseline'!$B$1:$L$257,8,FALSE))))</f>
        <v/>
      </c>
      <c r="I227" s="301" t="str">
        <f>IF(B227="","",IF(ISNA(VLOOKUP($B227,'E-1 Off-Site Hedge Baseline'!$B$1:$L$257,10,FALSE)),"",(VLOOKUP($B227,'E-1 Off-Site Hedge Baseline'!$B$1:$L$257,10,FALSE))))</f>
        <v/>
      </c>
      <c r="J227" s="301" t="str">
        <f>IF(B227="","",IF(ISNA(VLOOKUP($B227,'E-1 Off-Site Hedge Baseline'!$B$1:$L$257,11,FALSE)),"",(VLOOKUP($B227,'E-1 Off-Site Hedge Baseline'!$B$1:$L$257,11,FALSE))))</f>
        <v/>
      </c>
      <c r="K227" s="301" t="str">
        <f>IF(B227="","",IF(ISNA(VLOOKUP($B227,'E-1 Off-Site Hedge Baseline'!$B$1:$X$257,16,FALSE)),"",(VLOOKUP($B227,'E-1 Off-Site Hedge Baseline'!$B$1:$X$257,16,FALSE))))</f>
        <v/>
      </c>
      <c r="L227" s="289" t="str">
        <f>IF(B227="","",IF(ISNA(VLOOKUP($B227,'E-1 Off-Site Hedge Baseline'!$B$1:$X$257,12,FALSE)),"",(VLOOKUP($B227,'E-1 Off-Site Hedge Baseline'!$B$1:$X$257,12,FALSE))))</f>
        <v/>
      </c>
      <c r="M227" s="250"/>
      <c r="N227" s="281" t="str">
        <f>IFERROR(IF(B227="","",INDEX('G-6 Hedgerow Data'!$AN$3:$AZ$15,MATCH(C227,'G-6 Hedgerow Data'!$AM$3:$AM$15,0),MATCH(M227,'G-6 Hedgerow Data'!$AN$2:$AZ$2,0))),"")</f>
        <v/>
      </c>
      <c r="O227" s="282" t="str">
        <f t="shared" si="25"/>
        <v/>
      </c>
      <c r="P227" s="287" t="str">
        <f>IF(B227="","",VLOOKUP(B227,'E-1 Off-Site Hedge Baseline'!$B$10:W472,19,FALSE))</f>
        <v/>
      </c>
      <c r="Q227" s="281" t="str">
        <f>IF(M227="","",VLOOKUP(M227,'G-6 Hedgerow Data'!$B$2:$AG$15,2,FALSE))</f>
        <v/>
      </c>
      <c r="R227" s="282" t="str">
        <f>IF(M227="","",VLOOKUP(M227,'G-6 Hedgerow Data'!$B$2:$AG$15,3,FALSE))</f>
        <v/>
      </c>
      <c r="S227" s="105"/>
      <c r="T227" s="282" t="str">
        <f>IFERROR(IF(S227="","",IF(AND(M227="Non-native and ornamental hedgerow", S227&lt;&gt;"Poor"),"Not possible ▲", (IF(AND(Q227="V.Low",OR(S227="Good",S227="Moderate")),"Error ▲",VLOOKUP(S227,'G-1 All Habitats'!$Z$2:$AA$9,2,FALSE))))),"")</f>
        <v/>
      </c>
      <c r="U227" s="105"/>
      <c r="V227" s="289" t="str">
        <f>IF(U227="","",IF(VLOOKUP(U227,'G-3 Multipliers'!$L$3:$N$6,2,FALSE)=0,"Spatial Data Missing ⚠",VLOOKUP(U227,'G-3 Multipliers'!$L$3:$N$6,2,FALSE)))</f>
        <v/>
      </c>
      <c r="W227" s="287" t="str">
        <f>IF(U227="","",IF(VLOOKUP(U227,'G-3 Multipliers'!$L$3:$N$6,3,FALSE)=0,"Spatial Data Missing ⚠",VLOOKUP(U227,'G-3 Multipliers'!$L$3:$N$6,3,FALSE)))</f>
        <v/>
      </c>
      <c r="X227" s="281" t="str">
        <f>IFERROR(IF(OR(LEFT(O227,5)="Error",LEFT(N227,5)="Error",T227="Error"),"Check Data ⚠",IF(F227&lt;R227,INDEX('G-6 Hedgerow Data'!$S$3:$AE$14,MATCH(C227,'G-6 Hedgerow Data'!$B$3:$B$14,0),MATCH(M227,'G-6 Hedgerow Data'!$S$2:$AE$2,0)),INDEX('G-6 Hedgerow Data'!$K$3:$Q$14,MATCH(M227,'G-6 Hedgerow Data'!$B$3:$B$14,0),MATCH(O227,'G-6 Hedgerow Data'!$K$2:$Q$2,0)))),"")</f>
        <v/>
      </c>
      <c r="Y227" s="137"/>
      <c r="Z227" s="137"/>
      <c r="AA227" s="289" t="str">
        <f t="shared" si="26"/>
        <v/>
      </c>
      <c r="AB227" s="302" t="str">
        <f t="shared" si="27"/>
        <v/>
      </c>
      <c r="AC227" s="303" t="str">
        <f t="shared" si="24"/>
        <v/>
      </c>
      <c r="AD227" s="317" t="str">
        <f>IF(M227="","",VLOOKUP(M227,'G-6 Hedgerow Data'!$B$3:$AG$15,31,FALSE))</f>
        <v/>
      </c>
      <c r="AE227" s="301" t="str">
        <f t="shared" si="28"/>
        <v/>
      </c>
      <c r="AF227" s="289" t="str">
        <f t="shared" si="29"/>
        <v/>
      </c>
      <c r="AG227" s="305" t="str">
        <f>IFERROR(IF(O227="","",VLOOKUP(AD227,'G-3 Multipliers'!$P$3:$Q$6,2,FALSE)),"")</f>
        <v/>
      </c>
      <c r="AH227" s="729" t="str">
        <f>IF(B227="","",IF(ISNA(VLOOKUP($B227,'E-1 Off-Site Hedge Baseline'!$B$1:$Z$257,14,FALSE)),"",(VLOOKUP($B227,'E-1 Off-Site Hedge Baseline'!$B$1:$Z$257,14,FALSE))))</f>
        <v/>
      </c>
      <c r="AI227" s="282" t="str">
        <f>IF(AH227="","",IF(VLOOKUP(AH227,'G-3 Multipliers'!$S$3:$T$10,2,FALSE)=0,"Spatial Data Missing ⚠",VLOOKUP(AH227,'G-3 Multipliers'!$S$3:$T$10,2,FALSE)))</f>
        <v/>
      </c>
      <c r="AJ227" s="323" t="str">
        <f t="shared" si="30"/>
        <v/>
      </c>
      <c r="AK227" s="295" t="str">
        <f t="shared" si="31"/>
        <v/>
      </c>
      <c r="AL227" s="105"/>
      <c r="AM227" s="119"/>
      <c r="AN227" s="108"/>
      <c r="AO227" s="108"/>
      <c r="AQ227" s="30" t="str">
        <f>IFERROR(INDEX('G-6 Hedgerow Data'!$BJ$3:$BJ$15,MATCH(M227,'G-6 Hedgerow Data'!$B$3:$B$15,0)),"")</f>
        <v/>
      </c>
    </row>
    <row r="228" spans="2:43" ht="13.8" x14ac:dyDescent="0.25">
      <c r="B228" s="311" t="str">
        <f>'E-1 Off-Site Hedge Baseline'!AN226</f>
        <v/>
      </c>
      <c r="C228" s="301" t="str">
        <f>IF(B228="","",IF(ISNA(VLOOKUP($B228,'E-1 Off-Site Hedge Baseline'!$B$1:$L$257,3,FALSE)),"",(VLOOKUP($B228,'E-1 Off-Site Hedge Baseline'!$B$1:$L$257,3,FALSE))))</f>
        <v/>
      </c>
      <c r="D228" s="301" t="str">
        <f>IF(B228="","",IF(ISNA(VLOOKUP($B228,'E-1 Off-Site Hedge Baseline'!$B$1:$L$258,4,FALSE)),"",(VLOOKUP($B228,'E-1 Off-Site Hedge Baseline'!$B$1:$L$258,4,FALSE))))</f>
        <v/>
      </c>
      <c r="E228" s="301" t="str">
        <f>IF(B228="","",IF(ISNA(VLOOKUP($B228,'E-1 Off-Site Hedge Baseline'!$B$1:$L$257,5,FALSE)),"",(VLOOKUP($B228,'E-1 Off-Site Hedge Baseline'!$B$1:$L$257,5,FALSE))))</f>
        <v/>
      </c>
      <c r="F228" s="301" t="str">
        <f>IF(B228="","",IF(ISNA(VLOOKUP($B228,'E-1 Off-Site Hedge Baseline'!$B$1:$L$257,6,FALSE)),"",(VLOOKUP($B228,'E-1 Off-Site Hedge Baseline'!$B$1:$L$257,6,FALSE))))</f>
        <v/>
      </c>
      <c r="G228" s="301" t="str">
        <f>IF(B228="","",IF(ISNA(VLOOKUP($B228,'E-1 Off-Site Hedge Baseline'!$B$1:$L$257,7,FALSE)),"",(VLOOKUP($B228,'E-1 Off-Site Hedge Baseline'!$B$1:$L$257,7,FALSE))))</f>
        <v/>
      </c>
      <c r="H228" s="301" t="str">
        <f>IF(B228="","",IF(ISNA(VLOOKUP($B228,'E-1 Off-Site Hedge Baseline'!$B$1:$L$257,8,FALSE)),"",(VLOOKUP($B228,'E-1 Off-Site Hedge Baseline'!$B$1:$L$257,8,FALSE))))</f>
        <v/>
      </c>
      <c r="I228" s="301" t="str">
        <f>IF(B228="","",IF(ISNA(VLOOKUP($B228,'E-1 Off-Site Hedge Baseline'!$B$1:$L$257,10,FALSE)),"",(VLOOKUP($B228,'E-1 Off-Site Hedge Baseline'!$B$1:$L$257,10,FALSE))))</f>
        <v/>
      </c>
      <c r="J228" s="301" t="str">
        <f>IF(B228="","",IF(ISNA(VLOOKUP($B228,'E-1 Off-Site Hedge Baseline'!$B$1:$L$257,11,FALSE)),"",(VLOOKUP($B228,'E-1 Off-Site Hedge Baseline'!$B$1:$L$257,11,FALSE))))</f>
        <v/>
      </c>
      <c r="K228" s="301" t="str">
        <f>IF(B228="","",IF(ISNA(VLOOKUP($B228,'E-1 Off-Site Hedge Baseline'!$B$1:$X$257,16,FALSE)),"",(VLOOKUP($B228,'E-1 Off-Site Hedge Baseline'!$B$1:$X$257,16,FALSE))))</f>
        <v/>
      </c>
      <c r="L228" s="289" t="str">
        <f>IF(B228="","",IF(ISNA(VLOOKUP($B228,'E-1 Off-Site Hedge Baseline'!$B$1:$X$257,12,FALSE)),"",(VLOOKUP($B228,'E-1 Off-Site Hedge Baseline'!$B$1:$X$257,12,FALSE))))</f>
        <v/>
      </c>
      <c r="M228" s="250"/>
      <c r="N228" s="281" t="str">
        <f>IFERROR(IF(B228="","",INDEX('G-6 Hedgerow Data'!$AN$3:$AZ$15,MATCH(C228,'G-6 Hedgerow Data'!$AM$3:$AM$15,0),MATCH(M228,'G-6 Hedgerow Data'!$AN$2:$AZ$2,0))),"")</f>
        <v/>
      </c>
      <c r="O228" s="282" t="str">
        <f t="shared" si="25"/>
        <v/>
      </c>
      <c r="P228" s="287" t="str">
        <f>IF(B228="","",VLOOKUP(B228,'E-1 Off-Site Hedge Baseline'!$B$10:W473,19,FALSE))</f>
        <v/>
      </c>
      <c r="Q228" s="281" t="str">
        <f>IF(M228="","",VLOOKUP(M228,'G-6 Hedgerow Data'!$B$2:$AG$15,2,FALSE))</f>
        <v/>
      </c>
      <c r="R228" s="282" t="str">
        <f>IF(M228="","",VLOOKUP(M228,'G-6 Hedgerow Data'!$B$2:$AG$15,3,FALSE))</f>
        <v/>
      </c>
      <c r="S228" s="105"/>
      <c r="T228" s="282" t="str">
        <f>IFERROR(IF(S228="","",IF(AND(M228="Non-native and ornamental hedgerow", S228&lt;&gt;"Poor"),"Not possible ▲", (IF(AND(Q228="V.Low",OR(S228="Good",S228="Moderate")),"Error ▲",VLOOKUP(S228,'G-1 All Habitats'!$Z$2:$AA$9,2,FALSE))))),"")</f>
        <v/>
      </c>
      <c r="U228" s="105"/>
      <c r="V228" s="289" t="str">
        <f>IF(U228="","",IF(VLOOKUP(U228,'G-3 Multipliers'!$L$3:$N$6,2,FALSE)=0,"Spatial Data Missing ⚠",VLOOKUP(U228,'G-3 Multipliers'!$L$3:$N$6,2,FALSE)))</f>
        <v/>
      </c>
      <c r="W228" s="287" t="str">
        <f>IF(U228="","",IF(VLOOKUP(U228,'G-3 Multipliers'!$L$3:$N$6,3,FALSE)=0,"Spatial Data Missing ⚠",VLOOKUP(U228,'G-3 Multipliers'!$L$3:$N$6,3,FALSE)))</f>
        <v/>
      </c>
      <c r="X228" s="281" t="str">
        <f>IFERROR(IF(OR(LEFT(O228,5)="Error",LEFT(N228,5)="Error",T228="Error"),"Check Data ⚠",IF(F228&lt;R228,INDEX('G-6 Hedgerow Data'!$S$3:$AE$14,MATCH(C228,'G-6 Hedgerow Data'!$B$3:$B$14,0),MATCH(M228,'G-6 Hedgerow Data'!$S$2:$AE$2,0)),INDEX('G-6 Hedgerow Data'!$K$3:$Q$14,MATCH(M228,'G-6 Hedgerow Data'!$B$3:$B$14,0),MATCH(O228,'G-6 Hedgerow Data'!$K$2:$Q$2,0)))),"")</f>
        <v/>
      </c>
      <c r="Y228" s="137"/>
      <c r="Z228" s="137"/>
      <c r="AA228" s="289" t="str">
        <f t="shared" si="26"/>
        <v/>
      </c>
      <c r="AB228" s="302" t="str">
        <f t="shared" si="27"/>
        <v/>
      </c>
      <c r="AC228" s="303" t="str">
        <f t="shared" si="24"/>
        <v/>
      </c>
      <c r="AD228" s="317" t="str">
        <f>IF(M228="","",VLOOKUP(M228,'G-6 Hedgerow Data'!$B$3:$AG$15,31,FALSE))</f>
        <v/>
      </c>
      <c r="AE228" s="301" t="str">
        <f t="shared" si="28"/>
        <v/>
      </c>
      <c r="AF228" s="289" t="str">
        <f t="shared" si="29"/>
        <v/>
      </c>
      <c r="AG228" s="305" t="str">
        <f>IFERROR(IF(O228="","",VLOOKUP(AD228,'G-3 Multipliers'!$P$3:$Q$6,2,FALSE)),"")</f>
        <v/>
      </c>
      <c r="AH228" s="729" t="str">
        <f>IF(B228="","",IF(ISNA(VLOOKUP($B228,'E-1 Off-Site Hedge Baseline'!$B$1:$Z$257,14,FALSE)),"",(VLOOKUP($B228,'E-1 Off-Site Hedge Baseline'!$B$1:$Z$257,14,FALSE))))</f>
        <v/>
      </c>
      <c r="AI228" s="282" t="str">
        <f>IF(AH228="","",IF(VLOOKUP(AH228,'G-3 Multipliers'!$S$3:$T$10,2,FALSE)=0,"Spatial Data Missing ⚠",VLOOKUP(AH228,'G-3 Multipliers'!$S$3:$T$10,2,FALSE)))</f>
        <v/>
      </c>
      <c r="AJ228" s="323" t="str">
        <f t="shared" si="30"/>
        <v/>
      </c>
      <c r="AK228" s="295" t="str">
        <f t="shared" si="31"/>
        <v/>
      </c>
      <c r="AL228" s="105"/>
      <c r="AM228" s="119"/>
      <c r="AN228" s="108"/>
      <c r="AO228" s="108"/>
      <c r="AQ228" s="30" t="str">
        <f>IFERROR(INDEX('G-6 Hedgerow Data'!$BJ$3:$BJ$15,MATCH(M228,'G-6 Hedgerow Data'!$B$3:$B$15,0)),"")</f>
        <v/>
      </c>
    </row>
    <row r="229" spans="2:43" ht="13.8" x14ac:dyDescent="0.25">
      <c r="B229" s="311" t="str">
        <f>'E-1 Off-Site Hedge Baseline'!AN227</f>
        <v/>
      </c>
      <c r="C229" s="301" t="str">
        <f>IF(B229="","",IF(ISNA(VLOOKUP($B229,'E-1 Off-Site Hedge Baseline'!$B$1:$L$257,3,FALSE)),"",(VLOOKUP($B229,'E-1 Off-Site Hedge Baseline'!$B$1:$L$257,3,FALSE))))</f>
        <v/>
      </c>
      <c r="D229" s="301" t="str">
        <f>IF(B229="","",IF(ISNA(VLOOKUP($B229,'E-1 Off-Site Hedge Baseline'!$B$1:$L$258,4,FALSE)),"",(VLOOKUP($B229,'E-1 Off-Site Hedge Baseline'!$B$1:$L$258,4,FALSE))))</f>
        <v/>
      </c>
      <c r="E229" s="301" t="str">
        <f>IF(B229="","",IF(ISNA(VLOOKUP($B229,'E-1 Off-Site Hedge Baseline'!$B$1:$L$257,5,FALSE)),"",(VLOOKUP($B229,'E-1 Off-Site Hedge Baseline'!$B$1:$L$257,5,FALSE))))</f>
        <v/>
      </c>
      <c r="F229" s="301" t="str">
        <f>IF(B229="","",IF(ISNA(VLOOKUP($B229,'E-1 Off-Site Hedge Baseline'!$B$1:$L$257,6,FALSE)),"",(VLOOKUP($B229,'E-1 Off-Site Hedge Baseline'!$B$1:$L$257,6,FALSE))))</f>
        <v/>
      </c>
      <c r="G229" s="301" t="str">
        <f>IF(B229="","",IF(ISNA(VLOOKUP($B229,'E-1 Off-Site Hedge Baseline'!$B$1:$L$257,7,FALSE)),"",(VLOOKUP($B229,'E-1 Off-Site Hedge Baseline'!$B$1:$L$257,7,FALSE))))</f>
        <v/>
      </c>
      <c r="H229" s="301" t="str">
        <f>IF(B229="","",IF(ISNA(VLOOKUP($B229,'E-1 Off-Site Hedge Baseline'!$B$1:$L$257,8,FALSE)),"",(VLOOKUP($B229,'E-1 Off-Site Hedge Baseline'!$B$1:$L$257,8,FALSE))))</f>
        <v/>
      </c>
      <c r="I229" s="301" t="str">
        <f>IF(B229="","",IF(ISNA(VLOOKUP($B229,'E-1 Off-Site Hedge Baseline'!$B$1:$L$257,10,FALSE)),"",(VLOOKUP($B229,'E-1 Off-Site Hedge Baseline'!$B$1:$L$257,10,FALSE))))</f>
        <v/>
      </c>
      <c r="J229" s="301" t="str">
        <f>IF(B229="","",IF(ISNA(VLOOKUP($B229,'E-1 Off-Site Hedge Baseline'!$B$1:$L$257,11,FALSE)),"",(VLOOKUP($B229,'E-1 Off-Site Hedge Baseline'!$B$1:$L$257,11,FALSE))))</f>
        <v/>
      </c>
      <c r="K229" s="301" t="str">
        <f>IF(B229="","",IF(ISNA(VLOOKUP($B229,'E-1 Off-Site Hedge Baseline'!$B$1:$X$257,16,FALSE)),"",(VLOOKUP($B229,'E-1 Off-Site Hedge Baseline'!$B$1:$X$257,16,FALSE))))</f>
        <v/>
      </c>
      <c r="L229" s="289" t="str">
        <f>IF(B229="","",IF(ISNA(VLOOKUP($B229,'E-1 Off-Site Hedge Baseline'!$B$1:$X$257,12,FALSE)),"",(VLOOKUP($B229,'E-1 Off-Site Hedge Baseline'!$B$1:$X$257,12,FALSE))))</f>
        <v/>
      </c>
      <c r="M229" s="250"/>
      <c r="N229" s="281" t="str">
        <f>IFERROR(IF(B229="","",INDEX('G-6 Hedgerow Data'!$AN$3:$AZ$15,MATCH(C229,'G-6 Hedgerow Data'!$AM$3:$AM$15,0),MATCH(M229,'G-6 Hedgerow Data'!$AN$2:$AZ$2,0))),"")</f>
        <v/>
      </c>
      <c r="O229" s="282" t="str">
        <f t="shared" si="25"/>
        <v/>
      </c>
      <c r="P229" s="287" t="str">
        <f>IF(B229="","",VLOOKUP(B229,'E-1 Off-Site Hedge Baseline'!$B$10:W474,19,FALSE))</f>
        <v/>
      </c>
      <c r="Q229" s="281" t="str">
        <f>IF(M229="","",VLOOKUP(M229,'G-6 Hedgerow Data'!$B$2:$AG$15,2,FALSE))</f>
        <v/>
      </c>
      <c r="R229" s="282" t="str">
        <f>IF(M229="","",VLOOKUP(M229,'G-6 Hedgerow Data'!$B$2:$AG$15,3,FALSE))</f>
        <v/>
      </c>
      <c r="S229" s="105"/>
      <c r="T229" s="282" t="str">
        <f>IFERROR(IF(S229="","",IF(AND(M229="Non-native and ornamental hedgerow", S229&lt;&gt;"Poor"),"Not possible ▲", (IF(AND(Q229="V.Low",OR(S229="Good",S229="Moderate")),"Error ▲",VLOOKUP(S229,'G-1 All Habitats'!$Z$2:$AA$9,2,FALSE))))),"")</f>
        <v/>
      </c>
      <c r="U229" s="105"/>
      <c r="V229" s="289" t="str">
        <f>IF(U229="","",IF(VLOOKUP(U229,'G-3 Multipliers'!$L$3:$N$6,2,FALSE)=0,"Spatial Data Missing ⚠",VLOOKUP(U229,'G-3 Multipliers'!$L$3:$N$6,2,FALSE)))</f>
        <v/>
      </c>
      <c r="W229" s="287" t="str">
        <f>IF(U229="","",IF(VLOOKUP(U229,'G-3 Multipliers'!$L$3:$N$6,3,FALSE)=0,"Spatial Data Missing ⚠",VLOOKUP(U229,'G-3 Multipliers'!$L$3:$N$6,3,FALSE)))</f>
        <v/>
      </c>
      <c r="X229" s="281" t="str">
        <f>IFERROR(IF(OR(LEFT(O229,5)="Error",LEFT(N229,5)="Error",T229="Error"),"Check Data ⚠",IF(F229&lt;R229,INDEX('G-6 Hedgerow Data'!$S$3:$AE$14,MATCH(C229,'G-6 Hedgerow Data'!$B$3:$B$14,0),MATCH(M229,'G-6 Hedgerow Data'!$S$2:$AE$2,0)),INDEX('G-6 Hedgerow Data'!$K$3:$Q$14,MATCH(M229,'G-6 Hedgerow Data'!$B$3:$B$14,0),MATCH(O229,'G-6 Hedgerow Data'!$K$2:$Q$2,0)))),"")</f>
        <v/>
      </c>
      <c r="Y229" s="137"/>
      <c r="Z229" s="137"/>
      <c r="AA229" s="289" t="str">
        <f t="shared" si="26"/>
        <v/>
      </c>
      <c r="AB229" s="302" t="str">
        <f t="shared" si="27"/>
        <v/>
      </c>
      <c r="AC229" s="303" t="str">
        <f t="shared" si="24"/>
        <v/>
      </c>
      <c r="AD229" s="317" t="str">
        <f>IF(M229="","",VLOOKUP(M229,'G-6 Hedgerow Data'!$B$3:$AG$15,31,FALSE))</f>
        <v/>
      </c>
      <c r="AE229" s="301" t="str">
        <f t="shared" si="28"/>
        <v/>
      </c>
      <c r="AF229" s="289" t="str">
        <f t="shared" si="29"/>
        <v/>
      </c>
      <c r="AG229" s="305" t="str">
        <f>IFERROR(IF(O229="","",VLOOKUP(AD229,'G-3 Multipliers'!$P$3:$Q$6,2,FALSE)),"")</f>
        <v/>
      </c>
      <c r="AH229" s="729" t="str">
        <f>IF(B229="","",IF(ISNA(VLOOKUP($B229,'E-1 Off-Site Hedge Baseline'!$B$1:$Z$257,14,FALSE)),"",(VLOOKUP($B229,'E-1 Off-Site Hedge Baseline'!$B$1:$Z$257,14,FALSE))))</f>
        <v/>
      </c>
      <c r="AI229" s="282" t="str">
        <f>IF(AH229="","",IF(VLOOKUP(AH229,'G-3 Multipliers'!$S$3:$T$10,2,FALSE)=0,"Spatial Data Missing ⚠",VLOOKUP(AH229,'G-3 Multipliers'!$S$3:$T$10,2,FALSE)))</f>
        <v/>
      </c>
      <c r="AJ229" s="323" t="str">
        <f t="shared" si="30"/>
        <v/>
      </c>
      <c r="AK229" s="295" t="str">
        <f t="shared" si="31"/>
        <v/>
      </c>
      <c r="AL229" s="105"/>
      <c r="AM229" s="119"/>
      <c r="AN229" s="108"/>
      <c r="AO229" s="108"/>
      <c r="AQ229" s="30" t="str">
        <f>IFERROR(INDEX('G-6 Hedgerow Data'!$BJ$3:$BJ$15,MATCH(M229,'G-6 Hedgerow Data'!$B$3:$B$15,0)),"")</f>
        <v/>
      </c>
    </row>
    <row r="230" spans="2:43" ht="13.8" x14ac:dyDescent="0.25">
      <c r="B230" s="311" t="str">
        <f>'E-1 Off-Site Hedge Baseline'!AN228</f>
        <v/>
      </c>
      <c r="C230" s="301" t="str">
        <f>IF(B230="","",IF(ISNA(VLOOKUP($B230,'E-1 Off-Site Hedge Baseline'!$B$1:$L$257,3,FALSE)),"",(VLOOKUP($B230,'E-1 Off-Site Hedge Baseline'!$B$1:$L$257,3,FALSE))))</f>
        <v/>
      </c>
      <c r="D230" s="301" t="str">
        <f>IF(B230="","",IF(ISNA(VLOOKUP($B230,'E-1 Off-Site Hedge Baseline'!$B$1:$L$258,4,FALSE)),"",(VLOOKUP($B230,'E-1 Off-Site Hedge Baseline'!$B$1:$L$258,4,FALSE))))</f>
        <v/>
      </c>
      <c r="E230" s="301" t="str">
        <f>IF(B230="","",IF(ISNA(VLOOKUP($B230,'E-1 Off-Site Hedge Baseline'!$B$1:$L$257,5,FALSE)),"",(VLOOKUP($B230,'E-1 Off-Site Hedge Baseline'!$B$1:$L$257,5,FALSE))))</f>
        <v/>
      </c>
      <c r="F230" s="301" t="str">
        <f>IF(B230="","",IF(ISNA(VLOOKUP($B230,'E-1 Off-Site Hedge Baseline'!$B$1:$L$257,6,FALSE)),"",(VLOOKUP($B230,'E-1 Off-Site Hedge Baseline'!$B$1:$L$257,6,FALSE))))</f>
        <v/>
      </c>
      <c r="G230" s="301" t="str">
        <f>IF(B230="","",IF(ISNA(VLOOKUP($B230,'E-1 Off-Site Hedge Baseline'!$B$1:$L$257,7,FALSE)),"",(VLOOKUP($B230,'E-1 Off-Site Hedge Baseline'!$B$1:$L$257,7,FALSE))))</f>
        <v/>
      </c>
      <c r="H230" s="301" t="str">
        <f>IF(B230="","",IF(ISNA(VLOOKUP($B230,'E-1 Off-Site Hedge Baseline'!$B$1:$L$257,8,FALSE)),"",(VLOOKUP($B230,'E-1 Off-Site Hedge Baseline'!$B$1:$L$257,8,FALSE))))</f>
        <v/>
      </c>
      <c r="I230" s="301" t="str">
        <f>IF(B230="","",IF(ISNA(VLOOKUP($B230,'E-1 Off-Site Hedge Baseline'!$B$1:$L$257,10,FALSE)),"",(VLOOKUP($B230,'E-1 Off-Site Hedge Baseline'!$B$1:$L$257,10,FALSE))))</f>
        <v/>
      </c>
      <c r="J230" s="301" t="str">
        <f>IF(B230="","",IF(ISNA(VLOOKUP($B230,'E-1 Off-Site Hedge Baseline'!$B$1:$L$257,11,FALSE)),"",(VLOOKUP($B230,'E-1 Off-Site Hedge Baseline'!$B$1:$L$257,11,FALSE))))</f>
        <v/>
      </c>
      <c r="K230" s="301" t="str">
        <f>IF(B230="","",IF(ISNA(VLOOKUP($B230,'E-1 Off-Site Hedge Baseline'!$B$1:$X$257,16,FALSE)),"",(VLOOKUP($B230,'E-1 Off-Site Hedge Baseline'!$B$1:$X$257,16,FALSE))))</f>
        <v/>
      </c>
      <c r="L230" s="289" t="str">
        <f>IF(B230="","",IF(ISNA(VLOOKUP($B230,'E-1 Off-Site Hedge Baseline'!$B$1:$X$257,12,FALSE)),"",(VLOOKUP($B230,'E-1 Off-Site Hedge Baseline'!$B$1:$X$257,12,FALSE))))</f>
        <v/>
      </c>
      <c r="M230" s="250"/>
      <c r="N230" s="281" t="str">
        <f>IFERROR(IF(B230="","",INDEX('G-6 Hedgerow Data'!$AN$3:$AZ$15,MATCH(C230,'G-6 Hedgerow Data'!$AM$3:$AM$15,0),MATCH(M230,'G-6 Hedgerow Data'!$AN$2:$AZ$2,0))),"")</f>
        <v/>
      </c>
      <c r="O230" s="282" t="str">
        <f t="shared" si="25"/>
        <v/>
      </c>
      <c r="P230" s="287" t="str">
        <f>IF(B230="","",VLOOKUP(B230,'E-1 Off-Site Hedge Baseline'!$B$10:W475,19,FALSE))</f>
        <v/>
      </c>
      <c r="Q230" s="281" t="str">
        <f>IF(M230="","",VLOOKUP(M230,'G-6 Hedgerow Data'!$B$2:$AG$15,2,FALSE))</f>
        <v/>
      </c>
      <c r="R230" s="282" t="str">
        <f>IF(M230="","",VLOOKUP(M230,'G-6 Hedgerow Data'!$B$2:$AG$15,3,FALSE))</f>
        <v/>
      </c>
      <c r="S230" s="105"/>
      <c r="T230" s="282" t="str">
        <f>IFERROR(IF(S230="","",IF(AND(M230="Non-native and ornamental hedgerow", S230&lt;&gt;"Poor"),"Not possible ▲", (IF(AND(Q230="V.Low",OR(S230="Good",S230="Moderate")),"Error ▲",VLOOKUP(S230,'G-1 All Habitats'!$Z$2:$AA$9,2,FALSE))))),"")</f>
        <v/>
      </c>
      <c r="U230" s="105"/>
      <c r="V230" s="289" t="str">
        <f>IF(U230="","",IF(VLOOKUP(U230,'G-3 Multipliers'!$L$3:$N$6,2,FALSE)=0,"Spatial Data Missing ⚠",VLOOKUP(U230,'G-3 Multipliers'!$L$3:$N$6,2,FALSE)))</f>
        <v/>
      </c>
      <c r="W230" s="287" t="str">
        <f>IF(U230="","",IF(VLOOKUP(U230,'G-3 Multipliers'!$L$3:$N$6,3,FALSE)=0,"Spatial Data Missing ⚠",VLOOKUP(U230,'G-3 Multipliers'!$L$3:$N$6,3,FALSE)))</f>
        <v/>
      </c>
      <c r="X230" s="281" t="str">
        <f>IFERROR(IF(OR(LEFT(O230,5)="Error",LEFT(N230,5)="Error",T230="Error"),"Check Data ⚠",IF(F230&lt;R230,INDEX('G-6 Hedgerow Data'!$S$3:$AE$14,MATCH(C230,'G-6 Hedgerow Data'!$B$3:$B$14,0),MATCH(M230,'G-6 Hedgerow Data'!$S$2:$AE$2,0)),INDEX('G-6 Hedgerow Data'!$K$3:$Q$14,MATCH(M230,'G-6 Hedgerow Data'!$B$3:$B$14,0),MATCH(O230,'G-6 Hedgerow Data'!$K$2:$Q$2,0)))),"")</f>
        <v/>
      </c>
      <c r="Y230" s="137"/>
      <c r="Z230" s="137"/>
      <c r="AA230" s="289" t="str">
        <f t="shared" si="26"/>
        <v/>
      </c>
      <c r="AB230" s="302" t="str">
        <f t="shared" si="27"/>
        <v/>
      </c>
      <c r="AC230" s="303" t="str">
        <f t="shared" si="24"/>
        <v/>
      </c>
      <c r="AD230" s="317" t="str">
        <f>IF(M230="","",VLOOKUP(M230,'G-6 Hedgerow Data'!$B$3:$AG$15,31,FALSE))</f>
        <v/>
      </c>
      <c r="AE230" s="301" t="str">
        <f t="shared" si="28"/>
        <v/>
      </c>
      <c r="AF230" s="289" t="str">
        <f t="shared" si="29"/>
        <v/>
      </c>
      <c r="AG230" s="305" t="str">
        <f>IFERROR(IF(O230="","",VLOOKUP(AD230,'G-3 Multipliers'!$P$3:$Q$6,2,FALSE)),"")</f>
        <v/>
      </c>
      <c r="AH230" s="729" t="str">
        <f>IF(B230="","",IF(ISNA(VLOOKUP($B230,'E-1 Off-Site Hedge Baseline'!$B$1:$Z$257,14,FALSE)),"",(VLOOKUP($B230,'E-1 Off-Site Hedge Baseline'!$B$1:$Z$257,14,FALSE))))</f>
        <v/>
      </c>
      <c r="AI230" s="282" t="str">
        <f>IF(AH230="","",IF(VLOOKUP(AH230,'G-3 Multipliers'!$S$3:$T$10,2,FALSE)=0,"Spatial Data Missing ⚠",VLOOKUP(AH230,'G-3 Multipliers'!$S$3:$T$10,2,FALSE)))</f>
        <v/>
      </c>
      <c r="AJ230" s="323" t="str">
        <f t="shared" si="30"/>
        <v/>
      </c>
      <c r="AK230" s="295" t="str">
        <f t="shared" si="31"/>
        <v/>
      </c>
      <c r="AL230" s="105"/>
      <c r="AM230" s="119"/>
      <c r="AN230" s="108"/>
      <c r="AO230" s="108"/>
      <c r="AQ230" s="30" t="str">
        <f>IFERROR(INDEX('G-6 Hedgerow Data'!$BJ$3:$BJ$15,MATCH(M230,'G-6 Hedgerow Data'!$B$3:$B$15,0)),"")</f>
        <v/>
      </c>
    </row>
    <row r="231" spans="2:43" ht="13.8" x14ac:dyDescent="0.25">
      <c r="B231" s="311" t="str">
        <f>'E-1 Off-Site Hedge Baseline'!AN229</f>
        <v/>
      </c>
      <c r="C231" s="301" t="str">
        <f>IF(B231="","",IF(ISNA(VLOOKUP($B231,'E-1 Off-Site Hedge Baseline'!$B$1:$L$257,3,FALSE)),"",(VLOOKUP($B231,'E-1 Off-Site Hedge Baseline'!$B$1:$L$257,3,FALSE))))</f>
        <v/>
      </c>
      <c r="D231" s="301" t="str">
        <f>IF(B231="","",IF(ISNA(VLOOKUP($B231,'E-1 Off-Site Hedge Baseline'!$B$1:$L$258,4,FALSE)),"",(VLOOKUP($B231,'E-1 Off-Site Hedge Baseline'!$B$1:$L$258,4,FALSE))))</f>
        <v/>
      </c>
      <c r="E231" s="301" t="str">
        <f>IF(B231="","",IF(ISNA(VLOOKUP($B231,'E-1 Off-Site Hedge Baseline'!$B$1:$L$257,5,FALSE)),"",(VLOOKUP($B231,'E-1 Off-Site Hedge Baseline'!$B$1:$L$257,5,FALSE))))</f>
        <v/>
      </c>
      <c r="F231" s="301" t="str">
        <f>IF(B231="","",IF(ISNA(VLOOKUP($B231,'E-1 Off-Site Hedge Baseline'!$B$1:$L$257,6,FALSE)),"",(VLOOKUP($B231,'E-1 Off-Site Hedge Baseline'!$B$1:$L$257,6,FALSE))))</f>
        <v/>
      </c>
      <c r="G231" s="301" t="str">
        <f>IF(B231="","",IF(ISNA(VLOOKUP($B231,'E-1 Off-Site Hedge Baseline'!$B$1:$L$257,7,FALSE)),"",(VLOOKUP($B231,'E-1 Off-Site Hedge Baseline'!$B$1:$L$257,7,FALSE))))</f>
        <v/>
      </c>
      <c r="H231" s="301" t="str">
        <f>IF(B231="","",IF(ISNA(VLOOKUP($B231,'E-1 Off-Site Hedge Baseline'!$B$1:$L$257,8,FALSE)),"",(VLOOKUP($B231,'E-1 Off-Site Hedge Baseline'!$B$1:$L$257,8,FALSE))))</f>
        <v/>
      </c>
      <c r="I231" s="301" t="str">
        <f>IF(B231="","",IF(ISNA(VLOOKUP($B231,'E-1 Off-Site Hedge Baseline'!$B$1:$L$257,10,FALSE)),"",(VLOOKUP($B231,'E-1 Off-Site Hedge Baseline'!$B$1:$L$257,10,FALSE))))</f>
        <v/>
      </c>
      <c r="J231" s="301" t="str">
        <f>IF(B231="","",IF(ISNA(VLOOKUP($B231,'E-1 Off-Site Hedge Baseline'!$B$1:$L$257,11,FALSE)),"",(VLOOKUP($B231,'E-1 Off-Site Hedge Baseline'!$B$1:$L$257,11,FALSE))))</f>
        <v/>
      </c>
      <c r="K231" s="301" t="str">
        <f>IF(B231="","",IF(ISNA(VLOOKUP($B231,'E-1 Off-Site Hedge Baseline'!$B$1:$X$257,16,FALSE)),"",(VLOOKUP($B231,'E-1 Off-Site Hedge Baseline'!$B$1:$X$257,16,FALSE))))</f>
        <v/>
      </c>
      <c r="L231" s="289" t="str">
        <f>IF(B231="","",IF(ISNA(VLOOKUP($B231,'E-1 Off-Site Hedge Baseline'!$B$1:$X$257,12,FALSE)),"",(VLOOKUP($B231,'E-1 Off-Site Hedge Baseline'!$B$1:$X$257,12,FALSE))))</f>
        <v/>
      </c>
      <c r="M231" s="250"/>
      <c r="N231" s="281" t="str">
        <f>IFERROR(IF(B231="","",INDEX('G-6 Hedgerow Data'!$AN$3:$AZ$15,MATCH(C231,'G-6 Hedgerow Data'!$AM$3:$AM$15,0),MATCH(M231,'G-6 Hedgerow Data'!$AN$2:$AZ$2,0))),"")</f>
        <v/>
      </c>
      <c r="O231" s="282" t="str">
        <f t="shared" si="25"/>
        <v/>
      </c>
      <c r="P231" s="287" t="str">
        <f>IF(B231="","",VLOOKUP(B231,'E-1 Off-Site Hedge Baseline'!$B$10:W476,19,FALSE))</f>
        <v/>
      </c>
      <c r="Q231" s="281" t="str">
        <f>IF(M231="","",VLOOKUP(M231,'G-6 Hedgerow Data'!$B$2:$AG$15,2,FALSE))</f>
        <v/>
      </c>
      <c r="R231" s="282" t="str">
        <f>IF(M231="","",VLOOKUP(M231,'G-6 Hedgerow Data'!$B$2:$AG$15,3,FALSE))</f>
        <v/>
      </c>
      <c r="S231" s="105"/>
      <c r="T231" s="282" t="str">
        <f>IFERROR(IF(S231="","",IF(AND(M231="Non-native and ornamental hedgerow", S231&lt;&gt;"Poor"),"Not possible ▲", (IF(AND(Q231="V.Low",OR(S231="Good",S231="Moderate")),"Error ▲",VLOOKUP(S231,'G-1 All Habitats'!$Z$2:$AA$9,2,FALSE))))),"")</f>
        <v/>
      </c>
      <c r="U231" s="105"/>
      <c r="V231" s="289" t="str">
        <f>IF(U231="","",IF(VLOOKUP(U231,'G-3 Multipliers'!$L$3:$N$6,2,FALSE)=0,"Spatial Data Missing ⚠",VLOOKUP(U231,'G-3 Multipliers'!$L$3:$N$6,2,FALSE)))</f>
        <v/>
      </c>
      <c r="W231" s="287" t="str">
        <f>IF(U231="","",IF(VLOOKUP(U231,'G-3 Multipliers'!$L$3:$N$6,3,FALSE)=0,"Spatial Data Missing ⚠",VLOOKUP(U231,'G-3 Multipliers'!$L$3:$N$6,3,FALSE)))</f>
        <v/>
      </c>
      <c r="X231" s="281" t="str">
        <f>IFERROR(IF(OR(LEFT(O231,5)="Error",LEFT(N231,5)="Error",T231="Error"),"Check Data ⚠",IF(F231&lt;R231,INDEX('G-6 Hedgerow Data'!$S$3:$AE$14,MATCH(C231,'G-6 Hedgerow Data'!$B$3:$B$14,0),MATCH(M231,'G-6 Hedgerow Data'!$S$2:$AE$2,0)),INDEX('G-6 Hedgerow Data'!$K$3:$Q$14,MATCH(M231,'G-6 Hedgerow Data'!$B$3:$B$14,0),MATCH(O231,'G-6 Hedgerow Data'!$K$2:$Q$2,0)))),"")</f>
        <v/>
      </c>
      <c r="Y231" s="137"/>
      <c r="Z231" s="137"/>
      <c r="AA231" s="289" t="str">
        <f t="shared" si="26"/>
        <v/>
      </c>
      <c r="AB231" s="302" t="str">
        <f t="shared" si="27"/>
        <v/>
      </c>
      <c r="AC231" s="303" t="str">
        <f t="shared" si="24"/>
        <v/>
      </c>
      <c r="AD231" s="317" t="str">
        <f>IF(M231="","",VLOOKUP(M231,'G-6 Hedgerow Data'!$B$3:$AG$15,31,FALSE))</f>
        <v/>
      </c>
      <c r="AE231" s="301" t="str">
        <f t="shared" si="28"/>
        <v/>
      </c>
      <c r="AF231" s="289" t="str">
        <f t="shared" si="29"/>
        <v/>
      </c>
      <c r="AG231" s="305" t="str">
        <f>IFERROR(IF(O231="","",VLOOKUP(AD231,'G-3 Multipliers'!$P$3:$Q$6,2,FALSE)),"")</f>
        <v/>
      </c>
      <c r="AH231" s="729" t="str">
        <f>IF(B231="","",IF(ISNA(VLOOKUP($B231,'E-1 Off-Site Hedge Baseline'!$B$1:$Z$257,14,FALSE)),"",(VLOOKUP($B231,'E-1 Off-Site Hedge Baseline'!$B$1:$Z$257,14,FALSE))))</f>
        <v/>
      </c>
      <c r="AI231" s="282" t="str">
        <f>IF(AH231="","",IF(VLOOKUP(AH231,'G-3 Multipliers'!$S$3:$T$10,2,FALSE)=0,"Spatial Data Missing ⚠",VLOOKUP(AH231,'G-3 Multipliers'!$S$3:$T$10,2,FALSE)))</f>
        <v/>
      </c>
      <c r="AJ231" s="323" t="str">
        <f t="shared" si="30"/>
        <v/>
      </c>
      <c r="AK231" s="295" t="str">
        <f t="shared" si="31"/>
        <v/>
      </c>
      <c r="AL231" s="105"/>
      <c r="AM231" s="119"/>
      <c r="AN231" s="108"/>
      <c r="AO231" s="108"/>
      <c r="AQ231" s="30" t="str">
        <f>IFERROR(INDEX('G-6 Hedgerow Data'!$BJ$3:$BJ$15,MATCH(M231,'G-6 Hedgerow Data'!$B$3:$B$15,0)),"")</f>
        <v/>
      </c>
    </row>
    <row r="232" spans="2:43" ht="13.8" x14ac:dyDescent="0.25">
      <c r="B232" s="311" t="str">
        <f>'E-1 Off-Site Hedge Baseline'!AN230</f>
        <v/>
      </c>
      <c r="C232" s="301" t="str">
        <f>IF(B232="","",IF(ISNA(VLOOKUP($B232,'E-1 Off-Site Hedge Baseline'!$B$1:$L$257,3,FALSE)),"",(VLOOKUP($B232,'E-1 Off-Site Hedge Baseline'!$B$1:$L$257,3,FALSE))))</f>
        <v/>
      </c>
      <c r="D232" s="301" t="str">
        <f>IF(B232="","",IF(ISNA(VLOOKUP($B232,'E-1 Off-Site Hedge Baseline'!$B$1:$L$258,4,FALSE)),"",(VLOOKUP($B232,'E-1 Off-Site Hedge Baseline'!$B$1:$L$258,4,FALSE))))</f>
        <v/>
      </c>
      <c r="E232" s="301" t="str">
        <f>IF(B232="","",IF(ISNA(VLOOKUP($B232,'E-1 Off-Site Hedge Baseline'!$B$1:$L$257,5,FALSE)),"",(VLOOKUP($B232,'E-1 Off-Site Hedge Baseline'!$B$1:$L$257,5,FALSE))))</f>
        <v/>
      </c>
      <c r="F232" s="301" t="str">
        <f>IF(B232="","",IF(ISNA(VLOOKUP($B232,'E-1 Off-Site Hedge Baseline'!$B$1:$L$257,6,FALSE)),"",(VLOOKUP($B232,'E-1 Off-Site Hedge Baseline'!$B$1:$L$257,6,FALSE))))</f>
        <v/>
      </c>
      <c r="G232" s="301" t="str">
        <f>IF(B232="","",IF(ISNA(VLOOKUP($B232,'E-1 Off-Site Hedge Baseline'!$B$1:$L$257,7,FALSE)),"",(VLOOKUP($B232,'E-1 Off-Site Hedge Baseline'!$B$1:$L$257,7,FALSE))))</f>
        <v/>
      </c>
      <c r="H232" s="301" t="str">
        <f>IF(B232="","",IF(ISNA(VLOOKUP($B232,'E-1 Off-Site Hedge Baseline'!$B$1:$L$257,8,FALSE)),"",(VLOOKUP($B232,'E-1 Off-Site Hedge Baseline'!$B$1:$L$257,8,FALSE))))</f>
        <v/>
      </c>
      <c r="I232" s="301" t="str">
        <f>IF(B232="","",IF(ISNA(VLOOKUP($B232,'E-1 Off-Site Hedge Baseline'!$B$1:$L$257,10,FALSE)),"",(VLOOKUP($B232,'E-1 Off-Site Hedge Baseline'!$B$1:$L$257,10,FALSE))))</f>
        <v/>
      </c>
      <c r="J232" s="301" t="str">
        <f>IF(B232="","",IF(ISNA(VLOOKUP($B232,'E-1 Off-Site Hedge Baseline'!$B$1:$L$257,11,FALSE)),"",(VLOOKUP($B232,'E-1 Off-Site Hedge Baseline'!$B$1:$L$257,11,FALSE))))</f>
        <v/>
      </c>
      <c r="K232" s="301" t="str">
        <f>IF(B232="","",IF(ISNA(VLOOKUP($B232,'E-1 Off-Site Hedge Baseline'!$B$1:$X$257,16,FALSE)),"",(VLOOKUP($B232,'E-1 Off-Site Hedge Baseline'!$B$1:$X$257,16,FALSE))))</f>
        <v/>
      </c>
      <c r="L232" s="289" t="str">
        <f>IF(B232="","",IF(ISNA(VLOOKUP($B232,'E-1 Off-Site Hedge Baseline'!$B$1:$X$257,12,FALSE)),"",(VLOOKUP($B232,'E-1 Off-Site Hedge Baseline'!$B$1:$X$257,12,FALSE))))</f>
        <v/>
      </c>
      <c r="M232" s="250"/>
      <c r="N232" s="281" t="str">
        <f>IFERROR(IF(B232="","",INDEX('G-6 Hedgerow Data'!$AN$3:$AZ$15,MATCH(C232,'G-6 Hedgerow Data'!$AM$3:$AM$15,0),MATCH(M232,'G-6 Hedgerow Data'!$AN$2:$AZ$2,0))),"")</f>
        <v/>
      </c>
      <c r="O232" s="282" t="str">
        <f t="shared" si="25"/>
        <v/>
      </c>
      <c r="P232" s="287" t="str">
        <f>IF(B232="","",VLOOKUP(B232,'E-1 Off-Site Hedge Baseline'!$B$10:W477,19,FALSE))</f>
        <v/>
      </c>
      <c r="Q232" s="281" t="str">
        <f>IF(M232="","",VLOOKUP(M232,'G-6 Hedgerow Data'!$B$2:$AG$15,2,FALSE))</f>
        <v/>
      </c>
      <c r="R232" s="282" t="str">
        <f>IF(M232="","",VLOOKUP(M232,'G-6 Hedgerow Data'!$B$2:$AG$15,3,FALSE))</f>
        <v/>
      </c>
      <c r="S232" s="105"/>
      <c r="T232" s="282" t="str">
        <f>IFERROR(IF(S232="","",IF(AND(M232="Non-native and ornamental hedgerow", S232&lt;&gt;"Poor"),"Not possible ▲", (IF(AND(Q232="V.Low",OR(S232="Good",S232="Moderate")),"Error ▲",VLOOKUP(S232,'G-1 All Habitats'!$Z$2:$AA$9,2,FALSE))))),"")</f>
        <v/>
      </c>
      <c r="U232" s="105"/>
      <c r="V232" s="289" t="str">
        <f>IF(U232="","",IF(VLOOKUP(U232,'G-3 Multipliers'!$L$3:$N$6,2,FALSE)=0,"Spatial Data Missing ⚠",VLOOKUP(U232,'G-3 Multipliers'!$L$3:$N$6,2,FALSE)))</f>
        <v/>
      </c>
      <c r="W232" s="287" t="str">
        <f>IF(U232="","",IF(VLOOKUP(U232,'G-3 Multipliers'!$L$3:$N$6,3,FALSE)=0,"Spatial Data Missing ⚠",VLOOKUP(U232,'G-3 Multipliers'!$L$3:$N$6,3,FALSE)))</f>
        <v/>
      </c>
      <c r="X232" s="281" t="str">
        <f>IFERROR(IF(OR(LEFT(O232,5)="Error",LEFT(N232,5)="Error",T232="Error"),"Check Data ⚠",IF(F232&lt;R232,INDEX('G-6 Hedgerow Data'!$S$3:$AE$14,MATCH(C232,'G-6 Hedgerow Data'!$B$3:$B$14,0),MATCH(M232,'G-6 Hedgerow Data'!$S$2:$AE$2,0)),INDEX('G-6 Hedgerow Data'!$K$3:$Q$14,MATCH(M232,'G-6 Hedgerow Data'!$B$3:$B$14,0),MATCH(O232,'G-6 Hedgerow Data'!$K$2:$Q$2,0)))),"")</f>
        <v/>
      </c>
      <c r="Y232" s="137"/>
      <c r="Z232" s="137"/>
      <c r="AA232" s="289" t="str">
        <f t="shared" si="26"/>
        <v/>
      </c>
      <c r="AB232" s="302" t="str">
        <f t="shared" si="27"/>
        <v/>
      </c>
      <c r="AC232" s="303" t="str">
        <f t="shared" si="24"/>
        <v/>
      </c>
      <c r="AD232" s="317" t="str">
        <f>IF(M232="","",VLOOKUP(M232,'G-6 Hedgerow Data'!$B$3:$AG$15,31,FALSE))</f>
        <v/>
      </c>
      <c r="AE232" s="301" t="str">
        <f t="shared" si="28"/>
        <v/>
      </c>
      <c r="AF232" s="289" t="str">
        <f t="shared" si="29"/>
        <v/>
      </c>
      <c r="AG232" s="305" t="str">
        <f>IFERROR(IF(O232="","",VLOOKUP(AD232,'G-3 Multipliers'!$P$3:$Q$6,2,FALSE)),"")</f>
        <v/>
      </c>
      <c r="AH232" s="729" t="str">
        <f>IF(B232="","",IF(ISNA(VLOOKUP($B232,'E-1 Off-Site Hedge Baseline'!$B$1:$Z$257,14,FALSE)),"",(VLOOKUP($B232,'E-1 Off-Site Hedge Baseline'!$B$1:$Z$257,14,FALSE))))</f>
        <v/>
      </c>
      <c r="AI232" s="282" t="str">
        <f>IF(AH232="","",IF(VLOOKUP(AH232,'G-3 Multipliers'!$S$3:$T$10,2,FALSE)=0,"Spatial Data Missing ⚠",VLOOKUP(AH232,'G-3 Multipliers'!$S$3:$T$10,2,FALSE)))</f>
        <v/>
      </c>
      <c r="AJ232" s="323" t="str">
        <f t="shared" si="30"/>
        <v/>
      </c>
      <c r="AK232" s="295" t="str">
        <f t="shared" si="31"/>
        <v/>
      </c>
      <c r="AL232" s="105"/>
      <c r="AM232" s="119"/>
      <c r="AN232" s="108"/>
      <c r="AO232" s="108"/>
      <c r="AQ232" s="30" t="str">
        <f>IFERROR(INDEX('G-6 Hedgerow Data'!$BJ$3:$BJ$15,MATCH(M232,'G-6 Hedgerow Data'!$B$3:$B$15,0)),"")</f>
        <v/>
      </c>
    </row>
    <row r="233" spans="2:43" ht="13.8" x14ac:dyDescent="0.25">
      <c r="B233" s="311" t="str">
        <f>'E-1 Off-Site Hedge Baseline'!AN231</f>
        <v/>
      </c>
      <c r="C233" s="301" t="str">
        <f>IF(B233="","",IF(ISNA(VLOOKUP($B233,'E-1 Off-Site Hedge Baseline'!$B$1:$L$257,3,FALSE)),"",(VLOOKUP($B233,'E-1 Off-Site Hedge Baseline'!$B$1:$L$257,3,FALSE))))</f>
        <v/>
      </c>
      <c r="D233" s="301" t="str">
        <f>IF(B233="","",IF(ISNA(VLOOKUP($B233,'E-1 Off-Site Hedge Baseline'!$B$1:$L$258,4,FALSE)),"",(VLOOKUP($B233,'E-1 Off-Site Hedge Baseline'!$B$1:$L$258,4,FALSE))))</f>
        <v/>
      </c>
      <c r="E233" s="301" t="str">
        <f>IF(B233="","",IF(ISNA(VLOOKUP($B233,'E-1 Off-Site Hedge Baseline'!$B$1:$L$257,5,FALSE)),"",(VLOOKUP($B233,'E-1 Off-Site Hedge Baseline'!$B$1:$L$257,5,FALSE))))</f>
        <v/>
      </c>
      <c r="F233" s="301" t="str">
        <f>IF(B233="","",IF(ISNA(VLOOKUP($B233,'E-1 Off-Site Hedge Baseline'!$B$1:$L$257,6,FALSE)),"",(VLOOKUP($B233,'E-1 Off-Site Hedge Baseline'!$B$1:$L$257,6,FALSE))))</f>
        <v/>
      </c>
      <c r="G233" s="301" t="str">
        <f>IF(B233="","",IF(ISNA(VLOOKUP($B233,'E-1 Off-Site Hedge Baseline'!$B$1:$L$257,7,FALSE)),"",(VLOOKUP($B233,'E-1 Off-Site Hedge Baseline'!$B$1:$L$257,7,FALSE))))</f>
        <v/>
      </c>
      <c r="H233" s="301" t="str">
        <f>IF(B233="","",IF(ISNA(VLOOKUP($B233,'E-1 Off-Site Hedge Baseline'!$B$1:$L$257,8,FALSE)),"",(VLOOKUP($B233,'E-1 Off-Site Hedge Baseline'!$B$1:$L$257,8,FALSE))))</f>
        <v/>
      </c>
      <c r="I233" s="301" t="str">
        <f>IF(B233="","",IF(ISNA(VLOOKUP($B233,'E-1 Off-Site Hedge Baseline'!$B$1:$L$257,10,FALSE)),"",(VLOOKUP($B233,'E-1 Off-Site Hedge Baseline'!$B$1:$L$257,10,FALSE))))</f>
        <v/>
      </c>
      <c r="J233" s="301" t="str">
        <f>IF(B233="","",IF(ISNA(VLOOKUP($B233,'E-1 Off-Site Hedge Baseline'!$B$1:$L$257,11,FALSE)),"",(VLOOKUP($B233,'E-1 Off-Site Hedge Baseline'!$B$1:$L$257,11,FALSE))))</f>
        <v/>
      </c>
      <c r="K233" s="301" t="str">
        <f>IF(B233="","",IF(ISNA(VLOOKUP($B233,'E-1 Off-Site Hedge Baseline'!$B$1:$X$257,16,FALSE)),"",(VLOOKUP($B233,'E-1 Off-Site Hedge Baseline'!$B$1:$X$257,16,FALSE))))</f>
        <v/>
      </c>
      <c r="L233" s="289" t="str">
        <f>IF(B233="","",IF(ISNA(VLOOKUP($B233,'E-1 Off-Site Hedge Baseline'!$B$1:$X$257,12,FALSE)),"",(VLOOKUP($B233,'E-1 Off-Site Hedge Baseline'!$B$1:$X$257,12,FALSE))))</f>
        <v/>
      </c>
      <c r="M233" s="250"/>
      <c r="N233" s="281" t="str">
        <f>IFERROR(IF(B233="","",INDEX('G-6 Hedgerow Data'!$AN$3:$AZ$15,MATCH(C233,'G-6 Hedgerow Data'!$AM$3:$AM$15,0),MATCH(M233,'G-6 Hedgerow Data'!$AN$2:$AZ$2,0))),"")</f>
        <v/>
      </c>
      <c r="O233" s="282" t="str">
        <f t="shared" si="25"/>
        <v/>
      </c>
      <c r="P233" s="287" t="str">
        <f>IF(B233="","",VLOOKUP(B233,'E-1 Off-Site Hedge Baseline'!$B$10:W478,19,FALSE))</f>
        <v/>
      </c>
      <c r="Q233" s="281" t="str">
        <f>IF(M233="","",VLOOKUP(M233,'G-6 Hedgerow Data'!$B$2:$AG$15,2,FALSE))</f>
        <v/>
      </c>
      <c r="R233" s="282" t="str">
        <f>IF(M233="","",VLOOKUP(M233,'G-6 Hedgerow Data'!$B$2:$AG$15,3,FALSE))</f>
        <v/>
      </c>
      <c r="S233" s="105"/>
      <c r="T233" s="282" t="str">
        <f>IFERROR(IF(S233="","",IF(AND(M233="Non-native and ornamental hedgerow", S233&lt;&gt;"Poor"),"Not possible ▲", (IF(AND(Q233="V.Low",OR(S233="Good",S233="Moderate")),"Error ▲",VLOOKUP(S233,'G-1 All Habitats'!$Z$2:$AA$9,2,FALSE))))),"")</f>
        <v/>
      </c>
      <c r="U233" s="105"/>
      <c r="V233" s="289" t="str">
        <f>IF(U233="","",IF(VLOOKUP(U233,'G-3 Multipliers'!$L$3:$N$6,2,FALSE)=0,"Spatial Data Missing ⚠",VLOOKUP(U233,'G-3 Multipliers'!$L$3:$N$6,2,FALSE)))</f>
        <v/>
      </c>
      <c r="W233" s="287" t="str">
        <f>IF(U233="","",IF(VLOOKUP(U233,'G-3 Multipliers'!$L$3:$N$6,3,FALSE)=0,"Spatial Data Missing ⚠",VLOOKUP(U233,'G-3 Multipliers'!$L$3:$N$6,3,FALSE)))</f>
        <v/>
      </c>
      <c r="X233" s="281" t="str">
        <f>IFERROR(IF(OR(LEFT(O233,5)="Error",LEFT(N233,5)="Error",T233="Error"),"Check Data ⚠",IF(F233&lt;R233,INDEX('G-6 Hedgerow Data'!$S$3:$AE$14,MATCH(C233,'G-6 Hedgerow Data'!$B$3:$B$14,0),MATCH(M233,'G-6 Hedgerow Data'!$S$2:$AE$2,0)),INDEX('G-6 Hedgerow Data'!$K$3:$Q$14,MATCH(M233,'G-6 Hedgerow Data'!$B$3:$B$14,0),MATCH(O233,'G-6 Hedgerow Data'!$K$2:$Q$2,0)))),"")</f>
        <v/>
      </c>
      <c r="Y233" s="137"/>
      <c r="Z233" s="137"/>
      <c r="AA233" s="289" t="str">
        <f t="shared" si="26"/>
        <v/>
      </c>
      <c r="AB233" s="302" t="str">
        <f t="shared" si="27"/>
        <v/>
      </c>
      <c r="AC233" s="303" t="str">
        <f t="shared" si="24"/>
        <v/>
      </c>
      <c r="AD233" s="317" t="str">
        <f>IF(M233="","",VLOOKUP(M233,'G-6 Hedgerow Data'!$B$3:$AG$15,31,FALSE))</f>
        <v/>
      </c>
      <c r="AE233" s="301" t="str">
        <f t="shared" si="28"/>
        <v/>
      </c>
      <c r="AF233" s="289" t="str">
        <f t="shared" si="29"/>
        <v/>
      </c>
      <c r="AG233" s="305" t="str">
        <f>IFERROR(IF(O233="","",VLOOKUP(AD233,'G-3 Multipliers'!$P$3:$Q$6,2,FALSE)),"")</f>
        <v/>
      </c>
      <c r="AH233" s="729" t="str">
        <f>IF(B233="","",IF(ISNA(VLOOKUP($B233,'E-1 Off-Site Hedge Baseline'!$B$1:$Z$257,14,FALSE)),"",(VLOOKUP($B233,'E-1 Off-Site Hedge Baseline'!$B$1:$Z$257,14,FALSE))))</f>
        <v/>
      </c>
      <c r="AI233" s="282" t="str">
        <f>IF(AH233="","",IF(VLOOKUP(AH233,'G-3 Multipliers'!$S$3:$T$10,2,FALSE)=0,"Spatial Data Missing ⚠",VLOOKUP(AH233,'G-3 Multipliers'!$S$3:$T$10,2,FALSE)))</f>
        <v/>
      </c>
      <c r="AJ233" s="323" t="str">
        <f t="shared" si="30"/>
        <v/>
      </c>
      <c r="AK233" s="295" t="str">
        <f t="shared" si="31"/>
        <v/>
      </c>
      <c r="AL233" s="105"/>
      <c r="AM233" s="119"/>
      <c r="AN233" s="108"/>
      <c r="AO233" s="108"/>
      <c r="AQ233" s="30" t="str">
        <f>IFERROR(INDEX('G-6 Hedgerow Data'!$BJ$3:$BJ$15,MATCH(M233,'G-6 Hedgerow Data'!$B$3:$B$15,0)),"")</f>
        <v/>
      </c>
    </row>
    <row r="234" spans="2:43" ht="13.8" x14ac:dyDescent="0.25">
      <c r="B234" s="311" t="str">
        <f>'E-1 Off-Site Hedge Baseline'!AN232</f>
        <v/>
      </c>
      <c r="C234" s="301" t="str">
        <f>IF(B234="","",IF(ISNA(VLOOKUP($B234,'E-1 Off-Site Hedge Baseline'!$B$1:$L$257,3,FALSE)),"",(VLOOKUP($B234,'E-1 Off-Site Hedge Baseline'!$B$1:$L$257,3,FALSE))))</f>
        <v/>
      </c>
      <c r="D234" s="301" t="str">
        <f>IF(B234="","",IF(ISNA(VLOOKUP($B234,'E-1 Off-Site Hedge Baseline'!$B$1:$L$258,4,FALSE)),"",(VLOOKUP($B234,'E-1 Off-Site Hedge Baseline'!$B$1:$L$258,4,FALSE))))</f>
        <v/>
      </c>
      <c r="E234" s="301" t="str">
        <f>IF(B234="","",IF(ISNA(VLOOKUP($B234,'E-1 Off-Site Hedge Baseline'!$B$1:$L$257,5,FALSE)),"",(VLOOKUP($B234,'E-1 Off-Site Hedge Baseline'!$B$1:$L$257,5,FALSE))))</f>
        <v/>
      </c>
      <c r="F234" s="301" t="str">
        <f>IF(B234="","",IF(ISNA(VLOOKUP($B234,'E-1 Off-Site Hedge Baseline'!$B$1:$L$257,6,FALSE)),"",(VLOOKUP($B234,'E-1 Off-Site Hedge Baseline'!$B$1:$L$257,6,FALSE))))</f>
        <v/>
      </c>
      <c r="G234" s="301" t="str">
        <f>IF(B234="","",IF(ISNA(VLOOKUP($B234,'E-1 Off-Site Hedge Baseline'!$B$1:$L$257,7,FALSE)),"",(VLOOKUP($B234,'E-1 Off-Site Hedge Baseline'!$B$1:$L$257,7,FALSE))))</f>
        <v/>
      </c>
      <c r="H234" s="301" t="str">
        <f>IF(B234="","",IF(ISNA(VLOOKUP($B234,'E-1 Off-Site Hedge Baseline'!$B$1:$L$257,8,FALSE)),"",(VLOOKUP($B234,'E-1 Off-Site Hedge Baseline'!$B$1:$L$257,8,FALSE))))</f>
        <v/>
      </c>
      <c r="I234" s="301" t="str">
        <f>IF(B234="","",IF(ISNA(VLOOKUP($B234,'E-1 Off-Site Hedge Baseline'!$B$1:$L$257,10,FALSE)),"",(VLOOKUP($B234,'E-1 Off-Site Hedge Baseline'!$B$1:$L$257,10,FALSE))))</f>
        <v/>
      </c>
      <c r="J234" s="301" t="str">
        <f>IF(B234="","",IF(ISNA(VLOOKUP($B234,'E-1 Off-Site Hedge Baseline'!$B$1:$L$257,11,FALSE)),"",(VLOOKUP($B234,'E-1 Off-Site Hedge Baseline'!$B$1:$L$257,11,FALSE))))</f>
        <v/>
      </c>
      <c r="K234" s="301" t="str">
        <f>IF(B234="","",IF(ISNA(VLOOKUP($B234,'E-1 Off-Site Hedge Baseline'!$B$1:$X$257,16,FALSE)),"",(VLOOKUP($B234,'E-1 Off-Site Hedge Baseline'!$B$1:$X$257,16,FALSE))))</f>
        <v/>
      </c>
      <c r="L234" s="289" t="str">
        <f>IF(B234="","",IF(ISNA(VLOOKUP($B234,'E-1 Off-Site Hedge Baseline'!$B$1:$X$257,12,FALSE)),"",(VLOOKUP($B234,'E-1 Off-Site Hedge Baseline'!$B$1:$X$257,12,FALSE))))</f>
        <v/>
      </c>
      <c r="M234" s="250"/>
      <c r="N234" s="281" t="str">
        <f>IFERROR(IF(B234="","",INDEX('G-6 Hedgerow Data'!$AN$3:$AZ$15,MATCH(C234,'G-6 Hedgerow Data'!$AM$3:$AM$15,0),MATCH(M234,'G-6 Hedgerow Data'!$AN$2:$AZ$2,0))),"")</f>
        <v/>
      </c>
      <c r="O234" s="282" t="str">
        <f t="shared" si="25"/>
        <v/>
      </c>
      <c r="P234" s="287" t="str">
        <f>IF(B234="","",VLOOKUP(B234,'E-1 Off-Site Hedge Baseline'!$B$10:W479,19,FALSE))</f>
        <v/>
      </c>
      <c r="Q234" s="281" t="str">
        <f>IF(M234="","",VLOOKUP(M234,'G-6 Hedgerow Data'!$B$2:$AG$15,2,FALSE))</f>
        <v/>
      </c>
      <c r="R234" s="282" t="str">
        <f>IF(M234="","",VLOOKUP(M234,'G-6 Hedgerow Data'!$B$2:$AG$15,3,FALSE))</f>
        <v/>
      </c>
      <c r="S234" s="105"/>
      <c r="T234" s="282" t="str">
        <f>IFERROR(IF(S234="","",IF(AND(M234="Non-native and ornamental hedgerow", S234&lt;&gt;"Poor"),"Not possible ▲", (IF(AND(Q234="V.Low",OR(S234="Good",S234="Moderate")),"Error ▲",VLOOKUP(S234,'G-1 All Habitats'!$Z$2:$AA$9,2,FALSE))))),"")</f>
        <v/>
      </c>
      <c r="U234" s="105"/>
      <c r="V234" s="289" t="str">
        <f>IF(U234="","",IF(VLOOKUP(U234,'G-3 Multipliers'!$L$3:$N$6,2,FALSE)=0,"Spatial Data Missing ⚠",VLOOKUP(U234,'G-3 Multipliers'!$L$3:$N$6,2,FALSE)))</f>
        <v/>
      </c>
      <c r="W234" s="287" t="str">
        <f>IF(U234="","",IF(VLOOKUP(U234,'G-3 Multipliers'!$L$3:$N$6,3,FALSE)=0,"Spatial Data Missing ⚠",VLOOKUP(U234,'G-3 Multipliers'!$L$3:$N$6,3,FALSE)))</f>
        <v/>
      </c>
      <c r="X234" s="281" t="str">
        <f>IFERROR(IF(OR(LEFT(O234,5)="Error",LEFT(N234,5)="Error",T234="Error"),"Check Data ⚠",IF(F234&lt;R234,INDEX('G-6 Hedgerow Data'!$S$3:$AE$14,MATCH(C234,'G-6 Hedgerow Data'!$B$3:$B$14,0),MATCH(M234,'G-6 Hedgerow Data'!$S$2:$AE$2,0)),INDEX('G-6 Hedgerow Data'!$K$3:$Q$14,MATCH(M234,'G-6 Hedgerow Data'!$B$3:$B$14,0),MATCH(O234,'G-6 Hedgerow Data'!$K$2:$Q$2,0)))),"")</f>
        <v/>
      </c>
      <c r="Y234" s="137"/>
      <c r="Z234" s="137"/>
      <c r="AA234" s="289" t="str">
        <f t="shared" si="26"/>
        <v/>
      </c>
      <c r="AB234" s="302" t="str">
        <f t="shared" si="27"/>
        <v/>
      </c>
      <c r="AC234" s="303" t="str">
        <f t="shared" si="24"/>
        <v/>
      </c>
      <c r="AD234" s="317" t="str">
        <f>IF(M234="","",VLOOKUP(M234,'G-6 Hedgerow Data'!$B$3:$AG$15,31,FALSE))</f>
        <v/>
      </c>
      <c r="AE234" s="301" t="str">
        <f t="shared" si="28"/>
        <v/>
      </c>
      <c r="AF234" s="289" t="str">
        <f t="shared" si="29"/>
        <v/>
      </c>
      <c r="AG234" s="305" t="str">
        <f>IFERROR(IF(O234="","",VLOOKUP(AD234,'G-3 Multipliers'!$P$3:$Q$6,2,FALSE)),"")</f>
        <v/>
      </c>
      <c r="AH234" s="729" t="str">
        <f>IF(B234="","",IF(ISNA(VLOOKUP($B234,'E-1 Off-Site Hedge Baseline'!$B$1:$Z$257,14,FALSE)),"",(VLOOKUP($B234,'E-1 Off-Site Hedge Baseline'!$B$1:$Z$257,14,FALSE))))</f>
        <v/>
      </c>
      <c r="AI234" s="282" t="str">
        <f>IF(AH234="","",IF(VLOOKUP(AH234,'G-3 Multipliers'!$S$3:$T$10,2,FALSE)=0,"Spatial Data Missing ⚠",VLOOKUP(AH234,'G-3 Multipliers'!$S$3:$T$10,2,FALSE)))</f>
        <v/>
      </c>
      <c r="AJ234" s="323" t="str">
        <f t="shared" si="30"/>
        <v/>
      </c>
      <c r="AK234" s="295" t="str">
        <f t="shared" si="31"/>
        <v/>
      </c>
      <c r="AL234" s="105"/>
      <c r="AM234" s="119"/>
      <c r="AN234" s="108"/>
      <c r="AO234" s="108"/>
      <c r="AQ234" s="30" t="str">
        <f>IFERROR(INDEX('G-6 Hedgerow Data'!$BJ$3:$BJ$15,MATCH(M234,'G-6 Hedgerow Data'!$B$3:$B$15,0)),"")</f>
        <v/>
      </c>
    </row>
    <row r="235" spans="2:43" ht="13.8" x14ac:dyDescent="0.25">
      <c r="B235" s="311" t="str">
        <f>'E-1 Off-Site Hedge Baseline'!AN233</f>
        <v/>
      </c>
      <c r="C235" s="301" t="str">
        <f>IF(B235="","",IF(ISNA(VLOOKUP($B235,'E-1 Off-Site Hedge Baseline'!$B$1:$L$257,3,FALSE)),"",(VLOOKUP($B235,'E-1 Off-Site Hedge Baseline'!$B$1:$L$257,3,FALSE))))</f>
        <v/>
      </c>
      <c r="D235" s="301" t="str">
        <f>IF(B235="","",IF(ISNA(VLOOKUP($B235,'E-1 Off-Site Hedge Baseline'!$B$1:$L$258,4,FALSE)),"",(VLOOKUP($B235,'E-1 Off-Site Hedge Baseline'!$B$1:$L$258,4,FALSE))))</f>
        <v/>
      </c>
      <c r="E235" s="301" t="str">
        <f>IF(B235="","",IF(ISNA(VLOOKUP($B235,'E-1 Off-Site Hedge Baseline'!$B$1:$L$257,5,FALSE)),"",(VLOOKUP($B235,'E-1 Off-Site Hedge Baseline'!$B$1:$L$257,5,FALSE))))</f>
        <v/>
      </c>
      <c r="F235" s="301" t="str">
        <f>IF(B235="","",IF(ISNA(VLOOKUP($B235,'E-1 Off-Site Hedge Baseline'!$B$1:$L$257,6,FALSE)),"",(VLOOKUP($B235,'E-1 Off-Site Hedge Baseline'!$B$1:$L$257,6,FALSE))))</f>
        <v/>
      </c>
      <c r="G235" s="301" t="str">
        <f>IF(B235="","",IF(ISNA(VLOOKUP($B235,'E-1 Off-Site Hedge Baseline'!$B$1:$L$257,7,FALSE)),"",(VLOOKUP($B235,'E-1 Off-Site Hedge Baseline'!$B$1:$L$257,7,FALSE))))</f>
        <v/>
      </c>
      <c r="H235" s="301" t="str">
        <f>IF(B235="","",IF(ISNA(VLOOKUP($B235,'E-1 Off-Site Hedge Baseline'!$B$1:$L$257,8,FALSE)),"",(VLOOKUP($B235,'E-1 Off-Site Hedge Baseline'!$B$1:$L$257,8,FALSE))))</f>
        <v/>
      </c>
      <c r="I235" s="301" t="str">
        <f>IF(B235="","",IF(ISNA(VLOOKUP($B235,'E-1 Off-Site Hedge Baseline'!$B$1:$L$257,10,FALSE)),"",(VLOOKUP($B235,'E-1 Off-Site Hedge Baseline'!$B$1:$L$257,10,FALSE))))</f>
        <v/>
      </c>
      <c r="J235" s="301" t="str">
        <f>IF(B235="","",IF(ISNA(VLOOKUP($B235,'E-1 Off-Site Hedge Baseline'!$B$1:$L$257,11,FALSE)),"",(VLOOKUP($B235,'E-1 Off-Site Hedge Baseline'!$B$1:$L$257,11,FALSE))))</f>
        <v/>
      </c>
      <c r="K235" s="301" t="str">
        <f>IF(B235="","",IF(ISNA(VLOOKUP($B235,'E-1 Off-Site Hedge Baseline'!$B$1:$X$257,16,FALSE)),"",(VLOOKUP($B235,'E-1 Off-Site Hedge Baseline'!$B$1:$X$257,16,FALSE))))</f>
        <v/>
      </c>
      <c r="L235" s="289" t="str">
        <f>IF(B235="","",IF(ISNA(VLOOKUP($B235,'E-1 Off-Site Hedge Baseline'!$B$1:$X$257,12,FALSE)),"",(VLOOKUP($B235,'E-1 Off-Site Hedge Baseline'!$B$1:$X$257,12,FALSE))))</f>
        <v/>
      </c>
      <c r="M235" s="250"/>
      <c r="N235" s="281" t="str">
        <f>IFERROR(IF(B235="","",INDEX('G-6 Hedgerow Data'!$AN$3:$AZ$15,MATCH(C235,'G-6 Hedgerow Data'!$AM$3:$AM$15,0),MATCH(M235,'G-6 Hedgerow Data'!$AN$2:$AZ$2,0))),"")</f>
        <v/>
      </c>
      <c r="O235" s="282" t="str">
        <f t="shared" si="25"/>
        <v/>
      </c>
      <c r="P235" s="287" t="str">
        <f>IF(B235="","",VLOOKUP(B235,'E-1 Off-Site Hedge Baseline'!$B$10:W480,19,FALSE))</f>
        <v/>
      </c>
      <c r="Q235" s="281" t="str">
        <f>IF(M235="","",VLOOKUP(M235,'G-6 Hedgerow Data'!$B$2:$AG$15,2,FALSE))</f>
        <v/>
      </c>
      <c r="R235" s="282" t="str">
        <f>IF(M235="","",VLOOKUP(M235,'G-6 Hedgerow Data'!$B$2:$AG$15,3,FALSE))</f>
        <v/>
      </c>
      <c r="S235" s="105"/>
      <c r="T235" s="282" t="str">
        <f>IFERROR(IF(S235="","",IF(AND(M235="Non-native and ornamental hedgerow", S235&lt;&gt;"Poor"),"Not possible ▲", (IF(AND(Q235="V.Low",OR(S235="Good",S235="Moderate")),"Error ▲",VLOOKUP(S235,'G-1 All Habitats'!$Z$2:$AA$9,2,FALSE))))),"")</f>
        <v/>
      </c>
      <c r="U235" s="105"/>
      <c r="V235" s="289" t="str">
        <f>IF(U235="","",IF(VLOOKUP(U235,'G-3 Multipliers'!$L$3:$N$6,2,FALSE)=0,"Spatial Data Missing ⚠",VLOOKUP(U235,'G-3 Multipliers'!$L$3:$N$6,2,FALSE)))</f>
        <v/>
      </c>
      <c r="W235" s="287" t="str">
        <f>IF(U235="","",IF(VLOOKUP(U235,'G-3 Multipliers'!$L$3:$N$6,3,FALSE)=0,"Spatial Data Missing ⚠",VLOOKUP(U235,'G-3 Multipliers'!$L$3:$N$6,3,FALSE)))</f>
        <v/>
      </c>
      <c r="X235" s="281" t="str">
        <f>IFERROR(IF(OR(LEFT(O235,5)="Error",LEFT(N235,5)="Error",T235="Error"),"Check Data ⚠",IF(F235&lt;R235,INDEX('G-6 Hedgerow Data'!$S$3:$AE$14,MATCH(C235,'G-6 Hedgerow Data'!$B$3:$B$14,0),MATCH(M235,'G-6 Hedgerow Data'!$S$2:$AE$2,0)),INDEX('G-6 Hedgerow Data'!$K$3:$Q$14,MATCH(M235,'G-6 Hedgerow Data'!$B$3:$B$14,0),MATCH(O235,'G-6 Hedgerow Data'!$K$2:$Q$2,0)))),"")</f>
        <v/>
      </c>
      <c r="Y235" s="137"/>
      <c r="Z235" s="137"/>
      <c r="AA235" s="289" t="str">
        <f t="shared" si="26"/>
        <v/>
      </c>
      <c r="AB235" s="302" t="str">
        <f t="shared" si="27"/>
        <v/>
      </c>
      <c r="AC235" s="303" t="str">
        <f t="shared" si="24"/>
        <v/>
      </c>
      <c r="AD235" s="317" t="str">
        <f>IF(M235="","",VLOOKUP(M235,'G-6 Hedgerow Data'!$B$3:$AG$15,31,FALSE))</f>
        <v/>
      </c>
      <c r="AE235" s="301" t="str">
        <f t="shared" si="28"/>
        <v/>
      </c>
      <c r="AF235" s="289" t="str">
        <f t="shared" si="29"/>
        <v/>
      </c>
      <c r="AG235" s="305" t="str">
        <f>IFERROR(IF(O235="","",VLOOKUP(AD235,'G-3 Multipliers'!$P$3:$Q$6,2,FALSE)),"")</f>
        <v/>
      </c>
      <c r="AH235" s="729" t="str">
        <f>IF(B235="","",IF(ISNA(VLOOKUP($B235,'E-1 Off-Site Hedge Baseline'!$B$1:$Z$257,14,FALSE)),"",(VLOOKUP($B235,'E-1 Off-Site Hedge Baseline'!$B$1:$Z$257,14,FALSE))))</f>
        <v/>
      </c>
      <c r="AI235" s="282" t="str">
        <f>IF(AH235="","",IF(VLOOKUP(AH235,'G-3 Multipliers'!$S$3:$T$10,2,FALSE)=0,"Spatial Data Missing ⚠",VLOOKUP(AH235,'G-3 Multipliers'!$S$3:$T$10,2,FALSE)))</f>
        <v/>
      </c>
      <c r="AJ235" s="323" t="str">
        <f t="shared" si="30"/>
        <v/>
      </c>
      <c r="AK235" s="295" t="str">
        <f t="shared" si="31"/>
        <v/>
      </c>
      <c r="AL235" s="105"/>
      <c r="AM235" s="119"/>
      <c r="AN235" s="108"/>
      <c r="AO235" s="108"/>
      <c r="AQ235" s="30" t="str">
        <f>IFERROR(INDEX('G-6 Hedgerow Data'!$BJ$3:$BJ$15,MATCH(M235,'G-6 Hedgerow Data'!$B$3:$B$15,0)),"")</f>
        <v/>
      </c>
    </row>
    <row r="236" spans="2:43" ht="13.8" x14ac:dyDescent="0.25">
      <c r="B236" s="311" t="str">
        <f>'E-1 Off-Site Hedge Baseline'!AN234</f>
        <v/>
      </c>
      <c r="C236" s="301" t="str">
        <f>IF(B236="","",IF(ISNA(VLOOKUP($B236,'E-1 Off-Site Hedge Baseline'!$B$1:$L$257,3,FALSE)),"",(VLOOKUP($B236,'E-1 Off-Site Hedge Baseline'!$B$1:$L$257,3,FALSE))))</f>
        <v/>
      </c>
      <c r="D236" s="301" t="str">
        <f>IF(B236="","",IF(ISNA(VLOOKUP($B236,'E-1 Off-Site Hedge Baseline'!$B$1:$L$258,4,FALSE)),"",(VLOOKUP($B236,'E-1 Off-Site Hedge Baseline'!$B$1:$L$258,4,FALSE))))</f>
        <v/>
      </c>
      <c r="E236" s="301" t="str">
        <f>IF(B236="","",IF(ISNA(VLOOKUP($B236,'E-1 Off-Site Hedge Baseline'!$B$1:$L$257,5,FALSE)),"",(VLOOKUP($B236,'E-1 Off-Site Hedge Baseline'!$B$1:$L$257,5,FALSE))))</f>
        <v/>
      </c>
      <c r="F236" s="301" t="str">
        <f>IF(B236="","",IF(ISNA(VLOOKUP($B236,'E-1 Off-Site Hedge Baseline'!$B$1:$L$257,6,FALSE)),"",(VLOOKUP($B236,'E-1 Off-Site Hedge Baseline'!$B$1:$L$257,6,FALSE))))</f>
        <v/>
      </c>
      <c r="G236" s="301" t="str">
        <f>IF(B236="","",IF(ISNA(VLOOKUP($B236,'E-1 Off-Site Hedge Baseline'!$B$1:$L$257,7,FALSE)),"",(VLOOKUP($B236,'E-1 Off-Site Hedge Baseline'!$B$1:$L$257,7,FALSE))))</f>
        <v/>
      </c>
      <c r="H236" s="301" t="str">
        <f>IF(B236="","",IF(ISNA(VLOOKUP($B236,'E-1 Off-Site Hedge Baseline'!$B$1:$L$257,8,FALSE)),"",(VLOOKUP($B236,'E-1 Off-Site Hedge Baseline'!$B$1:$L$257,8,FALSE))))</f>
        <v/>
      </c>
      <c r="I236" s="301" t="str">
        <f>IF(B236="","",IF(ISNA(VLOOKUP($B236,'E-1 Off-Site Hedge Baseline'!$B$1:$L$257,10,FALSE)),"",(VLOOKUP($B236,'E-1 Off-Site Hedge Baseline'!$B$1:$L$257,10,FALSE))))</f>
        <v/>
      </c>
      <c r="J236" s="301" t="str">
        <f>IF(B236="","",IF(ISNA(VLOOKUP($B236,'E-1 Off-Site Hedge Baseline'!$B$1:$L$257,11,FALSE)),"",(VLOOKUP($B236,'E-1 Off-Site Hedge Baseline'!$B$1:$L$257,11,FALSE))))</f>
        <v/>
      </c>
      <c r="K236" s="301" t="str">
        <f>IF(B236="","",IF(ISNA(VLOOKUP($B236,'E-1 Off-Site Hedge Baseline'!$B$1:$X$257,16,FALSE)),"",(VLOOKUP($B236,'E-1 Off-Site Hedge Baseline'!$B$1:$X$257,16,FALSE))))</f>
        <v/>
      </c>
      <c r="L236" s="289" t="str">
        <f>IF(B236="","",IF(ISNA(VLOOKUP($B236,'E-1 Off-Site Hedge Baseline'!$B$1:$X$257,12,FALSE)),"",(VLOOKUP($B236,'E-1 Off-Site Hedge Baseline'!$B$1:$X$257,12,FALSE))))</f>
        <v/>
      </c>
      <c r="M236" s="250"/>
      <c r="N236" s="281" t="str">
        <f>IFERROR(IF(B236="","",INDEX('G-6 Hedgerow Data'!$AN$3:$AZ$15,MATCH(C236,'G-6 Hedgerow Data'!$AM$3:$AM$15,0),MATCH(M236,'G-6 Hedgerow Data'!$AN$2:$AZ$2,0))),"")</f>
        <v/>
      </c>
      <c r="O236" s="282" t="str">
        <f t="shared" si="25"/>
        <v/>
      </c>
      <c r="P236" s="287" t="str">
        <f>IF(B236="","",VLOOKUP(B236,'E-1 Off-Site Hedge Baseline'!$B$10:W481,19,FALSE))</f>
        <v/>
      </c>
      <c r="Q236" s="281" t="str">
        <f>IF(M236="","",VLOOKUP(M236,'G-6 Hedgerow Data'!$B$2:$AG$15,2,FALSE))</f>
        <v/>
      </c>
      <c r="R236" s="282" t="str">
        <f>IF(M236="","",VLOOKUP(M236,'G-6 Hedgerow Data'!$B$2:$AG$15,3,FALSE))</f>
        <v/>
      </c>
      <c r="S236" s="105"/>
      <c r="T236" s="282" t="str">
        <f>IFERROR(IF(S236="","",IF(AND(M236="Non-native and ornamental hedgerow", S236&lt;&gt;"Poor"),"Not possible ▲", (IF(AND(Q236="V.Low",OR(S236="Good",S236="Moderate")),"Error ▲",VLOOKUP(S236,'G-1 All Habitats'!$Z$2:$AA$9,2,FALSE))))),"")</f>
        <v/>
      </c>
      <c r="U236" s="105"/>
      <c r="V236" s="289" t="str">
        <f>IF(U236="","",IF(VLOOKUP(U236,'G-3 Multipliers'!$L$3:$N$6,2,FALSE)=0,"Spatial Data Missing ⚠",VLOOKUP(U236,'G-3 Multipliers'!$L$3:$N$6,2,FALSE)))</f>
        <v/>
      </c>
      <c r="W236" s="287" t="str">
        <f>IF(U236="","",IF(VLOOKUP(U236,'G-3 Multipliers'!$L$3:$N$6,3,FALSE)=0,"Spatial Data Missing ⚠",VLOOKUP(U236,'G-3 Multipliers'!$L$3:$N$6,3,FALSE)))</f>
        <v/>
      </c>
      <c r="X236" s="281" t="str">
        <f>IFERROR(IF(OR(LEFT(O236,5)="Error",LEFT(N236,5)="Error",T236="Error"),"Check Data ⚠",IF(F236&lt;R236,INDEX('G-6 Hedgerow Data'!$S$3:$AE$14,MATCH(C236,'G-6 Hedgerow Data'!$B$3:$B$14,0),MATCH(M236,'G-6 Hedgerow Data'!$S$2:$AE$2,0)),INDEX('G-6 Hedgerow Data'!$K$3:$Q$14,MATCH(M236,'G-6 Hedgerow Data'!$B$3:$B$14,0),MATCH(O236,'G-6 Hedgerow Data'!$K$2:$Q$2,0)))),"")</f>
        <v/>
      </c>
      <c r="Y236" s="137"/>
      <c r="Z236" s="137"/>
      <c r="AA236" s="289" t="str">
        <f t="shared" si="26"/>
        <v/>
      </c>
      <c r="AB236" s="302" t="str">
        <f t="shared" si="27"/>
        <v/>
      </c>
      <c r="AC236" s="303" t="str">
        <f t="shared" si="24"/>
        <v/>
      </c>
      <c r="AD236" s="317" t="str">
        <f>IF(M236="","",VLOOKUP(M236,'G-6 Hedgerow Data'!$B$3:$AG$15,31,FALSE))</f>
        <v/>
      </c>
      <c r="AE236" s="301" t="str">
        <f t="shared" si="28"/>
        <v/>
      </c>
      <c r="AF236" s="289" t="str">
        <f t="shared" si="29"/>
        <v/>
      </c>
      <c r="AG236" s="305" t="str">
        <f>IFERROR(IF(O236="","",VLOOKUP(AD236,'G-3 Multipliers'!$P$3:$Q$6,2,FALSE)),"")</f>
        <v/>
      </c>
      <c r="AH236" s="729" t="str">
        <f>IF(B236="","",IF(ISNA(VLOOKUP($B236,'E-1 Off-Site Hedge Baseline'!$B$1:$Z$257,14,FALSE)),"",(VLOOKUP($B236,'E-1 Off-Site Hedge Baseline'!$B$1:$Z$257,14,FALSE))))</f>
        <v/>
      </c>
      <c r="AI236" s="282" t="str">
        <f>IF(AH236="","",IF(VLOOKUP(AH236,'G-3 Multipliers'!$S$3:$T$10,2,FALSE)=0,"Spatial Data Missing ⚠",VLOOKUP(AH236,'G-3 Multipliers'!$S$3:$T$10,2,FALSE)))</f>
        <v/>
      </c>
      <c r="AJ236" s="323" t="str">
        <f t="shared" si="30"/>
        <v/>
      </c>
      <c r="AK236" s="295" t="str">
        <f t="shared" si="31"/>
        <v/>
      </c>
      <c r="AL236" s="105"/>
      <c r="AM236" s="119"/>
      <c r="AN236" s="108"/>
      <c r="AO236" s="108"/>
      <c r="AQ236" s="30" t="str">
        <f>IFERROR(INDEX('G-6 Hedgerow Data'!$BJ$3:$BJ$15,MATCH(M236,'G-6 Hedgerow Data'!$B$3:$B$15,0)),"")</f>
        <v/>
      </c>
    </row>
    <row r="237" spans="2:43" ht="13.8" x14ac:dyDescent="0.25">
      <c r="B237" s="311" t="str">
        <f>'E-1 Off-Site Hedge Baseline'!AN235</f>
        <v/>
      </c>
      <c r="C237" s="301" t="str">
        <f>IF(B237="","",IF(ISNA(VLOOKUP($B237,'E-1 Off-Site Hedge Baseline'!$B$1:$L$257,3,FALSE)),"",(VLOOKUP($B237,'E-1 Off-Site Hedge Baseline'!$B$1:$L$257,3,FALSE))))</f>
        <v/>
      </c>
      <c r="D237" s="301" t="str">
        <f>IF(B237="","",IF(ISNA(VLOOKUP($B237,'E-1 Off-Site Hedge Baseline'!$B$1:$L$258,4,FALSE)),"",(VLOOKUP($B237,'E-1 Off-Site Hedge Baseline'!$B$1:$L$258,4,FALSE))))</f>
        <v/>
      </c>
      <c r="E237" s="301" t="str">
        <f>IF(B237="","",IF(ISNA(VLOOKUP($B237,'E-1 Off-Site Hedge Baseline'!$B$1:$L$257,5,FALSE)),"",(VLOOKUP($B237,'E-1 Off-Site Hedge Baseline'!$B$1:$L$257,5,FALSE))))</f>
        <v/>
      </c>
      <c r="F237" s="301" t="str">
        <f>IF(B237="","",IF(ISNA(VLOOKUP($B237,'E-1 Off-Site Hedge Baseline'!$B$1:$L$257,6,FALSE)),"",(VLOOKUP($B237,'E-1 Off-Site Hedge Baseline'!$B$1:$L$257,6,FALSE))))</f>
        <v/>
      </c>
      <c r="G237" s="301" t="str">
        <f>IF(B237="","",IF(ISNA(VLOOKUP($B237,'E-1 Off-Site Hedge Baseline'!$B$1:$L$257,7,FALSE)),"",(VLOOKUP($B237,'E-1 Off-Site Hedge Baseline'!$B$1:$L$257,7,FALSE))))</f>
        <v/>
      </c>
      <c r="H237" s="301" t="str">
        <f>IF(B237="","",IF(ISNA(VLOOKUP($B237,'E-1 Off-Site Hedge Baseline'!$B$1:$L$257,8,FALSE)),"",(VLOOKUP($B237,'E-1 Off-Site Hedge Baseline'!$B$1:$L$257,8,FALSE))))</f>
        <v/>
      </c>
      <c r="I237" s="301" t="str">
        <f>IF(B237="","",IF(ISNA(VLOOKUP($B237,'E-1 Off-Site Hedge Baseline'!$B$1:$L$257,10,FALSE)),"",(VLOOKUP($B237,'E-1 Off-Site Hedge Baseline'!$B$1:$L$257,10,FALSE))))</f>
        <v/>
      </c>
      <c r="J237" s="301" t="str">
        <f>IF(B237="","",IF(ISNA(VLOOKUP($B237,'E-1 Off-Site Hedge Baseline'!$B$1:$L$257,11,FALSE)),"",(VLOOKUP($B237,'E-1 Off-Site Hedge Baseline'!$B$1:$L$257,11,FALSE))))</f>
        <v/>
      </c>
      <c r="K237" s="301" t="str">
        <f>IF(B237="","",IF(ISNA(VLOOKUP($B237,'E-1 Off-Site Hedge Baseline'!$B$1:$X$257,16,FALSE)),"",(VLOOKUP($B237,'E-1 Off-Site Hedge Baseline'!$B$1:$X$257,16,FALSE))))</f>
        <v/>
      </c>
      <c r="L237" s="289" t="str">
        <f>IF(B237="","",IF(ISNA(VLOOKUP($B237,'E-1 Off-Site Hedge Baseline'!$B$1:$X$257,12,FALSE)),"",(VLOOKUP($B237,'E-1 Off-Site Hedge Baseline'!$B$1:$X$257,12,FALSE))))</f>
        <v/>
      </c>
      <c r="M237" s="250"/>
      <c r="N237" s="281" t="str">
        <f>IFERROR(IF(B237="","",INDEX('G-6 Hedgerow Data'!$AN$3:$AZ$15,MATCH(C237,'G-6 Hedgerow Data'!$AM$3:$AM$15,0),MATCH(M237,'G-6 Hedgerow Data'!$AN$2:$AZ$2,0))),"")</f>
        <v/>
      </c>
      <c r="O237" s="282" t="str">
        <f t="shared" si="25"/>
        <v/>
      </c>
      <c r="P237" s="287" t="str">
        <f>IF(B237="","",VLOOKUP(B237,'E-1 Off-Site Hedge Baseline'!$B$10:W482,19,FALSE))</f>
        <v/>
      </c>
      <c r="Q237" s="281" t="str">
        <f>IF(M237="","",VLOOKUP(M237,'G-6 Hedgerow Data'!$B$2:$AG$15,2,FALSE))</f>
        <v/>
      </c>
      <c r="R237" s="282" t="str">
        <f>IF(M237="","",VLOOKUP(M237,'G-6 Hedgerow Data'!$B$2:$AG$15,3,FALSE))</f>
        <v/>
      </c>
      <c r="S237" s="105"/>
      <c r="T237" s="282" t="str">
        <f>IFERROR(IF(S237="","",IF(AND(M237="Non-native and ornamental hedgerow", S237&lt;&gt;"Poor"),"Not possible ▲", (IF(AND(Q237="V.Low",OR(S237="Good",S237="Moderate")),"Error ▲",VLOOKUP(S237,'G-1 All Habitats'!$Z$2:$AA$9,2,FALSE))))),"")</f>
        <v/>
      </c>
      <c r="U237" s="105"/>
      <c r="V237" s="289" t="str">
        <f>IF(U237="","",IF(VLOOKUP(U237,'G-3 Multipliers'!$L$3:$N$6,2,FALSE)=0,"Spatial Data Missing ⚠",VLOOKUP(U237,'G-3 Multipliers'!$L$3:$N$6,2,FALSE)))</f>
        <v/>
      </c>
      <c r="W237" s="287" t="str">
        <f>IF(U237="","",IF(VLOOKUP(U237,'G-3 Multipliers'!$L$3:$N$6,3,FALSE)=0,"Spatial Data Missing ⚠",VLOOKUP(U237,'G-3 Multipliers'!$L$3:$N$6,3,FALSE)))</f>
        <v/>
      </c>
      <c r="X237" s="281" t="str">
        <f>IFERROR(IF(OR(LEFT(O237,5)="Error",LEFT(N237,5)="Error",T237="Error"),"Check Data ⚠",IF(F237&lt;R237,INDEX('G-6 Hedgerow Data'!$S$3:$AE$14,MATCH(C237,'G-6 Hedgerow Data'!$B$3:$B$14,0),MATCH(M237,'G-6 Hedgerow Data'!$S$2:$AE$2,0)),INDEX('G-6 Hedgerow Data'!$K$3:$Q$14,MATCH(M237,'G-6 Hedgerow Data'!$B$3:$B$14,0),MATCH(O237,'G-6 Hedgerow Data'!$K$2:$Q$2,0)))),"")</f>
        <v/>
      </c>
      <c r="Y237" s="137"/>
      <c r="Z237" s="137"/>
      <c r="AA237" s="289" t="str">
        <f t="shared" si="26"/>
        <v/>
      </c>
      <c r="AB237" s="302" t="str">
        <f t="shared" si="27"/>
        <v/>
      </c>
      <c r="AC237" s="303" t="str">
        <f t="shared" si="24"/>
        <v/>
      </c>
      <c r="AD237" s="317" t="str">
        <f>IF(M237="","",VLOOKUP(M237,'G-6 Hedgerow Data'!$B$3:$AG$15,31,FALSE))</f>
        <v/>
      </c>
      <c r="AE237" s="301" t="str">
        <f t="shared" si="28"/>
        <v/>
      </c>
      <c r="AF237" s="289" t="str">
        <f t="shared" si="29"/>
        <v/>
      </c>
      <c r="AG237" s="305" t="str">
        <f>IFERROR(IF(O237="","",VLOOKUP(AD237,'G-3 Multipliers'!$P$3:$Q$6,2,FALSE)),"")</f>
        <v/>
      </c>
      <c r="AH237" s="729" t="str">
        <f>IF(B237="","",IF(ISNA(VLOOKUP($B237,'E-1 Off-Site Hedge Baseline'!$B$1:$Z$257,14,FALSE)),"",(VLOOKUP($B237,'E-1 Off-Site Hedge Baseline'!$B$1:$Z$257,14,FALSE))))</f>
        <v/>
      </c>
      <c r="AI237" s="282" t="str">
        <f>IF(AH237="","",IF(VLOOKUP(AH237,'G-3 Multipliers'!$S$3:$T$10,2,FALSE)=0,"Spatial Data Missing ⚠",VLOOKUP(AH237,'G-3 Multipliers'!$S$3:$T$10,2,FALSE)))</f>
        <v/>
      </c>
      <c r="AJ237" s="323" t="str">
        <f t="shared" si="30"/>
        <v/>
      </c>
      <c r="AK237" s="295" t="str">
        <f t="shared" si="31"/>
        <v/>
      </c>
      <c r="AL237" s="105"/>
      <c r="AM237" s="119"/>
      <c r="AN237" s="108"/>
      <c r="AO237" s="108"/>
      <c r="AQ237" s="30" t="str">
        <f>IFERROR(INDEX('G-6 Hedgerow Data'!$BJ$3:$BJ$15,MATCH(M237,'G-6 Hedgerow Data'!$B$3:$B$15,0)),"")</f>
        <v/>
      </c>
    </row>
    <row r="238" spans="2:43" ht="13.8" x14ac:dyDescent="0.25">
      <c r="B238" s="311" t="str">
        <f>'E-1 Off-Site Hedge Baseline'!AN236</f>
        <v/>
      </c>
      <c r="C238" s="301" t="str">
        <f>IF(B238="","",IF(ISNA(VLOOKUP($B238,'E-1 Off-Site Hedge Baseline'!$B$1:$L$257,3,FALSE)),"",(VLOOKUP($B238,'E-1 Off-Site Hedge Baseline'!$B$1:$L$257,3,FALSE))))</f>
        <v/>
      </c>
      <c r="D238" s="301" t="str">
        <f>IF(B238="","",IF(ISNA(VLOOKUP($B238,'E-1 Off-Site Hedge Baseline'!$B$1:$L$258,4,FALSE)),"",(VLOOKUP($B238,'E-1 Off-Site Hedge Baseline'!$B$1:$L$258,4,FALSE))))</f>
        <v/>
      </c>
      <c r="E238" s="301" t="str">
        <f>IF(B238="","",IF(ISNA(VLOOKUP($B238,'E-1 Off-Site Hedge Baseline'!$B$1:$L$257,5,FALSE)),"",(VLOOKUP($B238,'E-1 Off-Site Hedge Baseline'!$B$1:$L$257,5,FALSE))))</f>
        <v/>
      </c>
      <c r="F238" s="301" t="str">
        <f>IF(B238="","",IF(ISNA(VLOOKUP($B238,'E-1 Off-Site Hedge Baseline'!$B$1:$L$257,6,FALSE)),"",(VLOOKUP($B238,'E-1 Off-Site Hedge Baseline'!$B$1:$L$257,6,FALSE))))</f>
        <v/>
      </c>
      <c r="G238" s="301" t="str">
        <f>IF(B238="","",IF(ISNA(VLOOKUP($B238,'E-1 Off-Site Hedge Baseline'!$B$1:$L$257,7,FALSE)),"",(VLOOKUP($B238,'E-1 Off-Site Hedge Baseline'!$B$1:$L$257,7,FALSE))))</f>
        <v/>
      </c>
      <c r="H238" s="301" t="str">
        <f>IF(B238="","",IF(ISNA(VLOOKUP($B238,'E-1 Off-Site Hedge Baseline'!$B$1:$L$257,8,FALSE)),"",(VLOOKUP($B238,'E-1 Off-Site Hedge Baseline'!$B$1:$L$257,8,FALSE))))</f>
        <v/>
      </c>
      <c r="I238" s="301" t="str">
        <f>IF(B238="","",IF(ISNA(VLOOKUP($B238,'E-1 Off-Site Hedge Baseline'!$B$1:$L$257,10,FALSE)),"",(VLOOKUP($B238,'E-1 Off-Site Hedge Baseline'!$B$1:$L$257,10,FALSE))))</f>
        <v/>
      </c>
      <c r="J238" s="301" t="str">
        <f>IF(B238="","",IF(ISNA(VLOOKUP($B238,'E-1 Off-Site Hedge Baseline'!$B$1:$L$257,11,FALSE)),"",(VLOOKUP($B238,'E-1 Off-Site Hedge Baseline'!$B$1:$L$257,11,FALSE))))</f>
        <v/>
      </c>
      <c r="K238" s="301" t="str">
        <f>IF(B238="","",IF(ISNA(VLOOKUP($B238,'E-1 Off-Site Hedge Baseline'!$B$1:$X$257,16,FALSE)),"",(VLOOKUP($B238,'E-1 Off-Site Hedge Baseline'!$B$1:$X$257,16,FALSE))))</f>
        <v/>
      </c>
      <c r="L238" s="289" t="str">
        <f>IF(B238="","",IF(ISNA(VLOOKUP($B238,'E-1 Off-Site Hedge Baseline'!$B$1:$X$257,12,FALSE)),"",(VLOOKUP($B238,'E-1 Off-Site Hedge Baseline'!$B$1:$X$257,12,FALSE))))</f>
        <v/>
      </c>
      <c r="M238" s="250"/>
      <c r="N238" s="281" t="str">
        <f>IFERROR(IF(B238="","",INDEX('G-6 Hedgerow Data'!$AN$3:$AZ$15,MATCH(C238,'G-6 Hedgerow Data'!$AM$3:$AM$15,0),MATCH(M238,'G-6 Hedgerow Data'!$AN$2:$AZ$2,0))),"")</f>
        <v/>
      </c>
      <c r="O238" s="282" t="str">
        <f t="shared" si="25"/>
        <v/>
      </c>
      <c r="P238" s="287" t="str">
        <f>IF(B238="","",VLOOKUP(B238,'E-1 Off-Site Hedge Baseline'!$B$10:W483,19,FALSE))</f>
        <v/>
      </c>
      <c r="Q238" s="281" t="str">
        <f>IF(M238="","",VLOOKUP(M238,'G-6 Hedgerow Data'!$B$2:$AG$15,2,FALSE))</f>
        <v/>
      </c>
      <c r="R238" s="282" t="str">
        <f>IF(M238="","",VLOOKUP(M238,'G-6 Hedgerow Data'!$B$2:$AG$15,3,FALSE))</f>
        <v/>
      </c>
      <c r="S238" s="105"/>
      <c r="T238" s="282" t="str">
        <f>IFERROR(IF(S238="","",IF(AND(M238="Non-native and ornamental hedgerow", S238&lt;&gt;"Poor"),"Not possible ▲", (IF(AND(Q238="V.Low",OR(S238="Good",S238="Moderate")),"Error ▲",VLOOKUP(S238,'G-1 All Habitats'!$Z$2:$AA$9,2,FALSE))))),"")</f>
        <v/>
      </c>
      <c r="U238" s="105"/>
      <c r="V238" s="289" t="str">
        <f>IF(U238="","",IF(VLOOKUP(U238,'G-3 Multipliers'!$L$3:$N$6,2,FALSE)=0,"Spatial Data Missing ⚠",VLOOKUP(U238,'G-3 Multipliers'!$L$3:$N$6,2,FALSE)))</f>
        <v/>
      </c>
      <c r="W238" s="287" t="str">
        <f>IF(U238="","",IF(VLOOKUP(U238,'G-3 Multipliers'!$L$3:$N$6,3,FALSE)=0,"Spatial Data Missing ⚠",VLOOKUP(U238,'G-3 Multipliers'!$L$3:$N$6,3,FALSE)))</f>
        <v/>
      </c>
      <c r="X238" s="281" t="str">
        <f>IFERROR(IF(OR(LEFT(O238,5)="Error",LEFT(N238,5)="Error",T238="Error"),"Check Data ⚠",IF(F238&lt;R238,INDEX('G-6 Hedgerow Data'!$S$3:$AE$14,MATCH(C238,'G-6 Hedgerow Data'!$B$3:$B$14,0),MATCH(M238,'G-6 Hedgerow Data'!$S$2:$AE$2,0)),INDEX('G-6 Hedgerow Data'!$K$3:$Q$14,MATCH(M238,'G-6 Hedgerow Data'!$B$3:$B$14,0),MATCH(O238,'G-6 Hedgerow Data'!$K$2:$Q$2,0)))),"")</f>
        <v/>
      </c>
      <c r="Y238" s="137"/>
      <c r="Z238" s="137"/>
      <c r="AA238" s="289" t="str">
        <f t="shared" si="26"/>
        <v/>
      </c>
      <c r="AB238" s="302" t="str">
        <f t="shared" si="27"/>
        <v/>
      </c>
      <c r="AC238" s="303" t="str">
        <f t="shared" si="24"/>
        <v/>
      </c>
      <c r="AD238" s="317" t="str">
        <f>IF(M238="","",VLOOKUP(M238,'G-6 Hedgerow Data'!$B$3:$AG$15,31,FALSE))</f>
        <v/>
      </c>
      <c r="AE238" s="301" t="str">
        <f t="shared" si="28"/>
        <v/>
      </c>
      <c r="AF238" s="289" t="str">
        <f t="shared" si="29"/>
        <v/>
      </c>
      <c r="AG238" s="305" t="str">
        <f>IFERROR(IF(O238="","",VLOOKUP(AD238,'G-3 Multipliers'!$P$3:$Q$6,2,FALSE)),"")</f>
        <v/>
      </c>
      <c r="AH238" s="729" t="str">
        <f>IF(B238="","",IF(ISNA(VLOOKUP($B238,'E-1 Off-Site Hedge Baseline'!$B$1:$Z$257,14,FALSE)),"",(VLOOKUP($B238,'E-1 Off-Site Hedge Baseline'!$B$1:$Z$257,14,FALSE))))</f>
        <v/>
      </c>
      <c r="AI238" s="282" t="str">
        <f>IF(AH238="","",IF(VLOOKUP(AH238,'G-3 Multipliers'!$S$3:$T$10,2,FALSE)=0,"Spatial Data Missing ⚠",VLOOKUP(AH238,'G-3 Multipliers'!$S$3:$T$10,2,FALSE)))</f>
        <v/>
      </c>
      <c r="AJ238" s="323" t="str">
        <f t="shared" si="30"/>
        <v/>
      </c>
      <c r="AK238" s="295" t="str">
        <f t="shared" si="31"/>
        <v/>
      </c>
      <c r="AL238" s="105"/>
      <c r="AM238" s="119"/>
      <c r="AN238" s="108"/>
      <c r="AO238" s="108"/>
      <c r="AQ238" s="30" t="str">
        <f>IFERROR(INDEX('G-6 Hedgerow Data'!$BJ$3:$BJ$15,MATCH(M238,'G-6 Hedgerow Data'!$B$3:$B$15,0)),"")</f>
        <v/>
      </c>
    </row>
    <row r="239" spans="2:43" ht="13.8" x14ac:dyDescent="0.25">
      <c r="B239" s="311" t="str">
        <f>'E-1 Off-Site Hedge Baseline'!AN237</f>
        <v/>
      </c>
      <c r="C239" s="301" t="str">
        <f>IF(B239="","",IF(ISNA(VLOOKUP($B239,'E-1 Off-Site Hedge Baseline'!$B$1:$L$257,3,FALSE)),"",(VLOOKUP($B239,'E-1 Off-Site Hedge Baseline'!$B$1:$L$257,3,FALSE))))</f>
        <v/>
      </c>
      <c r="D239" s="301" t="str">
        <f>IF(B239="","",IF(ISNA(VLOOKUP($B239,'E-1 Off-Site Hedge Baseline'!$B$1:$L$258,4,FALSE)),"",(VLOOKUP($B239,'E-1 Off-Site Hedge Baseline'!$B$1:$L$258,4,FALSE))))</f>
        <v/>
      </c>
      <c r="E239" s="301" t="str">
        <f>IF(B239="","",IF(ISNA(VLOOKUP($B239,'E-1 Off-Site Hedge Baseline'!$B$1:$L$257,5,FALSE)),"",(VLOOKUP($B239,'E-1 Off-Site Hedge Baseline'!$B$1:$L$257,5,FALSE))))</f>
        <v/>
      </c>
      <c r="F239" s="301" t="str">
        <f>IF(B239="","",IF(ISNA(VLOOKUP($B239,'E-1 Off-Site Hedge Baseline'!$B$1:$L$257,6,FALSE)),"",(VLOOKUP($B239,'E-1 Off-Site Hedge Baseline'!$B$1:$L$257,6,FALSE))))</f>
        <v/>
      </c>
      <c r="G239" s="301" t="str">
        <f>IF(B239="","",IF(ISNA(VLOOKUP($B239,'E-1 Off-Site Hedge Baseline'!$B$1:$L$257,7,FALSE)),"",(VLOOKUP($B239,'E-1 Off-Site Hedge Baseline'!$B$1:$L$257,7,FALSE))))</f>
        <v/>
      </c>
      <c r="H239" s="301" t="str">
        <f>IF(B239="","",IF(ISNA(VLOOKUP($B239,'E-1 Off-Site Hedge Baseline'!$B$1:$L$257,8,FALSE)),"",(VLOOKUP($B239,'E-1 Off-Site Hedge Baseline'!$B$1:$L$257,8,FALSE))))</f>
        <v/>
      </c>
      <c r="I239" s="301" t="str">
        <f>IF(B239="","",IF(ISNA(VLOOKUP($B239,'E-1 Off-Site Hedge Baseline'!$B$1:$L$257,10,FALSE)),"",(VLOOKUP($B239,'E-1 Off-Site Hedge Baseline'!$B$1:$L$257,10,FALSE))))</f>
        <v/>
      </c>
      <c r="J239" s="301" t="str">
        <f>IF(B239="","",IF(ISNA(VLOOKUP($B239,'E-1 Off-Site Hedge Baseline'!$B$1:$L$257,11,FALSE)),"",(VLOOKUP($B239,'E-1 Off-Site Hedge Baseline'!$B$1:$L$257,11,FALSE))))</f>
        <v/>
      </c>
      <c r="K239" s="301" t="str">
        <f>IF(B239="","",IF(ISNA(VLOOKUP($B239,'E-1 Off-Site Hedge Baseline'!$B$1:$X$257,16,FALSE)),"",(VLOOKUP($B239,'E-1 Off-Site Hedge Baseline'!$B$1:$X$257,16,FALSE))))</f>
        <v/>
      </c>
      <c r="L239" s="289" t="str">
        <f>IF(B239="","",IF(ISNA(VLOOKUP($B239,'E-1 Off-Site Hedge Baseline'!$B$1:$X$257,12,FALSE)),"",(VLOOKUP($B239,'E-1 Off-Site Hedge Baseline'!$B$1:$X$257,12,FALSE))))</f>
        <v/>
      </c>
      <c r="M239" s="250"/>
      <c r="N239" s="281" t="str">
        <f>IFERROR(IF(B239="","",INDEX('G-6 Hedgerow Data'!$AN$3:$AZ$15,MATCH(C239,'G-6 Hedgerow Data'!$AM$3:$AM$15,0),MATCH(M239,'G-6 Hedgerow Data'!$AN$2:$AZ$2,0))),"")</f>
        <v/>
      </c>
      <c r="O239" s="282" t="str">
        <f t="shared" si="25"/>
        <v/>
      </c>
      <c r="P239" s="287" t="str">
        <f>IF(B239="","",VLOOKUP(B239,'E-1 Off-Site Hedge Baseline'!$B$10:W484,19,FALSE))</f>
        <v/>
      </c>
      <c r="Q239" s="281" t="str">
        <f>IF(M239="","",VLOOKUP(M239,'G-6 Hedgerow Data'!$B$2:$AG$15,2,FALSE))</f>
        <v/>
      </c>
      <c r="R239" s="282" t="str">
        <f>IF(M239="","",VLOOKUP(M239,'G-6 Hedgerow Data'!$B$2:$AG$15,3,FALSE))</f>
        <v/>
      </c>
      <c r="S239" s="105"/>
      <c r="T239" s="282" t="str">
        <f>IFERROR(IF(S239="","",IF(AND(M239="Non-native and ornamental hedgerow", S239&lt;&gt;"Poor"),"Not possible ▲", (IF(AND(Q239="V.Low",OR(S239="Good",S239="Moderate")),"Error ▲",VLOOKUP(S239,'G-1 All Habitats'!$Z$2:$AA$9,2,FALSE))))),"")</f>
        <v/>
      </c>
      <c r="U239" s="105"/>
      <c r="V239" s="289" t="str">
        <f>IF(U239="","",IF(VLOOKUP(U239,'G-3 Multipliers'!$L$3:$N$6,2,FALSE)=0,"Spatial Data Missing ⚠",VLOOKUP(U239,'G-3 Multipliers'!$L$3:$N$6,2,FALSE)))</f>
        <v/>
      </c>
      <c r="W239" s="287" t="str">
        <f>IF(U239="","",IF(VLOOKUP(U239,'G-3 Multipliers'!$L$3:$N$6,3,FALSE)=0,"Spatial Data Missing ⚠",VLOOKUP(U239,'G-3 Multipliers'!$L$3:$N$6,3,FALSE)))</f>
        <v/>
      </c>
      <c r="X239" s="281" t="str">
        <f>IFERROR(IF(OR(LEFT(O239,5)="Error",LEFT(N239,5)="Error",T239="Error"),"Check Data ⚠",IF(F239&lt;R239,INDEX('G-6 Hedgerow Data'!$S$3:$AE$14,MATCH(C239,'G-6 Hedgerow Data'!$B$3:$B$14,0),MATCH(M239,'G-6 Hedgerow Data'!$S$2:$AE$2,0)),INDEX('G-6 Hedgerow Data'!$K$3:$Q$14,MATCH(M239,'G-6 Hedgerow Data'!$B$3:$B$14,0),MATCH(O239,'G-6 Hedgerow Data'!$K$2:$Q$2,0)))),"")</f>
        <v/>
      </c>
      <c r="Y239" s="137"/>
      <c r="Z239" s="137"/>
      <c r="AA239" s="289" t="str">
        <f t="shared" si="26"/>
        <v/>
      </c>
      <c r="AB239" s="302" t="str">
        <f t="shared" si="27"/>
        <v/>
      </c>
      <c r="AC239" s="303" t="str">
        <f t="shared" si="24"/>
        <v/>
      </c>
      <c r="AD239" s="317" t="str">
        <f>IF(M239="","",VLOOKUP(M239,'G-6 Hedgerow Data'!$B$3:$AG$15,31,FALSE))</f>
        <v/>
      </c>
      <c r="AE239" s="301" t="str">
        <f t="shared" si="28"/>
        <v/>
      </c>
      <c r="AF239" s="289" t="str">
        <f t="shared" si="29"/>
        <v/>
      </c>
      <c r="AG239" s="305" t="str">
        <f>IFERROR(IF(O239="","",VLOOKUP(AD239,'G-3 Multipliers'!$P$3:$Q$6,2,FALSE)),"")</f>
        <v/>
      </c>
      <c r="AH239" s="729" t="str">
        <f>IF(B239="","",IF(ISNA(VLOOKUP($B239,'E-1 Off-Site Hedge Baseline'!$B$1:$Z$257,14,FALSE)),"",(VLOOKUP($B239,'E-1 Off-Site Hedge Baseline'!$B$1:$Z$257,14,FALSE))))</f>
        <v/>
      </c>
      <c r="AI239" s="282" t="str">
        <f>IF(AH239="","",IF(VLOOKUP(AH239,'G-3 Multipliers'!$S$3:$T$10,2,FALSE)=0,"Spatial Data Missing ⚠",VLOOKUP(AH239,'G-3 Multipliers'!$S$3:$T$10,2,FALSE)))</f>
        <v/>
      </c>
      <c r="AJ239" s="323" t="str">
        <f t="shared" si="30"/>
        <v/>
      </c>
      <c r="AK239" s="295" t="str">
        <f t="shared" si="31"/>
        <v/>
      </c>
      <c r="AL239" s="105"/>
      <c r="AM239" s="119"/>
      <c r="AN239" s="108"/>
      <c r="AO239" s="108"/>
      <c r="AQ239" s="30" t="str">
        <f>IFERROR(INDEX('G-6 Hedgerow Data'!$BJ$3:$BJ$15,MATCH(M239,'G-6 Hedgerow Data'!$B$3:$B$15,0)),"")</f>
        <v/>
      </c>
    </row>
    <row r="240" spans="2:43" ht="13.8" x14ac:dyDescent="0.25">
      <c r="B240" s="311" t="str">
        <f>'E-1 Off-Site Hedge Baseline'!AN238</f>
        <v/>
      </c>
      <c r="C240" s="301" t="str">
        <f>IF(B240="","",IF(ISNA(VLOOKUP($B240,'E-1 Off-Site Hedge Baseline'!$B$1:$L$257,3,FALSE)),"",(VLOOKUP($B240,'E-1 Off-Site Hedge Baseline'!$B$1:$L$257,3,FALSE))))</f>
        <v/>
      </c>
      <c r="D240" s="301" t="str">
        <f>IF(B240="","",IF(ISNA(VLOOKUP($B240,'E-1 Off-Site Hedge Baseline'!$B$1:$L$258,4,FALSE)),"",(VLOOKUP($B240,'E-1 Off-Site Hedge Baseline'!$B$1:$L$258,4,FALSE))))</f>
        <v/>
      </c>
      <c r="E240" s="301" t="str">
        <f>IF(B240="","",IF(ISNA(VLOOKUP($B240,'E-1 Off-Site Hedge Baseline'!$B$1:$L$257,5,FALSE)),"",(VLOOKUP($B240,'E-1 Off-Site Hedge Baseline'!$B$1:$L$257,5,FALSE))))</f>
        <v/>
      </c>
      <c r="F240" s="301" t="str">
        <f>IF(B240="","",IF(ISNA(VLOOKUP($B240,'E-1 Off-Site Hedge Baseline'!$B$1:$L$257,6,FALSE)),"",(VLOOKUP($B240,'E-1 Off-Site Hedge Baseline'!$B$1:$L$257,6,FALSE))))</f>
        <v/>
      </c>
      <c r="G240" s="301" t="str">
        <f>IF(B240="","",IF(ISNA(VLOOKUP($B240,'E-1 Off-Site Hedge Baseline'!$B$1:$L$257,7,FALSE)),"",(VLOOKUP($B240,'E-1 Off-Site Hedge Baseline'!$B$1:$L$257,7,FALSE))))</f>
        <v/>
      </c>
      <c r="H240" s="301" t="str">
        <f>IF(B240="","",IF(ISNA(VLOOKUP($B240,'E-1 Off-Site Hedge Baseline'!$B$1:$L$257,8,FALSE)),"",(VLOOKUP($B240,'E-1 Off-Site Hedge Baseline'!$B$1:$L$257,8,FALSE))))</f>
        <v/>
      </c>
      <c r="I240" s="301" t="str">
        <f>IF(B240="","",IF(ISNA(VLOOKUP($B240,'E-1 Off-Site Hedge Baseline'!$B$1:$L$257,10,FALSE)),"",(VLOOKUP($B240,'E-1 Off-Site Hedge Baseline'!$B$1:$L$257,10,FALSE))))</f>
        <v/>
      </c>
      <c r="J240" s="301" t="str">
        <f>IF(B240="","",IF(ISNA(VLOOKUP($B240,'E-1 Off-Site Hedge Baseline'!$B$1:$L$257,11,FALSE)),"",(VLOOKUP($B240,'E-1 Off-Site Hedge Baseline'!$B$1:$L$257,11,FALSE))))</f>
        <v/>
      </c>
      <c r="K240" s="301" t="str">
        <f>IF(B240="","",IF(ISNA(VLOOKUP($B240,'E-1 Off-Site Hedge Baseline'!$B$1:$X$257,16,FALSE)),"",(VLOOKUP($B240,'E-1 Off-Site Hedge Baseline'!$B$1:$X$257,16,FALSE))))</f>
        <v/>
      </c>
      <c r="L240" s="289" t="str">
        <f>IF(B240="","",IF(ISNA(VLOOKUP($B240,'E-1 Off-Site Hedge Baseline'!$B$1:$X$257,12,FALSE)),"",(VLOOKUP($B240,'E-1 Off-Site Hedge Baseline'!$B$1:$X$257,12,FALSE))))</f>
        <v/>
      </c>
      <c r="M240" s="250"/>
      <c r="N240" s="281" t="str">
        <f>IFERROR(IF(B240="","",INDEX('G-6 Hedgerow Data'!$AN$3:$AZ$15,MATCH(C240,'G-6 Hedgerow Data'!$AM$3:$AM$15,0),MATCH(M240,'G-6 Hedgerow Data'!$AN$2:$AZ$2,0))),"")</f>
        <v/>
      </c>
      <c r="O240" s="282" t="str">
        <f t="shared" si="25"/>
        <v/>
      </c>
      <c r="P240" s="287" t="str">
        <f>IF(B240="","",VLOOKUP(B240,'E-1 Off-Site Hedge Baseline'!$B$10:W485,19,FALSE))</f>
        <v/>
      </c>
      <c r="Q240" s="281" t="str">
        <f>IF(M240="","",VLOOKUP(M240,'G-6 Hedgerow Data'!$B$2:$AG$15,2,FALSE))</f>
        <v/>
      </c>
      <c r="R240" s="282" t="str">
        <f>IF(M240="","",VLOOKUP(M240,'G-6 Hedgerow Data'!$B$2:$AG$15,3,FALSE))</f>
        <v/>
      </c>
      <c r="S240" s="105"/>
      <c r="T240" s="282" t="str">
        <f>IFERROR(IF(S240="","",IF(AND(M240="Non-native and ornamental hedgerow", S240&lt;&gt;"Poor"),"Not possible ▲", (IF(AND(Q240="V.Low",OR(S240="Good",S240="Moderate")),"Error ▲",VLOOKUP(S240,'G-1 All Habitats'!$Z$2:$AA$9,2,FALSE))))),"")</f>
        <v/>
      </c>
      <c r="U240" s="105"/>
      <c r="V240" s="289" t="str">
        <f>IF(U240="","",IF(VLOOKUP(U240,'G-3 Multipliers'!$L$3:$N$6,2,FALSE)=0,"Spatial Data Missing ⚠",VLOOKUP(U240,'G-3 Multipliers'!$L$3:$N$6,2,FALSE)))</f>
        <v/>
      </c>
      <c r="W240" s="287" t="str">
        <f>IF(U240="","",IF(VLOOKUP(U240,'G-3 Multipliers'!$L$3:$N$6,3,FALSE)=0,"Spatial Data Missing ⚠",VLOOKUP(U240,'G-3 Multipliers'!$L$3:$N$6,3,FALSE)))</f>
        <v/>
      </c>
      <c r="X240" s="281" t="str">
        <f>IFERROR(IF(OR(LEFT(O240,5)="Error",LEFT(N240,5)="Error",T240="Error"),"Check Data ⚠",IF(F240&lt;R240,INDEX('G-6 Hedgerow Data'!$S$3:$AE$14,MATCH(C240,'G-6 Hedgerow Data'!$B$3:$B$14,0),MATCH(M240,'G-6 Hedgerow Data'!$S$2:$AE$2,0)),INDEX('G-6 Hedgerow Data'!$K$3:$Q$14,MATCH(M240,'G-6 Hedgerow Data'!$B$3:$B$14,0),MATCH(O240,'G-6 Hedgerow Data'!$K$2:$Q$2,0)))),"")</f>
        <v/>
      </c>
      <c r="Y240" s="137"/>
      <c r="Z240" s="137"/>
      <c r="AA240" s="289" t="str">
        <f t="shared" si="26"/>
        <v/>
      </c>
      <c r="AB240" s="302" t="str">
        <f t="shared" si="27"/>
        <v/>
      </c>
      <c r="AC240" s="303" t="str">
        <f t="shared" si="24"/>
        <v/>
      </c>
      <c r="AD240" s="317" t="str">
        <f>IF(M240="","",VLOOKUP(M240,'G-6 Hedgerow Data'!$B$3:$AG$15,31,FALSE))</f>
        <v/>
      </c>
      <c r="AE240" s="301" t="str">
        <f t="shared" si="28"/>
        <v/>
      </c>
      <c r="AF240" s="289" t="str">
        <f t="shared" si="29"/>
        <v/>
      </c>
      <c r="AG240" s="305" t="str">
        <f>IFERROR(IF(O240="","",VLOOKUP(AD240,'G-3 Multipliers'!$P$3:$Q$6,2,FALSE)),"")</f>
        <v/>
      </c>
      <c r="AH240" s="729" t="str">
        <f>IF(B240="","",IF(ISNA(VLOOKUP($B240,'E-1 Off-Site Hedge Baseline'!$B$1:$Z$257,14,FALSE)),"",(VLOOKUP($B240,'E-1 Off-Site Hedge Baseline'!$B$1:$Z$257,14,FALSE))))</f>
        <v/>
      </c>
      <c r="AI240" s="282" t="str">
        <f>IF(AH240="","",IF(VLOOKUP(AH240,'G-3 Multipliers'!$S$3:$T$10,2,FALSE)=0,"Spatial Data Missing ⚠",VLOOKUP(AH240,'G-3 Multipliers'!$S$3:$T$10,2,FALSE)))</f>
        <v/>
      </c>
      <c r="AJ240" s="323" t="str">
        <f t="shared" si="30"/>
        <v/>
      </c>
      <c r="AK240" s="295" t="str">
        <f t="shared" si="31"/>
        <v/>
      </c>
      <c r="AL240" s="105"/>
      <c r="AM240" s="119"/>
      <c r="AN240" s="108"/>
      <c r="AO240" s="108"/>
      <c r="AQ240" s="30" t="str">
        <f>IFERROR(INDEX('G-6 Hedgerow Data'!$BJ$3:$BJ$15,MATCH(M240,'G-6 Hedgerow Data'!$B$3:$B$15,0)),"")</f>
        <v/>
      </c>
    </row>
    <row r="241" spans="2:43" ht="13.8" x14ac:dyDescent="0.25">
      <c r="B241" s="311" t="str">
        <f>'E-1 Off-Site Hedge Baseline'!AN239</f>
        <v/>
      </c>
      <c r="C241" s="301" t="str">
        <f>IF(B241="","",IF(ISNA(VLOOKUP($B241,'E-1 Off-Site Hedge Baseline'!$B$1:$L$257,3,FALSE)),"",(VLOOKUP($B241,'E-1 Off-Site Hedge Baseline'!$B$1:$L$257,3,FALSE))))</f>
        <v/>
      </c>
      <c r="D241" s="301" t="str">
        <f>IF(B241="","",IF(ISNA(VLOOKUP($B241,'E-1 Off-Site Hedge Baseline'!$B$1:$L$258,4,FALSE)),"",(VLOOKUP($B241,'E-1 Off-Site Hedge Baseline'!$B$1:$L$258,4,FALSE))))</f>
        <v/>
      </c>
      <c r="E241" s="301" t="str">
        <f>IF(B241="","",IF(ISNA(VLOOKUP($B241,'E-1 Off-Site Hedge Baseline'!$B$1:$L$257,5,FALSE)),"",(VLOOKUP($B241,'E-1 Off-Site Hedge Baseline'!$B$1:$L$257,5,FALSE))))</f>
        <v/>
      </c>
      <c r="F241" s="301" t="str">
        <f>IF(B241="","",IF(ISNA(VLOOKUP($B241,'E-1 Off-Site Hedge Baseline'!$B$1:$L$257,6,FALSE)),"",(VLOOKUP($B241,'E-1 Off-Site Hedge Baseline'!$B$1:$L$257,6,FALSE))))</f>
        <v/>
      </c>
      <c r="G241" s="301" t="str">
        <f>IF(B241="","",IF(ISNA(VLOOKUP($B241,'E-1 Off-Site Hedge Baseline'!$B$1:$L$257,7,FALSE)),"",(VLOOKUP($B241,'E-1 Off-Site Hedge Baseline'!$B$1:$L$257,7,FALSE))))</f>
        <v/>
      </c>
      <c r="H241" s="301" t="str">
        <f>IF(B241="","",IF(ISNA(VLOOKUP($B241,'E-1 Off-Site Hedge Baseline'!$B$1:$L$257,8,FALSE)),"",(VLOOKUP($B241,'E-1 Off-Site Hedge Baseline'!$B$1:$L$257,8,FALSE))))</f>
        <v/>
      </c>
      <c r="I241" s="301" t="str">
        <f>IF(B241="","",IF(ISNA(VLOOKUP($B241,'E-1 Off-Site Hedge Baseline'!$B$1:$L$257,10,FALSE)),"",(VLOOKUP($B241,'E-1 Off-Site Hedge Baseline'!$B$1:$L$257,10,FALSE))))</f>
        <v/>
      </c>
      <c r="J241" s="301" t="str">
        <f>IF(B241="","",IF(ISNA(VLOOKUP($B241,'E-1 Off-Site Hedge Baseline'!$B$1:$L$257,11,FALSE)),"",(VLOOKUP($B241,'E-1 Off-Site Hedge Baseline'!$B$1:$L$257,11,FALSE))))</f>
        <v/>
      </c>
      <c r="K241" s="301" t="str">
        <f>IF(B241="","",IF(ISNA(VLOOKUP($B241,'E-1 Off-Site Hedge Baseline'!$B$1:$X$257,16,FALSE)),"",(VLOOKUP($B241,'E-1 Off-Site Hedge Baseline'!$B$1:$X$257,16,FALSE))))</f>
        <v/>
      </c>
      <c r="L241" s="289" t="str">
        <f>IF(B241="","",IF(ISNA(VLOOKUP($B241,'E-1 Off-Site Hedge Baseline'!$B$1:$X$257,12,FALSE)),"",(VLOOKUP($B241,'E-1 Off-Site Hedge Baseline'!$B$1:$X$257,12,FALSE))))</f>
        <v/>
      </c>
      <c r="M241" s="250"/>
      <c r="N241" s="281" t="str">
        <f>IFERROR(IF(B241="","",INDEX('G-6 Hedgerow Data'!$AN$3:$AZ$15,MATCH(C241,'G-6 Hedgerow Data'!$AM$3:$AM$15,0),MATCH(M241,'G-6 Hedgerow Data'!$AN$2:$AZ$2,0))),"")</f>
        <v/>
      </c>
      <c r="O241" s="282" t="str">
        <f t="shared" si="25"/>
        <v/>
      </c>
      <c r="P241" s="287" t="str">
        <f>IF(B241="","",VLOOKUP(B241,'E-1 Off-Site Hedge Baseline'!$B$10:W486,19,FALSE))</f>
        <v/>
      </c>
      <c r="Q241" s="281" t="str">
        <f>IF(M241="","",VLOOKUP(M241,'G-6 Hedgerow Data'!$B$2:$AG$15,2,FALSE))</f>
        <v/>
      </c>
      <c r="R241" s="282" t="str">
        <f>IF(M241="","",VLOOKUP(M241,'G-6 Hedgerow Data'!$B$2:$AG$15,3,FALSE))</f>
        <v/>
      </c>
      <c r="S241" s="105"/>
      <c r="T241" s="282" t="str">
        <f>IFERROR(IF(S241="","",IF(AND(M241="Non-native and ornamental hedgerow", S241&lt;&gt;"Poor"),"Not possible ▲", (IF(AND(Q241="V.Low",OR(S241="Good",S241="Moderate")),"Error ▲",VLOOKUP(S241,'G-1 All Habitats'!$Z$2:$AA$9,2,FALSE))))),"")</f>
        <v/>
      </c>
      <c r="U241" s="105"/>
      <c r="V241" s="289" t="str">
        <f>IF(U241="","",IF(VLOOKUP(U241,'G-3 Multipliers'!$L$3:$N$6,2,FALSE)=0,"Spatial Data Missing ⚠",VLOOKUP(U241,'G-3 Multipliers'!$L$3:$N$6,2,FALSE)))</f>
        <v/>
      </c>
      <c r="W241" s="287" t="str">
        <f>IF(U241="","",IF(VLOOKUP(U241,'G-3 Multipliers'!$L$3:$N$6,3,FALSE)=0,"Spatial Data Missing ⚠",VLOOKUP(U241,'G-3 Multipliers'!$L$3:$N$6,3,FALSE)))</f>
        <v/>
      </c>
      <c r="X241" s="281" t="str">
        <f>IFERROR(IF(OR(LEFT(O241,5)="Error",LEFT(N241,5)="Error",T241="Error"),"Check Data ⚠",IF(F241&lt;R241,INDEX('G-6 Hedgerow Data'!$S$3:$AE$14,MATCH(C241,'G-6 Hedgerow Data'!$B$3:$B$14,0),MATCH(M241,'G-6 Hedgerow Data'!$S$2:$AE$2,0)),INDEX('G-6 Hedgerow Data'!$K$3:$Q$14,MATCH(M241,'G-6 Hedgerow Data'!$B$3:$B$14,0),MATCH(O241,'G-6 Hedgerow Data'!$K$2:$Q$2,0)))),"")</f>
        <v/>
      </c>
      <c r="Y241" s="137"/>
      <c r="Z241" s="137"/>
      <c r="AA241" s="289" t="str">
        <f t="shared" si="26"/>
        <v/>
      </c>
      <c r="AB241" s="302" t="str">
        <f t="shared" si="27"/>
        <v/>
      </c>
      <c r="AC241" s="303" t="str">
        <f t="shared" si="24"/>
        <v/>
      </c>
      <c r="AD241" s="317" t="str">
        <f>IF(M241="","",VLOOKUP(M241,'G-6 Hedgerow Data'!$B$3:$AG$15,31,FALSE))</f>
        <v/>
      </c>
      <c r="AE241" s="301" t="str">
        <f t="shared" si="28"/>
        <v/>
      </c>
      <c r="AF241" s="289" t="str">
        <f t="shared" si="29"/>
        <v/>
      </c>
      <c r="AG241" s="305" t="str">
        <f>IFERROR(IF(O241="","",VLOOKUP(AD241,'G-3 Multipliers'!$P$3:$Q$6,2,FALSE)),"")</f>
        <v/>
      </c>
      <c r="AH241" s="729" t="str">
        <f>IF(B241="","",IF(ISNA(VLOOKUP($B241,'E-1 Off-Site Hedge Baseline'!$B$1:$Z$257,14,FALSE)),"",(VLOOKUP($B241,'E-1 Off-Site Hedge Baseline'!$B$1:$Z$257,14,FALSE))))</f>
        <v/>
      </c>
      <c r="AI241" s="282" t="str">
        <f>IF(AH241="","",IF(VLOOKUP(AH241,'G-3 Multipliers'!$S$3:$T$10,2,FALSE)=0,"Spatial Data Missing ⚠",VLOOKUP(AH241,'G-3 Multipliers'!$S$3:$T$10,2,FALSE)))</f>
        <v/>
      </c>
      <c r="AJ241" s="323" t="str">
        <f t="shared" si="30"/>
        <v/>
      </c>
      <c r="AK241" s="295" t="str">
        <f t="shared" si="31"/>
        <v/>
      </c>
      <c r="AL241" s="105"/>
      <c r="AM241" s="119"/>
      <c r="AN241" s="108"/>
      <c r="AO241" s="108"/>
      <c r="AQ241" s="30" t="str">
        <f>IFERROR(INDEX('G-6 Hedgerow Data'!$BJ$3:$BJ$15,MATCH(M241,'G-6 Hedgerow Data'!$B$3:$B$15,0)),"")</f>
        <v/>
      </c>
    </row>
    <row r="242" spans="2:43" ht="13.8" x14ac:dyDescent="0.25">
      <c r="B242" s="311" t="str">
        <f>'E-1 Off-Site Hedge Baseline'!AN240</f>
        <v/>
      </c>
      <c r="C242" s="301" t="str">
        <f>IF(B242="","",IF(ISNA(VLOOKUP($B242,'E-1 Off-Site Hedge Baseline'!$B$1:$L$257,3,FALSE)),"",(VLOOKUP($B242,'E-1 Off-Site Hedge Baseline'!$B$1:$L$257,3,FALSE))))</f>
        <v/>
      </c>
      <c r="D242" s="301" t="str">
        <f>IF(B242="","",IF(ISNA(VLOOKUP($B242,'E-1 Off-Site Hedge Baseline'!$B$1:$L$258,4,FALSE)),"",(VLOOKUP($B242,'E-1 Off-Site Hedge Baseline'!$B$1:$L$258,4,FALSE))))</f>
        <v/>
      </c>
      <c r="E242" s="301" t="str">
        <f>IF(B242="","",IF(ISNA(VLOOKUP($B242,'E-1 Off-Site Hedge Baseline'!$B$1:$L$257,5,FALSE)),"",(VLOOKUP($B242,'E-1 Off-Site Hedge Baseline'!$B$1:$L$257,5,FALSE))))</f>
        <v/>
      </c>
      <c r="F242" s="301" t="str">
        <f>IF(B242="","",IF(ISNA(VLOOKUP($B242,'E-1 Off-Site Hedge Baseline'!$B$1:$L$257,6,FALSE)),"",(VLOOKUP($B242,'E-1 Off-Site Hedge Baseline'!$B$1:$L$257,6,FALSE))))</f>
        <v/>
      </c>
      <c r="G242" s="301" t="str">
        <f>IF(B242="","",IF(ISNA(VLOOKUP($B242,'E-1 Off-Site Hedge Baseline'!$B$1:$L$257,7,FALSE)),"",(VLOOKUP($B242,'E-1 Off-Site Hedge Baseline'!$B$1:$L$257,7,FALSE))))</f>
        <v/>
      </c>
      <c r="H242" s="301" t="str">
        <f>IF(B242="","",IF(ISNA(VLOOKUP($B242,'E-1 Off-Site Hedge Baseline'!$B$1:$L$257,8,FALSE)),"",(VLOOKUP($B242,'E-1 Off-Site Hedge Baseline'!$B$1:$L$257,8,FALSE))))</f>
        <v/>
      </c>
      <c r="I242" s="301" t="str">
        <f>IF(B242="","",IF(ISNA(VLOOKUP($B242,'E-1 Off-Site Hedge Baseline'!$B$1:$L$257,10,FALSE)),"",(VLOOKUP($B242,'E-1 Off-Site Hedge Baseline'!$B$1:$L$257,10,FALSE))))</f>
        <v/>
      </c>
      <c r="J242" s="301" t="str">
        <f>IF(B242="","",IF(ISNA(VLOOKUP($B242,'E-1 Off-Site Hedge Baseline'!$B$1:$L$257,11,FALSE)),"",(VLOOKUP($B242,'E-1 Off-Site Hedge Baseline'!$B$1:$L$257,11,FALSE))))</f>
        <v/>
      </c>
      <c r="K242" s="301" t="str">
        <f>IF(B242="","",IF(ISNA(VLOOKUP($B242,'E-1 Off-Site Hedge Baseline'!$B$1:$X$257,16,FALSE)),"",(VLOOKUP($B242,'E-1 Off-Site Hedge Baseline'!$B$1:$X$257,16,FALSE))))</f>
        <v/>
      </c>
      <c r="L242" s="289" t="str">
        <f>IF(B242="","",IF(ISNA(VLOOKUP($B242,'E-1 Off-Site Hedge Baseline'!$B$1:$X$257,12,FALSE)),"",(VLOOKUP($B242,'E-1 Off-Site Hedge Baseline'!$B$1:$X$257,12,FALSE))))</f>
        <v/>
      </c>
      <c r="M242" s="250"/>
      <c r="N242" s="281" t="str">
        <f>IFERROR(IF(B242="","",INDEX('G-6 Hedgerow Data'!$AN$3:$AZ$15,MATCH(C242,'G-6 Hedgerow Data'!$AM$3:$AM$15,0),MATCH(M242,'G-6 Hedgerow Data'!$AN$2:$AZ$2,0))),"")</f>
        <v/>
      </c>
      <c r="O242" s="282" t="str">
        <f t="shared" si="25"/>
        <v/>
      </c>
      <c r="P242" s="287" t="str">
        <f>IF(B242="","",VLOOKUP(B242,'E-1 Off-Site Hedge Baseline'!$B$10:W487,19,FALSE))</f>
        <v/>
      </c>
      <c r="Q242" s="281" t="str">
        <f>IF(M242="","",VLOOKUP(M242,'G-6 Hedgerow Data'!$B$2:$AG$15,2,FALSE))</f>
        <v/>
      </c>
      <c r="R242" s="282" t="str">
        <f>IF(M242="","",VLOOKUP(M242,'G-6 Hedgerow Data'!$B$2:$AG$15,3,FALSE))</f>
        <v/>
      </c>
      <c r="S242" s="105"/>
      <c r="T242" s="282" t="str">
        <f>IFERROR(IF(S242="","",IF(AND(M242="Non-native and ornamental hedgerow", S242&lt;&gt;"Poor"),"Not possible ▲", (IF(AND(Q242="V.Low",OR(S242="Good",S242="Moderate")),"Error ▲",VLOOKUP(S242,'G-1 All Habitats'!$Z$2:$AA$9,2,FALSE))))),"")</f>
        <v/>
      </c>
      <c r="U242" s="105"/>
      <c r="V242" s="289" t="str">
        <f>IF(U242="","",IF(VLOOKUP(U242,'G-3 Multipliers'!$L$3:$N$6,2,FALSE)=0,"Spatial Data Missing ⚠",VLOOKUP(U242,'G-3 Multipliers'!$L$3:$N$6,2,FALSE)))</f>
        <v/>
      </c>
      <c r="W242" s="287" t="str">
        <f>IF(U242="","",IF(VLOOKUP(U242,'G-3 Multipliers'!$L$3:$N$6,3,FALSE)=0,"Spatial Data Missing ⚠",VLOOKUP(U242,'G-3 Multipliers'!$L$3:$N$6,3,FALSE)))</f>
        <v/>
      </c>
      <c r="X242" s="281" t="str">
        <f>IFERROR(IF(OR(LEFT(O242,5)="Error",LEFT(N242,5)="Error",T242="Error"),"Check Data ⚠",IF(F242&lt;R242,INDEX('G-6 Hedgerow Data'!$S$3:$AE$14,MATCH(C242,'G-6 Hedgerow Data'!$B$3:$B$14,0),MATCH(M242,'G-6 Hedgerow Data'!$S$2:$AE$2,0)),INDEX('G-6 Hedgerow Data'!$K$3:$Q$14,MATCH(M242,'G-6 Hedgerow Data'!$B$3:$B$14,0),MATCH(O242,'G-6 Hedgerow Data'!$K$2:$Q$2,0)))),"")</f>
        <v/>
      </c>
      <c r="Y242" s="137"/>
      <c r="Z242" s="137"/>
      <c r="AA242" s="289" t="str">
        <f t="shared" si="26"/>
        <v/>
      </c>
      <c r="AB242" s="302" t="str">
        <f t="shared" si="27"/>
        <v/>
      </c>
      <c r="AC242" s="303" t="str">
        <f t="shared" si="24"/>
        <v/>
      </c>
      <c r="AD242" s="317" t="str">
        <f>IF(M242="","",VLOOKUP(M242,'G-6 Hedgerow Data'!$B$3:$AG$15,31,FALSE))</f>
        <v/>
      </c>
      <c r="AE242" s="301" t="str">
        <f t="shared" si="28"/>
        <v/>
      </c>
      <c r="AF242" s="289" t="str">
        <f t="shared" si="29"/>
        <v/>
      </c>
      <c r="AG242" s="305" t="str">
        <f>IFERROR(IF(O242="","",VLOOKUP(AD242,'G-3 Multipliers'!$P$3:$Q$6,2,FALSE)),"")</f>
        <v/>
      </c>
      <c r="AH242" s="729" t="str">
        <f>IF(B242="","",IF(ISNA(VLOOKUP($B242,'E-1 Off-Site Hedge Baseline'!$B$1:$Z$257,14,FALSE)),"",(VLOOKUP($B242,'E-1 Off-Site Hedge Baseline'!$B$1:$Z$257,14,FALSE))))</f>
        <v/>
      </c>
      <c r="AI242" s="282" t="str">
        <f>IF(AH242="","",IF(VLOOKUP(AH242,'G-3 Multipliers'!$S$3:$T$10,2,FALSE)=0,"Spatial Data Missing ⚠",VLOOKUP(AH242,'G-3 Multipliers'!$S$3:$T$10,2,FALSE)))</f>
        <v/>
      </c>
      <c r="AJ242" s="323" t="str">
        <f t="shared" si="30"/>
        <v/>
      </c>
      <c r="AK242" s="295" t="str">
        <f t="shared" si="31"/>
        <v/>
      </c>
      <c r="AL242" s="105"/>
      <c r="AM242" s="119"/>
      <c r="AN242" s="108"/>
      <c r="AO242" s="108"/>
      <c r="AQ242" s="30" t="str">
        <f>IFERROR(INDEX('G-6 Hedgerow Data'!$BJ$3:$BJ$15,MATCH(M242,'G-6 Hedgerow Data'!$B$3:$B$15,0)),"")</f>
        <v/>
      </c>
    </row>
    <row r="243" spans="2:43" ht="13.8" x14ac:dyDescent="0.25">
      <c r="B243" s="311" t="str">
        <f>'E-1 Off-Site Hedge Baseline'!AN241</f>
        <v/>
      </c>
      <c r="C243" s="301" t="str">
        <f>IF(B243="","",IF(ISNA(VLOOKUP($B243,'E-1 Off-Site Hedge Baseline'!$B$1:$L$257,3,FALSE)),"",(VLOOKUP($B243,'E-1 Off-Site Hedge Baseline'!$B$1:$L$257,3,FALSE))))</f>
        <v/>
      </c>
      <c r="D243" s="301" t="str">
        <f>IF(B243="","",IF(ISNA(VLOOKUP($B243,'E-1 Off-Site Hedge Baseline'!$B$1:$L$258,4,FALSE)),"",(VLOOKUP($B243,'E-1 Off-Site Hedge Baseline'!$B$1:$L$258,4,FALSE))))</f>
        <v/>
      </c>
      <c r="E243" s="301" t="str">
        <f>IF(B243="","",IF(ISNA(VLOOKUP($B243,'E-1 Off-Site Hedge Baseline'!$B$1:$L$257,5,FALSE)),"",(VLOOKUP($B243,'E-1 Off-Site Hedge Baseline'!$B$1:$L$257,5,FALSE))))</f>
        <v/>
      </c>
      <c r="F243" s="301" t="str">
        <f>IF(B243="","",IF(ISNA(VLOOKUP($B243,'E-1 Off-Site Hedge Baseline'!$B$1:$L$257,6,FALSE)),"",(VLOOKUP($B243,'E-1 Off-Site Hedge Baseline'!$B$1:$L$257,6,FALSE))))</f>
        <v/>
      </c>
      <c r="G243" s="301" t="str">
        <f>IF(B243="","",IF(ISNA(VLOOKUP($B243,'E-1 Off-Site Hedge Baseline'!$B$1:$L$257,7,FALSE)),"",(VLOOKUP($B243,'E-1 Off-Site Hedge Baseline'!$B$1:$L$257,7,FALSE))))</f>
        <v/>
      </c>
      <c r="H243" s="301" t="str">
        <f>IF(B243="","",IF(ISNA(VLOOKUP($B243,'E-1 Off-Site Hedge Baseline'!$B$1:$L$257,8,FALSE)),"",(VLOOKUP($B243,'E-1 Off-Site Hedge Baseline'!$B$1:$L$257,8,FALSE))))</f>
        <v/>
      </c>
      <c r="I243" s="301" t="str">
        <f>IF(B243="","",IF(ISNA(VLOOKUP($B243,'E-1 Off-Site Hedge Baseline'!$B$1:$L$257,10,FALSE)),"",(VLOOKUP($B243,'E-1 Off-Site Hedge Baseline'!$B$1:$L$257,10,FALSE))))</f>
        <v/>
      </c>
      <c r="J243" s="301" t="str">
        <f>IF(B243="","",IF(ISNA(VLOOKUP($B243,'E-1 Off-Site Hedge Baseline'!$B$1:$L$257,11,FALSE)),"",(VLOOKUP($B243,'E-1 Off-Site Hedge Baseline'!$B$1:$L$257,11,FALSE))))</f>
        <v/>
      </c>
      <c r="K243" s="301" t="str">
        <f>IF(B243="","",IF(ISNA(VLOOKUP($B243,'E-1 Off-Site Hedge Baseline'!$B$1:$X$257,16,FALSE)),"",(VLOOKUP($B243,'E-1 Off-Site Hedge Baseline'!$B$1:$X$257,16,FALSE))))</f>
        <v/>
      </c>
      <c r="L243" s="289" t="str">
        <f>IF(B243="","",IF(ISNA(VLOOKUP($B243,'E-1 Off-Site Hedge Baseline'!$B$1:$X$257,12,FALSE)),"",(VLOOKUP($B243,'E-1 Off-Site Hedge Baseline'!$B$1:$X$257,12,FALSE))))</f>
        <v/>
      </c>
      <c r="M243" s="250"/>
      <c r="N243" s="281" t="str">
        <f>IFERROR(IF(B243="","",INDEX('G-6 Hedgerow Data'!$AN$3:$AZ$15,MATCH(C243,'G-6 Hedgerow Data'!$AM$3:$AM$15,0),MATCH(M243,'G-6 Hedgerow Data'!$AN$2:$AZ$2,0))),"")</f>
        <v/>
      </c>
      <c r="O243" s="282" t="str">
        <f t="shared" si="25"/>
        <v/>
      </c>
      <c r="P243" s="287" t="str">
        <f>IF(B243="","",VLOOKUP(B243,'E-1 Off-Site Hedge Baseline'!$B$10:W488,19,FALSE))</f>
        <v/>
      </c>
      <c r="Q243" s="281" t="str">
        <f>IF(M243="","",VLOOKUP(M243,'G-6 Hedgerow Data'!$B$2:$AG$15,2,FALSE))</f>
        <v/>
      </c>
      <c r="R243" s="282" t="str">
        <f>IF(M243="","",VLOOKUP(M243,'G-6 Hedgerow Data'!$B$2:$AG$15,3,FALSE))</f>
        <v/>
      </c>
      <c r="S243" s="105"/>
      <c r="T243" s="282" t="str">
        <f>IFERROR(IF(S243="","",IF(AND(M243="Non-native and ornamental hedgerow", S243&lt;&gt;"Poor"),"Not possible ▲", (IF(AND(Q243="V.Low",OR(S243="Good",S243="Moderate")),"Error ▲",VLOOKUP(S243,'G-1 All Habitats'!$Z$2:$AA$9,2,FALSE))))),"")</f>
        <v/>
      </c>
      <c r="U243" s="105"/>
      <c r="V243" s="289" t="str">
        <f>IF(U243="","",IF(VLOOKUP(U243,'G-3 Multipliers'!$L$3:$N$6,2,FALSE)=0,"Spatial Data Missing ⚠",VLOOKUP(U243,'G-3 Multipliers'!$L$3:$N$6,2,FALSE)))</f>
        <v/>
      </c>
      <c r="W243" s="287" t="str">
        <f>IF(U243="","",IF(VLOOKUP(U243,'G-3 Multipliers'!$L$3:$N$6,3,FALSE)=0,"Spatial Data Missing ⚠",VLOOKUP(U243,'G-3 Multipliers'!$L$3:$N$6,3,FALSE)))</f>
        <v/>
      </c>
      <c r="X243" s="281" t="str">
        <f>IFERROR(IF(OR(LEFT(O243,5)="Error",LEFT(N243,5)="Error",T243="Error"),"Check Data ⚠",IF(F243&lt;R243,INDEX('G-6 Hedgerow Data'!$S$3:$AE$14,MATCH(C243,'G-6 Hedgerow Data'!$B$3:$B$14,0),MATCH(M243,'G-6 Hedgerow Data'!$S$2:$AE$2,0)),INDEX('G-6 Hedgerow Data'!$K$3:$Q$14,MATCH(M243,'G-6 Hedgerow Data'!$B$3:$B$14,0),MATCH(O243,'G-6 Hedgerow Data'!$K$2:$Q$2,0)))),"")</f>
        <v/>
      </c>
      <c r="Y243" s="137"/>
      <c r="Z243" s="137"/>
      <c r="AA243" s="289" t="str">
        <f t="shared" si="26"/>
        <v/>
      </c>
      <c r="AB243" s="302" t="str">
        <f t="shared" si="27"/>
        <v/>
      </c>
      <c r="AC243" s="303" t="str">
        <f t="shared" si="24"/>
        <v/>
      </c>
      <c r="AD243" s="317" t="str">
        <f>IF(M243="","",VLOOKUP(M243,'G-6 Hedgerow Data'!$B$3:$AG$15,31,FALSE))</f>
        <v/>
      </c>
      <c r="AE243" s="301" t="str">
        <f t="shared" si="28"/>
        <v/>
      </c>
      <c r="AF243" s="289" t="str">
        <f t="shared" si="29"/>
        <v/>
      </c>
      <c r="AG243" s="305" t="str">
        <f>IFERROR(IF(O243="","",VLOOKUP(AD243,'G-3 Multipliers'!$P$3:$Q$6,2,FALSE)),"")</f>
        <v/>
      </c>
      <c r="AH243" s="729" t="str">
        <f>IF(B243="","",IF(ISNA(VLOOKUP($B243,'E-1 Off-Site Hedge Baseline'!$B$1:$Z$257,14,FALSE)),"",(VLOOKUP($B243,'E-1 Off-Site Hedge Baseline'!$B$1:$Z$257,14,FALSE))))</f>
        <v/>
      </c>
      <c r="AI243" s="282" t="str">
        <f>IF(AH243="","",IF(VLOOKUP(AH243,'G-3 Multipliers'!$S$3:$T$10,2,FALSE)=0,"Spatial Data Missing ⚠",VLOOKUP(AH243,'G-3 Multipliers'!$S$3:$T$10,2,FALSE)))</f>
        <v/>
      </c>
      <c r="AJ243" s="323" t="str">
        <f t="shared" si="30"/>
        <v/>
      </c>
      <c r="AK243" s="295" t="str">
        <f t="shared" si="31"/>
        <v/>
      </c>
      <c r="AL243" s="105"/>
      <c r="AM243" s="119"/>
      <c r="AN243" s="108"/>
      <c r="AO243" s="108"/>
      <c r="AQ243" s="30" t="str">
        <f>IFERROR(INDEX('G-6 Hedgerow Data'!$BJ$3:$BJ$15,MATCH(M243,'G-6 Hedgerow Data'!$B$3:$B$15,0)),"")</f>
        <v/>
      </c>
    </row>
    <row r="244" spans="2:43" ht="13.8" x14ac:dyDescent="0.25">
      <c r="B244" s="311" t="str">
        <f>'E-1 Off-Site Hedge Baseline'!AN242</f>
        <v/>
      </c>
      <c r="C244" s="301" t="str">
        <f>IF(B244="","",IF(ISNA(VLOOKUP($B244,'E-1 Off-Site Hedge Baseline'!$B$1:$L$257,3,FALSE)),"",(VLOOKUP($B244,'E-1 Off-Site Hedge Baseline'!$B$1:$L$257,3,FALSE))))</f>
        <v/>
      </c>
      <c r="D244" s="301" t="str">
        <f>IF(B244="","",IF(ISNA(VLOOKUP($B244,'E-1 Off-Site Hedge Baseline'!$B$1:$L$258,4,FALSE)),"",(VLOOKUP($B244,'E-1 Off-Site Hedge Baseline'!$B$1:$L$258,4,FALSE))))</f>
        <v/>
      </c>
      <c r="E244" s="301" t="str">
        <f>IF(B244="","",IF(ISNA(VLOOKUP($B244,'E-1 Off-Site Hedge Baseline'!$B$1:$L$257,5,FALSE)),"",(VLOOKUP($B244,'E-1 Off-Site Hedge Baseline'!$B$1:$L$257,5,FALSE))))</f>
        <v/>
      </c>
      <c r="F244" s="301" t="str">
        <f>IF(B244="","",IF(ISNA(VLOOKUP($B244,'E-1 Off-Site Hedge Baseline'!$B$1:$L$257,6,FALSE)),"",(VLOOKUP($B244,'E-1 Off-Site Hedge Baseline'!$B$1:$L$257,6,FALSE))))</f>
        <v/>
      </c>
      <c r="G244" s="301" t="str">
        <f>IF(B244="","",IF(ISNA(VLOOKUP($B244,'E-1 Off-Site Hedge Baseline'!$B$1:$L$257,7,FALSE)),"",(VLOOKUP($B244,'E-1 Off-Site Hedge Baseline'!$B$1:$L$257,7,FALSE))))</f>
        <v/>
      </c>
      <c r="H244" s="301" t="str">
        <f>IF(B244="","",IF(ISNA(VLOOKUP($B244,'E-1 Off-Site Hedge Baseline'!$B$1:$L$257,8,FALSE)),"",(VLOOKUP($B244,'E-1 Off-Site Hedge Baseline'!$B$1:$L$257,8,FALSE))))</f>
        <v/>
      </c>
      <c r="I244" s="301" t="str">
        <f>IF(B244="","",IF(ISNA(VLOOKUP($B244,'E-1 Off-Site Hedge Baseline'!$B$1:$L$257,10,FALSE)),"",(VLOOKUP($B244,'E-1 Off-Site Hedge Baseline'!$B$1:$L$257,10,FALSE))))</f>
        <v/>
      </c>
      <c r="J244" s="301" t="str">
        <f>IF(B244="","",IF(ISNA(VLOOKUP($B244,'E-1 Off-Site Hedge Baseline'!$B$1:$L$257,11,FALSE)),"",(VLOOKUP($B244,'E-1 Off-Site Hedge Baseline'!$B$1:$L$257,11,FALSE))))</f>
        <v/>
      </c>
      <c r="K244" s="301" t="str">
        <f>IF(B244="","",IF(ISNA(VLOOKUP($B244,'E-1 Off-Site Hedge Baseline'!$B$1:$X$257,16,FALSE)),"",(VLOOKUP($B244,'E-1 Off-Site Hedge Baseline'!$B$1:$X$257,16,FALSE))))</f>
        <v/>
      </c>
      <c r="L244" s="289" t="str">
        <f>IF(B244="","",IF(ISNA(VLOOKUP($B244,'E-1 Off-Site Hedge Baseline'!$B$1:$X$257,12,FALSE)),"",(VLOOKUP($B244,'E-1 Off-Site Hedge Baseline'!$B$1:$X$257,12,FALSE))))</f>
        <v/>
      </c>
      <c r="M244" s="250"/>
      <c r="N244" s="281" t="str">
        <f>IFERROR(IF(B244="","",INDEX('G-6 Hedgerow Data'!$AN$3:$AZ$15,MATCH(C244,'G-6 Hedgerow Data'!$AM$3:$AM$15,0),MATCH(M244,'G-6 Hedgerow Data'!$AN$2:$AZ$2,0))),"")</f>
        <v/>
      </c>
      <c r="O244" s="282" t="str">
        <f t="shared" si="25"/>
        <v/>
      </c>
      <c r="P244" s="287" t="str">
        <f>IF(B244="","",VLOOKUP(B244,'E-1 Off-Site Hedge Baseline'!$B$10:W489,19,FALSE))</f>
        <v/>
      </c>
      <c r="Q244" s="281" t="str">
        <f>IF(M244="","",VLOOKUP(M244,'G-6 Hedgerow Data'!$B$2:$AG$15,2,FALSE))</f>
        <v/>
      </c>
      <c r="R244" s="282" t="str">
        <f>IF(M244="","",VLOOKUP(M244,'G-6 Hedgerow Data'!$B$2:$AG$15,3,FALSE))</f>
        <v/>
      </c>
      <c r="S244" s="105"/>
      <c r="T244" s="282" t="str">
        <f>IFERROR(IF(S244="","",IF(AND(M244="Non-native and ornamental hedgerow", S244&lt;&gt;"Poor"),"Not possible ▲", (IF(AND(Q244="V.Low",OR(S244="Good",S244="Moderate")),"Error ▲",VLOOKUP(S244,'G-1 All Habitats'!$Z$2:$AA$9,2,FALSE))))),"")</f>
        <v/>
      </c>
      <c r="U244" s="105"/>
      <c r="V244" s="289" t="str">
        <f>IF(U244="","",IF(VLOOKUP(U244,'G-3 Multipliers'!$L$3:$N$6,2,FALSE)=0,"Spatial Data Missing ⚠",VLOOKUP(U244,'G-3 Multipliers'!$L$3:$N$6,2,FALSE)))</f>
        <v/>
      </c>
      <c r="W244" s="287" t="str">
        <f>IF(U244="","",IF(VLOOKUP(U244,'G-3 Multipliers'!$L$3:$N$6,3,FALSE)=0,"Spatial Data Missing ⚠",VLOOKUP(U244,'G-3 Multipliers'!$L$3:$N$6,3,FALSE)))</f>
        <v/>
      </c>
      <c r="X244" s="281" t="str">
        <f>IFERROR(IF(OR(LEFT(O244,5)="Error",LEFT(N244,5)="Error",T244="Error"),"Check Data ⚠",IF(F244&lt;R244,INDEX('G-6 Hedgerow Data'!$S$3:$AE$14,MATCH(C244,'G-6 Hedgerow Data'!$B$3:$B$14,0),MATCH(M244,'G-6 Hedgerow Data'!$S$2:$AE$2,0)),INDEX('G-6 Hedgerow Data'!$K$3:$Q$14,MATCH(M244,'G-6 Hedgerow Data'!$B$3:$B$14,0),MATCH(O244,'G-6 Hedgerow Data'!$K$2:$Q$2,0)))),"")</f>
        <v/>
      </c>
      <c r="Y244" s="137"/>
      <c r="Z244" s="137"/>
      <c r="AA244" s="289" t="str">
        <f t="shared" si="26"/>
        <v/>
      </c>
      <c r="AB244" s="302" t="str">
        <f t="shared" si="27"/>
        <v/>
      </c>
      <c r="AC244" s="303" t="str">
        <f t="shared" si="24"/>
        <v/>
      </c>
      <c r="AD244" s="317" t="str">
        <f>IF(M244="","",VLOOKUP(M244,'G-6 Hedgerow Data'!$B$3:$AG$15,31,FALSE))</f>
        <v/>
      </c>
      <c r="AE244" s="301" t="str">
        <f t="shared" si="28"/>
        <v/>
      </c>
      <c r="AF244" s="289" t="str">
        <f t="shared" si="29"/>
        <v/>
      </c>
      <c r="AG244" s="305" t="str">
        <f>IFERROR(IF(O244="","",VLOOKUP(AD244,'G-3 Multipliers'!$P$3:$Q$6,2,FALSE)),"")</f>
        <v/>
      </c>
      <c r="AH244" s="729" t="str">
        <f>IF(B244="","",IF(ISNA(VLOOKUP($B244,'E-1 Off-Site Hedge Baseline'!$B$1:$Z$257,14,FALSE)),"",(VLOOKUP($B244,'E-1 Off-Site Hedge Baseline'!$B$1:$Z$257,14,FALSE))))</f>
        <v/>
      </c>
      <c r="AI244" s="282" t="str">
        <f>IF(AH244="","",IF(VLOOKUP(AH244,'G-3 Multipliers'!$S$3:$T$10,2,FALSE)=0,"Spatial Data Missing ⚠",VLOOKUP(AH244,'G-3 Multipliers'!$S$3:$T$10,2,FALSE)))</f>
        <v/>
      </c>
      <c r="AJ244" s="323" t="str">
        <f t="shared" si="30"/>
        <v/>
      </c>
      <c r="AK244" s="295" t="str">
        <f t="shared" si="31"/>
        <v/>
      </c>
      <c r="AL244" s="105"/>
      <c r="AM244" s="119"/>
      <c r="AN244" s="108"/>
      <c r="AO244" s="108"/>
      <c r="AQ244" s="30" t="str">
        <f>IFERROR(INDEX('G-6 Hedgerow Data'!$BJ$3:$BJ$15,MATCH(M244,'G-6 Hedgerow Data'!$B$3:$B$15,0)),"")</f>
        <v/>
      </c>
    </row>
    <row r="245" spans="2:43" ht="13.8" x14ac:dyDescent="0.25">
      <c r="B245" s="311" t="str">
        <f>'E-1 Off-Site Hedge Baseline'!AN243</f>
        <v/>
      </c>
      <c r="C245" s="301" t="str">
        <f>IF(B245="","",IF(ISNA(VLOOKUP($B245,'E-1 Off-Site Hedge Baseline'!$B$1:$L$257,3,FALSE)),"",(VLOOKUP($B245,'E-1 Off-Site Hedge Baseline'!$B$1:$L$257,3,FALSE))))</f>
        <v/>
      </c>
      <c r="D245" s="301" t="str">
        <f>IF(B245="","",IF(ISNA(VLOOKUP($B245,'E-1 Off-Site Hedge Baseline'!$B$1:$L$258,4,FALSE)),"",(VLOOKUP($B245,'E-1 Off-Site Hedge Baseline'!$B$1:$L$258,4,FALSE))))</f>
        <v/>
      </c>
      <c r="E245" s="301" t="str">
        <f>IF(B245="","",IF(ISNA(VLOOKUP($B245,'E-1 Off-Site Hedge Baseline'!$B$1:$L$257,5,FALSE)),"",(VLOOKUP($B245,'E-1 Off-Site Hedge Baseline'!$B$1:$L$257,5,FALSE))))</f>
        <v/>
      </c>
      <c r="F245" s="301" t="str">
        <f>IF(B245="","",IF(ISNA(VLOOKUP($B245,'E-1 Off-Site Hedge Baseline'!$B$1:$L$257,6,FALSE)),"",(VLOOKUP($B245,'E-1 Off-Site Hedge Baseline'!$B$1:$L$257,6,FALSE))))</f>
        <v/>
      </c>
      <c r="G245" s="301" t="str">
        <f>IF(B245="","",IF(ISNA(VLOOKUP($B245,'E-1 Off-Site Hedge Baseline'!$B$1:$L$257,7,FALSE)),"",(VLOOKUP($B245,'E-1 Off-Site Hedge Baseline'!$B$1:$L$257,7,FALSE))))</f>
        <v/>
      </c>
      <c r="H245" s="301" t="str">
        <f>IF(B245="","",IF(ISNA(VLOOKUP($B245,'E-1 Off-Site Hedge Baseline'!$B$1:$L$257,8,FALSE)),"",(VLOOKUP($B245,'E-1 Off-Site Hedge Baseline'!$B$1:$L$257,8,FALSE))))</f>
        <v/>
      </c>
      <c r="I245" s="301" t="str">
        <f>IF(B245="","",IF(ISNA(VLOOKUP($B245,'E-1 Off-Site Hedge Baseline'!$B$1:$L$257,10,FALSE)),"",(VLOOKUP($B245,'E-1 Off-Site Hedge Baseline'!$B$1:$L$257,10,FALSE))))</f>
        <v/>
      </c>
      <c r="J245" s="301" t="str">
        <f>IF(B245="","",IF(ISNA(VLOOKUP($B245,'E-1 Off-Site Hedge Baseline'!$B$1:$L$257,11,FALSE)),"",(VLOOKUP($B245,'E-1 Off-Site Hedge Baseline'!$B$1:$L$257,11,FALSE))))</f>
        <v/>
      </c>
      <c r="K245" s="301" t="str">
        <f>IF(B245="","",IF(ISNA(VLOOKUP($B245,'E-1 Off-Site Hedge Baseline'!$B$1:$X$257,16,FALSE)),"",(VLOOKUP($B245,'E-1 Off-Site Hedge Baseline'!$B$1:$X$257,16,FALSE))))</f>
        <v/>
      </c>
      <c r="L245" s="289" t="str">
        <f>IF(B245="","",IF(ISNA(VLOOKUP($B245,'E-1 Off-Site Hedge Baseline'!$B$1:$X$257,12,FALSE)),"",(VLOOKUP($B245,'E-1 Off-Site Hedge Baseline'!$B$1:$X$257,12,FALSE))))</f>
        <v/>
      </c>
      <c r="M245" s="250"/>
      <c r="N245" s="281" t="str">
        <f>IFERROR(IF(B245="","",INDEX('G-6 Hedgerow Data'!$AN$3:$AZ$15,MATCH(C245,'G-6 Hedgerow Data'!$AM$3:$AM$15,0),MATCH(M245,'G-6 Hedgerow Data'!$AN$2:$AZ$2,0))),"")</f>
        <v/>
      </c>
      <c r="O245" s="282" t="str">
        <f t="shared" si="25"/>
        <v/>
      </c>
      <c r="P245" s="287" t="str">
        <f>IF(B245="","",VLOOKUP(B245,'E-1 Off-Site Hedge Baseline'!$B$10:W490,19,FALSE))</f>
        <v/>
      </c>
      <c r="Q245" s="281" t="str">
        <f>IF(M245="","",VLOOKUP(M245,'G-6 Hedgerow Data'!$B$2:$AG$15,2,FALSE))</f>
        <v/>
      </c>
      <c r="R245" s="282" t="str">
        <f>IF(M245="","",VLOOKUP(M245,'G-6 Hedgerow Data'!$B$2:$AG$15,3,FALSE))</f>
        <v/>
      </c>
      <c r="S245" s="105"/>
      <c r="T245" s="282" t="str">
        <f>IFERROR(IF(S245="","",IF(AND(M245="Non-native and ornamental hedgerow", S245&lt;&gt;"Poor"),"Not possible ▲", (IF(AND(Q245="V.Low",OR(S245="Good",S245="Moderate")),"Error ▲",VLOOKUP(S245,'G-1 All Habitats'!$Z$2:$AA$9,2,FALSE))))),"")</f>
        <v/>
      </c>
      <c r="U245" s="105"/>
      <c r="V245" s="289" t="str">
        <f>IF(U245="","",IF(VLOOKUP(U245,'G-3 Multipliers'!$L$3:$N$6,2,FALSE)=0,"Spatial Data Missing ⚠",VLOOKUP(U245,'G-3 Multipliers'!$L$3:$N$6,2,FALSE)))</f>
        <v/>
      </c>
      <c r="W245" s="287" t="str">
        <f>IF(U245="","",IF(VLOOKUP(U245,'G-3 Multipliers'!$L$3:$N$6,3,FALSE)=0,"Spatial Data Missing ⚠",VLOOKUP(U245,'G-3 Multipliers'!$L$3:$N$6,3,FALSE)))</f>
        <v/>
      </c>
      <c r="X245" s="281" t="str">
        <f>IFERROR(IF(OR(LEFT(O245,5)="Error",LEFT(N245,5)="Error",T245="Error"),"Check Data ⚠",IF(F245&lt;R245,INDEX('G-6 Hedgerow Data'!$S$3:$AE$14,MATCH(C245,'G-6 Hedgerow Data'!$B$3:$B$14,0),MATCH(M245,'G-6 Hedgerow Data'!$S$2:$AE$2,0)),INDEX('G-6 Hedgerow Data'!$K$3:$Q$14,MATCH(M245,'G-6 Hedgerow Data'!$B$3:$B$14,0),MATCH(O245,'G-6 Hedgerow Data'!$K$2:$Q$2,0)))),"")</f>
        <v/>
      </c>
      <c r="Y245" s="137"/>
      <c r="Z245" s="137"/>
      <c r="AA245" s="289" t="str">
        <f t="shared" si="26"/>
        <v/>
      </c>
      <c r="AB245" s="302" t="str">
        <f t="shared" si="27"/>
        <v/>
      </c>
      <c r="AC245" s="303" t="str">
        <f t="shared" si="24"/>
        <v/>
      </c>
      <c r="AD245" s="317" t="str">
        <f>IF(M245="","",VLOOKUP(M245,'G-6 Hedgerow Data'!$B$3:$AG$15,31,FALSE))</f>
        <v/>
      </c>
      <c r="AE245" s="301" t="str">
        <f t="shared" si="28"/>
        <v/>
      </c>
      <c r="AF245" s="289" t="str">
        <f t="shared" si="29"/>
        <v/>
      </c>
      <c r="AG245" s="305" t="str">
        <f>IFERROR(IF(O245="","",VLOOKUP(AD245,'G-3 Multipliers'!$P$3:$Q$6,2,FALSE)),"")</f>
        <v/>
      </c>
      <c r="AH245" s="729" t="str">
        <f>IF(B245="","",IF(ISNA(VLOOKUP($B245,'E-1 Off-Site Hedge Baseline'!$B$1:$Z$257,14,FALSE)),"",(VLOOKUP($B245,'E-1 Off-Site Hedge Baseline'!$B$1:$Z$257,14,FALSE))))</f>
        <v/>
      </c>
      <c r="AI245" s="282" t="str">
        <f>IF(AH245="","",IF(VLOOKUP(AH245,'G-3 Multipliers'!$S$3:$T$10,2,FALSE)=0,"Spatial Data Missing ⚠",VLOOKUP(AH245,'G-3 Multipliers'!$S$3:$T$10,2,FALSE)))</f>
        <v/>
      </c>
      <c r="AJ245" s="323" t="str">
        <f t="shared" si="30"/>
        <v/>
      </c>
      <c r="AK245" s="295" t="str">
        <f t="shared" si="31"/>
        <v/>
      </c>
      <c r="AL245" s="105"/>
      <c r="AM245" s="119"/>
      <c r="AN245" s="108"/>
      <c r="AO245" s="108"/>
      <c r="AQ245" s="30" t="str">
        <f>IFERROR(INDEX('G-6 Hedgerow Data'!$BJ$3:$BJ$15,MATCH(M245,'G-6 Hedgerow Data'!$B$3:$B$15,0)),"")</f>
        <v/>
      </c>
    </row>
    <row r="246" spans="2:43" ht="13.8" x14ac:dyDescent="0.25">
      <c r="B246" s="311" t="str">
        <f>'E-1 Off-Site Hedge Baseline'!AN244</f>
        <v/>
      </c>
      <c r="C246" s="301" t="str">
        <f>IF(B246="","",IF(ISNA(VLOOKUP($B246,'E-1 Off-Site Hedge Baseline'!$B$1:$L$257,3,FALSE)),"",(VLOOKUP($B246,'E-1 Off-Site Hedge Baseline'!$B$1:$L$257,3,FALSE))))</f>
        <v/>
      </c>
      <c r="D246" s="301" t="str">
        <f>IF(B246="","",IF(ISNA(VLOOKUP($B246,'E-1 Off-Site Hedge Baseline'!$B$1:$L$258,4,FALSE)),"",(VLOOKUP($B246,'E-1 Off-Site Hedge Baseline'!$B$1:$L$258,4,FALSE))))</f>
        <v/>
      </c>
      <c r="E246" s="301" t="str">
        <f>IF(B246="","",IF(ISNA(VLOOKUP($B246,'E-1 Off-Site Hedge Baseline'!$B$1:$L$257,5,FALSE)),"",(VLOOKUP($B246,'E-1 Off-Site Hedge Baseline'!$B$1:$L$257,5,FALSE))))</f>
        <v/>
      </c>
      <c r="F246" s="301" t="str">
        <f>IF(B246="","",IF(ISNA(VLOOKUP($B246,'E-1 Off-Site Hedge Baseline'!$B$1:$L$257,6,FALSE)),"",(VLOOKUP($B246,'E-1 Off-Site Hedge Baseline'!$B$1:$L$257,6,FALSE))))</f>
        <v/>
      </c>
      <c r="G246" s="301" t="str">
        <f>IF(B246="","",IF(ISNA(VLOOKUP($B246,'E-1 Off-Site Hedge Baseline'!$B$1:$L$257,7,FALSE)),"",(VLOOKUP($B246,'E-1 Off-Site Hedge Baseline'!$B$1:$L$257,7,FALSE))))</f>
        <v/>
      </c>
      <c r="H246" s="301" t="str">
        <f>IF(B246="","",IF(ISNA(VLOOKUP($B246,'E-1 Off-Site Hedge Baseline'!$B$1:$L$257,8,FALSE)),"",(VLOOKUP($B246,'E-1 Off-Site Hedge Baseline'!$B$1:$L$257,8,FALSE))))</f>
        <v/>
      </c>
      <c r="I246" s="301" t="str">
        <f>IF(B246="","",IF(ISNA(VLOOKUP($B246,'E-1 Off-Site Hedge Baseline'!$B$1:$L$257,10,FALSE)),"",(VLOOKUP($B246,'E-1 Off-Site Hedge Baseline'!$B$1:$L$257,10,FALSE))))</f>
        <v/>
      </c>
      <c r="J246" s="301" t="str">
        <f>IF(B246="","",IF(ISNA(VLOOKUP($B246,'E-1 Off-Site Hedge Baseline'!$B$1:$L$257,11,FALSE)),"",(VLOOKUP($B246,'E-1 Off-Site Hedge Baseline'!$B$1:$L$257,11,FALSE))))</f>
        <v/>
      </c>
      <c r="K246" s="301" t="str">
        <f>IF(B246="","",IF(ISNA(VLOOKUP($B246,'E-1 Off-Site Hedge Baseline'!$B$1:$X$257,16,FALSE)),"",(VLOOKUP($B246,'E-1 Off-Site Hedge Baseline'!$B$1:$X$257,16,FALSE))))</f>
        <v/>
      </c>
      <c r="L246" s="289" t="str">
        <f>IF(B246="","",IF(ISNA(VLOOKUP($B246,'E-1 Off-Site Hedge Baseline'!$B$1:$X$257,12,FALSE)),"",(VLOOKUP($B246,'E-1 Off-Site Hedge Baseline'!$B$1:$X$257,12,FALSE))))</f>
        <v/>
      </c>
      <c r="M246" s="250"/>
      <c r="N246" s="281" t="str">
        <f>IFERROR(IF(B246="","",INDEX('G-6 Hedgerow Data'!$AN$3:$AZ$15,MATCH(C246,'G-6 Hedgerow Data'!$AM$3:$AM$15,0),MATCH(M246,'G-6 Hedgerow Data'!$AN$2:$AZ$2,0))),"")</f>
        <v/>
      </c>
      <c r="O246" s="282" t="str">
        <f t="shared" si="25"/>
        <v/>
      </c>
      <c r="P246" s="287" t="str">
        <f>IF(B246="","",VLOOKUP(B246,'E-1 Off-Site Hedge Baseline'!$B$10:W491,19,FALSE))</f>
        <v/>
      </c>
      <c r="Q246" s="281" t="str">
        <f>IF(M246="","",VLOOKUP(M246,'G-6 Hedgerow Data'!$B$2:$AG$15,2,FALSE))</f>
        <v/>
      </c>
      <c r="R246" s="282" t="str">
        <f>IF(M246="","",VLOOKUP(M246,'G-6 Hedgerow Data'!$B$2:$AG$15,3,FALSE))</f>
        <v/>
      </c>
      <c r="S246" s="105"/>
      <c r="T246" s="282" t="str">
        <f>IFERROR(IF(S246="","",IF(AND(M246="Non-native and ornamental hedgerow", S246&lt;&gt;"Poor"),"Not possible ▲", (IF(AND(Q246="V.Low",OR(S246="Good",S246="Moderate")),"Error ▲",VLOOKUP(S246,'G-1 All Habitats'!$Z$2:$AA$9,2,FALSE))))),"")</f>
        <v/>
      </c>
      <c r="U246" s="105"/>
      <c r="V246" s="289" t="str">
        <f>IF(U246="","",IF(VLOOKUP(U246,'G-3 Multipliers'!$L$3:$N$6,2,FALSE)=0,"Spatial Data Missing ⚠",VLOOKUP(U246,'G-3 Multipliers'!$L$3:$N$6,2,FALSE)))</f>
        <v/>
      </c>
      <c r="W246" s="287" t="str">
        <f>IF(U246="","",IF(VLOOKUP(U246,'G-3 Multipliers'!$L$3:$N$6,3,FALSE)=0,"Spatial Data Missing ⚠",VLOOKUP(U246,'G-3 Multipliers'!$L$3:$N$6,3,FALSE)))</f>
        <v/>
      </c>
      <c r="X246" s="281" t="str">
        <f>IFERROR(IF(OR(LEFT(O246,5)="Error",LEFT(N246,5)="Error",T246="Error"),"Check Data ⚠",IF(F246&lt;R246,INDEX('G-6 Hedgerow Data'!$S$3:$AE$14,MATCH(C246,'G-6 Hedgerow Data'!$B$3:$B$14,0),MATCH(M246,'G-6 Hedgerow Data'!$S$2:$AE$2,0)),INDEX('G-6 Hedgerow Data'!$K$3:$Q$14,MATCH(M246,'G-6 Hedgerow Data'!$B$3:$B$14,0),MATCH(O246,'G-6 Hedgerow Data'!$K$2:$Q$2,0)))),"")</f>
        <v/>
      </c>
      <c r="Y246" s="137"/>
      <c r="Z246" s="137"/>
      <c r="AA246" s="289" t="str">
        <f t="shared" si="26"/>
        <v/>
      </c>
      <c r="AB246" s="302" t="str">
        <f t="shared" si="27"/>
        <v/>
      </c>
      <c r="AC246" s="303" t="str">
        <f t="shared" si="24"/>
        <v/>
      </c>
      <c r="AD246" s="317" t="str">
        <f>IF(M246="","",VLOOKUP(M246,'G-6 Hedgerow Data'!$B$3:$AG$15,31,FALSE))</f>
        <v/>
      </c>
      <c r="AE246" s="301" t="str">
        <f t="shared" si="28"/>
        <v/>
      </c>
      <c r="AF246" s="289" t="str">
        <f t="shared" si="29"/>
        <v/>
      </c>
      <c r="AG246" s="305" t="str">
        <f>IFERROR(IF(O246="","",VLOOKUP(AD246,'G-3 Multipliers'!$P$3:$Q$6,2,FALSE)),"")</f>
        <v/>
      </c>
      <c r="AH246" s="729" t="str">
        <f>IF(B246="","",IF(ISNA(VLOOKUP($B246,'E-1 Off-Site Hedge Baseline'!$B$1:$Z$257,14,FALSE)),"",(VLOOKUP($B246,'E-1 Off-Site Hedge Baseline'!$B$1:$Z$257,14,FALSE))))</f>
        <v/>
      </c>
      <c r="AI246" s="282" t="str">
        <f>IF(AH246="","",IF(VLOOKUP(AH246,'G-3 Multipliers'!$S$3:$T$10,2,FALSE)=0,"Spatial Data Missing ⚠",VLOOKUP(AH246,'G-3 Multipliers'!$S$3:$T$10,2,FALSE)))</f>
        <v/>
      </c>
      <c r="AJ246" s="323" t="str">
        <f t="shared" si="30"/>
        <v/>
      </c>
      <c r="AK246" s="295" t="str">
        <f t="shared" si="31"/>
        <v/>
      </c>
      <c r="AL246" s="105"/>
      <c r="AM246" s="119"/>
      <c r="AN246" s="108"/>
      <c r="AO246" s="108"/>
      <c r="AQ246" s="30" t="str">
        <f>IFERROR(INDEX('G-6 Hedgerow Data'!$BJ$3:$BJ$15,MATCH(M246,'G-6 Hedgerow Data'!$B$3:$B$15,0)),"")</f>
        <v/>
      </c>
    </row>
    <row r="247" spans="2:43" ht="13.8" x14ac:dyDescent="0.25">
      <c r="B247" s="311" t="str">
        <f>'E-1 Off-Site Hedge Baseline'!AN245</f>
        <v/>
      </c>
      <c r="C247" s="301" t="str">
        <f>IF(B247="","",IF(ISNA(VLOOKUP($B247,'E-1 Off-Site Hedge Baseline'!$B$1:$L$257,3,FALSE)),"",(VLOOKUP($B247,'E-1 Off-Site Hedge Baseline'!$B$1:$L$257,3,FALSE))))</f>
        <v/>
      </c>
      <c r="D247" s="301" t="str">
        <f>IF(B247="","",IF(ISNA(VLOOKUP($B247,'E-1 Off-Site Hedge Baseline'!$B$1:$L$258,4,FALSE)),"",(VLOOKUP($B247,'E-1 Off-Site Hedge Baseline'!$B$1:$L$258,4,FALSE))))</f>
        <v/>
      </c>
      <c r="E247" s="301" t="str">
        <f>IF(B247="","",IF(ISNA(VLOOKUP($B247,'E-1 Off-Site Hedge Baseline'!$B$1:$L$257,5,FALSE)),"",(VLOOKUP($B247,'E-1 Off-Site Hedge Baseline'!$B$1:$L$257,5,FALSE))))</f>
        <v/>
      </c>
      <c r="F247" s="301" t="str">
        <f>IF(B247="","",IF(ISNA(VLOOKUP($B247,'E-1 Off-Site Hedge Baseline'!$B$1:$L$257,6,FALSE)),"",(VLOOKUP($B247,'E-1 Off-Site Hedge Baseline'!$B$1:$L$257,6,FALSE))))</f>
        <v/>
      </c>
      <c r="G247" s="301" t="str">
        <f>IF(B247="","",IF(ISNA(VLOOKUP($B247,'E-1 Off-Site Hedge Baseline'!$B$1:$L$257,7,FALSE)),"",(VLOOKUP($B247,'E-1 Off-Site Hedge Baseline'!$B$1:$L$257,7,FALSE))))</f>
        <v/>
      </c>
      <c r="H247" s="301" t="str">
        <f>IF(B247="","",IF(ISNA(VLOOKUP($B247,'E-1 Off-Site Hedge Baseline'!$B$1:$L$257,8,FALSE)),"",(VLOOKUP($B247,'E-1 Off-Site Hedge Baseline'!$B$1:$L$257,8,FALSE))))</f>
        <v/>
      </c>
      <c r="I247" s="301" t="str">
        <f>IF(B247="","",IF(ISNA(VLOOKUP($B247,'E-1 Off-Site Hedge Baseline'!$B$1:$L$257,10,FALSE)),"",(VLOOKUP($B247,'E-1 Off-Site Hedge Baseline'!$B$1:$L$257,10,FALSE))))</f>
        <v/>
      </c>
      <c r="J247" s="301" t="str">
        <f>IF(B247="","",IF(ISNA(VLOOKUP($B247,'E-1 Off-Site Hedge Baseline'!$B$1:$L$257,11,FALSE)),"",(VLOOKUP($B247,'E-1 Off-Site Hedge Baseline'!$B$1:$L$257,11,FALSE))))</f>
        <v/>
      </c>
      <c r="K247" s="301" t="str">
        <f>IF(B247="","",IF(ISNA(VLOOKUP($B247,'E-1 Off-Site Hedge Baseline'!$B$1:$X$257,16,FALSE)),"",(VLOOKUP($B247,'E-1 Off-Site Hedge Baseline'!$B$1:$X$257,16,FALSE))))</f>
        <v/>
      </c>
      <c r="L247" s="289" t="str">
        <f>IF(B247="","",IF(ISNA(VLOOKUP($B247,'E-1 Off-Site Hedge Baseline'!$B$1:$X$257,12,FALSE)),"",(VLOOKUP($B247,'E-1 Off-Site Hedge Baseline'!$B$1:$X$257,12,FALSE))))</f>
        <v/>
      </c>
      <c r="M247" s="250"/>
      <c r="N247" s="281" t="str">
        <f>IFERROR(IF(B247="","",INDEX('G-6 Hedgerow Data'!$AN$3:$AZ$15,MATCH(C247,'G-6 Hedgerow Data'!$AM$3:$AM$15,0),MATCH(M247,'G-6 Hedgerow Data'!$AN$2:$AZ$2,0))),"")</f>
        <v/>
      </c>
      <c r="O247" s="282" t="str">
        <f t="shared" si="25"/>
        <v/>
      </c>
      <c r="P247" s="287" t="str">
        <f>IF(B247="","",VLOOKUP(B247,'E-1 Off-Site Hedge Baseline'!$B$10:W492,19,FALSE))</f>
        <v/>
      </c>
      <c r="Q247" s="281" t="str">
        <f>IF(M247="","",VLOOKUP(M247,'G-6 Hedgerow Data'!$B$2:$AG$15,2,FALSE))</f>
        <v/>
      </c>
      <c r="R247" s="282" t="str">
        <f>IF(M247="","",VLOOKUP(M247,'G-6 Hedgerow Data'!$B$2:$AG$15,3,FALSE))</f>
        <v/>
      </c>
      <c r="S247" s="105"/>
      <c r="T247" s="282" t="str">
        <f>IFERROR(IF(S247="","",IF(AND(M247="Non-native and ornamental hedgerow", S247&lt;&gt;"Poor"),"Not possible ▲", (IF(AND(Q247="V.Low",OR(S247="Good",S247="Moderate")),"Error ▲",VLOOKUP(S247,'G-1 All Habitats'!$Z$2:$AA$9,2,FALSE))))),"")</f>
        <v/>
      </c>
      <c r="U247" s="105"/>
      <c r="V247" s="289" t="str">
        <f>IF(U247="","",IF(VLOOKUP(U247,'G-3 Multipliers'!$L$3:$N$6,2,FALSE)=0,"Spatial Data Missing ⚠",VLOOKUP(U247,'G-3 Multipliers'!$L$3:$N$6,2,FALSE)))</f>
        <v/>
      </c>
      <c r="W247" s="287" t="str">
        <f>IF(U247="","",IF(VLOOKUP(U247,'G-3 Multipliers'!$L$3:$N$6,3,FALSE)=0,"Spatial Data Missing ⚠",VLOOKUP(U247,'G-3 Multipliers'!$L$3:$N$6,3,FALSE)))</f>
        <v/>
      </c>
      <c r="X247" s="281" t="str">
        <f>IFERROR(IF(OR(LEFT(O247,5)="Error",LEFT(N247,5)="Error",T247="Error"),"Check Data ⚠",IF(F247&lt;R247,INDEX('G-6 Hedgerow Data'!$S$3:$AE$14,MATCH(C247,'G-6 Hedgerow Data'!$B$3:$B$14,0),MATCH(M247,'G-6 Hedgerow Data'!$S$2:$AE$2,0)),INDEX('G-6 Hedgerow Data'!$K$3:$Q$14,MATCH(M247,'G-6 Hedgerow Data'!$B$3:$B$14,0),MATCH(O247,'G-6 Hedgerow Data'!$K$2:$Q$2,0)))),"")</f>
        <v/>
      </c>
      <c r="Y247" s="137"/>
      <c r="Z247" s="137"/>
      <c r="AA247" s="289" t="str">
        <f t="shared" si="26"/>
        <v/>
      </c>
      <c r="AB247" s="302" t="str">
        <f t="shared" si="27"/>
        <v/>
      </c>
      <c r="AC247" s="303" t="str">
        <f t="shared" si="24"/>
        <v/>
      </c>
      <c r="AD247" s="317" t="str">
        <f>IF(M247="","",VLOOKUP(M247,'G-6 Hedgerow Data'!$B$3:$AG$15,31,FALSE))</f>
        <v/>
      </c>
      <c r="AE247" s="301" t="str">
        <f t="shared" si="28"/>
        <v/>
      </c>
      <c r="AF247" s="289" t="str">
        <f t="shared" si="29"/>
        <v/>
      </c>
      <c r="AG247" s="305" t="str">
        <f>IFERROR(IF(O247="","",VLOOKUP(AD247,'G-3 Multipliers'!$P$3:$Q$6,2,FALSE)),"")</f>
        <v/>
      </c>
      <c r="AH247" s="729" t="str">
        <f>IF(B247="","",IF(ISNA(VLOOKUP($B247,'E-1 Off-Site Hedge Baseline'!$B$1:$Z$257,14,FALSE)),"",(VLOOKUP($B247,'E-1 Off-Site Hedge Baseline'!$B$1:$Z$257,14,FALSE))))</f>
        <v/>
      </c>
      <c r="AI247" s="282" t="str">
        <f>IF(AH247="","",IF(VLOOKUP(AH247,'G-3 Multipliers'!$S$3:$T$10,2,FALSE)=0,"Spatial Data Missing ⚠",VLOOKUP(AH247,'G-3 Multipliers'!$S$3:$T$10,2,FALSE)))</f>
        <v/>
      </c>
      <c r="AJ247" s="323" t="str">
        <f t="shared" si="30"/>
        <v/>
      </c>
      <c r="AK247" s="295" t="str">
        <f t="shared" si="31"/>
        <v/>
      </c>
      <c r="AL247" s="105"/>
      <c r="AM247" s="119"/>
      <c r="AN247" s="108"/>
      <c r="AO247" s="108"/>
      <c r="AQ247" s="30" t="str">
        <f>IFERROR(INDEX('G-6 Hedgerow Data'!$BJ$3:$BJ$15,MATCH(M247,'G-6 Hedgerow Data'!$B$3:$B$15,0)),"")</f>
        <v/>
      </c>
    </row>
    <row r="248" spans="2:43" ht="13.8" x14ac:dyDescent="0.25">
      <c r="B248" s="311" t="str">
        <f>'E-1 Off-Site Hedge Baseline'!AN246</f>
        <v/>
      </c>
      <c r="C248" s="301" t="str">
        <f>IF(B248="","",IF(ISNA(VLOOKUP($B248,'E-1 Off-Site Hedge Baseline'!$B$1:$L$257,3,FALSE)),"",(VLOOKUP($B248,'E-1 Off-Site Hedge Baseline'!$B$1:$L$257,3,FALSE))))</f>
        <v/>
      </c>
      <c r="D248" s="301" t="str">
        <f>IF(B248="","",IF(ISNA(VLOOKUP($B248,'E-1 Off-Site Hedge Baseline'!$B$1:$L$258,4,FALSE)),"",(VLOOKUP($B248,'E-1 Off-Site Hedge Baseline'!$B$1:$L$258,4,FALSE))))</f>
        <v/>
      </c>
      <c r="E248" s="301" t="str">
        <f>IF(B248="","",IF(ISNA(VLOOKUP($B248,'E-1 Off-Site Hedge Baseline'!$B$1:$L$257,5,FALSE)),"",(VLOOKUP($B248,'E-1 Off-Site Hedge Baseline'!$B$1:$L$257,5,FALSE))))</f>
        <v/>
      </c>
      <c r="F248" s="301" t="str">
        <f>IF(B248="","",IF(ISNA(VLOOKUP($B248,'E-1 Off-Site Hedge Baseline'!$B$1:$L$257,6,FALSE)),"",(VLOOKUP($B248,'E-1 Off-Site Hedge Baseline'!$B$1:$L$257,6,FALSE))))</f>
        <v/>
      </c>
      <c r="G248" s="301" t="str">
        <f>IF(B248="","",IF(ISNA(VLOOKUP($B248,'E-1 Off-Site Hedge Baseline'!$B$1:$L$257,7,FALSE)),"",(VLOOKUP($B248,'E-1 Off-Site Hedge Baseline'!$B$1:$L$257,7,FALSE))))</f>
        <v/>
      </c>
      <c r="H248" s="301" t="str">
        <f>IF(B248="","",IF(ISNA(VLOOKUP($B248,'E-1 Off-Site Hedge Baseline'!$B$1:$L$257,8,FALSE)),"",(VLOOKUP($B248,'E-1 Off-Site Hedge Baseline'!$B$1:$L$257,8,FALSE))))</f>
        <v/>
      </c>
      <c r="I248" s="301" t="str">
        <f>IF(B248="","",IF(ISNA(VLOOKUP($B248,'E-1 Off-Site Hedge Baseline'!$B$1:$L$257,10,FALSE)),"",(VLOOKUP($B248,'E-1 Off-Site Hedge Baseline'!$B$1:$L$257,10,FALSE))))</f>
        <v/>
      </c>
      <c r="J248" s="301" t="str">
        <f>IF(B248="","",IF(ISNA(VLOOKUP($B248,'E-1 Off-Site Hedge Baseline'!$B$1:$L$257,11,FALSE)),"",(VLOOKUP($B248,'E-1 Off-Site Hedge Baseline'!$B$1:$L$257,11,FALSE))))</f>
        <v/>
      </c>
      <c r="K248" s="301" t="str">
        <f>IF(B248="","",IF(ISNA(VLOOKUP($B248,'E-1 Off-Site Hedge Baseline'!$B$1:$X$257,16,FALSE)),"",(VLOOKUP($B248,'E-1 Off-Site Hedge Baseline'!$B$1:$X$257,16,FALSE))))</f>
        <v/>
      </c>
      <c r="L248" s="289" t="str">
        <f>IF(B248="","",IF(ISNA(VLOOKUP($B248,'E-1 Off-Site Hedge Baseline'!$B$1:$X$257,12,FALSE)),"",(VLOOKUP($B248,'E-1 Off-Site Hedge Baseline'!$B$1:$X$257,12,FALSE))))</f>
        <v/>
      </c>
      <c r="M248" s="250"/>
      <c r="N248" s="281" t="str">
        <f>IFERROR(IF(B248="","",INDEX('G-6 Hedgerow Data'!$AN$3:$AZ$15,MATCH(C248,'G-6 Hedgerow Data'!$AM$3:$AM$15,0),MATCH(M248,'G-6 Hedgerow Data'!$AN$2:$AZ$2,0))),"")</f>
        <v/>
      </c>
      <c r="O248" s="282" t="str">
        <f t="shared" si="25"/>
        <v/>
      </c>
      <c r="P248" s="287" t="str">
        <f>IF(B248="","",VLOOKUP(B248,'E-1 Off-Site Hedge Baseline'!$B$10:W493,19,FALSE))</f>
        <v/>
      </c>
      <c r="Q248" s="281" t="str">
        <f>IF(M248="","",VLOOKUP(M248,'G-6 Hedgerow Data'!$B$2:$AG$15,2,FALSE))</f>
        <v/>
      </c>
      <c r="R248" s="282" t="str">
        <f>IF(M248="","",VLOOKUP(M248,'G-6 Hedgerow Data'!$B$2:$AG$15,3,FALSE))</f>
        <v/>
      </c>
      <c r="S248" s="105"/>
      <c r="T248" s="282" t="str">
        <f>IFERROR(IF(S248="","",IF(AND(M248="Non-native and ornamental hedgerow", S248&lt;&gt;"Poor"),"Not possible ▲", (IF(AND(Q248="V.Low",OR(S248="Good",S248="Moderate")),"Error ▲",VLOOKUP(S248,'G-1 All Habitats'!$Z$2:$AA$9,2,FALSE))))),"")</f>
        <v/>
      </c>
      <c r="U248" s="105"/>
      <c r="V248" s="289" t="str">
        <f>IF(U248="","",IF(VLOOKUP(U248,'G-3 Multipliers'!$L$3:$N$6,2,FALSE)=0,"Spatial Data Missing ⚠",VLOOKUP(U248,'G-3 Multipliers'!$L$3:$N$6,2,FALSE)))</f>
        <v/>
      </c>
      <c r="W248" s="287" t="str">
        <f>IF(U248="","",IF(VLOOKUP(U248,'G-3 Multipliers'!$L$3:$N$6,3,FALSE)=0,"Spatial Data Missing ⚠",VLOOKUP(U248,'G-3 Multipliers'!$L$3:$N$6,3,FALSE)))</f>
        <v/>
      </c>
      <c r="X248" s="281" t="str">
        <f>IFERROR(IF(OR(LEFT(O248,5)="Error",LEFT(N248,5)="Error",T248="Error"),"Check Data ⚠",IF(F248&lt;R248,INDEX('G-6 Hedgerow Data'!$S$3:$AE$14,MATCH(C248,'G-6 Hedgerow Data'!$B$3:$B$14,0),MATCH(M248,'G-6 Hedgerow Data'!$S$2:$AE$2,0)),INDEX('G-6 Hedgerow Data'!$K$3:$Q$14,MATCH(M248,'G-6 Hedgerow Data'!$B$3:$B$14,0),MATCH(O248,'G-6 Hedgerow Data'!$K$2:$Q$2,0)))),"")</f>
        <v/>
      </c>
      <c r="Y248" s="137"/>
      <c r="Z248" s="137"/>
      <c r="AA248" s="289" t="str">
        <f t="shared" si="26"/>
        <v/>
      </c>
      <c r="AB248" s="302" t="str">
        <f t="shared" si="27"/>
        <v/>
      </c>
      <c r="AC248" s="303" t="str">
        <f t="shared" si="24"/>
        <v/>
      </c>
      <c r="AD248" s="317" t="str">
        <f>IF(M248="","",VLOOKUP(M248,'G-6 Hedgerow Data'!$B$3:$AG$15,31,FALSE))</f>
        <v/>
      </c>
      <c r="AE248" s="301" t="str">
        <f t="shared" si="28"/>
        <v/>
      </c>
      <c r="AF248" s="289" t="str">
        <f t="shared" si="29"/>
        <v/>
      </c>
      <c r="AG248" s="305" t="str">
        <f>IFERROR(IF(O248="","",VLOOKUP(AD248,'G-3 Multipliers'!$P$3:$Q$6,2,FALSE)),"")</f>
        <v/>
      </c>
      <c r="AH248" s="729" t="str">
        <f>IF(B248="","",IF(ISNA(VLOOKUP($B248,'E-1 Off-Site Hedge Baseline'!$B$1:$Z$257,14,FALSE)),"",(VLOOKUP($B248,'E-1 Off-Site Hedge Baseline'!$B$1:$Z$257,14,FALSE))))</f>
        <v/>
      </c>
      <c r="AI248" s="282" t="str">
        <f>IF(AH248="","",IF(VLOOKUP(AH248,'G-3 Multipliers'!$S$3:$T$10,2,FALSE)=0,"Spatial Data Missing ⚠",VLOOKUP(AH248,'G-3 Multipliers'!$S$3:$T$10,2,FALSE)))</f>
        <v/>
      </c>
      <c r="AJ248" s="323" t="str">
        <f t="shared" si="30"/>
        <v/>
      </c>
      <c r="AK248" s="295" t="str">
        <f t="shared" si="31"/>
        <v/>
      </c>
      <c r="AL248" s="105"/>
      <c r="AM248" s="119"/>
      <c r="AN248" s="108"/>
      <c r="AO248" s="108"/>
      <c r="AQ248" s="30" t="str">
        <f>IFERROR(INDEX('G-6 Hedgerow Data'!$BJ$3:$BJ$15,MATCH(M248,'G-6 Hedgerow Data'!$B$3:$B$15,0)),"")</f>
        <v/>
      </c>
    </row>
    <row r="249" spans="2:43" ht="13.8" x14ac:dyDescent="0.25">
      <c r="B249" s="311" t="str">
        <f>'E-1 Off-Site Hedge Baseline'!AN247</f>
        <v/>
      </c>
      <c r="C249" s="301" t="str">
        <f>IF(B249="","",IF(ISNA(VLOOKUP($B249,'E-1 Off-Site Hedge Baseline'!$B$1:$L$257,3,FALSE)),"",(VLOOKUP($B249,'E-1 Off-Site Hedge Baseline'!$B$1:$L$257,3,FALSE))))</f>
        <v/>
      </c>
      <c r="D249" s="301" t="str">
        <f>IF(B249="","",IF(ISNA(VLOOKUP($B249,'E-1 Off-Site Hedge Baseline'!$B$1:$L$258,4,FALSE)),"",(VLOOKUP($B249,'E-1 Off-Site Hedge Baseline'!$B$1:$L$258,4,FALSE))))</f>
        <v/>
      </c>
      <c r="E249" s="301" t="str">
        <f>IF(B249="","",IF(ISNA(VLOOKUP($B249,'E-1 Off-Site Hedge Baseline'!$B$1:$L$257,5,FALSE)),"",(VLOOKUP($B249,'E-1 Off-Site Hedge Baseline'!$B$1:$L$257,5,FALSE))))</f>
        <v/>
      </c>
      <c r="F249" s="301" t="str">
        <f>IF(B249="","",IF(ISNA(VLOOKUP($B249,'E-1 Off-Site Hedge Baseline'!$B$1:$L$257,6,FALSE)),"",(VLOOKUP($B249,'E-1 Off-Site Hedge Baseline'!$B$1:$L$257,6,FALSE))))</f>
        <v/>
      </c>
      <c r="G249" s="301" t="str">
        <f>IF(B249="","",IF(ISNA(VLOOKUP($B249,'E-1 Off-Site Hedge Baseline'!$B$1:$L$257,7,FALSE)),"",(VLOOKUP($B249,'E-1 Off-Site Hedge Baseline'!$B$1:$L$257,7,FALSE))))</f>
        <v/>
      </c>
      <c r="H249" s="301" t="str">
        <f>IF(B249="","",IF(ISNA(VLOOKUP($B249,'E-1 Off-Site Hedge Baseline'!$B$1:$L$257,8,FALSE)),"",(VLOOKUP($B249,'E-1 Off-Site Hedge Baseline'!$B$1:$L$257,8,FALSE))))</f>
        <v/>
      </c>
      <c r="I249" s="301" t="str">
        <f>IF(B249="","",IF(ISNA(VLOOKUP($B249,'E-1 Off-Site Hedge Baseline'!$B$1:$L$257,10,FALSE)),"",(VLOOKUP($B249,'E-1 Off-Site Hedge Baseline'!$B$1:$L$257,10,FALSE))))</f>
        <v/>
      </c>
      <c r="J249" s="301" t="str">
        <f>IF(B249="","",IF(ISNA(VLOOKUP($B249,'E-1 Off-Site Hedge Baseline'!$B$1:$L$257,11,FALSE)),"",(VLOOKUP($B249,'E-1 Off-Site Hedge Baseline'!$B$1:$L$257,11,FALSE))))</f>
        <v/>
      </c>
      <c r="K249" s="301" t="str">
        <f>IF(B249="","",IF(ISNA(VLOOKUP($B249,'E-1 Off-Site Hedge Baseline'!$B$1:$X$257,16,FALSE)),"",(VLOOKUP($B249,'E-1 Off-Site Hedge Baseline'!$B$1:$X$257,16,FALSE))))</f>
        <v/>
      </c>
      <c r="L249" s="289" t="str">
        <f>IF(B249="","",IF(ISNA(VLOOKUP($B249,'E-1 Off-Site Hedge Baseline'!$B$1:$X$257,12,FALSE)),"",(VLOOKUP($B249,'E-1 Off-Site Hedge Baseline'!$B$1:$X$257,12,FALSE))))</f>
        <v/>
      </c>
      <c r="M249" s="250"/>
      <c r="N249" s="281" t="str">
        <f>IFERROR(IF(B249="","",INDEX('G-6 Hedgerow Data'!$AN$3:$AZ$15,MATCH(C249,'G-6 Hedgerow Data'!$AM$3:$AM$15,0),MATCH(M249,'G-6 Hedgerow Data'!$AN$2:$AZ$2,0))),"")</f>
        <v/>
      </c>
      <c r="O249" s="282" t="str">
        <f t="shared" si="25"/>
        <v/>
      </c>
      <c r="P249" s="287" t="str">
        <f>IF(B249="","",VLOOKUP(B249,'E-1 Off-Site Hedge Baseline'!$B$10:W494,19,FALSE))</f>
        <v/>
      </c>
      <c r="Q249" s="281" t="str">
        <f>IF(M249="","",VLOOKUP(M249,'G-6 Hedgerow Data'!$B$2:$AG$15,2,FALSE))</f>
        <v/>
      </c>
      <c r="R249" s="282" t="str">
        <f>IF(M249="","",VLOOKUP(M249,'G-6 Hedgerow Data'!$B$2:$AG$15,3,FALSE))</f>
        <v/>
      </c>
      <c r="S249" s="105"/>
      <c r="T249" s="282" t="str">
        <f>IFERROR(IF(S249="","",IF(AND(M249="Non-native and ornamental hedgerow", S249&lt;&gt;"Poor"),"Not possible ▲", (IF(AND(Q249="V.Low",OR(S249="Good",S249="Moderate")),"Error ▲",VLOOKUP(S249,'G-1 All Habitats'!$Z$2:$AA$9,2,FALSE))))),"")</f>
        <v/>
      </c>
      <c r="U249" s="105"/>
      <c r="V249" s="289" t="str">
        <f>IF(U249="","",IF(VLOOKUP(U249,'G-3 Multipliers'!$L$3:$N$6,2,FALSE)=0,"Spatial Data Missing ⚠",VLOOKUP(U249,'G-3 Multipliers'!$L$3:$N$6,2,FALSE)))</f>
        <v/>
      </c>
      <c r="W249" s="287" t="str">
        <f>IF(U249="","",IF(VLOOKUP(U249,'G-3 Multipliers'!$L$3:$N$6,3,FALSE)=0,"Spatial Data Missing ⚠",VLOOKUP(U249,'G-3 Multipliers'!$L$3:$N$6,3,FALSE)))</f>
        <v/>
      </c>
      <c r="X249" s="281" t="str">
        <f>IFERROR(IF(OR(LEFT(O249,5)="Error",LEFT(N249,5)="Error",T249="Error"),"Check Data ⚠",IF(F249&lt;R249,INDEX('G-6 Hedgerow Data'!$S$3:$AE$14,MATCH(C249,'G-6 Hedgerow Data'!$B$3:$B$14,0),MATCH(M249,'G-6 Hedgerow Data'!$S$2:$AE$2,0)),INDEX('G-6 Hedgerow Data'!$K$3:$Q$14,MATCH(M249,'G-6 Hedgerow Data'!$B$3:$B$14,0),MATCH(O249,'G-6 Hedgerow Data'!$K$2:$Q$2,0)))),"")</f>
        <v/>
      </c>
      <c r="Y249" s="137"/>
      <c r="Z249" s="137"/>
      <c r="AA249" s="289" t="str">
        <f t="shared" si="26"/>
        <v/>
      </c>
      <c r="AB249" s="302" t="str">
        <f t="shared" si="27"/>
        <v/>
      </c>
      <c r="AC249" s="303" t="str">
        <f t="shared" si="24"/>
        <v/>
      </c>
      <c r="AD249" s="317" t="str">
        <f>IF(M249="","",VLOOKUP(M249,'G-6 Hedgerow Data'!$B$3:$AG$15,31,FALSE))</f>
        <v/>
      </c>
      <c r="AE249" s="301" t="str">
        <f t="shared" si="28"/>
        <v/>
      </c>
      <c r="AF249" s="289" t="str">
        <f t="shared" si="29"/>
        <v/>
      </c>
      <c r="AG249" s="305" t="str">
        <f>IFERROR(IF(O249="","",VLOOKUP(AD249,'G-3 Multipliers'!$P$3:$Q$6,2,FALSE)),"")</f>
        <v/>
      </c>
      <c r="AH249" s="729" t="str">
        <f>IF(B249="","",IF(ISNA(VLOOKUP($B249,'E-1 Off-Site Hedge Baseline'!$B$1:$Z$257,14,FALSE)),"",(VLOOKUP($B249,'E-1 Off-Site Hedge Baseline'!$B$1:$Z$257,14,FALSE))))</f>
        <v/>
      </c>
      <c r="AI249" s="282" t="str">
        <f>IF(AH249="","",IF(VLOOKUP(AH249,'G-3 Multipliers'!$S$3:$T$10,2,FALSE)=0,"Spatial Data Missing ⚠",VLOOKUP(AH249,'G-3 Multipliers'!$S$3:$T$10,2,FALSE)))</f>
        <v/>
      </c>
      <c r="AJ249" s="323" t="str">
        <f t="shared" si="30"/>
        <v/>
      </c>
      <c r="AK249" s="295" t="str">
        <f t="shared" si="31"/>
        <v/>
      </c>
      <c r="AL249" s="105"/>
      <c r="AM249" s="119"/>
      <c r="AN249" s="108"/>
      <c r="AO249" s="108"/>
      <c r="AQ249" s="30" t="str">
        <f>IFERROR(INDEX('G-6 Hedgerow Data'!$BJ$3:$BJ$15,MATCH(M249,'G-6 Hedgerow Data'!$B$3:$B$15,0)),"")</f>
        <v/>
      </c>
    </row>
    <row r="250" spans="2:43" ht="13.8" x14ac:dyDescent="0.25">
      <c r="B250" s="311" t="str">
        <f>'E-1 Off-Site Hedge Baseline'!AN248</f>
        <v/>
      </c>
      <c r="C250" s="301" t="str">
        <f>IF(B250="","",IF(ISNA(VLOOKUP($B250,'E-1 Off-Site Hedge Baseline'!$B$1:$L$257,3,FALSE)),"",(VLOOKUP($B250,'E-1 Off-Site Hedge Baseline'!$B$1:$L$257,3,FALSE))))</f>
        <v/>
      </c>
      <c r="D250" s="301" t="str">
        <f>IF(B250="","",IF(ISNA(VLOOKUP($B250,'E-1 Off-Site Hedge Baseline'!$B$1:$L$258,4,FALSE)),"",(VLOOKUP($B250,'E-1 Off-Site Hedge Baseline'!$B$1:$L$258,4,FALSE))))</f>
        <v/>
      </c>
      <c r="E250" s="301" t="str">
        <f>IF(B250="","",IF(ISNA(VLOOKUP($B250,'E-1 Off-Site Hedge Baseline'!$B$1:$L$257,5,FALSE)),"",(VLOOKUP($B250,'E-1 Off-Site Hedge Baseline'!$B$1:$L$257,5,FALSE))))</f>
        <v/>
      </c>
      <c r="F250" s="301" t="str">
        <f>IF(B250="","",IF(ISNA(VLOOKUP($B250,'E-1 Off-Site Hedge Baseline'!$B$1:$L$257,6,FALSE)),"",(VLOOKUP($B250,'E-1 Off-Site Hedge Baseline'!$B$1:$L$257,6,FALSE))))</f>
        <v/>
      </c>
      <c r="G250" s="301" t="str">
        <f>IF(B250="","",IF(ISNA(VLOOKUP($B250,'E-1 Off-Site Hedge Baseline'!$B$1:$L$257,7,FALSE)),"",(VLOOKUP($B250,'E-1 Off-Site Hedge Baseline'!$B$1:$L$257,7,FALSE))))</f>
        <v/>
      </c>
      <c r="H250" s="301" t="str">
        <f>IF(B250="","",IF(ISNA(VLOOKUP($B250,'E-1 Off-Site Hedge Baseline'!$B$1:$L$257,8,FALSE)),"",(VLOOKUP($B250,'E-1 Off-Site Hedge Baseline'!$B$1:$L$257,8,FALSE))))</f>
        <v/>
      </c>
      <c r="I250" s="301" t="str">
        <f>IF(B250="","",IF(ISNA(VLOOKUP($B250,'E-1 Off-Site Hedge Baseline'!$B$1:$L$257,10,FALSE)),"",(VLOOKUP($B250,'E-1 Off-Site Hedge Baseline'!$B$1:$L$257,10,FALSE))))</f>
        <v/>
      </c>
      <c r="J250" s="301" t="str">
        <f>IF(B250="","",IF(ISNA(VLOOKUP($B250,'E-1 Off-Site Hedge Baseline'!$B$1:$L$257,11,FALSE)),"",(VLOOKUP($B250,'E-1 Off-Site Hedge Baseline'!$B$1:$L$257,11,FALSE))))</f>
        <v/>
      </c>
      <c r="K250" s="301" t="str">
        <f>IF(B250="","",IF(ISNA(VLOOKUP($B250,'E-1 Off-Site Hedge Baseline'!$B$1:$X$257,16,FALSE)),"",(VLOOKUP($B250,'E-1 Off-Site Hedge Baseline'!$B$1:$X$257,16,FALSE))))</f>
        <v/>
      </c>
      <c r="L250" s="289" t="str">
        <f>IF(B250="","",IF(ISNA(VLOOKUP($B250,'E-1 Off-Site Hedge Baseline'!$B$1:$X$257,12,FALSE)),"",(VLOOKUP($B250,'E-1 Off-Site Hedge Baseline'!$B$1:$X$257,12,FALSE))))</f>
        <v/>
      </c>
      <c r="M250" s="250"/>
      <c r="N250" s="281" t="str">
        <f>IFERROR(IF(B250="","",INDEX('G-6 Hedgerow Data'!$AN$3:$AZ$15,MATCH(C250,'G-6 Hedgerow Data'!$AM$3:$AM$15,0),MATCH(M250,'G-6 Hedgerow Data'!$AN$2:$AZ$2,0))),"")</f>
        <v/>
      </c>
      <c r="O250" s="282" t="str">
        <f t="shared" si="25"/>
        <v/>
      </c>
      <c r="P250" s="287" t="str">
        <f>IF(B250="","",VLOOKUP(B250,'E-1 Off-Site Hedge Baseline'!$B$10:W495,19,FALSE))</f>
        <v/>
      </c>
      <c r="Q250" s="281" t="str">
        <f>IF(M250="","",VLOOKUP(M250,'G-6 Hedgerow Data'!$B$2:$AG$15,2,FALSE))</f>
        <v/>
      </c>
      <c r="R250" s="282" t="str">
        <f>IF(M250="","",VLOOKUP(M250,'G-6 Hedgerow Data'!$B$2:$AG$15,3,FALSE))</f>
        <v/>
      </c>
      <c r="S250" s="105"/>
      <c r="T250" s="282" t="str">
        <f>IFERROR(IF(S250="","",IF(AND(M250="Non-native and ornamental hedgerow", S250&lt;&gt;"Poor"),"Not possible ▲", (IF(AND(Q250="V.Low",OR(S250="Good",S250="Moderate")),"Error ▲",VLOOKUP(S250,'G-1 All Habitats'!$Z$2:$AA$9,2,FALSE))))),"")</f>
        <v/>
      </c>
      <c r="U250" s="105"/>
      <c r="V250" s="289" t="str">
        <f>IF(U250="","",IF(VLOOKUP(U250,'G-3 Multipliers'!$L$3:$N$6,2,FALSE)=0,"Spatial Data Missing ⚠",VLOOKUP(U250,'G-3 Multipliers'!$L$3:$N$6,2,FALSE)))</f>
        <v/>
      </c>
      <c r="W250" s="287" t="str">
        <f>IF(U250="","",IF(VLOOKUP(U250,'G-3 Multipliers'!$L$3:$N$6,3,FALSE)=0,"Spatial Data Missing ⚠",VLOOKUP(U250,'G-3 Multipliers'!$L$3:$N$6,3,FALSE)))</f>
        <v/>
      </c>
      <c r="X250" s="281" t="str">
        <f>IFERROR(IF(OR(LEFT(O250,5)="Error",LEFT(N250,5)="Error",T250="Error"),"Check Data ⚠",IF(F250&lt;R250,INDEX('G-6 Hedgerow Data'!$S$3:$AE$14,MATCH(C250,'G-6 Hedgerow Data'!$B$3:$B$14,0),MATCH(M250,'G-6 Hedgerow Data'!$S$2:$AE$2,0)),INDEX('G-6 Hedgerow Data'!$K$3:$Q$14,MATCH(M250,'G-6 Hedgerow Data'!$B$3:$B$14,0),MATCH(O250,'G-6 Hedgerow Data'!$K$2:$Q$2,0)))),"")</f>
        <v/>
      </c>
      <c r="Y250" s="137"/>
      <c r="Z250" s="137"/>
      <c r="AA250" s="289" t="str">
        <f t="shared" si="26"/>
        <v/>
      </c>
      <c r="AB250" s="302" t="str">
        <f t="shared" si="27"/>
        <v/>
      </c>
      <c r="AC250" s="303" t="str">
        <f t="shared" si="24"/>
        <v/>
      </c>
      <c r="AD250" s="317" t="str">
        <f>IF(M250="","",VLOOKUP(M250,'G-6 Hedgerow Data'!$B$3:$AG$15,31,FALSE))</f>
        <v/>
      </c>
      <c r="AE250" s="301" t="str">
        <f t="shared" si="28"/>
        <v/>
      </c>
      <c r="AF250" s="289" t="str">
        <f t="shared" si="29"/>
        <v/>
      </c>
      <c r="AG250" s="305" t="str">
        <f>IFERROR(IF(O250="","",VLOOKUP(AD250,'G-3 Multipliers'!$P$3:$Q$6,2,FALSE)),"")</f>
        <v/>
      </c>
      <c r="AH250" s="729" t="str">
        <f>IF(B250="","",IF(ISNA(VLOOKUP($B250,'E-1 Off-Site Hedge Baseline'!$B$1:$Z$257,14,FALSE)),"",(VLOOKUP($B250,'E-1 Off-Site Hedge Baseline'!$B$1:$Z$257,14,FALSE))))</f>
        <v/>
      </c>
      <c r="AI250" s="282" t="str">
        <f>IF(AH250="","",IF(VLOOKUP(AH250,'G-3 Multipliers'!$S$3:$T$10,2,FALSE)=0,"Spatial Data Missing ⚠",VLOOKUP(AH250,'G-3 Multipliers'!$S$3:$T$10,2,FALSE)))</f>
        <v/>
      </c>
      <c r="AJ250" s="323" t="str">
        <f t="shared" si="30"/>
        <v/>
      </c>
      <c r="AK250" s="295" t="str">
        <f t="shared" si="31"/>
        <v/>
      </c>
      <c r="AL250" s="105"/>
      <c r="AM250" s="119"/>
      <c r="AN250" s="108"/>
      <c r="AO250" s="108"/>
      <c r="AQ250" s="30" t="str">
        <f>IFERROR(INDEX('G-6 Hedgerow Data'!$BJ$3:$BJ$15,MATCH(M250,'G-6 Hedgerow Data'!$B$3:$B$15,0)),"")</f>
        <v/>
      </c>
    </row>
    <row r="251" spans="2:43" ht="13.8" x14ac:dyDescent="0.25">
      <c r="B251" s="311" t="str">
        <f>'E-1 Off-Site Hedge Baseline'!AN249</f>
        <v/>
      </c>
      <c r="C251" s="301" t="str">
        <f>IF(B251="","",IF(ISNA(VLOOKUP($B251,'E-1 Off-Site Hedge Baseline'!$B$1:$L$257,3,FALSE)),"",(VLOOKUP($B251,'E-1 Off-Site Hedge Baseline'!$B$1:$L$257,3,FALSE))))</f>
        <v/>
      </c>
      <c r="D251" s="301" t="str">
        <f>IF(B251="","",IF(ISNA(VLOOKUP($B251,'E-1 Off-Site Hedge Baseline'!$B$1:$L$258,4,FALSE)),"",(VLOOKUP($B251,'E-1 Off-Site Hedge Baseline'!$B$1:$L$258,4,FALSE))))</f>
        <v/>
      </c>
      <c r="E251" s="301" t="str">
        <f>IF(B251="","",IF(ISNA(VLOOKUP($B251,'E-1 Off-Site Hedge Baseline'!$B$1:$L$257,5,FALSE)),"",(VLOOKUP($B251,'E-1 Off-Site Hedge Baseline'!$B$1:$L$257,5,FALSE))))</f>
        <v/>
      </c>
      <c r="F251" s="301" t="str">
        <f>IF(B251="","",IF(ISNA(VLOOKUP($B251,'E-1 Off-Site Hedge Baseline'!$B$1:$L$257,6,FALSE)),"",(VLOOKUP($B251,'E-1 Off-Site Hedge Baseline'!$B$1:$L$257,6,FALSE))))</f>
        <v/>
      </c>
      <c r="G251" s="301" t="str">
        <f>IF(B251="","",IF(ISNA(VLOOKUP($B251,'E-1 Off-Site Hedge Baseline'!$B$1:$L$257,7,FALSE)),"",(VLOOKUP($B251,'E-1 Off-Site Hedge Baseline'!$B$1:$L$257,7,FALSE))))</f>
        <v/>
      </c>
      <c r="H251" s="301" t="str">
        <f>IF(B251="","",IF(ISNA(VLOOKUP($B251,'E-1 Off-Site Hedge Baseline'!$B$1:$L$257,8,FALSE)),"",(VLOOKUP($B251,'E-1 Off-Site Hedge Baseline'!$B$1:$L$257,8,FALSE))))</f>
        <v/>
      </c>
      <c r="I251" s="301" t="str">
        <f>IF(B251="","",IF(ISNA(VLOOKUP($B251,'E-1 Off-Site Hedge Baseline'!$B$1:$L$257,10,FALSE)),"",(VLOOKUP($B251,'E-1 Off-Site Hedge Baseline'!$B$1:$L$257,10,FALSE))))</f>
        <v/>
      </c>
      <c r="J251" s="301" t="str">
        <f>IF(B251="","",IF(ISNA(VLOOKUP($B251,'E-1 Off-Site Hedge Baseline'!$B$1:$L$257,11,FALSE)),"",(VLOOKUP($B251,'E-1 Off-Site Hedge Baseline'!$B$1:$L$257,11,FALSE))))</f>
        <v/>
      </c>
      <c r="K251" s="301" t="str">
        <f>IF(B251="","",IF(ISNA(VLOOKUP($B251,'E-1 Off-Site Hedge Baseline'!$B$1:$X$257,16,FALSE)),"",(VLOOKUP($B251,'E-1 Off-Site Hedge Baseline'!$B$1:$X$257,16,FALSE))))</f>
        <v/>
      </c>
      <c r="L251" s="289" t="str">
        <f>IF(B251="","",IF(ISNA(VLOOKUP($B251,'E-1 Off-Site Hedge Baseline'!$B$1:$X$257,12,FALSE)),"",(VLOOKUP($B251,'E-1 Off-Site Hedge Baseline'!$B$1:$X$257,12,FALSE))))</f>
        <v/>
      </c>
      <c r="M251" s="250"/>
      <c r="N251" s="281" t="str">
        <f>IFERROR(IF(B251="","",INDEX('G-6 Hedgerow Data'!$AN$3:$AZ$15,MATCH(C251,'G-6 Hedgerow Data'!$AM$3:$AM$15,0),MATCH(M251,'G-6 Hedgerow Data'!$AN$2:$AZ$2,0))),"")</f>
        <v/>
      </c>
      <c r="O251" s="282" t="str">
        <f t="shared" si="25"/>
        <v/>
      </c>
      <c r="P251" s="287" t="str">
        <f>IF(B251="","",VLOOKUP(B251,'E-1 Off-Site Hedge Baseline'!$B$10:W496,19,FALSE))</f>
        <v/>
      </c>
      <c r="Q251" s="281" t="str">
        <f>IF(M251="","",VLOOKUP(M251,'G-6 Hedgerow Data'!$B$2:$AG$15,2,FALSE))</f>
        <v/>
      </c>
      <c r="R251" s="282" t="str">
        <f>IF(M251="","",VLOOKUP(M251,'G-6 Hedgerow Data'!$B$2:$AG$15,3,FALSE))</f>
        <v/>
      </c>
      <c r="S251" s="105"/>
      <c r="T251" s="282" t="str">
        <f>IFERROR(IF(S251="","",IF(AND(M251="Non-native and ornamental hedgerow", S251&lt;&gt;"Poor"),"Not possible ▲", (IF(AND(Q251="V.Low",OR(S251="Good",S251="Moderate")),"Error ▲",VLOOKUP(S251,'G-1 All Habitats'!$Z$2:$AA$9,2,FALSE))))),"")</f>
        <v/>
      </c>
      <c r="U251" s="105"/>
      <c r="V251" s="289" t="str">
        <f>IF(U251="","",IF(VLOOKUP(U251,'G-3 Multipliers'!$L$3:$N$6,2,FALSE)=0,"Spatial Data Missing ⚠",VLOOKUP(U251,'G-3 Multipliers'!$L$3:$N$6,2,FALSE)))</f>
        <v/>
      </c>
      <c r="W251" s="287" t="str">
        <f>IF(U251="","",IF(VLOOKUP(U251,'G-3 Multipliers'!$L$3:$N$6,3,FALSE)=0,"Spatial Data Missing ⚠",VLOOKUP(U251,'G-3 Multipliers'!$L$3:$N$6,3,FALSE)))</f>
        <v/>
      </c>
      <c r="X251" s="281" t="str">
        <f>IFERROR(IF(OR(LEFT(O251,5)="Error",LEFT(N251,5)="Error",T251="Error"),"Check Data ⚠",IF(F251&lt;R251,INDEX('G-6 Hedgerow Data'!$S$3:$AE$14,MATCH(C251,'G-6 Hedgerow Data'!$B$3:$B$14,0),MATCH(M251,'G-6 Hedgerow Data'!$S$2:$AE$2,0)),INDEX('G-6 Hedgerow Data'!$K$3:$Q$14,MATCH(M251,'G-6 Hedgerow Data'!$B$3:$B$14,0),MATCH(O251,'G-6 Hedgerow Data'!$K$2:$Q$2,0)))),"")</f>
        <v/>
      </c>
      <c r="Y251" s="137"/>
      <c r="Z251" s="137"/>
      <c r="AA251" s="289" t="str">
        <f t="shared" si="26"/>
        <v/>
      </c>
      <c r="AB251" s="302" t="str">
        <f t="shared" si="27"/>
        <v/>
      </c>
      <c r="AC251" s="303" t="str">
        <f t="shared" si="24"/>
        <v/>
      </c>
      <c r="AD251" s="317" t="str">
        <f>IF(M251="","",VLOOKUP(M251,'G-6 Hedgerow Data'!$B$3:$AG$15,31,FALSE))</f>
        <v/>
      </c>
      <c r="AE251" s="301" t="str">
        <f t="shared" si="28"/>
        <v/>
      </c>
      <c r="AF251" s="289" t="str">
        <f t="shared" si="29"/>
        <v/>
      </c>
      <c r="AG251" s="305" t="str">
        <f>IFERROR(IF(O251="","",VLOOKUP(AD251,'G-3 Multipliers'!$P$3:$Q$6,2,FALSE)),"")</f>
        <v/>
      </c>
      <c r="AH251" s="729" t="str">
        <f>IF(B251="","",IF(ISNA(VLOOKUP($B251,'E-1 Off-Site Hedge Baseline'!$B$1:$Z$257,14,FALSE)),"",(VLOOKUP($B251,'E-1 Off-Site Hedge Baseline'!$B$1:$Z$257,14,FALSE))))</f>
        <v/>
      </c>
      <c r="AI251" s="282" t="str">
        <f>IF(AH251="","",IF(VLOOKUP(AH251,'G-3 Multipliers'!$S$3:$T$10,2,FALSE)=0,"Spatial Data Missing ⚠",VLOOKUP(AH251,'G-3 Multipliers'!$S$3:$T$10,2,FALSE)))</f>
        <v/>
      </c>
      <c r="AJ251" s="323" t="str">
        <f t="shared" si="30"/>
        <v/>
      </c>
      <c r="AK251" s="295" t="str">
        <f t="shared" si="31"/>
        <v/>
      </c>
      <c r="AL251" s="105"/>
      <c r="AM251" s="119"/>
      <c r="AN251" s="108"/>
      <c r="AO251" s="108"/>
      <c r="AQ251" s="30" t="str">
        <f>IFERROR(INDEX('G-6 Hedgerow Data'!$BJ$3:$BJ$15,MATCH(M251,'G-6 Hedgerow Data'!$B$3:$B$15,0)),"")</f>
        <v/>
      </c>
    </row>
    <row r="252" spans="2:43" ht="13.8" x14ac:dyDescent="0.25">
      <c r="B252" s="311" t="str">
        <f>'E-1 Off-Site Hedge Baseline'!AN250</f>
        <v/>
      </c>
      <c r="C252" s="301" t="str">
        <f>IF(B252="","",IF(ISNA(VLOOKUP($B252,'E-1 Off-Site Hedge Baseline'!$B$1:$L$257,3,FALSE)),"",(VLOOKUP($B252,'E-1 Off-Site Hedge Baseline'!$B$1:$L$257,3,FALSE))))</f>
        <v/>
      </c>
      <c r="D252" s="301" t="str">
        <f>IF(B252="","",IF(ISNA(VLOOKUP($B252,'E-1 Off-Site Hedge Baseline'!$B$1:$L$258,4,FALSE)),"",(VLOOKUP($B252,'E-1 Off-Site Hedge Baseline'!$B$1:$L$258,4,FALSE))))</f>
        <v/>
      </c>
      <c r="E252" s="301" t="str">
        <f>IF(B252="","",IF(ISNA(VLOOKUP($B252,'E-1 Off-Site Hedge Baseline'!$B$1:$L$257,5,FALSE)),"",(VLOOKUP($B252,'E-1 Off-Site Hedge Baseline'!$B$1:$L$257,5,FALSE))))</f>
        <v/>
      </c>
      <c r="F252" s="301" t="str">
        <f>IF(B252="","",IF(ISNA(VLOOKUP($B252,'E-1 Off-Site Hedge Baseline'!$B$1:$L$257,6,FALSE)),"",(VLOOKUP($B252,'E-1 Off-Site Hedge Baseline'!$B$1:$L$257,6,FALSE))))</f>
        <v/>
      </c>
      <c r="G252" s="301" t="str">
        <f>IF(B252="","",IF(ISNA(VLOOKUP($B252,'E-1 Off-Site Hedge Baseline'!$B$1:$L$257,7,FALSE)),"",(VLOOKUP($B252,'E-1 Off-Site Hedge Baseline'!$B$1:$L$257,7,FALSE))))</f>
        <v/>
      </c>
      <c r="H252" s="301" t="str">
        <f>IF(B252="","",IF(ISNA(VLOOKUP($B252,'E-1 Off-Site Hedge Baseline'!$B$1:$L$257,8,FALSE)),"",(VLOOKUP($B252,'E-1 Off-Site Hedge Baseline'!$B$1:$L$257,8,FALSE))))</f>
        <v/>
      </c>
      <c r="I252" s="301" t="str">
        <f>IF(B252="","",IF(ISNA(VLOOKUP($B252,'E-1 Off-Site Hedge Baseline'!$B$1:$L$257,10,FALSE)),"",(VLOOKUP($B252,'E-1 Off-Site Hedge Baseline'!$B$1:$L$257,10,FALSE))))</f>
        <v/>
      </c>
      <c r="J252" s="301" t="str">
        <f>IF(B252="","",IF(ISNA(VLOOKUP($B252,'E-1 Off-Site Hedge Baseline'!$B$1:$L$257,11,FALSE)),"",(VLOOKUP($B252,'E-1 Off-Site Hedge Baseline'!$B$1:$L$257,11,FALSE))))</f>
        <v/>
      </c>
      <c r="K252" s="301" t="str">
        <f>IF(B252="","",IF(ISNA(VLOOKUP($B252,'E-1 Off-Site Hedge Baseline'!$B$1:$X$257,16,FALSE)),"",(VLOOKUP($B252,'E-1 Off-Site Hedge Baseline'!$B$1:$X$257,16,FALSE))))</f>
        <v/>
      </c>
      <c r="L252" s="289" t="str">
        <f>IF(B252="","",IF(ISNA(VLOOKUP($B252,'E-1 Off-Site Hedge Baseline'!$B$1:$X$257,12,FALSE)),"",(VLOOKUP($B252,'E-1 Off-Site Hedge Baseline'!$B$1:$X$257,12,FALSE))))</f>
        <v/>
      </c>
      <c r="M252" s="250"/>
      <c r="N252" s="281" t="str">
        <f>IFERROR(IF(B252="","",INDEX('G-6 Hedgerow Data'!$AN$3:$AZ$15,MATCH(C252,'G-6 Hedgerow Data'!$AM$3:$AM$15,0),MATCH(M252,'G-6 Hedgerow Data'!$AN$2:$AZ$2,0))),"")</f>
        <v/>
      </c>
      <c r="O252" s="282" t="str">
        <f t="shared" si="25"/>
        <v/>
      </c>
      <c r="P252" s="287" t="str">
        <f>IF(B252="","",VLOOKUP(B252,'E-1 Off-Site Hedge Baseline'!$B$10:W497,19,FALSE))</f>
        <v/>
      </c>
      <c r="Q252" s="281" t="str">
        <f>IF(M252="","",VLOOKUP(M252,'G-6 Hedgerow Data'!$B$2:$AG$15,2,FALSE))</f>
        <v/>
      </c>
      <c r="R252" s="282" t="str">
        <f>IF(M252="","",VLOOKUP(M252,'G-6 Hedgerow Data'!$B$2:$AG$15,3,FALSE))</f>
        <v/>
      </c>
      <c r="S252" s="105"/>
      <c r="T252" s="282" t="str">
        <f>IFERROR(IF(S252="","",IF(AND(M252="Non-native and ornamental hedgerow", S252&lt;&gt;"Poor"),"Not possible ▲", (IF(AND(Q252="V.Low",OR(S252="Good",S252="Moderate")),"Error ▲",VLOOKUP(S252,'G-1 All Habitats'!$Z$2:$AA$9,2,FALSE))))),"")</f>
        <v/>
      </c>
      <c r="U252" s="105"/>
      <c r="V252" s="289" t="str">
        <f>IF(U252="","",IF(VLOOKUP(U252,'G-3 Multipliers'!$L$3:$N$6,2,FALSE)=0,"Spatial Data Missing ⚠",VLOOKUP(U252,'G-3 Multipliers'!$L$3:$N$6,2,FALSE)))</f>
        <v/>
      </c>
      <c r="W252" s="287" t="str">
        <f>IF(U252="","",IF(VLOOKUP(U252,'G-3 Multipliers'!$L$3:$N$6,3,FALSE)=0,"Spatial Data Missing ⚠",VLOOKUP(U252,'G-3 Multipliers'!$L$3:$N$6,3,FALSE)))</f>
        <v/>
      </c>
      <c r="X252" s="281" t="str">
        <f>IFERROR(IF(OR(LEFT(O252,5)="Error",LEFT(N252,5)="Error",T252="Error"),"Check Data ⚠",IF(F252&lt;R252,INDEX('G-6 Hedgerow Data'!$S$3:$AE$14,MATCH(C252,'G-6 Hedgerow Data'!$B$3:$B$14,0),MATCH(M252,'G-6 Hedgerow Data'!$S$2:$AE$2,0)),INDEX('G-6 Hedgerow Data'!$K$3:$Q$14,MATCH(M252,'G-6 Hedgerow Data'!$B$3:$B$14,0),MATCH(O252,'G-6 Hedgerow Data'!$K$2:$Q$2,0)))),"")</f>
        <v/>
      </c>
      <c r="Y252" s="137"/>
      <c r="Z252" s="137"/>
      <c r="AA252" s="289" t="str">
        <f t="shared" si="26"/>
        <v/>
      </c>
      <c r="AB252" s="302" t="str">
        <f t="shared" si="27"/>
        <v/>
      </c>
      <c r="AC252" s="303" t="str">
        <f t="shared" si="24"/>
        <v/>
      </c>
      <c r="AD252" s="317" t="str">
        <f>IF(M252="","",VLOOKUP(M252,'G-6 Hedgerow Data'!$B$3:$AG$15,31,FALSE))</f>
        <v/>
      </c>
      <c r="AE252" s="301" t="str">
        <f t="shared" si="28"/>
        <v/>
      </c>
      <c r="AF252" s="289" t="str">
        <f t="shared" si="29"/>
        <v/>
      </c>
      <c r="AG252" s="305" t="str">
        <f>IFERROR(IF(O252="","",VLOOKUP(AD252,'G-3 Multipliers'!$P$3:$Q$6,2,FALSE)),"")</f>
        <v/>
      </c>
      <c r="AH252" s="729" t="str">
        <f>IF(B252="","",IF(ISNA(VLOOKUP($B252,'E-1 Off-Site Hedge Baseline'!$B$1:$Z$257,14,FALSE)),"",(VLOOKUP($B252,'E-1 Off-Site Hedge Baseline'!$B$1:$Z$257,14,FALSE))))</f>
        <v/>
      </c>
      <c r="AI252" s="282" t="str">
        <f>IF(AH252="","",IF(VLOOKUP(AH252,'G-3 Multipliers'!$S$3:$T$10,2,FALSE)=0,"Spatial Data Missing ⚠",VLOOKUP(AH252,'G-3 Multipliers'!$S$3:$T$10,2,FALSE)))</f>
        <v/>
      </c>
      <c r="AJ252" s="323" t="str">
        <f t="shared" si="30"/>
        <v/>
      </c>
      <c r="AK252" s="295" t="str">
        <f t="shared" si="31"/>
        <v/>
      </c>
      <c r="AL252" s="105"/>
      <c r="AM252" s="119"/>
      <c r="AN252" s="108"/>
      <c r="AO252" s="108"/>
      <c r="AQ252" s="30" t="str">
        <f>IFERROR(INDEX('G-6 Hedgerow Data'!$BJ$3:$BJ$15,MATCH(M252,'G-6 Hedgerow Data'!$B$3:$B$15,0)),"")</f>
        <v/>
      </c>
    </row>
    <row r="253" spans="2:43" ht="13.8" x14ac:dyDescent="0.25">
      <c r="B253" s="311" t="str">
        <f>'E-1 Off-Site Hedge Baseline'!AN251</f>
        <v/>
      </c>
      <c r="C253" s="301" t="str">
        <f>IF(B253="","",IF(ISNA(VLOOKUP($B253,'E-1 Off-Site Hedge Baseline'!$B$1:$L$257,3,FALSE)),"",(VLOOKUP($B253,'E-1 Off-Site Hedge Baseline'!$B$1:$L$257,3,FALSE))))</f>
        <v/>
      </c>
      <c r="D253" s="301" t="str">
        <f>IF(B253="","",IF(ISNA(VLOOKUP($B253,'E-1 Off-Site Hedge Baseline'!$B$1:$L$258,4,FALSE)),"",(VLOOKUP($B253,'E-1 Off-Site Hedge Baseline'!$B$1:$L$258,4,FALSE))))</f>
        <v/>
      </c>
      <c r="E253" s="301" t="str">
        <f>IF(B253="","",IF(ISNA(VLOOKUP($B253,'E-1 Off-Site Hedge Baseline'!$B$1:$L$257,5,FALSE)),"",(VLOOKUP($B253,'E-1 Off-Site Hedge Baseline'!$B$1:$L$257,5,FALSE))))</f>
        <v/>
      </c>
      <c r="F253" s="301" t="str">
        <f>IF(B253="","",IF(ISNA(VLOOKUP($B253,'E-1 Off-Site Hedge Baseline'!$B$1:$L$257,6,FALSE)),"",(VLOOKUP($B253,'E-1 Off-Site Hedge Baseline'!$B$1:$L$257,6,FALSE))))</f>
        <v/>
      </c>
      <c r="G253" s="301" t="str">
        <f>IF(B253="","",IF(ISNA(VLOOKUP($B253,'E-1 Off-Site Hedge Baseline'!$B$1:$L$257,7,FALSE)),"",(VLOOKUP($B253,'E-1 Off-Site Hedge Baseline'!$B$1:$L$257,7,FALSE))))</f>
        <v/>
      </c>
      <c r="H253" s="301" t="str">
        <f>IF(B253="","",IF(ISNA(VLOOKUP($B253,'E-1 Off-Site Hedge Baseline'!$B$1:$L$257,8,FALSE)),"",(VLOOKUP($B253,'E-1 Off-Site Hedge Baseline'!$B$1:$L$257,8,FALSE))))</f>
        <v/>
      </c>
      <c r="I253" s="301" t="str">
        <f>IF(B253="","",IF(ISNA(VLOOKUP($B253,'E-1 Off-Site Hedge Baseline'!$B$1:$L$257,10,FALSE)),"",(VLOOKUP($B253,'E-1 Off-Site Hedge Baseline'!$B$1:$L$257,10,FALSE))))</f>
        <v/>
      </c>
      <c r="J253" s="301" t="str">
        <f>IF(B253="","",IF(ISNA(VLOOKUP($B253,'E-1 Off-Site Hedge Baseline'!$B$1:$L$257,11,FALSE)),"",(VLOOKUP($B253,'E-1 Off-Site Hedge Baseline'!$B$1:$L$257,11,FALSE))))</f>
        <v/>
      </c>
      <c r="K253" s="301" t="str">
        <f>IF(B253="","",IF(ISNA(VLOOKUP($B253,'E-1 Off-Site Hedge Baseline'!$B$1:$X$257,16,FALSE)),"",(VLOOKUP($B253,'E-1 Off-Site Hedge Baseline'!$B$1:$X$257,16,FALSE))))</f>
        <v/>
      </c>
      <c r="L253" s="289" t="str">
        <f>IF(B253="","",IF(ISNA(VLOOKUP($B253,'E-1 Off-Site Hedge Baseline'!$B$1:$X$257,12,FALSE)),"",(VLOOKUP($B253,'E-1 Off-Site Hedge Baseline'!$B$1:$X$257,12,FALSE))))</f>
        <v/>
      </c>
      <c r="M253" s="250"/>
      <c r="N253" s="281" t="str">
        <f>IFERROR(IF(B253="","",INDEX('G-6 Hedgerow Data'!$AN$3:$AZ$15,MATCH(C253,'G-6 Hedgerow Data'!$AM$3:$AM$15,0),MATCH(M253,'G-6 Hedgerow Data'!$AN$2:$AZ$2,0))),"")</f>
        <v/>
      </c>
      <c r="O253" s="282" t="str">
        <f t="shared" si="25"/>
        <v/>
      </c>
      <c r="P253" s="287" t="str">
        <f>IF(B253="","",VLOOKUP(B253,'E-1 Off-Site Hedge Baseline'!$B$10:W498,19,FALSE))</f>
        <v/>
      </c>
      <c r="Q253" s="281" t="str">
        <f>IF(M253="","",VLOOKUP(M253,'G-6 Hedgerow Data'!$B$2:$AG$15,2,FALSE))</f>
        <v/>
      </c>
      <c r="R253" s="282" t="str">
        <f>IF(M253="","",VLOOKUP(M253,'G-6 Hedgerow Data'!$B$2:$AG$15,3,FALSE))</f>
        <v/>
      </c>
      <c r="S253" s="105"/>
      <c r="T253" s="282" t="str">
        <f>IFERROR(IF(S253="","",IF(AND(M253="Non-native and ornamental hedgerow", S253&lt;&gt;"Poor"),"Not possible ▲", (IF(AND(Q253="V.Low",OR(S253="Good",S253="Moderate")),"Error ▲",VLOOKUP(S253,'G-1 All Habitats'!$Z$2:$AA$9,2,FALSE))))),"")</f>
        <v/>
      </c>
      <c r="U253" s="105"/>
      <c r="V253" s="289" t="str">
        <f>IF(U253="","",IF(VLOOKUP(U253,'G-3 Multipliers'!$L$3:$N$6,2,FALSE)=0,"Spatial Data Missing ⚠",VLOOKUP(U253,'G-3 Multipliers'!$L$3:$N$6,2,FALSE)))</f>
        <v/>
      </c>
      <c r="W253" s="287" t="str">
        <f>IF(U253="","",IF(VLOOKUP(U253,'G-3 Multipliers'!$L$3:$N$6,3,FALSE)=0,"Spatial Data Missing ⚠",VLOOKUP(U253,'G-3 Multipliers'!$L$3:$N$6,3,FALSE)))</f>
        <v/>
      </c>
      <c r="X253" s="281" t="str">
        <f>IFERROR(IF(OR(LEFT(O253,5)="Error",LEFT(N253,5)="Error",T253="Error"),"Check Data ⚠",IF(F253&lt;R253,INDEX('G-6 Hedgerow Data'!$S$3:$AE$14,MATCH(C253,'G-6 Hedgerow Data'!$B$3:$B$14,0),MATCH(M253,'G-6 Hedgerow Data'!$S$2:$AE$2,0)),INDEX('G-6 Hedgerow Data'!$K$3:$Q$14,MATCH(M253,'G-6 Hedgerow Data'!$B$3:$B$14,0),MATCH(O253,'G-6 Hedgerow Data'!$K$2:$Q$2,0)))),"")</f>
        <v/>
      </c>
      <c r="Y253" s="137"/>
      <c r="Z253" s="137"/>
      <c r="AA253" s="289" t="str">
        <f t="shared" si="26"/>
        <v/>
      </c>
      <c r="AB253" s="302" t="str">
        <f t="shared" si="27"/>
        <v/>
      </c>
      <c r="AC253" s="303" t="str">
        <f t="shared" si="24"/>
        <v/>
      </c>
      <c r="AD253" s="317" t="str">
        <f>IF(M253="","",VLOOKUP(M253,'G-6 Hedgerow Data'!$B$3:$AG$15,31,FALSE))</f>
        <v/>
      </c>
      <c r="AE253" s="301" t="str">
        <f t="shared" si="28"/>
        <v/>
      </c>
      <c r="AF253" s="289" t="str">
        <f t="shared" si="29"/>
        <v/>
      </c>
      <c r="AG253" s="305" t="str">
        <f>IFERROR(IF(O253="","",VLOOKUP(AD253,'G-3 Multipliers'!$P$3:$Q$6,2,FALSE)),"")</f>
        <v/>
      </c>
      <c r="AH253" s="729" t="str">
        <f>IF(B253="","",IF(ISNA(VLOOKUP($B253,'E-1 Off-Site Hedge Baseline'!$B$1:$Z$257,14,FALSE)),"",(VLOOKUP($B253,'E-1 Off-Site Hedge Baseline'!$B$1:$Z$257,14,FALSE))))</f>
        <v/>
      </c>
      <c r="AI253" s="282" t="str">
        <f>IF(AH253="","",IF(VLOOKUP(AH253,'G-3 Multipliers'!$S$3:$T$10,2,FALSE)=0,"Spatial Data Missing ⚠",VLOOKUP(AH253,'G-3 Multipliers'!$S$3:$T$10,2,FALSE)))</f>
        <v/>
      </c>
      <c r="AJ253" s="323" t="str">
        <f t="shared" si="30"/>
        <v/>
      </c>
      <c r="AK253" s="295" t="str">
        <f t="shared" si="31"/>
        <v/>
      </c>
      <c r="AL253" s="105"/>
      <c r="AM253" s="119"/>
      <c r="AN253" s="108"/>
      <c r="AO253" s="108"/>
      <c r="AQ253" s="30" t="str">
        <f>IFERROR(INDEX('G-6 Hedgerow Data'!$BJ$3:$BJ$15,MATCH(M253,'G-6 Hedgerow Data'!$B$3:$B$15,0)),"")</f>
        <v/>
      </c>
    </row>
    <row r="254" spans="2:43" ht="13.8" x14ac:dyDescent="0.25">
      <c r="B254" s="311" t="str">
        <f>'E-1 Off-Site Hedge Baseline'!AN252</f>
        <v/>
      </c>
      <c r="C254" s="301" t="str">
        <f>IF(B254="","",IF(ISNA(VLOOKUP($B254,'E-1 Off-Site Hedge Baseline'!$B$1:$L$257,3,FALSE)),"",(VLOOKUP($B254,'E-1 Off-Site Hedge Baseline'!$B$1:$L$257,3,FALSE))))</f>
        <v/>
      </c>
      <c r="D254" s="301" t="str">
        <f>IF(B254="","",IF(ISNA(VLOOKUP($B254,'E-1 Off-Site Hedge Baseline'!$B$1:$L$258,4,FALSE)),"",(VLOOKUP($B254,'E-1 Off-Site Hedge Baseline'!$B$1:$L$258,4,FALSE))))</f>
        <v/>
      </c>
      <c r="E254" s="301" t="str">
        <f>IF(B254="","",IF(ISNA(VLOOKUP($B254,'E-1 Off-Site Hedge Baseline'!$B$1:$L$257,5,FALSE)),"",(VLOOKUP($B254,'E-1 Off-Site Hedge Baseline'!$B$1:$L$257,5,FALSE))))</f>
        <v/>
      </c>
      <c r="F254" s="301" t="str">
        <f>IF(B254="","",IF(ISNA(VLOOKUP($B254,'E-1 Off-Site Hedge Baseline'!$B$1:$L$257,6,FALSE)),"",(VLOOKUP($B254,'E-1 Off-Site Hedge Baseline'!$B$1:$L$257,6,FALSE))))</f>
        <v/>
      </c>
      <c r="G254" s="301" t="str">
        <f>IF(B254="","",IF(ISNA(VLOOKUP($B254,'E-1 Off-Site Hedge Baseline'!$B$1:$L$257,7,FALSE)),"",(VLOOKUP($B254,'E-1 Off-Site Hedge Baseline'!$B$1:$L$257,7,FALSE))))</f>
        <v/>
      </c>
      <c r="H254" s="301" t="str">
        <f>IF(B254="","",IF(ISNA(VLOOKUP($B254,'E-1 Off-Site Hedge Baseline'!$B$1:$L$257,8,FALSE)),"",(VLOOKUP($B254,'E-1 Off-Site Hedge Baseline'!$B$1:$L$257,8,FALSE))))</f>
        <v/>
      </c>
      <c r="I254" s="301" t="str">
        <f>IF(B254="","",IF(ISNA(VLOOKUP($B254,'E-1 Off-Site Hedge Baseline'!$B$1:$L$257,10,FALSE)),"",(VLOOKUP($B254,'E-1 Off-Site Hedge Baseline'!$B$1:$L$257,10,FALSE))))</f>
        <v/>
      </c>
      <c r="J254" s="301" t="str">
        <f>IF(B254="","",IF(ISNA(VLOOKUP($B254,'E-1 Off-Site Hedge Baseline'!$B$1:$L$257,11,FALSE)),"",(VLOOKUP($B254,'E-1 Off-Site Hedge Baseline'!$B$1:$L$257,11,FALSE))))</f>
        <v/>
      </c>
      <c r="K254" s="301" t="str">
        <f>IF(B254="","",IF(ISNA(VLOOKUP($B254,'E-1 Off-Site Hedge Baseline'!$B$1:$X$257,16,FALSE)),"",(VLOOKUP($B254,'E-1 Off-Site Hedge Baseline'!$B$1:$X$257,16,FALSE))))</f>
        <v/>
      </c>
      <c r="L254" s="289" t="str">
        <f>IF(B254="","",IF(ISNA(VLOOKUP($B254,'E-1 Off-Site Hedge Baseline'!$B$1:$X$257,12,FALSE)),"",(VLOOKUP($B254,'E-1 Off-Site Hedge Baseline'!$B$1:$X$257,12,FALSE))))</f>
        <v/>
      </c>
      <c r="M254" s="250"/>
      <c r="N254" s="281" t="str">
        <f>IFERROR(IF(B254="","",INDEX('G-6 Hedgerow Data'!$AN$3:$AZ$15,MATCH(C254,'G-6 Hedgerow Data'!$AM$3:$AM$15,0),MATCH(M254,'G-6 Hedgerow Data'!$AN$2:$AZ$2,0))),"")</f>
        <v/>
      </c>
      <c r="O254" s="282" t="str">
        <f t="shared" si="25"/>
        <v/>
      </c>
      <c r="P254" s="287" t="str">
        <f>IF(B254="","",VLOOKUP(B254,'E-1 Off-Site Hedge Baseline'!$B$10:W499,19,FALSE))</f>
        <v/>
      </c>
      <c r="Q254" s="281" t="str">
        <f>IF(M254="","",VLOOKUP(M254,'G-6 Hedgerow Data'!$B$2:$AG$15,2,FALSE))</f>
        <v/>
      </c>
      <c r="R254" s="282" t="str">
        <f>IF(M254="","",VLOOKUP(M254,'G-6 Hedgerow Data'!$B$2:$AG$15,3,FALSE))</f>
        <v/>
      </c>
      <c r="S254" s="105"/>
      <c r="T254" s="282" t="str">
        <f>IFERROR(IF(S254="","",IF(AND(M254="Non-native and ornamental hedgerow", S254&lt;&gt;"Poor"),"Not possible ▲", (IF(AND(Q254="V.Low",OR(S254="Good",S254="Moderate")),"Error ▲",VLOOKUP(S254,'G-1 All Habitats'!$Z$2:$AA$9,2,FALSE))))),"")</f>
        <v/>
      </c>
      <c r="U254" s="105"/>
      <c r="V254" s="289" t="str">
        <f>IF(U254="","",IF(VLOOKUP(U254,'G-3 Multipliers'!$L$3:$N$6,2,FALSE)=0,"Spatial Data Missing ⚠",VLOOKUP(U254,'G-3 Multipliers'!$L$3:$N$6,2,FALSE)))</f>
        <v/>
      </c>
      <c r="W254" s="287" t="str">
        <f>IF(U254="","",IF(VLOOKUP(U254,'G-3 Multipliers'!$L$3:$N$6,3,FALSE)=0,"Spatial Data Missing ⚠",VLOOKUP(U254,'G-3 Multipliers'!$L$3:$N$6,3,FALSE)))</f>
        <v/>
      </c>
      <c r="X254" s="281" t="str">
        <f>IFERROR(IF(OR(LEFT(O254,5)="Error",LEFT(N254,5)="Error",T254="Error"),"Check Data ⚠",IF(F254&lt;R254,INDEX('G-6 Hedgerow Data'!$S$3:$AE$14,MATCH(C254,'G-6 Hedgerow Data'!$B$3:$B$14,0),MATCH(M254,'G-6 Hedgerow Data'!$S$2:$AE$2,0)),INDEX('G-6 Hedgerow Data'!$K$3:$Q$14,MATCH(M254,'G-6 Hedgerow Data'!$B$3:$B$14,0),MATCH(O254,'G-6 Hedgerow Data'!$K$2:$Q$2,0)))),"")</f>
        <v/>
      </c>
      <c r="Y254" s="137"/>
      <c r="Z254" s="137"/>
      <c r="AA254" s="289" t="str">
        <f t="shared" si="26"/>
        <v/>
      </c>
      <c r="AB254" s="302" t="str">
        <f t="shared" si="27"/>
        <v/>
      </c>
      <c r="AC254" s="303" t="str">
        <f t="shared" si="24"/>
        <v/>
      </c>
      <c r="AD254" s="317" t="str">
        <f>IF(M254="","",VLOOKUP(M254,'G-6 Hedgerow Data'!$B$3:$AG$15,31,FALSE))</f>
        <v/>
      </c>
      <c r="AE254" s="301" t="str">
        <f t="shared" si="28"/>
        <v/>
      </c>
      <c r="AF254" s="289" t="str">
        <f t="shared" si="29"/>
        <v/>
      </c>
      <c r="AG254" s="305" t="str">
        <f>IFERROR(IF(O254="","",VLOOKUP(AD254,'G-3 Multipliers'!$P$3:$Q$6,2,FALSE)),"")</f>
        <v/>
      </c>
      <c r="AH254" s="729" t="str">
        <f>IF(B254="","",IF(ISNA(VLOOKUP($B254,'E-1 Off-Site Hedge Baseline'!$B$1:$Z$257,14,FALSE)),"",(VLOOKUP($B254,'E-1 Off-Site Hedge Baseline'!$B$1:$Z$257,14,FALSE))))</f>
        <v/>
      </c>
      <c r="AI254" s="282" t="str">
        <f>IF(AH254="","",IF(VLOOKUP(AH254,'G-3 Multipliers'!$S$3:$T$10,2,FALSE)=0,"Spatial Data Missing ⚠",VLOOKUP(AH254,'G-3 Multipliers'!$S$3:$T$10,2,FALSE)))</f>
        <v/>
      </c>
      <c r="AJ254" s="323" t="str">
        <f t="shared" si="30"/>
        <v/>
      </c>
      <c r="AK254" s="295" t="str">
        <f t="shared" si="31"/>
        <v/>
      </c>
      <c r="AL254" s="105"/>
      <c r="AM254" s="119"/>
      <c r="AN254" s="108"/>
      <c r="AO254" s="108"/>
      <c r="AQ254" s="30" t="str">
        <f>IFERROR(INDEX('G-6 Hedgerow Data'!$BJ$3:$BJ$15,MATCH(M254,'G-6 Hedgerow Data'!$B$3:$B$15,0)),"")</f>
        <v/>
      </c>
    </row>
    <row r="255" spans="2:43" ht="13.8" x14ac:dyDescent="0.25">
      <c r="B255" s="311" t="str">
        <f>'E-1 Off-Site Hedge Baseline'!AN253</f>
        <v/>
      </c>
      <c r="C255" s="301" t="str">
        <f>IF(B255="","",IF(ISNA(VLOOKUP($B255,'E-1 Off-Site Hedge Baseline'!$B$1:$L$257,3,FALSE)),"",(VLOOKUP($B255,'E-1 Off-Site Hedge Baseline'!$B$1:$L$257,3,FALSE))))</f>
        <v/>
      </c>
      <c r="D255" s="301" t="str">
        <f>IF(B255="","",IF(ISNA(VLOOKUP($B255,'E-1 Off-Site Hedge Baseline'!$B$1:$L$258,4,FALSE)),"",(VLOOKUP($B255,'E-1 Off-Site Hedge Baseline'!$B$1:$L$258,4,FALSE))))</f>
        <v/>
      </c>
      <c r="E255" s="301" t="str">
        <f>IF(B255="","",IF(ISNA(VLOOKUP($B255,'E-1 Off-Site Hedge Baseline'!$B$1:$L$257,5,FALSE)),"",(VLOOKUP($B255,'E-1 Off-Site Hedge Baseline'!$B$1:$L$257,5,FALSE))))</f>
        <v/>
      </c>
      <c r="F255" s="301" t="str">
        <f>IF(B255="","",IF(ISNA(VLOOKUP($B255,'E-1 Off-Site Hedge Baseline'!$B$1:$L$257,6,FALSE)),"",(VLOOKUP($B255,'E-1 Off-Site Hedge Baseline'!$B$1:$L$257,6,FALSE))))</f>
        <v/>
      </c>
      <c r="G255" s="301" t="str">
        <f>IF(B255="","",IF(ISNA(VLOOKUP($B255,'E-1 Off-Site Hedge Baseline'!$B$1:$L$257,7,FALSE)),"",(VLOOKUP($B255,'E-1 Off-Site Hedge Baseline'!$B$1:$L$257,7,FALSE))))</f>
        <v/>
      </c>
      <c r="H255" s="301" t="str">
        <f>IF(B255="","",IF(ISNA(VLOOKUP($B255,'E-1 Off-Site Hedge Baseline'!$B$1:$L$257,8,FALSE)),"",(VLOOKUP($B255,'E-1 Off-Site Hedge Baseline'!$B$1:$L$257,8,FALSE))))</f>
        <v/>
      </c>
      <c r="I255" s="301" t="str">
        <f>IF(B255="","",IF(ISNA(VLOOKUP($B255,'E-1 Off-Site Hedge Baseline'!$B$1:$L$257,10,FALSE)),"",(VLOOKUP($B255,'E-1 Off-Site Hedge Baseline'!$B$1:$L$257,10,FALSE))))</f>
        <v/>
      </c>
      <c r="J255" s="301" t="str">
        <f>IF(B255="","",IF(ISNA(VLOOKUP($B255,'E-1 Off-Site Hedge Baseline'!$B$1:$L$257,11,FALSE)),"",(VLOOKUP($B255,'E-1 Off-Site Hedge Baseline'!$B$1:$L$257,11,FALSE))))</f>
        <v/>
      </c>
      <c r="K255" s="301" t="str">
        <f>IF(B255="","",IF(ISNA(VLOOKUP($B255,'E-1 Off-Site Hedge Baseline'!$B$1:$X$257,16,FALSE)),"",(VLOOKUP($B255,'E-1 Off-Site Hedge Baseline'!$B$1:$X$257,16,FALSE))))</f>
        <v/>
      </c>
      <c r="L255" s="289" t="str">
        <f>IF(B255="","",IF(ISNA(VLOOKUP($B255,'E-1 Off-Site Hedge Baseline'!$B$1:$X$257,12,FALSE)),"",(VLOOKUP($B255,'E-1 Off-Site Hedge Baseline'!$B$1:$X$257,12,FALSE))))</f>
        <v/>
      </c>
      <c r="M255" s="250"/>
      <c r="N255" s="281" t="str">
        <f>IFERROR(IF(B255="","",INDEX('G-6 Hedgerow Data'!$AN$3:$AZ$15,MATCH(C255,'G-6 Hedgerow Data'!$AM$3:$AM$15,0),MATCH(M255,'G-6 Hedgerow Data'!$AN$2:$AZ$2,0))),"")</f>
        <v/>
      </c>
      <c r="O255" s="282" t="str">
        <f t="shared" si="25"/>
        <v/>
      </c>
      <c r="P255" s="287" t="str">
        <f>IF(B255="","",VLOOKUP(B255,'E-1 Off-Site Hedge Baseline'!$B$10:W500,19,FALSE))</f>
        <v/>
      </c>
      <c r="Q255" s="281" t="str">
        <f>IF(M255="","",VLOOKUP(M255,'G-6 Hedgerow Data'!$B$2:$AG$15,2,FALSE))</f>
        <v/>
      </c>
      <c r="R255" s="282" t="str">
        <f>IF(M255="","",VLOOKUP(M255,'G-6 Hedgerow Data'!$B$2:$AG$15,3,FALSE))</f>
        <v/>
      </c>
      <c r="S255" s="105"/>
      <c r="T255" s="282" t="str">
        <f>IFERROR(IF(S255="","",IF(AND(M255="Non-native and ornamental hedgerow", S255&lt;&gt;"Poor"),"Not possible ▲", (IF(AND(Q255="V.Low",OR(S255="Good",S255="Moderate")),"Error ▲",VLOOKUP(S255,'G-1 All Habitats'!$Z$2:$AA$9,2,FALSE))))),"")</f>
        <v/>
      </c>
      <c r="U255" s="105"/>
      <c r="V255" s="289" t="str">
        <f>IF(U255="","",IF(VLOOKUP(U255,'G-3 Multipliers'!$L$3:$N$6,2,FALSE)=0,"Spatial Data Missing ⚠",VLOOKUP(U255,'G-3 Multipliers'!$L$3:$N$6,2,FALSE)))</f>
        <v/>
      </c>
      <c r="W255" s="287" t="str">
        <f>IF(U255="","",IF(VLOOKUP(U255,'G-3 Multipliers'!$L$3:$N$6,3,FALSE)=0,"Spatial Data Missing ⚠",VLOOKUP(U255,'G-3 Multipliers'!$L$3:$N$6,3,FALSE)))</f>
        <v/>
      </c>
      <c r="X255" s="281" t="str">
        <f>IFERROR(IF(OR(LEFT(O255,5)="Error",LEFT(N255,5)="Error",T255="Error"),"Check Data ⚠",IF(F255&lt;R255,INDEX('G-6 Hedgerow Data'!$S$3:$AE$14,MATCH(C255,'G-6 Hedgerow Data'!$B$3:$B$14,0),MATCH(M255,'G-6 Hedgerow Data'!$S$2:$AE$2,0)),INDEX('G-6 Hedgerow Data'!$K$3:$Q$14,MATCH(M255,'G-6 Hedgerow Data'!$B$3:$B$14,0),MATCH(O255,'G-6 Hedgerow Data'!$K$2:$Q$2,0)))),"")</f>
        <v/>
      </c>
      <c r="Y255" s="137"/>
      <c r="Z255" s="137"/>
      <c r="AA255" s="289" t="str">
        <f t="shared" si="26"/>
        <v/>
      </c>
      <c r="AB255" s="302" t="str">
        <f t="shared" si="27"/>
        <v/>
      </c>
      <c r="AC255" s="303" t="str">
        <f t="shared" si="24"/>
        <v/>
      </c>
      <c r="AD255" s="317" t="str">
        <f>IF(M255="","",VLOOKUP(M255,'G-6 Hedgerow Data'!$B$3:$AG$15,31,FALSE))</f>
        <v/>
      </c>
      <c r="AE255" s="301" t="str">
        <f t="shared" si="28"/>
        <v/>
      </c>
      <c r="AF255" s="289" t="str">
        <f t="shared" si="29"/>
        <v/>
      </c>
      <c r="AG255" s="305" t="str">
        <f>IFERROR(IF(O255="","",VLOOKUP(AD255,'G-3 Multipliers'!$P$3:$Q$6,2,FALSE)),"")</f>
        <v/>
      </c>
      <c r="AH255" s="729" t="str">
        <f>IF(B255="","",IF(ISNA(VLOOKUP($B255,'E-1 Off-Site Hedge Baseline'!$B$1:$Z$257,14,FALSE)),"",(VLOOKUP($B255,'E-1 Off-Site Hedge Baseline'!$B$1:$Z$257,14,FALSE))))</f>
        <v/>
      </c>
      <c r="AI255" s="282" t="str">
        <f>IF(AH255="","",IF(VLOOKUP(AH255,'G-3 Multipliers'!$S$3:$T$10,2,FALSE)=0,"Spatial Data Missing ⚠",VLOOKUP(AH255,'G-3 Multipliers'!$S$3:$T$10,2,FALSE)))</f>
        <v/>
      </c>
      <c r="AJ255" s="323" t="str">
        <f t="shared" si="30"/>
        <v/>
      </c>
      <c r="AK255" s="295" t="str">
        <f t="shared" si="31"/>
        <v/>
      </c>
      <c r="AL255" s="105"/>
      <c r="AM255" s="119"/>
      <c r="AN255" s="108"/>
      <c r="AO255" s="108"/>
      <c r="AQ255" s="30" t="str">
        <f>IFERROR(INDEX('G-6 Hedgerow Data'!$BJ$3:$BJ$15,MATCH(M255,'G-6 Hedgerow Data'!$B$3:$B$15,0)),"")</f>
        <v/>
      </c>
    </row>
    <row r="256" spans="2:43" ht="13.8" x14ac:dyDescent="0.25">
      <c r="B256" s="311" t="str">
        <f>'E-1 Off-Site Hedge Baseline'!AN254</f>
        <v/>
      </c>
      <c r="C256" s="301" t="str">
        <f>IF(B256="","",IF(ISNA(VLOOKUP($B256,'E-1 Off-Site Hedge Baseline'!$B$1:$L$257,3,FALSE)),"",(VLOOKUP($B256,'E-1 Off-Site Hedge Baseline'!$B$1:$L$257,3,FALSE))))</f>
        <v/>
      </c>
      <c r="D256" s="301" t="str">
        <f>IF(B256="","",IF(ISNA(VLOOKUP($B256,'E-1 Off-Site Hedge Baseline'!$B$1:$L$258,4,FALSE)),"",(VLOOKUP($B256,'E-1 Off-Site Hedge Baseline'!$B$1:$L$258,4,FALSE))))</f>
        <v/>
      </c>
      <c r="E256" s="301" t="str">
        <f>IF(B256="","",IF(ISNA(VLOOKUP($B256,'E-1 Off-Site Hedge Baseline'!$B$1:$L$257,5,FALSE)),"",(VLOOKUP($B256,'E-1 Off-Site Hedge Baseline'!$B$1:$L$257,5,FALSE))))</f>
        <v/>
      </c>
      <c r="F256" s="301" t="str">
        <f>IF(B256="","",IF(ISNA(VLOOKUP($B256,'E-1 Off-Site Hedge Baseline'!$B$1:$L$257,6,FALSE)),"",(VLOOKUP($B256,'E-1 Off-Site Hedge Baseline'!$B$1:$L$257,6,FALSE))))</f>
        <v/>
      </c>
      <c r="G256" s="301" t="str">
        <f>IF(B256="","",IF(ISNA(VLOOKUP($B256,'E-1 Off-Site Hedge Baseline'!$B$1:$L$257,7,FALSE)),"",(VLOOKUP($B256,'E-1 Off-Site Hedge Baseline'!$B$1:$L$257,7,FALSE))))</f>
        <v/>
      </c>
      <c r="H256" s="301" t="str">
        <f>IF(B256="","",IF(ISNA(VLOOKUP($B256,'E-1 Off-Site Hedge Baseline'!$B$1:$L$257,8,FALSE)),"",(VLOOKUP($B256,'E-1 Off-Site Hedge Baseline'!$B$1:$L$257,8,FALSE))))</f>
        <v/>
      </c>
      <c r="I256" s="301" t="str">
        <f>IF(B256="","",IF(ISNA(VLOOKUP($B256,'E-1 Off-Site Hedge Baseline'!$B$1:$L$257,10,FALSE)),"",(VLOOKUP($B256,'E-1 Off-Site Hedge Baseline'!$B$1:$L$257,10,FALSE))))</f>
        <v/>
      </c>
      <c r="J256" s="301" t="str">
        <f>IF(B256="","",IF(ISNA(VLOOKUP($B256,'E-1 Off-Site Hedge Baseline'!$B$1:$L$257,11,FALSE)),"",(VLOOKUP($B256,'E-1 Off-Site Hedge Baseline'!$B$1:$L$257,11,FALSE))))</f>
        <v/>
      </c>
      <c r="K256" s="301" t="str">
        <f>IF(B256="","",IF(ISNA(VLOOKUP($B256,'E-1 Off-Site Hedge Baseline'!$B$1:$X$257,16,FALSE)),"",(VLOOKUP($B256,'E-1 Off-Site Hedge Baseline'!$B$1:$X$257,16,FALSE))))</f>
        <v/>
      </c>
      <c r="L256" s="289" t="str">
        <f>IF(B256="","",IF(ISNA(VLOOKUP($B256,'E-1 Off-Site Hedge Baseline'!$B$1:$X$257,12,FALSE)),"",(VLOOKUP($B256,'E-1 Off-Site Hedge Baseline'!$B$1:$X$257,12,FALSE))))</f>
        <v/>
      </c>
      <c r="M256" s="250"/>
      <c r="N256" s="281" t="str">
        <f>IFERROR(IF(B256="","",INDEX('G-6 Hedgerow Data'!$AN$3:$AZ$15,MATCH(C256,'G-6 Hedgerow Data'!$AM$3:$AM$15,0),MATCH(M256,'G-6 Hedgerow Data'!$AN$2:$AZ$2,0))),"")</f>
        <v/>
      </c>
      <c r="O256" s="282" t="str">
        <f t="shared" si="25"/>
        <v/>
      </c>
      <c r="P256" s="287" t="str">
        <f>IF(B256="","",VLOOKUP(B256,'E-1 Off-Site Hedge Baseline'!$B$10:W501,19,FALSE))</f>
        <v/>
      </c>
      <c r="Q256" s="281" t="str">
        <f>IF(M256="","",VLOOKUP(M256,'G-6 Hedgerow Data'!$B$2:$AG$15,2,FALSE))</f>
        <v/>
      </c>
      <c r="R256" s="282" t="str">
        <f>IF(M256="","",VLOOKUP(M256,'G-6 Hedgerow Data'!$B$2:$AG$15,3,FALSE))</f>
        <v/>
      </c>
      <c r="S256" s="105"/>
      <c r="T256" s="282" t="str">
        <f>IFERROR(IF(S256="","",IF(AND(M256="Non-native and ornamental hedgerow", S256&lt;&gt;"Poor"),"Not possible ▲", (IF(AND(Q256="V.Low",OR(S256="Good",S256="Moderate")),"Error ▲",VLOOKUP(S256,'G-1 All Habitats'!$Z$2:$AA$9,2,FALSE))))),"")</f>
        <v/>
      </c>
      <c r="U256" s="105"/>
      <c r="V256" s="289" t="str">
        <f>IF(U256="","",IF(VLOOKUP(U256,'G-3 Multipliers'!$L$3:$N$6,2,FALSE)=0,"Spatial Data Missing ⚠",VLOOKUP(U256,'G-3 Multipliers'!$L$3:$N$6,2,FALSE)))</f>
        <v/>
      </c>
      <c r="W256" s="287" t="str">
        <f>IF(U256="","",IF(VLOOKUP(U256,'G-3 Multipliers'!$L$3:$N$6,3,FALSE)=0,"Spatial Data Missing ⚠",VLOOKUP(U256,'G-3 Multipliers'!$L$3:$N$6,3,FALSE)))</f>
        <v/>
      </c>
      <c r="X256" s="281" t="str">
        <f>IFERROR(IF(OR(LEFT(O256,5)="Error",LEFT(N256,5)="Error",T256="Error"),"Check Data ⚠",IF(F256&lt;R256,INDEX('G-6 Hedgerow Data'!$S$3:$AE$14,MATCH(C256,'G-6 Hedgerow Data'!$B$3:$B$14,0),MATCH(M256,'G-6 Hedgerow Data'!$S$2:$AE$2,0)),INDEX('G-6 Hedgerow Data'!$K$3:$Q$14,MATCH(M256,'G-6 Hedgerow Data'!$B$3:$B$14,0),MATCH(O256,'G-6 Hedgerow Data'!$K$2:$Q$2,0)))),"")</f>
        <v/>
      </c>
      <c r="Y256" s="137"/>
      <c r="Z256" s="137"/>
      <c r="AA256" s="289" t="str">
        <f t="shared" si="26"/>
        <v/>
      </c>
      <c r="AB256" s="302" t="str">
        <f t="shared" si="27"/>
        <v/>
      </c>
      <c r="AC256" s="303" t="str">
        <f t="shared" si="24"/>
        <v/>
      </c>
      <c r="AD256" s="317" t="str">
        <f>IF(M256="","",VLOOKUP(M256,'G-6 Hedgerow Data'!$B$3:$AG$15,31,FALSE))</f>
        <v/>
      </c>
      <c r="AE256" s="301" t="str">
        <f t="shared" si="28"/>
        <v/>
      </c>
      <c r="AF256" s="289" t="str">
        <f t="shared" si="29"/>
        <v/>
      </c>
      <c r="AG256" s="305" t="str">
        <f>IFERROR(IF(O256="","",VLOOKUP(AD256,'G-3 Multipliers'!$P$3:$Q$6,2,FALSE)),"")</f>
        <v/>
      </c>
      <c r="AH256" s="729" t="str">
        <f>IF(B256="","",IF(ISNA(VLOOKUP($B256,'E-1 Off-Site Hedge Baseline'!$B$1:$Z$257,14,FALSE)),"",(VLOOKUP($B256,'E-1 Off-Site Hedge Baseline'!$B$1:$Z$257,14,FALSE))))</f>
        <v/>
      </c>
      <c r="AI256" s="282" t="str">
        <f>IF(AH256="","",IF(VLOOKUP(AH256,'G-3 Multipliers'!$S$3:$T$10,2,FALSE)=0,"Spatial Data Missing ⚠",VLOOKUP(AH256,'G-3 Multipliers'!$S$3:$T$10,2,FALSE)))</f>
        <v/>
      </c>
      <c r="AJ256" s="323" t="str">
        <f t="shared" si="30"/>
        <v/>
      </c>
      <c r="AK256" s="295" t="str">
        <f t="shared" si="31"/>
        <v/>
      </c>
      <c r="AL256" s="105"/>
      <c r="AM256" s="119"/>
      <c r="AN256" s="108"/>
      <c r="AO256" s="108"/>
      <c r="AQ256" s="30" t="str">
        <f>IFERROR(INDEX('G-6 Hedgerow Data'!$BJ$3:$BJ$15,MATCH(M256,'G-6 Hedgerow Data'!$B$3:$B$15,0)),"")</f>
        <v/>
      </c>
    </row>
    <row r="257" spans="2:43" ht="14.4" thickBot="1" x14ac:dyDescent="0.3">
      <c r="B257" s="334" t="str">
        <f>'E-1 Off-Site Hedge Baseline'!AN255</f>
        <v/>
      </c>
      <c r="C257" s="290" t="str">
        <f>IF(B257="","",IF(ISNA(VLOOKUP($B257,'E-1 Off-Site Hedge Baseline'!$B$1:$L$257,3,FALSE)),"",(VLOOKUP($B257,'E-1 Off-Site Hedge Baseline'!$B$1:$L$257,3,FALSE))))</f>
        <v/>
      </c>
      <c r="D257" s="290" t="str">
        <f>IF(B257="","",IF(ISNA(VLOOKUP($B257,'E-1 Off-Site Hedge Baseline'!$B$1:$L$258,4,FALSE)),"",(VLOOKUP($B257,'E-1 Off-Site Hedge Baseline'!$B$1:$L$258,4,FALSE))))</f>
        <v/>
      </c>
      <c r="E257" s="290" t="str">
        <f>IF(B257="","",IF(ISNA(VLOOKUP($B257,'E-1 Off-Site Hedge Baseline'!$B$1:$L$257,5,FALSE)),"",(VLOOKUP($B257,'E-1 Off-Site Hedge Baseline'!$B$1:$L$257,5,FALSE))))</f>
        <v/>
      </c>
      <c r="F257" s="290" t="str">
        <f>IF(B257="","",IF(ISNA(VLOOKUP($B257,'E-1 Off-Site Hedge Baseline'!$B$1:$L$257,6,FALSE)),"",(VLOOKUP($B257,'E-1 Off-Site Hedge Baseline'!$B$1:$L$257,6,FALSE))))</f>
        <v/>
      </c>
      <c r="G257" s="290" t="str">
        <f>IF(B257="","",IF(ISNA(VLOOKUP($B257,'E-1 Off-Site Hedge Baseline'!$B$1:$L$257,7,FALSE)),"",(VLOOKUP($B257,'E-1 Off-Site Hedge Baseline'!$B$1:$L$257,7,FALSE))))</f>
        <v/>
      </c>
      <c r="H257" s="290" t="str">
        <f>IF(B257="","",IF(ISNA(VLOOKUP($B257,'E-1 Off-Site Hedge Baseline'!$B$1:$L$257,8,FALSE)),"",(VLOOKUP($B257,'E-1 Off-Site Hedge Baseline'!$B$1:$L$257,8,FALSE))))</f>
        <v/>
      </c>
      <c r="I257" s="290" t="str">
        <f>IF(B257="","",IF(ISNA(VLOOKUP($B257,'E-1 Off-Site Hedge Baseline'!$B$1:$L$257,10,FALSE)),"",(VLOOKUP($B257,'E-1 Off-Site Hedge Baseline'!$B$1:$L$257,10,FALSE))))</f>
        <v/>
      </c>
      <c r="J257" s="290" t="str">
        <f>IF(B257="","",IF(ISNA(VLOOKUP($B257,'E-1 Off-Site Hedge Baseline'!$B$1:$L$257,11,FALSE)),"",(VLOOKUP($B257,'E-1 Off-Site Hedge Baseline'!$B$1:$L$257,11,FALSE))))</f>
        <v/>
      </c>
      <c r="K257" s="290" t="str">
        <f>IF(B257="","",IF(ISNA(VLOOKUP($B257,'E-1 Off-Site Hedge Baseline'!$B$1:$X$257,16,FALSE)),"",(VLOOKUP($B257,'E-1 Off-Site Hedge Baseline'!$B$1:$X$257,16,FALSE))))</f>
        <v/>
      </c>
      <c r="L257" s="290" t="str">
        <f>IF(B257="","",IF(ISNA(VLOOKUP($B257,'E-1 Off-Site Hedge Baseline'!$B$1:$X$257,12,FALSE)),"",(VLOOKUP($B257,'E-1 Off-Site Hedge Baseline'!$B$1:$X$257,12,FALSE))))</f>
        <v/>
      </c>
      <c r="M257" s="250"/>
      <c r="N257" s="283" t="str">
        <f>IFERROR(IF(B257="","",INDEX('G-6 Hedgerow Data'!$AN$3:$AZ$15,MATCH(C257,'G-6 Hedgerow Data'!$AM$3:$AM$15,0),MATCH(M257,'G-6 Hedgerow Data'!$AN$2:$AZ$2,0))),"")</f>
        <v/>
      </c>
      <c r="O257" s="282" t="str">
        <f t="shared" si="25"/>
        <v/>
      </c>
      <c r="P257" s="287" t="str">
        <f>IF(B257="","",VLOOKUP(B257,'E-1 Off-Site Hedge Baseline'!$B$10:W502,19,FALSE))</f>
        <v/>
      </c>
      <c r="Q257" s="283" t="str">
        <f>IF(M257="","",VLOOKUP(M257,'G-6 Hedgerow Data'!$B$2:$AG$15,2,FALSE))</f>
        <v/>
      </c>
      <c r="R257" s="282" t="str">
        <f>IF(M257="","",VLOOKUP(M257,'G-6 Hedgerow Data'!$B$2:$AG$15,3,FALSE))</f>
        <v/>
      </c>
      <c r="S257" s="115"/>
      <c r="T257" s="282" t="str">
        <f>IFERROR(IF(S257="","",IF(AND(M257="Non-native and ornamental hedgerow", S257&lt;&gt;"Poor"),"Not possible ▲", (IF(AND(Q257="V.Low",OR(S257="Good",S257="Moderate")),"Error ▲",VLOOKUP(S257,'G-1 All Habitats'!$Z$2:$AA$9,2,FALSE))))),"")</f>
        <v/>
      </c>
      <c r="U257" s="115"/>
      <c r="V257" s="289" t="str">
        <f>IF(U257="","",IF(VLOOKUP(U257,'G-3 Multipliers'!$L$3:$N$6,2,FALSE)=0,"Spatial Data Missing ⚠",VLOOKUP(U257,'G-3 Multipliers'!$L$3:$N$6,2,FALSE)))</f>
        <v/>
      </c>
      <c r="W257" s="287" t="str">
        <f>IF(U257="","",IF(VLOOKUP(U257,'G-3 Multipliers'!$L$3:$N$6,3,FALSE)=0,"Spatial Data Missing ⚠",VLOOKUP(U257,'G-3 Multipliers'!$L$3:$N$6,3,FALSE)))</f>
        <v/>
      </c>
      <c r="X257" s="281" t="str">
        <f>IFERROR(IF(OR(LEFT(O257,5)="Error",LEFT(N257,5)="Error",T257="Error"),"Check Data ⚠",IF(F257&lt;R257,INDEX('G-6 Hedgerow Data'!$S$3:$AE$14,MATCH(C257,'G-6 Hedgerow Data'!$B$3:$B$14,0),MATCH(M257,'G-6 Hedgerow Data'!$S$2:$AE$2,0)),INDEX('G-6 Hedgerow Data'!$K$3:$Q$14,MATCH(M257,'G-6 Hedgerow Data'!$B$3:$B$14,0),MATCH(O257,'G-6 Hedgerow Data'!$K$2:$Q$2,0)))),"")</f>
        <v/>
      </c>
      <c r="Y257" s="145"/>
      <c r="Z257" s="145"/>
      <c r="AA257" s="289" t="str">
        <f t="shared" si="26"/>
        <v/>
      </c>
      <c r="AB257" s="302" t="str">
        <f t="shared" si="27"/>
        <v/>
      </c>
      <c r="AC257" s="303" t="str">
        <f t="shared" si="24"/>
        <v/>
      </c>
      <c r="AD257" s="283" t="str">
        <f>IF(M257="","",VLOOKUP(M257,'G-6 Hedgerow Data'!$B$3:$AG$15,31,FALSE))</f>
        <v/>
      </c>
      <c r="AE257" s="301" t="str">
        <f t="shared" si="28"/>
        <v/>
      </c>
      <c r="AF257" s="289" t="str">
        <f t="shared" si="29"/>
        <v/>
      </c>
      <c r="AG257" s="284" t="str">
        <f>IFERROR(IF(O257="","",VLOOKUP(AD257,'G-3 Multipliers'!$P$3:$Q$6,2,FALSE)),"")</f>
        <v/>
      </c>
      <c r="AH257" s="729" t="str">
        <f>IF(B257="","",IF(ISNA(VLOOKUP($B257,'E-1 Off-Site Hedge Baseline'!$B$1:$Z$257,14,FALSE)),"",(VLOOKUP($B257,'E-1 Off-Site Hedge Baseline'!$B$1:$Z$257,14,FALSE))))</f>
        <v/>
      </c>
      <c r="AI257" s="282" t="str">
        <f>IF(AH257="","",IF(VLOOKUP(AH257,'G-3 Multipliers'!$S$3:$T$10,2,FALSE)=0,"Spatial Data Missing ⚠",VLOOKUP(AH257,'G-3 Multipliers'!$S$3:$T$10,2,FALSE)))</f>
        <v/>
      </c>
      <c r="AJ257" s="324" t="str">
        <f t="shared" si="30"/>
        <v/>
      </c>
      <c r="AK257" s="295" t="str">
        <f t="shared" si="31"/>
        <v/>
      </c>
      <c r="AL257" s="115"/>
      <c r="AM257" s="114"/>
      <c r="AN257" s="959"/>
      <c r="AO257" s="114"/>
      <c r="AQ257" s="30" t="str">
        <f>IFERROR(INDEX('G-6 Hedgerow Data'!$BJ$3:$BJ$15,MATCH(M257,'G-6 Hedgerow Data'!$B$3:$B$15,0)),"")</f>
        <v/>
      </c>
    </row>
    <row r="258" spans="2:43" ht="14.4" thickBot="1" x14ac:dyDescent="0.3">
      <c r="B258" s="34"/>
      <c r="C258" s="34"/>
      <c r="D258" s="34"/>
      <c r="E258" s="34"/>
      <c r="F258" s="34"/>
      <c r="G258" s="34"/>
      <c r="H258" s="34"/>
      <c r="I258" s="34"/>
      <c r="J258" s="34"/>
      <c r="K258" s="34"/>
      <c r="L258" s="34"/>
      <c r="M258" s="34"/>
      <c r="N258" s="34"/>
      <c r="O258" s="182"/>
      <c r="P258" s="285">
        <f>SUM(P12:P257)</f>
        <v>0</v>
      </c>
      <c r="Q258" s="34"/>
      <c r="R258" s="34"/>
      <c r="S258" s="34"/>
      <c r="T258" s="34"/>
      <c r="U258" s="34"/>
      <c r="V258" s="34"/>
      <c r="W258" s="34"/>
      <c r="X258" s="34"/>
      <c r="Y258" s="34"/>
      <c r="Z258" s="34"/>
      <c r="AA258" s="34"/>
      <c r="AB258" s="34"/>
      <c r="AC258" s="34"/>
      <c r="AD258" s="34"/>
      <c r="AE258" s="34"/>
      <c r="AF258" s="34"/>
      <c r="AG258" s="34"/>
      <c r="AH258" s="252"/>
      <c r="AI258" s="252"/>
      <c r="AJ258" s="285">
        <f>SUM(AJ12:AJ257)</f>
        <v>0</v>
      </c>
      <c r="AK258" s="285">
        <f>SUM(AK12:AK257)</f>
        <v>0</v>
      </c>
      <c r="AL258" s="34"/>
      <c r="AM258" s="34"/>
    </row>
    <row r="259" spans="2:43" ht="13.8" x14ac:dyDescent="0.25"/>
    <row r="260" spans="2:43" ht="13.8" x14ac:dyDescent="0.25"/>
    <row r="261" spans="2:43" ht="13.8" x14ac:dyDescent="0.25"/>
    <row r="262" spans="2:43" ht="13.8" x14ac:dyDescent="0.25"/>
    <row r="263" spans="2:43" ht="13.8" x14ac:dyDescent="0.25"/>
    <row r="264" spans="2:43" ht="13.8" x14ac:dyDescent="0.25"/>
    <row r="265" spans="2:43" ht="13.8" hidden="1" x14ac:dyDescent="0.25"/>
    <row r="266" spans="2:43" ht="13.8" hidden="1" x14ac:dyDescent="0.25"/>
    <row r="267" spans="2:43" ht="15" hidden="1" customHeight="1" x14ac:dyDescent="0.25"/>
    <row r="268" spans="2:43" ht="15" hidden="1" customHeight="1" x14ac:dyDescent="0.25"/>
    <row r="269" spans="2:43" ht="15" hidden="1" customHeight="1" x14ac:dyDescent="0.25"/>
    <row r="270" spans="2:43" ht="15" hidden="1" customHeight="1" x14ac:dyDescent="0.25"/>
    <row r="271" spans="2:43" ht="15" hidden="1" customHeight="1" x14ac:dyDescent="0.25"/>
    <row r="272" spans="2:43"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sheetData>
  <sheetProtection algorithmName="SHA-512" hashValue="ZI4CBL+zorRnkR8K+qi31F3ZHezDaaIY5Tt30w9aC7R8iZ6y5ANjD6edBtBDbrKX6f4xkvxlYklsJE2EdFNBJA==" saltValue="3VULZ0jsiJIUQRqf9ae6F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9:AI9"/>
    <mergeCell ref="M10:M11"/>
    <mergeCell ref="B3:C4"/>
    <mergeCell ref="X10:AC10"/>
    <mergeCell ref="AD10:AG10"/>
    <mergeCell ref="AI10:AI11"/>
    <mergeCell ref="N10:O10"/>
    <mergeCell ref="Q10:R10"/>
    <mergeCell ref="S10:T10"/>
    <mergeCell ref="X2:AC4"/>
    <mergeCell ref="B2:C2"/>
    <mergeCell ref="M8:AH8"/>
    <mergeCell ref="AL10:AO10"/>
    <mergeCell ref="AJ10:AJ11"/>
    <mergeCell ref="C10:L10"/>
    <mergeCell ref="U10:W10"/>
    <mergeCell ref="P10:P11"/>
    <mergeCell ref="AK10:AK11"/>
  </mergeCells>
  <conditionalFormatting sqref="L12:L257">
    <cfRule type="cellIs" dxfId="388" priority="256" operator="equal">
      <formula>"Same distinctiveness band or better"</formula>
    </cfRule>
    <cfRule type="cellIs" dxfId="387" priority="257" operator="equal">
      <formula>"Like for like or better"</formula>
    </cfRule>
    <cfRule type="cellIs" dxfId="386" priority="258" operator="equal">
      <formula>"Like for Like"</formula>
    </cfRule>
  </conditionalFormatting>
  <conditionalFormatting sqref="V12:AG12 V13:W43 Q13:R37 Q38:S257 N13:P257 U44:W257 AI12:AJ257 T12:T257 N12:R12 X13:AG257">
    <cfRule type="containsText" dxfId="385" priority="251" operator="containsText" text="30+">
      <formula>NOT(ISERROR(SEARCH("30+",N12)))</formula>
    </cfRule>
    <cfRule type="beginsWith" dxfId="384" priority="252" operator="beginsWith" text="No">
      <formula>LEFT(N12,LEN("No"))="No"</formula>
    </cfRule>
    <cfRule type="containsText" dxfId="383" priority="253" operator="containsText" text="Spatial">
      <formula>NOT(ISERROR(SEARCH("Spatial",N12)))</formula>
    </cfRule>
    <cfRule type="containsText" dxfId="382" priority="254" operator="containsText" text="Check">
      <formula>NOT(ISERROR(SEARCH("Check",N12)))</formula>
    </cfRule>
    <cfRule type="containsText" dxfId="381" priority="255" operator="containsText" text="Error">
      <formula>NOT(ISERROR(SEARCH("Error",N12)))</formula>
    </cfRule>
  </conditionalFormatting>
  <conditionalFormatting sqref="X2">
    <cfRule type="containsText" dxfId="380" priority="250" operator="containsText" text="Note">
      <formula>NOT(ISERROR(SEARCH("Note",X2)))</formula>
    </cfRule>
  </conditionalFormatting>
  <conditionalFormatting sqref="U12:U27">
    <cfRule type="containsText" dxfId="379" priority="249" operator="containsText" text="Error">
      <formula>NOT(ISERROR(SEARCH("Error",U12)))</formula>
    </cfRule>
  </conditionalFormatting>
  <conditionalFormatting sqref="AH12:AH257">
    <cfRule type="containsText" dxfId="378" priority="247" operator="containsText" text="Existing Value Not Required">
      <formula>NOT(ISERROR(SEARCH("Existing Value Not Required",AH12)))</formula>
    </cfRule>
    <cfRule type="containsText" dxfId="377" priority="248" operator="containsText" text="Existing Value Required">
      <formula>NOT(ISERROR(SEARCH("Existing Value Required",AH12)))</formula>
    </cfRule>
  </conditionalFormatting>
  <conditionalFormatting sqref="AH12:AH257">
    <cfRule type="containsText" dxfId="376" priority="244" operator="containsText" text="Error">
      <formula>NOT(ISERROR(SEARCH("Error",AH12)))</formula>
    </cfRule>
  </conditionalFormatting>
  <conditionalFormatting sqref="U28:U43">
    <cfRule type="containsText" dxfId="375" priority="26" operator="containsText" text="Error">
      <formula>NOT(ISERROR(SEARCH("Error",U28)))</formula>
    </cfRule>
  </conditionalFormatting>
  <conditionalFormatting sqref="O3">
    <cfRule type="containsText" dxfId="374" priority="24" operator="containsText" text="Error">
      <formula>NOT(ISERROR(SEARCH("Error",O3)))</formula>
    </cfRule>
    <cfRule type="containsText" dxfId="373" priority="25" operator="containsText" text="Check">
      <formula>NOT(ISERROR(SEARCH("Check",O3)))</formula>
    </cfRule>
  </conditionalFormatting>
  <conditionalFormatting sqref="O4">
    <cfRule type="containsText" dxfId="372" priority="5" operator="containsText" text="Error">
      <formula>NOT(ISERROR(SEARCH("Error",O4)))</formula>
    </cfRule>
    <cfRule type="cellIs" dxfId="371" priority="10" operator="equal">
      <formula>0</formula>
    </cfRule>
    <cfRule type="containsText" dxfId="370" priority="20" operator="containsText" text="Check">
      <formula>NOT(ISERROR(SEARCH("Check",O4)))</formula>
    </cfRule>
    <cfRule type="cellIs" dxfId="369" priority="450" operator="lessThan">
      <formula>0</formula>
    </cfRule>
  </conditionalFormatting>
  <conditionalFormatting sqref="O5">
    <cfRule type="containsText" dxfId="368" priority="18" operator="containsText" text="No">
      <formula>NOT(ISERROR(SEARCH("No",O5)))</formula>
    </cfRule>
    <cfRule type="containsText" dxfId="367" priority="19" operator="containsText" text="Yes">
      <formula>NOT(ISERROR(SEARCH("Yes",O5)))</formula>
    </cfRule>
  </conditionalFormatting>
  <conditionalFormatting sqref="T12:T257">
    <cfRule type="containsText" dxfId="366" priority="17" operator="containsText" text="Not possible">
      <formula>NOT(ISERROR(SEARCH("Not possible",T12)))</formula>
    </cfRule>
  </conditionalFormatting>
  <conditionalFormatting sqref="AK12:AK257">
    <cfRule type="containsText" dxfId="365" priority="3" operator="containsText" text="▲">
      <formula>NOT(ISERROR(SEARCH("▲",AK12)))</formula>
    </cfRule>
    <cfRule type="containsText" dxfId="364" priority="12" operator="containsText" text="30+">
      <formula>NOT(ISERROR(SEARCH("30+",AK12)))</formula>
    </cfRule>
    <cfRule type="beginsWith" dxfId="363" priority="13" operator="beginsWith" text="No">
      <formula>LEFT(AK12,LEN("No"))="No"</formula>
    </cfRule>
    <cfRule type="containsText" dxfId="362" priority="14" operator="containsText" text="Spatial">
      <formula>NOT(ISERROR(SEARCH("Spatial",AK12)))</formula>
    </cfRule>
    <cfRule type="containsText" dxfId="361" priority="15" operator="containsText" text="Check">
      <formula>NOT(ISERROR(SEARCH("Check",AK12)))</formula>
    </cfRule>
    <cfRule type="containsText" dxfId="360" priority="16" operator="containsText" text="Error">
      <formula>NOT(ISERROR(SEARCH("Error",AK12)))</formula>
    </cfRule>
  </conditionalFormatting>
  <conditionalFormatting sqref="O3:O5">
    <cfRule type="containsText" dxfId="359" priority="9" operator="containsText" text="N/A">
      <formula>NOT(ISERROR(SEARCH("N/A",O3)))</formula>
    </cfRule>
  </conditionalFormatting>
  <conditionalFormatting sqref="K1:K1048576">
    <cfRule type="containsText" dxfId="358" priority="6" operator="containsText" text="⚠">
      <formula>NOT(ISERROR(SEARCH("⚠",K1)))</formula>
    </cfRule>
  </conditionalFormatting>
  <conditionalFormatting sqref="AE1:AE7 AE9:AE1048576">
    <cfRule type="containsText" dxfId="357" priority="4" operator="containsText" text="⚠">
      <formula>NOT(ISERROR(SEARCH("⚠",AE1)))</formula>
    </cfRule>
  </conditionalFormatting>
  <conditionalFormatting sqref="AO12:AO257">
    <cfRule type="expression" dxfId="356" priority="2">
      <formula>$AK12="Off-site reference required ▲"</formula>
    </cfRule>
  </conditionalFormatting>
  <conditionalFormatting sqref="X1:X1048576">
    <cfRule type="containsText" dxfId="355" priority="1" operator="containsText" text="▲">
      <formula>NOT(ISERROR(SEARCH("▲",X1)))</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7" id="{498896CC-E777-4A4A-AFD5-67324E007BEF}">
            <xm:f>'Headline Results'!$H$9:$I$9=0</xm:f>
            <x14:dxf>
              <font>
                <color auto="1"/>
              </font>
              <fill>
                <patternFill>
                  <bgColor rgb="FFE0DCD3"/>
                </patternFill>
              </fill>
            </x14:dxf>
          </x14:cfRule>
          <xm:sqref>O4</xm:sqref>
        </x14:conditionalFormatting>
        <x14:conditionalFormatting xmlns:xm="http://schemas.microsoft.com/office/excel/2006/main">
          <x14:cfRule type="cellIs" priority="21" operator="greaterThanOrEqual" id="{2AFEC9F2-BA09-4B74-A6DE-E61AD15125AE}">
            <xm:f>Start!$F$22</xm:f>
            <x14:dxf>
              <font>
                <color rgb="FF383745"/>
              </font>
              <fill>
                <patternFill>
                  <bgColor rgb="FF92D050"/>
                </patternFill>
              </fill>
            </x14:dxf>
          </x14:cfRule>
          <xm:sqref>O4</xm:sqref>
        </x14:conditionalFormatting>
        <x14:conditionalFormatting xmlns:xm="http://schemas.microsoft.com/office/excel/2006/main">
          <x14:cfRule type="cellIs" priority="8" operator="lessThan" id="{9F7FD7AF-29B3-4A4E-8A8A-AC37ADE779B5}">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3">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X259"/>
  <sheetViews>
    <sheetView topLeftCell="N1" zoomScale="80" zoomScaleNormal="80" workbookViewId="0">
      <pane ySplit="9" topLeftCell="A10" activePane="bottomLeft" state="frozen"/>
      <selection pane="bottomLeft"/>
    </sheetView>
  </sheetViews>
  <sheetFormatPr defaultColWidth="18" defaultRowHeight="13.8" x14ac:dyDescent="0.25"/>
  <cols>
    <col min="1" max="1" width="3" style="30" customWidth="1"/>
    <col min="2" max="2" width="3.33203125" style="93" customWidth="1"/>
    <col min="3" max="3" width="13.6640625" style="93" customWidth="1"/>
    <col min="4" max="4" width="55" style="30" customWidth="1"/>
    <col min="5" max="5" width="10.6640625" style="30" customWidth="1"/>
    <col min="6" max="6" width="17.6640625" style="30" customWidth="1"/>
    <col min="7" max="7" width="8.6640625" style="30" customWidth="1"/>
    <col min="8" max="8" width="14.33203125" style="30" bestFit="1" customWidth="1"/>
    <col min="9" max="9" width="11.6640625" style="30" customWidth="1"/>
    <col min="10" max="10" width="33.6640625" style="30" customWidth="1"/>
    <col min="11" max="12" width="14.6640625" style="30" customWidth="1"/>
    <col min="13" max="13" width="17.33203125" style="30" customWidth="1"/>
    <col min="14" max="14" width="13.5546875" style="30" customWidth="1"/>
    <col min="15" max="15" width="25.33203125" style="30" customWidth="1"/>
    <col min="16" max="16" width="14.44140625" style="30" customWidth="1"/>
    <col min="17" max="17" width="16.33203125" style="30" customWidth="1"/>
    <col min="18" max="18" width="15" style="30" customWidth="1"/>
    <col min="19" max="19" width="3.44140625" style="30" hidden="1" customWidth="1"/>
    <col min="20" max="20" width="3.6640625" style="30" customWidth="1"/>
    <col min="21" max="22" width="12.33203125" style="30" customWidth="1"/>
    <col min="23" max="23" width="13.44140625" style="30" customWidth="1"/>
    <col min="24" max="24" width="12.33203125" style="30" customWidth="1"/>
    <col min="25" max="25" width="19.33203125" style="30" customWidth="1"/>
    <col min="26" max="26" width="16.44140625" style="30" customWidth="1"/>
    <col min="27" max="27" width="25.5546875" style="30" customWidth="1"/>
    <col min="28" max="29" width="50.33203125" style="30" customWidth="1"/>
    <col min="30" max="30" width="18" style="30" customWidth="1"/>
    <col min="31" max="16381" width="0" style="30" hidden="1" customWidth="1"/>
    <col min="16382" max="16384" width="18" style="30"/>
  </cols>
  <sheetData>
    <row r="1" spans="2:50" ht="14.4" thickBot="1" x14ac:dyDescent="0.3">
      <c r="B1" s="30"/>
      <c r="C1" s="30"/>
    </row>
    <row r="2" spans="2:50" ht="18" thickBot="1" x14ac:dyDescent="0.3">
      <c r="B2" s="1764" t="str">
        <f>CONCATENATE("Project Name:", " ", Start!F12, "     ", "Map Reference:", " ", Start!F55)</f>
        <v xml:space="preserve">Project Name: Chickenhall Lane     Map Reference: </v>
      </c>
      <c r="C2" s="1768"/>
      <c r="D2" s="1765"/>
      <c r="F2" s="1591" t="s">
        <v>526</v>
      </c>
      <c r="G2" s="1592"/>
      <c r="H2" s="1592"/>
      <c r="I2" s="1592"/>
      <c r="J2" s="1593"/>
      <c r="L2" s="1704" t="str" cm="1">
        <f t="array" ref="L2">IF(OR(AX10:AX258="Yes"),"A 'Fairly' Category has been used for ditches - check evidence to ensure this is appropriate ⚠", "")</f>
        <v/>
      </c>
      <c r="M2" s="1704"/>
      <c r="N2" s="1704"/>
      <c r="O2" s="1704"/>
      <c r="P2" s="1704"/>
      <c r="Q2" s="1704"/>
      <c r="R2" s="1704"/>
      <c r="S2" s="705"/>
    </row>
    <row r="3" spans="2:50" ht="16.8" x14ac:dyDescent="0.25">
      <c r="B3" s="1769" t="str">
        <f ca="1">MID(CELL("filename",A1),FIND("]",CELL("filename",A1))+1,256)</f>
        <v>C-1 On-Site WaterC' Baseline</v>
      </c>
      <c r="C3" s="1770"/>
      <c r="D3" s="1771"/>
      <c r="F3" s="1659" t="s">
        <v>389</v>
      </c>
      <c r="G3" s="1660"/>
      <c r="H3" s="1660"/>
      <c r="I3" s="1676">
        <f>'Headline Results'!H49</f>
        <v>0.26578800000000014</v>
      </c>
      <c r="J3" s="1677"/>
      <c r="L3" s="1704"/>
      <c r="M3" s="1704"/>
      <c r="N3" s="1704"/>
      <c r="O3" s="1704"/>
      <c r="P3" s="1704"/>
      <c r="Q3" s="1704"/>
      <c r="R3" s="1704"/>
      <c r="S3" s="705"/>
    </row>
    <row r="4" spans="2:50" ht="17.399999999999999" thickBot="1" x14ac:dyDescent="0.3">
      <c r="B4" s="1239"/>
      <c r="C4" s="1240"/>
      <c r="D4" s="1241"/>
      <c r="F4" s="1752" t="s">
        <v>391</v>
      </c>
      <c r="G4" s="1753"/>
      <c r="H4" s="1753"/>
      <c r="I4" s="1678" t="str">
        <f>'Headline Results'!H53</f>
        <v>N/A</v>
      </c>
      <c r="J4" s="1679"/>
      <c r="L4" s="1704"/>
      <c r="M4" s="1704"/>
      <c r="N4" s="1704"/>
      <c r="O4" s="1704"/>
      <c r="P4" s="1704"/>
      <c r="Q4" s="1704"/>
      <c r="R4" s="1704"/>
      <c r="S4" s="705"/>
    </row>
    <row r="5" spans="2:50" ht="23.4" thickBot="1" x14ac:dyDescent="0.3">
      <c r="B5" s="30"/>
      <c r="C5" s="30"/>
      <c r="F5" s="1754" t="s">
        <v>393</v>
      </c>
      <c r="G5" s="1729"/>
      <c r="H5" s="1729"/>
      <c r="I5" s="1729" t="str" cm="1">
        <f t="array" ref="I5">IF(OR('Trading Summary WaterC''s'!G5:H8="No ▲"), "No - check trading summary ▲", "Yes ✓")</f>
        <v>Yes ✓</v>
      </c>
      <c r="J5" s="1730"/>
      <c r="U5" s="1766" t="str">
        <f>IF(SUM(AI10:AI257)&gt;0,"Check Lengths ⚠","")</f>
        <v/>
      </c>
      <c r="V5" s="1766"/>
      <c r="W5" s="1766"/>
      <c r="X5" s="1766"/>
      <c r="Y5" s="1766"/>
      <c r="Z5" s="1766"/>
      <c r="AA5" s="506"/>
    </row>
    <row r="6" spans="2:50" ht="15" customHeight="1" x14ac:dyDescent="0.25">
      <c r="B6" s="30"/>
      <c r="C6" s="30"/>
      <c r="U6" s="1766"/>
      <c r="V6" s="1766"/>
      <c r="W6" s="1766"/>
      <c r="X6" s="1766"/>
      <c r="Y6" s="1766"/>
      <c r="Z6" s="1766"/>
      <c r="AA6" s="506"/>
    </row>
    <row r="7" spans="2:50" ht="63.6" customHeight="1" thickBot="1" x14ac:dyDescent="0.3"/>
    <row r="8" spans="2:50" ht="38.700000000000003" customHeight="1" thickBot="1" x14ac:dyDescent="0.3">
      <c r="C8" s="1686" t="s">
        <v>527</v>
      </c>
      <c r="D8" s="1686"/>
      <c r="E8" s="1686"/>
      <c r="F8" s="1688" t="s">
        <v>395</v>
      </c>
      <c r="G8" s="1688"/>
      <c r="H8" s="1688" t="s">
        <v>482</v>
      </c>
      <c r="I8" s="1688"/>
      <c r="J8" s="1686" t="s">
        <v>397</v>
      </c>
      <c r="K8" s="1686"/>
      <c r="L8" s="1686"/>
      <c r="M8" s="1688" t="s">
        <v>528</v>
      </c>
      <c r="N8" s="1688"/>
      <c r="O8" s="1688" t="s">
        <v>529</v>
      </c>
      <c r="P8" s="1688"/>
      <c r="Q8" s="1685" t="s">
        <v>398</v>
      </c>
      <c r="R8" s="118" t="s">
        <v>399</v>
      </c>
      <c r="S8" s="1688" t="s">
        <v>409</v>
      </c>
      <c r="T8" s="94"/>
      <c r="U8" s="1712"/>
      <c r="V8" s="1712"/>
      <c r="W8" s="1712"/>
      <c r="X8" s="1712"/>
      <c r="Y8" s="1712"/>
      <c r="Z8" s="1712"/>
      <c r="AA8" s="1425" t="s">
        <v>530</v>
      </c>
      <c r="AB8" s="1722" t="s">
        <v>401</v>
      </c>
      <c r="AC8" s="1723"/>
      <c r="AD8" s="1724"/>
      <c r="AE8" s="37" t="s">
        <v>392</v>
      </c>
      <c r="AF8" s="37" t="s">
        <v>392</v>
      </c>
    </row>
    <row r="9" spans="2:50" ht="54.6" customHeight="1" thickBot="1" x14ac:dyDescent="0.3">
      <c r="C9" s="522" t="s">
        <v>406</v>
      </c>
      <c r="D9" s="979" t="s">
        <v>273</v>
      </c>
      <c r="E9" s="124" t="s">
        <v>505</v>
      </c>
      <c r="F9" s="120" t="s">
        <v>395</v>
      </c>
      <c r="G9" s="124" t="s">
        <v>411</v>
      </c>
      <c r="H9" s="120" t="s">
        <v>396</v>
      </c>
      <c r="I9" s="124" t="s">
        <v>411</v>
      </c>
      <c r="J9" s="120" t="s">
        <v>397</v>
      </c>
      <c r="K9" s="125" t="s">
        <v>397</v>
      </c>
      <c r="L9" s="124" t="s">
        <v>412</v>
      </c>
      <c r="M9" s="120" t="s">
        <v>531</v>
      </c>
      <c r="N9" s="124" t="s">
        <v>532</v>
      </c>
      <c r="O9" s="120" t="s">
        <v>533</v>
      </c>
      <c r="P9" s="124" t="s">
        <v>532</v>
      </c>
      <c r="Q9" s="1685"/>
      <c r="R9" s="814" t="s">
        <v>534</v>
      </c>
      <c r="S9" s="1737"/>
      <c r="T9" s="98"/>
      <c r="U9" s="116" t="s">
        <v>507</v>
      </c>
      <c r="V9" s="580" t="s">
        <v>508</v>
      </c>
      <c r="W9" s="580" t="s">
        <v>509</v>
      </c>
      <c r="X9" s="580" t="s">
        <v>510</v>
      </c>
      <c r="Y9" s="580" t="s">
        <v>535</v>
      </c>
      <c r="Z9" s="546" t="s">
        <v>536</v>
      </c>
      <c r="AA9" s="1760"/>
      <c r="AB9" s="544" t="s">
        <v>537</v>
      </c>
      <c r="AC9" s="544" t="s">
        <v>362</v>
      </c>
      <c r="AD9" s="633" t="s">
        <v>363</v>
      </c>
      <c r="AE9" s="49" t="s">
        <v>418</v>
      </c>
      <c r="AF9" s="49" t="s">
        <v>419</v>
      </c>
      <c r="AI9" s="33" t="s">
        <v>538</v>
      </c>
      <c r="AJ9" s="111" t="s">
        <v>420</v>
      </c>
      <c r="AK9" s="111" t="s">
        <v>421</v>
      </c>
      <c r="AM9" s="111" t="s">
        <v>423</v>
      </c>
      <c r="AO9" s="111" t="s">
        <v>420</v>
      </c>
      <c r="AP9" s="111" t="s">
        <v>421</v>
      </c>
      <c r="AR9" s="92" t="s">
        <v>405</v>
      </c>
      <c r="AS9" s="92" t="s">
        <v>539</v>
      </c>
      <c r="AT9" s="904" t="s">
        <v>424</v>
      </c>
      <c r="AX9" s="33" t="s">
        <v>540</v>
      </c>
    </row>
    <row r="10" spans="2:50" x14ac:dyDescent="0.25">
      <c r="C10" s="232">
        <v>1</v>
      </c>
      <c r="D10" s="266"/>
      <c r="E10" s="51"/>
      <c r="F10" s="281" t="str">
        <f>IF(D10="","",VLOOKUP(D10,'G-7 WaterC'' Data'!$B$2:$G$8,2,FALSE))</f>
        <v/>
      </c>
      <c r="G10" s="282" t="str">
        <f>IFERROR(VLOOKUP(F10,'G-7 WaterC'' Data'!$C$4:$D$8,2,FALSE),"")</f>
        <v/>
      </c>
      <c r="H10" s="52"/>
      <c r="I10" s="282" t="str">
        <f>IFERROR(INDEX('G-7 WaterC'' Data'!$H$4:$L$8,MATCH(D10,'G-7 WaterC'' Data'!$B$4:$B$8,0),MATCH(H10,'G-7 WaterC'' Data'!$H$3:$L$3,0)),"")</f>
        <v/>
      </c>
      <c r="J10" s="793"/>
      <c r="K10" s="281" t="str">
        <f>IF(J10="","",IF(VLOOKUP(J10,'G-7 WaterC'' Data'!$AK$4:$AM$6,2,FALSE)=0,"Spatial Data Missing ⚠",VLOOKUP(J10,'G-7 WaterC'' Data'!$AK$4:$AM$6,2,FALSE)))</f>
        <v/>
      </c>
      <c r="L10" s="287" t="str">
        <f>IF(J10="","",IF(VLOOKUP(J10,'G-7 WaterC'' Data'!$AK$4:$AM$9,3,FALSE)=0,"Spatial Data Missing ⚠",VLOOKUP(J10,'G-7 WaterC'' Data'!$AK$4:$AM$6,3,FALSE)))</f>
        <v/>
      </c>
      <c r="M10" s="52"/>
      <c r="N10" s="282" t="str">
        <f>IF(M10="","",IF(AND(D10&lt;&gt;"Culvert",M10="N/A - Culvert"),"Not possible ▲",IF(AND(D10="Culvert",M10&lt;&gt;"N/A - Culvert"),"Not possible ▲",IF(VLOOKUP(M10,'G-7 WaterC'' Data'!$AA$4:$AB$7,2,FALSE)=0,"Spatial Data Missing ⚠",VLOOKUP(M10,'G-7 WaterC'' Data'!$AA$4:$AB$7,2,FALSE)))))</f>
        <v/>
      </c>
      <c r="O10" s="56"/>
      <c r="P10" s="282" t="str">
        <f>IF(O10="","",IF(AND(O10="N/A - Culvert", D10&lt;&gt;"Culvert"),"Not possible ▲", IF(AND(D10="Culvert",O10&lt;&gt;"N/A - Culvert"),"Not possible ▲",IF(VLOOKUP(O10,'G-7 WaterC'' Data'!$AD$4:$AE$14,2,FALSE)=0,"Spatial Data Missing ⚠",VLOOKUP(O10,'G-7 WaterC'' Data'!$AD$4:$AE$14,2,FALSE)))))</f>
        <v/>
      </c>
      <c r="Q10" s="288" t="str">
        <f>IF(D10="","",VLOOKUP(D10,'G-7 WaterC'' Data'!$B$2:$G$8,6,FALSE))</f>
        <v/>
      </c>
      <c r="R10" s="564" t="str">
        <f>IFERROR(IF(AND(U10&gt;0, V10&gt;0, U10+V10&gt;E10), "Split retained and enhanced into separate entries ▲", IF(OR(K10="Check data ⚠",I10="Check data ⚠"), "Check data ▲", E10*G10*I10*L10*N10*P10))," ")</f>
        <v xml:space="preserve"> </v>
      </c>
      <c r="S10" s="819" t="str">
        <f>AU10</f>
        <v/>
      </c>
      <c r="T10" s="32"/>
      <c r="U10" s="561"/>
      <c r="V10" s="570"/>
      <c r="W10" s="571" t="str">
        <f>IFERROR(IF(U10&gt;E10,"Error in Lengths ▲",U10*G10*I10*L10*N10*P10),"")</f>
        <v/>
      </c>
      <c r="X10" s="571" t="str">
        <f>IFERROR(IF(D10="","",V10*G10*I10*L10*N10*P10),"")</f>
        <v/>
      </c>
      <c r="Y10" s="293" t="str">
        <f>IFERROR(IF(D10="","", IF(E10&gt;(U10+V10),E10-U10-V10,0)),"")</f>
        <v/>
      </c>
      <c r="Z10" s="613" t="str">
        <f>IFERROR(IF(OR(E10="",R10=""),"",  IF(AND(Q10='G-7 WaterC'' Data'!$G$4,AA10="Yes"),"Alternative Compensation ✓", IF(AND(AA10="Pending", Q10='G-7 WaterC'' Data'!$G$4),"Bespoke compensation must be agreed ▲", IF((W10+X10)&gt;=R10, 0, R10-W10-X10)))),"Check Data ⚠")</f>
        <v/>
      </c>
      <c r="AA10" s="816"/>
      <c r="AB10" s="611"/>
      <c r="AC10" s="623"/>
      <c r="AD10" s="623"/>
      <c r="AE10" s="54" t="str">
        <f>IF(OR(Q10="",AA10="Yes"),"",IF(Q10='G-1 All Habitats'!$X$9,E10-U10-V10,"None"))</f>
        <v/>
      </c>
      <c r="AF10" s="55" t="str">
        <f>IF(Q10="","", IF(Q10='G-1 All Habitats'!$X$9, AE10*G10*I10*L10*N10*P10,"None"))</f>
        <v/>
      </c>
      <c r="AI10" s="30">
        <f>IFERROR(IF(U10+V10&gt;E10,1,0),"")</f>
        <v>0</v>
      </c>
      <c r="AJ10" s="111" t="str">
        <f>IF(D10="","",IF(U10&gt;0,TRUE,FALSE))</f>
        <v/>
      </c>
      <c r="AK10" s="111" t="str">
        <f>IF(D10="","",IF(V10&gt;0,TRUE,FALSE))</f>
        <v/>
      </c>
      <c r="AM10" s="111">
        <v>1</v>
      </c>
      <c r="AO10" s="111" t="str">
        <f t="array" ref="AO10">IFERROR(INDEX($AM$10:$AM$258, MATCH(0, IF(TRUE=$AJ$10:$AJ$258, COUNTIF($AO9:$AO$9, $AM$10:$AM$258), ""), 0)),"")</f>
        <v/>
      </c>
      <c r="AP10" s="111" t="str">
        <f t="array" ref="AP10">IFERROR(INDEX($AM$10:$AM$258, MATCH(0, IF(TRUE=$AK$10:$AK$258, COUNTIF($AP9:$AP$9, $AM$10:$AM$258), ""), 0)),"")</f>
        <v/>
      </c>
      <c r="AR10" s="30" t="str">
        <f>IFERROR(INDEX('G-7 WaterC'' Data'!$AZ$3:$AZ$7,MATCH(D10,'G-7 WaterC'' Data'!$AY$3:$AY$7,0)),"")</f>
        <v/>
      </c>
      <c r="AS10" s="30" t="str">
        <f>IFERROR(INDEX('G-7 WaterC'' Data'!AZ10:AZ14,MATCH(D10,'G-7 WaterC'' Data'!$AY$10:$AY$14,0)),"")</f>
        <v/>
      </c>
      <c r="AT10" s="903" t="str">
        <f>IF(AND(OR(AA10="Yes",AA10="Pending"),Q10='G-7 WaterC'' Data'!$G$4),R10-W10-X10,"")</f>
        <v/>
      </c>
      <c r="AU10" s="30" t="str">
        <f>IF(D10="","",VLOOKUP(D10,'G-7 WaterC'' Data'!B$4:M$8,12,FALSE))</f>
        <v/>
      </c>
      <c r="AV10" s="30" t="str">
        <f t="shared" ref="AV10:AV73" si="0">IF(AA10="","", IF(AA10="Yes", "Yes ✓", "No ▲"))</f>
        <v/>
      </c>
      <c r="AX10" s="30" t="str">
        <f>IF(AND(D10="Ditches",(OR(H10="Fairly Poor",H10="Fairly Good"))), "Yes", "No")</f>
        <v>No</v>
      </c>
    </row>
    <row r="11" spans="2:50" x14ac:dyDescent="0.25">
      <c r="C11" s="101">
        <v>2</v>
      </c>
      <c r="D11" s="266"/>
      <c r="E11" s="51"/>
      <c r="F11" s="281" t="str">
        <f>IF(D11="","",VLOOKUP(D11,'G-7 WaterC'' Data'!$B$2:$G$8,2,FALSE))</f>
        <v/>
      </c>
      <c r="G11" s="282" t="str">
        <f>IFERROR(VLOOKUP(F11,'G-7 WaterC'' Data'!$C$4:$D$8,2,FALSE),"")</f>
        <v/>
      </c>
      <c r="H11" s="52"/>
      <c r="I11" s="282" t="str">
        <f>IFERROR(INDEX('G-7 WaterC'' Data'!$H$4:$L$8,MATCH(D11,'G-7 WaterC'' Data'!$B$4:$B$8,0),MATCH(H11,'G-7 WaterC'' Data'!$H$3:$L$3,0)),"")</f>
        <v/>
      </c>
      <c r="J11" s="793"/>
      <c r="K11" s="317" t="str">
        <f>IF(J11="","",IF(VLOOKUP(J11,'G-7 WaterC'' Data'!$AK$4:$AM$6,2,FALSE)=0,"Spatial Data Missing ⚠",VLOOKUP(J11,'G-7 WaterC'' Data'!$AK$4:$AM$6,2,FALSE)))</f>
        <v/>
      </c>
      <c r="L11" s="287" t="str">
        <f>IF(J11="","",IF(VLOOKUP(J11,'G-7 WaterC'' Data'!$AK$4:$AM$9,3,FALSE)=0,"Spatial Data Missing ⚠",VLOOKUP(J11,'G-7 WaterC'' Data'!$AK$4:$AM$6,3,FALSE)))</f>
        <v/>
      </c>
      <c r="M11" s="52"/>
      <c r="N11" s="282" t="str">
        <f>IF(M11="","",IF(AND(D11&lt;&gt;"Culvert",M11="N/A - Culvert"),"Not possible ▲",IF(AND(D11="Culvert",M11&lt;&gt;"N/A - Culvert"),"Not possible ▲",IF(VLOOKUP(M11,'G-7 WaterC'' Data'!$AA$4:$AB$7,2,FALSE)=0,"Spatial Data Missing ⚠",VLOOKUP(M11,'G-7 WaterC'' Data'!$AA$4:$AB$7,2,FALSE)))))</f>
        <v/>
      </c>
      <c r="O11" s="56"/>
      <c r="P11" s="282" t="str">
        <f>IF(O11="","",IF(AND(O11="N/A - Culvert", D11&lt;&gt;"Culvert"),"Not possible ▲", IF(AND(D11="Culvert",O11&lt;&gt;"N/A - Culvert"),"Not possible ▲",IF(VLOOKUP(O11,'G-7 WaterC'' Data'!$AD$4:$AE$14,2,FALSE)=0,"Spatial Data Missing ⚠",VLOOKUP(O11,'G-7 WaterC'' Data'!$AD$4:$AE$14,2,FALSE)))))</f>
        <v/>
      </c>
      <c r="Q11" s="288" t="str">
        <f>IF(D11="","",VLOOKUP(D11,'G-7 WaterC'' Data'!$B$2:$G$8,6,FALSE))</f>
        <v/>
      </c>
      <c r="R11" s="295" t="str">
        <f t="shared" ref="R11:R74" si="1">IFERROR(IF(AND(U11&gt;0, V11&gt;0, U11+V11&gt;E11), "Split retained and enhanced into separate entries ▲", IF(OR(K11="Check data ⚠",I11="Check data ⚠"), "Check data ▲", E11*G11*I11*L11*N11*P11))," ")</f>
        <v xml:space="preserve"> </v>
      </c>
      <c r="S11" s="820" t="str">
        <f t="shared" ref="S11:S74" si="2">AU11</f>
        <v/>
      </c>
      <c r="T11" s="32"/>
      <c r="U11" s="52"/>
      <c r="V11" s="112"/>
      <c r="W11" s="293" t="str">
        <f t="shared" ref="W11:W74" si="3">IFERROR(IF(U11&gt;E11,"Error in Lengths ▲",U11*G11*I11*L11*N11*P11),"")</f>
        <v/>
      </c>
      <c r="X11" s="293" t="str">
        <f t="shared" ref="X11:X74" si="4">IFERROR(IF(D11="","",V11*G11*I11*L11*N11*P11),"")</f>
        <v/>
      </c>
      <c r="Y11" s="293" t="str">
        <f t="shared" ref="Y11:Y74" si="5">IFERROR(IF(D11="","", IF(E11&gt;(U11+V11),E11-U11-V11,0)),"")</f>
        <v/>
      </c>
      <c r="Z11" s="323" t="str">
        <f>IFERROR(IF(OR(E11="",R11=""),"",  IF(AND(Q11='G-7 WaterC'' Data'!$G$4,AA11="Yes"),"Alternative Compensation ✓", IF(AND(AA11="Pending", Q11='G-7 WaterC'' Data'!$G$4),"Bespoke compensation must be agreed ▲", IF((W11+X11)&gt;=R11, 0, R11-W11-X11)))),"Check Data ⚠")</f>
        <v/>
      </c>
      <c r="AA11" s="817"/>
      <c r="AB11" s="140"/>
      <c r="AC11" s="108"/>
      <c r="AD11" s="108"/>
      <c r="AE11" s="54" t="str">
        <f>IF(OR(Q11="",AA11="Yes"),"",IF(Q11='G-1 All Habitats'!$X$9,E11-U11-V11,"None"))</f>
        <v/>
      </c>
      <c r="AF11" s="55" t="str">
        <f>IF(Q11="","", IF(Q11='G-1 All Habitats'!$X$9, AE11*G11*I11*L11*N11*P11,"None"))</f>
        <v/>
      </c>
      <c r="AG11" s="462"/>
      <c r="AH11" s="462"/>
      <c r="AI11" s="462">
        <f>IFERROR(IF(U11+V11&gt;E11,1,0),"")</f>
        <v>0</v>
      </c>
      <c r="AJ11" s="794" t="str">
        <f t="shared" ref="AJ11:AJ74" si="6">IF(D11="","",IF(U11&gt;0,TRUE,FALSE))</f>
        <v/>
      </c>
      <c r="AK11" s="794" t="str">
        <f t="shared" ref="AK11:AK74" si="7">IF(D11="","",IF(V11&gt;0,TRUE,FALSE))</f>
        <v/>
      </c>
      <c r="AL11" s="462"/>
      <c r="AM11" s="794">
        <v>2</v>
      </c>
      <c r="AN11" s="462"/>
      <c r="AO11" s="794" t="str">
        <f t="array" ref="AO11">IFERROR(INDEX($AM$10:$AM$258, MATCH(0, IF(TRUE=$AJ$10:$AJ$258, COUNTIF($AO$9:$AO10, $AM$10:$AM$258), ""), 0)),"")</f>
        <v/>
      </c>
      <c r="AP11" s="794" t="str">
        <f t="array" ref="AP11">IFERROR(INDEX($AM$10:$AM$258, MATCH(0, IF(TRUE=$AK$10:$AK$258, COUNTIF($AP$9:$AP10, $AM$10:$AM$258), ""), 0)),"")</f>
        <v/>
      </c>
      <c r="AQ11" s="462"/>
      <c r="AR11" s="462" t="str">
        <f>IFERROR(INDEX('G-7 WaterC'' Data'!$AZ$3:$AZ$7,MATCH(D11,'G-7 WaterC'' Data'!$AY$3:$AY$7,0)),"")</f>
        <v/>
      </c>
      <c r="AS11" s="462" t="str">
        <f>IFERROR(INDEX('G-7 WaterC'' Data'!AZ11:AZ15,MATCH(D11,'G-7 WaterC'' Data'!$AY$10:$AY$14,0)),"")</f>
        <v/>
      </c>
      <c r="AT11" s="903" t="str">
        <f>IF(AND(OR(AA11="Yes",AA11="Pending"),Q11='G-7 WaterC'' Data'!$G$4),R11-W11-X11,"")</f>
        <v/>
      </c>
      <c r="AU11" s="462" t="str">
        <f>IF(D11="","",VLOOKUP(D11,'G-7 WaterC'' Data'!B$4:M$8,12,FALSE))</f>
        <v/>
      </c>
      <c r="AV11" s="30" t="str">
        <f t="shared" si="0"/>
        <v/>
      </c>
      <c r="AX11" s="30" t="str">
        <f t="shared" ref="AX11:AX74" si="8">IF(AND(D11="Ditches",(OR(H11="Fairly Poor",H11="Fairly Good"))), "Yes", "No")</f>
        <v>No</v>
      </c>
    </row>
    <row r="12" spans="2:50" x14ac:dyDescent="0.25">
      <c r="C12" s="101">
        <v>3</v>
      </c>
      <c r="D12" s="266"/>
      <c r="E12" s="51"/>
      <c r="F12" s="281" t="str">
        <f>IF(D12="","",VLOOKUP(D12,'G-7 WaterC'' Data'!$B$2:$G$8,2,FALSE))</f>
        <v/>
      </c>
      <c r="G12" s="282" t="str">
        <f>IFERROR(VLOOKUP(F12,'G-7 WaterC'' Data'!$C$4:$D$8,2,FALSE),"")</f>
        <v/>
      </c>
      <c r="H12" s="52"/>
      <c r="I12" s="282" t="str">
        <f>IFERROR(INDEX('G-7 WaterC'' Data'!$H$4:$L$8,MATCH(D12,'G-7 WaterC'' Data'!$B$4:$B$8,0),MATCH(H12,'G-7 WaterC'' Data'!$H$3:$L$3,0)),"")</f>
        <v/>
      </c>
      <c r="J12" s="793"/>
      <c r="K12" s="317" t="str">
        <f>IF(J12="","",IF(VLOOKUP(J12,'G-7 WaterC'' Data'!$AK$4:$AM$6,2,FALSE)=0,"Spatial Data Missing ⚠",VLOOKUP(J12,'G-7 WaterC'' Data'!$AK$4:$AM$6,2,FALSE)))</f>
        <v/>
      </c>
      <c r="L12" s="287" t="str">
        <f>IF(J12="","",IF(VLOOKUP(J12,'G-7 WaterC'' Data'!$AK$4:$AM$9,3,FALSE)=0,"Spatial Data Missing ⚠",VLOOKUP(J12,'G-7 WaterC'' Data'!$AK$4:$AM$6,3,FALSE)))</f>
        <v/>
      </c>
      <c r="M12" s="52"/>
      <c r="N12" s="282" t="str">
        <f>IF(M12="","",IF(AND(D12&lt;&gt;"Culvert",M12="N/A - Culvert"),"Not possible ▲",IF(AND(D12="Culvert",M12&lt;&gt;"N/A - Culvert"),"Not possible ▲",IF(VLOOKUP(M12,'G-7 WaterC'' Data'!$AA$4:$AB$7,2,FALSE)=0,"Spatial Data Missing ⚠",VLOOKUP(M12,'G-7 WaterC'' Data'!$AA$4:$AB$7,2,FALSE)))))</f>
        <v/>
      </c>
      <c r="O12" s="56"/>
      <c r="P12" s="282" t="str">
        <f>IF(O12="","",IF(AND(O12="N/A - Culvert", D12&lt;&gt;"Culvert"),"Not possible ▲", IF(AND(D12="Culvert",O12&lt;&gt;"N/A - Culvert"),"Not possible ▲",IF(VLOOKUP(O12,'G-7 WaterC'' Data'!$AD$4:$AE$14,2,FALSE)=0,"Spatial Data Missing ⚠",VLOOKUP(O12,'G-7 WaterC'' Data'!$AD$4:$AE$14,2,FALSE)))))</f>
        <v/>
      </c>
      <c r="Q12" s="288" t="str">
        <f>IF(D12="","",VLOOKUP(D12,'G-7 WaterC'' Data'!$B$2:$G$8,6,FALSE))</f>
        <v/>
      </c>
      <c r="R12" s="295" t="str">
        <f t="shared" si="1"/>
        <v xml:space="preserve"> </v>
      </c>
      <c r="S12" s="820" t="str">
        <f t="shared" si="2"/>
        <v/>
      </c>
      <c r="T12" s="32"/>
      <c r="U12" s="52"/>
      <c r="V12" s="112"/>
      <c r="W12" s="293" t="str">
        <f t="shared" si="3"/>
        <v/>
      </c>
      <c r="X12" s="293" t="str">
        <f t="shared" si="4"/>
        <v/>
      </c>
      <c r="Y12" s="293" t="str">
        <f t="shared" si="5"/>
        <v/>
      </c>
      <c r="Z12" s="323" t="str">
        <f>IFERROR(IF(OR(E12="",R12=""),"",  IF(AND(Q12='G-7 WaterC'' Data'!$G$4,AA12="Yes"),"Alternative Compensation ✓", IF(AND(AA12="Pending", Q12='G-7 WaterC'' Data'!$G$4),"Bespoke compensation must be agreed ▲", IF((W12+X12)&gt;=R12, 0, R12-W12-X12)))),"Check Data ⚠")</f>
        <v/>
      </c>
      <c r="AA12" s="817"/>
      <c r="AB12" s="140"/>
      <c r="AC12" s="108"/>
      <c r="AD12" s="108"/>
      <c r="AE12" s="54" t="str">
        <f>IF(OR(Q12="",AA12="Yes"),"",IF(Q12='G-1 All Habitats'!$X$9,E12-U12-V12,"None"))</f>
        <v/>
      </c>
      <c r="AF12" s="55" t="str">
        <f>IF(Q12="","", IF(Q12='G-1 All Habitats'!$X$9, AE12*G12*I12*L12*N12*P12,"None"))</f>
        <v/>
      </c>
      <c r="AI12" s="30">
        <f t="shared" ref="AI12:AI74" si="9">IFERROR(IF(U12+V12&gt;E12,1,0),"")</f>
        <v>0</v>
      </c>
      <c r="AJ12" s="111" t="str">
        <f t="shared" si="6"/>
        <v/>
      </c>
      <c r="AK12" s="111" t="str">
        <f t="shared" si="7"/>
        <v/>
      </c>
      <c r="AM12" s="111">
        <v>3</v>
      </c>
      <c r="AO12" s="111" t="str">
        <f t="array" ref="AO12">IFERROR(INDEX($AM$10:$AM$258, MATCH(0, IF(TRUE=$AJ$10:$AJ$258, COUNTIF($AO$9:$AO11, $AM$10:$AM$258), ""), 0)),"")</f>
        <v/>
      </c>
      <c r="AP12" s="111" t="str">
        <f t="array" ref="AP12">IFERROR(INDEX($AM$10:$AM$258, MATCH(0, IF(TRUE=$AK$10:$AK$258, COUNTIF($AP$9:$AP11, $AM$10:$AM$258), ""), 0)),"")</f>
        <v/>
      </c>
      <c r="AR12" s="30" t="str">
        <f>IFERROR(INDEX('G-7 WaterC'' Data'!$AZ$3:$AZ$7,MATCH(D12,'G-7 WaterC'' Data'!$AY$3:$AY$7,0)),"")</f>
        <v/>
      </c>
      <c r="AS12" s="30" t="str">
        <f>IFERROR(INDEX('G-7 WaterC'' Data'!AZ12:AZ16,MATCH(D12,'G-7 WaterC'' Data'!$AY$10:$AY$14,0)),"")</f>
        <v/>
      </c>
      <c r="AT12" s="903" t="str">
        <f>IF(AND(OR(AA12="Yes",AA12="Pending"),Q12='G-7 WaterC'' Data'!$G$4),R12-W12-X12,"")</f>
        <v/>
      </c>
      <c r="AU12" s="30" t="str">
        <f>IF(D12="","",VLOOKUP(D12,'G-7 WaterC'' Data'!B$4:M$8,12,FALSE))</f>
        <v/>
      </c>
      <c r="AV12" s="30" t="str">
        <f t="shared" si="0"/>
        <v/>
      </c>
      <c r="AX12" s="30" t="str">
        <f t="shared" si="8"/>
        <v>No</v>
      </c>
    </row>
    <row r="13" spans="2:50" x14ac:dyDescent="0.25">
      <c r="C13" s="101">
        <v>4</v>
      </c>
      <c r="D13" s="266"/>
      <c r="E13" s="51"/>
      <c r="F13" s="281" t="str">
        <f>IF(D13="","",VLOOKUP(D13,'G-7 WaterC'' Data'!$B$2:$G$8,2,FALSE))</f>
        <v/>
      </c>
      <c r="G13" s="282" t="str">
        <f>IFERROR(VLOOKUP(F13,'G-7 WaterC'' Data'!$C$4:$D$8,2,FALSE),"")</f>
        <v/>
      </c>
      <c r="H13" s="52"/>
      <c r="I13" s="282" t="str">
        <f>IFERROR(INDEX('G-7 WaterC'' Data'!$H$4:$L$8,MATCH(D13,'G-7 WaterC'' Data'!$B$4:$B$8,0),MATCH(H13,'G-7 WaterC'' Data'!$H$3:$L$3,0)),"")</f>
        <v/>
      </c>
      <c r="J13" s="793"/>
      <c r="K13" s="317" t="str">
        <f>IF(J13="","",IF(VLOOKUP(J13,'G-7 WaterC'' Data'!$AK$4:$AM$6,2,FALSE)=0,"Spatial Data Missing ⚠",VLOOKUP(J13,'G-7 WaterC'' Data'!$AK$4:$AM$6,2,FALSE)))</f>
        <v/>
      </c>
      <c r="L13" s="287" t="str">
        <f>IF(J13="","",IF(VLOOKUP(J13,'G-7 WaterC'' Data'!$AK$4:$AM$9,3,FALSE)=0,"Spatial Data Missing ⚠",VLOOKUP(J13,'G-7 WaterC'' Data'!$AK$4:$AM$6,3,FALSE)))</f>
        <v/>
      </c>
      <c r="M13" s="52"/>
      <c r="N13" s="282" t="str">
        <f>IF(M13="","",IF(AND(D13&lt;&gt;"Culvert",M13="N/A - Culvert"),"Not possible ▲",IF(AND(D13="Culvert",M13&lt;&gt;"N/A - Culvert"),"Not possible ▲",IF(VLOOKUP(M13,'G-7 WaterC'' Data'!$AA$4:$AB$7,2,FALSE)=0,"Spatial Data Missing ⚠",VLOOKUP(M13,'G-7 WaterC'' Data'!$AA$4:$AB$7,2,FALSE)))))</f>
        <v/>
      </c>
      <c r="O13" s="56"/>
      <c r="P13" s="282" t="str">
        <f>IF(O13="","",IF(AND(O13="N/A - Culvert", D13&lt;&gt;"Culvert"),"Not possible ▲", IF(AND(D13="Culvert",O13&lt;&gt;"N/A - Culvert"),"Not possible ▲",IF(VLOOKUP(O13,'G-7 WaterC'' Data'!$AD$4:$AE$14,2,FALSE)=0,"Spatial Data Missing ⚠",VLOOKUP(O13,'G-7 WaterC'' Data'!$AD$4:$AE$14,2,FALSE)))))</f>
        <v/>
      </c>
      <c r="Q13" s="288" t="str">
        <f>IF(D13="","",VLOOKUP(D13,'G-7 WaterC'' Data'!$B$2:$G$8,6,FALSE))</f>
        <v/>
      </c>
      <c r="R13" s="295" t="str">
        <f t="shared" si="1"/>
        <v xml:space="preserve"> </v>
      </c>
      <c r="S13" s="820" t="str">
        <f t="shared" si="2"/>
        <v/>
      </c>
      <c r="T13" s="32"/>
      <c r="U13" s="52"/>
      <c r="V13" s="112"/>
      <c r="W13" s="293" t="str">
        <f t="shared" si="3"/>
        <v/>
      </c>
      <c r="X13" s="293" t="str">
        <f>IFERROR(IF(D13="","",V13*G13*I13*L13*N13*P13),"")</f>
        <v/>
      </c>
      <c r="Y13" s="293" t="str">
        <f>IFERROR(IF(D13="","", IF(E13&gt;(U13+V13),E13-U13-V13,0)),"")</f>
        <v/>
      </c>
      <c r="Z13" s="323" t="str">
        <f>IFERROR(IF(OR(E13="",R13=""),"",  IF(AND(Q13='G-7 WaterC'' Data'!$G$4,AA13="Yes"),"Alternative Compensation ✓", IF(AND(AA13="Pending", Q13='G-7 WaterC'' Data'!$G$4),"Bespoke compensation must be agreed ▲", IF((W13+X13)&gt;=R13, 0, R13-W13-X13)))),"Check Data ⚠")</f>
        <v/>
      </c>
      <c r="AA13" s="817"/>
      <c r="AB13" s="140"/>
      <c r="AC13" s="108"/>
      <c r="AD13" s="108"/>
      <c r="AE13" s="54" t="str">
        <f>IF(OR(Q13="",AA13="Yes"),"",IF(Q13='G-1 All Habitats'!$X$9,E13-U13-V13,"None"))</f>
        <v/>
      </c>
      <c r="AF13" s="55" t="str">
        <f>IF(Q13="","", IF(Q13='G-1 All Habitats'!$X$9, AE13*G13*I13*L13*N13*P13,"None"))</f>
        <v/>
      </c>
      <c r="AI13" s="30">
        <f>IFERROR(IF(U13+V13&gt;E13,1,0),"")</f>
        <v>0</v>
      </c>
      <c r="AJ13" s="111" t="str">
        <f t="shared" si="6"/>
        <v/>
      </c>
      <c r="AK13" s="111" t="str">
        <f>IF(D13="","",IF(V13&gt;0,TRUE,FALSE))</f>
        <v/>
      </c>
      <c r="AM13" s="111">
        <v>4</v>
      </c>
      <c r="AO13" s="111" t="str">
        <f t="array" ref="AO13">IFERROR(INDEX($AM$10:$AM$258, MATCH(0, IF(TRUE=$AJ$10:$AJ$258, COUNTIF($AO$9:$AO12, $AM$10:$AM$258), ""), 0)),"")</f>
        <v/>
      </c>
      <c r="AP13" s="111" t="str">
        <f t="array" ref="AP13">IFERROR(INDEX($AM$10:$AM$258, MATCH(0, IF(TRUE=$AK$10:$AK$258, COUNTIF($AP$9:$AP12, $AM$10:$AM$258), ""), 0)),"")</f>
        <v/>
      </c>
      <c r="AR13" s="30" t="str">
        <f>IFERROR(INDEX('G-7 WaterC'' Data'!$AZ$3:$AZ$7,MATCH(D13,'G-7 WaterC'' Data'!$AY$3:$AY$7,0)),"")</f>
        <v/>
      </c>
      <c r="AS13" s="30" t="str">
        <f>IFERROR(INDEX('G-7 WaterC'' Data'!AZ13:AZ17,MATCH(D13,'G-7 WaterC'' Data'!$AY$10:$AY$14,0)),"")</f>
        <v/>
      </c>
      <c r="AT13" s="903" t="str">
        <f>IF(AND(OR(AA13="Yes",AA13="Pending"),Q13='G-7 WaterC'' Data'!$G$4),R13-W13-X13,"")</f>
        <v/>
      </c>
      <c r="AU13" s="30" t="str">
        <f>IF(D13="","",VLOOKUP(D13,'G-7 WaterC'' Data'!B$4:M$8,12,FALSE))</f>
        <v/>
      </c>
      <c r="AV13" s="30" t="str">
        <f t="shared" si="0"/>
        <v/>
      </c>
      <c r="AX13" s="30" t="str">
        <f t="shared" si="8"/>
        <v>No</v>
      </c>
    </row>
    <row r="14" spans="2:50" x14ac:dyDescent="0.25">
      <c r="C14" s="101">
        <v>5</v>
      </c>
      <c r="D14" s="266"/>
      <c r="E14" s="119"/>
      <c r="F14" s="281" t="str">
        <f>IF(D14="","",VLOOKUP(D14,'G-7 WaterC'' Data'!$B$2:$G$8,2,FALSE))</f>
        <v/>
      </c>
      <c r="G14" s="282" t="str">
        <f>IFERROR(VLOOKUP(F14,'G-7 WaterC'' Data'!$C$4:$D$8,2,FALSE),"")</f>
        <v/>
      </c>
      <c r="H14" s="52"/>
      <c r="I14" s="282" t="str">
        <f>IFERROR(INDEX('G-7 WaterC'' Data'!$H$4:$L$8,MATCH(D14,'G-7 WaterC'' Data'!$B$4:$B$8,0),MATCH(H14,'G-7 WaterC'' Data'!$H$3:$L$3,0)),"")</f>
        <v/>
      </c>
      <c r="J14" s="793"/>
      <c r="K14" s="317" t="str">
        <f>IF(J14="","",IF(VLOOKUP(J14,'G-7 WaterC'' Data'!$AK$4:$AM$6,2,FALSE)=0,"Spatial Data Missing ⚠",VLOOKUP(J14,'G-7 WaterC'' Data'!$AK$4:$AM$6,2,FALSE)))</f>
        <v/>
      </c>
      <c r="L14" s="287" t="str">
        <f>IF(J14="","",IF(VLOOKUP(J14,'G-7 WaterC'' Data'!$AK$4:$AM$9,3,FALSE)=0,"Spatial Data Missing ⚠",VLOOKUP(J14,'G-7 WaterC'' Data'!$AK$4:$AM$6,3,FALSE)))</f>
        <v/>
      </c>
      <c r="M14" s="52"/>
      <c r="N14" s="282" t="str">
        <f>IF(M14="","",IF(AND(D14&lt;&gt;"Culvert",M14="N/A - Culvert"),"Not possible ▲",IF(AND(D14="Culvert",M14&lt;&gt;"N/A - Culvert"),"Not possible ▲",IF(VLOOKUP(M14,'G-7 WaterC'' Data'!$AA$4:$AB$7,2,FALSE)=0,"Spatial Data Missing ⚠",VLOOKUP(M14,'G-7 WaterC'' Data'!$AA$4:$AB$7,2,FALSE)))))</f>
        <v/>
      </c>
      <c r="O14" s="56"/>
      <c r="P14" s="282" t="str">
        <f>IF(O14="","",IF(AND(O14="N/A - Culvert", D14&lt;&gt;"Culvert"),"Not possible ▲", IF(AND(D14="Culvert",O14&lt;&gt;"N/A - Culvert"),"Not possible ▲",IF(VLOOKUP(O14,'G-7 WaterC'' Data'!$AD$4:$AE$14,2,FALSE)=0,"Spatial Data Missing ⚠",VLOOKUP(O14,'G-7 WaterC'' Data'!$AD$4:$AE$14,2,FALSE)))))</f>
        <v/>
      </c>
      <c r="Q14" s="288" t="str">
        <f>IF(D14="","",VLOOKUP(D14,'G-7 WaterC'' Data'!$B$2:$G$8,6,FALSE))</f>
        <v/>
      </c>
      <c r="R14" s="295" t="str">
        <f t="shared" si="1"/>
        <v xml:space="preserve"> </v>
      </c>
      <c r="S14" s="820" t="str">
        <f t="shared" si="2"/>
        <v/>
      </c>
      <c r="T14" s="32"/>
      <c r="U14" s="52"/>
      <c r="V14" s="112"/>
      <c r="W14" s="293" t="str">
        <f t="shared" si="3"/>
        <v/>
      </c>
      <c r="X14" s="293" t="str">
        <f t="shared" si="4"/>
        <v/>
      </c>
      <c r="Y14" s="293" t="str">
        <f t="shared" si="5"/>
        <v/>
      </c>
      <c r="Z14" s="323" t="str">
        <f>IFERROR(IF(OR(E14="",R14=""),"",  IF(AND(Q14='G-7 WaterC'' Data'!$G$4,AA14="Yes"),"Alternative Compensation ✓", IF(AND(AA14="Pending", Q14='G-7 WaterC'' Data'!$G$4),"Bespoke compensation must be agreed ▲", IF((W14+X14)&gt;=R14, 0, R14-W14-X14)))),"Check Data ⚠")</f>
        <v/>
      </c>
      <c r="AA14" s="817"/>
      <c r="AB14" s="140"/>
      <c r="AC14" s="108"/>
      <c r="AD14" s="108"/>
      <c r="AE14" s="54" t="str">
        <f>IF(OR(Q14="",AA14="Yes"),"",IF(Q14='G-1 All Habitats'!$X$9,E14-U14-V14,"None"))</f>
        <v/>
      </c>
      <c r="AF14" s="55" t="str">
        <f>IF(Q14="","", IF(Q14='G-1 All Habitats'!$X$9, AE14*G14*I14*L14*N14*P14,"None"))</f>
        <v/>
      </c>
      <c r="AI14" s="30">
        <f t="shared" si="9"/>
        <v>0</v>
      </c>
      <c r="AJ14" s="111" t="str">
        <f t="shared" si="6"/>
        <v/>
      </c>
      <c r="AK14" s="111" t="str">
        <f t="shared" si="7"/>
        <v/>
      </c>
      <c r="AM14" s="111">
        <v>5</v>
      </c>
      <c r="AO14" s="111" t="str">
        <f t="array" ref="AO14">IFERROR(INDEX($AM$10:$AM$258, MATCH(0, IF(TRUE=$AJ$10:$AJ$258, COUNTIF($AO$9:$AO13, $AM$10:$AM$258), ""), 0)),"")</f>
        <v/>
      </c>
      <c r="AP14" s="111" t="str">
        <f t="array" ref="AP14">IFERROR(INDEX($AM$10:$AM$258, MATCH(0, IF(TRUE=$AK$10:$AK$258, COUNTIF($AP$9:$AP13, $AM$10:$AM$258), ""), 0)),"")</f>
        <v/>
      </c>
      <c r="AR14" s="30" t="str">
        <f>IFERROR(INDEX('G-7 WaterC'' Data'!$AZ$3:$AZ$7,MATCH(D14,'G-7 WaterC'' Data'!$AY$3:$AY$7,0)),"")</f>
        <v/>
      </c>
      <c r="AS14" s="30" t="str">
        <f>IFERROR(INDEX('G-7 WaterC'' Data'!AZ14:AZ18,MATCH(D14,'G-7 WaterC'' Data'!$AY$10:$AY$14,0)),"")</f>
        <v/>
      </c>
      <c r="AT14" s="903" t="str">
        <f>IF(AND(OR(AA14="Yes",AA14="Pending"),Q14='G-7 WaterC'' Data'!$G$4),R14-W14-X14,"")</f>
        <v/>
      </c>
      <c r="AU14" s="30" t="str">
        <f>IF(D14="","",VLOOKUP(D14,'G-7 WaterC'' Data'!B$4:M$8,12,FALSE))</f>
        <v/>
      </c>
      <c r="AV14" s="30" t="str">
        <f t="shared" si="0"/>
        <v/>
      </c>
      <c r="AX14" s="30" t="str">
        <f t="shared" si="8"/>
        <v>No</v>
      </c>
    </row>
    <row r="15" spans="2:50" x14ac:dyDescent="0.25">
      <c r="C15" s="101">
        <v>6</v>
      </c>
      <c r="D15" s="266"/>
      <c r="E15" s="119"/>
      <c r="F15" s="281" t="str">
        <f>IF(D15="","",VLOOKUP(D15,'G-7 WaterC'' Data'!$B$2:$G$8,2,FALSE))</f>
        <v/>
      </c>
      <c r="G15" s="282" t="str">
        <f>IFERROR(VLOOKUP(F15,'G-7 WaterC'' Data'!$C$4:$D$8,2,FALSE),"")</f>
        <v/>
      </c>
      <c r="H15" s="52"/>
      <c r="I15" s="282" t="str">
        <f>IFERROR(INDEX('G-7 WaterC'' Data'!$H$4:$L$8,MATCH(D15,'G-7 WaterC'' Data'!$B$4:$B$8,0),MATCH(H15,'G-7 WaterC'' Data'!$H$3:$L$3,0)),"")</f>
        <v/>
      </c>
      <c r="J15" s="793"/>
      <c r="K15" s="317" t="str">
        <f>IF(J15="","",IF(VLOOKUP(J15,'G-7 WaterC'' Data'!$AK$4:$AM$6,2,FALSE)=0,"Spatial Data Missing ⚠",VLOOKUP(J15,'G-7 WaterC'' Data'!$AK$4:$AM$6,2,FALSE)))</f>
        <v/>
      </c>
      <c r="L15" s="287" t="str">
        <f>IF(J15="","",IF(VLOOKUP(J15,'G-7 WaterC'' Data'!$AK$4:$AM$9,3,FALSE)=0,"Spatial Data Missing ⚠",VLOOKUP(J15,'G-7 WaterC'' Data'!$AK$4:$AM$6,3,FALSE)))</f>
        <v/>
      </c>
      <c r="M15" s="52"/>
      <c r="N15" s="282" t="str">
        <f>IF(M15="","",IF(AND(D15&lt;&gt;"Culvert",M15="N/A - Culvert"),"Not possible ▲",IF(AND(D15="Culvert",M15&lt;&gt;"N/A - Culvert"),"Not possible ▲",IF(VLOOKUP(M15,'G-7 WaterC'' Data'!$AA$4:$AB$7,2,FALSE)=0,"Spatial Data Missing ⚠",VLOOKUP(M15,'G-7 WaterC'' Data'!$AA$4:$AB$7,2,FALSE)))))</f>
        <v/>
      </c>
      <c r="O15" s="56"/>
      <c r="P15" s="282" t="str">
        <f>IF(O15="","",IF(AND(O15="N/A - Culvert", D15&lt;&gt;"Culvert"),"Not possible ▲", IF(AND(D15="Culvert",O15&lt;&gt;"N/A - Culvert"),"Not possible ▲",IF(VLOOKUP(O15,'G-7 WaterC'' Data'!$AD$4:$AE$14,2,FALSE)=0,"Spatial Data Missing ⚠",VLOOKUP(O15,'G-7 WaterC'' Data'!$AD$4:$AE$14,2,FALSE)))))</f>
        <v/>
      </c>
      <c r="Q15" s="288" t="str">
        <f>IF(D15="","",VLOOKUP(D15,'G-7 WaterC'' Data'!$B$2:$G$8,6,FALSE))</f>
        <v/>
      </c>
      <c r="R15" s="295" t="str">
        <f t="shared" si="1"/>
        <v xml:space="preserve"> </v>
      </c>
      <c r="S15" s="820" t="str">
        <f t="shared" si="2"/>
        <v/>
      </c>
      <c r="T15" s="32"/>
      <c r="U15" s="105"/>
      <c r="V15" s="112"/>
      <c r="W15" s="293" t="str">
        <f t="shared" si="3"/>
        <v/>
      </c>
      <c r="X15" s="293" t="str">
        <f t="shared" si="4"/>
        <v/>
      </c>
      <c r="Y15" s="293" t="str">
        <f t="shared" si="5"/>
        <v/>
      </c>
      <c r="Z15" s="323" t="str">
        <f>IFERROR(IF(OR(E15="",R15=""),"",  IF(AND(Q15='G-7 WaterC'' Data'!$G$4,AA15="Yes"),"Alternative Compensation ✓", IF(AND(AA15="Pending", Q15='G-7 WaterC'' Data'!$G$4),"Bespoke compensation must be agreed ▲", IF((W15+X15)&gt;=R15, 0, R15-W15-X15)))),"Check Data ⚠")</f>
        <v/>
      </c>
      <c r="AA15" s="817"/>
      <c r="AB15" s="140"/>
      <c r="AC15" s="108"/>
      <c r="AD15" s="108"/>
      <c r="AE15" s="54" t="str">
        <f>IF(OR(Q15="",AA15="Yes"),"",IF(Q15='G-1 All Habitats'!$X$9,E15-U15-V15,"None"))</f>
        <v/>
      </c>
      <c r="AF15" s="55" t="str">
        <f>IF(Q15="","", IF(Q15='G-1 All Habitats'!$X$9, AE15*G15*I15*L15*N15*P15,"None"))</f>
        <v/>
      </c>
      <c r="AI15" s="30">
        <f t="shared" si="9"/>
        <v>0</v>
      </c>
      <c r="AJ15" s="111" t="str">
        <f t="shared" si="6"/>
        <v/>
      </c>
      <c r="AK15" s="111" t="str">
        <f t="shared" si="7"/>
        <v/>
      </c>
      <c r="AM15" s="111">
        <v>6</v>
      </c>
      <c r="AO15" s="111" t="str">
        <f t="array" ref="AO15">IFERROR(INDEX($AM$10:$AM$258, MATCH(0, IF(TRUE=$AJ$10:$AJ$258, COUNTIF($AO$9:$AO14, $AM$10:$AM$258), ""), 0)),"")</f>
        <v/>
      </c>
      <c r="AP15" s="111" t="str">
        <f t="array" ref="AP15">IFERROR(INDEX($AM$10:$AM$258, MATCH(0, IF(TRUE=$AK$10:$AK$258, COUNTIF($AP$9:$AP14, $AM$10:$AM$258), ""), 0)),"")</f>
        <v/>
      </c>
      <c r="AR15" s="30" t="str">
        <f>IFERROR(INDEX('G-7 WaterC'' Data'!$AZ$3:$AZ$7,MATCH(D15,'G-7 WaterC'' Data'!$AY$3:$AY$7,0)),"")</f>
        <v/>
      </c>
      <c r="AS15" s="30" t="str">
        <f>IFERROR(INDEX('G-7 WaterC'' Data'!AZ15:AZ19,MATCH(D15,'G-7 WaterC'' Data'!$AY$10:$AY$14,0)),"")</f>
        <v/>
      </c>
      <c r="AT15" s="903" t="str">
        <f>IF(AND(OR(AA15="Yes",AA15="Pending"),Q15='G-7 WaterC'' Data'!$G$4),R15-W15-X15,"")</f>
        <v/>
      </c>
      <c r="AU15" s="30" t="str">
        <f>IF(D15="","",VLOOKUP(D15,'G-7 WaterC'' Data'!B$4:M$8,12,FALSE))</f>
        <v/>
      </c>
      <c r="AV15" s="30" t="str">
        <f t="shared" si="0"/>
        <v/>
      </c>
      <c r="AX15" s="30" t="str">
        <f t="shared" si="8"/>
        <v>No</v>
      </c>
    </row>
    <row r="16" spans="2:50" x14ac:dyDescent="0.25">
      <c r="C16" s="101">
        <v>7</v>
      </c>
      <c r="D16" s="266"/>
      <c r="E16" s="119"/>
      <c r="F16" s="281" t="str">
        <f>IF(D16="","",VLOOKUP(D16,'G-7 WaterC'' Data'!$B$2:$G$8,2,FALSE))</f>
        <v/>
      </c>
      <c r="G16" s="282" t="str">
        <f>IFERROR(VLOOKUP(F16,'G-7 WaterC'' Data'!$C$4:$D$8,2,FALSE),"")</f>
        <v/>
      </c>
      <c r="H16" s="52"/>
      <c r="I16" s="282" t="str">
        <f>IFERROR(INDEX('G-7 WaterC'' Data'!$H$4:$L$8,MATCH(D16,'G-7 WaterC'' Data'!$B$4:$B$8,0),MATCH(H16,'G-7 WaterC'' Data'!$H$3:$L$3,0)),"")</f>
        <v/>
      </c>
      <c r="J16" s="793"/>
      <c r="K16" s="317" t="str">
        <f>IF(J16="","",IF(VLOOKUP(J16,'G-7 WaterC'' Data'!$AK$4:$AM$6,2,FALSE)=0,"Spatial Data Missing ⚠",VLOOKUP(J16,'G-7 WaterC'' Data'!$AK$4:$AM$6,2,FALSE)))</f>
        <v/>
      </c>
      <c r="L16" s="287" t="str">
        <f>IF(J16="","",IF(VLOOKUP(J16,'G-7 WaterC'' Data'!$AK$4:$AM$9,3,FALSE)=0,"Spatial Data Missing ⚠",VLOOKUP(J16,'G-7 WaterC'' Data'!$AK$4:$AM$6,3,FALSE)))</f>
        <v/>
      </c>
      <c r="M16" s="52"/>
      <c r="N16" s="282" t="str">
        <f>IF(M16="","",IF(AND(D16&lt;&gt;"Culvert",M16="N/A - Culvert"),"Not possible ▲",IF(AND(D16="Culvert",M16&lt;&gt;"N/A - Culvert"),"Not possible ▲",IF(VLOOKUP(M16,'G-7 WaterC'' Data'!$AA$4:$AB$7,2,FALSE)=0,"Spatial Data Missing ⚠",VLOOKUP(M16,'G-7 WaterC'' Data'!$AA$4:$AB$7,2,FALSE)))))</f>
        <v/>
      </c>
      <c r="O16" s="56"/>
      <c r="P16" s="282" t="str">
        <f>IF(O16="","",IF(AND(O16="N/A - Culvert", D16&lt;&gt;"Culvert"),"Not possible ▲", IF(AND(D16="Culvert",O16&lt;&gt;"N/A - Culvert"),"Not possible ▲",IF(VLOOKUP(O16,'G-7 WaterC'' Data'!$AD$4:$AE$14,2,FALSE)=0,"Spatial Data Missing ⚠",VLOOKUP(O16,'G-7 WaterC'' Data'!$AD$4:$AE$14,2,FALSE)))))</f>
        <v/>
      </c>
      <c r="Q16" s="288" t="str">
        <f>IF(D16="","",VLOOKUP(D16,'G-7 WaterC'' Data'!$B$2:$G$8,6,FALSE))</f>
        <v/>
      </c>
      <c r="R16" s="295" t="str">
        <f t="shared" si="1"/>
        <v xml:space="preserve"> </v>
      </c>
      <c r="S16" s="820" t="str">
        <f t="shared" si="2"/>
        <v/>
      </c>
      <c r="T16" s="32"/>
      <c r="U16" s="105"/>
      <c r="V16" s="112"/>
      <c r="W16" s="293" t="str">
        <f t="shared" si="3"/>
        <v/>
      </c>
      <c r="X16" s="293" t="str">
        <f t="shared" si="4"/>
        <v/>
      </c>
      <c r="Y16" s="293" t="str">
        <f t="shared" si="5"/>
        <v/>
      </c>
      <c r="Z16" s="323" t="str">
        <f>IFERROR(IF(OR(E16="",R16=""),"",  IF(AND(Q16='G-7 WaterC'' Data'!$G$4,AA16="Yes"),"Alternative Compensation ✓", IF(AND(AA16="Pending", Q16='G-7 WaterC'' Data'!$G$4),"Bespoke compensation must be agreed ▲", IF((W16+X16)&gt;=R16, 0, R16-W16-X16)))),"Check Data ⚠")</f>
        <v/>
      </c>
      <c r="AA16" s="817"/>
      <c r="AB16" s="140"/>
      <c r="AC16" s="108"/>
      <c r="AD16" s="108"/>
      <c r="AE16" s="54" t="str">
        <f>IF(OR(Q16="",AA16="Yes"),"",IF(Q16='G-1 All Habitats'!$X$9,E16-U16-V16,"None"))</f>
        <v/>
      </c>
      <c r="AF16" s="55" t="str">
        <f>IF(Q16="","", IF(Q16='G-1 All Habitats'!$X$9, AE16*G16*I16*L16*N16*P16,"None"))</f>
        <v/>
      </c>
      <c r="AI16" s="30">
        <f t="shared" si="9"/>
        <v>0</v>
      </c>
      <c r="AJ16" s="111" t="str">
        <f t="shared" si="6"/>
        <v/>
      </c>
      <c r="AK16" s="111" t="str">
        <f t="shared" si="7"/>
        <v/>
      </c>
      <c r="AM16" s="111">
        <v>7</v>
      </c>
      <c r="AO16" s="111" t="str">
        <f t="array" ref="AO16">IFERROR(INDEX($AM$10:$AM$258, MATCH(0, IF(TRUE=$AJ$10:$AJ$258, COUNTIF($AO$9:$AO15, $AM$10:$AM$258), ""), 0)),"")</f>
        <v/>
      </c>
      <c r="AP16" s="111" t="str">
        <f t="array" ref="AP16">IFERROR(INDEX($AM$10:$AM$258, MATCH(0, IF(TRUE=$AK$10:$AK$258, COUNTIF($AP$9:$AP15, $AM$10:$AM$258), ""), 0)),"")</f>
        <v/>
      </c>
      <c r="AR16" s="30" t="str">
        <f>IFERROR(INDEX('G-7 WaterC'' Data'!$AZ$3:$AZ$7,MATCH(D16,'G-7 WaterC'' Data'!$AY$3:$AY$7,0)),"")</f>
        <v/>
      </c>
      <c r="AS16" s="30" t="str">
        <f>IFERROR(INDEX('G-7 WaterC'' Data'!AZ16:AZ20,MATCH(D16,'G-7 WaterC'' Data'!$AY$10:$AY$14,0)),"")</f>
        <v/>
      </c>
      <c r="AT16" s="903" t="str">
        <f>IF(AND(OR(AA16="Yes",AA16="Pending"),Q16='G-7 WaterC'' Data'!$G$4),R16-W16-X16,"")</f>
        <v/>
      </c>
      <c r="AU16" s="30" t="str">
        <f>IF(D16="","",VLOOKUP(D16,'G-7 WaterC'' Data'!B$4:M$8,12,FALSE))</f>
        <v/>
      </c>
      <c r="AV16" s="30" t="str">
        <f t="shared" si="0"/>
        <v/>
      </c>
      <c r="AX16" s="30" t="str">
        <f t="shared" si="8"/>
        <v>No</v>
      </c>
    </row>
    <row r="17" spans="3:50" x14ac:dyDescent="0.25">
      <c r="C17" s="101">
        <v>8</v>
      </c>
      <c r="D17" s="266"/>
      <c r="E17" s="119"/>
      <c r="F17" s="281" t="str">
        <f>IF(D17="","",VLOOKUP(D17,'G-7 WaterC'' Data'!$B$2:$G$8,2,FALSE))</f>
        <v/>
      </c>
      <c r="G17" s="282" t="str">
        <f>IFERROR(VLOOKUP(F17,'G-7 WaterC'' Data'!$C$4:$D$8,2,FALSE),"")</f>
        <v/>
      </c>
      <c r="H17" s="52"/>
      <c r="I17" s="282" t="str">
        <f>IFERROR(INDEX('G-7 WaterC'' Data'!$H$4:$L$8,MATCH(D17,'G-7 WaterC'' Data'!$B$4:$B$8,0),MATCH(H17,'G-7 WaterC'' Data'!$H$3:$L$3,0)),"")</f>
        <v/>
      </c>
      <c r="J17" s="793"/>
      <c r="K17" s="317" t="str">
        <f>IF(J17="","",IF(VLOOKUP(J17,'G-7 WaterC'' Data'!$AK$4:$AM$6,2,FALSE)=0,"Spatial Data Missing ⚠",VLOOKUP(J17,'G-7 WaterC'' Data'!$AK$4:$AM$6,2,FALSE)))</f>
        <v/>
      </c>
      <c r="L17" s="287" t="str">
        <f>IF(J17="","",IF(VLOOKUP(J17,'G-7 WaterC'' Data'!$AK$4:$AM$9,3,FALSE)=0,"Spatial Data Missing ⚠",VLOOKUP(J17,'G-7 WaterC'' Data'!$AK$4:$AM$6,3,FALSE)))</f>
        <v/>
      </c>
      <c r="M17" s="52"/>
      <c r="N17" s="282" t="str">
        <f>IF(M17="","",IF(AND(D17&lt;&gt;"Culvert",M17="N/A - Culvert"),"Not possible ▲",IF(AND(D17="Culvert",M17&lt;&gt;"N/A - Culvert"),"Not possible ▲",IF(VLOOKUP(M17,'G-7 WaterC'' Data'!$AA$4:$AB$7,2,FALSE)=0,"Spatial Data Missing ⚠",VLOOKUP(M17,'G-7 WaterC'' Data'!$AA$4:$AB$7,2,FALSE)))))</f>
        <v/>
      </c>
      <c r="O17" s="56"/>
      <c r="P17" s="282" t="str">
        <f>IF(O17="","",IF(AND(O17="N/A - Culvert", D17&lt;&gt;"Culvert"),"Not possible ▲", IF(AND(D17="Culvert",O17&lt;&gt;"N/A - Culvert"),"Not possible ▲",IF(VLOOKUP(O17,'G-7 WaterC'' Data'!$AD$4:$AE$14,2,FALSE)=0,"Spatial Data Missing ⚠",VLOOKUP(O17,'G-7 WaterC'' Data'!$AD$4:$AE$14,2,FALSE)))))</f>
        <v/>
      </c>
      <c r="Q17" s="288" t="str">
        <f>IF(D17="","",VLOOKUP(D17,'G-7 WaterC'' Data'!$B$2:$G$8,6,FALSE))</f>
        <v/>
      </c>
      <c r="R17" s="295" t="str">
        <f t="shared" si="1"/>
        <v xml:space="preserve"> </v>
      </c>
      <c r="S17" s="820" t="str">
        <f t="shared" si="2"/>
        <v/>
      </c>
      <c r="T17" s="32"/>
      <c r="U17" s="105"/>
      <c r="V17" s="112"/>
      <c r="W17" s="293" t="str">
        <f t="shared" si="3"/>
        <v/>
      </c>
      <c r="X17" s="293" t="str">
        <f t="shared" si="4"/>
        <v/>
      </c>
      <c r="Y17" s="293" t="str">
        <f t="shared" si="5"/>
        <v/>
      </c>
      <c r="Z17" s="323" t="str">
        <f>IFERROR(IF(OR(E17="",R17=""),"",  IF(AND(Q17='G-7 WaterC'' Data'!$G$4,AA17="Yes"),"Alternative Compensation ✓", IF(AND(AA17="Pending", Q17='G-7 WaterC'' Data'!$G$4),"Bespoke compensation must be agreed ▲", IF((W17+X17)&gt;=R17, 0, R17-W17-X17)))),"Check Data ⚠")</f>
        <v/>
      </c>
      <c r="AA17" s="817"/>
      <c r="AB17" s="140"/>
      <c r="AC17" s="108"/>
      <c r="AD17" s="108"/>
      <c r="AE17" s="54" t="str">
        <f>IF(OR(Q17="",AA17="Yes"),"",IF(Q17='G-1 All Habitats'!$X$9,E17-U17-V17,"None"))</f>
        <v/>
      </c>
      <c r="AF17" s="55" t="str">
        <f>IF(Q17="","", IF(Q17='G-1 All Habitats'!$X$9, AE17*G17*I17*L17*N17*P17,"None"))</f>
        <v/>
      </c>
      <c r="AI17" s="30">
        <f t="shared" si="9"/>
        <v>0</v>
      </c>
      <c r="AJ17" s="111" t="str">
        <f t="shared" si="6"/>
        <v/>
      </c>
      <c r="AK17" s="111" t="str">
        <f t="shared" si="7"/>
        <v/>
      </c>
      <c r="AM17" s="111">
        <v>8</v>
      </c>
      <c r="AO17" s="111" t="str">
        <f t="array" ref="AO17">IFERROR(INDEX($AM$10:$AM$258, MATCH(0, IF(TRUE=$AJ$10:$AJ$258, COUNTIF($AO$9:$AO16, $AM$10:$AM$258), ""), 0)),"")</f>
        <v/>
      </c>
      <c r="AP17" s="111" t="str">
        <f t="array" ref="AP17">IFERROR(INDEX($AM$10:$AM$258, MATCH(0, IF(TRUE=$AK$10:$AK$258, COUNTIF($AP$9:$AP16, $AM$10:$AM$258), ""), 0)),"")</f>
        <v/>
      </c>
      <c r="AR17" s="30" t="str">
        <f>IFERROR(INDEX('G-7 WaterC'' Data'!$AZ$3:$AZ$7,MATCH(D17,'G-7 WaterC'' Data'!$AY$3:$AY$7,0)),"")</f>
        <v/>
      </c>
      <c r="AS17" s="30" t="str">
        <f>IFERROR(INDEX('G-7 WaterC'' Data'!AZ17:AZ21,MATCH(D17,'G-7 WaterC'' Data'!$AY$10:$AY$14,0)),"")</f>
        <v/>
      </c>
      <c r="AT17" s="903" t="str">
        <f>IF(AND(OR(AA17="Yes",AA17="Pending"),Q17='G-7 WaterC'' Data'!$G$4),R17-W17-X17,"")</f>
        <v/>
      </c>
      <c r="AU17" s="30" t="str">
        <f>IF(D17="","",VLOOKUP(D17,'G-7 WaterC'' Data'!B$4:M$8,12,FALSE))</f>
        <v/>
      </c>
      <c r="AV17" s="30" t="str">
        <f t="shared" si="0"/>
        <v/>
      </c>
      <c r="AX17" s="30" t="str">
        <f t="shared" si="8"/>
        <v>No</v>
      </c>
    </row>
    <row r="18" spans="3:50" x14ac:dyDescent="0.25">
      <c r="C18" s="101">
        <v>9</v>
      </c>
      <c r="D18" s="266"/>
      <c r="E18" s="119"/>
      <c r="F18" s="281" t="str">
        <f>IF(D18="","",VLOOKUP(D18,'G-7 WaterC'' Data'!$B$2:$G$8,2,FALSE))</f>
        <v/>
      </c>
      <c r="G18" s="282" t="str">
        <f>IFERROR(VLOOKUP(F18,'G-7 WaterC'' Data'!$C$4:$D$8,2,FALSE),"")</f>
        <v/>
      </c>
      <c r="H18" s="52"/>
      <c r="I18" s="282" t="str">
        <f>IFERROR(INDEX('G-7 WaterC'' Data'!$H$4:$L$8,MATCH(D18,'G-7 WaterC'' Data'!$B$4:$B$8,0),MATCH(H18,'G-7 WaterC'' Data'!$H$3:$L$3,0)),"")</f>
        <v/>
      </c>
      <c r="J18" s="793"/>
      <c r="K18" s="317" t="str">
        <f>IF(J18="","",IF(VLOOKUP(J18,'G-7 WaterC'' Data'!$AK$4:$AM$6,2,FALSE)=0,"Spatial Data Missing ⚠",VLOOKUP(J18,'G-7 WaterC'' Data'!$AK$4:$AM$6,2,FALSE)))</f>
        <v/>
      </c>
      <c r="L18" s="287" t="str">
        <f>IF(J18="","",IF(VLOOKUP(J18,'G-7 WaterC'' Data'!$AK$4:$AM$9,3,FALSE)=0,"Spatial Data Missing ⚠",VLOOKUP(J18,'G-7 WaterC'' Data'!$AK$4:$AM$6,3,FALSE)))</f>
        <v/>
      </c>
      <c r="M18" s="52"/>
      <c r="N18" s="282" t="str">
        <f>IF(M18="","",IF(AND(D18&lt;&gt;"Culvert",M18="N/A - Culvert"),"Not possible ▲",IF(AND(D18="Culvert",M18&lt;&gt;"N/A - Culvert"),"Not possible ▲",IF(VLOOKUP(M18,'G-7 WaterC'' Data'!$AA$4:$AB$7,2,FALSE)=0,"Spatial Data Missing ⚠",VLOOKUP(M18,'G-7 WaterC'' Data'!$AA$4:$AB$7,2,FALSE)))))</f>
        <v/>
      </c>
      <c r="O18" s="56"/>
      <c r="P18" s="282" t="str">
        <f>IF(O18="","",IF(AND(O18="N/A - Culvert", D18&lt;&gt;"Culvert"),"Not possible ▲", IF(AND(D18="Culvert",O18&lt;&gt;"N/A - Culvert"),"Not possible ▲",IF(VLOOKUP(O18,'G-7 WaterC'' Data'!$AD$4:$AE$14,2,FALSE)=0,"Spatial Data Missing ⚠",VLOOKUP(O18,'G-7 WaterC'' Data'!$AD$4:$AE$14,2,FALSE)))))</f>
        <v/>
      </c>
      <c r="Q18" s="288" t="str">
        <f>IF(D18="","",VLOOKUP(D18,'G-7 WaterC'' Data'!$B$2:$G$8,6,FALSE))</f>
        <v/>
      </c>
      <c r="R18" s="295" t="str">
        <f t="shared" si="1"/>
        <v xml:space="preserve"> </v>
      </c>
      <c r="S18" s="820" t="str">
        <f t="shared" si="2"/>
        <v/>
      </c>
      <c r="T18" s="32"/>
      <c r="U18" s="105"/>
      <c r="V18" s="112"/>
      <c r="W18" s="293" t="str">
        <f t="shared" si="3"/>
        <v/>
      </c>
      <c r="X18" s="293" t="str">
        <f t="shared" si="4"/>
        <v/>
      </c>
      <c r="Y18" s="293" t="str">
        <f t="shared" si="5"/>
        <v/>
      </c>
      <c r="Z18" s="323" t="str">
        <f>IFERROR(IF(OR(E18="",R18=""),"",  IF(AND(Q18='G-7 WaterC'' Data'!$G$4,AA18="Yes"),"Alternative Compensation ✓", IF(AND(AA18="Pending", Q18='G-7 WaterC'' Data'!$G$4),"Bespoke compensation must be agreed ▲", IF((W18+X18)&gt;=R18, 0, R18-W18-X18)))),"Check Data ⚠")</f>
        <v/>
      </c>
      <c r="AA18" s="817"/>
      <c r="AB18" s="140"/>
      <c r="AC18" s="108"/>
      <c r="AD18" s="108"/>
      <c r="AE18" s="54" t="str">
        <f>IF(OR(Q18="",AA18="Yes"),"",IF(Q18='G-1 All Habitats'!$X$9,E18-U18-V18,"None"))</f>
        <v/>
      </c>
      <c r="AF18" s="55" t="str">
        <f>IF(Q18="","", IF(Q18='G-1 All Habitats'!$X$9, AE18*G18*I18*L18*N18*P18,"None"))</f>
        <v/>
      </c>
      <c r="AI18" s="30">
        <f t="shared" si="9"/>
        <v>0</v>
      </c>
      <c r="AJ18" s="111" t="str">
        <f t="shared" si="6"/>
        <v/>
      </c>
      <c r="AK18" s="111" t="str">
        <f t="shared" si="7"/>
        <v/>
      </c>
      <c r="AM18" s="111">
        <v>9</v>
      </c>
      <c r="AO18" s="111" t="str">
        <f t="array" ref="AO18">IFERROR(INDEX($AM$10:$AM$258, MATCH(0, IF(TRUE=$AJ$10:$AJ$258, COUNTIF($AO$9:$AO17, $AM$10:$AM$258), ""), 0)),"")</f>
        <v/>
      </c>
      <c r="AP18" s="111" t="str">
        <f t="array" ref="AP18">IFERROR(INDEX($AM$10:$AM$258, MATCH(0, IF(TRUE=$AK$10:$AK$258, COUNTIF($AP$9:$AP17, $AM$10:$AM$258), ""), 0)),"")</f>
        <v/>
      </c>
      <c r="AR18" s="30" t="str">
        <f>IFERROR(INDEX('G-7 WaterC'' Data'!$AZ$3:$AZ$7,MATCH(D18,'G-7 WaterC'' Data'!$AY$3:$AY$7,0)),"")</f>
        <v/>
      </c>
      <c r="AS18" s="30" t="str">
        <f>IFERROR(INDEX('G-7 WaterC'' Data'!AZ18:AZ22,MATCH(D18,'G-7 WaterC'' Data'!$AY$10:$AY$14,0)),"")</f>
        <v/>
      </c>
      <c r="AT18" s="903" t="str">
        <f>IF(AND(OR(AA18="Yes",AA18="Pending"),Q18='G-7 WaterC'' Data'!$G$4),R18-W18-X18,"")</f>
        <v/>
      </c>
      <c r="AU18" s="30" t="str">
        <f>IF(D18="","",VLOOKUP(D18,'G-7 WaterC'' Data'!B$4:M$8,12,FALSE))</f>
        <v/>
      </c>
      <c r="AV18" s="30" t="str">
        <f t="shared" si="0"/>
        <v/>
      </c>
      <c r="AX18" s="30" t="str">
        <f t="shared" si="8"/>
        <v>No</v>
      </c>
    </row>
    <row r="19" spans="3:50" x14ac:dyDescent="0.25">
      <c r="C19" s="101">
        <v>10</v>
      </c>
      <c r="D19" s="266"/>
      <c r="E19" s="119"/>
      <c r="F19" s="281" t="str">
        <f>IF(D19="","",VLOOKUP(D19,'G-7 WaterC'' Data'!$B$2:$G$8,2,FALSE))</f>
        <v/>
      </c>
      <c r="G19" s="282" t="str">
        <f>IFERROR(VLOOKUP(F19,'G-7 WaterC'' Data'!$C$4:$D$8,2,FALSE),"")</f>
        <v/>
      </c>
      <c r="H19" s="52"/>
      <c r="I19" s="282" t="str">
        <f>IFERROR(INDEX('G-7 WaterC'' Data'!$H$4:$L$8,MATCH(D19,'G-7 WaterC'' Data'!$B$4:$B$8,0),MATCH(H19,'G-7 WaterC'' Data'!$H$3:$L$3,0)),"")</f>
        <v/>
      </c>
      <c r="J19" s="793"/>
      <c r="K19" s="317" t="str">
        <f>IF(J19="","",IF(VLOOKUP(J19,'G-7 WaterC'' Data'!$AK$4:$AM$6,2,FALSE)=0,"Spatial Data Missing ⚠",VLOOKUP(J19,'G-7 WaterC'' Data'!$AK$4:$AM$6,2,FALSE)))</f>
        <v/>
      </c>
      <c r="L19" s="287" t="str">
        <f>IF(J19="","",IF(VLOOKUP(J19,'G-7 WaterC'' Data'!$AK$4:$AM$9,3,FALSE)=0,"Spatial Data Missing ⚠",VLOOKUP(J19,'G-7 WaterC'' Data'!$AK$4:$AM$6,3,FALSE)))</f>
        <v/>
      </c>
      <c r="M19" s="52"/>
      <c r="N19" s="282" t="str">
        <f>IF(M19="","",IF(AND(D19&lt;&gt;"Culvert",M19="N/A - Culvert"),"Not possible ▲",IF(AND(D19="Culvert",M19&lt;&gt;"N/A - Culvert"),"Not possible ▲",IF(VLOOKUP(M19,'G-7 WaterC'' Data'!$AA$4:$AB$7,2,FALSE)=0,"Spatial Data Missing ⚠",VLOOKUP(M19,'G-7 WaterC'' Data'!$AA$4:$AB$7,2,FALSE)))))</f>
        <v/>
      </c>
      <c r="O19" s="56"/>
      <c r="P19" s="282" t="str">
        <f>IF(O19="","",IF(AND(O19="N/A - Culvert", D19&lt;&gt;"Culvert"),"Not possible ▲", IF(AND(D19="Culvert",O19&lt;&gt;"N/A - Culvert"),"Not possible ▲",IF(VLOOKUP(O19,'G-7 WaterC'' Data'!$AD$4:$AE$14,2,FALSE)=0,"Spatial Data Missing ⚠",VLOOKUP(O19,'G-7 WaterC'' Data'!$AD$4:$AE$14,2,FALSE)))))</f>
        <v/>
      </c>
      <c r="Q19" s="288" t="str">
        <f>IF(D19="","",VLOOKUP(D19,'G-7 WaterC'' Data'!$B$2:$G$8,6,FALSE))</f>
        <v/>
      </c>
      <c r="R19" s="295" t="str">
        <f t="shared" si="1"/>
        <v xml:space="preserve"> </v>
      </c>
      <c r="S19" s="820" t="str">
        <f t="shared" si="2"/>
        <v/>
      </c>
      <c r="T19" s="32"/>
      <c r="U19" s="105"/>
      <c r="V19" s="112"/>
      <c r="W19" s="293" t="str">
        <f t="shared" si="3"/>
        <v/>
      </c>
      <c r="X19" s="293" t="str">
        <f t="shared" si="4"/>
        <v/>
      </c>
      <c r="Y19" s="293" t="str">
        <f t="shared" si="5"/>
        <v/>
      </c>
      <c r="Z19" s="323" t="str">
        <f>IFERROR(IF(OR(E19="",R19=""),"",  IF(AND(Q19='G-7 WaterC'' Data'!$G$4,AA19="Yes"),"Alternative Compensation ✓", IF(AND(AA19="Pending", Q19='G-7 WaterC'' Data'!$G$4),"Bespoke compensation must be agreed ▲", IF((W19+X19)&gt;=R19, 0, R19-W19-X19)))),"Check Data ⚠")</f>
        <v/>
      </c>
      <c r="AA19" s="817"/>
      <c r="AB19" s="140"/>
      <c r="AC19" s="108"/>
      <c r="AD19" s="108"/>
      <c r="AE19" s="54" t="str">
        <f>IF(OR(Q19="",AA19="Yes"),"",IF(Q19='G-1 All Habitats'!$X$9,E19-U19-V19,"None"))</f>
        <v/>
      </c>
      <c r="AF19" s="55" t="str">
        <f>IF(Q19="","", IF(Q19='G-1 All Habitats'!$X$9, AE19*G19*I19*L19*N19*P19,"None"))</f>
        <v/>
      </c>
      <c r="AI19" s="30">
        <f t="shared" si="9"/>
        <v>0</v>
      </c>
      <c r="AJ19" s="111" t="str">
        <f t="shared" si="6"/>
        <v/>
      </c>
      <c r="AK19" s="111" t="str">
        <f t="shared" si="7"/>
        <v/>
      </c>
      <c r="AM19" s="111">
        <v>10</v>
      </c>
      <c r="AO19" s="111" t="str">
        <f t="array" ref="AO19">IFERROR(INDEX($AM$10:$AM$258, MATCH(0, IF(TRUE=$AJ$10:$AJ$258, COUNTIF($AO$9:$AO18, $AM$10:$AM$258), ""), 0)),"")</f>
        <v/>
      </c>
      <c r="AP19" s="111" t="str">
        <f t="array" ref="AP19">IFERROR(INDEX($AM$10:$AM$258, MATCH(0, IF(TRUE=$AK$10:$AK$258, COUNTIF($AP$9:$AP18, $AM$10:$AM$258), ""), 0)),"")</f>
        <v/>
      </c>
      <c r="AR19" s="30" t="str">
        <f>IFERROR(INDEX('G-7 WaterC'' Data'!$AZ$3:$AZ$7,MATCH(D19,'G-7 WaterC'' Data'!$AY$3:$AY$7,0)),"")</f>
        <v/>
      </c>
      <c r="AS19" s="30" t="str">
        <f>IFERROR(INDEX('G-7 WaterC'' Data'!AZ19:AZ23,MATCH(D19,'G-7 WaterC'' Data'!$AY$10:$AY$14,0)),"")</f>
        <v/>
      </c>
      <c r="AT19" s="903" t="str">
        <f>IF(AND(OR(AA19="Yes",AA19="Pending"),Q19='G-7 WaterC'' Data'!$G$4),R19-W19-X19,"")</f>
        <v/>
      </c>
      <c r="AU19" s="30" t="str">
        <f>IF(D19="","",VLOOKUP(D19,'G-7 WaterC'' Data'!B$4:M$8,12,FALSE))</f>
        <v/>
      </c>
      <c r="AV19" s="30" t="str">
        <f t="shared" si="0"/>
        <v/>
      </c>
      <c r="AX19" s="30" t="str">
        <f t="shared" si="8"/>
        <v>No</v>
      </c>
    </row>
    <row r="20" spans="3:50" x14ac:dyDescent="0.25">
      <c r="C20" s="101">
        <v>11</v>
      </c>
      <c r="D20" s="266"/>
      <c r="E20" s="119"/>
      <c r="F20" s="281" t="str">
        <f>IF(D20="","",VLOOKUP(D20,'G-7 WaterC'' Data'!$B$2:$G$8,2,FALSE))</f>
        <v/>
      </c>
      <c r="G20" s="282" t="str">
        <f>IFERROR(VLOOKUP(F20,'G-7 WaterC'' Data'!$C$4:$D$8,2,FALSE),"")</f>
        <v/>
      </c>
      <c r="H20" s="52"/>
      <c r="I20" s="282" t="str">
        <f>IFERROR(INDEX('G-7 WaterC'' Data'!$H$4:$L$8,MATCH(D20,'G-7 WaterC'' Data'!$B$4:$B$8,0),MATCH(H20,'G-7 WaterC'' Data'!$H$3:$L$3,0)),"")</f>
        <v/>
      </c>
      <c r="J20" s="793"/>
      <c r="K20" s="317" t="str">
        <f>IF(J20="","",IF(VLOOKUP(J20,'G-7 WaterC'' Data'!$AK$4:$AM$6,2,FALSE)=0,"Spatial Data Missing ⚠",VLOOKUP(J20,'G-7 WaterC'' Data'!$AK$4:$AM$6,2,FALSE)))</f>
        <v/>
      </c>
      <c r="L20" s="287" t="str">
        <f>IF(J20="","",IF(VLOOKUP(J20,'G-7 WaterC'' Data'!$AK$4:$AM$9,3,FALSE)=0,"Spatial Data Missing ⚠",VLOOKUP(J20,'G-7 WaterC'' Data'!$AK$4:$AM$6,3,FALSE)))</f>
        <v/>
      </c>
      <c r="M20" s="52"/>
      <c r="N20" s="282" t="str">
        <f>IF(M20="","",IF(AND(D20&lt;&gt;"Culvert",M20="N/A - Culvert"),"Not possible ▲",IF(AND(D20="Culvert",M20&lt;&gt;"N/A - Culvert"),"Not possible ▲",IF(VLOOKUP(M20,'G-7 WaterC'' Data'!$AA$4:$AB$7,2,FALSE)=0,"Spatial Data Missing ⚠",VLOOKUP(M20,'G-7 WaterC'' Data'!$AA$4:$AB$7,2,FALSE)))))</f>
        <v/>
      </c>
      <c r="O20" s="56"/>
      <c r="P20" s="282" t="str">
        <f>IF(O20="","",IF(AND(O20="N/A - Culvert", D20&lt;&gt;"Culvert"),"Not possible ▲", IF(AND(D20="Culvert",O20&lt;&gt;"N/A - Culvert"),"Not possible ▲",IF(VLOOKUP(O20,'G-7 WaterC'' Data'!$AD$4:$AE$14,2,FALSE)=0,"Spatial Data Missing ⚠",VLOOKUP(O20,'G-7 WaterC'' Data'!$AD$4:$AE$14,2,FALSE)))))</f>
        <v/>
      </c>
      <c r="Q20" s="288" t="str">
        <f>IF(D20="","",VLOOKUP(D20,'G-7 WaterC'' Data'!$B$2:$G$8,6,FALSE))</f>
        <v/>
      </c>
      <c r="R20" s="295" t="str">
        <f t="shared" si="1"/>
        <v xml:space="preserve"> </v>
      </c>
      <c r="S20" s="820" t="str">
        <f t="shared" si="2"/>
        <v/>
      </c>
      <c r="T20" s="32"/>
      <c r="U20" s="105"/>
      <c r="V20" s="112"/>
      <c r="W20" s="293" t="str">
        <f t="shared" si="3"/>
        <v/>
      </c>
      <c r="X20" s="293" t="str">
        <f t="shared" si="4"/>
        <v/>
      </c>
      <c r="Y20" s="293" t="str">
        <f t="shared" si="5"/>
        <v/>
      </c>
      <c r="Z20" s="323" t="str">
        <f>IFERROR(IF(OR(E20="",R20=""),"",  IF(AND(Q20='G-7 WaterC'' Data'!$G$4,AA20="Yes"),"Alternative Compensation ✓", IF(AND(AA20="Pending", Q20='G-7 WaterC'' Data'!$G$4),"Bespoke compensation must be agreed ▲", IF((W20+X20)&gt;=R20, 0, R20-W20-X20)))),"Check Data ⚠")</f>
        <v/>
      </c>
      <c r="AA20" s="817"/>
      <c r="AB20" s="140"/>
      <c r="AC20" s="108"/>
      <c r="AD20" s="108"/>
      <c r="AE20" s="54" t="str">
        <f>IF(OR(Q20="",AA20="Yes"),"",IF(Q20='G-1 All Habitats'!$X$9,E20-U20-V20,"None"))</f>
        <v/>
      </c>
      <c r="AF20" s="55" t="str">
        <f>IF(Q20="","", IF(Q20='G-1 All Habitats'!$X$9, AE20*G20*I20*L20*N20*P20,"None"))</f>
        <v/>
      </c>
      <c r="AI20" s="30">
        <f t="shared" si="9"/>
        <v>0</v>
      </c>
      <c r="AJ20" s="111" t="str">
        <f t="shared" si="6"/>
        <v/>
      </c>
      <c r="AK20" s="111" t="str">
        <f t="shared" si="7"/>
        <v/>
      </c>
      <c r="AM20" s="111">
        <v>11</v>
      </c>
      <c r="AO20" s="111" t="str">
        <f t="array" ref="AO20">IFERROR(INDEX($AM$10:$AM$258, MATCH(0, IF(TRUE=$AJ$10:$AJ$258, COUNTIF($AO$9:$AO19, $AM$10:$AM$258), ""), 0)),"")</f>
        <v/>
      </c>
      <c r="AP20" s="111" t="str">
        <f t="array" ref="AP20">IFERROR(INDEX($AM$10:$AM$258, MATCH(0, IF(TRUE=$AK$10:$AK$258, COUNTIF($AP$9:$AP19, $AM$10:$AM$258), ""), 0)),"")</f>
        <v/>
      </c>
      <c r="AR20" s="30" t="str">
        <f>IFERROR(INDEX('G-7 WaterC'' Data'!$AZ$3:$AZ$7,MATCH(D20,'G-7 WaterC'' Data'!$AY$3:$AY$7,0)),"")</f>
        <v/>
      </c>
      <c r="AS20" s="30" t="str">
        <f>IFERROR(INDEX('G-7 WaterC'' Data'!AZ20:AZ24,MATCH(D20,'G-7 WaterC'' Data'!$AY$10:$AY$14,0)),"")</f>
        <v/>
      </c>
      <c r="AT20" s="903" t="str">
        <f>IF(AND(OR(AA20="Yes",AA20="Pending"),Q20='G-7 WaterC'' Data'!$G$4),R20-W20-X20,"")</f>
        <v/>
      </c>
      <c r="AU20" s="30" t="str">
        <f>IF(D20="","",VLOOKUP(D20,'G-7 WaterC'' Data'!B$4:M$8,12,FALSE))</f>
        <v/>
      </c>
      <c r="AV20" s="30" t="str">
        <f t="shared" si="0"/>
        <v/>
      </c>
      <c r="AX20" s="30" t="str">
        <f t="shared" si="8"/>
        <v>No</v>
      </c>
    </row>
    <row r="21" spans="3:50" x14ac:dyDescent="0.25">
      <c r="C21" s="101">
        <v>12</v>
      </c>
      <c r="D21" s="266"/>
      <c r="E21" s="119"/>
      <c r="F21" s="281" t="str">
        <f>IF(D21="","",VLOOKUP(D21,'G-7 WaterC'' Data'!$B$2:$G$8,2,FALSE))</f>
        <v/>
      </c>
      <c r="G21" s="282" t="str">
        <f>IFERROR(VLOOKUP(F21,'G-7 WaterC'' Data'!$C$4:$D$8,2,FALSE),"")</f>
        <v/>
      </c>
      <c r="H21" s="52"/>
      <c r="I21" s="282" t="str">
        <f>IFERROR(INDEX('G-7 WaterC'' Data'!$H$4:$L$8,MATCH(D21,'G-7 WaterC'' Data'!$B$4:$B$8,0),MATCH(H21,'G-7 WaterC'' Data'!$H$3:$L$3,0)),"")</f>
        <v/>
      </c>
      <c r="J21" s="793"/>
      <c r="K21" s="317" t="str">
        <f>IF(J21="","",IF(VLOOKUP(J21,'G-7 WaterC'' Data'!$AK$4:$AM$6,2,FALSE)=0,"Spatial Data Missing ⚠",VLOOKUP(J21,'G-7 WaterC'' Data'!$AK$4:$AM$6,2,FALSE)))</f>
        <v/>
      </c>
      <c r="L21" s="287" t="str">
        <f>IF(J21="","",IF(VLOOKUP(J21,'G-7 WaterC'' Data'!$AK$4:$AM$9,3,FALSE)=0,"Spatial Data Missing ⚠",VLOOKUP(J21,'G-7 WaterC'' Data'!$AK$4:$AM$6,3,FALSE)))</f>
        <v/>
      </c>
      <c r="M21" s="52"/>
      <c r="N21" s="282" t="str">
        <f>IF(M21="","",IF(AND(D21&lt;&gt;"Culvert",M21="N/A - Culvert"),"Not possible ▲",IF(AND(D21="Culvert",M21&lt;&gt;"N/A - Culvert"),"Not possible ▲",IF(VLOOKUP(M21,'G-7 WaterC'' Data'!$AA$4:$AB$7,2,FALSE)=0,"Spatial Data Missing ⚠",VLOOKUP(M21,'G-7 WaterC'' Data'!$AA$4:$AB$7,2,FALSE)))))</f>
        <v/>
      </c>
      <c r="O21" s="56"/>
      <c r="P21" s="282" t="str">
        <f>IF(O21="","",IF(AND(O21="N/A - Culvert", D21&lt;&gt;"Culvert"),"Not possible ▲", IF(AND(D21="Culvert",O21&lt;&gt;"N/A - Culvert"),"Not possible ▲",IF(VLOOKUP(O21,'G-7 WaterC'' Data'!$AD$4:$AE$14,2,FALSE)=0,"Spatial Data Missing ⚠",VLOOKUP(O21,'G-7 WaterC'' Data'!$AD$4:$AE$14,2,FALSE)))))</f>
        <v/>
      </c>
      <c r="Q21" s="288" t="str">
        <f>IF(D21="","",VLOOKUP(D21,'G-7 WaterC'' Data'!$B$2:$G$8,6,FALSE))</f>
        <v/>
      </c>
      <c r="R21" s="295" t="str">
        <f t="shared" si="1"/>
        <v xml:space="preserve"> </v>
      </c>
      <c r="S21" s="820" t="str">
        <f t="shared" si="2"/>
        <v/>
      </c>
      <c r="T21" s="32"/>
      <c r="U21" s="105"/>
      <c r="V21" s="112"/>
      <c r="W21" s="293" t="str">
        <f t="shared" si="3"/>
        <v/>
      </c>
      <c r="X21" s="293" t="str">
        <f t="shared" si="4"/>
        <v/>
      </c>
      <c r="Y21" s="293" t="str">
        <f t="shared" si="5"/>
        <v/>
      </c>
      <c r="Z21" s="323" t="str">
        <f>IFERROR(IF(OR(E21="",R21=""),"",  IF(AND(Q21='G-7 WaterC'' Data'!$G$4,AA21="Yes"),"Alternative Compensation ✓", IF(AND(AA21="Pending", Q21='G-7 WaterC'' Data'!$G$4),"Bespoke compensation must be agreed ▲", IF((W21+X21)&gt;=R21, 0, R21-W21-X21)))),"Check Data ⚠")</f>
        <v/>
      </c>
      <c r="AA21" s="817"/>
      <c r="AB21" s="140"/>
      <c r="AC21" s="108"/>
      <c r="AD21" s="108"/>
      <c r="AE21" s="54" t="str">
        <f>IF(OR(Q21="",AA21="Yes"),"",IF(Q21='G-1 All Habitats'!$X$9,E21-U21-V21,"None"))</f>
        <v/>
      </c>
      <c r="AF21" s="55" t="str">
        <f>IF(Q21="","", IF(Q21='G-1 All Habitats'!$X$9, AE21*G21*I21*L21*N21*P21,"None"))</f>
        <v/>
      </c>
      <c r="AI21" s="30">
        <f t="shared" si="9"/>
        <v>0</v>
      </c>
      <c r="AJ21" s="111" t="str">
        <f t="shared" si="6"/>
        <v/>
      </c>
      <c r="AK21" s="111" t="str">
        <f t="shared" si="7"/>
        <v/>
      </c>
      <c r="AM21" s="111">
        <v>12</v>
      </c>
      <c r="AO21" s="111" t="str">
        <f t="array" ref="AO21">IFERROR(INDEX($AM$10:$AM$258, MATCH(0, IF(TRUE=$AJ$10:$AJ$258, COUNTIF($AO$9:$AO20, $AM$10:$AM$258), ""), 0)),"")</f>
        <v/>
      </c>
      <c r="AP21" s="111" t="str">
        <f t="array" ref="AP21">IFERROR(INDEX($AM$10:$AM$258, MATCH(0, IF(TRUE=$AK$10:$AK$258, COUNTIF($AP$9:$AP20, $AM$10:$AM$258), ""), 0)),"")</f>
        <v/>
      </c>
      <c r="AR21" s="30" t="str">
        <f>IFERROR(INDEX('G-7 WaterC'' Data'!$AZ$3:$AZ$7,MATCH(D21,'G-7 WaterC'' Data'!$AY$3:$AY$7,0)),"")</f>
        <v/>
      </c>
      <c r="AS21" s="30" t="str">
        <f>IFERROR(INDEX('G-7 WaterC'' Data'!AZ21:AZ25,MATCH(D21,'G-7 WaterC'' Data'!$AY$10:$AY$14,0)),"")</f>
        <v/>
      </c>
      <c r="AT21" s="903" t="str">
        <f>IF(AND(OR(AA21="Yes",AA21="Pending"),Q21='G-7 WaterC'' Data'!$G$4),R21-W21-X21,"")</f>
        <v/>
      </c>
      <c r="AU21" s="30" t="str">
        <f>IF(D21="","",VLOOKUP(D21,'G-7 WaterC'' Data'!B$4:M$8,12,FALSE))</f>
        <v/>
      </c>
      <c r="AV21" s="30" t="str">
        <f t="shared" si="0"/>
        <v/>
      </c>
      <c r="AX21" s="30" t="str">
        <f t="shared" si="8"/>
        <v>No</v>
      </c>
    </row>
    <row r="22" spans="3:50" x14ac:dyDescent="0.25">
      <c r="C22" s="101">
        <v>13</v>
      </c>
      <c r="D22" s="266"/>
      <c r="E22" s="119"/>
      <c r="F22" s="281" t="str">
        <f>IF(D22="","",VLOOKUP(D22,'G-7 WaterC'' Data'!$B$2:$G$8,2,FALSE))</f>
        <v/>
      </c>
      <c r="G22" s="282" t="str">
        <f>IFERROR(VLOOKUP(F22,'G-7 WaterC'' Data'!$C$4:$D$8,2,FALSE),"")</f>
        <v/>
      </c>
      <c r="H22" s="52"/>
      <c r="I22" s="282" t="str">
        <f>IFERROR(INDEX('G-7 WaterC'' Data'!$H$4:$L$8,MATCH(D22,'G-7 WaterC'' Data'!$B$4:$B$8,0),MATCH(H22,'G-7 WaterC'' Data'!$H$3:$L$3,0)),"")</f>
        <v/>
      </c>
      <c r="J22" s="793"/>
      <c r="K22" s="317" t="str">
        <f>IF(J22="","",IF(VLOOKUP(J22,'G-7 WaterC'' Data'!$AK$4:$AM$6,2,FALSE)=0,"Spatial Data Missing ⚠",VLOOKUP(J22,'G-7 WaterC'' Data'!$AK$4:$AM$6,2,FALSE)))</f>
        <v/>
      </c>
      <c r="L22" s="287" t="str">
        <f>IF(J22="","",IF(VLOOKUP(J22,'G-7 WaterC'' Data'!$AK$4:$AM$9,3,FALSE)=0,"Spatial Data Missing ⚠",VLOOKUP(J22,'G-7 WaterC'' Data'!$AK$4:$AM$6,3,FALSE)))</f>
        <v/>
      </c>
      <c r="M22" s="52"/>
      <c r="N22" s="282" t="str">
        <f>IF(M22="","",IF(AND(D22&lt;&gt;"Culvert",M22="N/A - Culvert"),"Not possible ▲",IF(AND(D22="Culvert",M22&lt;&gt;"N/A - Culvert"),"Not possible ▲",IF(VLOOKUP(M22,'G-7 WaterC'' Data'!$AA$4:$AB$7,2,FALSE)=0,"Spatial Data Missing ⚠",VLOOKUP(M22,'G-7 WaterC'' Data'!$AA$4:$AB$7,2,FALSE)))))</f>
        <v/>
      </c>
      <c r="O22" s="56"/>
      <c r="P22" s="282" t="str">
        <f>IF(O22="","",IF(AND(O22="N/A - Culvert", D22&lt;&gt;"Culvert"),"Not possible ▲", IF(AND(D22="Culvert",O22&lt;&gt;"N/A - Culvert"),"Not possible ▲",IF(VLOOKUP(O22,'G-7 WaterC'' Data'!$AD$4:$AE$14,2,FALSE)=0,"Spatial Data Missing ⚠",VLOOKUP(O22,'G-7 WaterC'' Data'!$AD$4:$AE$14,2,FALSE)))))</f>
        <v/>
      </c>
      <c r="Q22" s="288" t="str">
        <f>IF(D22="","",VLOOKUP(D22,'G-7 WaterC'' Data'!$B$2:$G$8,6,FALSE))</f>
        <v/>
      </c>
      <c r="R22" s="295" t="str">
        <f t="shared" si="1"/>
        <v xml:space="preserve"> </v>
      </c>
      <c r="S22" s="820" t="str">
        <f t="shared" si="2"/>
        <v/>
      </c>
      <c r="T22" s="32"/>
      <c r="U22" s="105"/>
      <c r="V22" s="112"/>
      <c r="W22" s="293" t="str">
        <f t="shared" si="3"/>
        <v/>
      </c>
      <c r="X22" s="293" t="str">
        <f t="shared" si="4"/>
        <v/>
      </c>
      <c r="Y22" s="293" t="str">
        <f t="shared" si="5"/>
        <v/>
      </c>
      <c r="Z22" s="323" t="str">
        <f>IFERROR(IF(OR(E22="",R22=""),"",  IF(AND(Q22='G-7 WaterC'' Data'!$G$4,AA22="Yes"),"Alternative Compensation ✓", IF(AND(AA22="Pending", Q22='G-7 WaterC'' Data'!$G$4),"Bespoke compensation must be agreed ▲", IF((W22+X22)&gt;=R22, 0, R22-W22-X22)))),"Check Data ⚠")</f>
        <v/>
      </c>
      <c r="AA22" s="817"/>
      <c r="AB22" s="140"/>
      <c r="AC22" s="108"/>
      <c r="AD22" s="108"/>
      <c r="AE22" s="54" t="str">
        <f>IF(OR(Q22="",AA22="Yes"),"",IF(Q22='G-1 All Habitats'!$X$9,E22-U22-V22,"None"))</f>
        <v/>
      </c>
      <c r="AF22" s="55" t="str">
        <f>IF(Q22="","", IF(Q22='G-1 All Habitats'!$X$9, AE22*G22*I22*L22*N22*P22,"None"))</f>
        <v/>
      </c>
      <c r="AI22" s="30">
        <f t="shared" si="9"/>
        <v>0</v>
      </c>
      <c r="AJ22" s="111" t="str">
        <f t="shared" si="6"/>
        <v/>
      </c>
      <c r="AK22" s="111" t="str">
        <f t="shared" si="7"/>
        <v/>
      </c>
      <c r="AM22" s="111">
        <v>13</v>
      </c>
      <c r="AO22" s="111" t="str">
        <f t="array" ref="AO22">IFERROR(INDEX($AM$10:$AM$258, MATCH(0, IF(TRUE=$AJ$10:$AJ$258, COUNTIF($AO$9:$AO21, $AM$10:$AM$258), ""), 0)),"")</f>
        <v/>
      </c>
      <c r="AP22" s="111" t="str">
        <f t="array" ref="AP22">IFERROR(INDEX($AM$10:$AM$258, MATCH(0, IF(TRUE=$AK$10:$AK$258, COUNTIF($AP$9:$AP21, $AM$10:$AM$258), ""), 0)),"")</f>
        <v/>
      </c>
      <c r="AR22" s="30" t="str">
        <f>IFERROR(INDEX('G-7 WaterC'' Data'!$AZ$3:$AZ$7,MATCH(D22,'G-7 WaterC'' Data'!$AY$3:$AY$7,0)),"")</f>
        <v/>
      </c>
      <c r="AS22" s="30" t="str">
        <f>IFERROR(INDEX('G-7 WaterC'' Data'!AZ22:AZ26,MATCH(D22,'G-7 WaterC'' Data'!$AY$10:$AY$14,0)),"")</f>
        <v/>
      </c>
      <c r="AT22" s="903" t="str">
        <f>IF(AND(OR(AA22="Yes",AA22="Pending"),Q22='G-7 WaterC'' Data'!$G$4),R22-W22-X22,"")</f>
        <v/>
      </c>
      <c r="AU22" s="30" t="str">
        <f>IF(D22="","",VLOOKUP(D22,'G-7 WaterC'' Data'!B$4:M$8,12,FALSE))</f>
        <v/>
      </c>
      <c r="AV22" s="30" t="str">
        <f t="shared" si="0"/>
        <v/>
      </c>
      <c r="AX22" s="30" t="str">
        <f t="shared" si="8"/>
        <v>No</v>
      </c>
    </row>
    <row r="23" spans="3:50" x14ac:dyDescent="0.25">
      <c r="C23" s="101">
        <v>14</v>
      </c>
      <c r="D23" s="266"/>
      <c r="E23" s="119"/>
      <c r="F23" s="281" t="str">
        <f>IF(D23="","",VLOOKUP(D23,'G-7 WaterC'' Data'!$B$2:$G$8,2,FALSE))</f>
        <v/>
      </c>
      <c r="G23" s="282" t="str">
        <f>IFERROR(VLOOKUP(F23,'G-7 WaterC'' Data'!$C$4:$D$8,2,FALSE),"")</f>
        <v/>
      </c>
      <c r="H23" s="52"/>
      <c r="I23" s="282" t="str">
        <f>IFERROR(INDEX('G-7 WaterC'' Data'!$H$4:$L$8,MATCH(D23,'G-7 WaterC'' Data'!$B$4:$B$8,0),MATCH(H23,'G-7 WaterC'' Data'!$H$3:$L$3,0)),"")</f>
        <v/>
      </c>
      <c r="J23" s="793"/>
      <c r="K23" s="317" t="str">
        <f>IF(J23="","",IF(VLOOKUP(J23,'G-7 WaterC'' Data'!$AK$4:$AM$6,2,FALSE)=0,"Spatial Data Missing ⚠",VLOOKUP(J23,'G-7 WaterC'' Data'!$AK$4:$AM$6,2,FALSE)))</f>
        <v/>
      </c>
      <c r="L23" s="287" t="str">
        <f>IF(J23="","",IF(VLOOKUP(J23,'G-7 WaterC'' Data'!$AK$4:$AM$9,3,FALSE)=0,"Spatial Data Missing ⚠",VLOOKUP(J23,'G-7 WaterC'' Data'!$AK$4:$AM$6,3,FALSE)))</f>
        <v/>
      </c>
      <c r="M23" s="52"/>
      <c r="N23" s="282" t="str">
        <f>IF(M23="","",IF(AND(D23&lt;&gt;"Culvert",M23="N/A - Culvert"),"Not possible ▲",IF(AND(D23="Culvert",M23&lt;&gt;"N/A - Culvert"),"Not possible ▲",IF(VLOOKUP(M23,'G-7 WaterC'' Data'!$AA$4:$AB$7,2,FALSE)=0,"Spatial Data Missing ⚠",VLOOKUP(M23,'G-7 WaterC'' Data'!$AA$4:$AB$7,2,FALSE)))))</f>
        <v/>
      </c>
      <c r="O23" s="56"/>
      <c r="P23" s="282" t="str">
        <f>IF(O23="","",IF(AND(O23="N/A - Culvert", D23&lt;&gt;"Culvert"),"Not possible ▲", IF(AND(D23="Culvert",O23&lt;&gt;"N/A - Culvert"),"Not possible ▲",IF(VLOOKUP(O23,'G-7 WaterC'' Data'!$AD$4:$AE$14,2,FALSE)=0,"Spatial Data Missing ⚠",VLOOKUP(O23,'G-7 WaterC'' Data'!$AD$4:$AE$14,2,FALSE)))))</f>
        <v/>
      </c>
      <c r="Q23" s="288" t="str">
        <f>IF(D23="","",VLOOKUP(D23,'G-7 WaterC'' Data'!$B$2:$G$8,6,FALSE))</f>
        <v/>
      </c>
      <c r="R23" s="295" t="str">
        <f t="shared" si="1"/>
        <v xml:space="preserve"> </v>
      </c>
      <c r="S23" s="820" t="str">
        <f t="shared" si="2"/>
        <v/>
      </c>
      <c r="T23" s="32"/>
      <c r="U23" s="105"/>
      <c r="V23" s="112"/>
      <c r="W23" s="293" t="str">
        <f t="shared" si="3"/>
        <v/>
      </c>
      <c r="X23" s="293" t="str">
        <f t="shared" si="4"/>
        <v/>
      </c>
      <c r="Y23" s="293" t="str">
        <f t="shared" si="5"/>
        <v/>
      </c>
      <c r="Z23" s="323" t="str">
        <f>IFERROR(IF(OR(E23="",R23=""),"",  IF(AND(Q23='G-7 WaterC'' Data'!$G$4,AA23="Yes"),"Alternative Compensation ✓", IF(AND(AA23="Pending", Q23='G-7 WaterC'' Data'!$G$4),"Bespoke compensation must be agreed ▲", IF((W23+X23)&gt;=R23, 0, R23-W23-X23)))),"Check Data ⚠")</f>
        <v/>
      </c>
      <c r="AA23" s="817"/>
      <c r="AB23" s="140"/>
      <c r="AC23" s="108"/>
      <c r="AD23" s="108"/>
      <c r="AE23" s="54" t="str">
        <f>IF(OR(Q23="",AA23="Yes"),"",IF(Q23='G-1 All Habitats'!$X$9,E23-U23-V23,"None"))</f>
        <v/>
      </c>
      <c r="AF23" s="55" t="str">
        <f>IF(Q23="","", IF(Q23='G-1 All Habitats'!$X$9, AE23*G23*I23*L23*N23*P23,"None"))</f>
        <v/>
      </c>
      <c r="AI23" s="30">
        <f t="shared" si="9"/>
        <v>0</v>
      </c>
      <c r="AJ23" s="111" t="str">
        <f t="shared" si="6"/>
        <v/>
      </c>
      <c r="AK23" s="111" t="str">
        <f t="shared" si="7"/>
        <v/>
      </c>
      <c r="AM23" s="111">
        <v>14</v>
      </c>
      <c r="AO23" s="111" t="str">
        <f t="array" ref="AO23">IFERROR(INDEX($AM$10:$AM$258, MATCH(0, IF(TRUE=$AJ$10:$AJ$258, COUNTIF($AO$9:$AO22, $AM$10:$AM$258), ""), 0)),"")</f>
        <v/>
      </c>
      <c r="AP23" s="111" t="str">
        <f t="array" ref="AP23">IFERROR(INDEX($AM$10:$AM$258, MATCH(0, IF(TRUE=$AK$10:$AK$258, COUNTIF($AP$9:$AP22, $AM$10:$AM$258), ""), 0)),"")</f>
        <v/>
      </c>
      <c r="AR23" s="30" t="str">
        <f>IFERROR(INDEX('G-7 WaterC'' Data'!$AZ$3:$AZ$7,MATCH(D23,'G-7 WaterC'' Data'!$AY$3:$AY$7,0)),"")</f>
        <v/>
      </c>
      <c r="AS23" s="30" t="str">
        <f>IFERROR(INDEX('G-7 WaterC'' Data'!AZ23:AZ27,MATCH(D23,'G-7 WaterC'' Data'!$AY$10:$AY$14,0)),"")</f>
        <v/>
      </c>
      <c r="AT23" s="903" t="str">
        <f>IF(AND(OR(AA23="Yes",AA23="Pending"),Q23='G-7 WaterC'' Data'!$G$4),R23-W23-X23,"")</f>
        <v/>
      </c>
      <c r="AU23" s="30" t="str">
        <f>IF(D23="","",VLOOKUP(D23,'G-7 WaterC'' Data'!B$4:M$8,12,FALSE))</f>
        <v/>
      </c>
      <c r="AV23" s="30" t="str">
        <f t="shared" si="0"/>
        <v/>
      </c>
      <c r="AX23" s="30" t="str">
        <f t="shared" si="8"/>
        <v>No</v>
      </c>
    </row>
    <row r="24" spans="3:50" x14ac:dyDescent="0.25">
      <c r="C24" s="101">
        <v>15</v>
      </c>
      <c r="D24" s="266"/>
      <c r="E24" s="119"/>
      <c r="F24" s="281" t="str">
        <f>IF(D24="","",VLOOKUP(D24,'G-7 WaterC'' Data'!$B$2:$G$8,2,FALSE))</f>
        <v/>
      </c>
      <c r="G24" s="282" t="str">
        <f>IFERROR(VLOOKUP(F24,'G-7 WaterC'' Data'!$C$4:$D$8,2,FALSE),"")</f>
        <v/>
      </c>
      <c r="H24" s="52"/>
      <c r="I24" s="282" t="str">
        <f>IFERROR(INDEX('G-7 WaterC'' Data'!$H$4:$L$8,MATCH(D24,'G-7 WaterC'' Data'!$B$4:$B$8,0),MATCH(H24,'G-7 WaterC'' Data'!$H$3:$L$3,0)),"")</f>
        <v/>
      </c>
      <c r="J24" s="793"/>
      <c r="K24" s="317" t="str">
        <f>IF(J24="","",IF(VLOOKUP(J24,'G-7 WaterC'' Data'!$AK$4:$AM$6,2,FALSE)=0,"Spatial Data Missing ⚠",VLOOKUP(J24,'G-7 WaterC'' Data'!$AK$4:$AM$6,2,FALSE)))</f>
        <v/>
      </c>
      <c r="L24" s="287" t="str">
        <f>IF(J24="","",IF(VLOOKUP(J24,'G-7 WaterC'' Data'!$AK$4:$AM$9,3,FALSE)=0,"Spatial Data Missing ⚠",VLOOKUP(J24,'G-7 WaterC'' Data'!$AK$4:$AM$6,3,FALSE)))</f>
        <v/>
      </c>
      <c r="M24" s="52"/>
      <c r="N24" s="282" t="str">
        <f>IF(M24="","",IF(AND(D24&lt;&gt;"Culvert",M24="N/A - Culvert"),"Not possible ▲",IF(AND(D24="Culvert",M24&lt;&gt;"N/A - Culvert"),"Not possible ▲",IF(VLOOKUP(M24,'G-7 WaterC'' Data'!$AA$4:$AB$7,2,FALSE)=0,"Spatial Data Missing ⚠",VLOOKUP(M24,'G-7 WaterC'' Data'!$AA$4:$AB$7,2,FALSE)))))</f>
        <v/>
      </c>
      <c r="O24" s="56"/>
      <c r="P24" s="282" t="str">
        <f>IF(O24="","",IF(AND(O24="N/A - Culvert", D24&lt;&gt;"Culvert"),"Not possible ▲", IF(AND(D24="Culvert",O24&lt;&gt;"N/A - Culvert"),"Not possible ▲",IF(VLOOKUP(O24,'G-7 WaterC'' Data'!$AD$4:$AE$14,2,FALSE)=0,"Spatial Data Missing ⚠",VLOOKUP(O24,'G-7 WaterC'' Data'!$AD$4:$AE$14,2,FALSE)))))</f>
        <v/>
      </c>
      <c r="Q24" s="288" t="str">
        <f>IF(D24="","",VLOOKUP(D24,'G-7 WaterC'' Data'!$B$2:$G$8,6,FALSE))</f>
        <v/>
      </c>
      <c r="R24" s="295" t="str">
        <f t="shared" si="1"/>
        <v xml:space="preserve"> </v>
      </c>
      <c r="S24" s="820" t="str">
        <f t="shared" si="2"/>
        <v/>
      </c>
      <c r="T24" s="32"/>
      <c r="U24" s="105"/>
      <c r="V24" s="112"/>
      <c r="W24" s="293" t="str">
        <f t="shared" si="3"/>
        <v/>
      </c>
      <c r="X24" s="293" t="str">
        <f t="shared" si="4"/>
        <v/>
      </c>
      <c r="Y24" s="293" t="str">
        <f t="shared" si="5"/>
        <v/>
      </c>
      <c r="Z24" s="323" t="str">
        <f>IFERROR(IF(OR(E24="",R24=""),"",  IF(AND(Q24='G-7 WaterC'' Data'!$G$4,AA24="Yes"),"Alternative Compensation ✓", IF(AND(AA24="Pending", Q24='G-7 WaterC'' Data'!$G$4),"Bespoke compensation must be agreed ▲", IF((W24+X24)&gt;=R24, 0, R24-W24-X24)))),"Check Data ⚠")</f>
        <v/>
      </c>
      <c r="AA24" s="817"/>
      <c r="AB24" s="140"/>
      <c r="AC24" s="108"/>
      <c r="AD24" s="108"/>
      <c r="AE24" s="54" t="str">
        <f>IF(OR(Q24="",AA24="Yes"),"",IF(Q24='G-1 All Habitats'!$X$9,E24-U24-V24,"None"))</f>
        <v/>
      </c>
      <c r="AF24" s="55" t="str">
        <f>IF(Q24="","", IF(Q24='G-1 All Habitats'!$X$9, AE24*G24*I24*L24*N24*P24,"None"))</f>
        <v/>
      </c>
      <c r="AI24" s="30">
        <f t="shared" si="9"/>
        <v>0</v>
      </c>
      <c r="AJ24" s="111" t="str">
        <f t="shared" si="6"/>
        <v/>
      </c>
      <c r="AK24" s="111" t="str">
        <f t="shared" si="7"/>
        <v/>
      </c>
      <c r="AM24" s="111">
        <v>15</v>
      </c>
      <c r="AO24" s="111" t="str">
        <f t="array" ref="AO24">IFERROR(INDEX($AM$10:$AM$258, MATCH(0, IF(TRUE=$AJ$10:$AJ$258, COUNTIF($AO$9:$AO23, $AM$10:$AM$258), ""), 0)),"")</f>
        <v/>
      </c>
      <c r="AP24" s="111" t="str">
        <f t="array" ref="AP24">IFERROR(INDEX($AM$10:$AM$258, MATCH(0, IF(TRUE=$AK$10:$AK$258, COUNTIF($AP$9:$AP23, $AM$10:$AM$258), ""), 0)),"")</f>
        <v/>
      </c>
      <c r="AR24" s="30" t="str">
        <f>IFERROR(INDEX('G-7 WaterC'' Data'!$AZ$3:$AZ$7,MATCH(D24,'G-7 WaterC'' Data'!$AY$3:$AY$7,0)),"")</f>
        <v/>
      </c>
      <c r="AS24" s="30" t="str">
        <f>IFERROR(INDEX('G-7 WaterC'' Data'!AZ24:AZ28,MATCH(D24,'G-7 WaterC'' Data'!$AY$10:$AY$14,0)),"")</f>
        <v/>
      </c>
      <c r="AT24" s="903" t="str">
        <f>IF(AND(OR(AA24="Yes",AA24="Pending"),Q24='G-7 WaterC'' Data'!$G$4),R24-W24-X24,"")</f>
        <v/>
      </c>
      <c r="AU24" s="30" t="str">
        <f>IF(D24="","",VLOOKUP(D24,'G-7 WaterC'' Data'!B$4:M$8,12,FALSE))</f>
        <v/>
      </c>
      <c r="AV24" s="30" t="str">
        <f t="shared" si="0"/>
        <v/>
      </c>
      <c r="AX24" s="30" t="str">
        <f t="shared" si="8"/>
        <v>No</v>
      </c>
    </row>
    <row r="25" spans="3:50" x14ac:dyDescent="0.25">
      <c r="C25" s="101">
        <v>16</v>
      </c>
      <c r="D25" s="266"/>
      <c r="E25" s="119"/>
      <c r="F25" s="281" t="str">
        <f>IF(D25="","",VLOOKUP(D25,'G-7 WaterC'' Data'!$B$2:$G$8,2,FALSE))</f>
        <v/>
      </c>
      <c r="G25" s="282" t="str">
        <f>IFERROR(VLOOKUP(F25,'G-7 WaterC'' Data'!$C$4:$D$8,2,FALSE),"")</f>
        <v/>
      </c>
      <c r="H25" s="52"/>
      <c r="I25" s="282" t="str">
        <f>IFERROR(INDEX('G-7 WaterC'' Data'!$H$4:$L$8,MATCH(D25,'G-7 WaterC'' Data'!$B$4:$B$8,0),MATCH(H25,'G-7 WaterC'' Data'!$H$3:$L$3,0)),"")</f>
        <v/>
      </c>
      <c r="J25" s="793"/>
      <c r="K25" s="317" t="str">
        <f>IF(J25="","",IF(VLOOKUP(J25,'G-7 WaterC'' Data'!$AK$4:$AM$6,2,FALSE)=0,"Spatial Data Missing ⚠",VLOOKUP(J25,'G-7 WaterC'' Data'!$AK$4:$AM$6,2,FALSE)))</f>
        <v/>
      </c>
      <c r="L25" s="287" t="str">
        <f>IF(J25="","",IF(VLOOKUP(J25,'G-7 WaterC'' Data'!$AK$4:$AM$9,3,FALSE)=0,"Spatial Data Missing ⚠",VLOOKUP(J25,'G-7 WaterC'' Data'!$AK$4:$AM$6,3,FALSE)))</f>
        <v/>
      </c>
      <c r="M25" s="52"/>
      <c r="N25" s="282" t="str">
        <f>IF(M25="","",IF(AND(D25&lt;&gt;"Culvert",M25="N/A - Culvert"),"Not possible ▲",IF(AND(D25="Culvert",M25&lt;&gt;"N/A - Culvert"),"Not possible ▲",IF(VLOOKUP(M25,'G-7 WaterC'' Data'!$AA$4:$AB$7,2,FALSE)=0,"Spatial Data Missing ⚠",VLOOKUP(M25,'G-7 WaterC'' Data'!$AA$4:$AB$7,2,FALSE)))))</f>
        <v/>
      </c>
      <c r="O25" s="56"/>
      <c r="P25" s="282" t="str">
        <f>IF(O25="","",IF(AND(O25="N/A - Culvert", D25&lt;&gt;"Culvert"),"Not possible ▲", IF(AND(D25="Culvert",O25&lt;&gt;"N/A - Culvert"),"Not possible ▲",IF(VLOOKUP(O25,'G-7 WaterC'' Data'!$AD$4:$AE$14,2,FALSE)=0,"Spatial Data Missing ⚠",VLOOKUP(O25,'G-7 WaterC'' Data'!$AD$4:$AE$14,2,FALSE)))))</f>
        <v/>
      </c>
      <c r="Q25" s="288" t="str">
        <f>IF(D25="","",VLOOKUP(D25,'G-7 WaterC'' Data'!$B$2:$G$8,6,FALSE))</f>
        <v/>
      </c>
      <c r="R25" s="295" t="str">
        <f t="shared" si="1"/>
        <v xml:space="preserve"> </v>
      </c>
      <c r="S25" s="820" t="str">
        <f t="shared" si="2"/>
        <v/>
      </c>
      <c r="T25" s="32"/>
      <c r="U25" s="105"/>
      <c r="V25" s="112"/>
      <c r="W25" s="293" t="str">
        <f t="shared" si="3"/>
        <v/>
      </c>
      <c r="X25" s="293" t="str">
        <f t="shared" si="4"/>
        <v/>
      </c>
      <c r="Y25" s="293" t="str">
        <f t="shared" si="5"/>
        <v/>
      </c>
      <c r="Z25" s="323" t="str">
        <f>IFERROR(IF(OR(E25="",R25=""),"",  IF(AND(Q25='G-7 WaterC'' Data'!$G$4,AA25="Yes"),"Alternative Compensation ✓", IF(AND(AA25="Pending", Q25='G-7 WaterC'' Data'!$G$4),"Bespoke compensation must be agreed ▲", IF((W25+X25)&gt;=R25, 0, R25-W25-X25)))),"Check Data ⚠")</f>
        <v/>
      </c>
      <c r="AA25" s="817"/>
      <c r="AB25" s="140"/>
      <c r="AC25" s="108"/>
      <c r="AD25" s="108"/>
      <c r="AE25" s="54" t="str">
        <f>IF(OR(Q25="",AA25="Yes"),"",IF(Q25='G-1 All Habitats'!$X$9,E25-U25-V25,"None"))</f>
        <v/>
      </c>
      <c r="AF25" s="55" t="str">
        <f>IF(Q25="","", IF(Q25='G-1 All Habitats'!$X$9, AE25*G25*I25*L25*N25*P25,"None"))</f>
        <v/>
      </c>
      <c r="AI25" s="30">
        <f t="shared" si="9"/>
        <v>0</v>
      </c>
      <c r="AJ25" s="111" t="str">
        <f t="shared" si="6"/>
        <v/>
      </c>
      <c r="AK25" s="111" t="str">
        <f t="shared" si="7"/>
        <v/>
      </c>
      <c r="AM25" s="111">
        <v>16</v>
      </c>
      <c r="AO25" s="111" t="str">
        <f t="array" ref="AO25">IFERROR(INDEX($AM$10:$AM$258, MATCH(0, IF(TRUE=$AJ$10:$AJ$258, COUNTIF($AO$9:$AO24, $AM$10:$AM$258), ""), 0)),"")</f>
        <v/>
      </c>
      <c r="AP25" s="111" t="str">
        <f t="array" ref="AP25">IFERROR(INDEX($AM$10:$AM$258, MATCH(0, IF(TRUE=$AK$10:$AK$258, COUNTIF($AP$9:$AP24, $AM$10:$AM$258), ""), 0)),"")</f>
        <v/>
      </c>
      <c r="AR25" s="30" t="str">
        <f>IFERROR(INDEX('G-7 WaterC'' Data'!$AZ$3:$AZ$7,MATCH(D25,'G-7 WaterC'' Data'!$AY$3:$AY$7,0)),"")</f>
        <v/>
      </c>
      <c r="AS25" s="30" t="str">
        <f>IFERROR(INDEX('G-7 WaterC'' Data'!AZ25:AZ29,MATCH(D25,'G-7 WaterC'' Data'!$AY$10:$AY$14,0)),"")</f>
        <v/>
      </c>
      <c r="AT25" s="903" t="str">
        <f>IF(AND(OR(AA25="Yes",AA25="Pending"),Q25='G-7 WaterC'' Data'!$G$4),R25-W25-X25,"")</f>
        <v/>
      </c>
      <c r="AU25" s="30" t="str">
        <f>IF(D25="","",VLOOKUP(D25,'G-7 WaterC'' Data'!B$4:M$8,12,FALSE))</f>
        <v/>
      </c>
      <c r="AV25" s="30" t="str">
        <f t="shared" si="0"/>
        <v/>
      </c>
      <c r="AX25" s="30" t="str">
        <f t="shared" si="8"/>
        <v>No</v>
      </c>
    </row>
    <row r="26" spans="3:50" x14ac:dyDescent="0.25">
      <c r="C26" s="101">
        <v>17</v>
      </c>
      <c r="D26" s="266"/>
      <c r="E26" s="119"/>
      <c r="F26" s="281" t="str">
        <f>IF(D26="","",VLOOKUP(D26,'G-7 WaterC'' Data'!$B$2:$G$8,2,FALSE))</f>
        <v/>
      </c>
      <c r="G26" s="282" t="str">
        <f>IFERROR(VLOOKUP(F26,'G-7 WaterC'' Data'!$C$4:$D$8,2,FALSE),"")</f>
        <v/>
      </c>
      <c r="H26" s="52"/>
      <c r="I26" s="282" t="str">
        <f>IFERROR(INDEX('G-7 WaterC'' Data'!$H$4:$L$8,MATCH(D26,'G-7 WaterC'' Data'!$B$4:$B$8,0),MATCH(H26,'G-7 WaterC'' Data'!$H$3:$L$3,0)),"")</f>
        <v/>
      </c>
      <c r="J26" s="793"/>
      <c r="K26" s="317" t="str">
        <f>IF(J26="","",IF(VLOOKUP(J26,'G-7 WaterC'' Data'!$AK$4:$AM$6,2,FALSE)=0,"Spatial Data Missing ⚠",VLOOKUP(J26,'G-7 WaterC'' Data'!$AK$4:$AM$6,2,FALSE)))</f>
        <v/>
      </c>
      <c r="L26" s="287" t="str">
        <f>IF(J26="","",IF(VLOOKUP(J26,'G-7 WaterC'' Data'!$AK$4:$AM$9,3,FALSE)=0,"Spatial Data Missing ⚠",VLOOKUP(J26,'G-7 WaterC'' Data'!$AK$4:$AM$6,3,FALSE)))</f>
        <v/>
      </c>
      <c r="M26" s="52"/>
      <c r="N26" s="282" t="str">
        <f>IF(M26="","",IF(AND(D26&lt;&gt;"Culvert",M26="N/A - Culvert"),"Not possible ▲",IF(AND(D26="Culvert",M26&lt;&gt;"N/A - Culvert"),"Not possible ▲",IF(VLOOKUP(M26,'G-7 WaterC'' Data'!$AA$4:$AB$7,2,FALSE)=0,"Spatial Data Missing ⚠",VLOOKUP(M26,'G-7 WaterC'' Data'!$AA$4:$AB$7,2,FALSE)))))</f>
        <v/>
      </c>
      <c r="O26" s="56"/>
      <c r="P26" s="282" t="str">
        <f>IF(O26="","",IF(AND(O26="N/A - Culvert", D26&lt;&gt;"Culvert"),"Not possible ▲", IF(AND(D26="Culvert",O26&lt;&gt;"N/A - Culvert"),"Not possible ▲",IF(VLOOKUP(O26,'G-7 WaterC'' Data'!$AD$4:$AE$14,2,FALSE)=0,"Spatial Data Missing ⚠",VLOOKUP(O26,'G-7 WaterC'' Data'!$AD$4:$AE$14,2,FALSE)))))</f>
        <v/>
      </c>
      <c r="Q26" s="288" t="str">
        <f>IF(D26="","",VLOOKUP(D26,'G-7 WaterC'' Data'!$B$2:$G$8,6,FALSE))</f>
        <v/>
      </c>
      <c r="R26" s="295" t="str">
        <f t="shared" si="1"/>
        <v xml:space="preserve"> </v>
      </c>
      <c r="S26" s="820" t="str">
        <f t="shared" si="2"/>
        <v/>
      </c>
      <c r="T26" s="32"/>
      <c r="U26" s="105"/>
      <c r="V26" s="112"/>
      <c r="W26" s="293" t="str">
        <f t="shared" si="3"/>
        <v/>
      </c>
      <c r="X26" s="293" t="str">
        <f t="shared" si="4"/>
        <v/>
      </c>
      <c r="Y26" s="293" t="str">
        <f t="shared" si="5"/>
        <v/>
      </c>
      <c r="Z26" s="323" t="str">
        <f>IFERROR(IF(OR(E26="",R26=""),"",  IF(AND(Q26='G-7 WaterC'' Data'!$G$4,AA26="Yes"),"Alternative Compensation ✓", IF(AND(AA26="Pending", Q26='G-7 WaterC'' Data'!$G$4),"Bespoke compensation must be agreed ▲", IF((W26+X26)&gt;=R26, 0, R26-W26-X26)))),"Check Data ⚠")</f>
        <v/>
      </c>
      <c r="AA26" s="817"/>
      <c r="AB26" s="140"/>
      <c r="AC26" s="108"/>
      <c r="AD26" s="108"/>
      <c r="AE26" s="54" t="str">
        <f>IF(OR(Q26="",AA26="Yes"),"",IF(Q26='G-1 All Habitats'!$X$9,E26-U26-V26,"None"))</f>
        <v/>
      </c>
      <c r="AF26" s="55" t="str">
        <f>IF(Q26="","", IF(Q26='G-1 All Habitats'!$X$9, AE26*G26*I26*L26*N26*P26,"None"))</f>
        <v/>
      </c>
      <c r="AI26" s="30">
        <f t="shared" si="9"/>
        <v>0</v>
      </c>
      <c r="AJ26" s="111" t="str">
        <f t="shared" si="6"/>
        <v/>
      </c>
      <c r="AK26" s="111" t="str">
        <f t="shared" si="7"/>
        <v/>
      </c>
      <c r="AM26" s="111">
        <v>17</v>
      </c>
      <c r="AO26" s="111" t="str">
        <f t="array" ref="AO26">IFERROR(INDEX($AM$10:$AM$258, MATCH(0, IF(TRUE=$AJ$10:$AJ$258, COUNTIF($AO$9:$AO25, $AM$10:$AM$258), ""), 0)),"")</f>
        <v/>
      </c>
      <c r="AP26" s="111" t="str">
        <f t="array" ref="AP26">IFERROR(INDEX($AM$10:$AM$258, MATCH(0, IF(TRUE=$AK$10:$AK$258, COUNTIF($AP$9:$AP25, $AM$10:$AM$258), ""), 0)),"")</f>
        <v/>
      </c>
      <c r="AR26" s="30" t="str">
        <f>IFERROR(INDEX('G-7 WaterC'' Data'!$AZ$3:$AZ$7,MATCH(D26,'G-7 WaterC'' Data'!$AY$3:$AY$7,0)),"")</f>
        <v/>
      </c>
      <c r="AS26" s="30" t="str">
        <f>IFERROR(INDEX('G-7 WaterC'' Data'!AZ26:AZ30,MATCH(D26,'G-7 WaterC'' Data'!$AY$10:$AY$14,0)),"")</f>
        <v/>
      </c>
      <c r="AT26" s="903" t="str">
        <f>IF(AND(OR(AA26="Yes",AA26="Pending"),Q26='G-7 WaterC'' Data'!$G$4),R26-W26-X26,"")</f>
        <v/>
      </c>
      <c r="AU26" s="30" t="str">
        <f>IF(D26="","",VLOOKUP(D26,'G-7 WaterC'' Data'!B$4:M$8,12,FALSE))</f>
        <v/>
      </c>
      <c r="AV26" s="30" t="str">
        <f t="shared" si="0"/>
        <v/>
      </c>
      <c r="AX26" s="30" t="str">
        <f t="shared" si="8"/>
        <v>No</v>
      </c>
    </row>
    <row r="27" spans="3:50" x14ac:dyDescent="0.25">
      <c r="C27" s="101">
        <v>18</v>
      </c>
      <c r="D27" s="266"/>
      <c r="E27" s="119"/>
      <c r="F27" s="281" t="str">
        <f>IF(D27="","",VLOOKUP(D27,'G-7 WaterC'' Data'!$B$2:$G$8,2,FALSE))</f>
        <v/>
      </c>
      <c r="G27" s="282" t="str">
        <f>IFERROR(VLOOKUP(F27,'G-7 WaterC'' Data'!$C$4:$D$8,2,FALSE),"")</f>
        <v/>
      </c>
      <c r="H27" s="52"/>
      <c r="I27" s="282" t="str">
        <f>IFERROR(INDEX('G-7 WaterC'' Data'!$H$4:$L$8,MATCH(D27,'G-7 WaterC'' Data'!$B$4:$B$8,0),MATCH(H27,'G-7 WaterC'' Data'!$H$3:$L$3,0)),"")</f>
        <v/>
      </c>
      <c r="J27" s="793"/>
      <c r="K27" s="317" t="str">
        <f>IF(J27="","",IF(VLOOKUP(J27,'G-7 WaterC'' Data'!$AK$4:$AM$6,2,FALSE)=0,"Spatial Data Missing ⚠",VLOOKUP(J27,'G-7 WaterC'' Data'!$AK$4:$AM$6,2,FALSE)))</f>
        <v/>
      </c>
      <c r="L27" s="287" t="str">
        <f>IF(J27="","",IF(VLOOKUP(J27,'G-7 WaterC'' Data'!$AK$4:$AM$9,3,FALSE)=0,"Spatial Data Missing ⚠",VLOOKUP(J27,'G-7 WaterC'' Data'!$AK$4:$AM$6,3,FALSE)))</f>
        <v/>
      </c>
      <c r="M27" s="52"/>
      <c r="N27" s="282" t="str">
        <f>IF(M27="","",IF(AND(D27&lt;&gt;"Culvert",M27="N/A - Culvert"),"Not possible ▲",IF(AND(D27="Culvert",M27&lt;&gt;"N/A - Culvert"),"Not possible ▲",IF(VLOOKUP(M27,'G-7 WaterC'' Data'!$AA$4:$AB$7,2,FALSE)=0,"Spatial Data Missing ⚠",VLOOKUP(M27,'G-7 WaterC'' Data'!$AA$4:$AB$7,2,FALSE)))))</f>
        <v/>
      </c>
      <c r="O27" s="56"/>
      <c r="P27" s="282" t="str">
        <f>IF(O27="","",IF(AND(O27="N/A - Culvert", D27&lt;&gt;"Culvert"),"Not possible ▲", IF(AND(D27="Culvert",O27&lt;&gt;"N/A - Culvert"),"Not possible ▲",IF(VLOOKUP(O27,'G-7 WaterC'' Data'!$AD$4:$AE$14,2,FALSE)=0,"Spatial Data Missing ⚠",VLOOKUP(O27,'G-7 WaterC'' Data'!$AD$4:$AE$14,2,FALSE)))))</f>
        <v/>
      </c>
      <c r="Q27" s="288" t="str">
        <f>IF(D27="","",VLOOKUP(D27,'G-7 WaterC'' Data'!$B$2:$G$8,6,FALSE))</f>
        <v/>
      </c>
      <c r="R27" s="295" t="str">
        <f t="shared" si="1"/>
        <v xml:space="preserve"> </v>
      </c>
      <c r="S27" s="820" t="str">
        <f t="shared" si="2"/>
        <v/>
      </c>
      <c r="T27" s="32"/>
      <c r="U27" s="105"/>
      <c r="V27" s="112"/>
      <c r="W27" s="293" t="str">
        <f t="shared" si="3"/>
        <v/>
      </c>
      <c r="X27" s="293" t="str">
        <f t="shared" si="4"/>
        <v/>
      </c>
      <c r="Y27" s="293" t="str">
        <f t="shared" si="5"/>
        <v/>
      </c>
      <c r="Z27" s="323" t="str">
        <f>IFERROR(IF(OR(E27="",R27=""),"",  IF(AND(Q27='G-7 WaterC'' Data'!$G$4,AA27="Yes"),"Alternative Compensation ✓", IF(AND(AA27="Pending", Q27='G-7 WaterC'' Data'!$G$4),"Bespoke compensation must be agreed ▲", IF((W27+X27)&gt;=R27, 0, R27-W27-X27)))),"Check Data ⚠")</f>
        <v/>
      </c>
      <c r="AA27" s="817"/>
      <c r="AB27" s="140"/>
      <c r="AC27" s="108"/>
      <c r="AD27" s="108"/>
      <c r="AE27" s="54" t="str">
        <f>IF(OR(Q27="",AA27="Yes"),"",IF(Q27='G-1 All Habitats'!$X$9,E27-U27-V27,"None"))</f>
        <v/>
      </c>
      <c r="AF27" s="55" t="str">
        <f>IF(Q27="","", IF(Q27='G-1 All Habitats'!$X$9, AE27*G27*I27*L27*N27*P27,"None"))</f>
        <v/>
      </c>
      <c r="AI27" s="30">
        <f t="shared" si="9"/>
        <v>0</v>
      </c>
      <c r="AJ27" s="111" t="str">
        <f t="shared" si="6"/>
        <v/>
      </c>
      <c r="AK27" s="111" t="str">
        <f t="shared" si="7"/>
        <v/>
      </c>
      <c r="AM27" s="111">
        <v>18</v>
      </c>
      <c r="AO27" s="111" t="str">
        <f t="array" ref="AO27">IFERROR(INDEX($AM$10:$AM$258, MATCH(0, IF(TRUE=$AJ$10:$AJ$258, COUNTIF($AO$9:$AO26, $AM$10:$AM$258), ""), 0)),"")</f>
        <v/>
      </c>
      <c r="AP27" s="111" t="str">
        <f t="array" ref="AP27">IFERROR(INDEX($AM$10:$AM$258, MATCH(0, IF(TRUE=$AK$10:$AK$258, COUNTIF($AP$9:$AP26, $AM$10:$AM$258), ""), 0)),"")</f>
        <v/>
      </c>
      <c r="AR27" s="30" t="str">
        <f>IFERROR(INDEX('G-7 WaterC'' Data'!$AZ$3:$AZ$7,MATCH(D27,'G-7 WaterC'' Data'!$AY$3:$AY$7,0)),"")</f>
        <v/>
      </c>
      <c r="AS27" s="30" t="str">
        <f>IFERROR(INDEX('G-7 WaterC'' Data'!AZ27:AZ31,MATCH(D27,'G-7 WaterC'' Data'!$AY$10:$AY$14,0)),"")</f>
        <v/>
      </c>
      <c r="AT27" s="903" t="str">
        <f>IF(AND(OR(AA27="Yes",AA27="Pending"),Q27='G-7 WaterC'' Data'!$G$4),R27-W27-X27,"")</f>
        <v/>
      </c>
      <c r="AU27" s="30" t="str">
        <f>IF(D27="","",VLOOKUP(D27,'G-7 WaterC'' Data'!B$4:M$8,12,FALSE))</f>
        <v/>
      </c>
      <c r="AV27" s="30" t="str">
        <f t="shared" si="0"/>
        <v/>
      </c>
      <c r="AX27" s="30" t="str">
        <f t="shared" si="8"/>
        <v>No</v>
      </c>
    </row>
    <row r="28" spans="3:50" x14ac:dyDescent="0.25">
      <c r="C28" s="101">
        <v>19</v>
      </c>
      <c r="D28" s="266"/>
      <c r="E28" s="119"/>
      <c r="F28" s="281" t="str">
        <f>IF(D28="","",VLOOKUP(D28,'G-7 WaterC'' Data'!$B$2:$G$8,2,FALSE))</f>
        <v/>
      </c>
      <c r="G28" s="282" t="str">
        <f>IFERROR(VLOOKUP(F28,'G-7 WaterC'' Data'!$C$4:$D$8,2,FALSE),"")</f>
        <v/>
      </c>
      <c r="H28" s="52"/>
      <c r="I28" s="282" t="str">
        <f>IFERROR(INDEX('G-7 WaterC'' Data'!$H$4:$L$8,MATCH(D28,'G-7 WaterC'' Data'!$B$4:$B$8,0),MATCH(H28,'G-7 WaterC'' Data'!$H$3:$L$3,0)),"")</f>
        <v/>
      </c>
      <c r="J28" s="793"/>
      <c r="K28" s="317" t="str">
        <f>IF(J28="","",IF(VLOOKUP(J28,'G-7 WaterC'' Data'!$AK$4:$AM$6,2,FALSE)=0,"Spatial Data Missing ⚠",VLOOKUP(J28,'G-7 WaterC'' Data'!$AK$4:$AM$6,2,FALSE)))</f>
        <v/>
      </c>
      <c r="L28" s="287" t="str">
        <f>IF(J28="","",IF(VLOOKUP(J28,'G-7 WaterC'' Data'!$AK$4:$AM$9,3,FALSE)=0,"Spatial Data Missing ⚠",VLOOKUP(J28,'G-7 WaterC'' Data'!$AK$4:$AM$6,3,FALSE)))</f>
        <v/>
      </c>
      <c r="M28" s="52"/>
      <c r="N28" s="282" t="str">
        <f>IF(M28="","",IF(AND(D28&lt;&gt;"Culvert",M28="N/A - Culvert"),"Not possible ▲",IF(AND(D28="Culvert",M28&lt;&gt;"N/A - Culvert"),"Not possible ▲",IF(VLOOKUP(M28,'G-7 WaterC'' Data'!$AA$4:$AB$7,2,FALSE)=0,"Spatial Data Missing ⚠",VLOOKUP(M28,'G-7 WaterC'' Data'!$AA$4:$AB$7,2,FALSE)))))</f>
        <v/>
      </c>
      <c r="O28" s="56"/>
      <c r="P28" s="282" t="str">
        <f>IF(O28="","",IF(AND(O28="N/A - Culvert", D28&lt;&gt;"Culvert"),"Not possible ▲", IF(AND(D28="Culvert",O28&lt;&gt;"N/A - Culvert"),"Not possible ▲",IF(VLOOKUP(O28,'G-7 WaterC'' Data'!$AD$4:$AE$14,2,FALSE)=0,"Spatial Data Missing ⚠",VLOOKUP(O28,'G-7 WaterC'' Data'!$AD$4:$AE$14,2,FALSE)))))</f>
        <v/>
      </c>
      <c r="Q28" s="288" t="str">
        <f>IF(D28="","",VLOOKUP(D28,'G-7 WaterC'' Data'!$B$2:$G$8,6,FALSE))</f>
        <v/>
      </c>
      <c r="R28" s="295" t="str">
        <f t="shared" si="1"/>
        <v xml:space="preserve"> </v>
      </c>
      <c r="S28" s="820" t="str">
        <f t="shared" si="2"/>
        <v/>
      </c>
      <c r="T28" s="32"/>
      <c r="U28" s="105"/>
      <c r="V28" s="112"/>
      <c r="W28" s="293" t="str">
        <f t="shared" si="3"/>
        <v/>
      </c>
      <c r="X28" s="293" t="str">
        <f t="shared" si="4"/>
        <v/>
      </c>
      <c r="Y28" s="293" t="str">
        <f t="shared" si="5"/>
        <v/>
      </c>
      <c r="Z28" s="323" t="str">
        <f>IFERROR(IF(OR(E28="",R28=""),"",  IF(AND(Q28='G-7 WaterC'' Data'!$G$4,AA28="Yes"),"Alternative Compensation ✓", IF(AND(AA28="Pending", Q28='G-7 WaterC'' Data'!$G$4),"Bespoke compensation must be agreed ▲", IF((W28+X28)&gt;=R28, 0, R28-W28-X28)))),"Check Data ⚠")</f>
        <v/>
      </c>
      <c r="AA28" s="817"/>
      <c r="AB28" s="140"/>
      <c r="AC28" s="108"/>
      <c r="AD28" s="108"/>
      <c r="AE28" s="54" t="str">
        <f>IF(OR(Q28="",AA28="Yes"),"",IF(Q28='G-1 All Habitats'!$X$9,E28-U28-V28,"None"))</f>
        <v/>
      </c>
      <c r="AF28" s="55" t="str">
        <f>IF(Q28="","", IF(Q28='G-1 All Habitats'!$X$9, AE28*G28*I28*L28*N28*P28,"None"))</f>
        <v/>
      </c>
      <c r="AI28" s="30">
        <f t="shared" si="9"/>
        <v>0</v>
      </c>
      <c r="AJ28" s="111" t="str">
        <f t="shared" si="6"/>
        <v/>
      </c>
      <c r="AK28" s="111" t="str">
        <f t="shared" si="7"/>
        <v/>
      </c>
      <c r="AM28" s="111">
        <v>19</v>
      </c>
      <c r="AO28" s="111" t="str">
        <f t="array" ref="AO28">IFERROR(INDEX($AM$10:$AM$258, MATCH(0, IF(TRUE=$AJ$10:$AJ$258, COUNTIF($AO$9:$AO27, $AM$10:$AM$258), ""), 0)),"")</f>
        <v/>
      </c>
      <c r="AP28" s="111" t="str">
        <f t="array" ref="AP28">IFERROR(INDEX($AM$10:$AM$258, MATCH(0, IF(TRUE=$AK$10:$AK$258, COUNTIF($AP$9:$AP27, $AM$10:$AM$258), ""), 0)),"")</f>
        <v/>
      </c>
      <c r="AR28" s="30" t="str">
        <f>IFERROR(INDEX('G-7 WaterC'' Data'!$AZ$3:$AZ$7,MATCH(D28,'G-7 WaterC'' Data'!$AY$3:$AY$7,0)),"")</f>
        <v/>
      </c>
      <c r="AS28" s="30" t="str">
        <f>IFERROR(INDEX('G-7 WaterC'' Data'!AZ28:AZ32,MATCH(D28,'G-7 WaterC'' Data'!$AY$10:$AY$14,0)),"")</f>
        <v/>
      </c>
      <c r="AT28" s="903" t="str">
        <f>IF(AND(OR(AA28="Yes",AA28="Pending"),Q28='G-7 WaterC'' Data'!$G$4),R28-W28-X28,"")</f>
        <v/>
      </c>
      <c r="AU28" s="30" t="str">
        <f>IF(D28="","",VLOOKUP(D28,'G-7 WaterC'' Data'!B$4:M$8,12,FALSE))</f>
        <v/>
      </c>
      <c r="AV28" s="30" t="str">
        <f t="shared" si="0"/>
        <v/>
      </c>
      <c r="AX28" s="30" t="str">
        <f t="shared" si="8"/>
        <v>No</v>
      </c>
    </row>
    <row r="29" spans="3:50" x14ac:dyDescent="0.25">
      <c r="C29" s="101">
        <v>20</v>
      </c>
      <c r="D29" s="266"/>
      <c r="E29" s="119"/>
      <c r="F29" s="281" t="str">
        <f>IF(D29="","",VLOOKUP(D29,'G-7 WaterC'' Data'!$B$2:$G$8,2,FALSE))</f>
        <v/>
      </c>
      <c r="G29" s="282" t="str">
        <f>IFERROR(VLOOKUP(F29,'G-7 WaterC'' Data'!$C$4:$D$8,2,FALSE),"")</f>
        <v/>
      </c>
      <c r="H29" s="52"/>
      <c r="I29" s="282" t="str">
        <f>IFERROR(INDEX('G-7 WaterC'' Data'!$H$4:$L$8,MATCH(D29,'G-7 WaterC'' Data'!$B$4:$B$8,0),MATCH(H29,'G-7 WaterC'' Data'!$H$3:$L$3,0)),"")</f>
        <v/>
      </c>
      <c r="J29" s="793"/>
      <c r="K29" s="317" t="str">
        <f>IF(J29="","",IF(VLOOKUP(J29,'G-7 WaterC'' Data'!$AK$4:$AM$6,2,FALSE)=0,"Spatial Data Missing ⚠",VLOOKUP(J29,'G-7 WaterC'' Data'!$AK$4:$AM$6,2,FALSE)))</f>
        <v/>
      </c>
      <c r="L29" s="287" t="str">
        <f>IF(J29="","",IF(VLOOKUP(J29,'G-7 WaterC'' Data'!$AK$4:$AM$9,3,FALSE)=0,"Spatial Data Missing ⚠",VLOOKUP(J29,'G-7 WaterC'' Data'!$AK$4:$AM$6,3,FALSE)))</f>
        <v/>
      </c>
      <c r="M29" s="52"/>
      <c r="N29" s="282" t="str">
        <f>IF(M29="","",IF(AND(D29&lt;&gt;"Culvert",M29="N/A - Culvert"),"Not possible ▲",IF(AND(D29="Culvert",M29&lt;&gt;"N/A - Culvert"),"Not possible ▲",IF(VLOOKUP(M29,'G-7 WaterC'' Data'!$AA$4:$AB$7,2,FALSE)=0,"Spatial Data Missing ⚠",VLOOKUP(M29,'G-7 WaterC'' Data'!$AA$4:$AB$7,2,FALSE)))))</f>
        <v/>
      </c>
      <c r="O29" s="56"/>
      <c r="P29" s="282" t="str">
        <f>IF(O29="","",IF(AND(O29="N/A - Culvert", D29&lt;&gt;"Culvert"),"Not possible ▲", IF(AND(D29="Culvert",O29&lt;&gt;"N/A - Culvert"),"Not possible ▲",IF(VLOOKUP(O29,'G-7 WaterC'' Data'!$AD$4:$AE$14,2,FALSE)=0,"Spatial Data Missing ⚠",VLOOKUP(O29,'G-7 WaterC'' Data'!$AD$4:$AE$14,2,FALSE)))))</f>
        <v/>
      </c>
      <c r="Q29" s="288" t="str">
        <f>IF(D29="","",VLOOKUP(D29,'G-7 WaterC'' Data'!$B$2:$G$8,6,FALSE))</f>
        <v/>
      </c>
      <c r="R29" s="295" t="str">
        <f t="shared" si="1"/>
        <v xml:space="preserve"> </v>
      </c>
      <c r="S29" s="820" t="str">
        <f t="shared" si="2"/>
        <v/>
      </c>
      <c r="T29" s="32"/>
      <c r="U29" s="105"/>
      <c r="V29" s="112"/>
      <c r="W29" s="293" t="str">
        <f t="shared" si="3"/>
        <v/>
      </c>
      <c r="X29" s="293" t="str">
        <f t="shared" si="4"/>
        <v/>
      </c>
      <c r="Y29" s="293" t="str">
        <f t="shared" si="5"/>
        <v/>
      </c>
      <c r="Z29" s="323" t="str">
        <f>IFERROR(IF(OR(E29="",R29=""),"",  IF(AND(Q29='G-7 WaterC'' Data'!$G$4,AA29="Yes"),"Alternative Compensation ✓", IF(AND(AA29="Pending", Q29='G-7 WaterC'' Data'!$G$4),"Bespoke compensation must be agreed ▲", IF((W29+X29)&gt;=R29, 0, R29-W29-X29)))),"Check Data ⚠")</f>
        <v/>
      </c>
      <c r="AA29" s="817"/>
      <c r="AB29" s="140"/>
      <c r="AC29" s="108"/>
      <c r="AD29" s="108"/>
      <c r="AE29" s="54" t="str">
        <f>IF(OR(Q29="",AA29="Yes"),"",IF(Q29='G-1 All Habitats'!$X$9,E29-U29-V29,"None"))</f>
        <v/>
      </c>
      <c r="AF29" s="55" t="str">
        <f>IF(Q29="","", IF(Q29='G-1 All Habitats'!$X$9, AE29*G29*I29*L29*N29*P29,"None"))</f>
        <v/>
      </c>
      <c r="AI29" s="30">
        <f t="shared" si="9"/>
        <v>0</v>
      </c>
      <c r="AJ29" s="111" t="str">
        <f t="shared" si="6"/>
        <v/>
      </c>
      <c r="AK29" s="111" t="str">
        <f t="shared" si="7"/>
        <v/>
      </c>
      <c r="AM29" s="111">
        <v>20</v>
      </c>
      <c r="AO29" s="111" t="str">
        <f t="array" ref="AO29">IFERROR(INDEX($AM$10:$AM$258, MATCH(0, IF(TRUE=$AJ$10:$AJ$258, COUNTIF($AO$9:$AO28, $AM$10:$AM$258), ""), 0)),"")</f>
        <v/>
      </c>
      <c r="AP29" s="111" t="str">
        <f t="array" ref="AP29">IFERROR(INDEX($AM$10:$AM$258, MATCH(0, IF(TRUE=$AK$10:$AK$258, COUNTIF($AP$9:$AP28, $AM$10:$AM$258), ""), 0)),"")</f>
        <v/>
      </c>
      <c r="AR29" s="30" t="str">
        <f>IFERROR(INDEX('G-7 WaterC'' Data'!$AZ$3:$AZ$7,MATCH(D29,'G-7 WaterC'' Data'!$AY$3:$AY$7,0)),"")</f>
        <v/>
      </c>
      <c r="AS29" s="30" t="str">
        <f>IFERROR(INDEX('G-7 WaterC'' Data'!AZ29:AZ33,MATCH(D29,'G-7 WaterC'' Data'!$AY$10:$AY$14,0)),"")</f>
        <v/>
      </c>
      <c r="AT29" s="903" t="str">
        <f>IF(AND(OR(AA29="Yes",AA29="Pending"),Q29='G-7 WaterC'' Data'!$G$4),R29-W29-X29,"")</f>
        <v/>
      </c>
      <c r="AU29" s="30" t="str">
        <f>IF(D29="","",VLOOKUP(D29,'G-7 WaterC'' Data'!B$4:M$8,12,FALSE))</f>
        <v/>
      </c>
      <c r="AV29" s="30" t="str">
        <f t="shared" si="0"/>
        <v/>
      </c>
      <c r="AX29" s="30" t="str">
        <f t="shared" si="8"/>
        <v>No</v>
      </c>
    </row>
    <row r="30" spans="3:50" x14ac:dyDescent="0.25">
      <c r="C30" s="101">
        <v>21</v>
      </c>
      <c r="D30" s="266"/>
      <c r="E30" s="119"/>
      <c r="F30" s="281" t="str">
        <f>IF(D30="","",VLOOKUP(D30,'G-7 WaterC'' Data'!$B$2:$G$8,2,FALSE))</f>
        <v/>
      </c>
      <c r="G30" s="282" t="str">
        <f>IFERROR(VLOOKUP(F30,'G-7 WaterC'' Data'!$C$4:$D$8,2,FALSE),"")</f>
        <v/>
      </c>
      <c r="H30" s="52"/>
      <c r="I30" s="282" t="str">
        <f>IFERROR(INDEX('G-7 WaterC'' Data'!$H$4:$L$8,MATCH(D30,'G-7 WaterC'' Data'!$B$4:$B$8,0),MATCH(H30,'G-7 WaterC'' Data'!$H$3:$L$3,0)),"")</f>
        <v/>
      </c>
      <c r="J30" s="793"/>
      <c r="K30" s="317" t="str">
        <f>IF(J30="","",IF(VLOOKUP(J30,'G-7 WaterC'' Data'!$AK$4:$AM$6,2,FALSE)=0,"Spatial Data Missing ⚠",VLOOKUP(J30,'G-7 WaterC'' Data'!$AK$4:$AM$6,2,FALSE)))</f>
        <v/>
      </c>
      <c r="L30" s="287" t="str">
        <f>IF(J30="","",IF(VLOOKUP(J30,'G-7 WaterC'' Data'!$AK$4:$AM$9,3,FALSE)=0,"Spatial Data Missing ⚠",VLOOKUP(J30,'G-7 WaterC'' Data'!$AK$4:$AM$6,3,FALSE)))</f>
        <v/>
      </c>
      <c r="M30" s="52"/>
      <c r="N30" s="282" t="str">
        <f>IF(M30="","",IF(AND(D30&lt;&gt;"Culvert",M30="N/A - Culvert"),"Not possible ▲",IF(AND(D30="Culvert",M30&lt;&gt;"N/A - Culvert"),"Not possible ▲",IF(VLOOKUP(M30,'G-7 WaterC'' Data'!$AA$4:$AB$7,2,FALSE)=0,"Spatial Data Missing ⚠",VLOOKUP(M30,'G-7 WaterC'' Data'!$AA$4:$AB$7,2,FALSE)))))</f>
        <v/>
      </c>
      <c r="O30" s="56"/>
      <c r="P30" s="282" t="str">
        <f>IF(O30="","",IF(AND(O30="N/A - Culvert", D30&lt;&gt;"Culvert"),"Not possible ▲", IF(AND(D30="Culvert",O30&lt;&gt;"N/A - Culvert"),"Not possible ▲",IF(VLOOKUP(O30,'G-7 WaterC'' Data'!$AD$4:$AE$14,2,FALSE)=0,"Spatial Data Missing ⚠",VLOOKUP(O30,'G-7 WaterC'' Data'!$AD$4:$AE$14,2,FALSE)))))</f>
        <v/>
      </c>
      <c r="Q30" s="288" t="str">
        <f>IF(D30="","",VLOOKUP(D30,'G-7 WaterC'' Data'!$B$2:$G$8,6,FALSE))</f>
        <v/>
      </c>
      <c r="R30" s="295" t="str">
        <f t="shared" si="1"/>
        <v xml:space="preserve"> </v>
      </c>
      <c r="S30" s="820" t="str">
        <f t="shared" si="2"/>
        <v/>
      </c>
      <c r="T30" s="32"/>
      <c r="U30" s="105"/>
      <c r="V30" s="112"/>
      <c r="W30" s="293" t="str">
        <f t="shared" si="3"/>
        <v/>
      </c>
      <c r="X30" s="293" t="str">
        <f t="shared" si="4"/>
        <v/>
      </c>
      <c r="Y30" s="293" t="str">
        <f t="shared" si="5"/>
        <v/>
      </c>
      <c r="Z30" s="323" t="str">
        <f>IFERROR(IF(OR(E30="",R30=""),"",  IF(AND(Q30='G-7 WaterC'' Data'!$G$4,AA30="Yes"),"Alternative Compensation ✓", IF(AND(AA30="Pending", Q30='G-7 WaterC'' Data'!$G$4),"Bespoke compensation must be agreed ▲", IF((W30+X30)&gt;=R30, 0, R30-W30-X30)))),"Check Data ⚠")</f>
        <v/>
      </c>
      <c r="AA30" s="817"/>
      <c r="AB30" s="140"/>
      <c r="AC30" s="108"/>
      <c r="AD30" s="108"/>
      <c r="AE30" s="54" t="str">
        <f>IF(OR(Q30="",AA30="Yes"),"",IF(Q30='G-1 All Habitats'!$X$9,E30-U30-V30,"None"))</f>
        <v/>
      </c>
      <c r="AF30" s="55" t="str">
        <f>IF(Q30="","", IF(Q30='G-1 All Habitats'!$X$9, AE30*G30*I30*L30*N30*P30,"None"))</f>
        <v/>
      </c>
      <c r="AI30" s="30">
        <f t="shared" si="9"/>
        <v>0</v>
      </c>
      <c r="AJ30" s="111" t="str">
        <f t="shared" si="6"/>
        <v/>
      </c>
      <c r="AK30" s="111" t="str">
        <f t="shared" si="7"/>
        <v/>
      </c>
      <c r="AM30" s="111">
        <v>21</v>
      </c>
      <c r="AO30" s="111" t="str">
        <f t="array" ref="AO30">IFERROR(INDEX($AM$10:$AM$258, MATCH(0, IF(TRUE=$AJ$10:$AJ$258, COUNTIF($AO$9:$AO29, $AM$10:$AM$258), ""), 0)),"")</f>
        <v/>
      </c>
      <c r="AP30" s="111" t="str">
        <f t="array" ref="AP30">IFERROR(INDEX($AM$10:$AM$258, MATCH(0, IF(TRUE=$AK$10:$AK$258, COUNTIF($AP$9:$AP29, $AM$10:$AM$258), ""), 0)),"")</f>
        <v/>
      </c>
      <c r="AR30" s="30" t="str">
        <f>IFERROR(INDEX('G-7 WaterC'' Data'!$AZ$3:$AZ$7,MATCH(D30,'G-7 WaterC'' Data'!$AY$3:$AY$7,0)),"")</f>
        <v/>
      </c>
      <c r="AS30" s="30" t="str">
        <f>IFERROR(INDEX('G-7 WaterC'' Data'!AZ30:AZ34,MATCH(D30,'G-7 WaterC'' Data'!$AY$10:$AY$14,0)),"")</f>
        <v/>
      </c>
      <c r="AT30" s="903" t="str">
        <f>IF(AND(OR(AA30="Yes",AA30="Pending"),Q30='G-7 WaterC'' Data'!$G$4),R30-W30-X30,"")</f>
        <v/>
      </c>
      <c r="AU30" s="30" t="str">
        <f>IF(D30="","",VLOOKUP(D30,'G-7 WaterC'' Data'!B$4:M$8,12,FALSE))</f>
        <v/>
      </c>
      <c r="AV30" s="30" t="str">
        <f t="shared" si="0"/>
        <v/>
      </c>
      <c r="AX30" s="30" t="str">
        <f t="shared" si="8"/>
        <v>No</v>
      </c>
    </row>
    <row r="31" spans="3:50" x14ac:dyDescent="0.25">
      <c r="C31" s="101">
        <v>22</v>
      </c>
      <c r="D31" s="266"/>
      <c r="E31" s="119"/>
      <c r="F31" s="281" t="str">
        <f>IF(D31="","",VLOOKUP(D31,'G-7 WaterC'' Data'!$B$2:$G$8,2,FALSE))</f>
        <v/>
      </c>
      <c r="G31" s="282" t="str">
        <f>IFERROR(VLOOKUP(F31,'G-7 WaterC'' Data'!$C$4:$D$8,2,FALSE),"")</f>
        <v/>
      </c>
      <c r="H31" s="52"/>
      <c r="I31" s="282" t="str">
        <f>IFERROR(INDEX('G-7 WaterC'' Data'!$H$4:$L$8,MATCH(D31,'G-7 WaterC'' Data'!$B$4:$B$8,0),MATCH(H31,'G-7 WaterC'' Data'!$H$3:$L$3,0)),"")</f>
        <v/>
      </c>
      <c r="J31" s="793"/>
      <c r="K31" s="317" t="str">
        <f>IF(J31="","",IF(VLOOKUP(J31,'G-7 WaterC'' Data'!$AK$4:$AM$6,2,FALSE)=0,"Spatial Data Missing ⚠",VLOOKUP(J31,'G-7 WaterC'' Data'!$AK$4:$AM$6,2,FALSE)))</f>
        <v/>
      </c>
      <c r="L31" s="287" t="str">
        <f>IF(J31="","",IF(VLOOKUP(J31,'G-7 WaterC'' Data'!$AK$4:$AM$9,3,FALSE)=0,"Spatial Data Missing ⚠",VLOOKUP(J31,'G-7 WaterC'' Data'!$AK$4:$AM$6,3,FALSE)))</f>
        <v/>
      </c>
      <c r="M31" s="52"/>
      <c r="N31" s="282" t="str">
        <f>IF(M31="","",IF(AND(D31&lt;&gt;"Culvert",M31="N/A - Culvert"),"Not possible ▲",IF(AND(D31="Culvert",M31&lt;&gt;"N/A - Culvert"),"Not possible ▲",IF(VLOOKUP(M31,'G-7 WaterC'' Data'!$AA$4:$AB$7,2,FALSE)=0,"Spatial Data Missing ⚠",VLOOKUP(M31,'G-7 WaterC'' Data'!$AA$4:$AB$7,2,FALSE)))))</f>
        <v/>
      </c>
      <c r="O31" s="56"/>
      <c r="P31" s="282" t="str">
        <f>IF(O31="","",IF(AND(O31="N/A - Culvert", D31&lt;&gt;"Culvert"),"Not possible ▲", IF(AND(D31="Culvert",O31&lt;&gt;"N/A - Culvert"),"Not possible ▲",IF(VLOOKUP(O31,'G-7 WaterC'' Data'!$AD$4:$AE$14,2,FALSE)=0,"Spatial Data Missing ⚠",VLOOKUP(O31,'G-7 WaterC'' Data'!$AD$4:$AE$14,2,FALSE)))))</f>
        <v/>
      </c>
      <c r="Q31" s="288" t="str">
        <f>IF(D31="","",VLOOKUP(D31,'G-7 WaterC'' Data'!$B$2:$G$8,6,FALSE))</f>
        <v/>
      </c>
      <c r="R31" s="295" t="str">
        <f t="shared" si="1"/>
        <v xml:space="preserve"> </v>
      </c>
      <c r="S31" s="820" t="str">
        <f t="shared" si="2"/>
        <v/>
      </c>
      <c r="T31" s="32"/>
      <c r="U31" s="105"/>
      <c r="V31" s="112"/>
      <c r="W31" s="293" t="str">
        <f t="shared" si="3"/>
        <v/>
      </c>
      <c r="X31" s="293" t="str">
        <f t="shared" si="4"/>
        <v/>
      </c>
      <c r="Y31" s="293" t="str">
        <f t="shared" si="5"/>
        <v/>
      </c>
      <c r="Z31" s="323" t="str">
        <f>IFERROR(IF(OR(E31="",R31=""),"",  IF(AND(Q31='G-7 WaterC'' Data'!$G$4,AA31="Yes"),"Alternative Compensation ✓", IF(AND(AA31="Pending", Q31='G-7 WaterC'' Data'!$G$4),"Bespoke compensation must be agreed ▲", IF((W31+X31)&gt;=R31, 0, R31-W31-X31)))),"Check Data ⚠")</f>
        <v/>
      </c>
      <c r="AA31" s="817"/>
      <c r="AB31" s="140"/>
      <c r="AC31" s="108"/>
      <c r="AD31" s="108"/>
      <c r="AE31" s="54" t="str">
        <f>IF(OR(Q31="",AA31="Yes"),"",IF(Q31='G-1 All Habitats'!$X$9,E31-U31-V31,"None"))</f>
        <v/>
      </c>
      <c r="AF31" s="55" t="str">
        <f>IF(Q31="","", IF(Q31='G-1 All Habitats'!$X$9, AE31*G31*I31*L31*N31*P31,"None"))</f>
        <v/>
      </c>
      <c r="AI31" s="30">
        <f t="shared" si="9"/>
        <v>0</v>
      </c>
      <c r="AJ31" s="111" t="str">
        <f t="shared" si="6"/>
        <v/>
      </c>
      <c r="AK31" s="111" t="str">
        <f t="shared" si="7"/>
        <v/>
      </c>
      <c r="AM31" s="111">
        <v>22</v>
      </c>
      <c r="AO31" s="111" t="str">
        <f t="array" ref="AO31">IFERROR(INDEX($AM$10:$AM$258, MATCH(0, IF(TRUE=$AJ$10:$AJ$258, COUNTIF($AO$9:$AO30, $AM$10:$AM$258), ""), 0)),"")</f>
        <v/>
      </c>
      <c r="AP31" s="111" t="str">
        <f t="array" ref="AP31">IFERROR(INDEX($AM$10:$AM$258, MATCH(0, IF(TRUE=$AK$10:$AK$258, COUNTIF($AP$9:$AP30, $AM$10:$AM$258), ""), 0)),"")</f>
        <v/>
      </c>
      <c r="AR31" s="30" t="str">
        <f>IFERROR(INDEX('G-7 WaterC'' Data'!$AZ$3:$AZ$7,MATCH(D31,'G-7 WaterC'' Data'!$AY$3:$AY$7,0)),"")</f>
        <v/>
      </c>
      <c r="AS31" s="30" t="str">
        <f>IFERROR(INDEX('G-7 WaterC'' Data'!AZ31:AZ35,MATCH(D31,'G-7 WaterC'' Data'!$AY$10:$AY$14,0)),"")</f>
        <v/>
      </c>
      <c r="AT31" s="903" t="str">
        <f>IF(AND(OR(AA31="Yes",AA31="Pending"),Q31='G-7 WaterC'' Data'!$G$4),R31-W31-X31,"")</f>
        <v/>
      </c>
      <c r="AU31" s="30" t="str">
        <f>IF(D31="","",VLOOKUP(D31,'G-7 WaterC'' Data'!B$4:M$8,12,FALSE))</f>
        <v/>
      </c>
      <c r="AV31" s="30" t="str">
        <f t="shared" si="0"/>
        <v/>
      </c>
      <c r="AX31" s="30" t="str">
        <f t="shared" si="8"/>
        <v>No</v>
      </c>
    </row>
    <row r="32" spans="3:50" x14ac:dyDescent="0.25">
      <c r="C32" s="101">
        <v>23</v>
      </c>
      <c r="D32" s="266"/>
      <c r="E32" s="119"/>
      <c r="F32" s="281" t="str">
        <f>IF(D32="","",VLOOKUP(D32,'G-7 WaterC'' Data'!$B$2:$G$8,2,FALSE))</f>
        <v/>
      </c>
      <c r="G32" s="282" t="str">
        <f>IFERROR(VLOOKUP(F32,'G-7 WaterC'' Data'!$C$4:$D$8,2,FALSE),"")</f>
        <v/>
      </c>
      <c r="H32" s="52"/>
      <c r="I32" s="282" t="str">
        <f>IFERROR(INDEX('G-7 WaterC'' Data'!$H$4:$L$8,MATCH(D32,'G-7 WaterC'' Data'!$B$4:$B$8,0),MATCH(H32,'G-7 WaterC'' Data'!$H$3:$L$3,0)),"")</f>
        <v/>
      </c>
      <c r="J32" s="793"/>
      <c r="K32" s="317" t="str">
        <f>IF(J32="","",IF(VLOOKUP(J32,'G-7 WaterC'' Data'!$AK$4:$AM$6,2,FALSE)=0,"Spatial Data Missing ⚠",VLOOKUP(J32,'G-7 WaterC'' Data'!$AK$4:$AM$6,2,FALSE)))</f>
        <v/>
      </c>
      <c r="L32" s="287" t="str">
        <f>IF(J32="","",IF(VLOOKUP(J32,'G-7 WaterC'' Data'!$AK$4:$AM$9,3,FALSE)=0,"Spatial Data Missing ⚠",VLOOKUP(J32,'G-7 WaterC'' Data'!$AK$4:$AM$6,3,FALSE)))</f>
        <v/>
      </c>
      <c r="M32" s="52"/>
      <c r="N32" s="282" t="str">
        <f>IF(M32="","",IF(AND(D32&lt;&gt;"Culvert",M32="N/A - Culvert"),"Not possible ▲",IF(AND(D32="Culvert",M32&lt;&gt;"N/A - Culvert"),"Not possible ▲",IF(VLOOKUP(M32,'G-7 WaterC'' Data'!$AA$4:$AB$7,2,FALSE)=0,"Spatial Data Missing ⚠",VLOOKUP(M32,'G-7 WaterC'' Data'!$AA$4:$AB$7,2,FALSE)))))</f>
        <v/>
      </c>
      <c r="O32" s="56"/>
      <c r="P32" s="282" t="str">
        <f>IF(O32="","",IF(AND(O32="N/A - Culvert", D32&lt;&gt;"Culvert"),"Not possible ▲", IF(AND(D32="Culvert",O32&lt;&gt;"N/A - Culvert"),"Not possible ▲",IF(VLOOKUP(O32,'G-7 WaterC'' Data'!$AD$4:$AE$14,2,FALSE)=0,"Spatial Data Missing ⚠",VLOOKUP(O32,'G-7 WaterC'' Data'!$AD$4:$AE$14,2,FALSE)))))</f>
        <v/>
      </c>
      <c r="Q32" s="288" t="str">
        <f>IF(D32="","",VLOOKUP(D32,'G-7 WaterC'' Data'!$B$2:$G$8,6,FALSE))</f>
        <v/>
      </c>
      <c r="R32" s="295" t="str">
        <f t="shared" si="1"/>
        <v xml:space="preserve"> </v>
      </c>
      <c r="S32" s="820" t="str">
        <f t="shared" si="2"/>
        <v/>
      </c>
      <c r="T32" s="32"/>
      <c r="U32" s="105"/>
      <c r="V32" s="112"/>
      <c r="W32" s="293" t="str">
        <f t="shared" si="3"/>
        <v/>
      </c>
      <c r="X32" s="293" t="str">
        <f t="shared" si="4"/>
        <v/>
      </c>
      <c r="Y32" s="293" t="str">
        <f t="shared" si="5"/>
        <v/>
      </c>
      <c r="Z32" s="323" t="str">
        <f>IFERROR(IF(OR(E32="",R32=""),"",  IF(AND(Q32='G-7 WaterC'' Data'!$G$4,AA32="Yes"),"Alternative Compensation ✓", IF(AND(AA32="Pending", Q32='G-7 WaterC'' Data'!$G$4),"Bespoke compensation must be agreed ▲", IF((W32+X32)&gt;=R32, 0, R32-W32-X32)))),"Check Data ⚠")</f>
        <v/>
      </c>
      <c r="AA32" s="817"/>
      <c r="AB32" s="140"/>
      <c r="AC32" s="108"/>
      <c r="AD32" s="108"/>
      <c r="AE32" s="54" t="str">
        <f>IF(OR(Q32="",AA32="Yes"),"",IF(Q32='G-1 All Habitats'!$X$9,E32-U32-V32,"None"))</f>
        <v/>
      </c>
      <c r="AF32" s="55" t="str">
        <f>IF(Q32="","", IF(Q32='G-1 All Habitats'!$X$9, AE32*G32*I32*L32*N32*P32,"None"))</f>
        <v/>
      </c>
      <c r="AI32" s="30">
        <f t="shared" si="9"/>
        <v>0</v>
      </c>
      <c r="AJ32" s="111" t="str">
        <f t="shared" si="6"/>
        <v/>
      </c>
      <c r="AK32" s="111" t="str">
        <f t="shared" si="7"/>
        <v/>
      </c>
      <c r="AM32" s="111">
        <v>23</v>
      </c>
      <c r="AO32" s="111" t="str">
        <f t="array" ref="AO32">IFERROR(INDEX($AM$10:$AM$258, MATCH(0, IF(TRUE=$AJ$10:$AJ$258, COUNTIF($AO$9:$AO31, $AM$10:$AM$258), ""), 0)),"")</f>
        <v/>
      </c>
      <c r="AP32" s="111" t="str">
        <f t="array" ref="AP32">IFERROR(INDEX($AM$10:$AM$258, MATCH(0, IF(TRUE=$AK$10:$AK$258, COUNTIF($AP$9:$AP31, $AM$10:$AM$258), ""), 0)),"")</f>
        <v/>
      </c>
      <c r="AR32" s="30" t="str">
        <f>IFERROR(INDEX('G-7 WaterC'' Data'!$AZ$3:$AZ$7,MATCH(D32,'G-7 WaterC'' Data'!$AY$3:$AY$7,0)),"")</f>
        <v/>
      </c>
      <c r="AS32" s="30" t="str">
        <f>IFERROR(INDEX('G-7 WaterC'' Data'!AZ32:AZ36,MATCH(D32,'G-7 WaterC'' Data'!$AY$10:$AY$14,0)),"")</f>
        <v/>
      </c>
      <c r="AT32" s="903" t="str">
        <f>IF(AND(OR(AA32="Yes",AA32="Pending"),Q32='G-7 WaterC'' Data'!$G$4),R32-W32-X32,"")</f>
        <v/>
      </c>
      <c r="AU32" s="30" t="str">
        <f>IF(D32="","",VLOOKUP(D32,'G-7 WaterC'' Data'!B$4:M$8,12,FALSE))</f>
        <v/>
      </c>
      <c r="AV32" s="30" t="str">
        <f t="shared" si="0"/>
        <v/>
      </c>
      <c r="AX32" s="30" t="str">
        <f t="shared" si="8"/>
        <v>No</v>
      </c>
    </row>
    <row r="33" spans="3:50" x14ac:dyDescent="0.25">
      <c r="C33" s="101">
        <v>24</v>
      </c>
      <c r="D33" s="267"/>
      <c r="E33" s="119"/>
      <c r="F33" s="281" t="str">
        <f>IF(D33="","",VLOOKUP(D33,'G-7 WaterC'' Data'!$B$2:$G$8,2,FALSE))</f>
        <v/>
      </c>
      <c r="G33" s="282" t="str">
        <f>IFERROR(VLOOKUP(F33,'G-7 WaterC'' Data'!$C$4:$D$8,2,FALSE),"")</f>
        <v/>
      </c>
      <c r="H33" s="52"/>
      <c r="I33" s="282" t="str">
        <f>IFERROR(INDEX('G-7 WaterC'' Data'!$H$4:$L$8,MATCH(D33,'G-7 WaterC'' Data'!$B$4:$B$8,0),MATCH(H33,'G-7 WaterC'' Data'!$H$3:$L$3,0)),"")</f>
        <v/>
      </c>
      <c r="J33" s="793"/>
      <c r="K33" s="317" t="str">
        <f>IF(J33="","",IF(VLOOKUP(J33,'G-7 WaterC'' Data'!$AK$4:$AM$6,2,FALSE)=0,"Spatial Data Missing ⚠",VLOOKUP(J33,'G-7 WaterC'' Data'!$AK$4:$AM$6,2,FALSE)))</f>
        <v/>
      </c>
      <c r="L33" s="287" t="str">
        <f>IF(J33="","",IF(VLOOKUP(J33,'G-7 WaterC'' Data'!$AK$4:$AM$9,3,FALSE)=0,"Spatial Data Missing ⚠",VLOOKUP(J33,'G-7 WaterC'' Data'!$AK$4:$AM$6,3,FALSE)))</f>
        <v/>
      </c>
      <c r="M33" s="52"/>
      <c r="N33" s="282" t="str">
        <f>IF(M33="","",IF(AND(D33&lt;&gt;"Culvert",M33="N/A - Culvert"),"Not possible ▲",IF(AND(D33="Culvert",M33&lt;&gt;"N/A - Culvert"),"Not possible ▲",IF(VLOOKUP(M33,'G-7 WaterC'' Data'!$AA$4:$AB$7,2,FALSE)=0,"Spatial Data Missing ⚠",VLOOKUP(M33,'G-7 WaterC'' Data'!$AA$4:$AB$7,2,FALSE)))))</f>
        <v/>
      </c>
      <c r="O33" s="56"/>
      <c r="P33" s="282" t="str">
        <f>IF(O33="","",IF(AND(O33="N/A - Culvert", D33&lt;&gt;"Culvert"),"Not possible ▲", IF(AND(D33="Culvert",O33&lt;&gt;"N/A - Culvert"),"Not possible ▲",IF(VLOOKUP(O33,'G-7 WaterC'' Data'!$AD$4:$AE$14,2,FALSE)=0,"Spatial Data Missing ⚠",VLOOKUP(O33,'G-7 WaterC'' Data'!$AD$4:$AE$14,2,FALSE)))))</f>
        <v/>
      </c>
      <c r="Q33" s="288" t="str">
        <f>IF(D33="","",VLOOKUP(D33,'G-7 WaterC'' Data'!$B$2:$G$8,6,FALSE))</f>
        <v/>
      </c>
      <c r="R33" s="295" t="str">
        <f t="shared" si="1"/>
        <v xml:space="preserve"> </v>
      </c>
      <c r="S33" s="820" t="str">
        <f t="shared" si="2"/>
        <v/>
      </c>
      <c r="T33" s="32"/>
      <c r="U33" s="105"/>
      <c r="V33" s="112"/>
      <c r="W33" s="293" t="str">
        <f t="shared" si="3"/>
        <v/>
      </c>
      <c r="X33" s="293" t="str">
        <f t="shared" si="4"/>
        <v/>
      </c>
      <c r="Y33" s="293" t="str">
        <f t="shared" si="5"/>
        <v/>
      </c>
      <c r="Z33" s="323" t="str">
        <f>IFERROR(IF(OR(E33="",R33=""),"",  IF(AND(Q33='G-7 WaterC'' Data'!$G$4,AA33="Yes"),"Alternative Compensation ✓", IF(AND(AA33="Pending", Q33='G-7 WaterC'' Data'!$G$4),"Bespoke compensation must be agreed ▲", IF((W33+X33)&gt;=R33, 0, R33-W33-X33)))),"Check Data ⚠")</f>
        <v/>
      </c>
      <c r="AA33" s="817"/>
      <c r="AB33" s="140"/>
      <c r="AC33" s="108"/>
      <c r="AD33" s="108"/>
      <c r="AE33" s="54" t="str">
        <f>IF(OR(Q33="",AA33="Yes"),"",IF(Q33='G-1 All Habitats'!$X$9,E33-U33-V33,"None"))</f>
        <v/>
      </c>
      <c r="AF33" s="55" t="str">
        <f>IF(Q33="","", IF(Q33='G-1 All Habitats'!$X$9, AE33*G33*I33*L33*N33*P33,"None"))</f>
        <v/>
      </c>
      <c r="AI33" s="30">
        <f t="shared" si="9"/>
        <v>0</v>
      </c>
      <c r="AJ33" s="111" t="str">
        <f t="shared" si="6"/>
        <v/>
      </c>
      <c r="AK33" s="111" t="str">
        <f t="shared" si="7"/>
        <v/>
      </c>
      <c r="AM33" s="111">
        <v>24</v>
      </c>
      <c r="AO33" s="111" t="str">
        <f t="array" ref="AO33">IFERROR(INDEX($AM$10:$AM$258, MATCH(0, IF(TRUE=$AJ$10:$AJ$258, COUNTIF($AO$9:$AO32, $AM$10:$AM$258), ""), 0)),"")</f>
        <v/>
      </c>
      <c r="AP33" s="111" t="str">
        <f t="array" ref="AP33">IFERROR(INDEX($AM$10:$AM$258, MATCH(0, IF(TRUE=$AK$10:$AK$258, COUNTIF($AP$9:$AP32, $AM$10:$AM$258), ""), 0)),"")</f>
        <v/>
      </c>
      <c r="AR33" s="30" t="str">
        <f>IFERROR(INDEX('G-7 WaterC'' Data'!$AZ$3:$AZ$7,MATCH(D33,'G-7 WaterC'' Data'!$AY$3:$AY$7,0)),"")</f>
        <v/>
      </c>
      <c r="AS33" s="30" t="str">
        <f>IFERROR(INDEX('G-7 WaterC'' Data'!AZ33:AZ37,MATCH(D33,'G-7 WaterC'' Data'!$AY$10:$AY$14,0)),"")</f>
        <v/>
      </c>
      <c r="AT33" s="903" t="str">
        <f>IF(AND(OR(AA33="Yes",AA33="Pending"),Q33='G-7 WaterC'' Data'!$G$4),R33-W33-X33,"")</f>
        <v/>
      </c>
      <c r="AU33" s="30" t="str">
        <f>IF(D33="","",VLOOKUP(D33,'G-7 WaterC'' Data'!B$4:M$8,12,FALSE))</f>
        <v/>
      </c>
      <c r="AV33" s="30" t="str">
        <f t="shared" si="0"/>
        <v/>
      </c>
      <c r="AX33" s="30" t="str">
        <f t="shared" si="8"/>
        <v>No</v>
      </c>
    </row>
    <row r="34" spans="3:50" x14ac:dyDescent="0.25">
      <c r="C34" s="101">
        <v>25</v>
      </c>
      <c r="D34" s="267"/>
      <c r="E34" s="119"/>
      <c r="F34" s="281" t="str">
        <f>IF(D34="","",VLOOKUP(D34,'G-7 WaterC'' Data'!$B$2:$G$8,2,FALSE))</f>
        <v/>
      </c>
      <c r="G34" s="282" t="str">
        <f>IFERROR(VLOOKUP(F34,'G-7 WaterC'' Data'!$C$4:$D$8,2,FALSE),"")</f>
        <v/>
      </c>
      <c r="H34" s="52"/>
      <c r="I34" s="282" t="str">
        <f>IFERROR(INDEX('G-7 WaterC'' Data'!$H$4:$L$8,MATCH(D34,'G-7 WaterC'' Data'!$B$4:$B$8,0),MATCH(H34,'G-7 WaterC'' Data'!$H$3:$L$3,0)),"")</f>
        <v/>
      </c>
      <c r="J34" s="793"/>
      <c r="K34" s="317" t="str">
        <f>IF(J34="","",IF(VLOOKUP(J34,'G-7 WaterC'' Data'!$AK$4:$AM$6,2,FALSE)=0,"Spatial Data Missing ⚠",VLOOKUP(J34,'G-7 WaterC'' Data'!$AK$4:$AM$6,2,FALSE)))</f>
        <v/>
      </c>
      <c r="L34" s="287" t="str">
        <f>IF(J34="","",IF(VLOOKUP(J34,'G-7 WaterC'' Data'!$AK$4:$AM$9,3,FALSE)=0,"Spatial Data Missing ⚠",VLOOKUP(J34,'G-7 WaterC'' Data'!$AK$4:$AM$6,3,FALSE)))</f>
        <v/>
      </c>
      <c r="M34" s="52"/>
      <c r="N34" s="282" t="str">
        <f>IF(M34="","",IF(AND(D34&lt;&gt;"Culvert",M34="N/A - Culvert"),"Not possible ▲",IF(AND(D34="Culvert",M34&lt;&gt;"N/A - Culvert"),"Not possible ▲",IF(VLOOKUP(M34,'G-7 WaterC'' Data'!$AA$4:$AB$7,2,FALSE)=0,"Spatial Data Missing ⚠",VLOOKUP(M34,'G-7 WaterC'' Data'!$AA$4:$AB$7,2,FALSE)))))</f>
        <v/>
      </c>
      <c r="O34" s="56"/>
      <c r="P34" s="282" t="str">
        <f>IF(O34="","",IF(AND(O34="N/A - Culvert", D34&lt;&gt;"Culvert"),"Not possible ▲", IF(AND(D34="Culvert",O34&lt;&gt;"N/A - Culvert"),"Not possible ▲",IF(VLOOKUP(O34,'G-7 WaterC'' Data'!$AD$4:$AE$14,2,FALSE)=0,"Spatial Data Missing ⚠",VLOOKUP(O34,'G-7 WaterC'' Data'!$AD$4:$AE$14,2,FALSE)))))</f>
        <v/>
      </c>
      <c r="Q34" s="288" t="str">
        <f>IF(D34="","",VLOOKUP(D34,'G-7 WaterC'' Data'!$B$2:$G$8,6,FALSE))</f>
        <v/>
      </c>
      <c r="R34" s="295" t="str">
        <f t="shared" si="1"/>
        <v xml:space="preserve"> </v>
      </c>
      <c r="S34" s="820" t="str">
        <f t="shared" si="2"/>
        <v/>
      </c>
      <c r="T34" s="32"/>
      <c r="U34" s="105"/>
      <c r="V34" s="112"/>
      <c r="W34" s="293" t="str">
        <f t="shared" si="3"/>
        <v/>
      </c>
      <c r="X34" s="293" t="str">
        <f t="shared" si="4"/>
        <v/>
      </c>
      <c r="Y34" s="293" t="str">
        <f t="shared" si="5"/>
        <v/>
      </c>
      <c r="Z34" s="323" t="str">
        <f>IFERROR(IF(OR(E34="",R34=""),"",  IF(AND(Q34='G-7 WaterC'' Data'!$G$4,AA34="Yes"),"Alternative Compensation ✓", IF(AND(AA34="Pending", Q34='G-7 WaterC'' Data'!$G$4),"Bespoke compensation must be agreed ▲", IF((W34+X34)&gt;=R34, 0, R34-W34-X34)))),"Check Data ⚠")</f>
        <v/>
      </c>
      <c r="AA34" s="817"/>
      <c r="AB34" s="140"/>
      <c r="AC34" s="108"/>
      <c r="AD34" s="108"/>
      <c r="AE34" s="54" t="str">
        <f>IF(OR(Q34="",AA34="Yes"),"",IF(Q34='G-1 All Habitats'!$X$9,E34-U34-V34,"None"))</f>
        <v/>
      </c>
      <c r="AF34" s="55" t="str">
        <f>IF(Q34="","", IF(Q34='G-1 All Habitats'!$X$9, AE34*G34*I34*L34*N34*P34,"None"))</f>
        <v/>
      </c>
      <c r="AI34" s="30">
        <f t="shared" si="9"/>
        <v>0</v>
      </c>
      <c r="AJ34" s="111" t="str">
        <f t="shared" si="6"/>
        <v/>
      </c>
      <c r="AK34" s="111" t="str">
        <f t="shared" si="7"/>
        <v/>
      </c>
      <c r="AM34" s="111">
        <v>25</v>
      </c>
      <c r="AO34" s="111" t="str">
        <f t="array" ref="AO34">IFERROR(INDEX($AM$10:$AM$258, MATCH(0, IF(TRUE=$AJ$10:$AJ$258, COUNTIF($AO$9:$AO33, $AM$10:$AM$258), ""), 0)),"")</f>
        <v/>
      </c>
      <c r="AP34" s="111" t="str">
        <f t="array" ref="AP34">IFERROR(INDEX($AM$10:$AM$258, MATCH(0, IF(TRUE=$AK$10:$AK$258, COUNTIF($AP$9:$AP33, $AM$10:$AM$258), ""), 0)),"")</f>
        <v/>
      </c>
      <c r="AR34" s="30" t="str">
        <f>IFERROR(INDEX('G-7 WaterC'' Data'!$AZ$3:$AZ$7,MATCH(D34,'G-7 WaterC'' Data'!$AY$3:$AY$7,0)),"")</f>
        <v/>
      </c>
      <c r="AS34" s="30" t="str">
        <f>IFERROR(INDEX('G-7 WaterC'' Data'!AZ34:AZ38,MATCH(D34,'G-7 WaterC'' Data'!$AY$10:$AY$14,0)),"")</f>
        <v/>
      </c>
      <c r="AT34" s="903" t="str">
        <f>IF(AND(OR(AA34="Yes",AA34="Pending"),Q34='G-7 WaterC'' Data'!$G$4),R34-W34-X34,"")</f>
        <v/>
      </c>
      <c r="AU34" s="30" t="str">
        <f>IF(D34="","",VLOOKUP(D34,'G-7 WaterC'' Data'!B$4:M$8,12,FALSE))</f>
        <v/>
      </c>
      <c r="AV34" s="30" t="str">
        <f t="shared" si="0"/>
        <v/>
      </c>
      <c r="AX34" s="30" t="str">
        <f t="shared" si="8"/>
        <v>No</v>
      </c>
    </row>
    <row r="35" spans="3:50" x14ac:dyDescent="0.25">
      <c r="C35" s="101">
        <v>26</v>
      </c>
      <c r="D35" s="267"/>
      <c r="E35" s="119"/>
      <c r="F35" s="281" t="str">
        <f>IF(D35="","",VLOOKUP(D35,'G-7 WaterC'' Data'!$B$2:$G$8,2,FALSE))</f>
        <v/>
      </c>
      <c r="G35" s="282" t="str">
        <f>IFERROR(VLOOKUP(F35,'G-7 WaterC'' Data'!$C$4:$D$8,2,FALSE),"")</f>
        <v/>
      </c>
      <c r="H35" s="52"/>
      <c r="I35" s="282" t="str">
        <f>IFERROR(INDEX('G-7 WaterC'' Data'!$H$4:$L$8,MATCH(D35,'G-7 WaterC'' Data'!$B$4:$B$8,0),MATCH(H35,'G-7 WaterC'' Data'!$H$3:$L$3,0)),"")</f>
        <v/>
      </c>
      <c r="J35" s="793"/>
      <c r="K35" s="317" t="str">
        <f>IF(J35="","",IF(VLOOKUP(J35,'G-7 WaterC'' Data'!$AK$4:$AM$6,2,FALSE)=0,"Spatial Data Missing ⚠",VLOOKUP(J35,'G-7 WaterC'' Data'!$AK$4:$AM$6,2,FALSE)))</f>
        <v/>
      </c>
      <c r="L35" s="287" t="str">
        <f>IF(J35="","",IF(VLOOKUP(J35,'G-7 WaterC'' Data'!$AK$4:$AM$9,3,FALSE)=0,"Spatial Data Missing ⚠",VLOOKUP(J35,'G-7 WaterC'' Data'!$AK$4:$AM$6,3,FALSE)))</f>
        <v/>
      </c>
      <c r="M35" s="52"/>
      <c r="N35" s="282" t="str">
        <f>IF(M35="","",IF(AND(D35&lt;&gt;"Culvert",M35="N/A - Culvert"),"Not possible ▲",IF(AND(D35="Culvert",M35&lt;&gt;"N/A - Culvert"),"Not possible ▲",IF(VLOOKUP(M35,'G-7 WaterC'' Data'!$AA$4:$AB$7,2,FALSE)=0,"Spatial Data Missing ⚠",VLOOKUP(M35,'G-7 WaterC'' Data'!$AA$4:$AB$7,2,FALSE)))))</f>
        <v/>
      </c>
      <c r="O35" s="56"/>
      <c r="P35" s="282" t="str">
        <f>IF(O35="","",IF(AND(O35="N/A - Culvert", D35&lt;&gt;"Culvert"),"Not possible ▲", IF(AND(D35="Culvert",O35&lt;&gt;"N/A - Culvert"),"Not possible ▲",IF(VLOOKUP(O35,'G-7 WaterC'' Data'!$AD$4:$AE$14,2,FALSE)=0,"Spatial Data Missing ⚠",VLOOKUP(O35,'G-7 WaterC'' Data'!$AD$4:$AE$14,2,FALSE)))))</f>
        <v/>
      </c>
      <c r="Q35" s="288" t="str">
        <f>IF(D35="","",VLOOKUP(D35,'G-7 WaterC'' Data'!$B$2:$G$8,6,FALSE))</f>
        <v/>
      </c>
      <c r="R35" s="295" t="str">
        <f t="shared" si="1"/>
        <v xml:space="preserve"> </v>
      </c>
      <c r="S35" s="820" t="str">
        <f t="shared" si="2"/>
        <v/>
      </c>
      <c r="T35" s="32"/>
      <c r="U35" s="105"/>
      <c r="V35" s="112"/>
      <c r="W35" s="293" t="str">
        <f t="shared" si="3"/>
        <v/>
      </c>
      <c r="X35" s="293" t="str">
        <f t="shared" si="4"/>
        <v/>
      </c>
      <c r="Y35" s="293" t="str">
        <f t="shared" si="5"/>
        <v/>
      </c>
      <c r="Z35" s="323" t="str">
        <f>IFERROR(IF(OR(E35="",R35=""),"",  IF(AND(Q35='G-7 WaterC'' Data'!$G$4,AA35="Yes"),"Alternative Compensation ✓", IF(AND(AA35="Pending", Q35='G-7 WaterC'' Data'!$G$4),"Bespoke compensation must be agreed ▲", IF((W35+X35)&gt;=R35, 0, R35-W35-X35)))),"Check Data ⚠")</f>
        <v/>
      </c>
      <c r="AA35" s="817"/>
      <c r="AB35" s="140"/>
      <c r="AC35" s="108"/>
      <c r="AD35" s="108"/>
      <c r="AE35" s="54" t="str">
        <f>IF(OR(Q35="",AA35="Yes"),"",IF(Q35='G-1 All Habitats'!$X$9,E35-U35-V35,"None"))</f>
        <v/>
      </c>
      <c r="AF35" s="55" t="str">
        <f>IF(Q35="","", IF(Q35='G-1 All Habitats'!$X$9, AE35*G35*I35*L35*N35*P35,"None"))</f>
        <v/>
      </c>
      <c r="AI35" s="30">
        <f t="shared" si="9"/>
        <v>0</v>
      </c>
      <c r="AJ35" s="111" t="str">
        <f t="shared" si="6"/>
        <v/>
      </c>
      <c r="AK35" s="111" t="str">
        <f t="shared" si="7"/>
        <v/>
      </c>
      <c r="AM35" s="111">
        <v>26</v>
      </c>
      <c r="AO35" s="111" t="str">
        <f t="array" ref="AO35">IFERROR(INDEX($AM$10:$AM$258, MATCH(0, IF(TRUE=$AJ$10:$AJ$258, COUNTIF($AO$9:$AO34, $AM$10:$AM$258), ""), 0)),"")</f>
        <v/>
      </c>
      <c r="AP35" s="111" t="str">
        <f t="array" ref="AP35">IFERROR(INDEX($AM$10:$AM$258, MATCH(0, IF(TRUE=$AK$10:$AK$258, COUNTIF($AP$9:$AP34, $AM$10:$AM$258), ""), 0)),"")</f>
        <v/>
      </c>
      <c r="AR35" s="30" t="str">
        <f>IFERROR(INDEX('G-7 WaterC'' Data'!$AZ$3:$AZ$7,MATCH(D35,'G-7 WaterC'' Data'!$AY$3:$AY$7,0)),"")</f>
        <v/>
      </c>
      <c r="AS35" s="30" t="str">
        <f>IFERROR(INDEX('G-7 WaterC'' Data'!AZ35:AZ39,MATCH(D35,'G-7 WaterC'' Data'!$AY$10:$AY$14,0)),"")</f>
        <v/>
      </c>
      <c r="AT35" s="903" t="str">
        <f>IF(AND(OR(AA35="Yes",AA35="Pending"),Q35='G-7 WaterC'' Data'!$G$4),R35-W35-X35,"")</f>
        <v/>
      </c>
      <c r="AU35" s="30" t="str">
        <f>IF(D35="","",VLOOKUP(D35,'G-7 WaterC'' Data'!B$4:M$8,12,FALSE))</f>
        <v/>
      </c>
      <c r="AV35" s="30" t="str">
        <f t="shared" si="0"/>
        <v/>
      </c>
      <c r="AX35" s="30" t="str">
        <f t="shared" si="8"/>
        <v>No</v>
      </c>
    </row>
    <row r="36" spans="3:50" x14ac:dyDescent="0.25">
      <c r="C36" s="101">
        <v>27</v>
      </c>
      <c r="D36" s="267"/>
      <c r="E36" s="119"/>
      <c r="F36" s="281" t="str">
        <f>IF(D36="","",VLOOKUP(D36,'G-7 WaterC'' Data'!$B$2:$G$8,2,FALSE))</f>
        <v/>
      </c>
      <c r="G36" s="282" t="str">
        <f>IFERROR(VLOOKUP(F36,'G-7 WaterC'' Data'!$C$4:$D$8,2,FALSE),"")</f>
        <v/>
      </c>
      <c r="H36" s="52"/>
      <c r="I36" s="282" t="str">
        <f>IFERROR(INDEX('G-7 WaterC'' Data'!$H$4:$L$8,MATCH(D36,'G-7 WaterC'' Data'!$B$4:$B$8,0),MATCH(H36,'G-7 WaterC'' Data'!$H$3:$L$3,0)),"")</f>
        <v/>
      </c>
      <c r="J36" s="793"/>
      <c r="K36" s="317" t="str">
        <f>IF(J36="","",IF(VLOOKUP(J36,'G-7 WaterC'' Data'!$AK$4:$AM$6,2,FALSE)=0,"Spatial Data Missing ⚠",VLOOKUP(J36,'G-7 WaterC'' Data'!$AK$4:$AM$6,2,FALSE)))</f>
        <v/>
      </c>
      <c r="L36" s="287" t="str">
        <f>IF(J36="","",IF(VLOOKUP(J36,'G-7 WaterC'' Data'!$AK$4:$AM$9,3,FALSE)=0,"Spatial Data Missing ⚠",VLOOKUP(J36,'G-7 WaterC'' Data'!$AK$4:$AM$6,3,FALSE)))</f>
        <v/>
      </c>
      <c r="M36" s="52"/>
      <c r="N36" s="282" t="str">
        <f>IF(M36="","",IF(AND(D36&lt;&gt;"Culvert",M36="N/A - Culvert"),"Not possible ▲",IF(AND(D36="Culvert",M36&lt;&gt;"N/A - Culvert"),"Not possible ▲",IF(VLOOKUP(M36,'G-7 WaterC'' Data'!$AA$4:$AB$7,2,FALSE)=0,"Spatial Data Missing ⚠",VLOOKUP(M36,'G-7 WaterC'' Data'!$AA$4:$AB$7,2,FALSE)))))</f>
        <v/>
      </c>
      <c r="O36" s="56"/>
      <c r="P36" s="282" t="str">
        <f>IF(O36="","",IF(AND(O36="N/A - Culvert", D36&lt;&gt;"Culvert"),"Not possible ▲", IF(AND(D36="Culvert",O36&lt;&gt;"N/A - Culvert"),"Not possible ▲",IF(VLOOKUP(O36,'G-7 WaterC'' Data'!$AD$4:$AE$14,2,FALSE)=0,"Spatial Data Missing ⚠",VLOOKUP(O36,'G-7 WaterC'' Data'!$AD$4:$AE$14,2,FALSE)))))</f>
        <v/>
      </c>
      <c r="Q36" s="288" t="str">
        <f>IF(D36="","",VLOOKUP(D36,'G-7 WaterC'' Data'!$B$2:$G$8,6,FALSE))</f>
        <v/>
      </c>
      <c r="R36" s="295" t="str">
        <f t="shared" si="1"/>
        <v xml:space="preserve"> </v>
      </c>
      <c r="S36" s="820" t="str">
        <f t="shared" si="2"/>
        <v/>
      </c>
      <c r="T36" s="32"/>
      <c r="U36" s="105"/>
      <c r="V36" s="112"/>
      <c r="W36" s="293" t="str">
        <f t="shared" si="3"/>
        <v/>
      </c>
      <c r="X36" s="293" t="str">
        <f t="shared" si="4"/>
        <v/>
      </c>
      <c r="Y36" s="293" t="str">
        <f t="shared" si="5"/>
        <v/>
      </c>
      <c r="Z36" s="323" t="str">
        <f>IFERROR(IF(OR(E36="",R36=""),"",  IF(AND(Q36='G-7 WaterC'' Data'!$G$4,AA36="Yes"),"Alternative Compensation ✓", IF(AND(AA36="Pending", Q36='G-7 WaterC'' Data'!$G$4),"Bespoke compensation must be agreed ▲", IF((W36+X36)&gt;=R36, 0, R36-W36-X36)))),"Check Data ⚠")</f>
        <v/>
      </c>
      <c r="AA36" s="817"/>
      <c r="AB36" s="140"/>
      <c r="AC36" s="108"/>
      <c r="AD36" s="108"/>
      <c r="AE36" s="54" t="str">
        <f>IF(OR(Q36="",AA36="Yes"),"",IF(Q36='G-1 All Habitats'!$X$9,E36-U36-V36,"None"))</f>
        <v/>
      </c>
      <c r="AF36" s="55" t="str">
        <f>IF(Q36="","", IF(Q36='G-1 All Habitats'!$X$9, AE36*G36*I36*L36*N36*P36,"None"))</f>
        <v/>
      </c>
      <c r="AI36" s="30">
        <f t="shared" si="9"/>
        <v>0</v>
      </c>
      <c r="AJ36" s="111" t="str">
        <f t="shared" si="6"/>
        <v/>
      </c>
      <c r="AK36" s="111" t="str">
        <f t="shared" si="7"/>
        <v/>
      </c>
      <c r="AM36" s="111">
        <v>27</v>
      </c>
      <c r="AO36" s="111" t="str">
        <f t="array" ref="AO36">IFERROR(INDEX($AM$10:$AM$258, MATCH(0, IF(TRUE=$AJ$10:$AJ$258, COUNTIF($AO$9:$AO35, $AM$10:$AM$258), ""), 0)),"")</f>
        <v/>
      </c>
      <c r="AP36" s="111" t="str">
        <f t="array" ref="AP36">IFERROR(INDEX($AM$10:$AM$258, MATCH(0, IF(TRUE=$AK$10:$AK$258, COUNTIF($AP$9:$AP35, $AM$10:$AM$258), ""), 0)),"")</f>
        <v/>
      </c>
      <c r="AR36" s="30" t="str">
        <f>IFERROR(INDEX('G-7 WaterC'' Data'!$AZ$3:$AZ$7,MATCH(D36,'G-7 WaterC'' Data'!$AY$3:$AY$7,0)),"")</f>
        <v/>
      </c>
      <c r="AS36" s="30" t="str">
        <f>IFERROR(INDEX('G-7 WaterC'' Data'!AZ36:AZ40,MATCH(D36,'G-7 WaterC'' Data'!$AY$10:$AY$14,0)),"")</f>
        <v/>
      </c>
      <c r="AT36" s="903" t="str">
        <f>IF(AND(OR(AA36="Yes",AA36="Pending"),Q36='G-7 WaterC'' Data'!$G$4),R36-W36-X36,"")</f>
        <v/>
      </c>
      <c r="AU36" s="30" t="str">
        <f>IF(D36="","",VLOOKUP(D36,'G-7 WaterC'' Data'!B$4:M$8,12,FALSE))</f>
        <v/>
      </c>
      <c r="AV36" s="30" t="str">
        <f t="shared" si="0"/>
        <v/>
      </c>
      <c r="AX36" s="30" t="str">
        <f t="shared" si="8"/>
        <v>No</v>
      </c>
    </row>
    <row r="37" spans="3:50" x14ac:dyDescent="0.25">
      <c r="C37" s="101">
        <v>28</v>
      </c>
      <c r="D37" s="267"/>
      <c r="E37" s="119"/>
      <c r="F37" s="281" t="str">
        <f>IF(D37="","",VLOOKUP(D37,'G-7 WaterC'' Data'!$B$2:$G$8,2,FALSE))</f>
        <v/>
      </c>
      <c r="G37" s="282" t="str">
        <f>IFERROR(VLOOKUP(F37,'G-7 WaterC'' Data'!$C$4:$D$8,2,FALSE),"")</f>
        <v/>
      </c>
      <c r="H37" s="52"/>
      <c r="I37" s="282" t="str">
        <f>IFERROR(INDEX('G-7 WaterC'' Data'!$H$4:$L$8,MATCH(D37,'G-7 WaterC'' Data'!$B$4:$B$8,0),MATCH(H37,'G-7 WaterC'' Data'!$H$3:$L$3,0)),"")</f>
        <v/>
      </c>
      <c r="J37" s="793"/>
      <c r="K37" s="317" t="str">
        <f>IF(J37="","",IF(VLOOKUP(J37,'G-7 WaterC'' Data'!$AK$4:$AM$6,2,FALSE)=0,"Spatial Data Missing ⚠",VLOOKUP(J37,'G-7 WaterC'' Data'!$AK$4:$AM$6,2,FALSE)))</f>
        <v/>
      </c>
      <c r="L37" s="287" t="str">
        <f>IF(J37="","",IF(VLOOKUP(J37,'G-7 WaterC'' Data'!$AK$4:$AM$9,3,FALSE)=0,"Spatial Data Missing ⚠",VLOOKUP(J37,'G-7 WaterC'' Data'!$AK$4:$AM$6,3,FALSE)))</f>
        <v/>
      </c>
      <c r="M37" s="52"/>
      <c r="N37" s="282" t="str">
        <f>IF(M37="","",IF(AND(D37&lt;&gt;"Culvert",M37="N/A - Culvert"),"Not possible ▲",IF(AND(D37="Culvert",M37&lt;&gt;"N/A - Culvert"),"Not possible ▲",IF(VLOOKUP(M37,'G-7 WaterC'' Data'!$AA$4:$AB$7,2,FALSE)=0,"Spatial Data Missing ⚠",VLOOKUP(M37,'G-7 WaterC'' Data'!$AA$4:$AB$7,2,FALSE)))))</f>
        <v/>
      </c>
      <c r="O37" s="56"/>
      <c r="P37" s="282" t="str">
        <f>IF(O37="","",IF(AND(O37="N/A - Culvert", D37&lt;&gt;"Culvert"),"Not possible ▲", IF(AND(D37="Culvert",O37&lt;&gt;"N/A - Culvert"),"Not possible ▲",IF(VLOOKUP(O37,'G-7 WaterC'' Data'!$AD$4:$AE$14,2,FALSE)=0,"Spatial Data Missing ⚠",VLOOKUP(O37,'G-7 WaterC'' Data'!$AD$4:$AE$14,2,FALSE)))))</f>
        <v/>
      </c>
      <c r="Q37" s="288" t="str">
        <f>IF(D37="","",VLOOKUP(D37,'G-7 WaterC'' Data'!$B$2:$G$8,6,FALSE))</f>
        <v/>
      </c>
      <c r="R37" s="295" t="str">
        <f t="shared" si="1"/>
        <v xml:space="preserve"> </v>
      </c>
      <c r="S37" s="820" t="str">
        <f t="shared" si="2"/>
        <v/>
      </c>
      <c r="T37" s="32"/>
      <c r="U37" s="105"/>
      <c r="V37" s="112"/>
      <c r="W37" s="293" t="str">
        <f t="shared" si="3"/>
        <v/>
      </c>
      <c r="X37" s="293" t="str">
        <f t="shared" si="4"/>
        <v/>
      </c>
      <c r="Y37" s="293" t="str">
        <f t="shared" si="5"/>
        <v/>
      </c>
      <c r="Z37" s="323" t="str">
        <f>IFERROR(IF(OR(E37="",R37=""),"",  IF(AND(Q37='G-7 WaterC'' Data'!$G$4,AA37="Yes"),"Alternative Compensation ✓", IF(AND(AA37="Pending", Q37='G-7 WaterC'' Data'!$G$4),"Bespoke compensation must be agreed ▲", IF((W37+X37)&gt;=R37, 0, R37-W37-X37)))),"Check Data ⚠")</f>
        <v/>
      </c>
      <c r="AA37" s="817"/>
      <c r="AB37" s="140"/>
      <c r="AC37" s="108"/>
      <c r="AD37" s="108"/>
      <c r="AE37" s="54" t="str">
        <f>IF(OR(Q37="",AA37="Yes"),"",IF(Q37='G-1 All Habitats'!$X$9,E37-U37-V37,"None"))</f>
        <v/>
      </c>
      <c r="AF37" s="55" t="str">
        <f>IF(Q37="","", IF(Q37='G-1 All Habitats'!$X$9, AE37*G37*I37*L37*N37*P37,"None"))</f>
        <v/>
      </c>
      <c r="AI37" s="30">
        <f t="shared" si="9"/>
        <v>0</v>
      </c>
      <c r="AJ37" s="111" t="str">
        <f t="shared" si="6"/>
        <v/>
      </c>
      <c r="AK37" s="111" t="str">
        <f t="shared" si="7"/>
        <v/>
      </c>
      <c r="AM37" s="111">
        <v>28</v>
      </c>
      <c r="AO37" s="111" t="str">
        <f t="array" ref="AO37">IFERROR(INDEX($AM$10:$AM$258, MATCH(0, IF(TRUE=$AJ$10:$AJ$258, COUNTIF($AO$9:$AO36, $AM$10:$AM$258), ""), 0)),"")</f>
        <v/>
      </c>
      <c r="AP37" s="111" t="str">
        <f t="array" ref="AP37">IFERROR(INDEX($AM$10:$AM$258, MATCH(0, IF(TRUE=$AK$10:$AK$258, COUNTIF($AP$9:$AP36, $AM$10:$AM$258), ""), 0)),"")</f>
        <v/>
      </c>
      <c r="AR37" s="30" t="str">
        <f>IFERROR(INDEX('G-7 WaterC'' Data'!$AZ$3:$AZ$7,MATCH(D37,'G-7 WaterC'' Data'!$AY$3:$AY$7,0)),"")</f>
        <v/>
      </c>
      <c r="AS37" s="30" t="str">
        <f>IFERROR(INDEX('G-7 WaterC'' Data'!AZ37:AZ41,MATCH(D37,'G-7 WaterC'' Data'!$AY$10:$AY$14,0)),"")</f>
        <v/>
      </c>
      <c r="AT37" s="903" t="str">
        <f>IF(AND(OR(AA37="Yes",AA37="Pending"),Q37='G-7 WaterC'' Data'!$G$4),R37-W37-X37,"")</f>
        <v/>
      </c>
      <c r="AU37" s="30" t="str">
        <f>IF(D37="","",VLOOKUP(D37,'G-7 WaterC'' Data'!B$4:M$8,12,FALSE))</f>
        <v/>
      </c>
      <c r="AV37" s="30" t="str">
        <f t="shared" si="0"/>
        <v/>
      </c>
      <c r="AX37" s="30" t="str">
        <f t="shared" si="8"/>
        <v>No</v>
      </c>
    </row>
    <row r="38" spans="3:50" x14ac:dyDescent="0.25">
      <c r="C38" s="101">
        <v>29</v>
      </c>
      <c r="D38" s="267"/>
      <c r="E38" s="119"/>
      <c r="F38" s="281" t="str">
        <f>IF(D38="","",VLOOKUP(D38,'G-7 WaterC'' Data'!$B$2:$G$8,2,FALSE))</f>
        <v/>
      </c>
      <c r="G38" s="282" t="str">
        <f>IFERROR(VLOOKUP(F38,'G-7 WaterC'' Data'!$C$4:$D$8,2,FALSE),"")</f>
        <v/>
      </c>
      <c r="H38" s="52"/>
      <c r="I38" s="282" t="str">
        <f>IFERROR(INDEX('G-7 WaterC'' Data'!$H$4:$L$8,MATCH(D38,'G-7 WaterC'' Data'!$B$4:$B$8,0),MATCH(H38,'G-7 WaterC'' Data'!$H$3:$L$3,0)),"")</f>
        <v/>
      </c>
      <c r="J38" s="793"/>
      <c r="K38" s="317" t="str">
        <f>IF(J38="","",IF(VLOOKUP(J38,'G-7 WaterC'' Data'!$AK$4:$AM$6,2,FALSE)=0,"Spatial Data Missing ⚠",VLOOKUP(J38,'G-7 WaterC'' Data'!$AK$4:$AM$6,2,FALSE)))</f>
        <v/>
      </c>
      <c r="L38" s="287" t="str">
        <f>IF(J38="","",IF(VLOOKUP(J38,'G-7 WaterC'' Data'!$AK$4:$AM$9,3,FALSE)=0,"Spatial Data Missing ⚠",VLOOKUP(J38,'G-7 WaterC'' Data'!$AK$4:$AM$6,3,FALSE)))</f>
        <v/>
      </c>
      <c r="M38" s="52"/>
      <c r="N38" s="282" t="str">
        <f>IF(M38="","",IF(AND(D38&lt;&gt;"Culvert",M38="N/A - Culvert"),"Not possible ▲",IF(AND(D38="Culvert",M38&lt;&gt;"N/A - Culvert"),"Not possible ▲",IF(VLOOKUP(M38,'G-7 WaterC'' Data'!$AA$4:$AB$7,2,FALSE)=0,"Spatial Data Missing ⚠",VLOOKUP(M38,'G-7 WaterC'' Data'!$AA$4:$AB$7,2,FALSE)))))</f>
        <v/>
      </c>
      <c r="O38" s="56"/>
      <c r="P38" s="282" t="str">
        <f>IF(O38="","",IF(AND(O38="N/A - Culvert", D38&lt;&gt;"Culvert"),"Not possible ▲", IF(AND(D38="Culvert",O38&lt;&gt;"N/A - Culvert"),"Not possible ▲",IF(VLOOKUP(O38,'G-7 WaterC'' Data'!$AD$4:$AE$14,2,FALSE)=0,"Spatial Data Missing ⚠",VLOOKUP(O38,'G-7 WaterC'' Data'!$AD$4:$AE$14,2,FALSE)))))</f>
        <v/>
      </c>
      <c r="Q38" s="288" t="str">
        <f>IF(D38="","",VLOOKUP(D38,'G-7 WaterC'' Data'!$B$2:$G$8,6,FALSE))</f>
        <v/>
      </c>
      <c r="R38" s="295" t="str">
        <f t="shared" si="1"/>
        <v xml:space="preserve"> </v>
      </c>
      <c r="S38" s="820" t="str">
        <f t="shared" si="2"/>
        <v/>
      </c>
      <c r="T38" s="32"/>
      <c r="U38" s="105"/>
      <c r="V38" s="112"/>
      <c r="W38" s="293" t="str">
        <f t="shared" si="3"/>
        <v/>
      </c>
      <c r="X38" s="293" t="str">
        <f t="shared" si="4"/>
        <v/>
      </c>
      <c r="Y38" s="293" t="str">
        <f t="shared" si="5"/>
        <v/>
      </c>
      <c r="Z38" s="323" t="str">
        <f>IFERROR(IF(OR(E38="",R38=""),"",  IF(AND(Q38='G-7 WaterC'' Data'!$G$4,AA38="Yes"),"Alternative Compensation ✓", IF(AND(AA38="Pending", Q38='G-7 WaterC'' Data'!$G$4),"Bespoke compensation must be agreed ▲", IF((W38+X38)&gt;=R38, 0, R38-W38-X38)))),"Check Data ⚠")</f>
        <v/>
      </c>
      <c r="AA38" s="817"/>
      <c r="AB38" s="140"/>
      <c r="AC38" s="108"/>
      <c r="AD38" s="108"/>
      <c r="AE38" s="54" t="str">
        <f>IF(OR(Q38="",AA38="Yes"),"",IF(Q38='G-1 All Habitats'!$X$9,E38-U38-V38,"None"))</f>
        <v/>
      </c>
      <c r="AF38" s="55" t="str">
        <f>IF(Q38="","", IF(Q38='G-1 All Habitats'!$X$9, AE38*G38*I38*L38*N38*P38,"None"))</f>
        <v/>
      </c>
      <c r="AI38" s="30">
        <f t="shared" si="9"/>
        <v>0</v>
      </c>
      <c r="AJ38" s="111" t="str">
        <f t="shared" si="6"/>
        <v/>
      </c>
      <c r="AK38" s="111" t="str">
        <f t="shared" si="7"/>
        <v/>
      </c>
      <c r="AM38" s="111">
        <v>29</v>
      </c>
      <c r="AO38" s="111" t="str">
        <f t="array" ref="AO38">IFERROR(INDEX($AM$10:$AM$258, MATCH(0, IF(TRUE=$AJ$10:$AJ$258, COUNTIF($AO$9:$AO37, $AM$10:$AM$258), ""), 0)),"")</f>
        <v/>
      </c>
      <c r="AP38" s="111" t="str">
        <f t="array" ref="AP38">IFERROR(INDEX($AM$10:$AM$258, MATCH(0, IF(TRUE=$AK$10:$AK$258, COUNTIF($AP$9:$AP37, $AM$10:$AM$258), ""), 0)),"")</f>
        <v/>
      </c>
      <c r="AR38" s="30" t="str">
        <f>IFERROR(INDEX('G-7 WaterC'' Data'!$AZ$3:$AZ$7,MATCH(D38,'G-7 WaterC'' Data'!$AY$3:$AY$7,0)),"")</f>
        <v/>
      </c>
      <c r="AS38" s="30" t="str">
        <f>IFERROR(INDEX('G-7 WaterC'' Data'!AZ38:AZ42,MATCH(D38,'G-7 WaterC'' Data'!$AY$10:$AY$14,0)),"")</f>
        <v/>
      </c>
      <c r="AT38" s="903" t="str">
        <f>IF(AND(OR(AA38="Yes",AA38="Pending"),Q38='G-7 WaterC'' Data'!$G$4),R38-W38-X38,"")</f>
        <v/>
      </c>
      <c r="AU38" s="30" t="str">
        <f>IF(D38="","",VLOOKUP(D38,'G-7 WaterC'' Data'!B$4:M$8,12,FALSE))</f>
        <v/>
      </c>
      <c r="AV38" s="30" t="str">
        <f t="shared" si="0"/>
        <v/>
      </c>
      <c r="AX38" s="30" t="str">
        <f t="shared" si="8"/>
        <v>No</v>
      </c>
    </row>
    <row r="39" spans="3:50" x14ac:dyDescent="0.25">
      <c r="C39" s="101">
        <v>30</v>
      </c>
      <c r="D39" s="267"/>
      <c r="E39" s="119"/>
      <c r="F39" s="281" t="str">
        <f>IF(D39="","",VLOOKUP(D39,'G-7 WaterC'' Data'!$B$2:$G$8,2,FALSE))</f>
        <v/>
      </c>
      <c r="G39" s="282" t="str">
        <f>IFERROR(VLOOKUP(F39,'G-7 WaterC'' Data'!$C$4:$D$8,2,FALSE),"")</f>
        <v/>
      </c>
      <c r="H39" s="52"/>
      <c r="I39" s="282" t="str">
        <f>IFERROR(INDEX('G-7 WaterC'' Data'!$H$4:$L$8,MATCH(D39,'G-7 WaterC'' Data'!$B$4:$B$8,0),MATCH(H39,'G-7 WaterC'' Data'!$H$3:$L$3,0)),"")</f>
        <v/>
      </c>
      <c r="J39" s="793"/>
      <c r="K39" s="317" t="str">
        <f>IF(J39="","",IF(VLOOKUP(J39,'G-7 WaterC'' Data'!$AK$4:$AM$6,2,FALSE)=0,"Spatial Data Missing ⚠",VLOOKUP(J39,'G-7 WaterC'' Data'!$AK$4:$AM$6,2,FALSE)))</f>
        <v/>
      </c>
      <c r="L39" s="287" t="str">
        <f>IF(J39="","",IF(VLOOKUP(J39,'G-7 WaterC'' Data'!$AK$4:$AM$9,3,FALSE)=0,"Spatial Data Missing ⚠",VLOOKUP(J39,'G-7 WaterC'' Data'!$AK$4:$AM$6,3,FALSE)))</f>
        <v/>
      </c>
      <c r="M39" s="52"/>
      <c r="N39" s="282" t="str">
        <f>IF(M39="","",IF(AND(D39&lt;&gt;"Culvert",M39="N/A - Culvert"),"Not possible ▲",IF(AND(D39="Culvert",M39&lt;&gt;"N/A - Culvert"),"Not possible ▲",IF(VLOOKUP(M39,'G-7 WaterC'' Data'!$AA$4:$AB$7,2,FALSE)=0,"Spatial Data Missing ⚠",VLOOKUP(M39,'G-7 WaterC'' Data'!$AA$4:$AB$7,2,FALSE)))))</f>
        <v/>
      </c>
      <c r="O39" s="56"/>
      <c r="P39" s="282" t="str">
        <f>IF(O39="","",IF(AND(O39="N/A - Culvert", D39&lt;&gt;"Culvert"),"Not possible ▲", IF(AND(D39="Culvert",O39&lt;&gt;"N/A - Culvert"),"Not possible ▲",IF(VLOOKUP(O39,'G-7 WaterC'' Data'!$AD$4:$AE$14,2,FALSE)=0,"Spatial Data Missing ⚠",VLOOKUP(O39,'G-7 WaterC'' Data'!$AD$4:$AE$14,2,FALSE)))))</f>
        <v/>
      </c>
      <c r="Q39" s="288" t="str">
        <f>IF(D39="","",VLOOKUP(D39,'G-7 WaterC'' Data'!$B$2:$G$8,6,FALSE))</f>
        <v/>
      </c>
      <c r="R39" s="295" t="str">
        <f t="shared" si="1"/>
        <v xml:space="preserve"> </v>
      </c>
      <c r="S39" s="820" t="str">
        <f t="shared" si="2"/>
        <v/>
      </c>
      <c r="T39" s="32"/>
      <c r="U39" s="105"/>
      <c r="V39" s="112"/>
      <c r="W39" s="293" t="str">
        <f t="shared" si="3"/>
        <v/>
      </c>
      <c r="X39" s="293" t="str">
        <f t="shared" si="4"/>
        <v/>
      </c>
      <c r="Y39" s="293" t="str">
        <f t="shared" si="5"/>
        <v/>
      </c>
      <c r="Z39" s="323" t="str">
        <f>IFERROR(IF(OR(E39="",R39=""),"",  IF(AND(Q39='G-7 WaterC'' Data'!$G$4,AA39="Yes"),"Alternative Compensation ✓", IF(AND(AA39="Pending", Q39='G-7 WaterC'' Data'!$G$4),"Bespoke compensation must be agreed ▲", IF((W39+X39)&gt;=R39, 0, R39-W39-X39)))),"Check Data ⚠")</f>
        <v/>
      </c>
      <c r="AA39" s="817"/>
      <c r="AB39" s="140"/>
      <c r="AC39" s="108"/>
      <c r="AD39" s="108"/>
      <c r="AE39" s="54" t="str">
        <f>IF(OR(Q39="",AA39="Yes"),"",IF(Q39='G-1 All Habitats'!$X$9,E39-U39-V39,"None"))</f>
        <v/>
      </c>
      <c r="AF39" s="55" t="str">
        <f>IF(Q39="","", IF(Q39='G-1 All Habitats'!$X$9, AE39*G39*I39*L39*N39*P39,"None"))</f>
        <v/>
      </c>
      <c r="AI39" s="30">
        <f t="shared" si="9"/>
        <v>0</v>
      </c>
      <c r="AJ39" s="111" t="str">
        <f t="shared" si="6"/>
        <v/>
      </c>
      <c r="AK39" s="111" t="str">
        <f t="shared" si="7"/>
        <v/>
      </c>
      <c r="AM39" s="111">
        <v>30</v>
      </c>
      <c r="AO39" s="111" t="str">
        <f t="array" ref="AO39">IFERROR(INDEX($AM$10:$AM$258, MATCH(0, IF(TRUE=$AJ$10:$AJ$258, COUNTIF($AO$9:$AO38, $AM$10:$AM$258), ""), 0)),"")</f>
        <v/>
      </c>
      <c r="AP39" s="111" t="str">
        <f t="array" ref="AP39">IFERROR(INDEX($AM$10:$AM$258, MATCH(0, IF(TRUE=$AK$10:$AK$258, COUNTIF($AP$9:$AP38, $AM$10:$AM$258), ""), 0)),"")</f>
        <v/>
      </c>
      <c r="AR39" s="30" t="str">
        <f>IFERROR(INDEX('G-7 WaterC'' Data'!$AZ$3:$AZ$7,MATCH(D39,'G-7 WaterC'' Data'!$AY$3:$AY$7,0)),"")</f>
        <v/>
      </c>
      <c r="AS39" s="30" t="str">
        <f>IFERROR(INDEX('G-7 WaterC'' Data'!AZ39:AZ43,MATCH(D39,'G-7 WaterC'' Data'!$AY$10:$AY$14,0)),"")</f>
        <v/>
      </c>
      <c r="AT39" s="903" t="str">
        <f>IF(AND(OR(AA39="Yes",AA39="Pending"),Q39='G-7 WaterC'' Data'!$G$4),R39-W39-X39,"")</f>
        <v/>
      </c>
      <c r="AU39" s="30" t="str">
        <f>IF(D39="","",VLOOKUP(D39,'G-7 WaterC'' Data'!B$4:M$8,12,FALSE))</f>
        <v/>
      </c>
      <c r="AV39" s="30" t="str">
        <f t="shared" si="0"/>
        <v/>
      </c>
      <c r="AX39" s="30" t="str">
        <f t="shared" si="8"/>
        <v>No</v>
      </c>
    </row>
    <row r="40" spans="3:50" x14ac:dyDescent="0.25">
      <c r="C40" s="101">
        <v>31</v>
      </c>
      <c r="D40" s="267"/>
      <c r="E40" s="119"/>
      <c r="F40" s="281" t="str">
        <f>IF(D40="","",VLOOKUP(D40,'G-7 WaterC'' Data'!$B$2:$G$8,2,FALSE))</f>
        <v/>
      </c>
      <c r="G40" s="282" t="str">
        <f>IFERROR(VLOOKUP(F40,'G-7 WaterC'' Data'!$C$4:$D$8,2,FALSE),"")</f>
        <v/>
      </c>
      <c r="H40" s="52"/>
      <c r="I40" s="282" t="str">
        <f>IFERROR(INDEX('G-7 WaterC'' Data'!$H$4:$L$8,MATCH(D40,'G-7 WaterC'' Data'!$B$4:$B$8,0),MATCH(H40,'G-7 WaterC'' Data'!$H$3:$L$3,0)),"")</f>
        <v/>
      </c>
      <c r="J40" s="793"/>
      <c r="K40" s="317" t="str">
        <f>IF(J40="","",IF(VLOOKUP(J40,'G-7 WaterC'' Data'!$AK$4:$AM$6,2,FALSE)=0,"Spatial Data Missing ⚠",VLOOKUP(J40,'G-7 WaterC'' Data'!$AK$4:$AM$6,2,FALSE)))</f>
        <v/>
      </c>
      <c r="L40" s="287" t="str">
        <f>IF(J40="","",IF(VLOOKUP(J40,'G-7 WaterC'' Data'!$AK$4:$AM$9,3,FALSE)=0,"Spatial Data Missing ⚠",VLOOKUP(J40,'G-7 WaterC'' Data'!$AK$4:$AM$6,3,FALSE)))</f>
        <v/>
      </c>
      <c r="M40" s="52"/>
      <c r="N40" s="282" t="str">
        <f>IF(M40="","",IF(AND(D40&lt;&gt;"Culvert",M40="N/A - Culvert"),"Not possible ▲",IF(AND(D40="Culvert",M40&lt;&gt;"N/A - Culvert"),"Not possible ▲",IF(VLOOKUP(M40,'G-7 WaterC'' Data'!$AA$4:$AB$7,2,FALSE)=0,"Spatial Data Missing ⚠",VLOOKUP(M40,'G-7 WaterC'' Data'!$AA$4:$AB$7,2,FALSE)))))</f>
        <v/>
      </c>
      <c r="O40" s="56"/>
      <c r="P40" s="282" t="str">
        <f>IF(O40="","",IF(AND(O40="N/A - Culvert", D40&lt;&gt;"Culvert"),"Not possible ▲", IF(AND(D40="Culvert",O40&lt;&gt;"N/A - Culvert"),"Not possible ▲",IF(VLOOKUP(O40,'G-7 WaterC'' Data'!$AD$4:$AE$14,2,FALSE)=0,"Spatial Data Missing ⚠",VLOOKUP(O40,'G-7 WaterC'' Data'!$AD$4:$AE$14,2,FALSE)))))</f>
        <v/>
      </c>
      <c r="Q40" s="288" t="str">
        <f>IF(D40="","",VLOOKUP(D40,'G-7 WaterC'' Data'!$B$2:$G$8,6,FALSE))</f>
        <v/>
      </c>
      <c r="R40" s="295" t="str">
        <f t="shared" si="1"/>
        <v xml:space="preserve"> </v>
      </c>
      <c r="S40" s="820" t="str">
        <f t="shared" si="2"/>
        <v/>
      </c>
      <c r="T40" s="32"/>
      <c r="U40" s="105"/>
      <c r="V40" s="112"/>
      <c r="W40" s="293" t="str">
        <f t="shared" si="3"/>
        <v/>
      </c>
      <c r="X40" s="293" t="str">
        <f t="shared" si="4"/>
        <v/>
      </c>
      <c r="Y40" s="293" t="str">
        <f t="shared" si="5"/>
        <v/>
      </c>
      <c r="Z40" s="323" t="str">
        <f>IFERROR(IF(OR(E40="",R40=""),"",  IF(AND(Q40='G-7 WaterC'' Data'!$G$4,AA40="Yes"),"Alternative Compensation ✓", IF(AND(AA40="Pending", Q40='G-7 WaterC'' Data'!$G$4),"Bespoke compensation must be agreed ▲", IF((W40+X40)&gt;=R40, 0, R40-W40-X40)))),"Check Data ⚠")</f>
        <v/>
      </c>
      <c r="AA40" s="817"/>
      <c r="AB40" s="140"/>
      <c r="AC40" s="108"/>
      <c r="AD40" s="108"/>
      <c r="AE40" s="54" t="str">
        <f>IF(OR(Q40="",AA40="Yes"),"",IF(Q40='G-1 All Habitats'!$X$9,E40-U40-V40,"None"))</f>
        <v/>
      </c>
      <c r="AF40" s="55" t="str">
        <f>IF(Q40="","", IF(Q40='G-1 All Habitats'!$X$9, AE40*G40*I40*L40*N40*P40,"None"))</f>
        <v/>
      </c>
      <c r="AI40" s="30">
        <f t="shared" si="9"/>
        <v>0</v>
      </c>
      <c r="AJ40" s="111" t="str">
        <f t="shared" si="6"/>
        <v/>
      </c>
      <c r="AK40" s="111" t="str">
        <f t="shared" si="7"/>
        <v/>
      </c>
      <c r="AM40" s="111">
        <v>31</v>
      </c>
      <c r="AO40" s="111" t="str">
        <f t="array" ref="AO40">IFERROR(INDEX($AM$10:$AM$258, MATCH(0, IF(TRUE=$AJ$10:$AJ$258, COUNTIF($AO$9:$AO39, $AM$10:$AM$258), ""), 0)),"")</f>
        <v/>
      </c>
      <c r="AP40" s="111" t="str">
        <f t="array" ref="AP40">IFERROR(INDEX($AM$10:$AM$258, MATCH(0, IF(TRUE=$AK$10:$AK$258, COUNTIF($AP$9:$AP39, $AM$10:$AM$258), ""), 0)),"")</f>
        <v/>
      </c>
      <c r="AR40" s="30" t="str">
        <f>IFERROR(INDEX('G-7 WaterC'' Data'!$AZ$3:$AZ$7,MATCH(D40,'G-7 WaterC'' Data'!$AY$3:$AY$7,0)),"")</f>
        <v/>
      </c>
      <c r="AS40" s="30" t="str">
        <f>IFERROR(INDEX('G-7 WaterC'' Data'!AZ40:AZ44,MATCH(D40,'G-7 WaterC'' Data'!$AY$10:$AY$14,0)),"")</f>
        <v/>
      </c>
      <c r="AT40" s="903" t="str">
        <f>IF(AND(OR(AA40="Yes",AA40="Pending"),Q40='G-7 WaterC'' Data'!$G$4),R40-W40-X40,"")</f>
        <v/>
      </c>
      <c r="AU40" s="30" t="str">
        <f>IF(D40="","",VLOOKUP(D40,'G-7 WaterC'' Data'!B$4:M$8,12,FALSE))</f>
        <v/>
      </c>
      <c r="AV40" s="30" t="str">
        <f t="shared" si="0"/>
        <v/>
      </c>
      <c r="AX40" s="30" t="str">
        <f t="shared" si="8"/>
        <v>No</v>
      </c>
    </row>
    <row r="41" spans="3:50" x14ac:dyDescent="0.25">
      <c r="C41" s="101">
        <v>32</v>
      </c>
      <c r="D41" s="267"/>
      <c r="E41" s="119"/>
      <c r="F41" s="281" t="str">
        <f>IF(D41="","",VLOOKUP(D41,'G-7 WaterC'' Data'!$B$2:$G$8,2,FALSE))</f>
        <v/>
      </c>
      <c r="G41" s="282" t="str">
        <f>IFERROR(VLOOKUP(F41,'G-7 WaterC'' Data'!$C$4:$D$8,2,FALSE),"")</f>
        <v/>
      </c>
      <c r="H41" s="52"/>
      <c r="I41" s="282" t="str">
        <f>IFERROR(INDEX('G-7 WaterC'' Data'!$H$4:$L$8,MATCH(D41,'G-7 WaterC'' Data'!$B$4:$B$8,0),MATCH(H41,'G-7 WaterC'' Data'!$H$3:$L$3,0)),"")</f>
        <v/>
      </c>
      <c r="J41" s="793"/>
      <c r="K41" s="317" t="str">
        <f>IF(J41="","",IF(VLOOKUP(J41,'G-7 WaterC'' Data'!$AK$4:$AM$6,2,FALSE)=0,"Spatial Data Missing ⚠",VLOOKUP(J41,'G-7 WaterC'' Data'!$AK$4:$AM$6,2,FALSE)))</f>
        <v/>
      </c>
      <c r="L41" s="287" t="str">
        <f>IF(J41="","",IF(VLOOKUP(J41,'G-7 WaterC'' Data'!$AK$4:$AM$9,3,FALSE)=0,"Spatial Data Missing ⚠",VLOOKUP(J41,'G-7 WaterC'' Data'!$AK$4:$AM$6,3,FALSE)))</f>
        <v/>
      </c>
      <c r="M41" s="52"/>
      <c r="N41" s="282" t="str">
        <f>IF(M41="","",IF(AND(D41&lt;&gt;"Culvert",M41="N/A - Culvert"),"Not possible ▲",IF(AND(D41="Culvert",M41&lt;&gt;"N/A - Culvert"),"Not possible ▲",IF(VLOOKUP(M41,'G-7 WaterC'' Data'!$AA$4:$AB$7,2,FALSE)=0,"Spatial Data Missing ⚠",VLOOKUP(M41,'G-7 WaterC'' Data'!$AA$4:$AB$7,2,FALSE)))))</f>
        <v/>
      </c>
      <c r="O41" s="56"/>
      <c r="P41" s="282" t="str">
        <f>IF(O41="","",IF(AND(O41="N/A - Culvert", D41&lt;&gt;"Culvert"),"Not possible ▲", IF(AND(D41="Culvert",O41&lt;&gt;"N/A - Culvert"),"Not possible ▲",IF(VLOOKUP(O41,'G-7 WaterC'' Data'!$AD$4:$AE$14,2,FALSE)=0,"Spatial Data Missing ⚠",VLOOKUP(O41,'G-7 WaterC'' Data'!$AD$4:$AE$14,2,FALSE)))))</f>
        <v/>
      </c>
      <c r="Q41" s="288" t="str">
        <f>IF(D41="","",VLOOKUP(D41,'G-7 WaterC'' Data'!$B$2:$G$8,6,FALSE))</f>
        <v/>
      </c>
      <c r="R41" s="295" t="str">
        <f t="shared" si="1"/>
        <v xml:space="preserve"> </v>
      </c>
      <c r="S41" s="820" t="str">
        <f t="shared" si="2"/>
        <v/>
      </c>
      <c r="T41" s="32"/>
      <c r="U41" s="105"/>
      <c r="V41" s="112"/>
      <c r="W41" s="293" t="str">
        <f t="shared" si="3"/>
        <v/>
      </c>
      <c r="X41" s="293" t="str">
        <f t="shared" si="4"/>
        <v/>
      </c>
      <c r="Y41" s="293" t="str">
        <f t="shared" si="5"/>
        <v/>
      </c>
      <c r="Z41" s="323" t="str">
        <f>IFERROR(IF(OR(E41="",R41=""),"",  IF(AND(Q41='G-7 WaterC'' Data'!$G$4,AA41="Yes"),"Alternative Compensation ✓", IF(AND(AA41="Pending", Q41='G-7 WaterC'' Data'!$G$4),"Bespoke compensation must be agreed ▲", IF((W41+X41)&gt;=R41, 0, R41-W41-X41)))),"Check Data ⚠")</f>
        <v/>
      </c>
      <c r="AA41" s="817"/>
      <c r="AB41" s="140"/>
      <c r="AC41" s="108"/>
      <c r="AD41" s="108"/>
      <c r="AE41" s="54" t="str">
        <f>IF(OR(Q41="",AA41="Yes"),"",IF(Q41='G-1 All Habitats'!$X$9,E41-U41-V41,"None"))</f>
        <v/>
      </c>
      <c r="AF41" s="55" t="str">
        <f>IF(Q41="","", IF(Q41='G-1 All Habitats'!$X$9, AE41*G41*I41*L41*N41*P41,"None"))</f>
        <v/>
      </c>
      <c r="AI41" s="30">
        <f t="shared" si="9"/>
        <v>0</v>
      </c>
      <c r="AJ41" s="111" t="str">
        <f t="shared" si="6"/>
        <v/>
      </c>
      <c r="AK41" s="111" t="str">
        <f t="shared" si="7"/>
        <v/>
      </c>
      <c r="AM41" s="111">
        <v>32</v>
      </c>
      <c r="AO41" s="111" t="str">
        <f t="array" ref="AO41">IFERROR(INDEX($AM$10:$AM$258, MATCH(0, IF(TRUE=$AJ$10:$AJ$258, COUNTIF($AO$9:$AO40, $AM$10:$AM$258), ""), 0)),"")</f>
        <v/>
      </c>
      <c r="AP41" s="111" t="str">
        <f t="array" ref="AP41">IFERROR(INDEX($AM$10:$AM$258, MATCH(0, IF(TRUE=$AK$10:$AK$258, COUNTIF($AP$9:$AP40, $AM$10:$AM$258), ""), 0)),"")</f>
        <v/>
      </c>
      <c r="AR41" s="30" t="str">
        <f>IFERROR(INDEX('G-7 WaterC'' Data'!$AZ$3:$AZ$7,MATCH(D41,'G-7 WaterC'' Data'!$AY$3:$AY$7,0)),"")</f>
        <v/>
      </c>
      <c r="AS41" s="30" t="str">
        <f>IFERROR(INDEX('G-7 WaterC'' Data'!AZ41:AZ45,MATCH(D41,'G-7 WaterC'' Data'!$AY$10:$AY$14,0)),"")</f>
        <v/>
      </c>
      <c r="AT41" s="903" t="str">
        <f>IF(AND(OR(AA41="Yes",AA41="Pending"),Q41='G-7 WaterC'' Data'!$G$4),R41-W41-X41,"")</f>
        <v/>
      </c>
      <c r="AU41" s="30" t="str">
        <f>IF(D41="","",VLOOKUP(D41,'G-7 WaterC'' Data'!B$4:M$8,12,FALSE))</f>
        <v/>
      </c>
      <c r="AV41" s="30" t="str">
        <f t="shared" si="0"/>
        <v/>
      </c>
      <c r="AX41" s="30" t="str">
        <f t="shared" si="8"/>
        <v>No</v>
      </c>
    </row>
    <row r="42" spans="3:50" x14ac:dyDescent="0.25">
      <c r="C42" s="101">
        <v>33</v>
      </c>
      <c r="D42" s="267"/>
      <c r="E42" s="119"/>
      <c r="F42" s="281" t="str">
        <f>IF(D42="","",VLOOKUP(D42,'G-7 WaterC'' Data'!$B$2:$G$8,2,FALSE))</f>
        <v/>
      </c>
      <c r="G42" s="282" t="str">
        <f>IFERROR(VLOOKUP(F42,'G-7 WaterC'' Data'!$C$4:$D$8,2,FALSE),"")</f>
        <v/>
      </c>
      <c r="H42" s="52"/>
      <c r="I42" s="282" t="str">
        <f>IFERROR(INDEX('G-7 WaterC'' Data'!$H$4:$L$8,MATCH(D42,'G-7 WaterC'' Data'!$B$4:$B$8,0),MATCH(H42,'G-7 WaterC'' Data'!$H$3:$L$3,0)),"")</f>
        <v/>
      </c>
      <c r="J42" s="793"/>
      <c r="K42" s="317" t="str">
        <f>IF(J42="","",IF(VLOOKUP(J42,'G-7 WaterC'' Data'!$AK$4:$AM$6,2,FALSE)=0,"Spatial Data Missing ⚠",VLOOKUP(J42,'G-7 WaterC'' Data'!$AK$4:$AM$6,2,FALSE)))</f>
        <v/>
      </c>
      <c r="L42" s="287" t="str">
        <f>IF(J42="","",IF(VLOOKUP(J42,'G-7 WaterC'' Data'!$AK$4:$AM$9,3,FALSE)=0,"Spatial Data Missing ⚠",VLOOKUP(J42,'G-7 WaterC'' Data'!$AK$4:$AM$6,3,FALSE)))</f>
        <v/>
      </c>
      <c r="M42" s="52"/>
      <c r="N42" s="282" t="str">
        <f>IF(M42="","",IF(AND(D42&lt;&gt;"Culvert",M42="N/A - Culvert"),"Not possible ▲",IF(AND(D42="Culvert",M42&lt;&gt;"N/A - Culvert"),"Not possible ▲",IF(VLOOKUP(M42,'G-7 WaterC'' Data'!$AA$4:$AB$7,2,FALSE)=0,"Spatial Data Missing ⚠",VLOOKUP(M42,'G-7 WaterC'' Data'!$AA$4:$AB$7,2,FALSE)))))</f>
        <v/>
      </c>
      <c r="O42" s="56"/>
      <c r="P42" s="282" t="str">
        <f>IF(O42="","",IF(AND(O42="N/A - Culvert", D42&lt;&gt;"Culvert"),"Not possible ▲", IF(AND(D42="Culvert",O42&lt;&gt;"N/A - Culvert"),"Not possible ▲",IF(VLOOKUP(O42,'G-7 WaterC'' Data'!$AD$4:$AE$14,2,FALSE)=0,"Spatial Data Missing ⚠",VLOOKUP(O42,'G-7 WaterC'' Data'!$AD$4:$AE$14,2,FALSE)))))</f>
        <v/>
      </c>
      <c r="Q42" s="288" t="str">
        <f>IF(D42="","",VLOOKUP(D42,'G-7 WaterC'' Data'!$B$2:$G$8,6,FALSE))</f>
        <v/>
      </c>
      <c r="R42" s="295" t="str">
        <f t="shared" si="1"/>
        <v xml:space="preserve"> </v>
      </c>
      <c r="S42" s="820" t="str">
        <f t="shared" si="2"/>
        <v/>
      </c>
      <c r="T42" s="32"/>
      <c r="U42" s="105"/>
      <c r="V42" s="112"/>
      <c r="W42" s="293" t="str">
        <f t="shared" si="3"/>
        <v/>
      </c>
      <c r="X42" s="293" t="str">
        <f t="shared" si="4"/>
        <v/>
      </c>
      <c r="Y42" s="293" t="str">
        <f t="shared" si="5"/>
        <v/>
      </c>
      <c r="Z42" s="323" t="str">
        <f>IFERROR(IF(OR(E42="",R42=""),"",  IF(AND(Q42='G-7 WaterC'' Data'!$G$4,AA42="Yes"),"Alternative Compensation ✓", IF(AND(AA42="Pending", Q42='G-7 WaterC'' Data'!$G$4),"Bespoke compensation must be agreed ▲", IF((W42+X42)&gt;=R42, 0, R42-W42-X42)))),"Check Data ⚠")</f>
        <v/>
      </c>
      <c r="AA42" s="817"/>
      <c r="AB42" s="140"/>
      <c r="AC42" s="108"/>
      <c r="AD42" s="108"/>
      <c r="AE42" s="54" t="str">
        <f>IF(OR(Q42="",AA42="Yes"),"",IF(Q42='G-1 All Habitats'!$X$9,E42-U42-V42,"None"))</f>
        <v/>
      </c>
      <c r="AF42" s="55" t="str">
        <f>IF(Q42="","", IF(Q42='G-1 All Habitats'!$X$9, AE42*G42*I42*L42*N42*P42,"None"))</f>
        <v/>
      </c>
      <c r="AI42" s="30">
        <f t="shared" si="9"/>
        <v>0</v>
      </c>
      <c r="AJ42" s="111" t="str">
        <f t="shared" si="6"/>
        <v/>
      </c>
      <c r="AK42" s="111" t="str">
        <f t="shared" si="7"/>
        <v/>
      </c>
      <c r="AM42" s="111">
        <v>33</v>
      </c>
      <c r="AO42" s="111" t="str">
        <f t="array" ref="AO42">IFERROR(INDEX($AM$10:$AM$258, MATCH(0, IF(TRUE=$AJ$10:$AJ$258, COUNTIF($AO$9:$AO41, $AM$10:$AM$258), ""), 0)),"")</f>
        <v/>
      </c>
      <c r="AP42" s="111" t="str">
        <f t="array" ref="AP42">IFERROR(INDEX($AM$10:$AM$258, MATCH(0, IF(TRUE=$AK$10:$AK$258, COUNTIF($AP$9:$AP41, $AM$10:$AM$258), ""), 0)),"")</f>
        <v/>
      </c>
      <c r="AR42" s="30" t="str">
        <f>IFERROR(INDEX('G-7 WaterC'' Data'!$AZ$3:$AZ$7,MATCH(D42,'G-7 WaterC'' Data'!$AY$3:$AY$7,0)),"")</f>
        <v/>
      </c>
      <c r="AS42" s="30" t="str">
        <f>IFERROR(INDEX('G-7 WaterC'' Data'!AZ42:AZ46,MATCH(D42,'G-7 WaterC'' Data'!$AY$10:$AY$14,0)),"")</f>
        <v/>
      </c>
      <c r="AT42" s="903" t="str">
        <f>IF(AND(OR(AA42="Yes",AA42="Pending"),Q42='G-7 WaterC'' Data'!$G$4),R42-W42-X42,"")</f>
        <v/>
      </c>
      <c r="AU42" s="30" t="str">
        <f>IF(D42="","",VLOOKUP(D42,'G-7 WaterC'' Data'!B$4:M$8,12,FALSE))</f>
        <v/>
      </c>
      <c r="AV42" s="30" t="str">
        <f t="shared" si="0"/>
        <v/>
      </c>
      <c r="AX42" s="30" t="str">
        <f t="shared" si="8"/>
        <v>No</v>
      </c>
    </row>
    <row r="43" spans="3:50" x14ac:dyDescent="0.25">
      <c r="C43" s="101">
        <v>34</v>
      </c>
      <c r="D43" s="267"/>
      <c r="E43" s="119"/>
      <c r="F43" s="281" t="str">
        <f>IF(D43="","",VLOOKUP(D43,'G-7 WaterC'' Data'!$B$2:$G$8,2,FALSE))</f>
        <v/>
      </c>
      <c r="G43" s="282" t="str">
        <f>IFERROR(VLOOKUP(F43,'G-7 WaterC'' Data'!$C$4:$D$8,2,FALSE),"")</f>
        <v/>
      </c>
      <c r="H43" s="52"/>
      <c r="I43" s="282" t="str">
        <f>IFERROR(INDEX('G-7 WaterC'' Data'!$H$4:$L$8,MATCH(D43,'G-7 WaterC'' Data'!$B$4:$B$8,0),MATCH(H43,'G-7 WaterC'' Data'!$H$3:$L$3,0)),"")</f>
        <v/>
      </c>
      <c r="J43" s="793"/>
      <c r="K43" s="317" t="str">
        <f>IF(J43="","",IF(VLOOKUP(J43,'G-7 WaterC'' Data'!$AK$4:$AM$6,2,FALSE)=0,"Spatial Data Missing ⚠",VLOOKUP(J43,'G-7 WaterC'' Data'!$AK$4:$AM$6,2,FALSE)))</f>
        <v/>
      </c>
      <c r="L43" s="287" t="str">
        <f>IF(J43="","",IF(VLOOKUP(J43,'G-7 WaterC'' Data'!$AK$4:$AM$9,3,FALSE)=0,"Spatial Data Missing ⚠",VLOOKUP(J43,'G-7 WaterC'' Data'!$AK$4:$AM$6,3,FALSE)))</f>
        <v/>
      </c>
      <c r="M43" s="52"/>
      <c r="N43" s="282" t="str">
        <f>IF(M43="","",IF(AND(D43&lt;&gt;"Culvert",M43="N/A - Culvert"),"Not possible ▲",IF(AND(D43="Culvert",M43&lt;&gt;"N/A - Culvert"),"Not possible ▲",IF(VLOOKUP(M43,'G-7 WaterC'' Data'!$AA$4:$AB$7,2,FALSE)=0,"Spatial Data Missing ⚠",VLOOKUP(M43,'G-7 WaterC'' Data'!$AA$4:$AB$7,2,FALSE)))))</f>
        <v/>
      </c>
      <c r="O43" s="56"/>
      <c r="P43" s="282" t="str">
        <f>IF(O43="","",IF(AND(O43="N/A - Culvert", D43&lt;&gt;"Culvert"),"Not possible ▲", IF(AND(D43="Culvert",O43&lt;&gt;"N/A - Culvert"),"Not possible ▲",IF(VLOOKUP(O43,'G-7 WaterC'' Data'!$AD$4:$AE$14,2,FALSE)=0,"Spatial Data Missing ⚠",VLOOKUP(O43,'G-7 WaterC'' Data'!$AD$4:$AE$14,2,FALSE)))))</f>
        <v/>
      </c>
      <c r="Q43" s="288" t="str">
        <f>IF(D43="","",VLOOKUP(D43,'G-7 WaterC'' Data'!$B$2:$G$8,6,FALSE))</f>
        <v/>
      </c>
      <c r="R43" s="295" t="str">
        <f t="shared" si="1"/>
        <v xml:space="preserve"> </v>
      </c>
      <c r="S43" s="820" t="str">
        <f t="shared" si="2"/>
        <v/>
      </c>
      <c r="T43" s="32"/>
      <c r="U43" s="105"/>
      <c r="V43" s="112"/>
      <c r="W43" s="293" t="str">
        <f t="shared" si="3"/>
        <v/>
      </c>
      <c r="X43" s="293" t="str">
        <f t="shared" si="4"/>
        <v/>
      </c>
      <c r="Y43" s="293" t="str">
        <f t="shared" si="5"/>
        <v/>
      </c>
      <c r="Z43" s="323" t="str">
        <f>IFERROR(IF(OR(E43="",R43=""),"",  IF(AND(Q43='G-7 WaterC'' Data'!$G$4,AA43="Yes"),"Alternative Compensation ✓", IF(AND(AA43="Pending", Q43='G-7 WaterC'' Data'!$G$4),"Bespoke compensation must be agreed ▲", IF((W43+X43)&gt;=R43, 0, R43-W43-X43)))),"Check Data ⚠")</f>
        <v/>
      </c>
      <c r="AA43" s="817"/>
      <c r="AB43" s="140"/>
      <c r="AC43" s="108"/>
      <c r="AD43" s="108"/>
      <c r="AE43" s="54" t="str">
        <f>IF(OR(Q43="",AA43="Yes"),"",IF(Q43='G-1 All Habitats'!$X$9,E43-U43-V43,"None"))</f>
        <v/>
      </c>
      <c r="AF43" s="55" t="str">
        <f>IF(Q43="","", IF(Q43='G-1 All Habitats'!$X$9, AE43*G43*I43*L43*N43*P43,"None"))</f>
        <v/>
      </c>
      <c r="AI43" s="30">
        <f t="shared" si="9"/>
        <v>0</v>
      </c>
      <c r="AJ43" s="111" t="str">
        <f t="shared" si="6"/>
        <v/>
      </c>
      <c r="AK43" s="111" t="str">
        <f t="shared" si="7"/>
        <v/>
      </c>
      <c r="AM43" s="111">
        <v>34</v>
      </c>
      <c r="AO43" s="111" t="str">
        <f t="array" ref="AO43">IFERROR(INDEX($AM$10:$AM$258, MATCH(0, IF(TRUE=$AJ$10:$AJ$258, COUNTIF($AO$9:$AO42, $AM$10:$AM$258), ""), 0)),"")</f>
        <v/>
      </c>
      <c r="AP43" s="111" t="str">
        <f t="array" ref="AP43">IFERROR(INDEX($AM$10:$AM$258, MATCH(0, IF(TRUE=$AK$10:$AK$258, COUNTIF($AP$9:$AP42, $AM$10:$AM$258), ""), 0)),"")</f>
        <v/>
      </c>
      <c r="AR43" s="30" t="str">
        <f>IFERROR(INDEX('G-7 WaterC'' Data'!$AZ$3:$AZ$7,MATCH(D43,'G-7 WaterC'' Data'!$AY$3:$AY$7,0)),"")</f>
        <v/>
      </c>
      <c r="AS43" s="30" t="str">
        <f>IFERROR(INDEX('G-7 WaterC'' Data'!AZ43:AZ47,MATCH(D43,'G-7 WaterC'' Data'!$AY$10:$AY$14,0)),"")</f>
        <v/>
      </c>
      <c r="AT43" s="903" t="str">
        <f>IF(AND(OR(AA43="Yes",AA43="Pending"),Q43='G-7 WaterC'' Data'!$G$4),R43-W43-X43,"")</f>
        <v/>
      </c>
      <c r="AU43" s="30" t="str">
        <f>IF(D43="","",VLOOKUP(D43,'G-7 WaterC'' Data'!B$4:M$8,12,FALSE))</f>
        <v/>
      </c>
      <c r="AV43" s="30" t="str">
        <f t="shared" si="0"/>
        <v/>
      </c>
      <c r="AX43" s="30" t="str">
        <f t="shared" si="8"/>
        <v>No</v>
      </c>
    </row>
    <row r="44" spans="3:50" x14ac:dyDescent="0.25">
      <c r="C44" s="101">
        <v>35</v>
      </c>
      <c r="D44" s="267"/>
      <c r="E44" s="119"/>
      <c r="F44" s="281" t="str">
        <f>IF(D44="","",VLOOKUP(D44,'G-7 WaterC'' Data'!$B$2:$G$8,2,FALSE))</f>
        <v/>
      </c>
      <c r="G44" s="282" t="str">
        <f>IFERROR(VLOOKUP(F44,'G-7 WaterC'' Data'!$C$4:$D$8,2,FALSE),"")</f>
        <v/>
      </c>
      <c r="H44" s="52"/>
      <c r="I44" s="282" t="str">
        <f>IFERROR(INDEX('G-7 WaterC'' Data'!$H$4:$L$8,MATCH(D44,'G-7 WaterC'' Data'!$B$4:$B$8,0),MATCH(H44,'G-7 WaterC'' Data'!$H$3:$L$3,0)),"")</f>
        <v/>
      </c>
      <c r="J44" s="793"/>
      <c r="K44" s="317" t="str">
        <f>IF(J44="","",IF(VLOOKUP(J44,'G-7 WaterC'' Data'!$AK$4:$AM$6,2,FALSE)=0,"Spatial Data Missing ⚠",VLOOKUP(J44,'G-7 WaterC'' Data'!$AK$4:$AM$6,2,FALSE)))</f>
        <v/>
      </c>
      <c r="L44" s="287" t="str">
        <f>IF(J44="","",IF(VLOOKUP(J44,'G-7 WaterC'' Data'!$AK$4:$AM$9,3,FALSE)=0,"Spatial Data Missing ⚠",VLOOKUP(J44,'G-7 WaterC'' Data'!$AK$4:$AM$6,3,FALSE)))</f>
        <v/>
      </c>
      <c r="M44" s="52"/>
      <c r="N44" s="282" t="str">
        <f>IF(M44="","",IF(AND(D44&lt;&gt;"Culvert",M44="N/A - Culvert"),"Not possible ▲",IF(AND(D44="Culvert",M44&lt;&gt;"N/A - Culvert"),"Not possible ▲",IF(VLOOKUP(M44,'G-7 WaterC'' Data'!$AA$4:$AB$7,2,FALSE)=0,"Spatial Data Missing ⚠",VLOOKUP(M44,'G-7 WaterC'' Data'!$AA$4:$AB$7,2,FALSE)))))</f>
        <v/>
      </c>
      <c r="O44" s="56"/>
      <c r="P44" s="282" t="str">
        <f>IF(O44="","",IF(AND(O44="N/A - Culvert", D44&lt;&gt;"Culvert"),"Not possible ▲", IF(AND(D44="Culvert",O44&lt;&gt;"N/A - Culvert"),"Not possible ▲",IF(VLOOKUP(O44,'G-7 WaterC'' Data'!$AD$4:$AE$14,2,FALSE)=0,"Spatial Data Missing ⚠",VLOOKUP(O44,'G-7 WaterC'' Data'!$AD$4:$AE$14,2,FALSE)))))</f>
        <v/>
      </c>
      <c r="Q44" s="288" t="str">
        <f>IF(D44="","",VLOOKUP(D44,'G-7 WaterC'' Data'!$B$2:$G$8,6,FALSE))</f>
        <v/>
      </c>
      <c r="R44" s="295" t="str">
        <f t="shared" si="1"/>
        <v xml:space="preserve"> </v>
      </c>
      <c r="S44" s="820" t="str">
        <f t="shared" si="2"/>
        <v/>
      </c>
      <c r="T44" s="32"/>
      <c r="U44" s="105"/>
      <c r="V44" s="112"/>
      <c r="W44" s="293" t="str">
        <f t="shared" si="3"/>
        <v/>
      </c>
      <c r="X44" s="293" t="str">
        <f t="shared" si="4"/>
        <v/>
      </c>
      <c r="Y44" s="293" t="str">
        <f t="shared" si="5"/>
        <v/>
      </c>
      <c r="Z44" s="323" t="str">
        <f>IFERROR(IF(OR(E44="",R44=""),"",  IF(AND(Q44='G-7 WaterC'' Data'!$G$4,AA44="Yes"),"Alternative Compensation ✓", IF(AND(AA44="Pending", Q44='G-7 WaterC'' Data'!$G$4),"Bespoke compensation must be agreed ▲", IF((W44+X44)&gt;=R44, 0, R44-W44-X44)))),"Check Data ⚠")</f>
        <v/>
      </c>
      <c r="AA44" s="817"/>
      <c r="AB44" s="140"/>
      <c r="AC44" s="108"/>
      <c r="AD44" s="108"/>
      <c r="AE44" s="54" t="str">
        <f>IF(OR(Q44="",AA44="Yes"),"",IF(Q44='G-1 All Habitats'!$X$9,E44-U44-V44,"None"))</f>
        <v/>
      </c>
      <c r="AF44" s="55" t="str">
        <f>IF(Q44="","", IF(Q44='G-1 All Habitats'!$X$9, AE44*G44*I44*L44*N44*P44,"None"))</f>
        <v/>
      </c>
      <c r="AI44" s="30">
        <f t="shared" si="9"/>
        <v>0</v>
      </c>
      <c r="AJ44" s="111" t="str">
        <f t="shared" si="6"/>
        <v/>
      </c>
      <c r="AK44" s="111" t="str">
        <f t="shared" si="7"/>
        <v/>
      </c>
      <c r="AM44" s="111">
        <v>35</v>
      </c>
      <c r="AO44" s="111" t="str">
        <f t="array" ref="AO44">IFERROR(INDEX($AM$10:$AM$258, MATCH(0, IF(TRUE=$AJ$10:$AJ$258, COUNTIF($AO$9:$AO43, $AM$10:$AM$258), ""), 0)),"")</f>
        <v/>
      </c>
      <c r="AP44" s="111" t="str">
        <f t="array" ref="AP44">IFERROR(INDEX($AM$10:$AM$258, MATCH(0, IF(TRUE=$AK$10:$AK$258, COUNTIF($AP$9:$AP43, $AM$10:$AM$258), ""), 0)),"")</f>
        <v/>
      </c>
      <c r="AR44" s="30" t="str">
        <f>IFERROR(INDEX('G-7 WaterC'' Data'!$AZ$3:$AZ$7,MATCH(D44,'G-7 WaterC'' Data'!$AY$3:$AY$7,0)),"")</f>
        <v/>
      </c>
      <c r="AS44" s="30" t="str">
        <f>IFERROR(INDEX('G-7 WaterC'' Data'!AZ44:AZ48,MATCH(D44,'G-7 WaterC'' Data'!$AY$10:$AY$14,0)),"")</f>
        <v/>
      </c>
      <c r="AT44" s="903" t="str">
        <f>IF(AND(OR(AA44="Yes",AA44="Pending"),Q44='G-7 WaterC'' Data'!$G$4),R44-W44-X44,"")</f>
        <v/>
      </c>
      <c r="AU44" s="30" t="str">
        <f>IF(D44="","",VLOOKUP(D44,'G-7 WaterC'' Data'!B$4:M$8,12,FALSE))</f>
        <v/>
      </c>
      <c r="AV44" s="30" t="str">
        <f t="shared" si="0"/>
        <v/>
      </c>
      <c r="AX44" s="30" t="str">
        <f t="shared" si="8"/>
        <v>No</v>
      </c>
    </row>
    <row r="45" spans="3:50" x14ac:dyDescent="0.25">
      <c r="C45" s="101">
        <v>36</v>
      </c>
      <c r="D45" s="267"/>
      <c r="E45" s="119"/>
      <c r="F45" s="281" t="str">
        <f>IF(D45="","",VLOOKUP(D45,'G-7 WaterC'' Data'!$B$2:$G$8,2,FALSE))</f>
        <v/>
      </c>
      <c r="G45" s="282" t="str">
        <f>IFERROR(VLOOKUP(F45,'G-7 WaterC'' Data'!$C$4:$D$8,2,FALSE),"")</f>
        <v/>
      </c>
      <c r="H45" s="52"/>
      <c r="I45" s="282" t="str">
        <f>IFERROR(INDEX('G-7 WaterC'' Data'!$H$4:$L$8,MATCH(D45,'G-7 WaterC'' Data'!$B$4:$B$8,0),MATCH(H45,'G-7 WaterC'' Data'!$H$3:$L$3,0)),"")</f>
        <v/>
      </c>
      <c r="J45" s="793"/>
      <c r="K45" s="317" t="str">
        <f>IF(J45="","",IF(VLOOKUP(J45,'G-7 WaterC'' Data'!$AK$4:$AM$6,2,FALSE)=0,"Spatial Data Missing ⚠",VLOOKUP(J45,'G-7 WaterC'' Data'!$AK$4:$AM$6,2,FALSE)))</f>
        <v/>
      </c>
      <c r="L45" s="287" t="str">
        <f>IF(J45="","",IF(VLOOKUP(J45,'G-7 WaterC'' Data'!$AK$4:$AM$9,3,FALSE)=0,"Spatial Data Missing ⚠",VLOOKUP(J45,'G-7 WaterC'' Data'!$AK$4:$AM$6,3,FALSE)))</f>
        <v/>
      </c>
      <c r="M45" s="52"/>
      <c r="N45" s="282" t="str">
        <f>IF(M45="","",IF(AND(D45&lt;&gt;"Culvert",M45="N/A - Culvert"),"Not possible ▲",IF(AND(D45="Culvert",M45&lt;&gt;"N/A - Culvert"),"Not possible ▲",IF(VLOOKUP(M45,'G-7 WaterC'' Data'!$AA$4:$AB$7,2,FALSE)=0,"Spatial Data Missing ⚠",VLOOKUP(M45,'G-7 WaterC'' Data'!$AA$4:$AB$7,2,FALSE)))))</f>
        <v/>
      </c>
      <c r="O45" s="56"/>
      <c r="P45" s="282" t="str">
        <f>IF(O45="","",IF(AND(O45="N/A - Culvert", D45&lt;&gt;"Culvert"),"Not possible ▲", IF(AND(D45="Culvert",O45&lt;&gt;"N/A - Culvert"),"Not possible ▲",IF(VLOOKUP(O45,'G-7 WaterC'' Data'!$AD$4:$AE$14,2,FALSE)=0,"Spatial Data Missing ⚠",VLOOKUP(O45,'G-7 WaterC'' Data'!$AD$4:$AE$14,2,FALSE)))))</f>
        <v/>
      </c>
      <c r="Q45" s="288" t="str">
        <f>IF(D45="","",VLOOKUP(D45,'G-7 WaterC'' Data'!$B$2:$G$8,6,FALSE))</f>
        <v/>
      </c>
      <c r="R45" s="295" t="str">
        <f t="shared" si="1"/>
        <v xml:space="preserve"> </v>
      </c>
      <c r="S45" s="820" t="str">
        <f t="shared" si="2"/>
        <v/>
      </c>
      <c r="T45" s="32"/>
      <c r="U45" s="105"/>
      <c r="V45" s="112"/>
      <c r="W45" s="293" t="str">
        <f t="shared" si="3"/>
        <v/>
      </c>
      <c r="X45" s="293" t="str">
        <f t="shared" si="4"/>
        <v/>
      </c>
      <c r="Y45" s="293" t="str">
        <f t="shared" si="5"/>
        <v/>
      </c>
      <c r="Z45" s="323" t="str">
        <f>IFERROR(IF(OR(E45="",R45=""),"",  IF(AND(Q45='G-7 WaterC'' Data'!$G$4,AA45="Yes"),"Alternative Compensation ✓", IF(AND(AA45="Pending", Q45='G-7 WaterC'' Data'!$G$4),"Bespoke compensation must be agreed ▲", IF((W45+X45)&gt;=R45, 0, R45-W45-X45)))),"Check Data ⚠")</f>
        <v/>
      </c>
      <c r="AA45" s="817"/>
      <c r="AB45" s="140"/>
      <c r="AC45" s="108"/>
      <c r="AD45" s="108"/>
      <c r="AE45" s="54" t="str">
        <f>IF(OR(Q45="",AA45="Yes"),"",IF(Q45='G-1 All Habitats'!$X$9,E45-U45-V45,"None"))</f>
        <v/>
      </c>
      <c r="AF45" s="55" t="str">
        <f>IF(Q45="","", IF(Q45='G-1 All Habitats'!$X$9, AE45*G45*I45*L45*N45*P45,"None"))</f>
        <v/>
      </c>
      <c r="AI45" s="30">
        <f t="shared" si="9"/>
        <v>0</v>
      </c>
      <c r="AJ45" s="111" t="str">
        <f t="shared" si="6"/>
        <v/>
      </c>
      <c r="AK45" s="111" t="str">
        <f t="shared" si="7"/>
        <v/>
      </c>
      <c r="AM45" s="111">
        <v>36</v>
      </c>
      <c r="AO45" s="111" t="str">
        <f t="array" ref="AO45">IFERROR(INDEX($AM$10:$AM$258, MATCH(0, IF(TRUE=$AJ$10:$AJ$258, COUNTIF($AO$9:$AO44, $AM$10:$AM$258), ""), 0)),"")</f>
        <v/>
      </c>
      <c r="AP45" s="111" t="str">
        <f t="array" ref="AP45">IFERROR(INDEX($AM$10:$AM$258, MATCH(0, IF(TRUE=$AK$10:$AK$258, COUNTIF($AP$9:$AP44, $AM$10:$AM$258), ""), 0)),"")</f>
        <v/>
      </c>
      <c r="AR45" s="30" t="str">
        <f>IFERROR(INDEX('G-7 WaterC'' Data'!$AZ$3:$AZ$7,MATCH(D45,'G-7 WaterC'' Data'!$AY$3:$AY$7,0)),"")</f>
        <v/>
      </c>
      <c r="AS45" s="30" t="str">
        <f>IFERROR(INDEX('G-7 WaterC'' Data'!AZ45:AZ49,MATCH(D45,'G-7 WaterC'' Data'!$AY$10:$AY$14,0)),"")</f>
        <v/>
      </c>
      <c r="AT45" s="903" t="str">
        <f>IF(AND(OR(AA45="Yes",AA45="Pending"),Q45='G-7 WaterC'' Data'!$G$4),R45-W45-X45,"")</f>
        <v/>
      </c>
      <c r="AU45" s="30" t="str">
        <f>IF(D45="","",VLOOKUP(D45,'G-7 WaterC'' Data'!B$4:M$8,12,FALSE))</f>
        <v/>
      </c>
      <c r="AV45" s="30" t="str">
        <f t="shared" si="0"/>
        <v/>
      </c>
      <c r="AX45" s="30" t="str">
        <f t="shared" si="8"/>
        <v>No</v>
      </c>
    </row>
    <row r="46" spans="3:50" x14ac:dyDescent="0.25">
      <c r="C46" s="101">
        <v>37</v>
      </c>
      <c r="D46" s="267"/>
      <c r="E46" s="119"/>
      <c r="F46" s="281" t="str">
        <f>IF(D46="","",VLOOKUP(D46,'G-7 WaterC'' Data'!$B$2:$G$8,2,FALSE))</f>
        <v/>
      </c>
      <c r="G46" s="282" t="str">
        <f>IFERROR(VLOOKUP(F46,'G-7 WaterC'' Data'!$C$4:$D$8,2,FALSE),"")</f>
        <v/>
      </c>
      <c r="H46" s="52"/>
      <c r="I46" s="282" t="str">
        <f>IFERROR(INDEX('G-7 WaterC'' Data'!$H$4:$L$8,MATCH(D46,'G-7 WaterC'' Data'!$B$4:$B$8,0),MATCH(H46,'G-7 WaterC'' Data'!$H$3:$L$3,0)),"")</f>
        <v/>
      </c>
      <c r="J46" s="793"/>
      <c r="K46" s="317" t="str">
        <f>IF(J46="","",IF(VLOOKUP(J46,'G-7 WaterC'' Data'!$AK$4:$AM$6,2,FALSE)=0,"Spatial Data Missing ⚠",VLOOKUP(J46,'G-7 WaterC'' Data'!$AK$4:$AM$6,2,FALSE)))</f>
        <v/>
      </c>
      <c r="L46" s="287" t="str">
        <f>IF(J46="","",IF(VLOOKUP(J46,'G-7 WaterC'' Data'!$AK$4:$AM$9,3,FALSE)=0,"Spatial Data Missing ⚠",VLOOKUP(J46,'G-7 WaterC'' Data'!$AK$4:$AM$6,3,FALSE)))</f>
        <v/>
      </c>
      <c r="M46" s="52"/>
      <c r="N46" s="282" t="str">
        <f>IF(M46="","",IF(AND(D46&lt;&gt;"Culvert",M46="N/A - Culvert"),"Not possible ▲",IF(AND(D46="Culvert",M46&lt;&gt;"N/A - Culvert"),"Not possible ▲",IF(VLOOKUP(M46,'G-7 WaterC'' Data'!$AA$4:$AB$7,2,FALSE)=0,"Spatial Data Missing ⚠",VLOOKUP(M46,'G-7 WaterC'' Data'!$AA$4:$AB$7,2,FALSE)))))</f>
        <v/>
      </c>
      <c r="O46" s="56"/>
      <c r="P46" s="282" t="str">
        <f>IF(O46="","",IF(AND(O46="N/A - Culvert", D46&lt;&gt;"Culvert"),"Not possible ▲", IF(AND(D46="Culvert",O46&lt;&gt;"N/A - Culvert"),"Not possible ▲",IF(VLOOKUP(O46,'G-7 WaterC'' Data'!$AD$4:$AE$14,2,FALSE)=0,"Spatial Data Missing ⚠",VLOOKUP(O46,'G-7 WaterC'' Data'!$AD$4:$AE$14,2,FALSE)))))</f>
        <v/>
      </c>
      <c r="Q46" s="288" t="str">
        <f>IF(D46="","",VLOOKUP(D46,'G-7 WaterC'' Data'!$B$2:$G$8,6,FALSE))</f>
        <v/>
      </c>
      <c r="R46" s="295" t="str">
        <f t="shared" si="1"/>
        <v xml:space="preserve"> </v>
      </c>
      <c r="S46" s="820" t="str">
        <f t="shared" si="2"/>
        <v/>
      </c>
      <c r="T46" s="32"/>
      <c r="U46" s="105"/>
      <c r="V46" s="112"/>
      <c r="W46" s="293" t="str">
        <f t="shared" si="3"/>
        <v/>
      </c>
      <c r="X46" s="293" t="str">
        <f t="shared" si="4"/>
        <v/>
      </c>
      <c r="Y46" s="293" t="str">
        <f t="shared" si="5"/>
        <v/>
      </c>
      <c r="Z46" s="323" t="str">
        <f>IFERROR(IF(OR(E46="",R46=""),"",  IF(AND(Q46='G-7 WaterC'' Data'!$G$4,AA46="Yes"),"Alternative Compensation ✓", IF(AND(AA46="Pending", Q46='G-7 WaterC'' Data'!$G$4),"Bespoke compensation must be agreed ▲", IF((W46+X46)&gt;=R46, 0, R46-W46-X46)))),"Check Data ⚠")</f>
        <v/>
      </c>
      <c r="AA46" s="817"/>
      <c r="AB46" s="140"/>
      <c r="AC46" s="108"/>
      <c r="AD46" s="108"/>
      <c r="AE46" s="54" t="str">
        <f>IF(OR(Q46="",AA46="Yes"),"",IF(Q46='G-1 All Habitats'!$X$9,E46-U46-V46,"None"))</f>
        <v/>
      </c>
      <c r="AF46" s="55" t="str">
        <f>IF(Q46="","", IF(Q46='G-1 All Habitats'!$X$9, AE46*G46*I46*L46*N46*P46,"None"))</f>
        <v/>
      </c>
      <c r="AI46" s="30">
        <f t="shared" si="9"/>
        <v>0</v>
      </c>
      <c r="AJ46" s="111" t="str">
        <f t="shared" si="6"/>
        <v/>
      </c>
      <c r="AK46" s="111" t="str">
        <f t="shared" si="7"/>
        <v/>
      </c>
      <c r="AM46" s="111">
        <v>37</v>
      </c>
      <c r="AO46" s="111" t="str">
        <f t="array" ref="AO46">IFERROR(INDEX($AM$10:$AM$258, MATCH(0, IF(TRUE=$AJ$10:$AJ$258, COUNTIF($AO$9:$AO45, $AM$10:$AM$258), ""), 0)),"")</f>
        <v/>
      </c>
      <c r="AP46" s="111" t="str">
        <f t="array" ref="AP46">IFERROR(INDEX($AM$10:$AM$258, MATCH(0, IF(TRUE=$AK$10:$AK$258, COUNTIF($AP$9:$AP45, $AM$10:$AM$258), ""), 0)),"")</f>
        <v/>
      </c>
      <c r="AR46" s="30" t="str">
        <f>IFERROR(INDEX('G-7 WaterC'' Data'!$AZ$3:$AZ$7,MATCH(D46,'G-7 WaterC'' Data'!$AY$3:$AY$7,0)),"")</f>
        <v/>
      </c>
      <c r="AS46" s="30" t="str">
        <f>IFERROR(INDEX('G-7 WaterC'' Data'!AZ46:AZ50,MATCH(D46,'G-7 WaterC'' Data'!$AY$10:$AY$14,0)),"")</f>
        <v/>
      </c>
      <c r="AT46" s="903" t="str">
        <f>IF(AND(OR(AA46="Yes",AA46="Pending"),Q46='G-7 WaterC'' Data'!$G$4),R46-W46-X46,"")</f>
        <v/>
      </c>
      <c r="AU46" s="30" t="str">
        <f>IF(D46="","",VLOOKUP(D46,'G-7 WaterC'' Data'!B$4:M$8,12,FALSE))</f>
        <v/>
      </c>
      <c r="AV46" s="30" t="str">
        <f t="shared" si="0"/>
        <v/>
      </c>
      <c r="AX46" s="30" t="str">
        <f t="shared" si="8"/>
        <v>No</v>
      </c>
    </row>
    <row r="47" spans="3:50" x14ac:dyDescent="0.25">
      <c r="C47" s="101">
        <v>38</v>
      </c>
      <c r="D47" s="267"/>
      <c r="E47" s="119"/>
      <c r="F47" s="281" t="str">
        <f>IF(D47="","",VLOOKUP(D47,'G-7 WaterC'' Data'!$B$2:$G$8,2,FALSE))</f>
        <v/>
      </c>
      <c r="G47" s="282" t="str">
        <f>IFERROR(VLOOKUP(F47,'G-7 WaterC'' Data'!$C$4:$D$8,2,FALSE),"")</f>
        <v/>
      </c>
      <c r="H47" s="52"/>
      <c r="I47" s="282" t="str">
        <f>IFERROR(INDEX('G-7 WaterC'' Data'!$H$4:$L$8,MATCH(D47,'G-7 WaterC'' Data'!$B$4:$B$8,0),MATCH(H47,'G-7 WaterC'' Data'!$H$3:$L$3,0)),"")</f>
        <v/>
      </c>
      <c r="J47" s="793"/>
      <c r="K47" s="317" t="str">
        <f>IF(J47="","",IF(VLOOKUP(J47,'G-7 WaterC'' Data'!$AK$4:$AM$6,2,FALSE)=0,"Spatial Data Missing ⚠",VLOOKUP(J47,'G-7 WaterC'' Data'!$AK$4:$AM$6,2,FALSE)))</f>
        <v/>
      </c>
      <c r="L47" s="287" t="str">
        <f>IF(J47="","",IF(VLOOKUP(J47,'G-7 WaterC'' Data'!$AK$4:$AM$9,3,FALSE)=0,"Spatial Data Missing ⚠",VLOOKUP(J47,'G-7 WaterC'' Data'!$AK$4:$AM$6,3,FALSE)))</f>
        <v/>
      </c>
      <c r="M47" s="52"/>
      <c r="N47" s="282" t="str">
        <f>IF(M47="","",IF(AND(D47&lt;&gt;"Culvert",M47="N/A - Culvert"),"Not possible ▲",IF(AND(D47="Culvert",M47&lt;&gt;"N/A - Culvert"),"Not possible ▲",IF(VLOOKUP(M47,'G-7 WaterC'' Data'!$AA$4:$AB$7,2,FALSE)=0,"Spatial Data Missing ⚠",VLOOKUP(M47,'G-7 WaterC'' Data'!$AA$4:$AB$7,2,FALSE)))))</f>
        <v/>
      </c>
      <c r="O47" s="56"/>
      <c r="P47" s="282" t="str">
        <f>IF(O47="","",IF(AND(O47="N/A - Culvert", D47&lt;&gt;"Culvert"),"Not possible ▲", IF(AND(D47="Culvert",O47&lt;&gt;"N/A - Culvert"),"Not possible ▲",IF(VLOOKUP(O47,'G-7 WaterC'' Data'!$AD$4:$AE$14,2,FALSE)=0,"Spatial Data Missing ⚠",VLOOKUP(O47,'G-7 WaterC'' Data'!$AD$4:$AE$14,2,FALSE)))))</f>
        <v/>
      </c>
      <c r="Q47" s="288" t="str">
        <f>IF(D47="","",VLOOKUP(D47,'G-7 WaterC'' Data'!$B$2:$G$8,6,FALSE))</f>
        <v/>
      </c>
      <c r="R47" s="295" t="str">
        <f t="shared" si="1"/>
        <v xml:space="preserve"> </v>
      </c>
      <c r="S47" s="820" t="str">
        <f t="shared" si="2"/>
        <v/>
      </c>
      <c r="T47" s="32"/>
      <c r="U47" s="105"/>
      <c r="V47" s="112"/>
      <c r="W47" s="293" t="str">
        <f t="shared" si="3"/>
        <v/>
      </c>
      <c r="X47" s="293" t="str">
        <f t="shared" si="4"/>
        <v/>
      </c>
      <c r="Y47" s="293" t="str">
        <f t="shared" si="5"/>
        <v/>
      </c>
      <c r="Z47" s="323" t="str">
        <f>IFERROR(IF(OR(E47="",R47=""),"",  IF(AND(Q47='G-7 WaterC'' Data'!$G$4,AA47="Yes"),"Alternative Compensation ✓", IF(AND(AA47="Pending", Q47='G-7 WaterC'' Data'!$G$4),"Bespoke compensation must be agreed ▲", IF((W47+X47)&gt;=R47, 0, R47-W47-X47)))),"Check Data ⚠")</f>
        <v/>
      </c>
      <c r="AA47" s="817"/>
      <c r="AB47" s="140"/>
      <c r="AC47" s="108"/>
      <c r="AD47" s="108"/>
      <c r="AE47" s="54" t="str">
        <f>IF(OR(Q47="",AA47="Yes"),"",IF(Q47='G-1 All Habitats'!$X$9,E47-U47-V47,"None"))</f>
        <v/>
      </c>
      <c r="AF47" s="55" t="str">
        <f>IF(Q47="","", IF(Q47='G-1 All Habitats'!$X$9, AE47*G47*I47*L47*N47*P47,"None"))</f>
        <v/>
      </c>
      <c r="AI47" s="30">
        <f t="shared" si="9"/>
        <v>0</v>
      </c>
      <c r="AJ47" s="111" t="str">
        <f t="shared" si="6"/>
        <v/>
      </c>
      <c r="AK47" s="111" t="str">
        <f t="shared" si="7"/>
        <v/>
      </c>
      <c r="AM47" s="111">
        <v>38</v>
      </c>
      <c r="AO47" s="111" t="str">
        <f t="array" ref="AO47">IFERROR(INDEX($AM$10:$AM$258, MATCH(0, IF(TRUE=$AJ$10:$AJ$258, COUNTIF($AO$9:$AO46, $AM$10:$AM$258), ""), 0)),"")</f>
        <v/>
      </c>
      <c r="AP47" s="111" t="str">
        <f t="array" ref="AP47">IFERROR(INDEX($AM$10:$AM$258, MATCH(0, IF(TRUE=$AK$10:$AK$258, COUNTIF($AP$9:$AP46, $AM$10:$AM$258), ""), 0)),"")</f>
        <v/>
      </c>
      <c r="AR47" s="30" t="str">
        <f>IFERROR(INDEX('G-7 WaterC'' Data'!$AZ$3:$AZ$7,MATCH(D47,'G-7 WaterC'' Data'!$AY$3:$AY$7,0)),"")</f>
        <v/>
      </c>
      <c r="AS47" s="30" t="str">
        <f>IFERROR(INDEX('G-7 WaterC'' Data'!AZ47:AZ51,MATCH(D47,'G-7 WaterC'' Data'!$AY$10:$AY$14,0)),"")</f>
        <v/>
      </c>
      <c r="AT47" s="903" t="str">
        <f>IF(AND(OR(AA47="Yes",AA47="Pending"),Q47='G-7 WaterC'' Data'!$G$4),R47-W47-X47,"")</f>
        <v/>
      </c>
      <c r="AU47" s="30" t="str">
        <f>IF(D47="","",VLOOKUP(D47,'G-7 WaterC'' Data'!B$4:M$8,12,FALSE))</f>
        <v/>
      </c>
      <c r="AV47" s="30" t="str">
        <f t="shared" si="0"/>
        <v/>
      </c>
      <c r="AX47" s="30" t="str">
        <f t="shared" si="8"/>
        <v>No</v>
      </c>
    </row>
    <row r="48" spans="3:50" x14ac:dyDescent="0.25">
      <c r="C48" s="101">
        <v>39</v>
      </c>
      <c r="D48" s="267"/>
      <c r="E48" s="119"/>
      <c r="F48" s="281" t="str">
        <f>IF(D48="","",VLOOKUP(D48,'G-7 WaterC'' Data'!$B$2:$G$8,2,FALSE))</f>
        <v/>
      </c>
      <c r="G48" s="282" t="str">
        <f>IFERROR(VLOOKUP(F48,'G-7 WaterC'' Data'!$C$4:$D$8,2,FALSE),"")</f>
        <v/>
      </c>
      <c r="H48" s="52"/>
      <c r="I48" s="282" t="str">
        <f>IFERROR(INDEX('G-7 WaterC'' Data'!$H$4:$L$8,MATCH(D48,'G-7 WaterC'' Data'!$B$4:$B$8,0),MATCH(H48,'G-7 WaterC'' Data'!$H$3:$L$3,0)),"")</f>
        <v/>
      </c>
      <c r="J48" s="793"/>
      <c r="K48" s="317" t="str">
        <f>IF(J48="","",IF(VLOOKUP(J48,'G-7 WaterC'' Data'!$AK$4:$AM$6,2,FALSE)=0,"Spatial Data Missing ⚠",VLOOKUP(J48,'G-7 WaterC'' Data'!$AK$4:$AM$6,2,FALSE)))</f>
        <v/>
      </c>
      <c r="L48" s="287" t="str">
        <f>IF(J48="","",IF(VLOOKUP(J48,'G-7 WaterC'' Data'!$AK$4:$AM$9,3,FALSE)=0,"Spatial Data Missing ⚠",VLOOKUP(J48,'G-7 WaterC'' Data'!$AK$4:$AM$6,3,FALSE)))</f>
        <v/>
      </c>
      <c r="M48" s="52"/>
      <c r="N48" s="282" t="str">
        <f>IF(M48="","",IF(AND(D48&lt;&gt;"Culvert",M48="N/A - Culvert"),"Not possible ▲",IF(AND(D48="Culvert",M48&lt;&gt;"N/A - Culvert"),"Not possible ▲",IF(VLOOKUP(M48,'G-7 WaterC'' Data'!$AA$4:$AB$7,2,FALSE)=0,"Spatial Data Missing ⚠",VLOOKUP(M48,'G-7 WaterC'' Data'!$AA$4:$AB$7,2,FALSE)))))</f>
        <v/>
      </c>
      <c r="O48" s="56"/>
      <c r="P48" s="282" t="str">
        <f>IF(O48="","",IF(AND(O48="N/A - Culvert", D48&lt;&gt;"Culvert"),"Not possible ▲", IF(AND(D48="Culvert",O48&lt;&gt;"N/A - Culvert"),"Not possible ▲",IF(VLOOKUP(O48,'G-7 WaterC'' Data'!$AD$4:$AE$14,2,FALSE)=0,"Spatial Data Missing ⚠",VLOOKUP(O48,'G-7 WaterC'' Data'!$AD$4:$AE$14,2,FALSE)))))</f>
        <v/>
      </c>
      <c r="Q48" s="288" t="str">
        <f>IF(D48="","",VLOOKUP(D48,'G-7 WaterC'' Data'!$B$2:$G$8,6,FALSE))</f>
        <v/>
      </c>
      <c r="R48" s="295" t="str">
        <f t="shared" si="1"/>
        <v xml:space="preserve"> </v>
      </c>
      <c r="S48" s="820" t="str">
        <f t="shared" si="2"/>
        <v/>
      </c>
      <c r="T48" s="32"/>
      <c r="U48" s="105"/>
      <c r="V48" s="112"/>
      <c r="W48" s="293" t="str">
        <f t="shared" si="3"/>
        <v/>
      </c>
      <c r="X48" s="293" t="str">
        <f t="shared" si="4"/>
        <v/>
      </c>
      <c r="Y48" s="293" t="str">
        <f t="shared" si="5"/>
        <v/>
      </c>
      <c r="Z48" s="323" t="str">
        <f>IFERROR(IF(OR(E48="",R48=""),"",  IF(AND(Q48='G-7 WaterC'' Data'!$G$4,AA48="Yes"),"Alternative Compensation ✓", IF(AND(AA48="Pending", Q48='G-7 WaterC'' Data'!$G$4),"Bespoke compensation must be agreed ▲", IF((W48+X48)&gt;=R48, 0, R48-W48-X48)))),"Check Data ⚠")</f>
        <v/>
      </c>
      <c r="AA48" s="817"/>
      <c r="AB48" s="140"/>
      <c r="AC48" s="108"/>
      <c r="AD48" s="108"/>
      <c r="AE48" s="54" t="str">
        <f>IF(OR(Q48="",AA48="Yes"),"",IF(Q48='G-1 All Habitats'!$X$9,E48-U48-V48,"None"))</f>
        <v/>
      </c>
      <c r="AF48" s="55" t="str">
        <f>IF(Q48="","", IF(Q48='G-1 All Habitats'!$X$9, AE48*G48*I48*L48*N48*P48,"None"))</f>
        <v/>
      </c>
      <c r="AI48" s="30">
        <f t="shared" si="9"/>
        <v>0</v>
      </c>
      <c r="AJ48" s="111" t="str">
        <f t="shared" si="6"/>
        <v/>
      </c>
      <c r="AK48" s="111" t="str">
        <f t="shared" si="7"/>
        <v/>
      </c>
      <c r="AM48" s="111">
        <v>39</v>
      </c>
      <c r="AO48" s="111" t="str">
        <f t="array" ref="AO48">IFERROR(INDEX($AM$10:$AM$258, MATCH(0, IF(TRUE=$AJ$10:$AJ$258, COUNTIF($AO$9:$AO47, $AM$10:$AM$258), ""), 0)),"")</f>
        <v/>
      </c>
      <c r="AP48" s="111" t="str">
        <f t="array" ref="AP48">IFERROR(INDEX($AM$10:$AM$258, MATCH(0, IF(TRUE=$AK$10:$AK$258, COUNTIF($AP$9:$AP47, $AM$10:$AM$258), ""), 0)),"")</f>
        <v/>
      </c>
      <c r="AR48" s="30" t="str">
        <f>IFERROR(INDEX('G-7 WaterC'' Data'!$AZ$3:$AZ$7,MATCH(D48,'G-7 WaterC'' Data'!$AY$3:$AY$7,0)),"")</f>
        <v/>
      </c>
      <c r="AS48" s="30" t="str">
        <f>IFERROR(INDEX('G-7 WaterC'' Data'!AZ48:AZ52,MATCH(D48,'G-7 WaterC'' Data'!$AY$10:$AY$14,0)),"")</f>
        <v/>
      </c>
      <c r="AT48" s="903" t="str">
        <f>IF(AND(OR(AA48="Yes",AA48="Pending"),Q48='G-7 WaterC'' Data'!$G$4),R48-W48-X48,"")</f>
        <v/>
      </c>
      <c r="AU48" s="30" t="str">
        <f>IF(D48="","",VLOOKUP(D48,'G-7 WaterC'' Data'!B$4:M$8,12,FALSE))</f>
        <v/>
      </c>
      <c r="AV48" s="30" t="str">
        <f t="shared" si="0"/>
        <v/>
      </c>
      <c r="AX48" s="30" t="str">
        <f t="shared" si="8"/>
        <v>No</v>
      </c>
    </row>
    <row r="49" spans="3:50" x14ac:dyDescent="0.25">
      <c r="C49" s="101">
        <v>40</v>
      </c>
      <c r="D49" s="267"/>
      <c r="E49" s="119"/>
      <c r="F49" s="281" t="str">
        <f>IF(D49="","",VLOOKUP(D49,'G-7 WaterC'' Data'!$B$2:$G$8,2,FALSE))</f>
        <v/>
      </c>
      <c r="G49" s="282" t="str">
        <f>IFERROR(VLOOKUP(F49,'G-7 WaterC'' Data'!$C$4:$D$8,2,FALSE),"")</f>
        <v/>
      </c>
      <c r="H49" s="52"/>
      <c r="I49" s="282" t="str">
        <f>IFERROR(INDEX('G-7 WaterC'' Data'!$H$4:$L$8,MATCH(D49,'G-7 WaterC'' Data'!$B$4:$B$8,0),MATCH(H49,'G-7 WaterC'' Data'!$H$3:$L$3,0)),"")</f>
        <v/>
      </c>
      <c r="J49" s="793"/>
      <c r="K49" s="317" t="str">
        <f>IF(J49="","",IF(VLOOKUP(J49,'G-7 WaterC'' Data'!$AK$4:$AM$6,2,FALSE)=0,"Spatial Data Missing ⚠",VLOOKUP(J49,'G-7 WaterC'' Data'!$AK$4:$AM$6,2,FALSE)))</f>
        <v/>
      </c>
      <c r="L49" s="287" t="str">
        <f>IF(J49="","",IF(VLOOKUP(J49,'G-7 WaterC'' Data'!$AK$4:$AM$9,3,FALSE)=0,"Spatial Data Missing ⚠",VLOOKUP(J49,'G-7 WaterC'' Data'!$AK$4:$AM$6,3,FALSE)))</f>
        <v/>
      </c>
      <c r="M49" s="52"/>
      <c r="N49" s="282" t="str">
        <f>IF(M49="","",IF(AND(D49&lt;&gt;"Culvert",M49="N/A - Culvert"),"Not possible ▲",IF(AND(D49="Culvert",M49&lt;&gt;"N/A - Culvert"),"Not possible ▲",IF(VLOOKUP(M49,'G-7 WaterC'' Data'!$AA$4:$AB$7,2,FALSE)=0,"Spatial Data Missing ⚠",VLOOKUP(M49,'G-7 WaterC'' Data'!$AA$4:$AB$7,2,FALSE)))))</f>
        <v/>
      </c>
      <c r="O49" s="56"/>
      <c r="P49" s="282" t="str">
        <f>IF(O49="","",IF(AND(O49="N/A - Culvert", D49&lt;&gt;"Culvert"),"Not possible ▲", IF(AND(D49="Culvert",O49&lt;&gt;"N/A - Culvert"),"Not possible ▲",IF(VLOOKUP(O49,'G-7 WaterC'' Data'!$AD$4:$AE$14,2,FALSE)=0,"Spatial Data Missing ⚠",VLOOKUP(O49,'G-7 WaterC'' Data'!$AD$4:$AE$14,2,FALSE)))))</f>
        <v/>
      </c>
      <c r="Q49" s="288" t="str">
        <f>IF(D49="","",VLOOKUP(D49,'G-7 WaterC'' Data'!$B$2:$G$8,6,FALSE))</f>
        <v/>
      </c>
      <c r="R49" s="295" t="str">
        <f t="shared" si="1"/>
        <v xml:space="preserve"> </v>
      </c>
      <c r="S49" s="820" t="str">
        <f t="shared" si="2"/>
        <v/>
      </c>
      <c r="T49" s="32"/>
      <c r="U49" s="105"/>
      <c r="V49" s="112"/>
      <c r="W49" s="293" t="str">
        <f t="shared" si="3"/>
        <v/>
      </c>
      <c r="X49" s="293" t="str">
        <f t="shared" si="4"/>
        <v/>
      </c>
      <c r="Y49" s="293" t="str">
        <f t="shared" si="5"/>
        <v/>
      </c>
      <c r="Z49" s="323" t="str">
        <f>IFERROR(IF(OR(E49="",R49=""),"",  IF(AND(Q49='G-7 WaterC'' Data'!$G$4,AA49="Yes"),"Alternative Compensation ✓", IF(AND(AA49="Pending", Q49='G-7 WaterC'' Data'!$G$4),"Bespoke compensation must be agreed ▲", IF((W49+X49)&gt;=R49, 0, R49-W49-X49)))),"Check Data ⚠")</f>
        <v/>
      </c>
      <c r="AA49" s="817"/>
      <c r="AB49" s="140"/>
      <c r="AC49" s="108"/>
      <c r="AD49" s="108"/>
      <c r="AE49" s="54" t="str">
        <f>IF(OR(Q49="",AA49="Yes"),"",IF(Q49='G-1 All Habitats'!$X$9,E49-U49-V49,"None"))</f>
        <v/>
      </c>
      <c r="AF49" s="55" t="str">
        <f>IF(Q49="","", IF(Q49='G-1 All Habitats'!$X$9, AE49*G49*I49*L49*N49*P49,"None"))</f>
        <v/>
      </c>
      <c r="AI49" s="30">
        <f t="shared" si="9"/>
        <v>0</v>
      </c>
      <c r="AJ49" s="111" t="str">
        <f t="shared" si="6"/>
        <v/>
      </c>
      <c r="AK49" s="111" t="str">
        <f t="shared" si="7"/>
        <v/>
      </c>
      <c r="AM49" s="111">
        <v>40</v>
      </c>
      <c r="AO49" s="111" t="str">
        <f t="array" ref="AO49">IFERROR(INDEX($AM$10:$AM$258, MATCH(0, IF(TRUE=$AJ$10:$AJ$258, COUNTIF($AO$9:$AO48, $AM$10:$AM$258), ""), 0)),"")</f>
        <v/>
      </c>
      <c r="AP49" s="111" t="str">
        <f t="array" ref="AP49">IFERROR(INDEX($AM$10:$AM$258, MATCH(0, IF(TRUE=$AK$10:$AK$258, COUNTIF($AP$9:$AP48, $AM$10:$AM$258), ""), 0)),"")</f>
        <v/>
      </c>
      <c r="AR49" s="30" t="str">
        <f>IFERROR(INDEX('G-7 WaterC'' Data'!$AZ$3:$AZ$7,MATCH(D49,'G-7 WaterC'' Data'!$AY$3:$AY$7,0)),"")</f>
        <v/>
      </c>
      <c r="AS49" s="30" t="str">
        <f>IFERROR(INDEX('G-7 WaterC'' Data'!AZ49:AZ53,MATCH(D49,'G-7 WaterC'' Data'!$AY$10:$AY$14,0)),"")</f>
        <v/>
      </c>
      <c r="AT49" s="903" t="str">
        <f>IF(AND(OR(AA49="Yes",AA49="Pending"),Q49='G-7 WaterC'' Data'!$G$4),R49-W49-X49,"")</f>
        <v/>
      </c>
      <c r="AU49" s="30" t="str">
        <f>IF(D49="","",VLOOKUP(D49,'G-7 WaterC'' Data'!B$4:M$8,12,FALSE))</f>
        <v/>
      </c>
      <c r="AV49" s="30" t="str">
        <f t="shared" si="0"/>
        <v/>
      </c>
      <c r="AX49" s="30" t="str">
        <f t="shared" si="8"/>
        <v>No</v>
      </c>
    </row>
    <row r="50" spans="3:50" x14ac:dyDescent="0.25">
      <c r="C50" s="101">
        <v>41</v>
      </c>
      <c r="D50" s="267"/>
      <c r="E50" s="119"/>
      <c r="F50" s="281" t="str">
        <f>IF(D50="","",VLOOKUP(D50,'G-7 WaterC'' Data'!$B$2:$G$8,2,FALSE))</f>
        <v/>
      </c>
      <c r="G50" s="282" t="str">
        <f>IFERROR(VLOOKUP(F50,'G-7 WaterC'' Data'!$C$4:$D$8,2,FALSE),"")</f>
        <v/>
      </c>
      <c r="H50" s="52"/>
      <c r="I50" s="282" t="str">
        <f>IFERROR(INDEX('G-7 WaterC'' Data'!$H$4:$L$8,MATCH(D50,'G-7 WaterC'' Data'!$B$4:$B$8,0),MATCH(H50,'G-7 WaterC'' Data'!$H$3:$L$3,0)),"")</f>
        <v/>
      </c>
      <c r="J50" s="793"/>
      <c r="K50" s="317" t="str">
        <f>IF(J50="","",IF(VLOOKUP(J50,'G-7 WaterC'' Data'!$AK$4:$AM$6,2,FALSE)=0,"Spatial Data Missing ⚠",VLOOKUP(J50,'G-7 WaterC'' Data'!$AK$4:$AM$6,2,FALSE)))</f>
        <v/>
      </c>
      <c r="L50" s="287" t="str">
        <f>IF(J50="","",IF(VLOOKUP(J50,'G-7 WaterC'' Data'!$AK$4:$AM$9,3,FALSE)=0,"Spatial Data Missing ⚠",VLOOKUP(J50,'G-7 WaterC'' Data'!$AK$4:$AM$6,3,FALSE)))</f>
        <v/>
      </c>
      <c r="M50" s="52"/>
      <c r="N50" s="282" t="str">
        <f>IF(M50="","",IF(AND(D50&lt;&gt;"Culvert",M50="N/A - Culvert"),"Not possible ▲",IF(AND(D50="Culvert",M50&lt;&gt;"N/A - Culvert"),"Not possible ▲",IF(VLOOKUP(M50,'G-7 WaterC'' Data'!$AA$4:$AB$7,2,FALSE)=0,"Spatial Data Missing ⚠",VLOOKUP(M50,'G-7 WaterC'' Data'!$AA$4:$AB$7,2,FALSE)))))</f>
        <v/>
      </c>
      <c r="O50" s="56"/>
      <c r="P50" s="282" t="str">
        <f>IF(O50="","",IF(AND(O50="N/A - Culvert", D50&lt;&gt;"Culvert"),"Not possible ▲", IF(AND(D50="Culvert",O50&lt;&gt;"N/A - Culvert"),"Not possible ▲",IF(VLOOKUP(O50,'G-7 WaterC'' Data'!$AD$4:$AE$14,2,FALSE)=0,"Spatial Data Missing ⚠",VLOOKUP(O50,'G-7 WaterC'' Data'!$AD$4:$AE$14,2,FALSE)))))</f>
        <v/>
      </c>
      <c r="Q50" s="288" t="str">
        <f>IF(D50="","",VLOOKUP(D50,'G-7 WaterC'' Data'!$B$2:$G$8,6,FALSE))</f>
        <v/>
      </c>
      <c r="R50" s="295" t="str">
        <f t="shared" si="1"/>
        <v xml:space="preserve"> </v>
      </c>
      <c r="S50" s="820" t="str">
        <f t="shared" si="2"/>
        <v/>
      </c>
      <c r="T50" s="32"/>
      <c r="U50" s="105"/>
      <c r="V50" s="112"/>
      <c r="W50" s="293" t="str">
        <f t="shared" si="3"/>
        <v/>
      </c>
      <c r="X50" s="293" t="str">
        <f t="shared" si="4"/>
        <v/>
      </c>
      <c r="Y50" s="293" t="str">
        <f t="shared" si="5"/>
        <v/>
      </c>
      <c r="Z50" s="323" t="str">
        <f>IFERROR(IF(OR(E50="",R50=""),"",  IF(AND(Q50='G-7 WaterC'' Data'!$G$4,AA50="Yes"),"Alternative Compensation ✓", IF(AND(AA50="Pending", Q50='G-7 WaterC'' Data'!$G$4),"Bespoke compensation must be agreed ▲", IF((W50+X50)&gt;=R50, 0, R50-W50-X50)))),"Check Data ⚠")</f>
        <v/>
      </c>
      <c r="AA50" s="817"/>
      <c r="AB50" s="140"/>
      <c r="AC50" s="108"/>
      <c r="AD50" s="108"/>
      <c r="AE50" s="54" t="str">
        <f>IF(OR(Q50="",AA50="Yes"),"",IF(Q50='G-1 All Habitats'!$X$9,E50-U50-V50,"None"))</f>
        <v/>
      </c>
      <c r="AF50" s="55" t="str">
        <f>IF(Q50="","", IF(Q50='G-1 All Habitats'!$X$9, AE50*G50*I50*L50*N50*P50,"None"))</f>
        <v/>
      </c>
      <c r="AI50" s="30">
        <f t="shared" si="9"/>
        <v>0</v>
      </c>
      <c r="AJ50" s="111" t="str">
        <f t="shared" si="6"/>
        <v/>
      </c>
      <c r="AK50" s="111" t="str">
        <f t="shared" si="7"/>
        <v/>
      </c>
      <c r="AM50" s="111">
        <v>41</v>
      </c>
      <c r="AO50" s="111" t="str">
        <f t="array" ref="AO50">IFERROR(INDEX($AM$10:$AM$258, MATCH(0, IF(TRUE=$AJ$10:$AJ$258, COUNTIF($AO$9:$AO49, $AM$10:$AM$258), ""), 0)),"")</f>
        <v/>
      </c>
      <c r="AP50" s="111" t="str">
        <f t="array" ref="AP50">IFERROR(INDEX($AM$10:$AM$258, MATCH(0, IF(TRUE=$AK$10:$AK$258, COUNTIF($AP$9:$AP49, $AM$10:$AM$258), ""), 0)),"")</f>
        <v/>
      </c>
      <c r="AR50" s="30" t="str">
        <f>IFERROR(INDEX('G-7 WaterC'' Data'!$AZ$3:$AZ$7,MATCH(D50,'G-7 WaterC'' Data'!$AY$3:$AY$7,0)),"")</f>
        <v/>
      </c>
      <c r="AS50" s="30" t="str">
        <f>IFERROR(INDEX('G-7 WaterC'' Data'!AZ50:AZ54,MATCH(D50,'G-7 WaterC'' Data'!$AY$10:$AY$14,0)),"")</f>
        <v/>
      </c>
      <c r="AT50" s="903" t="str">
        <f>IF(AND(OR(AA50="Yes",AA50="Pending"),Q50='G-7 WaterC'' Data'!$G$4),R50-W50-X50,"")</f>
        <v/>
      </c>
      <c r="AU50" s="30" t="str">
        <f>IF(D50="","",VLOOKUP(D50,'G-7 WaterC'' Data'!B$4:M$8,12,FALSE))</f>
        <v/>
      </c>
      <c r="AV50" s="30" t="str">
        <f t="shared" si="0"/>
        <v/>
      </c>
      <c r="AX50" s="30" t="str">
        <f t="shared" si="8"/>
        <v>No</v>
      </c>
    </row>
    <row r="51" spans="3:50" x14ac:dyDescent="0.25">
      <c r="C51" s="101">
        <v>42</v>
      </c>
      <c r="D51" s="267"/>
      <c r="E51" s="119"/>
      <c r="F51" s="281" t="str">
        <f>IF(D51="","",VLOOKUP(D51,'G-7 WaterC'' Data'!$B$2:$G$8,2,FALSE))</f>
        <v/>
      </c>
      <c r="G51" s="282" t="str">
        <f>IFERROR(VLOOKUP(F51,'G-7 WaterC'' Data'!$C$4:$D$8,2,FALSE),"")</f>
        <v/>
      </c>
      <c r="H51" s="52"/>
      <c r="I51" s="282" t="str">
        <f>IFERROR(INDEX('G-7 WaterC'' Data'!$H$4:$L$8,MATCH(D51,'G-7 WaterC'' Data'!$B$4:$B$8,0),MATCH(H51,'G-7 WaterC'' Data'!$H$3:$L$3,0)),"")</f>
        <v/>
      </c>
      <c r="J51" s="793"/>
      <c r="K51" s="317" t="str">
        <f>IF(J51="","",IF(VLOOKUP(J51,'G-7 WaterC'' Data'!$AK$4:$AM$6,2,FALSE)=0,"Spatial Data Missing ⚠",VLOOKUP(J51,'G-7 WaterC'' Data'!$AK$4:$AM$6,2,FALSE)))</f>
        <v/>
      </c>
      <c r="L51" s="287" t="str">
        <f>IF(J51="","",IF(VLOOKUP(J51,'G-7 WaterC'' Data'!$AK$4:$AM$9,3,FALSE)=0,"Spatial Data Missing ⚠",VLOOKUP(J51,'G-7 WaterC'' Data'!$AK$4:$AM$6,3,FALSE)))</f>
        <v/>
      </c>
      <c r="M51" s="52"/>
      <c r="N51" s="282" t="str">
        <f>IF(M51="","",IF(AND(D51&lt;&gt;"Culvert",M51="N/A - Culvert"),"Not possible ▲",IF(AND(D51="Culvert",M51&lt;&gt;"N/A - Culvert"),"Not possible ▲",IF(VLOOKUP(M51,'G-7 WaterC'' Data'!$AA$4:$AB$7,2,FALSE)=0,"Spatial Data Missing ⚠",VLOOKUP(M51,'G-7 WaterC'' Data'!$AA$4:$AB$7,2,FALSE)))))</f>
        <v/>
      </c>
      <c r="O51" s="56"/>
      <c r="P51" s="282" t="str">
        <f>IF(O51="","",IF(AND(O51="N/A - Culvert", D51&lt;&gt;"Culvert"),"Not possible ▲", IF(AND(D51="Culvert",O51&lt;&gt;"N/A - Culvert"),"Not possible ▲",IF(VLOOKUP(O51,'G-7 WaterC'' Data'!$AD$4:$AE$14,2,FALSE)=0,"Spatial Data Missing ⚠",VLOOKUP(O51,'G-7 WaterC'' Data'!$AD$4:$AE$14,2,FALSE)))))</f>
        <v/>
      </c>
      <c r="Q51" s="288" t="str">
        <f>IF(D51="","",VLOOKUP(D51,'G-7 WaterC'' Data'!$B$2:$G$8,6,FALSE))</f>
        <v/>
      </c>
      <c r="R51" s="295" t="str">
        <f t="shared" si="1"/>
        <v xml:space="preserve"> </v>
      </c>
      <c r="S51" s="820" t="str">
        <f t="shared" si="2"/>
        <v/>
      </c>
      <c r="T51" s="32"/>
      <c r="U51" s="105"/>
      <c r="V51" s="112"/>
      <c r="W51" s="293" t="str">
        <f t="shared" si="3"/>
        <v/>
      </c>
      <c r="X51" s="293" t="str">
        <f t="shared" si="4"/>
        <v/>
      </c>
      <c r="Y51" s="293" t="str">
        <f t="shared" si="5"/>
        <v/>
      </c>
      <c r="Z51" s="323" t="str">
        <f>IFERROR(IF(OR(E51="",R51=""),"",  IF(AND(Q51='G-7 WaterC'' Data'!$G$4,AA51="Yes"),"Alternative Compensation ✓", IF(AND(AA51="Pending", Q51='G-7 WaterC'' Data'!$G$4),"Bespoke compensation must be agreed ▲", IF((W51+X51)&gt;=R51, 0, R51-W51-X51)))),"Check Data ⚠")</f>
        <v/>
      </c>
      <c r="AA51" s="817"/>
      <c r="AB51" s="140"/>
      <c r="AC51" s="108"/>
      <c r="AD51" s="108"/>
      <c r="AE51" s="54" t="str">
        <f>IF(OR(Q51="",AA51="Yes"),"",IF(Q51='G-1 All Habitats'!$X$9,E51-U51-V51,"None"))</f>
        <v/>
      </c>
      <c r="AF51" s="55" t="str">
        <f>IF(Q51="","", IF(Q51='G-1 All Habitats'!$X$9, AE51*G51*I51*L51*N51*P51,"None"))</f>
        <v/>
      </c>
      <c r="AI51" s="30">
        <f t="shared" si="9"/>
        <v>0</v>
      </c>
      <c r="AJ51" s="111" t="str">
        <f t="shared" si="6"/>
        <v/>
      </c>
      <c r="AK51" s="111" t="str">
        <f t="shared" si="7"/>
        <v/>
      </c>
      <c r="AM51" s="111">
        <v>42</v>
      </c>
      <c r="AO51" s="111" t="str">
        <f t="array" ref="AO51">IFERROR(INDEX($AM$10:$AM$258, MATCH(0, IF(TRUE=$AJ$10:$AJ$258, COUNTIF($AO$9:$AO50, $AM$10:$AM$258), ""), 0)),"")</f>
        <v/>
      </c>
      <c r="AP51" s="111" t="str">
        <f t="array" ref="AP51">IFERROR(INDEX($AM$10:$AM$258, MATCH(0, IF(TRUE=$AK$10:$AK$258, COUNTIF($AP$9:$AP50, $AM$10:$AM$258), ""), 0)),"")</f>
        <v/>
      </c>
      <c r="AR51" s="30" t="str">
        <f>IFERROR(INDEX('G-7 WaterC'' Data'!$AZ$3:$AZ$7,MATCH(D51,'G-7 WaterC'' Data'!$AY$3:$AY$7,0)),"")</f>
        <v/>
      </c>
      <c r="AS51" s="30" t="str">
        <f>IFERROR(INDEX('G-7 WaterC'' Data'!AZ51:AZ55,MATCH(D51,'G-7 WaterC'' Data'!$AY$10:$AY$14,0)),"")</f>
        <v/>
      </c>
      <c r="AT51" s="903" t="str">
        <f>IF(AND(OR(AA51="Yes",AA51="Pending"),Q51='G-7 WaterC'' Data'!$G$4),R51-W51-X51,"")</f>
        <v/>
      </c>
      <c r="AU51" s="30" t="str">
        <f>IF(D51="","",VLOOKUP(D51,'G-7 WaterC'' Data'!B$4:M$8,12,FALSE))</f>
        <v/>
      </c>
      <c r="AV51" s="30" t="str">
        <f t="shared" si="0"/>
        <v/>
      </c>
      <c r="AX51" s="30" t="str">
        <f t="shared" si="8"/>
        <v>No</v>
      </c>
    </row>
    <row r="52" spans="3:50" x14ac:dyDescent="0.25">
      <c r="C52" s="101">
        <v>43</v>
      </c>
      <c r="D52" s="267"/>
      <c r="E52" s="119"/>
      <c r="F52" s="281" t="str">
        <f>IF(D52="","",VLOOKUP(D52,'G-7 WaterC'' Data'!$B$2:$G$8,2,FALSE))</f>
        <v/>
      </c>
      <c r="G52" s="282" t="str">
        <f>IFERROR(VLOOKUP(F52,'G-7 WaterC'' Data'!$C$4:$D$8,2,FALSE),"")</f>
        <v/>
      </c>
      <c r="H52" s="52"/>
      <c r="I52" s="282" t="str">
        <f>IFERROR(INDEX('G-7 WaterC'' Data'!$H$4:$L$8,MATCH(D52,'G-7 WaterC'' Data'!$B$4:$B$8,0),MATCH(H52,'G-7 WaterC'' Data'!$H$3:$L$3,0)),"")</f>
        <v/>
      </c>
      <c r="J52" s="793"/>
      <c r="K52" s="317" t="str">
        <f>IF(J52="","",IF(VLOOKUP(J52,'G-7 WaterC'' Data'!$AK$4:$AM$6,2,FALSE)=0,"Spatial Data Missing ⚠",VLOOKUP(J52,'G-7 WaterC'' Data'!$AK$4:$AM$6,2,FALSE)))</f>
        <v/>
      </c>
      <c r="L52" s="287" t="str">
        <f>IF(J52="","",IF(VLOOKUP(J52,'G-7 WaterC'' Data'!$AK$4:$AM$9,3,FALSE)=0,"Spatial Data Missing ⚠",VLOOKUP(J52,'G-7 WaterC'' Data'!$AK$4:$AM$6,3,FALSE)))</f>
        <v/>
      </c>
      <c r="M52" s="52"/>
      <c r="N52" s="282" t="str">
        <f>IF(M52="","",IF(AND(D52&lt;&gt;"Culvert",M52="N/A - Culvert"),"Not possible ▲",IF(AND(D52="Culvert",M52&lt;&gt;"N/A - Culvert"),"Not possible ▲",IF(VLOOKUP(M52,'G-7 WaterC'' Data'!$AA$4:$AB$7,2,FALSE)=0,"Spatial Data Missing ⚠",VLOOKUP(M52,'G-7 WaterC'' Data'!$AA$4:$AB$7,2,FALSE)))))</f>
        <v/>
      </c>
      <c r="O52" s="56"/>
      <c r="P52" s="282" t="str">
        <f>IF(O52="","",IF(AND(O52="N/A - Culvert", D52&lt;&gt;"Culvert"),"Not possible ▲", IF(AND(D52="Culvert",O52&lt;&gt;"N/A - Culvert"),"Not possible ▲",IF(VLOOKUP(O52,'G-7 WaterC'' Data'!$AD$4:$AE$14,2,FALSE)=0,"Spatial Data Missing ⚠",VLOOKUP(O52,'G-7 WaterC'' Data'!$AD$4:$AE$14,2,FALSE)))))</f>
        <v/>
      </c>
      <c r="Q52" s="288" t="str">
        <f>IF(D52="","",VLOOKUP(D52,'G-7 WaterC'' Data'!$B$2:$G$8,6,FALSE))</f>
        <v/>
      </c>
      <c r="R52" s="295" t="str">
        <f t="shared" si="1"/>
        <v xml:space="preserve"> </v>
      </c>
      <c r="S52" s="820" t="str">
        <f t="shared" si="2"/>
        <v/>
      </c>
      <c r="T52" s="32"/>
      <c r="U52" s="105"/>
      <c r="V52" s="112"/>
      <c r="W52" s="293" t="str">
        <f t="shared" si="3"/>
        <v/>
      </c>
      <c r="X52" s="293" t="str">
        <f t="shared" si="4"/>
        <v/>
      </c>
      <c r="Y52" s="293" t="str">
        <f t="shared" si="5"/>
        <v/>
      </c>
      <c r="Z52" s="323" t="str">
        <f>IFERROR(IF(OR(E52="",R52=""),"",  IF(AND(Q52='G-7 WaterC'' Data'!$G$4,AA52="Yes"),"Alternative Compensation ✓", IF(AND(AA52="Pending", Q52='G-7 WaterC'' Data'!$G$4),"Bespoke compensation must be agreed ▲", IF((W52+X52)&gt;=R52, 0, R52-W52-X52)))),"Check Data ⚠")</f>
        <v/>
      </c>
      <c r="AA52" s="817"/>
      <c r="AB52" s="140"/>
      <c r="AC52" s="108"/>
      <c r="AD52" s="108"/>
      <c r="AE52" s="54" t="str">
        <f>IF(OR(Q52="",AA52="Yes"),"",IF(Q52='G-1 All Habitats'!$X$9,E52-U52-V52,"None"))</f>
        <v/>
      </c>
      <c r="AF52" s="55" t="str">
        <f>IF(Q52="","", IF(Q52='G-1 All Habitats'!$X$9, AE52*G52*I52*L52*N52*P52,"None"))</f>
        <v/>
      </c>
      <c r="AI52" s="30">
        <f t="shared" si="9"/>
        <v>0</v>
      </c>
      <c r="AJ52" s="111" t="str">
        <f t="shared" si="6"/>
        <v/>
      </c>
      <c r="AK52" s="111" t="str">
        <f t="shared" si="7"/>
        <v/>
      </c>
      <c r="AM52" s="111">
        <v>43</v>
      </c>
      <c r="AO52" s="111" t="str">
        <f t="array" ref="AO52">IFERROR(INDEX($AM$10:$AM$258, MATCH(0, IF(TRUE=$AJ$10:$AJ$258, COUNTIF($AO$9:$AO51, $AM$10:$AM$258), ""), 0)),"")</f>
        <v/>
      </c>
      <c r="AP52" s="111" t="str">
        <f t="array" ref="AP52">IFERROR(INDEX($AM$10:$AM$258, MATCH(0, IF(TRUE=$AK$10:$AK$258, COUNTIF($AP$9:$AP51, $AM$10:$AM$258), ""), 0)),"")</f>
        <v/>
      </c>
      <c r="AR52" s="30" t="str">
        <f>IFERROR(INDEX('G-7 WaterC'' Data'!$AZ$3:$AZ$7,MATCH(D52,'G-7 WaterC'' Data'!$AY$3:$AY$7,0)),"")</f>
        <v/>
      </c>
      <c r="AS52" s="30" t="str">
        <f>IFERROR(INDEX('G-7 WaterC'' Data'!AZ52:AZ56,MATCH(D52,'G-7 WaterC'' Data'!$AY$10:$AY$14,0)),"")</f>
        <v/>
      </c>
      <c r="AT52" s="903" t="str">
        <f>IF(AND(OR(AA52="Yes",AA52="Pending"),Q52='G-7 WaterC'' Data'!$G$4),R52-W52-X52,"")</f>
        <v/>
      </c>
      <c r="AU52" s="30" t="str">
        <f>IF(D52="","",VLOOKUP(D52,'G-7 WaterC'' Data'!B$4:M$8,12,FALSE))</f>
        <v/>
      </c>
      <c r="AV52" s="30" t="str">
        <f t="shared" si="0"/>
        <v/>
      </c>
      <c r="AX52" s="30" t="str">
        <f t="shared" si="8"/>
        <v>No</v>
      </c>
    </row>
    <row r="53" spans="3:50" x14ac:dyDescent="0.25">
      <c r="C53" s="101">
        <v>44</v>
      </c>
      <c r="D53" s="267"/>
      <c r="E53" s="119"/>
      <c r="F53" s="281" t="str">
        <f>IF(D53="","",VLOOKUP(D53,'G-7 WaterC'' Data'!$B$2:$G$8,2,FALSE))</f>
        <v/>
      </c>
      <c r="G53" s="282" t="str">
        <f>IFERROR(VLOOKUP(F53,'G-7 WaterC'' Data'!$C$4:$D$8,2,FALSE),"")</f>
        <v/>
      </c>
      <c r="H53" s="52"/>
      <c r="I53" s="282" t="str">
        <f>IFERROR(INDEX('G-7 WaterC'' Data'!$H$4:$L$8,MATCH(D53,'G-7 WaterC'' Data'!$B$4:$B$8,0),MATCH(H53,'G-7 WaterC'' Data'!$H$3:$L$3,0)),"")</f>
        <v/>
      </c>
      <c r="J53" s="793"/>
      <c r="K53" s="317" t="str">
        <f>IF(J53="","",IF(VLOOKUP(J53,'G-7 WaterC'' Data'!$AK$4:$AM$6,2,FALSE)=0,"Spatial Data Missing ⚠",VLOOKUP(J53,'G-7 WaterC'' Data'!$AK$4:$AM$6,2,FALSE)))</f>
        <v/>
      </c>
      <c r="L53" s="287" t="str">
        <f>IF(J53="","",IF(VLOOKUP(J53,'G-7 WaterC'' Data'!$AK$4:$AM$9,3,FALSE)=0,"Spatial Data Missing ⚠",VLOOKUP(J53,'G-7 WaterC'' Data'!$AK$4:$AM$6,3,FALSE)))</f>
        <v/>
      </c>
      <c r="M53" s="52"/>
      <c r="N53" s="282" t="str">
        <f>IF(M53="","",IF(AND(D53&lt;&gt;"Culvert",M53="N/A - Culvert"),"Not possible ▲",IF(AND(D53="Culvert",M53&lt;&gt;"N/A - Culvert"),"Not possible ▲",IF(VLOOKUP(M53,'G-7 WaterC'' Data'!$AA$4:$AB$7,2,FALSE)=0,"Spatial Data Missing ⚠",VLOOKUP(M53,'G-7 WaterC'' Data'!$AA$4:$AB$7,2,FALSE)))))</f>
        <v/>
      </c>
      <c r="O53" s="56"/>
      <c r="P53" s="282" t="str">
        <f>IF(O53="","",IF(AND(O53="N/A - Culvert", D53&lt;&gt;"Culvert"),"Not possible ▲", IF(AND(D53="Culvert",O53&lt;&gt;"N/A - Culvert"),"Not possible ▲",IF(VLOOKUP(O53,'G-7 WaterC'' Data'!$AD$4:$AE$14,2,FALSE)=0,"Spatial Data Missing ⚠",VLOOKUP(O53,'G-7 WaterC'' Data'!$AD$4:$AE$14,2,FALSE)))))</f>
        <v/>
      </c>
      <c r="Q53" s="288" t="str">
        <f>IF(D53="","",VLOOKUP(D53,'G-7 WaterC'' Data'!$B$2:$G$8,6,FALSE))</f>
        <v/>
      </c>
      <c r="R53" s="295" t="str">
        <f t="shared" si="1"/>
        <v xml:space="preserve"> </v>
      </c>
      <c r="S53" s="820" t="str">
        <f t="shared" si="2"/>
        <v/>
      </c>
      <c r="T53" s="32"/>
      <c r="U53" s="105"/>
      <c r="V53" s="112"/>
      <c r="W53" s="293" t="str">
        <f t="shared" si="3"/>
        <v/>
      </c>
      <c r="X53" s="293" t="str">
        <f t="shared" si="4"/>
        <v/>
      </c>
      <c r="Y53" s="293" t="str">
        <f t="shared" si="5"/>
        <v/>
      </c>
      <c r="Z53" s="323" t="str">
        <f>IFERROR(IF(OR(E53="",R53=""),"",  IF(AND(Q53='G-7 WaterC'' Data'!$G$4,AA53="Yes"),"Alternative Compensation ✓", IF(AND(AA53="Pending", Q53='G-7 WaterC'' Data'!$G$4),"Bespoke compensation must be agreed ▲", IF((W53+X53)&gt;=R53, 0, R53-W53-X53)))),"Check Data ⚠")</f>
        <v/>
      </c>
      <c r="AA53" s="817"/>
      <c r="AB53" s="140"/>
      <c r="AC53" s="108"/>
      <c r="AD53" s="108"/>
      <c r="AE53" s="54" t="str">
        <f>IF(OR(Q53="",AA53="Yes"),"",IF(Q53='G-1 All Habitats'!$X$9,E53-U53-V53,"None"))</f>
        <v/>
      </c>
      <c r="AF53" s="55" t="str">
        <f>IF(Q53="","", IF(Q53='G-1 All Habitats'!$X$9, AE53*G53*I53*L53*N53*P53,"None"))</f>
        <v/>
      </c>
      <c r="AI53" s="30">
        <f t="shared" si="9"/>
        <v>0</v>
      </c>
      <c r="AJ53" s="111" t="str">
        <f t="shared" si="6"/>
        <v/>
      </c>
      <c r="AK53" s="111" t="str">
        <f t="shared" si="7"/>
        <v/>
      </c>
      <c r="AM53" s="111">
        <v>44</v>
      </c>
      <c r="AO53" s="111" t="str">
        <f t="array" ref="AO53">IFERROR(INDEX($AM$10:$AM$258, MATCH(0, IF(TRUE=$AJ$10:$AJ$258, COUNTIF($AO$9:$AO52, $AM$10:$AM$258), ""), 0)),"")</f>
        <v/>
      </c>
      <c r="AP53" s="111" t="str">
        <f t="array" ref="AP53">IFERROR(INDEX($AM$10:$AM$258, MATCH(0, IF(TRUE=$AK$10:$AK$258, COUNTIF($AP$9:$AP52, $AM$10:$AM$258), ""), 0)),"")</f>
        <v/>
      </c>
      <c r="AR53" s="30" t="str">
        <f>IFERROR(INDEX('G-7 WaterC'' Data'!$AZ$3:$AZ$7,MATCH(D53,'G-7 WaterC'' Data'!$AY$3:$AY$7,0)),"")</f>
        <v/>
      </c>
      <c r="AS53" s="30" t="str">
        <f>IFERROR(INDEX('G-7 WaterC'' Data'!AZ53:AZ57,MATCH(D53,'G-7 WaterC'' Data'!$AY$10:$AY$14,0)),"")</f>
        <v/>
      </c>
      <c r="AT53" s="903" t="str">
        <f>IF(AND(OR(AA53="Yes",AA53="Pending"),Q53='G-7 WaterC'' Data'!$G$4),R53-W53-X53,"")</f>
        <v/>
      </c>
      <c r="AU53" s="30" t="str">
        <f>IF(D53="","",VLOOKUP(D53,'G-7 WaterC'' Data'!B$4:M$8,12,FALSE))</f>
        <v/>
      </c>
      <c r="AV53" s="30" t="str">
        <f t="shared" si="0"/>
        <v/>
      </c>
      <c r="AX53" s="30" t="str">
        <f t="shared" si="8"/>
        <v>No</v>
      </c>
    </row>
    <row r="54" spans="3:50" x14ac:dyDescent="0.25">
      <c r="C54" s="101">
        <v>45</v>
      </c>
      <c r="D54" s="267"/>
      <c r="E54" s="119"/>
      <c r="F54" s="281" t="str">
        <f>IF(D54="","",VLOOKUP(D54,'G-7 WaterC'' Data'!$B$2:$G$8,2,FALSE))</f>
        <v/>
      </c>
      <c r="G54" s="282" t="str">
        <f>IFERROR(VLOOKUP(F54,'G-7 WaterC'' Data'!$C$4:$D$8,2,FALSE),"")</f>
        <v/>
      </c>
      <c r="H54" s="52"/>
      <c r="I54" s="282" t="str">
        <f>IFERROR(INDEX('G-7 WaterC'' Data'!$H$4:$L$8,MATCH(D54,'G-7 WaterC'' Data'!$B$4:$B$8,0),MATCH(H54,'G-7 WaterC'' Data'!$H$3:$L$3,0)),"")</f>
        <v/>
      </c>
      <c r="J54" s="793"/>
      <c r="K54" s="317" t="str">
        <f>IF(J54="","",IF(VLOOKUP(J54,'G-7 WaterC'' Data'!$AK$4:$AM$6,2,FALSE)=0,"Spatial Data Missing ⚠",VLOOKUP(J54,'G-7 WaterC'' Data'!$AK$4:$AM$6,2,FALSE)))</f>
        <v/>
      </c>
      <c r="L54" s="287" t="str">
        <f>IF(J54="","",IF(VLOOKUP(J54,'G-7 WaterC'' Data'!$AK$4:$AM$9,3,FALSE)=0,"Spatial Data Missing ⚠",VLOOKUP(J54,'G-7 WaterC'' Data'!$AK$4:$AM$6,3,FALSE)))</f>
        <v/>
      </c>
      <c r="M54" s="52"/>
      <c r="N54" s="282" t="str">
        <f>IF(M54="","",IF(AND(D54&lt;&gt;"Culvert",M54="N/A - Culvert"),"Not possible ▲",IF(AND(D54="Culvert",M54&lt;&gt;"N/A - Culvert"),"Not possible ▲",IF(VLOOKUP(M54,'G-7 WaterC'' Data'!$AA$4:$AB$7,2,FALSE)=0,"Spatial Data Missing ⚠",VLOOKUP(M54,'G-7 WaterC'' Data'!$AA$4:$AB$7,2,FALSE)))))</f>
        <v/>
      </c>
      <c r="O54" s="56"/>
      <c r="P54" s="282" t="str">
        <f>IF(O54="","",IF(AND(O54="N/A - Culvert", D54&lt;&gt;"Culvert"),"Not possible ▲", IF(AND(D54="Culvert",O54&lt;&gt;"N/A - Culvert"),"Not possible ▲",IF(VLOOKUP(O54,'G-7 WaterC'' Data'!$AD$4:$AE$14,2,FALSE)=0,"Spatial Data Missing ⚠",VLOOKUP(O54,'G-7 WaterC'' Data'!$AD$4:$AE$14,2,FALSE)))))</f>
        <v/>
      </c>
      <c r="Q54" s="288" t="str">
        <f>IF(D54="","",VLOOKUP(D54,'G-7 WaterC'' Data'!$B$2:$G$8,6,FALSE))</f>
        <v/>
      </c>
      <c r="R54" s="295" t="str">
        <f t="shared" si="1"/>
        <v xml:space="preserve"> </v>
      </c>
      <c r="S54" s="820" t="str">
        <f t="shared" si="2"/>
        <v/>
      </c>
      <c r="T54" s="32"/>
      <c r="U54" s="105"/>
      <c r="V54" s="112"/>
      <c r="W54" s="293" t="str">
        <f t="shared" si="3"/>
        <v/>
      </c>
      <c r="X54" s="293" t="str">
        <f t="shared" si="4"/>
        <v/>
      </c>
      <c r="Y54" s="293" t="str">
        <f t="shared" si="5"/>
        <v/>
      </c>
      <c r="Z54" s="323" t="str">
        <f>IFERROR(IF(OR(E54="",R54=""),"",  IF(AND(Q54='G-7 WaterC'' Data'!$G$4,AA54="Yes"),"Alternative Compensation ✓", IF(AND(AA54="Pending", Q54='G-7 WaterC'' Data'!$G$4),"Bespoke compensation must be agreed ▲", IF((W54+X54)&gt;=R54, 0, R54-W54-X54)))),"Check Data ⚠")</f>
        <v/>
      </c>
      <c r="AA54" s="817"/>
      <c r="AB54" s="140"/>
      <c r="AC54" s="108"/>
      <c r="AD54" s="108"/>
      <c r="AE54" s="54" t="str">
        <f>IF(OR(Q54="",AA54="Yes"),"",IF(Q54='G-1 All Habitats'!$X$9,E54-U54-V54,"None"))</f>
        <v/>
      </c>
      <c r="AF54" s="55" t="str">
        <f>IF(Q54="","", IF(Q54='G-1 All Habitats'!$X$9, AE54*G54*I54*L54*N54*P54,"None"))</f>
        <v/>
      </c>
      <c r="AI54" s="30">
        <f t="shared" si="9"/>
        <v>0</v>
      </c>
      <c r="AJ54" s="111" t="str">
        <f t="shared" si="6"/>
        <v/>
      </c>
      <c r="AK54" s="111" t="str">
        <f t="shared" si="7"/>
        <v/>
      </c>
      <c r="AM54" s="111">
        <v>45</v>
      </c>
      <c r="AO54" s="111" t="str">
        <f t="array" ref="AO54">IFERROR(INDEX($AM$10:$AM$258, MATCH(0, IF(TRUE=$AJ$10:$AJ$258, COUNTIF($AO$9:$AO53, $AM$10:$AM$258), ""), 0)),"")</f>
        <v/>
      </c>
      <c r="AP54" s="111" t="str">
        <f t="array" ref="AP54">IFERROR(INDEX($AM$10:$AM$258, MATCH(0, IF(TRUE=$AK$10:$AK$258, COUNTIF($AP$9:$AP53, $AM$10:$AM$258), ""), 0)),"")</f>
        <v/>
      </c>
      <c r="AR54" s="30" t="str">
        <f>IFERROR(INDEX('G-7 WaterC'' Data'!$AZ$3:$AZ$7,MATCH(D54,'G-7 WaterC'' Data'!$AY$3:$AY$7,0)),"")</f>
        <v/>
      </c>
      <c r="AS54" s="30" t="str">
        <f>IFERROR(INDEX('G-7 WaterC'' Data'!AZ54:AZ58,MATCH(D54,'G-7 WaterC'' Data'!$AY$10:$AY$14,0)),"")</f>
        <v/>
      </c>
      <c r="AT54" s="903" t="str">
        <f>IF(AND(OR(AA54="Yes",AA54="Pending"),Q54='G-7 WaterC'' Data'!$G$4),R54-W54-X54,"")</f>
        <v/>
      </c>
      <c r="AU54" s="30" t="str">
        <f>IF(D54="","",VLOOKUP(D54,'G-7 WaterC'' Data'!B$4:M$8,12,FALSE))</f>
        <v/>
      </c>
      <c r="AV54" s="30" t="str">
        <f t="shared" si="0"/>
        <v/>
      </c>
      <c r="AX54" s="30" t="str">
        <f t="shared" si="8"/>
        <v>No</v>
      </c>
    </row>
    <row r="55" spans="3:50" x14ac:dyDescent="0.25">
      <c r="C55" s="101">
        <v>46</v>
      </c>
      <c r="D55" s="267"/>
      <c r="E55" s="119"/>
      <c r="F55" s="281" t="str">
        <f>IF(D55="","",VLOOKUP(D55,'G-7 WaterC'' Data'!$B$2:$G$8,2,FALSE))</f>
        <v/>
      </c>
      <c r="G55" s="282" t="str">
        <f>IFERROR(VLOOKUP(F55,'G-7 WaterC'' Data'!$C$4:$D$8,2,FALSE),"")</f>
        <v/>
      </c>
      <c r="H55" s="52"/>
      <c r="I55" s="282" t="str">
        <f>IFERROR(INDEX('G-7 WaterC'' Data'!$H$4:$L$8,MATCH(D55,'G-7 WaterC'' Data'!$B$4:$B$8,0),MATCH(H55,'G-7 WaterC'' Data'!$H$3:$L$3,0)),"")</f>
        <v/>
      </c>
      <c r="J55" s="793"/>
      <c r="K55" s="317" t="str">
        <f>IF(J55="","",IF(VLOOKUP(J55,'G-7 WaterC'' Data'!$AK$4:$AM$6,2,FALSE)=0,"Spatial Data Missing ⚠",VLOOKUP(J55,'G-7 WaterC'' Data'!$AK$4:$AM$6,2,FALSE)))</f>
        <v/>
      </c>
      <c r="L55" s="287" t="str">
        <f>IF(J55="","",IF(VLOOKUP(J55,'G-7 WaterC'' Data'!$AK$4:$AM$9,3,FALSE)=0,"Spatial Data Missing ⚠",VLOOKUP(J55,'G-7 WaterC'' Data'!$AK$4:$AM$6,3,FALSE)))</f>
        <v/>
      </c>
      <c r="M55" s="52"/>
      <c r="N55" s="282" t="str">
        <f>IF(M55="","",IF(AND(D55&lt;&gt;"Culvert",M55="N/A - Culvert"),"Not possible ▲",IF(AND(D55="Culvert",M55&lt;&gt;"N/A - Culvert"),"Not possible ▲",IF(VLOOKUP(M55,'G-7 WaterC'' Data'!$AA$4:$AB$7,2,FALSE)=0,"Spatial Data Missing ⚠",VLOOKUP(M55,'G-7 WaterC'' Data'!$AA$4:$AB$7,2,FALSE)))))</f>
        <v/>
      </c>
      <c r="O55" s="56"/>
      <c r="P55" s="282" t="str">
        <f>IF(O55="","",IF(AND(O55="N/A - Culvert", D55&lt;&gt;"Culvert"),"Not possible ▲", IF(AND(D55="Culvert",O55&lt;&gt;"N/A - Culvert"),"Not possible ▲",IF(VLOOKUP(O55,'G-7 WaterC'' Data'!$AD$4:$AE$14,2,FALSE)=0,"Spatial Data Missing ⚠",VLOOKUP(O55,'G-7 WaterC'' Data'!$AD$4:$AE$14,2,FALSE)))))</f>
        <v/>
      </c>
      <c r="Q55" s="288" t="str">
        <f>IF(D55="","",VLOOKUP(D55,'G-7 WaterC'' Data'!$B$2:$G$8,6,FALSE))</f>
        <v/>
      </c>
      <c r="R55" s="295" t="str">
        <f t="shared" si="1"/>
        <v xml:space="preserve"> </v>
      </c>
      <c r="S55" s="820" t="str">
        <f t="shared" si="2"/>
        <v/>
      </c>
      <c r="T55" s="32"/>
      <c r="U55" s="105"/>
      <c r="V55" s="112"/>
      <c r="W55" s="293" t="str">
        <f t="shared" si="3"/>
        <v/>
      </c>
      <c r="X55" s="293" t="str">
        <f t="shared" si="4"/>
        <v/>
      </c>
      <c r="Y55" s="293" t="str">
        <f t="shared" si="5"/>
        <v/>
      </c>
      <c r="Z55" s="323" t="str">
        <f>IFERROR(IF(OR(E55="",R55=""),"",  IF(AND(Q55='G-7 WaterC'' Data'!$G$4,AA55="Yes"),"Alternative Compensation ✓", IF(AND(AA55="Pending", Q55='G-7 WaterC'' Data'!$G$4),"Bespoke compensation must be agreed ▲", IF((W55+X55)&gt;=R55, 0, R55-W55-X55)))),"Check Data ⚠")</f>
        <v/>
      </c>
      <c r="AA55" s="817"/>
      <c r="AB55" s="140"/>
      <c r="AC55" s="108"/>
      <c r="AD55" s="108"/>
      <c r="AE55" s="54" t="str">
        <f>IF(OR(Q55="",AA55="Yes"),"",IF(Q55='G-1 All Habitats'!$X$9,E55-U55-V55,"None"))</f>
        <v/>
      </c>
      <c r="AF55" s="55" t="str">
        <f>IF(Q55="","", IF(Q55='G-1 All Habitats'!$X$9, AE55*G55*I55*L55*N55*P55,"None"))</f>
        <v/>
      </c>
      <c r="AI55" s="30">
        <f t="shared" si="9"/>
        <v>0</v>
      </c>
      <c r="AJ55" s="111" t="str">
        <f t="shared" si="6"/>
        <v/>
      </c>
      <c r="AK55" s="111" t="str">
        <f t="shared" si="7"/>
        <v/>
      </c>
      <c r="AM55" s="111">
        <v>46</v>
      </c>
      <c r="AO55" s="111" t="str">
        <f t="array" ref="AO55">IFERROR(INDEX($AM$10:$AM$258, MATCH(0, IF(TRUE=$AJ$10:$AJ$258, COUNTIF($AO$9:$AO54, $AM$10:$AM$258), ""), 0)),"")</f>
        <v/>
      </c>
      <c r="AP55" s="111" t="str">
        <f t="array" ref="AP55">IFERROR(INDEX($AM$10:$AM$258, MATCH(0, IF(TRUE=$AK$10:$AK$258, COUNTIF($AP$9:$AP54, $AM$10:$AM$258), ""), 0)),"")</f>
        <v/>
      </c>
      <c r="AR55" s="30" t="str">
        <f>IFERROR(INDEX('G-7 WaterC'' Data'!$AZ$3:$AZ$7,MATCH(D55,'G-7 WaterC'' Data'!$AY$3:$AY$7,0)),"")</f>
        <v/>
      </c>
      <c r="AS55" s="30" t="str">
        <f>IFERROR(INDEX('G-7 WaterC'' Data'!AZ55:AZ59,MATCH(D55,'G-7 WaterC'' Data'!$AY$10:$AY$14,0)),"")</f>
        <v/>
      </c>
      <c r="AT55" s="903" t="str">
        <f>IF(AND(OR(AA55="Yes",AA55="Pending"),Q55='G-7 WaterC'' Data'!$G$4),R55-W55-X55,"")</f>
        <v/>
      </c>
      <c r="AU55" s="30" t="str">
        <f>IF(D55="","",VLOOKUP(D55,'G-7 WaterC'' Data'!B$4:M$8,12,FALSE))</f>
        <v/>
      </c>
      <c r="AV55" s="30" t="str">
        <f t="shared" si="0"/>
        <v/>
      </c>
      <c r="AX55" s="30" t="str">
        <f t="shared" si="8"/>
        <v>No</v>
      </c>
    </row>
    <row r="56" spans="3:50" x14ac:dyDescent="0.25">
      <c r="C56" s="101">
        <v>47</v>
      </c>
      <c r="D56" s="267"/>
      <c r="E56" s="119"/>
      <c r="F56" s="281" t="str">
        <f>IF(D56="","",VLOOKUP(D56,'G-7 WaterC'' Data'!$B$2:$G$8,2,FALSE))</f>
        <v/>
      </c>
      <c r="G56" s="282" t="str">
        <f>IFERROR(VLOOKUP(F56,'G-7 WaterC'' Data'!$C$4:$D$8,2,FALSE),"")</f>
        <v/>
      </c>
      <c r="H56" s="52"/>
      <c r="I56" s="282" t="str">
        <f>IFERROR(INDEX('G-7 WaterC'' Data'!$H$4:$L$8,MATCH(D56,'G-7 WaterC'' Data'!$B$4:$B$8,0),MATCH(H56,'G-7 WaterC'' Data'!$H$3:$L$3,0)),"")</f>
        <v/>
      </c>
      <c r="J56" s="793"/>
      <c r="K56" s="317" t="str">
        <f>IF(J56="","",IF(VLOOKUP(J56,'G-7 WaterC'' Data'!$AK$4:$AM$6,2,FALSE)=0,"Spatial Data Missing ⚠",VLOOKUP(J56,'G-7 WaterC'' Data'!$AK$4:$AM$6,2,FALSE)))</f>
        <v/>
      </c>
      <c r="L56" s="287" t="str">
        <f>IF(J56="","",IF(VLOOKUP(J56,'G-7 WaterC'' Data'!$AK$4:$AM$9,3,FALSE)=0,"Spatial Data Missing ⚠",VLOOKUP(J56,'G-7 WaterC'' Data'!$AK$4:$AM$6,3,FALSE)))</f>
        <v/>
      </c>
      <c r="M56" s="52"/>
      <c r="N56" s="282" t="str">
        <f>IF(M56="","",IF(AND(D56&lt;&gt;"Culvert",M56="N/A - Culvert"),"Not possible ▲",IF(AND(D56="Culvert",M56&lt;&gt;"N/A - Culvert"),"Not possible ▲",IF(VLOOKUP(M56,'G-7 WaterC'' Data'!$AA$4:$AB$7,2,FALSE)=0,"Spatial Data Missing ⚠",VLOOKUP(M56,'G-7 WaterC'' Data'!$AA$4:$AB$7,2,FALSE)))))</f>
        <v/>
      </c>
      <c r="O56" s="56"/>
      <c r="P56" s="282" t="str">
        <f>IF(O56="","",IF(AND(O56="N/A - Culvert", D56&lt;&gt;"Culvert"),"Not possible ▲", IF(AND(D56="Culvert",O56&lt;&gt;"N/A - Culvert"),"Not possible ▲",IF(VLOOKUP(O56,'G-7 WaterC'' Data'!$AD$4:$AE$14,2,FALSE)=0,"Spatial Data Missing ⚠",VLOOKUP(O56,'G-7 WaterC'' Data'!$AD$4:$AE$14,2,FALSE)))))</f>
        <v/>
      </c>
      <c r="Q56" s="288" t="str">
        <f>IF(D56="","",VLOOKUP(D56,'G-7 WaterC'' Data'!$B$2:$G$8,6,FALSE))</f>
        <v/>
      </c>
      <c r="R56" s="295" t="str">
        <f t="shared" si="1"/>
        <v xml:space="preserve"> </v>
      </c>
      <c r="S56" s="820" t="str">
        <f t="shared" si="2"/>
        <v/>
      </c>
      <c r="T56" s="32"/>
      <c r="U56" s="105"/>
      <c r="V56" s="112"/>
      <c r="W56" s="293" t="str">
        <f t="shared" si="3"/>
        <v/>
      </c>
      <c r="X56" s="293" t="str">
        <f t="shared" si="4"/>
        <v/>
      </c>
      <c r="Y56" s="293" t="str">
        <f t="shared" si="5"/>
        <v/>
      </c>
      <c r="Z56" s="323" t="str">
        <f>IFERROR(IF(OR(E56="",R56=""),"",  IF(AND(Q56='G-7 WaterC'' Data'!$G$4,AA56="Yes"),"Alternative Compensation ✓", IF(AND(AA56="Pending", Q56='G-7 WaterC'' Data'!$G$4),"Bespoke compensation must be agreed ▲", IF((W56+X56)&gt;=R56, 0, R56-W56-X56)))),"Check Data ⚠")</f>
        <v/>
      </c>
      <c r="AA56" s="817"/>
      <c r="AB56" s="140"/>
      <c r="AC56" s="108"/>
      <c r="AD56" s="108"/>
      <c r="AE56" s="54" t="str">
        <f>IF(OR(Q56="",AA56="Yes"),"",IF(Q56='G-1 All Habitats'!$X$9,E56-U56-V56,"None"))</f>
        <v/>
      </c>
      <c r="AF56" s="55" t="str">
        <f>IF(Q56="","", IF(Q56='G-1 All Habitats'!$X$9, AE56*G56*I56*L56*N56*P56,"None"))</f>
        <v/>
      </c>
      <c r="AI56" s="30">
        <f t="shared" si="9"/>
        <v>0</v>
      </c>
      <c r="AJ56" s="111" t="str">
        <f t="shared" si="6"/>
        <v/>
      </c>
      <c r="AK56" s="111" t="str">
        <f t="shared" si="7"/>
        <v/>
      </c>
      <c r="AM56" s="111">
        <v>47</v>
      </c>
      <c r="AO56" s="111" t="str">
        <f t="array" ref="AO56">IFERROR(INDEX($AM$10:$AM$258, MATCH(0, IF(TRUE=$AJ$10:$AJ$258, COUNTIF($AO$9:$AO55, $AM$10:$AM$258), ""), 0)),"")</f>
        <v/>
      </c>
      <c r="AP56" s="111" t="str">
        <f t="array" ref="AP56">IFERROR(INDEX($AM$10:$AM$258, MATCH(0, IF(TRUE=$AK$10:$AK$258, COUNTIF($AP$9:$AP55, $AM$10:$AM$258), ""), 0)),"")</f>
        <v/>
      </c>
      <c r="AR56" s="30" t="str">
        <f>IFERROR(INDEX('G-7 WaterC'' Data'!$AZ$3:$AZ$7,MATCH(D56,'G-7 WaterC'' Data'!$AY$3:$AY$7,0)),"")</f>
        <v/>
      </c>
      <c r="AS56" s="30" t="str">
        <f>IFERROR(INDEX('G-7 WaterC'' Data'!AZ56:AZ60,MATCH(D56,'G-7 WaterC'' Data'!$AY$10:$AY$14,0)),"")</f>
        <v/>
      </c>
      <c r="AT56" s="903" t="str">
        <f>IF(AND(OR(AA56="Yes",AA56="Pending"),Q56='G-7 WaterC'' Data'!$G$4),R56-W56-X56,"")</f>
        <v/>
      </c>
      <c r="AU56" s="30" t="str">
        <f>IF(D56="","",VLOOKUP(D56,'G-7 WaterC'' Data'!B$4:M$8,12,FALSE))</f>
        <v/>
      </c>
      <c r="AV56" s="30" t="str">
        <f t="shared" si="0"/>
        <v/>
      </c>
      <c r="AX56" s="30" t="str">
        <f t="shared" si="8"/>
        <v>No</v>
      </c>
    </row>
    <row r="57" spans="3:50" x14ac:dyDescent="0.25">
      <c r="C57" s="101">
        <v>48</v>
      </c>
      <c r="D57" s="267"/>
      <c r="E57" s="119"/>
      <c r="F57" s="281" t="str">
        <f>IF(D57="","",VLOOKUP(D57,'G-7 WaterC'' Data'!$B$2:$G$8,2,FALSE))</f>
        <v/>
      </c>
      <c r="G57" s="282" t="str">
        <f>IFERROR(VLOOKUP(F57,'G-7 WaterC'' Data'!$C$4:$D$8,2,FALSE),"")</f>
        <v/>
      </c>
      <c r="H57" s="52"/>
      <c r="I57" s="282" t="str">
        <f>IFERROR(INDEX('G-7 WaterC'' Data'!$H$4:$L$8,MATCH(D57,'G-7 WaterC'' Data'!$B$4:$B$8,0),MATCH(H57,'G-7 WaterC'' Data'!$H$3:$L$3,0)),"")</f>
        <v/>
      </c>
      <c r="J57" s="793"/>
      <c r="K57" s="317" t="str">
        <f>IF(J57="","",IF(VLOOKUP(J57,'G-7 WaterC'' Data'!$AK$4:$AM$6,2,FALSE)=0,"Spatial Data Missing ⚠",VLOOKUP(J57,'G-7 WaterC'' Data'!$AK$4:$AM$6,2,FALSE)))</f>
        <v/>
      </c>
      <c r="L57" s="287" t="str">
        <f>IF(J57="","",IF(VLOOKUP(J57,'G-7 WaterC'' Data'!$AK$4:$AM$9,3,FALSE)=0,"Spatial Data Missing ⚠",VLOOKUP(J57,'G-7 WaterC'' Data'!$AK$4:$AM$6,3,FALSE)))</f>
        <v/>
      </c>
      <c r="M57" s="52"/>
      <c r="N57" s="282" t="str">
        <f>IF(M57="","",IF(AND(D57&lt;&gt;"Culvert",M57="N/A - Culvert"),"Not possible ▲",IF(AND(D57="Culvert",M57&lt;&gt;"N/A - Culvert"),"Not possible ▲",IF(VLOOKUP(M57,'G-7 WaterC'' Data'!$AA$4:$AB$7,2,FALSE)=0,"Spatial Data Missing ⚠",VLOOKUP(M57,'G-7 WaterC'' Data'!$AA$4:$AB$7,2,FALSE)))))</f>
        <v/>
      </c>
      <c r="O57" s="56"/>
      <c r="P57" s="282" t="str">
        <f>IF(O57="","",IF(AND(O57="N/A - Culvert", D57&lt;&gt;"Culvert"),"Not possible ▲", IF(AND(D57="Culvert",O57&lt;&gt;"N/A - Culvert"),"Not possible ▲",IF(VLOOKUP(O57,'G-7 WaterC'' Data'!$AD$4:$AE$14,2,FALSE)=0,"Spatial Data Missing ⚠",VLOOKUP(O57,'G-7 WaterC'' Data'!$AD$4:$AE$14,2,FALSE)))))</f>
        <v/>
      </c>
      <c r="Q57" s="288" t="str">
        <f>IF(D57="","",VLOOKUP(D57,'G-7 WaterC'' Data'!$B$2:$G$8,6,FALSE))</f>
        <v/>
      </c>
      <c r="R57" s="295" t="str">
        <f t="shared" si="1"/>
        <v xml:space="preserve"> </v>
      </c>
      <c r="S57" s="820" t="str">
        <f t="shared" si="2"/>
        <v/>
      </c>
      <c r="T57" s="32"/>
      <c r="U57" s="105"/>
      <c r="V57" s="112"/>
      <c r="W57" s="293" t="str">
        <f t="shared" si="3"/>
        <v/>
      </c>
      <c r="X57" s="293" t="str">
        <f t="shared" si="4"/>
        <v/>
      </c>
      <c r="Y57" s="293" t="str">
        <f t="shared" si="5"/>
        <v/>
      </c>
      <c r="Z57" s="323" t="str">
        <f>IFERROR(IF(OR(E57="",R57=""),"",  IF(AND(Q57='G-7 WaterC'' Data'!$G$4,AA57="Yes"),"Alternative Compensation ✓", IF(AND(AA57="Pending", Q57='G-7 WaterC'' Data'!$G$4),"Bespoke compensation must be agreed ▲", IF((W57+X57)&gt;=R57, 0, R57-W57-X57)))),"Check Data ⚠")</f>
        <v/>
      </c>
      <c r="AA57" s="817"/>
      <c r="AB57" s="140"/>
      <c r="AC57" s="108"/>
      <c r="AD57" s="108"/>
      <c r="AE57" s="54" t="str">
        <f>IF(OR(Q57="",AA57="Yes"),"",IF(Q57='G-1 All Habitats'!$X$9,E57-U57-V57,"None"))</f>
        <v/>
      </c>
      <c r="AF57" s="55" t="str">
        <f>IF(Q57="","", IF(Q57='G-1 All Habitats'!$X$9, AE57*G57*I57*L57*N57*P57,"None"))</f>
        <v/>
      </c>
      <c r="AI57" s="30">
        <f t="shared" si="9"/>
        <v>0</v>
      </c>
      <c r="AJ57" s="111" t="str">
        <f t="shared" si="6"/>
        <v/>
      </c>
      <c r="AK57" s="111" t="str">
        <f t="shared" si="7"/>
        <v/>
      </c>
      <c r="AM57" s="111">
        <v>48</v>
      </c>
      <c r="AO57" s="111" t="str">
        <f t="array" ref="AO57">IFERROR(INDEX($AM$10:$AM$258, MATCH(0, IF(TRUE=$AJ$10:$AJ$258, COUNTIF($AO$9:$AO56, $AM$10:$AM$258), ""), 0)),"")</f>
        <v/>
      </c>
      <c r="AP57" s="111" t="str">
        <f t="array" ref="AP57">IFERROR(INDEX($AM$10:$AM$258, MATCH(0, IF(TRUE=$AK$10:$AK$258, COUNTIF($AP$9:$AP56, $AM$10:$AM$258), ""), 0)),"")</f>
        <v/>
      </c>
      <c r="AR57" s="30" t="str">
        <f>IFERROR(INDEX('G-7 WaterC'' Data'!$AZ$3:$AZ$7,MATCH(D57,'G-7 WaterC'' Data'!$AY$3:$AY$7,0)),"")</f>
        <v/>
      </c>
      <c r="AS57" s="30" t="str">
        <f>IFERROR(INDEX('G-7 WaterC'' Data'!AZ57:AZ61,MATCH(D57,'G-7 WaterC'' Data'!$AY$10:$AY$14,0)),"")</f>
        <v/>
      </c>
      <c r="AT57" s="903" t="str">
        <f>IF(AND(OR(AA57="Yes",AA57="Pending"),Q57='G-7 WaterC'' Data'!$G$4),R57-W57-X57,"")</f>
        <v/>
      </c>
      <c r="AU57" s="30" t="str">
        <f>IF(D57="","",VLOOKUP(D57,'G-7 WaterC'' Data'!B$4:M$8,12,FALSE))</f>
        <v/>
      </c>
      <c r="AV57" s="30" t="str">
        <f t="shared" si="0"/>
        <v/>
      </c>
      <c r="AX57" s="30" t="str">
        <f t="shared" si="8"/>
        <v>No</v>
      </c>
    </row>
    <row r="58" spans="3:50" x14ac:dyDescent="0.25">
      <c r="C58" s="101">
        <v>49</v>
      </c>
      <c r="D58" s="267"/>
      <c r="E58" s="119"/>
      <c r="F58" s="281" t="str">
        <f>IF(D58="","",VLOOKUP(D58,'G-7 WaterC'' Data'!$B$2:$G$8,2,FALSE))</f>
        <v/>
      </c>
      <c r="G58" s="282" t="str">
        <f>IFERROR(VLOOKUP(F58,'G-7 WaterC'' Data'!$C$4:$D$8,2,FALSE),"")</f>
        <v/>
      </c>
      <c r="H58" s="52"/>
      <c r="I58" s="282" t="str">
        <f>IFERROR(INDEX('G-7 WaterC'' Data'!$H$4:$L$8,MATCH(D58,'G-7 WaterC'' Data'!$B$4:$B$8,0),MATCH(H58,'G-7 WaterC'' Data'!$H$3:$L$3,0)),"")</f>
        <v/>
      </c>
      <c r="J58" s="793"/>
      <c r="K58" s="317" t="str">
        <f>IF(J58="","",IF(VLOOKUP(J58,'G-7 WaterC'' Data'!$AK$4:$AM$6,2,FALSE)=0,"Spatial Data Missing ⚠",VLOOKUP(J58,'G-7 WaterC'' Data'!$AK$4:$AM$6,2,FALSE)))</f>
        <v/>
      </c>
      <c r="L58" s="287" t="str">
        <f>IF(J58="","",IF(VLOOKUP(J58,'G-7 WaterC'' Data'!$AK$4:$AM$9,3,FALSE)=0,"Spatial Data Missing ⚠",VLOOKUP(J58,'G-7 WaterC'' Data'!$AK$4:$AM$6,3,FALSE)))</f>
        <v/>
      </c>
      <c r="M58" s="52"/>
      <c r="N58" s="282" t="str">
        <f>IF(M58="","",IF(AND(D58&lt;&gt;"Culvert",M58="N/A - Culvert"),"Not possible ▲",IF(AND(D58="Culvert",M58&lt;&gt;"N/A - Culvert"),"Not possible ▲",IF(VLOOKUP(M58,'G-7 WaterC'' Data'!$AA$4:$AB$7,2,FALSE)=0,"Spatial Data Missing ⚠",VLOOKUP(M58,'G-7 WaterC'' Data'!$AA$4:$AB$7,2,FALSE)))))</f>
        <v/>
      </c>
      <c r="O58" s="56"/>
      <c r="P58" s="282" t="str">
        <f>IF(O58="","",IF(AND(O58="N/A - Culvert", D58&lt;&gt;"Culvert"),"Not possible ▲", IF(AND(D58="Culvert",O58&lt;&gt;"N/A - Culvert"),"Not possible ▲",IF(VLOOKUP(O58,'G-7 WaterC'' Data'!$AD$4:$AE$14,2,FALSE)=0,"Spatial Data Missing ⚠",VLOOKUP(O58,'G-7 WaterC'' Data'!$AD$4:$AE$14,2,FALSE)))))</f>
        <v/>
      </c>
      <c r="Q58" s="288" t="str">
        <f>IF(D58="","",VLOOKUP(D58,'G-7 WaterC'' Data'!$B$2:$G$8,6,FALSE))</f>
        <v/>
      </c>
      <c r="R58" s="295" t="str">
        <f t="shared" si="1"/>
        <v xml:space="preserve"> </v>
      </c>
      <c r="S58" s="820" t="str">
        <f t="shared" si="2"/>
        <v/>
      </c>
      <c r="T58" s="32"/>
      <c r="U58" s="105"/>
      <c r="V58" s="112"/>
      <c r="W58" s="293" t="str">
        <f t="shared" si="3"/>
        <v/>
      </c>
      <c r="X58" s="293" t="str">
        <f t="shared" si="4"/>
        <v/>
      </c>
      <c r="Y58" s="293" t="str">
        <f t="shared" si="5"/>
        <v/>
      </c>
      <c r="Z58" s="323" t="str">
        <f>IFERROR(IF(OR(E58="",R58=""),"",  IF(AND(Q58='G-7 WaterC'' Data'!$G$4,AA58="Yes"),"Alternative Compensation ✓", IF(AND(AA58="Pending", Q58='G-7 WaterC'' Data'!$G$4),"Bespoke compensation must be agreed ▲", IF((W58+X58)&gt;=R58, 0, R58-W58-X58)))),"Check Data ⚠")</f>
        <v/>
      </c>
      <c r="AA58" s="817"/>
      <c r="AB58" s="140"/>
      <c r="AC58" s="108"/>
      <c r="AD58" s="108"/>
      <c r="AE58" s="54" t="str">
        <f>IF(OR(Q58="",AA58="Yes"),"",IF(Q58='G-1 All Habitats'!$X$9,E58-U58-V58,"None"))</f>
        <v/>
      </c>
      <c r="AF58" s="55" t="str">
        <f>IF(Q58="","", IF(Q58='G-1 All Habitats'!$X$9, AE58*G58*I58*L58*N58*P58,"None"))</f>
        <v/>
      </c>
      <c r="AI58" s="30">
        <f t="shared" si="9"/>
        <v>0</v>
      </c>
      <c r="AJ58" s="111" t="str">
        <f t="shared" si="6"/>
        <v/>
      </c>
      <c r="AK58" s="111" t="str">
        <f t="shared" si="7"/>
        <v/>
      </c>
      <c r="AM58" s="111">
        <v>49</v>
      </c>
      <c r="AO58" s="111" t="str">
        <f t="array" ref="AO58">IFERROR(INDEX($AM$10:$AM$258, MATCH(0, IF(TRUE=$AJ$10:$AJ$258, COUNTIF($AO$9:$AO57, $AM$10:$AM$258), ""), 0)),"")</f>
        <v/>
      </c>
      <c r="AP58" s="111" t="str">
        <f t="array" ref="AP58">IFERROR(INDEX($AM$10:$AM$258, MATCH(0, IF(TRUE=$AK$10:$AK$258, COUNTIF($AP$9:$AP57, $AM$10:$AM$258), ""), 0)),"")</f>
        <v/>
      </c>
      <c r="AR58" s="30" t="str">
        <f>IFERROR(INDEX('G-7 WaterC'' Data'!$AZ$3:$AZ$7,MATCH(D58,'G-7 WaterC'' Data'!$AY$3:$AY$7,0)),"")</f>
        <v/>
      </c>
      <c r="AS58" s="30" t="str">
        <f>IFERROR(INDEX('G-7 WaterC'' Data'!AZ58:AZ62,MATCH(D58,'G-7 WaterC'' Data'!$AY$10:$AY$14,0)),"")</f>
        <v/>
      </c>
      <c r="AT58" s="903" t="str">
        <f>IF(AND(OR(AA58="Yes",AA58="Pending"),Q58='G-7 WaterC'' Data'!$G$4),R58-W58-X58,"")</f>
        <v/>
      </c>
      <c r="AU58" s="30" t="str">
        <f>IF(D58="","",VLOOKUP(D58,'G-7 WaterC'' Data'!B$4:M$8,12,FALSE))</f>
        <v/>
      </c>
      <c r="AV58" s="30" t="str">
        <f t="shared" si="0"/>
        <v/>
      </c>
      <c r="AX58" s="30" t="str">
        <f t="shared" si="8"/>
        <v>No</v>
      </c>
    </row>
    <row r="59" spans="3:50" x14ac:dyDescent="0.25">
      <c r="C59" s="101">
        <v>50</v>
      </c>
      <c r="D59" s="267"/>
      <c r="E59" s="119"/>
      <c r="F59" s="281" t="str">
        <f>IF(D59="","",VLOOKUP(D59,'G-7 WaterC'' Data'!$B$2:$G$8,2,FALSE))</f>
        <v/>
      </c>
      <c r="G59" s="282" t="str">
        <f>IFERROR(VLOOKUP(F59,'G-7 WaterC'' Data'!$C$4:$D$8,2,FALSE),"")</f>
        <v/>
      </c>
      <c r="H59" s="52"/>
      <c r="I59" s="282" t="str">
        <f>IFERROR(INDEX('G-7 WaterC'' Data'!$H$4:$L$8,MATCH(D59,'G-7 WaterC'' Data'!$B$4:$B$8,0),MATCH(H59,'G-7 WaterC'' Data'!$H$3:$L$3,0)),"")</f>
        <v/>
      </c>
      <c r="J59" s="793"/>
      <c r="K59" s="317" t="str">
        <f>IF(J59="","",IF(VLOOKUP(J59,'G-7 WaterC'' Data'!$AK$4:$AM$6,2,FALSE)=0,"Spatial Data Missing ⚠",VLOOKUP(J59,'G-7 WaterC'' Data'!$AK$4:$AM$6,2,FALSE)))</f>
        <v/>
      </c>
      <c r="L59" s="287" t="str">
        <f>IF(J59="","",IF(VLOOKUP(J59,'G-7 WaterC'' Data'!$AK$4:$AM$9,3,FALSE)=0,"Spatial Data Missing ⚠",VLOOKUP(J59,'G-7 WaterC'' Data'!$AK$4:$AM$6,3,FALSE)))</f>
        <v/>
      </c>
      <c r="M59" s="52"/>
      <c r="N59" s="282" t="str">
        <f>IF(M59="","",IF(AND(D59&lt;&gt;"Culvert",M59="N/A - Culvert"),"Not possible ▲",IF(AND(D59="Culvert",M59&lt;&gt;"N/A - Culvert"),"Not possible ▲",IF(VLOOKUP(M59,'G-7 WaterC'' Data'!$AA$4:$AB$7,2,FALSE)=0,"Spatial Data Missing ⚠",VLOOKUP(M59,'G-7 WaterC'' Data'!$AA$4:$AB$7,2,FALSE)))))</f>
        <v/>
      </c>
      <c r="O59" s="56"/>
      <c r="P59" s="282" t="str">
        <f>IF(O59="","",IF(AND(O59="N/A - Culvert", D59&lt;&gt;"Culvert"),"Not possible ▲", IF(AND(D59="Culvert",O59&lt;&gt;"N/A - Culvert"),"Not possible ▲",IF(VLOOKUP(O59,'G-7 WaterC'' Data'!$AD$4:$AE$14,2,FALSE)=0,"Spatial Data Missing ⚠",VLOOKUP(O59,'G-7 WaterC'' Data'!$AD$4:$AE$14,2,FALSE)))))</f>
        <v/>
      </c>
      <c r="Q59" s="288" t="str">
        <f>IF(D59="","",VLOOKUP(D59,'G-7 WaterC'' Data'!$B$2:$G$8,6,FALSE))</f>
        <v/>
      </c>
      <c r="R59" s="295" t="str">
        <f t="shared" si="1"/>
        <v xml:space="preserve"> </v>
      </c>
      <c r="S59" s="820" t="str">
        <f t="shared" si="2"/>
        <v/>
      </c>
      <c r="T59" s="32"/>
      <c r="U59" s="105"/>
      <c r="V59" s="112"/>
      <c r="W59" s="293" t="str">
        <f t="shared" si="3"/>
        <v/>
      </c>
      <c r="X59" s="293" t="str">
        <f t="shared" si="4"/>
        <v/>
      </c>
      <c r="Y59" s="293" t="str">
        <f t="shared" si="5"/>
        <v/>
      </c>
      <c r="Z59" s="323" t="str">
        <f>IFERROR(IF(OR(E59="",R59=""),"",  IF(AND(Q59='G-7 WaterC'' Data'!$G$4,AA59="Yes"),"Alternative Compensation ✓", IF(AND(AA59="Pending", Q59='G-7 WaterC'' Data'!$G$4),"Bespoke compensation must be agreed ▲", IF((W59+X59)&gt;=R59, 0, R59-W59-X59)))),"Check Data ⚠")</f>
        <v/>
      </c>
      <c r="AA59" s="817"/>
      <c r="AB59" s="140"/>
      <c r="AC59" s="108"/>
      <c r="AD59" s="108"/>
      <c r="AE59" s="54" t="str">
        <f>IF(OR(Q59="",AA59="Yes"),"",IF(Q59='G-1 All Habitats'!$X$9,E59-U59-V59,"None"))</f>
        <v/>
      </c>
      <c r="AF59" s="55" t="str">
        <f>IF(Q59="","", IF(Q59='G-1 All Habitats'!$X$9, AE59*G59*I59*L59*N59*P59,"None"))</f>
        <v/>
      </c>
      <c r="AI59" s="30">
        <f t="shared" si="9"/>
        <v>0</v>
      </c>
      <c r="AJ59" s="111" t="str">
        <f t="shared" si="6"/>
        <v/>
      </c>
      <c r="AK59" s="111" t="str">
        <f t="shared" si="7"/>
        <v/>
      </c>
      <c r="AM59" s="111">
        <v>50</v>
      </c>
      <c r="AO59" s="111" t="str">
        <f t="array" ref="AO59">IFERROR(INDEX($AM$10:$AM$258, MATCH(0, IF(TRUE=$AJ$10:$AJ$258, COUNTIF($AO$9:$AO58, $AM$10:$AM$258), ""), 0)),"")</f>
        <v/>
      </c>
      <c r="AP59" s="111" t="str">
        <f t="array" ref="AP59">IFERROR(INDEX($AM$10:$AM$258, MATCH(0, IF(TRUE=$AK$10:$AK$258, COUNTIF($AP$9:$AP58, $AM$10:$AM$258), ""), 0)),"")</f>
        <v/>
      </c>
      <c r="AR59" s="30" t="str">
        <f>IFERROR(INDEX('G-7 WaterC'' Data'!$AZ$3:$AZ$7,MATCH(D59,'G-7 WaterC'' Data'!$AY$3:$AY$7,0)),"")</f>
        <v/>
      </c>
      <c r="AS59" s="30" t="str">
        <f>IFERROR(INDEX('G-7 WaterC'' Data'!AZ59:AZ63,MATCH(D59,'G-7 WaterC'' Data'!$AY$10:$AY$14,0)),"")</f>
        <v/>
      </c>
      <c r="AT59" s="903" t="str">
        <f>IF(AND(OR(AA59="Yes",AA59="Pending"),Q59='G-7 WaterC'' Data'!$G$4),R59-W59-X59,"")</f>
        <v/>
      </c>
      <c r="AU59" s="30" t="str">
        <f>IF(D59="","",VLOOKUP(D59,'G-7 WaterC'' Data'!B$4:M$8,12,FALSE))</f>
        <v/>
      </c>
      <c r="AV59" s="30" t="str">
        <f t="shared" si="0"/>
        <v/>
      </c>
      <c r="AX59" s="30" t="str">
        <f t="shared" si="8"/>
        <v>No</v>
      </c>
    </row>
    <row r="60" spans="3:50" x14ac:dyDescent="0.25">
      <c r="C60" s="101">
        <v>51</v>
      </c>
      <c r="D60" s="267"/>
      <c r="E60" s="119"/>
      <c r="F60" s="281" t="str">
        <f>IF(D60="","",VLOOKUP(D60,'G-7 WaterC'' Data'!$B$2:$G$8,2,FALSE))</f>
        <v/>
      </c>
      <c r="G60" s="282" t="str">
        <f>IFERROR(VLOOKUP(F60,'G-7 WaterC'' Data'!$C$4:$D$8,2,FALSE),"")</f>
        <v/>
      </c>
      <c r="H60" s="52"/>
      <c r="I60" s="282" t="str">
        <f>IFERROR(INDEX('G-7 WaterC'' Data'!$H$4:$L$8,MATCH(D60,'G-7 WaterC'' Data'!$B$4:$B$8,0),MATCH(H60,'G-7 WaterC'' Data'!$H$3:$L$3,0)),"")</f>
        <v/>
      </c>
      <c r="J60" s="793"/>
      <c r="K60" s="317" t="str">
        <f>IF(J60="","",IF(VLOOKUP(J60,'G-7 WaterC'' Data'!$AK$4:$AM$6,2,FALSE)=0,"Spatial Data Missing ⚠",VLOOKUP(J60,'G-7 WaterC'' Data'!$AK$4:$AM$6,2,FALSE)))</f>
        <v/>
      </c>
      <c r="L60" s="287" t="str">
        <f>IF(J60="","",IF(VLOOKUP(J60,'G-7 WaterC'' Data'!$AK$4:$AM$9,3,FALSE)=0,"Spatial Data Missing ⚠",VLOOKUP(J60,'G-7 WaterC'' Data'!$AK$4:$AM$6,3,FALSE)))</f>
        <v/>
      </c>
      <c r="M60" s="52"/>
      <c r="N60" s="282" t="str">
        <f>IF(M60="","",IF(AND(D60&lt;&gt;"Culvert",M60="N/A - Culvert"),"Not possible ▲",IF(AND(D60="Culvert",M60&lt;&gt;"N/A - Culvert"),"Not possible ▲",IF(VLOOKUP(M60,'G-7 WaterC'' Data'!$AA$4:$AB$7,2,FALSE)=0,"Spatial Data Missing ⚠",VLOOKUP(M60,'G-7 WaterC'' Data'!$AA$4:$AB$7,2,FALSE)))))</f>
        <v/>
      </c>
      <c r="O60" s="56"/>
      <c r="P60" s="282" t="str">
        <f>IF(O60="","",IF(AND(O60="N/A - Culvert", D60&lt;&gt;"Culvert"),"Not possible ▲", IF(AND(D60="Culvert",O60&lt;&gt;"N/A - Culvert"),"Not possible ▲",IF(VLOOKUP(O60,'G-7 WaterC'' Data'!$AD$4:$AE$14,2,FALSE)=0,"Spatial Data Missing ⚠",VLOOKUP(O60,'G-7 WaterC'' Data'!$AD$4:$AE$14,2,FALSE)))))</f>
        <v/>
      </c>
      <c r="Q60" s="288" t="str">
        <f>IF(D60="","",VLOOKUP(D60,'G-7 WaterC'' Data'!$B$2:$G$8,6,FALSE))</f>
        <v/>
      </c>
      <c r="R60" s="295" t="str">
        <f t="shared" si="1"/>
        <v xml:space="preserve"> </v>
      </c>
      <c r="S60" s="820" t="str">
        <f t="shared" si="2"/>
        <v/>
      </c>
      <c r="T60" s="32"/>
      <c r="U60" s="105"/>
      <c r="V60" s="112"/>
      <c r="W60" s="293" t="str">
        <f t="shared" si="3"/>
        <v/>
      </c>
      <c r="X60" s="293" t="str">
        <f t="shared" si="4"/>
        <v/>
      </c>
      <c r="Y60" s="293" t="str">
        <f t="shared" si="5"/>
        <v/>
      </c>
      <c r="Z60" s="323" t="str">
        <f>IFERROR(IF(OR(E60="",R60=""),"",  IF(AND(Q60='G-7 WaterC'' Data'!$G$4,AA60="Yes"),"Alternative Compensation ✓", IF(AND(AA60="Pending", Q60='G-7 WaterC'' Data'!$G$4),"Bespoke compensation must be agreed ▲", IF((W60+X60)&gt;=R60, 0, R60-W60-X60)))),"Check Data ⚠")</f>
        <v/>
      </c>
      <c r="AA60" s="817"/>
      <c r="AB60" s="140"/>
      <c r="AC60" s="108"/>
      <c r="AD60" s="108"/>
      <c r="AE60" s="54" t="str">
        <f>IF(OR(Q60="",AA60="Yes"),"",IF(Q60='G-1 All Habitats'!$X$9,E60-U60-V60,"None"))</f>
        <v/>
      </c>
      <c r="AF60" s="55" t="str">
        <f>IF(Q60="","", IF(Q60='G-1 All Habitats'!$X$9, AE60*G60*I60*L60*N60*P60,"None"))</f>
        <v/>
      </c>
      <c r="AI60" s="30">
        <f t="shared" si="9"/>
        <v>0</v>
      </c>
      <c r="AJ60" s="111" t="str">
        <f t="shared" si="6"/>
        <v/>
      </c>
      <c r="AK60" s="111" t="str">
        <f t="shared" si="7"/>
        <v/>
      </c>
      <c r="AM60" s="111">
        <v>51</v>
      </c>
      <c r="AO60" s="111" t="str">
        <f t="array" ref="AO60">IFERROR(INDEX($AM$10:$AM$258, MATCH(0, IF(TRUE=$AJ$10:$AJ$258, COUNTIF($AO$9:$AO59, $AM$10:$AM$258), ""), 0)),"")</f>
        <v/>
      </c>
      <c r="AP60" s="111" t="str">
        <f t="array" ref="AP60">IFERROR(INDEX($AM$10:$AM$258, MATCH(0, IF(TRUE=$AK$10:$AK$258, COUNTIF($AP$9:$AP59, $AM$10:$AM$258), ""), 0)),"")</f>
        <v/>
      </c>
      <c r="AR60" s="30" t="str">
        <f>IFERROR(INDEX('G-7 WaterC'' Data'!$AZ$3:$AZ$7,MATCH(D60,'G-7 WaterC'' Data'!$AY$3:$AY$7,0)),"")</f>
        <v/>
      </c>
      <c r="AS60" s="30" t="str">
        <f>IFERROR(INDEX('G-7 WaterC'' Data'!AZ60:AZ64,MATCH(D60,'G-7 WaterC'' Data'!$AY$10:$AY$14,0)),"")</f>
        <v/>
      </c>
      <c r="AT60" s="903" t="str">
        <f>IF(AND(OR(AA60="Yes",AA60="Pending"),Q60='G-7 WaterC'' Data'!$G$4),R60-W60-X60,"")</f>
        <v/>
      </c>
      <c r="AU60" s="30" t="str">
        <f>IF(D60="","",VLOOKUP(D60,'G-7 WaterC'' Data'!B$4:M$8,12,FALSE))</f>
        <v/>
      </c>
      <c r="AV60" s="30" t="str">
        <f t="shared" si="0"/>
        <v/>
      </c>
      <c r="AX60" s="30" t="str">
        <f t="shared" si="8"/>
        <v>No</v>
      </c>
    </row>
    <row r="61" spans="3:50" x14ac:dyDescent="0.25">
      <c r="C61" s="101">
        <v>52</v>
      </c>
      <c r="D61" s="267"/>
      <c r="E61" s="119"/>
      <c r="F61" s="281" t="str">
        <f>IF(D61="","",VLOOKUP(D61,'G-7 WaterC'' Data'!$B$2:$G$8,2,FALSE))</f>
        <v/>
      </c>
      <c r="G61" s="282" t="str">
        <f>IFERROR(VLOOKUP(F61,'G-7 WaterC'' Data'!$C$4:$D$8,2,FALSE),"")</f>
        <v/>
      </c>
      <c r="H61" s="52"/>
      <c r="I61" s="282" t="str">
        <f>IFERROR(INDEX('G-7 WaterC'' Data'!$H$4:$L$8,MATCH(D61,'G-7 WaterC'' Data'!$B$4:$B$8,0),MATCH(H61,'G-7 WaterC'' Data'!$H$3:$L$3,0)),"")</f>
        <v/>
      </c>
      <c r="J61" s="793"/>
      <c r="K61" s="317" t="str">
        <f>IF(J61="","",IF(VLOOKUP(J61,'G-7 WaterC'' Data'!$AK$4:$AM$6,2,FALSE)=0,"Spatial Data Missing ⚠",VLOOKUP(J61,'G-7 WaterC'' Data'!$AK$4:$AM$6,2,FALSE)))</f>
        <v/>
      </c>
      <c r="L61" s="287" t="str">
        <f>IF(J61="","",IF(VLOOKUP(J61,'G-7 WaterC'' Data'!$AK$4:$AM$9,3,FALSE)=0,"Spatial Data Missing ⚠",VLOOKUP(J61,'G-7 WaterC'' Data'!$AK$4:$AM$6,3,FALSE)))</f>
        <v/>
      </c>
      <c r="M61" s="52"/>
      <c r="N61" s="282" t="str">
        <f>IF(M61="","",IF(AND(D61&lt;&gt;"Culvert",M61="N/A - Culvert"),"Not possible ▲",IF(AND(D61="Culvert",M61&lt;&gt;"N/A - Culvert"),"Not possible ▲",IF(VLOOKUP(M61,'G-7 WaterC'' Data'!$AA$4:$AB$7,2,FALSE)=0,"Spatial Data Missing ⚠",VLOOKUP(M61,'G-7 WaterC'' Data'!$AA$4:$AB$7,2,FALSE)))))</f>
        <v/>
      </c>
      <c r="O61" s="56"/>
      <c r="P61" s="282" t="str">
        <f>IF(O61="","",IF(AND(O61="N/A - Culvert", D61&lt;&gt;"Culvert"),"Not possible ▲", IF(AND(D61="Culvert",O61&lt;&gt;"N/A - Culvert"),"Not possible ▲",IF(VLOOKUP(O61,'G-7 WaterC'' Data'!$AD$4:$AE$14,2,FALSE)=0,"Spatial Data Missing ⚠",VLOOKUP(O61,'G-7 WaterC'' Data'!$AD$4:$AE$14,2,FALSE)))))</f>
        <v/>
      </c>
      <c r="Q61" s="288" t="str">
        <f>IF(D61="","",VLOOKUP(D61,'G-7 WaterC'' Data'!$B$2:$G$8,6,FALSE))</f>
        <v/>
      </c>
      <c r="R61" s="295" t="str">
        <f t="shared" si="1"/>
        <v xml:space="preserve"> </v>
      </c>
      <c r="S61" s="820" t="str">
        <f t="shared" si="2"/>
        <v/>
      </c>
      <c r="T61" s="32"/>
      <c r="U61" s="105"/>
      <c r="V61" s="112"/>
      <c r="W61" s="293" t="str">
        <f t="shared" si="3"/>
        <v/>
      </c>
      <c r="X61" s="293" t="str">
        <f t="shared" si="4"/>
        <v/>
      </c>
      <c r="Y61" s="293" t="str">
        <f t="shared" si="5"/>
        <v/>
      </c>
      <c r="Z61" s="323" t="str">
        <f>IFERROR(IF(OR(E61="",R61=""),"",  IF(AND(Q61='G-7 WaterC'' Data'!$G$4,AA61="Yes"),"Alternative Compensation ✓", IF(AND(AA61="Pending", Q61='G-7 WaterC'' Data'!$G$4),"Bespoke compensation must be agreed ▲", IF((W61+X61)&gt;=R61, 0, R61-W61-X61)))),"Check Data ⚠")</f>
        <v/>
      </c>
      <c r="AA61" s="817"/>
      <c r="AB61" s="140"/>
      <c r="AC61" s="108"/>
      <c r="AD61" s="108"/>
      <c r="AE61" s="54" t="str">
        <f>IF(OR(Q61="",AA61="Yes"),"",IF(Q61='G-1 All Habitats'!$X$9,E61-U61-V61,"None"))</f>
        <v/>
      </c>
      <c r="AF61" s="55" t="str">
        <f>IF(Q61="","", IF(Q61='G-1 All Habitats'!$X$9, AE61*G61*I61*L61*N61*P61,"None"))</f>
        <v/>
      </c>
      <c r="AI61" s="30">
        <f t="shared" si="9"/>
        <v>0</v>
      </c>
      <c r="AJ61" s="111" t="str">
        <f t="shared" si="6"/>
        <v/>
      </c>
      <c r="AK61" s="111" t="str">
        <f t="shared" si="7"/>
        <v/>
      </c>
      <c r="AM61" s="111">
        <v>52</v>
      </c>
      <c r="AO61" s="111" t="str">
        <f t="array" ref="AO61">IFERROR(INDEX($AM$10:$AM$258, MATCH(0, IF(TRUE=$AJ$10:$AJ$258, COUNTIF($AO$9:$AO60, $AM$10:$AM$258), ""), 0)),"")</f>
        <v/>
      </c>
      <c r="AP61" s="111" t="str">
        <f t="array" ref="AP61">IFERROR(INDEX($AM$10:$AM$258, MATCH(0, IF(TRUE=$AK$10:$AK$258, COUNTIF($AP$9:$AP60, $AM$10:$AM$258), ""), 0)),"")</f>
        <v/>
      </c>
      <c r="AR61" s="30" t="str">
        <f>IFERROR(INDEX('G-7 WaterC'' Data'!$AZ$3:$AZ$7,MATCH(D61,'G-7 WaterC'' Data'!$AY$3:$AY$7,0)),"")</f>
        <v/>
      </c>
      <c r="AS61" s="30" t="str">
        <f>IFERROR(INDEX('G-7 WaterC'' Data'!AZ61:AZ65,MATCH(D61,'G-7 WaterC'' Data'!$AY$10:$AY$14,0)),"")</f>
        <v/>
      </c>
      <c r="AT61" s="903" t="str">
        <f>IF(AND(OR(AA61="Yes",AA61="Pending"),Q61='G-7 WaterC'' Data'!$G$4),R61-W61-X61,"")</f>
        <v/>
      </c>
      <c r="AU61" s="30" t="str">
        <f>IF(D61="","",VLOOKUP(D61,'G-7 WaterC'' Data'!B$4:M$8,12,FALSE))</f>
        <v/>
      </c>
      <c r="AV61" s="30" t="str">
        <f t="shared" si="0"/>
        <v/>
      </c>
      <c r="AX61" s="30" t="str">
        <f t="shared" si="8"/>
        <v>No</v>
      </c>
    </row>
    <row r="62" spans="3:50" x14ac:dyDescent="0.25">
      <c r="C62" s="101">
        <v>53</v>
      </c>
      <c r="D62" s="267"/>
      <c r="E62" s="119"/>
      <c r="F62" s="281" t="str">
        <f>IF(D62="","",VLOOKUP(D62,'G-7 WaterC'' Data'!$B$2:$G$8,2,FALSE))</f>
        <v/>
      </c>
      <c r="G62" s="282" t="str">
        <f>IFERROR(VLOOKUP(F62,'G-7 WaterC'' Data'!$C$4:$D$8,2,FALSE),"")</f>
        <v/>
      </c>
      <c r="H62" s="52"/>
      <c r="I62" s="282" t="str">
        <f>IFERROR(INDEX('G-7 WaterC'' Data'!$H$4:$L$8,MATCH(D62,'G-7 WaterC'' Data'!$B$4:$B$8,0),MATCH(H62,'G-7 WaterC'' Data'!$H$3:$L$3,0)),"")</f>
        <v/>
      </c>
      <c r="J62" s="793"/>
      <c r="K62" s="317" t="str">
        <f>IF(J62="","",IF(VLOOKUP(J62,'G-7 WaterC'' Data'!$AK$4:$AM$6,2,FALSE)=0,"Spatial Data Missing ⚠",VLOOKUP(J62,'G-7 WaterC'' Data'!$AK$4:$AM$6,2,FALSE)))</f>
        <v/>
      </c>
      <c r="L62" s="287" t="str">
        <f>IF(J62="","",IF(VLOOKUP(J62,'G-7 WaterC'' Data'!$AK$4:$AM$9,3,FALSE)=0,"Spatial Data Missing ⚠",VLOOKUP(J62,'G-7 WaterC'' Data'!$AK$4:$AM$6,3,FALSE)))</f>
        <v/>
      </c>
      <c r="M62" s="52"/>
      <c r="N62" s="282" t="str">
        <f>IF(M62="","",IF(AND(D62&lt;&gt;"Culvert",M62="N/A - Culvert"),"Not possible ▲",IF(AND(D62="Culvert",M62&lt;&gt;"N/A - Culvert"),"Not possible ▲",IF(VLOOKUP(M62,'G-7 WaterC'' Data'!$AA$4:$AB$7,2,FALSE)=0,"Spatial Data Missing ⚠",VLOOKUP(M62,'G-7 WaterC'' Data'!$AA$4:$AB$7,2,FALSE)))))</f>
        <v/>
      </c>
      <c r="O62" s="56"/>
      <c r="P62" s="282" t="str">
        <f>IF(O62="","",IF(AND(O62="N/A - Culvert", D62&lt;&gt;"Culvert"),"Not possible ▲", IF(AND(D62="Culvert",O62&lt;&gt;"N/A - Culvert"),"Not possible ▲",IF(VLOOKUP(O62,'G-7 WaterC'' Data'!$AD$4:$AE$14,2,FALSE)=0,"Spatial Data Missing ⚠",VLOOKUP(O62,'G-7 WaterC'' Data'!$AD$4:$AE$14,2,FALSE)))))</f>
        <v/>
      </c>
      <c r="Q62" s="288" t="str">
        <f>IF(D62="","",VLOOKUP(D62,'G-7 WaterC'' Data'!$B$2:$G$8,6,FALSE))</f>
        <v/>
      </c>
      <c r="R62" s="295" t="str">
        <f t="shared" si="1"/>
        <v xml:space="preserve"> </v>
      </c>
      <c r="S62" s="820" t="str">
        <f t="shared" si="2"/>
        <v/>
      </c>
      <c r="T62" s="32"/>
      <c r="U62" s="105"/>
      <c r="V62" s="112"/>
      <c r="W62" s="293" t="str">
        <f t="shared" si="3"/>
        <v/>
      </c>
      <c r="X62" s="293" t="str">
        <f t="shared" si="4"/>
        <v/>
      </c>
      <c r="Y62" s="293" t="str">
        <f t="shared" si="5"/>
        <v/>
      </c>
      <c r="Z62" s="323" t="str">
        <f>IFERROR(IF(OR(E62="",R62=""),"",  IF(AND(Q62='G-7 WaterC'' Data'!$G$4,AA62="Yes"),"Alternative Compensation ✓", IF(AND(AA62="Pending", Q62='G-7 WaterC'' Data'!$G$4),"Bespoke compensation must be agreed ▲", IF((W62+X62)&gt;=R62, 0, R62-W62-X62)))),"Check Data ⚠")</f>
        <v/>
      </c>
      <c r="AA62" s="817"/>
      <c r="AB62" s="140"/>
      <c r="AC62" s="108"/>
      <c r="AD62" s="108"/>
      <c r="AE62" s="54" t="str">
        <f>IF(OR(Q62="",AA62="Yes"),"",IF(Q62='G-1 All Habitats'!$X$9,E62-U62-V62,"None"))</f>
        <v/>
      </c>
      <c r="AF62" s="55" t="str">
        <f>IF(Q62="","", IF(Q62='G-1 All Habitats'!$X$9, AE62*G62*I62*L62*N62*P62,"None"))</f>
        <v/>
      </c>
      <c r="AI62" s="30">
        <f t="shared" si="9"/>
        <v>0</v>
      </c>
      <c r="AJ62" s="111" t="str">
        <f t="shared" si="6"/>
        <v/>
      </c>
      <c r="AK62" s="111" t="str">
        <f t="shared" si="7"/>
        <v/>
      </c>
      <c r="AM62" s="111">
        <v>53</v>
      </c>
      <c r="AO62" s="111" t="str">
        <f t="array" ref="AO62">IFERROR(INDEX($AM$10:$AM$258, MATCH(0, IF(TRUE=$AJ$10:$AJ$258, COUNTIF($AO$9:$AO61, $AM$10:$AM$258), ""), 0)),"")</f>
        <v/>
      </c>
      <c r="AP62" s="111" t="str">
        <f t="array" ref="AP62">IFERROR(INDEX($AM$10:$AM$258, MATCH(0, IF(TRUE=$AK$10:$AK$258, COUNTIF($AP$9:$AP61, $AM$10:$AM$258), ""), 0)),"")</f>
        <v/>
      </c>
      <c r="AR62" s="30" t="str">
        <f>IFERROR(INDEX('G-7 WaterC'' Data'!$AZ$3:$AZ$7,MATCH(D62,'G-7 WaterC'' Data'!$AY$3:$AY$7,0)),"")</f>
        <v/>
      </c>
      <c r="AS62" s="30" t="str">
        <f>IFERROR(INDEX('G-7 WaterC'' Data'!AZ62:AZ66,MATCH(D62,'G-7 WaterC'' Data'!$AY$10:$AY$14,0)),"")</f>
        <v/>
      </c>
      <c r="AT62" s="903" t="str">
        <f>IF(AND(OR(AA62="Yes",AA62="Pending"),Q62='G-7 WaterC'' Data'!$G$4),R62-W62-X62,"")</f>
        <v/>
      </c>
      <c r="AU62" s="30" t="str">
        <f>IF(D62="","",VLOOKUP(D62,'G-7 WaterC'' Data'!B$4:M$8,12,FALSE))</f>
        <v/>
      </c>
      <c r="AV62" s="30" t="str">
        <f t="shared" si="0"/>
        <v/>
      </c>
      <c r="AX62" s="30" t="str">
        <f t="shared" si="8"/>
        <v>No</v>
      </c>
    </row>
    <row r="63" spans="3:50" x14ac:dyDescent="0.25">
      <c r="C63" s="101">
        <v>54</v>
      </c>
      <c r="D63" s="267"/>
      <c r="E63" s="119"/>
      <c r="F63" s="281" t="str">
        <f>IF(D63="","",VLOOKUP(D63,'G-7 WaterC'' Data'!$B$2:$G$8,2,FALSE))</f>
        <v/>
      </c>
      <c r="G63" s="282" t="str">
        <f>IFERROR(VLOOKUP(F63,'G-7 WaterC'' Data'!$C$4:$D$8,2,FALSE),"")</f>
        <v/>
      </c>
      <c r="H63" s="52"/>
      <c r="I63" s="282" t="str">
        <f>IFERROR(INDEX('G-7 WaterC'' Data'!$H$4:$L$8,MATCH(D63,'G-7 WaterC'' Data'!$B$4:$B$8,0),MATCH(H63,'G-7 WaterC'' Data'!$H$3:$L$3,0)),"")</f>
        <v/>
      </c>
      <c r="J63" s="793"/>
      <c r="K63" s="317" t="str">
        <f>IF(J63="","",IF(VLOOKUP(J63,'G-7 WaterC'' Data'!$AK$4:$AM$6,2,FALSE)=0,"Spatial Data Missing ⚠",VLOOKUP(J63,'G-7 WaterC'' Data'!$AK$4:$AM$6,2,FALSE)))</f>
        <v/>
      </c>
      <c r="L63" s="287" t="str">
        <f>IF(J63="","",IF(VLOOKUP(J63,'G-7 WaterC'' Data'!$AK$4:$AM$9,3,FALSE)=0,"Spatial Data Missing ⚠",VLOOKUP(J63,'G-7 WaterC'' Data'!$AK$4:$AM$6,3,FALSE)))</f>
        <v/>
      </c>
      <c r="M63" s="52"/>
      <c r="N63" s="282" t="str">
        <f>IF(M63="","",IF(AND(D63&lt;&gt;"Culvert",M63="N/A - Culvert"),"Not possible ▲",IF(AND(D63="Culvert",M63&lt;&gt;"N/A - Culvert"),"Not possible ▲",IF(VLOOKUP(M63,'G-7 WaterC'' Data'!$AA$4:$AB$7,2,FALSE)=0,"Spatial Data Missing ⚠",VLOOKUP(M63,'G-7 WaterC'' Data'!$AA$4:$AB$7,2,FALSE)))))</f>
        <v/>
      </c>
      <c r="O63" s="56"/>
      <c r="P63" s="282" t="str">
        <f>IF(O63="","",IF(AND(O63="N/A - Culvert", D63&lt;&gt;"Culvert"),"Not possible ▲", IF(AND(D63="Culvert",O63&lt;&gt;"N/A - Culvert"),"Not possible ▲",IF(VLOOKUP(O63,'G-7 WaterC'' Data'!$AD$4:$AE$14,2,FALSE)=0,"Spatial Data Missing ⚠",VLOOKUP(O63,'G-7 WaterC'' Data'!$AD$4:$AE$14,2,FALSE)))))</f>
        <v/>
      </c>
      <c r="Q63" s="288" t="str">
        <f>IF(D63="","",VLOOKUP(D63,'G-7 WaterC'' Data'!$B$2:$G$8,6,FALSE))</f>
        <v/>
      </c>
      <c r="R63" s="295" t="str">
        <f t="shared" si="1"/>
        <v xml:space="preserve"> </v>
      </c>
      <c r="S63" s="820" t="str">
        <f t="shared" si="2"/>
        <v/>
      </c>
      <c r="T63" s="32"/>
      <c r="U63" s="105"/>
      <c r="V63" s="112"/>
      <c r="W63" s="293" t="str">
        <f t="shared" si="3"/>
        <v/>
      </c>
      <c r="X63" s="293" t="str">
        <f t="shared" si="4"/>
        <v/>
      </c>
      <c r="Y63" s="293" t="str">
        <f t="shared" si="5"/>
        <v/>
      </c>
      <c r="Z63" s="323" t="str">
        <f>IFERROR(IF(OR(E63="",R63=""),"",  IF(AND(Q63='G-7 WaterC'' Data'!$G$4,AA63="Yes"),"Alternative Compensation ✓", IF(AND(AA63="Pending", Q63='G-7 WaterC'' Data'!$G$4),"Bespoke compensation must be agreed ▲", IF((W63+X63)&gt;=R63, 0, R63-W63-X63)))),"Check Data ⚠")</f>
        <v/>
      </c>
      <c r="AA63" s="817"/>
      <c r="AB63" s="140"/>
      <c r="AC63" s="108"/>
      <c r="AD63" s="108"/>
      <c r="AE63" s="54" t="str">
        <f>IF(OR(Q63="",AA63="Yes"),"",IF(Q63='G-1 All Habitats'!$X$9,E63-U63-V63,"None"))</f>
        <v/>
      </c>
      <c r="AF63" s="55" t="str">
        <f>IF(Q63="","", IF(Q63='G-1 All Habitats'!$X$9, AE63*G63*I63*L63*N63*P63,"None"))</f>
        <v/>
      </c>
      <c r="AI63" s="30">
        <f t="shared" si="9"/>
        <v>0</v>
      </c>
      <c r="AJ63" s="111" t="str">
        <f t="shared" si="6"/>
        <v/>
      </c>
      <c r="AK63" s="111" t="str">
        <f t="shared" si="7"/>
        <v/>
      </c>
      <c r="AM63" s="111">
        <v>54</v>
      </c>
      <c r="AO63" s="111" t="str">
        <f t="array" ref="AO63">IFERROR(INDEX($AM$10:$AM$258, MATCH(0, IF(TRUE=$AJ$10:$AJ$258, COUNTIF($AO$9:$AO62, $AM$10:$AM$258), ""), 0)),"")</f>
        <v/>
      </c>
      <c r="AP63" s="111" t="str">
        <f t="array" ref="AP63">IFERROR(INDEX($AM$10:$AM$258, MATCH(0, IF(TRUE=$AK$10:$AK$258, COUNTIF($AP$9:$AP62, $AM$10:$AM$258), ""), 0)),"")</f>
        <v/>
      </c>
      <c r="AR63" s="30" t="str">
        <f>IFERROR(INDEX('G-7 WaterC'' Data'!$AZ$3:$AZ$7,MATCH(D63,'G-7 WaterC'' Data'!$AY$3:$AY$7,0)),"")</f>
        <v/>
      </c>
      <c r="AS63" s="30" t="str">
        <f>IFERROR(INDEX('G-7 WaterC'' Data'!AZ63:AZ67,MATCH(D63,'G-7 WaterC'' Data'!$AY$10:$AY$14,0)),"")</f>
        <v/>
      </c>
      <c r="AT63" s="903" t="str">
        <f>IF(AND(OR(AA63="Yes",AA63="Pending"),Q63='G-7 WaterC'' Data'!$G$4),R63-W63-X63,"")</f>
        <v/>
      </c>
      <c r="AU63" s="30" t="str">
        <f>IF(D63="","",VLOOKUP(D63,'G-7 WaterC'' Data'!B$4:M$8,12,FALSE))</f>
        <v/>
      </c>
      <c r="AV63" s="30" t="str">
        <f t="shared" si="0"/>
        <v/>
      </c>
      <c r="AX63" s="30" t="str">
        <f t="shared" si="8"/>
        <v>No</v>
      </c>
    </row>
    <row r="64" spans="3:50" x14ac:dyDescent="0.25">
      <c r="C64" s="101">
        <v>55</v>
      </c>
      <c r="D64" s="267"/>
      <c r="E64" s="119"/>
      <c r="F64" s="281" t="str">
        <f>IF(D64="","",VLOOKUP(D64,'G-7 WaterC'' Data'!$B$2:$G$8,2,FALSE))</f>
        <v/>
      </c>
      <c r="G64" s="282" t="str">
        <f>IFERROR(VLOOKUP(F64,'G-7 WaterC'' Data'!$C$4:$D$8,2,FALSE),"")</f>
        <v/>
      </c>
      <c r="H64" s="52"/>
      <c r="I64" s="282" t="str">
        <f>IFERROR(INDEX('G-7 WaterC'' Data'!$H$4:$L$8,MATCH(D64,'G-7 WaterC'' Data'!$B$4:$B$8,0),MATCH(H64,'G-7 WaterC'' Data'!$H$3:$L$3,0)),"")</f>
        <v/>
      </c>
      <c r="J64" s="793"/>
      <c r="K64" s="317" t="str">
        <f>IF(J64="","",IF(VLOOKUP(J64,'G-7 WaterC'' Data'!$AK$4:$AM$6,2,FALSE)=0,"Spatial Data Missing ⚠",VLOOKUP(J64,'G-7 WaterC'' Data'!$AK$4:$AM$6,2,FALSE)))</f>
        <v/>
      </c>
      <c r="L64" s="287" t="str">
        <f>IF(J64="","",IF(VLOOKUP(J64,'G-7 WaterC'' Data'!$AK$4:$AM$9,3,FALSE)=0,"Spatial Data Missing ⚠",VLOOKUP(J64,'G-7 WaterC'' Data'!$AK$4:$AM$6,3,FALSE)))</f>
        <v/>
      </c>
      <c r="M64" s="52"/>
      <c r="N64" s="282" t="str">
        <f>IF(M64="","",IF(AND(D64&lt;&gt;"Culvert",M64="N/A - Culvert"),"Not possible ▲",IF(AND(D64="Culvert",M64&lt;&gt;"N/A - Culvert"),"Not possible ▲",IF(VLOOKUP(M64,'G-7 WaterC'' Data'!$AA$4:$AB$7,2,FALSE)=0,"Spatial Data Missing ⚠",VLOOKUP(M64,'G-7 WaterC'' Data'!$AA$4:$AB$7,2,FALSE)))))</f>
        <v/>
      </c>
      <c r="O64" s="56"/>
      <c r="P64" s="282" t="str">
        <f>IF(O64="","",IF(AND(O64="N/A - Culvert", D64&lt;&gt;"Culvert"),"Not possible ▲", IF(AND(D64="Culvert",O64&lt;&gt;"N/A - Culvert"),"Not possible ▲",IF(VLOOKUP(O64,'G-7 WaterC'' Data'!$AD$4:$AE$14,2,FALSE)=0,"Spatial Data Missing ⚠",VLOOKUP(O64,'G-7 WaterC'' Data'!$AD$4:$AE$14,2,FALSE)))))</f>
        <v/>
      </c>
      <c r="Q64" s="288" t="str">
        <f>IF(D64="","",VLOOKUP(D64,'G-7 WaterC'' Data'!$B$2:$G$8,6,FALSE))</f>
        <v/>
      </c>
      <c r="R64" s="295" t="str">
        <f t="shared" si="1"/>
        <v xml:space="preserve"> </v>
      </c>
      <c r="S64" s="820" t="str">
        <f t="shared" si="2"/>
        <v/>
      </c>
      <c r="T64" s="32"/>
      <c r="U64" s="105"/>
      <c r="V64" s="112"/>
      <c r="W64" s="293" t="str">
        <f t="shared" si="3"/>
        <v/>
      </c>
      <c r="X64" s="293" t="str">
        <f t="shared" si="4"/>
        <v/>
      </c>
      <c r="Y64" s="293" t="str">
        <f t="shared" si="5"/>
        <v/>
      </c>
      <c r="Z64" s="323" t="str">
        <f>IFERROR(IF(OR(E64="",R64=""),"",  IF(AND(Q64='G-7 WaterC'' Data'!$G$4,AA64="Yes"),"Alternative Compensation ✓", IF(AND(AA64="Pending", Q64='G-7 WaterC'' Data'!$G$4),"Bespoke compensation must be agreed ▲", IF((W64+X64)&gt;=R64, 0, R64-W64-X64)))),"Check Data ⚠")</f>
        <v/>
      </c>
      <c r="AA64" s="817"/>
      <c r="AB64" s="140"/>
      <c r="AC64" s="108"/>
      <c r="AD64" s="108"/>
      <c r="AE64" s="54" t="str">
        <f>IF(OR(Q64="",AA64="Yes"),"",IF(Q64='G-1 All Habitats'!$X$9,E64-U64-V64,"None"))</f>
        <v/>
      </c>
      <c r="AF64" s="55" t="str">
        <f>IF(Q64="","", IF(Q64='G-1 All Habitats'!$X$9, AE64*G64*I64*L64*N64*P64,"None"))</f>
        <v/>
      </c>
      <c r="AI64" s="30">
        <f t="shared" si="9"/>
        <v>0</v>
      </c>
      <c r="AJ64" s="111" t="str">
        <f t="shared" si="6"/>
        <v/>
      </c>
      <c r="AK64" s="111" t="str">
        <f t="shared" si="7"/>
        <v/>
      </c>
      <c r="AM64" s="111">
        <v>55</v>
      </c>
      <c r="AO64" s="111" t="str">
        <f t="array" ref="AO64">IFERROR(INDEX($AM$10:$AM$258, MATCH(0, IF(TRUE=$AJ$10:$AJ$258, COUNTIF($AO$9:$AO63, $AM$10:$AM$258), ""), 0)),"")</f>
        <v/>
      </c>
      <c r="AP64" s="111" t="str">
        <f t="array" ref="AP64">IFERROR(INDEX($AM$10:$AM$258, MATCH(0, IF(TRUE=$AK$10:$AK$258, COUNTIF($AP$9:$AP63, $AM$10:$AM$258), ""), 0)),"")</f>
        <v/>
      </c>
      <c r="AR64" s="30" t="str">
        <f>IFERROR(INDEX('G-7 WaterC'' Data'!$AZ$3:$AZ$7,MATCH(D64,'G-7 WaterC'' Data'!$AY$3:$AY$7,0)),"")</f>
        <v/>
      </c>
      <c r="AS64" s="30" t="str">
        <f>IFERROR(INDEX('G-7 WaterC'' Data'!AZ64:AZ68,MATCH(D64,'G-7 WaterC'' Data'!$AY$10:$AY$14,0)),"")</f>
        <v/>
      </c>
      <c r="AT64" s="903" t="str">
        <f>IF(AND(OR(AA64="Yes",AA64="Pending"),Q64='G-7 WaterC'' Data'!$G$4),R64-W64-X64,"")</f>
        <v/>
      </c>
      <c r="AU64" s="30" t="str">
        <f>IF(D64="","",VLOOKUP(D64,'G-7 WaterC'' Data'!B$4:M$8,12,FALSE))</f>
        <v/>
      </c>
      <c r="AV64" s="30" t="str">
        <f t="shared" si="0"/>
        <v/>
      </c>
      <c r="AX64" s="30" t="str">
        <f t="shared" si="8"/>
        <v>No</v>
      </c>
    </row>
    <row r="65" spans="3:50" x14ac:dyDescent="0.25">
      <c r="C65" s="101">
        <v>56</v>
      </c>
      <c r="D65" s="267"/>
      <c r="E65" s="119"/>
      <c r="F65" s="281" t="str">
        <f>IF(D65="","",VLOOKUP(D65,'G-7 WaterC'' Data'!$B$2:$G$8,2,FALSE))</f>
        <v/>
      </c>
      <c r="G65" s="282" t="str">
        <f>IFERROR(VLOOKUP(F65,'G-7 WaterC'' Data'!$C$4:$D$8,2,FALSE),"")</f>
        <v/>
      </c>
      <c r="H65" s="52"/>
      <c r="I65" s="282" t="str">
        <f>IFERROR(INDEX('G-7 WaterC'' Data'!$H$4:$L$8,MATCH(D65,'G-7 WaterC'' Data'!$B$4:$B$8,0),MATCH(H65,'G-7 WaterC'' Data'!$H$3:$L$3,0)),"")</f>
        <v/>
      </c>
      <c r="J65" s="793"/>
      <c r="K65" s="317" t="str">
        <f>IF(J65="","",IF(VLOOKUP(J65,'G-7 WaterC'' Data'!$AK$4:$AM$6,2,FALSE)=0,"Spatial Data Missing ⚠",VLOOKUP(J65,'G-7 WaterC'' Data'!$AK$4:$AM$6,2,FALSE)))</f>
        <v/>
      </c>
      <c r="L65" s="287" t="str">
        <f>IF(J65="","",IF(VLOOKUP(J65,'G-7 WaterC'' Data'!$AK$4:$AM$9,3,FALSE)=0,"Spatial Data Missing ⚠",VLOOKUP(J65,'G-7 WaterC'' Data'!$AK$4:$AM$6,3,FALSE)))</f>
        <v/>
      </c>
      <c r="M65" s="52"/>
      <c r="N65" s="282" t="str">
        <f>IF(M65="","",IF(AND(D65&lt;&gt;"Culvert",M65="N/A - Culvert"),"Not possible ▲",IF(AND(D65="Culvert",M65&lt;&gt;"N/A - Culvert"),"Not possible ▲",IF(VLOOKUP(M65,'G-7 WaterC'' Data'!$AA$4:$AB$7,2,FALSE)=0,"Spatial Data Missing ⚠",VLOOKUP(M65,'G-7 WaterC'' Data'!$AA$4:$AB$7,2,FALSE)))))</f>
        <v/>
      </c>
      <c r="O65" s="56"/>
      <c r="P65" s="282" t="str">
        <f>IF(O65="","",IF(AND(O65="N/A - Culvert", D65&lt;&gt;"Culvert"),"Not possible ▲", IF(AND(D65="Culvert",O65&lt;&gt;"N/A - Culvert"),"Not possible ▲",IF(VLOOKUP(O65,'G-7 WaterC'' Data'!$AD$4:$AE$14,2,FALSE)=0,"Spatial Data Missing ⚠",VLOOKUP(O65,'G-7 WaterC'' Data'!$AD$4:$AE$14,2,FALSE)))))</f>
        <v/>
      </c>
      <c r="Q65" s="288" t="str">
        <f>IF(D65="","",VLOOKUP(D65,'G-7 WaterC'' Data'!$B$2:$G$8,6,FALSE))</f>
        <v/>
      </c>
      <c r="R65" s="295" t="str">
        <f t="shared" si="1"/>
        <v xml:space="preserve"> </v>
      </c>
      <c r="S65" s="820" t="str">
        <f t="shared" si="2"/>
        <v/>
      </c>
      <c r="T65" s="32"/>
      <c r="U65" s="105"/>
      <c r="V65" s="112"/>
      <c r="W65" s="293" t="str">
        <f t="shared" si="3"/>
        <v/>
      </c>
      <c r="X65" s="293" t="str">
        <f t="shared" si="4"/>
        <v/>
      </c>
      <c r="Y65" s="293" t="str">
        <f t="shared" si="5"/>
        <v/>
      </c>
      <c r="Z65" s="323" t="str">
        <f>IFERROR(IF(OR(E65="",R65=""),"",  IF(AND(Q65='G-7 WaterC'' Data'!$G$4,AA65="Yes"),"Alternative Compensation ✓", IF(AND(AA65="Pending", Q65='G-7 WaterC'' Data'!$G$4),"Bespoke compensation must be agreed ▲", IF((W65+X65)&gt;=R65, 0, R65-W65-X65)))),"Check Data ⚠")</f>
        <v/>
      </c>
      <c r="AA65" s="817"/>
      <c r="AB65" s="140"/>
      <c r="AC65" s="108"/>
      <c r="AD65" s="108"/>
      <c r="AE65" s="54" t="str">
        <f>IF(OR(Q65="",AA65="Yes"),"",IF(Q65='G-1 All Habitats'!$X$9,E65-U65-V65,"None"))</f>
        <v/>
      </c>
      <c r="AF65" s="55" t="str">
        <f>IF(Q65="","", IF(Q65='G-1 All Habitats'!$X$9, AE65*G65*I65*L65*N65*P65,"None"))</f>
        <v/>
      </c>
      <c r="AI65" s="30">
        <f t="shared" si="9"/>
        <v>0</v>
      </c>
      <c r="AJ65" s="111" t="str">
        <f t="shared" si="6"/>
        <v/>
      </c>
      <c r="AK65" s="111" t="str">
        <f t="shared" si="7"/>
        <v/>
      </c>
      <c r="AM65" s="111">
        <v>56</v>
      </c>
      <c r="AO65" s="111" t="str">
        <f t="array" ref="AO65">IFERROR(INDEX($AM$10:$AM$258, MATCH(0, IF(TRUE=$AJ$10:$AJ$258, COUNTIF($AO$9:$AO64, $AM$10:$AM$258), ""), 0)),"")</f>
        <v/>
      </c>
      <c r="AP65" s="111" t="str">
        <f t="array" ref="AP65">IFERROR(INDEX($AM$10:$AM$258, MATCH(0, IF(TRUE=$AK$10:$AK$258, COUNTIF($AP$9:$AP64, $AM$10:$AM$258), ""), 0)),"")</f>
        <v/>
      </c>
      <c r="AR65" s="30" t="str">
        <f>IFERROR(INDEX('G-7 WaterC'' Data'!$AZ$3:$AZ$7,MATCH(D65,'G-7 WaterC'' Data'!$AY$3:$AY$7,0)),"")</f>
        <v/>
      </c>
      <c r="AS65" s="30" t="str">
        <f>IFERROR(INDEX('G-7 WaterC'' Data'!AZ65:AZ69,MATCH(D65,'G-7 WaterC'' Data'!$AY$10:$AY$14,0)),"")</f>
        <v/>
      </c>
      <c r="AT65" s="903" t="str">
        <f>IF(AND(OR(AA65="Yes",AA65="Pending"),Q65='G-7 WaterC'' Data'!$G$4),R65-W65-X65,"")</f>
        <v/>
      </c>
      <c r="AU65" s="30" t="str">
        <f>IF(D65="","",VLOOKUP(D65,'G-7 WaterC'' Data'!B$4:M$8,12,FALSE))</f>
        <v/>
      </c>
      <c r="AV65" s="30" t="str">
        <f t="shared" si="0"/>
        <v/>
      </c>
      <c r="AX65" s="30" t="str">
        <f t="shared" si="8"/>
        <v>No</v>
      </c>
    </row>
    <row r="66" spans="3:50" x14ac:dyDescent="0.25">
      <c r="C66" s="101">
        <v>57</v>
      </c>
      <c r="D66" s="267"/>
      <c r="E66" s="119"/>
      <c r="F66" s="281" t="str">
        <f>IF(D66="","",VLOOKUP(D66,'G-7 WaterC'' Data'!$B$2:$G$8,2,FALSE))</f>
        <v/>
      </c>
      <c r="G66" s="282" t="str">
        <f>IFERROR(VLOOKUP(F66,'G-7 WaterC'' Data'!$C$4:$D$8,2,FALSE),"")</f>
        <v/>
      </c>
      <c r="H66" s="52"/>
      <c r="I66" s="282" t="str">
        <f>IFERROR(INDEX('G-7 WaterC'' Data'!$H$4:$L$8,MATCH(D66,'G-7 WaterC'' Data'!$B$4:$B$8,0),MATCH(H66,'G-7 WaterC'' Data'!$H$3:$L$3,0)),"")</f>
        <v/>
      </c>
      <c r="J66" s="793"/>
      <c r="K66" s="317" t="str">
        <f>IF(J66="","",IF(VLOOKUP(J66,'G-7 WaterC'' Data'!$AK$4:$AM$6,2,FALSE)=0,"Spatial Data Missing ⚠",VLOOKUP(J66,'G-7 WaterC'' Data'!$AK$4:$AM$6,2,FALSE)))</f>
        <v/>
      </c>
      <c r="L66" s="287" t="str">
        <f>IF(J66="","",IF(VLOOKUP(J66,'G-7 WaterC'' Data'!$AK$4:$AM$9,3,FALSE)=0,"Spatial Data Missing ⚠",VLOOKUP(J66,'G-7 WaterC'' Data'!$AK$4:$AM$6,3,FALSE)))</f>
        <v/>
      </c>
      <c r="M66" s="52"/>
      <c r="N66" s="282" t="str">
        <f>IF(M66="","",IF(AND(D66&lt;&gt;"Culvert",M66="N/A - Culvert"),"Not possible ▲",IF(AND(D66="Culvert",M66&lt;&gt;"N/A - Culvert"),"Not possible ▲",IF(VLOOKUP(M66,'G-7 WaterC'' Data'!$AA$4:$AB$7,2,FALSE)=0,"Spatial Data Missing ⚠",VLOOKUP(M66,'G-7 WaterC'' Data'!$AA$4:$AB$7,2,FALSE)))))</f>
        <v/>
      </c>
      <c r="O66" s="56"/>
      <c r="P66" s="282" t="str">
        <f>IF(O66="","",IF(AND(O66="N/A - Culvert", D66&lt;&gt;"Culvert"),"Not possible ▲", IF(AND(D66="Culvert",O66&lt;&gt;"N/A - Culvert"),"Not possible ▲",IF(VLOOKUP(O66,'G-7 WaterC'' Data'!$AD$4:$AE$14,2,FALSE)=0,"Spatial Data Missing ⚠",VLOOKUP(O66,'G-7 WaterC'' Data'!$AD$4:$AE$14,2,FALSE)))))</f>
        <v/>
      </c>
      <c r="Q66" s="288" t="str">
        <f>IF(D66="","",VLOOKUP(D66,'G-7 WaterC'' Data'!$B$2:$G$8,6,FALSE))</f>
        <v/>
      </c>
      <c r="R66" s="295" t="str">
        <f t="shared" si="1"/>
        <v xml:space="preserve"> </v>
      </c>
      <c r="S66" s="820" t="str">
        <f t="shared" si="2"/>
        <v/>
      </c>
      <c r="T66" s="32"/>
      <c r="U66" s="105"/>
      <c r="V66" s="112"/>
      <c r="W66" s="293" t="str">
        <f t="shared" si="3"/>
        <v/>
      </c>
      <c r="X66" s="293" t="str">
        <f t="shared" si="4"/>
        <v/>
      </c>
      <c r="Y66" s="293" t="str">
        <f t="shared" si="5"/>
        <v/>
      </c>
      <c r="Z66" s="323" t="str">
        <f>IFERROR(IF(OR(E66="",R66=""),"",  IF(AND(Q66='G-7 WaterC'' Data'!$G$4,AA66="Yes"),"Alternative Compensation ✓", IF(AND(AA66="Pending", Q66='G-7 WaterC'' Data'!$G$4),"Bespoke compensation must be agreed ▲", IF((W66+X66)&gt;=R66, 0, R66-W66-X66)))),"Check Data ⚠")</f>
        <v/>
      </c>
      <c r="AA66" s="817"/>
      <c r="AB66" s="140"/>
      <c r="AC66" s="108"/>
      <c r="AD66" s="108"/>
      <c r="AE66" s="54" t="str">
        <f>IF(OR(Q66="",AA66="Yes"),"",IF(Q66='G-1 All Habitats'!$X$9,E66-U66-V66,"None"))</f>
        <v/>
      </c>
      <c r="AF66" s="55" t="str">
        <f>IF(Q66="","", IF(Q66='G-1 All Habitats'!$X$9, AE66*G66*I66*L66*N66*P66,"None"))</f>
        <v/>
      </c>
      <c r="AI66" s="30">
        <f t="shared" si="9"/>
        <v>0</v>
      </c>
      <c r="AJ66" s="111" t="str">
        <f t="shared" si="6"/>
        <v/>
      </c>
      <c r="AK66" s="111" t="str">
        <f t="shared" si="7"/>
        <v/>
      </c>
      <c r="AM66" s="111">
        <v>57</v>
      </c>
      <c r="AO66" s="111" t="str">
        <f t="array" ref="AO66">IFERROR(INDEX($AM$10:$AM$258, MATCH(0, IF(TRUE=$AJ$10:$AJ$258, COUNTIF($AO$9:$AO65, $AM$10:$AM$258), ""), 0)),"")</f>
        <v/>
      </c>
      <c r="AP66" s="111" t="str">
        <f t="array" ref="AP66">IFERROR(INDEX($AM$10:$AM$258, MATCH(0, IF(TRUE=$AK$10:$AK$258, COUNTIF($AP$9:$AP65, $AM$10:$AM$258), ""), 0)),"")</f>
        <v/>
      </c>
      <c r="AR66" s="30" t="str">
        <f>IFERROR(INDEX('G-7 WaterC'' Data'!$AZ$3:$AZ$7,MATCH(D66,'G-7 WaterC'' Data'!$AY$3:$AY$7,0)),"")</f>
        <v/>
      </c>
      <c r="AS66" s="30" t="str">
        <f>IFERROR(INDEX('G-7 WaterC'' Data'!AZ66:AZ70,MATCH(D66,'G-7 WaterC'' Data'!$AY$10:$AY$14,0)),"")</f>
        <v/>
      </c>
      <c r="AT66" s="903" t="str">
        <f>IF(AND(OR(AA66="Yes",AA66="Pending"),Q66='G-7 WaterC'' Data'!$G$4),R66-W66-X66,"")</f>
        <v/>
      </c>
      <c r="AU66" s="30" t="str">
        <f>IF(D66="","",VLOOKUP(D66,'G-7 WaterC'' Data'!B$4:M$8,12,FALSE))</f>
        <v/>
      </c>
      <c r="AV66" s="30" t="str">
        <f t="shared" si="0"/>
        <v/>
      </c>
      <c r="AX66" s="30" t="str">
        <f t="shared" si="8"/>
        <v>No</v>
      </c>
    </row>
    <row r="67" spans="3:50" x14ac:dyDescent="0.25">
      <c r="C67" s="101">
        <v>58</v>
      </c>
      <c r="D67" s="267"/>
      <c r="E67" s="119"/>
      <c r="F67" s="281" t="str">
        <f>IF(D67="","",VLOOKUP(D67,'G-7 WaterC'' Data'!$B$2:$G$8,2,FALSE))</f>
        <v/>
      </c>
      <c r="G67" s="282" t="str">
        <f>IFERROR(VLOOKUP(F67,'G-7 WaterC'' Data'!$C$4:$D$8,2,FALSE),"")</f>
        <v/>
      </c>
      <c r="H67" s="52"/>
      <c r="I67" s="282" t="str">
        <f>IFERROR(INDEX('G-7 WaterC'' Data'!$H$4:$L$8,MATCH(D67,'G-7 WaterC'' Data'!$B$4:$B$8,0),MATCH(H67,'G-7 WaterC'' Data'!$H$3:$L$3,0)),"")</f>
        <v/>
      </c>
      <c r="J67" s="793"/>
      <c r="K67" s="317" t="str">
        <f>IF(J67="","",IF(VLOOKUP(J67,'G-7 WaterC'' Data'!$AK$4:$AM$6,2,FALSE)=0,"Spatial Data Missing ⚠",VLOOKUP(J67,'G-7 WaterC'' Data'!$AK$4:$AM$6,2,FALSE)))</f>
        <v/>
      </c>
      <c r="L67" s="287" t="str">
        <f>IF(J67="","",IF(VLOOKUP(J67,'G-7 WaterC'' Data'!$AK$4:$AM$9,3,FALSE)=0,"Spatial Data Missing ⚠",VLOOKUP(J67,'G-7 WaterC'' Data'!$AK$4:$AM$6,3,FALSE)))</f>
        <v/>
      </c>
      <c r="M67" s="52"/>
      <c r="N67" s="282" t="str">
        <f>IF(M67="","",IF(AND(D67&lt;&gt;"Culvert",M67="N/A - Culvert"),"Not possible ▲",IF(AND(D67="Culvert",M67&lt;&gt;"N/A - Culvert"),"Not possible ▲",IF(VLOOKUP(M67,'G-7 WaterC'' Data'!$AA$4:$AB$7,2,FALSE)=0,"Spatial Data Missing ⚠",VLOOKUP(M67,'G-7 WaterC'' Data'!$AA$4:$AB$7,2,FALSE)))))</f>
        <v/>
      </c>
      <c r="O67" s="56"/>
      <c r="P67" s="282" t="str">
        <f>IF(O67="","",IF(AND(O67="N/A - Culvert", D67&lt;&gt;"Culvert"),"Not possible ▲", IF(AND(D67="Culvert",O67&lt;&gt;"N/A - Culvert"),"Not possible ▲",IF(VLOOKUP(O67,'G-7 WaterC'' Data'!$AD$4:$AE$14,2,FALSE)=0,"Spatial Data Missing ⚠",VLOOKUP(O67,'G-7 WaterC'' Data'!$AD$4:$AE$14,2,FALSE)))))</f>
        <v/>
      </c>
      <c r="Q67" s="288" t="str">
        <f>IF(D67="","",VLOOKUP(D67,'G-7 WaterC'' Data'!$B$2:$G$8,6,FALSE))</f>
        <v/>
      </c>
      <c r="R67" s="295" t="str">
        <f t="shared" si="1"/>
        <v xml:space="preserve"> </v>
      </c>
      <c r="S67" s="820" t="str">
        <f t="shared" si="2"/>
        <v/>
      </c>
      <c r="T67" s="32"/>
      <c r="U67" s="105"/>
      <c r="V67" s="112"/>
      <c r="W67" s="293" t="str">
        <f t="shared" si="3"/>
        <v/>
      </c>
      <c r="X67" s="293" t="str">
        <f t="shared" si="4"/>
        <v/>
      </c>
      <c r="Y67" s="293" t="str">
        <f t="shared" si="5"/>
        <v/>
      </c>
      <c r="Z67" s="323" t="str">
        <f>IFERROR(IF(OR(E67="",R67=""),"",  IF(AND(Q67='G-7 WaterC'' Data'!$G$4,AA67="Yes"),"Alternative Compensation ✓", IF(AND(AA67="Pending", Q67='G-7 WaterC'' Data'!$G$4),"Bespoke compensation must be agreed ▲", IF((W67+X67)&gt;=R67, 0, R67-W67-X67)))),"Check Data ⚠")</f>
        <v/>
      </c>
      <c r="AA67" s="817"/>
      <c r="AB67" s="140"/>
      <c r="AC67" s="108"/>
      <c r="AD67" s="108"/>
      <c r="AE67" s="54" t="str">
        <f>IF(OR(Q67="",AA67="Yes"),"",IF(Q67='G-1 All Habitats'!$X$9,E67-U67-V67,"None"))</f>
        <v/>
      </c>
      <c r="AF67" s="55" t="str">
        <f>IF(Q67="","", IF(Q67='G-1 All Habitats'!$X$9, AE67*G67*I67*L67*N67*P67,"None"))</f>
        <v/>
      </c>
      <c r="AI67" s="30">
        <f t="shared" si="9"/>
        <v>0</v>
      </c>
      <c r="AJ67" s="111" t="str">
        <f t="shared" si="6"/>
        <v/>
      </c>
      <c r="AK67" s="111" t="str">
        <f t="shared" si="7"/>
        <v/>
      </c>
      <c r="AM67" s="111">
        <v>58</v>
      </c>
      <c r="AO67" s="111" t="str">
        <f t="array" ref="AO67">IFERROR(INDEX($AM$10:$AM$258, MATCH(0, IF(TRUE=$AJ$10:$AJ$258, COUNTIF($AO$9:$AO66, $AM$10:$AM$258), ""), 0)),"")</f>
        <v/>
      </c>
      <c r="AP67" s="111" t="str">
        <f t="array" ref="AP67">IFERROR(INDEX($AM$10:$AM$258, MATCH(0, IF(TRUE=$AK$10:$AK$258, COUNTIF($AP$9:$AP66, $AM$10:$AM$258), ""), 0)),"")</f>
        <v/>
      </c>
      <c r="AR67" s="30" t="str">
        <f>IFERROR(INDEX('G-7 WaterC'' Data'!$AZ$3:$AZ$7,MATCH(D67,'G-7 WaterC'' Data'!$AY$3:$AY$7,0)),"")</f>
        <v/>
      </c>
      <c r="AS67" s="30" t="str">
        <f>IFERROR(INDEX('G-7 WaterC'' Data'!AZ67:AZ71,MATCH(D67,'G-7 WaterC'' Data'!$AY$10:$AY$14,0)),"")</f>
        <v/>
      </c>
      <c r="AT67" s="903" t="str">
        <f>IF(AND(OR(AA67="Yes",AA67="Pending"),Q67='G-7 WaterC'' Data'!$G$4),R67-W67-X67,"")</f>
        <v/>
      </c>
      <c r="AU67" s="30" t="str">
        <f>IF(D67="","",VLOOKUP(D67,'G-7 WaterC'' Data'!B$4:M$8,12,FALSE))</f>
        <v/>
      </c>
      <c r="AV67" s="30" t="str">
        <f t="shared" si="0"/>
        <v/>
      </c>
      <c r="AX67" s="30" t="str">
        <f t="shared" si="8"/>
        <v>No</v>
      </c>
    </row>
    <row r="68" spans="3:50" x14ac:dyDescent="0.25">
      <c r="C68" s="101">
        <v>59</v>
      </c>
      <c r="D68" s="267"/>
      <c r="E68" s="119"/>
      <c r="F68" s="281" t="str">
        <f>IF(D68="","",VLOOKUP(D68,'G-7 WaterC'' Data'!$B$2:$G$8,2,FALSE))</f>
        <v/>
      </c>
      <c r="G68" s="282" t="str">
        <f>IFERROR(VLOOKUP(F68,'G-7 WaterC'' Data'!$C$4:$D$8,2,FALSE),"")</f>
        <v/>
      </c>
      <c r="H68" s="52"/>
      <c r="I68" s="282" t="str">
        <f>IFERROR(INDEX('G-7 WaterC'' Data'!$H$4:$L$8,MATCH(D68,'G-7 WaterC'' Data'!$B$4:$B$8,0),MATCH(H68,'G-7 WaterC'' Data'!$H$3:$L$3,0)),"")</f>
        <v/>
      </c>
      <c r="J68" s="793"/>
      <c r="K68" s="317" t="str">
        <f>IF(J68="","",IF(VLOOKUP(J68,'G-7 WaterC'' Data'!$AK$4:$AM$6,2,FALSE)=0,"Spatial Data Missing ⚠",VLOOKUP(J68,'G-7 WaterC'' Data'!$AK$4:$AM$6,2,FALSE)))</f>
        <v/>
      </c>
      <c r="L68" s="287" t="str">
        <f>IF(J68="","",IF(VLOOKUP(J68,'G-7 WaterC'' Data'!$AK$4:$AM$9,3,FALSE)=0,"Spatial Data Missing ⚠",VLOOKUP(J68,'G-7 WaterC'' Data'!$AK$4:$AM$6,3,FALSE)))</f>
        <v/>
      </c>
      <c r="M68" s="52"/>
      <c r="N68" s="282" t="str">
        <f>IF(M68="","",IF(AND(D68&lt;&gt;"Culvert",M68="N/A - Culvert"),"Not possible ▲",IF(AND(D68="Culvert",M68&lt;&gt;"N/A - Culvert"),"Not possible ▲",IF(VLOOKUP(M68,'G-7 WaterC'' Data'!$AA$4:$AB$7,2,FALSE)=0,"Spatial Data Missing ⚠",VLOOKUP(M68,'G-7 WaterC'' Data'!$AA$4:$AB$7,2,FALSE)))))</f>
        <v/>
      </c>
      <c r="O68" s="56"/>
      <c r="P68" s="282" t="str">
        <f>IF(O68="","",IF(AND(O68="N/A - Culvert", D68&lt;&gt;"Culvert"),"Not possible ▲", IF(AND(D68="Culvert",O68&lt;&gt;"N/A - Culvert"),"Not possible ▲",IF(VLOOKUP(O68,'G-7 WaterC'' Data'!$AD$4:$AE$14,2,FALSE)=0,"Spatial Data Missing ⚠",VLOOKUP(O68,'G-7 WaterC'' Data'!$AD$4:$AE$14,2,FALSE)))))</f>
        <v/>
      </c>
      <c r="Q68" s="288" t="str">
        <f>IF(D68="","",VLOOKUP(D68,'G-7 WaterC'' Data'!$B$2:$G$8,6,FALSE))</f>
        <v/>
      </c>
      <c r="R68" s="295" t="str">
        <f t="shared" si="1"/>
        <v xml:space="preserve"> </v>
      </c>
      <c r="S68" s="820" t="str">
        <f t="shared" si="2"/>
        <v/>
      </c>
      <c r="T68" s="32"/>
      <c r="U68" s="105"/>
      <c r="V68" s="112"/>
      <c r="W68" s="293" t="str">
        <f t="shared" si="3"/>
        <v/>
      </c>
      <c r="X68" s="293" t="str">
        <f t="shared" si="4"/>
        <v/>
      </c>
      <c r="Y68" s="293" t="str">
        <f t="shared" si="5"/>
        <v/>
      </c>
      <c r="Z68" s="323" t="str">
        <f>IFERROR(IF(OR(E68="",R68=""),"",  IF(AND(Q68='G-7 WaterC'' Data'!$G$4,AA68="Yes"),"Alternative Compensation ✓", IF(AND(AA68="Pending", Q68='G-7 WaterC'' Data'!$G$4),"Bespoke compensation must be agreed ▲", IF((W68+X68)&gt;=R68, 0, R68-W68-X68)))),"Check Data ⚠")</f>
        <v/>
      </c>
      <c r="AA68" s="817"/>
      <c r="AB68" s="140"/>
      <c r="AC68" s="108"/>
      <c r="AD68" s="108"/>
      <c r="AE68" s="54" t="str">
        <f>IF(OR(Q68="",AA68="Yes"),"",IF(Q68='G-1 All Habitats'!$X$9,E68-U68-V68,"None"))</f>
        <v/>
      </c>
      <c r="AF68" s="55" t="str">
        <f>IF(Q68="","", IF(Q68='G-1 All Habitats'!$X$9, AE68*G68*I68*L68*N68*P68,"None"))</f>
        <v/>
      </c>
      <c r="AI68" s="30">
        <f t="shared" si="9"/>
        <v>0</v>
      </c>
      <c r="AJ68" s="111" t="str">
        <f t="shared" si="6"/>
        <v/>
      </c>
      <c r="AK68" s="111" t="str">
        <f t="shared" si="7"/>
        <v/>
      </c>
      <c r="AM68" s="111">
        <v>59</v>
      </c>
      <c r="AO68" s="111" t="str">
        <f t="array" ref="AO68">IFERROR(INDEX($AM$10:$AM$258, MATCH(0, IF(TRUE=$AJ$10:$AJ$258, COUNTIF($AO$9:$AO67, $AM$10:$AM$258), ""), 0)),"")</f>
        <v/>
      </c>
      <c r="AP68" s="111" t="str">
        <f t="array" ref="AP68">IFERROR(INDEX($AM$10:$AM$258, MATCH(0, IF(TRUE=$AK$10:$AK$258, COUNTIF($AP$9:$AP67, $AM$10:$AM$258), ""), 0)),"")</f>
        <v/>
      </c>
      <c r="AR68" s="30" t="str">
        <f>IFERROR(INDEX('G-7 WaterC'' Data'!$AZ$3:$AZ$7,MATCH(D68,'G-7 WaterC'' Data'!$AY$3:$AY$7,0)),"")</f>
        <v/>
      </c>
      <c r="AS68" s="30" t="str">
        <f>IFERROR(INDEX('G-7 WaterC'' Data'!AZ68:AZ72,MATCH(D68,'G-7 WaterC'' Data'!$AY$10:$AY$14,0)),"")</f>
        <v/>
      </c>
      <c r="AT68" s="903" t="str">
        <f>IF(AND(OR(AA68="Yes",AA68="Pending"),Q68='G-7 WaterC'' Data'!$G$4),R68-W68-X68,"")</f>
        <v/>
      </c>
      <c r="AU68" s="30" t="str">
        <f>IF(D68="","",VLOOKUP(D68,'G-7 WaterC'' Data'!B$4:M$8,12,FALSE))</f>
        <v/>
      </c>
      <c r="AV68" s="30" t="str">
        <f t="shared" si="0"/>
        <v/>
      </c>
      <c r="AX68" s="30" t="str">
        <f t="shared" si="8"/>
        <v>No</v>
      </c>
    </row>
    <row r="69" spans="3:50" x14ac:dyDescent="0.25">
      <c r="C69" s="101">
        <v>60</v>
      </c>
      <c r="D69" s="267"/>
      <c r="E69" s="119"/>
      <c r="F69" s="281" t="str">
        <f>IF(D69="","",VLOOKUP(D69,'G-7 WaterC'' Data'!$B$2:$G$8,2,FALSE))</f>
        <v/>
      </c>
      <c r="G69" s="282" t="str">
        <f>IFERROR(VLOOKUP(F69,'G-7 WaterC'' Data'!$C$4:$D$8,2,FALSE),"")</f>
        <v/>
      </c>
      <c r="H69" s="52"/>
      <c r="I69" s="282" t="str">
        <f>IFERROR(INDEX('G-7 WaterC'' Data'!$H$4:$L$8,MATCH(D69,'G-7 WaterC'' Data'!$B$4:$B$8,0),MATCH(H69,'G-7 WaterC'' Data'!$H$3:$L$3,0)),"")</f>
        <v/>
      </c>
      <c r="J69" s="793"/>
      <c r="K69" s="317" t="str">
        <f>IF(J69="","",IF(VLOOKUP(J69,'G-7 WaterC'' Data'!$AK$4:$AM$6,2,FALSE)=0,"Spatial Data Missing ⚠",VLOOKUP(J69,'G-7 WaterC'' Data'!$AK$4:$AM$6,2,FALSE)))</f>
        <v/>
      </c>
      <c r="L69" s="287" t="str">
        <f>IF(J69="","",IF(VLOOKUP(J69,'G-7 WaterC'' Data'!$AK$4:$AM$9,3,FALSE)=0,"Spatial Data Missing ⚠",VLOOKUP(J69,'G-7 WaterC'' Data'!$AK$4:$AM$6,3,FALSE)))</f>
        <v/>
      </c>
      <c r="M69" s="52"/>
      <c r="N69" s="282" t="str">
        <f>IF(M69="","",IF(AND(D69&lt;&gt;"Culvert",M69="N/A - Culvert"),"Not possible ▲",IF(AND(D69="Culvert",M69&lt;&gt;"N/A - Culvert"),"Not possible ▲",IF(VLOOKUP(M69,'G-7 WaterC'' Data'!$AA$4:$AB$7,2,FALSE)=0,"Spatial Data Missing ⚠",VLOOKUP(M69,'G-7 WaterC'' Data'!$AA$4:$AB$7,2,FALSE)))))</f>
        <v/>
      </c>
      <c r="O69" s="56"/>
      <c r="P69" s="282" t="str">
        <f>IF(O69="","",IF(AND(O69="N/A - Culvert", D69&lt;&gt;"Culvert"),"Not possible ▲", IF(AND(D69="Culvert",O69&lt;&gt;"N/A - Culvert"),"Not possible ▲",IF(VLOOKUP(O69,'G-7 WaterC'' Data'!$AD$4:$AE$14,2,FALSE)=0,"Spatial Data Missing ⚠",VLOOKUP(O69,'G-7 WaterC'' Data'!$AD$4:$AE$14,2,FALSE)))))</f>
        <v/>
      </c>
      <c r="Q69" s="288" t="str">
        <f>IF(D69="","",VLOOKUP(D69,'G-7 WaterC'' Data'!$B$2:$G$8,6,FALSE))</f>
        <v/>
      </c>
      <c r="R69" s="295" t="str">
        <f t="shared" si="1"/>
        <v xml:space="preserve"> </v>
      </c>
      <c r="S69" s="820" t="str">
        <f t="shared" si="2"/>
        <v/>
      </c>
      <c r="T69" s="32"/>
      <c r="U69" s="105"/>
      <c r="V69" s="112"/>
      <c r="W69" s="293" t="str">
        <f t="shared" si="3"/>
        <v/>
      </c>
      <c r="X69" s="293" t="str">
        <f t="shared" si="4"/>
        <v/>
      </c>
      <c r="Y69" s="293" t="str">
        <f t="shared" si="5"/>
        <v/>
      </c>
      <c r="Z69" s="323" t="str">
        <f>IFERROR(IF(OR(E69="",R69=""),"",  IF(AND(Q69='G-7 WaterC'' Data'!$G$4,AA69="Yes"),"Alternative Compensation ✓", IF(AND(AA69="Pending", Q69='G-7 WaterC'' Data'!$G$4),"Bespoke compensation must be agreed ▲", IF((W69+X69)&gt;=R69, 0, R69-W69-X69)))),"Check Data ⚠")</f>
        <v/>
      </c>
      <c r="AA69" s="817"/>
      <c r="AB69" s="140"/>
      <c r="AC69" s="108"/>
      <c r="AD69" s="108"/>
      <c r="AE69" s="54" t="str">
        <f>IF(OR(Q69="",AA69="Yes"),"",IF(Q69='G-1 All Habitats'!$X$9,E69-U69-V69,"None"))</f>
        <v/>
      </c>
      <c r="AF69" s="55" t="str">
        <f>IF(Q69="","", IF(Q69='G-1 All Habitats'!$X$9, AE69*G69*I69*L69*N69*P69,"None"))</f>
        <v/>
      </c>
      <c r="AI69" s="30">
        <f t="shared" si="9"/>
        <v>0</v>
      </c>
      <c r="AJ69" s="111" t="str">
        <f t="shared" si="6"/>
        <v/>
      </c>
      <c r="AK69" s="111" t="str">
        <f t="shared" si="7"/>
        <v/>
      </c>
      <c r="AM69" s="111">
        <v>60</v>
      </c>
      <c r="AO69" s="111" t="str">
        <f t="array" ref="AO69">IFERROR(INDEX($AM$10:$AM$258, MATCH(0, IF(TRUE=$AJ$10:$AJ$258, COUNTIF($AO$9:$AO68, $AM$10:$AM$258), ""), 0)),"")</f>
        <v/>
      </c>
      <c r="AP69" s="111" t="str">
        <f t="array" ref="AP69">IFERROR(INDEX($AM$10:$AM$258, MATCH(0, IF(TRUE=$AK$10:$AK$258, COUNTIF($AP$9:$AP68, $AM$10:$AM$258), ""), 0)),"")</f>
        <v/>
      </c>
      <c r="AR69" s="30" t="str">
        <f>IFERROR(INDEX('G-7 WaterC'' Data'!$AZ$3:$AZ$7,MATCH(D69,'G-7 WaterC'' Data'!$AY$3:$AY$7,0)),"")</f>
        <v/>
      </c>
      <c r="AS69" s="30" t="str">
        <f>IFERROR(INDEX('G-7 WaterC'' Data'!AZ69:AZ73,MATCH(D69,'G-7 WaterC'' Data'!$AY$10:$AY$14,0)),"")</f>
        <v/>
      </c>
      <c r="AT69" s="903" t="str">
        <f>IF(AND(OR(AA69="Yes",AA69="Pending"),Q69='G-7 WaterC'' Data'!$G$4),R69-W69-X69,"")</f>
        <v/>
      </c>
      <c r="AU69" s="30" t="str">
        <f>IF(D69="","",VLOOKUP(D69,'G-7 WaterC'' Data'!B$4:M$8,12,FALSE))</f>
        <v/>
      </c>
      <c r="AV69" s="30" t="str">
        <f t="shared" si="0"/>
        <v/>
      </c>
      <c r="AX69" s="30" t="str">
        <f t="shared" si="8"/>
        <v>No</v>
      </c>
    </row>
    <row r="70" spans="3:50" x14ac:dyDescent="0.25">
      <c r="C70" s="101">
        <v>61</v>
      </c>
      <c r="D70" s="267"/>
      <c r="E70" s="119"/>
      <c r="F70" s="281" t="str">
        <f>IF(D70="","",VLOOKUP(D70,'G-7 WaterC'' Data'!$B$2:$G$8,2,FALSE))</f>
        <v/>
      </c>
      <c r="G70" s="282" t="str">
        <f>IFERROR(VLOOKUP(F70,'G-7 WaterC'' Data'!$C$4:$D$8,2,FALSE),"")</f>
        <v/>
      </c>
      <c r="H70" s="52"/>
      <c r="I70" s="282" t="str">
        <f>IFERROR(INDEX('G-7 WaterC'' Data'!$H$4:$L$8,MATCH(D70,'G-7 WaterC'' Data'!$B$4:$B$8,0),MATCH(H70,'G-7 WaterC'' Data'!$H$3:$L$3,0)),"")</f>
        <v/>
      </c>
      <c r="J70" s="793"/>
      <c r="K70" s="317" t="str">
        <f>IF(J70="","",IF(VLOOKUP(J70,'G-7 WaterC'' Data'!$AK$4:$AM$6,2,FALSE)=0,"Spatial Data Missing ⚠",VLOOKUP(J70,'G-7 WaterC'' Data'!$AK$4:$AM$6,2,FALSE)))</f>
        <v/>
      </c>
      <c r="L70" s="287" t="str">
        <f>IF(J70="","",IF(VLOOKUP(J70,'G-7 WaterC'' Data'!$AK$4:$AM$9,3,FALSE)=0,"Spatial Data Missing ⚠",VLOOKUP(J70,'G-7 WaterC'' Data'!$AK$4:$AM$6,3,FALSE)))</f>
        <v/>
      </c>
      <c r="M70" s="52"/>
      <c r="N70" s="282" t="str">
        <f>IF(M70="","",IF(AND(D70&lt;&gt;"Culvert",M70="N/A - Culvert"),"Not possible ▲",IF(AND(D70="Culvert",M70&lt;&gt;"N/A - Culvert"),"Not possible ▲",IF(VLOOKUP(M70,'G-7 WaterC'' Data'!$AA$4:$AB$7,2,FALSE)=0,"Spatial Data Missing ⚠",VLOOKUP(M70,'G-7 WaterC'' Data'!$AA$4:$AB$7,2,FALSE)))))</f>
        <v/>
      </c>
      <c r="O70" s="56"/>
      <c r="P70" s="282" t="str">
        <f>IF(O70="","",IF(AND(O70="N/A - Culvert", D70&lt;&gt;"Culvert"),"Not possible ▲", IF(AND(D70="Culvert",O70&lt;&gt;"N/A - Culvert"),"Not possible ▲",IF(VLOOKUP(O70,'G-7 WaterC'' Data'!$AD$4:$AE$14,2,FALSE)=0,"Spatial Data Missing ⚠",VLOOKUP(O70,'G-7 WaterC'' Data'!$AD$4:$AE$14,2,FALSE)))))</f>
        <v/>
      </c>
      <c r="Q70" s="288" t="str">
        <f>IF(D70="","",VLOOKUP(D70,'G-7 WaterC'' Data'!$B$2:$G$8,6,FALSE))</f>
        <v/>
      </c>
      <c r="R70" s="295" t="str">
        <f t="shared" si="1"/>
        <v xml:space="preserve"> </v>
      </c>
      <c r="S70" s="820" t="str">
        <f t="shared" si="2"/>
        <v/>
      </c>
      <c r="T70" s="32"/>
      <c r="U70" s="105"/>
      <c r="V70" s="112"/>
      <c r="W70" s="293" t="str">
        <f t="shared" si="3"/>
        <v/>
      </c>
      <c r="X70" s="293" t="str">
        <f t="shared" si="4"/>
        <v/>
      </c>
      <c r="Y70" s="293" t="str">
        <f t="shared" si="5"/>
        <v/>
      </c>
      <c r="Z70" s="323" t="str">
        <f>IFERROR(IF(OR(E70="",R70=""),"",  IF(AND(Q70='G-7 WaterC'' Data'!$G$4,AA70="Yes"),"Alternative Compensation ✓", IF(AND(AA70="Pending", Q70='G-7 WaterC'' Data'!$G$4),"Bespoke compensation must be agreed ▲", IF((W70+X70)&gt;=R70, 0, R70-W70-X70)))),"Check Data ⚠")</f>
        <v/>
      </c>
      <c r="AA70" s="817"/>
      <c r="AB70" s="140"/>
      <c r="AC70" s="108"/>
      <c r="AD70" s="108"/>
      <c r="AE70" s="54" t="str">
        <f>IF(OR(Q70="",AA70="Yes"),"",IF(Q70='G-1 All Habitats'!$X$9,E70-U70-V70,"None"))</f>
        <v/>
      </c>
      <c r="AF70" s="55" t="str">
        <f>IF(Q70="","", IF(Q70='G-1 All Habitats'!$X$9, AE70*G70*I70*L70*N70*P70,"None"))</f>
        <v/>
      </c>
      <c r="AI70" s="30">
        <f t="shared" si="9"/>
        <v>0</v>
      </c>
      <c r="AJ70" s="111" t="str">
        <f t="shared" si="6"/>
        <v/>
      </c>
      <c r="AK70" s="111" t="str">
        <f t="shared" si="7"/>
        <v/>
      </c>
      <c r="AM70" s="111">
        <v>61</v>
      </c>
      <c r="AO70" s="111" t="str">
        <f t="array" ref="AO70">IFERROR(INDEX($AM$10:$AM$258, MATCH(0, IF(TRUE=$AJ$10:$AJ$258, COUNTIF($AO$9:$AO69, $AM$10:$AM$258), ""), 0)),"")</f>
        <v/>
      </c>
      <c r="AP70" s="111" t="str">
        <f t="array" ref="AP70">IFERROR(INDEX($AM$10:$AM$258, MATCH(0, IF(TRUE=$AK$10:$AK$258, COUNTIF($AP$9:$AP69, $AM$10:$AM$258), ""), 0)),"")</f>
        <v/>
      </c>
      <c r="AR70" s="30" t="str">
        <f>IFERROR(INDEX('G-7 WaterC'' Data'!$AZ$3:$AZ$7,MATCH(D70,'G-7 WaterC'' Data'!$AY$3:$AY$7,0)),"")</f>
        <v/>
      </c>
      <c r="AS70" s="30" t="str">
        <f>IFERROR(INDEX('G-7 WaterC'' Data'!AZ70:AZ74,MATCH(D70,'G-7 WaterC'' Data'!$AY$10:$AY$14,0)),"")</f>
        <v/>
      </c>
      <c r="AT70" s="903" t="str">
        <f>IF(AND(OR(AA70="Yes",AA70="Pending"),Q70='G-7 WaterC'' Data'!$G$4),R70-W70-X70,"")</f>
        <v/>
      </c>
      <c r="AU70" s="30" t="str">
        <f>IF(D70="","",VLOOKUP(D70,'G-7 WaterC'' Data'!B$4:M$8,12,FALSE))</f>
        <v/>
      </c>
      <c r="AV70" s="30" t="str">
        <f t="shared" si="0"/>
        <v/>
      </c>
      <c r="AX70" s="30" t="str">
        <f t="shared" si="8"/>
        <v>No</v>
      </c>
    </row>
    <row r="71" spans="3:50" x14ac:dyDescent="0.25">
      <c r="C71" s="101">
        <v>62</v>
      </c>
      <c r="D71" s="267"/>
      <c r="E71" s="119"/>
      <c r="F71" s="281" t="str">
        <f>IF(D71="","",VLOOKUP(D71,'G-7 WaterC'' Data'!$B$2:$G$8,2,FALSE))</f>
        <v/>
      </c>
      <c r="G71" s="282" t="str">
        <f>IFERROR(VLOOKUP(F71,'G-7 WaterC'' Data'!$C$4:$D$8,2,FALSE),"")</f>
        <v/>
      </c>
      <c r="H71" s="52"/>
      <c r="I71" s="282" t="str">
        <f>IFERROR(INDEX('G-7 WaterC'' Data'!$H$4:$L$8,MATCH(D71,'G-7 WaterC'' Data'!$B$4:$B$8,0),MATCH(H71,'G-7 WaterC'' Data'!$H$3:$L$3,0)),"")</f>
        <v/>
      </c>
      <c r="J71" s="793"/>
      <c r="K71" s="317" t="str">
        <f>IF(J71="","",IF(VLOOKUP(J71,'G-7 WaterC'' Data'!$AK$4:$AM$6,2,FALSE)=0,"Spatial Data Missing ⚠",VLOOKUP(J71,'G-7 WaterC'' Data'!$AK$4:$AM$6,2,FALSE)))</f>
        <v/>
      </c>
      <c r="L71" s="287" t="str">
        <f>IF(J71="","",IF(VLOOKUP(J71,'G-7 WaterC'' Data'!$AK$4:$AM$9,3,FALSE)=0,"Spatial Data Missing ⚠",VLOOKUP(J71,'G-7 WaterC'' Data'!$AK$4:$AM$6,3,FALSE)))</f>
        <v/>
      </c>
      <c r="M71" s="52"/>
      <c r="N71" s="282" t="str">
        <f>IF(M71="","",IF(AND(D71&lt;&gt;"Culvert",M71="N/A - Culvert"),"Not possible ▲",IF(AND(D71="Culvert",M71&lt;&gt;"N/A - Culvert"),"Not possible ▲",IF(VLOOKUP(M71,'G-7 WaterC'' Data'!$AA$4:$AB$7,2,FALSE)=0,"Spatial Data Missing ⚠",VLOOKUP(M71,'G-7 WaterC'' Data'!$AA$4:$AB$7,2,FALSE)))))</f>
        <v/>
      </c>
      <c r="O71" s="56"/>
      <c r="P71" s="282" t="str">
        <f>IF(O71="","",IF(AND(O71="N/A - Culvert", D71&lt;&gt;"Culvert"),"Not possible ▲", IF(AND(D71="Culvert",O71&lt;&gt;"N/A - Culvert"),"Not possible ▲",IF(VLOOKUP(O71,'G-7 WaterC'' Data'!$AD$4:$AE$14,2,FALSE)=0,"Spatial Data Missing ⚠",VLOOKUP(O71,'G-7 WaterC'' Data'!$AD$4:$AE$14,2,FALSE)))))</f>
        <v/>
      </c>
      <c r="Q71" s="288" t="str">
        <f>IF(D71="","",VLOOKUP(D71,'G-7 WaterC'' Data'!$B$2:$G$8,6,FALSE))</f>
        <v/>
      </c>
      <c r="R71" s="295" t="str">
        <f t="shared" si="1"/>
        <v xml:space="preserve"> </v>
      </c>
      <c r="S71" s="820" t="str">
        <f t="shared" si="2"/>
        <v/>
      </c>
      <c r="T71" s="32"/>
      <c r="U71" s="105"/>
      <c r="V71" s="112"/>
      <c r="W71" s="293" t="str">
        <f t="shared" si="3"/>
        <v/>
      </c>
      <c r="X71" s="293" t="str">
        <f t="shared" si="4"/>
        <v/>
      </c>
      <c r="Y71" s="293" t="str">
        <f t="shared" si="5"/>
        <v/>
      </c>
      <c r="Z71" s="323" t="str">
        <f>IFERROR(IF(OR(E71="",R71=""),"",  IF(AND(Q71='G-7 WaterC'' Data'!$G$4,AA71="Yes"),"Alternative Compensation ✓", IF(AND(AA71="Pending", Q71='G-7 WaterC'' Data'!$G$4),"Bespoke compensation must be agreed ▲", IF((W71+X71)&gt;=R71, 0, R71-W71-X71)))),"Check Data ⚠")</f>
        <v/>
      </c>
      <c r="AA71" s="817"/>
      <c r="AB71" s="140"/>
      <c r="AC71" s="108"/>
      <c r="AD71" s="108"/>
      <c r="AE71" s="54" t="str">
        <f>IF(OR(Q71="",AA71="Yes"),"",IF(Q71='G-1 All Habitats'!$X$9,E71-U71-V71,"None"))</f>
        <v/>
      </c>
      <c r="AF71" s="55" t="str">
        <f>IF(Q71="","", IF(Q71='G-1 All Habitats'!$X$9, AE71*G71*I71*L71*N71*P71,"None"))</f>
        <v/>
      </c>
      <c r="AI71" s="30">
        <f t="shared" si="9"/>
        <v>0</v>
      </c>
      <c r="AJ71" s="111" t="str">
        <f t="shared" si="6"/>
        <v/>
      </c>
      <c r="AK71" s="111" t="str">
        <f t="shared" si="7"/>
        <v/>
      </c>
      <c r="AM71" s="111">
        <v>62</v>
      </c>
      <c r="AO71" s="111" t="str">
        <f t="array" ref="AO71">IFERROR(INDEX($AM$10:$AM$258, MATCH(0, IF(TRUE=$AJ$10:$AJ$258, COUNTIF($AO$9:$AO70, $AM$10:$AM$258), ""), 0)),"")</f>
        <v/>
      </c>
      <c r="AP71" s="111" t="str">
        <f t="array" ref="AP71">IFERROR(INDEX($AM$10:$AM$258, MATCH(0, IF(TRUE=$AK$10:$AK$258, COUNTIF($AP$9:$AP70, $AM$10:$AM$258), ""), 0)),"")</f>
        <v/>
      </c>
      <c r="AR71" s="30" t="str">
        <f>IFERROR(INDEX('G-7 WaterC'' Data'!$AZ$3:$AZ$7,MATCH(D71,'G-7 WaterC'' Data'!$AY$3:$AY$7,0)),"")</f>
        <v/>
      </c>
      <c r="AS71" s="30" t="str">
        <f>IFERROR(INDEX('G-7 WaterC'' Data'!AZ71:AZ75,MATCH(D71,'G-7 WaterC'' Data'!$AY$10:$AY$14,0)),"")</f>
        <v/>
      </c>
      <c r="AT71" s="903" t="str">
        <f>IF(AND(OR(AA71="Yes",AA71="Pending"),Q71='G-7 WaterC'' Data'!$G$4),R71-W71-X71,"")</f>
        <v/>
      </c>
      <c r="AU71" s="30" t="str">
        <f>IF(D71="","",VLOOKUP(D71,'G-7 WaterC'' Data'!B$4:M$8,12,FALSE))</f>
        <v/>
      </c>
      <c r="AV71" s="30" t="str">
        <f t="shared" si="0"/>
        <v/>
      </c>
      <c r="AX71" s="30" t="str">
        <f t="shared" si="8"/>
        <v>No</v>
      </c>
    </row>
    <row r="72" spans="3:50" x14ac:dyDescent="0.25">
      <c r="C72" s="101">
        <v>63</v>
      </c>
      <c r="D72" s="267"/>
      <c r="E72" s="119"/>
      <c r="F72" s="281" t="str">
        <f>IF(D72="","",VLOOKUP(D72,'G-7 WaterC'' Data'!$B$2:$G$8,2,FALSE))</f>
        <v/>
      </c>
      <c r="G72" s="282" t="str">
        <f>IFERROR(VLOOKUP(F72,'G-7 WaterC'' Data'!$C$4:$D$8,2,FALSE),"")</f>
        <v/>
      </c>
      <c r="H72" s="52"/>
      <c r="I72" s="282" t="str">
        <f>IFERROR(INDEX('G-7 WaterC'' Data'!$H$4:$L$8,MATCH(D72,'G-7 WaterC'' Data'!$B$4:$B$8,0),MATCH(H72,'G-7 WaterC'' Data'!$H$3:$L$3,0)),"")</f>
        <v/>
      </c>
      <c r="J72" s="793"/>
      <c r="K72" s="317" t="str">
        <f>IF(J72="","",IF(VLOOKUP(J72,'G-7 WaterC'' Data'!$AK$4:$AM$6,2,FALSE)=0,"Spatial Data Missing ⚠",VLOOKUP(J72,'G-7 WaterC'' Data'!$AK$4:$AM$6,2,FALSE)))</f>
        <v/>
      </c>
      <c r="L72" s="287" t="str">
        <f>IF(J72="","",IF(VLOOKUP(J72,'G-7 WaterC'' Data'!$AK$4:$AM$9,3,FALSE)=0,"Spatial Data Missing ⚠",VLOOKUP(J72,'G-7 WaterC'' Data'!$AK$4:$AM$6,3,FALSE)))</f>
        <v/>
      </c>
      <c r="M72" s="52"/>
      <c r="N72" s="282" t="str">
        <f>IF(M72="","",IF(AND(D72&lt;&gt;"Culvert",M72="N/A - Culvert"),"Not possible ▲",IF(AND(D72="Culvert",M72&lt;&gt;"N/A - Culvert"),"Not possible ▲",IF(VLOOKUP(M72,'G-7 WaterC'' Data'!$AA$4:$AB$7,2,FALSE)=0,"Spatial Data Missing ⚠",VLOOKUP(M72,'G-7 WaterC'' Data'!$AA$4:$AB$7,2,FALSE)))))</f>
        <v/>
      </c>
      <c r="O72" s="56"/>
      <c r="P72" s="282" t="str">
        <f>IF(O72="","",IF(AND(O72="N/A - Culvert", D72&lt;&gt;"Culvert"),"Not possible ▲", IF(AND(D72="Culvert",O72&lt;&gt;"N/A - Culvert"),"Not possible ▲",IF(VLOOKUP(O72,'G-7 WaterC'' Data'!$AD$4:$AE$14,2,FALSE)=0,"Spatial Data Missing ⚠",VLOOKUP(O72,'G-7 WaterC'' Data'!$AD$4:$AE$14,2,FALSE)))))</f>
        <v/>
      </c>
      <c r="Q72" s="288" t="str">
        <f>IF(D72="","",VLOOKUP(D72,'G-7 WaterC'' Data'!$B$2:$G$8,6,FALSE))</f>
        <v/>
      </c>
      <c r="R72" s="295" t="str">
        <f t="shared" si="1"/>
        <v xml:space="preserve"> </v>
      </c>
      <c r="S72" s="820" t="str">
        <f t="shared" si="2"/>
        <v/>
      </c>
      <c r="T72" s="32"/>
      <c r="U72" s="105"/>
      <c r="V72" s="112"/>
      <c r="W72" s="293" t="str">
        <f t="shared" si="3"/>
        <v/>
      </c>
      <c r="X72" s="293" t="str">
        <f t="shared" si="4"/>
        <v/>
      </c>
      <c r="Y72" s="293" t="str">
        <f t="shared" si="5"/>
        <v/>
      </c>
      <c r="Z72" s="323" t="str">
        <f>IFERROR(IF(OR(E72="",R72=""),"",  IF(AND(Q72='G-7 WaterC'' Data'!$G$4,AA72="Yes"),"Alternative Compensation ✓", IF(AND(AA72="Pending", Q72='G-7 WaterC'' Data'!$G$4),"Bespoke compensation must be agreed ▲", IF((W72+X72)&gt;=R72, 0, R72-W72-X72)))),"Check Data ⚠")</f>
        <v/>
      </c>
      <c r="AA72" s="817"/>
      <c r="AB72" s="140"/>
      <c r="AC72" s="108"/>
      <c r="AD72" s="108"/>
      <c r="AE72" s="54" t="str">
        <f>IF(OR(Q72="",AA72="Yes"),"",IF(Q72='G-1 All Habitats'!$X$9,E72-U72-V72,"None"))</f>
        <v/>
      </c>
      <c r="AF72" s="55" t="str">
        <f>IF(Q72="","", IF(Q72='G-1 All Habitats'!$X$9, AE72*G72*I72*L72*N72*P72,"None"))</f>
        <v/>
      </c>
      <c r="AI72" s="30">
        <f t="shared" si="9"/>
        <v>0</v>
      </c>
      <c r="AJ72" s="111" t="str">
        <f t="shared" si="6"/>
        <v/>
      </c>
      <c r="AK72" s="111" t="str">
        <f t="shared" si="7"/>
        <v/>
      </c>
      <c r="AM72" s="111">
        <v>63</v>
      </c>
      <c r="AO72" s="111" t="str">
        <f t="array" ref="AO72">IFERROR(INDEX($AM$10:$AM$258, MATCH(0, IF(TRUE=$AJ$10:$AJ$258, COUNTIF($AO$9:$AO71, $AM$10:$AM$258), ""), 0)),"")</f>
        <v/>
      </c>
      <c r="AP72" s="111" t="str">
        <f t="array" ref="AP72">IFERROR(INDEX($AM$10:$AM$258, MATCH(0, IF(TRUE=$AK$10:$AK$258, COUNTIF($AP$9:$AP71, $AM$10:$AM$258), ""), 0)),"")</f>
        <v/>
      </c>
      <c r="AR72" s="30" t="str">
        <f>IFERROR(INDEX('G-7 WaterC'' Data'!$AZ$3:$AZ$7,MATCH(D72,'G-7 WaterC'' Data'!$AY$3:$AY$7,0)),"")</f>
        <v/>
      </c>
      <c r="AS72" s="30" t="str">
        <f>IFERROR(INDEX('G-7 WaterC'' Data'!AZ72:AZ76,MATCH(D72,'G-7 WaterC'' Data'!$AY$10:$AY$14,0)),"")</f>
        <v/>
      </c>
      <c r="AT72" s="903" t="str">
        <f>IF(AND(OR(AA72="Yes",AA72="Pending"),Q72='G-7 WaterC'' Data'!$G$4),R72-W72-X72,"")</f>
        <v/>
      </c>
      <c r="AU72" s="30" t="str">
        <f>IF(D72="","",VLOOKUP(D72,'G-7 WaterC'' Data'!B$4:M$8,12,FALSE))</f>
        <v/>
      </c>
      <c r="AV72" s="30" t="str">
        <f t="shared" si="0"/>
        <v/>
      </c>
      <c r="AX72" s="30" t="str">
        <f t="shared" si="8"/>
        <v>No</v>
      </c>
    </row>
    <row r="73" spans="3:50" x14ac:dyDescent="0.25">
      <c r="C73" s="101">
        <v>64</v>
      </c>
      <c r="D73" s="267"/>
      <c r="E73" s="119"/>
      <c r="F73" s="281" t="str">
        <f>IF(D73="","",VLOOKUP(D73,'G-7 WaterC'' Data'!$B$2:$G$8,2,FALSE))</f>
        <v/>
      </c>
      <c r="G73" s="282" t="str">
        <f>IFERROR(VLOOKUP(F73,'G-7 WaterC'' Data'!$C$4:$D$8,2,FALSE),"")</f>
        <v/>
      </c>
      <c r="H73" s="52"/>
      <c r="I73" s="282" t="str">
        <f>IFERROR(INDEX('G-7 WaterC'' Data'!$H$4:$L$8,MATCH(D73,'G-7 WaterC'' Data'!$B$4:$B$8,0),MATCH(H73,'G-7 WaterC'' Data'!$H$3:$L$3,0)),"")</f>
        <v/>
      </c>
      <c r="J73" s="793"/>
      <c r="K73" s="317" t="str">
        <f>IF(J73="","",IF(VLOOKUP(J73,'G-7 WaterC'' Data'!$AK$4:$AM$6,2,FALSE)=0,"Spatial Data Missing ⚠",VLOOKUP(J73,'G-7 WaterC'' Data'!$AK$4:$AM$6,2,FALSE)))</f>
        <v/>
      </c>
      <c r="L73" s="287" t="str">
        <f>IF(J73="","",IF(VLOOKUP(J73,'G-7 WaterC'' Data'!$AK$4:$AM$9,3,FALSE)=0,"Spatial Data Missing ⚠",VLOOKUP(J73,'G-7 WaterC'' Data'!$AK$4:$AM$6,3,FALSE)))</f>
        <v/>
      </c>
      <c r="M73" s="52"/>
      <c r="N73" s="282" t="str">
        <f>IF(M73="","",IF(AND(D73&lt;&gt;"Culvert",M73="N/A - Culvert"),"Not possible ▲",IF(AND(D73="Culvert",M73&lt;&gt;"N/A - Culvert"),"Not possible ▲",IF(VLOOKUP(M73,'G-7 WaterC'' Data'!$AA$4:$AB$7,2,FALSE)=0,"Spatial Data Missing ⚠",VLOOKUP(M73,'G-7 WaterC'' Data'!$AA$4:$AB$7,2,FALSE)))))</f>
        <v/>
      </c>
      <c r="O73" s="56"/>
      <c r="P73" s="282" t="str">
        <f>IF(O73="","",IF(AND(O73="N/A - Culvert", D73&lt;&gt;"Culvert"),"Not possible ▲", IF(AND(D73="Culvert",O73&lt;&gt;"N/A - Culvert"),"Not possible ▲",IF(VLOOKUP(O73,'G-7 WaterC'' Data'!$AD$4:$AE$14,2,FALSE)=0,"Spatial Data Missing ⚠",VLOOKUP(O73,'G-7 WaterC'' Data'!$AD$4:$AE$14,2,FALSE)))))</f>
        <v/>
      </c>
      <c r="Q73" s="288" t="str">
        <f>IF(D73="","",VLOOKUP(D73,'G-7 WaterC'' Data'!$B$2:$G$8,6,FALSE))</f>
        <v/>
      </c>
      <c r="R73" s="295" t="str">
        <f t="shared" si="1"/>
        <v xml:space="preserve"> </v>
      </c>
      <c r="S73" s="820" t="str">
        <f t="shared" si="2"/>
        <v/>
      </c>
      <c r="T73" s="32"/>
      <c r="U73" s="105"/>
      <c r="V73" s="112"/>
      <c r="W73" s="293" t="str">
        <f t="shared" si="3"/>
        <v/>
      </c>
      <c r="X73" s="293" t="str">
        <f t="shared" si="4"/>
        <v/>
      </c>
      <c r="Y73" s="293" t="str">
        <f t="shared" si="5"/>
        <v/>
      </c>
      <c r="Z73" s="323" t="str">
        <f>IFERROR(IF(OR(E73="",R73=""),"",  IF(AND(Q73='G-7 WaterC'' Data'!$G$4,AA73="Yes"),"Alternative Compensation ✓", IF(AND(AA73="Pending", Q73='G-7 WaterC'' Data'!$G$4),"Bespoke compensation must be agreed ▲", IF((W73+X73)&gt;=R73, 0, R73-W73-X73)))),"Check Data ⚠")</f>
        <v/>
      </c>
      <c r="AA73" s="817"/>
      <c r="AB73" s="140"/>
      <c r="AC73" s="108"/>
      <c r="AD73" s="108"/>
      <c r="AE73" s="54" t="str">
        <f>IF(OR(Q73="",AA73="Yes"),"",IF(Q73='G-1 All Habitats'!$X$9,E73-U73-V73,"None"))</f>
        <v/>
      </c>
      <c r="AF73" s="55" t="str">
        <f>IF(Q73="","", IF(Q73='G-1 All Habitats'!$X$9, AE73*G73*I73*L73*N73*P73,"None"))</f>
        <v/>
      </c>
      <c r="AI73" s="30">
        <f t="shared" si="9"/>
        <v>0</v>
      </c>
      <c r="AJ73" s="111" t="str">
        <f t="shared" si="6"/>
        <v/>
      </c>
      <c r="AK73" s="111" t="str">
        <f t="shared" si="7"/>
        <v/>
      </c>
      <c r="AM73" s="111">
        <v>64</v>
      </c>
      <c r="AO73" s="111" t="str">
        <f t="array" ref="AO73">IFERROR(INDEX($AM$10:$AM$258, MATCH(0, IF(TRUE=$AJ$10:$AJ$258, COUNTIF($AO$9:$AO72, $AM$10:$AM$258), ""), 0)),"")</f>
        <v/>
      </c>
      <c r="AP73" s="111" t="str">
        <f t="array" ref="AP73">IFERROR(INDEX($AM$10:$AM$258, MATCH(0, IF(TRUE=$AK$10:$AK$258, COUNTIF($AP$9:$AP72, $AM$10:$AM$258), ""), 0)),"")</f>
        <v/>
      </c>
      <c r="AR73" s="30" t="str">
        <f>IFERROR(INDEX('G-7 WaterC'' Data'!$AZ$3:$AZ$7,MATCH(D73,'G-7 WaterC'' Data'!$AY$3:$AY$7,0)),"")</f>
        <v/>
      </c>
      <c r="AS73" s="30" t="str">
        <f>IFERROR(INDEX('G-7 WaterC'' Data'!AZ73:AZ77,MATCH(D73,'G-7 WaterC'' Data'!$AY$10:$AY$14,0)),"")</f>
        <v/>
      </c>
      <c r="AT73" s="903" t="str">
        <f>IF(AND(OR(AA73="Yes",AA73="Pending"),Q73='G-7 WaterC'' Data'!$G$4),R73-W73-X73,"")</f>
        <v/>
      </c>
      <c r="AU73" s="30" t="str">
        <f>IF(D73="","",VLOOKUP(D73,'G-7 WaterC'' Data'!B$4:M$8,12,FALSE))</f>
        <v/>
      </c>
      <c r="AV73" s="30" t="str">
        <f t="shared" si="0"/>
        <v/>
      </c>
      <c r="AX73" s="30" t="str">
        <f t="shared" si="8"/>
        <v>No</v>
      </c>
    </row>
    <row r="74" spans="3:50" x14ac:dyDescent="0.25">
      <c r="C74" s="101">
        <v>65</v>
      </c>
      <c r="D74" s="267"/>
      <c r="E74" s="119"/>
      <c r="F74" s="281" t="str">
        <f>IF(D74="","",VLOOKUP(D74,'G-7 WaterC'' Data'!$B$2:$G$8,2,FALSE))</f>
        <v/>
      </c>
      <c r="G74" s="282" t="str">
        <f>IFERROR(VLOOKUP(F74,'G-7 WaterC'' Data'!$C$4:$D$8,2,FALSE),"")</f>
        <v/>
      </c>
      <c r="H74" s="52"/>
      <c r="I74" s="282" t="str">
        <f>IFERROR(INDEX('G-7 WaterC'' Data'!$H$4:$L$8,MATCH(D74,'G-7 WaterC'' Data'!$B$4:$B$8,0),MATCH(H74,'G-7 WaterC'' Data'!$H$3:$L$3,0)),"")</f>
        <v/>
      </c>
      <c r="J74" s="793"/>
      <c r="K74" s="317" t="str">
        <f>IF(J74="","",IF(VLOOKUP(J74,'G-7 WaterC'' Data'!$AK$4:$AM$6,2,FALSE)=0,"Spatial Data Missing ⚠",VLOOKUP(J74,'G-7 WaterC'' Data'!$AK$4:$AM$6,2,FALSE)))</f>
        <v/>
      </c>
      <c r="L74" s="287" t="str">
        <f>IF(J74="","",IF(VLOOKUP(J74,'G-7 WaterC'' Data'!$AK$4:$AM$9,3,FALSE)=0,"Spatial Data Missing ⚠",VLOOKUP(J74,'G-7 WaterC'' Data'!$AK$4:$AM$6,3,FALSE)))</f>
        <v/>
      </c>
      <c r="M74" s="52"/>
      <c r="N74" s="282" t="str">
        <f>IF(M74="","",IF(AND(D74&lt;&gt;"Culvert",M74="N/A - Culvert"),"Not possible ▲",IF(AND(D74="Culvert",M74&lt;&gt;"N/A - Culvert"),"Not possible ▲",IF(VLOOKUP(M74,'G-7 WaterC'' Data'!$AA$4:$AB$7,2,FALSE)=0,"Spatial Data Missing ⚠",VLOOKUP(M74,'G-7 WaterC'' Data'!$AA$4:$AB$7,2,FALSE)))))</f>
        <v/>
      </c>
      <c r="O74" s="56"/>
      <c r="P74" s="282" t="str">
        <f>IF(O74="","",IF(AND(O74="N/A - Culvert", D74&lt;&gt;"Culvert"),"Not possible ▲", IF(AND(D74="Culvert",O74&lt;&gt;"N/A - Culvert"),"Not possible ▲",IF(VLOOKUP(O74,'G-7 WaterC'' Data'!$AD$4:$AE$14,2,FALSE)=0,"Spatial Data Missing ⚠",VLOOKUP(O74,'G-7 WaterC'' Data'!$AD$4:$AE$14,2,FALSE)))))</f>
        <v/>
      </c>
      <c r="Q74" s="288" t="str">
        <f>IF(D74="","",VLOOKUP(D74,'G-7 WaterC'' Data'!$B$2:$G$8,6,FALSE))</f>
        <v/>
      </c>
      <c r="R74" s="295" t="str">
        <f t="shared" si="1"/>
        <v xml:space="preserve"> </v>
      </c>
      <c r="S74" s="820" t="str">
        <f t="shared" si="2"/>
        <v/>
      </c>
      <c r="T74" s="32"/>
      <c r="U74" s="105"/>
      <c r="V74" s="112"/>
      <c r="W74" s="293" t="str">
        <f t="shared" si="3"/>
        <v/>
      </c>
      <c r="X74" s="293" t="str">
        <f t="shared" si="4"/>
        <v/>
      </c>
      <c r="Y74" s="293" t="str">
        <f t="shared" si="5"/>
        <v/>
      </c>
      <c r="Z74" s="323" t="str">
        <f>IFERROR(IF(OR(E74="",R74=""),"",  IF(AND(Q74='G-7 WaterC'' Data'!$G$4,AA74="Yes"),"Alternative Compensation ✓", IF(AND(AA74="Pending", Q74='G-7 WaterC'' Data'!$G$4),"Bespoke compensation must be agreed ▲", IF((W74+X74)&gt;=R74, 0, R74-W74-X74)))),"Check Data ⚠")</f>
        <v/>
      </c>
      <c r="AA74" s="817"/>
      <c r="AB74" s="140"/>
      <c r="AC74" s="108"/>
      <c r="AD74" s="108"/>
      <c r="AE74" s="54" t="str">
        <f>IF(OR(Q74="",AA74="Yes"),"",IF(Q74='G-1 All Habitats'!$X$9,E74-U74-V74,"None"))</f>
        <v/>
      </c>
      <c r="AF74" s="55" t="str">
        <f>IF(Q74="","", IF(Q74='G-1 All Habitats'!$X$9, AE74*G74*I74*L74*N74*P74,"None"))</f>
        <v/>
      </c>
      <c r="AI74" s="30">
        <f t="shared" si="9"/>
        <v>0</v>
      </c>
      <c r="AJ74" s="111" t="str">
        <f t="shared" si="6"/>
        <v/>
      </c>
      <c r="AK74" s="111" t="str">
        <f t="shared" si="7"/>
        <v/>
      </c>
      <c r="AM74" s="111">
        <v>65</v>
      </c>
      <c r="AO74" s="111" t="str">
        <f t="array" ref="AO74">IFERROR(INDEX($AM$10:$AM$258, MATCH(0, IF(TRUE=$AJ$10:$AJ$258, COUNTIF($AO$9:$AO73, $AM$10:$AM$258), ""), 0)),"")</f>
        <v/>
      </c>
      <c r="AP74" s="111" t="str">
        <f t="array" ref="AP74">IFERROR(INDEX($AM$10:$AM$258, MATCH(0, IF(TRUE=$AK$10:$AK$258, COUNTIF($AP$9:$AP73, $AM$10:$AM$258), ""), 0)),"")</f>
        <v/>
      </c>
      <c r="AR74" s="30" t="str">
        <f>IFERROR(INDEX('G-7 WaterC'' Data'!$AZ$3:$AZ$7,MATCH(D74,'G-7 WaterC'' Data'!$AY$3:$AY$7,0)),"")</f>
        <v/>
      </c>
      <c r="AS74" s="30" t="str">
        <f>IFERROR(INDEX('G-7 WaterC'' Data'!AZ74:AZ78,MATCH(D74,'G-7 WaterC'' Data'!$AY$10:$AY$14,0)),"")</f>
        <v/>
      </c>
      <c r="AT74" s="903" t="str">
        <f>IF(AND(OR(AA74="Yes",AA74="Pending"),Q74='G-7 WaterC'' Data'!$G$4),R74-W74-X74,"")</f>
        <v/>
      </c>
      <c r="AU74" s="30" t="str">
        <f>IF(D74="","",VLOOKUP(D74,'G-7 WaterC'' Data'!B$4:M$8,12,FALSE))</f>
        <v/>
      </c>
      <c r="AV74" s="30" t="str">
        <f t="shared" ref="AV74:AV137" si="10">IF(AA74="","", IF(AA74="Yes", "Yes ✓", "No ▲"))</f>
        <v/>
      </c>
      <c r="AX74" s="30" t="str">
        <f t="shared" si="8"/>
        <v>No</v>
      </c>
    </row>
    <row r="75" spans="3:50" x14ac:dyDescent="0.25">
      <c r="C75" s="101">
        <v>66</v>
      </c>
      <c r="D75" s="267"/>
      <c r="E75" s="119"/>
      <c r="F75" s="281" t="str">
        <f>IF(D75="","",VLOOKUP(D75,'G-7 WaterC'' Data'!$B$2:$G$8,2,FALSE))</f>
        <v/>
      </c>
      <c r="G75" s="282" t="str">
        <f>IFERROR(VLOOKUP(F75,'G-7 WaterC'' Data'!$C$4:$D$8,2,FALSE),"")</f>
        <v/>
      </c>
      <c r="H75" s="52"/>
      <c r="I75" s="282" t="str">
        <f>IFERROR(INDEX('G-7 WaterC'' Data'!$H$4:$L$8,MATCH(D75,'G-7 WaterC'' Data'!$B$4:$B$8,0),MATCH(H75,'G-7 WaterC'' Data'!$H$3:$L$3,0)),"")</f>
        <v/>
      </c>
      <c r="J75" s="793"/>
      <c r="K75" s="317" t="str">
        <f>IF(J75="","",IF(VLOOKUP(J75,'G-7 WaterC'' Data'!$AK$4:$AM$6,2,FALSE)=0,"Spatial Data Missing ⚠",VLOOKUP(J75,'G-7 WaterC'' Data'!$AK$4:$AM$6,2,FALSE)))</f>
        <v/>
      </c>
      <c r="L75" s="287" t="str">
        <f>IF(J75="","",IF(VLOOKUP(J75,'G-7 WaterC'' Data'!$AK$4:$AM$9,3,FALSE)=0,"Spatial Data Missing ⚠",VLOOKUP(J75,'G-7 WaterC'' Data'!$AK$4:$AM$6,3,FALSE)))</f>
        <v/>
      </c>
      <c r="M75" s="52"/>
      <c r="N75" s="282" t="str">
        <f>IF(M75="","",IF(AND(D75&lt;&gt;"Culvert",M75="N/A - Culvert"),"Not possible ▲",IF(AND(D75="Culvert",M75&lt;&gt;"N/A - Culvert"),"Not possible ▲",IF(VLOOKUP(M75,'G-7 WaterC'' Data'!$AA$4:$AB$7,2,FALSE)=0,"Spatial Data Missing ⚠",VLOOKUP(M75,'G-7 WaterC'' Data'!$AA$4:$AB$7,2,FALSE)))))</f>
        <v/>
      </c>
      <c r="O75" s="56"/>
      <c r="P75" s="282" t="str">
        <f>IF(O75="","",IF(AND(O75="N/A - Culvert", D75&lt;&gt;"Culvert"),"Not possible ▲", IF(AND(D75="Culvert",O75&lt;&gt;"N/A - Culvert"),"Not possible ▲",IF(VLOOKUP(O75,'G-7 WaterC'' Data'!$AD$4:$AE$14,2,FALSE)=0,"Spatial Data Missing ⚠",VLOOKUP(O75,'G-7 WaterC'' Data'!$AD$4:$AE$14,2,FALSE)))))</f>
        <v/>
      </c>
      <c r="Q75" s="288" t="str">
        <f>IF(D75="","",VLOOKUP(D75,'G-7 WaterC'' Data'!$B$2:$G$8,6,FALSE))</f>
        <v/>
      </c>
      <c r="R75" s="295" t="str">
        <f t="shared" ref="R75:R138" si="11">IFERROR(IF(AND(U75&gt;0, V75&gt;0, U75+V75&gt;E75), "Split retained and enhanced into separate entries ▲", IF(OR(K75="Check data ⚠",I75="Check data ⚠"), "Check data ▲", E75*G75*I75*L75*N75*P75))," ")</f>
        <v xml:space="preserve"> </v>
      </c>
      <c r="S75" s="820" t="str">
        <f t="shared" ref="S75:S138" si="12">AU75</f>
        <v/>
      </c>
      <c r="T75" s="32"/>
      <c r="U75" s="105"/>
      <c r="V75" s="112"/>
      <c r="W75" s="293" t="str">
        <f t="shared" ref="W75:W138" si="13">IFERROR(IF(U75&gt;E75,"Error in Lengths ▲",U75*G75*I75*L75*N75*P75),"")</f>
        <v/>
      </c>
      <c r="X75" s="293" t="str">
        <f t="shared" ref="X75:X138" si="14">IFERROR(IF(D75="","",V75*G75*I75*L75*N75*P75),"")</f>
        <v/>
      </c>
      <c r="Y75" s="293" t="str">
        <f t="shared" ref="Y75:Y138" si="15">IFERROR(IF(D75="","", IF(E75&gt;(U75+V75),E75-U75-V75,0)),"")</f>
        <v/>
      </c>
      <c r="Z75" s="323" t="str">
        <f>IFERROR(IF(OR(E75="",R75=""),"",  IF(AND(Q75='G-7 WaterC'' Data'!$G$4,AA75="Yes"),"Alternative Compensation ✓", IF(AND(AA75="Pending", Q75='G-7 WaterC'' Data'!$G$4),"Bespoke compensation must be agreed ▲", IF((W75+X75)&gt;=R75, 0, R75-W75-X75)))),"Check Data ⚠")</f>
        <v/>
      </c>
      <c r="AA75" s="817"/>
      <c r="AB75" s="140"/>
      <c r="AC75" s="108"/>
      <c r="AD75" s="108"/>
      <c r="AE75" s="54" t="str">
        <f>IF(OR(Q75="",AA75="Yes"),"",IF(Q75='G-1 All Habitats'!$X$9,E75-U75-V75,"None"))</f>
        <v/>
      </c>
      <c r="AF75" s="55" t="str">
        <f>IF(Q75="","", IF(Q75='G-1 All Habitats'!$X$9, AE75*G75*I75*L75*N75*P75,"None"))</f>
        <v/>
      </c>
      <c r="AI75" s="30">
        <f t="shared" ref="AI75:AI138" si="16">IFERROR(IF(U75+V75&gt;E75,1,0),"")</f>
        <v>0</v>
      </c>
      <c r="AJ75" s="111" t="str">
        <f t="shared" ref="AJ75:AJ138" si="17">IF(D75="","",IF(U75&gt;0,TRUE,FALSE))</f>
        <v/>
      </c>
      <c r="AK75" s="111" t="str">
        <f t="shared" ref="AK75:AK138" si="18">IF(D75="","",IF(V75&gt;0,TRUE,FALSE))</f>
        <v/>
      </c>
      <c r="AM75" s="111">
        <v>66</v>
      </c>
      <c r="AO75" s="111" t="str">
        <f t="array" ref="AO75">IFERROR(INDEX($AM$10:$AM$258, MATCH(0, IF(TRUE=$AJ$10:$AJ$258, COUNTIF($AO$9:$AO74, $AM$10:$AM$258), ""), 0)),"")</f>
        <v/>
      </c>
      <c r="AP75" s="111" t="str">
        <f t="array" ref="AP75">IFERROR(INDEX($AM$10:$AM$258, MATCH(0, IF(TRUE=$AK$10:$AK$258, COUNTIF($AP$9:$AP74, $AM$10:$AM$258), ""), 0)),"")</f>
        <v/>
      </c>
      <c r="AR75" s="30" t="str">
        <f>IFERROR(INDEX('G-7 WaterC'' Data'!$AZ$3:$AZ$7,MATCH(D75,'G-7 WaterC'' Data'!$AY$3:$AY$7,0)),"")</f>
        <v/>
      </c>
      <c r="AS75" s="30" t="str">
        <f>IFERROR(INDEX('G-7 WaterC'' Data'!AZ75:AZ79,MATCH(D75,'G-7 WaterC'' Data'!$AY$10:$AY$14,0)),"")</f>
        <v/>
      </c>
      <c r="AT75" s="903" t="str">
        <f>IF(AND(OR(AA75="Yes",AA75="Pending"),Q75='G-7 WaterC'' Data'!$G$4),R75-W75-X75,"")</f>
        <v/>
      </c>
      <c r="AU75" s="30" t="str">
        <f>IF(D75="","",VLOOKUP(D75,'G-7 WaterC'' Data'!B$4:M$8,12,FALSE))</f>
        <v/>
      </c>
      <c r="AV75" s="30" t="str">
        <f t="shared" si="10"/>
        <v/>
      </c>
      <c r="AX75" s="30" t="str">
        <f t="shared" ref="AX75:AX138" si="19">IF(AND(D75="Ditches",(OR(H75="Fairly Poor",H75="Fairly Good"))), "Yes", "No")</f>
        <v>No</v>
      </c>
    </row>
    <row r="76" spans="3:50" x14ac:dyDescent="0.25">
      <c r="C76" s="101">
        <v>67</v>
      </c>
      <c r="D76" s="267"/>
      <c r="E76" s="119"/>
      <c r="F76" s="281" t="str">
        <f>IF(D76="","",VLOOKUP(D76,'G-7 WaterC'' Data'!$B$2:$G$8,2,FALSE))</f>
        <v/>
      </c>
      <c r="G76" s="282" t="str">
        <f>IFERROR(VLOOKUP(F76,'G-7 WaterC'' Data'!$C$4:$D$8,2,FALSE),"")</f>
        <v/>
      </c>
      <c r="H76" s="52"/>
      <c r="I76" s="282" t="str">
        <f>IFERROR(INDEX('G-7 WaterC'' Data'!$H$4:$L$8,MATCH(D76,'G-7 WaterC'' Data'!$B$4:$B$8,0),MATCH(H76,'G-7 WaterC'' Data'!$H$3:$L$3,0)),"")</f>
        <v/>
      </c>
      <c r="J76" s="793"/>
      <c r="K76" s="317" t="str">
        <f>IF(J76="","",IF(VLOOKUP(J76,'G-7 WaterC'' Data'!$AK$4:$AM$6,2,FALSE)=0,"Spatial Data Missing ⚠",VLOOKUP(J76,'G-7 WaterC'' Data'!$AK$4:$AM$6,2,FALSE)))</f>
        <v/>
      </c>
      <c r="L76" s="287" t="str">
        <f>IF(J76="","",IF(VLOOKUP(J76,'G-7 WaterC'' Data'!$AK$4:$AM$9,3,FALSE)=0,"Spatial Data Missing ⚠",VLOOKUP(J76,'G-7 WaterC'' Data'!$AK$4:$AM$6,3,FALSE)))</f>
        <v/>
      </c>
      <c r="M76" s="52"/>
      <c r="N76" s="282" t="str">
        <f>IF(M76="","",IF(AND(D76&lt;&gt;"Culvert",M76="N/A - Culvert"),"Not possible ▲",IF(AND(D76="Culvert",M76&lt;&gt;"N/A - Culvert"),"Not possible ▲",IF(VLOOKUP(M76,'G-7 WaterC'' Data'!$AA$4:$AB$7,2,FALSE)=0,"Spatial Data Missing ⚠",VLOOKUP(M76,'G-7 WaterC'' Data'!$AA$4:$AB$7,2,FALSE)))))</f>
        <v/>
      </c>
      <c r="O76" s="56"/>
      <c r="P76" s="282" t="str">
        <f>IF(O76="","",IF(AND(O76="N/A - Culvert", D76&lt;&gt;"Culvert"),"Not possible ▲", IF(AND(D76="Culvert",O76&lt;&gt;"N/A - Culvert"),"Not possible ▲",IF(VLOOKUP(O76,'G-7 WaterC'' Data'!$AD$4:$AE$14,2,FALSE)=0,"Spatial Data Missing ⚠",VLOOKUP(O76,'G-7 WaterC'' Data'!$AD$4:$AE$14,2,FALSE)))))</f>
        <v/>
      </c>
      <c r="Q76" s="288" t="str">
        <f>IF(D76="","",VLOOKUP(D76,'G-7 WaterC'' Data'!$B$2:$G$8,6,FALSE))</f>
        <v/>
      </c>
      <c r="R76" s="295" t="str">
        <f t="shared" si="11"/>
        <v xml:space="preserve"> </v>
      </c>
      <c r="S76" s="820" t="str">
        <f t="shared" si="12"/>
        <v/>
      </c>
      <c r="T76" s="32"/>
      <c r="U76" s="105"/>
      <c r="V76" s="112"/>
      <c r="W76" s="293" t="str">
        <f t="shared" si="13"/>
        <v/>
      </c>
      <c r="X76" s="293" t="str">
        <f t="shared" si="14"/>
        <v/>
      </c>
      <c r="Y76" s="293" t="str">
        <f t="shared" si="15"/>
        <v/>
      </c>
      <c r="Z76" s="323" t="str">
        <f>IFERROR(IF(OR(E76="",R76=""),"",  IF(AND(Q76='G-7 WaterC'' Data'!$G$4,AA76="Yes"),"Alternative Compensation ✓", IF(AND(AA76="Pending", Q76='G-7 WaterC'' Data'!$G$4),"Bespoke compensation must be agreed ▲", IF((W76+X76)&gt;=R76, 0, R76-W76-X76)))),"Check Data ⚠")</f>
        <v/>
      </c>
      <c r="AA76" s="817"/>
      <c r="AB76" s="140"/>
      <c r="AC76" s="108"/>
      <c r="AD76" s="108"/>
      <c r="AE76" s="54" t="str">
        <f>IF(OR(Q76="",AA76="Yes"),"",IF(Q76='G-1 All Habitats'!$X$9,E76-U76-V76,"None"))</f>
        <v/>
      </c>
      <c r="AF76" s="55" t="str">
        <f>IF(Q76="","", IF(Q76='G-1 All Habitats'!$X$9, AE76*G76*I76*L76*N76*P76,"None"))</f>
        <v/>
      </c>
      <c r="AI76" s="30">
        <f t="shared" si="16"/>
        <v>0</v>
      </c>
      <c r="AJ76" s="111" t="str">
        <f t="shared" si="17"/>
        <v/>
      </c>
      <c r="AK76" s="111" t="str">
        <f t="shared" si="18"/>
        <v/>
      </c>
      <c r="AM76" s="111">
        <v>67</v>
      </c>
      <c r="AO76" s="111" t="str">
        <f t="array" ref="AO76">IFERROR(INDEX($AM$10:$AM$258, MATCH(0, IF(TRUE=$AJ$10:$AJ$258, COUNTIF($AO$9:$AO75, $AM$10:$AM$258), ""), 0)),"")</f>
        <v/>
      </c>
      <c r="AP76" s="111" t="str">
        <f t="array" ref="AP76">IFERROR(INDEX($AM$10:$AM$258, MATCH(0, IF(TRUE=$AK$10:$AK$258, COUNTIF($AP$9:$AP75, $AM$10:$AM$258), ""), 0)),"")</f>
        <v/>
      </c>
      <c r="AR76" s="30" t="str">
        <f>IFERROR(INDEX('G-7 WaterC'' Data'!$AZ$3:$AZ$7,MATCH(D76,'G-7 WaterC'' Data'!$AY$3:$AY$7,0)),"")</f>
        <v/>
      </c>
      <c r="AS76" s="30" t="str">
        <f>IFERROR(INDEX('G-7 WaterC'' Data'!AZ76:AZ80,MATCH(D76,'G-7 WaterC'' Data'!$AY$10:$AY$14,0)),"")</f>
        <v/>
      </c>
      <c r="AT76" s="903" t="str">
        <f>IF(AND(OR(AA76="Yes",AA76="Pending"),Q76='G-7 WaterC'' Data'!$G$4),R76-W76-X76,"")</f>
        <v/>
      </c>
      <c r="AU76" s="30" t="str">
        <f>IF(D76="","",VLOOKUP(D76,'G-7 WaterC'' Data'!B$4:M$8,12,FALSE))</f>
        <v/>
      </c>
      <c r="AV76" s="30" t="str">
        <f t="shared" si="10"/>
        <v/>
      </c>
      <c r="AX76" s="30" t="str">
        <f t="shared" si="19"/>
        <v>No</v>
      </c>
    </row>
    <row r="77" spans="3:50" x14ac:dyDescent="0.25">
      <c r="C77" s="101">
        <v>68</v>
      </c>
      <c r="D77" s="267"/>
      <c r="E77" s="119"/>
      <c r="F77" s="281" t="str">
        <f>IF(D77="","",VLOOKUP(D77,'G-7 WaterC'' Data'!$B$2:$G$8,2,FALSE))</f>
        <v/>
      </c>
      <c r="G77" s="282" t="str">
        <f>IFERROR(VLOOKUP(F77,'G-7 WaterC'' Data'!$C$4:$D$8,2,FALSE),"")</f>
        <v/>
      </c>
      <c r="H77" s="52"/>
      <c r="I77" s="282" t="str">
        <f>IFERROR(INDEX('G-7 WaterC'' Data'!$H$4:$L$8,MATCH(D77,'G-7 WaterC'' Data'!$B$4:$B$8,0),MATCH(H77,'G-7 WaterC'' Data'!$H$3:$L$3,0)),"")</f>
        <v/>
      </c>
      <c r="J77" s="793"/>
      <c r="K77" s="317" t="str">
        <f>IF(J77="","",IF(VLOOKUP(J77,'G-7 WaterC'' Data'!$AK$4:$AM$6,2,FALSE)=0,"Spatial Data Missing ⚠",VLOOKUP(J77,'G-7 WaterC'' Data'!$AK$4:$AM$6,2,FALSE)))</f>
        <v/>
      </c>
      <c r="L77" s="287" t="str">
        <f>IF(J77="","",IF(VLOOKUP(J77,'G-7 WaterC'' Data'!$AK$4:$AM$9,3,FALSE)=0,"Spatial Data Missing ⚠",VLOOKUP(J77,'G-7 WaterC'' Data'!$AK$4:$AM$6,3,FALSE)))</f>
        <v/>
      </c>
      <c r="M77" s="52"/>
      <c r="N77" s="282" t="str">
        <f>IF(M77="","",IF(AND(D77&lt;&gt;"Culvert",M77="N/A - Culvert"),"Not possible ▲",IF(AND(D77="Culvert",M77&lt;&gt;"N/A - Culvert"),"Not possible ▲",IF(VLOOKUP(M77,'G-7 WaterC'' Data'!$AA$4:$AB$7,2,FALSE)=0,"Spatial Data Missing ⚠",VLOOKUP(M77,'G-7 WaterC'' Data'!$AA$4:$AB$7,2,FALSE)))))</f>
        <v/>
      </c>
      <c r="O77" s="56"/>
      <c r="P77" s="282" t="str">
        <f>IF(O77="","",IF(AND(O77="N/A - Culvert", D77&lt;&gt;"Culvert"),"Not possible ▲", IF(AND(D77="Culvert",O77&lt;&gt;"N/A - Culvert"),"Not possible ▲",IF(VLOOKUP(O77,'G-7 WaterC'' Data'!$AD$4:$AE$14,2,FALSE)=0,"Spatial Data Missing ⚠",VLOOKUP(O77,'G-7 WaterC'' Data'!$AD$4:$AE$14,2,FALSE)))))</f>
        <v/>
      </c>
      <c r="Q77" s="288" t="str">
        <f>IF(D77="","",VLOOKUP(D77,'G-7 WaterC'' Data'!$B$2:$G$8,6,FALSE))</f>
        <v/>
      </c>
      <c r="R77" s="295" t="str">
        <f t="shared" si="11"/>
        <v xml:space="preserve"> </v>
      </c>
      <c r="S77" s="820" t="str">
        <f t="shared" si="12"/>
        <v/>
      </c>
      <c r="T77" s="32"/>
      <c r="U77" s="105"/>
      <c r="V77" s="112"/>
      <c r="W77" s="293" t="str">
        <f t="shared" si="13"/>
        <v/>
      </c>
      <c r="X77" s="293" t="str">
        <f t="shared" si="14"/>
        <v/>
      </c>
      <c r="Y77" s="293" t="str">
        <f t="shared" si="15"/>
        <v/>
      </c>
      <c r="Z77" s="323" t="str">
        <f>IFERROR(IF(OR(E77="",R77=""),"",  IF(AND(Q77='G-7 WaterC'' Data'!$G$4,AA77="Yes"),"Alternative Compensation ✓", IF(AND(AA77="Pending", Q77='G-7 WaterC'' Data'!$G$4),"Bespoke compensation must be agreed ▲", IF((W77+X77)&gt;=R77, 0, R77-W77-X77)))),"Check Data ⚠")</f>
        <v/>
      </c>
      <c r="AA77" s="817"/>
      <c r="AB77" s="140"/>
      <c r="AC77" s="108"/>
      <c r="AD77" s="108"/>
      <c r="AE77" s="54" t="str">
        <f>IF(OR(Q77="",AA77="Yes"),"",IF(Q77='G-1 All Habitats'!$X$9,E77-U77-V77,"None"))</f>
        <v/>
      </c>
      <c r="AF77" s="55" t="str">
        <f>IF(Q77="","", IF(Q77='G-1 All Habitats'!$X$9, AE77*G77*I77*L77*N77*P77,"None"))</f>
        <v/>
      </c>
      <c r="AI77" s="30">
        <f t="shared" si="16"/>
        <v>0</v>
      </c>
      <c r="AJ77" s="111" t="str">
        <f t="shared" si="17"/>
        <v/>
      </c>
      <c r="AK77" s="111" t="str">
        <f t="shared" si="18"/>
        <v/>
      </c>
      <c r="AM77" s="111">
        <v>68</v>
      </c>
      <c r="AO77" s="111" t="str">
        <f t="array" ref="AO77">IFERROR(INDEX($AM$10:$AM$258, MATCH(0, IF(TRUE=$AJ$10:$AJ$258, COUNTIF($AO$9:$AO76, $AM$10:$AM$258), ""), 0)),"")</f>
        <v/>
      </c>
      <c r="AP77" s="111" t="str">
        <f t="array" ref="AP77">IFERROR(INDEX($AM$10:$AM$258, MATCH(0, IF(TRUE=$AK$10:$AK$258, COUNTIF($AP$9:$AP76, $AM$10:$AM$258), ""), 0)),"")</f>
        <v/>
      </c>
      <c r="AR77" s="30" t="str">
        <f>IFERROR(INDEX('G-7 WaterC'' Data'!$AZ$3:$AZ$7,MATCH(D77,'G-7 WaterC'' Data'!$AY$3:$AY$7,0)),"")</f>
        <v/>
      </c>
      <c r="AS77" s="30" t="str">
        <f>IFERROR(INDEX('G-7 WaterC'' Data'!AZ77:AZ81,MATCH(D77,'G-7 WaterC'' Data'!$AY$10:$AY$14,0)),"")</f>
        <v/>
      </c>
      <c r="AT77" s="903" t="str">
        <f>IF(AND(OR(AA77="Yes",AA77="Pending"),Q77='G-7 WaterC'' Data'!$G$4),R77-W77-X77,"")</f>
        <v/>
      </c>
      <c r="AU77" s="30" t="str">
        <f>IF(D77="","",VLOOKUP(D77,'G-7 WaterC'' Data'!B$4:M$8,12,FALSE))</f>
        <v/>
      </c>
      <c r="AV77" s="30" t="str">
        <f t="shared" si="10"/>
        <v/>
      </c>
      <c r="AX77" s="30" t="str">
        <f t="shared" si="19"/>
        <v>No</v>
      </c>
    </row>
    <row r="78" spans="3:50" x14ac:dyDescent="0.25">
      <c r="C78" s="101">
        <v>69</v>
      </c>
      <c r="D78" s="267"/>
      <c r="E78" s="119"/>
      <c r="F78" s="281" t="str">
        <f>IF(D78="","",VLOOKUP(D78,'G-7 WaterC'' Data'!$B$2:$G$8,2,FALSE))</f>
        <v/>
      </c>
      <c r="G78" s="282" t="str">
        <f>IFERROR(VLOOKUP(F78,'G-7 WaterC'' Data'!$C$4:$D$8,2,FALSE),"")</f>
        <v/>
      </c>
      <c r="H78" s="52"/>
      <c r="I78" s="282" t="str">
        <f>IFERROR(INDEX('G-7 WaterC'' Data'!$H$4:$L$8,MATCH(D78,'G-7 WaterC'' Data'!$B$4:$B$8,0),MATCH(H78,'G-7 WaterC'' Data'!$H$3:$L$3,0)),"")</f>
        <v/>
      </c>
      <c r="J78" s="793"/>
      <c r="K78" s="317" t="str">
        <f>IF(J78="","",IF(VLOOKUP(J78,'G-7 WaterC'' Data'!$AK$4:$AM$6,2,FALSE)=0,"Spatial Data Missing ⚠",VLOOKUP(J78,'G-7 WaterC'' Data'!$AK$4:$AM$6,2,FALSE)))</f>
        <v/>
      </c>
      <c r="L78" s="287" t="str">
        <f>IF(J78="","",IF(VLOOKUP(J78,'G-7 WaterC'' Data'!$AK$4:$AM$9,3,FALSE)=0,"Spatial Data Missing ⚠",VLOOKUP(J78,'G-7 WaterC'' Data'!$AK$4:$AM$6,3,FALSE)))</f>
        <v/>
      </c>
      <c r="M78" s="52"/>
      <c r="N78" s="282" t="str">
        <f>IF(M78="","",IF(AND(D78&lt;&gt;"Culvert",M78="N/A - Culvert"),"Not possible ▲",IF(AND(D78="Culvert",M78&lt;&gt;"N/A - Culvert"),"Not possible ▲",IF(VLOOKUP(M78,'G-7 WaterC'' Data'!$AA$4:$AB$7,2,FALSE)=0,"Spatial Data Missing ⚠",VLOOKUP(M78,'G-7 WaterC'' Data'!$AA$4:$AB$7,2,FALSE)))))</f>
        <v/>
      </c>
      <c r="O78" s="56"/>
      <c r="P78" s="282" t="str">
        <f>IF(O78="","",IF(AND(O78="N/A - Culvert", D78&lt;&gt;"Culvert"),"Not possible ▲", IF(AND(D78="Culvert",O78&lt;&gt;"N/A - Culvert"),"Not possible ▲",IF(VLOOKUP(O78,'G-7 WaterC'' Data'!$AD$4:$AE$14,2,FALSE)=0,"Spatial Data Missing ⚠",VLOOKUP(O78,'G-7 WaterC'' Data'!$AD$4:$AE$14,2,FALSE)))))</f>
        <v/>
      </c>
      <c r="Q78" s="288" t="str">
        <f>IF(D78="","",VLOOKUP(D78,'G-7 WaterC'' Data'!$B$2:$G$8,6,FALSE))</f>
        <v/>
      </c>
      <c r="R78" s="295" t="str">
        <f t="shared" si="11"/>
        <v xml:space="preserve"> </v>
      </c>
      <c r="S78" s="820" t="str">
        <f t="shared" si="12"/>
        <v/>
      </c>
      <c r="T78" s="32"/>
      <c r="U78" s="105"/>
      <c r="V78" s="112"/>
      <c r="W78" s="293" t="str">
        <f t="shared" si="13"/>
        <v/>
      </c>
      <c r="X78" s="293" t="str">
        <f t="shared" si="14"/>
        <v/>
      </c>
      <c r="Y78" s="293" t="str">
        <f t="shared" si="15"/>
        <v/>
      </c>
      <c r="Z78" s="323" t="str">
        <f>IFERROR(IF(OR(E78="",R78=""),"",  IF(AND(Q78='G-7 WaterC'' Data'!$G$4,AA78="Yes"),"Alternative Compensation ✓", IF(AND(AA78="Pending", Q78='G-7 WaterC'' Data'!$G$4),"Bespoke compensation must be agreed ▲", IF((W78+X78)&gt;=R78, 0, R78-W78-X78)))),"Check Data ⚠")</f>
        <v/>
      </c>
      <c r="AA78" s="817"/>
      <c r="AB78" s="140"/>
      <c r="AC78" s="108"/>
      <c r="AD78" s="108"/>
      <c r="AE78" s="54" t="str">
        <f>IF(OR(Q78="",AA78="Yes"),"",IF(Q78='G-1 All Habitats'!$X$9,E78-U78-V78,"None"))</f>
        <v/>
      </c>
      <c r="AF78" s="55" t="str">
        <f>IF(Q78="","", IF(Q78='G-1 All Habitats'!$X$9, AE78*G78*I78*L78*N78*P78,"None"))</f>
        <v/>
      </c>
      <c r="AI78" s="30">
        <f t="shared" si="16"/>
        <v>0</v>
      </c>
      <c r="AJ78" s="111" t="str">
        <f t="shared" si="17"/>
        <v/>
      </c>
      <c r="AK78" s="111" t="str">
        <f t="shared" si="18"/>
        <v/>
      </c>
      <c r="AM78" s="111">
        <v>69</v>
      </c>
      <c r="AO78" s="111" t="str">
        <f t="array" ref="AO78">IFERROR(INDEX($AM$10:$AM$258, MATCH(0, IF(TRUE=$AJ$10:$AJ$258, COUNTIF($AO$9:$AO77, $AM$10:$AM$258), ""), 0)),"")</f>
        <v/>
      </c>
      <c r="AP78" s="111" t="str">
        <f t="array" ref="AP78">IFERROR(INDEX($AM$10:$AM$258, MATCH(0, IF(TRUE=$AK$10:$AK$258, COUNTIF($AP$9:$AP77, $AM$10:$AM$258), ""), 0)),"")</f>
        <v/>
      </c>
      <c r="AR78" s="30" t="str">
        <f>IFERROR(INDEX('G-7 WaterC'' Data'!$AZ$3:$AZ$7,MATCH(D78,'G-7 WaterC'' Data'!$AY$3:$AY$7,0)),"")</f>
        <v/>
      </c>
      <c r="AS78" s="30" t="str">
        <f>IFERROR(INDEX('G-7 WaterC'' Data'!AZ78:AZ82,MATCH(D78,'G-7 WaterC'' Data'!$AY$10:$AY$14,0)),"")</f>
        <v/>
      </c>
      <c r="AT78" s="903" t="str">
        <f>IF(AND(OR(AA78="Yes",AA78="Pending"),Q78='G-7 WaterC'' Data'!$G$4),R78-W78-X78,"")</f>
        <v/>
      </c>
      <c r="AU78" s="30" t="str">
        <f>IF(D78="","",VLOOKUP(D78,'G-7 WaterC'' Data'!B$4:M$8,12,FALSE))</f>
        <v/>
      </c>
      <c r="AV78" s="30" t="str">
        <f t="shared" si="10"/>
        <v/>
      </c>
      <c r="AX78" s="30" t="str">
        <f t="shared" si="19"/>
        <v>No</v>
      </c>
    </row>
    <row r="79" spans="3:50" x14ac:dyDescent="0.25">
      <c r="C79" s="101">
        <v>70</v>
      </c>
      <c r="D79" s="267"/>
      <c r="E79" s="119"/>
      <c r="F79" s="281" t="str">
        <f>IF(D79="","",VLOOKUP(D79,'G-7 WaterC'' Data'!$B$2:$G$8,2,FALSE))</f>
        <v/>
      </c>
      <c r="G79" s="282" t="str">
        <f>IFERROR(VLOOKUP(F79,'G-7 WaterC'' Data'!$C$4:$D$8,2,FALSE),"")</f>
        <v/>
      </c>
      <c r="H79" s="52"/>
      <c r="I79" s="282" t="str">
        <f>IFERROR(INDEX('G-7 WaterC'' Data'!$H$4:$L$8,MATCH(D79,'G-7 WaterC'' Data'!$B$4:$B$8,0),MATCH(H79,'G-7 WaterC'' Data'!$H$3:$L$3,0)),"")</f>
        <v/>
      </c>
      <c r="J79" s="793"/>
      <c r="K79" s="317" t="str">
        <f>IF(J79="","",IF(VLOOKUP(J79,'G-7 WaterC'' Data'!$AK$4:$AM$6,2,FALSE)=0,"Spatial Data Missing ⚠",VLOOKUP(J79,'G-7 WaterC'' Data'!$AK$4:$AM$6,2,FALSE)))</f>
        <v/>
      </c>
      <c r="L79" s="287" t="str">
        <f>IF(J79="","",IF(VLOOKUP(J79,'G-7 WaterC'' Data'!$AK$4:$AM$9,3,FALSE)=0,"Spatial Data Missing ⚠",VLOOKUP(J79,'G-7 WaterC'' Data'!$AK$4:$AM$6,3,FALSE)))</f>
        <v/>
      </c>
      <c r="M79" s="52"/>
      <c r="N79" s="282" t="str">
        <f>IF(M79="","",IF(AND(D79&lt;&gt;"Culvert",M79="N/A - Culvert"),"Not possible ▲",IF(AND(D79="Culvert",M79&lt;&gt;"N/A - Culvert"),"Not possible ▲",IF(VLOOKUP(M79,'G-7 WaterC'' Data'!$AA$4:$AB$7,2,FALSE)=0,"Spatial Data Missing ⚠",VLOOKUP(M79,'G-7 WaterC'' Data'!$AA$4:$AB$7,2,FALSE)))))</f>
        <v/>
      </c>
      <c r="O79" s="56"/>
      <c r="P79" s="282" t="str">
        <f>IF(O79="","",IF(AND(O79="N/A - Culvert", D79&lt;&gt;"Culvert"),"Not possible ▲", IF(AND(D79="Culvert",O79&lt;&gt;"N/A - Culvert"),"Not possible ▲",IF(VLOOKUP(O79,'G-7 WaterC'' Data'!$AD$4:$AE$14,2,FALSE)=0,"Spatial Data Missing ⚠",VLOOKUP(O79,'G-7 WaterC'' Data'!$AD$4:$AE$14,2,FALSE)))))</f>
        <v/>
      </c>
      <c r="Q79" s="288" t="str">
        <f>IF(D79="","",VLOOKUP(D79,'G-7 WaterC'' Data'!$B$2:$G$8,6,FALSE))</f>
        <v/>
      </c>
      <c r="R79" s="295" t="str">
        <f t="shared" si="11"/>
        <v xml:space="preserve"> </v>
      </c>
      <c r="S79" s="820" t="str">
        <f t="shared" si="12"/>
        <v/>
      </c>
      <c r="T79" s="32"/>
      <c r="U79" s="105"/>
      <c r="V79" s="112"/>
      <c r="W79" s="293" t="str">
        <f t="shared" si="13"/>
        <v/>
      </c>
      <c r="X79" s="293" t="str">
        <f t="shared" si="14"/>
        <v/>
      </c>
      <c r="Y79" s="293" t="str">
        <f t="shared" si="15"/>
        <v/>
      </c>
      <c r="Z79" s="323" t="str">
        <f>IFERROR(IF(OR(E79="",R79=""),"",  IF(AND(Q79='G-7 WaterC'' Data'!$G$4,AA79="Yes"),"Alternative Compensation ✓", IF(AND(AA79="Pending", Q79='G-7 WaterC'' Data'!$G$4),"Bespoke compensation must be agreed ▲", IF((W79+X79)&gt;=R79, 0, R79-W79-X79)))),"Check Data ⚠")</f>
        <v/>
      </c>
      <c r="AA79" s="817"/>
      <c r="AB79" s="140"/>
      <c r="AC79" s="108"/>
      <c r="AD79" s="108"/>
      <c r="AE79" s="54" t="str">
        <f>IF(OR(Q79="",AA79="Yes"),"",IF(Q79='G-1 All Habitats'!$X$9,E79-U79-V79,"None"))</f>
        <v/>
      </c>
      <c r="AF79" s="55" t="str">
        <f>IF(Q79="","", IF(Q79='G-1 All Habitats'!$X$9, AE79*G79*I79*L79*N79*P79,"None"))</f>
        <v/>
      </c>
      <c r="AI79" s="30">
        <f t="shared" si="16"/>
        <v>0</v>
      </c>
      <c r="AJ79" s="111" t="str">
        <f t="shared" si="17"/>
        <v/>
      </c>
      <c r="AK79" s="111" t="str">
        <f t="shared" si="18"/>
        <v/>
      </c>
      <c r="AM79" s="111">
        <v>70</v>
      </c>
      <c r="AO79" s="111" t="str">
        <f t="array" ref="AO79">IFERROR(INDEX($AM$10:$AM$258, MATCH(0, IF(TRUE=$AJ$10:$AJ$258, COUNTIF($AO$9:$AO78, $AM$10:$AM$258), ""), 0)),"")</f>
        <v/>
      </c>
      <c r="AP79" s="111" t="str">
        <f t="array" ref="AP79">IFERROR(INDEX($AM$10:$AM$258, MATCH(0, IF(TRUE=$AK$10:$AK$258, COUNTIF($AP$9:$AP78, $AM$10:$AM$258), ""), 0)),"")</f>
        <v/>
      </c>
      <c r="AR79" s="30" t="str">
        <f>IFERROR(INDEX('G-7 WaterC'' Data'!$AZ$3:$AZ$7,MATCH(D79,'G-7 WaterC'' Data'!$AY$3:$AY$7,0)),"")</f>
        <v/>
      </c>
      <c r="AS79" s="30" t="str">
        <f>IFERROR(INDEX('G-7 WaterC'' Data'!AZ79:AZ83,MATCH(D79,'G-7 WaterC'' Data'!$AY$10:$AY$14,0)),"")</f>
        <v/>
      </c>
      <c r="AT79" s="903" t="str">
        <f>IF(AND(OR(AA79="Yes",AA79="Pending"),Q79='G-7 WaterC'' Data'!$G$4),R79-W79-X79,"")</f>
        <v/>
      </c>
      <c r="AU79" s="30" t="str">
        <f>IF(D79="","",VLOOKUP(D79,'G-7 WaterC'' Data'!B$4:M$8,12,FALSE))</f>
        <v/>
      </c>
      <c r="AV79" s="30" t="str">
        <f t="shared" si="10"/>
        <v/>
      </c>
      <c r="AX79" s="30" t="str">
        <f t="shared" si="19"/>
        <v>No</v>
      </c>
    </row>
    <row r="80" spans="3:50" x14ac:dyDescent="0.25">
      <c r="C80" s="101">
        <v>71</v>
      </c>
      <c r="D80" s="267"/>
      <c r="E80" s="119"/>
      <c r="F80" s="281" t="str">
        <f>IF(D80="","",VLOOKUP(D80,'G-7 WaterC'' Data'!$B$2:$G$8,2,FALSE))</f>
        <v/>
      </c>
      <c r="G80" s="282" t="str">
        <f>IFERROR(VLOOKUP(F80,'G-7 WaterC'' Data'!$C$4:$D$8,2,FALSE),"")</f>
        <v/>
      </c>
      <c r="H80" s="52"/>
      <c r="I80" s="282" t="str">
        <f>IFERROR(INDEX('G-7 WaterC'' Data'!$H$4:$L$8,MATCH(D80,'G-7 WaterC'' Data'!$B$4:$B$8,0),MATCH(H80,'G-7 WaterC'' Data'!$H$3:$L$3,0)),"")</f>
        <v/>
      </c>
      <c r="J80" s="793"/>
      <c r="K80" s="317" t="str">
        <f>IF(J80="","",IF(VLOOKUP(J80,'G-7 WaterC'' Data'!$AK$4:$AM$6,2,FALSE)=0,"Spatial Data Missing ⚠",VLOOKUP(J80,'G-7 WaterC'' Data'!$AK$4:$AM$6,2,FALSE)))</f>
        <v/>
      </c>
      <c r="L80" s="287" t="str">
        <f>IF(J80="","",IF(VLOOKUP(J80,'G-7 WaterC'' Data'!$AK$4:$AM$9,3,FALSE)=0,"Spatial Data Missing ⚠",VLOOKUP(J80,'G-7 WaterC'' Data'!$AK$4:$AM$6,3,FALSE)))</f>
        <v/>
      </c>
      <c r="M80" s="52"/>
      <c r="N80" s="282" t="str">
        <f>IF(M80="","",IF(AND(D80&lt;&gt;"Culvert",M80="N/A - Culvert"),"Not possible ▲",IF(AND(D80="Culvert",M80&lt;&gt;"N/A - Culvert"),"Not possible ▲",IF(VLOOKUP(M80,'G-7 WaterC'' Data'!$AA$4:$AB$7,2,FALSE)=0,"Spatial Data Missing ⚠",VLOOKUP(M80,'G-7 WaterC'' Data'!$AA$4:$AB$7,2,FALSE)))))</f>
        <v/>
      </c>
      <c r="O80" s="56"/>
      <c r="P80" s="282" t="str">
        <f>IF(O80="","",IF(AND(O80="N/A - Culvert", D80&lt;&gt;"Culvert"),"Not possible ▲", IF(AND(D80="Culvert",O80&lt;&gt;"N/A - Culvert"),"Not possible ▲",IF(VLOOKUP(O80,'G-7 WaterC'' Data'!$AD$4:$AE$14,2,FALSE)=0,"Spatial Data Missing ⚠",VLOOKUP(O80,'G-7 WaterC'' Data'!$AD$4:$AE$14,2,FALSE)))))</f>
        <v/>
      </c>
      <c r="Q80" s="288" t="str">
        <f>IF(D80="","",VLOOKUP(D80,'G-7 WaterC'' Data'!$B$2:$G$8,6,FALSE))</f>
        <v/>
      </c>
      <c r="R80" s="295" t="str">
        <f t="shared" si="11"/>
        <v xml:space="preserve"> </v>
      </c>
      <c r="S80" s="820" t="str">
        <f t="shared" si="12"/>
        <v/>
      </c>
      <c r="T80" s="32"/>
      <c r="U80" s="105"/>
      <c r="V80" s="112"/>
      <c r="W80" s="293" t="str">
        <f t="shared" si="13"/>
        <v/>
      </c>
      <c r="X80" s="293" t="str">
        <f t="shared" si="14"/>
        <v/>
      </c>
      <c r="Y80" s="293" t="str">
        <f t="shared" si="15"/>
        <v/>
      </c>
      <c r="Z80" s="323" t="str">
        <f>IFERROR(IF(OR(E80="",R80=""),"",  IF(AND(Q80='G-7 WaterC'' Data'!$G$4,AA80="Yes"),"Alternative Compensation ✓", IF(AND(AA80="Pending", Q80='G-7 WaterC'' Data'!$G$4),"Bespoke compensation must be agreed ▲", IF((W80+X80)&gt;=R80, 0, R80-W80-X80)))),"Check Data ⚠")</f>
        <v/>
      </c>
      <c r="AA80" s="817"/>
      <c r="AB80" s="140"/>
      <c r="AC80" s="108"/>
      <c r="AD80" s="108"/>
      <c r="AE80" s="54" t="str">
        <f>IF(OR(Q80="",AA80="Yes"),"",IF(Q80='G-1 All Habitats'!$X$9,E80-U80-V80,"None"))</f>
        <v/>
      </c>
      <c r="AF80" s="55" t="str">
        <f>IF(Q80="","", IF(Q80='G-1 All Habitats'!$X$9, AE80*G80*I80*L80*N80*P80,"None"))</f>
        <v/>
      </c>
      <c r="AI80" s="30">
        <f t="shared" si="16"/>
        <v>0</v>
      </c>
      <c r="AJ80" s="111" t="str">
        <f t="shared" si="17"/>
        <v/>
      </c>
      <c r="AK80" s="111" t="str">
        <f t="shared" si="18"/>
        <v/>
      </c>
      <c r="AM80" s="111">
        <v>71</v>
      </c>
      <c r="AO80" s="111" t="str">
        <f t="array" ref="AO80">IFERROR(INDEX($AM$10:$AM$258, MATCH(0, IF(TRUE=$AJ$10:$AJ$258, COUNTIF($AO$9:$AO79, $AM$10:$AM$258), ""), 0)),"")</f>
        <v/>
      </c>
      <c r="AP80" s="111" t="str">
        <f t="array" ref="AP80">IFERROR(INDEX($AM$10:$AM$258, MATCH(0, IF(TRUE=$AK$10:$AK$258, COUNTIF($AP$9:$AP79, $AM$10:$AM$258), ""), 0)),"")</f>
        <v/>
      </c>
      <c r="AR80" s="30" t="str">
        <f>IFERROR(INDEX('G-7 WaterC'' Data'!$AZ$3:$AZ$7,MATCH(D80,'G-7 WaterC'' Data'!$AY$3:$AY$7,0)),"")</f>
        <v/>
      </c>
      <c r="AS80" s="30" t="str">
        <f>IFERROR(INDEX('G-7 WaterC'' Data'!AZ80:AZ84,MATCH(D80,'G-7 WaterC'' Data'!$AY$10:$AY$14,0)),"")</f>
        <v/>
      </c>
      <c r="AT80" s="903" t="str">
        <f>IF(AND(OR(AA80="Yes",AA80="Pending"),Q80='G-7 WaterC'' Data'!$G$4),R80-W80-X80,"")</f>
        <v/>
      </c>
      <c r="AU80" s="30" t="str">
        <f>IF(D80="","",VLOOKUP(D80,'G-7 WaterC'' Data'!B$4:M$8,12,FALSE))</f>
        <v/>
      </c>
      <c r="AV80" s="30" t="str">
        <f t="shared" si="10"/>
        <v/>
      </c>
      <c r="AX80" s="30" t="str">
        <f t="shared" si="19"/>
        <v>No</v>
      </c>
    </row>
    <row r="81" spans="3:50" x14ac:dyDescent="0.25">
      <c r="C81" s="101">
        <v>72</v>
      </c>
      <c r="D81" s="267"/>
      <c r="E81" s="119"/>
      <c r="F81" s="281" t="str">
        <f>IF(D81="","",VLOOKUP(D81,'G-7 WaterC'' Data'!$B$2:$G$8,2,FALSE))</f>
        <v/>
      </c>
      <c r="G81" s="282" t="str">
        <f>IFERROR(VLOOKUP(F81,'G-7 WaterC'' Data'!$C$4:$D$8,2,FALSE),"")</f>
        <v/>
      </c>
      <c r="H81" s="52"/>
      <c r="I81" s="282" t="str">
        <f>IFERROR(INDEX('G-7 WaterC'' Data'!$H$4:$L$8,MATCH(D81,'G-7 WaterC'' Data'!$B$4:$B$8,0),MATCH(H81,'G-7 WaterC'' Data'!$H$3:$L$3,0)),"")</f>
        <v/>
      </c>
      <c r="J81" s="793"/>
      <c r="K81" s="317" t="str">
        <f>IF(J81="","",IF(VLOOKUP(J81,'G-7 WaterC'' Data'!$AK$4:$AM$6,2,FALSE)=0,"Spatial Data Missing ⚠",VLOOKUP(J81,'G-7 WaterC'' Data'!$AK$4:$AM$6,2,FALSE)))</f>
        <v/>
      </c>
      <c r="L81" s="287" t="str">
        <f>IF(J81="","",IF(VLOOKUP(J81,'G-7 WaterC'' Data'!$AK$4:$AM$9,3,FALSE)=0,"Spatial Data Missing ⚠",VLOOKUP(J81,'G-7 WaterC'' Data'!$AK$4:$AM$6,3,FALSE)))</f>
        <v/>
      </c>
      <c r="M81" s="52"/>
      <c r="N81" s="282" t="str">
        <f>IF(M81="","",IF(AND(D81&lt;&gt;"Culvert",M81="N/A - Culvert"),"Not possible ▲",IF(AND(D81="Culvert",M81&lt;&gt;"N/A - Culvert"),"Not possible ▲",IF(VLOOKUP(M81,'G-7 WaterC'' Data'!$AA$4:$AB$7,2,FALSE)=0,"Spatial Data Missing ⚠",VLOOKUP(M81,'G-7 WaterC'' Data'!$AA$4:$AB$7,2,FALSE)))))</f>
        <v/>
      </c>
      <c r="O81" s="56"/>
      <c r="P81" s="282" t="str">
        <f>IF(O81="","",IF(AND(O81="N/A - Culvert", D81&lt;&gt;"Culvert"),"Not possible ▲", IF(AND(D81="Culvert",O81&lt;&gt;"N/A - Culvert"),"Not possible ▲",IF(VLOOKUP(O81,'G-7 WaterC'' Data'!$AD$4:$AE$14,2,FALSE)=0,"Spatial Data Missing ⚠",VLOOKUP(O81,'G-7 WaterC'' Data'!$AD$4:$AE$14,2,FALSE)))))</f>
        <v/>
      </c>
      <c r="Q81" s="288" t="str">
        <f>IF(D81="","",VLOOKUP(D81,'G-7 WaterC'' Data'!$B$2:$G$8,6,FALSE))</f>
        <v/>
      </c>
      <c r="R81" s="295" t="str">
        <f t="shared" si="11"/>
        <v xml:space="preserve"> </v>
      </c>
      <c r="S81" s="820" t="str">
        <f t="shared" si="12"/>
        <v/>
      </c>
      <c r="T81" s="32"/>
      <c r="U81" s="105"/>
      <c r="V81" s="112"/>
      <c r="W81" s="293" t="str">
        <f t="shared" si="13"/>
        <v/>
      </c>
      <c r="X81" s="293" t="str">
        <f t="shared" si="14"/>
        <v/>
      </c>
      <c r="Y81" s="293" t="str">
        <f t="shared" si="15"/>
        <v/>
      </c>
      <c r="Z81" s="323" t="str">
        <f>IFERROR(IF(OR(E81="",R81=""),"",  IF(AND(Q81='G-7 WaterC'' Data'!$G$4,AA81="Yes"),"Alternative Compensation ✓", IF(AND(AA81="Pending", Q81='G-7 WaterC'' Data'!$G$4),"Bespoke compensation must be agreed ▲", IF((W81+X81)&gt;=R81, 0, R81-W81-X81)))),"Check Data ⚠")</f>
        <v/>
      </c>
      <c r="AA81" s="817"/>
      <c r="AB81" s="140"/>
      <c r="AC81" s="108"/>
      <c r="AD81" s="108"/>
      <c r="AE81" s="54" t="str">
        <f>IF(OR(Q81="",AA81="Yes"),"",IF(Q81='G-1 All Habitats'!$X$9,E81-U81-V81,"None"))</f>
        <v/>
      </c>
      <c r="AF81" s="55" t="str">
        <f>IF(Q81="","", IF(Q81='G-1 All Habitats'!$X$9, AE81*G81*I81*L81*N81*P81,"None"))</f>
        <v/>
      </c>
      <c r="AI81" s="30">
        <f t="shared" si="16"/>
        <v>0</v>
      </c>
      <c r="AJ81" s="111" t="str">
        <f t="shared" si="17"/>
        <v/>
      </c>
      <c r="AK81" s="111" t="str">
        <f t="shared" si="18"/>
        <v/>
      </c>
      <c r="AM81" s="111">
        <v>72</v>
      </c>
      <c r="AO81" s="111" t="str">
        <f t="array" ref="AO81">IFERROR(INDEX($AM$10:$AM$258, MATCH(0, IF(TRUE=$AJ$10:$AJ$258, COUNTIF($AO$9:$AO80, $AM$10:$AM$258), ""), 0)),"")</f>
        <v/>
      </c>
      <c r="AP81" s="111" t="str">
        <f t="array" ref="AP81">IFERROR(INDEX($AM$10:$AM$258, MATCH(0, IF(TRUE=$AK$10:$AK$258, COUNTIF($AP$9:$AP80, $AM$10:$AM$258), ""), 0)),"")</f>
        <v/>
      </c>
      <c r="AR81" s="30" t="str">
        <f>IFERROR(INDEX('G-7 WaterC'' Data'!$AZ$3:$AZ$7,MATCH(D81,'G-7 WaterC'' Data'!$AY$3:$AY$7,0)),"")</f>
        <v/>
      </c>
      <c r="AS81" s="30" t="str">
        <f>IFERROR(INDEX('G-7 WaterC'' Data'!AZ81:AZ85,MATCH(D81,'G-7 WaterC'' Data'!$AY$10:$AY$14,0)),"")</f>
        <v/>
      </c>
      <c r="AT81" s="903" t="str">
        <f>IF(AND(OR(AA81="Yes",AA81="Pending"),Q81='G-7 WaterC'' Data'!$G$4),R81-W81-X81,"")</f>
        <v/>
      </c>
      <c r="AU81" s="30" t="str">
        <f>IF(D81="","",VLOOKUP(D81,'G-7 WaterC'' Data'!B$4:M$8,12,FALSE))</f>
        <v/>
      </c>
      <c r="AV81" s="30" t="str">
        <f t="shared" si="10"/>
        <v/>
      </c>
      <c r="AX81" s="30" t="str">
        <f t="shared" si="19"/>
        <v>No</v>
      </c>
    </row>
    <row r="82" spans="3:50" x14ac:dyDescent="0.25">
      <c r="C82" s="101">
        <v>73</v>
      </c>
      <c r="D82" s="267"/>
      <c r="E82" s="119"/>
      <c r="F82" s="281" t="str">
        <f>IF(D82="","",VLOOKUP(D82,'G-7 WaterC'' Data'!$B$2:$G$8,2,FALSE))</f>
        <v/>
      </c>
      <c r="G82" s="282" t="str">
        <f>IFERROR(VLOOKUP(F82,'G-7 WaterC'' Data'!$C$4:$D$8,2,FALSE),"")</f>
        <v/>
      </c>
      <c r="H82" s="52"/>
      <c r="I82" s="282" t="str">
        <f>IFERROR(INDEX('G-7 WaterC'' Data'!$H$4:$L$8,MATCH(D82,'G-7 WaterC'' Data'!$B$4:$B$8,0),MATCH(H82,'G-7 WaterC'' Data'!$H$3:$L$3,0)),"")</f>
        <v/>
      </c>
      <c r="J82" s="793"/>
      <c r="K82" s="317" t="str">
        <f>IF(J82="","",IF(VLOOKUP(J82,'G-7 WaterC'' Data'!$AK$4:$AM$6,2,FALSE)=0,"Spatial Data Missing ⚠",VLOOKUP(J82,'G-7 WaterC'' Data'!$AK$4:$AM$6,2,FALSE)))</f>
        <v/>
      </c>
      <c r="L82" s="287" t="str">
        <f>IF(J82="","",IF(VLOOKUP(J82,'G-7 WaterC'' Data'!$AK$4:$AM$9,3,FALSE)=0,"Spatial Data Missing ⚠",VLOOKUP(J82,'G-7 WaterC'' Data'!$AK$4:$AM$6,3,FALSE)))</f>
        <v/>
      </c>
      <c r="M82" s="52"/>
      <c r="N82" s="282" t="str">
        <f>IF(M82="","",IF(AND(D82&lt;&gt;"Culvert",M82="N/A - Culvert"),"Not possible ▲",IF(AND(D82="Culvert",M82&lt;&gt;"N/A - Culvert"),"Not possible ▲",IF(VLOOKUP(M82,'G-7 WaterC'' Data'!$AA$4:$AB$7,2,FALSE)=0,"Spatial Data Missing ⚠",VLOOKUP(M82,'G-7 WaterC'' Data'!$AA$4:$AB$7,2,FALSE)))))</f>
        <v/>
      </c>
      <c r="O82" s="56"/>
      <c r="P82" s="282" t="str">
        <f>IF(O82="","",IF(AND(O82="N/A - Culvert", D82&lt;&gt;"Culvert"),"Not possible ▲", IF(AND(D82="Culvert",O82&lt;&gt;"N/A - Culvert"),"Not possible ▲",IF(VLOOKUP(O82,'G-7 WaterC'' Data'!$AD$4:$AE$14,2,FALSE)=0,"Spatial Data Missing ⚠",VLOOKUP(O82,'G-7 WaterC'' Data'!$AD$4:$AE$14,2,FALSE)))))</f>
        <v/>
      </c>
      <c r="Q82" s="288" t="str">
        <f>IF(D82="","",VLOOKUP(D82,'G-7 WaterC'' Data'!$B$2:$G$8,6,FALSE))</f>
        <v/>
      </c>
      <c r="R82" s="295" t="str">
        <f t="shared" si="11"/>
        <v xml:space="preserve"> </v>
      </c>
      <c r="S82" s="820" t="str">
        <f t="shared" si="12"/>
        <v/>
      </c>
      <c r="T82" s="32"/>
      <c r="U82" s="105"/>
      <c r="V82" s="112"/>
      <c r="W82" s="293" t="str">
        <f t="shared" si="13"/>
        <v/>
      </c>
      <c r="X82" s="293" t="str">
        <f t="shared" si="14"/>
        <v/>
      </c>
      <c r="Y82" s="293" t="str">
        <f t="shared" si="15"/>
        <v/>
      </c>
      <c r="Z82" s="323" t="str">
        <f>IFERROR(IF(OR(E82="",R82=""),"",  IF(AND(Q82='G-7 WaterC'' Data'!$G$4,AA82="Yes"),"Alternative Compensation ✓", IF(AND(AA82="Pending", Q82='G-7 WaterC'' Data'!$G$4),"Bespoke compensation must be agreed ▲", IF((W82+X82)&gt;=R82, 0, R82-W82-X82)))),"Check Data ⚠")</f>
        <v/>
      </c>
      <c r="AA82" s="817"/>
      <c r="AB82" s="140"/>
      <c r="AC82" s="108"/>
      <c r="AD82" s="108"/>
      <c r="AE82" s="54" t="str">
        <f>IF(OR(Q82="",AA82="Yes"),"",IF(Q82='G-1 All Habitats'!$X$9,E82-U82-V82,"None"))</f>
        <v/>
      </c>
      <c r="AF82" s="55" t="str">
        <f>IF(Q82="","", IF(Q82='G-1 All Habitats'!$X$9, AE82*G82*I82*L82*N82*P82,"None"))</f>
        <v/>
      </c>
      <c r="AI82" s="30">
        <f t="shared" si="16"/>
        <v>0</v>
      </c>
      <c r="AJ82" s="111" t="str">
        <f t="shared" si="17"/>
        <v/>
      </c>
      <c r="AK82" s="111" t="str">
        <f t="shared" si="18"/>
        <v/>
      </c>
      <c r="AM82" s="111">
        <v>73</v>
      </c>
      <c r="AO82" s="111" t="str">
        <f t="array" ref="AO82">IFERROR(INDEX($AM$10:$AM$258, MATCH(0, IF(TRUE=$AJ$10:$AJ$258, COUNTIF($AO$9:$AO81, $AM$10:$AM$258), ""), 0)),"")</f>
        <v/>
      </c>
      <c r="AP82" s="111" t="str">
        <f t="array" ref="AP82">IFERROR(INDEX($AM$10:$AM$258, MATCH(0, IF(TRUE=$AK$10:$AK$258, COUNTIF($AP$9:$AP81, $AM$10:$AM$258), ""), 0)),"")</f>
        <v/>
      </c>
      <c r="AR82" s="30" t="str">
        <f>IFERROR(INDEX('G-7 WaterC'' Data'!$AZ$3:$AZ$7,MATCH(D82,'G-7 WaterC'' Data'!$AY$3:$AY$7,0)),"")</f>
        <v/>
      </c>
      <c r="AS82" s="30" t="str">
        <f>IFERROR(INDEX('G-7 WaterC'' Data'!AZ82:AZ86,MATCH(D82,'G-7 WaterC'' Data'!$AY$10:$AY$14,0)),"")</f>
        <v/>
      </c>
      <c r="AT82" s="903" t="str">
        <f>IF(AND(OR(AA82="Yes",AA82="Pending"),Q82='G-7 WaterC'' Data'!$G$4),R82-W82-X82,"")</f>
        <v/>
      </c>
      <c r="AU82" s="30" t="str">
        <f>IF(D82="","",VLOOKUP(D82,'G-7 WaterC'' Data'!B$4:M$8,12,FALSE))</f>
        <v/>
      </c>
      <c r="AV82" s="30" t="str">
        <f t="shared" si="10"/>
        <v/>
      </c>
      <c r="AX82" s="30" t="str">
        <f t="shared" si="19"/>
        <v>No</v>
      </c>
    </row>
    <row r="83" spans="3:50" x14ac:dyDescent="0.25">
      <c r="C83" s="101">
        <v>74</v>
      </c>
      <c r="D83" s="267"/>
      <c r="E83" s="119"/>
      <c r="F83" s="281" t="str">
        <f>IF(D83="","",VLOOKUP(D83,'G-7 WaterC'' Data'!$B$2:$G$8,2,FALSE))</f>
        <v/>
      </c>
      <c r="G83" s="282" t="str">
        <f>IFERROR(VLOOKUP(F83,'G-7 WaterC'' Data'!$C$4:$D$8,2,FALSE),"")</f>
        <v/>
      </c>
      <c r="H83" s="52"/>
      <c r="I83" s="282" t="str">
        <f>IFERROR(INDEX('G-7 WaterC'' Data'!$H$4:$L$8,MATCH(D83,'G-7 WaterC'' Data'!$B$4:$B$8,0),MATCH(H83,'G-7 WaterC'' Data'!$H$3:$L$3,0)),"")</f>
        <v/>
      </c>
      <c r="J83" s="793"/>
      <c r="K83" s="317" t="str">
        <f>IF(J83="","",IF(VLOOKUP(J83,'G-7 WaterC'' Data'!$AK$4:$AM$6,2,FALSE)=0,"Spatial Data Missing ⚠",VLOOKUP(J83,'G-7 WaterC'' Data'!$AK$4:$AM$6,2,FALSE)))</f>
        <v/>
      </c>
      <c r="L83" s="287" t="str">
        <f>IF(J83="","",IF(VLOOKUP(J83,'G-7 WaterC'' Data'!$AK$4:$AM$9,3,FALSE)=0,"Spatial Data Missing ⚠",VLOOKUP(J83,'G-7 WaterC'' Data'!$AK$4:$AM$6,3,FALSE)))</f>
        <v/>
      </c>
      <c r="M83" s="52"/>
      <c r="N83" s="282" t="str">
        <f>IF(M83="","",IF(AND(D83&lt;&gt;"Culvert",M83="N/A - Culvert"),"Not possible ▲",IF(AND(D83="Culvert",M83&lt;&gt;"N/A - Culvert"),"Not possible ▲",IF(VLOOKUP(M83,'G-7 WaterC'' Data'!$AA$4:$AB$7,2,FALSE)=0,"Spatial Data Missing ⚠",VLOOKUP(M83,'G-7 WaterC'' Data'!$AA$4:$AB$7,2,FALSE)))))</f>
        <v/>
      </c>
      <c r="O83" s="56"/>
      <c r="P83" s="282" t="str">
        <f>IF(O83="","",IF(AND(O83="N/A - Culvert", D83&lt;&gt;"Culvert"),"Not possible ▲", IF(AND(D83="Culvert",O83&lt;&gt;"N/A - Culvert"),"Not possible ▲",IF(VLOOKUP(O83,'G-7 WaterC'' Data'!$AD$4:$AE$14,2,FALSE)=0,"Spatial Data Missing ⚠",VLOOKUP(O83,'G-7 WaterC'' Data'!$AD$4:$AE$14,2,FALSE)))))</f>
        <v/>
      </c>
      <c r="Q83" s="288" t="str">
        <f>IF(D83="","",VLOOKUP(D83,'G-7 WaterC'' Data'!$B$2:$G$8,6,FALSE))</f>
        <v/>
      </c>
      <c r="R83" s="295" t="str">
        <f t="shared" si="11"/>
        <v xml:space="preserve"> </v>
      </c>
      <c r="S83" s="820" t="str">
        <f t="shared" si="12"/>
        <v/>
      </c>
      <c r="T83" s="32"/>
      <c r="U83" s="105"/>
      <c r="V83" s="112"/>
      <c r="W83" s="293" t="str">
        <f t="shared" si="13"/>
        <v/>
      </c>
      <c r="X83" s="293" t="str">
        <f t="shared" si="14"/>
        <v/>
      </c>
      <c r="Y83" s="293" t="str">
        <f t="shared" si="15"/>
        <v/>
      </c>
      <c r="Z83" s="323" t="str">
        <f>IFERROR(IF(OR(E83="",R83=""),"",  IF(AND(Q83='G-7 WaterC'' Data'!$G$4,AA83="Yes"),"Alternative Compensation ✓", IF(AND(AA83="Pending", Q83='G-7 WaterC'' Data'!$G$4),"Bespoke compensation must be agreed ▲", IF((W83+X83)&gt;=R83, 0, R83-W83-X83)))),"Check Data ⚠")</f>
        <v/>
      </c>
      <c r="AA83" s="817"/>
      <c r="AB83" s="140"/>
      <c r="AC83" s="108"/>
      <c r="AD83" s="108"/>
      <c r="AE83" s="54" t="str">
        <f>IF(OR(Q83="",AA83="Yes"),"",IF(Q83='G-1 All Habitats'!$X$9,E83-U83-V83,"None"))</f>
        <v/>
      </c>
      <c r="AF83" s="55" t="str">
        <f>IF(Q83="","", IF(Q83='G-1 All Habitats'!$X$9, AE83*G83*I83*L83*N83*P83,"None"))</f>
        <v/>
      </c>
      <c r="AI83" s="30">
        <f t="shared" si="16"/>
        <v>0</v>
      </c>
      <c r="AJ83" s="111" t="str">
        <f t="shared" si="17"/>
        <v/>
      </c>
      <c r="AK83" s="111" t="str">
        <f t="shared" si="18"/>
        <v/>
      </c>
      <c r="AM83" s="111">
        <v>74</v>
      </c>
      <c r="AO83" s="111" t="str">
        <f t="array" ref="AO83">IFERROR(INDEX($AM$10:$AM$258, MATCH(0, IF(TRUE=$AJ$10:$AJ$258, COUNTIF($AO$9:$AO82, $AM$10:$AM$258), ""), 0)),"")</f>
        <v/>
      </c>
      <c r="AP83" s="111" t="str">
        <f t="array" ref="AP83">IFERROR(INDEX($AM$10:$AM$258, MATCH(0, IF(TRUE=$AK$10:$AK$258, COUNTIF($AP$9:$AP82, $AM$10:$AM$258), ""), 0)),"")</f>
        <v/>
      </c>
      <c r="AR83" s="30" t="str">
        <f>IFERROR(INDEX('G-7 WaterC'' Data'!$AZ$3:$AZ$7,MATCH(D83,'G-7 WaterC'' Data'!$AY$3:$AY$7,0)),"")</f>
        <v/>
      </c>
      <c r="AS83" s="30" t="str">
        <f>IFERROR(INDEX('G-7 WaterC'' Data'!AZ83:AZ87,MATCH(D83,'G-7 WaterC'' Data'!$AY$10:$AY$14,0)),"")</f>
        <v/>
      </c>
      <c r="AT83" s="903" t="str">
        <f>IF(AND(OR(AA83="Yes",AA83="Pending"),Q83='G-7 WaterC'' Data'!$G$4),R83-W83-X83,"")</f>
        <v/>
      </c>
      <c r="AU83" s="30" t="str">
        <f>IF(D83="","",VLOOKUP(D83,'G-7 WaterC'' Data'!B$4:M$8,12,FALSE))</f>
        <v/>
      </c>
      <c r="AV83" s="30" t="str">
        <f t="shared" si="10"/>
        <v/>
      </c>
      <c r="AX83" s="30" t="str">
        <f t="shared" si="19"/>
        <v>No</v>
      </c>
    </row>
    <row r="84" spans="3:50" x14ac:dyDescent="0.25">
      <c r="C84" s="101">
        <v>75</v>
      </c>
      <c r="D84" s="267"/>
      <c r="E84" s="119"/>
      <c r="F84" s="281" t="str">
        <f>IF(D84="","",VLOOKUP(D84,'G-7 WaterC'' Data'!$B$2:$G$8,2,FALSE))</f>
        <v/>
      </c>
      <c r="G84" s="282" t="str">
        <f>IFERROR(VLOOKUP(F84,'G-7 WaterC'' Data'!$C$4:$D$8,2,FALSE),"")</f>
        <v/>
      </c>
      <c r="H84" s="52"/>
      <c r="I84" s="282" t="str">
        <f>IFERROR(INDEX('G-7 WaterC'' Data'!$H$4:$L$8,MATCH(D84,'G-7 WaterC'' Data'!$B$4:$B$8,0),MATCH(H84,'G-7 WaterC'' Data'!$H$3:$L$3,0)),"")</f>
        <v/>
      </c>
      <c r="J84" s="793"/>
      <c r="K84" s="317" t="str">
        <f>IF(J84="","",IF(VLOOKUP(J84,'G-7 WaterC'' Data'!$AK$4:$AM$6,2,FALSE)=0,"Spatial Data Missing ⚠",VLOOKUP(J84,'G-7 WaterC'' Data'!$AK$4:$AM$6,2,FALSE)))</f>
        <v/>
      </c>
      <c r="L84" s="287" t="str">
        <f>IF(J84="","",IF(VLOOKUP(J84,'G-7 WaterC'' Data'!$AK$4:$AM$9,3,FALSE)=0,"Spatial Data Missing ⚠",VLOOKUP(J84,'G-7 WaterC'' Data'!$AK$4:$AM$6,3,FALSE)))</f>
        <v/>
      </c>
      <c r="M84" s="52"/>
      <c r="N84" s="282" t="str">
        <f>IF(M84="","",IF(AND(D84&lt;&gt;"Culvert",M84="N/A - Culvert"),"Not possible ▲",IF(AND(D84="Culvert",M84&lt;&gt;"N/A - Culvert"),"Not possible ▲",IF(VLOOKUP(M84,'G-7 WaterC'' Data'!$AA$4:$AB$7,2,FALSE)=0,"Spatial Data Missing ⚠",VLOOKUP(M84,'G-7 WaterC'' Data'!$AA$4:$AB$7,2,FALSE)))))</f>
        <v/>
      </c>
      <c r="O84" s="56"/>
      <c r="P84" s="282" t="str">
        <f>IF(O84="","",IF(AND(O84="N/A - Culvert", D84&lt;&gt;"Culvert"),"Not possible ▲", IF(AND(D84="Culvert",O84&lt;&gt;"N/A - Culvert"),"Not possible ▲",IF(VLOOKUP(O84,'G-7 WaterC'' Data'!$AD$4:$AE$14,2,FALSE)=0,"Spatial Data Missing ⚠",VLOOKUP(O84,'G-7 WaterC'' Data'!$AD$4:$AE$14,2,FALSE)))))</f>
        <v/>
      </c>
      <c r="Q84" s="288" t="str">
        <f>IF(D84="","",VLOOKUP(D84,'G-7 WaterC'' Data'!$B$2:$G$8,6,FALSE))</f>
        <v/>
      </c>
      <c r="R84" s="295" t="str">
        <f t="shared" si="11"/>
        <v xml:space="preserve"> </v>
      </c>
      <c r="S84" s="820" t="str">
        <f t="shared" si="12"/>
        <v/>
      </c>
      <c r="T84" s="32"/>
      <c r="U84" s="105"/>
      <c r="V84" s="112"/>
      <c r="W84" s="293" t="str">
        <f t="shared" si="13"/>
        <v/>
      </c>
      <c r="X84" s="293" t="str">
        <f t="shared" si="14"/>
        <v/>
      </c>
      <c r="Y84" s="293" t="str">
        <f t="shared" si="15"/>
        <v/>
      </c>
      <c r="Z84" s="323" t="str">
        <f>IFERROR(IF(OR(E84="",R84=""),"",  IF(AND(Q84='G-7 WaterC'' Data'!$G$4,AA84="Yes"),"Alternative Compensation ✓", IF(AND(AA84="Pending", Q84='G-7 WaterC'' Data'!$G$4),"Bespoke compensation must be agreed ▲", IF((W84+X84)&gt;=R84, 0, R84-W84-X84)))),"Check Data ⚠")</f>
        <v/>
      </c>
      <c r="AA84" s="817"/>
      <c r="AB84" s="140"/>
      <c r="AC84" s="108"/>
      <c r="AD84" s="108"/>
      <c r="AE84" s="54" t="str">
        <f>IF(OR(Q84="",AA84="Yes"),"",IF(Q84='G-1 All Habitats'!$X$9,E84-U84-V84,"None"))</f>
        <v/>
      </c>
      <c r="AF84" s="55" t="str">
        <f>IF(Q84="","", IF(Q84='G-1 All Habitats'!$X$9, AE84*G84*I84*L84*N84*P84,"None"))</f>
        <v/>
      </c>
      <c r="AI84" s="30">
        <f t="shared" si="16"/>
        <v>0</v>
      </c>
      <c r="AJ84" s="111" t="str">
        <f t="shared" si="17"/>
        <v/>
      </c>
      <c r="AK84" s="111" t="str">
        <f t="shared" si="18"/>
        <v/>
      </c>
      <c r="AM84" s="111">
        <v>75</v>
      </c>
      <c r="AO84" s="111" t="str">
        <f t="array" ref="AO84">IFERROR(INDEX($AM$10:$AM$258, MATCH(0, IF(TRUE=$AJ$10:$AJ$258, COUNTIF($AO$9:$AO83, $AM$10:$AM$258), ""), 0)),"")</f>
        <v/>
      </c>
      <c r="AP84" s="111" t="str">
        <f t="array" ref="AP84">IFERROR(INDEX($AM$10:$AM$258, MATCH(0, IF(TRUE=$AK$10:$AK$258, COUNTIF($AP$9:$AP83, $AM$10:$AM$258), ""), 0)),"")</f>
        <v/>
      </c>
      <c r="AR84" s="30" t="str">
        <f>IFERROR(INDEX('G-7 WaterC'' Data'!$AZ$3:$AZ$7,MATCH(D84,'G-7 WaterC'' Data'!$AY$3:$AY$7,0)),"")</f>
        <v/>
      </c>
      <c r="AS84" s="30" t="str">
        <f>IFERROR(INDEX('G-7 WaterC'' Data'!AZ84:AZ88,MATCH(D84,'G-7 WaterC'' Data'!$AY$10:$AY$14,0)),"")</f>
        <v/>
      </c>
      <c r="AT84" s="903" t="str">
        <f>IF(AND(OR(AA84="Yes",AA84="Pending"),Q84='G-7 WaterC'' Data'!$G$4),R84-W84-X84,"")</f>
        <v/>
      </c>
      <c r="AU84" s="30" t="str">
        <f>IF(D84="","",VLOOKUP(D84,'G-7 WaterC'' Data'!B$4:M$8,12,FALSE))</f>
        <v/>
      </c>
      <c r="AV84" s="30" t="str">
        <f t="shared" si="10"/>
        <v/>
      </c>
      <c r="AX84" s="30" t="str">
        <f t="shared" si="19"/>
        <v>No</v>
      </c>
    </row>
    <row r="85" spans="3:50" x14ac:dyDescent="0.25">
      <c r="C85" s="101">
        <v>76</v>
      </c>
      <c r="D85" s="267"/>
      <c r="E85" s="119"/>
      <c r="F85" s="281" t="str">
        <f>IF(D85="","",VLOOKUP(D85,'G-7 WaterC'' Data'!$B$2:$G$8,2,FALSE))</f>
        <v/>
      </c>
      <c r="G85" s="282" t="str">
        <f>IFERROR(VLOOKUP(F85,'G-7 WaterC'' Data'!$C$4:$D$8,2,FALSE),"")</f>
        <v/>
      </c>
      <c r="H85" s="52"/>
      <c r="I85" s="282" t="str">
        <f>IFERROR(INDEX('G-7 WaterC'' Data'!$H$4:$L$8,MATCH(D85,'G-7 WaterC'' Data'!$B$4:$B$8,0),MATCH(H85,'G-7 WaterC'' Data'!$H$3:$L$3,0)),"")</f>
        <v/>
      </c>
      <c r="J85" s="793"/>
      <c r="K85" s="317" t="str">
        <f>IF(J85="","",IF(VLOOKUP(J85,'G-7 WaterC'' Data'!$AK$4:$AM$6,2,FALSE)=0,"Spatial Data Missing ⚠",VLOOKUP(J85,'G-7 WaterC'' Data'!$AK$4:$AM$6,2,FALSE)))</f>
        <v/>
      </c>
      <c r="L85" s="287" t="str">
        <f>IF(J85="","",IF(VLOOKUP(J85,'G-7 WaterC'' Data'!$AK$4:$AM$9,3,FALSE)=0,"Spatial Data Missing ⚠",VLOOKUP(J85,'G-7 WaterC'' Data'!$AK$4:$AM$6,3,FALSE)))</f>
        <v/>
      </c>
      <c r="M85" s="52"/>
      <c r="N85" s="282" t="str">
        <f>IF(M85="","",IF(AND(D85&lt;&gt;"Culvert",M85="N/A - Culvert"),"Not possible ▲",IF(AND(D85="Culvert",M85&lt;&gt;"N/A - Culvert"),"Not possible ▲",IF(VLOOKUP(M85,'G-7 WaterC'' Data'!$AA$4:$AB$7,2,FALSE)=0,"Spatial Data Missing ⚠",VLOOKUP(M85,'G-7 WaterC'' Data'!$AA$4:$AB$7,2,FALSE)))))</f>
        <v/>
      </c>
      <c r="O85" s="56"/>
      <c r="P85" s="282" t="str">
        <f>IF(O85="","",IF(AND(O85="N/A - Culvert", D85&lt;&gt;"Culvert"),"Not possible ▲", IF(AND(D85="Culvert",O85&lt;&gt;"N/A - Culvert"),"Not possible ▲",IF(VLOOKUP(O85,'G-7 WaterC'' Data'!$AD$4:$AE$14,2,FALSE)=0,"Spatial Data Missing ⚠",VLOOKUP(O85,'G-7 WaterC'' Data'!$AD$4:$AE$14,2,FALSE)))))</f>
        <v/>
      </c>
      <c r="Q85" s="288" t="str">
        <f>IF(D85="","",VLOOKUP(D85,'G-7 WaterC'' Data'!$B$2:$G$8,6,FALSE))</f>
        <v/>
      </c>
      <c r="R85" s="295" t="str">
        <f t="shared" si="11"/>
        <v xml:space="preserve"> </v>
      </c>
      <c r="S85" s="820" t="str">
        <f t="shared" si="12"/>
        <v/>
      </c>
      <c r="T85" s="32"/>
      <c r="U85" s="105"/>
      <c r="V85" s="112"/>
      <c r="W85" s="293" t="str">
        <f t="shared" si="13"/>
        <v/>
      </c>
      <c r="X85" s="293" t="str">
        <f t="shared" si="14"/>
        <v/>
      </c>
      <c r="Y85" s="293" t="str">
        <f t="shared" si="15"/>
        <v/>
      </c>
      <c r="Z85" s="323" t="str">
        <f>IFERROR(IF(OR(E85="",R85=""),"",  IF(AND(Q85='G-7 WaterC'' Data'!$G$4,AA85="Yes"),"Alternative Compensation ✓", IF(AND(AA85="Pending", Q85='G-7 WaterC'' Data'!$G$4),"Bespoke compensation must be agreed ▲", IF((W85+X85)&gt;=R85, 0, R85-W85-X85)))),"Check Data ⚠")</f>
        <v/>
      </c>
      <c r="AA85" s="817"/>
      <c r="AB85" s="140"/>
      <c r="AC85" s="108"/>
      <c r="AD85" s="108"/>
      <c r="AE85" s="54" t="str">
        <f>IF(OR(Q85="",AA85="Yes"),"",IF(Q85='G-1 All Habitats'!$X$9,E85-U85-V85,"None"))</f>
        <v/>
      </c>
      <c r="AF85" s="55" t="str">
        <f>IF(Q85="","", IF(Q85='G-1 All Habitats'!$X$9, AE85*G85*I85*L85*N85*P85,"None"))</f>
        <v/>
      </c>
      <c r="AI85" s="30">
        <f t="shared" si="16"/>
        <v>0</v>
      </c>
      <c r="AJ85" s="111" t="str">
        <f t="shared" si="17"/>
        <v/>
      </c>
      <c r="AK85" s="111" t="str">
        <f t="shared" si="18"/>
        <v/>
      </c>
      <c r="AM85" s="111">
        <v>76</v>
      </c>
      <c r="AO85" s="111" t="str">
        <f t="array" ref="AO85">IFERROR(INDEX($AM$10:$AM$258, MATCH(0, IF(TRUE=$AJ$10:$AJ$258, COUNTIF($AO$9:$AO84, $AM$10:$AM$258), ""), 0)),"")</f>
        <v/>
      </c>
      <c r="AP85" s="111" t="str">
        <f t="array" ref="AP85">IFERROR(INDEX($AM$10:$AM$258, MATCH(0, IF(TRUE=$AK$10:$AK$258, COUNTIF($AP$9:$AP84, $AM$10:$AM$258), ""), 0)),"")</f>
        <v/>
      </c>
      <c r="AR85" s="30" t="str">
        <f>IFERROR(INDEX('G-7 WaterC'' Data'!$AZ$3:$AZ$7,MATCH(D85,'G-7 WaterC'' Data'!$AY$3:$AY$7,0)),"")</f>
        <v/>
      </c>
      <c r="AS85" s="30" t="str">
        <f>IFERROR(INDEX('G-7 WaterC'' Data'!AZ85:AZ89,MATCH(D85,'G-7 WaterC'' Data'!$AY$10:$AY$14,0)),"")</f>
        <v/>
      </c>
      <c r="AT85" s="903" t="str">
        <f>IF(AND(OR(AA85="Yes",AA85="Pending"),Q85='G-7 WaterC'' Data'!$G$4),R85-W85-X85,"")</f>
        <v/>
      </c>
      <c r="AU85" s="30" t="str">
        <f>IF(D85="","",VLOOKUP(D85,'G-7 WaterC'' Data'!B$4:M$8,12,FALSE))</f>
        <v/>
      </c>
      <c r="AV85" s="30" t="str">
        <f t="shared" si="10"/>
        <v/>
      </c>
      <c r="AX85" s="30" t="str">
        <f t="shared" si="19"/>
        <v>No</v>
      </c>
    </row>
    <row r="86" spans="3:50" x14ac:dyDescent="0.25">
      <c r="C86" s="101">
        <v>77</v>
      </c>
      <c r="D86" s="267"/>
      <c r="E86" s="119"/>
      <c r="F86" s="281" t="str">
        <f>IF(D86="","",VLOOKUP(D86,'G-7 WaterC'' Data'!$B$2:$G$8,2,FALSE))</f>
        <v/>
      </c>
      <c r="G86" s="282" t="str">
        <f>IFERROR(VLOOKUP(F86,'G-7 WaterC'' Data'!$C$4:$D$8,2,FALSE),"")</f>
        <v/>
      </c>
      <c r="H86" s="52"/>
      <c r="I86" s="282" t="str">
        <f>IFERROR(INDEX('G-7 WaterC'' Data'!$H$4:$L$8,MATCH(D86,'G-7 WaterC'' Data'!$B$4:$B$8,0),MATCH(H86,'G-7 WaterC'' Data'!$H$3:$L$3,0)),"")</f>
        <v/>
      </c>
      <c r="J86" s="793"/>
      <c r="K86" s="317" t="str">
        <f>IF(J86="","",IF(VLOOKUP(J86,'G-7 WaterC'' Data'!$AK$4:$AM$6,2,FALSE)=0,"Spatial Data Missing ⚠",VLOOKUP(J86,'G-7 WaterC'' Data'!$AK$4:$AM$6,2,FALSE)))</f>
        <v/>
      </c>
      <c r="L86" s="287" t="str">
        <f>IF(J86="","",IF(VLOOKUP(J86,'G-7 WaterC'' Data'!$AK$4:$AM$9,3,FALSE)=0,"Spatial Data Missing ⚠",VLOOKUP(J86,'G-7 WaterC'' Data'!$AK$4:$AM$6,3,FALSE)))</f>
        <v/>
      </c>
      <c r="M86" s="52"/>
      <c r="N86" s="282" t="str">
        <f>IF(M86="","",IF(AND(D86&lt;&gt;"Culvert",M86="N/A - Culvert"),"Not possible ▲",IF(AND(D86="Culvert",M86&lt;&gt;"N/A - Culvert"),"Not possible ▲",IF(VLOOKUP(M86,'G-7 WaterC'' Data'!$AA$4:$AB$7,2,FALSE)=0,"Spatial Data Missing ⚠",VLOOKUP(M86,'G-7 WaterC'' Data'!$AA$4:$AB$7,2,FALSE)))))</f>
        <v/>
      </c>
      <c r="O86" s="56"/>
      <c r="P86" s="282" t="str">
        <f>IF(O86="","",IF(AND(O86="N/A - Culvert", D86&lt;&gt;"Culvert"),"Not possible ▲", IF(AND(D86="Culvert",O86&lt;&gt;"N/A - Culvert"),"Not possible ▲",IF(VLOOKUP(O86,'G-7 WaterC'' Data'!$AD$4:$AE$14,2,FALSE)=0,"Spatial Data Missing ⚠",VLOOKUP(O86,'G-7 WaterC'' Data'!$AD$4:$AE$14,2,FALSE)))))</f>
        <v/>
      </c>
      <c r="Q86" s="288" t="str">
        <f>IF(D86="","",VLOOKUP(D86,'G-7 WaterC'' Data'!$B$2:$G$8,6,FALSE))</f>
        <v/>
      </c>
      <c r="R86" s="295" t="str">
        <f t="shared" si="11"/>
        <v xml:space="preserve"> </v>
      </c>
      <c r="S86" s="820" t="str">
        <f t="shared" si="12"/>
        <v/>
      </c>
      <c r="T86" s="32"/>
      <c r="U86" s="105"/>
      <c r="V86" s="112"/>
      <c r="W86" s="293" t="str">
        <f t="shared" si="13"/>
        <v/>
      </c>
      <c r="X86" s="293" t="str">
        <f t="shared" si="14"/>
        <v/>
      </c>
      <c r="Y86" s="293" t="str">
        <f t="shared" si="15"/>
        <v/>
      </c>
      <c r="Z86" s="323" t="str">
        <f>IFERROR(IF(OR(E86="",R86=""),"",  IF(AND(Q86='G-7 WaterC'' Data'!$G$4,AA86="Yes"),"Alternative Compensation ✓", IF(AND(AA86="Pending", Q86='G-7 WaterC'' Data'!$G$4),"Bespoke compensation must be agreed ▲", IF((W86+X86)&gt;=R86, 0, R86-W86-X86)))),"Check Data ⚠")</f>
        <v/>
      </c>
      <c r="AA86" s="817"/>
      <c r="AB86" s="140"/>
      <c r="AC86" s="108"/>
      <c r="AD86" s="108"/>
      <c r="AE86" s="54" t="str">
        <f>IF(OR(Q86="",AA86="Yes"),"",IF(Q86='G-1 All Habitats'!$X$9,E86-U86-V86,"None"))</f>
        <v/>
      </c>
      <c r="AF86" s="55" t="str">
        <f>IF(Q86="","", IF(Q86='G-1 All Habitats'!$X$9, AE86*G86*I86*L86*N86*P86,"None"))</f>
        <v/>
      </c>
      <c r="AI86" s="30">
        <f t="shared" si="16"/>
        <v>0</v>
      </c>
      <c r="AJ86" s="111" t="str">
        <f t="shared" si="17"/>
        <v/>
      </c>
      <c r="AK86" s="111" t="str">
        <f t="shared" si="18"/>
        <v/>
      </c>
      <c r="AM86" s="111">
        <v>77</v>
      </c>
      <c r="AO86" s="111" t="str">
        <f t="array" ref="AO86">IFERROR(INDEX($AM$10:$AM$258, MATCH(0, IF(TRUE=$AJ$10:$AJ$258, COUNTIF($AO$9:$AO85, $AM$10:$AM$258), ""), 0)),"")</f>
        <v/>
      </c>
      <c r="AP86" s="111" t="str">
        <f t="array" ref="AP86">IFERROR(INDEX($AM$10:$AM$258, MATCH(0, IF(TRUE=$AK$10:$AK$258, COUNTIF($AP$9:$AP85, $AM$10:$AM$258), ""), 0)),"")</f>
        <v/>
      </c>
      <c r="AR86" s="30" t="str">
        <f>IFERROR(INDEX('G-7 WaterC'' Data'!$AZ$3:$AZ$7,MATCH(D86,'G-7 WaterC'' Data'!$AY$3:$AY$7,0)),"")</f>
        <v/>
      </c>
      <c r="AS86" s="30" t="str">
        <f>IFERROR(INDEX('G-7 WaterC'' Data'!AZ86:AZ90,MATCH(D86,'G-7 WaterC'' Data'!$AY$10:$AY$14,0)),"")</f>
        <v/>
      </c>
      <c r="AT86" s="903" t="str">
        <f>IF(AND(OR(AA86="Yes",AA86="Pending"),Q86='G-7 WaterC'' Data'!$G$4),R86-W86-X86,"")</f>
        <v/>
      </c>
      <c r="AU86" s="30" t="str">
        <f>IF(D86="","",VLOOKUP(D86,'G-7 WaterC'' Data'!B$4:M$8,12,FALSE))</f>
        <v/>
      </c>
      <c r="AV86" s="30" t="str">
        <f t="shared" si="10"/>
        <v/>
      </c>
      <c r="AX86" s="30" t="str">
        <f t="shared" si="19"/>
        <v>No</v>
      </c>
    </row>
    <row r="87" spans="3:50" x14ac:dyDescent="0.25">
      <c r="C87" s="101">
        <v>78</v>
      </c>
      <c r="D87" s="267"/>
      <c r="E87" s="119"/>
      <c r="F87" s="281" t="str">
        <f>IF(D87="","",VLOOKUP(D87,'G-7 WaterC'' Data'!$B$2:$G$8,2,FALSE))</f>
        <v/>
      </c>
      <c r="G87" s="282" t="str">
        <f>IFERROR(VLOOKUP(F87,'G-7 WaterC'' Data'!$C$4:$D$8,2,FALSE),"")</f>
        <v/>
      </c>
      <c r="H87" s="52"/>
      <c r="I87" s="282" t="str">
        <f>IFERROR(INDEX('G-7 WaterC'' Data'!$H$4:$L$8,MATCH(D87,'G-7 WaterC'' Data'!$B$4:$B$8,0),MATCH(H87,'G-7 WaterC'' Data'!$H$3:$L$3,0)),"")</f>
        <v/>
      </c>
      <c r="J87" s="793"/>
      <c r="K87" s="317" t="str">
        <f>IF(J87="","",IF(VLOOKUP(J87,'G-7 WaterC'' Data'!$AK$4:$AM$6,2,FALSE)=0,"Spatial Data Missing ⚠",VLOOKUP(J87,'G-7 WaterC'' Data'!$AK$4:$AM$6,2,FALSE)))</f>
        <v/>
      </c>
      <c r="L87" s="287" t="str">
        <f>IF(J87="","",IF(VLOOKUP(J87,'G-7 WaterC'' Data'!$AK$4:$AM$9,3,FALSE)=0,"Spatial Data Missing ⚠",VLOOKUP(J87,'G-7 WaterC'' Data'!$AK$4:$AM$6,3,FALSE)))</f>
        <v/>
      </c>
      <c r="M87" s="52"/>
      <c r="N87" s="282" t="str">
        <f>IF(M87="","",IF(AND(D87&lt;&gt;"Culvert",M87="N/A - Culvert"),"Not possible ▲",IF(AND(D87="Culvert",M87&lt;&gt;"N/A - Culvert"),"Not possible ▲",IF(VLOOKUP(M87,'G-7 WaterC'' Data'!$AA$4:$AB$7,2,FALSE)=0,"Spatial Data Missing ⚠",VLOOKUP(M87,'G-7 WaterC'' Data'!$AA$4:$AB$7,2,FALSE)))))</f>
        <v/>
      </c>
      <c r="O87" s="56"/>
      <c r="P87" s="282" t="str">
        <f>IF(O87="","",IF(AND(O87="N/A - Culvert", D87&lt;&gt;"Culvert"),"Not possible ▲", IF(AND(D87="Culvert",O87&lt;&gt;"N/A - Culvert"),"Not possible ▲",IF(VLOOKUP(O87,'G-7 WaterC'' Data'!$AD$4:$AE$14,2,FALSE)=0,"Spatial Data Missing ⚠",VLOOKUP(O87,'G-7 WaterC'' Data'!$AD$4:$AE$14,2,FALSE)))))</f>
        <v/>
      </c>
      <c r="Q87" s="288" t="str">
        <f>IF(D87="","",VLOOKUP(D87,'G-7 WaterC'' Data'!$B$2:$G$8,6,FALSE))</f>
        <v/>
      </c>
      <c r="R87" s="295" t="str">
        <f t="shared" si="11"/>
        <v xml:space="preserve"> </v>
      </c>
      <c r="S87" s="820" t="str">
        <f t="shared" si="12"/>
        <v/>
      </c>
      <c r="T87" s="32"/>
      <c r="U87" s="105"/>
      <c r="V87" s="112"/>
      <c r="W87" s="293" t="str">
        <f t="shared" si="13"/>
        <v/>
      </c>
      <c r="X87" s="293" t="str">
        <f t="shared" si="14"/>
        <v/>
      </c>
      <c r="Y87" s="293" t="str">
        <f t="shared" si="15"/>
        <v/>
      </c>
      <c r="Z87" s="323" t="str">
        <f>IFERROR(IF(OR(E87="",R87=""),"",  IF(AND(Q87='G-7 WaterC'' Data'!$G$4,AA87="Yes"),"Alternative Compensation ✓", IF(AND(AA87="Pending", Q87='G-7 WaterC'' Data'!$G$4),"Bespoke compensation must be agreed ▲", IF((W87+X87)&gt;=R87, 0, R87-W87-X87)))),"Check Data ⚠")</f>
        <v/>
      </c>
      <c r="AA87" s="817"/>
      <c r="AB87" s="140"/>
      <c r="AC87" s="108"/>
      <c r="AD87" s="108"/>
      <c r="AE87" s="54" t="str">
        <f>IF(OR(Q87="",AA87="Yes"),"",IF(Q87='G-1 All Habitats'!$X$9,E87-U87-V87,"None"))</f>
        <v/>
      </c>
      <c r="AF87" s="55" t="str">
        <f>IF(Q87="","", IF(Q87='G-1 All Habitats'!$X$9, AE87*G87*I87*L87*N87*P87,"None"))</f>
        <v/>
      </c>
      <c r="AI87" s="30">
        <f t="shared" si="16"/>
        <v>0</v>
      </c>
      <c r="AJ87" s="111" t="str">
        <f t="shared" si="17"/>
        <v/>
      </c>
      <c r="AK87" s="111" t="str">
        <f t="shared" si="18"/>
        <v/>
      </c>
      <c r="AM87" s="111">
        <v>78</v>
      </c>
      <c r="AO87" s="111" t="str">
        <f t="array" ref="AO87">IFERROR(INDEX($AM$10:$AM$258, MATCH(0, IF(TRUE=$AJ$10:$AJ$258, COUNTIF($AO$9:$AO86, $AM$10:$AM$258), ""), 0)),"")</f>
        <v/>
      </c>
      <c r="AP87" s="111" t="str">
        <f t="array" ref="AP87">IFERROR(INDEX($AM$10:$AM$258, MATCH(0, IF(TRUE=$AK$10:$AK$258, COUNTIF($AP$9:$AP86, $AM$10:$AM$258), ""), 0)),"")</f>
        <v/>
      </c>
      <c r="AR87" s="30" t="str">
        <f>IFERROR(INDEX('G-7 WaterC'' Data'!$AZ$3:$AZ$7,MATCH(D87,'G-7 WaterC'' Data'!$AY$3:$AY$7,0)),"")</f>
        <v/>
      </c>
      <c r="AS87" s="30" t="str">
        <f>IFERROR(INDEX('G-7 WaterC'' Data'!AZ87:AZ91,MATCH(D87,'G-7 WaterC'' Data'!$AY$10:$AY$14,0)),"")</f>
        <v/>
      </c>
      <c r="AT87" s="903" t="str">
        <f>IF(AND(OR(AA87="Yes",AA87="Pending"),Q87='G-7 WaterC'' Data'!$G$4),R87-W87-X87,"")</f>
        <v/>
      </c>
      <c r="AU87" s="30" t="str">
        <f>IF(D87="","",VLOOKUP(D87,'G-7 WaterC'' Data'!B$4:M$8,12,FALSE))</f>
        <v/>
      </c>
      <c r="AV87" s="30" t="str">
        <f t="shared" si="10"/>
        <v/>
      </c>
      <c r="AX87" s="30" t="str">
        <f t="shared" si="19"/>
        <v>No</v>
      </c>
    </row>
    <row r="88" spans="3:50" x14ac:dyDescent="0.25">
      <c r="C88" s="101">
        <v>79</v>
      </c>
      <c r="D88" s="267"/>
      <c r="E88" s="119"/>
      <c r="F88" s="281" t="str">
        <f>IF(D88="","",VLOOKUP(D88,'G-7 WaterC'' Data'!$B$2:$G$8,2,FALSE))</f>
        <v/>
      </c>
      <c r="G88" s="282" t="str">
        <f>IFERROR(VLOOKUP(F88,'G-7 WaterC'' Data'!$C$4:$D$8,2,FALSE),"")</f>
        <v/>
      </c>
      <c r="H88" s="52"/>
      <c r="I88" s="282" t="str">
        <f>IFERROR(INDEX('G-7 WaterC'' Data'!$H$4:$L$8,MATCH(D88,'G-7 WaterC'' Data'!$B$4:$B$8,0),MATCH(H88,'G-7 WaterC'' Data'!$H$3:$L$3,0)),"")</f>
        <v/>
      </c>
      <c r="J88" s="793"/>
      <c r="K88" s="317" t="str">
        <f>IF(J88="","",IF(VLOOKUP(J88,'G-7 WaterC'' Data'!$AK$4:$AM$6,2,FALSE)=0,"Spatial Data Missing ⚠",VLOOKUP(J88,'G-7 WaterC'' Data'!$AK$4:$AM$6,2,FALSE)))</f>
        <v/>
      </c>
      <c r="L88" s="287" t="str">
        <f>IF(J88="","",IF(VLOOKUP(J88,'G-7 WaterC'' Data'!$AK$4:$AM$9,3,FALSE)=0,"Spatial Data Missing ⚠",VLOOKUP(J88,'G-7 WaterC'' Data'!$AK$4:$AM$6,3,FALSE)))</f>
        <v/>
      </c>
      <c r="M88" s="52"/>
      <c r="N88" s="282" t="str">
        <f>IF(M88="","",IF(AND(D88&lt;&gt;"Culvert",M88="N/A - Culvert"),"Not possible ▲",IF(AND(D88="Culvert",M88&lt;&gt;"N/A - Culvert"),"Not possible ▲",IF(VLOOKUP(M88,'G-7 WaterC'' Data'!$AA$4:$AB$7,2,FALSE)=0,"Spatial Data Missing ⚠",VLOOKUP(M88,'G-7 WaterC'' Data'!$AA$4:$AB$7,2,FALSE)))))</f>
        <v/>
      </c>
      <c r="O88" s="56"/>
      <c r="P88" s="282" t="str">
        <f>IF(O88="","",IF(AND(O88="N/A - Culvert", D88&lt;&gt;"Culvert"),"Not possible ▲", IF(AND(D88="Culvert",O88&lt;&gt;"N/A - Culvert"),"Not possible ▲",IF(VLOOKUP(O88,'G-7 WaterC'' Data'!$AD$4:$AE$14,2,FALSE)=0,"Spatial Data Missing ⚠",VLOOKUP(O88,'G-7 WaterC'' Data'!$AD$4:$AE$14,2,FALSE)))))</f>
        <v/>
      </c>
      <c r="Q88" s="288" t="str">
        <f>IF(D88="","",VLOOKUP(D88,'G-7 WaterC'' Data'!$B$2:$G$8,6,FALSE))</f>
        <v/>
      </c>
      <c r="R88" s="295" t="str">
        <f t="shared" si="11"/>
        <v xml:space="preserve"> </v>
      </c>
      <c r="S88" s="820" t="str">
        <f t="shared" si="12"/>
        <v/>
      </c>
      <c r="T88" s="32"/>
      <c r="U88" s="105"/>
      <c r="V88" s="112"/>
      <c r="W88" s="293" t="str">
        <f t="shared" si="13"/>
        <v/>
      </c>
      <c r="X88" s="293" t="str">
        <f t="shared" si="14"/>
        <v/>
      </c>
      <c r="Y88" s="293" t="str">
        <f t="shared" si="15"/>
        <v/>
      </c>
      <c r="Z88" s="323" t="str">
        <f>IFERROR(IF(OR(E88="",R88=""),"",  IF(AND(Q88='G-7 WaterC'' Data'!$G$4,AA88="Yes"),"Alternative Compensation ✓", IF(AND(AA88="Pending", Q88='G-7 WaterC'' Data'!$G$4),"Bespoke compensation must be agreed ▲", IF((W88+X88)&gt;=R88, 0, R88-W88-X88)))),"Check Data ⚠")</f>
        <v/>
      </c>
      <c r="AA88" s="817"/>
      <c r="AB88" s="140"/>
      <c r="AC88" s="108"/>
      <c r="AD88" s="108"/>
      <c r="AE88" s="54" t="str">
        <f>IF(OR(Q88="",AA88="Yes"),"",IF(Q88='G-1 All Habitats'!$X$9,E88-U88-V88,"None"))</f>
        <v/>
      </c>
      <c r="AF88" s="55" t="str">
        <f>IF(Q88="","", IF(Q88='G-1 All Habitats'!$X$9, AE88*G88*I88*L88*N88*P88,"None"))</f>
        <v/>
      </c>
      <c r="AI88" s="30">
        <f t="shared" si="16"/>
        <v>0</v>
      </c>
      <c r="AJ88" s="111" t="str">
        <f t="shared" si="17"/>
        <v/>
      </c>
      <c r="AK88" s="111" t="str">
        <f t="shared" si="18"/>
        <v/>
      </c>
      <c r="AM88" s="111">
        <v>79</v>
      </c>
      <c r="AO88" s="111" t="str">
        <f t="array" ref="AO88">IFERROR(INDEX($AM$10:$AM$258, MATCH(0, IF(TRUE=$AJ$10:$AJ$258, COUNTIF($AO$9:$AO87, $AM$10:$AM$258), ""), 0)),"")</f>
        <v/>
      </c>
      <c r="AP88" s="111" t="str">
        <f t="array" ref="AP88">IFERROR(INDEX($AM$10:$AM$258, MATCH(0, IF(TRUE=$AK$10:$AK$258, COUNTIF($AP$9:$AP87, $AM$10:$AM$258), ""), 0)),"")</f>
        <v/>
      </c>
      <c r="AR88" s="30" t="str">
        <f>IFERROR(INDEX('G-7 WaterC'' Data'!$AZ$3:$AZ$7,MATCH(D88,'G-7 WaterC'' Data'!$AY$3:$AY$7,0)),"")</f>
        <v/>
      </c>
      <c r="AS88" s="30" t="str">
        <f>IFERROR(INDEX('G-7 WaterC'' Data'!AZ88:AZ92,MATCH(D88,'G-7 WaterC'' Data'!$AY$10:$AY$14,0)),"")</f>
        <v/>
      </c>
      <c r="AT88" s="903" t="str">
        <f>IF(AND(OR(AA88="Yes",AA88="Pending"),Q88='G-7 WaterC'' Data'!$G$4),R88-W88-X88,"")</f>
        <v/>
      </c>
      <c r="AU88" s="30" t="str">
        <f>IF(D88="","",VLOOKUP(D88,'G-7 WaterC'' Data'!B$4:M$8,12,FALSE))</f>
        <v/>
      </c>
      <c r="AV88" s="30" t="str">
        <f t="shared" si="10"/>
        <v/>
      </c>
      <c r="AX88" s="30" t="str">
        <f t="shared" si="19"/>
        <v>No</v>
      </c>
    </row>
    <row r="89" spans="3:50" x14ac:dyDescent="0.25">
      <c r="C89" s="101">
        <v>80</v>
      </c>
      <c r="D89" s="267"/>
      <c r="E89" s="119"/>
      <c r="F89" s="281" t="str">
        <f>IF(D89="","",VLOOKUP(D89,'G-7 WaterC'' Data'!$B$2:$G$8,2,FALSE))</f>
        <v/>
      </c>
      <c r="G89" s="282" t="str">
        <f>IFERROR(VLOOKUP(F89,'G-7 WaterC'' Data'!$C$4:$D$8,2,FALSE),"")</f>
        <v/>
      </c>
      <c r="H89" s="52"/>
      <c r="I89" s="282" t="str">
        <f>IFERROR(INDEX('G-7 WaterC'' Data'!$H$4:$L$8,MATCH(D89,'G-7 WaterC'' Data'!$B$4:$B$8,0),MATCH(H89,'G-7 WaterC'' Data'!$H$3:$L$3,0)),"")</f>
        <v/>
      </c>
      <c r="J89" s="793"/>
      <c r="K89" s="317" t="str">
        <f>IF(J89="","",IF(VLOOKUP(J89,'G-7 WaterC'' Data'!$AK$4:$AM$6,2,FALSE)=0,"Spatial Data Missing ⚠",VLOOKUP(J89,'G-7 WaterC'' Data'!$AK$4:$AM$6,2,FALSE)))</f>
        <v/>
      </c>
      <c r="L89" s="287" t="str">
        <f>IF(J89="","",IF(VLOOKUP(J89,'G-7 WaterC'' Data'!$AK$4:$AM$9,3,FALSE)=0,"Spatial Data Missing ⚠",VLOOKUP(J89,'G-7 WaterC'' Data'!$AK$4:$AM$6,3,FALSE)))</f>
        <v/>
      </c>
      <c r="M89" s="52"/>
      <c r="N89" s="282" t="str">
        <f>IF(M89="","",IF(AND(D89&lt;&gt;"Culvert",M89="N/A - Culvert"),"Not possible ▲",IF(AND(D89="Culvert",M89&lt;&gt;"N/A - Culvert"),"Not possible ▲",IF(VLOOKUP(M89,'G-7 WaterC'' Data'!$AA$4:$AB$7,2,FALSE)=0,"Spatial Data Missing ⚠",VLOOKUP(M89,'G-7 WaterC'' Data'!$AA$4:$AB$7,2,FALSE)))))</f>
        <v/>
      </c>
      <c r="O89" s="56"/>
      <c r="P89" s="282" t="str">
        <f>IF(O89="","",IF(AND(O89="N/A - Culvert", D89&lt;&gt;"Culvert"),"Not possible ▲", IF(AND(D89="Culvert",O89&lt;&gt;"N/A - Culvert"),"Not possible ▲",IF(VLOOKUP(O89,'G-7 WaterC'' Data'!$AD$4:$AE$14,2,FALSE)=0,"Spatial Data Missing ⚠",VLOOKUP(O89,'G-7 WaterC'' Data'!$AD$4:$AE$14,2,FALSE)))))</f>
        <v/>
      </c>
      <c r="Q89" s="288" t="str">
        <f>IF(D89="","",VLOOKUP(D89,'G-7 WaterC'' Data'!$B$2:$G$8,6,FALSE))</f>
        <v/>
      </c>
      <c r="R89" s="295" t="str">
        <f t="shared" si="11"/>
        <v xml:space="preserve"> </v>
      </c>
      <c r="S89" s="820" t="str">
        <f t="shared" si="12"/>
        <v/>
      </c>
      <c r="T89" s="32"/>
      <c r="U89" s="105"/>
      <c r="V89" s="112"/>
      <c r="W89" s="293" t="str">
        <f t="shared" si="13"/>
        <v/>
      </c>
      <c r="X89" s="293" t="str">
        <f t="shared" si="14"/>
        <v/>
      </c>
      <c r="Y89" s="293" t="str">
        <f t="shared" si="15"/>
        <v/>
      </c>
      <c r="Z89" s="323" t="str">
        <f>IFERROR(IF(OR(E89="",R89=""),"",  IF(AND(Q89='G-7 WaterC'' Data'!$G$4,AA89="Yes"),"Alternative Compensation ✓", IF(AND(AA89="Pending", Q89='G-7 WaterC'' Data'!$G$4),"Bespoke compensation must be agreed ▲", IF((W89+X89)&gt;=R89, 0, R89-W89-X89)))),"Check Data ⚠")</f>
        <v/>
      </c>
      <c r="AA89" s="817"/>
      <c r="AB89" s="140"/>
      <c r="AC89" s="108"/>
      <c r="AD89" s="108"/>
      <c r="AE89" s="54" t="str">
        <f>IF(OR(Q89="",AA89="Yes"),"",IF(Q89='G-1 All Habitats'!$X$9,E89-U89-V89,"None"))</f>
        <v/>
      </c>
      <c r="AF89" s="55" t="str">
        <f>IF(Q89="","", IF(Q89='G-1 All Habitats'!$X$9, AE89*G89*I89*L89*N89*P89,"None"))</f>
        <v/>
      </c>
      <c r="AI89" s="30">
        <f t="shared" si="16"/>
        <v>0</v>
      </c>
      <c r="AJ89" s="111" t="str">
        <f t="shared" si="17"/>
        <v/>
      </c>
      <c r="AK89" s="111" t="str">
        <f t="shared" si="18"/>
        <v/>
      </c>
      <c r="AM89" s="111">
        <v>80</v>
      </c>
      <c r="AO89" s="111" t="str">
        <f t="array" ref="AO89">IFERROR(INDEX($AM$10:$AM$258, MATCH(0, IF(TRUE=$AJ$10:$AJ$258, COUNTIF($AO$9:$AO88, $AM$10:$AM$258), ""), 0)),"")</f>
        <v/>
      </c>
      <c r="AP89" s="111" t="str">
        <f t="array" ref="AP89">IFERROR(INDEX($AM$10:$AM$258, MATCH(0, IF(TRUE=$AK$10:$AK$258, COUNTIF($AP$9:$AP88, $AM$10:$AM$258), ""), 0)),"")</f>
        <v/>
      </c>
      <c r="AR89" s="30" t="str">
        <f>IFERROR(INDEX('G-7 WaterC'' Data'!$AZ$3:$AZ$7,MATCH(D89,'G-7 WaterC'' Data'!$AY$3:$AY$7,0)),"")</f>
        <v/>
      </c>
      <c r="AS89" s="30" t="str">
        <f>IFERROR(INDEX('G-7 WaterC'' Data'!AZ89:AZ93,MATCH(D89,'G-7 WaterC'' Data'!$AY$10:$AY$14,0)),"")</f>
        <v/>
      </c>
      <c r="AT89" s="903" t="str">
        <f>IF(AND(OR(AA89="Yes",AA89="Pending"),Q89='G-7 WaterC'' Data'!$G$4),R89-W89-X89,"")</f>
        <v/>
      </c>
      <c r="AU89" s="30" t="str">
        <f>IF(D89="","",VLOOKUP(D89,'G-7 WaterC'' Data'!B$4:M$8,12,FALSE))</f>
        <v/>
      </c>
      <c r="AV89" s="30" t="str">
        <f t="shared" si="10"/>
        <v/>
      </c>
      <c r="AX89" s="30" t="str">
        <f t="shared" si="19"/>
        <v>No</v>
      </c>
    </row>
    <row r="90" spans="3:50" x14ac:dyDescent="0.25">
      <c r="C90" s="101">
        <v>81</v>
      </c>
      <c r="D90" s="267"/>
      <c r="E90" s="119"/>
      <c r="F90" s="281" t="str">
        <f>IF(D90="","",VLOOKUP(D90,'G-7 WaterC'' Data'!$B$2:$G$8,2,FALSE))</f>
        <v/>
      </c>
      <c r="G90" s="282" t="str">
        <f>IFERROR(VLOOKUP(F90,'G-7 WaterC'' Data'!$C$4:$D$8,2,FALSE),"")</f>
        <v/>
      </c>
      <c r="H90" s="52"/>
      <c r="I90" s="282" t="str">
        <f>IFERROR(INDEX('G-7 WaterC'' Data'!$H$4:$L$8,MATCH(D90,'G-7 WaterC'' Data'!$B$4:$B$8,0),MATCH(H90,'G-7 WaterC'' Data'!$H$3:$L$3,0)),"")</f>
        <v/>
      </c>
      <c r="J90" s="793"/>
      <c r="K90" s="317" t="str">
        <f>IF(J90="","",IF(VLOOKUP(J90,'G-7 WaterC'' Data'!$AK$4:$AM$6,2,FALSE)=0,"Spatial Data Missing ⚠",VLOOKUP(J90,'G-7 WaterC'' Data'!$AK$4:$AM$6,2,FALSE)))</f>
        <v/>
      </c>
      <c r="L90" s="287" t="str">
        <f>IF(J90="","",IF(VLOOKUP(J90,'G-7 WaterC'' Data'!$AK$4:$AM$9,3,FALSE)=0,"Spatial Data Missing ⚠",VLOOKUP(J90,'G-7 WaterC'' Data'!$AK$4:$AM$6,3,FALSE)))</f>
        <v/>
      </c>
      <c r="M90" s="52"/>
      <c r="N90" s="282" t="str">
        <f>IF(M90="","",IF(AND(D90&lt;&gt;"Culvert",M90="N/A - Culvert"),"Not possible ▲",IF(AND(D90="Culvert",M90&lt;&gt;"N/A - Culvert"),"Not possible ▲",IF(VLOOKUP(M90,'G-7 WaterC'' Data'!$AA$4:$AB$7,2,FALSE)=0,"Spatial Data Missing ⚠",VLOOKUP(M90,'G-7 WaterC'' Data'!$AA$4:$AB$7,2,FALSE)))))</f>
        <v/>
      </c>
      <c r="O90" s="56"/>
      <c r="P90" s="282" t="str">
        <f>IF(O90="","",IF(AND(O90="N/A - Culvert", D90&lt;&gt;"Culvert"),"Not possible ▲", IF(AND(D90="Culvert",O90&lt;&gt;"N/A - Culvert"),"Not possible ▲",IF(VLOOKUP(O90,'G-7 WaterC'' Data'!$AD$4:$AE$14,2,FALSE)=0,"Spatial Data Missing ⚠",VLOOKUP(O90,'G-7 WaterC'' Data'!$AD$4:$AE$14,2,FALSE)))))</f>
        <v/>
      </c>
      <c r="Q90" s="288" t="str">
        <f>IF(D90="","",VLOOKUP(D90,'G-7 WaterC'' Data'!$B$2:$G$8,6,FALSE))</f>
        <v/>
      </c>
      <c r="R90" s="295" t="str">
        <f t="shared" si="11"/>
        <v xml:space="preserve"> </v>
      </c>
      <c r="S90" s="820" t="str">
        <f t="shared" si="12"/>
        <v/>
      </c>
      <c r="T90" s="32"/>
      <c r="U90" s="105"/>
      <c r="V90" s="112"/>
      <c r="W90" s="293" t="str">
        <f t="shared" si="13"/>
        <v/>
      </c>
      <c r="X90" s="293" t="str">
        <f t="shared" si="14"/>
        <v/>
      </c>
      <c r="Y90" s="293" t="str">
        <f t="shared" si="15"/>
        <v/>
      </c>
      <c r="Z90" s="323" t="str">
        <f>IFERROR(IF(OR(E90="",R90=""),"",  IF(AND(Q90='G-7 WaterC'' Data'!$G$4,AA90="Yes"),"Alternative Compensation ✓", IF(AND(AA90="Pending", Q90='G-7 WaterC'' Data'!$G$4),"Bespoke compensation must be agreed ▲", IF((W90+X90)&gt;=R90, 0, R90-W90-X90)))),"Check Data ⚠")</f>
        <v/>
      </c>
      <c r="AA90" s="817"/>
      <c r="AB90" s="140"/>
      <c r="AC90" s="108"/>
      <c r="AD90" s="108"/>
      <c r="AE90" s="54" t="str">
        <f>IF(OR(Q90="",AA90="Yes"),"",IF(Q90='G-1 All Habitats'!$X$9,E90-U90-V90,"None"))</f>
        <v/>
      </c>
      <c r="AF90" s="55" t="str">
        <f>IF(Q90="","", IF(Q90='G-1 All Habitats'!$X$9, AE90*G90*I90*L90*N90*P90,"None"))</f>
        <v/>
      </c>
      <c r="AI90" s="30">
        <f t="shared" si="16"/>
        <v>0</v>
      </c>
      <c r="AJ90" s="111" t="str">
        <f t="shared" si="17"/>
        <v/>
      </c>
      <c r="AK90" s="111" t="str">
        <f t="shared" si="18"/>
        <v/>
      </c>
      <c r="AM90" s="111">
        <v>81</v>
      </c>
      <c r="AO90" s="111" t="str">
        <f t="array" ref="AO90">IFERROR(INDEX($AM$10:$AM$258, MATCH(0, IF(TRUE=$AJ$10:$AJ$258, COUNTIF($AO$9:$AO89, $AM$10:$AM$258), ""), 0)),"")</f>
        <v/>
      </c>
      <c r="AP90" s="111" t="str">
        <f t="array" ref="AP90">IFERROR(INDEX($AM$10:$AM$258, MATCH(0, IF(TRUE=$AK$10:$AK$258, COUNTIF($AP$9:$AP89, $AM$10:$AM$258), ""), 0)),"")</f>
        <v/>
      </c>
      <c r="AR90" s="30" t="str">
        <f>IFERROR(INDEX('G-7 WaterC'' Data'!$AZ$3:$AZ$7,MATCH(D90,'G-7 WaterC'' Data'!$AY$3:$AY$7,0)),"")</f>
        <v/>
      </c>
      <c r="AS90" s="30" t="str">
        <f>IFERROR(INDEX('G-7 WaterC'' Data'!AZ90:AZ94,MATCH(D90,'G-7 WaterC'' Data'!$AY$10:$AY$14,0)),"")</f>
        <v/>
      </c>
      <c r="AT90" s="903" t="str">
        <f>IF(AND(OR(AA90="Yes",AA90="Pending"),Q90='G-7 WaterC'' Data'!$G$4),R90-W90-X90,"")</f>
        <v/>
      </c>
      <c r="AU90" s="30" t="str">
        <f>IF(D90="","",VLOOKUP(D90,'G-7 WaterC'' Data'!B$4:M$8,12,FALSE))</f>
        <v/>
      </c>
      <c r="AV90" s="30" t="str">
        <f t="shared" si="10"/>
        <v/>
      </c>
      <c r="AX90" s="30" t="str">
        <f t="shared" si="19"/>
        <v>No</v>
      </c>
    </row>
    <row r="91" spans="3:50" x14ac:dyDescent="0.25">
      <c r="C91" s="101">
        <v>82</v>
      </c>
      <c r="D91" s="267"/>
      <c r="E91" s="119"/>
      <c r="F91" s="281" t="str">
        <f>IF(D91="","",VLOOKUP(D91,'G-7 WaterC'' Data'!$B$2:$G$8,2,FALSE))</f>
        <v/>
      </c>
      <c r="G91" s="282" t="str">
        <f>IFERROR(VLOOKUP(F91,'G-7 WaterC'' Data'!$C$4:$D$8,2,FALSE),"")</f>
        <v/>
      </c>
      <c r="H91" s="52"/>
      <c r="I91" s="282" t="str">
        <f>IFERROR(INDEX('G-7 WaterC'' Data'!$H$4:$L$8,MATCH(D91,'G-7 WaterC'' Data'!$B$4:$B$8,0),MATCH(H91,'G-7 WaterC'' Data'!$H$3:$L$3,0)),"")</f>
        <v/>
      </c>
      <c r="J91" s="793"/>
      <c r="K91" s="317" t="str">
        <f>IF(J91="","",IF(VLOOKUP(J91,'G-7 WaterC'' Data'!$AK$4:$AM$6,2,FALSE)=0,"Spatial Data Missing ⚠",VLOOKUP(J91,'G-7 WaterC'' Data'!$AK$4:$AM$6,2,FALSE)))</f>
        <v/>
      </c>
      <c r="L91" s="287" t="str">
        <f>IF(J91="","",IF(VLOOKUP(J91,'G-7 WaterC'' Data'!$AK$4:$AM$9,3,FALSE)=0,"Spatial Data Missing ⚠",VLOOKUP(J91,'G-7 WaterC'' Data'!$AK$4:$AM$6,3,FALSE)))</f>
        <v/>
      </c>
      <c r="M91" s="52"/>
      <c r="N91" s="282" t="str">
        <f>IF(M91="","",IF(AND(D91&lt;&gt;"Culvert",M91="N/A - Culvert"),"Not possible ▲",IF(AND(D91="Culvert",M91&lt;&gt;"N/A - Culvert"),"Not possible ▲",IF(VLOOKUP(M91,'G-7 WaterC'' Data'!$AA$4:$AB$7,2,FALSE)=0,"Spatial Data Missing ⚠",VLOOKUP(M91,'G-7 WaterC'' Data'!$AA$4:$AB$7,2,FALSE)))))</f>
        <v/>
      </c>
      <c r="O91" s="56"/>
      <c r="P91" s="282" t="str">
        <f>IF(O91="","",IF(AND(O91="N/A - Culvert", D91&lt;&gt;"Culvert"),"Not possible ▲", IF(AND(D91="Culvert",O91&lt;&gt;"N/A - Culvert"),"Not possible ▲",IF(VLOOKUP(O91,'G-7 WaterC'' Data'!$AD$4:$AE$14,2,FALSE)=0,"Spatial Data Missing ⚠",VLOOKUP(O91,'G-7 WaterC'' Data'!$AD$4:$AE$14,2,FALSE)))))</f>
        <v/>
      </c>
      <c r="Q91" s="288" t="str">
        <f>IF(D91="","",VLOOKUP(D91,'G-7 WaterC'' Data'!$B$2:$G$8,6,FALSE))</f>
        <v/>
      </c>
      <c r="R91" s="295" t="str">
        <f t="shared" si="11"/>
        <v xml:space="preserve"> </v>
      </c>
      <c r="S91" s="820" t="str">
        <f t="shared" si="12"/>
        <v/>
      </c>
      <c r="T91" s="32"/>
      <c r="U91" s="105"/>
      <c r="V91" s="112"/>
      <c r="W91" s="293" t="str">
        <f t="shared" si="13"/>
        <v/>
      </c>
      <c r="X91" s="293" t="str">
        <f t="shared" si="14"/>
        <v/>
      </c>
      <c r="Y91" s="293" t="str">
        <f t="shared" si="15"/>
        <v/>
      </c>
      <c r="Z91" s="323" t="str">
        <f>IFERROR(IF(OR(E91="",R91=""),"",  IF(AND(Q91='G-7 WaterC'' Data'!$G$4,AA91="Yes"),"Alternative Compensation ✓", IF(AND(AA91="Pending", Q91='G-7 WaterC'' Data'!$G$4),"Bespoke compensation must be agreed ▲", IF((W91+X91)&gt;=R91, 0, R91-W91-X91)))),"Check Data ⚠")</f>
        <v/>
      </c>
      <c r="AA91" s="817"/>
      <c r="AB91" s="140"/>
      <c r="AC91" s="108"/>
      <c r="AD91" s="108"/>
      <c r="AE91" s="54" t="str">
        <f>IF(OR(Q91="",AA91="Yes"),"",IF(Q91='G-1 All Habitats'!$X$9,E91-U91-V91,"None"))</f>
        <v/>
      </c>
      <c r="AF91" s="55" t="str">
        <f>IF(Q91="","", IF(Q91='G-1 All Habitats'!$X$9, AE91*G91*I91*L91*N91*P91,"None"))</f>
        <v/>
      </c>
      <c r="AI91" s="30">
        <f t="shared" si="16"/>
        <v>0</v>
      </c>
      <c r="AJ91" s="111" t="str">
        <f t="shared" si="17"/>
        <v/>
      </c>
      <c r="AK91" s="111" t="str">
        <f t="shared" si="18"/>
        <v/>
      </c>
      <c r="AM91" s="111">
        <v>82</v>
      </c>
      <c r="AO91" s="111" t="str">
        <f t="array" ref="AO91">IFERROR(INDEX($AM$10:$AM$258, MATCH(0, IF(TRUE=$AJ$10:$AJ$258, COUNTIF($AO$9:$AO90, $AM$10:$AM$258), ""), 0)),"")</f>
        <v/>
      </c>
      <c r="AP91" s="111" t="str">
        <f t="array" ref="AP91">IFERROR(INDEX($AM$10:$AM$258, MATCH(0, IF(TRUE=$AK$10:$AK$258, COUNTIF($AP$9:$AP90, $AM$10:$AM$258), ""), 0)),"")</f>
        <v/>
      </c>
      <c r="AR91" s="30" t="str">
        <f>IFERROR(INDEX('G-7 WaterC'' Data'!$AZ$3:$AZ$7,MATCH(D91,'G-7 WaterC'' Data'!$AY$3:$AY$7,0)),"")</f>
        <v/>
      </c>
      <c r="AS91" s="30" t="str">
        <f>IFERROR(INDEX('G-7 WaterC'' Data'!AZ91:AZ95,MATCH(D91,'G-7 WaterC'' Data'!$AY$10:$AY$14,0)),"")</f>
        <v/>
      </c>
      <c r="AT91" s="903" t="str">
        <f>IF(AND(OR(AA91="Yes",AA91="Pending"),Q91='G-7 WaterC'' Data'!$G$4),R91-W91-X91,"")</f>
        <v/>
      </c>
      <c r="AU91" s="30" t="str">
        <f>IF(D91="","",VLOOKUP(D91,'G-7 WaterC'' Data'!B$4:M$8,12,FALSE))</f>
        <v/>
      </c>
      <c r="AV91" s="30" t="str">
        <f t="shared" si="10"/>
        <v/>
      </c>
      <c r="AX91" s="30" t="str">
        <f t="shared" si="19"/>
        <v>No</v>
      </c>
    </row>
    <row r="92" spans="3:50" x14ac:dyDescent="0.25">
      <c r="C92" s="101">
        <v>83</v>
      </c>
      <c r="D92" s="267"/>
      <c r="E92" s="119"/>
      <c r="F92" s="281" t="str">
        <f>IF(D92="","",VLOOKUP(D92,'G-7 WaterC'' Data'!$B$2:$G$8,2,FALSE))</f>
        <v/>
      </c>
      <c r="G92" s="282" t="str">
        <f>IFERROR(VLOOKUP(F92,'G-7 WaterC'' Data'!$C$4:$D$8,2,FALSE),"")</f>
        <v/>
      </c>
      <c r="H92" s="52"/>
      <c r="I92" s="282" t="str">
        <f>IFERROR(INDEX('G-7 WaterC'' Data'!$H$4:$L$8,MATCH(D92,'G-7 WaterC'' Data'!$B$4:$B$8,0),MATCH(H92,'G-7 WaterC'' Data'!$H$3:$L$3,0)),"")</f>
        <v/>
      </c>
      <c r="J92" s="793"/>
      <c r="K92" s="317" t="str">
        <f>IF(J92="","",IF(VLOOKUP(J92,'G-7 WaterC'' Data'!$AK$4:$AM$6,2,FALSE)=0,"Spatial Data Missing ⚠",VLOOKUP(J92,'G-7 WaterC'' Data'!$AK$4:$AM$6,2,FALSE)))</f>
        <v/>
      </c>
      <c r="L92" s="287" t="str">
        <f>IF(J92="","",IF(VLOOKUP(J92,'G-7 WaterC'' Data'!$AK$4:$AM$9,3,FALSE)=0,"Spatial Data Missing ⚠",VLOOKUP(J92,'G-7 WaterC'' Data'!$AK$4:$AM$6,3,FALSE)))</f>
        <v/>
      </c>
      <c r="M92" s="52"/>
      <c r="N92" s="282" t="str">
        <f>IF(M92="","",IF(AND(D92&lt;&gt;"Culvert",M92="N/A - Culvert"),"Not possible ▲",IF(AND(D92="Culvert",M92&lt;&gt;"N/A - Culvert"),"Not possible ▲",IF(VLOOKUP(M92,'G-7 WaterC'' Data'!$AA$4:$AB$7,2,FALSE)=0,"Spatial Data Missing ⚠",VLOOKUP(M92,'G-7 WaterC'' Data'!$AA$4:$AB$7,2,FALSE)))))</f>
        <v/>
      </c>
      <c r="O92" s="56"/>
      <c r="P92" s="282" t="str">
        <f>IF(O92="","",IF(AND(O92="N/A - Culvert", D92&lt;&gt;"Culvert"),"Not possible ▲", IF(AND(D92="Culvert",O92&lt;&gt;"N/A - Culvert"),"Not possible ▲",IF(VLOOKUP(O92,'G-7 WaterC'' Data'!$AD$4:$AE$14,2,FALSE)=0,"Spatial Data Missing ⚠",VLOOKUP(O92,'G-7 WaterC'' Data'!$AD$4:$AE$14,2,FALSE)))))</f>
        <v/>
      </c>
      <c r="Q92" s="288" t="str">
        <f>IF(D92="","",VLOOKUP(D92,'G-7 WaterC'' Data'!$B$2:$G$8,6,FALSE))</f>
        <v/>
      </c>
      <c r="R92" s="295" t="str">
        <f t="shared" si="11"/>
        <v xml:space="preserve"> </v>
      </c>
      <c r="S92" s="820" t="str">
        <f t="shared" si="12"/>
        <v/>
      </c>
      <c r="T92" s="32"/>
      <c r="U92" s="105"/>
      <c r="V92" s="112"/>
      <c r="W92" s="293" t="str">
        <f t="shared" si="13"/>
        <v/>
      </c>
      <c r="X92" s="293" t="str">
        <f t="shared" si="14"/>
        <v/>
      </c>
      <c r="Y92" s="293" t="str">
        <f t="shared" si="15"/>
        <v/>
      </c>
      <c r="Z92" s="323" t="str">
        <f>IFERROR(IF(OR(E92="",R92=""),"",  IF(AND(Q92='G-7 WaterC'' Data'!$G$4,AA92="Yes"),"Alternative Compensation ✓", IF(AND(AA92="Pending", Q92='G-7 WaterC'' Data'!$G$4),"Bespoke compensation must be agreed ▲", IF((W92+X92)&gt;=R92, 0, R92-W92-X92)))),"Check Data ⚠")</f>
        <v/>
      </c>
      <c r="AA92" s="817"/>
      <c r="AB92" s="140"/>
      <c r="AC92" s="108"/>
      <c r="AD92" s="108"/>
      <c r="AE92" s="54" t="str">
        <f>IF(OR(Q92="",AA92="Yes"),"",IF(Q92='G-1 All Habitats'!$X$9,E92-U92-V92,"None"))</f>
        <v/>
      </c>
      <c r="AF92" s="55" t="str">
        <f>IF(Q92="","", IF(Q92='G-1 All Habitats'!$X$9, AE92*G92*I92*L92*N92*P92,"None"))</f>
        <v/>
      </c>
      <c r="AI92" s="30">
        <f t="shared" si="16"/>
        <v>0</v>
      </c>
      <c r="AJ92" s="111" t="str">
        <f t="shared" si="17"/>
        <v/>
      </c>
      <c r="AK92" s="111" t="str">
        <f t="shared" si="18"/>
        <v/>
      </c>
      <c r="AM92" s="111">
        <v>83</v>
      </c>
      <c r="AO92" s="111" t="str">
        <f t="array" ref="AO92">IFERROR(INDEX($AM$10:$AM$258, MATCH(0, IF(TRUE=$AJ$10:$AJ$258, COUNTIF($AO$9:$AO91, $AM$10:$AM$258), ""), 0)),"")</f>
        <v/>
      </c>
      <c r="AP92" s="111" t="str">
        <f t="array" ref="AP92">IFERROR(INDEX($AM$10:$AM$258, MATCH(0, IF(TRUE=$AK$10:$AK$258, COUNTIF($AP$9:$AP91, $AM$10:$AM$258), ""), 0)),"")</f>
        <v/>
      </c>
      <c r="AR92" s="30" t="str">
        <f>IFERROR(INDEX('G-7 WaterC'' Data'!$AZ$3:$AZ$7,MATCH(D92,'G-7 WaterC'' Data'!$AY$3:$AY$7,0)),"")</f>
        <v/>
      </c>
      <c r="AS92" s="30" t="str">
        <f>IFERROR(INDEX('G-7 WaterC'' Data'!AZ92:AZ96,MATCH(D92,'G-7 WaterC'' Data'!$AY$10:$AY$14,0)),"")</f>
        <v/>
      </c>
      <c r="AT92" s="903" t="str">
        <f>IF(AND(OR(AA92="Yes",AA92="Pending"),Q92='G-7 WaterC'' Data'!$G$4),R92-W92-X92,"")</f>
        <v/>
      </c>
      <c r="AU92" s="30" t="str">
        <f>IF(D92="","",VLOOKUP(D92,'G-7 WaterC'' Data'!B$4:M$8,12,FALSE))</f>
        <v/>
      </c>
      <c r="AV92" s="30" t="str">
        <f t="shared" si="10"/>
        <v/>
      </c>
      <c r="AX92" s="30" t="str">
        <f t="shared" si="19"/>
        <v>No</v>
      </c>
    </row>
    <row r="93" spans="3:50" x14ac:dyDescent="0.25">
      <c r="C93" s="101">
        <v>84</v>
      </c>
      <c r="D93" s="267"/>
      <c r="E93" s="119"/>
      <c r="F93" s="281" t="str">
        <f>IF(D93="","",VLOOKUP(D93,'G-7 WaterC'' Data'!$B$2:$G$8,2,FALSE))</f>
        <v/>
      </c>
      <c r="G93" s="282" t="str">
        <f>IFERROR(VLOOKUP(F93,'G-7 WaterC'' Data'!$C$4:$D$8,2,FALSE),"")</f>
        <v/>
      </c>
      <c r="H93" s="52"/>
      <c r="I93" s="282" t="str">
        <f>IFERROR(INDEX('G-7 WaterC'' Data'!$H$4:$L$8,MATCH(D93,'G-7 WaterC'' Data'!$B$4:$B$8,0),MATCH(H93,'G-7 WaterC'' Data'!$H$3:$L$3,0)),"")</f>
        <v/>
      </c>
      <c r="J93" s="793"/>
      <c r="K93" s="317" t="str">
        <f>IF(J93="","",IF(VLOOKUP(J93,'G-7 WaterC'' Data'!$AK$4:$AM$6,2,FALSE)=0,"Spatial Data Missing ⚠",VLOOKUP(J93,'G-7 WaterC'' Data'!$AK$4:$AM$6,2,FALSE)))</f>
        <v/>
      </c>
      <c r="L93" s="287" t="str">
        <f>IF(J93="","",IF(VLOOKUP(J93,'G-7 WaterC'' Data'!$AK$4:$AM$9,3,FALSE)=0,"Spatial Data Missing ⚠",VLOOKUP(J93,'G-7 WaterC'' Data'!$AK$4:$AM$6,3,FALSE)))</f>
        <v/>
      </c>
      <c r="M93" s="52"/>
      <c r="N93" s="282" t="str">
        <f>IF(M93="","",IF(AND(D93&lt;&gt;"Culvert",M93="N/A - Culvert"),"Not possible ▲",IF(AND(D93="Culvert",M93&lt;&gt;"N/A - Culvert"),"Not possible ▲",IF(VLOOKUP(M93,'G-7 WaterC'' Data'!$AA$4:$AB$7,2,FALSE)=0,"Spatial Data Missing ⚠",VLOOKUP(M93,'G-7 WaterC'' Data'!$AA$4:$AB$7,2,FALSE)))))</f>
        <v/>
      </c>
      <c r="O93" s="56"/>
      <c r="P93" s="282" t="str">
        <f>IF(O93="","",IF(AND(O93="N/A - Culvert", D93&lt;&gt;"Culvert"),"Not possible ▲", IF(AND(D93="Culvert",O93&lt;&gt;"N/A - Culvert"),"Not possible ▲",IF(VLOOKUP(O93,'G-7 WaterC'' Data'!$AD$4:$AE$14,2,FALSE)=0,"Spatial Data Missing ⚠",VLOOKUP(O93,'G-7 WaterC'' Data'!$AD$4:$AE$14,2,FALSE)))))</f>
        <v/>
      </c>
      <c r="Q93" s="288" t="str">
        <f>IF(D93="","",VLOOKUP(D93,'G-7 WaterC'' Data'!$B$2:$G$8,6,FALSE))</f>
        <v/>
      </c>
      <c r="R93" s="295" t="str">
        <f t="shared" si="11"/>
        <v xml:space="preserve"> </v>
      </c>
      <c r="S93" s="820" t="str">
        <f t="shared" si="12"/>
        <v/>
      </c>
      <c r="T93" s="32"/>
      <c r="U93" s="105"/>
      <c r="V93" s="112"/>
      <c r="W93" s="293" t="str">
        <f t="shared" si="13"/>
        <v/>
      </c>
      <c r="X93" s="293" t="str">
        <f t="shared" si="14"/>
        <v/>
      </c>
      <c r="Y93" s="293" t="str">
        <f t="shared" si="15"/>
        <v/>
      </c>
      <c r="Z93" s="323" t="str">
        <f>IFERROR(IF(OR(E93="",R93=""),"",  IF(AND(Q93='G-7 WaterC'' Data'!$G$4,AA93="Yes"),"Alternative Compensation ✓", IF(AND(AA93="Pending", Q93='G-7 WaterC'' Data'!$G$4),"Bespoke compensation must be agreed ▲", IF((W93+X93)&gt;=R93, 0, R93-W93-X93)))),"Check Data ⚠")</f>
        <v/>
      </c>
      <c r="AA93" s="817"/>
      <c r="AB93" s="140"/>
      <c r="AC93" s="108"/>
      <c r="AD93" s="108"/>
      <c r="AE93" s="54" t="str">
        <f>IF(OR(Q93="",AA93="Yes"),"",IF(Q93='G-1 All Habitats'!$X$9,E93-U93-V93,"None"))</f>
        <v/>
      </c>
      <c r="AF93" s="55" t="str">
        <f>IF(Q93="","", IF(Q93='G-1 All Habitats'!$X$9, AE93*G93*I93*L93*N93*P93,"None"))</f>
        <v/>
      </c>
      <c r="AI93" s="30">
        <f t="shared" si="16"/>
        <v>0</v>
      </c>
      <c r="AJ93" s="111" t="str">
        <f t="shared" si="17"/>
        <v/>
      </c>
      <c r="AK93" s="111" t="str">
        <f t="shared" si="18"/>
        <v/>
      </c>
      <c r="AM93" s="111">
        <v>84</v>
      </c>
      <c r="AO93" s="111" t="str">
        <f t="array" ref="AO93">IFERROR(INDEX($AM$10:$AM$258, MATCH(0, IF(TRUE=$AJ$10:$AJ$258, COUNTIF($AO$9:$AO92, $AM$10:$AM$258), ""), 0)),"")</f>
        <v/>
      </c>
      <c r="AP93" s="111" t="str">
        <f t="array" ref="AP93">IFERROR(INDEX($AM$10:$AM$258, MATCH(0, IF(TRUE=$AK$10:$AK$258, COUNTIF($AP$9:$AP92, $AM$10:$AM$258), ""), 0)),"")</f>
        <v/>
      </c>
      <c r="AR93" s="30" t="str">
        <f>IFERROR(INDEX('G-7 WaterC'' Data'!$AZ$3:$AZ$7,MATCH(D93,'G-7 WaterC'' Data'!$AY$3:$AY$7,0)),"")</f>
        <v/>
      </c>
      <c r="AS93" s="30" t="str">
        <f>IFERROR(INDEX('G-7 WaterC'' Data'!AZ93:AZ97,MATCH(D93,'G-7 WaterC'' Data'!$AY$10:$AY$14,0)),"")</f>
        <v/>
      </c>
      <c r="AT93" s="903" t="str">
        <f>IF(AND(OR(AA93="Yes",AA93="Pending"),Q93='G-7 WaterC'' Data'!$G$4),R93-W93-X93,"")</f>
        <v/>
      </c>
      <c r="AU93" s="30" t="str">
        <f>IF(D93="","",VLOOKUP(D93,'G-7 WaterC'' Data'!B$4:M$8,12,FALSE))</f>
        <v/>
      </c>
      <c r="AV93" s="30" t="str">
        <f t="shared" si="10"/>
        <v/>
      </c>
      <c r="AX93" s="30" t="str">
        <f t="shared" si="19"/>
        <v>No</v>
      </c>
    </row>
    <row r="94" spans="3:50" x14ac:dyDescent="0.25">
      <c r="C94" s="101">
        <v>85</v>
      </c>
      <c r="D94" s="267"/>
      <c r="E94" s="119"/>
      <c r="F94" s="281" t="str">
        <f>IF(D94="","",VLOOKUP(D94,'G-7 WaterC'' Data'!$B$2:$G$8,2,FALSE))</f>
        <v/>
      </c>
      <c r="G94" s="282" t="str">
        <f>IFERROR(VLOOKUP(F94,'G-7 WaterC'' Data'!$C$4:$D$8,2,FALSE),"")</f>
        <v/>
      </c>
      <c r="H94" s="52"/>
      <c r="I94" s="282" t="str">
        <f>IFERROR(INDEX('G-7 WaterC'' Data'!$H$4:$L$8,MATCH(D94,'G-7 WaterC'' Data'!$B$4:$B$8,0),MATCH(H94,'G-7 WaterC'' Data'!$H$3:$L$3,0)),"")</f>
        <v/>
      </c>
      <c r="J94" s="793"/>
      <c r="K94" s="317" t="str">
        <f>IF(J94="","",IF(VLOOKUP(J94,'G-7 WaterC'' Data'!$AK$4:$AM$6,2,FALSE)=0,"Spatial Data Missing ⚠",VLOOKUP(J94,'G-7 WaterC'' Data'!$AK$4:$AM$6,2,FALSE)))</f>
        <v/>
      </c>
      <c r="L94" s="287" t="str">
        <f>IF(J94="","",IF(VLOOKUP(J94,'G-7 WaterC'' Data'!$AK$4:$AM$9,3,FALSE)=0,"Spatial Data Missing ⚠",VLOOKUP(J94,'G-7 WaterC'' Data'!$AK$4:$AM$6,3,FALSE)))</f>
        <v/>
      </c>
      <c r="M94" s="52"/>
      <c r="N94" s="282" t="str">
        <f>IF(M94="","",IF(AND(D94&lt;&gt;"Culvert",M94="N/A - Culvert"),"Not possible ▲",IF(AND(D94="Culvert",M94&lt;&gt;"N/A - Culvert"),"Not possible ▲",IF(VLOOKUP(M94,'G-7 WaterC'' Data'!$AA$4:$AB$7,2,FALSE)=0,"Spatial Data Missing ⚠",VLOOKUP(M94,'G-7 WaterC'' Data'!$AA$4:$AB$7,2,FALSE)))))</f>
        <v/>
      </c>
      <c r="O94" s="56"/>
      <c r="P94" s="282" t="str">
        <f>IF(O94="","",IF(AND(O94="N/A - Culvert", D94&lt;&gt;"Culvert"),"Not possible ▲", IF(AND(D94="Culvert",O94&lt;&gt;"N/A - Culvert"),"Not possible ▲",IF(VLOOKUP(O94,'G-7 WaterC'' Data'!$AD$4:$AE$14,2,FALSE)=0,"Spatial Data Missing ⚠",VLOOKUP(O94,'G-7 WaterC'' Data'!$AD$4:$AE$14,2,FALSE)))))</f>
        <v/>
      </c>
      <c r="Q94" s="288" t="str">
        <f>IF(D94="","",VLOOKUP(D94,'G-7 WaterC'' Data'!$B$2:$G$8,6,FALSE))</f>
        <v/>
      </c>
      <c r="R94" s="295" t="str">
        <f t="shared" si="11"/>
        <v xml:space="preserve"> </v>
      </c>
      <c r="S94" s="820" t="str">
        <f t="shared" si="12"/>
        <v/>
      </c>
      <c r="T94" s="32"/>
      <c r="U94" s="105"/>
      <c r="V94" s="112"/>
      <c r="W94" s="293" t="str">
        <f t="shared" si="13"/>
        <v/>
      </c>
      <c r="X94" s="293" t="str">
        <f t="shared" si="14"/>
        <v/>
      </c>
      <c r="Y94" s="293" t="str">
        <f t="shared" si="15"/>
        <v/>
      </c>
      <c r="Z94" s="323" t="str">
        <f>IFERROR(IF(OR(E94="",R94=""),"",  IF(AND(Q94='G-7 WaterC'' Data'!$G$4,AA94="Yes"),"Alternative Compensation ✓", IF(AND(AA94="Pending", Q94='G-7 WaterC'' Data'!$G$4),"Bespoke compensation must be agreed ▲", IF((W94+X94)&gt;=R94, 0, R94-W94-X94)))),"Check Data ⚠")</f>
        <v/>
      </c>
      <c r="AA94" s="817"/>
      <c r="AB94" s="140"/>
      <c r="AC94" s="108"/>
      <c r="AD94" s="108"/>
      <c r="AE94" s="54" t="str">
        <f>IF(OR(Q94="",AA94="Yes"),"",IF(Q94='G-1 All Habitats'!$X$9,E94-U94-V94,"None"))</f>
        <v/>
      </c>
      <c r="AF94" s="55" t="str">
        <f>IF(Q94="","", IF(Q94='G-1 All Habitats'!$X$9, AE94*G94*I94*L94*N94*P94,"None"))</f>
        <v/>
      </c>
      <c r="AI94" s="30">
        <f t="shared" si="16"/>
        <v>0</v>
      </c>
      <c r="AJ94" s="111" t="str">
        <f t="shared" si="17"/>
        <v/>
      </c>
      <c r="AK94" s="111" t="str">
        <f t="shared" si="18"/>
        <v/>
      </c>
      <c r="AM94" s="111">
        <v>85</v>
      </c>
      <c r="AO94" s="111" t="str">
        <f t="array" ref="AO94">IFERROR(INDEX($AM$10:$AM$258, MATCH(0, IF(TRUE=$AJ$10:$AJ$258, COUNTIF($AO$9:$AO93, $AM$10:$AM$258), ""), 0)),"")</f>
        <v/>
      </c>
      <c r="AP94" s="111" t="str">
        <f t="array" ref="AP94">IFERROR(INDEX($AM$10:$AM$258, MATCH(0, IF(TRUE=$AK$10:$AK$258, COUNTIF($AP$9:$AP93, $AM$10:$AM$258), ""), 0)),"")</f>
        <v/>
      </c>
      <c r="AR94" s="30" t="str">
        <f>IFERROR(INDEX('G-7 WaterC'' Data'!$AZ$3:$AZ$7,MATCH(D94,'G-7 WaterC'' Data'!$AY$3:$AY$7,0)),"")</f>
        <v/>
      </c>
      <c r="AS94" s="30" t="str">
        <f>IFERROR(INDEX('G-7 WaterC'' Data'!AZ94:AZ98,MATCH(D94,'G-7 WaterC'' Data'!$AY$10:$AY$14,0)),"")</f>
        <v/>
      </c>
      <c r="AT94" s="903" t="str">
        <f>IF(AND(OR(AA94="Yes",AA94="Pending"),Q94='G-7 WaterC'' Data'!$G$4),R94-W94-X94,"")</f>
        <v/>
      </c>
      <c r="AU94" s="30" t="str">
        <f>IF(D94="","",VLOOKUP(D94,'G-7 WaterC'' Data'!B$4:M$8,12,FALSE))</f>
        <v/>
      </c>
      <c r="AV94" s="30" t="str">
        <f t="shared" si="10"/>
        <v/>
      </c>
      <c r="AX94" s="30" t="str">
        <f t="shared" si="19"/>
        <v>No</v>
      </c>
    </row>
    <row r="95" spans="3:50" x14ac:dyDescent="0.25">
      <c r="C95" s="101">
        <v>86</v>
      </c>
      <c r="D95" s="267"/>
      <c r="E95" s="119"/>
      <c r="F95" s="281" t="str">
        <f>IF(D95="","",VLOOKUP(D95,'G-7 WaterC'' Data'!$B$2:$G$8,2,FALSE))</f>
        <v/>
      </c>
      <c r="G95" s="282" t="str">
        <f>IFERROR(VLOOKUP(F95,'G-7 WaterC'' Data'!$C$4:$D$8,2,FALSE),"")</f>
        <v/>
      </c>
      <c r="H95" s="52"/>
      <c r="I95" s="282" t="str">
        <f>IFERROR(INDEX('G-7 WaterC'' Data'!$H$4:$L$8,MATCH(D95,'G-7 WaterC'' Data'!$B$4:$B$8,0),MATCH(H95,'G-7 WaterC'' Data'!$H$3:$L$3,0)),"")</f>
        <v/>
      </c>
      <c r="J95" s="793"/>
      <c r="K95" s="317" t="str">
        <f>IF(J95="","",IF(VLOOKUP(J95,'G-7 WaterC'' Data'!$AK$4:$AM$6,2,FALSE)=0,"Spatial Data Missing ⚠",VLOOKUP(J95,'G-7 WaterC'' Data'!$AK$4:$AM$6,2,FALSE)))</f>
        <v/>
      </c>
      <c r="L95" s="287" t="str">
        <f>IF(J95="","",IF(VLOOKUP(J95,'G-7 WaterC'' Data'!$AK$4:$AM$9,3,FALSE)=0,"Spatial Data Missing ⚠",VLOOKUP(J95,'G-7 WaterC'' Data'!$AK$4:$AM$6,3,FALSE)))</f>
        <v/>
      </c>
      <c r="M95" s="52"/>
      <c r="N95" s="282" t="str">
        <f>IF(M95="","",IF(AND(D95&lt;&gt;"Culvert",M95="N/A - Culvert"),"Not possible ▲",IF(AND(D95="Culvert",M95&lt;&gt;"N/A - Culvert"),"Not possible ▲",IF(VLOOKUP(M95,'G-7 WaterC'' Data'!$AA$4:$AB$7,2,FALSE)=0,"Spatial Data Missing ⚠",VLOOKUP(M95,'G-7 WaterC'' Data'!$AA$4:$AB$7,2,FALSE)))))</f>
        <v/>
      </c>
      <c r="O95" s="56"/>
      <c r="P95" s="282" t="str">
        <f>IF(O95="","",IF(AND(O95="N/A - Culvert", D95&lt;&gt;"Culvert"),"Not possible ▲", IF(AND(D95="Culvert",O95&lt;&gt;"N/A - Culvert"),"Not possible ▲",IF(VLOOKUP(O95,'G-7 WaterC'' Data'!$AD$4:$AE$14,2,FALSE)=0,"Spatial Data Missing ⚠",VLOOKUP(O95,'G-7 WaterC'' Data'!$AD$4:$AE$14,2,FALSE)))))</f>
        <v/>
      </c>
      <c r="Q95" s="288" t="str">
        <f>IF(D95="","",VLOOKUP(D95,'G-7 WaterC'' Data'!$B$2:$G$8,6,FALSE))</f>
        <v/>
      </c>
      <c r="R95" s="295" t="str">
        <f t="shared" si="11"/>
        <v xml:space="preserve"> </v>
      </c>
      <c r="S95" s="820" t="str">
        <f t="shared" si="12"/>
        <v/>
      </c>
      <c r="T95" s="32"/>
      <c r="U95" s="105"/>
      <c r="V95" s="112"/>
      <c r="W95" s="293" t="str">
        <f t="shared" si="13"/>
        <v/>
      </c>
      <c r="X95" s="293" t="str">
        <f t="shared" si="14"/>
        <v/>
      </c>
      <c r="Y95" s="293" t="str">
        <f t="shared" si="15"/>
        <v/>
      </c>
      <c r="Z95" s="323" t="str">
        <f>IFERROR(IF(OR(E95="",R95=""),"",  IF(AND(Q95='G-7 WaterC'' Data'!$G$4,AA95="Yes"),"Alternative Compensation ✓", IF(AND(AA95="Pending", Q95='G-7 WaterC'' Data'!$G$4),"Bespoke compensation must be agreed ▲", IF((W95+X95)&gt;=R95, 0, R95-W95-X95)))),"Check Data ⚠")</f>
        <v/>
      </c>
      <c r="AA95" s="817"/>
      <c r="AB95" s="140"/>
      <c r="AC95" s="108"/>
      <c r="AD95" s="108"/>
      <c r="AE95" s="54" t="str">
        <f>IF(OR(Q95="",AA95="Yes"),"",IF(Q95='G-1 All Habitats'!$X$9,E95-U95-V95,"None"))</f>
        <v/>
      </c>
      <c r="AF95" s="55" t="str">
        <f>IF(Q95="","", IF(Q95='G-1 All Habitats'!$X$9, AE95*G95*I95*L95*N95*P95,"None"))</f>
        <v/>
      </c>
      <c r="AI95" s="30">
        <f t="shared" si="16"/>
        <v>0</v>
      </c>
      <c r="AJ95" s="111" t="str">
        <f t="shared" si="17"/>
        <v/>
      </c>
      <c r="AK95" s="111" t="str">
        <f t="shared" si="18"/>
        <v/>
      </c>
      <c r="AM95" s="111">
        <v>86</v>
      </c>
      <c r="AO95" s="111" t="str">
        <f t="array" ref="AO95">IFERROR(INDEX($AM$10:$AM$258, MATCH(0, IF(TRUE=$AJ$10:$AJ$258, COUNTIF($AO$9:$AO94, $AM$10:$AM$258), ""), 0)),"")</f>
        <v/>
      </c>
      <c r="AP95" s="111" t="str">
        <f t="array" ref="AP95">IFERROR(INDEX($AM$10:$AM$258, MATCH(0, IF(TRUE=$AK$10:$AK$258, COUNTIF($AP$9:$AP94, $AM$10:$AM$258), ""), 0)),"")</f>
        <v/>
      </c>
      <c r="AR95" s="30" t="str">
        <f>IFERROR(INDEX('G-7 WaterC'' Data'!$AZ$3:$AZ$7,MATCH(D95,'G-7 WaterC'' Data'!$AY$3:$AY$7,0)),"")</f>
        <v/>
      </c>
      <c r="AS95" s="30" t="str">
        <f>IFERROR(INDEX('G-7 WaterC'' Data'!AZ95:AZ99,MATCH(D95,'G-7 WaterC'' Data'!$AY$10:$AY$14,0)),"")</f>
        <v/>
      </c>
      <c r="AT95" s="903" t="str">
        <f>IF(AND(OR(AA95="Yes",AA95="Pending"),Q95='G-7 WaterC'' Data'!$G$4),R95-W95-X95,"")</f>
        <v/>
      </c>
      <c r="AU95" s="30" t="str">
        <f>IF(D95="","",VLOOKUP(D95,'G-7 WaterC'' Data'!B$4:M$8,12,FALSE))</f>
        <v/>
      </c>
      <c r="AV95" s="30" t="str">
        <f t="shared" si="10"/>
        <v/>
      </c>
      <c r="AX95" s="30" t="str">
        <f t="shared" si="19"/>
        <v>No</v>
      </c>
    </row>
    <row r="96" spans="3:50" x14ac:dyDescent="0.25">
      <c r="C96" s="101">
        <v>87</v>
      </c>
      <c r="D96" s="267"/>
      <c r="E96" s="119"/>
      <c r="F96" s="281" t="str">
        <f>IF(D96="","",VLOOKUP(D96,'G-7 WaterC'' Data'!$B$2:$G$8,2,FALSE))</f>
        <v/>
      </c>
      <c r="G96" s="282" t="str">
        <f>IFERROR(VLOOKUP(F96,'G-7 WaterC'' Data'!$C$4:$D$8,2,FALSE),"")</f>
        <v/>
      </c>
      <c r="H96" s="52"/>
      <c r="I96" s="282" t="str">
        <f>IFERROR(INDEX('G-7 WaterC'' Data'!$H$4:$L$8,MATCH(D96,'G-7 WaterC'' Data'!$B$4:$B$8,0),MATCH(H96,'G-7 WaterC'' Data'!$H$3:$L$3,0)),"")</f>
        <v/>
      </c>
      <c r="J96" s="793"/>
      <c r="K96" s="317" t="str">
        <f>IF(J96="","",IF(VLOOKUP(J96,'G-7 WaterC'' Data'!$AK$4:$AM$6,2,FALSE)=0,"Spatial Data Missing ⚠",VLOOKUP(J96,'G-7 WaterC'' Data'!$AK$4:$AM$6,2,FALSE)))</f>
        <v/>
      </c>
      <c r="L96" s="287" t="str">
        <f>IF(J96="","",IF(VLOOKUP(J96,'G-7 WaterC'' Data'!$AK$4:$AM$9,3,FALSE)=0,"Spatial Data Missing ⚠",VLOOKUP(J96,'G-7 WaterC'' Data'!$AK$4:$AM$6,3,FALSE)))</f>
        <v/>
      </c>
      <c r="M96" s="52"/>
      <c r="N96" s="282" t="str">
        <f>IF(M96="","",IF(AND(D96&lt;&gt;"Culvert",M96="N/A - Culvert"),"Not possible ▲",IF(AND(D96="Culvert",M96&lt;&gt;"N/A - Culvert"),"Not possible ▲",IF(VLOOKUP(M96,'G-7 WaterC'' Data'!$AA$4:$AB$7,2,FALSE)=0,"Spatial Data Missing ⚠",VLOOKUP(M96,'G-7 WaterC'' Data'!$AA$4:$AB$7,2,FALSE)))))</f>
        <v/>
      </c>
      <c r="O96" s="56"/>
      <c r="P96" s="282" t="str">
        <f>IF(O96="","",IF(AND(O96="N/A - Culvert", D96&lt;&gt;"Culvert"),"Not possible ▲", IF(AND(D96="Culvert",O96&lt;&gt;"N/A - Culvert"),"Not possible ▲",IF(VLOOKUP(O96,'G-7 WaterC'' Data'!$AD$4:$AE$14,2,FALSE)=0,"Spatial Data Missing ⚠",VLOOKUP(O96,'G-7 WaterC'' Data'!$AD$4:$AE$14,2,FALSE)))))</f>
        <v/>
      </c>
      <c r="Q96" s="288" t="str">
        <f>IF(D96="","",VLOOKUP(D96,'G-7 WaterC'' Data'!$B$2:$G$8,6,FALSE))</f>
        <v/>
      </c>
      <c r="R96" s="295" t="str">
        <f t="shared" si="11"/>
        <v xml:space="preserve"> </v>
      </c>
      <c r="S96" s="820" t="str">
        <f t="shared" si="12"/>
        <v/>
      </c>
      <c r="T96" s="32"/>
      <c r="U96" s="105"/>
      <c r="V96" s="112"/>
      <c r="W96" s="293" t="str">
        <f t="shared" si="13"/>
        <v/>
      </c>
      <c r="X96" s="293" t="str">
        <f t="shared" si="14"/>
        <v/>
      </c>
      <c r="Y96" s="293" t="str">
        <f t="shared" si="15"/>
        <v/>
      </c>
      <c r="Z96" s="323" t="str">
        <f>IFERROR(IF(OR(E96="",R96=""),"",  IF(AND(Q96='G-7 WaterC'' Data'!$G$4,AA96="Yes"),"Alternative Compensation ✓", IF(AND(AA96="Pending", Q96='G-7 WaterC'' Data'!$G$4),"Bespoke compensation must be agreed ▲", IF((W96+X96)&gt;=R96, 0, R96-W96-X96)))),"Check Data ⚠")</f>
        <v/>
      </c>
      <c r="AA96" s="817"/>
      <c r="AB96" s="140"/>
      <c r="AC96" s="108"/>
      <c r="AD96" s="108"/>
      <c r="AE96" s="54" t="str">
        <f>IF(OR(Q96="",AA96="Yes"),"",IF(Q96='G-1 All Habitats'!$X$9,E96-U96-V96,"None"))</f>
        <v/>
      </c>
      <c r="AF96" s="55" t="str">
        <f>IF(Q96="","", IF(Q96='G-1 All Habitats'!$X$9, AE96*G96*I96*L96*N96*P96,"None"))</f>
        <v/>
      </c>
      <c r="AI96" s="30">
        <f t="shared" si="16"/>
        <v>0</v>
      </c>
      <c r="AJ96" s="111" t="str">
        <f t="shared" si="17"/>
        <v/>
      </c>
      <c r="AK96" s="111" t="str">
        <f t="shared" si="18"/>
        <v/>
      </c>
      <c r="AM96" s="111">
        <v>87</v>
      </c>
      <c r="AO96" s="111" t="str">
        <f t="array" ref="AO96">IFERROR(INDEX($AM$10:$AM$258, MATCH(0, IF(TRUE=$AJ$10:$AJ$258, COUNTIF($AO$9:$AO95, $AM$10:$AM$258), ""), 0)),"")</f>
        <v/>
      </c>
      <c r="AP96" s="111" t="str">
        <f t="array" ref="AP96">IFERROR(INDEX($AM$10:$AM$258, MATCH(0, IF(TRUE=$AK$10:$AK$258, COUNTIF($AP$9:$AP95, $AM$10:$AM$258), ""), 0)),"")</f>
        <v/>
      </c>
      <c r="AR96" s="30" t="str">
        <f>IFERROR(INDEX('G-7 WaterC'' Data'!$AZ$3:$AZ$7,MATCH(D96,'G-7 WaterC'' Data'!$AY$3:$AY$7,0)),"")</f>
        <v/>
      </c>
      <c r="AS96" s="30" t="str">
        <f>IFERROR(INDEX('G-7 WaterC'' Data'!AZ96:AZ100,MATCH(D96,'G-7 WaterC'' Data'!$AY$10:$AY$14,0)),"")</f>
        <v/>
      </c>
      <c r="AT96" s="903" t="str">
        <f>IF(AND(OR(AA96="Yes",AA96="Pending"),Q96='G-7 WaterC'' Data'!$G$4),R96-W96-X96,"")</f>
        <v/>
      </c>
      <c r="AU96" s="30" t="str">
        <f>IF(D96="","",VLOOKUP(D96,'G-7 WaterC'' Data'!B$4:M$8,12,FALSE))</f>
        <v/>
      </c>
      <c r="AV96" s="30" t="str">
        <f t="shared" si="10"/>
        <v/>
      </c>
      <c r="AX96" s="30" t="str">
        <f t="shared" si="19"/>
        <v>No</v>
      </c>
    </row>
    <row r="97" spans="3:50" x14ac:dyDescent="0.25">
      <c r="C97" s="101">
        <v>88</v>
      </c>
      <c r="D97" s="267"/>
      <c r="E97" s="119"/>
      <c r="F97" s="281" t="str">
        <f>IF(D97="","",VLOOKUP(D97,'G-7 WaterC'' Data'!$B$2:$G$8,2,FALSE))</f>
        <v/>
      </c>
      <c r="G97" s="282" t="str">
        <f>IFERROR(VLOOKUP(F97,'G-7 WaterC'' Data'!$C$4:$D$8,2,FALSE),"")</f>
        <v/>
      </c>
      <c r="H97" s="52"/>
      <c r="I97" s="282" t="str">
        <f>IFERROR(INDEX('G-7 WaterC'' Data'!$H$4:$L$8,MATCH(D97,'G-7 WaterC'' Data'!$B$4:$B$8,0),MATCH(H97,'G-7 WaterC'' Data'!$H$3:$L$3,0)),"")</f>
        <v/>
      </c>
      <c r="J97" s="793"/>
      <c r="K97" s="317" t="str">
        <f>IF(J97="","",IF(VLOOKUP(J97,'G-7 WaterC'' Data'!$AK$4:$AM$6,2,FALSE)=0,"Spatial Data Missing ⚠",VLOOKUP(J97,'G-7 WaterC'' Data'!$AK$4:$AM$6,2,FALSE)))</f>
        <v/>
      </c>
      <c r="L97" s="287" t="str">
        <f>IF(J97="","",IF(VLOOKUP(J97,'G-7 WaterC'' Data'!$AK$4:$AM$9,3,FALSE)=0,"Spatial Data Missing ⚠",VLOOKUP(J97,'G-7 WaterC'' Data'!$AK$4:$AM$6,3,FALSE)))</f>
        <v/>
      </c>
      <c r="M97" s="52"/>
      <c r="N97" s="282" t="str">
        <f>IF(M97="","",IF(AND(D97&lt;&gt;"Culvert",M97="N/A - Culvert"),"Not possible ▲",IF(AND(D97="Culvert",M97&lt;&gt;"N/A - Culvert"),"Not possible ▲",IF(VLOOKUP(M97,'G-7 WaterC'' Data'!$AA$4:$AB$7,2,FALSE)=0,"Spatial Data Missing ⚠",VLOOKUP(M97,'G-7 WaterC'' Data'!$AA$4:$AB$7,2,FALSE)))))</f>
        <v/>
      </c>
      <c r="O97" s="56"/>
      <c r="P97" s="282" t="str">
        <f>IF(O97="","",IF(AND(O97="N/A - Culvert", D97&lt;&gt;"Culvert"),"Not possible ▲", IF(AND(D97="Culvert",O97&lt;&gt;"N/A - Culvert"),"Not possible ▲",IF(VLOOKUP(O97,'G-7 WaterC'' Data'!$AD$4:$AE$14,2,FALSE)=0,"Spatial Data Missing ⚠",VLOOKUP(O97,'G-7 WaterC'' Data'!$AD$4:$AE$14,2,FALSE)))))</f>
        <v/>
      </c>
      <c r="Q97" s="288" t="str">
        <f>IF(D97="","",VLOOKUP(D97,'G-7 WaterC'' Data'!$B$2:$G$8,6,FALSE))</f>
        <v/>
      </c>
      <c r="R97" s="295" t="str">
        <f t="shared" si="11"/>
        <v xml:space="preserve"> </v>
      </c>
      <c r="S97" s="820" t="str">
        <f t="shared" si="12"/>
        <v/>
      </c>
      <c r="T97" s="32"/>
      <c r="U97" s="105"/>
      <c r="V97" s="112"/>
      <c r="W97" s="293" t="str">
        <f t="shared" si="13"/>
        <v/>
      </c>
      <c r="X97" s="293" t="str">
        <f t="shared" si="14"/>
        <v/>
      </c>
      <c r="Y97" s="293" t="str">
        <f t="shared" si="15"/>
        <v/>
      </c>
      <c r="Z97" s="323" t="str">
        <f>IFERROR(IF(OR(E97="",R97=""),"",  IF(AND(Q97='G-7 WaterC'' Data'!$G$4,AA97="Yes"),"Alternative Compensation ✓", IF(AND(AA97="Pending", Q97='G-7 WaterC'' Data'!$G$4),"Bespoke compensation must be agreed ▲", IF((W97+X97)&gt;=R97, 0, R97-W97-X97)))),"Check Data ⚠")</f>
        <v/>
      </c>
      <c r="AA97" s="817"/>
      <c r="AB97" s="140"/>
      <c r="AC97" s="108"/>
      <c r="AD97" s="108"/>
      <c r="AE97" s="54" t="str">
        <f>IF(OR(Q97="",AA97="Yes"),"",IF(Q97='G-1 All Habitats'!$X$9,E97-U97-V97,"None"))</f>
        <v/>
      </c>
      <c r="AF97" s="55" t="str">
        <f>IF(Q97="","", IF(Q97='G-1 All Habitats'!$X$9, AE97*G97*I97*L97*N97*P97,"None"))</f>
        <v/>
      </c>
      <c r="AI97" s="30">
        <f t="shared" si="16"/>
        <v>0</v>
      </c>
      <c r="AJ97" s="111" t="str">
        <f t="shared" si="17"/>
        <v/>
      </c>
      <c r="AK97" s="111" t="str">
        <f t="shared" si="18"/>
        <v/>
      </c>
      <c r="AM97" s="111">
        <v>88</v>
      </c>
      <c r="AO97" s="111" t="str">
        <f t="array" ref="AO97">IFERROR(INDEX($AM$10:$AM$258, MATCH(0, IF(TRUE=$AJ$10:$AJ$258, COUNTIF($AO$9:$AO96, $AM$10:$AM$258), ""), 0)),"")</f>
        <v/>
      </c>
      <c r="AP97" s="111" t="str">
        <f t="array" ref="AP97">IFERROR(INDEX($AM$10:$AM$258, MATCH(0, IF(TRUE=$AK$10:$AK$258, COUNTIF($AP$9:$AP96, $AM$10:$AM$258), ""), 0)),"")</f>
        <v/>
      </c>
      <c r="AR97" s="30" t="str">
        <f>IFERROR(INDEX('G-7 WaterC'' Data'!$AZ$3:$AZ$7,MATCH(D97,'G-7 WaterC'' Data'!$AY$3:$AY$7,0)),"")</f>
        <v/>
      </c>
      <c r="AS97" s="30" t="str">
        <f>IFERROR(INDEX('G-7 WaterC'' Data'!AZ97:AZ101,MATCH(D97,'G-7 WaterC'' Data'!$AY$10:$AY$14,0)),"")</f>
        <v/>
      </c>
      <c r="AT97" s="903" t="str">
        <f>IF(AND(OR(AA97="Yes",AA97="Pending"),Q97='G-7 WaterC'' Data'!$G$4),R97-W97-X97,"")</f>
        <v/>
      </c>
      <c r="AU97" s="30" t="str">
        <f>IF(D97="","",VLOOKUP(D97,'G-7 WaterC'' Data'!B$4:M$8,12,FALSE))</f>
        <v/>
      </c>
      <c r="AV97" s="30" t="str">
        <f t="shared" si="10"/>
        <v/>
      </c>
      <c r="AX97" s="30" t="str">
        <f t="shared" si="19"/>
        <v>No</v>
      </c>
    </row>
    <row r="98" spans="3:50" x14ac:dyDescent="0.25">
      <c r="C98" s="101">
        <v>89</v>
      </c>
      <c r="D98" s="267"/>
      <c r="E98" s="119"/>
      <c r="F98" s="281" t="str">
        <f>IF(D98="","",VLOOKUP(D98,'G-7 WaterC'' Data'!$B$2:$G$8,2,FALSE))</f>
        <v/>
      </c>
      <c r="G98" s="282" t="str">
        <f>IFERROR(VLOOKUP(F98,'G-7 WaterC'' Data'!$C$4:$D$8,2,FALSE),"")</f>
        <v/>
      </c>
      <c r="H98" s="52"/>
      <c r="I98" s="282" t="str">
        <f>IFERROR(INDEX('G-7 WaterC'' Data'!$H$4:$L$8,MATCH(D98,'G-7 WaterC'' Data'!$B$4:$B$8,0),MATCH(H98,'G-7 WaterC'' Data'!$H$3:$L$3,0)),"")</f>
        <v/>
      </c>
      <c r="J98" s="793"/>
      <c r="K98" s="317" t="str">
        <f>IF(J98="","",IF(VLOOKUP(J98,'G-7 WaterC'' Data'!$AK$4:$AM$6,2,FALSE)=0,"Spatial Data Missing ⚠",VLOOKUP(J98,'G-7 WaterC'' Data'!$AK$4:$AM$6,2,FALSE)))</f>
        <v/>
      </c>
      <c r="L98" s="287" t="str">
        <f>IF(J98="","",IF(VLOOKUP(J98,'G-7 WaterC'' Data'!$AK$4:$AM$9,3,FALSE)=0,"Spatial Data Missing ⚠",VLOOKUP(J98,'G-7 WaterC'' Data'!$AK$4:$AM$6,3,FALSE)))</f>
        <v/>
      </c>
      <c r="M98" s="52"/>
      <c r="N98" s="282" t="str">
        <f>IF(M98="","",IF(AND(D98&lt;&gt;"Culvert",M98="N/A - Culvert"),"Not possible ▲",IF(AND(D98="Culvert",M98&lt;&gt;"N/A - Culvert"),"Not possible ▲",IF(VLOOKUP(M98,'G-7 WaterC'' Data'!$AA$4:$AB$7,2,FALSE)=0,"Spatial Data Missing ⚠",VLOOKUP(M98,'G-7 WaterC'' Data'!$AA$4:$AB$7,2,FALSE)))))</f>
        <v/>
      </c>
      <c r="O98" s="56"/>
      <c r="P98" s="282" t="str">
        <f>IF(O98="","",IF(AND(O98="N/A - Culvert", D98&lt;&gt;"Culvert"),"Not possible ▲", IF(AND(D98="Culvert",O98&lt;&gt;"N/A - Culvert"),"Not possible ▲",IF(VLOOKUP(O98,'G-7 WaterC'' Data'!$AD$4:$AE$14,2,FALSE)=0,"Spatial Data Missing ⚠",VLOOKUP(O98,'G-7 WaterC'' Data'!$AD$4:$AE$14,2,FALSE)))))</f>
        <v/>
      </c>
      <c r="Q98" s="288" t="str">
        <f>IF(D98="","",VLOOKUP(D98,'G-7 WaterC'' Data'!$B$2:$G$8,6,FALSE))</f>
        <v/>
      </c>
      <c r="R98" s="295" t="str">
        <f t="shared" si="11"/>
        <v xml:space="preserve"> </v>
      </c>
      <c r="S98" s="820" t="str">
        <f t="shared" si="12"/>
        <v/>
      </c>
      <c r="T98" s="32"/>
      <c r="U98" s="105"/>
      <c r="V98" s="112"/>
      <c r="W98" s="293" t="str">
        <f t="shared" si="13"/>
        <v/>
      </c>
      <c r="X98" s="293" t="str">
        <f t="shared" si="14"/>
        <v/>
      </c>
      <c r="Y98" s="293" t="str">
        <f t="shared" si="15"/>
        <v/>
      </c>
      <c r="Z98" s="323" t="str">
        <f>IFERROR(IF(OR(E98="",R98=""),"",  IF(AND(Q98='G-7 WaterC'' Data'!$G$4,AA98="Yes"),"Alternative Compensation ✓", IF(AND(AA98="Pending", Q98='G-7 WaterC'' Data'!$G$4),"Bespoke compensation must be agreed ▲", IF((W98+X98)&gt;=R98, 0, R98-W98-X98)))),"Check Data ⚠")</f>
        <v/>
      </c>
      <c r="AA98" s="817"/>
      <c r="AB98" s="140"/>
      <c r="AC98" s="108"/>
      <c r="AD98" s="108"/>
      <c r="AE98" s="54" t="str">
        <f>IF(OR(Q98="",AA98="Yes"),"",IF(Q98='G-1 All Habitats'!$X$9,E98-U98-V98,"None"))</f>
        <v/>
      </c>
      <c r="AF98" s="55" t="str">
        <f>IF(Q98="","", IF(Q98='G-1 All Habitats'!$X$9, AE98*G98*I98*L98*N98*P98,"None"))</f>
        <v/>
      </c>
      <c r="AI98" s="30">
        <f t="shared" si="16"/>
        <v>0</v>
      </c>
      <c r="AJ98" s="111" t="str">
        <f t="shared" si="17"/>
        <v/>
      </c>
      <c r="AK98" s="111" t="str">
        <f t="shared" si="18"/>
        <v/>
      </c>
      <c r="AM98" s="111">
        <v>89</v>
      </c>
      <c r="AO98" s="111" t="str">
        <f t="array" ref="AO98">IFERROR(INDEX($AM$10:$AM$258, MATCH(0, IF(TRUE=$AJ$10:$AJ$258, COUNTIF($AO$9:$AO97, $AM$10:$AM$258), ""), 0)),"")</f>
        <v/>
      </c>
      <c r="AP98" s="111" t="str">
        <f t="array" ref="AP98">IFERROR(INDEX($AM$10:$AM$258, MATCH(0, IF(TRUE=$AK$10:$AK$258, COUNTIF($AP$9:$AP97, $AM$10:$AM$258), ""), 0)),"")</f>
        <v/>
      </c>
      <c r="AR98" s="30" t="str">
        <f>IFERROR(INDEX('G-7 WaterC'' Data'!$AZ$3:$AZ$7,MATCH(D98,'G-7 WaterC'' Data'!$AY$3:$AY$7,0)),"")</f>
        <v/>
      </c>
      <c r="AS98" s="30" t="str">
        <f>IFERROR(INDEX('G-7 WaterC'' Data'!AZ98:AZ102,MATCH(D98,'G-7 WaterC'' Data'!$AY$10:$AY$14,0)),"")</f>
        <v/>
      </c>
      <c r="AT98" s="903" t="str">
        <f>IF(AND(OR(AA98="Yes",AA98="Pending"),Q98='G-7 WaterC'' Data'!$G$4),R98-W98-X98,"")</f>
        <v/>
      </c>
      <c r="AU98" s="30" t="str">
        <f>IF(D98="","",VLOOKUP(D98,'G-7 WaterC'' Data'!B$4:M$8,12,FALSE))</f>
        <v/>
      </c>
      <c r="AV98" s="30" t="str">
        <f t="shared" si="10"/>
        <v/>
      </c>
      <c r="AX98" s="30" t="str">
        <f t="shared" si="19"/>
        <v>No</v>
      </c>
    </row>
    <row r="99" spans="3:50" x14ac:dyDescent="0.25">
      <c r="C99" s="101">
        <v>90</v>
      </c>
      <c r="D99" s="267"/>
      <c r="E99" s="119"/>
      <c r="F99" s="281" t="str">
        <f>IF(D99="","",VLOOKUP(D99,'G-7 WaterC'' Data'!$B$2:$G$8,2,FALSE))</f>
        <v/>
      </c>
      <c r="G99" s="282" t="str">
        <f>IFERROR(VLOOKUP(F99,'G-7 WaterC'' Data'!$C$4:$D$8,2,FALSE),"")</f>
        <v/>
      </c>
      <c r="H99" s="52"/>
      <c r="I99" s="282" t="str">
        <f>IFERROR(INDEX('G-7 WaterC'' Data'!$H$4:$L$8,MATCH(D99,'G-7 WaterC'' Data'!$B$4:$B$8,0),MATCH(H99,'G-7 WaterC'' Data'!$H$3:$L$3,0)),"")</f>
        <v/>
      </c>
      <c r="J99" s="793"/>
      <c r="K99" s="317" t="str">
        <f>IF(J99="","",IF(VLOOKUP(J99,'G-7 WaterC'' Data'!$AK$4:$AM$6,2,FALSE)=0,"Spatial Data Missing ⚠",VLOOKUP(J99,'G-7 WaterC'' Data'!$AK$4:$AM$6,2,FALSE)))</f>
        <v/>
      </c>
      <c r="L99" s="287" t="str">
        <f>IF(J99="","",IF(VLOOKUP(J99,'G-7 WaterC'' Data'!$AK$4:$AM$9,3,FALSE)=0,"Spatial Data Missing ⚠",VLOOKUP(J99,'G-7 WaterC'' Data'!$AK$4:$AM$6,3,FALSE)))</f>
        <v/>
      </c>
      <c r="M99" s="52"/>
      <c r="N99" s="282" t="str">
        <f>IF(M99="","",IF(AND(D99&lt;&gt;"Culvert",M99="N/A - Culvert"),"Not possible ▲",IF(AND(D99="Culvert",M99&lt;&gt;"N/A - Culvert"),"Not possible ▲",IF(VLOOKUP(M99,'G-7 WaterC'' Data'!$AA$4:$AB$7,2,FALSE)=0,"Spatial Data Missing ⚠",VLOOKUP(M99,'G-7 WaterC'' Data'!$AA$4:$AB$7,2,FALSE)))))</f>
        <v/>
      </c>
      <c r="O99" s="56"/>
      <c r="P99" s="282" t="str">
        <f>IF(O99="","",IF(AND(O99="N/A - Culvert", D99&lt;&gt;"Culvert"),"Not possible ▲", IF(AND(D99="Culvert",O99&lt;&gt;"N/A - Culvert"),"Not possible ▲",IF(VLOOKUP(O99,'G-7 WaterC'' Data'!$AD$4:$AE$14,2,FALSE)=0,"Spatial Data Missing ⚠",VLOOKUP(O99,'G-7 WaterC'' Data'!$AD$4:$AE$14,2,FALSE)))))</f>
        <v/>
      </c>
      <c r="Q99" s="288" t="str">
        <f>IF(D99="","",VLOOKUP(D99,'G-7 WaterC'' Data'!$B$2:$G$8,6,FALSE))</f>
        <v/>
      </c>
      <c r="R99" s="295" t="str">
        <f t="shared" si="11"/>
        <v xml:space="preserve"> </v>
      </c>
      <c r="S99" s="820" t="str">
        <f t="shared" si="12"/>
        <v/>
      </c>
      <c r="T99" s="32"/>
      <c r="U99" s="105"/>
      <c r="V99" s="112"/>
      <c r="W99" s="293" t="str">
        <f t="shared" si="13"/>
        <v/>
      </c>
      <c r="X99" s="293" t="str">
        <f t="shared" si="14"/>
        <v/>
      </c>
      <c r="Y99" s="293" t="str">
        <f t="shared" si="15"/>
        <v/>
      </c>
      <c r="Z99" s="323" t="str">
        <f>IFERROR(IF(OR(E99="",R99=""),"",  IF(AND(Q99='G-7 WaterC'' Data'!$G$4,AA99="Yes"),"Alternative Compensation ✓", IF(AND(AA99="Pending", Q99='G-7 WaterC'' Data'!$G$4),"Bespoke compensation must be agreed ▲", IF((W99+X99)&gt;=R99, 0, R99-W99-X99)))),"Check Data ⚠")</f>
        <v/>
      </c>
      <c r="AA99" s="817"/>
      <c r="AB99" s="140"/>
      <c r="AC99" s="108"/>
      <c r="AD99" s="108"/>
      <c r="AE99" s="54" t="str">
        <f>IF(OR(Q99="",AA99="Yes"),"",IF(Q99='G-1 All Habitats'!$X$9,E99-U99-V99,"None"))</f>
        <v/>
      </c>
      <c r="AF99" s="55" t="str">
        <f>IF(Q99="","", IF(Q99='G-1 All Habitats'!$X$9, AE99*G99*I99*L99*N99*P99,"None"))</f>
        <v/>
      </c>
      <c r="AI99" s="30">
        <f t="shared" si="16"/>
        <v>0</v>
      </c>
      <c r="AJ99" s="111" t="str">
        <f t="shared" si="17"/>
        <v/>
      </c>
      <c r="AK99" s="111" t="str">
        <f t="shared" si="18"/>
        <v/>
      </c>
      <c r="AM99" s="111">
        <v>90</v>
      </c>
      <c r="AO99" s="111" t="str">
        <f t="array" ref="AO99">IFERROR(INDEX($AM$10:$AM$258, MATCH(0, IF(TRUE=$AJ$10:$AJ$258, COUNTIF($AO$9:$AO98, $AM$10:$AM$258), ""), 0)),"")</f>
        <v/>
      </c>
      <c r="AP99" s="111" t="str">
        <f t="array" ref="AP99">IFERROR(INDEX($AM$10:$AM$258, MATCH(0, IF(TRUE=$AK$10:$AK$258, COUNTIF($AP$9:$AP98, $AM$10:$AM$258), ""), 0)),"")</f>
        <v/>
      </c>
      <c r="AR99" s="30" t="str">
        <f>IFERROR(INDEX('G-7 WaterC'' Data'!$AZ$3:$AZ$7,MATCH(D99,'G-7 WaterC'' Data'!$AY$3:$AY$7,0)),"")</f>
        <v/>
      </c>
      <c r="AS99" s="30" t="str">
        <f>IFERROR(INDEX('G-7 WaterC'' Data'!AZ99:AZ103,MATCH(D99,'G-7 WaterC'' Data'!$AY$10:$AY$14,0)),"")</f>
        <v/>
      </c>
      <c r="AT99" s="903" t="str">
        <f>IF(AND(OR(AA99="Yes",AA99="Pending"),Q99='G-7 WaterC'' Data'!$G$4),R99-W99-X99,"")</f>
        <v/>
      </c>
      <c r="AU99" s="30" t="str">
        <f>IF(D99="","",VLOOKUP(D99,'G-7 WaterC'' Data'!B$4:M$8,12,FALSE))</f>
        <v/>
      </c>
      <c r="AV99" s="30" t="str">
        <f t="shared" si="10"/>
        <v/>
      </c>
      <c r="AX99" s="30" t="str">
        <f t="shared" si="19"/>
        <v>No</v>
      </c>
    </row>
    <row r="100" spans="3:50" x14ac:dyDescent="0.25">
      <c r="C100" s="101">
        <v>91</v>
      </c>
      <c r="D100" s="267"/>
      <c r="E100" s="119"/>
      <c r="F100" s="281" t="str">
        <f>IF(D100="","",VLOOKUP(D100,'G-7 WaterC'' Data'!$B$2:$G$8,2,FALSE))</f>
        <v/>
      </c>
      <c r="G100" s="282" t="str">
        <f>IFERROR(VLOOKUP(F100,'G-7 WaterC'' Data'!$C$4:$D$8,2,FALSE),"")</f>
        <v/>
      </c>
      <c r="H100" s="52"/>
      <c r="I100" s="282" t="str">
        <f>IFERROR(INDEX('G-7 WaterC'' Data'!$H$4:$L$8,MATCH(D100,'G-7 WaterC'' Data'!$B$4:$B$8,0),MATCH(H100,'G-7 WaterC'' Data'!$H$3:$L$3,0)),"")</f>
        <v/>
      </c>
      <c r="J100" s="793"/>
      <c r="K100" s="317" t="str">
        <f>IF(J100="","",IF(VLOOKUP(J100,'G-7 WaterC'' Data'!$AK$4:$AM$6,2,FALSE)=0,"Spatial Data Missing ⚠",VLOOKUP(J100,'G-7 WaterC'' Data'!$AK$4:$AM$6,2,FALSE)))</f>
        <v/>
      </c>
      <c r="L100" s="287" t="str">
        <f>IF(J100="","",IF(VLOOKUP(J100,'G-7 WaterC'' Data'!$AK$4:$AM$9,3,FALSE)=0,"Spatial Data Missing ⚠",VLOOKUP(J100,'G-7 WaterC'' Data'!$AK$4:$AM$6,3,FALSE)))</f>
        <v/>
      </c>
      <c r="M100" s="52"/>
      <c r="N100" s="282" t="str">
        <f>IF(M100="","",IF(AND(D100&lt;&gt;"Culvert",M100="N/A - Culvert"),"Not possible ▲",IF(AND(D100="Culvert",M100&lt;&gt;"N/A - Culvert"),"Not possible ▲",IF(VLOOKUP(M100,'G-7 WaterC'' Data'!$AA$4:$AB$7,2,FALSE)=0,"Spatial Data Missing ⚠",VLOOKUP(M100,'G-7 WaterC'' Data'!$AA$4:$AB$7,2,FALSE)))))</f>
        <v/>
      </c>
      <c r="O100" s="56"/>
      <c r="P100" s="282" t="str">
        <f>IF(O100="","",IF(AND(O100="N/A - Culvert", D100&lt;&gt;"Culvert"),"Not possible ▲", IF(AND(D100="Culvert",O100&lt;&gt;"N/A - Culvert"),"Not possible ▲",IF(VLOOKUP(O100,'G-7 WaterC'' Data'!$AD$4:$AE$14,2,FALSE)=0,"Spatial Data Missing ⚠",VLOOKUP(O100,'G-7 WaterC'' Data'!$AD$4:$AE$14,2,FALSE)))))</f>
        <v/>
      </c>
      <c r="Q100" s="288" t="str">
        <f>IF(D100="","",VLOOKUP(D100,'G-7 WaterC'' Data'!$B$2:$G$8,6,FALSE))</f>
        <v/>
      </c>
      <c r="R100" s="295" t="str">
        <f t="shared" si="11"/>
        <v xml:space="preserve"> </v>
      </c>
      <c r="S100" s="820" t="str">
        <f t="shared" si="12"/>
        <v/>
      </c>
      <c r="T100" s="32"/>
      <c r="U100" s="105"/>
      <c r="V100" s="112"/>
      <c r="W100" s="293" t="str">
        <f t="shared" si="13"/>
        <v/>
      </c>
      <c r="X100" s="293" t="str">
        <f t="shared" si="14"/>
        <v/>
      </c>
      <c r="Y100" s="293" t="str">
        <f t="shared" si="15"/>
        <v/>
      </c>
      <c r="Z100" s="323" t="str">
        <f>IFERROR(IF(OR(E100="",R100=""),"",  IF(AND(Q100='G-7 WaterC'' Data'!$G$4,AA100="Yes"),"Alternative Compensation ✓", IF(AND(AA100="Pending", Q100='G-7 WaterC'' Data'!$G$4),"Bespoke compensation must be agreed ▲", IF((W100+X100)&gt;=R100, 0, R100-W100-X100)))),"Check Data ⚠")</f>
        <v/>
      </c>
      <c r="AA100" s="817"/>
      <c r="AB100" s="140"/>
      <c r="AC100" s="108"/>
      <c r="AD100" s="108"/>
      <c r="AE100" s="54" t="str">
        <f>IF(OR(Q100="",AA100="Yes"),"",IF(Q100='G-1 All Habitats'!$X$9,E100-U100-V100,"None"))</f>
        <v/>
      </c>
      <c r="AF100" s="55" t="str">
        <f>IF(Q100="","", IF(Q100='G-1 All Habitats'!$X$9, AE100*G100*I100*L100*N100*P100,"None"))</f>
        <v/>
      </c>
      <c r="AI100" s="30">
        <f t="shared" si="16"/>
        <v>0</v>
      </c>
      <c r="AJ100" s="111" t="str">
        <f t="shared" si="17"/>
        <v/>
      </c>
      <c r="AK100" s="111" t="str">
        <f t="shared" si="18"/>
        <v/>
      </c>
      <c r="AM100" s="111">
        <v>91</v>
      </c>
      <c r="AO100" s="111" t="str">
        <f t="array" ref="AO100">IFERROR(INDEX($AM$10:$AM$258, MATCH(0, IF(TRUE=$AJ$10:$AJ$258, COUNTIF($AO$9:$AO99, $AM$10:$AM$258), ""), 0)),"")</f>
        <v/>
      </c>
      <c r="AP100" s="111" t="str">
        <f t="array" ref="AP100">IFERROR(INDEX($AM$10:$AM$258, MATCH(0, IF(TRUE=$AK$10:$AK$258, COUNTIF($AP$9:$AP99, $AM$10:$AM$258), ""), 0)),"")</f>
        <v/>
      </c>
      <c r="AR100" s="30" t="str">
        <f>IFERROR(INDEX('G-7 WaterC'' Data'!$AZ$3:$AZ$7,MATCH(D100,'G-7 WaterC'' Data'!$AY$3:$AY$7,0)),"")</f>
        <v/>
      </c>
      <c r="AS100" s="30" t="str">
        <f>IFERROR(INDEX('G-7 WaterC'' Data'!AZ100:AZ104,MATCH(D100,'G-7 WaterC'' Data'!$AY$10:$AY$14,0)),"")</f>
        <v/>
      </c>
      <c r="AT100" s="903" t="str">
        <f>IF(AND(OR(AA100="Yes",AA100="Pending"),Q100='G-7 WaterC'' Data'!$G$4),R100-W100-X100,"")</f>
        <v/>
      </c>
      <c r="AU100" s="30" t="str">
        <f>IF(D100="","",VLOOKUP(D100,'G-7 WaterC'' Data'!B$4:M$8,12,FALSE))</f>
        <v/>
      </c>
      <c r="AV100" s="30" t="str">
        <f t="shared" si="10"/>
        <v/>
      </c>
      <c r="AX100" s="30" t="str">
        <f t="shared" si="19"/>
        <v>No</v>
      </c>
    </row>
    <row r="101" spans="3:50" x14ac:dyDescent="0.25">
      <c r="C101" s="101">
        <v>92</v>
      </c>
      <c r="D101" s="267"/>
      <c r="E101" s="119"/>
      <c r="F101" s="281" t="str">
        <f>IF(D101="","",VLOOKUP(D101,'G-7 WaterC'' Data'!$B$2:$G$8,2,FALSE))</f>
        <v/>
      </c>
      <c r="G101" s="282" t="str">
        <f>IFERROR(VLOOKUP(F101,'G-7 WaterC'' Data'!$C$4:$D$8,2,FALSE),"")</f>
        <v/>
      </c>
      <c r="H101" s="52"/>
      <c r="I101" s="282" t="str">
        <f>IFERROR(INDEX('G-7 WaterC'' Data'!$H$4:$L$8,MATCH(D101,'G-7 WaterC'' Data'!$B$4:$B$8,0),MATCH(H101,'G-7 WaterC'' Data'!$H$3:$L$3,0)),"")</f>
        <v/>
      </c>
      <c r="J101" s="793"/>
      <c r="K101" s="317" t="str">
        <f>IF(J101="","",IF(VLOOKUP(J101,'G-7 WaterC'' Data'!$AK$4:$AM$6,2,FALSE)=0,"Spatial Data Missing ⚠",VLOOKUP(J101,'G-7 WaterC'' Data'!$AK$4:$AM$6,2,FALSE)))</f>
        <v/>
      </c>
      <c r="L101" s="287" t="str">
        <f>IF(J101="","",IF(VLOOKUP(J101,'G-7 WaterC'' Data'!$AK$4:$AM$9,3,FALSE)=0,"Spatial Data Missing ⚠",VLOOKUP(J101,'G-7 WaterC'' Data'!$AK$4:$AM$6,3,FALSE)))</f>
        <v/>
      </c>
      <c r="M101" s="52"/>
      <c r="N101" s="282" t="str">
        <f>IF(M101="","",IF(AND(D101&lt;&gt;"Culvert",M101="N/A - Culvert"),"Not possible ▲",IF(AND(D101="Culvert",M101&lt;&gt;"N/A - Culvert"),"Not possible ▲",IF(VLOOKUP(M101,'G-7 WaterC'' Data'!$AA$4:$AB$7,2,FALSE)=0,"Spatial Data Missing ⚠",VLOOKUP(M101,'G-7 WaterC'' Data'!$AA$4:$AB$7,2,FALSE)))))</f>
        <v/>
      </c>
      <c r="O101" s="56"/>
      <c r="P101" s="282" t="str">
        <f>IF(O101="","",IF(AND(O101="N/A - Culvert", D101&lt;&gt;"Culvert"),"Not possible ▲", IF(AND(D101="Culvert",O101&lt;&gt;"N/A - Culvert"),"Not possible ▲",IF(VLOOKUP(O101,'G-7 WaterC'' Data'!$AD$4:$AE$14,2,FALSE)=0,"Spatial Data Missing ⚠",VLOOKUP(O101,'G-7 WaterC'' Data'!$AD$4:$AE$14,2,FALSE)))))</f>
        <v/>
      </c>
      <c r="Q101" s="288" t="str">
        <f>IF(D101="","",VLOOKUP(D101,'G-7 WaterC'' Data'!$B$2:$G$8,6,FALSE))</f>
        <v/>
      </c>
      <c r="R101" s="295" t="str">
        <f t="shared" si="11"/>
        <v xml:space="preserve"> </v>
      </c>
      <c r="S101" s="820" t="str">
        <f t="shared" si="12"/>
        <v/>
      </c>
      <c r="T101" s="32"/>
      <c r="U101" s="105"/>
      <c r="V101" s="112"/>
      <c r="W101" s="293" t="str">
        <f t="shared" si="13"/>
        <v/>
      </c>
      <c r="X101" s="293" t="str">
        <f t="shared" si="14"/>
        <v/>
      </c>
      <c r="Y101" s="293" t="str">
        <f t="shared" si="15"/>
        <v/>
      </c>
      <c r="Z101" s="323" t="str">
        <f>IFERROR(IF(OR(E101="",R101=""),"",  IF(AND(Q101='G-7 WaterC'' Data'!$G$4,AA101="Yes"),"Alternative Compensation ✓", IF(AND(AA101="Pending", Q101='G-7 WaterC'' Data'!$G$4),"Bespoke compensation must be agreed ▲", IF((W101+X101)&gt;=R101, 0, R101-W101-X101)))),"Check Data ⚠")</f>
        <v/>
      </c>
      <c r="AA101" s="817"/>
      <c r="AB101" s="140"/>
      <c r="AC101" s="108"/>
      <c r="AD101" s="108"/>
      <c r="AE101" s="54" t="str">
        <f>IF(OR(Q101="",AA101="Yes"),"",IF(Q101='G-1 All Habitats'!$X$9,E101-U101-V101,"None"))</f>
        <v/>
      </c>
      <c r="AF101" s="55" t="str">
        <f>IF(Q101="","", IF(Q101='G-1 All Habitats'!$X$9, AE101*G101*I101*L101*N101*P101,"None"))</f>
        <v/>
      </c>
      <c r="AI101" s="30">
        <f t="shared" si="16"/>
        <v>0</v>
      </c>
      <c r="AJ101" s="111" t="str">
        <f t="shared" si="17"/>
        <v/>
      </c>
      <c r="AK101" s="111" t="str">
        <f t="shared" si="18"/>
        <v/>
      </c>
      <c r="AM101" s="111">
        <v>92</v>
      </c>
      <c r="AO101" s="111" t="str">
        <f t="array" ref="AO101">IFERROR(INDEX($AM$10:$AM$258, MATCH(0, IF(TRUE=$AJ$10:$AJ$258, COUNTIF($AO$9:$AO100, $AM$10:$AM$258), ""), 0)),"")</f>
        <v/>
      </c>
      <c r="AP101" s="111" t="str">
        <f t="array" ref="AP101">IFERROR(INDEX($AM$10:$AM$258, MATCH(0, IF(TRUE=$AK$10:$AK$258, COUNTIF($AP$9:$AP100, $AM$10:$AM$258), ""), 0)),"")</f>
        <v/>
      </c>
      <c r="AR101" s="30" t="str">
        <f>IFERROR(INDEX('G-7 WaterC'' Data'!$AZ$3:$AZ$7,MATCH(D101,'G-7 WaterC'' Data'!$AY$3:$AY$7,0)),"")</f>
        <v/>
      </c>
      <c r="AS101" s="30" t="str">
        <f>IFERROR(INDEX('G-7 WaterC'' Data'!AZ101:AZ105,MATCH(D101,'G-7 WaterC'' Data'!$AY$10:$AY$14,0)),"")</f>
        <v/>
      </c>
      <c r="AT101" s="903" t="str">
        <f>IF(AND(OR(AA101="Yes",AA101="Pending"),Q101='G-7 WaterC'' Data'!$G$4),R101-W101-X101,"")</f>
        <v/>
      </c>
      <c r="AU101" s="30" t="str">
        <f>IF(D101="","",VLOOKUP(D101,'G-7 WaterC'' Data'!B$4:M$8,12,FALSE))</f>
        <v/>
      </c>
      <c r="AV101" s="30" t="str">
        <f t="shared" si="10"/>
        <v/>
      </c>
      <c r="AX101" s="30" t="str">
        <f t="shared" si="19"/>
        <v>No</v>
      </c>
    </row>
    <row r="102" spans="3:50" x14ac:dyDescent="0.25">
      <c r="C102" s="101">
        <v>93</v>
      </c>
      <c r="D102" s="267"/>
      <c r="E102" s="119"/>
      <c r="F102" s="281" t="str">
        <f>IF(D102="","",VLOOKUP(D102,'G-7 WaterC'' Data'!$B$2:$G$8,2,FALSE))</f>
        <v/>
      </c>
      <c r="G102" s="282" t="str">
        <f>IFERROR(VLOOKUP(F102,'G-7 WaterC'' Data'!$C$4:$D$8,2,FALSE),"")</f>
        <v/>
      </c>
      <c r="H102" s="52"/>
      <c r="I102" s="282" t="str">
        <f>IFERROR(INDEX('G-7 WaterC'' Data'!$H$4:$L$8,MATCH(D102,'G-7 WaterC'' Data'!$B$4:$B$8,0),MATCH(H102,'G-7 WaterC'' Data'!$H$3:$L$3,0)),"")</f>
        <v/>
      </c>
      <c r="J102" s="793"/>
      <c r="K102" s="317" t="str">
        <f>IF(J102="","",IF(VLOOKUP(J102,'G-7 WaterC'' Data'!$AK$4:$AM$6,2,FALSE)=0,"Spatial Data Missing ⚠",VLOOKUP(J102,'G-7 WaterC'' Data'!$AK$4:$AM$6,2,FALSE)))</f>
        <v/>
      </c>
      <c r="L102" s="287" t="str">
        <f>IF(J102="","",IF(VLOOKUP(J102,'G-7 WaterC'' Data'!$AK$4:$AM$9,3,FALSE)=0,"Spatial Data Missing ⚠",VLOOKUP(J102,'G-7 WaterC'' Data'!$AK$4:$AM$6,3,FALSE)))</f>
        <v/>
      </c>
      <c r="M102" s="52"/>
      <c r="N102" s="282" t="str">
        <f>IF(M102="","",IF(AND(D102&lt;&gt;"Culvert",M102="N/A - Culvert"),"Not possible ▲",IF(AND(D102="Culvert",M102&lt;&gt;"N/A - Culvert"),"Not possible ▲",IF(VLOOKUP(M102,'G-7 WaterC'' Data'!$AA$4:$AB$7,2,FALSE)=0,"Spatial Data Missing ⚠",VLOOKUP(M102,'G-7 WaterC'' Data'!$AA$4:$AB$7,2,FALSE)))))</f>
        <v/>
      </c>
      <c r="O102" s="56"/>
      <c r="P102" s="282" t="str">
        <f>IF(O102="","",IF(AND(O102="N/A - Culvert", D102&lt;&gt;"Culvert"),"Not possible ▲", IF(AND(D102="Culvert",O102&lt;&gt;"N/A - Culvert"),"Not possible ▲",IF(VLOOKUP(O102,'G-7 WaterC'' Data'!$AD$4:$AE$14,2,FALSE)=0,"Spatial Data Missing ⚠",VLOOKUP(O102,'G-7 WaterC'' Data'!$AD$4:$AE$14,2,FALSE)))))</f>
        <v/>
      </c>
      <c r="Q102" s="288" t="str">
        <f>IF(D102="","",VLOOKUP(D102,'G-7 WaterC'' Data'!$B$2:$G$8,6,FALSE))</f>
        <v/>
      </c>
      <c r="R102" s="295" t="str">
        <f t="shared" si="11"/>
        <v xml:space="preserve"> </v>
      </c>
      <c r="S102" s="820" t="str">
        <f t="shared" si="12"/>
        <v/>
      </c>
      <c r="T102" s="32"/>
      <c r="U102" s="105"/>
      <c r="V102" s="112"/>
      <c r="W102" s="293" t="str">
        <f t="shared" si="13"/>
        <v/>
      </c>
      <c r="X102" s="293" t="str">
        <f t="shared" si="14"/>
        <v/>
      </c>
      <c r="Y102" s="293" t="str">
        <f t="shared" si="15"/>
        <v/>
      </c>
      <c r="Z102" s="323" t="str">
        <f>IFERROR(IF(OR(E102="",R102=""),"",  IF(AND(Q102='G-7 WaterC'' Data'!$G$4,AA102="Yes"),"Alternative Compensation ✓", IF(AND(AA102="Pending", Q102='G-7 WaterC'' Data'!$G$4),"Bespoke compensation must be agreed ▲", IF((W102+X102)&gt;=R102, 0, R102-W102-X102)))),"Check Data ⚠")</f>
        <v/>
      </c>
      <c r="AA102" s="817"/>
      <c r="AB102" s="140"/>
      <c r="AC102" s="108"/>
      <c r="AD102" s="108"/>
      <c r="AE102" s="54" t="str">
        <f>IF(OR(Q102="",AA102="Yes"),"",IF(Q102='G-1 All Habitats'!$X$9,E102-U102-V102,"None"))</f>
        <v/>
      </c>
      <c r="AF102" s="55" t="str">
        <f>IF(Q102="","", IF(Q102='G-1 All Habitats'!$X$9, AE102*G102*I102*L102*N102*P102,"None"))</f>
        <v/>
      </c>
      <c r="AI102" s="30">
        <f t="shared" si="16"/>
        <v>0</v>
      </c>
      <c r="AJ102" s="111" t="str">
        <f t="shared" si="17"/>
        <v/>
      </c>
      <c r="AK102" s="111" t="str">
        <f t="shared" si="18"/>
        <v/>
      </c>
      <c r="AM102" s="111">
        <v>93</v>
      </c>
      <c r="AO102" s="111" t="str">
        <f t="array" ref="AO102">IFERROR(INDEX($AM$10:$AM$258, MATCH(0, IF(TRUE=$AJ$10:$AJ$258, COUNTIF($AO$9:$AO101, $AM$10:$AM$258), ""), 0)),"")</f>
        <v/>
      </c>
      <c r="AP102" s="111" t="str">
        <f t="array" ref="AP102">IFERROR(INDEX($AM$10:$AM$258, MATCH(0, IF(TRUE=$AK$10:$AK$258, COUNTIF($AP$9:$AP101, $AM$10:$AM$258), ""), 0)),"")</f>
        <v/>
      </c>
      <c r="AR102" s="30" t="str">
        <f>IFERROR(INDEX('G-7 WaterC'' Data'!$AZ$3:$AZ$7,MATCH(D102,'G-7 WaterC'' Data'!$AY$3:$AY$7,0)),"")</f>
        <v/>
      </c>
      <c r="AS102" s="30" t="str">
        <f>IFERROR(INDEX('G-7 WaterC'' Data'!AZ102:AZ106,MATCH(D102,'G-7 WaterC'' Data'!$AY$10:$AY$14,0)),"")</f>
        <v/>
      </c>
      <c r="AT102" s="903" t="str">
        <f>IF(AND(OR(AA102="Yes",AA102="Pending"),Q102='G-7 WaterC'' Data'!$G$4),R102-W102-X102,"")</f>
        <v/>
      </c>
      <c r="AU102" s="30" t="str">
        <f>IF(D102="","",VLOOKUP(D102,'G-7 WaterC'' Data'!B$4:M$8,12,FALSE))</f>
        <v/>
      </c>
      <c r="AV102" s="30" t="str">
        <f t="shared" si="10"/>
        <v/>
      </c>
      <c r="AX102" s="30" t="str">
        <f t="shared" si="19"/>
        <v>No</v>
      </c>
    </row>
    <row r="103" spans="3:50" x14ac:dyDescent="0.25">
      <c r="C103" s="101">
        <v>94</v>
      </c>
      <c r="D103" s="267"/>
      <c r="E103" s="119"/>
      <c r="F103" s="281" t="str">
        <f>IF(D103="","",VLOOKUP(D103,'G-7 WaterC'' Data'!$B$2:$G$8,2,FALSE))</f>
        <v/>
      </c>
      <c r="G103" s="282" t="str">
        <f>IFERROR(VLOOKUP(F103,'G-7 WaterC'' Data'!$C$4:$D$8,2,FALSE),"")</f>
        <v/>
      </c>
      <c r="H103" s="52"/>
      <c r="I103" s="282" t="str">
        <f>IFERROR(INDEX('G-7 WaterC'' Data'!$H$4:$L$8,MATCH(D103,'G-7 WaterC'' Data'!$B$4:$B$8,0),MATCH(H103,'G-7 WaterC'' Data'!$H$3:$L$3,0)),"")</f>
        <v/>
      </c>
      <c r="J103" s="793"/>
      <c r="K103" s="317" t="str">
        <f>IF(J103="","",IF(VLOOKUP(J103,'G-7 WaterC'' Data'!$AK$4:$AM$6,2,FALSE)=0,"Spatial Data Missing ⚠",VLOOKUP(J103,'G-7 WaterC'' Data'!$AK$4:$AM$6,2,FALSE)))</f>
        <v/>
      </c>
      <c r="L103" s="287" t="str">
        <f>IF(J103="","",IF(VLOOKUP(J103,'G-7 WaterC'' Data'!$AK$4:$AM$9,3,FALSE)=0,"Spatial Data Missing ⚠",VLOOKUP(J103,'G-7 WaterC'' Data'!$AK$4:$AM$6,3,FALSE)))</f>
        <v/>
      </c>
      <c r="M103" s="52"/>
      <c r="N103" s="282" t="str">
        <f>IF(M103="","",IF(AND(D103&lt;&gt;"Culvert",M103="N/A - Culvert"),"Not possible ▲",IF(AND(D103="Culvert",M103&lt;&gt;"N/A - Culvert"),"Not possible ▲",IF(VLOOKUP(M103,'G-7 WaterC'' Data'!$AA$4:$AB$7,2,FALSE)=0,"Spatial Data Missing ⚠",VLOOKUP(M103,'G-7 WaterC'' Data'!$AA$4:$AB$7,2,FALSE)))))</f>
        <v/>
      </c>
      <c r="O103" s="56"/>
      <c r="P103" s="282" t="str">
        <f>IF(O103="","",IF(AND(O103="N/A - Culvert", D103&lt;&gt;"Culvert"),"Not possible ▲", IF(AND(D103="Culvert",O103&lt;&gt;"N/A - Culvert"),"Not possible ▲",IF(VLOOKUP(O103,'G-7 WaterC'' Data'!$AD$4:$AE$14,2,FALSE)=0,"Spatial Data Missing ⚠",VLOOKUP(O103,'G-7 WaterC'' Data'!$AD$4:$AE$14,2,FALSE)))))</f>
        <v/>
      </c>
      <c r="Q103" s="288" t="str">
        <f>IF(D103="","",VLOOKUP(D103,'G-7 WaterC'' Data'!$B$2:$G$8,6,FALSE))</f>
        <v/>
      </c>
      <c r="R103" s="295" t="str">
        <f t="shared" si="11"/>
        <v xml:space="preserve"> </v>
      </c>
      <c r="S103" s="820" t="str">
        <f t="shared" si="12"/>
        <v/>
      </c>
      <c r="T103" s="32"/>
      <c r="U103" s="105"/>
      <c r="V103" s="112"/>
      <c r="W103" s="293" t="str">
        <f t="shared" si="13"/>
        <v/>
      </c>
      <c r="X103" s="293" t="str">
        <f t="shared" si="14"/>
        <v/>
      </c>
      <c r="Y103" s="293" t="str">
        <f t="shared" si="15"/>
        <v/>
      </c>
      <c r="Z103" s="323" t="str">
        <f>IFERROR(IF(OR(E103="",R103=""),"",  IF(AND(Q103='G-7 WaterC'' Data'!$G$4,AA103="Yes"),"Alternative Compensation ✓", IF(AND(AA103="Pending", Q103='G-7 WaterC'' Data'!$G$4),"Bespoke compensation must be agreed ▲", IF((W103+X103)&gt;=R103, 0, R103-W103-X103)))),"Check Data ⚠")</f>
        <v/>
      </c>
      <c r="AA103" s="817"/>
      <c r="AB103" s="140"/>
      <c r="AC103" s="108"/>
      <c r="AD103" s="108"/>
      <c r="AE103" s="54" t="str">
        <f>IF(OR(Q103="",AA103="Yes"),"",IF(Q103='G-1 All Habitats'!$X$9,E103-U103-V103,"None"))</f>
        <v/>
      </c>
      <c r="AF103" s="55" t="str">
        <f>IF(Q103="","", IF(Q103='G-1 All Habitats'!$X$9, AE103*G103*I103*L103*N103*P103,"None"))</f>
        <v/>
      </c>
      <c r="AI103" s="30">
        <f t="shared" si="16"/>
        <v>0</v>
      </c>
      <c r="AJ103" s="111" t="str">
        <f t="shared" si="17"/>
        <v/>
      </c>
      <c r="AK103" s="111" t="str">
        <f t="shared" si="18"/>
        <v/>
      </c>
      <c r="AM103" s="111">
        <v>94</v>
      </c>
      <c r="AO103" s="111" t="str">
        <f t="array" ref="AO103">IFERROR(INDEX($AM$10:$AM$258, MATCH(0, IF(TRUE=$AJ$10:$AJ$258, COUNTIF($AO$9:$AO102, $AM$10:$AM$258), ""), 0)),"")</f>
        <v/>
      </c>
      <c r="AP103" s="111" t="str">
        <f t="array" ref="AP103">IFERROR(INDEX($AM$10:$AM$258, MATCH(0, IF(TRUE=$AK$10:$AK$258, COUNTIF($AP$9:$AP102, $AM$10:$AM$258), ""), 0)),"")</f>
        <v/>
      </c>
      <c r="AR103" s="30" t="str">
        <f>IFERROR(INDEX('G-7 WaterC'' Data'!$AZ$3:$AZ$7,MATCH(D103,'G-7 WaterC'' Data'!$AY$3:$AY$7,0)),"")</f>
        <v/>
      </c>
      <c r="AS103" s="30" t="str">
        <f>IFERROR(INDEX('G-7 WaterC'' Data'!AZ103:AZ107,MATCH(D103,'G-7 WaterC'' Data'!$AY$10:$AY$14,0)),"")</f>
        <v/>
      </c>
      <c r="AT103" s="903" t="str">
        <f>IF(AND(OR(AA103="Yes",AA103="Pending"),Q103='G-7 WaterC'' Data'!$G$4),R103-W103-X103,"")</f>
        <v/>
      </c>
      <c r="AU103" s="30" t="str">
        <f>IF(D103="","",VLOOKUP(D103,'G-7 WaterC'' Data'!B$4:M$8,12,FALSE))</f>
        <v/>
      </c>
      <c r="AV103" s="30" t="str">
        <f t="shared" si="10"/>
        <v/>
      </c>
      <c r="AX103" s="30" t="str">
        <f t="shared" si="19"/>
        <v>No</v>
      </c>
    </row>
    <row r="104" spans="3:50" x14ac:dyDescent="0.25">
      <c r="C104" s="101">
        <v>95</v>
      </c>
      <c r="D104" s="267"/>
      <c r="E104" s="119"/>
      <c r="F104" s="281" t="str">
        <f>IF(D104="","",VLOOKUP(D104,'G-7 WaterC'' Data'!$B$2:$G$8,2,FALSE))</f>
        <v/>
      </c>
      <c r="G104" s="282" t="str">
        <f>IFERROR(VLOOKUP(F104,'G-7 WaterC'' Data'!$C$4:$D$8,2,FALSE),"")</f>
        <v/>
      </c>
      <c r="H104" s="52"/>
      <c r="I104" s="282" t="str">
        <f>IFERROR(INDEX('G-7 WaterC'' Data'!$H$4:$L$8,MATCH(D104,'G-7 WaterC'' Data'!$B$4:$B$8,0),MATCH(H104,'G-7 WaterC'' Data'!$H$3:$L$3,0)),"")</f>
        <v/>
      </c>
      <c r="J104" s="793"/>
      <c r="K104" s="317" t="str">
        <f>IF(J104="","",IF(VLOOKUP(J104,'G-7 WaterC'' Data'!$AK$4:$AM$6,2,FALSE)=0,"Spatial Data Missing ⚠",VLOOKUP(J104,'G-7 WaterC'' Data'!$AK$4:$AM$6,2,FALSE)))</f>
        <v/>
      </c>
      <c r="L104" s="287" t="str">
        <f>IF(J104="","",IF(VLOOKUP(J104,'G-7 WaterC'' Data'!$AK$4:$AM$9,3,FALSE)=0,"Spatial Data Missing ⚠",VLOOKUP(J104,'G-7 WaterC'' Data'!$AK$4:$AM$6,3,FALSE)))</f>
        <v/>
      </c>
      <c r="M104" s="52"/>
      <c r="N104" s="282" t="str">
        <f>IF(M104="","",IF(AND(D104&lt;&gt;"Culvert",M104="N/A - Culvert"),"Not possible ▲",IF(AND(D104="Culvert",M104&lt;&gt;"N/A - Culvert"),"Not possible ▲",IF(VLOOKUP(M104,'G-7 WaterC'' Data'!$AA$4:$AB$7,2,FALSE)=0,"Spatial Data Missing ⚠",VLOOKUP(M104,'G-7 WaterC'' Data'!$AA$4:$AB$7,2,FALSE)))))</f>
        <v/>
      </c>
      <c r="O104" s="56"/>
      <c r="P104" s="282" t="str">
        <f>IF(O104="","",IF(AND(O104="N/A - Culvert", D104&lt;&gt;"Culvert"),"Not possible ▲", IF(AND(D104="Culvert",O104&lt;&gt;"N/A - Culvert"),"Not possible ▲",IF(VLOOKUP(O104,'G-7 WaterC'' Data'!$AD$4:$AE$14,2,FALSE)=0,"Spatial Data Missing ⚠",VLOOKUP(O104,'G-7 WaterC'' Data'!$AD$4:$AE$14,2,FALSE)))))</f>
        <v/>
      </c>
      <c r="Q104" s="288" t="str">
        <f>IF(D104="","",VLOOKUP(D104,'G-7 WaterC'' Data'!$B$2:$G$8,6,FALSE))</f>
        <v/>
      </c>
      <c r="R104" s="295" t="str">
        <f t="shared" si="11"/>
        <v xml:space="preserve"> </v>
      </c>
      <c r="S104" s="820" t="str">
        <f t="shared" si="12"/>
        <v/>
      </c>
      <c r="T104" s="32"/>
      <c r="U104" s="105"/>
      <c r="V104" s="112"/>
      <c r="W104" s="293" t="str">
        <f t="shared" si="13"/>
        <v/>
      </c>
      <c r="X104" s="293" t="str">
        <f t="shared" si="14"/>
        <v/>
      </c>
      <c r="Y104" s="293" t="str">
        <f t="shared" si="15"/>
        <v/>
      </c>
      <c r="Z104" s="323" t="str">
        <f>IFERROR(IF(OR(E104="",R104=""),"",  IF(AND(Q104='G-7 WaterC'' Data'!$G$4,AA104="Yes"),"Alternative Compensation ✓", IF(AND(AA104="Pending", Q104='G-7 WaterC'' Data'!$G$4),"Bespoke compensation must be agreed ▲", IF((W104+X104)&gt;=R104, 0, R104-W104-X104)))),"Check Data ⚠")</f>
        <v/>
      </c>
      <c r="AA104" s="817"/>
      <c r="AB104" s="140"/>
      <c r="AC104" s="108"/>
      <c r="AD104" s="108"/>
      <c r="AE104" s="54" t="str">
        <f>IF(OR(Q104="",AA104="Yes"),"",IF(Q104='G-1 All Habitats'!$X$9,E104-U104-V104,"None"))</f>
        <v/>
      </c>
      <c r="AF104" s="55" t="str">
        <f>IF(Q104="","", IF(Q104='G-1 All Habitats'!$X$9, AE104*G104*I104*L104*N104*P104,"None"))</f>
        <v/>
      </c>
      <c r="AI104" s="30">
        <f t="shared" si="16"/>
        <v>0</v>
      </c>
      <c r="AJ104" s="111" t="str">
        <f t="shared" si="17"/>
        <v/>
      </c>
      <c r="AK104" s="111" t="str">
        <f t="shared" si="18"/>
        <v/>
      </c>
      <c r="AM104" s="111">
        <v>95</v>
      </c>
      <c r="AO104" s="111" t="str">
        <f t="array" ref="AO104">IFERROR(INDEX($AM$10:$AM$258, MATCH(0, IF(TRUE=$AJ$10:$AJ$258, COUNTIF($AO$9:$AO103, $AM$10:$AM$258), ""), 0)),"")</f>
        <v/>
      </c>
      <c r="AP104" s="111" t="str">
        <f t="array" ref="AP104">IFERROR(INDEX($AM$10:$AM$258, MATCH(0, IF(TRUE=$AK$10:$AK$258, COUNTIF($AP$9:$AP103, $AM$10:$AM$258), ""), 0)),"")</f>
        <v/>
      </c>
      <c r="AR104" s="30" t="str">
        <f>IFERROR(INDEX('G-7 WaterC'' Data'!$AZ$3:$AZ$7,MATCH(D104,'G-7 WaterC'' Data'!$AY$3:$AY$7,0)),"")</f>
        <v/>
      </c>
      <c r="AS104" s="30" t="str">
        <f>IFERROR(INDEX('G-7 WaterC'' Data'!AZ104:AZ108,MATCH(D104,'G-7 WaterC'' Data'!$AY$10:$AY$14,0)),"")</f>
        <v/>
      </c>
      <c r="AT104" s="903" t="str">
        <f>IF(AND(OR(AA104="Yes",AA104="Pending"),Q104='G-7 WaterC'' Data'!$G$4),R104-W104-X104,"")</f>
        <v/>
      </c>
      <c r="AU104" s="30" t="str">
        <f>IF(D104="","",VLOOKUP(D104,'G-7 WaterC'' Data'!B$4:M$8,12,FALSE))</f>
        <v/>
      </c>
      <c r="AV104" s="30" t="str">
        <f t="shared" si="10"/>
        <v/>
      </c>
      <c r="AX104" s="30" t="str">
        <f t="shared" si="19"/>
        <v>No</v>
      </c>
    </row>
    <row r="105" spans="3:50" x14ac:dyDescent="0.25">
      <c r="C105" s="101">
        <v>96</v>
      </c>
      <c r="D105" s="267"/>
      <c r="E105" s="119"/>
      <c r="F105" s="281" t="str">
        <f>IF(D105="","",VLOOKUP(D105,'G-7 WaterC'' Data'!$B$2:$G$8,2,FALSE))</f>
        <v/>
      </c>
      <c r="G105" s="282" t="str">
        <f>IFERROR(VLOOKUP(F105,'G-7 WaterC'' Data'!$C$4:$D$8,2,FALSE),"")</f>
        <v/>
      </c>
      <c r="H105" s="52"/>
      <c r="I105" s="282" t="str">
        <f>IFERROR(INDEX('G-7 WaterC'' Data'!$H$4:$L$8,MATCH(D105,'G-7 WaterC'' Data'!$B$4:$B$8,0),MATCH(H105,'G-7 WaterC'' Data'!$H$3:$L$3,0)),"")</f>
        <v/>
      </c>
      <c r="J105" s="793"/>
      <c r="K105" s="317" t="str">
        <f>IF(J105="","",IF(VLOOKUP(J105,'G-7 WaterC'' Data'!$AK$4:$AM$6,2,FALSE)=0,"Spatial Data Missing ⚠",VLOOKUP(J105,'G-7 WaterC'' Data'!$AK$4:$AM$6,2,FALSE)))</f>
        <v/>
      </c>
      <c r="L105" s="287" t="str">
        <f>IF(J105="","",IF(VLOOKUP(J105,'G-7 WaterC'' Data'!$AK$4:$AM$9,3,FALSE)=0,"Spatial Data Missing ⚠",VLOOKUP(J105,'G-7 WaterC'' Data'!$AK$4:$AM$6,3,FALSE)))</f>
        <v/>
      </c>
      <c r="M105" s="52"/>
      <c r="N105" s="282" t="str">
        <f>IF(M105="","",IF(AND(D105&lt;&gt;"Culvert",M105="N/A - Culvert"),"Not possible ▲",IF(AND(D105="Culvert",M105&lt;&gt;"N/A - Culvert"),"Not possible ▲",IF(VLOOKUP(M105,'G-7 WaterC'' Data'!$AA$4:$AB$7,2,FALSE)=0,"Spatial Data Missing ⚠",VLOOKUP(M105,'G-7 WaterC'' Data'!$AA$4:$AB$7,2,FALSE)))))</f>
        <v/>
      </c>
      <c r="O105" s="56"/>
      <c r="P105" s="282" t="str">
        <f>IF(O105="","",IF(AND(O105="N/A - Culvert", D105&lt;&gt;"Culvert"),"Not possible ▲", IF(AND(D105="Culvert",O105&lt;&gt;"N/A - Culvert"),"Not possible ▲",IF(VLOOKUP(O105,'G-7 WaterC'' Data'!$AD$4:$AE$14,2,FALSE)=0,"Spatial Data Missing ⚠",VLOOKUP(O105,'G-7 WaterC'' Data'!$AD$4:$AE$14,2,FALSE)))))</f>
        <v/>
      </c>
      <c r="Q105" s="288" t="str">
        <f>IF(D105="","",VLOOKUP(D105,'G-7 WaterC'' Data'!$B$2:$G$8,6,FALSE))</f>
        <v/>
      </c>
      <c r="R105" s="295" t="str">
        <f t="shared" si="11"/>
        <v xml:space="preserve"> </v>
      </c>
      <c r="S105" s="820" t="str">
        <f t="shared" si="12"/>
        <v/>
      </c>
      <c r="T105" s="32"/>
      <c r="U105" s="105"/>
      <c r="V105" s="112"/>
      <c r="W105" s="293" t="str">
        <f t="shared" si="13"/>
        <v/>
      </c>
      <c r="X105" s="293" t="str">
        <f t="shared" si="14"/>
        <v/>
      </c>
      <c r="Y105" s="293" t="str">
        <f t="shared" si="15"/>
        <v/>
      </c>
      <c r="Z105" s="323" t="str">
        <f>IFERROR(IF(OR(E105="",R105=""),"",  IF(AND(Q105='G-7 WaterC'' Data'!$G$4,AA105="Yes"),"Alternative Compensation ✓", IF(AND(AA105="Pending", Q105='G-7 WaterC'' Data'!$G$4),"Bespoke compensation must be agreed ▲", IF((W105+X105)&gt;=R105, 0, R105-W105-X105)))),"Check Data ⚠")</f>
        <v/>
      </c>
      <c r="AA105" s="817"/>
      <c r="AB105" s="140"/>
      <c r="AC105" s="108"/>
      <c r="AD105" s="108"/>
      <c r="AE105" s="54" t="str">
        <f>IF(OR(Q105="",AA105="Yes"),"",IF(Q105='G-1 All Habitats'!$X$9,E105-U105-V105,"None"))</f>
        <v/>
      </c>
      <c r="AF105" s="55" t="str">
        <f>IF(Q105="","", IF(Q105='G-1 All Habitats'!$X$9, AE105*G105*I105*L105*N105*P105,"None"))</f>
        <v/>
      </c>
      <c r="AI105" s="30">
        <f t="shared" si="16"/>
        <v>0</v>
      </c>
      <c r="AJ105" s="111" t="str">
        <f t="shared" si="17"/>
        <v/>
      </c>
      <c r="AK105" s="111" t="str">
        <f t="shared" si="18"/>
        <v/>
      </c>
      <c r="AM105" s="111">
        <v>96</v>
      </c>
      <c r="AO105" s="111" t="str">
        <f t="array" ref="AO105">IFERROR(INDEX($AM$10:$AM$258, MATCH(0, IF(TRUE=$AJ$10:$AJ$258, COUNTIF($AO$9:$AO104, $AM$10:$AM$258), ""), 0)),"")</f>
        <v/>
      </c>
      <c r="AP105" s="111" t="str">
        <f t="array" ref="AP105">IFERROR(INDEX($AM$10:$AM$258, MATCH(0, IF(TRUE=$AK$10:$AK$258, COUNTIF($AP$9:$AP104, $AM$10:$AM$258), ""), 0)),"")</f>
        <v/>
      </c>
      <c r="AR105" s="30" t="str">
        <f>IFERROR(INDEX('G-7 WaterC'' Data'!$AZ$3:$AZ$7,MATCH(D105,'G-7 WaterC'' Data'!$AY$3:$AY$7,0)),"")</f>
        <v/>
      </c>
      <c r="AS105" s="30" t="str">
        <f>IFERROR(INDEX('G-7 WaterC'' Data'!AZ105:AZ109,MATCH(D105,'G-7 WaterC'' Data'!$AY$10:$AY$14,0)),"")</f>
        <v/>
      </c>
      <c r="AT105" s="903" t="str">
        <f>IF(AND(OR(AA105="Yes",AA105="Pending"),Q105='G-7 WaterC'' Data'!$G$4),R105-W105-X105,"")</f>
        <v/>
      </c>
      <c r="AU105" s="30" t="str">
        <f>IF(D105="","",VLOOKUP(D105,'G-7 WaterC'' Data'!B$4:M$8,12,FALSE))</f>
        <v/>
      </c>
      <c r="AV105" s="30" t="str">
        <f t="shared" si="10"/>
        <v/>
      </c>
      <c r="AX105" s="30" t="str">
        <f t="shared" si="19"/>
        <v>No</v>
      </c>
    </row>
    <row r="106" spans="3:50" x14ac:dyDescent="0.25">
      <c r="C106" s="101">
        <v>97</v>
      </c>
      <c r="D106" s="267"/>
      <c r="E106" s="119"/>
      <c r="F106" s="281" t="str">
        <f>IF(D106="","",VLOOKUP(D106,'G-7 WaterC'' Data'!$B$2:$G$8,2,FALSE))</f>
        <v/>
      </c>
      <c r="G106" s="282" t="str">
        <f>IFERROR(VLOOKUP(F106,'G-7 WaterC'' Data'!$C$4:$D$8,2,FALSE),"")</f>
        <v/>
      </c>
      <c r="H106" s="52"/>
      <c r="I106" s="282" t="str">
        <f>IFERROR(INDEX('G-7 WaterC'' Data'!$H$4:$L$8,MATCH(D106,'G-7 WaterC'' Data'!$B$4:$B$8,0),MATCH(H106,'G-7 WaterC'' Data'!$H$3:$L$3,0)),"")</f>
        <v/>
      </c>
      <c r="J106" s="793"/>
      <c r="K106" s="317" t="str">
        <f>IF(J106="","",IF(VLOOKUP(J106,'G-7 WaterC'' Data'!$AK$4:$AM$6,2,FALSE)=0,"Spatial Data Missing ⚠",VLOOKUP(J106,'G-7 WaterC'' Data'!$AK$4:$AM$6,2,FALSE)))</f>
        <v/>
      </c>
      <c r="L106" s="287" t="str">
        <f>IF(J106="","",IF(VLOOKUP(J106,'G-7 WaterC'' Data'!$AK$4:$AM$9,3,FALSE)=0,"Spatial Data Missing ⚠",VLOOKUP(J106,'G-7 WaterC'' Data'!$AK$4:$AM$6,3,FALSE)))</f>
        <v/>
      </c>
      <c r="M106" s="52"/>
      <c r="N106" s="282" t="str">
        <f>IF(M106="","",IF(AND(D106&lt;&gt;"Culvert",M106="N/A - Culvert"),"Not possible ▲",IF(AND(D106="Culvert",M106&lt;&gt;"N/A - Culvert"),"Not possible ▲",IF(VLOOKUP(M106,'G-7 WaterC'' Data'!$AA$4:$AB$7,2,FALSE)=0,"Spatial Data Missing ⚠",VLOOKUP(M106,'G-7 WaterC'' Data'!$AA$4:$AB$7,2,FALSE)))))</f>
        <v/>
      </c>
      <c r="O106" s="56"/>
      <c r="P106" s="282" t="str">
        <f>IF(O106="","",IF(AND(O106="N/A - Culvert", D106&lt;&gt;"Culvert"),"Not possible ▲", IF(AND(D106="Culvert",O106&lt;&gt;"N/A - Culvert"),"Not possible ▲",IF(VLOOKUP(O106,'G-7 WaterC'' Data'!$AD$4:$AE$14,2,FALSE)=0,"Spatial Data Missing ⚠",VLOOKUP(O106,'G-7 WaterC'' Data'!$AD$4:$AE$14,2,FALSE)))))</f>
        <v/>
      </c>
      <c r="Q106" s="288" t="str">
        <f>IF(D106="","",VLOOKUP(D106,'G-7 WaterC'' Data'!$B$2:$G$8,6,FALSE))</f>
        <v/>
      </c>
      <c r="R106" s="295" t="str">
        <f t="shared" si="11"/>
        <v xml:space="preserve"> </v>
      </c>
      <c r="S106" s="820" t="str">
        <f t="shared" si="12"/>
        <v/>
      </c>
      <c r="T106" s="32"/>
      <c r="U106" s="105"/>
      <c r="V106" s="112"/>
      <c r="W106" s="293" t="str">
        <f t="shared" si="13"/>
        <v/>
      </c>
      <c r="X106" s="293" t="str">
        <f t="shared" si="14"/>
        <v/>
      </c>
      <c r="Y106" s="293" t="str">
        <f t="shared" si="15"/>
        <v/>
      </c>
      <c r="Z106" s="323" t="str">
        <f>IFERROR(IF(OR(E106="",R106=""),"",  IF(AND(Q106='G-7 WaterC'' Data'!$G$4,AA106="Yes"),"Alternative Compensation ✓", IF(AND(AA106="Pending", Q106='G-7 WaterC'' Data'!$G$4),"Bespoke compensation must be agreed ▲", IF((W106+X106)&gt;=R106, 0, R106-W106-X106)))),"Check Data ⚠")</f>
        <v/>
      </c>
      <c r="AA106" s="817"/>
      <c r="AB106" s="140"/>
      <c r="AC106" s="108"/>
      <c r="AD106" s="108"/>
      <c r="AE106" s="54" t="str">
        <f>IF(OR(Q106="",AA106="Yes"),"",IF(Q106='G-1 All Habitats'!$X$9,E106-U106-V106,"None"))</f>
        <v/>
      </c>
      <c r="AF106" s="55" t="str">
        <f>IF(Q106="","", IF(Q106='G-1 All Habitats'!$X$9, AE106*G106*I106*L106*N106*P106,"None"))</f>
        <v/>
      </c>
      <c r="AI106" s="30">
        <f t="shared" si="16"/>
        <v>0</v>
      </c>
      <c r="AJ106" s="111" t="str">
        <f t="shared" si="17"/>
        <v/>
      </c>
      <c r="AK106" s="111" t="str">
        <f t="shared" si="18"/>
        <v/>
      </c>
      <c r="AM106" s="111">
        <v>97</v>
      </c>
      <c r="AO106" s="111" t="str">
        <f t="array" ref="AO106">IFERROR(INDEX($AM$10:$AM$258, MATCH(0, IF(TRUE=$AJ$10:$AJ$258, COUNTIF($AO$9:$AO105, $AM$10:$AM$258), ""), 0)),"")</f>
        <v/>
      </c>
      <c r="AP106" s="111" t="str">
        <f t="array" ref="AP106">IFERROR(INDEX($AM$10:$AM$258, MATCH(0, IF(TRUE=$AK$10:$AK$258, COUNTIF($AP$9:$AP105, $AM$10:$AM$258), ""), 0)),"")</f>
        <v/>
      </c>
      <c r="AR106" s="30" t="str">
        <f>IFERROR(INDEX('G-7 WaterC'' Data'!$AZ$3:$AZ$7,MATCH(D106,'G-7 WaterC'' Data'!$AY$3:$AY$7,0)),"")</f>
        <v/>
      </c>
      <c r="AS106" s="30" t="str">
        <f>IFERROR(INDEX('G-7 WaterC'' Data'!AZ106:AZ110,MATCH(D106,'G-7 WaterC'' Data'!$AY$10:$AY$14,0)),"")</f>
        <v/>
      </c>
      <c r="AT106" s="903" t="str">
        <f>IF(AND(OR(AA106="Yes",AA106="Pending"),Q106='G-7 WaterC'' Data'!$G$4),R106-W106-X106,"")</f>
        <v/>
      </c>
      <c r="AU106" s="30" t="str">
        <f>IF(D106="","",VLOOKUP(D106,'G-7 WaterC'' Data'!B$4:M$8,12,FALSE))</f>
        <v/>
      </c>
      <c r="AV106" s="30" t="str">
        <f t="shared" si="10"/>
        <v/>
      </c>
      <c r="AX106" s="30" t="str">
        <f t="shared" si="19"/>
        <v>No</v>
      </c>
    </row>
    <row r="107" spans="3:50" x14ac:dyDescent="0.25">
      <c r="C107" s="101">
        <v>98</v>
      </c>
      <c r="D107" s="267"/>
      <c r="E107" s="119"/>
      <c r="F107" s="281" t="str">
        <f>IF(D107="","",VLOOKUP(D107,'G-7 WaterC'' Data'!$B$2:$G$8,2,FALSE))</f>
        <v/>
      </c>
      <c r="G107" s="282" t="str">
        <f>IFERROR(VLOOKUP(F107,'G-7 WaterC'' Data'!$C$4:$D$8,2,FALSE),"")</f>
        <v/>
      </c>
      <c r="H107" s="52"/>
      <c r="I107" s="282" t="str">
        <f>IFERROR(INDEX('G-7 WaterC'' Data'!$H$4:$L$8,MATCH(D107,'G-7 WaterC'' Data'!$B$4:$B$8,0),MATCH(H107,'G-7 WaterC'' Data'!$H$3:$L$3,0)),"")</f>
        <v/>
      </c>
      <c r="J107" s="793"/>
      <c r="K107" s="317" t="str">
        <f>IF(J107="","",IF(VLOOKUP(J107,'G-7 WaterC'' Data'!$AK$4:$AM$6,2,FALSE)=0,"Spatial Data Missing ⚠",VLOOKUP(J107,'G-7 WaterC'' Data'!$AK$4:$AM$6,2,FALSE)))</f>
        <v/>
      </c>
      <c r="L107" s="287" t="str">
        <f>IF(J107="","",IF(VLOOKUP(J107,'G-7 WaterC'' Data'!$AK$4:$AM$9,3,FALSE)=0,"Spatial Data Missing ⚠",VLOOKUP(J107,'G-7 WaterC'' Data'!$AK$4:$AM$6,3,FALSE)))</f>
        <v/>
      </c>
      <c r="M107" s="52"/>
      <c r="N107" s="282" t="str">
        <f>IF(M107="","",IF(AND(D107&lt;&gt;"Culvert",M107="N/A - Culvert"),"Not possible ▲",IF(AND(D107="Culvert",M107&lt;&gt;"N/A - Culvert"),"Not possible ▲",IF(VLOOKUP(M107,'G-7 WaterC'' Data'!$AA$4:$AB$7,2,FALSE)=0,"Spatial Data Missing ⚠",VLOOKUP(M107,'G-7 WaterC'' Data'!$AA$4:$AB$7,2,FALSE)))))</f>
        <v/>
      </c>
      <c r="O107" s="56"/>
      <c r="P107" s="282" t="str">
        <f>IF(O107="","",IF(AND(O107="N/A - Culvert", D107&lt;&gt;"Culvert"),"Not possible ▲", IF(AND(D107="Culvert",O107&lt;&gt;"N/A - Culvert"),"Not possible ▲",IF(VLOOKUP(O107,'G-7 WaterC'' Data'!$AD$4:$AE$14,2,FALSE)=0,"Spatial Data Missing ⚠",VLOOKUP(O107,'G-7 WaterC'' Data'!$AD$4:$AE$14,2,FALSE)))))</f>
        <v/>
      </c>
      <c r="Q107" s="288" t="str">
        <f>IF(D107="","",VLOOKUP(D107,'G-7 WaterC'' Data'!$B$2:$G$8,6,FALSE))</f>
        <v/>
      </c>
      <c r="R107" s="295" t="str">
        <f t="shared" si="11"/>
        <v xml:space="preserve"> </v>
      </c>
      <c r="S107" s="820" t="str">
        <f t="shared" si="12"/>
        <v/>
      </c>
      <c r="T107" s="32"/>
      <c r="U107" s="105"/>
      <c r="V107" s="112"/>
      <c r="W107" s="293" t="str">
        <f t="shared" si="13"/>
        <v/>
      </c>
      <c r="X107" s="293" t="str">
        <f t="shared" si="14"/>
        <v/>
      </c>
      <c r="Y107" s="293" t="str">
        <f t="shared" si="15"/>
        <v/>
      </c>
      <c r="Z107" s="323" t="str">
        <f>IFERROR(IF(OR(E107="",R107=""),"",  IF(AND(Q107='G-7 WaterC'' Data'!$G$4,AA107="Yes"),"Alternative Compensation ✓", IF(AND(AA107="Pending", Q107='G-7 WaterC'' Data'!$G$4),"Bespoke compensation must be agreed ▲", IF((W107+X107)&gt;=R107, 0, R107-W107-X107)))),"Check Data ⚠")</f>
        <v/>
      </c>
      <c r="AA107" s="817"/>
      <c r="AB107" s="140"/>
      <c r="AC107" s="108"/>
      <c r="AD107" s="108"/>
      <c r="AE107" s="54" t="str">
        <f>IF(OR(Q107="",AA107="Yes"),"",IF(Q107='G-1 All Habitats'!$X$9,E107-U107-V107,"None"))</f>
        <v/>
      </c>
      <c r="AF107" s="55" t="str">
        <f>IF(Q107="","", IF(Q107='G-1 All Habitats'!$X$9, AE107*G107*I107*L107*N107*P107,"None"))</f>
        <v/>
      </c>
      <c r="AI107" s="30">
        <f t="shared" si="16"/>
        <v>0</v>
      </c>
      <c r="AJ107" s="111" t="str">
        <f t="shared" si="17"/>
        <v/>
      </c>
      <c r="AK107" s="111" t="str">
        <f t="shared" si="18"/>
        <v/>
      </c>
      <c r="AM107" s="111">
        <v>98</v>
      </c>
      <c r="AO107" s="111" t="str">
        <f t="array" ref="AO107">IFERROR(INDEX($AM$10:$AM$258, MATCH(0, IF(TRUE=$AJ$10:$AJ$258, COUNTIF($AO$9:$AO106, $AM$10:$AM$258), ""), 0)),"")</f>
        <v/>
      </c>
      <c r="AP107" s="111" t="str">
        <f t="array" ref="AP107">IFERROR(INDEX($AM$10:$AM$258, MATCH(0, IF(TRUE=$AK$10:$AK$258, COUNTIF($AP$9:$AP106, $AM$10:$AM$258), ""), 0)),"")</f>
        <v/>
      </c>
      <c r="AR107" s="30" t="str">
        <f>IFERROR(INDEX('G-7 WaterC'' Data'!$AZ$3:$AZ$7,MATCH(D107,'G-7 WaterC'' Data'!$AY$3:$AY$7,0)),"")</f>
        <v/>
      </c>
      <c r="AS107" s="30" t="str">
        <f>IFERROR(INDEX('G-7 WaterC'' Data'!AZ107:AZ111,MATCH(D107,'G-7 WaterC'' Data'!$AY$10:$AY$14,0)),"")</f>
        <v/>
      </c>
      <c r="AT107" s="903" t="str">
        <f>IF(AND(OR(AA107="Yes",AA107="Pending"),Q107='G-7 WaterC'' Data'!$G$4),R107-W107-X107,"")</f>
        <v/>
      </c>
      <c r="AU107" s="30" t="str">
        <f>IF(D107="","",VLOOKUP(D107,'G-7 WaterC'' Data'!B$4:M$8,12,FALSE))</f>
        <v/>
      </c>
      <c r="AV107" s="30" t="str">
        <f t="shared" si="10"/>
        <v/>
      </c>
      <c r="AX107" s="30" t="str">
        <f t="shared" si="19"/>
        <v>No</v>
      </c>
    </row>
    <row r="108" spans="3:50" x14ac:dyDescent="0.25">
      <c r="C108" s="101">
        <v>99</v>
      </c>
      <c r="D108" s="267"/>
      <c r="E108" s="119"/>
      <c r="F108" s="281" t="str">
        <f>IF(D108="","",VLOOKUP(D108,'G-7 WaterC'' Data'!$B$2:$G$8,2,FALSE))</f>
        <v/>
      </c>
      <c r="G108" s="282" t="str">
        <f>IFERROR(VLOOKUP(F108,'G-7 WaterC'' Data'!$C$4:$D$8,2,FALSE),"")</f>
        <v/>
      </c>
      <c r="H108" s="52"/>
      <c r="I108" s="282" t="str">
        <f>IFERROR(INDEX('G-7 WaterC'' Data'!$H$4:$L$8,MATCH(D108,'G-7 WaterC'' Data'!$B$4:$B$8,0),MATCH(H108,'G-7 WaterC'' Data'!$H$3:$L$3,0)),"")</f>
        <v/>
      </c>
      <c r="J108" s="793"/>
      <c r="K108" s="317" t="str">
        <f>IF(J108="","",IF(VLOOKUP(J108,'G-7 WaterC'' Data'!$AK$4:$AM$6,2,FALSE)=0,"Spatial Data Missing ⚠",VLOOKUP(J108,'G-7 WaterC'' Data'!$AK$4:$AM$6,2,FALSE)))</f>
        <v/>
      </c>
      <c r="L108" s="287" t="str">
        <f>IF(J108="","",IF(VLOOKUP(J108,'G-7 WaterC'' Data'!$AK$4:$AM$9,3,FALSE)=0,"Spatial Data Missing ⚠",VLOOKUP(J108,'G-7 WaterC'' Data'!$AK$4:$AM$6,3,FALSE)))</f>
        <v/>
      </c>
      <c r="M108" s="52"/>
      <c r="N108" s="282" t="str">
        <f>IF(M108="","",IF(AND(D108&lt;&gt;"Culvert",M108="N/A - Culvert"),"Not possible ▲",IF(AND(D108="Culvert",M108&lt;&gt;"N/A - Culvert"),"Not possible ▲",IF(VLOOKUP(M108,'G-7 WaterC'' Data'!$AA$4:$AB$7,2,FALSE)=0,"Spatial Data Missing ⚠",VLOOKUP(M108,'G-7 WaterC'' Data'!$AA$4:$AB$7,2,FALSE)))))</f>
        <v/>
      </c>
      <c r="O108" s="56"/>
      <c r="P108" s="282" t="str">
        <f>IF(O108="","",IF(AND(O108="N/A - Culvert", D108&lt;&gt;"Culvert"),"Not possible ▲", IF(AND(D108="Culvert",O108&lt;&gt;"N/A - Culvert"),"Not possible ▲",IF(VLOOKUP(O108,'G-7 WaterC'' Data'!$AD$4:$AE$14,2,FALSE)=0,"Spatial Data Missing ⚠",VLOOKUP(O108,'G-7 WaterC'' Data'!$AD$4:$AE$14,2,FALSE)))))</f>
        <v/>
      </c>
      <c r="Q108" s="288" t="str">
        <f>IF(D108="","",VLOOKUP(D108,'G-7 WaterC'' Data'!$B$2:$G$8,6,FALSE))</f>
        <v/>
      </c>
      <c r="R108" s="295" t="str">
        <f t="shared" si="11"/>
        <v xml:space="preserve"> </v>
      </c>
      <c r="S108" s="820" t="str">
        <f t="shared" si="12"/>
        <v/>
      </c>
      <c r="T108" s="32"/>
      <c r="U108" s="105"/>
      <c r="V108" s="112"/>
      <c r="W108" s="293" t="str">
        <f t="shared" si="13"/>
        <v/>
      </c>
      <c r="X108" s="293" t="str">
        <f t="shared" si="14"/>
        <v/>
      </c>
      <c r="Y108" s="293" t="str">
        <f t="shared" si="15"/>
        <v/>
      </c>
      <c r="Z108" s="323" t="str">
        <f>IFERROR(IF(OR(E108="",R108=""),"",  IF(AND(Q108='G-7 WaterC'' Data'!$G$4,AA108="Yes"),"Alternative Compensation ✓", IF(AND(AA108="Pending", Q108='G-7 WaterC'' Data'!$G$4),"Bespoke compensation must be agreed ▲", IF((W108+X108)&gt;=R108, 0, R108-W108-X108)))),"Check Data ⚠")</f>
        <v/>
      </c>
      <c r="AA108" s="817"/>
      <c r="AB108" s="140"/>
      <c r="AC108" s="108"/>
      <c r="AD108" s="108"/>
      <c r="AE108" s="54" t="str">
        <f>IF(OR(Q108="",AA108="Yes"),"",IF(Q108='G-1 All Habitats'!$X$9,E108-U108-V108,"None"))</f>
        <v/>
      </c>
      <c r="AF108" s="55" t="str">
        <f>IF(Q108="","", IF(Q108='G-1 All Habitats'!$X$9, AE108*G108*I108*L108*N108*P108,"None"))</f>
        <v/>
      </c>
      <c r="AI108" s="30">
        <f t="shared" si="16"/>
        <v>0</v>
      </c>
      <c r="AJ108" s="111" t="str">
        <f t="shared" si="17"/>
        <v/>
      </c>
      <c r="AK108" s="111" t="str">
        <f t="shared" si="18"/>
        <v/>
      </c>
      <c r="AM108" s="111">
        <v>99</v>
      </c>
      <c r="AO108" s="111" t="str">
        <f t="array" ref="AO108">IFERROR(INDEX($AM$10:$AM$258, MATCH(0, IF(TRUE=$AJ$10:$AJ$258, COUNTIF($AO$9:$AO107, $AM$10:$AM$258), ""), 0)),"")</f>
        <v/>
      </c>
      <c r="AP108" s="111" t="str">
        <f t="array" ref="AP108">IFERROR(INDEX($AM$10:$AM$258, MATCH(0, IF(TRUE=$AK$10:$AK$258, COUNTIF($AP$9:$AP107, $AM$10:$AM$258), ""), 0)),"")</f>
        <v/>
      </c>
      <c r="AR108" s="30" t="str">
        <f>IFERROR(INDEX('G-7 WaterC'' Data'!$AZ$3:$AZ$7,MATCH(D108,'G-7 WaterC'' Data'!$AY$3:$AY$7,0)),"")</f>
        <v/>
      </c>
      <c r="AS108" s="30" t="str">
        <f>IFERROR(INDEX('G-7 WaterC'' Data'!AZ108:AZ112,MATCH(D108,'G-7 WaterC'' Data'!$AY$10:$AY$14,0)),"")</f>
        <v/>
      </c>
      <c r="AT108" s="903" t="str">
        <f>IF(AND(OR(AA108="Yes",AA108="Pending"),Q108='G-7 WaterC'' Data'!$G$4),R108-W108-X108,"")</f>
        <v/>
      </c>
      <c r="AU108" s="30" t="str">
        <f>IF(D108="","",VLOOKUP(D108,'G-7 WaterC'' Data'!B$4:M$8,12,FALSE))</f>
        <v/>
      </c>
      <c r="AV108" s="30" t="str">
        <f t="shared" si="10"/>
        <v/>
      </c>
      <c r="AX108" s="30" t="str">
        <f t="shared" si="19"/>
        <v>No</v>
      </c>
    </row>
    <row r="109" spans="3:50" x14ac:dyDescent="0.25">
      <c r="C109" s="101">
        <v>100</v>
      </c>
      <c r="D109" s="267"/>
      <c r="E109" s="119"/>
      <c r="F109" s="281" t="str">
        <f>IF(D109="","",VLOOKUP(D109,'G-7 WaterC'' Data'!$B$2:$G$8,2,FALSE))</f>
        <v/>
      </c>
      <c r="G109" s="282" t="str">
        <f>IFERROR(VLOOKUP(F109,'G-7 WaterC'' Data'!$C$4:$D$8,2,FALSE),"")</f>
        <v/>
      </c>
      <c r="H109" s="52"/>
      <c r="I109" s="282" t="str">
        <f>IFERROR(INDEX('G-7 WaterC'' Data'!$H$4:$L$8,MATCH(D109,'G-7 WaterC'' Data'!$B$4:$B$8,0),MATCH(H109,'G-7 WaterC'' Data'!$H$3:$L$3,0)),"")</f>
        <v/>
      </c>
      <c r="J109" s="793"/>
      <c r="K109" s="317" t="str">
        <f>IF(J109="","",IF(VLOOKUP(J109,'G-7 WaterC'' Data'!$AK$4:$AM$6,2,FALSE)=0,"Spatial Data Missing ⚠",VLOOKUP(J109,'G-7 WaterC'' Data'!$AK$4:$AM$6,2,FALSE)))</f>
        <v/>
      </c>
      <c r="L109" s="287" t="str">
        <f>IF(J109="","",IF(VLOOKUP(J109,'G-7 WaterC'' Data'!$AK$4:$AM$9,3,FALSE)=0,"Spatial Data Missing ⚠",VLOOKUP(J109,'G-7 WaterC'' Data'!$AK$4:$AM$6,3,FALSE)))</f>
        <v/>
      </c>
      <c r="M109" s="52"/>
      <c r="N109" s="282" t="str">
        <f>IF(M109="","",IF(AND(D109&lt;&gt;"Culvert",M109="N/A - Culvert"),"Not possible ▲",IF(AND(D109="Culvert",M109&lt;&gt;"N/A - Culvert"),"Not possible ▲",IF(VLOOKUP(M109,'G-7 WaterC'' Data'!$AA$4:$AB$7,2,FALSE)=0,"Spatial Data Missing ⚠",VLOOKUP(M109,'G-7 WaterC'' Data'!$AA$4:$AB$7,2,FALSE)))))</f>
        <v/>
      </c>
      <c r="O109" s="56"/>
      <c r="P109" s="282" t="str">
        <f>IF(O109="","",IF(AND(O109="N/A - Culvert", D109&lt;&gt;"Culvert"),"Not possible ▲", IF(AND(D109="Culvert",O109&lt;&gt;"N/A - Culvert"),"Not possible ▲",IF(VLOOKUP(O109,'G-7 WaterC'' Data'!$AD$4:$AE$14,2,FALSE)=0,"Spatial Data Missing ⚠",VLOOKUP(O109,'G-7 WaterC'' Data'!$AD$4:$AE$14,2,FALSE)))))</f>
        <v/>
      </c>
      <c r="Q109" s="288" t="str">
        <f>IF(D109="","",VLOOKUP(D109,'G-7 WaterC'' Data'!$B$2:$G$8,6,FALSE))</f>
        <v/>
      </c>
      <c r="R109" s="295" t="str">
        <f t="shared" si="11"/>
        <v xml:space="preserve"> </v>
      </c>
      <c r="S109" s="820" t="str">
        <f t="shared" si="12"/>
        <v/>
      </c>
      <c r="T109" s="32"/>
      <c r="U109" s="105"/>
      <c r="V109" s="112"/>
      <c r="W109" s="293" t="str">
        <f t="shared" si="13"/>
        <v/>
      </c>
      <c r="X109" s="293" t="str">
        <f t="shared" si="14"/>
        <v/>
      </c>
      <c r="Y109" s="293" t="str">
        <f t="shared" si="15"/>
        <v/>
      </c>
      <c r="Z109" s="323" t="str">
        <f>IFERROR(IF(OR(E109="",R109=""),"",  IF(AND(Q109='G-7 WaterC'' Data'!$G$4,AA109="Yes"),"Alternative Compensation ✓", IF(AND(AA109="Pending", Q109='G-7 WaterC'' Data'!$G$4),"Bespoke compensation must be agreed ▲", IF((W109+X109)&gt;=R109, 0, R109-W109-X109)))),"Check Data ⚠")</f>
        <v/>
      </c>
      <c r="AA109" s="817"/>
      <c r="AB109" s="140"/>
      <c r="AC109" s="108"/>
      <c r="AD109" s="108"/>
      <c r="AE109" s="54" t="str">
        <f>IF(OR(Q109="",AA109="Yes"),"",IF(Q109='G-1 All Habitats'!$X$9,E109-U109-V109,"None"))</f>
        <v/>
      </c>
      <c r="AF109" s="55" t="str">
        <f>IF(Q109="","", IF(Q109='G-1 All Habitats'!$X$9, AE109*G109*I109*L109*N109*P109,"None"))</f>
        <v/>
      </c>
      <c r="AI109" s="30">
        <f t="shared" si="16"/>
        <v>0</v>
      </c>
      <c r="AJ109" s="111" t="str">
        <f t="shared" si="17"/>
        <v/>
      </c>
      <c r="AK109" s="111" t="str">
        <f t="shared" si="18"/>
        <v/>
      </c>
      <c r="AM109" s="111">
        <v>100</v>
      </c>
      <c r="AO109" s="111" t="str">
        <f t="array" ref="AO109">IFERROR(INDEX($AM$10:$AM$258, MATCH(0, IF(TRUE=$AJ$10:$AJ$258, COUNTIF($AO$9:$AO108, $AM$10:$AM$258), ""), 0)),"")</f>
        <v/>
      </c>
      <c r="AP109" s="111" t="str">
        <f t="array" ref="AP109">IFERROR(INDEX($AM$10:$AM$258, MATCH(0, IF(TRUE=$AK$10:$AK$258, COUNTIF($AP$9:$AP108, $AM$10:$AM$258), ""), 0)),"")</f>
        <v/>
      </c>
      <c r="AR109" s="30" t="str">
        <f>IFERROR(INDEX('G-7 WaterC'' Data'!$AZ$3:$AZ$7,MATCH(D109,'G-7 WaterC'' Data'!$AY$3:$AY$7,0)),"")</f>
        <v/>
      </c>
      <c r="AS109" s="30" t="str">
        <f>IFERROR(INDEX('G-7 WaterC'' Data'!AZ109:AZ113,MATCH(D109,'G-7 WaterC'' Data'!$AY$10:$AY$14,0)),"")</f>
        <v/>
      </c>
      <c r="AT109" s="903" t="str">
        <f>IF(AND(OR(AA109="Yes",AA109="Pending"),Q109='G-7 WaterC'' Data'!$G$4),R109-W109-X109,"")</f>
        <v/>
      </c>
      <c r="AU109" s="30" t="str">
        <f>IF(D109="","",VLOOKUP(D109,'G-7 WaterC'' Data'!B$4:M$8,12,FALSE))</f>
        <v/>
      </c>
      <c r="AV109" s="30" t="str">
        <f t="shared" si="10"/>
        <v/>
      </c>
      <c r="AX109" s="30" t="str">
        <f t="shared" si="19"/>
        <v>No</v>
      </c>
    </row>
    <row r="110" spans="3:50" x14ac:dyDescent="0.25">
      <c r="C110" s="101">
        <v>101</v>
      </c>
      <c r="D110" s="267"/>
      <c r="E110" s="119"/>
      <c r="F110" s="281" t="str">
        <f>IF(D110="","",VLOOKUP(D110,'G-7 WaterC'' Data'!$B$2:$G$8,2,FALSE))</f>
        <v/>
      </c>
      <c r="G110" s="282" t="str">
        <f>IFERROR(VLOOKUP(F110,'G-7 WaterC'' Data'!$C$4:$D$8,2,FALSE),"")</f>
        <v/>
      </c>
      <c r="H110" s="52"/>
      <c r="I110" s="282" t="str">
        <f>IFERROR(INDEX('G-7 WaterC'' Data'!$H$4:$L$8,MATCH(D110,'G-7 WaterC'' Data'!$B$4:$B$8,0),MATCH(H110,'G-7 WaterC'' Data'!$H$3:$L$3,0)),"")</f>
        <v/>
      </c>
      <c r="J110" s="793"/>
      <c r="K110" s="317" t="str">
        <f>IF(J110="","",IF(VLOOKUP(J110,'G-7 WaterC'' Data'!$AK$4:$AM$6,2,FALSE)=0,"Spatial Data Missing ⚠",VLOOKUP(J110,'G-7 WaterC'' Data'!$AK$4:$AM$6,2,FALSE)))</f>
        <v/>
      </c>
      <c r="L110" s="287" t="str">
        <f>IF(J110="","",IF(VLOOKUP(J110,'G-7 WaterC'' Data'!$AK$4:$AM$9,3,FALSE)=0,"Spatial Data Missing ⚠",VLOOKUP(J110,'G-7 WaterC'' Data'!$AK$4:$AM$6,3,FALSE)))</f>
        <v/>
      </c>
      <c r="M110" s="52"/>
      <c r="N110" s="282" t="str">
        <f>IF(M110="","",IF(AND(D110&lt;&gt;"Culvert",M110="N/A - Culvert"),"Not possible ▲",IF(AND(D110="Culvert",M110&lt;&gt;"N/A - Culvert"),"Not possible ▲",IF(VLOOKUP(M110,'G-7 WaterC'' Data'!$AA$4:$AB$7,2,FALSE)=0,"Spatial Data Missing ⚠",VLOOKUP(M110,'G-7 WaterC'' Data'!$AA$4:$AB$7,2,FALSE)))))</f>
        <v/>
      </c>
      <c r="O110" s="56"/>
      <c r="P110" s="282" t="str">
        <f>IF(O110="","",IF(AND(O110="N/A - Culvert", D110&lt;&gt;"Culvert"),"Not possible ▲", IF(AND(D110="Culvert",O110&lt;&gt;"N/A - Culvert"),"Not possible ▲",IF(VLOOKUP(O110,'G-7 WaterC'' Data'!$AD$4:$AE$14,2,FALSE)=0,"Spatial Data Missing ⚠",VLOOKUP(O110,'G-7 WaterC'' Data'!$AD$4:$AE$14,2,FALSE)))))</f>
        <v/>
      </c>
      <c r="Q110" s="288" t="str">
        <f>IF(D110="","",VLOOKUP(D110,'G-7 WaterC'' Data'!$B$2:$G$8,6,FALSE))</f>
        <v/>
      </c>
      <c r="R110" s="295" t="str">
        <f t="shared" si="11"/>
        <v xml:space="preserve"> </v>
      </c>
      <c r="S110" s="820" t="str">
        <f t="shared" si="12"/>
        <v/>
      </c>
      <c r="T110" s="32"/>
      <c r="U110" s="105"/>
      <c r="V110" s="112"/>
      <c r="W110" s="293" t="str">
        <f t="shared" si="13"/>
        <v/>
      </c>
      <c r="X110" s="293" t="str">
        <f t="shared" si="14"/>
        <v/>
      </c>
      <c r="Y110" s="293" t="str">
        <f t="shared" si="15"/>
        <v/>
      </c>
      <c r="Z110" s="323" t="str">
        <f>IFERROR(IF(OR(E110="",R110=""),"",  IF(AND(Q110='G-7 WaterC'' Data'!$G$4,AA110="Yes"),"Alternative Compensation ✓", IF(AND(AA110="Pending", Q110='G-7 WaterC'' Data'!$G$4),"Bespoke compensation must be agreed ▲", IF((W110+X110)&gt;=R110, 0, R110-W110-X110)))),"Check Data ⚠")</f>
        <v/>
      </c>
      <c r="AA110" s="817"/>
      <c r="AB110" s="140"/>
      <c r="AC110" s="108"/>
      <c r="AD110" s="108"/>
      <c r="AE110" s="54" t="str">
        <f>IF(OR(Q110="",AA110="Yes"),"",IF(Q110='G-1 All Habitats'!$X$9,E110-U110-V110,"None"))</f>
        <v/>
      </c>
      <c r="AF110" s="55" t="str">
        <f>IF(Q110="","", IF(Q110='G-1 All Habitats'!$X$9, AE110*G110*I110*L110*N110*P110,"None"))</f>
        <v/>
      </c>
      <c r="AI110" s="30">
        <f t="shared" si="16"/>
        <v>0</v>
      </c>
      <c r="AJ110" s="111" t="str">
        <f t="shared" si="17"/>
        <v/>
      </c>
      <c r="AK110" s="111" t="str">
        <f t="shared" si="18"/>
        <v/>
      </c>
      <c r="AM110" s="111">
        <v>101</v>
      </c>
      <c r="AO110" s="111" t="str">
        <f t="array" ref="AO110">IFERROR(INDEX($AM$10:$AM$258, MATCH(0, IF(TRUE=$AJ$10:$AJ$258, COUNTIF($AO$9:$AO109, $AM$10:$AM$258), ""), 0)),"")</f>
        <v/>
      </c>
      <c r="AP110" s="111" t="str">
        <f t="array" ref="AP110">IFERROR(INDEX($AM$10:$AM$258, MATCH(0, IF(TRUE=$AK$10:$AK$258, COUNTIF($AP$9:$AP109, $AM$10:$AM$258), ""), 0)),"")</f>
        <v/>
      </c>
      <c r="AR110" s="30" t="str">
        <f>IFERROR(INDEX('G-7 WaterC'' Data'!$AZ$3:$AZ$7,MATCH(D110,'G-7 WaterC'' Data'!$AY$3:$AY$7,0)),"")</f>
        <v/>
      </c>
      <c r="AS110" s="30" t="str">
        <f>IFERROR(INDEX('G-7 WaterC'' Data'!AZ110:AZ114,MATCH(D110,'G-7 WaterC'' Data'!$AY$10:$AY$14,0)),"")</f>
        <v/>
      </c>
      <c r="AT110" s="903" t="str">
        <f>IF(AND(OR(AA110="Yes",AA110="Pending"),Q110='G-7 WaterC'' Data'!$G$4),R110-W110-X110,"")</f>
        <v/>
      </c>
      <c r="AU110" s="30" t="str">
        <f>IF(D110="","",VLOOKUP(D110,'G-7 WaterC'' Data'!B$4:M$8,12,FALSE))</f>
        <v/>
      </c>
      <c r="AV110" s="30" t="str">
        <f t="shared" si="10"/>
        <v/>
      </c>
      <c r="AX110" s="30" t="str">
        <f t="shared" si="19"/>
        <v>No</v>
      </c>
    </row>
    <row r="111" spans="3:50" x14ac:dyDescent="0.25">
      <c r="C111" s="101">
        <v>102</v>
      </c>
      <c r="D111" s="267"/>
      <c r="E111" s="119"/>
      <c r="F111" s="281" t="str">
        <f>IF(D111="","",VLOOKUP(D111,'G-7 WaterC'' Data'!$B$2:$G$8,2,FALSE))</f>
        <v/>
      </c>
      <c r="G111" s="282" t="str">
        <f>IFERROR(VLOOKUP(F111,'G-7 WaterC'' Data'!$C$4:$D$8,2,FALSE),"")</f>
        <v/>
      </c>
      <c r="H111" s="52"/>
      <c r="I111" s="282" t="str">
        <f>IFERROR(INDEX('G-7 WaterC'' Data'!$H$4:$L$8,MATCH(D111,'G-7 WaterC'' Data'!$B$4:$B$8,0),MATCH(H111,'G-7 WaterC'' Data'!$H$3:$L$3,0)),"")</f>
        <v/>
      </c>
      <c r="J111" s="793"/>
      <c r="K111" s="317" t="str">
        <f>IF(J111="","",IF(VLOOKUP(J111,'G-7 WaterC'' Data'!$AK$4:$AM$6,2,FALSE)=0,"Spatial Data Missing ⚠",VLOOKUP(J111,'G-7 WaterC'' Data'!$AK$4:$AM$6,2,FALSE)))</f>
        <v/>
      </c>
      <c r="L111" s="287" t="str">
        <f>IF(J111="","",IF(VLOOKUP(J111,'G-7 WaterC'' Data'!$AK$4:$AM$9,3,FALSE)=0,"Spatial Data Missing ⚠",VLOOKUP(J111,'G-7 WaterC'' Data'!$AK$4:$AM$6,3,FALSE)))</f>
        <v/>
      </c>
      <c r="M111" s="52"/>
      <c r="N111" s="282" t="str">
        <f>IF(M111="","",IF(AND(D111&lt;&gt;"Culvert",M111="N/A - Culvert"),"Not possible ▲",IF(AND(D111="Culvert",M111&lt;&gt;"N/A - Culvert"),"Not possible ▲",IF(VLOOKUP(M111,'G-7 WaterC'' Data'!$AA$4:$AB$7,2,FALSE)=0,"Spatial Data Missing ⚠",VLOOKUP(M111,'G-7 WaterC'' Data'!$AA$4:$AB$7,2,FALSE)))))</f>
        <v/>
      </c>
      <c r="O111" s="56"/>
      <c r="P111" s="282" t="str">
        <f>IF(O111="","",IF(AND(O111="N/A - Culvert", D111&lt;&gt;"Culvert"),"Not possible ▲", IF(AND(D111="Culvert",O111&lt;&gt;"N/A - Culvert"),"Not possible ▲",IF(VLOOKUP(O111,'G-7 WaterC'' Data'!$AD$4:$AE$14,2,FALSE)=0,"Spatial Data Missing ⚠",VLOOKUP(O111,'G-7 WaterC'' Data'!$AD$4:$AE$14,2,FALSE)))))</f>
        <v/>
      </c>
      <c r="Q111" s="288" t="str">
        <f>IF(D111="","",VLOOKUP(D111,'G-7 WaterC'' Data'!$B$2:$G$8,6,FALSE))</f>
        <v/>
      </c>
      <c r="R111" s="295" t="str">
        <f t="shared" si="11"/>
        <v xml:space="preserve"> </v>
      </c>
      <c r="S111" s="820" t="str">
        <f t="shared" si="12"/>
        <v/>
      </c>
      <c r="T111" s="32"/>
      <c r="U111" s="105"/>
      <c r="V111" s="112"/>
      <c r="W111" s="293" t="str">
        <f t="shared" si="13"/>
        <v/>
      </c>
      <c r="X111" s="293" t="str">
        <f t="shared" si="14"/>
        <v/>
      </c>
      <c r="Y111" s="293" t="str">
        <f t="shared" si="15"/>
        <v/>
      </c>
      <c r="Z111" s="323" t="str">
        <f>IFERROR(IF(OR(E111="",R111=""),"",  IF(AND(Q111='G-7 WaterC'' Data'!$G$4,AA111="Yes"),"Alternative Compensation ✓", IF(AND(AA111="Pending", Q111='G-7 WaterC'' Data'!$G$4),"Bespoke compensation must be agreed ▲", IF((W111+X111)&gt;=R111, 0, R111-W111-X111)))),"Check Data ⚠")</f>
        <v/>
      </c>
      <c r="AA111" s="817"/>
      <c r="AB111" s="140"/>
      <c r="AC111" s="108"/>
      <c r="AD111" s="108"/>
      <c r="AE111" s="54" t="str">
        <f>IF(OR(Q111="",AA111="Yes"),"",IF(Q111='G-1 All Habitats'!$X$9,E111-U111-V111,"None"))</f>
        <v/>
      </c>
      <c r="AF111" s="55" t="str">
        <f>IF(Q111="","", IF(Q111='G-1 All Habitats'!$X$9, AE111*G111*I111*L111*N111*P111,"None"))</f>
        <v/>
      </c>
      <c r="AI111" s="30">
        <f t="shared" si="16"/>
        <v>0</v>
      </c>
      <c r="AJ111" s="111" t="str">
        <f t="shared" si="17"/>
        <v/>
      </c>
      <c r="AK111" s="111" t="str">
        <f t="shared" si="18"/>
        <v/>
      </c>
      <c r="AM111" s="111">
        <v>102</v>
      </c>
      <c r="AO111" s="111" t="str">
        <f t="array" ref="AO111">IFERROR(INDEX($AM$10:$AM$258, MATCH(0, IF(TRUE=$AJ$10:$AJ$258, COUNTIF($AO$9:$AO110, $AM$10:$AM$258), ""), 0)),"")</f>
        <v/>
      </c>
      <c r="AP111" s="111" t="str">
        <f t="array" ref="AP111">IFERROR(INDEX($AM$10:$AM$258, MATCH(0, IF(TRUE=$AK$10:$AK$258, COUNTIF($AP$9:$AP110, $AM$10:$AM$258), ""), 0)),"")</f>
        <v/>
      </c>
      <c r="AR111" s="30" t="str">
        <f>IFERROR(INDEX('G-7 WaterC'' Data'!$AZ$3:$AZ$7,MATCH(D111,'G-7 WaterC'' Data'!$AY$3:$AY$7,0)),"")</f>
        <v/>
      </c>
      <c r="AS111" s="30" t="str">
        <f>IFERROR(INDEX('G-7 WaterC'' Data'!AZ111:AZ115,MATCH(D111,'G-7 WaterC'' Data'!$AY$10:$AY$14,0)),"")</f>
        <v/>
      </c>
      <c r="AT111" s="903" t="str">
        <f>IF(AND(OR(AA111="Yes",AA111="Pending"),Q111='G-7 WaterC'' Data'!$G$4),R111-W111-X111,"")</f>
        <v/>
      </c>
      <c r="AU111" s="30" t="str">
        <f>IF(D111="","",VLOOKUP(D111,'G-7 WaterC'' Data'!B$4:M$8,12,FALSE))</f>
        <v/>
      </c>
      <c r="AV111" s="30" t="str">
        <f t="shared" si="10"/>
        <v/>
      </c>
      <c r="AX111" s="30" t="str">
        <f t="shared" si="19"/>
        <v>No</v>
      </c>
    </row>
    <row r="112" spans="3:50" x14ac:dyDescent="0.25">
      <c r="C112" s="101">
        <v>103</v>
      </c>
      <c r="D112" s="267"/>
      <c r="E112" s="119"/>
      <c r="F112" s="281" t="str">
        <f>IF(D112="","",VLOOKUP(D112,'G-7 WaterC'' Data'!$B$2:$G$8,2,FALSE))</f>
        <v/>
      </c>
      <c r="G112" s="282" t="str">
        <f>IFERROR(VLOOKUP(F112,'G-7 WaterC'' Data'!$C$4:$D$8,2,FALSE),"")</f>
        <v/>
      </c>
      <c r="H112" s="52"/>
      <c r="I112" s="282" t="str">
        <f>IFERROR(INDEX('G-7 WaterC'' Data'!$H$4:$L$8,MATCH(D112,'G-7 WaterC'' Data'!$B$4:$B$8,0),MATCH(H112,'G-7 WaterC'' Data'!$H$3:$L$3,0)),"")</f>
        <v/>
      </c>
      <c r="J112" s="793"/>
      <c r="K112" s="317" t="str">
        <f>IF(J112="","",IF(VLOOKUP(J112,'G-7 WaterC'' Data'!$AK$4:$AM$6,2,FALSE)=0,"Spatial Data Missing ⚠",VLOOKUP(J112,'G-7 WaterC'' Data'!$AK$4:$AM$6,2,FALSE)))</f>
        <v/>
      </c>
      <c r="L112" s="287" t="str">
        <f>IF(J112="","",IF(VLOOKUP(J112,'G-7 WaterC'' Data'!$AK$4:$AM$9,3,FALSE)=0,"Spatial Data Missing ⚠",VLOOKUP(J112,'G-7 WaterC'' Data'!$AK$4:$AM$6,3,FALSE)))</f>
        <v/>
      </c>
      <c r="M112" s="52"/>
      <c r="N112" s="282" t="str">
        <f>IF(M112="","",IF(AND(D112&lt;&gt;"Culvert",M112="N/A - Culvert"),"Not possible ▲",IF(AND(D112="Culvert",M112&lt;&gt;"N/A - Culvert"),"Not possible ▲",IF(VLOOKUP(M112,'G-7 WaterC'' Data'!$AA$4:$AB$7,2,FALSE)=0,"Spatial Data Missing ⚠",VLOOKUP(M112,'G-7 WaterC'' Data'!$AA$4:$AB$7,2,FALSE)))))</f>
        <v/>
      </c>
      <c r="O112" s="56"/>
      <c r="P112" s="282" t="str">
        <f>IF(O112="","",IF(AND(O112="N/A - Culvert", D112&lt;&gt;"Culvert"),"Not possible ▲", IF(AND(D112="Culvert",O112&lt;&gt;"N/A - Culvert"),"Not possible ▲",IF(VLOOKUP(O112,'G-7 WaterC'' Data'!$AD$4:$AE$14,2,FALSE)=0,"Spatial Data Missing ⚠",VLOOKUP(O112,'G-7 WaterC'' Data'!$AD$4:$AE$14,2,FALSE)))))</f>
        <v/>
      </c>
      <c r="Q112" s="288" t="str">
        <f>IF(D112="","",VLOOKUP(D112,'G-7 WaterC'' Data'!$B$2:$G$8,6,FALSE))</f>
        <v/>
      </c>
      <c r="R112" s="295" t="str">
        <f t="shared" si="11"/>
        <v xml:space="preserve"> </v>
      </c>
      <c r="S112" s="820" t="str">
        <f t="shared" si="12"/>
        <v/>
      </c>
      <c r="T112" s="32"/>
      <c r="U112" s="105"/>
      <c r="V112" s="112"/>
      <c r="W112" s="293" t="str">
        <f t="shared" si="13"/>
        <v/>
      </c>
      <c r="X112" s="293" t="str">
        <f t="shared" si="14"/>
        <v/>
      </c>
      <c r="Y112" s="293" t="str">
        <f t="shared" si="15"/>
        <v/>
      </c>
      <c r="Z112" s="323" t="str">
        <f>IFERROR(IF(OR(E112="",R112=""),"",  IF(AND(Q112='G-7 WaterC'' Data'!$G$4,AA112="Yes"),"Alternative Compensation ✓", IF(AND(AA112="Pending", Q112='G-7 WaterC'' Data'!$G$4),"Bespoke compensation must be agreed ▲", IF((W112+X112)&gt;=R112, 0, R112-W112-X112)))),"Check Data ⚠")</f>
        <v/>
      </c>
      <c r="AA112" s="817"/>
      <c r="AB112" s="140"/>
      <c r="AC112" s="108"/>
      <c r="AD112" s="108"/>
      <c r="AE112" s="54" t="str">
        <f>IF(OR(Q112="",AA112="Yes"),"",IF(Q112='G-1 All Habitats'!$X$9,E112-U112-V112,"None"))</f>
        <v/>
      </c>
      <c r="AF112" s="55" t="str">
        <f>IF(Q112="","", IF(Q112='G-1 All Habitats'!$X$9, AE112*G112*I112*L112*N112*P112,"None"))</f>
        <v/>
      </c>
      <c r="AI112" s="30">
        <f t="shared" si="16"/>
        <v>0</v>
      </c>
      <c r="AJ112" s="111" t="str">
        <f t="shared" si="17"/>
        <v/>
      </c>
      <c r="AK112" s="111" t="str">
        <f t="shared" si="18"/>
        <v/>
      </c>
      <c r="AM112" s="111">
        <v>103</v>
      </c>
      <c r="AO112" s="111" t="str">
        <f t="array" ref="AO112">IFERROR(INDEX($AM$10:$AM$258, MATCH(0, IF(TRUE=$AJ$10:$AJ$258, COUNTIF($AO$9:$AO111, $AM$10:$AM$258), ""), 0)),"")</f>
        <v/>
      </c>
      <c r="AP112" s="111" t="str">
        <f t="array" ref="AP112">IFERROR(INDEX($AM$10:$AM$258, MATCH(0, IF(TRUE=$AK$10:$AK$258, COUNTIF($AP$9:$AP111, $AM$10:$AM$258), ""), 0)),"")</f>
        <v/>
      </c>
      <c r="AR112" s="30" t="str">
        <f>IFERROR(INDEX('G-7 WaterC'' Data'!$AZ$3:$AZ$7,MATCH(D112,'G-7 WaterC'' Data'!$AY$3:$AY$7,0)),"")</f>
        <v/>
      </c>
      <c r="AS112" s="30" t="str">
        <f>IFERROR(INDEX('G-7 WaterC'' Data'!AZ112:AZ116,MATCH(D112,'G-7 WaterC'' Data'!$AY$10:$AY$14,0)),"")</f>
        <v/>
      </c>
      <c r="AT112" s="903" t="str">
        <f>IF(AND(OR(AA112="Yes",AA112="Pending"),Q112='G-7 WaterC'' Data'!$G$4),R112-W112-X112,"")</f>
        <v/>
      </c>
      <c r="AU112" s="30" t="str">
        <f>IF(D112="","",VLOOKUP(D112,'G-7 WaterC'' Data'!B$4:M$8,12,FALSE))</f>
        <v/>
      </c>
      <c r="AV112" s="30" t="str">
        <f t="shared" si="10"/>
        <v/>
      </c>
      <c r="AX112" s="30" t="str">
        <f t="shared" si="19"/>
        <v>No</v>
      </c>
    </row>
    <row r="113" spans="3:50" x14ac:dyDescent="0.25">
      <c r="C113" s="101">
        <v>104</v>
      </c>
      <c r="D113" s="267"/>
      <c r="E113" s="119"/>
      <c r="F113" s="281" t="str">
        <f>IF(D113="","",VLOOKUP(D113,'G-7 WaterC'' Data'!$B$2:$G$8,2,FALSE))</f>
        <v/>
      </c>
      <c r="G113" s="282" t="str">
        <f>IFERROR(VLOOKUP(F113,'G-7 WaterC'' Data'!$C$4:$D$8,2,FALSE),"")</f>
        <v/>
      </c>
      <c r="H113" s="52"/>
      <c r="I113" s="282" t="str">
        <f>IFERROR(INDEX('G-7 WaterC'' Data'!$H$4:$L$8,MATCH(D113,'G-7 WaterC'' Data'!$B$4:$B$8,0),MATCH(H113,'G-7 WaterC'' Data'!$H$3:$L$3,0)),"")</f>
        <v/>
      </c>
      <c r="J113" s="793"/>
      <c r="K113" s="317" t="str">
        <f>IF(J113="","",IF(VLOOKUP(J113,'G-7 WaterC'' Data'!$AK$4:$AM$6,2,FALSE)=0,"Spatial Data Missing ⚠",VLOOKUP(J113,'G-7 WaterC'' Data'!$AK$4:$AM$6,2,FALSE)))</f>
        <v/>
      </c>
      <c r="L113" s="287" t="str">
        <f>IF(J113="","",IF(VLOOKUP(J113,'G-7 WaterC'' Data'!$AK$4:$AM$9,3,FALSE)=0,"Spatial Data Missing ⚠",VLOOKUP(J113,'G-7 WaterC'' Data'!$AK$4:$AM$6,3,FALSE)))</f>
        <v/>
      </c>
      <c r="M113" s="52"/>
      <c r="N113" s="282" t="str">
        <f>IF(M113="","",IF(AND(D113&lt;&gt;"Culvert",M113="N/A - Culvert"),"Not possible ▲",IF(AND(D113="Culvert",M113&lt;&gt;"N/A - Culvert"),"Not possible ▲",IF(VLOOKUP(M113,'G-7 WaterC'' Data'!$AA$4:$AB$7,2,FALSE)=0,"Spatial Data Missing ⚠",VLOOKUP(M113,'G-7 WaterC'' Data'!$AA$4:$AB$7,2,FALSE)))))</f>
        <v/>
      </c>
      <c r="O113" s="56"/>
      <c r="P113" s="282" t="str">
        <f>IF(O113="","",IF(AND(O113="N/A - Culvert", D113&lt;&gt;"Culvert"),"Not possible ▲", IF(AND(D113="Culvert",O113&lt;&gt;"N/A - Culvert"),"Not possible ▲",IF(VLOOKUP(O113,'G-7 WaterC'' Data'!$AD$4:$AE$14,2,FALSE)=0,"Spatial Data Missing ⚠",VLOOKUP(O113,'G-7 WaterC'' Data'!$AD$4:$AE$14,2,FALSE)))))</f>
        <v/>
      </c>
      <c r="Q113" s="288" t="str">
        <f>IF(D113="","",VLOOKUP(D113,'G-7 WaterC'' Data'!$B$2:$G$8,6,FALSE))</f>
        <v/>
      </c>
      <c r="R113" s="295" t="str">
        <f t="shared" si="11"/>
        <v xml:space="preserve"> </v>
      </c>
      <c r="S113" s="820" t="str">
        <f t="shared" si="12"/>
        <v/>
      </c>
      <c r="T113" s="32"/>
      <c r="U113" s="105"/>
      <c r="V113" s="112"/>
      <c r="W113" s="293" t="str">
        <f t="shared" si="13"/>
        <v/>
      </c>
      <c r="X113" s="293" t="str">
        <f t="shared" si="14"/>
        <v/>
      </c>
      <c r="Y113" s="293" t="str">
        <f t="shared" si="15"/>
        <v/>
      </c>
      <c r="Z113" s="323" t="str">
        <f>IFERROR(IF(OR(E113="",R113=""),"",  IF(AND(Q113='G-7 WaterC'' Data'!$G$4,AA113="Yes"),"Alternative Compensation ✓", IF(AND(AA113="Pending", Q113='G-7 WaterC'' Data'!$G$4),"Bespoke compensation must be agreed ▲", IF((W113+X113)&gt;=R113, 0, R113-W113-X113)))),"Check Data ⚠")</f>
        <v/>
      </c>
      <c r="AA113" s="817"/>
      <c r="AB113" s="140"/>
      <c r="AC113" s="108"/>
      <c r="AD113" s="108"/>
      <c r="AE113" s="54" t="str">
        <f>IF(OR(Q113="",AA113="Yes"),"",IF(Q113='G-1 All Habitats'!$X$9,E113-U113-V113,"None"))</f>
        <v/>
      </c>
      <c r="AF113" s="55" t="str">
        <f>IF(Q113="","", IF(Q113='G-1 All Habitats'!$X$9, AE113*G113*I113*L113*N113*P113,"None"))</f>
        <v/>
      </c>
      <c r="AI113" s="30">
        <f t="shared" si="16"/>
        <v>0</v>
      </c>
      <c r="AJ113" s="111" t="str">
        <f t="shared" si="17"/>
        <v/>
      </c>
      <c r="AK113" s="111" t="str">
        <f t="shared" si="18"/>
        <v/>
      </c>
      <c r="AM113" s="111">
        <v>104</v>
      </c>
      <c r="AO113" s="111" t="str">
        <f t="array" ref="AO113">IFERROR(INDEX($AM$10:$AM$258, MATCH(0, IF(TRUE=$AJ$10:$AJ$258, COUNTIF($AO$9:$AO112, $AM$10:$AM$258), ""), 0)),"")</f>
        <v/>
      </c>
      <c r="AP113" s="111" t="str">
        <f t="array" ref="AP113">IFERROR(INDEX($AM$10:$AM$258, MATCH(0, IF(TRUE=$AK$10:$AK$258, COUNTIF($AP$9:$AP112, $AM$10:$AM$258), ""), 0)),"")</f>
        <v/>
      </c>
      <c r="AR113" s="30" t="str">
        <f>IFERROR(INDEX('G-7 WaterC'' Data'!$AZ$3:$AZ$7,MATCH(D113,'G-7 WaterC'' Data'!$AY$3:$AY$7,0)),"")</f>
        <v/>
      </c>
      <c r="AS113" s="30" t="str">
        <f>IFERROR(INDEX('G-7 WaterC'' Data'!AZ113:AZ117,MATCH(D113,'G-7 WaterC'' Data'!$AY$10:$AY$14,0)),"")</f>
        <v/>
      </c>
      <c r="AT113" s="903" t="str">
        <f>IF(AND(OR(AA113="Yes",AA113="Pending"),Q113='G-7 WaterC'' Data'!$G$4),R113-W113-X113,"")</f>
        <v/>
      </c>
      <c r="AU113" s="30" t="str">
        <f>IF(D113="","",VLOOKUP(D113,'G-7 WaterC'' Data'!B$4:M$8,12,FALSE))</f>
        <v/>
      </c>
      <c r="AV113" s="30" t="str">
        <f t="shared" si="10"/>
        <v/>
      </c>
      <c r="AX113" s="30" t="str">
        <f t="shared" si="19"/>
        <v>No</v>
      </c>
    </row>
    <row r="114" spans="3:50" x14ac:dyDescent="0.25">
      <c r="C114" s="101">
        <v>105</v>
      </c>
      <c r="D114" s="267"/>
      <c r="E114" s="119"/>
      <c r="F114" s="281" t="str">
        <f>IF(D114="","",VLOOKUP(D114,'G-7 WaterC'' Data'!$B$2:$G$8,2,FALSE))</f>
        <v/>
      </c>
      <c r="G114" s="282" t="str">
        <f>IFERROR(VLOOKUP(F114,'G-7 WaterC'' Data'!$C$4:$D$8,2,FALSE),"")</f>
        <v/>
      </c>
      <c r="H114" s="52"/>
      <c r="I114" s="282" t="str">
        <f>IFERROR(INDEX('G-7 WaterC'' Data'!$H$4:$L$8,MATCH(D114,'G-7 WaterC'' Data'!$B$4:$B$8,0),MATCH(H114,'G-7 WaterC'' Data'!$H$3:$L$3,0)),"")</f>
        <v/>
      </c>
      <c r="J114" s="793"/>
      <c r="K114" s="317" t="str">
        <f>IF(J114="","",IF(VLOOKUP(J114,'G-7 WaterC'' Data'!$AK$4:$AM$6,2,FALSE)=0,"Spatial Data Missing ⚠",VLOOKUP(J114,'G-7 WaterC'' Data'!$AK$4:$AM$6,2,FALSE)))</f>
        <v/>
      </c>
      <c r="L114" s="287" t="str">
        <f>IF(J114="","",IF(VLOOKUP(J114,'G-7 WaterC'' Data'!$AK$4:$AM$9,3,FALSE)=0,"Spatial Data Missing ⚠",VLOOKUP(J114,'G-7 WaterC'' Data'!$AK$4:$AM$6,3,FALSE)))</f>
        <v/>
      </c>
      <c r="M114" s="52"/>
      <c r="N114" s="282" t="str">
        <f>IF(M114="","",IF(AND(D114&lt;&gt;"Culvert",M114="N/A - Culvert"),"Not possible ▲",IF(AND(D114="Culvert",M114&lt;&gt;"N/A - Culvert"),"Not possible ▲",IF(VLOOKUP(M114,'G-7 WaterC'' Data'!$AA$4:$AB$7,2,FALSE)=0,"Spatial Data Missing ⚠",VLOOKUP(M114,'G-7 WaterC'' Data'!$AA$4:$AB$7,2,FALSE)))))</f>
        <v/>
      </c>
      <c r="O114" s="56"/>
      <c r="P114" s="282" t="str">
        <f>IF(O114="","",IF(AND(O114="N/A - Culvert", D114&lt;&gt;"Culvert"),"Not possible ▲", IF(AND(D114="Culvert",O114&lt;&gt;"N/A - Culvert"),"Not possible ▲",IF(VLOOKUP(O114,'G-7 WaterC'' Data'!$AD$4:$AE$14,2,FALSE)=0,"Spatial Data Missing ⚠",VLOOKUP(O114,'G-7 WaterC'' Data'!$AD$4:$AE$14,2,FALSE)))))</f>
        <v/>
      </c>
      <c r="Q114" s="288" t="str">
        <f>IF(D114="","",VLOOKUP(D114,'G-7 WaterC'' Data'!$B$2:$G$8,6,FALSE))</f>
        <v/>
      </c>
      <c r="R114" s="295" t="str">
        <f t="shared" si="11"/>
        <v xml:space="preserve"> </v>
      </c>
      <c r="S114" s="820" t="str">
        <f t="shared" si="12"/>
        <v/>
      </c>
      <c r="T114" s="32"/>
      <c r="U114" s="105"/>
      <c r="V114" s="112"/>
      <c r="W114" s="293" t="str">
        <f t="shared" si="13"/>
        <v/>
      </c>
      <c r="X114" s="293" t="str">
        <f t="shared" si="14"/>
        <v/>
      </c>
      <c r="Y114" s="293" t="str">
        <f t="shared" si="15"/>
        <v/>
      </c>
      <c r="Z114" s="323" t="str">
        <f>IFERROR(IF(OR(E114="",R114=""),"",  IF(AND(Q114='G-7 WaterC'' Data'!$G$4,AA114="Yes"),"Alternative Compensation ✓", IF(AND(AA114="Pending", Q114='G-7 WaterC'' Data'!$G$4),"Bespoke compensation must be agreed ▲", IF((W114+X114)&gt;=R114, 0, R114-W114-X114)))),"Check Data ⚠")</f>
        <v/>
      </c>
      <c r="AA114" s="817"/>
      <c r="AB114" s="140"/>
      <c r="AC114" s="108"/>
      <c r="AD114" s="108"/>
      <c r="AE114" s="54" t="str">
        <f>IF(OR(Q114="",AA114="Yes"),"",IF(Q114='G-1 All Habitats'!$X$9,E114-U114-V114,"None"))</f>
        <v/>
      </c>
      <c r="AF114" s="55" t="str">
        <f>IF(Q114="","", IF(Q114='G-1 All Habitats'!$X$9, AE114*G114*I114*L114*N114*P114,"None"))</f>
        <v/>
      </c>
      <c r="AI114" s="30">
        <f t="shared" si="16"/>
        <v>0</v>
      </c>
      <c r="AJ114" s="111" t="str">
        <f t="shared" si="17"/>
        <v/>
      </c>
      <c r="AK114" s="111" t="str">
        <f t="shared" si="18"/>
        <v/>
      </c>
      <c r="AM114" s="111">
        <v>105</v>
      </c>
      <c r="AO114" s="111" t="str">
        <f t="array" ref="AO114">IFERROR(INDEX($AM$10:$AM$258, MATCH(0, IF(TRUE=$AJ$10:$AJ$258, COUNTIF($AO$9:$AO113, $AM$10:$AM$258), ""), 0)),"")</f>
        <v/>
      </c>
      <c r="AP114" s="111" t="str">
        <f t="array" ref="AP114">IFERROR(INDEX($AM$10:$AM$258, MATCH(0, IF(TRUE=$AK$10:$AK$258, COUNTIF($AP$9:$AP113, $AM$10:$AM$258), ""), 0)),"")</f>
        <v/>
      </c>
      <c r="AR114" s="30" t="str">
        <f>IFERROR(INDEX('G-7 WaterC'' Data'!$AZ$3:$AZ$7,MATCH(D114,'G-7 WaterC'' Data'!$AY$3:$AY$7,0)),"")</f>
        <v/>
      </c>
      <c r="AS114" s="30" t="str">
        <f>IFERROR(INDEX('G-7 WaterC'' Data'!AZ114:AZ118,MATCH(D114,'G-7 WaterC'' Data'!$AY$10:$AY$14,0)),"")</f>
        <v/>
      </c>
      <c r="AT114" s="903" t="str">
        <f>IF(AND(OR(AA114="Yes",AA114="Pending"),Q114='G-7 WaterC'' Data'!$G$4),R114-W114-X114,"")</f>
        <v/>
      </c>
      <c r="AU114" s="30" t="str">
        <f>IF(D114="","",VLOOKUP(D114,'G-7 WaterC'' Data'!B$4:M$8,12,FALSE))</f>
        <v/>
      </c>
      <c r="AV114" s="30" t="str">
        <f t="shared" si="10"/>
        <v/>
      </c>
      <c r="AX114" s="30" t="str">
        <f t="shared" si="19"/>
        <v>No</v>
      </c>
    </row>
    <row r="115" spans="3:50" x14ac:dyDescent="0.25">
      <c r="C115" s="101">
        <v>106</v>
      </c>
      <c r="D115" s="267"/>
      <c r="E115" s="119"/>
      <c r="F115" s="281" t="str">
        <f>IF(D115="","",VLOOKUP(D115,'G-7 WaterC'' Data'!$B$2:$G$8,2,FALSE))</f>
        <v/>
      </c>
      <c r="G115" s="282" t="str">
        <f>IFERROR(VLOOKUP(F115,'G-7 WaterC'' Data'!$C$4:$D$8,2,FALSE),"")</f>
        <v/>
      </c>
      <c r="H115" s="52"/>
      <c r="I115" s="282" t="str">
        <f>IFERROR(INDEX('G-7 WaterC'' Data'!$H$4:$L$8,MATCH(D115,'G-7 WaterC'' Data'!$B$4:$B$8,0),MATCH(H115,'G-7 WaterC'' Data'!$H$3:$L$3,0)),"")</f>
        <v/>
      </c>
      <c r="J115" s="793"/>
      <c r="K115" s="317" t="str">
        <f>IF(J115="","",IF(VLOOKUP(J115,'G-7 WaterC'' Data'!$AK$4:$AM$6,2,FALSE)=0,"Spatial Data Missing ⚠",VLOOKUP(J115,'G-7 WaterC'' Data'!$AK$4:$AM$6,2,FALSE)))</f>
        <v/>
      </c>
      <c r="L115" s="287" t="str">
        <f>IF(J115="","",IF(VLOOKUP(J115,'G-7 WaterC'' Data'!$AK$4:$AM$9,3,FALSE)=0,"Spatial Data Missing ⚠",VLOOKUP(J115,'G-7 WaterC'' Data'!$AK$4:$AM$6,3,FALSE)))</f>
        <v/>
      </c>
      <c r="M115" s="52"/>
      <c r="N115" s="282" t="str">
        <f>IF(M115="","",IF(AND(D115&lt;&gt;"Culvert",M115="N/A - Culvert"),"Not possible ▲",IF(AND(D115="Culvert",M115&lt;&gt;"N/A - Culvert"),"Not possible ▲",IF(VLOOKUP(M115,'G-7 WaterC'' Data'!$AA$4:$AB$7,2,FALSE)=0,"Spatial Data Missing ⚠",VLOOKUP(M115,'G-7 WaterC'' Data'!$AA$4:$AB$7,2,FALSE)))))</f>
        <v/>
      </c>
      <c r="O115" s="56"/>
      <c r="P115" s="282" t="str">
        <f>IF(O115="","",IF(AND(O115="N/A - Culvert", D115&lt;&gt;"Culvert"),"Not possible ▲", IF(AND(D115="Culvert",O115&lt;&gt;"N/A - Culvert"),"Not possible ▲",IF(VLOOKUP(O115,'G-7 WaterC'' Data'!$AD$4:$AE$14,2,FALSE)=0,"Spatial Data Missing ⚠",VLOOKUP(O115,'G-7 WaterC'' Data'!$AD$4:$AE$14,2,FALSE)))))</f>
        <v/>
      </c>
      <c r="Q115" s="288" t="str">
        <f>IF(D115="","",VLOOKUP(D115,'G-7 WaterC'' Data'!$B$2:$G$8,6,FALSE))</f>
        <v/>
      </c>
      <c r="R115" s="295" t="str">
        <f t="shared" si="11"/>
        <v xml:space="preserve"> </v>
      </c>
      <c r="S115" s="820" t="str">
        <f t="shared" si="12"/>
        <v/>
      </c>
      <c r="T115" s="32"/>
      <c r="U115" s="105"/>
      <c r="V115" s="112"/>
      <c r="W115" s="293" t="str">
        <f t="shared" si="13"/>
        <v/>
      </c>
      <c r="X115" s="293" t="str">
        <f t="shared" si="14"/>
        <v/>
      </c>
      <c r="Y115" s="293" t="str">
        <f t="shared" si="15"/>
        <v/>
      </c>
      <c r="Z115" s="323" t="str">
        <f>IFERROR(IF(OR(E115="",R115=""),"",  IF(AND(Q115='G-7 WaterC'' Data'!$G$4,AA115="Yes"),"Alternative Compensation ✓", IF(AND(AA115="Pending", Q115='G-7 WaterC'' Data'!$G$4),"Bespoke compensation must be agreed ▲", IF((W115+X115)&gt;=R115, 0, R115-W115-X115)))),"Check Data ⚠")</f>
        <v/>
      </c>
      <c r="AA115" s="817"/>
      <c r="AB115" s="140"/>
      <c r="AC115" s="108"/>
      <c r="AD115" s="108"/>
      <c r="AE115" s="54" t="str">
        <f>IF(OR(Q115="",AA115="Yes"),"",IF(Q115='G-1 All Habitats'!$X$9,E115-U115-V115,"None"))</f>
        <v/>
      </c>
      <c r="AF115" s="55" t="str">
        <f>IF(Q115="","", IF(Q115='G-1 All Habitats'!$X$9, AE115*G115*I115*L115*N115*P115,"None"))</f>
        <v/>
      </c>
      <c r="AI115" s="30">
        <f t="shared" si="16"/>
        <v>0</v>
      </c>
      <c r="AJ115" s="111" t="str">
        <f t="shared" si="17"/>
        <v/>
      </c>
      <c r="AK115" s="111" t="str">
        <f t="shared" si="18"/>
        <v/>
      </c>
      <c r="AM115" s="111">
        <v>106</v>
      </c>
      <c r="AO115" s="111" t="str">
        <f t="array" ref="AO115">IFERROR(INDEX($AM$10:$AM$258, MATCH(0, IF(TRUE=$AJ$10:$AJ$258, COUNTIF($AO$9:$AO114, $AM$10:$AM$258), ""), 0)),"")</f>
        <v/>
      </c>
      <c r="AP115" s="111" t="str">
        <f t="array" ref="AP115">IFERROR(INDEX($AM$10:$AM$258, MATCH(0, IF(TRUE=$AK$10:$AK$258, COUNTIF($AP$9:$AP114, $AM$10:$AM$258), ""), 0)),"")</f>
        <v/>
      </c>
      <c r="AR115" s="30" t="str">
        <f>IFERROR(INDEX('G-7 WaterC'' Data'!$AZ$3:$AZ$7,MATCH(D115,'G-7 WaterC'' Data'!$AY$3:$AY$7,0)),"")</f>
        <v/>
      </c>
      <c r="AS115" s="30" t="str">
        <f>IFERROR(INDEX('G-7 WaterC'' Data'!AZ115:AZ119,MATCH(D115,'G-7 WaterC'' Data'!$AY$10:$AY$14,0)),"")</f>
        <v/>
      </c>
      <c r="AT115" s="903" t="str">
        <f>IF(AND(OR(AA115="Yes",AA115="Pending"),Q115='G-7 WaterC'' Data'!$G$4),R115-W115-X115,"")</f>
        <v/>
      </c>
      <c r="AU115" s="30" t="str">
        <f>IF(D115="","",VLOOKUP(D115,'G-7 WaterC'' Data'!B$4:M$8,12,FALSE))</f>
        <v/>
      </c>
      <c r="AV115" s="30" t="str">
        <f t="shared" si="10"/>
        <v/>
      </c>
      <c r="AX115" s="30" t="str">
        <f t="shared" si="19"/>
        <v>No</v>
      </c>
    </row>
    <row r="116" spans="3:50" x14ac:dyDescent="0.25">
      <c r="C116" s="101">
        <v>107</v>
      </c>
      <c r="D116" s="267"/>
      <c r="E116" s="119"/>
      <c r="F116" s="281" t="str">
        <f>IF(D116="","",VLOOKUP(D116,'G-7 WaterC'' Data'!$B$2:$G$8,2,FALSE))</f>
        <v/>
      </c>
      <c r="G116" s="282" t="str">
        <f>IFERROR(VLOOKUP(F116,'G-7 WaterC'' Data'!$C$4:$D$8,2,FALSE),"")</f>
        <v/>
      </c>
      <c r="H116" s="52"/>
      <c r="I116" s="282" t="str">
        <f>IFERROR(INDEX('G-7 WaterC'' Data'!$H$4:$L$8,MATCH(D116,'G-7 WaterC'' Data'!$B$4:$B$8,0),MATCH(H116,'G-7 WaterC'' Data'!$H$3:$L$3,0)),"")</f>
        <v/>
      </c>
      <c r="J116" s="793"/>
      <c r="K116" s="317" t="str">
        <f>IF(J116="","",IF(VLOOKUP(J116,'G-7 WaterC'' Data'!$AK$4:$AM$6,2,FALSE)=0,"Spatial Data Missing ⚠",VLOOKUP(J116,'G-7 WaterC'' Data'!$AK$4:$AM$6,2,FALSE)))</f>
        <v/>
      </c>
      <c r="L116" s="287" t="str">
        <f>IF(J116="","",IF(VLOOKUP(J116,'G-7 WaterC'' Data'!$AK$4:$AM$9,3,FALSE)=0,"Spatial Data Missing ⚠",VLOOKUP(J116,'G-7 WaterC'' Data'!$AK$4:$AM$6,3,FALSE)))</f>
        <v/>
      </c>
      <c r="M116" s="52"/>
      <c r="N116" s="282" t="str">
        <f>IF(M116="","",IF(AND(D116&lt;&gt;"Culvert",M116="N/A - Culvert"),"Not possible ▲",IF(AND(D116="Culvert",M116&lt;&gt;"N/A - Culvert"),"Not possible ▲",IF(VLOOKUP(M116,'G-7 WaterC'' Data'!$AA$4:$AB$7,2,FALSE)=0,"Spatial Data Missing ⚠",VLOOKUP(M116,'G-7 WaterC'' Data'!$AA$4:$AB$7,2,FALSE)))))</f>
        <v/>
      </c>
      <c r="O116" s="56"/>
      <c r="P116" s="282" t="str">
        <f>IF(O116="","",IF(AND(O116="N/A - Culvert", D116&lt;&gt;"Culvert"),"Not possible ▲", IF(AND(D116="Culvert",O116&lt;&gt;"N/A - Culvert"),"Not possible ▲",IF(VLOOKUP(O116,'G-7 WaterC'' Data'!$AD$4:$AE$14,2,FALSE)=0,"Spatial Data Missing ⚠",VLOOKUP(O116,'G-7 WaterC'' Data'!$AD$4:$AE$14,2,FALSE)))))</f>
        <v/>
      </c>
      <c r="Q116" s="288" t="str">
        <f>IF(D116="","",VLOOKUP(D116,'G-7 WaterC'' Data'!$B$2:$G$8,6,FALSE))</f>
        <v/>
      </c>
      <c r="R116" s="295" t="str">
        <f t="shared" si="11"/>
        <v xml:space="preserve"> </v>
      </c>
      <c r="S116" s="820" t="str">
        <f t="shared" si="12"/>
        <v/>
      </c>
      <c r="T116" s="32"/>
      <c r="U116" s="105"/>
      <c r="V116" s="112"/>
      <c r="W116" s="293" t="str">
        <f t="shared" si="13"/>
        <v/>
      </c>
      <c r="X116" s="293" t="str">
        <f t="shared" si="14"/>
        <v/>
      </c>
      <c r="Y116" s="293" t="str">
        <f t="shared" si="15"/>
        <v/>
      </c>
      <c r="Z116" s="323" t="str">
        <f>IFERROR(IF(OR(E116="",R116=""),"",  IF(AND(Q116='G-7 WaterC'' Data'!$G$4,AA116="Yes"),"Alternative Compensation ✓", IF(AND(AA116="Pending", Q116='G-7 WaterC'' Data'!$G$4),"Bespoke compensation must be agreed ▲", IF((W116+X116)&gt;=R116, 0, R116-W116-X116)))),"Check Data ⚠")</f>
        <v/>
      </c>
      <c r="AA116" s="817"/>
      <c r="AB116" s="140"/>
      <c r="AC116" s="108"/>
      <c r="AD116" s="108"/>
      <c r="AE116" s="54" t="str">
        <f>IF(OR(Q116="",AA116="Yes"),"",IF(Q116='G-1 All Habitats'!$X$9,E116-U116-V116,"None"))</f>
        <v/>
      </c>
      <c r="AF116" s="55" t="str">
        <f>IF(Q116="","", IF(Q116='G-1 All Habitats'!$X$9, AE116*G116*I116*L116*N116*P116,"None"))</f>
        <v/>
      </c>
      <c r="AI116" s="30">
        <f t="shared" si="16"/>
        <v>0</v>
      </c>
      <c r="AJ116" s="111" t="str">
        <f t="shared" si="17"/>
        <v/>
      </c>
      <c r="AK116" s="111" t="str">
        <f t="shared" si="18"/>
        <v/>
      </c>
      <c r="AM116" s="111">
        <v>107</v>
      </c>
      <c r="AO116" s="111" t="str">
        <f t="array" ref="AO116">IFERROR(INDEX($AM$10:$AM$258, MATCH(0, IF(TRUE=$AJ$10:$AJ$258, COUNTIF($AO$9:$AO115, $AM$10:$AM$258), ""), 0)),"")</f>
        <v/>
      </c>
      <c r="AP116" s="111" t="str">
        <f t="array" ref="AP116">IFERROR(INDEX($AM$10:$AM$258, MATCH(0, IF(TRUE=$AK$10:$AK$258, COUNTIF($AP$9:$AP115, $AM$10:$AM$258), ""), 0)),"")</f>
        <v/>
      </c>
      <c r="AR116" s="30" t="str">
        <f>IFERROR(INDEX('G-7 WaterC'' Data'!$AZ$3:$AZ$7,MATCH(D116,'G-7 WaterC'' Data'!$AY$3:$AY$7,0)),"")</f>
        <v/>
      </c>
      <c r="AS116" s="30" t="str">
        <f>IFERROR(INDEX('G-7 WaterC'' Data'!AZ116:AZ120,MATCH(D116,'G-7 WaterC'' Data'!$AY$10:$AY$14,0)),"")</f>
        <v/>
      </c>
      <c r="AT116" s="903" t="str">
        <f>IF(AND(OR(AA116="Yes",AA116="Pending"),Q116='G-7 WaterC'' Data'!$G$4),R116-W116-X116,"")</f>
        <v/>
      </c>
      <c r="AU116" s="30" t="str">
        <f>IF(D116="","",VLOOKUP(D116,'G-7 WaterC'' Data'!B$4:M$8,12,FALSE))</f>
        <v/>
      </c>
      <c r="AV116" s="30" t="str">
        <f t="shared" si="10"/>
        <v/>
      </c>
      <c r="AX116" s="30" t="str">
        <f t="shared" si="19"/>
        <v>No</v>
      </c>
    </row>
    <row r="117" spans="3:50" x14ac:dyDescent="0.25">
      <c r="C117" s="101">
        <v>108</v>
      </c>
      <c r="D117" s="267"/>
      <c r="E117" s="119"/>
      <c r="F117" s="281" t="str">
        <f>IF(D117="","",VLOOKUP(D117,'G-7 WaterC'' Data'!$B$2:$G$8,2,FALSE))</f>
        <v/>
      </c>
      <c r="G117" s="282" t="str">
        <f>IFERROR(VLOOKUP(F117,'G-7 WaterC'' Data'!$C$4:$D$8,2,FALSE),"")</f>
        <v/>
      </c>
      <c r="H117" s="52"/>
      <c r="I117" s="282" t="str">
        <f>IFERROR(INDEX('G-7 WaterC'' Data'!$H$4:$L$8,MATCH(D117,'G-7 WaterC'' Data'!$B$4:$B$8,0),MATCH(H117,'G-7 WaterC'' Data'!$H$3:$L$3,0)),"")</f>
        <v/>
      </c>
      <c r="J117" s="793"/>
      <c r="K117" s="317" t="str">
        <f>IF(J117="","",IF(VLOOKUP(J117,'G-7 WaterC'' Data'!$AK$4:$AM$6,2,FALSE)=0,"Spatial Data Missing ⚠",VLOOKUP(J117,'G-7 WaterC'' Data'!$AK$4:$AM$6,2,FALSE)))</f>
        <v/>
      </c>
      <c r="L117" s="287" t="str">
        <f>IF(J117="","",IF(VLOOKUP(J117,'G-7 WaterC'' Data'!$AK$4:$AM$9,3,FALSE)=0,"Spatial Data Missing ⚠",VLOOKUP(J117,'G-7 WaterC'' Data'!$AK$4:$AM$6,3,FALSE)))</f>
        <v/>
      </c>
      <c r="M117" s="52"/>
      <c r="N117" s="282" t="str">
        <f>IF(M117="","",IF(AND(D117&lt;&gt;"Culvert",M117="N/A - Culvert"),"Not possible ▲",IF(AND(D117="Culvert",M117&lt;&gt;"N/A - Culvert"),"Not possible ▲",IF(VLOOKUP(M117,'G-7 WaterC'' Data'!$AA$4:$AB$7,2,FALSE)=0,"Spatial Data Missing ⚠",VLOOKUP(M117,'G-7 WaterC'' Data'!$AA$4:$AB$7,2,FALSE)))))</f>
        <v/>
      </c>
      <c r="O117" s="56"/>
      <c r="P117" s="282" t="str">
        <f>IF(O117="","",IF(AND(O117="N/A - Culvert", D117&lt;&gt;"Culvert"),"Not possible ▲", IF(AND(D117="Culvert",O117&lt;&gt;"N/A - Culvert"),"Not possible ▲",IF(VLOOKUP(O117,'G-7 WaterC'' Data'!$AD$4:$AE$14,2,FALSE)=0,"Spatial Data Missing ⚠",VLOOKUP(O117,'G-7 WaterC'' Data'!$AD$4:$AE$14,2,FALSE)))))</f>
        <v/>
      </c>
      <c r="Q117" s="288" t="str">
        <f>IF(D117="","",VLOOKUP(D117,'G-7 WaterC'' Data'!$B$2:$G$8,6,FALSE))</f>
        <v/>
      </c>
      <c r="R117" s="295" t="str">
        <f t="shared" si="11"/>
        <v xml:space="preserve"> </v>
      </c>
      <c r="S117" s="820" t="str">
        <f t="shared" si="12"/>
        <v/>
      </c>
      <c r="T117" s="32"/>
      <c r="U117" s="105"/>
      <c r="V117" s="112"/>
      <c r="W117" s="293" t="str">
        <f t="shared" si="13"/>
        <v/>
      </c>
      <c r="X117" s="293" t="str">
        <f t="shared" si="14"/>
        <v/>
      </c>
      <c r="Y117" s="293" t="str">
        <f t="shared" si="15"/>
        <v/>
      </c>
      <c r="Z117" s="323" t="str">
        <f>IFERROR(IF(OR(E117="",R117=""),"",  IF(AND(Q117='G-7 WaterC'' Data'!$G$4,AA117="Yes"),"Alternative Compensation ✓", IF(AND(AA117="Pending", Q117='G-7 WaterC'' Data'!$G$4),"Bespoke compensation must be agreed ▲", IF((W117+X117)&gt;=R117, 0, R117-W117-X117)))),"Check Data ⚠")</f>
        <v/>
      </c>
      <c r="AA117" s="817"/>
      <c r="AB117" s="140"/>
      <c r="AC117" s="108"/>
      <c r="AD117" s="108"/>
      <c r="AE117" s="54" t="str">
        <f>IF(OR(Q117="",AA117="Yes"),"",IF(Q117='G-1 All Habitats'!$X$9,E117-U117-V117,"None"))</f>
        <v/>
      </c>
      <c r="AF117" s="55" t="str">
        <f>IF(Q117="","", IF(Q117='G-1 All Habitats'!$X$9, AE117*G117*I117*L117*N117*P117,"None"))</f>
        <v/>
      </c>
      <c r="AI117" s="30">
        <f t="shared" si="16"/>
        <v>0</v>
      </c>
      <c r="AJ117" s="111" t="str">
        <f t="shared" si="17"/>
        <v/>
      </c>
      <c r="AK117" s="111" t="str">
        <f t="shared" si="18"/>
        <v/>
      </c>
      <c r="AM117" s="111">
        <v>108</v>
      </c>
      <c r="AO117" s="111" t="str">
        <f t="array" ref="AO117">IFERROR(INDEX($AM$10:$AM$258, MATCH(0, IF(TRUE=$AJ$10:$AJ$258, COUNTIF($AO$9:$AO116, $AM$10:$AM$258), ""), 0)),"")</f>
        <v/>
      </c>
      <c r="AP117" s="111" t="str">
        <f t="array" ref="AP117">IFERROR(INDEX($AM$10:$AM$258, MATCH(0, IF(TRUE=$AK$10:$AK$258, COUNTIF($AP$9:$AP116, $AM$10:$AM$258), ""), 0)),"")</f>
        <v/>
      </c>
      <c r="AR117" s="30" t="str">
        <f>IFERROR(INDEX('G-7 WaterC'' Data'!$AZ$3:$AZ$7,MATCH(D117,'G-7 WaterC'' Data'!$AY$3:$AY$7,0)),"")</f>
        <v/>
      </c>
      <c r="AS117" s="30" t="str">
        <f>IFERROR(INDEX('G-7 WaterC'' Data'!AZ117:AZ121,MATCH(D117,'G-7 WaterC'' Data'!$AY$10:$AY$14,0)),"")</f>
        <v/>
      </c>
      <c r="AT117" s="903" t="str">
        <f>IF(AND(OR(AA117="Yes",AA117="Pending"),Q117='G-7 WaterC'' Data'!$G$4),R117-W117-X117,"")</f>
        <v/>
      </c>
      <c r="AU117" s="30" t="str">
        <f>IF(D117="","",VLOOKUP(D117,'G-7 WaterC'' Data'!B$4:M$8,12,FALSE))</f>
        <v/>
      </c>
      <c r="AV117" s="30" t="str">
        <f t="shared" si="10"/>
        <v/>
      </c>
      <c r="AX117" s="30" t="str">
        <f t="shared" si="19"/>
        <v>No</v>
      </c>
    </row>
    <row r="118" spans="3:50" x14ac:dyDescent="0.25">
      <c r="C118" s="101">
        <v>109</v>
      </c>
      <c r="D118" s="267"/>
      <c r="E118" s="119"/>
      <c r="F118" s="281" t="str">
        <f>IF(D118="","",VLOOKUP(D118,'G-7 WaterC'' Data'!$B$2:$G$8,2,FALSE))</f>
        <v/>
      </c>
      <c r="G118" s="282" t="str">
        <f>IFERROR(VLOOKUP(F118,'G-7 WaterC'' Data'!$C$4:$D$8,2,FALSE),"")</f>
        <v/>
      </c>
      <c r="H118" s="52"/>
      <c r="I118" s="282" t="str">
        <f>IFERROR(INDEX('G-7 WaterC'' Data'!$H$4:$L$8,MATCH(D118,'G-7 WaterC'' Data'!$B$4:$B$8,0),MATCH(H118,'G-7 WaterC'' Data'!$H$3:$L$3,0)),"")</f>
        <v/>
      </c>
      <c r="J118" s="793"/>
      <c r="K118" s="317" t="str">
        <f>IF(J118="","",IF(VLOOKUP(J118,'G-7 WaterC'' Data'!$AK$4:$AM$6,2,FALSE)=0,"Spatial Data Missing ⚠",VLOOKUP(J118,'G-7 WaterC'' Data'!$AK$4:$AM$6,2,FALSE)))</f>
        <v/>
      </c>
      <c r="L118" s="287" t="str">
        <f>IF(J118="","",IF(VLOOKUP(J118,'G-7 WaterC'' Data'!$AK$4:$AM$9,3,FALSE)=0,"Spatial Data Missing ⚠",VLOOKUP(J118,'G-7 WaterC'' Data'!$AK$4:$AM$6,3,FALSE)))</f>
        <v/>
      </c>
      <c r="M118" s="52"/>
      <c r="N118" s="282" t="str">
        <f>IF(M118="","",IF(AND(D118&lt;&gt;"Culvert",M118="N/A - Culvert"),"Not possible ▲",IF(AND(D118="Culvert",M118&lt;&gt;"N/A - Culvert"),"Not possible ▲",IF(VLOOKUP(M118,'G-7 WaterC'' Data'!$AA$4:$AB$7,2,FALSE)=0,"Spatial Data Missing ⚠",VLOOKUP(M118,'G-7 WaterC'' Data'!$AA$4:$AB$7,2,FALSE)))))</f>
        <v/>
      </c>
      <c r="O118" s="56"/>
      <c r="P118" s="282" t="str">
        <f>IF(O118="","",IF(AND(O118="N/A - Culvert", D118&lt;&gt;"Culvert"),"Not possible ▲", IF(AND(D118="Culvert",O118&lt;&gt;"N/A - Culvert"),"Not possible ▲",IF(VLOOKUP(O118,'G-7 WaterC'' Data'!$AD$4:$AE$14,2,FALSE)=0,"Spatial Data Missing ⚠",VLOOKUP(O118,'G-7 WaterC'' Data'!$AD$4:$AE$14,2,FALSE)))))</f>
        <v/>
      </c>
      <c r="Q118" s="288" t="str">
        <f>IF(D118="","",VLOOKUP(D118,'G-7 WaterC'' Data'!$B$2:$G$8,6,FALSE))</f>
        <v/>
      </c>
      <c r="R118" s="295" t="str">
        <f t="shared" si="11"/>
        <v xml:space="preserve"> </v>
      </c>
      <c r="S118" s="820" t="str">
        <f t="shared" si="12"/>
        <v/>
      </c>
      <c r="T118" s="32"/>
      <c r="U118" s="105"/>
      <c r="V118" s="112"/>
      <c r="W118" s="293" t="str">
        <f t="shared" si="13"/>
        <v/>
      </c>
      <c r="X118" s="293" t="str">
        <f t="shared" si="14"/>
        <v/>
      </c>
      <c r="Y118" s="293" t="str">
        <f t="shared" si="15"/>
        <v/>
      </c>
      <c r="Z118" s="323" t="str">
        <f>IFERROR(IF(OR(E118="",R118=""),"",  IF(AND(Q118='G-7 WaterC'' Data'!$G$4,AA118="Yes"),"Alternative Compensation ✓", IF(AND(AA118="Pending", Q118='G-7 WaterC'' Data'!$G$4),"Bespoke compensation must be agreed ▲", IF((W118+X118)&gt;=R118, 0, R118-W118-X118)))),"Check Data ⚠")</f>
        <v/>
      </c>
      <c r="AA118" s="817"/>
      <c r="AB118" s="140"/>
      <c r="AC118" s="108"/>
      <c r="AD118" s="108"/>
      <c r="AE118" s="54" t="str">
        <f>IF(OR(Q118="",AA118="Yes"),"",IF(Q118='G-1 All Habitats'!$X$9,E118-U118-V118,"None"))</f>
        <v/>
      </c>
      <c r="AF118" s="55" t="str">
        <f>IF(Q118="","", IF(Q118='G-1 All Habitats'!$X$9, AE118*G118*I118*L118*N118*P118,"None"))</f>
        <v/>
      </c>
      <c r="AI118" s="30">
        <f t="shared" si="16"/>
        <v>0</v>
      </c>
      <c r="AJ118" s="111" t="str">
        <f t="shared" si="17"/>
        <v/>
      </c>
      <c r="AK118" s="111" t="str">
        <f t="shared" si="18"/>
        <v/>
      </c>
      <c r="AM118" s="111">
        <v>109</v>
      </c>
      <c r="AO118" s="111" t="str">
        <f t="array" ref="AO118">IFERROR(INDEX($AM$10:$AM$258, MATCH(0, IF(TRUE=$AJ$10:$AJ$258, COUNTIF($AO$9:$AO117, $AM$10:$AM$258), ""), 0)),"")</f>
        <v/>
      </c>
      <c r="AP118" s="111" t="str">
        <f t="array" ref="AP118">IFERROR(INDEX($AM$10:$AM$258, MATCH(0, IF(TRUE=$AK$10:$AK$258, COUNTIF($AP$9:$AP117, $AM$10:$AM$258), ""), 0)),"")</f>
        <v/>
      </c>
      <c r="AR118" s="30" t="str">
        <f>IFERROR(INDEX('G-7 WaterC'' Data'!$AZ$3:$AZ$7,MATCH(D118,'G-7 WaterC'' Data'!$AY$3:$AY$7,0)),"")</f>
        <v/>
      </c>
      <c r="AS118" s="30" t="str">
        <f>IFERROR(INDEX('G-7 WaterC'' Data'!AZ118:AZ122,MATCH(D118,'G-7 WaterC'' Data'!$AY$10:$AY$14,0)),"")</f>
        <v/>
      </c>
      <c r="AT118" s="903" t="str">
        <f>IF(AND(OR(AA118="Yes",AA118="Pending"),Q118='G-7 WaterC'' Data'!$G$4),R118-W118-X118,"")</f>
        <v/>
      </c>
      <c r="AU118" s="30" t="str">
        <f>IF(D118="","",VLOOKUP(D118,'G-7 WaterC'' Data'!B$4:M$8,12,FALSE))</f>
        <v/>
      </c>
      <c r="AV118" s="30" t="str">
        <f t="shared" si="10"/>
        <v/>
      </c>
      <c r="AX118" s="30" t="str">
        <f t="shared" si="19"/>
        <v>No</v>
      </c>
    </row>
    <row r="119" spans="3:50" x14ac:dyDescent="0.25">
      <c r="C119" s="101">
        <v>110</v>
      </c>
      <c r="D119" s="267"/>
      <c r="E119" s="119"/>
      <c r="F119" s="281" t="str">
        <f>IF(D119="","",VLOOKUP(D119,'G-7 WaterC'' Data'!$B$2:$G$8,2,FALSE))</f>
        <v/>
      </c>
      <c r="G119" s="282" t="str">
        <f>IFERROR(VLOOKUP(F119,'G-7 WaterC'' Data'!$C$4:$D$8,2,FALSE),"")</f>
        <v/>
      </c>
      <c r="H119" s="52"/>
      <c r="I119" s="282" t="str">
        <f>IFERROR(INDEX('G-7 WaterC'' Data'!$H$4:$L$8,MATCH(D119,'G-7 WaterC'' Data'!$B$4:$B$8,0),MATCH(H119,'G-7 WaterC'' Data'!$H$3:$L$3,0)),"")</f>
        <v/>
      </c>
      <c r="J119" s="793"/>
      <c r="K119" s="317" t="str">
        <f>IF(J119="","",IF(VLOOKUP(J119,'G-7 WaterC'' Data'!$AK$4:$AM$6,2,FALSE)=0,"Spatial Data Missing ⚠",VLOOKUP(J119,'G-7 WaterC'' Data'!$AK$4:$AM$6,2,FALSE)))</f>
        <v/>
      </c>
      <c r="L119" s="287" t="str">
        <f>IF(J119="","",IF(VLOOKUP(J119,'G-7 WaterC'' Data'!$AK$4:$AM$9,3,FALSE)=0,"Spatial Data Missing ⚠",VLOOKUP(J119,'G-7 WaterC'' Data'!$AK$4:$AM$6,3,FALSE)))</f>
        <v/>
      </c>
      <c r="M119" s="52"/>
      <c r="N119" s="282" t="str">
        <f>IF(M119="","",IF(AND(D119&lt;&gt;"Culvert",M119="N/A - Culvert"),"Not possible ▲",IF(AND(D119="Culvert",M119&lt;&gt;"N/A - Culvert"),"Not possible ▲",IF(VLOOKUP(M119,'G-7 WaterC'' Data'!$AA$4:$AB$7,2,FALSE)=0,"Spatial Data Missing ⚠",VLOOKUP(M119,'G-7 WaterC'' Data'!$AA$4:$AB$7,2,FALSE)))))</f>
        <v/>
      </c>
      <c r="O119" s="56"/>
      <c r="P119" s="282" t="str">
        <f>IF(O119="","",IF(AND(O119="N/A - Culvert", D119&lt;&gt;"Culvert"),"Not possible ▲", IF(AND(D119="Culvert",O119&lt;&gt;"N/A - Culvert"),"Not possible ▲",IF(VLOOKUP(O119,'G-7 WaterC'' Data'!$AD$4:$AE$14,2,FALSE)=0,"Spatial Data Missing ⚠",VLOOKUP(O119,'G-7 WaterC'' Data'!$AD$4:$AE$14,2,FALSE)))))</f>
        <v/>
      </c>
      <c r="Q119" s="288" t="str">
        <f>IF(D119="","",VLOOKUP(D119,'G-7 WaterC'' Data'!$B$2:$G$8,6,FALSE))</f>
        <v/>
      </c>
      <c r="R119" s="295" t="str">
        <f t="shared" si="11"/>
        <v xml:space="preserve"> </v>
      </c>
      <c r="S119" s="820" t="str">
        <f t="shared" si="12"/>
        <v/>
      </c>
      <c r="T119" s="32"/>
      <c r="U119" s="105"/>
      <c r="V119" s="112"/>
      <c r="W119" s="293" t="str">
        <f t="shared" si="13"/>
        <v/>
      </c>
      <c r="X119" s="293" t="str">
        <f t="shared" si="14"/>
        <v/>
      </c>
      <c r="Y119" s="293" t="str">
        <f t="shared" si="15"/>
        <v/>
      </c>
      <c r="Z119" s="323" t="str">
        <f>IFERROR(IF(OR(E119="",R119=""),"",  IF(AND(Q119='G-7 WaterC'' Data'!$G$4,AA119="Yes"),"Alternative Compensation ✓", IF(AND(AA119="Pending", Q119='G-7 WaterC'' Data'!$G$4),"Bespoke compensation must be agreed ▲", IF((W119+X119)&gt;=R119, 0, R119-W119-X119)))),"Check Data ⚠")</f>
        <v/>
      </c>
      <c r="AA119" s="817"/>
      <c r="AB119" s="140"/>
      <c r="AC119" s="108"/>
      <c r="AD119" s="108"/>
      <c r="AE119" s="54" t="str">
        <f>IF(OR(Q119="",AA119="Yes"),"",IF(Q119='G-1 All Habitats'!$X$9,E119-U119-V119,"None"))</f>
        <v/>
      </c>
      <c r="AF119" s="55" t="str">
        <f>IF(Q119="","", IF(Q119='G-1 All Habitats'!$X$9, AE119*G119*I119*L119*N119*P119,"None"))</f>
        <v/>
      </c>
      <c r="AI119" s="30">
        <f t="shared" si="16"/>
        <v>0</v>
      </c>
      <c r="AJ119" s="111" t="str">
        <f t="shared" si="17"/>
        <v/>
      </c>
      <c r="AK119" s="111" t="str">
        <f t="shared" si="18"/>
        <v/>
      </c>
      <c r="AM119" s="111">
        <v>110</v>
      </c>
      <c r="AO119" s="111" t="str">
        <f t="array" ref="AO119">IFERROR(INDEX($AM$10:$AM$258, MATCH(0, IF(TRUE=$AJ$10:$AJ$258, COUNTIF($AO$9:$AO118, $AM$10:$AM$258), ""), 0)),"")</f>
        <v/>
      </c>
      <c r="AP119" s="111" t="str">
        <f t="array" ref="AP119">IFERROR(INDEX($AM$10:$AM$258, MATCH(0, IF(TRUE=$AK$10:$AK$258, COUNTIF($AP$9:$AP118, $AM$10:$AM$258), ""), 0)),"")</f>
        <v/>
      </c>
      <c r="AR119" s="30" t="str">
        <f>IFERROR(INDEX('G-7 WaterC'' Data'!$AZ$3:$AZ$7,MATCH(D119,'G-7 WaterC'' Data'!$AY$3:$AY$7,0)),"")</f>
        <v/>
      </c>
      <c r="AS119" s="30" t="str">
        <f>IFERROR(INDEX('G-7 WaterC'' Data'!AZ119:AZ123,MATCH(D119,'G-7 WaterC'' Data'!$AY$10:$AY$14,0)),"")</f>
        <v/>
      </c>
      <c r="AT119" s="903" t="str">
        <f>IF(AND(OR(AA119="Yes",AA119="Pending"),Q119='G-7 WaterC'' Data'!$G$4),R119-W119-X119,"")</f>
        <v/>
      </c>
      <c r="AU119" s="30" t="str">
        <f>IF(D119="","",VLOOKUP(D119,'G-7 WaterC'' Data'!B$4:M$8,12,FALSE))</f>
        <v/>
      </c>
      <c r="AV119" s="30" t="str">
        <f t="shared" si="10"/>
        <v/>
      </c>
      <c r="AX119" s="30" t="str">
        <f t="shared" si="19"/>
        <v>No</v>
      </c>
    </row>
    <row r="120" spans="3:50" x14ac:dyDescent="0.25">
      <c r="C120" s="101">
        <v>111</v>
      </c>
      <c r="D120" s="267"/>
      <c r="E120" s="119"/>
      <c r="F120" s="281" t="str">
        <f>IF(D120="","",VLOOKUP(D120,'G-7 WaterC'' Data'!$B$2:$G$8,2,FALSE))</f>
        <v/>
      </c>
      <c r="G120" s="282" t="str">
        <f>IFERROR(VLOOKUP(F120,'G-7 WaterC'' Data'!$C$4:$D$8,2,FALSE),"")</f>
        <v/>
      </c>
      <c r="H120" s="52"/>
      <c r="I120" s="282" t="str">
        <f>IFERROR(INDEX('G-7 WaterC'' Data'!$H$4:$L$8,MATCH(D120,'G-7 WaterC'' Data'!$B$4:$B$8,0),MATCH(H120,'G-7 WaterC'' Data'!$H$3:$L$3,0)),"")</f>
        <v/>
      </c>
      <c r="J120" s="793"/>
      <c r="K120" s="317" t="str">
        <f>IF(J120="","",IF(VLOOKUP(J120,'G-7 WaterC'' Data'!$AK$4:$AM$6,2,FALSE)=0,"Spatial Data Missing ⚠",VLOOKUP(J120,'G-7 WaterC'' Data'!$AK$4:$AM$6,2,FALSE)))</f>
        <v/>
      </c>
      <c r="L120" s="287" t="str">
        <f>IF(J120="","",IF(VLOOKUP(J120,'G-7 WaterC'' Data'!$AK$4:$AM$9,3,FALSE)=0,"Spatial Data Missing ⚠",VLOOKUP(J120,'G-7 WaterC'' Data'!$AK$4:$AM$6,3,FALSE)))</f>
        <v/>
      </c>
      <c r="M120" s="52"/>
      <c r="N120" s="282" t="str">
        <f>IF(M120="","",IF(AND(D120&lt;&gt;"Culvert",M120="N/A - Culvert"),"Not possible ▲",IF(AND(D120="Culvert",M120&lt;&gt;"N/A - Culvert"),"Not possible ▲",IF(VLOOKUP(M120,'G-7 WaterC'' Data'!$AA$4:$AB$7,2,FALSE)=0,"Spatial Data Missing ⚠",VLOOKUP(M120,'G-7 WaterC'' Data'!$AA$4:$AB$7,2,FALSE)))))</f>
        <v/>
      </c>
      <c r="O120" s="56"/>
      <c r="P120" s="282" t="str">
        <f>IF(O120="","",IF(AND(O120="N/A - Culvert", D120&lt;&gt;"Culvert"),"Not possible ▲", IF(AND(D120="Culvert",O120&lt;&gt;"N/A - Culvert"),"Not possible ▲",IF(VLOOKUP(O120,'G-7 WaterC'' Data'!$AD$4:$AE$14,2,FALSE)=0,"Spatial Data Missing ⚠",VLOOKUP(O120,'G-7 WaterC'' Data'!$AD$4:$AE$14,2,FALSE)))))</f>
        <v/>
      </c>
      <c r="Q120" s="288" t="str">
        <f>IF(D120="","",VLOOKUP(D120,'G-7 WaterC'' Data'!$B$2:$G$8,6,FALSE))</f>
        <v/>
      </c>
      <c r="R120" s="295" t="str">
        <f t="shared" si="11"/>
        <v xml:space="preserve"> </v>
      </c>
      <c r="S120" s="820" t="str">
        <f t="shared" si="12"/>
        <v/>
      </c>
      <c r="T120" s="32"/>
      <c r="U120" s="105"/>
      <c r="V120" s="112"/>
      <c r="W120" s="293" t="str">
        <f t="shared" si="13"/>
        <v/>
      </c>
      <c r="X120" s="293" t="str">
        <f t="shared" si="14"/>
        <v/>
      </c>
      <c r="Y120" s="293" t="str">
        <f t="shared" si="15"/>
        <v/>
      </c>
      <c r="Z120" s="323" t="str">
        <f>IFERROR(IF(OR(E120="",R120=""),"",  IF(AND(Q120='G-7 WaterC'' Data'!$G$4,AA120="Yes"),"Alternative Compensation ✓", IF(AND(AA120="Pending", Q120='G-7 WaterC'' Data'!$G$4),"Bespoke compensation must be agreed ▲", IF((W120+X120)&gt;=R120, 0, R120-W120-X120)))),"Check Data ⚠")</f>
        <v/>
      </c>
      <c r="AA120" s="817"/>
      <c r="AB120" s="140"/>
      <c r="AC120" s="108"/>
      <c r="AD120" s="108"/>
      <c r="AE120" s="54" t="str">
        <f>IF(OR(Q120="",AA120="Yes"),"",IF(Q120='G-1 All Habitats'!$X$9,E120-U120-V120,"None"))</f>
        <v/>
      </c>
      <c r="AF120" s="55" t="str">
        <f>IF(Q120="","", IF(Q120='G-1 All Habitats'!$X$9, AE120*G120*I120*L120*N120*P120,"None"))</f>
        <v/>
      </c>
      <c r="AI120" s="30">
        <f t="shared" si="16"/>
        <v>0</v>
      </c>
      <c r="AJ120" s="111" t="str">
        <f t="shared" si="17"/>
        <v/>
      </c>
      <c r="AK120" s="111" t="str">
        <f t="shared" si="18"/>
        <v/>
      </c>
      <c r="AM120" s="111">
        <v>111</v>
      </c>
      <c r="AO120" s="111" t="str">
        <f t="array" ref="AO120">IFERROR(INDEX($AM$10:$AM$258, MATCH(0, IF(TRUE=$AJ$10:$AJ$258, COUNTIF($AO$9:$AO119, $AM$10:$AM$258), ""), 0)),"")</f>
        <v/>
      </c>
      <c r="AP120" s="111" t="str">
        <f t="array" ref="AP120">IFERROR(INDEX($AM$10:$AM$258, MATCH(0, IF(TRUE=$AK$10:$AK$258, COUNTIF($AP$9:$AP119, $AM$10:$AM$258), ""), 0)),"")</f>
        <v/>
      </c>
      <c r="AR120" s="30" t="str">
        <f>IFERROR(INDEX('G-7 WaterC'' Data'!$AZ$3:$AZ$7,MATCH(D120,'G-7 WaterC'' Data'!$AY$3:$AY$7,0)),"")</f>
        <v/>
      </c>
      <c r="AS120" s="30" t="str">
        <f>IFERROR(INDEX('G-7 WaterC'' Data'!AZ120:AZ124,MATCH(D120,'G-7 WaterC'' Data'!$AY$10:$AY$14,0)),"")</f>
        <v/>
      </c>
      <c r="AT120" s="903" t="str">
        <f>IF(AND(OR(AA120="Yes",AA120="Pending"),Q120='G-7 WaterC'' Data'!$G$4),R120-W120-X120,"")</f>
        <v/>
      </c>
      <c r="AU120" s="30" t="str">
        <f>IF(D120="","",VLOOKUP(D120,'G-7 WaterC'' Data'!B$4:M$8,12,FALSE))</f>
        <v/>
      </c>
      <c r="AV120" s="30" t="str">
        <f t="shared" si="10"/>
        <v/>
      </c>
      <c r="AX120" s="30" t="str">
        <f t="shared" si="19"/>
        <v>No</v>
      </c>
    </row>
    <row r="121" spans="3:50" x14ac:dyDescent="0.25">
      <c r="C121" s="101">
        <v>112</v>
      </c>
      <c r="D121" s="267"/>
      <c r="E121" s="119"/>
      <c r="F121" s="281" t="str">
        <f>IF(D121="","",VLOOKUP(D121,'G-7 WaterC'' Data'!$B$2:$G$8,2,FALSE))</f>
        <v/>
      </c>
      <c r="G121" s="282" t="str">
        <f>IFERROR(VLOOKUP(F121,'G-7 WaterC'' Data'!$C$4:$D$8,2,FALSE),"")</f>
        <v/>
      </c>
      <c r="H121" s="52"/>
      <c r="I121" s="282" t="str">
        <f>IFERROR(INDEX('G-7 WaterC'' Data'!$H$4:$L$8,MATCH(D121,'G-7 WaterC'' Data'!$B$4:$B$8,0),MATCH(H121,'G-7 WaterC'' Data'!$H$3:$L$3,0)),"")</f>
        <v/>
      </c>
      <c r="J121" s="793"/>
      <c r="K121" s="317" t="str">
        <f>IF(J121="","",IF(VLOOKUP(J121,'G-7 WaterC'' Data'!$AK$4:$AM$6,2,FALSE)=0,"Spatial Data Missing ⚠",VLOOKUP(J121,'G-7 WaterC'' Data'!$AK$4:$AM$6,2,FALSE)))</f>
        <v/>
      </c>
      <c r="L121" s="287" t="str">
        <f>IF(J121="","",IF(VLOOKUP(J121,'G-7 WaterC'' Data'!$AK$4:$AM$9,3,FALSE)=0,"Spatial Data Missing ⚠",VLOOKUP(J121,'G-7 WaterC'' Data'!$AK$4:$AM$6,3,FALSE)))</f>
        <v/>
      </c>
      <c r="M121" s="52"/>
      <c r="N121" s="282" t="str">
        <f>IF(M121="","",IF(AND(D121&lt;&gt;"Culvert",M121="N/A - Culvert"),"Not possible ▲",IF(AND(D121="Culvert",M121&lt;&gt;"N/A - Culvert"),"Not possible ▲",IF(VLOOKUP(M121,'G-7 WaterC'' Data'!$AA$4:$AB$7,2,FALSE)=0,"Spatial Data Missing ⚠",VLOOKUP(M121,'G-7 WaterC'' Data'!$AA$4:$AB$7,2,FALSE)))))</f>
        <v/>
      </c>
      <c r="O121" s="56"/>
      <c r="P121" s="282" t="str">
        <f>IF(O121="","",IF(AND(O121="N/A - Culvert", D121&lt;&gt;"Culvert"),"Not possible ▲", IF(AND(D121="Culvert",O121&lt;&gt;"N/A - Culvert"),"Not possible ▲",IF(VLOOKUP(O121,'G-7 WaterC'' Data'!$AD$4:$AE$14,2,FALSE)=0,"Spatial Data Missing ⚠",VLOOKUP(O121,'G-7 WaterC'' Data'!$AD$4:$AE$14,2,FALSE)))))</f>
        <v/>
      </c>
      <c r="Q121" s="288" t="str">
        <f>IF(D121="","",VLOOKUP(D121,'G-7 WaterC'' Data'!$B$2:$G$8,6,FALSE))</f>
        <v/>
      </c>
      <c r="R121" s="295" t="str">
        <f t="shared" si="11"/>
        <v xml:space="preserve"> </v>
      </c>
      <c r="S121" s="820" t="str">
        <f t="shared" si="12"/>
        <v/>
      </c>
      <c r="T121" s="32"/>
      <c r="U121" s="105"/>
      <c r="V121" s="112"/>
      <c r="W121" s="293" t="str">
        <f t="shared" si="13"/>
        <v/>
      </c>
      <c r="X121" s="293" t="str">
        <f t="shared" si="14"/>
        <v/>
      </c>
      <c r="Y121" s="293" t="str">
        <f t="shared" si="15"/>
        <v/>
      </c>
      <c r="Z121" s="323" t="str">
        <f>IFERROR(IF(OR(E121="",R121=""),"",  IF(AND(Q121='G-7 WaterC'' Data'!$G$4,AA121="Yes"),"Alternative Compensation ✓", IF(AND(AA121="Pending", Q121='G-7 WaterC'' Data'!$G$4),"Bespoke compensation must be agreed ▲", IF((W121+X121)&gt;=R121, 0, R121-W121-X121)))),"Check Data ⚠")</f>
        <v/>
      </c>
      <c r="AA121" s="817"/>
      <c r="AB121" s="140"/>
      <c r="AC121" s="108"/>
      <c r="AD121" s="108"/>
      <c r="AE121" s="54" t="str">
        <f>IF(OR(Q121="",AA121="Yes"),"",IF(Q121='G-1 All Habitats'!$X$9,E121-U121-V121,"None"))</f>
        <v/>
      </c>
      <c r="AF121" s="55" t="str">
        <f>IF(Q121="","", IF(Q121='G-1 All Habitats'!$X$9, AE121*G121*I121*L121*N121*P121,"None"))</f>
        <v/>
      </c>
      <c r="AI121" s="30">
        <f t="shared" si="16"/>
        <v>0</v>
      </c>
      <c r="AJ121" s="111" t="str">
        <f t="shared" si="17"/>
        <v/>
      </c>
      <c r="AK121" s="111" t="str">
        <f t="shared" si="18"/>
        <v/>
      </c>
      <c r="AM121" s="111">
        <v>112</v>
      </c>
      <c r="AO121" s="111" t="str">
        <f t="array" ref="AO121">IFERROR(INDEX($AM$10:$AM$258, MATCH(0, IF(TRUE=$AJ$10:$AJ$258, COUNTIF($AO$9:$AO120, $AM$10:$AM$258), ""), 0)),"")</f>
        <v/>
      </c>
      <c r="AP121" s="111" t="str">
        <f t="array" ref="AP121">IFERROR(INDEX($AM$10:$AM$258, MATCH(0, IF(TRUE=$AK$10:$AK$258, COUNTIF($AP$9:$AP120, $AM$10:$AM$258), ""), 0)),"")</f>
        <v/>
      </c>
      <c r="AR121" s="30" t="str">
        <f>IFERROR(INDEX('G-7 WaterC'' Data'!$AZ$3:$AZ$7,MATCH(D121,'G-7 WaterC'' Data'!$AY$3:$AY$7,0)),"")</f>
        <v/>
      </c>
      <c r="AS121" s="30" t="str">
        <f>IFERROR(INDEX('G-7 WaterC'' Data'!AZ121:AZ125,MATCH(D121,'G-7 WaterC'' Data'!$AY$10:$AY$14,0)),"")</f>
        <v/>
      </c>
      <c r="AT121" s="903" t="str">
        <f>IF(AND(OR(AA121="Yes",AA121="Pending"),Q121='G-7 WaterC'' Data'!$G$4),R121-W121-X121,"")</f>
        <v/>
      </c>
      <c r="AU121" s="30" t="str">
        <f>IF(D121="","",VLOOKUP(D121,'G-7 WaterC'' Data'!B$4:M$8,12,FALSE))</f>
        <v/>
      </c>
      <c r="AV121" s="30" t="str">
        <f t="shared" si="10"/>
        <v/>
      </c>
      <c r="AX121" s="30" t="str">
        <f t="shared" si="19"/>
        <v>No</v>
      </c>
    </row>
    <row r="122" spans="3:50" x14ac:dyDescent="0.25">
      <c r="C122" s="101">
        <v>113</v>
      </c>
      <c r="D122" s="267"/>
      <c r="E122" s="119"/>
      <c r="F122" s="281" t="str">
        <f>IF(D122="","",VLOOKUP(D122,'G-7 WaterC'' Data'!$B$2:$G$8,2,FALSE))</f>
        <v/>
      </c>
      <c r="G122" s="282" t="str">
        <f>IFERROR(VLOOKUP(F122,'G-7 WaterC'' Data'!$C$4:$D$8,2,FALSE),"")</f>
        <v/>
      </c>
      <c r="H122" s="52"/>
      <c r="I122" s="282" t="str">
        <f>IFERROR(INDEX('G-7 WaterC'' Data'!$H$4:$L$8,MATCH(D122,'G-7 WaterC'' Data'!$B$4:$B$8,0),MATCH(H122,'G-7 WaterC'' Data'!$H$3:$L$3,0)),"")</f>
        <v/>
      </c>
      <c r="J122" s="793"/>
      <c r="K122" s="317" t="str">
        <f>IF(J122="","",IF(VLOOKUP(J122,'G-7 WaterC'' Data'!$AK$4:$AM$6,2,FALSE)=0,"Spatial Data Missing ⚠",VLOOKUP(J122,'G-7 WaterC'' Data'!$AK$4:$AM$6,2,FALSE)))</f>
        <v/>
      </c>
      <c r="L122" s="287" t="str">
        <f>IF(J122="","",IF(VLOOKUP(J122,'G-7 WaterC'' Data'!$AK$4:$AM$9,3,FALSE)=0,"Spatial Data Missing ⚠",VLOOKUP(J122,'G-7 WaterC'' Data'!$AK$4:$AM$6,3,FALSE)))</f>
        <v/>
      </c>
      <c r="M122" s="52"/>
      <c r="N122" s="282" t="str">
        <f>IF(M122="","",IF(AND(D122&lt;&gt;"Culvert",M122="N/A - Culvert"),"Not possible ▲",IF(AND(D122="Culvert",M122&lt;&gt;"N/A - Culvert"),"Not possible ▲",IF(VLOOKUP(M122,'G-7 WaterC'' Data'!$AA$4:$AB$7,2,FALSE)=0,"Spatial Data Missing ⚠",VLOOKUP(M122,'G-7 WaterC'' Data'!$AA$4:$AB$7,2,FALSE)))))</f>
        <v/>
      </c>
      <c r="O122" s="56"/>
      <c r="P122" s="282" t="str">
        <f>IF(O122="","",IF(AND(O122="N/A - Culvert", D122&lt;&gt;"Culvert"),"Not possible ▲", IF(AND(D122="Culvert",O122&lt;&gt;"N/A - Culvert"),"Not possible ▲",IF(VLOOKUP(O122,'G-7 WaterC'' Data'!$AD$4:$AE$14,2,FALSE)=0,"Spatial Data Missing ⚠",VLOOKUP(O122,'G-7 WaterC'' Data'!$AD$4:$AE$14,2,FALSE)))))</f>
        <v/>
      </c>
      <c r="Q122" s="288" t="str">
        <f>IF(D122="","",VLOOKUP(D122,'G-7 WaterC'' Data'!$B$2:$G$8,6,FALSE))</f>
        <v/>
      </c>
      <c r="R122" s="295" t="str">
        <f t="shared" si="11"/>
        <v xml:space="preserve"> </v>
      </c>
      <c r="S122" s="820" t="str">
        <f t="shared" si="12"/>
        <v/>
      </c>
      <c r="T122" s="32"/>
      <c r="U122" s="105"/>
      <c r="V122" s="112"/>
      <c r="W122" s="293" t="str">
        <f t="shared" si="13"/>
        <v/>
      </c>
      <c r="X122" s="293" t="str">
        <f t="shared" si="14"/>
        <v/>
      </c>
      <c r="Y122" s="293" t="str">
        <f t="shared" si="15"/>
        <v/>
      </c>
      <c r="Z122" s="323" t="str">
        <f>IFERROR(IF(OR(E122="",R122=""),"",  IF(AND(Q122='G-7 WaterC'' Data'!$G$4,AA122="Yes"),"Alternative Compensation ✓", IF(AND(AA122="Pending", Q122='G-7 WaterC'' Data'!$G$4),"Bespoke compensation must be agreed ▲", IF((W122+X122)&gt;=R122, 0, R122-W122-X122)))),"Check Data ⚠")</f>
        <v/>
      </c>
      <c r="AA122" s="817"/>
      <c r="AB122" s="140"/>
      <c r="AC122" s="108"/>
      <c r="AD122" s="108"/>
      <c r="AE122" s="54" t="str">
        <f>IF(OR(Q122="",AA122="Yes"),"",IF(Q122='G-1 All Habitats'!$X$9,E122-U122-V122,"None"))</f>
        <v/>
      </c>
      <c r="AF122" s="55" t="str">
        <f>IF(Q122="","", IF(Q122='G-1 All Habitats'!$X$9, AE122*G122*I122*L122*N122*P122,"None"))</f>
        <v/>
      </c>
      <c r="AI122" s="30">
        <f t="shared" si="16"/>
        <v>0</v>
      </c>
      <c r="AJ122" s="111" t="str">
        <f t="shared" si="17"/>
        <v/>
      </c>
      <c r="AK122" s="111" t="str">
        <f t="shared" si="18"/>
        <v/>
      </c>
      <c r="AM122" s="111">
        <v>113</v>
      </c>
      <c r="AO122" s="111" t="str">
        <f t="array" ref="AO122">IFERROR(INDEX($AM$10:$AM$258, MATCH(0, IF(TRUE=$AJ$10:$AJ$258, COUNTIF($AO$9:$AO121, $AM$10:$AM$258), ""), 0)),"")</f>
        <v/>
      </c>
      <c r="AP122" s="111" t="str">
        <f t="array" ref="AP122">IFERROR(INDEX($AM$10:$AM$258, MATCH(0, IF(TRUE=$AK$10:$AK$258, COUNTIF($AP$9:$AP121, $AM$10:$AM$258), ""), 0)),"")</f>
        <v/>
      </c>
      <c r="AR122" s="30" t="str">
        <f>IFERROR(INDEX('G-7 WaterC'' Data'!$AZ$3:$AZ$7,MATCH(D122,'G-7 WaterC'' Data'!$AY$3:$AY$7,0)),"")</f>
        <v/>
      </c>
      <c r="AS122" s="30" t="str">
        <f>IFERROR(INDEX('G-7 WaterC'' Data'!AZ122:AZ126,MATCH(D122,'G-7 WaterC'' Data'!$AY$10:$AY$14,0)),"")</f>
        <v/>
      </c>
      <c r="AT122" s="903" t="str">
        <f>IF(AND(OR(AA122="Yes",AA122="Pending"),Q122='G-7 WaterC'' Data'!$G$4),R122-W122-X122,"")</f>
        <v/>
      </c>
      <c r="AU122" s="30" t="str">
        <f>IF(D122="","",VLOOKUP(D122,'G-7 WaterC'' Data'!B$4:M$8,12,FALSE))</f>
        <v/>
      </c>
      <c r="AV122" s="30" t="str">
        <f t="shared" si="10"/>
        <v/>
      </c>
      <c r="AX122" s="30" t="str">
        <f t="shared" si="19"/>
        <v>No</v>
      </c>
    </row>
    <row r="123" spans="3:50" x14ac:dyDescent="0.25">
      <c r="C123" s="101">
        <v>114</v>
      </c>
      <c r="D123" s="267"/>
      <c r="E123" s="119"/>
      <c r="F123" s="281" t="str">
        <f>IF(D123="","",VLOOKUP(D123,'G-7 WaterC'' Data'!$B$2:$G$8,2,FALSE))</f>
        <v/>
      </c>
      <c r="G123" s="282" t="str">
        <f>IFERROR(VLOOKUP(F123,'G-7 WaterC'' Data'!$C$4:$D$8,2,FALSE),"")</f>
        <v/>
      </c>
      <c r="H123" s="52"/>
      <c r="I123" s="282" t="str">
        <f>IFERROR(INDEX('G-7 WaterC'' Data'!$H$4:$L$8,MATCH(D123,'G-7 WaterC'' Data'!$B$4:$B$8,0),MATCH(H123,'G-7 WaterC'' Data'!$H$3:$L$3,0)),"")</f>
        <v/>
      </c>
      <c r="J123" s="793"/>
      <c r="K123" s="317" t="str">
        <f>IF(J123="","",IF(VLOOKUP(J123,'G-7 WaterC'' Data'!$AK$4:$AM$6,2,FALSE)=0,"Spatial Data Missing ⚠",VLOOKUP(J123,'G-7 WaterC'' Data'!$AK$4:$AM$6,2,FALSE)))</f>
        <v/>
      </c>
      <c r="L123" s="287" t="str">
        <f>IF(J123="","",IF(VLOOKUP(J123,'G-7 WaterC'' Data'!$AK$4:$AM$9,3,FALSE)=0,"Spatial Data Missing ⚠",VLOOKUP(J123,'G-7 WaterC'' Data'!$AK$4:$AM$6,3,FALSE)))</f>
        <v/>
      </c>
      <c r="M123" s="52"/>
      <c r="N123" s="282" t="str">
        <f>IF(M123="","",IF(AND(D123&lt;&gt;"Culvert",M123="N/A - Culvert"),"Not possible ▲",IF(AND(D123="Culvert",M123&lt;&gt;"N/A - Culvert"),"Not possible ▲",IF(VLOOKUP(M123,'G-7 WaterC'' Data'!$AA$4:$AB$7,2,FALSE)=0,"Spatial Data Missing ⚠",VLOOKUP(M123,'G-7 WaterC'' Data'!$AA$4:$AB$7,2,FALSE)))))</f>
        <v/>
      </c>
      <c r="O123" s="56"/>
      <c r="P123" s="282" t="str">
        <f>IF(O123="","",IF(AND(O123="N/A - Culvert", D123&lt;&gt;"Culvert"),"Not possible ▲", IF(AND(D123="Culvert",O123&lt;&gt;"N/A - Culvert"),"Not possible ▲",IF(VLOOKUP(O123,'G-7 WaterC'' Data'!$AD$4:$AE$14,2,FALSE)=0,"Spatial Data Missing ⚠",VLOOKUP(O123,'G-7 WaterC'' Data'!$AD$4:$AE$14,2,FALSE)))))</f>
        <v/>
      </c>
      <c r="Q123" s="288" t="str">
        <f>IF(D123="","",VLOOKUP(D123,'G-7 WaterC'' Data'!$B$2:$G$8,6,FALSE))</f>
        <v/>
      </c>
      <c r="R123" s="295" t="str">
        <f t="shared" si="11"/>
        <v xml:space="preserve"> </v>
      </c>
      <c r="S123" s="820" t="str">
        <f t="shared" si="12"/>
        <v/>
      </c>
      <c r="T123" s="32"/>
      <c r="U123" s="105"/>
      <c r="V123" s="112"/>
      <c r="W123" s="293" t="str">
        <f t="shared" si="13"/>
        <v/>
      </c>
      <c r="X123" s="293" t="str">
        <f t="shared" si="14"/>
        <v/>
      </c>
      <c r="Y123" s="293" t="str">
        <f t="shared" si="15"/>
        <v/>
      </c>
      <c r="Z123" s="323" t="str">
        <f>IFERROR(IF(OR(E123="",R123=""),"",  IF(AND(Q123='G-7 WaterC'' Data'!$G$4,AA123="Yes"),"Alternative Compensation ✓", IF(AND(AA123="Pending", Q123='G-7 WaterC'' Data'!$G$4),"Bespoke compensation must be agreed ▲", IF((W123+X123)&gt;=R123, 0, R123-W123-X123)))),"Check Data ⚠")</f>
        <v/>
      </c>
      <c r="AA123" s="817"/>
      <c r="AB123" s="140"/>
      <c r="AC123" s="108"/>
      <c r="AD123" s="108"/>
      <c r="AE123" s="54" t="str">
        <f>IF(OR(Q123="",AA123="Yes"),"",IF(Q123='G-1 All Habitats'!$X$9,E123-U123-V123,"None"))</f>
        <v/>
      </c>
      <c r="AF123" s="55" t="str">
        <f>IF(Q123="","", IF(Q123='G-1 All Habitats'!$X$9, AE123*G123*I123*L123*N123*P123,"None"))</f>
        <v/>
      </c>
      <c r="AI123" s="30">
        <f t="shared" si="16"/>
        <v>0</v>
      </c>
      <c r="AJ123" s="111" t="str">
        <f t="shared" si="17"/>
        <v/>
      </c>
      <c r="AK123" s="111" t="str">
        <f t="shared" si="18"/>
        <v/>
      </c>
      <c r="AM123" s="111">
        <v>114</v>
      </c>
      <c r="AO123" s="111" t="str">
        <f t="array" ref="AO123">IFERROR(INDEX($AM$10:$AM$258, MATCH(0, IF(TRUE=$AJ$10:$AJ$258, COUNTIF($AO$9:$AO122, $AM$10:$AM$258), ""), 0)),"")</f>
        <v/>
      </c>
      <c r="AP123" s="111" t="str">
        <f t="array" ref="AP123">IFERROR(INDEX($AM$10:$AM$258, MATCH(0, IF(TRUE=$AK$10:$AK$258, COUNTIF($AP$9:$AP122, $AM$10:$AM$258), ""), 0)),"")</f>
        <v/>
      </c>
      <c r="AR123" s="30" t="str">
        <f>IFERROR(INDEX('G-7 WaterC'' Data'!$AZ$3:$AZ$7,MATCH(D123,'G-7 WaterC'' Data'!$AY$3:$AY$7,0)),"")</f>
        <v/>
      </c>
      <c r="AS123" s="30" t="str">
        <f>IFERROR(INDEX('G-7 WaterC'' Data'!AZ123:AZ127,MATCH(D123,'G-7 WaterC'' Data'!$AY$10:$AY$14,0)),"")</f>
        <v/>
      </c>
      <c r="AT123" s="903" t="str">
        <f>IF(AND(OR(AA123="Yes",AA123="Pending"),Q123='G-7 WaterC'' Data'!$G$4),R123-W123-X123,"")</f>
        <v/>
      </c>
      <c r="AU123" s="30" t="str">
        <f>IF(D123="","",VLOOKUP(D123,'G-7 WaterC'' Data'!B$4:M$8,12,FALSE))</f>
        <v/>
      </c>
      <c r="AV123" s="30" t="str">
        <f t="shared" si="10"/>
        <v/>
      </c>
      <c r="AX123" s="30" t="str">
        <f t="shared" si="19"/>
        <v>No</v>
      </c>
    </row>
    <row r="124" spans="3:50" x14ac:dyDescent="0.25">
      <c r="C124" s="101">
        <v>115</v>
      </c>
      <c r="D124" s="267"/>
      <c r="E124" s="119"/>
      <c r="F124" s="281" t="str">
        <f>IF(D124="","",VLOOKUP(D124,'G-7 WaterC'' Data'!$B$2:$G$8,2,FALSE))</f>
        <v/>
      </c>
      <c r="G124" s="282" t="str">
        <f>IFERROR(VLOOKUP(F124,'G-7 WaterC'' Data'!$C$4:$D$8,2,FALSE),"")</f>
        <v/>
      </c>
      <c r="H124" s="52"/>
      <c r="I124" s="282" t="str">
        <f>IFERROR(INDEX('G-7 WaterC'' Data'!$H$4:$L$8,MATCH(D124,'G-7 WaterC'' Data'!$B$4:$B$8,0),MATCH(H124,'G-7 WaterC'' Data'!$H$3:$L$3,0)),"")</f>
        <v/>
      </c>
      <c r="J124" s="793"/>
      <c r="K124" s="317" t="str">
        <f>IF(J124="","",IF(VLOOKUP(J124,'G-7 WaterC'' Data'!$AK$4:$AM$6,2,FALSE)=0,"Spatial Data Missing ⚠",VLOOKUP(J124,'G-7 WaterC'' Data'!$AK$4:$AM$6,2,FALSE)))</f>
        <v/>
      </c>
      <c r="L124" s="287" t="str">
        <f>IF(J124="","",IF(VLOOKUP(J124,'G-7 WaterC'' Data'!$AK$4:$AM$9,3,FALSE)=0,"Spatial Data Missing ⚠",VLOOKUP(J124,'G-7 WaterC'' Data'!$AK$4:$AM$6,3,FALSE)))</f>
        <v/>
      </c>
      <c r="M124" s="52"/>
      <c r="N124" s="282" t="str">
        <f>IF(M124="","",IF(AND(D124&lt;&gt;"Culvert",M124="N/A - Culvert"),"Not possible ▲",IF(AND(D124="Culvert",M124&lt;&gt;"N/A - Culvert"),"Not possible ▲",IF(VLOOKUP(M124,'G-7 WaterC'' Data'!$AA$4:$AB$7,2,FALSE)=0,"Spatial Data Missing ⚠",VLOOKUP(M124,'G-7 WaterC'' Data'!$AA$4:$AB$7,2,FALSE)))))</f>
        <v/>
      </c>
      <c r="O124" s="56"/>
      <c r="P124" s="282" t="str">
        <f>IF(O124="","",IF(AND(O124="N/A - Culvert", D124&lt;&gt;"Culvert"),"Not possible ▲", IF(AND(D124="Culvert",O124&lt;&gt;"N/A - Culvert"),"Not possible ▲",IF(VLOOKUP(O124,'G-7 WaterC'' Data'!$AD$4:$AE$14,2,FALSE)=0,"Spatial Data Missing ⚠",VLOOKUP(O124,'G-7 WaterC'' Data'!$AD$4:$AE$14,2,FALSE)))))</f>
        <v/>
      </c>
      <c r="Q124" s="288" t="str">
        <f>IF(D124="","",VLOOKUP(D124,'G-7 WaterC'' Data'!$B$2:$G$8,6,FALSE))</f>
        <v/>
      </c>
      <c r="R124" s="295" t="str">
        <f t="shared" si="11"/>
        <v xml:space="preserve"> </v>
      </c>
      <c r="S124" s="820" t="str">
        <f t="shared" si="12"/>
        <v/>
      </c>
      <c r="T124" s="32"/>
      <c r="U124" s="105"/>
      <c r="V124" s="112"/>
      <c r="W124" s="293" t="str">
        <f t="shared" si="13"/>
        <v/>
      </c>
      <c r="X124" s="293" t="str">
        <f t="shared" si="14"/>
        <v/>
      </c>
      <c r="Y124" s="293" t="str">
        <f t="shared" si="15"/>
        <v/>
      </c>
      <c r="Z124" s="323" t="str">
        <f>IFERROR(IF(OR(E124="",R124=""),"",  IF(AND(Q124='G-7 WaterC'' Data'!$G$4,AA124="Yes"),"Alternative Compensation ✓", IF(AND(AA124="Pending", Q124='G-7 WaterC'' Data'!$G$4),"Bespoke compensation must be agreed ▲", IF((W124+X124)&gt;=R124, 0, R124-W124-X124)))),"Check Data ⚠")</f>
        <v/>
      </c>
      <c r="AA124" s="817"/>
      <c r="AB124" s="140"/>
      <c r="AC124" s="108"/>
      <c r="AD124" s="108"/>
      <c r="AE124" s="54" t="str">
        <f>IF(OR(Q124="",AA124="Yes"),"",IF(Q124='G-1 All Habitats'!$X$9,E124-U124-V124,"None"))</f>
        <v/>
      </c>
      <c r="AF124" s="55" t="str">
        <f>IF(Q124="","", IF(Q124='G-1 All Habitats'!$X$9, AE124*G124*I124*L124*N124*P124,"None"))</f>
        <v/>
      </c>
      <c r="AI124" s="30">
        <f t="shared" si="16"/>
        <v>0</v>
      </c>
      <c r="AJ124" s="111" t="str">
        <f t="shared" si="17"/>
        <v/>
      </c>
      <c r="AK124" s="111" t="str">
        <f t="shared" si="18"/>
        <v/>
      </c>
      <c r="AM124" s="111">
        <v>115</v>
      </c>
      <c r="AO124" s="111" t="str">
        <f t="array" ref="AO124">IFERROR(INDEX($AM$10:$AM$258, MATCH(0, IF(TRUE=$AJ$10:$AJ$258, COUNTIF($AO$9:$AO123, $AM$10:$AM$258), ""), 0)),"")</f>
        <v/>
      </c>
      <c r="AP124" s="111" t="str">
        <f t="array" ref="AP124">IFERROR(INDEX($AM$10:$AM$258, MATCH(0, IF(TRUE=$AK$10:$AK$258, COUNTIF($AP$9:$AP123, $AM$10:$AM$258), ""), 0)),"")</f>
        <v/>
      </c>
      <c r="AR124" s="30" t="str">
        <f>IFERROR(INDEX('G-7 WaterC'' Data'!$AZ$3:$AZ$7,MATCH(D124,'G-7 WaterC'' Data'!$AY$3:$AY$7,0)),"")</f>
        <v/>
      </c>
      <c r="AS124" s="30" t="str">
        <f>IFERROR(INDEX('G-7 WaterC'' Data'!AZ124:AZ128,MATCH(D124,'G-7 WaterC'' Data'!$AY$10:$AY$14,0)),"")</f>
        <v/>
      </c>
      <c r="AT124" s="903" t="str">
        <f>IF(AND(OR(AA124="Yes",AA124="Pending"),Q124='G-7 WaterC'' Data'!$G$4),R124-W124-X124,"")</f>
        <v/>
      </c>
      <c r="AU124" s="30" t="str">
        <f>IF(D124="","",VLOOKUP(D124,'G-7 WaterC'' Data'!B$4:M$8,12,FALSE))</f>
        <v/>
      </c>
      <c r="AV124" s="30" t="str">
        <f t="shared" si="10"/>
        <v/>
      </c>
      <c r="AX124" s="30" t="str">
        <f t="shared" si="19"/>
        <v>No</v>
      </c>
    </row>
    <row r="125" spans="3:50" x14ac:dyDescent="0.25">
      <c r="C125" s="101">
        <v>116</v>
      </c>
      <c r="D125" s="267"/>
      <c r="E125" s="119"/>
      <c r="F125" s="281" t="str">
        <f>IF(D125="","",VLOOKUP(D125,'G-7 WaterC'' Data'!$B$2:$G$8,2,FALSE))</f>
        <v/>
      </c>
      <c r="G125" s="282" t="str">
        <f>IFERROR(VLOOKUP(F125,'G-7 WaterC'' Data'!$C$4:$D$8,2,FALSE),"")</f>
        <v/>
      </c>
      <c r="H125" s="52"/>
      <c r="I125" s="282" t="str">
        <f>IFERROR(INDEX('G-7 WaterC'' Data'!$H$4:$L$8,MATCH(D125,'G-7 WaterC'' Data'!$B$4:$B$8,0),MATCH(H125,'G-7 WaterC'' Data'!$H$3:$L$3,0)),"")</f>
        <v/>
      </c>
      <c r="J125" s="793"/>
      <c r="K125" s="317" t="str">
        <f>IF(J125="","",IF(VLOOKUP(J125,'G-7 WaterC'' Data'!$AK$4:$AM$6,2,FALSE)=0,"Spatial Data Missing ⚠",VLOOKUP(J125,'G-7 WaterC'' Data'!$AK$4:$AM$6,2,FALSE)))</f>
        <v/>
      </c>
      <c r="L125" s="287" t="str">
        <f>IF(J125="","",IF(VLOOKUP(J125,'G-7 WaterC'' Data'!$AK$4:$AM$9,3,FALSE)=0,"Spatial Data Missing ⚠",VLOOKUP(J125,'G-7 WaterC'' Data'!$AK$4:$AM$6,3,FALSE)))</f>
        <v/>
      </c>
      <c r="M125" s="52"/>
      <c r="N125" s="282" t="str">
        <f>IF(M125="","",IF(AND(D125&lt;&gt;"Culvert",M125="N/A - Culvert"),"Not possible ▲",IF(AND(D125="Culvert",M125&lt;&gt;"N/A - Culvert"),"Not possible ▲",IF(VLOOKUP(M125,'G-7 WaterC'' Data'!$AA$4:$AB$7,2,FALSE)=0,"Spatial Data Missing ⚠",VLOOKUP(M125,'G-7 WaterC'' Data'!$AA$4:$AB$7,2,FALSE)))))</f>
        <v/>
      </c>
      <c r="O125" s="56"/>
      <c r="P125" s="282" t="str">
        <f>IF(O125="","",IF(AND(O125="N/A - Culvert", D125&lt;&gt;"Culvert"),"Not possible ▲", IF(AND(D125="Culvert",O125&lt;&gt;"N/A - Culvert"),"Not possible ▲",IF(VLOOKUP(O125,'G-7 WaterC'' Data'!$AD$4:$AE$14,2,FALSE)=0,"Spatial Data Missing ⚠",VLOOKUP(O125,'G-7 WaterC'' Data'!$AD$4:$AE$14,2,FALSE)))))</f>
        <v/>
      </c>
      <c r="Q125" s="288" t="str">
        <f>IF(D125="","",VLOOKUP(D125,'G-7 WaterC'' Data'!$B$2:$G$8,6,FALSE))</f>
        <v/>
      </c>
      <c r="R125" s="295" t="str">
        <f t="shared" si="11"/>
        <v xml:space="preserve"> </v>
      </c>
      <c r="S125" s="820" t="str">
        <f t="shared" si="12"/>
        <v/>
      </c>
      <c r="T125" s="32"/>
      <c r="U125" s="105"/>
      <c r="V125" s="112"/>
      <c r="W125" s="293" t="str">
        <f t="shared" si="13"/>
        <v/>
      </c>
      <c r="X125" s="293" t="str">
        <f t="shared" si="14"/>
        <v/>
      </c>
      <c r="Y125" s="293" t="str">
        <f t="shared" si="15"/>
        <v/>
      </c>
      <c r="Z125" s="323" t="str">
        <f>IFERROR(IF(OR(E125="",R125=""),"",  IF(AND(Q125='G-7 WaterC'' Data'!$G$4,AA125="Yes"),"Alternative Compensation ✓", IF(AND(AA125="Pending", Q125='G-7 WaterC'' Data'!$G$4),"Bespoke compensation must be agreed ▲", IF((W125+X125)&gt;=R125, 0, R125-W125-X125)))),"Check Data ⚠")</f>
        <v/>
      </c>
      <c r="AA125" s="817"/>
      <c r="AB125" s="140"/>
      <c r="AC125" s="108"/>
      <c r="AD125" s="108"/>
      <c r="AE125" s="54" t="str">
        <f>IF(OR(Q125="",AA125="Yes"),"",IF(Q125='G-1 All Habitats'!$X$9,E125-U125-V125,"None"))</f>
        <v/>
      </c>
      <c r="AF125" s="55" t="str">
        <f>IF(Q125="","", IF(Q125='G-1 All Habitats'!$X$9, AE125*G125*I125*L125*N125*P125,"None"))</f>
        <v/>
      </c>
      <c r="AI125" s="30">
        <f t="shared" si="16"/>
        <v>0</v>
      </c>
      <c r="AJ125" s="111" t="str">
        <f t="shared" si="17"/>
        <v/>
      </c>
      <c r="AK125" s="111" t="str">
        <f t="shared" si="18"/>
        <v/>
      </c>
      <c r="AM125" s="111">
        <v>116</v>
      </c>
      <c r="AO125" s="111" t="str">
        <f t="array" ref="AO125">IFERROR(INDEX($AM$10:$AM$258, MATCH(0, IF(TRUE=$AJ$10:$AJ$258, COUNTIF($AO$9:$AO124, $AM$10:$AM$258), ""), 0)),"")</f>
        <v/>
      </c>
      <c r="AP125" s="111" t="str">
        <f t="array" ref="AP125">IFERROR(INDEX($AM$10:$AM$258, MATCH(0, IF(TRUE=$AK$10:$AK$258, COUNTIF($AP$9:$AP124, $AM$10:$AM$258), ""), 0)),"")</f>
        <v/>
      </c>
      <c r="AR125" s="30" t="str">
        <f>IFERROR(INDEX('G-7 WaterC'' Data'!$AZ$3:$AZ$7,MATCH(D125,'G-7 WaterC'' Data'!$AY$3:$AY$7,0)),"")</f>
        <v/>
      </c>
      <c r="AS125" s="30" t="str">
        <f>IFERROR(INDEX('G-7 WaterC'' Data'!AZ125:AZ129,MATCH(D125,'G-7 WaterC'' Data'!$AY$10:$AY$14,0)),"")</f>
        <v/>
      </c>
      <c r="AT125" s="903" t="str">
        <f>IF(AND(OR(AA125="Yes",AA125="Pending"),Q125='G-7 WaterC'' Data'!$G$4),R125-W125-X125,"")</f>
        <v/>
      </c>
      <c r="AU125" s="30" t="str">
        <f>IF(D125="","",VLOOKUP(D125,'G-7 WaterC'' Data'!B$4:M$8,12,FALSE))</f>
        <v/>
      </c>
      <c r="AV125" s="30" t="str">
        <f t="shared" si="10"/>
        <v/>
      </c>
      <c r="AX125" s="30" t="str">
        <f t="shared" si="19"/>
        <v>No</v>
      </c>
    </row>
    <row r="126" spans="3:50" x14ac:dyDescent="0.25">
      <c r="C126" s="101">
        <v>117</v>
      </c>
      <c r="D126" s="267"/>
      <c r="E126" s="119"/>
      <c r="F126" s="281" t="str">
        <f>IF(D126="","",VLOOKUP(D126,'G-7 WaterC'' Data'!$B$2:$G$8,2,FALSE))</f>
        <v/>
      </c>
      <c r="G126" s="282" t="str">
        <f>IFERROR(VLOOKUP(F126,'G-7 WaterC'' Data'!$C$4:$D$8,2,FALSE),"")</f>
        <v/>
      </c>
      <c r="H126" s="52"/>
      <c r="I126" s="282" t="str">
        <f>IFERROR(INDEX('G-7 WaterC'' Data'!$H$4:$L$8,MATCH(D126,'G-7 WaterC'' Data'!$B$4:$B$8,0),MATCH(H126,'G-7 WaterC'' Data'!$H$3:$L$3,0)),"")</f>
        <v/>
      </c>
      <c r="J126" s="793"/>
      <c r="K126" s="317" t="str">
        <f>IF(J126="","",IF(VLOOKUP(J126,'G-7 WaterC'' Data'!$AK$4:$AM$6,2,FALSE)=0,"Spatial Data Missing ⚠",VLOOKUP(J126,'G-7 WaterC'' Data'!$AK$4:$AM$6,2,FALSE)))</f>
        <v/>
      </c>
      <c r="L126" s="287" t="str">
        <f>IF(J126="","",IF(VLOOKUP(J126,'G-7 WaterC'' Data'!$AK$4:$AM$9,3,FALSE)=0,"Spatial Data Missing ⚠",VLOOKUP(J126,'G-7 WaterC'' Data'!$AK$4:$AM$6,3,FALSE)))</f>
        <v/>
      </c>
      <c r="M126" s="52"/>
      <c r="N126" s="282" t="str">
        <f>IF(M126="","",IF(AND(D126&lt;&gt;"Culvert",M126="N/A - Culvert"),"Not possible ▲",IF(AND(D126="Culvert",M126&lt;&gt;"N/A - Culvert"),"Not possible ▲",IF(VLOOKUP(M126,'G-7 WaterC'' Data'!$AA$4:$AB$7,2,FALSE)=0,"Spatial Data Missing ⚠",VLOOKUP(M126,'G-7 WaterC'' Data'!$AA$4:$AB$7,2,FALSE)))))</f>
        <v/>
      </c>
      <c r="O126" s="56"/>
      <c r="P126" s="282" t="str">
        <f>IF(O126="","",IF(AND(O126="N/A - Culvert", D126&lt;&gt;"Culvert"),"Not possible ▲", IF(AND(D126="Culvert",O126&lt;&gt;"N/A - Culvert"),"Not possible ▲",IF(VLOOKUP(O126,'G-7 WaterC'' Data'!$AD$4:$AE$14,2,FALSE)=0,"Spatial Data Missing ⚠",VLOOKUP(O126,'G-7 WaterC'' Data'!$AD$4:$AE$14,2,FALSE)))))</f>
        <v/>
      </c>
      <c r="Q126" s="288" t="str">
        <f>IF(D126="","",VLOOKUP(D126,'G-7 WaterC'' Data'!$B$2:$G$8,6,FALSE))</f>
        <v/>
      </c>
      <c r="R126" s="295" t="str">
        <f t="shared" si="11"/>
        <v xml:space="preserve"> </v>
      </c>
      <c r="S126" s="820" t="str">
        <f t="shared" si="12"/>
        <v/>
      </c>
      <c r="T126" s="32"/>
      <c r="U126" s="105"/>
      <c r="V126" s="112"/>
      <c r="W126" s="293" t="str">
        <f t="shared" si="13"/>
        <v/>
      </c>
      <c r="X126" s="293" t="str">
        <f t="shared" si="14"/>
        <v/>
      </c>
      <c r="Y126" s="293" t="str">
        <f t="shared" si="15"/>
        <v/>
      </c>
      <c r="Z126" s="323" t="str">
        <f>IFERROR(IF(OR(E126="",R126=""),"",  IF(AND(Q126='G-7 WaterC'' Data'!$G$4,AA126="Yes"),"Alternative Compensation ✓", IF(AND(AA126="Pending", Q126='G-7 WaterC'' Data'!$G$4),"Bespoke compensation must be agreed ▲", IF((W126+X126)&gt;=R126, 0, R126-W126-X126)))),"Check Data ⚠")</f>
        <v/>
      </c>
      <c r="AA126" s="817"/>
      <c r="AB126" s="140"/>
      <c r="AC126" s="108"/>
      <c r="AD126" s="108"/>
      <c r="AE126" s="54" t="str">
        <f>IF(OR(Q126="",AA126="Yes"),"",IF(Q126='G-1 All Habitats'!$X$9,E126-U126-V126,"None"))</f>
        <v/>
      </c>
      <c r="AF126" s="55" t="str">
        <f>IF(Q126="","", IF(Q126='G-1 All Habitats'!$X$9, AE126*G126*I126*L126*N126*P126,"None"))</f>
        <v/>
      </c>
      <c r="AI126" s="30">
        <f t="shared" si="16"/>
        <v>0</v>
      </c>
      <c r="AJ126" s="111" t="str">
        <f t="shared" si="17"/>
        <v/>
      </c>
      <c r="AK126" s="111" t="str">
        <f t="shared" si="18"/>
        <v/>
      </c>
      <c r="AM126" s="111">
        <v>117</v>
      </c>
      <c r="AO126" s="111" t="str">
        <f t="array" ref="AO126">IFERROR(INDEX($AM$10:$AM$258, MATCH(0, IF(TRUE=$AJ$10:$AJ$258, COUNTIF($AO$9:$AO125, $AM$10:$AM$258), ""), 0)),"")</f>
        <v/>
      </c>
      <c r="AP126" s="111" t="str">
        <f t="array" ref="AP126">IFERROR(INDEX($AM$10:$AM$258, MATCH(0, IF(TRUE=$AK$10:$AK$258, COUNTIF($AP$9:$AP125, $AM$10:$AM$258), ""), 0)),"")</f>
        <v/>
      </c>
      <c r="AR126" s="30" t="str">
        <f>IFERROR(INDEX('G-7 WaterC'' Data'!$AZ$3:$AZ$7,MATCH(D126,'G-7 WaterC'' Data'!$AY$3:$AY$7,0)),"")</f>
        <v/>
      </c>
      <c r="AS126" s="30" t="str">
        <f>IFERROR(INDEX('G-7 WaterC'' Data'!AZ126:AZ130,MATCH(D126,'G-7 WaterC'' Data'!$AY$10:$AY$14,0)),"")</f>
        <v/>
      </c>
      <c r="AT126" s="903" t="str">
        <f>IF(AND(OR(AA126="Yes",AA126="Pending"),Q126='G-7 WaterC'' Data'!$G$4),R126-W126-X126,"")</f>
        <v/>
      </c>
      <c r="AU126" s="30" t="str">
        <f>IF(D126="","",VLOOKUP(D126,'G-7 WaterC'' Data'!B$4:M$8,12,FALSE))</f>
        <v/>
      </c>
      <c r="AV126" s="30" t="str">
        <f t="shared" si="10"/>
        <v/>
      </c>
      <c r="AX126" s="30" t="str">
        <f t="shared" si="19"/>
        <v>No</v>
      </c>
    </row>
    <row r="127" spans="3:50" x14ac:dyDescent="0.25">
      <c r="C127" s="101">
        <v>118</v>
      </c>
      <c r="D127" s="267"/>
      <c r="E127" s="119"/>
      <c r="F127" s="281" t="str">
        <f>IF(D127="","",VLOOKUP(D127,'G-7 WaterC'' Data'!$B$2:$G$8,2,FALSE))</f>
        <v/>
      </c>
      <c r="G127" s="282" t="str">
        <f>IFERROR(VLOOKUP(F127,'G-7 WaterC'' Data'!$C$4:$D$8,2,FALSE),"")</f>
        <v/>
      </c>
      <c r="H127" s="52"/>
      <c r="I127" s="282" t="str">
        <f>IFERROR(INDEX('G-7 WaterC'' Data'!$H$4:$L$8,MATCH(D127,'G-7 WaterC'' Data'!$B$4:$B$8,0),MATCH(H127,'G-7 WaterC'' Data'!$H$3:$L$3,0)),"")</f>
        <v/>
      </c>
      <c r="J127" s="793"/>
      <c r="K127" s="317" t="str">
        <f>IF(J127="","",IF(VLOOKUP(J127,'G-7 WaterC'' Data'!$AK$4:$AM$6,2,FALSE)=0,"Spatial Data Missing ⚠",VLOOKUP(J127,'G-7 WaterC'' Data'!$AK$4:$AM$6,2,FALSE)))</f>
        <v/>
      </c>
      <c r="L127" s="287" t="str">
        <f>IF(J127="","",IF(VLOOKUP(J127,'G-7 WaterC'' Data'!$AK$4:$AM$9,3,FALSE)=0,"Spatial Data Missing ⚠",VLOOKUP(J127,'G-7 WaterC'' Data'!$AK$4:$AM$6,3,FALSE)))</f>
        <v/>
      </c>
      <c r="M127" s="52"/>
      <c r="N127" s="282" t="str">
        <f>IF(M127="","",IF(AND(D127&lt;&gt;"Culvert",M127="N/A - Culvert"),"Not possible ▲",IF(AND(D127="Culvert",M127&lt;&gt;"N/A - Culvert"),"Not possible ▲",IF(VLOOKUP(M127,'G-7 WaterC'' Data'!$AA$4:$AB$7,2,FALSE)=0,"Spatial Data Missing ⚠",VLOOKUP(M127,'G-7 WaterC'' Data'!$AA$4:$AB$7,2,FALSE)))))</f>
        <v/>
      </c>
      <c r="O127" s="56"/>
      <c r="P127" s="282" t="str">
        <f>IF(O127="","",IF(AND(O127="N/A - Culvert", D127&lt;&gt;"Culvert"),"Not possible ▲", IF(AND(D127="Culvert",O127&lt;&gt;"N/A - Culvert"),"Not possible ▲",IF(VLOOKUP(O127,'G-7 WaterC'' Data'!$AD$4:$AE$14,2,FALSE)=0,"Spatial Data Missing ⚠",VLOOKUP(O127,'G-7 WaterC'' Data'!$AD$4:$AE$14,2,FALSE)))))</f>
        <v/>
      </c>
      <c r="Q127" s="288" t="str">
        <f>IF(D127="","",VLOOKUP(D127,'G-7 WaterC'' Data'!$B$2:$G$8,6,FALSE))</f>
        <v/>
      </c>
      <c r="R127" s="295" t="str">
        <f t="shared" si="11"/>
        <v xml:space="preserve"> </v>
      </c>
      <c r="S127" s="820" t="str">
        <f t="shared" si="12"/>
        <v/>
      </c>
      <c r="T127" s="32"/>
      <c r="U127" s="105"/>
      <c r="V127" s="112"/>
      <c r="W127" s="293" t="str">
        <f t="shared" si="13"/>
        <v/>
      </c>
      <c r="X127" s="293" t="str">
        <f t="shared" si="14"/>
        <v/>
      </c>
      <c r="Y127" s="293" t="str">
        <f t="shared" si="15"/>
        <v/>
      </c>
      <c r="Z127" s="323" t="str">
        <f>IFERROR(IF(OR(E127="",R127=""),"",  IF(AND(Q127='G-7 WaterC'' Data'!$G$4,AA127="Yes"),"Alternative Compensation ✓", IF(AND(AA127="Pending", Q127='G-7 WaterC'' Data'!$G$4),"Bespoke compensation must be agreed ▲", IF((W127+X127)&gt;=R127, 0, R127-W127-X127)))),"Check Data ⚠")</f>
        <v/>
      </c>
      <c r="AA127" s="817"/>
      <c r="AB127" s="140"/>
      <c r="AC127" s="108"/>
      <c r="AD127" s="108"/>
      <c r="AE127" s="54" t="str">
        <f>IF(OR(Q127="",AA127="Yes"),"",IF(Q127='G-1 All Habitats'!$X$9,E127-U127-V127,"None"))</f>
        <v/>
      </c>
      <c r="AF127" s="55" t="str">
        <f>IF(Q127="","", IF(Q127='G-1 All Habitats'!$X$9, AE127*G127*I127*L127*N127*P127,"None"))</f>
        <v/>
      </c>
      <c r="AI127" s="30">
        <f t="shared" si="16"/>
        <v>0</v>
      </c>
      <c r="AJ127" s="111" t="str">
        <f t="shared" si="17"/>
        <v/>
      </c>
      <c r="AK127" s="111" t="str">
        <f t="shared" si="18"/>
        <v/>
      </c>
      <c r="AM127" s="111">
        <v>118</v>
      </c>
      <c r="AO127" s="111" t="str">
        <f t="array" ref="AO127">IFERROR(INDEX($AM$10:$AM$258, MATCH(0, IF(TRUE=$AJ$10:$AJ$258, COUNTIF($AO$9:$AO126, $AM$10:$AM$258), ""), 0)),"")</f>
        <v/>
      </c>
      <c r="AP127" s="111" t="str">
        <f t="array" ref="AP127">IFERROR(INDEX($AM$10:$AM$258, MATCH(0, IF(TRUE=$AK$10:$AK$258, COUNTIF($AP$9:$AP126, $AM$10:$AM$258), ""), 0)),"")</f>
        <v/>
      </c>
      <c r="AR127" s="30" t="str">
        <f>IFERROR(INDEX('G-7 WaterC'' Data'!$AZ$3:$AZ$7,MATCH(D127,'G-7 WaterC'' Data'!$AY$3:$AY$7,0)),"")</f>
        <v/>
      </c>
      <c r="AS127" s="30" t="str">
        <f>IFERROR(INDEX('G-7 WaterC'' Data'!AZ127:AZ131,MATCH(D127,'G-7 WaterC'' Data'!$AY$10:$AY$14,0)),"")</f>
        <v/>
      </c>
      <c r="AT127" s="903" t="str">
        <f>IF(AND(OR(AA127="Yes",AA127="Pending"),Q127='G-7 WaterC'' Data'!$G$4),R127-W127-X127,"")</f>
        <v/>
      </c>
      <c r="AU127" s="30" t="str">
        <f>IF(D127="","",VLOOKUP(D127,'G-7 WaterC'' Data'!B$4:M$8,12,FALSE))</f>
        <v/>
      </c>
      <c r="AV127" s="30" t="str">
        <f t="shared" si="10"/>
        <v/>
      </c>
      <c r="AX127" s="30" t="str">
        <f t="shared" si="19"/>
        <v>No</v>
      </c>
    </row>
    <row r="128" spans="3:50" x14ac:dyDescent="0.25">
      <c r="C128" s="101">
        <v>119</v>
      </c>
      <c r="D128" s="267"/>
      <c r="E128" s="119"/>
      <c r="F128" s="281" t="str">
        <f>IF(D128="","",VLOOKUP(D128,'G-7 WaterC'' Data'!$B$2:$G$8,2,FALSE))</f>
        <v/>
      </c>
      <c r="G128" s="282" t="str">
        <f>IFERROR(VLOOKUP(F128,'G-7 WaterC'' Data'!$C$4:$D$8,2,FALSE),"")</f>
        <v/>
      </c>
      <c r="H128" s="52"/>
      <c r="I128" s="282" t="str">
        <f>IFERROR(INDEX('G-7 WaterC'' Data'!$H$4:$L$8,MATCH(D128,'G-7 WaterC'' Data'!$B$4:$B$8,0),MATCH(H128,'G-7 WaterC'' Data'!$H$3:$L$3,0)),"")</f>
        <v/>
      </c>
      <c r="J128" s="793"/>
      <c r="K128" s="317" t="str">
        <f>IF(J128="","",IF(VLOOKUP(J128,'G-7 WaterC'' Data'!$AK$4:$AM$6,2,FALSE)=0,"Spatial Data Missing ⚠",VLOOKUP(J128,'G-7 WaterC'' Data'!$AK$4:$AM$6,2,FALSE)))</f>
        <v/>
      </c>
      <c r="L128" s="287" t="str">
        <f>IF(J128="","",IF(VLOOKUP(J128,'G-7 WaterC'' Data'!$AK$4:$AM$9,3,FALSE)=0,"Spatial Data Missing ⚠",VLOOKUP(J128,'G-7 WaterC'' Data'!$AK$4:$AM$6,3,FALSE)))</f>
        <v/>
      </c>
      <c r="M128" s="52"/>
      <c r="N128" s="282" t="str">
        <f>IF(M128="","",IF(AND(D128&lt;&gt;"Culvert",M128="N/A - Culvert"),"Not possible ▲",IF(AND(D128="Culvert",M128&lt;&gt;"N/A - Culvert"),"Not possible ▲",IF(VLOOKUP(M128,'G-7 WaterC'' Data'!$AA$4:$AB$7,2,FALSE)=0,"Spatial Data Missing ⚠",VLOOKUP(M128,'G-7 WaterC'' Data'!$AA$4:$AB$7,2,FALSE)))))</f>
        <v/>
      </c>
      <c r="O128" s="56"/>
      <c r="P128" s="282" t="str">
        <f>IF(O128="","",IF(AND(O128="N/A - Culvert", D128&lt;&gt;"Culvert"),"Not possible ▲", IF(AND(D128="Culvert",O128&lt;&gt;"N/A - Culvert"),"Not possible ▲",IF(VLOOKUP(O128,'G-7 WaterC'' Data'!$AD$4:$AE$14,2,FALSE)=0,"Spatial Data Missing ⚠",VLOOKUP(O128,'G-7 WaterC'' Data'!$AD$4:$AE$14,2,FALSE)))))</f>
        <v/>
      </c>
      <c r="Q128" s="288" t="str">
        <f>IF(D128="","",VLOOKUP(D128,'G-7 WaterC'' Data'!$B$2:$G$8,6,FALSE))</f>
        <v/>
      </c>
      <c r="R128" s="295" t="str">
        <f t="shared" si="11"/>
        <v xml:space="preserve"> </v>
      </c>
      <c r="S128" s="820" t="str">
        <f t="shared" si="12"/>
        <v/>
      </c>
      <c r="T128" s="32"/>
      <c r="U128" s="105"/>
      <c r="V128" s="112"/>
      <c r="W128" s="293" t="str">
        <f t="shared" si="13"/>
        <v/>
      </c>
      <c r="X128" s="293" t="str">
        <f t="shared" si="14"/>
        <v/>
      </c>
      <c r="Y128" s="293" t="str">
        <f t="shared" si="15"/>
        <v/>
      </c>
      <c r="Z128" s="323" t="str">
        <f>IFERROR(IF(OR(E128="",R128=""),"",  IF(AND(Q128='G-7 WaterC'' Data'!$G$4,AA128="Yes"),"Alternative Compensation ✓", IF(AND(AA128="Pending", Q128='G-7 WaterC'' Data'!$G$4),"Bespoke compensation must be agreed ▲", IF((W128+X128)&gt;=R128, 0, R128-W128-X128)))),"Check Data ⚠")</f>
        <v/>
      </c>
      <c r="AA128" s="817"/>
      <c r="AB128" s="140"/>
      <c r="AC128" s="108"/>
      <c r="AD128" s="108"/>
      <c r="AE128" s="54" t="str">
        <f>IF(OR(Q128="",AA128="Yes"),"",IF(Q128='G-1 All Habitats'!$X$9,E128-U128-V128,"None"))</f>
        <v/>
      </c>
      <c r="AF128" s="55" t="str">
        <f>IF(Q128="","", IF(Q128='G-1 All Habitats'!$X$9, AE128*G128*I128*L128*N128*P128,"None"))</f>
        <v/>
      </c>
      <c r="AI128" s="30">
        <f t="shared" si="16"/>
        <v>0</v>
      </c>
      <c r="AJ128" s="111" t="str">
        <f t="shared" si="17"/>
        <v/>
      </c>
      <c r="AK128" s="111" t="str">
        <f t="shared" si="18"/>
        <v/>
      </c>
      <c r="AM128" s="111">
        <v>119</v>
      </c>
      <c r="AO128" s="111" t="str">
        <f t="array" ref="AO128">IFERROR(INDEX($AM$10:$AM$258, MATCH(0, IF(TRUE=$AJ$10:$AJ$258, COUNTIF($AO$9:$AO127, $AM$10:$AM$258), ""), 0)),"")</f>
        <v/>
      </c>
      <c r="AP128" s="111" t="str">
        <f t="array" ref="AP128">IFERROR(INDEX($AM$10:$AM$258, MATCH(0, IF(TRUE=$AK$10:$AK$258, COUNTIF($AP$9:$AP127, $AM$10:$AM$258), ""), 0)),"")</f>
        <v/>
      </c>
      <c r="AR128" s="30" t="str">
        <f>IFERROR(INDEX('G-7 WaterC'' Data'!$AZ$3:$AZ$7,MATCH(D128,'G-7 WaterC'' Data'!$AY$3:$AY$7,0)),"")</f>
        <v/>
      </c>
      <c r="AS128" s="30" t="str">
        <f>IFERROR(INDEX('G-7 WaterC'' Data'!AZ128:AZ132,MATCH(D128,'G-7 WaterC'' Data'!$AY$10:$AY$14,0)),"")</f>
        <v/>
      </c>
      <c r="AT128" s="903" t="str">
        <f>IF(AND(OR(AA128="Yes",AA128="Pending"),Q128='G-7 WaterC'' Data'!$G$4),R128-W128-X128,"")</f>
        <v/>
      </c>
      <c r="AU128" s="30" t="str">
        <f>IF(D128="","",VLOOKUP(D128,'G-7 WaterC'' Data'!B$4:M$8,12,FALSE))</f>
        <v/>
      </c>
      <c r="AV128" s="30" t="str">
        <f t="shared" si="10"/>
        <v/>
      </c>
      <c r="AX128" s="30" t="str">
        <f t="shared" si="19"/>
        <v>No</v>
      </c>
    </row>
    <row r="129" spans="3:50" x14ac:dyDescent="0.25">
      <c r="C129" s="101">
        <v>120</v>
      </c>
      <c r="D129" s="267"/>
      <c r="E129" s="119"/>
      <c r="F129" s="281" t="str">
        <f>IF(D129="","",VLOOKUP(D129,'G-7 WaterC'' Data'!$B$2:$G$8,2,FALSE))</f>
        <v/>
      </c>
      <c r="G129" s="282" t="str">
        <f>IFERROR(VLOOKUP(F129,'G-7 WaterC'' Data'!$C$4:$D$8,2,FALSE),"")</f>
        <v/>
      </c>
      <c r="H129" s="52"/>
      <c r="I129" s="282" t="str">
        <f>IFERROR(INDEX('G-7 WaterC'' Data'!$H$4:$L$8,MATCH(D129,'G-7 WaterC'' Data'!$B$4:$B$8,0),MATCH(H129,'G-7 WaterC'' Data'!$H$3:$L$3,0)),"")</f>
        <v/>
      </c>
      <c r="J129" s="793"/>
      <c r="K129" s="317" t="str">
        <f>IF(J129="","",IF(VLOOKUP(J129,'G-7 WaterC'' Data'!$AK$4:$AM$6,2,FALSE)=0,"Spatial Data Missing ⚠",VLOOKUP(J129,'G-7 WaterC'' Data'!$AK$4:$AM$6,2,FALSE)))</f>
        <v/>
      </c>
      <c r="L129" s="287" t="str">
        <f>IF(J129="","",IF(VLOOKUP(J129,'G-7 WaterC'' Data'!$AK$4:$AM$9,3,FALSE)=0,"Spatial Data Missing ⚠",VLOOKUP(J129,'G-7 WaterC'' Data'!$AK$4:$AM$6,3,FALSE)))</f>
        <v/>
      </c>
      <c r="M129" s="52"/>
      <c r="N129" s="282" t="str">
        <f>IF(M129="","",IF(AND(D129&lt;&gt;"Culvert",M129="N/A - Culvert"),"Not possible ▲",IF(AND(D129="Culvert",M129&lt;&gt;"N/A - Culvert"),"Not possible ▲",IF(VLOOKUP(M129,'G-7 WaterC'' Data'!$AA$4:$AB$7,2,FALSE)=0,"Spatial Data Missing ⚠",VLOOKUP(M129,'G-7 WaterC'' Data'!$AA$4:$AB$7,2,FALSE)))))</f>
        <v/>
      </c>
      <c r="O129" s="56"/>
      <c r="P129" s="282" t="str">
        <f>IF(O129="","",IF(AND(O129="N/A - Culvert", D129&lt;&gt;"Culvert"),"Not possible ▲", IF(AND(D129="Culvert",O129&lt;&gt;"N/A - Culvert"),"Not possible ▲",IF(VLOOKUP(O129,'G-7 WaterC'' Data'!$AD$4:$AE$14,2,FALSE)=0,"Spatial Data Missing ⚠",VLOOKUP(O129,'G-7 WaterC'' Data'!$AD$4:$AE$14,2,FALSE)))))</f>
        <v/>
      </c>
      <c r="Q129" s="288" t="str">
        <f>IF(D129="","",VLOOKUP(D129,'G-7 WaterC'' Data'!$B$2:$G$8,6,FALSE))</f>
        <v/>
      </c>
      <c r="R129" s="295" t="str">
        <f t="shared" si="11"/>
        <v xml:space="preserve"> </v>
      </c>
      <c r="S129" s="820" t="str">
        <f t="shared" si="12"/>
        <v/>
      </c>
      <c r="T129" s="32"/>
      <c r="U129" s="105"/>
      <c r="V129" s="112"/>
      <c r="W129" s="293" t="str">
        <f t="shared" si="13"/>
        <v/>
      </c>
      <c r="X129" s="293" t="str">
        <f t="shared" si="14"/>
        <v/>
      </c>
      <c r="Y129" s="293" t="str">
        <f t="shared" si="15"/>
        <v/>
      </c>
      <c r="Z129" s="323" t="str">
        <f>IFERROR(IF(OR(E129="",R129=""),"",  IF(AND(Q129='G-7 WaterC'' Data'!$G$4,AA129="Yes"),"Alternative Compensation ✓", IF(AND(AA129="Pending", Q129='G-7 WaterC'' Data'!$G$4),"Bespoke compensation must be agreed ▲", IF((W129+X129)&gt;=R129, 0, R129-W129-X129)))),"Check Data ⚠")</f>
        <v/>
      </c>
      <c r="AA129" s="817"/>
      <c r="AB129" s="140"/>
      <c r="AC129" s="108"/>
      <c r="AD129" s="108"/>
      <c r="AE129" s="54" t="str">
        <f>IF(OR(Q129="",AA129="Yes"),"",IF(Q129='G-1 All Habitats'!$X$9,E129-U129-V129,"None"))</f>
        <v/>
      </c>
      <c r="AF129" s="55" t="str">
        <f>IF(Q129="","", IF(Q129='G-1 All Habitats'!$X$9, AE129*G129*I129*L129*N129*P129,"None"))</f>
        <v/>
      </c>
      <c r="AI129" s="30">
        <f t="shared" si="16"/>
        <v>0</v>
      </c>
      <c r="AJ129" s="111" t="str">
        <f t="shared" si="17"/>
        <v/>
      </c>
      <c r="AK129" s="111" t="str">
        <f t="shared" si="18"/>
        <v/>
      </c>
      <c r="AM129" s="111">
        <v>120</v>
      </c>
      <c r="AO129" s="111" t="str">
        <f t="array" ref="AO129">IFERROR(INDEX($AM$10:$AM$258, MATCH(0, IF(TRUE=$AJ$10:$AJ$258, COUNTIF($AO$9:$AO128, $AM$10:$AM$258), ""), 0)),"")</f>
        <v/>
      </c>
      <c r="AP129" s="111" t="str">
        <f t="array" ref="AP129">IFERROR(INDEX($AM$10:$AM$258, MATCH(0, IF(TRUE=$AK$10:$AK$258, COUNTIF($AP$9:$AP128, $AM$10:$AM$258), ""), 0)),"")</f>
        <v/>
      </c>
      <c r="AR129" s="30" t="str">
        <f>IFERROR(INDEX('G-7 WaterC'' Data'!$AZ$3:$AZ$7,MATCH(D129,'G-7 WaterC'' Data'!$AY$3:$AY$7,0)),"")</f>
        <v/>
      </c>
      <c r="AS129" s="30" t="str">
        <f>IFERROR(INDEX('G-7 WaterC'' Data'!AZ129:AZ133,MATCH(D129,'G-7 WaterC'' Data'!$AY$10:$AY$14,0)),"")</f>
        <v/>
      </c>
      <c r="AT129" s="903" t="str">
        <f>IF(AND(OR(AA129="Yes",AA129="Pending"),Q129='G-7 WaterC'' Data'!$G$4),R129-W129-X129,"")</f>
        <v/>
      </c>
      <c r="AU129" s="30" t="str">
        <f>IF(D129="","",VLOOKUP(D129,'G-7 WaterC'' Data'!B$4:M$8,12,FALSE))</f>
        <v/>
      </c>
      <c r="AV129" s="30" t="str">
        <f t="shared" si="10"/>
        <v/>
      </c>
      <c r="AX129" s="30" t="str">
        <f t="shared" si="19"/>
        <v>No</v>
      </c>
    </row>
    <row r="130" spans="3:50" x14ac:dyDescent="0.25">
      <c r="C130" s="101">
        <v>121</v>
      </c>
      <c r="D130" s="267"/>
      <c r="E130" s="119"/>
      <c r="F130" s="281" t="str">
        <f>IF(D130="","",VLOOKUP(D130,'G-7 WaterC'' Data'!$B$2:$G$8,2,FALSE))</f>
        <v/>
      </c>
      <c r="G130" s="282" t="str">
        <f>IFERROR(VLOOKUP(F130,'G-7 WaterC'' Data'!$C$4:$D$8,2,FALSE),"")</f>
        <v/>
      </c>
      <c r="H130" s="52"/>
      <c r="I130" s="282" t="str">
        <f>IFERROR(INDEX('G-7 WaterC'' Data'!$H$4:$L$8,MATCH(D130,'G-7 WaterC'' Data'!$B$4:$B$8,0),MATCH(H130,'G-7 WaterC'' Data'!$H$3:$L$3,0)),"")</f>
        <v/>
      </c>
      <c r="J130" s="793"/>
      <c r="K130" s="317" t="str">
        <f>IF(J130="","",IF(VLOOKUP(J130,'G-7 WaterC'' Data'!$AK$4:$AM$6,2,FALSE)=0,"Spatial Data Missing ⚠",VLOOKUP(J130,'G-7 WaterC'' Data'!$AK$4:$AM$6,2,FALSE)))</f>
        <v/>
      </c>
      <c r="L130" s="287" t="str">
        <f>IF(J130="","",IF(VLOOKUP(J130,'G-7 WaterC'' Data'!$AK$4:$AM$9,3,FALSE)=0,"Spatial Data Missing ⚠",VLOOKUP(J130,'G-7 WaterC'' Data'!$AK$4:$AM$6,3,FALSE)))</f>
        <v/>
      </c>
      <c r="M130" s="52"/>
      <c r="N130" s="282" t="str">
        <f>IF(M130="","",IF(AND(D130&lt;&gt;"Culvert",M130="N/A - Culvert"),"Not possible ▲",IF(AND(D130="Culvert",M130&lt;&gt;"N/A - Culvert"),"Not possible ▲",IF(VLOOKUP(M130,'G-7 WaterC'' Data'!$AA$4:$AB$7,2,FALSE)=0,"Spatial Data Missing ⚠",VLOOKUP(M130,'G-7 WaterC'' Data'!$AA$4:$AB$7,2,FALSE)))))</f>
        <v/>
      </c>
      <c r="O130" s="56"/>
      <c r="P130" s="282" t="str">
        <f>IF(O130="","",IF(AND(O130="N/A - Culvert", D130&lt;&gt;"Culvert"),"Not possible ▲", IF(AND(D130="Culvert",O130&lt;&gt;"N/A - Culvert"),"Not possible ▲",IF(VLOOKUP(O130,'G-7 WaterC'' Data'!$AD$4:$AE$14,2,FALSE)=0,"Spatial Data Missing ⚠",VLOOKUP(O130,'G-7 WaterC'' Data'!$AD$4:$AE$14,2,FALSE)))))</f>
        <v/>
      </c>
      <c r="Q130" s="288" t="str">
        <f>IF(D130="","",VLOOKUP(D130,'G-7 WaterC'' Data'!$B$2:$G$8,6,FALSE))</f>
        <v/>
      </c>
      <c r="R130" s="295" t="str">
        <f t="shared" si="11"/>
        <v xml:space="preserve"> </v>
      </c>
      <c r="S130" s="820" t="str">
        <f t="shared" si="12"/>
        <v/>
      </c>
      <c r="T130" s="32"/>
      <c r="U130" s="105"/>
      <c r="V130" s="112"/>
      <c r="W130" s="293" t="str">
        <f t="shared" si="13"/>
        <v/>
      </c>
      <c r="X130" s="293" t="str">
        <f t="shared" si="14"/>
        <v/>
      </c>
      <c r="Y130" s="293" t="str">
        <f t="shared" si="15"/>
        <v/>
      </c>
      <c r="Z130" s="323" t="str">
        <f>IFERROR(IF(OR(E130="",R130=""),"",  IF(AND(Q130='G-7 WaterC'' Data'!$G$4,AA130="Yes"),"Alternative Compensation ✓", IF(AND(AA130="Pending", Q130='G-7 WaterC'' Data'!$G$4),"Bespoke compensation must be agreed ▲", IF((W130+X130)&gt;=R130, 0, R130-W130-X130)))),"Check Data ⚠")</f>
        <v/>
      </c>
      <c r="AA130" s="817"/>
      <c r="AB130" s="140"/>
      <c r="AC130" s="108"/>
      <c r="AD130" s="108"/>
      <c r="AE130" s="54" t="str">
        <f>IF(OR(Q130="",AA130="Yes"),"",IF(Q130='G-1 All Habitats'!$X$9,E130-U130-V130,"None"))</f>
        <v/>
      </c>
      <c r="AF130" s="55" t="str">
        <f>IF(Q130="","", IF(Q130='G-1 All Habitats'!$X$9, AE130*G130*I130*L130*N130*P130,"None"))</f>
        <v/>
      </c>
      <c r="AI130" s="30">
        <f t="shared" si="16"/>
        <v>0</v>
      </c>
      <c r="AJ130" s="111" t="str">
        <f t="shared" si="17"/>
        <v/>
      </c>
      <c r="AK130" s="111" t="str">
        <f t="shared" si="18"/>
        <v/>
      </c>
      <c r="AM130" s="111">
        <v>121</v>
      </c>
      <c r="AO130" s="111" t="str">
        <f t="array" ref="AO130">IFERROR(INDEX($AM$10:$AM$258, MATCH(0, IF(TRUE=$AJ$10:$AJ$258, COUNTIF($AO$9:$AO129, $AM$10:$AM$258), ""), 0)),"")</f>
        <v/>
      </c>
      <c r="AP130" s="111" t="str">
        <f t="array" ref="AP130">IFERROR(INDEX($AM$10:$AM$258, MATCH(0, IF(TRUE=$AK$10:$AK$258, COUNTIF($AP$9:$AP129, $AM$10:$AM$258), ""), 0)),"")</f>
        <v/>
      </c>
      <c r="AR130" s="30" t="str">
        <f>IFERROR(INDEX('G-7 WaterC'' Data'!$AZ$3:$AZ$7,MATCH(D130,'G-7 WaterC'' Data'!$AY$3:$AY$7,0)),"")</f>
        <v/>
      </c>
      <c r="AS130" s="30" t="str">
        <f>IFERROR(INDEX('G-7 WaterC'' Data'!AZ130:AZ134,MATCH(D130,'G-7 WaterC'' Data'!$AY$10:$AY$14,0)),"")</f>
        <v/>
      </c>
      <c r="AT130" s="903" t="str">
        <f>IF(AND(OR(AA130="Yes",AA130="Pending"),Q130='G-7 WaterC'' Data'!$G$4),R130-W130-X130,"")</f>
        <v/>
      </c>
      <c r="AU130" s="30" t="str">
        <f>IF(D130="","",VLOOKUP(D130,'G-7 WaterC'' Data'!B$4:M$8,12,FALSE))</f>
        <v/>
      </c>
      <c r="AV130" s="30" t="str">
        <f t="shared" si="10"/>
        <v/>
      </c>
      <c r="AX130" s="30" t="str">
        <f t="shared" si="19"/>
        <v>No</v>
      </c>
    </row>
    <row r="131" spans="3:50" x14ac:dyDescent="0.25">
      <c r="C131" s="101">
        <v>122</v>
      </c>
      <c r="D131" s="267"/>
      <c r="E131" s="119"/>
      <c r="F131" s="281" t="str">
        <f>IF(D131="","",VLOOKUP(D131,'G-7 WaterC'' Data'!$B$2:$G$8,2,FALSE))</f>
        <v/>
      </c>
      <c r="G131" s="282" t="str">
        <f>IFERROR(VLOOKUP(F131,'G-7 WaterC'' Data'!$C$4:$D$8,2,FALSE),"")</f>
        <v/>
      </c>
      <c r="H131" s="52"/>
      <c r="I131" s="282" t="str">
        <f>IFERROR(INDEX('G-7 WaterC'' Data'!$H$4:$L$8,MATCH(D131,'G-7 WaterC'' Data'!$B$4:$B$8,0),MATCH(H131,'G-7 WaterC'' Data'!$H$3:$L$3,0)),"")</f>
        <v/>
      </c>
      <c r="J131" s="793"/>
      <c r="K131" s="317" t="str">
        <f>IF(J131="","",IF(VLOOKUP(J131,'G-7 WaterC'' Data'!$AK$4:$AM$6,2,FALSE)=0,"Spatial Data Missing ⚠",VLOOKUP(J131,'G-7 WaterC'' Data'!$AK$4:$AM$6,2,FALSE)))</f>
        <v/>
      </c>
      <c r="L131" s="287" t="str">
        <f>IF(J131="","",IF(VLOOKUP(J131,'G-7 WaterC'' Data'!$AK$4:$AM$9,3,FALSE)=0,"Spatial Data Missing ⚠",VLOOKUP(J131,'G-7 WaterC'' Data'!$AK$4:$AM$6,3,FALSE)))</f>
        <v/>
      </c>
      <c r="M131" s="52"/>
      <c r="N131" s="282" t="str">
        <f>IF(M131="","",IF(AND(D131&lt;&gt;"Culvert",M131="N/A - Culvert"),"Not possible ▲",IF(AND(D131="Culvert",M131&lt;&gt;"N/A - Culvert"),"Not possible ▲",IF(VLOOKUP(M131,'G-7 WaterC'' Data'!$AA$4:$AB$7,2,FALSE)=0,"Spatial Data Missing ⚠",VLOOKUP(M131,'G-7 WaterC'' Data'!$AA$4:$AB$7,2,FALSE)))))</f>
        <v/>
      </c>
      <c r="O131" s="56"/>
      <c r="P131" s="282" t="str">
        <f>IF(O131="","",IF(AND(O131="N/A - Culvert", D131&lt;&gt;"Culvert"),"Not possible ▲", IF(AND(D131="Culvert",O131&lt;&gt;"N/A - Culvert"),"Not possible ▲",IF(VLOOKUP(O131,'G-7 WaterC'' Data'!$AD$4:$AE$14,2,FALSE)=0,"Spatial Data Missing ⚠",VLOOKUP(O131,'G-7 WaterC'' Data'!$AD$4:$AE$14,2,FALSE)))))</f>
        <v/>
      </c>
      <c r="Q131" s="288" t="str">
        <f>IF(D131="","",VLOOKUP(D131,'G-7 WaterC'' Data'!$B$2:$G$8,6,FALSE))</f>
        <v/>
      </c>
      <c r="R131" s="295" t="str">
        <f t="shared" si="11"/>
        <v xml:space="preserve"> </v>
      </c>
      <c r="S131" s="820" t="str">
        <f t="shared" si="12"/>
        <v/>
      </c>
      <c r="T131" s="32"/>
      <c r="U131" s="105"/>
      <c r="V131" s="112"/>
      <c r="W131" s="293" t="str">
        <f t="shared" si="13"/>
        <v/>
      </c>
      <c r="X131" s="293" t="str">
        <f t="shared" si="14"/>
        <v/>
      </c>
      <c r="Y131" s="293" t="str">
        <f t="shared" si="15"/>
        <v/>
      </c>
      <c r="Z131" s="323" t="str">
        <f>IFERROR(IF(OR(E131="",R131=""),"",  IF(AND(Q131='G-7 WaterC'' Data'!$G$4,AA131="Yes"),"Alternative Compensation ✓", IF(AND(AA131="Pending", Q131='G-7 WaterC'' Data'!$G$4),"Bespoke compensation must be agreed ▲", IF((W131+X131)&gt;=R131, 0, R131-W131-X131)))),"Check Data ⚠")</f>
        <v/>
      </c>
      <c r="AA131" s="817"/>
      <c r="AB131" s="140"/>
      <c r="AC131" s="108"/>
      <c r="AD131" s="108"/>
      <c r="AE131" s="54" t="str">
        <f>IF(OR(Q131="",AA131="Yes"),"",IF(Q131='G-1 All Habitats'!$X$9,E131-U131-V131,"None"))</f>
        <v/>
      </c>
      <c r="AF131" s="55" t="str">
        <f>IF(Q131="","", IF(Q131='G-1 All Habitats'!$X$9, AE131*G131*I131*L131*N131*P131,"None"))</f>
        <v/>
      </c>
      <c r="AI131" s="30">
        <f t="shared" si="16"/>
        <v>0</v>
      </c>
      <c r="AJ131" s="111" t="str">
        <f t="shared" si="17"/>
        <v/>
      </c>
      <c r="AK131" s="111" t="str">
        <f t="shared" si="18"/>
        <v/>
      </c>
      <c r="AM131" s="111">
        <v>122</v>
      </c>
      <c r="AO131" s="111" t="str">
        <f t="array" ref="AO131">IFERROR(INDEX($AM$10:$AM$258, MATCH(0, IF(TRUE=$AJ$10:$AJ$258, COUNTIF($AO$9:$AO130, $AM$10:$AM$258), ""), 0)),"")</f>
        <v/>
      </c>
      <c r="AP131" s="111" t="str">
        <f t="array" ref="AP131">IFERROR(INDEX($AM$10:$AM$258, MATCH(0, IF(TRUE=$AK$10:$AK$258, COUNTIF($AP$9:$AP130, $AM$10:$AM$258), ""), 0)),"")</f>
        <v/>
      </c>
      <c r="AR131" s="30" t="str">
        <f>IFERROR(INDEX('G-7 WaterC'' Data'!$AZ$3:$AZ$7,MATCH(D131,'G-7 WaterC'' Data'!$AY$3:$AY$7,0)),"")</f>
        <v/>
      </c>
      <c r="AS131" s="30" t="str">
        <f>IFERROR(INDEX('G-7 WaterC'' Data'!AZ131:AZ135,MATCH(D131,'G-7 WaterC'' Data'!$AY$10:$AY$14,0)),"")</f>
        <v/>
      </c>
      <c r="AT131" s="903" t="str">
        <f>IF(AND(OR(AA131="Yes",AA131="Pending"),Q131='G-7 WaterC'' Data'!$G$4),R131-W131-X131,"")</f>
        <v/>
      </c>
      <c r="AU131" s="30" t="str">
        <f>IF(D131="","",VLOOKUP(D131,'G-7 WaterC'' Data'!B$4:M$8,12,FALSE))</f>
        <v/>
      </c>
      <c r="AV131" s="30" t="str">
        <f t="shared" si="10"/>
        <v/>
      </c>
      <c r="AX131" s="30" t="str">
        <f t="shared" si="19"/>
        <v>No</v>
      </c>
    </row>
    <row r="132" spans="3:50" x14ac:dyDescent="0.25">
      <c r="C132" s="101">
        <v>123</v>
      </c>
      <c r="D132" s="267"/>
      <c r="E132" s="119"/>
      <c r="F132" s="281" t="str">
        <f>IF(D132="","",VLOOKUP(D132,'G-7 WaterC'' Data'!$B$2:$G$8,2,FALSE))</f>
        <v/>
      </c>
      <c r="G132" s="282" t="str">
        <f>IFERROR(VLOOKUP(F132,'G-7 WaterC'' Data'!$C$4:$D$8,2,FALSE),"")</f>
        <v/>
      </c>
      <c r="H132" s="52"/>
      <c r="I132" s="282" t="str">
        <f>IFERROR(INDEX('G-7 WaterC'' Data'!$H$4:$L$8,MATCH(D132,'G-7 WaterC'' Data'!$B$4:$B$8,0),MATCH(H132,'G-7 WaterC'' Data'!$H$3:$L$3,0)),"")</f>
        <v/>
      </c>
      <c r="J132" s="793"/>
      <c r="K132" s="317" t="str">
        <f>IF(J132="","",IF(VLOOKUP(J132,'G-7 WaterC'' Data'!$AK$4:$AM$6,2,FALSE)=0,"Spatial Data Missing ⚠",VLOOKUP(J132,'G-7 WaterC'' Data'!$AK$4:$AM$6,2,FALSE)))</f>
        <v/>
      </c>
      <c r="L132" s="287" t="str">
        <f>IF(J132="","",IF(VLOOKUP(J132,'G-7 WaterC'' Data'!$AK$4:$AM$9,3,FALSE)=0,"Spatial Data Missing ⚠",VLOOKUP(J132,'G-7 WaterC'' Data'!$AK$4:$AM$6,3,FALSE)))</f>
        <v/>
      </c>
      <c r="M132" s="52"/>
      <c r="N132" s="282" t="str">
        <f>IF(M132="","",IF(AND(D132&lt;&gt;"Culvert",M132="N/A - Culvert"),"Not possible ▲",IF(AND(D132="Culvert",M132&lt;&gt;"N/A - Culvert"),"Not possible ▲",IF(VLOOKUP(M132,'G-7 WaterC'' Data'!$AA$4:$AB$7,2,FALSE)=0,"Spatial Data Missing ⚠",VLOOKUP(M132,'G-7 WaterC'' Data'!$AA$4:$AB$7,2,FALSE)))))</f>
        <v/>
      </c>
      <c r="O132" s="56"/>
      <c r="P132" s="282" t="str">
        <f>IF(O132="","",IF(AND(O132="N/A - Culvert", D132&lt;&gt;"Culvert"),"Not possible ▲", IF(AND(D132="Culvert",O132&lt;&gt;"N/A - Culvert"),"Not possible ▲",IF(VLOOKUP(O132,'G-7 WaterC'' Data'!$AD$4:$AE$14,2,FALSE)=0,"Spatial Data Missing ⚠",VLOOKUP(O132,'G-7 WaterC'' Data'!$AD$4:$AE$14,2,FALSE)))))</f>
        <v/>
      </c>
      <c r="Q132" s="288" t="str">
        <f>IF(D132="","",VLOOKUP(D132,'G-7 WaterC'' Data'!$B$2:$G$8,6,FALSE))</f>
        <v/>
      </c>
      <c r="R132" s="295" t="str">
        <f t="shared" si="11"/>
        <v xml:space="preserve"> </v>
      </c>
      <c r="S132" s="820" t="str">
        <f t="shared" si="12"/>
        <v/>
      </c>
      <c r="T132" s="32"/>
      <c r="U132" s="105"/>
      <c r="V132" s="112"/>
      <c r="W132" s="293" t="str">
        <f t="shared" si="13"/>
        <v/>
      </c>
      <c r="X132" s="293" t="str">
        <f t="shared" si="14"/>
        <v/>
      </c>
      <c r="Y132" s="293" t="str">
        <f t="shared" si="15"/>
        <v/>
      </c>
      <c r="Z132" s="323" t="str">
        <f>IFERROR(IF(OR(E132="",R132=""),"",  IF(AND(Q132='G-7 WaterC'' Data'!$G$4,AA132="Yes"),"Alternative Compensation ✓", IF(AND(AA132="Pending", Q132='G-7 WaterC'' Data'!$G$4),"Bespoke compensation must be agreed ▲", IF((W132+X132)&gt;=R132, 0, R132-W132-X132)))),"Check Data ⚠")</f>
        <v/>
      </c>
      <c r="AA132" s="817"/>
      <c r="AB132" s="140"/>
      <c r="AC132" s="108"/>
      <c r="AD132" s="108"/>
      <c r="AE132" s="54" t="str">
        <f>IF(OR(Q132="",AA132="Yes"),"",IF(Q132='G-1 All Habitats'!$X$9,E132-U132-V132,"None"))</f>
        <v/>
      </c>
      <c r="AF132" s="55" t="str">
        <f>IF(Q132="","", IF(Q132='G-1 All Habitats'!$X$9, AE132*G132*I132*L132*N132*P132,"None"))</f>
        <v/>
      </c>
      <c r="AI132" s="30">
        <f t="shared" si="16"/>
        <v>0</v>
      </c>
      <c r="AJ132" s="111" t="str">
        <f t="shared" si="17"/>
        <v/>
      </c>
      <c r="AK132" s="111" t="str">
        <f t="shared" si="18"/>
        <v/>
      </c>
      <c r="AM132" s="111">
        <v>123</v>
      </c>
      <c r="AO132" s="111" t="str">
        <f t="array" ref="AO132">IFERROR(INDEX($AM$10:$AM$258, MATCH(0, IF(TRUE=$AJ$10:$AJ$258, COUNTIF($AO$9:$AO131, $AM$10:$AM$258), ""), 0)),"")</f>
        <v/>
      </c>
      <c r="AP132" s="111" t="str">
        <f t="array" ref="AP132">IFERROR(INDEX($AM$10:$AM$258, MATCH(0, IF(TRUE=$AK$10:$AK$258, COUNTIF($AP$9:$AP131, $AM$10:$AM$258), ""), 0)),"")</f>
        <v/>
      </c>
      <c r="AR132" s="30" t="str">
        <f>IFERROR(INDEX('G-7 WaterC'' Data'!$AZ$3:$AZ$7,MATCH(D132,'G-7 WaterC'' Data'!$AY$3:$AY$7,0)),"")</f>
        <v/>
      </c>
      <c r="AS132" s="30" t="str">
        <f>IFERROR(INDEX('G-7 WaterC'' Data'!AZ132:AZ136,MATCH(D132,'G-7 WaterC'' Data'!$AY$10:$AY$14,0)),"")</f>
        <v/>
      </c>
      <c r="AT132" s="903" t="str">
        <f>IF(AND(OR(AA132="Yes",AA132="Pending"),Q132='G-7 WaterC'' Data'!$G$4),R132-W132-X132,"")</f>
        <v/>
      </c>
      <c r="AU132" s="30" t="str">
        <f>IF(D132="","",VLOOKUP(D132,'G-7 WaterC'' Data'!B$4:M$8,12,FALSE))</f>
        <v/>
      </c>
      <c r="AV132" s="30" t="str">
        <f t="shared" si="10"/>
        <v/>
      </c>
      <c r="AX132" s="30" t="str">
        <f t="shared" si="19"/>
        <v>No</v>
      </c>
    </row>
    <row r="133" spans="3:50" x14ac:dyDescent="0.25">
      <c r="C133" s="101">
        <v>124</v>
      </c>
      <c r="D133" s="267"/>
      <c r="E133" s="119"/>
      <c r="F133" s="281" t="str">
        <f>IF(D133="","",VLOOKUP(D133,'G-7 WaterC'' Data'!$B$2:$G$8,2,FALSE))</f>
        <v/>
      </c>
      <c r="G133" s="282" t="str">
        <f>IFERROR(VLOOKUP(F133,'G-7 WaterC'' Data'!$C$4:$D$8,2,FALSE),"")</f>
        <v/>
      </c>
      <c r="H133" s="52"/>
      <c r="I133" s="282" t="str">
        <f>IFERROR(INDEX('G-7 WaterC'' Data'!$H$4:$L$8,MATCH(D133,'G-7 WaterC'' Data'!$B$4:$B$8,0),MATCH(H133,'G-7 WaterC'' Data'!$H$3:$L$3,0)),"")</f>
        <v/>
      </c>
      <c r="J133" s="793"/>
      <c r="K133" s="317" t="str">
        <f>IF(J133="","",IF(VLOOKUP(J133,'G-7 WaterC'' Data'!$AK$4:$AM$6,2,FALSE)=0,"Spatial Data Missing ⚠",VLOOKUP(J133,'G-7 WaterC'' Data'!$AK$4:$AM$6,2,FALSE)))</f>
        <v/>
      </c>
      <c r="L133" s="287" t="str">
        <f>IF(J133="","",IF(VLOOKUP(J133,'G-7 WaterC'' Data'!$AK$4:$AM$9,3,FALSE)=0,"Spatial Data Missing ⚠",VLOOKUP(J133,'G-7 WaterC'' Data'!$AK$4:$AM$6,3,FALSE)))</f>
        <v/>
      </c>
      <c r="M133" s="52"/>
      <c r="N133" s="282" t="str">
        <f>IF(M133="","",IF(AND(D133&lt;&gt;"Culvert",M133="N/A - Culvert"),"Not possible ▲",IF(AND(D133="Culvert",M133&lt;&gt;"N/A - Culvert"),"Not possible ▲",IF(VLOOKUP(M133,'G-7 WaterC'' Data'!$AA$4:$AB$7,2,FALSE)=0,"Spatial Data Missing ⚠",VLOOKUP(M133,'G-7 WaterC'' Data'!$AA$4:$AB$7,2,FALSE)))))</f>
        <v/>
      </c>
      <c r="O133" s="56"/>
      <c r="P133" s="282" t="str">
        <f>IF(O133="","",IF(AND(O133="N/A - Culvert", D133&lt;&gt;"Culvert"),"Not possible ▲", IF(AND(D133="Culvert",O133&lt;&gt;"N/A - Culvert"),"Not possible ▲",IF(VLOOKUP(O133,'G-7 WaterC'' Data'!$AD$4:$AE$14,2,FALSE)=0,"Spatial Data Missing ⚠",VLOOKUP(O133,'G-7 WaterC'' Data'!$AD$4:$AE$14,2,FALSE)))))</f>
        <v/>
      </c>
      <c r="Q133" s="288" t="str">
        <f>IF(D133="","",VLOOKUP(D133,'G-7 WaterC'' Data'!$B$2:$G$8,6,FALSE))</f>
        <v/>
      </c>
      <c r="R133" s="295" t="str">
        <f t="shared" si="11"/>
        <v xml:space="preserve"> </v>
      </c>
      <c r="S133" s="820" t="str">
        <f t="shared" si="12"/>
        <v/>
      </c>
      <c r="T133" s="32"/>
      <c r="U133" s="105"/>
      <c r="V133" s="112"/>
      <c r="W133" s="293" t="str">
        <f t="shared" si="13"/>
        <v/>
      </c>
      <c r="X133" s="293" t="str">
        <f t="shared" si="14"/>
        <v/>
      </c>
      <c r="Y133" s="293" t="str">
        <f t="shared" si="15"/>
        <v/>
      </c>
      <c r="Z133" s="323" t="str">
        <f>IFERROR(IF(OR(E133="",R133=""),"",  IF(AND(Q133='G-7 WaterC'' Data'!$G$4,AA133="Yes"),"Alternative Compensation ✓", IF(AND(AA133="Pending", Q133='G-7 WaterC'' Data'!$G$4),"Bespoke compensation must be agreed ▲", IF((W133+X133)&gt;=R133, 0, R133-W133-X133)))),"Check Data ⚠")</f>
        <v/>
      </c>
      <c r="AA133" s="817"/>
      <c r="AB133" s="140"/>
      <c r="AC133" s="108"/>
      <c r="AD133" s="108"/>
      <c r="AE133" s="54" t="str">
        <f>IF(OR(Q133="",AA133="Yes"),"",IF(Q133='G-1 All Habitats'!$X$9,E133-U133-V133,"None"))</f>
        <v/>
      </c>
      <c r="AF133" s="55" t="str">
        <f>IF(Q133="","", IF(Q133='G-1 All Habitats'!$X$9, AE133*G133*I133*L133*N133*P133,"None"))</f>
        <v/>
      </c>
      <c r="AI133" s="30">
        <f t="shared" si="16"/>
        <v>0</v>
      </c>
      <c r="AJ133" s="111" t="str">
        <f t="shared" si="17"/>
        <v/>
      </c>
      <c r="AK133" s="111" t="str">
        <f t="shared" si="18"/>
        <v/>
      </c>
      <c r="AM133" s="111">
        <v>124</v>
      </c>
      <c r="AO133" s="111" t="str">
        <f t="array" ref="AO133">IFERROR(INDEX($AM$10:$AM$258, MATCH(0, IF(TRUE=$AJ$10:$AJ$258, COUNTIF($AO$9:$AO132, $AM$10:$AM$258), ""), 0)),"")</f>
        <v/>
      </c>
      <c r="AP133" s="111" t="str">
        <f t="array" ref="AP133">IFERROR(INDEX($AM$10:$AM$258, MATCH(0, IF(TRUE=$AK$10:$AK$258, COUNTIF($AP$9:$AP132, $AM$10:$AM$258), ""), 0)),"")</f>
        <v/>
      </c>
      <c r="AR133" s="30" t="str">
        <f>IFERROR(INDEX('G-7 WaterC'' Data'!$AZ$3:$AZ$7,MATCH(D133,'G-7 WaterC'' Data'!$AY$3:$AY$7,0)),"")</f>
        <v/>
      </c>
      <c r="AS133" s="30" t="str">
        <f>IFERROR(INDEX('G-7 WaterC'' Data'!AZ133:AZ137,MATCH(D133,'G-7 WaterC'' Data'!$AY$10:$AY$14,0)),"")</f>
        <v/>
      </c>
      <c r="AT133" s="903" t="str">
        <f>IF(AND(OR(AA133="Yes",AA133="Pending"),Q133='G-7 WaterC'' Data'!$G$4),R133-W133-X133,"")</f>
        <v/>
      </c>
      <c r="AU133" s="30" t="str">
        <f>IF(D133="","",VLOOKUP(D133,'G-7 WaterC'' Data'!B$4:M$8,12,FALSE))</f>
        <v/>
      </c>
      <c r="AV133" s="30" t="str">
        <f t="shared" si="10"/>
        <v/>
      </c>
      <c r="AX133" s="30" t="str">
        <f t="shared" si="19"/>
        <v>No</v>
      </c>
    </row>
    <row r="134" spans="3:50" x14ac:dyDescent="0.25">
      <c r="C134" s="101">
        <v>125</v>
      </c>
      <c r="D134" s="267"/>
      <c r="E134" s="119"/>
      <c r="F134" s="281" t="str">
        <f>IF(D134="","",VLOOKUP(D134,'G-7 WaterC'' Data'!$B$2:$G$8,2,FALSE))</f>
        <v/>
      </c>
      <c r="G134" s="282" t="str">
        <f>IFERROR(VLOOKUP(F134,'G-7 WaterC'' Data'!$C$4:$D$8,2,FALSE),"")</f>
        <v/>
      </c>
      <c r="H134" s="52"/>
      <c r="I134" s="282" t="str">
        <f>IFERROR(INDEX('G-7 WaterC'' Data'!$H$4:$L$8,MATCH(D134,'G-7 WaterC'' Data'!$B$4:$B$8,0),MATCH(H134,'G-7 WaterC'' Data'!$H$3:$L$3,0)),"")</f>
        <v/>
      </c>
      <c r="J134" s="793"/>
      <c r="K134" s="317" t="str">
        <f>IF(J134="","",IF(VLOOKUP(J134,'G-7 WaterC'' Data'!$AK$4:$AM$6,2,FALSE)=0,"Spatial Data Missing ⚠",VLOOKUP(J134,'G-7 WaterC'' Data'!$AK$4:$AM$6,2,FALSE)))</f>
        <v/>
      </c>
      <c r="L134" s="287" t="str">
        <f>IF(J134="","",IF(VLOOKUP(J134,'G-7 WaterC'' Data'!$AK$4:$AM$9,3,FALSE)=0,"Spatial Data Missing ⚠",VLOOKUP(J134,'G-7 WaterC'' Data'!$AK$4:$AM$6,3,FALSE)))</f>
        <v/>
      </c>
      <c r="M134" s="52"/>
      <c r="N134" s="282" t="str">
        <f>IF(M134="","",IF(AND(D134&lt;&gt;"Culvert",M134="N/A - Culvert"),"Not possible ▲",IF(AND(D134="Culvert",M134&lt;&gt;"N/A - Culvert"),"Not possible ▲",IF(VLOOKUP(M134,'G-7 WaterC'' Data'!$AA$4:$AB$7,2,FALSE)=0,"Spatial Data Missing ⚠",VLOOKUP(M134,'G-7 WaterC'' Data'!$AA$4:$AB$7,2,FALSE)))))</f>
        <v/>
      </c>
      <c r="O134" s="56"/>
      <c r="P134" s="282" t="str">
        <f>IF(O134="","",IF(AND(O134="N/A - Culvert", D134&lt;&gt;"Culvert"),"Not possible ▲", IF(AND(D134="Culvert",O134&lt;&gt;"N/A - Culvert"),"Not possible ▲",IF(VLOOKUP(O134,'G-7 WaterC'' Data'!$AD$4:$AE$14,2,FALSE)=0,"Spatial Data Missing ⚠",VLOOKUP(O134,'G-7 WaterC'' Data'!$AD$4:$AE$14,2,FALSE)))))</f>
        <v/>
      </c>
      <c r="Q134" s="288" t="str">
        <f>IF(D134="","",VLOOKUP(D134,'G-7 WaterC'' Data'!$B$2:$G$8,6,FALSE))</f>
        <v/>
      </c>
      <c r="R134" s="295" t="str">
        <f t="shared" si="11"/>
        <v xml:space="preserve"> </v>
      </c>
      <c r="S134" s="820" t="str">
        <f t="shared" si="12"/>
        <v/>
      </c>
      <c r="T134" s="32"/>
      <c r="U134" s="105"/>
      <c r="V134" s="112"/>
      <c r="W134" s="293" t="str">
        <f t="shared" si="13"/>
        <v/>
      </c>
      <c r="X134" s="293" t="str">
        <f t="shared" si="14"/>
        <v/>
      </c>
      <c r="Y134" s="293" t="str">
        <f t="shared" si="15"/>
        <v/>
      </c>
      <c r="Z134" s="323" t="str">
        <f>IFERROR(IF(OR(E134="",R134=""),"",  IF(AND(Q134='G-7 WaterC'' Data'!$G$4,AA134="Yes"),"Alternative Compensation ✓", IF(AND(AA134="Pending", Q134='G-7 WaterC'' Data'!$G$4),"Bespoke compensation must be agreed ▲", IF((W134+X134)&gt;=R134, 0, R134-W134-X134)))),"Check Data ⚠")</f>
        <v/>
      </c>
      <c r="AA134" s="817"/>
      <c r="AB134" s="140"/>
      <c r="AC134" s="108"/>
      <c r="AD134" s="108"/>
      <c r="AE134" s="54" t="str">
        <f>IF(OR(Q134="",AA134="Yes"),"",IF(Q134='G-1 All Habitats'!$X$9,E134-U134-V134,"None"))</f>
        <v/>
      </c>
      <c r="AF134" s="55" t="str">
        <f>IF(Q134="","", IF(Q134='G-1 All Habitats'!$X$9, AE134*G134*I134*L134*N134*P134,"None"))</f>
        <v/>
      </c>
      <c r="AI134" s="30">
        <f t="shared" si="16"/>
        <v>0</v>
      </c>
      <c r="AJ134" s="111" t="str">
        <f t="shared" si="17"/>
        <v/>
      </c>
      <c r="AK134" s="111" t="str">
        <f t="shared" si="18"/>
        <v/>
      </c>
      <c r="AM134" s="111">
        <v>125</v>
      </c>
      <c r="AO134" s="111" t="str">
        <f t="array" ref="AO134">IFERROR(INDEX($AM$10:$AM$258, MATCH(0, IF(TRUE=$AJ$10:$AJ$258, COUNTIF($AO$9:$AO133, $AM$10:$AM$258), ""), 0)),"")</f>
        <v/>
      </c>
      <c r="AP134" s="111" t="str">
        <f t="array" ref="AP134">IFERROR(INDEX($AM$10:$AM$258, MATCH(0, IF(TRUE=$AK$10:$AK$258, COUNTIF($AP$9:$AP133, $AM$10:$AM$258), ""), 0)),"")</f>
        <v/>
      </c>
      <c r="AR134" s="30" t="str">
        <f>IFERROR(INDEX('G-7 WaterC'' Data'!$AZ$3:$AZ$7,MATCH(D134,'G-7 WaterC'' Data'!$AY$3:$AY$7,0)),"")</f>
        <v/>
      </c>
      <c r="AS134" s="30" t="str">
        <f>IFERROR(INDEX('G-7 WaterC'' Data'!AZ134:AZ138,MATCH(D134,'G-7 WaterC'' Data'!$AY$10:$AY$14,0)),"")</f>
        <v/>
      </c>
      <c r="AT134" s="903" t="str">
        <f>IF(AND(OR(AA134="Yes",AA134="Pending"),Q134='G-7 WaterC'' Data'!$G$4),R134-W134-X134,"")</f>
        <v/>
      </c>
      <c r="AU134" s="30" t="str">
        <f>IF(D134="","",VLOOKUP(D134,'G-7 WaterC'' Data'!B$4:M$8,12,FALSE))</f>
        <v/>
      </c>
      <c r="AV134" s="30" t="str">
        <f t="shared" si="10"/>
        <v/>
      </c>
      <c r="AX134" s="30" t="str">
        <f t="shared" si="19"/>
        <v>No</v>
      </c>
    </row>
    <row r="135" spans="3:50" x14ac:dyDescent="0.25">
      <c r="C135" s="101">
        <v>126</v>
      </c>
      <c r="D135" s="267"/>
      <c r="E135" s="119"/>
      <c r="F135" s="281" t="str">
        <f>IF(D135="","",VLOOKUP(D135,'G-7 WaterC'' Data'!$B$2:$G$8,2,FALSE))</f>
        <v/>
      </c>
      <c r="G135" s="282" t="str">
        <f>IFERROR(VLOOKUP(F135,'G-7 WaterC'' Data'!$C$4:$D$8,2,FALSE),"")</f>
        <v/>
      </c>
      <c r="H135" s="52"/>
      <c r="I135" s="282" t="str">
        <f>IFERROR(INDEX('G-7 WaterC'' Data'!$H$4:$L$8,MATCH(D135,'G-7 WaterC'' Data'!$B$4:$B$8,0),MATCH(H135,'G-7 WaterC'' Data'!$H$3:$L$3,0)),"")</f>
        <v/>
      </c>
      <c r="J135" s="793"/>
      <c r="K135" s="317" t="str">
        <f>IF(J135="","",IF(VLOOKUP(J135,'G-7 WaterC'' Data'!$AK$4:$AM$6,2,FALSE)=0,"Spatial Data Missing ⚠",VLOOKUP(J135,'G-7 WaterC'' Data'!$AK$4:$AM$6,2,FALSE)))</f>
        <v/>
      </c>
      <c r="L135" s="287" t="str">
        <f>IF(J135="","",IF(VLOOKUP(J135,'G-7 WaterC'' Data'!$AK$4:$AM$9,3,FALSE)=0,"Spatial Data Missing ⚠",VLOOKUP(J135,'G-7 WaterC'' Data'!$AK$4:$AM$6,3,FALSE)))</f>
        <v/>
      </c>
      <c r="M135" s="52"/>
      <c r="N135" s="282" t="str">
        <f>IF(M135="","",IF(AND(D135&lt;&gt;"Culvert",M135="N/A - Culvert"),"Not possible ▲",IF(AND(D135="Culvert",M135&lt;&gt;"N/A - Culvert"),"Not possible ▲",IF(VLOOKUP(M135,'G-7 WaterC'' Data'!$AA$4:$AB$7,2,FALSE)=0,"Spatial Data Missing ⚠",VLOOKUP(M135,'G-7 WaterC'' Data'!$AA$4:$AB$7,2,FALSE)))))</f>
        <v/>
      </c>
      <c r="O135" s="56"/>
      <c r="P135" s="282" t="str">
        <f>IF(O135="","",IF(AND(O135="N/A - Culvert", D135&lt;&gt;"Culvert"),"Not possible ▲", IF(AND(D135="Culvert",O135&lt;&gt;"N/A - Culvert"),"Not possible ▲",IF(VLOOKUP(O135,'G-7 WaterC'' Data'!$AD$4:$AE$14,2,FALSE)=0,"Spatial Data Missing ⚠",VLOOKUP(O135,'G-7 WaterC'' Data'!$AD$4:$AE$14,2,FALSE)))))</f>
        <v/>
      </c>
      <c r="Q135" s="288" t="str">
        <f>IF(D135="","",VLOOKUP(D135,'G-7 WaterC'' Data'!$B$2:$G$8,6,FALSE))</f>
        <v/>
      </c>
      <c r="R135" s="295" t="str">
        <f t="shared" si="11"/>
        <v xml:space="preserve"> </v>
      </c>
      <c r="S135" s="820" t="str">
        <f t="shared" si="12"/>
        <v/>
      </c>
      <c r="T135" s="32"/>
      <c r="U135" s="105"/>
      <c r="V135" s="112"/>
      <c r="W135" s="293" t="str">
        <f t="shared" si="13"/>
        <v/>
      </c>
      <c r="X135" s="293" t="str">
        <f t="shared" si="14"/>
        <v/>
      </c>
      <c r="Y135" s="293" t="str">
        <f t="shared" si="15"/>
        <v/>
      </c>
      <c r="Z135" s="323" t="str">
        <f>IFERROR(IF(OR(E135="",R135=""),"",  IF(AND(Q135='G-7 WaterC'' Data'!$G$4,AA135="Yes"),"Alternative Compensation ✓", IF(AND(AA135="Pending", Q135='G-7 WaterC'' Data'!$G$4),"Bespoke compensation must be agreed ▲", IF((W135+X135)&gt;=R135, 0, R135-W135-X135)))),"Check Data ⚠")</f>
        <v/>
      </c>
      <c r="AA135" s="817"/>
      <c r="AB135" s="140"/>
      <c r="AC135" s="108"/>
      <c r="AD135" s="108"/>
      <c r="AE135" s="54" t="str">
        <f>IF(OR(Q135="",AA135="Yes"),"",IF(Q135='G-1 All Habitats'!$X$9,E135-U135-V135,"None"))</f>
        <v/>
      </c>
      <c r="AF135" s="55" t="str">
        <f>IF(Q135="","", IF(Q135='G-1 All Habitats'!$X$9, AE135*G135*I135*L135*N135*P135,"None"))</f>
        <v/>
      </c>
      <c r="AI135" s="30">
        <f t="shared" si="16"/>
        <v>0</v>
      </c>
      <c r="AJ135" s="111" t="str">
        <f t="shared" si="17"/>
        <v/>
      </c>
      <c r="AK135" s="111" t="str">
        <f t="shared" si="18"/>
        <v/>
      </c>
      <c r="AM135" s="111">
        <v>126</v>
      </c>
      <c r="AO135" s="111" t="str">
        <f t="array" ref="AO135">IFERROR(INDEX($AM$10:$AM$258, MATCH(0, IF(TRUE=$AJ$10:$AJ$258, COUNTIF($AO$9:$AO134, $AM$10:$AM$258), ""), 0)),"")</f>
        <v/>
      </c>
      <c r="AP135" s="111" t="str">
        <f t="array" ref="AP135">IFERROR(INDEX($AM$10:$AM$258, MATCH(0, IF(TRUE=$AK$10:$AK$258, COUNTIF($AP$9:$AP134, $AM$10:$AM$258), ""), 0)),"")</f>
        <v/>
      </c>
      <c r="AR135" s="30" t="str">
        <f>IFERROR(INDEX('G-7 WaterC'' Data'!$AZ$3:$AZ$7,MATCH(D135,'G-7 WaterC'' Data'!$AY$3:$AY$7,0)),"")</f>
        <v/>
      </c>
      <c r="AS135" s="30" t="str">
        <f>IFERROR(INDEX('G-7 WaterC'' Data'!AZ135:AZ139,MATCH(D135,'G-7 WaterC'' Data'!$AY$10:$AY$14,0)),"")</f>
        <v/>
      </c>
      <c r="AT135" s="903" t="str">
        <f>IF(AND(OR(AA135="Yes",AA135="Pending"),Q135='G-7 WaterC'' Data'!$G$4),R135-W135-X135,"")</f>
        <v/>
      </c>
      <c r="AU135" s="30" t="str">
        <f>IF(D135="","",VLOOKUP(D135,'G-7 WaterC'' Data'!B$4:M$8,12,FALSE))</f>
        <v/>
      </c>
      <c r="AV135" s="30" t="str">
        <f t="shared" si="10"/>
        <v/>
      </c>
      <c r="AX135" s="30" t="str">
        <f t="shared" si="19"/>
        <v>No</v>
      </c>
    </row>
    <row r="136" spans="3:50" x14ac:dyDescent="0.25">
      <c r="C136" s="101">
        <v>127</v>
      </c>
      <c r="D136" s="267"/>
      <c r="E136" s="119"/>
      <c r="F136" s="281" t="str">
        <f>IF(D136="","",VLOOKUP(D136,'G-7 WaterC'' Data'!$B$2:$G$8,2,FALSE))</f>
        <v/>
      </c>
      <c r="G136" s="282" t="str">
        <f>IFERROR(VLOOKUP(F136,'G-7 WaterC'' Data'!$C$4:$D$8,2,FALSE),"")</f>
        <v/>
      </c>
      <c r="H136" s="52"/>
      <c r="I136" s="282" t="str">
        <f>IFERROR(INDEX('G-7 WaterC'' Data'!$H$4:$L$8,MATCH(D136,'G-7 WaterC'' Data'!$B$4:$B$8,0),MATCH(H136,'G-7 WaterC'' Data'!$H$3:$L$3,0)),"")</f>
        <v/>
      </c>
      <c r="J136" s="793"/>
      <c r="K136" s="317" t="str">
        <f>IF(J136="","",IF(VLOOKUP(J136,'G-7 WaterC'' Data'!$AK$4:$AM$6,2,FALSE)=0,"Spatial Data Missing ⚠",VLOOKUP(J136,'G-7 WaterC'' Data'!$AK$4:$AM$6,2,FALSE)))</f>
        <v/>
      </c>
      <c r="L136" s="287" t="str">
        <f>IF(J136="","",IF(VLOOKUP(J136,'G-7 WaterC'' Data'!$AK$4:$AM$9,3,FALSE)=0,"Spatial Data Missing ⚠",VLOOKUP(J136,'G-7 WaterC'' Data'!$AK$4:$AM$6,3,FALSE)))</f>
        <v/>
      </c>
      <c r="M136" s="52"/>
      <c r="N136" s="282" t="str">
        <f>IF(M136="","",IF(AND(D136&lt;&gt;"Culvert",M136="N/A - Culvert"),"Not possible ▲",IF(AND(D136="Culvert",M136&lt;&gt;"N/A - Culvert"),"Not possible ▲",IF(VLOOKUP(M136,'G-7 WaterC'' Data'!$AA$4:$AB$7,2,FALSE)=0,"Spatial Data Missing ⚠",VLOOKUP(M136,'G-7 WaterC'' Data'!$AA$4:$AB$7,2,FALSE)))))</f>
        <v/>
      </c>
      <c r="O136" s="56"/>
      <c r="P136" s="282" t="str">
        <f>IF(O136="","",IF(AND(O136="N/A - Culvert", D136&lt;&gt;"Culvert"),"Not possible ▲", IF(AND(D136="Culvert",O136&lt;&gt;"N/A - Culvert"),"Not possible ▲",IF(VLOOKUP(O136,'G-7 WaterC'' Data'!$AD$4:$AE$14,2,FALSE)=0,"Spatial Data Missing ⚠",VLOOKUP(O136,'G-7 WaterC'' Data'!$AD$4:$AE$14,2,FALSE)))))</f>
        <v/>
      </c>
      <c r="Q136" s="288" t="str">
        <f>IF(D136="","",VLOOKUP(D136,'G-7 WaterC'' Data'!$B$2:$G$8,6,FALSE))</f>
        <v/>
      </c>
      <c r="R136" s="295" t="str">
        <f t="shared" si="11"/>
        <v xml:space="preserve"> </v>
      </c>
      <c r="S136" s="820" t="str">
        <f t="shared" si="12"/>
        <v/>
      </c>
      <c r="T136" s="32"/>
      <c r="U136" s="105"/>
      <c r="V136" s="112"/>
      <c r="W136" s="293" t="str">
        <f t="shared" si="13"/>
        <v/>
      </c>
      <c r="X136" s="293" t="str">
        <f t="shared" si="14"/>
        <v/>
      </c>
      <c r="Y136" s="293" t="str">
        <f t="shared" si="15"/>
        <v/>
      </c>
      <c r="Z136" s="323" t="str">
        <f>IFERROR(IF(OR(E136="",R136=""),"",  IF(AND(Q136='G-7 WaterC'' Data'!$G$4,AA136="Yes"),"Alternative Compensation ✓", IF(AND(AA136="Pending", Q136='G-7 WaterC'' Data'!$G$4),"Bespoke compensation must be agreed ▲", IF((W136+X136)&gt;=R136, 0, R136-W136-X136)))),"Check Data ⚠")</f>
        <v/>
      </c>
      <c r="AA136" s="817"/>
      <c r="AB136" s="140"/>
      <c r="AC136" s="108"/>
      <c r="AD136" s="108"/>
      <c r="AE136" s="54" t="str">
        <f>IF(OR(Q136="",AA136="Yes"),"",IF(Q136='G-1 All Habitats'!$X$9,E136-U136-V136,"None"))</f>
        <v/>
      </c>
      <c r="AF136" s="55" t="str">
        <f>IF(Q136="","", IF(Q136='G-1 All Habitats'!$X$9, AE136*G136*I136*L136*N136*P136,"None"))</f>
        <v/>
      </c>
      <c r="AI136" s="30">
        <f t="shared" si="16"/>
        <v>0</v>
      </c>
      <c r="AJ136" s="111" t="str">
        <f t="shared" si="17"/>
        <v/>
      </c>
      <c r="AK136" s="111" t="str">
        <f t="shared" si="18"/>
        <v/>
      </c>
      <c r="AM136" s="111">
        <v>127</v>
      </c>
      <c r="AO136" s="111" t="str">
        <f t="array" ref="AO136">IFERROR(INDEX($AM$10:$AM$258, MATCH(0, IF(TRUE=$AJ$10:$AJ$258, COUNTIF($AO$9:$AO135, $AM$10:$AM$258), ""), 0)),"")</f>
        <v/>
      </c>
      <c r="AP136" s="111" t="str">
        <f t="array" ref="AP136">IFERROR(INDEX($AM$10:$AM$258, MATCH(0, IF(TRUE=$AK$10:$AK$258, COUNTIF($AP$9:$AP135, $AM$10:$AM$258), ""), 0)),"")</f>
        <v/>
      </c>
      <c r="AR136" s="30" t="str">
        <f>IFERROR(INDEX('G-7 WaterC'' Data'!$AZ$3:$AZ$7,MATCH(D136,'G-7 WaterC'' Data'!$AY$3:$AY$7,0)),"")</f>
        <v/>
      </c>
      <c r="AS136" s="30" t="str">
        <f>IFERROR(INDEX('G-7 WaterC'' Data'!AZ136:AZ140,MATCH(D136,'G-7 WaterC'' Data'!$AY$10:$AY$14,0)),"")</f>
        <v/>
      </c>
      <c r="AT136" s="903" t="str">
        <f>IF(AND(OR(AA136="Yes",AA136="Pending"),Q136='G-7 WaterC'' Data'!$G$4),R136-W136-X136,"")</f>
        <v/>
      </c>
      <c r="AU136" s="30" t="str">
        <f>IF(D136="","",VLOOKUP(D136,'G-7 WaterC'' Data'!B$4:M$8,12,FALSE))</f>
        <v/>
      </c>
      <c r="AV136" s="30" t="str">
        <f t="shared" si="10"/>
        <v/>
      </c>
      <c r="AX136" s="30" t="str">
        <f t="shared" si="19"/>
        <v>No</v>
      </c>
    </row>
    <row r="137" spans="3:50" x14ac:dyDescent="0.25">
      <c r="C137" s="101">
        <v>128</v>
      </c>
      <c r="D137" s="267"/>
      <c r="E137" s="119"/>
      <c r="F137" s="281" t="str">
        <f>IF(D137="","",VLOOKUP(D137,'G-7 WaterC'' Data'!$B$2:$G$8,2,FALSE))</f>
        <v/>
      </c>
      <c r="G137" s="282" t="str">
        <f>IFERROR(VLOOKUP(F137,'G-7 WaterC'' Data'!$C$4:$D$8,2,FALSE),"")</f>
        <v/>
      </c>
      <c r="H137" s="52"/>
      <c r="I137" s="282" t="str">
        <f>IFERROR(INDEX('G-7 WaterC'' Data'!$H$4:$L$8,MATCH(D137,'G-7 WaterC'' Data'!$B$4:$B$8,0),MATCH(H137,'G-7 WaterC'' Data'!$H$3:$L$3,0)),"")</f>
        <v/>
      </c>
      <c r="J137" s="793"/>
      <c r="K137" s="317" t="str">
        <f>IF(J137="","",IF(VLOOKUP(J137,'G-7 WaterC'' Data'!$AK$4:$AM$6,2,FALSE)=0,"Spatial Data Missing ⚠",VLOOKUP(J137,'G-7 WaterC'' Data'!$AK$4:$AM$6,2,FALSE)))</f>
        <v/>
      </c>
      <c r="L137" s="287" t="str">
        <f>IF(J137="","",IF(VLOOKUP(J137,'G-7 WaterC'' Data'!$AK$4:$AM$9,3,FALSE)=0,"Spatial Data Missing ⚠",VLOOKUP(J137,'G-7 WaterC'' Data'!$AK$4:$AM$6,3,FALSE)))</f>
        <v/>
      </c>
      <c r="M137" s="52"/>
      <c r="N137" s="282" t="str">
        <f>IF(M137="","",IF(AND(D137&lt;&gt;"Culvert",M137="N/A - Culvert"),"Not possible ▲",IF(AND(D137="Culvert",M137&lt;&gt;"N/A - Culvert"),"Not possible ▲",IF(VLOOKUP(M137,'G-7 WaterC'' Data'!$AA$4:$AB$7,2,FALSE)=0,"Spatial Data Missing ⚠",VLOOKUP(M137,'G-7 WaterC'' Data'!$AA$4:$AB$7,2,FALSE)))))</f>
        <v/>
      </c>
      <c r="O137" s="56"/>
      <c r="P137" s="282" t="str">
        <f>IF(O137="","",IF(AND(O137="N/A - Culvert", D137&lt;&gt;"Culvert"),"Not possible ▲", IF(AND(D137="Culvert",O137&lt;&gt;"N/A - Culvert"),"Not possible ▲",IF(VLOOKUP(O137,'G-7 WaterC'' Data'!$AD$4:$AE$14,2,FALSE)=0,"Spatial Data Missing ⚠",VLOOKUP(O137,'G-7 WaterC'' Data'!$AD$4:$AE$14,2,FALSE)))))</f>
        <v/>
      </c>
      <c r="Q137" s="288" t="str">
        <f>IF(D137="","",VLOOKUP(D137,'G-7 WaterC'' Data'!$B$2:$G$8,6,FALSE))</f>
        <v/>
      </c>
      <c r="R137" s="295" t="str">
        <f t="shared" si="11"/>
        <v xml:space="preserve"> </v>
      </c>
      <c r="S137" s="820" t="str">
        <f t="shared" si="12"/>
        <v/>
      </c>
      <c r="T137" s="32"/>
      <c r="U137" s="105"/>
      <c r="V137" s="112"/>
      <c r="W137" s="293" t="str">
        <f t="shared" si="13"/>
        <v/>
      </c>
      <c r="X137" s="293" t="str">
        <f t="shared" si="14"/>
        <v/>
      </c>
      <c r="Y137" s="293" t="str">
        <f t="shared" si="15"/>
        <v/>
      </c>
      <c r="Z137" s="323" t="str">
        <f>IFERROR(IF(OR(E137="",R137=""),"",  IF(AND(Q137='G-7 WaterC'' Data'!$G$4,AA137="Yes"),"Alternative Compensation ✓", IF(AND(AA137="Pending", Q137='G-7 WaterC'' Data'!$G$4),"Bespoke compensation must be agreed ▲", IF((W137+X137)&gt;=R137, 0, R137-W137-X137)))),"Check Data ⚠")</f>
        <v/>
      </c>
      <c r="AA137" s="817"/>
      <c r="AB137" s="140"/>
      <c r="AC137" s="108"/>
      <c r="AD137" s="108"/>
      <c r="AE137" s="54" t="str">
        <f>IF(OR(Q137="",AA137="Yes"),"",IF(Q137='G-1 All Habitats'!$X$9,E137-U137-V137,"None"))</f>
        <v/>
      </c>
      <c r="AF137" s="55" t="str">
        <f>IF(Q137="","", IF(Q137='G-1 All Habitats'!$X$9, AE137*G137*I137*L137*N137*P137,"None"))</f>
        <v/>
      </c>
      <c r="AI137" s="30">
        <f t="shared" si="16"/>
        <v>0</v>
      </c>
      <c r="AJ137" s="111" t="str">
        <f t="shared" si="17"/>
        <v/>
      </c>
      <c r="AK137" s="111" t="str">
        <f t="shared" si="18"/>
        <v/>
      </c>
      <c r="AM137" s="111">
        <v>128</v>
      </c>
      <c r="AO137" s="111" t="str">
        <f t="array" ref="AO137">IFERROR(INDEX($AM$10:$AM$258, MATCH(0, IF(TRUE=$AJ$10:$AJ$258, COUNTIF($AO$9:$AO136, $AM$10:$AM$258), ""), 0)),"")</f>
        <v/>
      </c>
      <c r="AP137" s="111" t="str">
        <f t="array" ref="AP137">IFERROR(INDEX($AM$10:$AM$258, MATCH(0, IF(TRUE=$AK$10:$AK$258, COUNTIF($AP$9:$AP136, $AM$10:$AM$258), ""), 0)),"")</f>
        <v/>
      </c>
      <c r="AR137" s="30" t="str">
        <f>IFERROR(INDEX('G-7 WaterC'' Data'!$AZ$3:$AZ$7,MATCH(D137,'G-7 WaterC'' Data'!$AY$3:$AY$7,0)),"")</f>
        <v/>
      </c>
      <c r="AS137" s="30" t="str">
        <f>IFERROR(INDEX('G-7 WaterC'' Data'!AZ137:AZ141,MATCH(D137,'G-7 WaterC'' Data'!$AY$10:$AY$14,0)),"")</f>
        <v/>
      </c>
      <c r="AT137" s="903" t="str">
        <f>IF(AND(OR(AA137="Yes",AA137="Pending"),Q137='G-7 WaterC'' Data'!$G$4),R137-W137-X137,"")</f>
        <v/>
      </c>
      <c r="AU137" s="30" t="str">
        <f>IF(D137="","",VLOOKUP(D137,'G-7 WaterC'' Data'!B$4:M$8,12,FALSE))</f>
        <v/>
      </c>
      <c r="AV137" s="30" t="str">
        <f t="shared" si="10"/>
        <v/>
      </c>
      <c r="AX137" s="30" t="str">
        <f t="shared" si="19"/>
        <v>No</v>
      </c>
    </row>
    <row r="138" spans="3:50" x14ac:dyDescent="0.25">
      <c r="C138" s="101">
        <v>129</v>
      </c>
      <c r="D138" s="267"/>
      <c r="E138" s="119"/>
      <c r="F138" s="281" t="str">
        <f>IF(D138="","",VLOOKUP(D138,'G-7 WaterC'' Data'!$B$2:$G$8,2,FALSE))</f>
        <v/>
      </c>
      <c r="G138" s="282" t="str">
        <f>IFERROR(VLOOKUP(F138,'G-7 WaterC'' Data'!$C$4:$D$8,2,FALSE),"")</f>
        <v/>
      </c>
      <c r="H138" s="52"/>
      <c r="I138" s="282" t="str">
        <f>IFERROR(INDEX('G-7 WaterC'' Data'!$H$4:$L$8,MATCH(D138,'G-7 WaterC'' Data'!$B$4:$B$8,0),MATCH(H138,'G-7 WaterC'' Data'!$H$3:$L$3,0)),"")</f>
        <v/>
      </c>
      <c r="J138" s="793"/>
      <c r="K138" s="317" t="str">
        <f>IF(J138="","",IF(VLOOKUP(J138,'G-7 WaterC'' Data'!$AK$4:$AM$6,2,FALSE)=0,"Spatial Data Missing ⚠",VLOOKUP(J138,'G-7 WaterC'' Data'!$AK$4:$AM$6,2,FALSE)))</f>
        <v/>
      </c>
      <c r="L138" s="287" t="str">
        <f>IF(J138="","",IF(VLOOKUP(J138,'G-7 WaterC'' Data'!$AK$4:$AM$9,3,FALSE)=0,"Spatial Data Missing ⚠",VLOOKUP(J138,'G-7 WaterC'' Data'!$AK$4:$AM$6,3,FALSE)))</f>
        <v/>
      </c>
      <c r="M138" s="52"/>
      <c r="N138" s="282" t="str">
        <f>IF(M138="","",IF(AND(D138&lt;&gt;"Culvert",M138="N/A - Culvert"),"Not possible ▲",IF(AND(D138="Culvert",M138&lt;&gt;"N/A - Culvert"),"Not possible ▲",IF(VLOOKUP(M138,'G-7 WaterC'' Data'!$AA$4:$AB$7,2,FALSE)=0,"Spatial Data Missing ⚠",VLOOKUP(M138,'G-7 WaterC'' Data'!$AA$4:$AB$7,2,FALSE)))))</f>
        <v/>
      </c>
      <c r="O138" s="56"/>
      <c r="P138" s="282" t="str">
        <f>IF(O138="","",IF(AND(O138="N/A - Culvert", D138&lt;&gt;"Culvert"),"Not possible ▲", IF(AND(D138="Culvert",O138&lt;&gt;"N/A - Culvert"),"Not possible ▲",IF(VLOOKUP(O138,'G-7 WaterC'' Data'!$AD$4:$AE$14,2,FALSE)=0,"Spatial Data Missing ⚠",VLOOKUP(O138,'G-7 WaterC'' Data'!$AD$4:$AE$14,2,FALSE)))))</f>
        <v/>
      </c>
      <c r="Q138" s="288" t="str">
        <f>IF(D138="","",VLOOKUP(D138,'G-7 WaterC'' Data'!$B$2:$G$8,6,FALSE))</f>
        <v/>
      </c>
      <c r="R138" s="295" t="str">
        <f t="shared" si="11"/>
        <v xml:space="preserve"> </v>
      </c>
      <c r="S138" s="820" t="str">
        <f t="shared" si="12"/>
        <v/>
      </c>
      <c r="T138" s="32"/>
      <c r="U138" s="105"/>
      <c r="V138" s="112"/>
      <c r="W138" s="293" t="str">
        <f t="shared" si="13"/>
        <v/>
      </c>
      <c r="X138" s="293" t="str">
        <f t="shared" si="14"/>
        <v/>
      </c>
      <c r="Y138" s="293" t="str">
        <f t="shared" si="15"/>
        <v/>
      </c>
      <c r="Z138" s="323" t="str">
        <f>IFERROR(IF(OR(E138="",R138=""),"",  IF(AND(Q138='G-7 WaterC'' Data'!$G$4,AA138="Yes"),"Alternative Compensation ✓", IF(AND(AA138="Pending", Q138='G-7 WaterC'' Data'!$G$4),"Bespoke compensation must be agreed ▲", IF((W138+X138)&gt;=R138, 0, R138-W138-X138)))),"Check Data ⚠")</f>
        <v/>
      </c>
      <c r="AA138" s="817"/>
      <c r="AB138" s="140"/>
      <c r="AC138" s="108"/>
      <c r="AD138" s="108"/>
      <c r="AE138" s="54" t="str">
        <f>IF(OR(Q138="",AA138="Yes"),"",IF(Q138='G-1 All Habitats'!$X$9,E138-U138-V138,"None"))</f>
        <v/>
      </c>
      <c r="AF138" s="55" t="str">
        <f>IF(Q138="","", IF(Q138='G-1 All Habitats'!$X$9, AE138*G138*I138*L138*N138*P138,"None"))</f>
        <v/>
      </c>
      <c r="AI138" s="30">
        <f t="shared" si="16"/>
        <v>0</v>
      </c>
      <c r="AJ138" s="111" t="str">
        <f t="shared" si="17"/>
        <v/>
      </c>
      <c r="AK138" s="111" t="str">
        <f t="shared" si="18"/>
        <v/>
      </c>
      <c r="AM138" s="111">
        <v>129</v>
      </c>
      <c r="AO138" s="111" t="str">
        <f t="array" ref="AO138">IFERROR(INDEX($AM$10:$AM$258, MATCH(0, IF(TRUE=$AJ$10:$AJ$258, COUNTIF($AO$9:$AO137, $AM$10:$AM$258), ""), 0)),"")</f>
        <v/>
      </c>
      <c r="AP138" s="111" t="str">
        <f t="array" ref="AP138">IFERROR(INDEX($AM$10:$AM$258, MATCH(0, IF(TRUE=$AK$10:$AK$258, COUNTIF($AP$9:$AP137, $AM$10:$AM$258), ""), 0)),"")</f>
        <v/>
      </c>
      <c r="AR138" s="30" t="str">
        <f>IFERROR(INDEX('G-7 WaterC'' Data'!$AZ$3:$AZ$7,MATCH(D138,'G-7 WaterC'' Data'!$AY$3:$AY$7,0)),"")</f>
        <v/>
      </c>
      <c r="AS138" s="30" t="str">
        <f>IFERROR(INDEX('G-7 WaterC'' Data'!AZ138:AZ142,MATCH(D138,'G-7 WaterC'' Data'!$AY$10:$AY$14,0)),"")</f>
        <v/>
      </c>
      <c r="AT138" s="903" t="str">
        <f>IF(AND(OR(AA138="Yes",AA138="Pending"),Q138='G-7 WaterC'' Data'!$G$4),R138-W138-X138,"")</f>
        <v/>
      </c>
      <c r="AU138" s="30" t="str">
        <f>IF(D138="","",VLOOKUP(D138,'G-7 WaterC'' Data'!B$4:M$8,12,FALSE))</f>
        <v/>
      </c>
      <c r="AV138" s="30" t="str">
        <f t="shared" ref="AV138:AV201" si="20">IF(AA138="","", IF(AA138="Yes", "Yes ✓", "No ▲"))</f>
        <v/>
      </c>
      <c r="AX138" s="30" t="str">
        <f t="shared" si="19"/>
        <v>No</v>
      </c>
    </row>
    <row r="139" spans="3:50" x14ac:dyDescent="0.25">
      <c r="C139" s="101">
        <v>130</v>
      </c>
      <c r="D139" s="267"/>
      <c r="E139" s="119"/>
      <c r="F139" s="281" t="str">
        <f>IF(D139="","",VLOOKUP(D139,'G-7 WaterC'' Data'!$B$2:$G$8,2,FALSE))</f>
        <v/>
      </c>
      <c r="G139" s="282" t="str">
        <f>IFERROR(VLOOKUP(F139,'G-7 WaterC'' Data'!$C$4:$D$8,2,FALSE),"")</f>
        <v/>
      </c>
      <c r="H139" s="52"/>
      <c r="I139" s="282" t="str">
        <f>IFERROR(INDEX('G-7 WaterC'' Data'!$H$4:$L$8,MATCH(D139,'G-7 WaterC'' Data'!$B$4:$B$8,0),MATCH(H139,'G-7 WaterC'' Data'!$H$3:$L$3,0)),"")</f>
        <v/>
      </c>
      <c r="J139" s="793"/>
      <c r="K139" s="317" t="str">
        <f>IF(J139="","",IF(VLOOKUP(J139,'G-7 WaterC'' Data'!$AK$4:$AM$6,2,FALSE)=0,"Spatial Data Missing ⚠",VLOOKUP(J139,'G-7 WaterC'' Data'!$AK$4:$AM$6,2,FALSE)))</f>
        <v/>
      </c>
      <c r="L139" s="287" t="str">
        <f>IF(J139="","",IF(VLOOKUP(J139,'G-7 WaterC'' Data'!$AK$4:$AM$9,3,FALSE)=0,"Spatial Data Missing ⚠",VLOOKUP(J139,'G-7 WaterC'' Data'!$AK$4:$AM$6,3,FALSE)))</f>
        <v/>
      </c>
      <c r="M139" s="52"/>
      <c r="N139" s="282" t="str">
        <f>IF(M139="","",IF(AND(D139&lt;&gt;"Culvert",M139="N/A - Culvert"),"Not possible ▲",IF(AND(D139="Culvert",M139&lt;&gt;"N/A - Culvert"),"Not possible ▲",IF(VLOOKUP(M139,'G-7 WaterC'' Data'!$AA$4:$AB$7,2,FALSE)=0,"Spatial Data Missing ⚠",VLOOKUP(M139,'G-7 WaterC'' Data'!$AA$4:$AB$7,2,FALSE)))))</f>
        <v/>
      </c>
      <c r="O139" s="56"/>
      <c r="P139" s="282" t="str">
        <f>IF(O139="","",IF(AND(O139="N/A - Culvert", D139&lt;&gt;"Culvert"),"Not possible ▲", IF(AND(D139="Culvert",O139&lt;&gt;"N/A - Culvert"),"Not possible ▲",IF(VLOOKUP(O139,'G-7 WaterC'' Data'!$AD$4:$AE$14,2,FALSE)=0,"Spatial Data Missing ⚠",VLOOKUP(O139,'G-7 WaterC'' Data'!$AD$4:$AE$14,2,FALSE)))))</f>
        <v/>
      </c>
      <c r="Q139" s="288" t="str">
        <f>IF(D139="","",VLOOKUP(D139,'G-7 WaterC'' Data'!$B$2:$G$8,6,FALSE))</f>
        <v/>
      </c>
      <c r="R139" s="295" t="str">
        <f t="shared" ref="R139:R202" si="21">IFERROR(IF(AND(U139&gt;0, V139&gt;0, U139+V139&gt;E139), "Split retained and enhanced into separate entries ▲", IF(OR(K139="Check data ⚠",I139="Check data ⚠"), "Check data ▲", E139*G139*I139*L139*N139*P139))," ")</f>
        <v xml:space="preserve"> </v>
      </c>
      <c r="S139" s="820" t="str">
        <f t="shared" ref="S139:S202" si="22">AU139</f>
        <v/>
      </c>
      <c r="T139" s="32"/>
      <c r="U139" s="105"/>
      <c r="V139" s="112"/>
      <c r="W139" s="293" t="str">
        <f t="shared" ref="W139:W202" si="23">IFERROR(IF(U139&gt;E139,"Error in Lengths ▲",U139*G139*I139*L139*N139*P139),"")</f>
        <v/>
      </c>
      <c r="X139" s="293" t="str">
        <f t="shared" ref="X139:X202" si="24">IFERROR(IF(D139="","",V139*G139*I139*L139*N139*P139),"")</f>
        <v/>
      </c>
      <c r="Y139" s="293" t="str">
        <f t="shared" ref="Y139:Y202" si="25">IFERROR(IF(D139="","", IF(E139&gt;(U139+V139),E139-U139-V139,0)),"")</f>
        <v/>
      </c>
      <c r="Z139" s="323" t="str">
        <f>IFERROR(IF(OR(E139="",R139=""),"",  IF(AND(Q139='G-7 WaterC'' Data'!$G$4,AA139="Yes"),"Alternative Compensation ✓", IF(AND(AA139="Pending", Q139='G-7 WaterC'' Data'!$G$4),"Bespoke compensation must be agreed ▲", IF((W139+X139)&gt;=R139, 0, R139-W139-X139)))),"Check Data ⚠")</f>
        <v/>
      </c>
      <c r="AA139" s="817"/>
      <c r="AB139" s="140"/>
      <c r="AC139" s="108"/>
      <c r="AD139" s="108"/>
      <c r="AE139" s="54" t="str">
        <f>IF(OR(Q139="",AA139="Yes"),"",IF(Q139='G-1 All Habitats'!$X$9,E139-U139-V139,"None"))</f>
        <v/>
      </c>
      <c r="AF139" s="55" t="str">
        <f>IF(Q139="","", IF(Q139='G-1 All Habitats'!$X$9, AE139*G139*I139*L139*N139*P139,"None"))</f>
        <v/>
      </c>
      <c r="AI139" s="30">
        <f t="shared" ref="AI139:AI202" si="26">IFERROR(IF(U139+V139&gt;E139,1,0),"")</f>
        <v>0</v>
      </c>
      <c r="AJ139" s="111" t="str">
        <f t="shared" ref="AJ139:AJ202" si="27">IF(D139="","",IF(U139&gt;0,TRUE,FALSE))</f>
        <v/>
      </c>
      <c r="AK139" s="111" t="str">
        <f t="shared" ref="AK139:AK202" si="28">IF(D139="","",IF(V139&gt;0,TRUE,FALSE))</f>
        <v/>
      </c>
      <c r="AM139" s="111">
        <v>130</v>
      </c>
      <c r="AO139" s="111" t="str">
        <f t="array" ref="AO139">IFERROR(INDEX($AM$10:$AM$258, MATCH(0, IF(TRUE=$AJ$10:$AJ$258, COUNTIF($AO$9:$AO138, $AM$10:$AM$258), ""), 0)),"")</f>
        <v/>
      </c>
      <c r="AP139" s="111" t="str">
        <f t="array" ref="AP139">IFERROR(INDEX($AM$10:$AM$258, MATCH(0, IF(TRUE=$AK$10:$AK$258, COUNTIF($AP$9:$AP138, $AM$10:$AM$258), ""), 0)),"")</f>
        <v/>
      </c>
      <c r="AR139" s="30" t="str">
        <f>IFERROR(INDEX('G-7 WaterC'' Data'!$AZ$3:$AZ$7,MATCH(D139,'G-7 WaterC'' Data'!$AY$3:$AY$7,0)),"")</f>
        <v/>
      </c>
      <c r="AS139" s="30" t="str">
        <f>IFERROR(INDEX('G-7 WaterC'' Data'!AZ139:AZ143,MATCH(D139,'G-7 WaterC'' Data'!$AY$10:$AY$14,0)),"")</f>
        <v/>
      </c>
      <c r="AT139" s="903" t="str">
        <f>IF(AND(OR(AA139="Yes",AA139="Pending"),Q139='G-7 WaterC'' Data'!$G$4),R139-W139-X139,"")</f>
        <v/>
      </c>
      <c r="AU139" s="30" t="str">
        <f>IF(D139="","",VLOOKUP(D139,'G-7 WaterC'' Data'!B$4:M$8,12,FALSE))</f>
        <v/>
      </c>
      <c r="AV139" s="30" t="str">
        <f t="shared" si="20"/>
        <v/>
      </c>
      <c r="AX139" s="30" t="str">
        <f t="shared" ref="AX139:AX202" si="29">IF(AND(D139="Ditches",(OR(H139="Fairly Poor",H139="Fairly Good"))), "Yes", "No")</f>
        <v>No</v>
      </c>
    </row>
    <row r="140" spans="3:50" x14ac:dyDescent="0.25">
      <c r="C140" s="101">
        <v>131</v>
      </c>
      <c r="D140" s="267"/>
      <c r="E140" s="119"/>
      <c r="F140" s="281" t="str">
        <f>IF(D140="","",VLOOKUP(D140,'G-7 WaterC'' Data'!$B$2:$G$8,2,FALSE))</f>
        <v/>
      </c>
      <c r="G140" s="282" t="str">
        <f>IFERROR(VLOOKUP(F140,'G-7 WaterC'' Data'!$C$4:$D$8,2,FALSE),"")</f>
        <v/>
      </c>
      <c r="H140" s="52"/>
      <c r="I140" s="282" t="str">
        <f>IFERROR(INDEX('G-7 WaterC'' Data'!$H$4:$L$8,MATCH(D140,'G-7 WaterC'' Data'!$B$4:$B$8,0),MATCH(H140,'G-7 WaterC'' Data'!$H$3:$L$3,0)),"")</f>
        <v/>
      </c>
      <c r="J140" s="793"/>
      <c r="K140" s="317" t="str">
        <f>IF(J140="","",IF(VLOOKUP(J140,'G-7 WaterC'' Data'!$AK$4:$AM$6,2,FALSE)=0,"Spatial Data Missing ⚠",VLOOKUP(J140,'G-7 WaterC'' Data'!$AK$4:$AM$6,2,FALSE)))</f>
        <v/>
      </c>
      <c r="L140" s="287" t="str">
        <f>IF(J140="","",IF(VLOOKUP(J140,'G-7 WaterC'' Data'!$AK$4:$AM$9,3,FALSE)=0,"Spatial Data Missing ⚠",VLOOKUP(J140,'G-7 WaterC'' Data'!$AK$4:$AM$6,3,FALSE)))</f>
        <v/>
      </c>
      <c r="M140" s="52"/>
      <c r="N140" s="282" t="str">
        <f>IF(M140="","",IF(AND(D140&lt;&gt;"Culvert",M140="N/A - Culvert"),"Not possible ▲",IF(AND(D140="Culvert",M140&lt;&gt;"N/A - Culvert"),"Not possible ▲",IF(VLOOKUP(M140,'G-7 WaterC'' Data'!$AA$4:$AB$7,2,FALSE)=0,"Spatial Data Missing ⚠",VLOOKUP(M140,'G-7 WaterC'' Data'!$AA$4:$AB$7,2,FALSE)))))</f>
        <v/>
      </c>
      <c r="O140" s="56"/>
      <c r="P140" s="282" t="str">
        <f>IF(O140="","",IF(AND(O140="N/A - Culvert", D140&lt;&gt;"Culvert"),"Not possible ▲", IF(AND(D140="Culvert",O140&lt;&gt;"N/A - Culvert"),"Not possible ▲",IF(VLOOKUP(O140,'G-7 WaterC'' Data'!$AD$4:$AE$14,2,FALSE)=0,"Spatial Data Missing ⚠",VLOOKUP(O140,'G-7 WaterC'' Data'!$AD$4:$AE$14,2,FALSE)))))</f>
        <v/>
      </c>
      <c r="Q140" s="288" t="str">
        <f>IF(D140="","",VLOOKUP(D140,'G-7 WaterC'' Data'!$B$2:$G$8,6,FALSE))</f>
        <v/>
      </c>
      <c r="R140" s="295" t="str">
        <f t="shared" si="21"/>
        <v xml:space="preserve"> </v>
      </c>
      <c r="S140" s="820" t="str">
        <f t="shared" si="22"/>
        <v/>
      </c>
      <c r="T140" s="32"/>
      <c r="U140" s="105"/>
      <c r="V140" s="112"/>
      <c r="W140" s="293" t="str">
        <f t="shared" si="23"/>
        <v/>
      </c>
      <c r="X140" s="293" t="str">
        <f t="shared" si="24"/>
        <v/>
      </c>
      <c r="Y140" s="293" t="str">
        <f t="shared" si="25"/>
        <v/>
      </c>
      <c r="Z140" s="323" t="str">
        <f>IFERROR(IF(OR(E140="",R140=""),"",  IF(AND(Q140='G-7 WaterC'' Data'!$G$4,AA140="Yes"),"Alternative Compensation ✓", IF(AND(AA140="Pending", Q140='G-7 WaterC'' Data'!$G$4),"Bespoke compensation must be agreed ▲", IF((W140+X140)&gt;=R140, 0, R140-W140-X140)))),"Check Data ⚠")</f>
        <v/>
      </c>
      <c r="AA140" s="817"/>
      <c r="AB140" s="140"/>
      <c r="AC140" s="108"/>
      <c r="AD140" s="108"/>
      <c r="AE140" s="54" t="str">
        <f>IF(OR(Q140="",AA140="Yes"),"",IF(Q140='G-1 All Habitats'!$X$9,E140-U140-V140,"None"))</f>
        <v/>
      </c>
      <c r="AF140" s="55" t="str">
        <f>IF(Q140="","", IF(Q140='G-1 All Habitats'!$X$9, AE140*G140*I140*L140*N140*P140,"None"))</f>
        <v/>
      </c>
      <c r="AI140" s="30">
        <f t="shared" si="26"/>
        <v>0</v>
      </c>
      <c r="AJ140" s="111" t="str">
        <f t="shared" si="27"/>
        <v/>
      </c>
      <c r="AK140" s="111" t="str">
        <f t="shared" si="28"/>
        <v/>
      </c>
      <c r="AM140" s="111">
        <v>131</v>
      </c>
      <c r="AO140" s="111" t="str">
        <f t="array" ref="AO140">IFERROR(INDEX($AM$10:$AM$258, MATCH(0, IF(TRUE=$AJ$10:$AJ$258, COUNTIF($AO$9:$AO139, $AM$10:$AM$258), ""), 0)),"")</f>
        <v/>
      </c>
      <c r="AP140" s="111" t="str">
        <f t="array" ref="AP140">IFERROR(INDEX($AM$10:$AM$258, MATCH(0, IF(TRUE=$AK$10:$AK$258, COUNTIF($AP$9:$AP139, $AM$10:$AM$258), ""), 0)),"")</f>
        <v/>
      </c>
      <c r="AR140" s="30" t="str">
        <f>IFERROR(INDEX('G-7 WaterC'' Data'!$AZ$3:$AZ$7,MATCH(D140,'G-7 WaterC'' Data'!$AY$3:$AY$7,0)),"")</f>
        <v/>
      </c>
      <c r="AS140" s="30" t="str">
        <f>IFERROR(INDEX('G-7 WaterC'' Data'!AZ140:AZ144,MATCH(D140,'G-7 WaterC'' Data'!$AY$10:$AY$14,0)),"")</f>
        <v/>
      </c>
      <c r="AT140" s="903" t="str">
        <f>IF(AND(OR(AA140="Yes",AA140="Pending"),Q140='G-7 WaterC'' Data'!$G$4),R140-W140-X140,"")</f>
        <v/>
      </c>
      <c r="AU140" s="30" t="str">
        <f>IF(D140="","",VLOOKUP(D140,'G-7 WaterC'' Data'!B$4:M$8,12,FALSE))</f>
        <v/>
      </c>
      <c r="AV140" s="30" t="str">
        <f t="shared" si="20"/>
        <v/>
      </c>
      <c r="AX140" s="30" t="str">
        <f t="shared" si="29"/>
        <v>No</v>
      </c>
    </row>
    <row r="141" spans="3:50" x14ac:dyDescent="0.25">
      <c r="C141" s="101">
        <v>132</v>
      </c>
      <c r="D141" s="267"/>
      <c r="E141" s="119"/>
      <c r="F141" s="281" t="str">
        <f>IF(D141="","",VLOOKUP(D141,'G-7 WaterC'' Data'!$B$2:$G$8,2,FALSE))</f>
        <v/>
      </c>
      <c r="G141" s="282" t="str">
        <f>IFERROR(VLOOKUP(F141,'G-7 WaterC'' Data'!$C$4:$D$8,2,FALSE),"")</f>
        <v/>
      </c>
      <c r="H141" s="52"/>
      <c r="I141" s="282" t="str">
        <f>IFERROR(INDEX('G-7 WaterC'' Data'!$H$4:$L$8,MATCH(D141,'G-7 WaterC'' Data'!$B$4:$B$8,0),MATCH(H141,'G-7 WaterC'' Data'!$H$3:$L$3,0)),"")</f>
        <v/>
      </c>
      <c r="J141" s="793"/>
      <c r="K141" s="317" t="str">
        <f>IF(J141="","",IF(VLOOKUP(J141,'G-7 WaterC'' Data'!$AK$4:$AM$6,2,FALSE)=0,"Spatial Data Missing ⚠",VLOOKUP(J141,'G-7 WaterC'' Data'!$AK$4:$AM$6,2,FALSE)))</f>
        <v/>
      </c>
      <c r="L141" s="287" t="str">
        <f>IF(J141="","",IF(VLOOKUP(J141,'G-7 WaterC'' Data'!$AK$4:$AM$9,3,FALSE)=0,"Spatial Data Missing ⚠",VLOOKUP(J141,'G-7 WaterC'' Data'!$AK$4:$AM$6,3,FALSE)))</f>
        <v/>
      </c>
      <c r="M141" s="52"/>
      <c r="N141" s="282" t="str">
        <f>IF(M141="","",IF(AND(D141&lt;&gt;"Culvert",M141="N/A - Culvert"),"Not possible ▲",IF(AND(D141="Culvert",M141&lt;&gt;"N/A - Culvert"),"Not possible ▲",IF(VLOOKUP(M141,'G-7 WaterC'' Data'!$AA$4:$AB$7,2,FALSE)=0,"Spatial Data Missing ⚠",VLOOKUP(M141,'G-7 WaterC'' Data'!$AA$4:$AB$7,2,FALSE)))))</f>
        <v/>
      </c>
      <c r="O141" s="56"/>
      <c r="P141" s="282" t="str">
        <f>IF(O141="","",IF(AND(O141="N/A - Culvert", D141&lt;&gt;"Culvert"),"Not possible ▲", IF(AND(D141="Culvert",O141&lt;&gt;"N/A - Culvert"),"Not possible ▲",IF(VLOOKUP(O141,'G-7 WaterC'' Data'!$AD$4:$AE$14,2,FALSE)=0,"Spatial Data Missing ⚠",VLOOKUP(O141,'G-7 WaterC'' Data'!$AD$4:$AE$14,2,FALSE)))))</f>
        <v/>
      </c>
      <c r="Q141" s="288" t="str">
        <f>IF(D141="","",VLOOKUP(D141,'G-7 WaterC'' Data'!$B$2:$G$8,6,FALSE))</f>
        <v/>
      </c>
      <c r="R141" s="295" t="str">
        <f t="shared" si="21"/>
        <v xml:space="preserve"> </v>
      </c>
      <c r="S141" s="820" t="str">
        <f t="shared" si="22"/>
        <v/>
      </c>
      <c r="T141" s="32"/>
      <c r="U141" s="105"/>
      <c r="V141" s="112"/>
      <c r="W141" s="293" t="str">
        <f t="shared" si="23"/>
        <v/>
      </c>
      <c r="X141" s="293" t="str">
        <f t="shared" si="24"/>
        <v/>
      </c>
      <c r="Y141" s="293" t="str">
        <f t="shared" si="25"/>
        <v/>
      </c>
      <c r="Z141" s="323" t="str">
        <f>IFERROR(IF(OR(E141="",R141=""),"",  IF(AND(Q141='G-7 WaterC'' Data'!$G$4,AA141="Yes"),"Alternative Compensation ✓", IF(AND(AA141="Pending", Q141='G-7 WaterC'' Data'!$G$4),"Bespoke compensation must be agreed ▲", IF((W141+X141)&gt;=R141, 0, R141-W141-X141)))),"Check Data ⚠")</f>
        <v/>
      </c>
      <c r="AA141" s="817"/>
      <c r="AB141" s="140"/>
      <c r="AC141" s="108"/>
      <c r="AD141" s="108"/>
      <c r="AE141" s="54" t="str">
        <f>IF(OR(Q141="",AA141="Yes"),"",IF(Q141='G-1 All Habitats'!$X$9,E141-U141-V141,"None"))</f>
        <v/>
      </c>
      <c r="AF141" s="55" t="str">
        <f>IF(Q141="","", IF(Q141='G-1 All Habitats'!$X$9, AE141*G141*I141*L141*N141*P141,"None"))</f>
        <v/>
      </c>
      <c r="AI141" s="30">
        <f t="shared" si="26"/>
        <v>0</v>
      </c>
      <c r="AJ141" s="111" t="str">
        <f t="shared" si="27"/>
        <v/>
      </c>
      <c r="AK141" s="111" t="str">
        <f t="shared" si="28"/>
        <v/>
      </c>
      <c r="AM141" s="111">
        <v>132</v>
      </c>
      <c r="AO141" s="111" t="str">
        <f t="array" ref="AO141">IFERROR(INDEX($AM$10:$AM$258, MATCH(0, IF(TRUE=$AJ$10:$AJ$258, COUNTIF($AO$9:$AO140, $AM$10:$AM$258), ""), 0)),"")</f>
        <v/>
      </c>
      <c r="AP141" s="111" t="str">
        <f t="array" ref="AP141">IFERROR(INDEX($AM$10:$AM$258, MATCH(0, IF(TRUE=$AK$10:$AK$258, COUNTIF($AP$9:$AP140, $AM$10:$AM$258), ""), 0)),"")</f>
        <v/>
      </c>
      <c r="AR141" s="30" t="str">
        <f>IFERROR(INDEX('G-7 WaterC'' Data'!$AZ$3:$AZ$7,MATCH(D141,'G-7 WaterC'' Data'!$AY$3:$AY$7,0)),"")</f>
        <v/>
      </c>
      <c r="AS141" s="30" t="str">
        <f>IFERROR(INDEX('G-7 WaterC'' Data'!AZ141:AZ145,MATCH(D141,'G-7 WaterC'' Data'!$AY$10:$AY$14,0)),"")</f>
        <v/>
      </c>
      <c r="AT141" s="903" t="str">
        <f>IF(AND(OR(AA141="Yes",AA141="Pending"),Q141='G-7 WaterC'' Data'!$G$4),R141-W141-X141,"")</f>
        <v/>
      </c>
      <c r="AU141" s="30" t="str">
        <f>IF(D141="","",VLOOKUP(D141,'G-7 WaterC'' Data'!B$4:M$8,12,FALSE))</f>
        <v/>
      </c>
      <c r="AV141" s="30" t="str">
        <f t="shared" si="20"/>
        <v/>
      </c>
      <c r="AX141" s="30" t="str">
        <f t="shared" si="29"/>
        <v>No</v>
      </c>
    </row>
    <row r="142" spans="3:50" x14ac:dyDescent="0.25">
      <c r="C142" s="101">
        <v>133</v>
      </c>
      <c r="D142" s="267"/>
      <c r="E142" s="119"/>
      <c r="F142" s="281" t="str">
        <f>IF(D142="","",VLOOKUP(D142,'G-7 WaterC'' Data'!$B$2:$G$8,2,FALSE))</f>
        <v/>
      </c>
      <c r="G142" s="282" t="str">
        <f>IFERROR(VLOOKUP(F142,'G-7 WaterC'' Data'!$C$4:$D$8,2,FALSE),"")</f>
        <v/>
      </c>
      <c r="H142" s="52"/>
      <c r="I142" s="282" t="str">
        <f>IFERROR(INDEX('G-7 WaterC'' Data'!$H$4:$L$8,MATCH(D142,'G-7 WaterC'' Data'!$B$4:$B$8,0),MATCH(H142,'G-7 WaterC'' Data'!$H$3:$L$3,0)),"")</f>
        <v/>
      </c>
      <c r="J142" s="793"/>
      <c r="K142" s="317" t="str">
        <f>IF(J142="","",IF(VLOOKUP(J142,'G-7 WaterC'' Data'!$AK$4:$AM$6,2,FALSE)=0,"Spatial Data Missing ⚠",VLOOKUP(J142,'G-7 WaterC'' Data'!$AK$4:$AM$6,2,FALSE)))</f>
        <v/>
      </c>
      <c r="L142" s="287" t="str">
        <f>IF(J142="","",IF(VLOOKUP(J142,'G-7 WaterC'' Data'!$AK$4:$AM$9,3,FALSE)=0,"Spatial Data Missing ⚠",VLOOKUP(J142,'G-7 WaterC'' Data'!$AK$4:$AM$6,3,FALSE)))</f>
        <v/>
      </c>
      <c r="M142" s="52"/>
      <c r="N142" s="282" t="str">
        <f>IF(M142="","",IF(AND(D142&lt;&gt;"Culvert",M142="N/A - Culvert"),"Not possible ▲",IF(AND(D142="Culvert",M142&lt;&gt;"N/A - Culvert"),"Not possible ▲",IF(VLOOKUP(M142,'G-7 WaterC'' Data'!$AA$4:$AB$7,2,FALSE)=0,"Spatial Data Missing ⚠",VLOOKUP(M142,'G-7 WaterC'' Data'!$AA$4:$AB$7,2,FALSE)))))</f>
        <v/>
      </c>
      <c r="O142" s="56"/>
      <c r="P142" s="282" t="str">
        <f>IF(O142="","",IF(AND(O142="N/A - Culvert", D142&lt;&gt;"Culvert"),"Not possible ▲", IF(AND(D142="Culvert",O142&lt;&gt;"N/A - Culvert"),"Not possible ▲",IF(VLOOKUP(O142,'G-7 WaterC'' Data'!$AD$4:$AE$14,2,FALSE)=0,"Spatial Data Missing ⚠",VLOOKUP(O142,'G-7 WaterC'' Data'!$AD$4:$AE$14,2,FALSE)))))</f>
        <v/>
      </c>
      <c r="Q142" s="288" t="str">
        <f>IF(D142="","",VLOOKUP(D142,'G-7 WaterC'' Data'!$B$2:$G$8,6,FALSE))</f>
        <v/>
      </c>
      <c r="R142" s="295" t="str">
        <f t="shared" si="21"/>
        <v xml:space="preserve"> </v>
      </c>
      <c r="S142" s="820" t="str">
        <f t="shared" si="22"/>
        <v/>
      </c>
      <c r="T142" s="32"/>
      <c r="U142" s="105"/>
      <c r="V142" s="112"/>
      <c r="W142" s="293" t="str">
        <f t="shared" si="23"/>
        <v/>
      </c>
      <c r="X142" s="293" t="str">
        <f t="shared" si="24"/>
        <v/>
      </c>
      <c r="Y142" s="293" t="str">
        <f t="shared" si="25"/>
        <v/>
      </c>
      <c r="Z142" s="323" t="str">
        <f>IFERROR(IF(OR(E142="",R142=""),"",  IF(AND(Q142='G-7 WaterC'' Data'!$G$4,AA142="Yes"),"Alternative Compensation ✓", IF(AND(AA142="Pending", Q142='G-7 WaterC'' Data'!$G$4),"Bespoke compensation must be agreed ▲", IF((W142+X142)&gt;=R142, 0, R142-W142-X142)))),"Check Data ⚠")</f>
        <v/>
      </c>
      <c r="AA142" s="817"/>
      <c r="AB142" s="140"/>
      <c r="AC142" s="108"/>
      <c r="AD142" s="108"/>
      <c r="AE142" s="54" t="str">
        <f>IF(OR(Q142="",AA142="Yes"),"",IF(Q142='G-1 All Habitats'!$X$9,E142-U142-V142,"None"))</f>
        <v/>
      </c>
      <c r="AF142" s="55" t="str">
        <f>IF(Q142="","", IF(Q142='G-1 All Habitats'!$X$9, AE142*G142*I142*L142*N142*P142,"None"))</f>
        <v/>
      </c>
      <c r="AI142" s="30">
        <f t="shared" si="26"/>
        <v>0</v>
      </c>
      <c r="AJ142" s="111" t="str">
        <f t="shared" si="27"/>
        <v/>
      </c>
      <c r="AK142" s="111" t="str">
        <f t="shared" si="28"/>
        <v/>
      </c>
      <c r="AM142" s="111">
        <v>133</v>
      </c>
      <c r="AO142" s="111" t="str">
        <f t="array" ref="AO142">IFERROR(INDEX($AM$10:$AM$258, MATCH(0, IF(TRUE=$AJ$10:$AJ$258, COUNTIF($AO$9:$AO141, $AM$10:$AM$258), ""), 0)),"")</f>
        <v/>
      </c>
      <c r="AP142" s="111" t="str">
        <f t="array" ref="AP142">IFERROR(INDEX($AM$10:$AM$258, MATCH(0, IF(TRUE=$AK$10:$AK$258, COUNTIF($AP$9:$AP141, $AM$10:$AM$258), ""), 0)),"")</f>
        <v/>
      </c>
      <c r="AR142" s="30" t="str">
        <f>IFERROR(INDEX('G-7 WaterC'' Data'!$AZ$3:$AZ$7,MATCH(D142,'G-7 WaterC'' Data'!$AY$3:$AY$7,0)),"")</f>
        <v/>
      </c>
      <c r="AS142" s="30" t="str">
        <f>IFERROR(INDEX('G-7 WaterC'' Data'!AZ142:AZ146,MATCH(D142,'G-7 WaterC'' Data'!$AY$10:$AY$14,0)),"")</f>
        <v/>
      </c>
      <c r="AT142" s="903" t="str">
        <f>IF(AND(OR(AA142="Yes",AA142="Pending"),Q142='G-7 WaterC'' Data'!$G$4),R142-W142-X142,"")</f>
        <v/>
      </c>
      <c r="AU142" s="30" t="str">
        <f>IF(D142="","",VLOOKUP(D142,'G-7 WaterC'' Data'!B$4:M$8,12,FALSE))</f>
        <v/>
      </c>
      <c r="AV142" s="30" t="str">
        <f t="shared" si="20"/>
        <v/>
      </c>
      <c r="AX142" s="30" t="str">
        <f t="shared" si="29"/>
        <v>No</v>
      </c>
    </row>
    <row r="143" spans="3:50" x14ac:dyDescent="0.25">
      <c r="C143" s="101">
        <v>134</v>
      </c>
      <c r="D143" s="267"/>
      <c r="E143" s="119"/>
      <c r="F143" s="281" t="str">
        <f>IF(D143="","",VLOOKUP(D143,'G-7 WaterC'' Data'!$B$2:$G$8,2,FALSE))</f>
        <v/>
      </c>
      <c r="G143" s="282" t="str">
        <f>IFERROR(VLOOKUP(F143,'G-7 WaterC'' Data'!$C$4:$D$8,2,FALSE),"")</f>
        <v/>
      </c>
      <c r="H143" s="52"/>
      <c r="I143" s="282" t="str">
        <f>IFERROR(INDEX('G-7 WaterC'' Data'!$H$4:$L$8,MATCH(D143,'G-7 WaterC'' Data'!$B$4:$B$8,0),MATCH(H143,'G-7 WaterC'' Data'!$H$3:$L$3,0)),"")</f>
        <v/>
      </c>
      <c r="J143" s="793"/>
      <c r="K143" s="317" t="str">
        <f>IF(J143="","",IF(VLOOKUP(J143,'G-7 WaterC'' Data'!$AK$4:$AM$6,2,FALSE)=0,"Spatial Data Missing ⚠",VLOOKUP(J143,'G-7 WaterC'' Data'!$AK$4:$AM$6,2,FALSE)))</f>
        <v/>
      </c>
      <c r="L143" s="287" t="str">
        <f>IF(J143="","",IF(VLOOKUP(J143,'G-7 WaterC'' Data'!$AK$4:$AM$9,3,FALSE)=0,"Spatial Data Missing ⚠",VLOOKUP(J143,'G-7 WaterC'' Data'!$AK$4:$AM$6,3,FALSE)))</f>
        <v/>
      </c>
      <c r="M143" s="52"/>
      <c r="N143" s="282" t="str">
        <f>IF(M143="","",IF(AND(D143&lt;&gt;"Culvert",M143="N/A - Culvert"),"Not possible ▲",IF(AND(D143="Culvert",M143&lt;&gt;"N/A - Culvert"),"Not possible ▲",IF(VLOOKUP(M143,'G-7 WaterC'' Data'!$AA$4:$AB$7,2,FALSE)=0,"Spatial Data Missing ⚠",VLOOKUP(M143,'G-7 WaterC'' Data'!$AA$4:$AB$7,2,FALSE)))))</f>
        <v/>
      </c>
      <c r="O143" s="56"/>
      <c r="P143" s="282" t="str">
        <f>IF(O143="","",IF(AND(O143="N/A - Culvert", D143&lt;&gt;"Culvert"),"Not possible ▲", IF(AND(D143="Culvert",O143&lt;&gt;"N/A - Culvert"),"Not possible ▲",IF(VLOOKUP(O143,'G-7 WaterC'' Data'!$AD$4:$AE$14,2,FALSE)=0,"Spatial Data Missing ⚠",VLOOKUP(O143,'G-7 WaterC'' Data'!$AD$4:$AE$14,2,FALSE)))))</f>
        <v/>
      </c>
      <c r="Q143" s="288" t="str">
        <f>IF(D143="","",VLOOKUP(D143,'G-7 WaterC'' Data'!$B$2:$G$8,6,FALSE))</f>
        <v/>
      </c>
      <c r="R143" s="295" t="str">
        <f t="shared" si="21"/>
        <v xml:space="preserve"> </v>
      </c>
      <c r="S143" s="820" t="str">
        <f t="shared" si="22"/>
        <v/>
      </c>
      <c r="T143" s="32"/>
      <c r="U143" s="105"/>
      <c r="V143" s="112"/>
      <c r="W143" s="293" t="str">
        <f t="shared" si="23"/>
        <v/>
      </c>
      <c r="X143" s="293" t="str">
        <f t="shared" si="24"/>
        <v/>
      </c>
      <c r="Y143" s="293" t="str">
        <f t="shared" si="25"/>
        <v/>
      </c>
      <c r="Z143" s="323" t="str">
        <f>IFERROR(IF(OR(E143="",R143=""),"",  IF(AND(Q143='G-7 WaterC'' Data'!$G$4,AA143="Yes"),"Alternative Compensation ✓", IF(AND(AA143="Pending", Q143='G-7 WaterC'' Data'!$G$4),"Bespoke compensation must be agreed ▲", IF((W143+X143)&gt;=R143, 0, R143-W143-X143)))),"Check Data ⚠")</f>
        <v/>
      </c>
      <c r="AA143" s="817"/>
      <c r="AB143" s="140"/>
      <c r="AC143" s="108"/>
      <c r="AD143" s="108"/>
      <c r="AE143" s="54" t="str">
        <f>IF(OR(Q143="",AA143="Yes"),"",IF(Q143='G-1 All Habitats'!$X$9,E143-U143-V143,"None"))</f>
        <v/>
      </c>
      <c r="AF143" s="55" t="str">
        <f>IF(Q143="","", IF(Q143='G-1 All Habitats'!$X$9, AE143*G143*I143*L143*N143*P143,"None"))</f>
        <v/>
      </c>
      <c r="AI143" s="30">
        <f t="shared" si="26"/>
        <v>0</v>
      </c>
      <c r="AJ143" s="111" t="str">
        <f t="shared" si="27"/>
        <v/>
      </c>
      <c r="AK143" s="111" t="str">
        <f t="shared" si="28"/>
        <v/>
      </c>
      <c r="AM143" s="111">
        <v>134</v>
      </c>
      <c r="AO143" s="111" t="str">
        <f t="array" ref="AO143">IFERROR(INDEX($AM$10:$AM$258, MATCH(0, IF(TRUE=$AJ$10:$AJ$258, COUNTIF($AO$9:$AO142, $AM$10:$AM$258), ""), 0)),"")</f>
        <v/>
      </c>
      <c r="AP143" s="111" t="str">
        <f t="array" ref="AP143">IFERROR(INDEX($AM$10:$AM$258, MATCH(0, IF(TRUE=$AK$10:$AK$258, COUNTIF($AP$9:$AP142, $AM$10:$AM$258), ""), 0)),"")</f>
        <v/>
      </c>
      <c r="AR143" s="30" t="str">
        <f>IFERROR(INDEX('G-7 WaterC'' Data'!$AZ$3:$AZ$7,MATCH(D143,'G-7 WaterC'' Data'!$AY$3:$AY$7,0)),"")</f>
        <v/>
      </c>
      <c r="AS143" s="30" t="str">
        <f>IFERROR(INDEX('G-7 WaterC'' Data'!AZ143:AZ147,MATCH(D143,'G-7 WaterC'' Data'!$AY$10:$AY$14,0)),"")</f>
        <v/>
      </c>
      <c r="AT143" s="903" t="str">
        <f>IF(AND(OR(AA143="Yes",AA143="Pending"),Q143='G-7 WaterC'' Data'!$G$4),R143-W143-X143,"")</f>
        <v/>
      </c>
      <c r="AU143" s="30" t="str">
        <f>IF(D143="","",VLOOKUP(D143,'G-7 WaterC'' Data'!B$4:M$8,12,FALSE))</f>
        <v/>
      </c>
      <c r="AV143" s="30" t="str">
        <f t="shared" si="20"/>
        <v/>
      </c>
      <c r="AX143" s="30" t="str">
        <f t="shared" si="29"/>
        <v>No</v>
      </c>
    </row>
    <row r="144" spans="3:50" x14ac:dyDescent="0.25">
      <c r="C144" s="101">
        <v>135</v>
      </c>
      <c r="D144" s="267"/>
      <c r="E144" s="119"/>
      <c r="F144" s="281" t="str">
        <f>IF(D144="","",VLOOKUP(D144,'G-7 WaterC'' Data'!$B$2:$G$8,2,FALSE))</f>
        <v/>
      </c>
      <c r="G144" s="282" t="str">
        <f>IFERROR(VLOOKUP(F144,'G-7 WaterC'' Data'!$C$4:$D$8,2,FALSE),"")</f>
        <v/>
      </c>
      <c r="H144" s="52"/>
      <c r="I144" s="282" t="str">
        <f>IFERROR(INDEX('G-7 WaterC'' Data'!$H$4:$L$8,MATCH(D144,'G-7 WaterC'' Data'!$B$4:$B$8,0),MATCH(H144,'G-7 WaterC'' Data'!$H$3:$L$3,0)),"")</f>
        <v/>
      </c>
      <c r="J144" s="793"/>
      <c r="K144" s="317" t="str">
        <f>IF(J144="","",IF(VLOOKUP(J144,'G-7 WaterC'' Data'!$AK$4:$AM$6,2,FALSE)=0,"Spatial Data Missing ⚠",VLOOKUP(J144,'G-7 WaterC'' Data'!$AK$4:$AM$6,2,FALSE)))</f>
        <v/>
      </c>
      <c r="L144" s="287" t="str">
        <f>IF(J144="","",IF(VLOOKUP(J144,'G-7 WaterC'' Data'!$AK$4:$AM$9,3,FALSE)=0,"Spatial Data Missing ⚠",VLOOKUP(J144,'G-7 WaterC'' Data'!$AK$4:$AM$6,3,FALSE)))</f>
        <v/>
      </c>
      <c r="M144" s="52"/>
      <c r="N144" s="282" t="str">
        <f>IF(M144="","",IF(AND(D144&lt;&gt;"Culvert",M144="N/A - Culvert"),"Not possible ▲",IF(AND(D144="Culvert",M144&lt;&gt;"N/A - Culvert"),"Not possible ▲",IF(VLOOKUP(M144,'G-7 WaterC'' Data'!$AA$4:$AB$7,2,FALSE)=0,"Spatial Data Missing ⚠",VLOOKUP(M144,'G-7 WaterC'' Data'!$AA$4:$AB$7,2,FALSE)))))</f>
        <v/>
      </c>
      <c r="O144" s="56"/>
      <c r="P144" s="282" t="str">
        <f>IF(O144="","",IF(AND(O144="N/A - Culvert", D144&lt;&gt;"Culvert"),"Not possible ▲", IF(AND(D144="Culvert",O144&lt;&gt;"N/A - Culvert"),"Not possible ▲",IF(VLOOKUP(O144,'G-7 WaterC'' Data'!$AD$4:$AE$14,2,FALSE)=0,"Spatial Data Missing ⚠",VLOOKUP(O144,'G-7 WaterC'' Data'!$AD$4:$AE$14,2,FALSE)))))</f>
        <v/>
      </c>
      <c r="Q144" s="288" t="str">
        <f>IF(D144="","",VLOOKUP(D144,'G-7 WaterC'' Data'!$B$2:$G$8,6,FALSE))</f>
        <v/>
      </c>
      <c r="R144" s="295" t="str">
        <f t="shared" si="21"/>
        <v xml:space="preserve"> </v>
      </c>
      <c r="S144" s="820" t="str">
        <f t="shared" si="22"/>
        <v/>
      </c>
      <c r="T144" s="32"/>
      <c r="U144" s="105"/>
      <c r="V144" s="112"/>
      <c r="W144" s="293" t="str">
        <f t="shared" si="23"/>
        <v/>
      </c>
      <c r="X144" s="293" t="str">
        <f t="shared" si="24"/>
        <v/>
      </c>
      <c r="Y144" s="293" t="str">
        <f t="shared" si="25"/>
        <v/>
      </c>
      <c r="Z144" s="323" t="str">
        <f>IFERROR(IF(OR(E144="",R144=""),"",  IF(AND(Q144='G-7 WaterC'' Data'!$G$4,AA144="Yes"),"Alternative Compensation ✓", IF(AND(AA144="Pending", Q144='G-7 WaterC'' Data'!$G$4),"Bespoke compensation must be agreed ▲", IF((W144+X144)&gt;=R144, 0, R144-W144-X144)))),"Check Data ⚠")</f>
        <v/>
      </c>
      <c r="AA144" s="817"/>
      <c r="AB144" s="140"/>
      <c r="AC144" s="108"/>
      <c r="AD144" s="108"/>
      <c r="AE144" s="54" t="str">
        <f>IF(OR(Q144="",AA144="Yes"),"",IF(Q144='G-1 All Habitats'!$X$9,E144-U144-V144,"None"))</f>
        <v/>
      </c>
      <c r="AF144" s="55" t="str">
        <f>IF(Q144="","", IF(Q144='G-1 All Habitats'!$X$9, AE144*G144*I144*L144*N144*P144,"None"))</f>
        <v/>
      </c>
      <c r="AI144" s="30">
        <f t="shared" si="26"/>
        <v>0</v>
      </c>
      <c r="AJ144" s="111" t="str">
        <f t="shared" si="27"/>
        <v/>
      </c>
      <c r="AK144" s="111" t="str">
        <f t="shared" si="28"/>
        <v/>
      </c>
      <c r="AM144" s="111">
        <v>135</v>
      </c>
      <c r="AO144" s="111" t="str">
        <f t="array" ref="AO144">IFERROR(INDEX($AM$10:$AM$258, MATCH(0, IF(TRUE=$AJ$10:$AJ$258, COUNTIF($AO$9:$AO143, $AM$10:$AM$258), ""), 0)),"")</f>
        <v/>
      </c>
      <c r="AP144" s="111" t="str">
        <f t="array" ref="AP144">IFERROR(INDEX($AM$10:$AM$258, MATCH(0, IF(TRUE=$AK$10:$AK$258, COUNTIF($AP$9:$AP143, $AM$10:$AM$258), ""), 0)),"")</f>
        <v/>
      </c>
      <c r="AR144" s="30" t="str">
        <f>IFERROR(INDEX('G-7 WaterC'' Data'!$AZ$3:$AZ$7,MATCH(D144,'G-7 WaterC'' Data'!$AY$3:$AY$7,0)),"")</f>
        <v/>
      </c>
      <c r="AS144" s="30" t="str">
        <f>IFERROR(INDEX('G-7 WaterC'' Data'!AZ144:AZ148,MATCH(D144,'G-7 WaterC'' Data'!$AY$10:$AY$14,0)),"")</f>
        <v/>
      </c>
      <c r="AT144" s="903" t="str">
        <f>IF(AND(OR(AA144="Yes",AA144="Pending"),Q144='G-7 WaterC'' Data'!$G$4),R144-W144-X144,"")</f>
        <v/>
      </c>
      <c r="AU144" s="30" t="str">
        <f>IF(D144="","",VLOOKUP(D144,'G-7 WaterC'' Data'!B$4:M$8,12,FALSE))</f>
        <v/>
      </c>
      <c r="AV144" s="30" t="str">
        <f t="shared" si="20"/>
        <v/>
      </c>
      <c r="AX144" s="30" t="str">
        <f t="shared" si="29"/>
        <v>No</v>
      </c>
    </row>
    <row r="145" spans="3:50" x14ac:dyDescent="0.25">
      <c r="C145" s="101">
        <v>136</v>
      </c>
      <c r="D145" s="267"/>
      <c r="E145" s="119"/>
      <c r="F145" s="281" t="str">
        <f>IF(D145="","",VLOOKUP(D145,'G-7 WaterC'' Data'!$B$2:$G$8,2,FALSE))</f>
        <v/>
      </c>
      <c r="G145" s="282" t="str">
        <f>IFERROR(VLOOKUP(F145,'G-7 WaterC'' Data'!$C$4:$D$8,2,FALSE),"")</f>
        <v/>
      </c>
      <c r="H145" s="52"/>
      <c r="I145" s="282" t="str">
        <f>IFERROR(INDEX('G-7 WaterC'' Data'!$H$4:$L$8,MATCH(D145,'G-7 WaterC'' Data'!$B$4:$B$8,0),MATCH(H145,'G-7 WaterC'' Data'!$H$3:$L$3,0)),"")</f>
        <v/>
      </c>
      <c r="J145" s="793"/>
      <c r="K145" s="317" t="str">
        <f>IF(J145="","",IF(VLOOKUP(J145,'G-7 WaterC'' Data'!$AK$4:$AM$6,2,FALSE)=0,"Spatial Data Missing ⚠",VLOOKUP(J145,'G-7 WaterC'' Data'!$AK$4:$AM$6,2,FALSE)))</f>
        <v/>
      </c>
      <c r="L145" s="287" t="str">
        <f>IF(J145="","",IF(VLOOKUP(J145,'G-7 WaterC'' Data'!$AK$4:$AM$9,3,FALSE)=0,"Spatial Data Missing ⚠",VLOOKUP(J145,'G-7 WaterC'' Data'!$AK$4:$AM$6,3,FALSE)))</f>
        <v/>
      </c>
      <c r="M145" s="52"/>
      <c r="N145" s="282" t="str">
        <f>IF(M145="","",IF(AND(D145&lt;&gt;"Culvert",M145="N/A - Culvert"),"Not possible ▲",IF(AND(D145="Culvert",M145&lt;&gt;"N/A - Culvert"),"Not possible ▲",IF(VLOOKUP(M145,'G-7 WaterC'' Data'!$AA$4:$AB$7,2,FALSE)=0,"Spatial Data Missing ⚠",VLOOKUP(M145,'G-7 WaterC'' Data'!$AA$4:$AB$7,2,FALSE)))))</f>
        <v/>
      </c>
      <c r="O145" s="56"/>
      <c r="P145" s="282" t="str">
        <f>IF(O145="","",IF(AND(O145="N/A - Culvert", D145&lt;&gt;"Culvert"),"Not possible ▲", IF(AND(D145="Culvert",O145&lt;&gt;"N/A - Culvert"),"Not possible ▲",IF(VLOOKUP(O145,'G-7 WaterC'' Data'!$AD$4:$AE$14,2,FALSE)=0,"Spatial Data Missing ⚠",VLOOKUP(O145,'G-7 WaterC'' Data'!$AD$4:$AE$14,2,FALSE)))))</f>
        <v/>
      </c>
      <c r="Q145" s="288" t="str">
        <f>IF(D145="","",VLOOKUP(D145,'G-7 WaterC'' Data'!$B$2:$G$8,6,FALSE))</f>
        <v/>
      </c>
      <c r="R145" s="295" t="str">
        <f t="shared" si="21"/>
        <v xml:space="preserve"> </v>
      </c>
      <c r="S145" s="820" t="str">
        <f t="shared" si="22"/>
        <v/>
      </c>
      <c r="T145" s="32"/>
      <c r="U145" s="105"/>
      <c r="V145" s="112"/>
      <c r="W145" s="293" t="str">
        <f t="shared" si="23"/>
        <v/>
      </c>
      <c r="X145" s="293" t="str">
        <f t="shared" si="24"/>
        <v/>
      </c>
      <c r="Y145" s="293" t="str">
        <f t="shared" si="25"/>
        <v/>
      </c>
      <c r="Z145" s="323" t="str">
        <f>IFERROR(IF(OR(E145="",R145=""),"",  IF(AND(Q145='G-7 WaterC'' Data'!$G$4,AA145="Yes"),"Alternative Compensation ✓", IF(AND(AA145="Pending", Q145='G-7 WaterC'' Data'!$G$4),"Bespoke compensation must be agreed ▲", IF((W145+X145)&gt;=R145, 0, R145-W145-X145)))),"Check Data ⚠")</f>
        <v/>
      </c>
      <c r="AA145" s="817"/>
      <c r="AB145" s="140"/>
      <c r="AC145" s="108"/>
      <c r="AD145" s="108"/>
      <c r="AE145" s="54" t="str">
        <f>IF(OR(Q145="",AA145="Yes"),"",IF(Q145='G-1 All Habitats'!$X$9,E145-U145-V145,"None"))</f>
        <v/>
      </c>
      <c r="AF145" s="55" t="str">
        <f>IF(Q145="","", IF(Q145='G-1 All Habitats'!$X$9, AE145*G145*I145*L145*N145*P145,"None"))</f>
        <v/>
      </c>
      <c r="AI145" s="30">
        <f t="shared" si="26"/>
        <v>0</v>
      </c>
      <c r="AJ145" s="111" t="str">
        <f t="shared" si="27"/>
        <v/>
      </c>
      <c r="AK145" s="111" t="str">
        <f t="shared" si="28"/>
        <v/>
      </c>
      <c r="AM145" s="111">
        <v>136</v>
      </c>
      <c r="AO145" s="111" t="str">
        <f t="array" ref="AO145">IFERROR(INDEX($AM$10:$AM$258, MATCH(0, IF(TRUE=$AJ$10:$AJ$258, COUNTIF($AO$9:$AO144, $AM$10:$AM$258), ""), 0)),"")</f>
        <v/>
      </c>
      <c r="AP145" s="111" t="str">
        <f t="array" ref="AP145">IFERROR(INDEX($AM$10:$AM$258, MATCH(0, IF(TRUE=$AK$10:$AK$258, COUNTIF($AP$9:$AP144, $AM$10:$AM$258), ""), 0)),"")</f>
        <v/>
      </c>
      <c r="AR145" s="30" t="str">
        <f>IFERROR(INDEX('G-7 WaterC'' Data'!$AZ$3:$AZ$7,MATCH(D145,'G-7 WaterC'' Data'!$AY$3:$AY$7,0)),"")</f>
        <v/>
      </c>
      <c r="AS145" s="30" t="str">
        <f>IFERROR(INDEX('G-7 WaterC'' Data'!AZ145:AZ149,MATCH(D145,'G-7 WaterC'' Data'!$AY$10:$AY$14,0)),"")</f>
        <v/>
      </c>
      <c r="AT145" s="903" t="str">
        <f>IF(AND(OR(AA145="Yes",AA145="Pending"),Q145='G-7 WaterC'' Data'!$G$4),R145-W145-X145,"")</f>
        <v/>
      </c>
      <c r="AU145" s="30" t="str">
        <f>IF(D145="","",VLOOKUP(D145,'G-7 WaterC'' Data'!B$4:M$8,12,FALSE))</f>
        <v/>
      </c>
      <c r="AV145" s="30" t="str">
        <f t="shared" si="20"/>
        <v/>
      </c>
      <c r="AX145" s="30" t="str">
        <f t="shared" si="29"/>
        <v>No</v>
      </c>
    </row>
    <row r="146" spans="3:50" x14ac:dyDescent="0.25">
      <c r="C146" s="101">
        <v>137</v>
      </c>
      <c r="D146" s="267"/>
      <c r="E146" s="119"/>
      <c r="F146" s="281" t="str">
        <f>IF(D146="","",VLOOKUP(D146,'G-7 WaterC'' Data'!$B$2:$G$8,2,FALSE))</f>
        <v/>
      </c>
      <c r="G146" s="282" t="str">
        <f>IFERROR(VLOOKUP(F146,'G-7 WaterC'' Data'!$C$4:$D$8,2,FALSE),"")</f>
        <v/>
      </c>
      <c r="H146" s="52"/>
      <c r="I146" s="282" t="str">
        <f>IFERROR(INDEX('G-7 WaterC'' Data'!$H$4:$L$8,MATCH(D146,'G-7 WaterC'' Data'!$B$4:$B$8,0),MATCH(H146,'G-7 WaterC'' Data'!$H$3:$L$3,0)),"")</f>
        <v/>
      </c>
      <c r="J146" s="793"/>
      <c r="K146" s="317" t="str">
        <f>IF(J146="","",IF(VLOOKUP(J146,'G-7 WaterC'' Data'!$AK$4:$AM$6,2,FALSE)=0,"Spatial Data Missing ⚠",VLOOKUP(J146,'G-7 WaterC'' Data'!$AK$4:$AM$6,2,FALSE)))</f>
        <v/>
      </c>
      <c r="L146" s="287" t="str">
        <f>IF(J146="","",IF(VLOOKUP(J146,'G-7 WaterC'' Data'!$AK$4:$AM$9,3,FALSE)=0,"Spatial Data Missing ⚠",VLOOKUP(J146,'G-7 WaterC'' Data'!$AK$4:$AM$6,3,FALSE)))</f>
        <v/>
      </c>
      <c r="M146" s="52"/>
      <c r="N146" s="282" t="str">
        <f>IF(M146="","",IF(AND(D146&lt;&gt;"Culvert",M146="N/A - Culvert"),"Not possible ▲",IF(AND(D146="Culvert",M146&lt;&gt;"N/A - Culvert"),"Not possible ▲",IF(VLOOKUP(M146,'G-7 WaterC'' Data'!$AA$4:$AB$7,2,FALSE)=0,"Spatial Data Missing ⚠",VLOOKUP(M146,'G-7 WaterC'' Data'!$AA$4:$AB$7,2,FALSE)))))</f>
        <v/>
      </c>
      <c r="O146" s="56"/>
      <c r="P146" s="282" t="str">
        <f>IF(O146="","",IF(AND(O146="N/A - Culvert", D146&lt;&gt;"Culvert"),"Not possible ▲", IF(AND(D146="Culvert",O146&lt;&gt;"N/A - Culvert"),"Not possible ▲",IF(VLOOKUP(O146,'G-7 WaterC'' Data'!$AD$4:$AE$14,2,FALSE)=0,"Spatial Data Missing ⚠",VLOOKUP(O146,'G-7 WaterC'' Data'!$AD$4:$AE$14,2,FALSE)))))</f>
        <v/>
      </c>
      <c r="Q146" s="288" t="str">
        <f>IF(D146="","",VLOOKUP(D146,'G-7 WaterC'' Data'!$B$2:$G$8,6,FALSE))</f>
        <v/>
      </c>
      <c r="R146" s="295" t="str">
        <f t="shared" si="21"/>
        <v xml:space="preserve"> </v>
      </c>
      <c r="S146" s="820" t="str">
        <f t="shared" si="22"/>
        <v/>
      </c>
      <c r="T146" s="32"/>
      <c r="U146" s="105"/>
      <c r="V146" s="112"/>
      <c r="W146" s="293" t="str">
        <f t="shared" si="23"/>
        <v/>
      </c>
      <c r="X146" s="293" t="str">
        <f t="shared" si="24"/>
        <v/>
      </c>
      <c r="Y146" s="293" t="str">
        <f t="shared" si="25"/>
        <v/>
      </c>
      <c r="Z146" s="323" t="str">
        <f>IFERROR(IF(OR(E146="",R146=""),"",  IF(AND(Q146='G-7 WaterC'' Data'!$G$4,AA146="Yes"),"Alternative Compensation ✓", IF(AND(AA146="Pending", Q146='G-7 WaterC'' Data'!$G$4),"Bespoke compensation must be agreed ▲", IF((W146+X146)&gt;=R146, 0, R146-W146-X146)))),"Check Data ⚠")</f>
        <v/>
      </c>
      <c r="AA146" s="817"/>
      <c r="AB146" s="140"/>
      <c r="AC146" s="108"/>
      <c r="AD146" s="108"/>
      <c r="AE146" s="54" t="str">
        <f>IF(OR(Q146="",AA146="Yes"),"",IF(Q146='G-1 All Habitats'!$X$9,E146-U146-V146,"None"))</f>
        <v/>
      </c>
      <c r="AF146" s="55" t="str">
        <f>IF(Q146="","", IF(Q146='G-1 All Habitats'!$X$9, AE146*G146*I146*L146*N146*P146,"None"))</f>
        <v/>
      </c>
      <c r="AI146" s="30">
        <f t="shared" si="26"/>
        <v>0</v>
      </c>
      <c r="AJ146" s="111" t="str">
        <f t="shared" si="27"/>
        <v/>
      </c>
      <c r="AK146" s="111" t="str">
        <f t="shared" si="28"/>
        <v/>
      </c>
      <c r="AM146" s="111">
        <v>137</v>
      </c>
      <c r="AO146" s="111" t="str">
        <f t="array" ref="AO146">IFERROR(INDEX($AM$10:$AM$258, MATCH(0, IF(TRUE=$AJ$10:$AJ$258, COUNTIF($AO$9:$AO145, $AM$10:$AM$258), ""), 0)),"")</f>
        <v/>
      </c>
      <c r="AP146" s="111" t="str">
        <f t="array" ref="AP146">IFERROR(INDEX($AM$10:$AM$258, MATCH(0, IF(TRUE=$AK$10:$AK$258, COUNTIF($AP$9:$AP145, $AM$10:$AM$258), ""), 0)),"")</f>
        <v/>
      </c>
      <c r="AR146" s="30" t="str">
        <f>IFERROR(INDEX('G-7 WaterC'' Data'!$AZ$3:$AZ$7,MATCH(D146,'G-7 WaterC'' Data'!$AY$3:$AY$7,0)),"")</f>
        <v/>
      </c>
      <c r="AS146" s="30" t="str">
        <f>IFERROR(INDEX('G-7 WaterC'' Data'!AZ146:AZ150,MATCH(D146,'G-7 WaterC'' Data'!$AY$10:$AY$14,0)),"")</f>
        <v/>
      </c>
      <c r="AT146" s="903" t="str">
        <f>IF(AND(OR(AA146="Yes",AA146="Pending"),Q146='G-7 WaterC'' Data'!$G$4),R146-W146-X146,"")</f>
        <v/>
      </c>
      <c r="AU146" s="30" t="str">
        <f>IF(D146="","",VLOOKUP(D146,'G-7 WaterC'' Data'!B$4:M$8,12,FALSE))</f>
        <v/>
      </c>
      <c r="AV146" s="30" t="str">
        <f t="shared" si="20"/>
        <v/>
      </c>
      <c r="AX146" s="30" t="str">
        <f t="shared" si="29"/>
        <v>No</v>
      </c>
    </row>
    <row r="147" spans="3:50" x14ac:dyDescent="0.25">
      <c r="C147" s="101">
        <v>138</v>
      </c>
      <c r="D147" s="267"/>
      <c r="E147" s="119"/>
      <c r="F147" s="281" t="str">
        <f>IF(D147="","",VLOOKUP(D147,'G-7 WaterC'' Data'!$B$2:$G$8,2,FALSE))</f>
        <v/>
      </c>
      <c r="G147" s="282" t="str">
        <f>IFERROR(VLOOKUP(F147,'G-7 WaterC'' Data'!$C$4:$D$8,2,FALSE),"")</f>
        <v/>
      </c>
      <c r="H147" s="52"/>
      <c r="I147" s="282" t="str">
        <f>IFERROR(INDEX('G-7 WaterC'' Data'!$H$4:$L$8,MATCH(D147,'G-7 WaterC'' Data'!$B$4:$B$8,0),MATCH(H147,'G-7 WaterC'' Data'!$H$3:$L$3,0)),"")</f>
        <v/>
      </c>
      <c r="J147" s="793"/>
      <c r="K147" s="317" t="str">
        <f>IF(J147="","",IF(VLOOKUP(J147,'G-7 WaterC'' Data'!$AK$4:$AM$6,2,FALSE)=0,"Spatial Data Missing ⚠",VLOOKUP(J147,'G-7 WaterC'' Data'!$AK$4:$AM$6,2,FALSE)))</f>
        <v/>
      </c>
      <c r="L147" s="287" t="str">
        <f>IF(J147="","",IF(VLOOKUP(J147,'G-7 WaterC'' Data'!$AK$4:$AM$9,3,FALSE)=0,"Spatial Data Missing ⚠",VLOOKUP(J147,'G-7 WaterC'' Data'!$AK$4:$AM$6,3,FALSE)))</f>
        <v/>
      </c>
      <c r="M147" s="52"/>
      <c r="N147" s="282" t="str">
        <f>IF(M147="","",IF(AND(D147&lt;&gt;"Culvert",M147="N/A - Culvert"),"Not possible ▲",IF(AND(D147="Culvert",M147&lt;&gt;"N/A - Culvert"),"Not possible ▲",IF(VLOOKUP(M147,'G-7 WaterC'' Data'!$AA$4:$AB$7,2,FALSE)=0,"Spatial Data Missing ⚠",VLOOKUP(M147,'G-7 WaterC'' Data'!$AA$4:$AB$7,2,FALSE)))))</f>
        <v/>
      </c>
      <c r="O147" s="56"/>
      <c r="P147" s="282" t="str">
        <f>IF(O147="","",IF(AND(O147="N/A - Culvert", D147&lt;&gt;"Culvert"),"Not possible ▲", IF(AND(D147="Culvert",O147&lt;&gt;"N/A - Culvert"),"Not possible ▲",IF(VLOOKUP(O147,'G-7 WaterC'' Data'!$AD$4:$AE$14,2,FALSE)=0,"Spatial Data Missing ⚠",VLOOKUP(O147,'G-7 WaterC'' Data'!$AD$4:$AE$14,2,FALSE)))))</f>
        <v/>
      </c>
      <c r="Q147" s="288" t="str">
        <f>IF(D147="","",VLOOKUP(D147,'G-7 WaterC'' Data'!$B$2:$G$8,6,FALSE))</f>
        <v/>
      </c>
      <c r="R147" s="295" t="str">
        <f t="shared" si="21"/>
        <v xml:space="preserve"> </v>
      </c>
      <c r="S147" s="820" t="str">
        <f t="shared" si="22"/>
        <v/>
      </c>
      <c r="T147" s="32"/>
      <c r="U147" s="105"/>
      <c r="V147" s="112"/>
      <c r="W147" s="293" t="str">
        <f t="shared" si="23"/>
        <v/>
      </c>
      <c r="X147" s="293" t="str">
        <f t="shared" si="24"/>
        <v/>
      </c>
      <c r="Y147" s="293" t="str">
        <f t="shared" si="25"/>
        <v/>
      </c>
      <c r="Z147" s="323" t="str">
        <f>IFERROR(IF(OR(E147="",R147=""),"",  IF(AND(Q147='G-7 WaterC'' Data'!$G$4,AA147="Yes"),"Alternative Compensation ✓", IF(AND(AA147="Pending", Q147='G-7 WaterC'' Data'!$G$4),"Bespoke compensation must be agreed ▲", IF((W147+X147)&gt;=R147, 0, R147-W147-X147)))),"Check Data ⚠")</f>
        <v/>
      </c>
      <c r="AA147" s="817"/>
      <c r="AB147" s="140"/>
      <c r="AC147" s="108"/>
      <c r="AD147" s="108"/>
      <c r="AE147" s="54" t="str">
        <f>IF(OR(Q147="",AA147="Yes"),"",IF(Q147='G-1 All Habitats'!$X$9,E147-U147-V147,"None"))</f>
        <v/>
      </c>
      <c r="AF147" s="55" t="str">
        <f>IF(Q147="","", IF(Q147='G-1 All Habitats'!$X$9, AE147*G147*I147*L147*N147*P147,"None"))</f>
        <v/>
      </c>
      <c r="AI147" s="30">
        <f t="shared" si="26"/>
        <v>0</v>
      </c>
      <c r="AJ147" s="111" t="str">
        <f t="shared" si="27"/>
        <v/>
      </c>
      <c r="AK147" s="111" t="str">
        <f t="shared" si="28"/>
        <v/>
      </c>
      <c r="AM147" s="111">
        <v>138</v>
      </c>
      <c r="AO147" s="111" t="str">
        <f t="array" ref="AO147">IFERROR(INDEX($AM$10:$AM$258, MATCH(0, IF(TRUE=$AJ$10:$AJ$258, COUNTIF($AO$9:$AO146, $AM$10:$AM$258), ""), 0)),"")</f>
        <v/>
      </c>
      <c r="AP147" s="111" t="str">
        <f t="array" ref="AP147">IFERROR(INDEX($AM$10:$AM$258, MATCH(0, IF(TRUE=$AK$10:$AK$258, COUNTIF($AP$9:$AP146, $AM$10:$AM$258), ""), 0)),"")</f>
        <v/>
      </c>
      <c r="AR147" s="30" t="str">
        <f>IFERROR(INDEX('G-7 WaterC'' Data'!$AZ$3:$AZ$7,MATCH(D147,'G-7 WaterC'' Data'!$AY$3:$AY$7,0)),"")</f>
        <v/>
      </c>
      <c r="AS147" s="30" t="str">
        <f>IFERROR(INDEX('G-7 WaterC'' Data'!AZ147:AZ151,MATCH(D147,'G-7 WaterC'' Data'!$AY$10:$AY$14,0)),"")</f>
        <v/>
      </c>
      <c r="AT147" s="903" t="str">
        <f>IF(AND(OR(AA147="Yes",AA147="Pending"),Q147='G-7 WaterC'' Data'!$G$4),R147-W147-X147,"")</f>
        <v/>
      </c>
      <c r="AU147" s="30" t="str">
        <f>IF(D147="","",VLOOKUP(D147,'G-7 WaterC'' Data'!B$4:M$8,12,FALSE))</f>
        <v/>
      </c>
      <c r="AV147" s="30" t="str">
        <f t="shared" si="20"/>
        <v/>
      </c>
      <c r="AX147" s="30" t="str">
        <f t="shared" si="29"/>
        <v>No</v>
      </c>
    </row>
    <row r="148" spans="3:50" x14ac:dyDescent="0.25">
      <c r="C148" s="101">
        <v>139</v>
      </c>
      <c r="D148" s="267"/>
      <c r="E148" s="119"/>
      <c r="F148" s="281" t="str">
        <f>IF(D148="","",VLOOKUP(D148,'G-7 WaterC'' Data'!$B$2:$G$8,2,FALSE))</f>
        <v/>
      </c>
      <c r="G148" s="282" t="str">
        <f>IFERROR(VLOOKUP(F148,'G-7 WaterC'' Data'!$C$4:$D$8,2,FALSE),"")</f>
        <v/>
      </c>
      <c r="H148" s="52"/>
      <c r="I148" s="282" t="str">
        <f>IFERROR(INDEX('G-7 WaterC'' Data'!$H$4:$L$8,MATCH(D148,'G-7 WaterC'' Data'!$B$4:$B$8,0),MATCH(H148,'G-7 WaterC'' Data'!$H$3:$L$3,0)),"")</f>
        <v/>
      </c>
      <c r="J148" s="793"/>
      <c r="K148" s="317" t="str">
        <f>IF(J148="","",IF(VLOOKUP(J148,'G-7 WaterC'' Data'!$AK$4:$AM$6,2,FALSE)=0,"Spatial Data Missing ⚠",VLOOKUP(J148,'G-7 WaterC'' Data'!$AK$4:$AM$6,2,FALSE)))</f>
        <v/>
      </c>
      <c r="L148" s="287" t="str">
        <f>IF(J148="","",IF(VLOOKUP(J148,'G-7 WaterC'' Data'!$AK$4:$AM$9,3,FALSE)=0,"Spatial Data Missing ⚠",VLOOKUP(J148,'G-7 WaterC'' Data'!$AK$4:$AM$6,3,FALSE)))</f>
        <v/>
      </c>
      <c r="M148" s="52"/>
      <c r="N148" s="282" t="str">
        <f>IF(M148="","",IF(AND(D148&lt;&gt;"Culvert",M148="N/A - Culvert"),"Not possible ▲",IF(AND(D148="Culvert",M148&lt;&gt;"N/A - Culvert"),"Not possible ▲",IF(VLOOKUP(M148,'G-7 WaterC'' Data'!$AA$4:$AB$7,2,FALSE)=0,"Spatial Data Missing ⚠",VLOOKUP(M148,'G-7 WaterC'' Data'!$AA$4:$AB$7,2,FALSE)))))</f>
        <v/>
      </c>
      <c r="O148" s="56"/>
      <c r="P148" s="282" t="str">
        <f>IF(O148="","",IF(AND(O148="N/A - Culvert", D148&lt;&gt;"Culvert"),"Not possible ▲", IF(AND(D148="Culvert",O148&lt;&gt;"N/A - Culvert"),"Not possible ▲",IF(VLOOKUP(O148,'G-7 WaterC'' Data'!$AD$4:$AE$14,2,FALSE)=0,"Spatial Data Missing ⚠",VLOOKUP(O148,'G-7 WaterC'' Data'!$AD$4:$AE$14,2,FALSE)))))</f>
        <v/>
      </c>
      <c r="Q148" s="288" t="str">
        <f>IF(D148="","",VLOOKUP(D148,'G-7 WaterC'' Data'!$B$2:$G$8,6,FALSE))</f>
        <v/>
      </c>
      <c r="R148" s="295" t="str">
        <f t="shared" si="21"/>
        <v xml:space="preserve"> </v>
      </c>
      <c r="S148" s="820" t="str">
        <f t="shared" si="22"/>
        <v/>
      </c>
      <c r="T148" s="32"/>
      <c r="U148" s="105"/>
      <c r="V148" s="112"/>
      <c r="W148" s="293" t="str">
        <f t="shared" si="23"/>
        <v/>
      </c>
      <c r="X148" s="293" t="str">
        <f t="shared" si="24"/>
        <v/>
      </c>
      <c r="Y148" s="293" t="str">
        <f t="shared" si="25"/>
        <v/>
      </c>
      <c r="Z148" s="323" t="str">
        <f>IFERROR(IF(OR(E148="",R148=""),"",  IF(AND(Q148='G-7 WaterC'' Data'!$G$4,AA148="Yes"),"Alternative Compensation ✓", IF(AND(AA148="Pending", Q148='G-7 WaterC'' Data'!$G$4),"Bespoke compensation must be agreed ▲", IF((W148+X148)&gt;=R148, 0, R148-W148-X148)))),"Check Data ⚠")</f>
        <v/>
      </c>
      <c r="AA148" s="817"/>
      <c r="AB148" s="140"/>
      <c r="AC148" s="108"/>
      <c r="AD148" s="108"/>
      <c r="AE148" s="54" t="str">
        <f>IF(OR(Q148="",AA148="Yes"),"",IF(Q148='G-1 All Habitats'!$X$9,E148-U148-V148,"None"))</f>
        <v/>
      </c>
      <c r="AF148" s="55" t="str">
        <f>IF(Q148="","", IF(Q148='G-1 All Habitats'!$X$9, AE148*G148*I148*L148*N148*P148,"None"))</f>
        <v/>
      </c>
      <c r="AI148" s="30">
        <f t="shared" si="26"/>
        <v>0</v>
      </c>
      <c r="AJ148" s="111" t="str">
        <f t="shared" si="27"/>
        <v/>
      </c>
      <c r="AK148" s="111" t="str">
        <f t="shared" si="28"/>
        <v/>
      </c>
      <c r="AM148" s="111">
        <v>139</v>
      </c>
      <c r="AO148" s="111" t="str">
        <f t="array" ref="AO148">IFERROR(INDEX($AM$10:$AM$258, MATCH(0, IF(TRUE=$AJ$10:$AJ$258, COUNTIF($AO$9:$AO147, $AM$10:$AM$258), ""), 0)),"")</f>
        <v/>
      </c>
      <c r="AP148" s="111" t="str">
        <f t="array" ref="AP148">IFERROR(INDEX($AM$10:$AM$258, MATCH(0, IF(TRUE=$AK$10:$AK$258, COUNTIF($AP$9:$AP147, $AM$10:$AM$258), ""), 0)),"")</f>
        <v/>
      </c>
      <c r="AR148" s="30" t="str">
        <f>IFERROR(INDEX('G-7 WaterC'' Data'!$AZ$3:$AZ$7,MATCH(D148,'G-7 WaterC'' Data'!$AY$3:$AY$7,0)),"")</f>
        <v/>
      </c>
      <c r="AS148" s="30" t="str">
        <f>IFERROR(INDEX('G-7 WaterC'' Data'!AZ148:AZ152,MATCH(D148,'G-7 WaterC'' Data'!$AY$10:$AY$14,0)),"")</f>
        <v/>
      </c>
      <c r="AT148" s="903" t="str">
        <f>IF(AND(OR(AA148="Yes",AA148="Pending"),Q148='G-7 WaterC'' Data'!$G$4),R148-W148-X148,"")</f>
        <v/>
      </c>
      <c r="AU148" s="30" t="str">
        <f>IF(D148="","",VLOOKUP(D148,'G-7 WaterC'' Data'!B$4:M$8,12,FALSE))</f>
        <v/>
      </c>
      <c r="AV148" s="30" t="str">
        <f t="shared" si="20"/>
        <v/>
      </c>
      <c r="AX148" s="30" t="str">
        <f t="shared" si="29"/>
        <v>No</v>
      </c>
    </row>
    <row r="149" spans="3:50" x14ac:dyDescent="0.25">
      <c r="C149" s="101">
        <v>140</v>
      </c>
      <c r="D149" s="267"/>
      <c r="E149" s="119"/>
      <c r="F149" s="281" t="str">
        <f>IF(D149="","",VLOOKUP(D149,'G-7 WaterC'' Data'!$B$2:$G$8,2,FALSE))</f>
        <v/>
      </c>
      <c r="G149" s="282" t="str">
        <f>IFERROR(VLOOKUP(F149,'G-7 WaterC'' Data'!$C$4:$D$8,2,FALSE),"")</f>
        <v/>
      </c>
      <c r="H149" s="52"/>
      <c r="I149" s="282" t="str">
        <f>IFERROR(INDEX('G-7 WaterC'' Data'!$H$4:$L$8,MATCH(D149,'G-7 WaterC'' Data'!$B$4:$B$8,0),MATCH(H149,'G-7 WaterC'' Data'!$H$3:$L$3,0)),"")</f>
        <v/>
      </c>
      <c r="J149" s="793"/>
      <c r="K149" s="317" t="str">
        <f>IF(J149="","",IF(VLOOKUP(J149,'G-7 WaterC'' Data'!$AK$4:$AM$6,2,FALSE)=0,"Spatial Data Missing ⚠",VLOOKUP(J149,'G-7 WaterC'' Data'!$AK$4:$AM$6,2,FALSE)))</f>
        <v/>
      </c>
      <c r="L149" s="287" t="str">
        <f>IF(J149="","",IF(VLOOKUP(J149,'G-7 WaterC'' Data'!$AK$4:$AM$9,3,FALSE)=0,"Spatial Data Missing ⚠",VLOOKUP(J149,'G-7 WaterC'' Data'!$AK$4:$AM$6,3,FALSE)))</f>
        <v/>
      </c>
      <c r="M149" s="52"/>
      <c r="N149" s="282" t="str">
        <f>IF(M149="","",IF(AND(D149&lt;&gt;"Culvert",M149="N/A - Culvert"),"Not possible ▲",IF(AND(D149="Culvert",M149&lt;&gt;"N/A - Culvert"),"Not possible ▲",IF(VLOOKUP(M149,'G-7 WaterC'' Data'!$AA$4:$AB$7,2,FALSE)=0,"Spatial Data Missing ⚠",VLOOKUP(M149,'G-7 WaterC'' Data'!$AA$4:$AB$7,2,FALSE)))))</f>
        <v/>
      </c>
      <c r="O149" s="56"/>
      <c r="P149" s="282" t="str">
        <f>IF(O149="","",IF(AND(O149="N/A - Culvert", D149&lt;&gt;"Culvert"),"Not possible ▲", IF(AND(D149="Culvert",O149&lt;&gt;"N/A - Culvert"),"Not possible ▲",IF(VLOOKUP(O149,'G-7 WaterC'' Data'!$AD$4:$AE$14,2,FALSE)=0,"Spatial Data Missing ⚠",VLOOKUP(O149,'G-7 WaterC'' Data'!$AD$4:$AE$14,2,FALSE)))))</f>
        <v/>
      </c>
      <c r="Q149" s="288" t="str">
        <f>IF(D149="","",VLOOKUP(D149,'G-7 WaterC'' Data'!$B$2:$G$8,6,FALSE))</f>
        <v/>
      </c>
      <c r="R149" s="295" t="str">
        <f t="shared" si="21"/>
        <v xml:space="preserve"> </v>
      </c>
      <c r="S149" s="820" t="str">
        <f t="shared" si="22"/>
        <v/>
      </c>
      <c r="T149" s="32"/>
      <c r="U149" s="105"/>
      <c r="V149" s="112"/>
      <c r="W149" s="293" t="str">
        <f t="shared" si="23"/>
        <v/>
      </c>
      <c r="X149" s="293" t="str">
        <f t="shared" si="24"/>
        <v/>
      </c>
      <c r="Y149" s="293" t="str">
        <f t="shared" si="25"/>
        <v/>
      </c>
      <c r="Z149" s="323" t="str">
        <f>IFERROR(IF(OR(E149="",R149=""),"",  IF(AND(Q149='G-7 WaterC'' Data'!$G$4,AA149="Yes"),"Alternative Compensation ✓", IF(AND(AA149="Pending", Q149='G-7 WaterC'' Data'!$G$4),"Bespoke compensation must be agreed ▲", IF((W149+X149)&gt;=R149, 0, R149-W149-X149)))),"Check Data ⚠")</f>
        <v/>
      </c>
      <c r="AA149" s="817"/>
      <c r="AB149" s="140"/>
      <c r="AC149" s="108"/>
      <c r="AD149" s="108"/>
      <c r="AE149" s="54" t="str">
        <f>IF(OR(Q149="",AA149="Yes"),"",IF(Q149='G-1 All Habitats'!$X$9,E149-U149-V149,"None"))</f>
        <v/>
      </c>
      <c r="AF149" s="55" t="str">
        <f>IF(Q149="","", IF(Q149='G-1 All Habitats'!$X$9, AE149*G149*I149*L149*N149*P149,"None"))</f>
        <v/>
      </c>
      <c r="AI149" s="30">
        <f t="shared" si="26"/>
        <v>0</v>
      </c>
      <c r="AJ149" s="111" t="str">
        <f t="shared" si="27"/>
        <v/>
      </c>
      <c r="AK149" s="111" t="str">
        <f t="shared" si="28"/>
        <v/>
      </c>
      <c r="AM149" s="111">
        <v>140</v>
      </c>
      <c r="AO149" s="111" t="str">
        <f t="array" ref="AO149">IFERROR(INDEX($AM$10:$AM$258, MATCH(0, IF(TRUE=$AJ$10:$AJ$258, COUNTIF($AO$9:$AO148, $AM$10:$AM$258), ""), 0)),"")</f>
        <v/>
      </c>
      <c r="AP149" s="111" t="str">
        <f t="array" ref="AP149">IFERROR(INDEX($AM$10:$AM$258, MATCH(0, IF(TRUE=$AK$10:$AK$258, COUNTIF($AP$9:$AP148, $AM$10:$AM$258), ""), 0)),"")</f>
        <v/>
      </c>
      <c r="AR149" s="30" t="str">
        <f>IFERROR(INDEX('G-7 WaterC'' Data'!$AZ$3:$AZ$7,MATCH(D149,'G-7 WaterC'' Data'!$AY$3:$AY$7,0)),"")</f>
        <v/>
      </c>
      <c r="AS149" s="30" t="str">
        <f>IFERROR(INDEX('G-7 WaterC'' Data'!AZ149:AZ153,MATCH(D149,'G-7 WaterC'' Data'!$AY$10:$AY$14,0)),"")</f>
        <v/>
      </c>
      <c r="AT149" s="903" t="str">
        <f>IF(AND(OR(AA149="Yes",AA149="Pending"),Q149='G-7 WaterC'' Data'!$G$4),R149-W149-X149,"")</f>
        <v/>
      </c>
      <c r="AU149" s="30" t="str">
        <f>IF(D149="","",VLOOKUP(D149,'G-7 WaterC'' Data'!B$4:M$8,12,FALSE))</f>
        <v/>
      </c>
      <c r="AV149" s="30" t="str">
        <f t="shared" si="20"/>
        <v/>
      </c>
      <c r="AX149" s="30" t="str">
        <f t="shared" si="29"/>
        <v>No</v>
      </c>
    </row>
    <row r="150" spans="3:50" x14ac:dyDescent="0.25">
      <c r="C150" s="101">
        <v>141</v>
      </c>
      <c r="D150" s="267"/>
      <c r="E150" s="119"/>
      <c r="F150" s="281" t="str">
        <f>IF(D150="","",VLOOKUP(D150,'G-7 WaterC'' Data'!$B$2:$G$8,2,FALSE))</f>
        <v/>
      </c>
      <c r="G150" s="282" t="str">
        <f>IFERROR(VLOOKUP(F150,'G-7 WaterC'' Data'!$C$4:$D$8,2,FALSE),"")</f>
        <v/>
      </c>
      <c r="H150" s="52"/>
      <c r="I150" s="282" t="str">
        <f>IFERROR(INDEX('G-7 WaterC'' Data'!$H$4:$L$8,MATCH(D150,'G-7 WaterC'' Data'!$B$4:$B$8,0),MATCH(H150,'G-7 WaterC'' Data'!$H$3:$L$3,0)),"")</f>
        <v/>
      </c>
      <c r="J150" s="793"/>
      <c r="K150" s="317" t="str">
        <f>IF(J150="","",IF(VLOOKUP(J150,'G-7 WaterC'' Data'!$AK$4:$AM$6,2,FALSE)=0,"Spatial Data Missing ⚠",VLOOKUP(J150,'G-7 WaterC'' Data'!$AK$4:$AM$6,2,FALSE)))</f>
        <v/>
      </c>
      <c r="L150" s="287" t="str">
        <f>IF(J150="","",IF(VLOOKUP(J150,'G-7 WaterC'' Data'!$AK$4:$AM$9,3,FALSE)=0,"Spatial Data Missing ⚠",VLOOKUP(J150,'G-7 WaterC'' Data'!$AK$4:$AM$6,3,FALSE)))</f>
        <v/>
      </c>
      <c r="M150" s="52"/>
      <c r="N150" s="282" t="str">
        <f>IF(M150="","",IF(AND(D150&lt;&gt;"Culvert",M150="N/A - Culvert"),"Not possible ▲",IF(AND(D150="Culvert",M150&lt;&gt;"N/A - Culvert"),"Not possible ▲",IF(VLOOKUP(M150,'G-7 WaterC'' Data'!$AA$4:$AB$7,2,FALSE)=0,"Spatial Data Missing ⚠",VLOOKUP(M150,'G-7 WaterC'' Data'!$AA$4:$AB$7,2,FALSE)))))</f>
        <v/>
      </c>
      <c r="O150" s="56"/>
      <c r="P150" s="282" t="str">
        <f>IF(O150="","",IF(AND(O150="N/A - Culvert", D150&lt;&gt;"Culvert"),"Not possible ▲", IF(AND(D150="Culvert",O150&lt;&gt;"N/A - Culvert"),"Not possible ▲",IF(VLOOKUP(O150,'G-7 WaterC'' Data'!$AD$4:$AE$14,2,FALSE)=0,"Spatial Data Missing ⚠",VLOOKUP(O150,'G-7 WaterC'' Data'!$AD$4:$AE$14,2,FALSE)))))</f>
        <v/>
      </c>
      <c r="Q150" s="288" t="str">
        <f>IF(D150="","",VLOOKUP(D150,'G-7 WaterC'' Data'!$B$2:$G$8,6,FALSE))</f>
        <v/>
      </c>
      <c r="R150" s="295" t="str">
        <f t="shared" si="21"/>
        <v xml:space="preserve"> </v>
      </c>
      <c r="S150" s="820" t="str">
        <f t="shared" si="22"/>
        <v/>
      </c>
      <c r="T150" s="32"/>
      <c r="U150" s="105"/>
      <c r="V150" s="112"/>
      <c r="W150" s="293" t="str">
        <f t="shared" si="23"/>
        <v/>
      </c>
      <c r="X150" s="293" t="str">
        <f t="shared" si="24"/>
        <v/>
      </c>
      <c r="Y150" s="293" t="str">
        <f t="shared" si="25"/>
        <v/>
      </c>
      <c r="Z150" s="323" t="str">
        <f>IFERROR(IF(OR(E150="",R150=""),"",  IF(AND(Q150='G-7 WaterC'' Data'!$G$4,AA150="Yes"),"Alternative Compensation ✓", IF(AND(AA150="Pending", Q150='G-7 WaterC'' Data'!$G$4),"Bespoke compensation must be agreed ▲", IF((W150+X150)&gt;=R150, 0, R150-W150-X150)))),"Check Data ⚠")</f>
        <v/>
      </c>
      <c r="AA150" s="817"/>
      <c r="AB150" s="140"/>
      <c r="AC150" s="108"/>
      <c r="AD150" s="108"/>
      <c r="AE150" s="54" t="str">
        <f>IF(OR(Q150="",AA150="Yes"),"",IF(Q150='G-1 All Habitats'!$X$9,E150-U150-V150,"None"))</f>
        <v/>
      </c>
      <c r="AF150" s="55" t="str">
        <f>IF(Q150="","", IF(Q150='G-1 All Habitats'!$X$9, AE150*G150*I150*L150*N150*P150,"None"))</f>
        <v/>
      </c>
      <c r="AI150" s="30">
        <f t="shared" si="26"/>
        <v>0</v>
      </c>
      <c r="AJ150" s="111" t="str">
        <f t="shared" si="27"/>
        <v/>
      </c>
      <c r="AK150" s="111" t="str">
        <f t="shared" si="28"/>
        <v/>
      </c>
      <c r="AM150" s="111">
        <v>141</v>
      </c>
      <c r="AO150" s="111" t="str">
        <f t="array" ref="AO150">IFERROR(INDEX($AM$10:$AM$258, MATCH(0, IF(TRUE=$AJ$10:$AJ$258, COUNTIF($AO$9:$AO149, $AM$10:$AM$258), ""), 0)),"")</f>
        <v/>
      </c>
      <c r="AP150" s="111" t="str">
        <f t="array" ref="AP150">IFERROR(INDEX($AM$10:$AM$258, MATCH(0, IF(TRUE=$AK$10:$AK$258, COUNTIF($AP$9:$AP149, $AM$10:$AM$258), ""), 0)),"")</f>
        <v/>
      </c>
      <c r="AR150" s="30" t="str">
        <f>IFERROR(INDEX('G-7 WaterC'' Data'!$AZ$3:$AZ$7,MATCH(D150,'G-7 WaterC'' Data'!$AY$3:$AY$7,0)),"")</f>
        <v/>
      </c>
      <c r="AS150" s="30" t="str">
        <f>IFERROR(INDEX('G-7 WaterC'' Data'!AZ150:AZ154,MATCH(D150,'G-7 WaterC'' Data'!$AY$10:$AY$14,0)),"")</f>
        <v/>
      </c>
      <c r="AT150" s="903" t="str">
        <f>IF(AND(OR(AA150="Yes",AA150="Pending"),Q150='G-7 WaterC'' Data'!$G$4),R150-W150-X150,"")</f>
        <v/>
      </c>
      <c r="AU150" s="30" t="str">
        <f>IF(D150="","",VLOOKUP(D150,'G-7 WaterC'' Data'!B$4:M$8,12,FALSE))</f>
        <v/>
      </c>
      <c r="AV150" s="30" t="str">
        <f t="shared" si="20"/>
        <v/>
      </c>
      <c r="AX150" s="30" t="str">
        <f t="shared" si="29"/>
        <v>No</v>
      </c>
    </row>
    <row r="151" spans="3:50" x14ac:dyDescent="0.25">
      <c r="C151" s="101">
        <v>142</v>
      </c>
      <c r="D151" s="267"/>
      <c r="E151" s="119"/>
      <c r="F151" s="281" t="str">
        <f>IF(D151="","",VLOOKUP(D151,'G-7 WaterC'' Data'!$B$2:$G$8,2,FALSE))</f>
        <v/>
      </c>
      <c r="G151" s="282" t="str">
        <f>IFERROR(VLOOKUP(F151,'G-7 WaterC'' Data'!$C$4:$D$8,2,FALSE),"")</f>
        <v/>
      </c>
      <c r="H151" s="52"/>
      <c r="I151" s="282" t="str">
        <f>IFERROR(INDEX('G-7 WaterC'' Data'!$H$4:$L$8,MATCH(D151,'G-7 WaterC'' Data'!$B$4:$B$8,0),MATCH(H151,'G-7 WaterC'' Data'!$H$3:$L$3,0)),"")</f>
        <v/>
      </c>
      <c r="J151" s="793"/>
      <c r="K151" s="317" t="str">
        <f>IF(J151="","",IF(VLOOKUP(J151,'G-7 WaterC'' Data'!$AK$4:$AM$6,2,FALSE)=0,"Spatial Data Missing ⚠",VLOOKUP(J151,'G-7 WaterC'' Data'!$AK$4:$AM$6,2,FALSE)))</f>
        <v/>
      </c>
      <c r="L151" s="287" t="str">
        <f>IF(J151="","",IF(VLOOKUP(J151,'G-7 WaterC'' Data'!$AK$4:$AM$9,3,FALSE)=0,"Spatial Data Missing ⚠",VLOOKUP(J151,'G-7 WaterC'' Data'!$AK$4:$AM$6,3,FALSE)))</f>
        <v/>
      </c>
      <c r="M151" s="52"/>
      <c r="N151" s="282" t="str">
        <f>IF(M151="","",IF(AND(D151&lt;&gt;"Culvert",M151="N/A - Culvert"),"Not possible ▲",IF(AND(D151="Culvert",M151&lt;&gt;"N/A - Culvert"),"Not possible ▲",IF(VLOOKUP(M151,'G-7 WaterC'' Data'!$AA$4:$AB$7,2,FALSE)=0,"Spatial Data Missing ⚠",VLOOKUP(M151,'G-7 WaterC'' Data'!$AA$4:$AB$7,2,FALSE)))))</f>
        <v/>
      </c>
      <c r="O151" s="56"/>
      <c r="P151" s="282" t="str">
        <f>IF(O151="","",IF(AND(O151="N/A - Culvert", D151&lt;&gt;"Culvert"),"Not possible ▲", IF(AND(D151="Culvert",O151&lt;&gt;"N/A - Culvert"),"Not possible ▲",IF(VLOOKUP(O151,'G-7 WaterC'' Data'!$AD$4:$AE$14,2,FALSE)=0,"Spatial Data Missing ⚠",VLOOKUP(O151,'G-7 WaterC'' Data'!$AD$4:$AE$14,2,FALSE)))))</f>
        <v/>
      </c>
      <c r="Q151" s="288" t="str">
        <f>IF(D151="","",VLOOKUP(D151,'G-7 WaterC'' Data'!$B$2:$G$8,6,FALSE))</f>
        <v/>
      </c>
      <c r="R151" s="295" t="str">
        <f t="shared" si="21"/>
        <v xml:space="preserve"> </v>
      </c>
      <c r="S151" s="820" t="str">
        <f t="shared" si="22"/>
        <v/>
      </c>
      <c r="T151" s="32"/>
      <c r="U151" s="105"/>
      <c r="V151" s="112"/>
      <c r="W151" s="293" t="str">
        <f t="shared" si="23"/>
        <v/>
      </c>
      <c r="X151" s="293" t="str">
        <f t="shared" si="24"/>
        <v/>
      </c>
      <c r="Y151" s="293" t="str">
        <f t="shared" si="25"/>
        <v/>
      </c>
      <c r="Z151" s="323" t="str">
        <f>IFERROR(IF(OR(E151="",R151=""),"",  IF(AND(Q151='G-7 WaterC'' Data'!$G$4,AA151="Yes"),"Alternative Compensation ✓", IF(AND(AA151="Pending", Q151='G-7 WaterC'' Data'!$G$4),"Bespoke compensation must be agreed ▲", IF((W151+X151)&gt;=R151, 0, R151-W151-X151)))),"Check Data ⚠")</f>
        <v/>
      </c>
      <c r="AA151" s="817"/>
      <c r="AB151" s="140"/>
      <c r="AC151" s="108"/>
      <c r="AD151" s="108"/>
      <c r="AE151" s="54" t="str">
        <f>IF(OR(Q151="",AA151="Yes"),"",IF(Q151='G-1 All Habitats'!$X$9,E151-U151-V151,"None"))</f>
        <v/>
      </c>
      <c r="AF151" s="55" t="str">
        <f>IF(Q151="","", IF(Q151='G-1 All Habitats'!$X$9, AE151*G151*I151*L151*N151*P151,"None"))</f>
        <v/>
      </c>
      <c r="AI151" s="30">
        <f t="shared" si="26"/>
        <v>0</v>
      </c>
      <c r="AJ151" s="111" t="str">
        <f t="shared" si="27"/>
        <v/>
      </c>
      <c r="AK151" s="111" t="str">
        <f t="shared" si="28"/>
        <v/>
      </c>
      <c r="AM151" s="111">
        <v>142</v>
      </c>
      <c r="AO151" s="111" t="str">
        <f t="array" ref="AO151">IFERROR(INDEX($AM$10:$AM$258, MATCH(0, IF(TRUE=$AJ$10:$AJ$258, COUNTIF($AO$9:$AO150, $AM$10:$AM$258), ""), 0)),"")</f>
        <v/>
      </c>
      <c r="AP151" s="111" t="str">
        <f t="array" ref="AP151">IFERROR(INDEX($AM$10:$AM$258, MATCH(0, IF(TRUE=$AK$10:$AK$258, COUNTIF($AP$9:$AP150, $AM$10:$AM$258), ""), 0)),"")</f>
        <v/>
      </c>
      <c r="AR151" s="30" t="str">
        <f>IFERROR(INDEX('G-7 WaterC'' Data'!$AZ$3:$AZ$7,MATCH(D151,'G-7 WaterC'' Data'!$AY$3:$AY$7,0)),"")</f>
        <v/>
      </c>
      <c r="AS151" s="30" t="str">
        <f>IFERROR(INDEX('G-7 WaterC'' Data'!AZ151:AZ155,MATCH(D151,'G-7 WaterC'' Data'!$AY$10:$AY$14,0)),"")</f>
        <v/>
      </c>
      <c r="AT151" s="903" t="str">
        <f>IF(AND(OR(AA151="Yes",AA151="Pending"),Q151='G-7 WaterC'' Data'!$G$4),R151-W151-X151,"")</f>
        <v/>
      </c>
      <c r="AU151" s="30" t="str">
        <f>IF(D151="","",VLOOKUP(D151,'G-7 WaterC'' Data'!B$4:M$8,12,FALSE))</f>
        <v/>
      </c>
      <c r="AV151" s="30" t="str">
        <f t="shared" si="20"/>
        <v/>
      </c>
      <c r="AX151" s="30" t="str">
        <f t="shared" si="29"/>
        <v>No</v>
      </c>
    </row>
    <row r="152" spans="3:50" x14ac:dyDescent="0.25">
      <c r="C152" s="101">
        <v>143</v>
      </c>
      <c r="D152" s="267"/>
      <c r="E152" s="119"/>
      <c r="F152" s="281" t="str">
        <f>IF(D152="","",VLOOKUP(D152,'G-7 WaterC'' Data'!$B$2:$G$8,2,FALSE))</f>
        <v/>
      </c>
      <c r="G152" s="282" t="str">
        <f>IFERROR(VLOOKUP(F152,'G-7 WaterC'' Data'!$C$4:$D$8,2,FALSE),"")</f>
        <v/>
      </c>
      <c r="H152" s="52"/>
      <c r="I152" s="282" t="str">
        <f>IFERROR(INDEX('G-7 WaterC'' Data'!$H$4:$L$8,MATCH(D152,'G-7 WaterC'' Data'!$B$4:$B$8,0),MATCH(H152,'G-7 WaterC'' Data'!$H$3:$L$3,0)),"")</f>
        <v/>
      </c>
      <c r="J152" s="793"/>
      <c r="K152" s="317" t="str">
        <f>IF(J152="","",IF(VLOOKUP(J152,'G-7 WaterC'' Data'!$AK$4:$AM$6,2,FALSE)=0,"Spatial Data Missing ⚠",VLOOKUP(J152,'G-7 WaterC'' Data'!$AK$4:$AM$6,2,FALSE)))</f>
        <v/>
      </c>
      <c r="L152" s="287" t="str">
        <f>IF(J152="","",IF(VLOOKUP(J152,'G-7 WaterC'' Data'!$AK$4:$AM$9,3,FALSE)=0,"Spatial Data Missing ⚠",VLOOKUP(J152,'G-7 WaterC'' Data'!$AK$4:$AM$6,3,FALSE)))</f>
        <v/>
      </c>
      <c r="M152" s="52"/>
      <c r="N152" s="282" t="str">
        <f>IF(M152="","",IF(AND(D152&lt;&gt;"Culvert",M152="N/A - Culvert"),"Not possible ▲",IF(AND(D152="Culvert",M152&lt;&gt;"N/A - Culvert"),"Not possible ▲",IF(VLOOKUP(M152,'G-7 WaterC'' Data'!$AA$4:$AB$7,2,FALSE)=0,"Spatial Data Missing ⚠",VLOOKUP(M152,'G-7 WaterC'' Data'!$AA$4:$AB$7,2,FALSE)))))</f>
        <v/>
      </c>
      <c r="O152" s="56"/>
      <c r="P152" s="282" t="str">
        <f>IF(O152="","",IF(AND(O152="N/A - Culvert", D152&lt;&gt;"Culvert"),"Not possible ▲", IF(AND(D152="Culvert",O152&lt;&gt;"N/A - Culvert"),"Not possible ▲",IF(VLOOKUP(O152,'G-7 WaterC'' Data'!$AD$4:$AE$14,2,FALSE)=0,"Spatial Data Missing ⚠",VLOOKUP(O152,'G-7 WaterC'' Data'!$AD$4:$AE$14,2,FALSE)))))</f>
        <v/>
      </c>
      <c r="Q152" s="288" t="str">
        <f>IF(D152="","",VLOOKUP(D152,'G-7 WaterC'' Data'!$B$2:$G$8,6,FALSE))</f>
        <v/>
      </c>
      <c r="R152" s="295" t="str">
        <f t="shared" si="21"/>
        <v xml:space="preserve"> </v>
      </c>
      <c r="S152" s="820" t="str">
        <f t="shared" si="22"/>
        <v/>
      </c>
      <c r="T152" s="32"/>
      <c r="U152" s="105"/>
      <c r="V152" s="112"/>
      <c r="W152" s="293" t="str">
        <f t="shared" si="23"/>
        <v/>
      </c>
      <c r="X152" s="293" t="str">
        <f t="shared" si="24"/>
        <v/>
      </c>
      <c r="Y152" s="293" t="str">
        <f t="shared" si="25"/>
        <v/>
      </c>
      <c r="Z152" s="323" t="str">
        <f>IFERROR(IF(OR(E152="",R152=""),"",  IF(AND(Q152='G-7 WaterC'' Data'!$G$4,AA152="Yes"),"Alternative Compensation ✓", IF(AND(AA152="Pending", Q152='G-7 WaterC'' Data'!$G$4),"Bespoke compensation must be agreed ▲", IF((W152+X152)&gt;=R152, 0, R152-W152-X152)))),"Check Data ⚠")</f>
        <v/>
      </c>
      <c r="AA152" s="817"/>
      <c r="AB152" s="140"/>
      <c r="AC152" s="108"/>
      <c r="AD152" s="108"/>
      <c r="AE152" s="54" t="str">
        <f>IF(OR(Q152="",AA152="Yes"),"",IF(Q152='G-1 All Habitats'!$X$9,E152-U152-V152,"None"))</f>
        <v/>
      </c>
      <c r="AF152" s="55" t="str">
        <f>IF(Q152="","", IF(Q152='G-1 All Habitats'!$X$9, AE152*G152*I152*L152*N152*P152,"None"))</f>
        <v/>
      </c>
      <c r="AI152" s="30">
        <f t="shared" si="26"/>
        <v>0</v>
      </c>
      <c r="AJ152" s="111" t="str">
        <f t="shared" si="27"/>
        <v/>
      </c>
      <c r="AK152" s="111" t="str">
        <f t="shared" si="28"/>
        <v/>
      </c>
      <c r="AM152" s="111">
        <v>143</v>
      </c>
      <c r="AO152" s="111" t="str">
        <f t="array" ref="AO152">IFERROR(INDEX($AM$10:$AM$258, MATCH(0, IF(TRUE=$AJ$10:$AJ$258, COUNTIF($AO$9:$AO151, $AM$10:$AM$258), ""), 0)),"")</f>
        <v/>
      </c>
      <c r="AP152" s="111" t="str">
        <f t="array" ref="AP152">IFERROR(INDEX($AM$10:$AM$258, MATCH(0, IF(TRUE=$AK$10:$AK$258, COUNTIF($AP$9:$AP151, $AM$10:$AM$258), ""), 0)),"")</f>
        <v/>
      </c>
      <c r="AR152" s="30" t="str">
        <f>IFERROR(INDEX('G-7 WaterC'' Data'!$AZ$3:$AZ$7,MATCH(D152,'G-7 WaterC'' Data'!$AY$3:$AY$7,0)),"")</f>
        <v/>
      </c>
      <c r="AS152" s="30" t="str">
        <f>IFERROR(INDEX('G-7 WaterC'' Data'!AZ152:AZ156,MATCH(D152,'G-7 WaterC'' Data'!$AY$10:$AY$14,0)),"")</f>
        <v/>
      </c>
      <c r="AT152" s="903" t="str">
        <f>IF(AND(OR(AA152="Yes",AA152="Pending"),Q152='G-7 WaterC'' Data'!$G$4),R152-W152-X152,"")</f>
        <v/>
      </c>
      <c r="AU152" s="30" t="str">
        <f>IF(D152="","",VLOOKUP(D152,'G-7 WaterC'' Data'!B$4:M$8,12,FALSE))</f>
        <v/>
      </c>
      <c r="AV152" s="30" t="str">
        <f t="shared" si="20"/>
        <v/>
      </c>
      <c r="AX152" s="30" t="str">
        <f t="shared" si="29"/>
        <v>No</v>
      </c>
    </row>
    <row r="153" spans="3:50" x14ac:dyDescent="0.25">
      <c r="C153" s="101">
        <v>144</v>
      </c>
      <c r="D153" s="267"/>
      <c r="E153" s="119"/>
      <c r="F153" s="281" t="str">
        <f>IF(D153="","",VLOOKUP(D153,'G-7 WaterC'' Data'!$B$2:$G$8,2,FALSE))</f>
        <v/>
      </c>
      <c r="G153" s="282" t="str">
        <f>IFERROR(VLOOKUP(F153,'G-7 WaterC'' Data'!$C$4:$D$8,2,FALSE),"")</f>
        <v/>
      </c>
      <c r="H153" s="52"/>
      <c r="I153" s="282" t="str">
        <f>IFERROR(INDEX('G-7 WaterC'' Data'!$H$4:$L$8,MATCH(D153,'G-7 WaterC'' Data'!$B$4:$B$8,0),MATCH(H153,'G-7 WaterC'' Data'!$H$3:$L$3,0)),"")</f>
        <v/>
      </c>
      <c r="J153" s="793"/>
      <c r="K153" s="317" t="str">
        <f>IF(J153="","",IF(VLOOKUP(J153,'G-7 WaterC'' Data'!$AK$4:$AM$6,2,FALSE)=0,"Spatial Data Missing ⚠",VLOOKUP(J153,'G-7 WaterC'' Data'!$AK$4:$AM$6,2,FALSE)))</f>
        <v/>
      </c>
      <c r="L153" s="287" t="str">
        <f>IF(J153="","",IF(VLOOKUP(J153,'G-7 WaterC'' Data'!$AK$4:$AM$9,3,FALSE)=0,"Spatial Data Missing ⚠",VLOOKUP(J153,'G-7 WaterC'' Data'!$AK$4:$AM$6,3,FALSE)))</f>
        <v/>
      </c>
      <c r="M153" s="52"/>
      <c r="N153" s="282" t="str">
        <f>IF(M153="","",IF(AND(D153&lt;&gt;"Culvert",M153="N/A - Culvert"),"Not possible ▲",IF(AND(D153="Culvert",M153&lt;&gt;"N/A - Culvert"),"Not possible ▲",IF(VLOOKUP(M153,'G-7 WaterC'' Data'!$AA$4:$AB$7,2,FALSE)=0,"Spatial Data Missing ⚠",VLOOKUP(M153,'G-7 WaterC'' Data'!$AA$4:$AB$7,2,FALSE)))))</f>
        <v/>
      </c>
      <c r="O153" s="56"/>
      <c r="P153" s="282" t="str">
        <f>IF(O153="","",IF(AND(O153="N/A - Culvert", D153&lt;&gt;"Culvert"),"Not possible ▲", IF(AND(D153="Culvert",O153&lt;&gt;"N/A - Culvert"),"Not possible ▲",IF(VLOOKUP(O153,'G-7 WaterC'' Data'!$AD$4:$AE$14,2,FALSE)=0,"Spatial Data Missing ⚠",VLOOKUP(O153,'G-7 WaterC'' Data'!$AD$4:$AE$14,2,FALSE)))))</f>
        <v/>
      </c>
      <c r="Q153" s="288" t="str">
        <f>IF(D153="","",VLOOKUP(D153,'G-7 WaterC'' Data'!$B$2:$G$8,6,FALSE))</f>
        <v/>
      </c>
      <c r="R153" s="295" t="str">
        <f t="shared" si="21"/>
        <v xml:space="preserve"> </v>
      </c>
      <c r="S153" s="820" t="str">
        <f t="shared" si="22"/>
        <v/>
      </c>
      <c r="T153" s="32"/>
      <c r="U153" s="105"/>
      <c r="V153" s="112"/>
      <c r="W153" s="293" t="str">
        <f t="shared" si="23"/>
        <v/>
      </c>
      <c r="X153" s="293" t="str">
        <f t="shared" si="24"/>
        <v/>
      </c>
      <c r="Y153" s="293" t="str">
        <f t="shared" si="25"/>
        <v/>
      </c>
      <c r="Z153" s="323" t="str">
        <f>IFERROR(IF(OR(E153="",R153=""),"",  IF(AND(Q153='G-7 WaterC'' Data'!$G$4,AA153="Yes"),"Alternative Compensation ✓", IF(AND(AA153="Pending", Q153='G-7 WaterC'' Data'!$G$4),"Bespoke compensation must be agreed ▲", IF((W153+X153)&gt;=R153, 0, R153-W153-X153)))),"Check Data ⚠")</f>
        <v/>
      </c>
      <c r="AA153" s="817"/>
      <c r="AB153" s="140"/>
      <c r="AC153" s="108"/>
      <c r="AD153" s="108"/>
      <c r="AE153" s="54" t="str">
        <f>IF(OR(Q153="",AA153="Yes"),"",IF(Q153='G-1 All Habitats'!$X$9,E153-U153-V153,"None"))</f>
        <v/>
      </c>
      <c r="AF153" s="55" t="str">
        <f>IF(Q153="","", IF(Q153='G-1 All Habitats'!$X$9, AE153*G153*I153*L153*N153*P153,"None"))</f>
        <v/>
      </c>
      <c r="AI153" s="30">
        <f t="shared" si="26"/>
        <v>0</v>
      </c>
      <c r="AJ153" s="111" t="str">
        <f t="shared" si="27"/>
        <v/>
      </c>
      <c r="AK153" s="111" t="str">
        <f t="shared" si="28"/>
        <v/>
      </c>
      <c r="AM153" s="111">
        <v>144</v>
      </c>
      <c r="AO153" s="111" t="str">
        <f t="array" ref="AO153">IFERROR(INDEX($AM$10:$AM$258, MATCH(0, IF(TRUE=$AJ$10:$AJ$258, COUNTIF($AO$9:$AO152, $AM$10:$AM$258), ""), 0)),"")</f>
        <v/>
      </c>
      <c r="AP153" s="111" t="str">
        <f t="array" ref="AP153">IFERROR(INDEX($AM$10:$AM$258, MATCH(0, IF(TRUE=$AK$10:$AK$258, COUNTIF($AP$9:$AP152, $AM$10:$AM$258), ""), 0)),"")</f>
        <v/>
      </c>
      <c r="AR153" s="30" t="str">
        <f>IFERROR(INDEX('G-7 WaterC'' Data'!$AZ$3:$AZ$7,MATCH(D153,'G-7 WaterC'' Data'!$AY$3:$AY$7,0)),"")</f>
        <v/>
      </c>
      <c r="AS153" s="30" t="str">
        <f>IFERROR(INDEX('G-7 WaterC'' Data'!AZ153:AZ157,MATCH(D153,'G-7 WaterC'' Data'!$AY$10:$AY$14,0)),"")</f>
        <v/>
      </c>
      <c r="AT153" s="903" t="str">
        <f>IF(AND(OR(AA153="Yes",AA153="Pending"),Q153='G-7 WaterC'' Data'!$G$4),R153-W153-X153,"")</f>
        <v/>
      </c>
      <c r="AU153" s="30" t="str">
        <f>IF(D153="","",VLOOKUP(D153,'G-7 WaterC'' Data'!B$4:M$8,12,FALSE))</f>
        <v/>
      </c>
      <c r="AV153" s="30" t="str">
        <f t="shared" si="20"/>
        <v/>
      </c>
      <c r="AX153" s="30" t="str">
        <f t="shared" si="29"/>
        <v>No</v>
      </c>
    </row>
    <row r="154" spans="3:50" x14ac:dyDescent="0.25">
      <c r="C154" s="101">
        <v>145</v>
      </c>
      <c r="D154" s="267"/>
      <c r="E154" s="119"/>
      <c r="F154" s="281" t="str">
        <f>IF(D154="","",VLOOKUP(D154,'G-7 WaterC'' Data'!$B$2:$G$8,2,FALSE))</f>
        <v/>
      </c>
      <c r="G154" s="282" t="str">
        <f>IFERROR(VLOOKUP(F154,'G-7 WaterC'' Data'!$C$4:$D$8,2,FALSE),"")</f>
        <v/>
      </c>
      <c r="H154" s="52"/>
      <c r="I154" s="282" t="str">
        <f>IFERROR(INDEX('G-7 WaterC'' Data'!$H$4:$L$8,MATCH(D154,'G-7 WaterC'' Data'!$B$4:$B$8,0),MATCH(H154,'G-7 WaterC'' Data'!$H$3:$L$3,0)),"")</f>
        <v/>
      </c>
      <c r="J154" s="793"/>
      <c r="K154" s="317" t="str">
        <f>IF(J154="","",IF(VLOOKUP(J154,'G-7 WaterC'' Data'!$AK$4:$AM$6,2,FALSE)=0,"Spatial Data Missing ⚠",VLOOKUP(J154,'G-7 WaterC'' Data'!$AK$4:$AM$6,2,FALSE)))</f>
        <v/>
      </c>
      <c r="L154" s="287" t="str">
        <f>IF(J154="","",IF(VLOOKUP(J154,'G-7 WaterC'' Data'!$AK$4:$AM$9,3,FALSE)=0,"Spatial Data Missing ⚠",VLOOKUP(J154,'G-7 WaterC'' Data'!$AK$4:$AM$6,3,FALSE)))</f>
        <v/>
      </c>
      <c r="M154" s="52"/>
      <c r="N154" s="282" t="str">
        <f>IF(M154="","",IF(AND(D154&lt;&gt;"Culvert",M154="N/A - Culvert"),"Not possible ▲",IF(AND(D154="Culvert",M154&lt;&gt;"N/A - Culvert"),"Not possible ▲",IF(VLOOKUP(M154,'G-7 WaterC'' Data'!$AA$4:$AB$7,2,FALSE)=0,"Spatial Data Missing ⚠",VLOOKUP(M154,'G-7 WaterC'' Data'!$AA$4:$AB$7,2,FALSE)))))</f>
        <v/>
      </c>
      <c r="O154" s="56"/>
      <c r="P154" s="282" t="str">
        <f>IF(O154="","",IF(AND(O154="N/A - Culvert", D154&lt;&gt;"Culvert"),"Not possible ▲", IF(AND(D154="Culvert",O154&lt;&gt;"N/A - Culvert"),"Not possible ▲",IF(VLOOKUP(O154,'G-7 WaterC'' Data'!$AD$4:$AE$14,2,FALSE)=0,"Spatial Data Missing ⚠",VLOOKUP(O154,'G-7 WaterC'' Data'!$AD$4:$AE$14,2,FALSE)))))</f>
        <v/>
      </c>
      <c r="Q154" s="288" t="str">
        <f>IF(D154="","",VLOOKUP(D154,'G-7 WaterC'' Data'!$B$2:$G$8,6,FALSE))</f>
        <v/>
      </c>
      <c r="R154" s="295" t="str">
        <f t="shared" si="21"/>
        <v xml:space="preserve"> </v>
      </c>
      <c r="S154" s="820" t="str">
        <f t="shared" si="22"/>
        <v/>
      </c>
      <c r="T154" s="32"/>
      <c r="U154" s="105"/>
      <c r="V154" s="112"/>
      <c r="W154" s="293" t="str">
        <f t="shared" si="23"/>
        <v/>
      </c>
      <c r="X154" s="293" t="str">
        <f t="shared" si="24"/>
        <v/>
      </c>
      <c r="Y154" s="293" t="str">
        <f t="shared" si="25"/>
        <v/>
      </c>
      <c r="Z154" s="323" t="str">
        <f>IFERROR(IF(OR(E154="",R154=""),"",  IF(AND(Q154='G-7 WaterC'' Data'!$G$4,AA154="Yes"),"Alternative Compensation ✓", IF(AND(AA154="Pending", Q154='G-7 WaterC'' Data'!$G$4),"Bespoke compensation must be agreed ▲", IF((W154+X154)&gt;=R154, 0, R154-W154-X154)))),"Check Data ⚠")</f>
        <v/>
      </c>
      <c r="AA154" s="817"/>
      <c r="AB154" s="140"/>
      <c r="AC154" s="108"/>
      <c r="AD154" s="108"/>
      <c r="AE154" s="54" t="str">
        <f>IF(OR(Q154="",AA154="Yes"),"",IF(Q154='G-1 All Habitats'!$X$9,E154-U154-V154,"None"))</f>
        <v/>
      </c>
      <c r="AF154" s="55" t="str">
        <f>IF(Q154="","", IF(Q154='G-1 All Habitats'!$X$9, AE154*G154*I154*L154*N154*P154,"None"))</f>
        <v/>
      </c>
      <c r="AI154" s="30">
        <f t="shared" si="26"/>
        <v>0</v>
      </c>
      <c r="AJ154" s="111" t="str">
        <f t="shared" si="27"/>
        <v/>
      </c>
      <c r="AK154" s="111" t="str">
        <f t="shared" si="28"/>
        <v/>
      </c>
      <c r="AM154" s="111">
        <v>145</v>
      </c>
      <c r="AO154" s="111" t="str">
        <f t="array" ref="AO154">IFERROR(INDEX($AM$10:$AM$258, MATCH(0, IF(TRUE=$AJ$10:$AJ$258, COUNTIF($AO$9:$AO153, $AM$10:$AM$258), ""), 0)),"")</f>
        <v/>
      </c>
      <c r="AP154" s="111" t="str">
        <f t="array" ref="AP154">IFERROR(INDEX($AM$10:$AM$258, MATCH(0, IF(TRUE=$AK$10:$AK$258, COUNTIF($AP$9:$AP153, $AM$10:$AM$258), ""), 0)),"")</f>
        <v/>
      </c>
      <c r="AR154" s="30" t="str">
        <f>IFERROR(INDEX('G-7 WaterC'' Data'!$AZ$3:$AZ$7,MATCH(D154,'G-7 WaterC'' Data'!$AY$3:$AY$7,0)),"")</f>
        <v/>
      </c>
      <c r="AS154" s="30" t="str">
        <f>IFERROR(INDEX('G-7 WaterC'' Data'!AZ154:AZ158,MATCH(D154,'G-7 WaterC'' Data'!$AY$10:$AY$14,0)),"")</f>
        <v/>
      </c>
      <c r="AT154" s="903" t="str">
        <f>IF(AND(OR(AA154="Yes",AA154="Pending"),Q154='G-7 WaterC'' Data'!$G$4),R154-W154-X154,"")</f>
        <v/>
      </c>
      <c r="AU154" s="30" t="str">
        <f>IF(D154="","",VLOOKUP(D154,'G-7 WaterC'' Data'!B$4:M$8,12,FALSE))</f>
        <v/>
      </c>
      <c r="AV154" s="30" t="str">
        <f t="shared" si="20"/>
        <v/>
      </c>
      <c r="AX154" s="30" t="str">
        <f t="shared" si="29"/>
        <v>No</v>
      </c>
    </row>
    <row r="155" spans="3:50" x14ac:dyDescent="0.25">
      <c r="C155" s="101">
        <v>146</v>
      </c>
      <c r="D155" s="267"/>
      <c r="E155" s="119"/>
      <c r="F155" s="281" t="str">
        <f>IF(D155="","",VLOOKUP(D155,'G-7 WaterC'' Data'!$B$2:$G$8,2,FALSE))</f>
        <v/>
      </c>
      <c r="G155" s="282" t="str">
        <f>IFERROR(VLOOKUP(F155,'G-7 WaterC'' Data'!$C$4:$D$8,2,FALSE),"")</f>
        <v/>
      </c>
      <c r="H155" s="52"/>
      <c r="I155" s="282" t="str">
        <f>IFERROR(INDEX('G-7 WaterC'' Data'!$H$4:$L$8,MATCH(D155,'G-7 WaterC'' Data'!$B$4:$B$8,0),MATCH(H155,'G-7 WaterC'' Data'!$H$3:$L$3,0)),"")</f>
        <v/>
      </c>
      <c r="J155" s="793"/>
      <c r="K155" s="317" t="str">
        <f>IF(J155="","",IF(VLOOKUP(J155,'G-7 WaterC'' Data'!$AK$4:$AM$6,2,FALSE)=0,"Spatial Data Missing ⚠",VLOOKUP(J155,'G-7 WaterC'' Data'!$AK$4:$AM$6,2,FALSE)))</f>
        <v/>
      </c>
      <c r="L155" s="287" t="str">
        <f>IF(J155="","",IF(VLOOKUP(J155,'G-7 WaterC'' Data'!$AK$4:$AM$9,3,FALSE)=0,"Spatial Data Missing ⚠",VLOOKUP(J155,'G-7 WaterC'' Data'!$AK$4:$AM$6,3,FALSE)))</f>
        <v/>
      </c>
      <c r="M155" s="52"/>
      <c r="N155" s="282" t="str">
        <f>IF(M155="","",IF(AND(D155&lt;&gt;"Culvert",M155="N/A - Culvert"),"Not possible ▲",IF(AND(D155="Culvert",M155&lt;&gt;"N/A - Culvert"),"Not possible ▲",IF(VLOOKUP(M155,'G-7 WaterC'' Data'!$AA$4:$AB$7,2,FALSE)=0,"Spatial Data Missing ⚠",VLOOKUP(M155,'G-7 WaterC'' Data'!$AA$4:$AB$7,2,FALSE)))))</f>
        <v/>
      </c>
      <c r="O155" s="56"/>
      <c r="P155" s="282" t="str">
        <f>IF(O155="","",IF(AND(O155="N/A - Culvert", D155&lt;&gt;"Culvert"),"Not possible ▲", IF(AND(D155="Culvert",O155&lt;&gt;"N/A - Culvert"),"Not possible ▲",IF(VLOOKUP(O155,'G-7 WaterC'' Data'!$AD$4:$AE$14,2,FALSE)=0,"Spatial Data Missing ⚠",VLOOKUP(O155,'G-7 WaterC'' Data'!$AD$4:$AE$14,2,FALSE)))))</f>
        <v/>
      </c>
      <c r="Q155" s="288" t="str">
        <f>IF(D155="","",VLOOKUP(D155,'G-7 WaterC'' Data'!$B$2:$G$8,6,FALSE))</f>
        <v/>
      </c>
      <c r="R155" s="295" t="str">
        <f t="shared" si="21"/>
        <v xml:space="preserve"> </v>
      </c>
      <c r="S155" s="820" t="str">
        <f t="shared" si="22"/>
        <v/>
      </c>
      <c r="T155" s="32"/>
      <c r="U155" s="105"/>
      <c r="V155" s="112"/>
      <c r="W155" s="293" t="str">
        <f t="shared" si="23"/>
        <v/>
      </c>
      <c r="X155" s="293" t="str">
        <f t="shared" si="24"/>
        <v/>
      </c>
      <c r="Y155" s="293" t="str">
        <f t="shared" si="25"/>
        <v/>
      </c>
      <c r="Z155" s="323" t="str">
        <f>IFERROR(IF(OR(E155="",R155=""),"",  IF(AND(Q155='G-7 WaterC'' Data'!$G$4,AA155="Yes"),"Alternative Compensation ✓", IF(AND(AA155="Pending", Q155='G-7 WaterC'' Data'!$G$4),"Bespoke compensation must be agreed ▲", IF((W155+X155)&gt;=R155, 0, R155-W155-X155)))),"Check Data ⚠")</f>
        <v/>
      </c>
      <c r="AA155" s="817"/>
      <c r="AB155" s="140"/>
      <c r="AC155" s="108"/>
      <c r="AD155" s="108"/>
      <c r="AE155" s="54" t="str">
        <f>IF(OR(Q155="",AA155="Yes"),"",IF(Q155='G-1 All Habitats'!$X$9,E155-U155-V155,"None"))</f>
        <v/>
      </c>
      <c r="AF155" s="55" t="str">
        <f>IF(Q155="","", IF(Q155='G-1 All Habitats'!$X$9, AE155*G155*I155*L155*N155*P155,"None"))</f>
        <v/>
      </c>
      <c r="AI155" s="30">
        <f t="shared" si="26"/>
        <v>0</v>
      </c>
      <c r="AJ155" s="111" t="str">
        <f t="shared" si="27"/>
        <v/>
      </c>
      <c r="AK155" s="111" t="str">
        <f t="shared" si="28"/>
        <v/>
      </c>
      <c r="AM155" s="111">
        <v>146</v>
      </c>
      <c r="AO155" s="111" t="str">
        <f t="array" ref="AO155">IFERROR(INDEX($AM$10:$AM$258, MATCH(0, IF(TRUE=$AJ$10:$AJ$258, COUNTIF($AO$9:$AO154, $AM$10:$AM$258), ""), 0)),"")</f>
        <v/>
      </c>
      <c r="AP155" s="111" t="str">
        <f t="array" ref="AP155">IFERROR(INDEX($AM$10:$AM$258, MATCH(0, IF(TRUE=$AK$10:$AK$258, COUNTIF($AP$9:$AP154, $AM$10:$AM$258), ""), 0)),"")</f>
        <v/>
      </c>
      <c r="AR155" s="30" t="str">
        <f>IFERROR(INDEX('G-7 WaterC'' Data'!$AZ$3:$AZ$7,MATCH(D155,'G-7 WaterC'' Data'!$AY$3:$AY$7,0)),"")</f>
        <v/>
      </c>
      <c r="AS155" s="30" t="str">
        <f>IFERROR(INDEX('G-7 WaterC'' Data'!AZ155:AZ159,MATCH(D155,'G-7 WaterC'' Data'!$AY$10:$AY$14,0)),"")</f>
        <v/>
      </c>
      <c r="AT155" s="903" t="str">
        <f>IF(AND(OR(AA155="Yes",AA155="Pending"),Q155='G-7 WaterC'' Data'!$G$4),R155-W155-X155,"")</f>
        <v/>
      </c>
      <c r="AU155" s="30" t="str">
        <f>IF(D155="","",VLOOKUP(D155,'G-7 WaterC'' Data'!B$4:M$8,12,FALSE))</f>
        <v/>
      </c>
      <c r="AV155" s="30" t="str">
        <f t="shared" si="20"/>
        <v/>
      </c>
      <c r="AX155" s="30" t="str">
        <f t="shared" si="29"/>
        <v>No</v>
      </c>
    </row>
    <row r="156" spans="3:50" x14ac:dyDescent="0.25">
      <c r="C156" s="101">
        <v>147</v>
      </c>
      <c r="D156" s="267"/>
      <c r="E156" s="119"/>
      <c r="F156" s="281" t="str">
        <f>IF(D156="","",VLOOKUP(D156,'G-7 WaterC'' Data'!$B$2:$G$8,2,FALSE))</f>
        <v/>
      </c>
      <c r="G156" s="282" t="str">
        <f>IFERROR(VLOOKUP(F156,'G-7 WaterC'' Data'!$C$4:$D$8,2,FALSE),"")</f>
        <v/>
      </c>
      <c r="H156" s="52"/>
      <c r="I156" s="282" t="str">
        <f>IFERROR(INDEX('G-7 WaterC'' Data'!$H$4:$L$8,MATCH(D156,'G-7 WaterC'' Data'!$B$4:$B$8,0),MATCH(H156,'G-7 WaterC'' Data'!$H$3:$L$3,0)),"")</f>
        <v/>
      </c>
      <c r="J156" s="793"/>
      <c r="K156" s="317" t="str">
        <f>IF(J156="","",IF(VLOOKUP(J156,'G-7 WaterC'' Data'!$AK$4:$AM$6,2,FALSE)=0,"Spatial Data Missing ⚠",VLOOKUP(J156,'G-7 WaterC'' Data'!$AK$4:$AM$6,2,FALSE)))</f>
        <v/>
      </c>
      <c r="L156" s="287" t="str">
        <f>IF(J156="","",IF(VLOOKUP(J156,'G-7 WaterC'' Data'!$AK$4:$AM$9,3,FALSE)=0,"Spatial Data Missing ⚠",VLOOKUP(J156,'G-7 WaterC'' Data'!$AK$4:$AM$6,3,FALSE)))</f>
        <v/>
      </c>
      <c r="M156" s="52"/>
      <c r="N156" s="282" t="str">
        <f>IF(M156="","",IF(AND(D156&lt;&gt;"Culvert",M156="N/A - Culvert"),"Not possible ▲",IF(AND(D156="Culvert",M156&lt;&gt;"N/A - Culvert"),"Not possible ▲",IF(VLOOKUP(M156,'G-7 WaterC'' Data'!$AA$4:$AB$7,2,FALSE)=0,"Spatial Data Missing ⚠",VLOOKUP(M156,'G-7 WaterC'' Data'!$AA$4:$AB$7,2,FALSE)))))</f>
        <v/>
      </c>
      <c r="O156" s="56"/>
      <c r="P156" s="282" t="str">
        <f>IF(O156="","",IF(AND(O156="N/A - Culvert", D156&lt;&gt;"Culvert"),"Not possible ▲", IF(AND(D156="Culvert",O156&lt;&gt;"N/A - Culvert"),"Not possible ▲",IF(VLOOKUP(O156,'G-7 WaterC'' Data'!$AD$4:$AE$14,2,FALSE)=0,"Spatial Data Missing ⚠",VLOOKUP(O156,'G-7 WaterC'' Data'!$AD$4:$AE$14,2,FALSE)))))</f>
        <v/>
      </c>
      <c r="Q156" s="288" t="str">
        <f>IF(D156="","",VLOOKUP(D156,'G-7 WaterC'' Data'!$B$2:$G$8,6,FALSE))</f>
        <v/>
      </c>
      <c r="R156" s="295" t="str">
        <f t="shared" si="21"/>
        <v xml:space="preserve"> </v>
      </c>
      <c r="S156" s="820" t="str">
        <f t="shared" si="22"/>
        <v/>
      </c>
      <c r="T156" s="32"/>
      <c r="U156" s="105"/>
      <c r="V156" s="112"/>
      <c r="W156" s="293" t="str">
        <f t="shared" si="23"/>
        <v/>
      </c>
      <c r="X156" s="293" t="str">
        <f t="shared" si="24"/>
        <v/>
      </c>
      <c r="Y156" s="293" t="str">
        <f t="shared" si="25"/>
        <v/>
      </c>
      <c r="Z156" s="323" t="str">
        <f>IFERROR(IF(OR(E156="",R156=""),"",  IF(AND(Q156='G-7 WaterC'' Data'!$G$4,AA156="Yes"),"Alternative Compensation ✓", IF(AND(AA156="Pending", Q156='G-7 WaterC'' Data'!$G$4),"Bespoke compensation must be agreed ▲", IF((W156+X156)&gt;=R156, 0, R156-W156-X156)))),"Check Data ⚠")</f>
        <v/>
      </c>
      <c r="AA156" s="817"/>
      <c r="AB156" s="140"/>
      <c r="AC156" s="108"/>
      <c r="AD156" s="108"/>
      <c r="AE156" s="54" t="str">
        <f>IF(OR(Q156="",AA156="Yes"),"",IF(Q156='G-1 All Habitats'!$X$9,E156-U156-V156,"None"))</f>
        <v/>
      </c>
      <c r="AF156" s="55" t="str">
        <f>IF(Q156="","", IF(Q156='G-1 All Habitats'!$X$9, AE156*G156*I156*L156*N156*P156,"None"))</f>
        <v/>
      </c>
      <c r="AI156" s="30">
        <f t="shared" si="26"/>
        <v>0</v>
      </c>
      <c r="AJ156" s="111" t="str">
        <f t="shared" si="27"/>
        <v/>
      </c>
      <c r="AK156" s="111" t="str">
        <f t="shared" si="28"/>
        <v/>
      </c>
      <c r="AM156" s="111">
        <v>147</v>
      </c>
      <c r="AO156" s="111" t="str">
        <f t="array" ref="AO156">IFERROR(INDEX($AM$10:$AM$258, MATCH(0, IF(TRUE=$AJ$10:$AJ$258, COUNTIF($AO$9:$AO155, $AM$10:$AM$258), ""), 0)),"")</f>
        <v/>
      </c>
      <c r="AP156" s="111" t="str">
        <f t="array" ref="AP156">IFERROR(INDEX($AM$10:$AM$258, MATCH(0, IF(TRUE=$AK$10:$AK$258, COUNTIF($AP$9:$AP155, $AM$10:$AM$258), ""), 0)),"")</f>
        <v/>
      </c>
      <c r="AR156" s="30" t="str">
        <f>IFERROR(INDEX('G-7 WaterC'' Data'!$AZ$3:$AZ$7,MATCH(D156,'G-7 WaterC'' Data'!$AY$3:$AY$7,0)),"")</f>
        <v/>
      </c>
      <c r="AS156" s="30" t="str">
        <f>IFERROR(INDEX('G-7 WaterC'' Data'!AZ156:AZ160,MATCH(D156,'G-7 WaterC'' Data'!$AY$10:$AY$14,0)),"")</f>
        <v/>
      </c>
      <c r="AT156" s="903" t="str">
        <f>IF(AND(OR(AA156="Yes",AA156="Pending"),Q156='G-7 WaterC'' Data'!$G$4),R156-W156-X156,"")</f>
        <v/>
      </c>
      <c r="AU156" s="30" t="str">
        <f>IF(D156="","",VLOOKUP(D156,'G-7 WaterC'' Data'!B$4:M$8,12,FALSE))</f>
        <v/>
      </c>
      <c r="AV156" s="30" t="str">
        <f t="shared" si="20"/>
        <v/>
      </c>
      <c r="AX156" s="30" t="str">
        <f t="shared" si="29"/>
        <v>No</v>
      </c>
    </row>
    <row r="157" spans="3:50" x14ac:dyDescent="0.25">
      <c r="C157" s="101">
        <v>148</v>
      </c>
      <c r="D157" s="267"/>
      <c r="E157" s="119"/>
      <c r="F157" s="281" t="str">
        <f>IF(D157="","",VLOOKUP(D157,'G-7 WaterC'' Data'!$B$2:$G$8,2,FALSE))</f>
        <v/>
      </c>
      <c r="G157" s="282" t="str">
        <f>IFERROR(VLOOKUP(F157,'G-7 WaterC'' Data'!$C$4:$D$8,2,FALSE),"")</f>
        <v/>
      </c>
      <c r="H157" s="52"/>
      <c r="I157" s="282" t="str">
        <f>IFERROR(INDEX('G-7 WaterC'' Data'!$H$4:$L$8,MATCH(D157,'G-7 WaterC'' Data'!$B$4:$B$8,0),MATCH(H157,'G-7 WaterC'' Data'!$H$3:$L$3,0)),"")</f>
        <v/>
      </c>
      <c r="J157" s="793"/>
      <c r="K157" s="317" t="str">
        <f>IF(J157="","",IF(VLOOKUP(J157,'G-7 WaterC'' Data'!$AK$4:$AM$6,2,FALSE)=0,"Spatial Data Missing ⚠",VLOOKUP(J157,'G-7 WaterC'' Data'!$AK$4:$AM$6,2,FALSE)))</f>
        <v/>
      </c>
      <c r="L157" s="287" t="str">
        <f>IF(J157="","",IF(VLOOKUP(J157,'G-7 WaterC'' Data'!$AK$4:$AM$9,3,FALSE)=0,"Spatial Data Missing ⚠",VLOOKUP(J157,'G-7 WaterC'' Data'!$AK$4:$AM$6,3,FALSE)))</f>
        <v/>
      </c>
      <c r="M157" s="52"/>
      <c r="N157" s="282" t="str">
        <f>IF(M157="","",IF(AND(D157&lt;&gt;"Culvert",M157="N/A - Culvert"),"Not possible ▲",IF(AND(D157="Culvert",M157&lt;&gt;"N/A - Culvert"),"Not possible ▲",IF(VLOOKUP(M157,'G-7 WaterC'' Data'!$AA$4:$AB$7,2,FALSE)=0,"Spatial Data Missing ⚠",VLOOKUP(M157,'G-7 WaterC'' Data'!$AA$4:$AB$7,2,FALSE)))))</f>
        <v/>
      </c>
      <c r="O157" s="56"/>
      <c r="P157" s="282" t="str">
        <f>IF(O157="","",IF(AND(O157="N/A - Culvert", D157&lt;&gt;"Culvert"),"Not possible ▲", IF(AND(D157="Culvert",O157&lt;&gt;"N/A - Culvert"),"Not possible ▲",IF(VLOOKUP(O157,'G-7 WaterC'' Data'!$AD$4:$AE$14,2,FALSE)=0,"Spatial Data Missing ⚠",VLOOKUP(O157,'G-7 WaterC'' Data'!$AD$4:$AE$14,2,FALSE)))))</f>
        <v/>
      </c>
      <c r="Q157" s="288" t="str">
        <f>IF(D157="","",VLOOKUP(D157,'G-7 WaterC'' Data'!$B$2:$G$8,6,FALSE))</f>
        <v/>
      </c>
      <c r="R157" s="295" t="str">
        <f t="shared" si="21"/>
        <v xml:space="preserve"> </v>
      </c>
      <c r="S157" s="820" t="str">
        <f t="shared" si="22"/>
        <v/>
      </c>
      <c r="T157" s="32"/>
      <c r="U157" s="105"/>
      <c r="V157" s="112"/>
      <c r="W157" s="293" t="str">
        <f t="shared" si="23"/>
        <v/>
      </c>
      <c r="X157" s="293" t="str">
        <f t="shared" si="24"/>
        <v/>
      </c>
      <c r="Y157" s="293" t="str">
        <f t="shared" si="25"/>
        <v/>
      </c>
      <c r="Z157" s="323" t="str">
        <f>IFERROR(IF(OR(E157="",R157=""),"",  IF(AND(Q157='G-7 WaterC'' Data'!$G$4,AA157="Yes"),"Alternative Compensation ✓", IF(AND(AA157="Pending", Q157='G-7 WaterC'' Data'!$G$4),"Bespoke compensation must be agreed ▲", IF((W157+X157)&gt;=R157, 0, R157-W157-X157)))),"Check Data ⚠")</f>
        <v/>
      </c>
      <c r="AA157" s="817"/>
      <c r="AB157" s="140"/>
      <c r="AC157" s="108"/>
      <c r="AD157" s="108"/>
      <c r="AE157" s="54" t="str">
        <f>IF(OR(Q157="",AA157="Yes"),"",IF(Q157='G-1 All Habitats'!$X$9,E157-U157-V157,"None"))</f>
        <v/>
      </c>
      <c r="AF157" s="55" t="str">
        <f>IF(Q157="","", IF(Q157='G-1 All Habitats'!$X$9, AE157*G157*I157*L157*N157*P157,"None"))</f>
        <v/>
      </c>
      <c r="AI157" s="30">
        <f t="shared" si="26"/>
        <v>0</v>
      </c>
      <c r="AJ157" s="111" t="str">
        <f t="shared" si="27"/>
        <v/>
      </c>
      <c r="AK157" s="111" t="str">
        <f t="shared" si="28"/>
        <v/>
      </c>
      <c r="AM157" s="111">
        <v>148</v>
      </c>
      <c r="AO157" s="111" t="str">
        <f t="array" ref="AO157">IFERROR(INDEX($AM$10:$AM$258, MATCH(0, IF(TRUE=$AJ$10:$AJ$258, COUNTIF($AO$9:$AO156, $AM$10:$AM$258), ""), 0)),"")</f>
        <v/>
      </c>
      <c r="AP157" s="111" t="str">
        <f t="array" ref="AP157">IFERROR(INDEX($AM$10:$AM$258, MATCH(0, IF(TRUE=$AK$10:$AK$258, COUNTIF($AP$9:$AP156, $AM$10:$AM$258), ""), 0)),"")</f>
        <v/>
      </c>
      <c r="AR157" s="30" t="str">
        <f>IFERROR(INDEX('G-7 WaterC'' Data'!$AZ$3:$AZ$7,MATCH(D157,'G-7 WaterC'' Data'!$AY$3:$AY$7,0)),"")</f>
        <v/>
      </c>
      <c r="AS157" s="30" t="str">
        <f>IFERROR(INDEX('G-7 WaterC'' Data'!AZ157:AZ161,MATCH(D157,'G-7 WaterC'' Data'!$AY$10:$AY$14,0)),"")</f>
        <v/>
      </c>
      <c r="AT157" s="903" t="str">
        <f>IF(AND(OR(AA157="Yes",AA157="Pending"),Q157='G-7 WaterC'' Data'!$G$4),R157-W157-X157,"")</f>
        <v/>
      </c>
      <c r="AU157" s="30" t="str">
        <f>IF(D157="","",VLOOKUP(D157,'G-7 WaterC'' Data'!B$4:M$8,12,FALSE))</f>
        <v/>
      </c>
      <c r="AV157" s="30" t="str">
        <f t="shared" si="20"/>
        <v/>
      </c>
      <c r="AX157" s="30" t="str">
        <f t="shared" si="29"/>
        <v>No</v>
      </c>
    </row>
    <row r="158" spans="3:50" x14ac:dyDescent="0.25">
      <c r="C158" s="101">
        <v>149</v>
      </c>
      <c r="D158" s="267"/>
      <c r="E158" s="119"/>
      <c r="F158" s="281" t="str">
        <f>IF(D158="","",VLOOKUP(D158,'G-7 WaterC'' Data'!$B$2:$G$8,2,FALSE))</f>
        <v/>
      </c>
      <c r="G158" s="282" t="str">
        <f>IFERROR(VLOOKUP(F158,'G-7 WaterC'' Data'!$C$4:$D$8,2,FALSE),"")</f>
        <v/>
      </c>
      <c r="H158" s="52"/>
      <c r="I158" s="282" t="str">
        <f>IFERROR(INDEX('G-7 WaterC'' Data'!$H$4:$L$8,MATCH(D158,'G-7 WaterC'' Data'!$B$4:$B$8,0),MATCH(H158,'G-7 WaterC'' Data'!$H$3:$L$3,0)),"")</f>
        <v/>
      </c>
      <c r="J158" s="793"/>
      <c r="K158" s="317" t="str">
        <f>IF(J158="","",IF(VLOOKUP(J158,'G-7 WaterC'' Data'!$AK$4:$AM$6,2,FALSE)=0,"Spatial Data Missing ⚠",VLOOKUP(J158,'G-7 WaterC'' Data'!$AK$4:$AM$6,2,FALSE)))</f>
        <v/>
      </c>
      <c r="L158" s="287" t="str">
        <f>IF(J158="","",IF(VLOOKUP(J158,'G-7 WaterC'' Data'!$AK$4:$AM$9,3,FALSE)=0,"Spatial Data Missing ⚠",VLOOKUP(J158,'G-7 WaterC'' Data'!$AK$4:$AM$6,3,FALSE)))</f>
        <v/>
      </c>
      <c r="M158" s="52"/>
      <c r="N158" s="282" t="str">
        <f>IF(M158="","",IF(AND(D158&lt;&gt;"Culvert",M158="N/A - Culvert"),"Not possible ▲",IF(AND(D158="Culvert",M158&lt;&gt;"N/A - Culvert"),"Not possible ▲",IF(VLOOKUP(M158,'G-7 WaterC'' Data'!$AA$4:$AB$7,2,FALSE)=0,"Spatial Data Missing ⚠",VLOOKUP(M158,'G-7 WaterC'' Data'!$AA$4:$AB$7,2,FALSE)))))</f>
        <v/>
      </c>
      <c r="O158" s="56"/>
      <c r="P158" s="282" t="str">
        <f>IF(O158="","",IF(AND(O158="N/A - Culvert", D158&lt;&gt;"Culvert"),"Not possible ▲", IF(AND(D158="Culvert",O158&lt;&gt;"N/A - Culvert"),"Not possible ▲",IF(VLOOKUP(O158,'G-7 WaterC'' Data'!$AD$4:$AE$14,2,FALSE)=0,"Spatial Data Missing ⚠",VLOOKUP(O158,'G-7 WaterC'' Data'!$AD$4:$AE$14,2,FALSE)))))</f>
        <v/>
      </c>
      <c r="Q158" s="288" t="str">
        <f>IF(D158="","",VLOOKUP(D158,'G-7 WaterC'' Data'!$B$2:$G$8,6,FALSE))</f>
        <v/>
      </c>
      <c r="R158" s="295" t="str">
        <f t="shared" si="21"/>
        <v xml:space="preserve"> </v>
      </c>
      <c r="S158" s="820" t="str">
        <f t="shared" si="22"/>
        <v/>
      </c>
      <c r="T158" s="32"/>
      <c r="U158" s="105"/>
      <c r="V158" s="112"/>
      <c r="W158" s="293" t="str">
        <f t="shared" si="23"/>
        <v/>
      </c>
      <c r="X158" s="293" t="str">
        <f t="shared" si="24"/>
        <v/>
      </c>
      <c r="Y158" s="293" t="str">
        <f t="shared" si="25"/>
        <v/>
      </c>
      <c r="Z158" s="323" t="str">
        <f>IFERROR(IF(OR(E158="",R158=""),"",  IF(AND(Q158='G-7 WaterC'' Data'!$G$4,AA158="Yes"),"Alternative Compensation ✓", IF(AND(AA158="Pending", Q158='G-7 WaterC'' Data'!$G$4),"Bespoke compensation must be agreed ▲", IF((W158+X158)&gt;=R158, 0, R158-W158-X158)))),"Check Data ⚠")</f>
        <v/>
      </c>
      <c r="AA158" s="817"/>
      <c r="AB158" s="140"/>
      <c r="AC158" s="108"/>
      <c r="AD158" s="108"/>
      <c r="AE158" s="54" t="str">
        <f>IF(OR(Q158="",AA158="Yes"),"",IF(Q158='G-1 All Habitats'!$X$9,E158-U158-V158,"None"))</f>
        <v/>
      </c>
      <c r="AF158" s="55" t="str">
        <f>IF(Q158="","", IF(Q158='G-1 All Habitats'!$X$9, AE158*G158*I158*L158*N158*P158,"None"))</f>
        <v/>
      </c>
      <c r="AI158" s="30">
        <f t="shared" si="26"/>
        <v>0</v>
      </c>
      <c r="AJ158" s="111" t="str">
        <f t="shared" si="27"/>
        <v/>
      </c>
      <c r="AK158" s="111" t="str">
        <f t="shared" si="28"/>
        <v/>
      </c>
      <c r="AM158" s="111">
        <v>149</v>
      </c>
      <c r="AO158" s="111" t="str">
        <f t="array" ref="AO158">IFERROR(INDEX($AM$10:$AM$258, MATCH(0, IF(TRUE=$AJ$10:$AJ$258, COUNTIF($AO$9:$AO157, $AM$10:$AM$258), ""), 0)),"")</f>
        <v/>
      </c>
      <c r="AP158" s="111" t="str">
        <f t="array" ref="AP158">IFERROR(INDEX($AM$10:$AM$258, MATCH(0, IF(TRUE=$AK$10:$AK$258, COUNTIF($AP$9:$AP157, $AM$10:$AM$258), ""), 0)),"")</f>
        <v/>
      </c>
      <c r="AR158" s="30" t="str">
        <f>IFERROR(INDEX('G-7 WaterC'' Data'!$AZ$3:$AZ$7,MATCH(D158,'G-7 WaterC'' Data'!$AY$3:$AY$7,0)),"")</f>
        <v/>
      </c>
      <c r="AS158" s="30" t="str">
        <f>IFERROR(INDEX('G-7 WaterC'' Data'!AZ158:AZ162,MATCH(D158,'G-7 WaterC'' Data'!$AY$10:$AY$14,0)),"")</f>
        <v/>
      </c>
      <c r="AT158" s="903" t="str">
        <f>IF(AND(OR(AA158="Yes",AA158="Pending"),Q158='G-7 WaterC'' Data'!$G$4),R158-W158-X158,"")</f>
        <v/>
      </c>
      <c r="AU158" s="30" t="str">
        <f>IF(D158="","",VLOOKUP(D158,'G-7 WaterC'' Data'!B$4:M$8,12,FALSE))</f>
        <v/>
      </c>
      <c r="AV158" s="30" t="str">
        <f t="shared" si="20"/>
        <v/>
      </c>
      <c r="AX158" s="30" t="str">
        <f t="shared" si="29"/>
        <v>No</v>
      </c>
    </row>
    <row r="159" spans="3:50" x14ac:dyDescent="0.25">
      <c r="C159" s="101">
        <v>150</v>
      </c>
      <c r="D159" s="267"/>
      <c r="E159" s="119"/>
      <c r="F159" s="281" t="str">
        <f>IF(D159="","",VLOOKUP(D159,'G-7 WaterC'' Data'!$B$2:$G$8,2,FALSE))</f>
        <v/>
      </c>
      <c r="G159" s="282" t="str">
        <f>IFERROR(VLOOKUP(F159,'G-7 WaterC'' Data'!$C$4:$D$8,2,FALSE),"")</f>
        <v/>
      </c>
      <c r="H159" s="52"/>
      <c r="I159" s="282" t="str">
        <f>IFERROR(INDEX('G-7 WaterC'' Data'!$H$4:$L$8,MATCH(D159,'G-7 WaterC'' Data'!$B$4:$B$8,0),MATCH(H159,'G-7 WaterC'' Data'!$H$3:$L$3,0)),"")</f>
        <v/>
      </c>
      <c r="J159" s="793"/>
      <c r="K159" s="317" t="str">
        <f>IF(J159="","",IF(VLOOKUP(J159,'G-7 WaterC'' Data'!$AK$4:$AM$6,2,FALSE)=0,"Spatial Data Missing ⚠",VLOOKUP(J159,'G-7 WaterC'' Data'!$AK$4:$AM$6,2,FALSE)))</f>
        <v/>
      </c>
      <c r="L159" s="287" t="str">
        <f>IF(J159="","",IF(VLOOKUP(J159,'G-7 WaterC'' Data'!$AK$4:$AM$9,3,FALSE)=0,"Spatial Data Missing ⚠",VLOOKUP(J159,'G-7 WaterC'' Data'!$AK$4:$AM$6,3,FALSE)))</f>
        <v/>
      </c>
      <c r="M159" s="52"/>
      <c r="N159" s="282" t="str">
        <f>IF(M159="","",IF(AND(D159&lt;&gt;"Culvert",M159="N/A - Culvert"),"Not possible ▲",IF(AND(D159="Culvert",M159&lt;&gt;"N/A - Culvert"),"Not possible ▲",IF(VLOOKUP(M159,'G-7 WaterC'' Data'!$AA$4:$AB$7,2,FALSE)=0,"Spatial Data Missing ⚠",VLOOKUP(M159,'G-7 WaterC'' Data'!$AA$4:$AB$7,2,FALSE)))))</f>
        <v/>
      </c>
      <c r="O159" s="56"/>
      <c r="P159" s="282" t="str">
        <f>IF(O159="","",IF(AND(O159="N/A - Culvert", D159&lt;&gt;"Culvert"),"Not possible ▲", IF(AND(D159="Culvert",O159&lt;&gt;"N/A - Culvert"),"Not possible ▲",IF(VLOOKUP(O159,'G-7 WaterC'' Data'!$AD$4:$AE$14,2,FALSE)=0,"Spatial Data Missing ⚠",VLOOKUP(O159,'G-7 WaterC'' Data'!$AD$4:$AE$14,2,FALSE)))))</f>
        <v/>
      </c>
      <c r="Q159" s="288" t="str">
        <f>IF(D159="","",VLOOKUP(D159,'G-7 WaterC'' Data'!$B$2:$G$8,6,FALSE))</f>
        <v/>
      </c>
      <c r="R159" s="295" t="str">
        <f t="shared" si="21"/>
        <v xml:space="preserve"> </v>
      </c>
      <c r="S159" s="820" t="str">
        <f t="shared" si="22"/>
        <v/>
      </c>
      <c r="T159" s="32"/>
      <c r="U159" s="105"/>
      <c r="V159" s="112"/>
      <c r="W159" s="293" t="str">
        <f t="shared" si="23"/>
        <v/>
      </c>
      <c r="X159" s="293" t="str">
        <f t="shared" si="24"/>
        <v/>
      </c>
      <c r="Y159" s="293" t="str">
        <f t="shared" si="25"/>
        <v/>
      </c>
      <c r="Z159" s="323" t="str">
        <f>IFERROR(IF(OR(E159="",R159=""),"",  IF(AND(Q159='G-7 WaterC'' Data'!$G$4,AA159="Yes"),"Alternative Compensation ✓", IF(AND(AA159="Pending", Q159='G-7 WaterC'' Data'!$G$4),"Bespoke compensation must be agreed ▲", IF((W159+X159)&gt;=R159, 0, R159-W159-X159)))),"Check Data ⚠")</f>
        <v/>
      </c>
      <c r="AA159" s="817"/>
      <c r="AB159" s="140"/>
      <c r="AC159" s="108"/>
      <c r="AD159" s="108"/>
      <c r="AE159" s="54" t="str">
        <f>IF(OR(Q159="",AA159="Yes"),"",IF(Q159='G-1 All Habitats'!$X$9,E159-U159-V159,"None"))</f>
        <v/>
      </c>
      <c r="AF159" s="55" t="str">
        <f>IF(Q159="","", IF(Q159='G-1 All Habitats'!$X$9, AE159*G159*I159*L159*N159*P159,"None"))</f>
        <v/>
      </c>
      <c r="AI159" s="30">
        <f t="shared" si="26"/>
        <v>0</v>
      </c>
      <c r="AJ159" s="111" t="str">
        <f t="shared" si="27"/>
        <v/>
      </c>
      <c r="AK159" s="111" t="str">
        <f t="shared" si="28"/>
        <v/>
      </c>
      <c r="AM159" s="111">
        <v>150</v>
      </c>
      <c r="AO159" s="111" t="str">
        <f t="array" ref="AO159">IFERROR(INDEX($AM$10:$AM$258, MATCH(0, IF(TRUE=$AJ$10:$AJ$258, COUNTIF($AO$9:$AO158, $AM$10:$AM$258), ""), 0)),"")</f>
        <v/>
      </c>
      <c r="AP159" s="111" t="str">
        <f t="array" ref="AP159">IFERROR(INDEX($AM$10:$AM$258, MATCH(0, IF(TRUE=$AK$10:$AK$258, COUNTIF($AP$9:$AP158, $AM$10:$AM$258), ""), 0)),"")</f>
        <v/>
      </c>
      <c r="AR159" s="30" t="str">
        <f>IFERROR(INDEX('G-7 WaterC'' Data'!$AZ$3:$AZ$7,MATCH(D159,'G-7 WaterC'' Data'!$AY$3:$AY$7,0)),"")</f>
        <v/>
      </c>
      <c r="AS159" s="30" t="str">
        <f>IFERROR(INDEX('G-7 WaterC'' Data'!AZ159:AZ163,MATCH(D159,'G-7 WaterC'' Data'!$AY$10:$AY$14,0)),"")</f>
        <v/>
      </c>
      <c r="AT159" s="903" t="str">
        <f>IF(AND(OR(AA159="Yes",AA159="Pending"),Q159='G-7 WaterC'' Data'!$G$4),R159-W159-X159,"")</f>
        <v/>
      </c>
      <c r="AU159" s="30" t="str">
        <f>IF(D159="","",VLOOKUP(D159,'G-7 WaterC'' Data'!B$4:M$8,12,FALSE))</f>
        <v/>
      </c>
      <c r="AV159" s="30" t="str">
        <f t="shared" si="20"/>
        <v/>
      </c>
      <c r="AX159" s="30" t="str">
        <f t="shared" si="29"/>
        <v>No</v>
      </c>
    </row>
    <row r="160" spans="3:50" x14ac:dyDescent="0.25">
      <c r="C160" s="101">
        <v>151</v>
      </c>
      <c r="D160" s="267"/>
      <c r="E160" s="119"/>
      <c r="F160" s="281" t="str">
        <f>IF(D160="","",VLOOKUP(D160,'G-7 WaterC'' Data'!$B$2:$G$8,2,FALSE))</f>
        <v/>
      </c>
      <c r="G160" s="282" t="str">
        <f>IFERROR(VLOOKUP(F160,'G-7 WaterC'' Data'!$C$4:$D$8,2,FALSE),"")</f>
        <v/>
      </c>
      <c r="H160" s="52"/>
      <c r="I160" s="282" t="str">
        <f>IFERROR(INDEX('G-7 WaterC'' Data'!$H$4:$L$8,MATCH(D160,'G-7 WaterC'' Data'!$B$4:$B$8,0),MATCH(H160,'G-7 WaterC'' Data'!$H$3:$L$3,0)),"")</f>
        <v/>
      </c>
      <c r="J160" s="793"/>
      <c r="K160" s="317" t="str">
        <f>IF(J160="","",IF(VLOOKUP(J160,'G-7 WaterC'' Data'!$AK$4:$AM$6,2,FALSE)=0,"Spatial Data Missing ⚠",VLOOKUP(J160,'G-7 WaterC'' Data'!$AK$4:$AM$6,2,FALSE)))</f>
        <v/>
      </c>
      <c r="L160" s="287" t="str">
        <f>IF(J160="","",IF(VLOOKUP(J160,'G-7 WaterC'' Data'!$AK$4:$AM$9,3,FALSE)=0,"Spatial Data Missing ⚠",VLOOKUP(J160,'G-7 WaterC'' Data'!$AK$4:$AM$6,3,FALSE)))</f>
        <v/>
      </c>
      <c r="M160" s="52"/>
      <c r="N160" s="282" t="str">
        <f>IF(M160="","",IF(AND(D160&lt;&gt;"Culvert",M160="N/A - Culvert"),"Not possible ▲",IF(AND(D160="Culvert",M160&lt;&gt;"N/A - Culvert"),"Not possible ▲",IF(VLOOKUP(M160,'G-7 WaterC'' Data'!$AA$4:$AB$7,2,FALSE)=0,"Spatial Data Missing ⚠",VLOOKUP(M160,'G-7 WaterC'' Data'!$AA$4:$AB$7,2,FALSE)))))</f>
        <v/>
      </c>
      <c r="O160" s="56"/>
      <c r="P160" s="282" t="str">
        <f>IF(O160="","",IF(AND(O160="N/A - Culvert", D160&lt;&gt;"Culvert"),"Not possible ▲", IF(AND(D160="Culvert",O160&lt;&gt;"N/A - Culvert"),"Not possible ▲",IF(VLOOKUP(O160,'G-7 WaterC'' Data'!$AD$4:$AE$14,2,FALSE)=0,"Spatial Data Missing ⚠",VLOOKUP(O160,'G-7 WaterC'' Data'!$AD$4:$AE$14,2,FALSE)))))</f>
        <v/>
      </c>
      <c r="Q160" s="288" t="str">
        <f>IF(D160="","",VLOOKUP(D160,'G-7 WaterC'' Data'!$B$2:$G$8,6,FALSE))</f>
        <v/>
      </c>
      <c r="R160" s="295" t="str">
        <f t="shared" si="21"/>
        <v xml:space="preserve"> </v>
      </c>
      <c r="S160" s="820" t="str">
        <f t="shared" si="22"/>
        <v/>
      </c>
      <c r="T160" s="32"/>
      <c r="U160" s="105"/>
      <c r="V160" s="112"/>
      <c r="W160" s="293" t="str">
        <f t="shared" si="23"/>
        <v/>
      </c>
      <c r="X160" s="293" t="str">
        <f t="shared" si="24"/>
        <v/>
      </c>
      <c r="Y160" s="293" t="str">
        <f t="shared" si="25"/>
        <v/>
      </c>
      <c r="Z160" s="323" t="str">
        <f>IFERROR(IF(OR(E160="",R160=""),"",  IF(AND(Q160='G-7 WaterC'' Data'!$G$4,AA160="Yes"),"Alternative Compensation ✓", IF(AND(AA160="Pending", Q160='G-7 WaterC'' Data'!$G$4),"Bespoke compensation must be agreed ▲", IF((W160+X160)&gt;=R160, 0, R160-W160-X160)))),"Check Data ⚠")</f>
        <v/>
      </c>
      <c r="AA160" s="817"/>
      <c r="AB160" s="140"/>
      <c r="AC160" s="108"/>
      <c r="AD160" s="108"/>
      <c r="AE160" s="54" t="str">
        <f>IF(OR(Q160="",AA160="Yes"),"",IF(Q160='G-1 All Habitats'!$X$9,E160-U160-V160,"None"))</f>
        <v/>
      </c>
      <c r="AF160" s="55" t="str">
        <f>IF(Q160="","", IF(Q160='G-1 All Habitats'!$X$9, AE160*G160*I160*L160*N160*P160,"None"))</f>
        <v/>
      </c>
      <c r="AI160" s="30">
        <f t="shared" si="26"/>
        <v>0</v>
      </c>
      <c r="AJ160" s="111" t="str">
        <f t="shared" si="27"/>
        <v/>
      </c>
      <c r="AK160" s="111" t="str">
        <f t="shared" si="28"/>
        <v/>
      </c>
      <c r="AM160" s="111">
        <v>151</v>
      </c>
      <c r="AO160" s="111" t="str">
        <f t="array" ref="AO160">IFERROR(INDEX($AM$10:$AM$258, MATCH(0, IF(TRUE=$AJ$10:$AJ$258, COUNTIF($AO$9:$AO159, $AM$10:$AM$258), ""), 0)),"")</f>
        <v/>
      </c>
      <c r="AP160" s="111" t="str">
        <f t="array" ref="AP160">IFERROR(INDEX($AM$10:$AM$258, MATCH(0, IF(TRUE=$AK$10:$AK$258, COUNTIF($AP$9:$AP159, $AM$10:$AM$258), ""), 0)),"")</f>
        <v/>
      </c>
      <c r="AR160" s="30" t="str">
        <f>IFERROR(INDEX('G-7 WaterC'' Data'!$AZ$3:$AZ$7,MATCH(D160,'G-7 WaterC'' Data'!$AY$3:$AY$7,0)),"")</f>
        <v/>
      </c>
      <c r="AS160" s="30" t="str">
        <f>IFERROR(INDEX('G-7 WaterC'' Data'!AZ160:AZ164,MATCH(D160,'G-7 WaterC'' Data'!$AY$10:$AY$14,0)),"")</f>
        <v/>
      </c>
      <c r="AT160" s="903" t="str">
        <f>IF(AND(OR(AA160="Yes",AA160="Pending"),Q160='G-7 WaterC'' Data'!$G$4),R160-W160-X160,"")</f>
        <v/>
      </c>
      <c r="AU160" s="30" t="str">
        <f>IF(D160="","",VLOOKUP(D160,'G-7 WaterC'' Data'!B$4:M$8,12,FALSE))</f>
        <v/>
      </c>
      <c r="AV160" s="30" t="str">
        <f t="shared" si="20"/>
        <v/>
      </c>
      <c r="AX160" s="30" t="str">
        <f t="shared" si="29"/>
        <v>No</v>
      </c>
    </row>
    <row r="161" spans="3:50" x14ac:dyDescent="0.25">
      <c r="C161" s="101">
        <v>152</v>
      </c>
      <c r="D161" s="267"/>
      <c r="E161" s="119"/>
      <c r="F161" s="281" t="str">
        <f>IF(D161="","",VLOOKUP(D161,'G-7 WaterC'' Data'!$B$2:$G$8,2,FALSE))</f>
        <v/>
      </c>
      <c r="G161" s="282" t="str">
        <f>IFERROR(VLOOKUP(F161,'G-7 WaterC'' Data'!$C$4:$D$8,2,FALSE),"")</f>
        <v/>
      </c>
      <c r="H161" s="52"/>
      <c r="I161" s="282" t="str">
        <f>IFERROR(INDEX('G-7 WaterC'' Data'!$H$4:$L$8,MATCH(D161,'G-7 WaterC'' Data'!$B$4:$B$8,0),MATCH(H161,'G-7 WaterC'' Data'!$H$3:$L$3,0)),"")</f>
        <v/>
      </c>
      <c r="J161" s="793"/>
      <c r="K161" s="317" t="str">
        <f>IF(J161="","",IF(VLOOKUP(J161,'G-7 WaterC'' Data'!$AK$4:$AM$6,2,FALSE)=0,"Spatial Data Missing ⚠",VLOOKUP(J161,'G-7 WaterC'' Data'!$AK$4:$AM$6,2,FALSE)))</f>
        <v/>
      </c>
      <c r="L161" s="287" t="str">
        <f>IF(J161="","",IF(VLOOKUP(J161,'G-7 WaterC'' Data'!$AK$4:$AM$9,3,FALSE)=0,"Spatial Data Missing ⚠",VLOOKUP(J161,'G-7 WaterC'' Data'!$AK$4:$AM$6,3,FALSE)))</f>
        <v/>
      </c>
      <c r="M161" s="52"/>
      <c r="N161" s="282" t="str">
        <f>IF(M161="","",IF(AND(D161&lt;&gt;"Culvert",M161="N/A - Culvert"),"Not possible ▲",IF(AND(D161="Culvert",M161&lt;&gt;"N/A - Culvert"),"Not possible ▲",IF(VLOOKUP(M161,'G-7 WaterC'' Data'!$AA$4:$AB$7,2,FALSE)=0,"Spatial Data Missing ⚠",VLOOKUP(M161,'G-7 WaterC'' Data'!$AA$4:$AB$7,2,FALSE)))))</f>
        <v/>
      </c>
      <c r="O161" s="56"/>
      <c r="P161" s="282" t="str">
        <f>IF(O161="","",IF(AND(O161="N/A - Culvert", D161&lt;&gt;"Culvert"),"Not possible ▲", IF(AND(D161="Culvert",O161&lt;&gt;"N/A - Culvert"),"Not possible ▲",IF(VLOOKUP(O161,'G-7 WaterC'' Data'!$AD$4:$AE$14,2,FALSE)=0,"Spatial Data Missing ⚠",VLOOKUP(O161,'G-7 WaterC'' Data'!$AD$4:$AE$14,2,FALSE)))))</f>
        <v/>
      </c>
      <c r="Q161" s="288" t="str">
        <f>IF(D161="","",VLOOKUP(D161,'G-7 WaterC'' Data'!$B$2:$G$8,6,FALSE))</f>
        <v/>
      </c>
      <c r="R161" s="295" t="str">
        <f t="shared" si="21"/>
        <v xml:space="preserve"> </v>
      </c>
      <c r="S161" s="820" t="str">
        <f t="shared" si="22"/>
        <v/>
      </c>
      <c r="T161" s="32"/>
      <c r="U161" s="105"/>
      <c r="V161" s="112"/>
      <c r="W161" s="293" t="str">
        <f t="shared" si="23"/>
        <v/>
      </c>
      <c r="X161" s="293" t="str">
        <f t="shared" si="24"/>
        <v/>
      </c>
      <c r="Y161" s="293" t="str">
        <f t="shared" si="25"/>
        <v/>
      </c>
      <c r="Z161" s="323" t="str">
        <f>IFERROR(IF(OR(E161="",R161=""),"",  IF(AND(Q161='G-7 WaterC'' Data'!$G$4,AA161="Yes"),"Alternative Compensation ✓", IF(AND(AA161="Pending", Q161='G-7 WaterC'' Data'!$G$4),"Bespoke compensation must be agreed ▲", IF((W161+X161)&gt;=R161, 0, R161-W161-X161)))),"Check Data ⚠")</f>
        <v/>
      </c>
      <c r="AA161" s="817"/>
      <c r="AB161" s="140"/>
      <c r="AC161" s="108"/>
      <c r="AD161" s="108"/>
      <c r="AE161" s="54" t="str">
        <f>IF(OR(Q161="",AA161="Yes"),"",IF(Q161='G-1 All Habitats'!$X$9,E161-U161-V161,"None"))</f>
        <v/>
      </c>
      <c r="AF161" s="55" t="str">
        <f>IF(Q161="","", IF(Q161='G-1 All Habitats'!$X$9, AE161*G161*I161*L161*N161*P161,"None"))</f>
        <v/>
      </c>
      <c r="AI161" s="30">
        <f t="shared" si="26"/>
        <v>0</v>
      </c>
      <c r="AJ161" s="111" t="str">
        <f t="shared" si="27"/>
        <v/>
      </c>
      <c r="AK161" s="111" t="str">
        <f t="shared" si="28"/>
        <v/>
      </c>
      <c r="AM161" s="111">
        <v>152</v>
      </c>
      <c r="AO161" s="111" t="str">
        <f t="array" ref="AO161">IFERROR(INDEX($AM$10:$AM$258, MATCH(0, IF(TRUE=$AJ$10:$AJ$258, COUNTIF($AO$9:$AO160, $AM$10:$AM$258), ""), 0)),"")</f>
        <v/>
      </c>
      <c r="AP161" s="111" t="str">
        <f t="array" ref="AP161">IFERROR(INDEX($AM$10:$AM$258, MATCH(0, IF(TRUE=$AK$10:$AK$258, COUNTIF($AP$9:$AP160, $AM$10:$AM$258), ""), 0)),"")</f>
        <v/>
      </c>
      <c r="AR161" s="30" t="str">
        <f>IFERROR(INDEX('G-7 WaterC'' Data'!$AZ$3:$AZ$7,MATCH(D161,'G-7 WaterC'' Data'!$AY$3:$AY$7,0)),"")</f>
        <v/>
      </c>
      <c r="AS161" s="30" t="str">
        <f>IFERROR(INDEX('G-7 WaterC'' Data'!AZ161:AZ165,MATCH(D161,'G-7 WaterC'' Data'!$AY$10:$AY$14,0)),"")</f>
        <v/>
      </c>
      <c r="AT161" s="903" t="str">
        <f>IF(AND(OR(AA161="Yes",AA161="Pending"),Q161='G-7 WaterC'' Data'!$G$4),R161-W161-X161,"")</f>
        <v/>
      </c>
      <c r="AU161" s="30" t="str">
        <f>IF(D161="","",VLOOKUP(D161,'G-7 WaterC'' Data'!B$4:M$8,12,FALSE))</f>
        <v/>
      </c>
      <c r="AV161" s="30" t="str">
        <f t="shared" si="20"/>
        <v/>
      </c>
      <c r="AX161" s="30" t="str">
        <f t="shared" si="29"/>
        <v>No</v>
      </c>
    </row>
    <row r="162" spans="3:50" x14ac:dyDescent="0.25">
      <c r="C162" s="101">
        <v>153</v>
      </c>
      <c r="D162" s="267"/>
      <c r="E162" s="119"/>
      <c r="F162" s="281" t="str">
        <f>IF(D162="","",VLOOKUP(D162,'G-7 WaterC'' Data'!$B$2:$G$8,2,FALSE))</f>
        <v/>
      </c>
      <c r="G162" s="282" t="str">
        <f>IFERROR(VLOOKUP(F162,'G-7 WaterC'' Data'!$C$4:$D$8,2,FALSE),"")</f>
        <v/>
      </c>
      <c r="H162" s="52"/>
      <c r="I162" s="282" t="str">
        <f>IFERROR(INDEX('G-7 WaterC'' Data'!$H$4:$L$8,MATCH(D162,'G-7 WaterC'' Data'!$B$4:$B$8,0),MATCH(H162,'G-7 WaterC'' Data'!$H$3:$L$3,0)),"")</f>
        <v/>
      </c>
      <c r="J162" s="793"/>
      <c r="K162" s="317" t="str">
        <f>IF(J162="","",IF(VLOOKUP(J162,'G-7 WaterC'' Data'!$AK$4:$AM$6,2,FALSE)=0,"Spatial Data Missing ⚠",VLOOKUP(J162,'G-7 WaterC'' Data'!$AK$4:$AM$6,2,FALSE)))</f>
        <v/>
      </c>
      <c r="L162" s="287" t="str">
        <f>IF(J162="","",IF(VLOOKUP(J162,'G-7 WaterC'' Data'!$AK$4:$AM$9,3,FALSE)=0,"Spatial Data Missing ⚠",VLOOKUP(J162,'G-7 WaterC'' Data'!$AK$4:$AM$6,3,FALSE)))</f>
        <v/>
      </c>
      <c r="M162" s="52"/>
      <c r="N162" s="282" t="str">
        <f>IF(M162="","",IF(AND(D162&lt;&gt;"Culvert",M162="N/A - Culvert"),"Not possible ▲",IF(AND(D162="Culvert",M162&lt;&gt;"N/A - Culvert"),"Not possible ▲",IF(VLOOKUP(M162,'G-7 WaterC'' Data'!$AA$4:$AB$7,2,FALSE)=0,"Spatial Data Missing ⚠",VLOOKUP(M162,'G-7 WaterC'' Data'!$AA$4:$AB$7,2,FALSE)))))</f>
        <v/>
      </c>
      <c r="O162" s="56"/>
      <c r="P162" s="282" t="str">
        <f>IF(O162="","",IF(AND(O162="N/A - Culvert", D162&lt;&gt;"Culvert"),"Not possible ▲", IF(AND(D162="Culvert",O162&lt;&gt;"N/A - Culvert"),"Not possible ▲",IF(VLOOKUP(O162,'G-7 WaterC'' Data'!$AD$4:$AE$14,2,FALSE)=0,"Spatial Data Missing ⚠",VLOOKUP(O162,'G-7 WaterC'' Data'!$AD$4:$AE$14,2,FALSE)))))</f>
        <v/>
      </c>
      <c r="Q162" s="288" t="str">
        <f>IF(D162="","",VLOOKUP(D162,'G-7 WaterC'' Data'!$B$2:$G$8,6,FALSE))</f>
        <v/>
      </c>
      <c r="R162" s="295" t="str">
        <f t="shared" si="21"/>
        <v xml:space="preserve"> </v>
      </c>
      <c r="S162" s="820" t="str">
        <f t="shared" si="22"/>
        <v/>
      </c>
      <c r="T162" s="32"/>
      <c r="U162" s="105"/>
      <c r="V162" s="112"/>
      <c r="W162" s="293" t="str">
        <f t="shared" si="23"/>
        <v/>
      </c>
      <c r="X162" s="293" t="str">
        <f t="shared" si="24"/>
        <v/>
      </c>
      <c r="Y162" s="293" t="str">
        <f t="shared" si="25"/>
        <v/>
      </c>
      <c r="Z162" s="323" t="str">
        <f>IFERROR(IF(OR(E162="",R162=""),"",  IF(AND(Q162='G-7 WaterC'' Data'!$G$4,AA162="Yes"),"Alternative Compensation ✓", IF(AND(AA162="Pending", Q162='G-7 WaterC'' Data'!$G$4),"Bespoke compensation must be agreed ▲", IF((W162+X162)&gt;=R162, 0, R162-W162-X162)))),"Check Data ⚠")</f>
        <v/>
      </c>
      <c r="AA162" s="817"/>
      <c r="AB162" s="140"/>
      <c r="AC162" s="108"/>
      <c r="AD162" s="108"/>
      <c r="AE162" s="54" t="str">
        <f>IF(OR(Q162="",AA162="Yes"),"",IF(Q162='G-1 All Habitats'!$X$9,E162-U162-V162,"None"))</f>
        <v/>
      </c>
      <c r="AF162" s="55" t="str">
        <f>IF(Q162="","", IF(Q162='G-1 All Habitats'!$X$9, AE162*G162*I162*L162*N162*P162,"None"))</f>
        <v/>
      </c>
      <c r="AI162" s="30">
        <f t="shared" si="26"/>
        <v>0</v>
      </c>
      <c r="AJ162" s="111" t="str">
        <f t="shared" si="27"/>
        <v/>
      </c>
      <c r="AK162" s="111" t="str">
        <f t="shared" si="28"/>
        <v/>
      </c>
      <c r="AM162" s="111">
        <v>153</v>
      </c>
      <c r="AO162" s="111" t="str">
        <f t="array" ref="AO162">IFERROR(INDEX($AM$10:$AM$258, MATCH(0, IF(TRUE=$AJ$10:$AJ$258, COUNTIF($AO$9:$AO161, $AM$10:$AM$258), ""), 0)),"")</f>
        <v/>
      </c>
      <c r="AP162" s="111" t="str">
        <f t="array" ref="AP162">IFERROR(INDEX($AM$10:$AM$258, MATCH(0, IF(TRUE=$AK$10:$AK$258, COUNTIF($AP$9:$AP161, $AM$10:$AM$258), ""), 0)),"")</f>
        <v/>
      </c>
      <c r="AR162" s="30" t="str">
        <f>IFERROR(INDEX('G-7 WaterC'' Data'!$AZ$3:$AZ$7,MATCH(D162,'G-7 WaterC'' Data'!$AY$3:$AY$7,0)),"")</f>
        <v/>
      </c>
      <c r="AS162" s="30" t="str">
        <f>IFERROR(INDEX('G-7 WaterC'' Data'!AZ162:AZ166,MATCH(D162,'G-7 WaterC'' Data'!$AY$10:$AY$14,0)),"")</f>
        <v/>
      </c>
      <c r="AT162" s="903" t="str">
        <f>IF(AND(OR(AA162="Yes",AA162="Pending"),Q162='G-7 WaterC'' Data'!$G$4),R162-W162-X162,"")</f>
        <v/>
      </c>
      <c r="AU162" s="30" t="str">
        <f>IF(D162="","",VLOOKUP(D162,'G-7 WaterC'' Data'!B$4:M$8,12,FALSE))</f>
        <v/>
      </c>
      <c r="AV162" s="30" t="str">
        <f t="shared" si="20"/>
        <v/>
      </c>
      <c r="AX162" s="30" t="str">
        <f t="shared" si="29"/>
        <v>No</v>
      </c>
    </row>
    <row r="163" spans="3:50" x14ac:dyDescent="0.25">
      <c r="C163" s="101">
        <v>154</v>
      </c>
      <c r="D163" s="267"/>
      <c r="E163" s="119"/>
      <c r="F163" s="281" t="str">
        <f>IF(D163="","",VLOOKUP(D163,'G-7 WaterC'' Data'!$B$2:$G$8,2,FALSE))</f>
        <v/>
      </c>
      <c r="G163" s="282" t="str">
        <f>IFERROR(VLOOKUP(F163,'G-7 WaterC'' Data'!$C$4:$D$8,2,FALSE),"")</f>
        <v/>
      </c>
      <c r="H163" s="52"/>
      <c r="I163" s="282" t="str">
        <f>IFERROR(INDEX('G-7 WaterC'' Data'!$H$4:$L$8,MATCH(D163,'G-7 WaterC'' Data'!$B$4:$B$8,0),MATCH(H163,'G-7 WaterC'' Data'!$H$3:$L$3,0)),"")</f>
        <v/>
      </c>
      <c r="J163" s="793"/>
      <c r="K163" s="317" t="str">
        <f>IF(J163="","",IF(VLOOKUP(J163,'G-7 WaterC'' Data'!$AK$4:$AM$6,2,FALSE)=0,"Spatial Data Missing ⚠",VLOOKUP(J163,'G-7 WaterC'' Data'!$AK$4:$AM$6,2,FALSE)))</f>
        <v/>
      </c>
      <c r="L163" s="287" t="str">
        <f>IF(J163="","",IF(VLOOKUP(J163,'G-7 WaterC'' Data'!$AK$4:$AM$9,3,FALSE)=0,"Spatial Data Missing ⚠",VLOOKUP(J163,'G-7 WaterC'' Data'!$AK$4:$AM$6,3,FALSE)))</f>
        <v/>
      </c>
      <c r="M163" s="52"/>
      <c r="N163" s="282" t="str">
        <f>IF(M163="","",IF(AND(D163&lt;&gt;"Culvert",M163="N/A - Culvert"),"Not possible ▲",IF(AND(D163="Culvert",M163&lt;&gt;"N/A - Culvert"),"Not possible ▲",IF(VLOOKUP(M163,'G-7 WaterC'' Data'!$AA$4:$AB$7,2,FALSE)=0,"Spatial Data Missing ⚠",VLOOKUP(M163,'G-7 WaterC'' Data'!$AA$4:$AB$7,2,FALSE)))))</f>
        <v/>
      </c>
      <c r="O163" s="56"/>
      <c r="P163" s="282" t="str">
        <f>IF(O163="","",IF(AND(O163="N/A - Culvert", D163&lt;&gt;"Culvert"),"Not possible ▲", IF(AND(D163="Culvert",O163&lt;&gt;"N/A - Culvert"),"Not possible ▲",IF(VLOOKUP(O163,'G-7 WaterC'' Data'!$AD$4:$AE$14,2,FALSE)=0,"Spatial Data Missing ⚠",VLOOKUP(O163,'G-7 WaterC'' Data'!$AD$4:$AE$14,2,FALSE)))))</f>
        <v/>
      </c>
      <c r="Q163" s="288" t="str">
        <f>IF(D163="","",VLOOKUP(D163,'G-7 WaterC'' Data'!$B$2:$G$8,6,FALSE))</f>
        <v/>
      </c>
      <c r="R163" s="295" t="str">
        <f t="shared" si="21"/>
        <v xml:space="preserve"> </v>
      </c>
      <c r="S163" s="820" t="str">
        <f t="shared" si="22"/>
        <v/>
      </c>
      <c r="T163" s="32"/>
      <c r="U163" s="105"/>
      <c r="V163" s="112"/>
      <c r="W163" s="293" t="str">
        <f t="shared" si="23"/>
        <v/>
      </c>
      <c r="X163" s="293" t="str">
        <f t="shared" si="24"/>
        <v/>
      </c>
      <c r="Y163" s="293" t="str">
        <f t="shared" si="25"/>
        <v/>
      </c>
      <c r="Z163" s="323" t="str">
        <f>IFERROR(IF(OR(E163="",R163=""),"",  IF(AND(Q163='G-7 WaterC'' Data'!$G$4,AA163="Yes"),"Alternative Compensation ✓", IF(AND(AA163="Pending", Q163='G-7 WaterC'' Data'!$G$4),"Bespoke compensation must be agreed ▲", IF((W163+X163)&gt;=R163, 0, R163-W163-X163)))),"Check Data ⚠")</f>
        <v/>
      </c>
      <c r="AA163" s="817"/>
      <c r="AB163" s="140"/>
      <c r="AC163" s="108"/>
      <c r="AD163" s="108"/>
      <c r="AE163" s="54" t="str">
        <f>IF(OR(Q163="",AA163="Yes"),"",IF(Q163='G-1 All Habitats'!$X$9,E163-U163-V163,"None"))</f>
        <v/>
      </c>
      <c r="AF163" s="55" t="str">
        <f>IF(Q163="","", IF(Q163='G-1 All Habitats'!$X$9, AE163*G163*I163*L163*N163*P163,"None"))</f>
        <v/>
      </c>
      <c r="AI163" s="30">
        <f t="shared" si="26"/>
        <v>0</v>
      </c>
      <c r="AJ163" s="111" t="str">
        <f t="shared" si="27"/>
        <v/>
      </c>
      <c r="AK163" s="111" t="str">
        <f t="shared" si="28"/>
        <v/>
      </c>
      <c r="AM163" s="111">
        <v>154</v>
      </c>
      <c r="AO163" s="111" t="str">
        <f t="array" ref="AO163">IFERROR(INDEX($AM$10:$AM$258, MATCH(0, IF(TRUE=$AJ$10:$AJ$258, COUNTIF($AO$9:$AO162, $AM$10:$AM$258), ""), 0)),"")</f>
        <v/>
      </c>
      <c r="AP163" s="111" t="str">
        <f t="array" ref="AP163">IFERROR(INDEX($AM$10:$AM$258, MATCH(0, IF(TRUE=$AK$10:$AK$258, COUNTIF($AP$9:$AP162, $AM$10:$AM$258), ""), 0)),"")</f>
        <v/>
      </c>
      <c r="AR163" s="30" t="str">
        <f>IFERROR(INDEX('G-7 WaterC'' Data'!$AZ$3:$AZ$7,MATCH(D163,'G-7 WaterC'' Data'!$AY$3:$AY$7,0)),"")</f>
        <v/>
      </c>
      <c r="AS163" s="30" t="str">
        <f>IFERROR(INDEX('G-7 WaterC'' Data'!AZ163:AZ167,MATCH(D163,'G-7 WaterC'' Data'!$AY$10:$AY$14,0)),"")</f>
        <v/>
      </c>
      <c r="AT163" s="903" t="str">
        <f>IF(AND(OR(AA163="Yes",AA163="Pending"),Q163='G-7 WaterC'' Data'!$G$4),R163-W163-X163,"")</f>
        <v/>
      </c>
      <c r="AU163" s="30" t="str">
        <f>IF(D163="","",VLOOKUP(D163,'G-7 WaterC'' Data'!B$4:M$8,12,FALSE))</f>
        <v/>
      </c>
      <c r="AV163" s="30" t="str">
        <f t="shared" si="20"/>
        <v/>
      </c>
      <c r="AX163" s="30" t="str">
        <f t="shared" si="29"/>
        <v>No</v>
      </c>
    </row>
    <row r="164" spans="3:50" x14ac:dyDescent="0.25">
      <c r="C164" s="101">
        <v>155</v>
      </c>
      <c r="D164" s="267"/>
      <c r="E164" s="119"/>
      <c r="F164" s="281" t="str">
        <f>IF(D164="","",VLOOKUP(D164,'G-7 WaterC'' Data'!$B$2:$G$8,2,FALSE))</f>
        <v/>
      </c>
      <c r="G164" s="282" t="str">
        <f>IFERROR(VLOOKUP(F164,'G-7 WaterC'' Data'!$C$4:$D$8,2,FALSE),"")</f>
        <v/>
      </c>
      <c r="H164" s="52"/>
      <c r="I164" s="282" t="str">
        <f>IFERROR(INDEX('G-7 WaterC'' Data'!$H$4:$L$8,MATCH(D164,'G-7 WaterC'' Data'!$B$4:$B$8,0),MATCH(H164,'G-7 WaterC'' Data'!$H$3:$L$3,0)),"")</f>
        <v/>
      </c>
      <c r="J164" s="793"/>
      <c r="K164" s="317" t="str">
        <f>IF(J164="","",IF(VLOOKUP(J164,'G-7 WaterC'' Data'!$AK$4:$AM$6,2,FALSE)=0,"Spatial Data Missing ⚠",VLOOKUP(J164,'G-7 WaterC'' Data'!$AK$4:$AM$6,2,FALSE)))</f>
        <v/>
      </c>
      <c r="L164" s="287" t="str">
        <f>IF(J164="","",IF(VLOOKUP(J164,'G-7 WaterC'' Data'!$AK$4:$AM$9,3,FALSE)=0,"Spatial Data Missing ⚠",VLOOKUP(J164,'G-7 WaterC'' Data'!$AK$4:$AM$6,3,FALSE)))</f>
        <v/>
      </c>
      <c r="M164" s="52"/>
      <c r="N164" s="282" t="str">
        <f>IF(M164="","",IF(AND(D164&lt;&gt;"Culvert",M164="N/A - Culvert"),"Not possible ▲",IF(AND(D164="Culvert",M164&lt;&gt;"N/A - Culvert"),"Not possible ▲",IF(VLOOKUP(M164,'G-7 WaterC'' Data'!$AA$4:$AB$7,2,FALSE)=0,"Spatial Data Missing ⚠",VLOOKUP(M164,'G-7 WaterC'' Data'!$AA$4:$AB$7,2,FALSE)))))</f>
        <v/>
      </c>
      <c r="O164" s="56"/>
      <c r="P164" s="282" t="str">
        <f>IF(O164="","",IF(AND(O164="N/A - Culvert", D164&lt;&gt;"Culvert"),"Not possible ▲", IF(AND(D164="Culvert",O164&lt;&gt;"N/A - Culvert"),"Not possible ▲",IF(VLOOKUP(O164,'G-7 WaterC'' Data'!$AD$4:$AE$14,2,FALSE)=0,"Spatial Data Missing ⚠",VLOOKUP(O164,'G-7 WaterC'' Data'!$AD$4:$AE$14,2,FALSE)))))</f>
        <v/>
      </c>
      <c r="Q164" s="288" t="str">
        <f>IF(D164="","",VLOOKUP(D164,'G-7 WaterC'' Data'!$B$2:$G$8,6,FALSE))</f>
        <v/>
      </c>
      <c r="R164" s="295" t="str">
        <f t="shared" si="21"/>
        <v xml:space="preserve"> </v>
      </c>
      <c r="S164" s="820" t="str">
        <f t="shared" si="22"/>
        <v/>
      </c>
      <c r="T164" s="32"/>
      <c r="U164" s="105"/>
      <c r="V164" s="112"/>
      <c r="W164" s="293" t="str">
        <f t="shared" si="23"/>
        <v/>
      </c>
      <c r="X164" s="293" t="str">
        <f t="shared" si="24"/>
        <v/>
      </c>
      <c r="Y164" s="293" t="str">
        <f t="shared" si="25"/>
        <v/>
      </c>
      <c r="Z164" s="323" t="str">
        <f>IFERROR(IF(OR(E164="",R164=""),"",  IF(AND(Q164='G-7 WaterC'' Data'!$G$4,AA164="Yes"),"Alternative Compensation ✓", IF(AND(AA164="Pending", Q164='G-7 WaterC'' Data'!$G$4),"Bespoke compensation must be agreed ▲", IF((W164+X164)&gt;=R164, 0, R164-W164-X164)))),"Check Data ⚠")</f>
        <v/>
      </c>
      <c r="AA164" s="817"/>
      <c r="AB164" s="140"/>
      <c r="AC164" s="108"/>
      <c r="AD164" s="108"/>
      <c r="AE164" s="54" t="str">
        <f>IF(OR(Q164="",AA164="Yes"),"",IF(Q164='G-1 All Habitats'!$X$9,E164-U164-V164,"None"))</f>
        <v/>
      </c>
      <c r="AF164" s="55" t="str">
        <f>IF(Q164="","", IF(Q164='G-1 All Habitats'!$X$9, AE164*G164*I164*L164*N164*P164,"None"))</f>
        <v/>
      </c>
      <c r="AI164" s="30">
        <f t="shared" si="26"/>
        <v>0</v>
      </c>
      <c r="AJ164" s="111" t="str">
        <f t="shared" si="27"/>
        <v/>
      </c>
      <c r="AK164" s="111" t="str">
        <f t="shared" si="28"/>
        <v/>
      </c>
      <c r="AM164" s="111">
        <v>155</v>
      </c>
      <c r="AO164" s="111" t="str">
        <f t="array" ref="AO164">IFERROR(INDEX($AM$10:$AM$258, MATCH(0, IF(TRUE=$AJ$10:$AJ$258, COUNTIF($AO$9:$AO163, $AM$10:$AM$258), ""), 0)),"")</f>
        <v/>
      </c>
      <c r="AP164" s="111" t="str">
        <f t="array" ref="AP164">IFERROR(INDEX($AM$10:$AM$258, MATCH(0, IF(TRUE=$AK$10:$AK$258, COUNTIF($AP$9:$AP163, $AM$10:$AM$258), ""), 0)),"")</f>
        <v/>
      </c>
      <c r="AR164" s="30" t="str">
        <f>IFERROR(INDEX('G-7 WaterC'' Data'!$AZ$3:$AZ$7,MATCH(D164,'G-7 WaterC'' Data'!$AY$3:$AY$7,0)),"")</f>
        <v/>
      </c>
      <c r="AS164" s="30" t="str">
        <f>IFERROR(INDEX('G-7 WaterC'' Data'!AZ164:AZ168,MATCH(D164,'G-7 WaterC'' Data'!$AY$10:$AY$14,0)),"")</f>
        <v/>
      </c>
      <c r="AT164" s="903" t="str">
        <f>IF(AND(OR(AA164="Yes",AA164="Pending"),Q164='G-7 WaterC'' Data'!$G$4),R164-W164-X164,"")</f>
        <v/>
      </c>
      <c r="AU164" s="30" t="str">
        <f>IF(D164="","",VLOOKUP(D164,'G-7 WaterC'' Data'!B$4:M$8,12,FALSE))</f>
        <v/>
      </c>
      <c r="AV164" s="30" t="str">
        <f t="shared" si="20"/>
        <v/>
      </c>
      <c r="AX164" s="30" t="str">
        <f t="shared" si="29"/>
        <v>No</v>
      </c>
    </row>
    <row r="165" spans="3:50" x14ac:dyDescent="0.25">
      <c r="C165" s="101">
        <v>156</v>
      </c>
      <c r="D165" s="267"/>
      <c r="E165" s="119"/>
      <c r="F165" s="281" t="str">
        <f>IF(D165="","",VLOOKUP(D165,'G-7 WaterC'' Data'!$B$2:$G$8,2,FALSE))</f>
        <v/>
      </c>
      <c r="G165" s="282" t="str">
        <f>IFERROR(VLOOKUP(F165,'G-7 WaterC'' Data'!$C$4:$D$8,2,FALSE),"")</f>
        <v/>
      </c>
      <c r="H165" s="52"/>
      <c r="I165" s="282" t="str">
        <f>IFERROR(INDEX('G-7 WaterC'' Data'!$H$4:$L$8,MATCH(D165,'G-7 WaterC'' Data'!$B$4:$B$8,0),MATCH(H165,'G-7 WaterC'' Data'!$H$3:$L$3,0)),"")</f>
        <v/>
      </c>
      <c r="J165" s="793"/>
      <c r="K165" s="317" t="str">
        <f>IF(J165="","",IF(VLOOKUP(J165,'G-7 WaterC'' Data'!$AK$4:$AM$6,2,FALSE)=0,"Spatial Data Missing ⚠",VLOOKUP(J165,'G-7 WaterC'' Data'!$AK$4:$AM$6,2,FALSE)))</f>
        <v/>
      </c>
      <c r="L165" s="287" t="str">
        <f>IF(J165="","",IF(VLOOKUP(J165,'G-7 WaterC'' Data'!$AK$4:$AM$9,3,FALSE)=0,"Spatial Data Missing ⚠",VLOOKUP(J165,'G-7 WaterC'' Data'!$AK$4:$AM$6,3,FALSE)))</f>
        <v/>
      </c>
      <c r="M165" s="52"/>
      <c r="N165" s="282" t="str">
        <f>IF(M165="","",IF(AND(D165&lt;&gt;"Culvert",M165="N/A - Culvert"),"Not possible ▲",IF(AND(D165="Culvert",M165&lt;&gt;"N/A - Culvert"),"Not possible ▲",IF(VLOOKUP(M165,'G-7 WaterC'' Data'!$AA$4:$AB$7,2,FALSE)=0,"Spatial Data Missing ⚠",VLOOKUP(M165,'G-7 WaterC'' Data'!$AA$4:$AB$7,2,FALSE)))))</f>
        <v/>
      </c>
      <c r="O165" s="56"/>
      <c r="P165" s="282" t="str">
        <f>IF(O165="","",IF(AND(O165="N/A - Culvert", D165&lt;&gt;"Culvert"),"Not possible ▲", IF(AND(D165="Culvert",O165&lt;&gt;"N/A - Culvert"),"Not possible ▲",IF(VLOOKUP(O165,'G-7 WaterC'' Data'!$AD$4:$AE$14,2,FALSE)=0,"Spatial Data Missing ⚠",VLOOKUP(O165,'G-7 WaterC'' Data'!$AD$4:$AE$14,2,FALSE)))))</f>
        <v/>
      </c>
      <c r="Q165" s="288" t="str">
        <f>IF(D165="","",VLOOKUP(D165,'G-7 WaterC'' Data'!$B$2:$G$8,6,FALSE))</f>
        <v/>
      </c>
      <c r="R165" s="295" t="str">
        <f t="shared" si="21"/>
        <v xml:space="preserve"> </v>
      </c>
      <c r="S165" s="820" t="str">
        <f t="shared" si="22"/>
        <v/>
      </c>
      <c r="T165" s="32"/>
      <c r="U165" s="105"/>
      <c r="V165" s="112"/>
      <c r="W165" s="293" t="str">
        <f t="shared" si="23"/>
        <v/>
      </c>
      <c r="X165" s="293" t="str">
        <f t="shared" si="24"/>
        <v/>
      </c>
      <c r="Y165" s="293" t="str">
        <f t="shared" si="25"/>
        <v/>
      </c>
      <c r="Z165" s="323" t="str">
        <f>IFERROR(IF(OR(E165="",R165=""),"",  IF(AND(Q165='G-7 WaterC'' Data'!$G$4,AA165="Yes"),"Alternative Compensation ✓", IF(AND(AA165="Pending", Q165='G-7 WaterC'' Data'!$G$4),"Bespoke compensation must be agreed ▲", IF((W165+X165)&gt;=R165, 0, R165-W165-X165)))),"Check Data ⚠")</f>
        <v/>
      </c>
      <c r="AA165" s="817"/>
      <c r="AB165" s="140"/>
      <c r="AC165" s="108"/>
      <c r="AD165" s="108"/>
      <c r="AE165" s="54" t="str">
        <f>IF(OR(Q165="",AA165="Yes"),"",IF(Q165='G-1 All Habitats'!$X$9,E165-U165-V165,"None"))</f>
        <v/>
      </c>
      <c r="AF165" s="55" t="str">
        <f>IF(Q165="","", IF(Q165='G-1 All Habitats'!$X$9, AE165*G165*I165*L165*N165*P165,"None"))</f>
        <v/>
      </c>
      <c r="AI165" s="30">
        <f t="shared" si="26"/>
        <v>0</v>
      </c>
      <c r="AJ165" s="111" t="str">
        <f t="shared" si="27"/>
        <v/>
      </c>
      <c r="AK165" s="111" t="str">
        <f t="shared" si="28"/>
        <v/>
      </c>
      <c r="AM165" s="111">
        <v>156</v>
      </c>
      <c r="AO165" s="111" t="str">
        <f t="array" ref="AO165">IFERROR(INDEX($AM$10:$AM$258, MATCH(0, IF(TRUE=$AJ$10:$AJ$258, COUNTIF($AO$9:$AO164, $AM$10:$AM$258), ""), 0)),"")</f>
        <v/>
      </c>
      <c r="AP165" s="111" t="str">
        <f t="array" ref="AP165">IFERROR(INDEX($AM$10:$AM$258, MATCH(0, IF(TRUE=$AK$10:$AK$258, COUNTIF($AP$9:$AP164, $AM$10:$AM$258), ""), 0)),"")</f>
        <v/>
      </c>
      <c r="AR165" s="30" t="str">
        <f>IFERROR(INDEX('G-7 WaterC'' Data'!$AZ$3:$AZ$7,MATCH(D165,'G-7 WaterC'' Data'!$AY$3:$AY$7,0)),"")</f>
        <v/>
      </c>
      <c r="AS165" s="30" t="str">
        <f>IFERROR(INDEX('G-7 WaterC'' Data'!AZ165:AZ169,MATCH(D165,'G-7 WaterC'' Data'!$AY$10:$AY$14,0)),"")</f>
        <v/>
      </c>
      <c r="AT165" s="903" t="str">
        <f>IF(AND(OR(AA165="Yes",AA165="Pending"),Q165='G-7 WaterC'' Data'!$G$4),R165-W165-X165,"")</f>
        <v/>
      </c>
      <c r="AU165" s="30" t="str">
        <f>IF(D165="","",VLOOKUP(D165,'G-7 WaterC'' Data'!B$4:M$8,12,FALSE))</f>
        <v/>
      </c>
      <c r="AV165" s="30" t="str">
        <f t="shared" si="20"/>
        <v/>
      </c>
      <c r="AX165" s="30" t="str">
        <f t="shared" si="29"/>
        <v>No</v>
      </c>
    </row>
    <row r="166" spans="3:50" x14ac:dyDescent="0.25">
      <c r="C166" s="101">
        <v>157</v>
      </c>
      <c r="D166" s="267"/>
      <c r="E166" s="119"/>
      <c r="F166" s="281" t="str">
        <f>IF(D166="","",VLOOKUP(D166,'G-7 WaterC'' Data'!$B$2:$G$8,2,FALSE))</f>
        <v/>
      </c>
      <c r="G166" s="282" t="str">
        <f>IFERROR(VLOOKUP(F166,'G-7 WaterC'' Data'!$C$4:$D$8,2,FALSE),"")</f>
        <v/>
      </c>
      <c r="H166" s="52"/>
      <c r="I166" s="282" t="str">
        <f>IFERROR(INDEX('G-7 WaterC'' Data'!$H$4:$L$8,MATCH(D166,'G-7 WaterC'' Data'!$B$4:$B$8,0),MATCH(H166,'G-7 WaterC'' Data'!$H$3:$L$3,0)),"")</f>
        <v/>
      </c>
      <c r="J166" s="793"/>
      <c r="K166" s="317" t="str">
        <f>IF(J166="","",IF(VLOOKUP(J166,'G-7 WaterC'' Data'!$AK$4:$AM$6,2,FALSE)=0,"Spatial Data Missing ⚠",VLOOKUP(J166,'G-7 WaterC'' Data'!$AK$4:$AM$6,2,FALSE)))</f>
        <v/>
      </c>
      <c r="L166" s="287" t="str">
        <f>IF(J166="","",IF(VLOOKUP(J166,'G-7 WaterC'' Data'!$AK$4:$AM$9,3,FALSE)=0,"Spatial Data Missing ⚠",VLOOKUP(J166,'G-7 WaterC'' Data'!$AK$4:$AM$6,3,FALSE)))</f>
        <v/>
      </c>
      <c r="M166" s="52"/>
      <c r="N166" s="282" t="str">
        <f>IF(M166="","",IF(AND(D166&lt;&gt;"Culvert",M166="N/A - Culvert"),"Not possible ▲",IF(AND(D166="Culvert",M166&lt;&gt;"N/A - Culvert"),"Not possible ▲",IF(VLOOKUP(M166,'G-7 WaterC'' Data'!$AA$4:$AB$7,2,FALSE)=0,"Spatial Data Missing ⚠",VLOOKUP(M166,'G-7 WaterC'' Data'!$AA$4:$AB$7,2,FALSE)))))</f>
        <v/>
      </c>
      <c r="O166" s="56"/>
      <c r="P166" s="282" t="str">
        <f>IF(O166="","",IF(AND(O166="N/A - Culvert", D166&lt;&gt;"Culvert"),"Not possible ▲", IF(AND(D166="Culvert",O166&lt;&gt;"N/A - Culvert"),"Not possible ▲",IF(VLOOKUP(O166,'G-7 WaterC'' Data'!$AD$4:$AE$14,2,FALSE)=0,"Spatial Data Missing ⚠",VLOOKUP(O166,'G-7 WaterC'' Data'!$AD$4:$AE$14,2,FALSE)))))</f>
        <v/>
      </c>
      <c r="Q166" s="288" t="str">
        <f>IF(D166="","",VLOOKUP(D166,'G-7 WaterC'' Data'!$B$2:$G$8,6,FALSE))</f>
        <v/>
      </c>
      <c r="R166" s="295" t="str">
        <f t="shared" si="21"/>
        <v xml:space="preserve"> </v>
      </c>
      <c r="S166" s="820" t="str">
        <f t="shared" si="22"/>
        <v/>
      </c>
      <c r="T166" s="32"/>
      <c r="U166" s="105"/>
      <c r="V166" s="112"/>
      <c r="W166" s="293" t="str">
        <f t="shared" si="23"/>
        <v/>
      </c>
      <c r="X166" s="293" t="str">
        <f t="shared" si="24"/>
        <v/>
      </c>
      <c r="Y166" s="293" t="str">
        <f t="shared" si="25"/>
        <v/>
      </c>
      <c r="Z166" s="323" t="str">
        <f>IFERROR(IF(OR(E166="",R166=""),"",  IF(AND(Q166='G-7 WaterC'' Data'!$G$4,AA166="Yes"),"Alternative Compensation ✓", IF(AND(AA166="Pending", Q166='G-7 WaterC'' Data'!$G$4),"Bespoke compensation must be agreed ▲", IF((W166+X166)&gt;=R166, 0, R166-W166-X166)))),"Check Data ⚠")</f>
        <v/>
      </c>
      <c r="AA166" s="817"/>
      <c r="AB166" s="140"/>
      <c r="AC166" s="108"/>
      <c r="AD166" s="108"/>
      <c r="AE166" s="54" t="str">
        <f>IF(OR(Q166="",AA166="Yes"),"",IF(Q166='G-1 All Habitats'!$X$9,E166-U166-V166,"None"))</f>
        <v/>
      </c>
      <c r="AF166" s="55" t="str">
        <f>IF(Q166="","", IF(Q166='G-1 All Habitats'!$X$9, AE166*G166*I166*L166*N166*P166,"None"))</f>
        <v/>
      </c>
      <c r="AI166" s="30">
        <f t="shared" si="26"/>
        <v>0</v>
      </c>
      <c r="AJ166" s="111" t="str">
        <f t="shared" si="27"/>
        <v/>
      </c>
      <c r="AK166" s="111" t="str">
        <f t="shared" si="28"/>
        <v/>
      </c>
      <c r="AM166" s="111">
        <v>157</v>
      </c>
      <c r="AO166" s="111" t="str">
        <f t="array" ref="AO166">IFERROR(INDEX($AM$10:$AM$258, MATCH(0, IF(TRUE=$AJ$10:$AJ$258, COUNTIF($AO$9:$AO165, $AM$10:$AM$258), ""), 0)),"")</f>
        <v/>
      </c>
      <c r="AP166" s="111" t="str">
        <f t="array" ref="AP166">IFERROR(INDEX($AM$10:$AM$258, MATCH(0, IF(TRUE=$AK$10:$AK$258, COUNTIF($AP$9:$AP165, $AM$10:$AM$258), ""), 0)),"")</f>
        <v/>
      </c>
      <c r="AR166" s="30" t="str">
        <f>IFERROR(INDEX('G-7 WaterC'' Data'!$AZ$3:$AZ$7,MATCH(D166,'G-7 WaterC'' Data'!$AY$3:$AY$7,0)),"")</f>
        <v/>
      </c>
      <c r="AS166" s="30" t="str">
        <f>IFERROR(INDEX('G-7 WaterC'' Data'!AZ166:AZ170,MATCH(D166,'G-7 WaterC'' Data'!$AY$10:$AY$14,0)),"")</f>
        <v/>
      </c>
      <c r="AT166" s="903" t="str">
        <f>IF(AND(OR(AA166="Yes",AA166="Pending"),Q166='G-7 WaterC'' Data'!$G$4),R166-W166-X166,"")</f>
        <v/>
      </c>
      <c r="AU166" s="30" t="str">
        <f>IF(D166="","",VLOOKUP(D166,'G-7 WaterC'' Data'!B$4:M$8,12,FALSE))</f>
        <v/>
      </c>
      <c r="AV166" s="30" t="str">
        <f t="shared" si="20"/>
        <v/>
      </c>
      <c r="AX166" s="30" t="str">
        <f t="shared" si="29"/>
        <v>No</v>
      </c>
    </row>
    <row r="167" spans="3:50" x14ac:dyDescent="0.25">
      <c r="C167" s="101">
        <v>158</v>
      </c>
      <c r="D167" s="267"/>
      <c r="E167" s="119"/>
      <c r="F167" s="281" t="str">
        <f>IF(D167="","",VLOOKUP(D167,'G-7 WaterC'' Data'!$B$2:$G$8,2,FALSE))</f>
        <v/>
      </c>
      <c r="G167" s="282" t="str">
        <f>IFERROR(VLOOKUP(F167,'G-7 WaterC'' Data'!$C$4:$D$8,2,FALSE),"")</f>
        <v/>
      </c>
      <c r="H167" s="52"/>
      <c r="I167" s="282" t="str">
        <f>IFERROR(INDEX('G-7 WaterC'' Data'!$H$4:$L$8,MATCH(D167,'G-7 WaterC'' Data'!$B$4:$B$8,0),MATCH(H167,'G-7 WaterC'' Data'!$H$3:$L$3,0)),"")</f>
        <v/>
      </c>
      <c r="J167" s="793"/>
      <c r="K167" s="317" t="str">
        <f>IF(J167="","",IF(VLOOKUP(J167,'G-7 WaterC'' Data'!$AK$4:$AM$6,2,FALSE)=0,"Spatial Data Missing ⚠",VLOOKUP(J167,'G-7 WaterC'' Data'!$AK$4:$AM$6,2,FALSE)))</f>
        <v/>
      </c>
      <c r="L167" s="287" t="str">
        <f>IF(J167="","",IF(VLOOKUP(J167,'G-7 WaterC'' Data'!$AK$4:$AM$9,3,FALSE)=0,"Spatial Data Missing ⚠",VLOOKUP(J167,'G-7 WaterC'' Data'!$AK$4:$AM$6,3,FALSE)))</f>
        <v/>
      </c>
      <c r="M167" s="52"/>
      <c r="N167" s="282" t="str">
        <f>IF(M167="","",IF(AND(D167&lt;&gt;"Culvert",M167="N/A - Culvert"),"Not possible ▲",IF(AND(D167="Culvert",M167&lt;&gt;"N/A - Culvert"),"Not possible ▲",IF(VLOOKUP(M167,'G-7 WaterC'' Data'!$AA$4:$AB$7,2,FALSE)=0,"Spatial Data Missing ⚠",VLOOKUP(M167,'G-7 WaterC'' Data'!$AA$4:$AB$7,2,FALSE)))))</f>
        <v/>
      </c>
      <c r="O167" s="56"/>
      <c r="P167" s="282" t="str">
        <f>IF(O167="","",IF(AND(O167="N/A - Culvert", D167&lt;&gt;"Culvert"),"Not possible ▲", IF(AND(D167="Culvert",O167&lt;&gt;"N/A - Culvert"),"Not possible ▲",IF(VLOOKUP(O167,'G-7 WaterC'' Data'!$AD$4:$AE$14,2,FALSE)=0,"Spatial Data Missing ⚠",VLOOKUP(O167,'G-7 WaterC'' Data'!$AD$4:$AE$14,2,FALSE)))))</f>
        <v/>
      </c>
      <c r="Q167" s="288" t="str">
        <f>IF(D167="","",VLOOKUP(D167,'G-7 WaterC'' Data'!$B$2:$G$8,6,FALSE))</f>
        <v/>
      </c>
      <c r="R167" s="295" t="str">
        <f t="shared" si="21"/>
        <v xml:space="preserve"> </v>
      </c>
      <c r="S167" s="820" t="str">
        <f t="shared" si="22"/>
        <v/>
      </c>
      <c r="T167" s="32"/>
      <c r="U167" s="105"/>
      <c r="V167" s="112"/>
      <c r="W167" s="293" t="str">
        <f t="shared" si="23"/>
        <v/>
      </c>
      <c r="X167" s="293" t="str">
        <f t="shared" si="24"/>
        <v/>
      </c>
      <c r="Y167" s="293" t="str">
        <f t="shared" si="25"/>
        <v/>
      </c>
      <c r="Z167" s="323" t="str">
        <f>IFERROR(IF(OR(E167="",R167=""),"",  IF(AND(Q167='G-7 WaterC'' Data'!$G$4,AA167="Yes"),"Alternative Compensation ✓", IF(AND(AA167="Pending", Q167='G-7 WaterC'' Data'!$G$4),"Bespoke compensation must be agreed ▲", IF((W167+X167)&gt;=R167, 0, R167-W167-X167)))),"Check Data ⚠")</f>
        <v/>
      </c>
      <c r="AA167" s="817"/>
      <c r="AB167" s="140"/>
      <c r="AC167" s="108"/>
      <c r="AD167" s="108"/>
      <c r="AE167" s="54" t="str">
        <f>IF(OR(Q167="",AA167="Yes"),"",IF(Q167='G-1 All Habitats'!$X$9,E167-U167-V167,"None"))</f>
        <v/>
      </c>
      <c r="AF167" s="55" t="str">
        <f>IF(Q167="","", IF(Q167='G-1 All Habitats'!$X$9, AE167*G167*I167*L167*N167*P167,"None"))</f>
        <v/>
      </c>
      <c r="AI167" s="30">
        <f t="shared" si="26"/>
        <v>0</v>
      </c>
      <c r="AJ167" s="111" t="str">
        <f t="shared" si="27"/>
        <v/>
      </c>
      <c r="AK167" s="111" t="str">
        <f t="shared" si="28"/>
        <v/>
      </c>
      <c r="AM167" s="111">
        <v>158</v>
      </c>
      <c r="AO167" s="111" t="str">
        <f t="array" ref="AO167">IFERROR(INDEX($AM$10:$AM$258, MATCH(0, IF(TRUE=$AJ$10:$AJ$258, COUNTIF($AO$9:$AO166, $AM$10:$AM$258), ""), 0)),"")</f>
        <v/>
      </c>
      <c r="AP167" s="111" t="str">
        <f t="array" ref="AP167">IFERROR(INDEX($AM$10:$AM$258, MATCH(0, IF(TRUE=$AK$10:$AK$258, COUNTIF($AP$9:$AP166, $AM$10:$AM$258), ""), 0)),"")</f>
        <v/>
      </c>
      <c r="AR167" s="30" t="str">
        <f>IFERROR(INDEX('G-7 WaterC'' Data'!$AZ$3:$AZ$7,MATCH(D167,'G-7 WaterC'' Data'!$AY$3:$AY$7,0)),"")</f>
        <v/>
      </c>
      <c r="AS167" s="30" t="str">
        <f>IFERROR(INDEX('G-7 WaterC'' Data'!AZ167:AZ171,MATCH(D167,'G-7 WaterC'' Data'!$AY$10:$AY$14,0)),"")</f>
        <v/>
      </c>
      <c r="AT167" s="903" t="str">
        <f>IF(AND(OR(AA167="Yes",AA167="Pending"),Q167='G-7 WaterC'' Data'!$G$4),R167-W167-X167,"")</f>
        <v/>
      </c>
      <c r="AU167" s="30" t="str">
        <f>IF(D167="","",VLOOKUP(D167,'G-7 WaterC'' Data'!B$4:M$8,12,FALSE))</f>
        <v/>
      </c>
      <c r="AV167" s="30" t="str">
        <f t="shared" si="20"/>
        <v/>
      </c>
      <c r="AX167" s="30" t="str">
        <f t="shared" si="29"/>
        <v>No</v>
      </c>
    </row>
    <row r="168" spans="3:50" x14ac:dyDescent="0.25">
      <c r="C168" s="101">
        <v>159</v>
      </c>
      <c r="D168" s="267"/>
      <c r="E168" s="119"/>
      <c r="F168" s="281" t="str">
        <f>IF(D168="","",VLOOKUP(D168,'G-7 WaterC'' Data'!$B$2:$G$8,2,FALSE))</f>
        <v/>
      </c>
      <c r="G168" s="282" t="str">
        <f>IFERROR(VLOOKUP(F168,'G-7 WaterC'' Data'!$C$4:$D$8,2,FALSE),"")</f>
        <v/>
      </c>
      <c r="H168" s="52"/>
      <c r="I168" s="282" t="str">
        <f>IFERROR(INDEX('G-7 WaterC'' Data'!$H$4:$L$8,MATCH(D168,'G-7 WaterC'' Data'!$B$4:$B$8,0),MATCH(H168,'G-7 WaterC'' Data'!$H$3:$L$3,0)),"")</f>
        <v/>
      </c>
      <c r="J168" s="793"/>
      <c r="K168" s="317" t="str">
        <f>IF(J168="","",IF(VLOOKUP(J168,'G-7 WaterC'' Data'!$AK$4:$AM$6,2,FALSE)=0,"Spatial Data Missing ⚠",VLOOKUP(J168,'G-7 WaterC'' Data'!$AK$4:$AM$6,2,FALSE)))</f>
        <v/>
      </c>
      <c r="L168" s="287" t="str">
        <f>IF(J168="","",IF(VLOOKUP(J168,'G-7 WaterC'' Data'!$AK$4:$AM$9,3,FALSE)=0,"Spatial Data Missing ⚠",VLOOKUP(J168,'G-7 WaterC'' Data'!$AK$4:$AM$6,3,FALSE)))</f>
        <v/>
      </c>
      <c r="M168" s="52"/>
      <c r="N168" s="282" t="str">
        <f>IF(M168="","",IF(AND(D168&lt;&gt;"Culvert",M168="N/A - Culvert"),"Not possible ▲",IF(AND(D168="Culvert",M168&lt;&gt;"N/A - Culvert"),"Not possible ▲",IF(VLOOKUP(M168,'G-7 WaterC'' Data'!$AA$4:$AB$7,2,FALSE)=0,"Spatial Data Missing ⚠",VLOOKUP(M168,'G-7 WaterC'' Data'!$AA$4:$AB$7,2,FALSE)))))</f>
        <v/>
      </c>
      <c r="O168" s="56"/>
      <c r="P168" s="282" t="str">
        <f>IF(O168="","",IF(AND(O168="N/A - Culvert", D168&lt;&gt;"Culvert"),"Not possible ▲", IF(AND(D168="Culvert",O168&lt;&gt;"N/A - Culvert"),"Not possible ▲",IF(VLOOKUP(O168,'G-7 WaterC'' Data'!$AD$4:$AE$14,2,FALSE)=0,"Spatial Data Missing ⚠",VLOOKUP(O168,'G-7 WaterC'' Data'!$AD$4:$AE$14,2,FALSE)))))</f>
        <v/>
      </c>
      <c r="Q168" s="288" t="str">
        <f>IF(D168="","",VLOOKUP(D168,'G-7 WaterC'' Data'!$B$2:$G$8,6,FALSE))</f>
        <v/>
      </c>
      <c r="R168" s="295" t="str">
        <f t="shared" si="21"/>
        <v xml:space="preserve"> </v>
      </c>
      <c r="S168" s="820" t="str">
        <f t="shared" si="22"/>
        <v/>
      </c>
      <c r="T168" s="32"/>
      <c r="U168" s="105"/>
      <c r="V168" s="112"/>
      <c r="W168" s="293" t="str">
        <f t="shared" si="23"/>
        <v/>
      </c>
      <c r="X168" s="293" t="str">
        <f t="shared" si="24"/>
        <v/>
      </c>
      <c r="Y168" s="293" t="str">
        <f t="shared" si="25"/>
        <v/>
      </c>
      <c r="Z168" s="323" t="str">
        <f>IFERROR(IF(OR(E168="",R168=""),"",  IF(AND(Q168='G-7 WaterC'' Data'!$G$4,AA168="Yes"),"Alternative Compensation ✓", IF(AND(AA168="Pending", Q168='G-7 WaterC'' Data'!$G$4),"Bespoke compensation must be agreed ▲", IF((W168+X168)&gt;=R168, 0, R168-W168-X168)))),"Check Data ⚠")</f>
        <v/>
      </c>
      <c r="AA168" s="817"/>
      <c r="AB168" s="140"/>
      <c r="AC168" s="108"/>
      <c r="AD168" s="108"/>
      <c r="AE168" s="54" t="str">
        <f>IF(OR(Q168="",AA168="Yes"),"",IF(Q168='G-1 All Habitats'!$X$9,E168-U168-V168,"None"))</f>
        <v/>
      </c>
      <c r="AF168" s="55" t="str">
        <f>IF(Q168="","", IF(Q168='G-1 All Habitats'!$X$9, AE168*G168*I168*L168*N168*P168,"None"))</f>
        <v/>
      </c>
      <c r="AI168" s="30">
        <f t="shared" si="26"/>
        <v>0</v>
      </c>
      <c r="AJ168" s="111" t="str">
        <f t="shared" si="27"/>
        <v/>
      </c>
      <c r="AK168" s="111" t="str">
        <f t="shared" si="28"/>
        <v/>
      </c>
      <c r="AM168" s="111">
        <v>159</v>
      </c>
      <c r="AO168" s="111" t="str">
        <f t="array" ref="AO168">IFERROR(INDEX($AM$10:$AM$258, MATCH(0, IF(TRUE=$AJ$10:$AJ$258, COUNTIF($AO$9:$AO167, $AM$10:$AM$258), ""), 0)),"")</f>
        <v/>
      </c>
      <c r="AP168" s="111" t="str">
        <f t="array" ref="AP168">IFERROR(INDEX($AM$10:$AM$258, MATCH(0, IF(TRUE=$AK$10:$AK$258, COUNTIF($AP$9:$AP167, $AM$10:$AM$258), ""), 0)),"")</f>
        <v/>
      </c>
      <c r="AR168" s="30" t="str">
        <f>IFERROR(INDEX('G-7 WaterC'' Data'!$AZ$3:$AZ$7,MATCH(D168,'G-7 WaterC'' Data'!$AY$3:$AY$7,0)),"")</f>
        <v/>
      </c>
      <c r="AS168" s="30" t="str">
        <f>IFERROR(INDEX('G-7 WaterC'' Data'!AZ168:AZ172,MATCH(D168,'G-7 WaterC'' Data'!$AY$10:$AY$14,0)),"")</f>
        <v/>
      </c>
      <c r="AT168" s="903" t="str">
        <f>IF(AND(OR(AA168="Yes",AA168="Pending"),Q168='G-7 WaterC'' Data'!$G$4),R168-W168-X168,"")</f>
        <v/>
      </c>
      <c r="AU168" s="30" t="str">
        <f>IF(D168="","",VLOOKUP(D168,'G-7 WaterC'' Data'!B$4:M$8,12,FALSE))</f>
        <v/>
      </c>
      <c r="AV168" s="30" t="str">
        <f t="shared" si="20"/>
        <v/>
      </c>
      <c r="AX168" s="30" t="str">
        <f t="shared" si="29"/>
        <v>No</v>
      </c>
    </row>
    <row r="169" spans="3:50" x14ac:dyDescent="0.25">
      <c r="C169" s="101">
        <v>160</v>
      </c>
      <c r="D169" s="267"/>
      <c r="E169" s="119"/>
      <c r="F169" s="281" t="str">
        <f>IF(D169="","",VLOOKUP(D169,'G-7 WaterC'' Data'!$B$2:$G$8,2,FALSE))</f>
        <v/>
      </c>
      <c r="G169" s="282" t="str">
        <f>IFERROR(VLOOKUP(F169,'G-7 WaterC'' Data'!$C$4:$D$8,2,FALSE),"")</f>
        <v/>
      </c>
      <c r="H169" s="52"/>
      <c r="I169" s="282" t="str">
        <f>IFERROR(INDEX('G-7 WaterC'' Data'!$H$4:$L$8,MATCH(D169,'G-7 WaterC'' Data'!$B$4:$B$8,0),MATCH(H169,'G-7 WaterC'' Data'!$H$3:$L$3,0)),"")</f>
        <v/>
      </c>
      <c r="J169" s="793"/>
      <c r="K169" s="317" t="str">
        <f>IF(J169="","",IF(VLOOKUP(J169,'G-7 WaterC'' Data'!$AK$4:$AM$6,2,FALSE)=0,"Spatial Data Missing ⚠",VLOOKUP(J169,'G-7 WaterC'' Data'!$AK$4:$AM$6,2,FALSE)))</f>
        <v/>
      </c>
      <c r="L169" s="287" t="str">
        <f>IF(J169="","",IF(VLOOKUP(J169,'G-7 WaterC'' Data'!$AK$4:$AM$9,3,FALSE)=0,"Spatial Data Missing ⚠",VLOOKUP(J169,'G-7 WaterC'' Data'!$AK$4:$AM$6,3,FALSE)))</f>
        <v/>
      </c>
      <c r="M169" s="52"/>
      <c r="N169" s="282" t="str">
        <f>IF(M169="","",IF(AND(D169&lt;&gt;"Culvert",M169="N/A - Culvert"),"Not possible ▲",IF(AND(D169="Culvert",M169&lt;&gt;"N/A - Culvert"),"Not possible ▲",IF(VLOOKUP(M169,'G-7 WaterC'' Data'!$AA$4:$AB$7,2,FALSE)=0,"Spatial Data Missing ⚠",VLOOKUP(M169,'G-7 WaterC'' Data'!$AA$4:$AB$7,2,FALSE)))))</f>
        <v/>
      </c>
      <c r="O169" s="56"/>
      <c r="P169" s="282" t="str">
        <f>IF(O169="","",IF(AND(O169="N/A - Culvert", D169&lt;&gt;"Culvert"),"Not possible ▲", IF(AND(D169="Culvert",O169&lt;&gt;"N/A - Culvert"),"Not possible ▲",IF(VLOOKUP(O169,'G-7 WaterC'' Data'!$AD$4:$AE$14,2,FALSE)=0,"Spatial Data Missing ⚠",VLOOKUP(O169,'G-7 WaterC'' Data'!$AD$4:$AE$14,2,FALSE)))))</f>
        <v/>
      </c>
      <c r="Q169" s="288" t="str">
        <f>IF(D169="","",VLOOKUP(D169,'G-7 WaterC'' Data'!$B$2:$G$8,6,FALSE))</f>
        <v/>
      </c>
      <c r="R169" s="295" t="str">
        <f t="shared" si="21"/>
        <v xml:space="preserve"> </v>
      </c>
      <c r="S169" s="820" t="str">
        <f t="shared" si="22"/>
        <v/>
      </c>
      <c r="T169" s="32"/>
      <c r="U169" s="105"/>
      <c r="V169" s="112"/>
      <c r="W169" s="293" t="str">
        <f t="shared" si="23"/>
        <v/>
      </c>
      <c r="X169" s="293" t="str">
        <f t="shared" si="24"/>
        <v/>
      </c>
      <c r="Y169" s="293" t="str">
        <f t="shared" si="25"/>
        <v/>
      </c>
      <c r="Z169" s="323" t="str">
        <f>IFERROR(IF(OR(E169="",R169=""),"",  IF(AND(Q169='G-7 WaterC'' Data'!$G$4,AA169="Yes"),"Alternative Compensation ✓", IF(AND(AA169="Pending", Q169='G-7 WaterC'' Data'!$G$4),"Bespoke compensation must be agreed ▲", IF((W169+X169)&gt;=R169, 0, R169-W169-X169)))),"Check Data ⚠")</f>
        <v/>
      </c>
      <c r="AA169" s="817"/>
      <c r="AB169" s="140"/>
      <c r="AC169" s="108"/>
      <c r="AD169" s="108"/>
      <c r="AE169" s="54" t="str">
        <f>IF(OR(Q169="",AA169="Yes"),"",IF(Q169='G-1 All Habitats'!$X$9,E169-U169-V169,"None"))</f>
        <v/>
      </c>
      <c r="AF169" s="55" t="str">
        <f>IF(Q169="","", IF(Q169='G-1 All Habitats'!$X$9, AE169*G169*I169*L169*N169*P169,"None"))</f>
        <v/>
      </c>
      <c r="AI169" s="30">
        <f t="shared" si="26"/>
        <v>0</v>
      </c>
      <c r="AJ169" s="111" t="str">
        <f t="shared" si="27"/>
        <v/>
      </c>
      <c r="AK169" s="111" t="str">
        <f t="shared" si="28"/>
        <v/>
      </c>
      <c r="AM169" s="111">
        <v>160</v>
      </c>
      <c r="AO169" s="111" t="str">
        <f t="array" ref="AO169">IFERROR(INDEX($AM$10:$AM$258, MATCH(0, IF(TRUE=$AJ$10:$AJ$258, COUNTIF($AO$9:$AO168, $AM$10:$AM$258), ""), 0)),"")</f>
        <v/>
      </c>
      <c r="AP169" s="111" t="str">
        <f t="array" ref="AP169">IFERROR(INDEX($AM$10:$AM$258, MATCH(0, IF(TRUE=$AK$10:$AK$258, COUNTIF($AP$9:$AP168, $AM$10:$AM$258), ""), 0)),"")</f>
        <v/>
      </c>
      <c r="AR169" s="30" t="str">
        <f>IFERROR(INDEX('G-7 WaterC'' Data'!$AZ$3:$AZ$7,MATCH(D169,'G-7 WaterC'' Data'!$AY$3:$AY$7,0)),"")</f>
        <v/>
      </c>
      <c r="AS169" s="30" t="str">
        <f>IFERROR(INDEX('G-7 WaterC'' Data'!AZ169:AZ173,MATCH(D169,'G-7 WaterC'' Data'!$AY$10:$AY$14,0)),"")</f>
        <v/>
      </c>
      <c r="AT169" s="903" t="str">
        <f>IF(AND(OR(AA169="Yes",AA169="Pending"),Q169='G-7 WaterC'' Data'!$G$4),R169-W169-X169,"")</f>
        <v/>
      </c>
      <c r="AU169" s="30" t="str">
        <f>IF(D169="","",VLOOKUP(D169,'G-7 WaterC'' Data'!B$4:M$8,12,FALSE))</f>
        <v/>
      </c>
      <c r="AV169" s="30" t="str">
        <f t="shared" si="20"/>
        <v/>
      </c>
      <c r="AX169" s="30" t="str">
        <f t="shared" si="29"/>
        <v>No</v>
      </c>
    </row>
    <row r="170" spans="3:50" x14ac:dyDescent="0.25">
      <c r="C170" s="101">
        <v>161</v>
      </c>
      <c r="D170" s="267"/>
      <c r="E170" s="119"/>
      <c r="F170" s="281" t="str">
        <f>IF(D170="","",VLOOKUP(D170,'G-7 WaterC'' Data'!$B$2:$G$8,2,FALSE))</f>
        <v/>
      </c>
      <c r="G170" s="282" t="str">
        <f>IFERROR(VLOOKUP(F170,'G-7 WaterC'' Data'!$C$4:$D$8,2,FALSE),"")</f>
        <v/>
      </c>
      <c r="H170" s="52"/>
      <c r="I170" s="282" t="str">
        <f>IFERROR(INDEX('G-7 WaterC'' Data'!$H$4:$L$8,MATCH(D170,'G-7 WaterC'' Data'!$B$4:$B$8,0),MATCH(H170,'G-7 WaterC'' Data'!$H$3:$L$3,0)),"")</f>
        <v/>
      </c>
      <c r="J170" s="793"/>
      <c r="K170" s="317" t="str">
        <f>IF(J170="","",IF(VLOOKUP(J170,'G-7 WaterC'' Data'!$AK$4:$AM$6,2,FALSE)=0,"Spatial Data Missing ⚠",VLOOKUP(J170,'G-7 WaterC'' Data'!$AK$4:$AM$6,2,FALSE)))</f>
        <v/>
      </c>
      <c r="L170" s="287" t="str">
        <f>IF(J170="","",IF(VLOOKUP(J170,'G-7 WaterC'' Data'!$AK$4:$AM$9,3,FALSE)=0,"Spatial Data Missing ⚠",VLOOKUP(J170,'G-7 WaterC'' Data'!$AK$4:$AM$6,3,FALSE)))</f>
        <v/>
      </c>
      <c r="M170" s="52"/>
      <c r="N170" s="282" t="str">
        <f>IF(M170="","",IF(AND(D170&lt;&gt;"Culvert",M170="N/A - Culvert"),"Not possible ▲",IF(AND(D170="Culvert",M170&lt;&gt;"N/A - Culvert"),"Not possible ▲",IF(VLOOKUP(M170,'G-7 WaterC'' Data'!$AA$4:$AB$7,2,FALSE)=0,"Spatial Data Missing ⚠",VLOOKUP(M170,'G-7 WaterC'' Data'!$AA$4:$AB$7,2,FALSE)))))</f>
        <v/>
      </c>
      <c r="O170" s="56"/>
      <c r="P170" s="282" t="str">
        <f>IF(O170="","",IF(AND(O170="N/A - Culvert", D170&lt;&gt;"Culvert"),"Not possible ▲", IF(AND(D170="Culvert",O170&lt;&gt;"N/A - Culvert"),"Not possible ▲",IF(VLOOKUP(O170,'G-7 WaterC'' Data'!$AD$4:$AE$14,2,FALSE)=0,"Spatial Data Missing ⚠",VLOOKUP(O170,'G-7 WaterC'' Data'!$AD$4:$AE$14,2,FALSE)))))</f>
        <v/>
      </c>
      <c r="Q170" s="288" t="str">
        <f>IF(D170="","",VLOOKUP(D170,'G-7 WaterC'' Data'!$B$2:$G$8,6,FALSE))</f>
        <v/>
      </c>
      <c r="R170" s="295" t="str">
        <f t="shared" si="21"/>
        <v xml:space="preserve"> </v>
      </c>
      <c r="S170" s="820" t="str">
        <f t="shared" si="22"/>
        <v/>
      </c>
      <c r="T170" s="32"/>
      <c r="U170" s="105"/>
      <c r="V170" s="112"/>
      <c r="W170" s="293" t="str">
        <f t="shared" si="23"/>
        <v/>
      </c>
      <c r="X170" s="293" t="str">
        <f t="shared" si="24"/>
        <v/>
      </c>
      <c r="Y170" s="293" t="str">
        <f t="shared" si="25"/>
        <v/>
      </c>
      <c r="Z170" s="323" t="str">
        <f>IFERROR(IF(OR(E170="",R170=""),"",  IF(AND(Q170='G-7 WaterC'' Data'!$G$4,AA170="Yes"),"Alternative Compensation ✓", IF(AND(AA170="Pending", Q170='G-7 WaterC'' Data'!$G$4),"Bespoke compensation must be agreed ▲", IF((W170+X170)&gt;=R170, 0, R170-W170-X170)))),"Check Data ⚠")</f>
        <v/>
      </c>
      <c r="AA170" s="817"/>
      <c r="AB170" s="140"/>
      <c r="AC170" s="108"/>
      <c r="AD170" s="108"/>
      <c r="AE170" s="54" t="str">
        <f>IF(OR(Q170="",AA170="Yes"),"",IF(Q170='G-1 All Habitats'!$X$9,E170-U170-V170,"None"))</f>
        <v/>
      </c>
      <c r="AF170" s="55" t="str">
        <f>IF(Q170="","", IF(Q170='G-1 All Habitats'!$X$9, AE170*G170*I170*L170*N170*P170,"None"))</f>
        <v/>
      </c>
      <c r="AI170" s="30">
        <f t="shared" si="26"/>
        <v>0</v>
      </c>
      <c r="AJ170" s="111" t="str">
        <f t="shared" si="27"/>
        <v/>
      </c>
      <c r="AK170" s="111" t="str">
        <f t="shared" si="28"/>
        <v/>
      </c>
      <c r="AM170" s="111">
        <v>161</v>
      </c>
      <c r="AO170" s="111" t="str">
        <f t="array" ref="AO170">IFERROR(INDEX($AM$10:$AM$258, MATCH(0, IF(TRUE=$AJ$10:$AJ$258, COUNTIF($AO$9:$AO169, $AM$10:$AM$258), ""), 0)),"")</f>
        <v/>
      </c>
      <c r="AP170" s="111" t="str">
        <f t="array" ref="AP170">IFERROR(INDEX($AM$10:$AM$258, MATCH(0, IF(TRUE=$AK$10:$AK$258, COUNTIF($AP$9:$AP169, $AM$10:$AM$258), ""), 0)),"")</f>
        <v/>
      </c>
      <c r="AR170" s="30" t="str">
        <f>IFERROR(INDEX('G-7 WaterC'' Data'!$AZ$3:$AZ$7,MATCH(D170,'G-7 WaterC'' Data'!$AY$3:$AY$7,0)),"")</f>
        <v/>
      </c>
      <c r="AS170" s="30" t="str">
        <f>IFERROR(INDEX('G-7 WaterC'' Data'!AZ170:AZ174,MATCH(D170,'G-7 WaterC'' Data'!$AY$10:$AY$14,0)),"")</f>
        <v/>
      </c>
      <c r="AT170" s="903" t="str">
        <f>IF(AND(OR(AA170="Yes",AA170="Pending"),Q170='G-7 WaterC'' Data'!$G$4),R170-W170-X170,"")</f>
        <v/>
      </c>
      <c r="AU170" s="30" t="str">
        <f>IF(D170="","",VLOOKUP(D170,'G-7 WaterC'' Data'!B$4:M$8,12,FALSE))</f>
        <v/>
      </c>
      <c r="AV170" s="30" t="str">
        <f t="shared" si="20"/>
        <v/>
      </c>
      <c r="AX170" s="30" t="str">
        <f t="shared" si="29"/>
        <v>No</v>
      </c>
    </row>
    <row r="171" spans="3:50" x14ac:dyDescent="0.25">
      <c r="C171" s="101">
        <v>162</v>
      </c>
      <c r="D171" s="267"/>
      <c r="E171" s="119"/>
      <c r="F171" s="281" t="str">
        <f>IF(D171="","",VLOOKUP(D171,'G-7 WaterC'' Data'!$B$2:$G$8,2,FALSE))</f>
        <v/>
      </c>
      <c r="G171" s="282" t="str">
        <f>IFERROR(VLOOKUP(F171,'G-7 WaterC'' Data'!$C$4:$D$8,2,FALSE),"")</f>
        <v/>
      </c>
      <c r="H171" s="52"/>
      <c r="I171" s="282" t="str">
        <f>IFERROR(INDEX('G-7 WaterC'' Data'!$H$4:$L$8,MATCH(D171,'G-7 WaterC'' Data'!$B$4:$B$8,0),MATCH(H171,'G-7 WaterC'' Data'!$H$3:$L$3,0)),"")</f>
        <v/>
      </c>
      <c r="J171" s="793"/>
      <c r="K171" s="317" t="str">
        <f>IF(J171="","",IF(VLOOKUP(J171,'G-7 WaterC'' Data'!$AK$4:$AM$6,2,FALSE)=0,"Spatial Data Missing ⚠",VLOOKUP(J171,'G-7 WaterC'' Data'!$AK$4:$AM$6,2,FALSE)))</f>
        <v/>
      </c>
      <c r="L171" s="287" t="str">
        <f>IF(J171="","",IF(VLOOKUP(J171,'G-7 WaterC'' Data'!$AK$4:$AM$9,3,FALSE)=0,"Spatial Data Missing ⚠",VLOOKUP(J171,'G-7 WaterC'' Data'!$AK$4:$AM$6,3,FALSE)))</f>
        <v/>
      </c>
      <c r="M171" s="52"/>
      <c r="N171" s="282" t="str">
        <f>IF(M171="","",IF(AND(D171&lt;&gt;"Culvert",M171="N/A - Culvert"),"Not possible ▲",IF(AND(D171="Culvert",M171&lt;&gt;"N/A - Culvert"),"Not possible ▲",IF(VLOOKUP(M171,'G-7 WaterC'' Data'!$AA$4:$AB$7,2,FALSE)=0,"Spatial Data Missing ⚠",VLOOKUP(M171,'G-7 WaterC'' Data'!$AA$4:$AB$7,2,FALSE)))))</f>
        <v/>
      </c>
      <c r="O171" s="56"/>
      <c r="P171" s="282" t="str">
        <f>IF(O171="","",IF(AND(O171="N/A - Culvert", D171&lt;&gt;"Culvert"),"Not possible ▲", IF(AND(D171="Culvert",O171&lt;&gt;"N/A - Culvert"),"Not possible ▲",IF(VLOOKUP(O171,'G-7 WaterC'' Data'!$AD$4:$AE$14,2,FALSE)=0,"Spatial Data Missing ⚠",VLOOKUP(O171,'G-7 WaterC'' Data'!$AD$4:$AE$14,2,FALSE)))))</f>
        <v/>
      </c>
      <c r="Q171" s="288" t="str">
        <f>IF(D171="","",VLOOKUP(D171,'G-7 WaterC'' Data'!$B$2:$G$8,6,FALSE))</f>
        <v/>
      </c>
      <c r="R171" s="295" t="str">
        <f t="shared" si="21"/>
        <v xml:space="preserve"> </v>
      </c>
      <c r="S171" s="820" t="str">
        <f t="shared" si="22"/>
        <v/>
      </c>
      <c r="T171" s="32"/>
      <c r="U171" s="105"/>
      <c r="V171" s="112"/>
      <c r="W171" s="293" t="str">
        <f t="shared" si="23"/>
        <v/>
      </c>
      <c r="X171" s="293" t="str">
        <f t="shared" si="24"/>
        <v/>
      </c>
      <c r="Y171" s="293" t="str">
        <f t="shared" si="25"/>
        <v/>
      </c>
      <c r="Z171" s="323" t="str">
        <f>IFERROR(IF(OR(E171="",R171=""),"",  IF(AND(Q171='G-7 WaterC'' Data'!$G$4,AA171="Yes"),"Alternative Compensation ✓", IF(AND(AA171="Pending", Q171='G-7 WaterC'' Data'!$G$4),"Bespoke compensation must be agreed ▲", IF((W171+X171)&gt;=R171, 0, R171-W171-X171)))),"Check Data ⚠")</f>
        <v/>
      </c>
      <c r="AA171" s="817"/>
      <c r="AB171" s="140"/>
      <c r="AC171" s="108"/>
      <c r="AD171" s="108"/>
      <c r="AE171" s="54" t="str">
        <f>IF(OR(Q171="",AA171="Yes"),"",IF(Q171='G-1 All Habitats'!$X$9,E171-U171-V171,"None"))</f>
        <v/>
      </c>
      <c r="AF171" s="55" t="str">
        <f>IF(Q171="","", IF(Q171='G-1 All Habitats'!$X$9, AE171*G171*I171*L171*N171*P171,"None"))</f>
        <v/>
      </c>
      <c r="AI171" s="30">
        <f t="shared" si="26"/>
        <v>0</v>
      </c>
      <c r="AJ171" s="111" t="str">
        <f t="shared" si="27"/>
        <v/>
      </c>
      <c r="AK171" s="111" t="str">
        <f t="shared" si="28"/>
        <v/>
      </c>
      <c r="AM171" s="111">
        <v>162</v>
      </c>
      <c r="AO171" s="111" t="str">
        <f t="array" ref="AO171">IFERROR(INDEX($AM$10:$AM$258, MATCH(0, IF(TRUE=$AJ$10:$AJ$258, COUNTIF($AO$9:$AO170, $AM$10:$AM$258), ""), 0)),"")</f>
        <v/>
      </c>
      <c r="AP171" s="111" t="str">
        <f t="array" ref="AP171">IFERROR(INDEX($AM$10:$AM$258, MATCH(0, IF(TRUE=$AK$10:$AK$258, COUNTIF($AP$9:$AP170, $AM$10:$AM$258), ""), 0)),"")</f>
        <v/>
      </c>
      <c r="AR171" s="30" t="str">
        <f>IFERROR(INDEX('G-7 WaterC'' Data'!$AZ$3:$AZ$7,MATCH(D171,'G-7 WaterC'' Data'!$AY$3:$AY$7,0)),"")</f>
        <v/>
      </c>
      <c r="AS171" s="30" t="str">
        <f>IFERROR(INDEX('G-7 WaterC'' Data'!AZ171:AZ175,MATCH(D171,'G-7 WaterC'' Data'!$AY$10:$AY$14,0)),"")</f>
        <v/>
      </c>
      <c r="AT171" s="903" t="str">
        <f>IF(AND(OR(AA171="Yes",AA171="Pending"),Q171='G-7 WaterC'' Data'!$G$4),R171-W171-X171,"")</f>
        <v/>
      </c>
      <c r="AU171" s="30" t="str">
        <f>IF(D171="","",VLOOKUP(D171,'G-7 WaterC'' Data'!B$4:M$8,12,FALSE))</f>
        <v/>
      </c>
      <c r="AV171" s="30" t="str">
        <f t="shared" si="20"/>
        <v/>
      </c>
      <c r="AX171" s="30" t="str">
        <f t="shared" si="29"/>
        <v>No</v>
      </c>
    </row>
    <row r="172" spans="3:50" x14ac:dyDescent="0.25">
      <c r="C172" s="101">
        <v>163</v>
      </c>
      <c r="D172" s="267"/>
      <c r="E172" s="119"/>
      <c r="F172" s="281" t="str">
        <f>IF(D172="","",VLOOKUP(D172,'G-7 WaterC'' Data'!$B$2:$G$8,2,FALSE))</f>
        <v/>
      </c>
      <c r="G172" s="282" t="str">
        <f>IFERROR(VLOOKUP(F172,'G-7 WaterC'' Data'!$C$4:$D$8,2,FALSE),"")</f>
        <v/>
      </c>
      <c r="H172" s="52"/>
      <c r="I172" s="282" t="str">
        <f>IFERROR(INDEX('G-7 WaterC'' Data'!$H$4:$L$8,MATCH(D172,'G-7 WaterC'' Data'!$B$4:$B$8,0),MATCH(H172,'G-7 WaterC'' Data'!$H$3:$L$3,0)),"")</f>
        <v/>
      </c>
      <c r="J172" s="793"/>
      <c r="K172" s="317" t="str">
        <f>IF(J172="","",IF(VLOOKUP(J172,'G-7 WaterC'' Data'!$AK$4:$AM$6,2,FALSE)=0,"Spatial Data Missing ⚠",VLOOKUP(J172,'G-7 WaterC'' Data'!$AK$4:$AM$6,2,FALSE)))</f>
        <v/>
      </c>
      <c r="L172" s="287" t="str">
        <f>IF(J172="","",IF(VLOOKUP(J172,'G-7 WaterC'' Data'!$AK$4:$AM$9,3,FALSE)=0,"Spatial Data Missing ⚠",VLOOKUP(J172,'G-7 WaterC'' Data'!$AK$4:$AM$6,3,FALSE)))</f>
        <v/>
      </c>
      <c r="M172" s="52"/>
      <c r="N172" s="282" t="str">
        <f>IF(M172="","",IF(AND(D172&lt;&gt;"Culvert",M172="N/A - Culvert"),"Not possible ▲",IF(AND(D172="Culvert",M172&lt;&gt;"N/A - Culvert"),"Not possible ▲",IF(VLOOKUP(M172,'G-7 WaterC'' Data'!$AA$4:$AB$7,2,FALSE)=0,"Spatial Data Missing ⚠",VLOOKUP(M172,'G-7 WaterC'' Data'!$AA$4:$AB$7,2,FALSE)))))</f>
        <v/>
      </c>
      <c r="O172" s="56"/>
      <c r="P172" s="282" t="str">
        <f>IF(O172="","",IF(AND(O172="N/A - Culvert", D172&lt;&gt;"Culvert"),"Not possible ▲", IF(AND(D172="Culvert",O172&lt;&gt;"N/A - Culvert"),"Not possible ▲",IF(VLOOKUP(O172,'G-7 WaterC'' Data'!$AD$4:$AE$14,2,FALSE)=0,"Spatial Data Missing ⚠",VLOOKUP(O172,'G-7 WaterC'' Data'!$AD$4:$AE$14,2,FALSE)))))</f>
        <v/>
      </c>
      <c r="Q172" s="288" t="str">
        <f>IF(D172="","",VLOOKUP(D172,'G-7 WaterC'' Data'!$B$2:$G$8,6,FALSE))</f>
        <v/>
      </c>
      <c r="R172" s="295" t="str">
        <f t="shared" si="21"/>
        <v xml:space="preserve"> </v>
      </c>
      <c r="S172" s="820" t="str">
        <f t="shared" si="22"/>
        <v/>
      </c>
      <c r="T172" s="32"/>
      <c r="U172" s="105"/>
      <c r="V172" s="112"/>
      <c r="W172" s="293" t="str">
        <f t="shared" si="23"/>
        <v/>
      </c>
      <c r="X172" s="293" t="str">
        <f t="shared" si="24"/>
        <v/>
      </c>
      <c r="Y172" s="293" t="str">
        <f t="shared" si="25"/>
        <v/>
      </c>
      <c r="Z172" s="323" t="str">
        <f>IFERROR(IF(OR(E172="",R172=""),"",  IF(AND(Q172='G-7 WaterC'' Data'!$G$4,AA172="Yes"),"Alternative Compensation ✓", IF(AND(AA172="Pending", Q172='G-7 WaterC'' Data'!$G$4),"Bespoke compensation must be agreed ▲", IF((W172+X172)&gt;=R172, 0, R172-W172-X172)))),"Check Data ⚠")</f>
        <v/>
      </c>
      <c r="AA172" s="817"/>
      <c r="AB172" s="140"/>
      <c r="AC172" s="108"/>
      <c r="AD172" s="108"/>
      <c r="AE172" s="54" t="str">
        <f>IF(OR(Q172="",AA172="Yes"),"",IF(Q172='G-1 All Habitats'!$X$9,E172-U172-V172,"None"))</f>
        <v/>
      </c>
      <c r="AF172" s="55" t="str">
        <f>IF(Q172="","", IF(Q172='G-1 All Habitats'!$X$9, AE172*G172*I172*L172*N172*P172,"None"))</f>
        <v/>
      </c>
      <c r="AI172" s="30">
        <f t="shared" si="26"/>
        <v>0</v>
      </c>
      <c r="AJ172" s="111" t="str">
        <f t="shared" si="27"/>
        <v/>
      </c>
      <c r="AK172" s="111" t="str">
        <f t="shared" si="28"/>
        <v/>
      </c>
      <c r="AM172" s="111">
        <v>163</v>
      </c>
      <c r="AO172" s="111" t="str">
        <f t="array" ref="AO172">IFERROR(INDEX($AM$10:$AM$258, MATCH(0, IF(TRUE=$AJ$10:$AJ$258, COUNTIF($AO$9:$AO171, $AM$10:$AM$258), ""), 0)),"")</f>
        <v/>
      </c>
      <c r="AP172" s="111" t="str">
        <f t="array" ref="AP172">IFERROR(INDEX($AM$10:$AM$258, MATCH(0, IF(TRUE=$AK$10:$AK$258, COUNTIF($AP$9:$AP171, $AM$10:$AM$258), ""), 0)),"")</f>
        <v/>
      </c>
      <c r="AR172" s="30" t="str">
        <f>IFERROR(INDEX('G-7 WaterC'' Data'!$AZ$3:$AZ$7,MATCH(D172,'G-7 WaterC'' Data'!$AY$3:$AY$7,0)),"")</f>
        <v/>
      </c>
      <c r="AS172" s="30" t="str">
        <f>IFERROR(INDEX('G-7 WaterC'' Data'!AZ172:AZ176,MATCH(D172,'G-7 WaterC'' Data'!$AY$10:$AY$14,0)),"")</f>
        <v/>
      </c>
      <c r="AT172" s="903" t="str">
        <f>IF(AND(OR(AA172="Yes",AA172="Pending"),Q172='G-7 WaterC'' Data'!$G$4),R172-W172-X172,"")</f>
        <v/>
      </c>
      <c r="AU172" s="30" t="str">
        <f>IF(D172="","",VLOOKUP(D172,'G-7 WaterC'' Data'!B$4:M$8,12,FALSE))</f>
        <v/>
      </c>
      <c r="AV172" s="30" t="str">
        <f t="shared" si="20"/>
        <v/>
      </c>
      <c r="AX172" s="30" t="str">
        <f t="shared" si="29"/>
        <v>No</v>
      </c>
    </row>
    <row r="173" spans="3:50" x14ac:dyDescent="0.25">
      <c r="C173" s="101">
        <v>164</v>
      </c>
      <c r="D173" s="267"/>
      <c r="E173" s="119"/>
      <c r="F173" s="281" t="str">
        <f>IF(D173="","",VLOOKUP(D173,'G-7 WaterC'' Data'!$B$2:$G$8,2,FALSE))</f>
        <v/>
      </c>
      <c r="G173" s="282" t="str">
        <f>IFERROR(VLOOKUP(F173,'G-7 WaterC'' Data'!$C$4:$D$8,2,FALSE),"")</f>
        <v/>
      </c>
      <c r="H173" s="52"/>
      <c r="I173" s="282" t="str">
        <f>IFERROR(INDEX('G-7 WaterC'' Data'!$H$4:$L$8,MATCH(D173,'G-7 WaterC'' Data'!$B$4:$B$8,0),MATCH(H173,'G-7 WaterC'' Data'!$H$3:$L$3,0)),"")</f>
        <v/>
      </c>
      <c r="J173" s="793"/>
      <c r="K173" s="317" t="str">
        <f>IF(J173="","",IF(VLOOKUP(J173,'G-7 WaterC'' Data'!$AK$4:$AM$6,2,FALSE)=0,"Spatial Data Missing ⚠",VLOOKUP(J173,'G-7 WaterC'' Data'!$AK$4:$AM$6,2,FALSE)))</f>
        <v/>
      </c>
      <c r="L173" s="287" t="str">
        <f>IF(J173="","",IF(VLOOKUP(J173,'G-7 WaterC'' Data'!$AK$4:$AM$9,3,FALSE)=0,"Spatial Data Missing ⚠",VLOOKUP(J173,'G-7 WaterC'' Data'!$AK$4:$AM$6,3,FALSE)))</f>
        <v/>
      </c>
      <c r="M173" s="52"/>
      <c r="N173" s="282" t="str">
        <f>IF(M173="","",IF(AND(D173&lt;&gt;"Culvert",M173="N/A - Culvert"),"Not possible ▲",IF(AND(D173="Culvert",M173&lt;&gt;"N/A - Culvert"),"Not possible ▲",IF(VLOOKUP(M173,'G-7 WaterC'' Data'!$AA$4:$AB$7,2,FALSE)=0,"Spatial Data Missing ⚠",VLOOKUP(M173,'G-7 WaterC'' Data'!$AA$4:$AB$7,2,FALSE)))))</f>
        <v/>
      </c>
      <c r="O173" s="56"/>
      <c r="P173" s="282" t="str">
        <f>IF(O173="","",IF(AND(O173="N/A - Culvert", D173&lt;&gt;"Culvert"),"Not possible ▲", IF(AND(D173="Culvert",O173&lt;&gt;"N/A - Culvert"),"Not possible ▲",IF(VLOOKUP(O173,'G-7 WaterC'' Data'!$AD$4:$AE$14,2,FALSE)=0,"Spatial Data Missing ⚠",VLOOKUP(O173,'G-7 WaterC'' Data'!$AD$4:$AE$14,2,FALSE)))))</f>
        <v/>
      </c>
      <c r="Q173" s="288" t="str">
        <f>IF(D173="","",VLOOKUP(D173,'G-7 WaterC'' Data'!$B$2:$G$8,6,FALSE))</f>
        <v/>
      </c>
      <c r="R173" s="295" t="str">
        <f t="shared" si="21"/>
        <v xml:space="preserve"> </v>
      </c>
      <c r="S173" s="820" t="str">
        <f t="shared" si="22"/>
        <v/>
      </c>
      <c r="T173" s="32"/>
      <c r="U173" s="105"/>
      <c r="V173" s="112"/>
      <c r="W173" s="293" t="str">
        <f t="shared" si="23"/>
        <v/>
      </c>
      <c r="X173" s="293" t="str">
        <f t="shared" si="24"/>
        <v/>
      </c>
      <c r="Y173" s="293" t="str">
        <f t="shared" si="25"/>
        <v/>
      </c>
      <c r="Z173" s="323" t="str">
        <f>IFERROR(IF(OR(E173="",R173=""),"",  IF(AND(Q173='G-7 WaterC'' Data'!$G$4,AA173="Yes"),"Alternative Compensation ✓", IF(AND(AA173="Pending", Q173='G-7 WaterC'' Data'!$G$4),"Bespoke compensation must be agreed ▲", IF((W173+X173)&gt;=R173, 0, R173-W173-X173)))),"Check Data ⚠")</f>
        <v/>
      </c>
      <c r="AA173" s="817"/>
      <c r="AB173" s="140"/>
      <c r="AC173" s="108"/>
      <c r="AD173" s="108"/>
      <c r="AE173" s="54" t="str">
        <f>IF(OR(Q173="",AA173="Yes"),"",IF(Q173='G-1 All Habitats'!$X$9,E173-U173-V173,"None"))</f>
        <v/>
      </c>
      <c r="AF173" s="55" t="str">
        <f>IF(Q173="","", IF(Q173='G-1 All Habitats'!$X$9, AE173*G173*I173*L173*N173*P173,"None"))</f>
        <v/>
      </c>
      <c r="AI173" s="30">
        <f t="shared" si="26"/>
        <v>0</v>
      </c>
      <c r="AJ173" s="111" t="str">
        <f t="shared" si="27"/>
        <v/>
      </c>
      <c r="AK173" s="111" t="str">
        <f t="shared" si="28"/>
        <v/>
      </c>
      <c r="AM173" s="111">
        <v>164</v>
      </c>
      <c r="AO173" s="111" t="str">
        <f t="array" ref="AO173">IFERROR(INDEX($AM$10:$AM$258, MATCH(0, IF(TRUE=$AJ$10:$AJ$258, COUNTIF($AO$9:$AO172, $AM$10:$AM$258), ""), 0)),"")</f>
        <v/>
      </c>
      <c r="AP173" s="111" t="str">
        <f t="array" ref="AP173">IFERROR(INDEX($AM$10:$AM$258, MATCH(0, IF(TRUE=$AK$10:$AK$258, COUNTIF($AP$9:$AP172, $AM$10:$AM$258), ""), 0)),"")</f>
        <v/>
      </c>
      <c r="AR173" s="30" t="str">
        <f>IFERROR(INDEX('G-7 WaterC'' Data'!$AZ$3:$AZ$7,MATCH(D173,'G-7 WaterC'' Data'!$AY$3:$AY$7,0)),"")</f>
        <v/>
      </c>
      <c r="AS173" s="30" t="str">
        <f>IFERROR(INDEX('G-7 WaterC'' Data'!AZ173:AZ177,MATCH(D173,'G-7 WaterC'' Data'!$AY$10:$AY$14,0)),"")</f>
        <v/>
      </c>
      <c r="AT173" s="903" t="str">
        <f>IF(AND(OR(AA173="Yes",AA173="Pending"),Q173='G-7 WaterC'' Data'!$G$4),R173-W173-X173,"")</f>
        <v/>
      </c>
      <c r="AU173" s="30" t="str">
        <f>IF(D173="","",VLOOKUP(D173,'G-7 WaterC'' Data'!B$4:M$8,12,FALSE))</f>
        <v/>
      </c>
      <c r="AV173" s="30" t="str">
        <f t="shared" si="20"/>
        <v/>
      </c>
      <c r="AX173" s="30" t="str">
        <f t="shared" si="29"/>
        <v>No</v>
      </c>
    </row>
    <row r="174" spans="3:50" x14ac:dyDescent="0.25">
      <c r="C174" s="101">
        <v>165</v>
      </c>
      <c r="D174" s="267"/>
      <c r="E174" s="119"/>
      <c r="F174" s="281" t="str">
        <f>IF(D174="","",VLOOKUP(D174,'G-7 WaterC'' Data'!$B$2:$G$8,2,FALSE))</f>
        <v/>
      </c>
      <c r="G174" s="282" t="str">
        <f>IFERROR(VLOOKUP(F174,'G-7 WaterC'' Data'!$C$4:$D$8,2,FALSE),"")</f>
        <v/>
      </c>
      <c r="H174" s="52"/>
      <c r="I174" s="282" t="str">
        <f>IFERROR(INDEX('G-7 WaterC'' Data'!$H$4:$L$8,MATCH(D174,'G-7 WaterC'' Data'!$B$4:$B$8,0),MATCH(H174,'G-7 WaterC'' Data'!$H$3:$L$3,0)),"")</f>
        <v/>
      </c>
      <c r="J174" s="793"/>
      <c r="K174" s="317" t="str">
        <f>IF(J174="","",IF(VLOOKUP(J174,'G-7 WaterC'' Data'!$AK$4:$AM$6,2,FALSE)=0,"Spatial Data Missing ⚠",VLOOKUP(J174,'G-7 WaterC'' Data'!$AK$4:$AM$6,2,FALSE)))</f>
        <v/>
      </c>
      <c r="L174" s="287" t="str">
        <f>IF(J174="","",IF(VLOOKUP(J174,'G-7 WaterC'' Data'!$AK$4:$AM$9,3,FALSE)=0,"Spatial Data Missing ⚠",VLOOKUP(J174,'G-7 WaterC'' Data'!$AK$4:$AM$6,3,FALSE)))</f>
        <v/>
      </c>
      <c r="M174" s="52"/>
      <c r="N174" s="282" t="str">
        <f>IF(M174="","",IF(AND(D174&lt;&gt;"Culvert",M174="N/A - Culvert"),"Not possible ▲",IF(AND(D174="Culvert",M174&lt;&gt;"N/A - Culvert"),"Not possible ▲",IF(VLOOKUP(M174,'G-7 WaterC'' Data'!$AA$4:$AB$7,2,FALSE)=0,"Spatial Data Missing ⚠",VLOOKUP(M174,'G-7 WaterC'' Data'!$AA$4:$AB$7,2,FALSE)))))</f>
        <v/>
      </c>
      <c r="O174" s="56"/>
      <c r="P174" s="282" t="str">
        <f>IF(O174="","",IF(AND(O174="N/A - Culvert", D174&lt;&gt;"Culvert"),"Not possible ▲", IF(AND(D174="Culvert",O174&lt;&gt;"N/A - Culvert"),"Not possible ▲",IF(VLOOKUP(O174,'G-7 WaterC'' Data'!$AD$4:$AE$14,2,FALSE)=0,"Spatial Data Missing ⚠",VLOOKUP(O174,'G-7 WaterC'' Data'!$AD$4:$AE$14,2,FALSE)))))</f>
        <v/>
      </c>
      <c r="Q174" s="288" t="str">
        <f>IF(D174="","",VLOOKUP(D174,'G-7 WaterC'' Data'!$B$2:$G$8,6,FALSE))</f>
        <v/>
      </c>
      <c r="R174" s="295" t="str">
        <f t="shared" si="21"/>
        <v xml:space="preserve"> </v>
      </c>
      <c r="S174" s="820" t="str">
        <f t="shared" si="22"/>
        <v/>
      </c>
      <c r="T174" s="32"/>
      <c r="U174" s="105"/>
      <c r="V174" s="112"/>
      <c r="W174" s="293" t="str">
        <f t="shared" si="23"/>
        <v/>
      </c>
      <c r="X174" s="293" t="str">
        <f t="shared" si="24"/>
        <v/>
      </c>
      <c r="Y174" s="293" t="str">
        <f t="shared" si="25"/>
        <v/>
      </c>
      <c r="Z174" s="323" t="str">
        <f>IFERROR(IF(OR(E174="",R174=""),"",  IF(AND(Q174='G-7 WaterC'' Data'!$G$4,AA174="Yes"),"Alternative Compensation ✓", IF(AND(AA174="Pending", Q174='G-7 WaterC'' Data'!$G$4),"Bespoke compensation must be agreed ▲", IF((W174+X174)&gt;=R174, 0, R174-W174-X174)))),"Check Data ⚠")</f>
        <v/>
      </c>
      <c r="AA174" s="817"/>
      <c r="AB174" s="140"/>
      <c r="AC174" s="108"/>
      <c r="AD174" s="108"/>
      <c r="AE174" s="54" t="str">
        <f>IF(OR(Q174="",AA174="Yes"),"",IF(Q174='G-1 All Habitats'!$X$9,E174-U174-V174,"None"))</f>
        <v/>
      </c>
      <c r="AF174" s="55" t="str">
        <f>IF(Q174="","", IF(Q174='G-1 All Habitats'!$X$9, AE174*G174*I174*L174*N174*P174,"None"))</f>
        <v/>
      </c>
      <c r="AI174" s="30">
        <f t="shared" si="26"/>
        <v>0</v>
      </c>
      <c r="AJ174" s="111" t="str">
        <f t="shared" si="27"/>
        <v/>
      </c>
      <c r="AK174" s="111" t="str">
        <f t="shared" si="28"/>
        <v/>
      </c>
      <c r="AM174" s="111">
        <v>165</v>
      </c>
      <c r="AO174" s="111" t="str">
        <f t="array" ref="AO174">IFERROR(INDEX($AM$10:$AM$258, MATCH(0, IF(TRUE=$AJ$10:$AJ$258, COUNTIF($AO$9:$AO173, $AM$10:$AM$258), ""), 0)),"")</f>
        <v/>
      </c>
      <c r="AP174" s="111" t="str">
        <f t="array" ref="AP174">IFERROR(INDEX($AM$10:$AM$258, MATCH(0, IF(TRUE=$AK$10:$AK$258, COUNTIF($AP$9:$AP173, $AM$10:$AM$258), ""), 0)),"")</f>
        <v/>
      </c>
      <c r="AR174" s="30" t="str">
        <f>IFERROR(INDEX('G-7 WaterC'' Data'!$AZ$3:$AZ$7,MATCH(D174,'G-7 WaterC'' Data'!$AY$3:$AY$7,0)),"")</f>
        <v/>
      </c>
      <c r="AS174" s="30" t="str">
        <f>IFERROR(INDEX('G-7 WaterC'' Data'!AZ174:AZ178,MATCH(D174,'G-7 WaterC'' Data'!$AY$10:$AY$14,0)),"")</f>
        <v/>
      </c>
      <c r="AT174" s="903" t="str">
        <f>IF(AND(OR(AA174="Yes",AA174="Pending"),Q174='G-7 WaterC'' Data'!$G$4),R174-W174-X174,"")</f>
        <v/>
      </c>
      <c r="AU174" s="30" t="str">
        <f>IF(D174="","",VLOOKUP(D174,'G-7 WaterC'' Data'!B$4:M$8,12,FALSE))</f>
        <v/>
      </c>
      <c r="AV174" s="30" t="str">
        <f t="shared" si="20"/>
        <v/>
      </c>
      <c r="AX174" s="30" t="str">
        <f t="shared" si="29"/>
        <v>No</v>
      </c>
    </row>
    <row r="175" spans="3:50" x14ac:dyDescent="0.25">
      <c r="C175" s="101">
        <v>166</v>
      </c>
      <c r="D175" s="267"/>
      <c r="E175" s="119"/>
      <c r="F175" s="281" t="str">
        <f>IF(D175="","",VLOOKUP(D175,'G-7 WaterC'' Data'!$B$2:$G$8,2,FALSE))</f>
        <v/>
      </c>
      <c r="G175" s="282" t="str">
        <f>IFERROR(VLOOKUP(F175,'G-7 WaterC'' Data'!$C$4:$D$8,2,FALSE),"")</f>
        <v/>
      </c>
      <c r="H175" s="52"/>
      <c r="I175" s="282" t="str">
        <f>IFERROR(INDEX('G-7 WaterC'' Data'!$H$4:$L$8,MATCH(D175,'G-7 WaterC'' Data'!$B$4:$B$8,0),MATCH(H175,'G-7 WaterC'' Data'!$H$3:$L$3,0)),"")</f>
        <v/>
      </c>
      <c r="J175" s="793"/>
      <c r="K175" s="317" t="str">
        <f>IF(J175="","",IF(VLOOKUP(J175,'G-7 WaterC'' Data'!$AK$4:$AM$6,2,FALSE)=0,"Spatial Data Missing ⚠",VLOOKUP(J175,'G-7 WaterC'' Data'!$AK$4:$AM$6,2,FALSE)))</f>
        <v/>
      </c>
      <c r="L175" s="287" t="str">
        <f>IF(J175="","",IF(VLOOKUP(J175,'G-7 WaterC'' Data'!$AK$4:$AM$9,3,FALSE)=0,"Spatial Data Missing ⚠",VLOOKUP(J175,'G-7 WaterC'' Data'!$AK$4:$AM$6,3,FALSE)))</f>
        <v/>
      </c>
      <c r="M175" s="52"/>
      <c r="N175" s="282" t="str">
        <f>IF(M175="","",IF(AND(D175&lt;&gt;"Culvert",M175="N/A - Culvert"),"Not possible ▲",IF(AND(D175="Culvert",M175&lt;&gt;"N/A - Culvert"),"Not possible ▲",IF(VLOOKUP(M175,'G-7 WaterC'' Data'!$AA$4:$AB$7,2,FALSE)=0,"Spatial Data Missing ⚠",VLOOKUP(M175,'G-7 WaterC'' Data'!$AA$4:$AB$7,2,FALSE)))))</f>
        <v/>
      </c>
      <c r="O175" s="56"/>
      <c r="P175" s="282" t="str">
        <f>IF(O175="","",IF(AND(O175="N/A - Culvert", D175&lt;&gt;"Culvert"),"Not possible ▲", IF(AND(D175="Culvert",O175&lt;&gt;"N/A - Culvert"),"Not possible ▲",IF(VLOOKUP(O175,'G-7 WaterC'' Data'!$AD$4:$AE$14,2,FALSE)=0,"Spatial Data Missing ⚠",VLOOKUP(O175,'G-7 WaterC'' Data'!$AD$4:$AE$14,2,FALSE)))))</f>
        <v/>
      </c>
      <c r="Q175" s="288" t="str">
        <f>IF(D175="","",VLOOKUP(D175,'G-7 WaterC'' Data'!$B$2:$G$8,6,FALSE))</f>
        <v/>
      </c>
      <c r="R175" s="295" t="str">
        <f t="shared" si="21"/>
        <v xml:space="preserve"> </v>
      </c>
      <c r="S175" s="820" t="str">
        <f t="shared" si="22"/>
        <v/>
      </c>
      <c r="T175" s="32"/>
      <c r="U175" s="105"/>
      <c r="V175" s="112"/>
      <c r="W175" s="293" t="str">
        <f t="shared" si="23"/>
        <v/>
      </c>
      <c r="X175" s="293" t="str">
        <f t="shared" si="24"/>
        <v/>
      </c>
      <c r="Y175" s="293" t="str">
        <f t="shared" si="25"/>
        <v/>
      </c>
      <c r="Z175" s="323" t="str">
        <f>IFERROR(IF(OR(E175="",R175=""),"",  IF(AND(Q175='G-7 WaterC'' Data'!$G$4,AA175="Yes"),"Alternative Compensation ✓", IF(AND(AA175="Pending", Q175='G-7 WaterC'' Data'!$G$4),"Bespoke compensation must be agreed ▲", IF((W175+X175)&gt;=R175, 0, R175-W175-X175)))),"Check Data ⚠")</f>
        <v/>
      </c>
      <c r="AA175" s="817"/>
      <c r="AB175" s="140"/>
      <c r="AC175" s="108"/>
      <c r="AD175" s="108"/>
      <c r="AE175" s="54" t="str">
        <f>IF(OR(Q175="",AA175="Yes"),"",IF(Q175='G-1 All Habitats'!$X$9,E175-U175-V175,"None"))</f>
        <v/>
      </c>
      <c r="AF175" s="55" t="str">
        <f>IF(Q175="","", IF(Q175='G-1 All Habitats'!$X$9, AE175*G175*I175*L175*N175*P175,"None"))</f>
        <v/>
      </c>
      <c r="AI175" s="30">
        <f t="shared" si="26"/>
        <v>0</v>
      </c>
      <c r="AJ175" s="111" t="str">
        <f t="shared" si="27"/>
        <v/>
      </c>
      <c r="AK175" s="111" t="str">
        <f t="shared" si="28"/>
        <v/>
      </c>
      <c r="AM175" s="111">
        <v>166</v>
      </c>
      <c r="AO175" s="111" t="str">
        <f t="array" ref="AO175">IFERROR(INDEX($AM$10:$AM$258, MATCH(0, IF(TRUE=$AJ$10:$AJ$258, COUNTIF($AO$9:$AO174, $AM$10:$AM$258), ""), 0)),"")</f>
        <v/>
      </c>
      <c r="AP175" s="111" t="str">
        <f t="array" ref="AP175">IFERROR(INDEX($AM$10:$AM$258, MATCH(0, IF(TRUE=$AK$10:$AK$258, COUNTIF($AP$9:$AP174, $AM$10:$AM$258), ""), 0)),"")</f>
        <v/>
      </c>
      <c r="AR175" s="30" t="str">
        <f>IFERROR(INDEX('G-7 WaterC'' Data'!$AZ$3:$AZ$7,MATCH(D175,'G-7 WaterC'' Data'!$AY$3:$AY$7,0)),"")</f>
        <v/>
      </c>
      <c r="AS175" s="30" t="str">
        <f>IFERROR(INDEX('G-7 WaterC'' Data'!AZ175:AZ179,MATCH(D175,'G-7 WaterC'' Data'!$AY$10:$AY$14,0)),"")</f>
        <v/>
      </c>
      <c r="AT175" s="903" t="str">
        <f>IF(AND(OR(AA175="Yes",AA175="Pending"),Q175='G-7 WaterC'' Data'!$G$4),R175-W175-X175,"")</f>
        <v/>
      </c>
      <c r="AU175" s="30" t="str">
        <f>IF(D175="","",VLOOKUP(D175,'G-7 WaterC'' Data'!B$4:M$8,12,FALSE))</f>
        <v/>
      </c>
      <c r="AV175" s="30" t="str">
        <f t="shared" si="20"/>
        <v/>
      </c>
      <c r="AX175" s="30" t="str">
        <f t="shared" si="29"/>
        <v>No</v>
      </c>
    </row>
    <row r="176" spans="3:50" x14ac:dyDescent="0.25">
      <c r="C176" s="101">
        <v>167</v>
      </c>
      <c r="D176" s="267"/>
      <c r="E176" s="119"/>
      <c r="F176" s="281" t="str">
        <f>IF(D176="","",VLOOKUP(D176,'G-7 WaterC'' Data'!$B$2:$G$8,2,FALSE))</f>
        <v/>
      </c>
      <c r="G176" s="282" t="str">
        <f>IFERROR(VLOOKUP(F176,'G-7 WaterC'' Data'!$C$4:$D$8,2,FALSE),"")</f>
        <v/>
      </c>
      <c r="H176" s="52"/>
      <c r="I176" s="282" t="str">
        <f>IFERROR(INDEX('G-7 WaterC'' Data'!$H$4:$L$8,MATCH(D176,'G-7 WaterC'' Data'!$B$4:$B$8,0),MATCH(H176,'G-7 WaterC'' Data'!$H$3:$L$3,0)),"")</f>
        <v/>
      </c>
      <c r="J176" s="793"/>
      <c r="K176" s="317" t="str">
        <f>IF(J176="","",IF(VLOOKUP(J176,'G-7 WaterC'' Data'!$AK$4:$AM$6,2,FALSE)=0,"Spatial Data Missing ⚠",VLOOKUP(J176,'G-7 WaterC'' Data'!$AK$4:$AM$6,2,FALSE)))</f>
        <v/>
      </c>
      <c r="L176" s="287" t="str">
        <f>IF(J176="","",IF(VLOOKUP(J176,'G-7 WaterC'' Data'!$AK$4:$AM$9,3,FALSE)=0,"Spatial Data Missing ⚠",VLOOKUP(J176,'G-7 WaterC'' Data'!$AK$4:$AM$6,3,FALSE)))</f>
        <v/>
      </c>
      <c r="M176" s="52"/>
      <c r="N176" s="282" t="str">
        <f>IF(M176="","",IF(AND(D176&lt;&gt;"Culvert",M176="N/A - Culvert"),"Not possible ▲",IF(AND(D176="Culvert",M176&lt;&gt;"N/A - Culvert"),"Not possible ▲",IF(VLOOKUP(M176,'G-7 WaterC'' Data'!$AA$4:$AB$7,2,FALSE)=0,"Spatial Data Missing ⚠",VLOOKUP(M176,'G-7 WaterC'' Data'!$AA$4:$AB$7,2,FALSE)))))</f>
        <v/>
      </c>
      <c r="O176" s="56"/>
      <c r="P176" s="282" t="str">
        <f>IF(O176="","",IF(AND(O176="N/A - Culvert", D176&lt;&gt;"Culvert"),"Not possible ▲", IF(AND(D176="Culvert",O176&lt;&gt;"N/A - Culvert"),"Not possible ▲",IF(VLOOKUP(O176,'G-7 WaterC'' Data'!$AD$4:$AE$14,2,FALSE)=0,"Spatial Data Missing ⚠",VLOOKUP(O176,'G-7 WaterC'' Data'!$AD$4:$AE$14,2,FALSE)))))</f>
        <v/>
      </c>
      <c r="Q176" s="288" t="str">
        <f>IF(D176="","",VLOOKUP(D176,'G-7 WaterC'' Data'!$B$2:$G$8,6,FALSE))</f>
        <v/>
      </c>
      <c r="R176" s="295" t="str">
        <f t="shared" si="21"/>
        <v xml:space="preserve"> </v>
      </c>
      <c r="S176" s="820" t="str">
        <f t="shared" si="22"/>
        <v/>
      </c>
      <c r="T176" s="32"/>
      <c r="U176" s="105"/>
      <c r="V176" s="112"/>
      <c r="W176" s="293" t="str">
        <f t="shared" si="23"/>
        <v/>
      </c>
      <c r="X176" s="293" t="str">
        <f t="shared" si="24"/>
        <v/>
      </c>
      <c r="Y176" s="293" t="str">
        <f t="shared" si="25"/>
        <v/>
      </c>
      <c r="Z176" s="323" t="str">
        <f>IFERROR(IF(OR(E176="",R176=""),"",  IF(AND(Q176='G-7 WaterC'' Data'!$G$4,AA176="Yes"),"Alternative Compensation ✓", IF(AND(AA176="Pending", Q176='G-7 WaterC'' Data'!$G$4),"Bespoke compensation must be agreed ▲", IF((W176+X176)&gt;=R176, 0, R176-W176-X176)))),"Check Data ⚠")</f>
        <v/>
      </c>
      <c r="AA176" s="817"/>
      <c r="AB176" s="140"/>
      <c r="AC176" s="108"/>
      <c r="AD176" s="108"/>
      <c r="AE176" s="54" t="str">
        <f>IF(OR(Q176="",AA176="Yes"),"",IF(Q176='G-1 All Habitats'!$X$9,E176-U176-V176,"None"))</f>
        <v/>
      </c>
      <c r="AF176" s="55" t="str">
        <f>IF(Q176="","", IF(Q176='G-1 All Habitats'!$X$9, AE176*G176*I176*L176*N176*P176,"None"))</f>
        <v/>
      </c>
      <c r="AI176" s="30">
        <f t="shared" si="26"/>
        <v>0</v>
      </c>
      <c r="AJ176" s="111" t="str">
        <f t="shared" si="27"/>
        <v/>
      </c>
      <c r="AK176" s="111" t="str">
        <f t="shared" si="28"/>
        <v/>
      </c>
      <c r="AM176" s="111">
        <v>167</v>
      </c>
      <c r="AO176" s="111" t="str">
        <f t="array" ref="AO176">IFERROR(INDEX($AM$10:$AM$258, MATCH(0, IF(TRUE=$AJ$10:$AJ$258, COUNTIF($AO$9:$AO175, $AM$10:$AM$258), ""), 0)),"")</f>
        <v/>
      </c>
      <c r="AP176" s="111" t="str">
        <f t="array" ref="AP176">IFERROR(INDEX($AM$10:$AM$258, MATCH(0, IF(TRUE=$AK$10:$AK$258, COUNTIF($AP$9:$AP175, $AM$10:$AM$258), ""), 0)),"")</f>
        <v/>
      </c>
      <c r="AR176" s="30" t="str">
        <f>IFERROR(INDEX('G-7 WaterC'' Data'!$AZ$3:$AZ$7,MATCH(D176,'G-7 WaterC'' Data'!$AY$3:$AY$7,0)),"")</f>
        <v/>
      </c>
      <c r="AS176" s="30" t="str">
        <f>IFERROR(INDEX('G-7 WaterC'' Data'!AZ176:AZ180,MATCH(D176,'G-7 WaterC'' Data'!$AY$10:$AY$14,0)),"")</f>
        <v/>
      </c>
      <c r="AT176" s="903" t="str">
        <f>IF(AND(OR(AA176="Yes",AA176="Pending"),Q176='G-7 WaterC'' Data'!$G$4),R176-W176-X176,"")</f>
        <v/>
      </c>
      <c r="AU176" s="30" t="str">
        <f>IF(D176="","",VLOOKUP(D176,'G-7 WaterC'' Data'!B$4:M$8,12,FALSE))</f>
        <v/>
      </c>
      <c r="AV176" s="30" t="str">
        <f t="shared" si="20"/>
        <v/>
      </c>
      <c r="AX176" s="30" t="str">
        <f t="shared" si="29"/>
        <v>No</v>
      </c>
    </row>
    <row r="177" spans="3:50" x14ac:dyDescent="0.25">
      <c r="C177" s="101">
        <v>168</v>
      </c>
      <c r="D177" s="267"/>
      <c r="E177" s="119"/>
      <c r="F177" s="281" t="str">
        <f>IF(D177="","",VLOOKUP(D177,'G-7 WaterC'' Data'!$B$2:$G$8,2,FALSE))</f>
        <v/>
      </c>
      <c r="G177" s="282" t="str">
        <f>IFERROR(VLOOKUP(F177,'G-7 WaterC'' Data'!$C$4:$D$8,2,FALSE),"")</f>
        <v/>
      </c>
      <c r="H177" s="52"/>
      <c r="I177" s="282" t="str">
        <f>IFERROR(INDEX('G-7 WaterC'' Data'!$H$4:$L$8,MATCH(D177,'G-7 WaterC'' Data'!$B$4:$B$8,0),MATCH(H177,'G-7 WaterC'' Data'!$H$3:$L$3,0)),"")</f>
        <v/>
      </c>
      <c r="J177" s="793"/>
      <c r="K177" s="317" t="str">
        <f>IF(J177="","",IF(VLOOKUP(J177,'G-7 WaterC'' Data'!$AK$4:$AM$6,2,FALSE)=0,"Spatial Data Missing ⚠",VLOOKUP(J177,'G-7 WaterC'' Data'!$AK$4:$AM$6,2,FALSE)))</f>
        <v/>
      </c>
      <c r="L177" s="287" t="str">
        <f>IF(J177="","",IF(VLOOKUP(J177,'G-7 WaterC'' Data'!$AK$4:$AM$9,3,FALSE)=0,"Spatial Data Missing ⚠",VLOOKUP(J177,'G-7 WaterC'' Data'!$AK$4:$AM$6,3,FALSE)))</f>
        <v/>
      </c>
      <c r="M177" s="52"/>
      <c r="N177" s="282" t="str">
        <f>IF(M177="","",IF(AND(D177&lt;&gt;"Culvert",M177="N/A - Culvert"),"Not possible ▲",IF(AND(D177="Culvert",M177&lt;&gt;"N/A - Culvert"),"Not possible ▲",IF(VLOOKUP(M177,'G-7 WaterC'' Data'!$AA$4:$AB$7,2,FALSE)=0,"Spatial Data Missing ⚠",VLOOKUP(M177,'G-7 WaterC'' Data'!$AA$4:$AB$7,2,FALSE)))))</f>
        <v/>
      </c>
      <c r="O177" s="56"/>
      <c r="P177" s="282" t="str">
        <f>IF(O177="","",IF(AND(O177="N/A - Culvert", D177&lt;&gt;"Culvert"),"Not possible ▲", IF(AND(D177="Culvert",O177&lt;&gt;"N/A - Culvert"),"Not possible ▲",IF(VLOOKUP(O177,'G-7 WaterC'' Data'!$AD$4:$AE$14,2,FALSE)=0,"Spatial Data Missing ⚠",VLOOKUP(O177,'G-7 WaterC'' Data'!$AD$4:$AE$14,2,FALSE)))))</f>
        <v/>
      </c>
      <c r="Q177" s="288" t="str">
        <f>IF(D177="","",VLOOKUP(D177,'G-7 WaterC'' Data'!$B$2:$G$8,6,FALSE))</f>
        <v/>
      </c>
      <c r="R177" s="295" t="str">
        <f t="shared" si="21"/>
        <v xml:space="preserve"> </v>
      </c>
      <c r="S177" s="820" t="str">
        <f t="shared" si="22"/>
        <v/>
      </c>
      <c r="T177" s="32"/>
      <c r="U177" s="105"/>
      <c r="V177" s="112"/>
      <c r="W177" s="293" t="str">
        <f t="shared" si="23"/>
        <v/>
      </c>
      <c r="X177" s="293" t="str">
        <f t="shared" si="24"/>
        <v/>
      </c>
      <c r="Y177" s="293" t="str">
        <f t="shared" si="25"/>
        <v/>
      </c>
      <c r="Z177" s="323" t="str">
        <f>IFERROR(IF(OR(E177="",R177=""),"",  IF(AND(Q177='G-7 WaterC'' Data'!$G$4,AA177="Yes"),"Alternative Compensation ✓", IF(AND(AA177="Pending", Q177='G-7 WaterC'' Data'!$G$4),"Bespoke compensation must be agreed ▲", IF((W177+X177)&gt;=R177, 0, R177-W177-X177)))),"Check Data ⚠")</f>
        <v/>
      </c>
      <c r="AA177" s="817"/>
      <c r="AB177" s="140"/>
      <c r="AC177" s="108"/>
      <c r="AD177" s="108"/>
      <c r="AE177" s="54" t="str">
        <f>IF(OR(Q177="",AA177="Yes"),"",IF(Q177='G-1 All Habitats'!$X$9,E177-U177-V177,"None"))</f>
        <v/>
      </c>
      <c r="AF177" s="55" t="str">
        <f>IF(Q177="","", IF(Q177='G-1 All Habitats'!$X$9, AE177*G177*I177*L177*N177*P177,"None"))</f>
        <v/>
      </c>
      <c r="AI177" s="30">
        <f t="shared" si="26"/>
        <v>0</v>
      </c>
      <c r="AJ177" s="111" t="str">
        <f t="shared" si="27"/>
        <v/>
      </c>
      <c r="AK177" s="111" t="str">
        <f t="shared" si="28"/>
        <v/>
      </c>
      <c r="AM177" s="111">
        <v>168</v>
      </c>
      <c r="AO177" s="111" t="str">
        <f t="array" ref="AO177">IFERROR(INDEX($AM$10:$AM$258, MATCH(0, IF(TRUE=$AJ$10:$AJ$258, COUNTIF($AO$9:$AO176, $AM$10:$AM$258), ""), 0)),"")</f>
        <v/>
      </c>
      <c r="AP177" s="111" t="str">
        <f t="array" ref="AP177">IFERROR(INDEX($AM$10:$AM$258, MATCH(0, IF(TRUE=$AK$10:$AK$258, COUNTIF($AP$9:$AP176, $AM$10:$AM$258), ""), 0)),"")</f>
        <v/>
      </c>
      <c r="AR177" s="30" t="str">
        <f>IFERROR(INDEX('G-7 WaterC'' Data'!$AZ$3:$AZ$7,MATCH(D177,'G-7 WaterC'' Data'!$AY$3:$AY$7,0)),"")</f>
        <v/>
      </c>
      <c r="AS177" s="30" t="str">
        <f>IFERROR(INDEX('G-7 WaterC'' Data'!AZ177:AZ181,MATCH(D177,'G-7 WaterC'' Data'!$AY$10:$AY$14,0)),"")</f>
        <v/>
      </c>
      <c r="AT177" s="903" t="str">
        <f>IF(AND(OR(AA177="Yes",AA177="Pending"),Q177='G-7 WaterC'' Data'!$G$4),R177-W177-X177,"")</f>
        <v/>
      </c>
      <c r="AU177" s="30" t="str">
        <f>IF(D177="","",VLOOKUP(D177,'G-7 WaterC'' Data'!B$4:M$8,12,FALSE))</f>
        <v/>
      </c>
      <c r="AV177" s="30" t="str">
        <f t="shared" si="20"/>
        <v/>
      </c>
      <c r="AX177" s="30" t="str">
        <f t="shared" si="29"/>
        <v>No</v>
      </c>
    </row>
    <row r="178" spans="3:50" x14ac:dyDescent="0.25">
      <c r="C178" s="101">
        <v>169</v>
      </c>
      <c r="D178" s="267"/>
      <c r="E178" s="119"/>
      <c r="F178" s="281" t="str">
        <f>IF(D178="","",VLOOKUP(D178,'G-7 WaterC'' Data'!$B$2:$G$8,2,FALSE))</f>
        <v/>
      </c>
      <c r="G178" s="282" t="str">
        <f>IFERROR(VLOOKUP(F178,'G-7 WaterC'' Data'!$C$4:$D$8,2,FALSE),"")</f>
        <v/>
      </c>
      <c r="H178" s="52"/>
      <c r="I178" s="282" t="str">
        <f>IFERROR(INDEX('G-7 WaterC'' Data'!$H$4:$L$8,MATCH(D178,'G-7 WaterC'' Data'!$B$4:$B$8,0),MATCH(H178,'G-7 WaterC'' Data'!$H$3:$L$3,0)),"")</f>
        <v/>
      </c>
      <c r="J178" s="793"/>
      <c r="K178" s="317" t="str">
        <f>IF(J178="","",IF(VLOOKUP(J178,'G-7 WaterC'' Data'!$AK$4:$AM$6,2,FALSE)=0,"Spatial Data Missing ⚠",VLOOKUP(J178,'G-7 WaterC'' Data'!$AK$4:$AM$6,2,FALSE)))</f>
        <v/>
      </c>
      <c r="L178" s="287" t="str">
        <f>IF(J178="","",IF(VLOOKUP(J178,'G-7 WaterC'' Data'!$AK$4:$AM$9,3,FALSE)=0,"Spatial Data Missing ⚠",VLOOKUP(J178,'G-7 WaterC'' Data'!$AK$4:$AM$6,3,FALSE)))</f>
        <v/>
      </c>
      <c r="M178" s="52"/>
      <c r="N178" s="282" t="str">
        <f>IF(M178="","",IF(AND(D178&lt;&gt;"Culvert",M178="N/A - Culvert"),"Not possible ▲",IF(AND(D178="Culvert",M178&lt;&gt;"N/A - Culvert"),"Not possible ▲",IF(VLOOKUP(M178,'G-7 WaterC'' Data'!$AA$4:$AB$7,2,FALSE)=0,"Spatial Data Missing ⚠",VLOOKUP(M178,'G-7 WaterC'' Data'!$AA$4:$AB$7,2,FALSE)))))</f>
        <v/>
      </c>
      <c r="O178" s="56"/>
      <c r="P178" s="282" t="str">
        <f>IF(O178="","",IF(AND(O178="N/A - Culvert", D178&lt;&gt;"Culvert"),"Not possible ▲", IF(AND(D178="Culvert",O178&lt;&gt;"N/A - Culvert"),"Not possible ▲",IF(VLOOKUP(O178,'G-7 WaterC'' Data'!$AD$4:$AE$14,2,FALSE)=0,"Spatial Data Missing ⚠",VLOOKUP(O178,'G-7 WaterC'' Data'!$AD$4:$AE$14,2,FALSE)))))</f>
        <v/>
      </c>
      <c r="Q178" s="288" t="str">
        <f>IF(D178="","",VLOOKUP(D178,'G-7 WaterC'' Data'!$B$2:$G$8,6,FALSE))</f>
        <v/>
      </c>
      <c r="R178" s="295" t="str">
        <f t="shared" si="21"/>
        <v xml:space="preserve"> </v>
      </c>
      <c r="S178" s="820" t="str">
        <f t="shared" si="22"/>
        <v/>
      </c>
      <c r="T178" s="32"/>
      <c r="U178" s="105"/>
      <c r="V178" s="112"/>
      <c r="W178" s="293" t="str">
        <f t="shared" si="23"/>
        <v/>
      </c>
      <c r="X178" s="293" t="str">
        <f t="shared" si="24"/>
        <v/>
      </c>
      <c r="Y178" s="293" t="str">
        <f t="shared" si="25"/>
        <v/>
      </c>
      <c r="Z178" s="323" t="str">
        <f>IFERROR(IF(OR(E178="",R178=""),"",  IF(AND(Q178='G-7 WaterC'' Data'!$G$4,AA178="Yes"),"Alternative Compensation ✓", IF(AND(AA178="Pending", Q178='G-7 WaterC'' Data'!$G$4),"Bespoke compensation must be agreed ▲", IF((W178+X178)&gt;=R178, 0, R178-W178-X178)))),"Check Data ⚠")</f>
        <v/>
      </c>
      <c r="AA178" s="817"/>
      <c r="AB178" s="140"/>
      <c r="AC178" s="108"/>
      <c r="AD178" s="108"/>
      <c r="AE178" s="54" t="str">
        <f>IF(OR(Q178="",AA178="Yes"),"",IF(Q178='G-1 All Habitats'!$X$9,E178-U178-V178,"None"))</f>
        <v/>
      </c>
      <c r="AF178" s="55" t="str">
        <f>IF(Q178="","", IF(Q178='G-1 All Habitats'!$X$9, AE178*G178*I178*L178*N178*P178,"None"))</f>
        <v/>
      </c>
      <c r="AI178" s="30">
        <f t="shared" si="26"/>
        <v>0</v>
      </c>
      <c r="AJ178" s="111" t="str">
        <f t="shared" si="27"/>
        <v/>
      </c>
      <c r="AK178" s="111" t="str">
        <f t="shared" si="28"/>
        <v/>
      </c>
      <c r="AM178" s="111">
        <v>169</v>
      </c>
      <c r="AO178" s="111" t="str">
        <f t="array" ref="AO178">IFERROR(INDEX($AM$10:$AM$258, MATCH(0, IF(TRUE=$AJ$10:$AJ$258, COUNTIF($AO$9:$AO177, $AM$10:$AM$258), ""), 0)),"")</f>
        <v/>
      </c>
      <c r="AP178" s="111" t="str">
        <f t="array" ref="AP178">IFERROR(INDEX($AM$10:$AM$258, MATCH(0, IF(TRUE=$AK$10:$AK$258, COUNTIF($AP$9:$AP177, $AM$10:$AM$258), ""), 0)),"")</f>
        <v/>
      </c>
      <c r="AR178" s="30" t="str">
        <f>IFERROR(INDEX('G-7 WaterC'' Data'!$AZ$3:$AZ$7,MATCH(D178,'G-7 WaterC'' Data'!$AY$3:$AY$7,0)),"")</f>
        <v/>
      </c>
      <c r="AS178" s="30" t="str">
        <f>IFERROR(INDEX('G-7 WaterC'' Data'!AZ178:AZ182,MATCH(D178,'G-7 WaterC'' Data'!$AY$10:$AY$14,0)),"")</f>
        <v/>
      </c>
      <c r="AT178" s="903" t="str">
        <f>IF(AND(OR(AA178="Yes",AA178="Pending"),Q178='G-7 WaterC'' Data'!$G$4),R178-W178-X178,"")</f>
        <v/>
      </c>
      <c r="AU178" s="30" t="str">
        <f>IF(D178="","",VLOOKUP(D178,'G-7 WaterC'' Data'!B$4:M$8,12,FALSE))</f>
        <v/>
      </c>
      <c r="AV178" s="30" t="str">
        <f t="shared" si="20"/>
        <v/>
      </c>
      <c r="AX178" s="30" t="str">
        <f t="shared" si="29"/>
        <v>No</v>
      </c>
    </row>
    <row r="179" spans="3:50" x14ac:dyDescent="0.25">
      <c r="C179" s="101">
        <v>170</v>
      </c>
      <c r="D179" s="267"/>
      <c r="E179" s="119"/>
      <c r="F179" s="281" t="str">
        <f>IF(D179="","",VLOOKUP(D179,'G-7 WaterC'' Data'!$B$2:$G$8,2,FALSE))</f>
        <v/>
      </c>
      <c r="G179" s="282" t="str">
        <f>IFERROR(VLOOKUP(F179,'G-7 WaterC'' Data'!$C$4:$D$8,2,FALSE),"")</f>
        <v/>
      </c>
      <c r="H179" s="52"/>
      <c r="I179" s="282" t="str">
        <f>IFERROR(INDEX('G-7 WaterC'' Data'!$H$4:$L$8,MATCH(D179,'G-7 WaterC'' Data'!$B$4:$B$8,0),MATCH(H179,'G-7 WaterC'' Data'!$H$3:$L$3,0)),"")</f>
        <v/>
      </c>
      <c r="J179" s="793"/>
      <c r="K179" s="317" t="str">
        <f>IF(J179="","",IF(VLOOKUP(J179,'G-7 WaterC'' Data'!$AK$4:$AM$6,2,FALSE)=0,"Spatial Data Missing ⚠",VLOOKUP(J179,'G-7 WaterC'' Data'!$AK$4:$AM$6,2,FALSE)))</f>
        <v/>
      </c>
      <c r="L179" s="287" t="str">
        <f>IF(J179="","",IF(VLOOKUP(J179,'G-7 WaterC'' Data'!$AK$4:$AM$9,3,FALSE)=0,"Spatial Data Missing ⚠",VLOOKUP(J179,'G-7 WaterC'' Data'!$AK$4:$AM$6,3,FALSE)))</f>
        <v/>
      </c>
      <c r="M179" s="52"/>
      <c r="N179" s="282" t="str">
        <f>IF(M179="","",IF(AND(D179&lt;&gt;"Culvert",M179="N/A - Culvert"),"Not possible ▲",IF(AND(D179="Culvert",M179&lt;&gt;"N/A - Culvert"),"Not possible ▲",IF(VLOOKUP(M179,'G-7 WaterC'' Data'!$AA$4:$AB$7,2,FALSE)=0,"Spatial Data Missing ⚠",VLOOKUP(M179,'G-7 WaterC'' Data'!$AA$4:$AB$7,2,FALSE)))))</f>
        <v/>
      </c>
      <c r="O179" s="56"/>
      <c r="P179" s="282" t="str">
        <f>IF(O179="","",IF(AND(O179="N/A - Culvert", D179&lt;&gt;"Culvert"),"Not possible ▲", IF(AND(D179="Culvert",O179&lt;&gt;"N/A - Culvert"),"Not possible ▲",IF(VLOOKUP(O179,'G-7 WaterC'' Data'!$AD$4:$AE$14,2,FALSE)=0,"Spatial Data Missing ⚠",VLOOKUP(O179,'G-7 WaterC'' Data'!$AD$4:$AE$14,2,FALSE)))))</f>
        <v/>
      </c>
      <c r="Q179" s="288" t="str">
        <f>IF(D179="","",VLOOKUP(D179,'G-7 WaterC'' Data'!$B$2:$G$8,6,FALSE))</f>
        <v/>
      </c>
      <c r="R179" s="295" t="str">
        <f t="shared" si="21"/>
        <v xml:space="preserve"> </v>
      </c>
      <c r="S179" s="820" t="str">
        <f t="shared" si="22"/>
        <v/>
      </c>
      <c r="T179" s="32"/>
      <c r="U179" s="105"/>
      <c r="V179" s="112"/>
      <c r="W179" s="293" t="str">
        <f t="shared" si="23"/>
        <v/>
      </c>
      <c r="X179" s="293" t="str">
        <f t="shared" si="24"/>
        <v/>
      </c>
      <c r="Y179" s="293" t="str">
        <f t="shared" si="25"/>
        <v/>
      </c>
      <c r="Z179" s="323" t="str">
        <f>IFERROR(IF(OR(E179="",R179=""),"",  IF(AND(Q179='G-7 WaterC'' Data'!$G$4,AA179="Yes"),"Alternative Compensation ✓", IF(AND(AA179="Pending", Q179='G-7 WaterC'' Data'!$G$4),"Bespoke compensation must be agreed ▲", IF((W179+X179)&gt;=R179, 0, R179-W179-X179)))),"Check Data ⚠")</f>
        <v/>
      </c>
      <c r="AA179" s="817"/>
      <c r="AB179" s="140"/>
      <c r="AC179" s="108"/>
      <c r="AD179" s="108"/>
      <c r="AE179" s="54" t="str">
        <f>IF(OR(Q179="",AA179="Yes"),"",IF(Q179='G-1 All Habitats'!$X$9,E179-U179-V179,"None"))</f>
        <v/>
      </c>
      <c r="AF179" s="55" t="str">
        <f>IF(Q179="","", IF(Q179='G-1 All Habitats'!$X$9, AE179*G179*I179*L179*N179*P179,"None"))</f>
        <v/>
      </c>
      <c r="AI179" s="30">
        <f t="shared" si="26"/>
        <v>0</v>
      </c>
      <c r="AJ179" s="111" t="str">
        <f t="shared" si="27"/>
        <v/>
      </c>
      <c r="AK179" s="111" t="str">
        <f t="shared" si="28"/>
        <v/>
      </c>
      <c r="AM179" s="111">
        <v>170</v>
      </c>
      <c r="AO179" s="111" t="str">
        <f t="array" ref="AO179">IFERROR(INDEX($AM$10:$AM$258, MATCH(0, IF(TRUE=$AJ$10:$AJ$258, COUNTIF($AO$9:$AO178, $AM$10:$AM$258), ""), 0)),"")</f>
        <v/>
      </c>
      <c r="AP179" s="111" t="str">
        <f t="array" ref="AP179">IFERROR(INDEX($AM$10:$AM$258, MATCH(0, IF(TRUE=$AK$10:$AK$258, COUNTIF($AP$9:$AP178, $AM$10:$AM$258), ""), 0)),"")</f>
        <v/>
      </c>
      <c r="AR179" s="30" t="str">
        <f>IFERROR(INDEX('G-7 WaterC'' Data'!$AZ$3:$AZ$7,MATCH(D179,'G-7 WaterC'' Data'!$AY$3:$AY$7,0)),"")</f>
        <v/>
      </c>
      <c r="AS179" s="30" t="str">
        <f>IFERROR(INDEX('G-7 WaterC'' Data'!AZ179:AZ183,MATCH(D179,'G-7 WaterC'' Data'!$AY$10:$AY$14,0)),"")</f>
        <v/>
      </c>
      <c r="AT179" s="903" t="str">
        <f>IF(AND(OR(AA179="Yes",AA179="Pending"),Q179='G-7 WaterC'' Data'!$G$4),R179-W179-X179,"")</f>
        <v/>
      </c>
      <c r="AU179" s="30" t="str">
        <f>IF(D179="","",VLOOKUP(D179,'G-7 WaterC'' Data'!B$4:M$8,12,FALSE))</f>
        <v/>
      </c>
      <c r="AV179" s="30" t="str">
        <f t="shared" si="20"/>
        <v/>
      </c>
      <c r="AX179" s="30" t="str">
        <f t="shared" si="29"/>
        <v>No</v>
      </c>
    </row>
    <row r="180" spans="3:50" x14ac:dyDescent="0.25">
      <c r="C180" s="101">
        <v>171</v>
      </c>
      <c r="D180" s="267"/>
      <c r="E180" s="119"/>
      <c r="F180" s="281" t="str">
        <f>IF(D180="","",VLOOKUP(D180,'G-7 WaterC'' Data'!$B$2:$G$8,2,FALSE))</f>
        <v/>
      </c>
      <c r="G180" s="282" t="str">
        <f>IFERROR(VLOOKUP(F180,'G-7 WaterC'' Data'!$C$4:$D$8,2,FALSE),"")</f>
        <v/>
      </c>
      <c r="H180" s="52"/>
      <c r="I180" s="282" t="str">
        <f>IFERROR(INDEX('G-7 WaterC'' Data'!$H$4:$L$8,MATCH(D180,'G-7 WaterC'' Data'!$B$4:$B$8,0),MATCH(H180,'G-7 WaterC'' Data'!$H$3:$L$3,0)),"")</f>
        <v/>
      </c>
      <c r="J180" s="793"/>
      <c r="K180" s="317" t="str">
        <f>IF(J180="","",IF(VLOOKUP(J180,'G-7 WaterC'' Data'!$AK$4:$AM$6,2,FALSE)=0,"Spatial Data Missing ⚠",VLOOKUP(J180,'G-7 WaterC'' Data'!$AK$4:$AM$6,2,FALSE)))</f>
        <v/>
      </c>
      <c r="L180" s="287" t="str">
        <f>IF(J180="","",IF(VLOOKUP(J180,'G-7 WaterC'' Data'!$AK$4:$AM$9,3,FALSE)=0,"Spatial Data Missing ⚠",VLOOKUP(J180,'G-7 WaterC'' Data'!$AK$4:$AM$6,3,FALSE)))</f>
        <v/>
      </c>
      <c r="M180" s="52"/>
      <c r="N180" s="282" t="str">
        <f>IF(M180="","",IF(AND(D180&lt;&gt;"Culvert",M180="N/A - Culvert"),"Not possible ▲",IF(AND(D180="Culvert",M180&lt;&gt;"N/A - Culvert"),"Not possible ▲",IF(VLOOKUP(M180,'G-7 WaterC'' Data'!$AA$4:$AB$7,2,FALSE)=0,"Spatial Data Missing ⚠",VLOOKUP(M180,'G-7 WaterC'' Data'!$AA$4:$AB$7,2,FALSE)))))</f>
        <v/>
      </c>
      <c r="O180" s="56"/>
      <c r="P180" s="282" t="str">
        <f>IF(O180="","",IF(AND(O180="N/A - Culvert", D180&lt;&gt;"Culvert"),"Not possible ▲", IF(AND(D180="Culvert",O180&lt;&gt;"N/A - Culvert"),"Not possible ▲",IF(VLOOKUP(O180,'G-7 WaterC'' Data'!$AD$4:$AE$14,2,FALSE)=0,"Spatial Data Missing ⚠",VLOOKUP(O180,'G-7 WaterC'' Data'!$AD$4:$AE$14,2,FALSE)))))</f>
        <v/>
      </c>
      <c r="Q180" s="288" t="str">
        <f>IF(D180="","",VLOOKUP(D180,'G-7 WaterC'' Data'!$B$2:$G$8,6,FALSE))</f>
        <v/>
      </c>
      <c r="R180" s="295" t="str">
        <f t="shared" si="21"/>
        <v xml:space="preserve"> </v>
      </c>
      <c r="S180" s="820" t="str">
        <f t="shared" si="22"/>
        <v/>
      </c>
      <c r="T180" s="32"/>
      <c r="U180" s="105"/>
      <c r="V180" s="112"/>
      <c r="W180" s="293" t="str">
        <f t="shared" si="23"/>
        <v/>
      </c>
      <c r="X180" s="293" t="str">
        <f t="shared" si="24"/>
        <v/>
      </c>
      <c r="Y180" s="293" t="str">
        <f t="shared" si="25"/>
        <v/>
      </c>
      <c r="Z180" s="323" t="str">
        <f>IFERROR(IF(OR(E180="",R180=""),"",  IF(AND(Q180='G-7 WaterC'' Data'!$G$4,AA180="Yes"),"Alternative Compensation ✓", IF(AND(AA180="Pending", Q180='G-7 WaterC'' Data'!$G$4),"Bespoke compensation must be agreed ▲", IF((W180+X180)&gt;=R180, 0, R180-W180-X180)))),"Check Data ⚠")</f>
        <v/>
      </c>
      <c r="AA180" s="817"/>
      <c r="AB180" s="140"/>
      <c r="AC180" s="108"/>
      <c r="AD180" s="108"/>
      <c r="AE180" s="54" t="str">
        <f>IF(OR(Q180="",AA180="Yes"),"",IF(Q180='G-1 All Habitats'!$X$9,E180-U180-V180,"None"))</f>
        <v/>
      </c>
      <c r="AF180" s="55" t="str">
        <f>IF(Q180="","", IF(Q180='G-1 All Habitats'!$X$9, AE180*G180*I180*L180*N180*P180,"None"))</f>
        <v/>
      </c>
      <c r="AI180" s="30">
        <f t="shared" si="26"/>
        <v>0</v>
      </c>
      <c r="AJ180" s="111" t="str">
        <f t="shared" si="27"/>
        <v/>
      </c>
      <c r="AK180" s="111" t="str">
        <f t="shared" si="28"/>
        <v/>
      </c>
      <c r="AM180" s="111">
        <v>171</v>
      </c>
      <c r="AO180" s="111" t="str">
        <f t="array" ref="AO180">IFERROR(INDEX($AM$10:$AM$258, MATCH(0, IF(TRUE=$AJ$10:$AJ$258, COUNTIF($AO$9:$AO179, $AM$10:$AM$258), ""), 0)),"")</f>
        <v/>
      </c>
      <c r="AP180" s="111" t="str">
        <f t="array" ref="AP180">IFERROR(INDEX($AM$10:$AM$258, MATCH(0, IF(TRUE=$AK$10:$AK$258, COUNTIF($AP$9:$AP179, $AM$10:$AM$258), ""), 0)),"")</f>
        <v/>
      </c>
      <c r="AR180" s="30" t="str">
        <f>IFERROR(INDEX('G-7 WaterC'' Data'!$AZ$3:$AZ$7,MATCH(D180,'G-7 WaterC'' Data'!$AY$3:$AY$7,0)),"")</f>
        <v/>
      </c>
      <c r="AS180" s="30" t="str">
        <f>IFERROR(INDEX('G-7 WaterC'' Data'!AZ180:AZ184,MATCH(D180,'G-7 WaterC'' Data'!$AY$10:$AY$14,0)),"")</f>
        <v/>
      </c>
      <c r="AT180" s="903" t="str">
        <f>IF(AND(OR(AA180="Yes",AA180="Pending"),Q180='G-7 WaterC'' Data'!$G$4),R180-W180-X180,"")</f>
        <v/>
      </c>
      <c r="AU180" s="30" t="str">
        <f>IF(D180="","",VLOOKUP(D180,'G-7 WaterC'' Data'!B$4:M$8,12,FALSE))</f>
        <v/>
      </c>
      <c r="AV180" s="30" t="str">
        <f t="shared" si="20"/>
        <v/>
      </c>
      <c r="AX180" s="30" t="str">
        <f t="shared" si="29"/>
        <v>No</v>
      </c>
    </row>
    <row r="181" spans="3:50" x14ac:dyDescent="0.25">
      <c r="C181" s="101">
        <v>172</v>
      </c>
      <c r="D181" s="267"/>
      <c r="E181" s="119"/>
      <c r="F181" s="281" t="str">
        <f>IF(D181="","",VLOOKUP(D181,'G-7 WaterC'' Data'!$B$2:$G$8,2,FALSE))</f>
        <v/>
      </c>
      <c r="G181" s="282" t="str">
        <f>IFERROR(VLOOKUP(F181,'G-7 WaterC'' Data'!$C$4:$D$8,2,FALSE),"")</f>
        <v/>
      </c>
      <c r="H181" s="52"/>
      <c r="I181" s="282" t="str">
        <f>IFERROR(INDEX('G-7 WaterC'' Data'!$H$4:$L$8,MATCH(D181,'G-7 WaterC'' Data'!$B$4:$B$8,0),MATCH(H181,'G-7 WaterC'' Data'!$H$3:$L$3,0)),"")</f>
        <v/>
      </c>
      <c r="J181" s="793"/>
      <c r="K181" s="317" t="str">
        <f>IF(J181="","",IF(VLOOKUP(J181,'G-7 WaterC'' Data'!$AK$4:$AM$6,2,FALSE)=0,"Spatial Data Missing ⚠",VLOOKUP(J181,'G-7 WaterC'' Data'!$AK$4:$AM$6,2,FALSE)))</f>
        <v/>
      </c>
      <c r="L181" s="287" t="str">
        <f>IF(J181="","",IF(VLOOKUP(J181,'G-7 WaterC'' Data'!$AK$4:$AM$9,3,FALSE)=0,"Spatial Data Missing ⚠",VLOOKUP(J181,'G-7 WaterC'' Data'!$AK$4:$AM$6,3,FALSE)))</f>
        <v/>
      </c>
      <c r="M181" s="52"/>
      <c r="N181" s="282" t="str">
        <f>IF(M181="","",IF(AND(D181&lt;&gt;"Culvert",M181="N/A - Culvert"),"Not possible ▲",IF(AND(D181="Culvert",M181&lt;&gt;"N/A - Culvert"),"Not possible ▲",IF(VLOOKUP(M181,'G-7 WaterC'' Data'!$AA$4:$AB$7,2,FALSE)=0,"Spatial Data Missing ⚠",VLOOKUP(M181,'G-7 WaterC'' Data'!$AA$4:$AB$7,2,FALSE)))))</f>
        <v/>
      </c>
      <c r="O181" s="56"/>
      <c r="P181" s="282" t="str">
        <f>IF(O181="","",IF(AND(O181="N/A - Culvert", D181&lt;&gt;"Culvert"),"Not possible ▲", IF(AND(D181="Culvert",O181&lt;&gt;"N/A - Culvert"),"Not possible ▲",IF(VLOOKUP(O181,'G-7 WaterC'' Data'!$AD$4:$AE$14,2,FALSE)=0,"Spatial Data Missing ⚠",VLOOKUP(O181,'G-7 WaterC'' Data'!$AD$4:$AE$14,2,FALSE)))))</f>
        <v/>
      </c>
      <c r="Q181" s="288" t="str">
        <f>IF(D181="","",VLOOKUP(D181,'G-7 WaterC'' Data'!$B$2:$G$8,6,FALSE))</f>
        <v/>
      </c>
      <c r="R181" s="295" t="str">
        <f t="shared" si="21"/>
        <v xml:space="preserve"> </v>
      </c>
      <c r="S181" s="820" t="str">
        <f t="shared" si="22"/>
        <v/>
      </c>
      <c r="T181" s="32"/>
      <c r="U181" s="105"/>
      <c r="V181" s="112"/>
      <c r="W181" s="293" t="str">
        <f t="shared" si="23"/>
        <v/>
      </c>
      <c r="X181" s="293" t="str">
        <f t="shared" si="24"/>
        <v/>
      </c>
      <c r="Y181" s="293" t="str">
        <f t="shared" si="25"/>
        <v/>
      </c>
      <c r="Z181" s="323" t="str">
        <f>IFERROR(IF(OR(E181="",R181=""),"",  IF(AND(Q181='G-7 WaterC'' Data'!$G$4,AA181="Yes"),"Alternative Compensation ✓", IF(AND(AA181="Pending", Q181='G-7 WaterC'' Data'!$G$4),"Bespoke compensation must be agreed ▲", IF((W181+X181)&gt;=R181, 0, R181-W181-X181)))),"Check Data ⚠")</f>
        <v/>
      </c>
      <c r="AA181" s="817"/>
      <c r="AB181" s="140"/>
      <c r="AC181" s="108"/>
      <c r="AD181" s="108"/>
      <c r="AE181" s="54" t="str">
        <f>IF(OR(Q181="",AA181="Yes"),"",IF(Q181='G-1 All Habitats'!$X$9,E181-U181-V181,"None"))</f>
        <v/>
      </c>
      <c r="AF181" s="55" t="str">
        <f>IF(Q181="","", IF(Q181='G-1 All Habitats'!$X$9, AE181*G181*I181*L181*N181*P181,"None"))</f>
        <v/>
      </c>
      <c r="AI181" s="30">
        <f t="shared" si="26"/>
        <v>0</v>
      </c>
      <c r="AJ181" s="111" t="str">
        <f t="shared" si="27"/>
        <v/>
      </c>
      <c r="AK181" s="111" t="str">
        <f t="shared" si="28"/>
        <v/>
      </c>
      <c r="AM181" s="111">
        <v>172</v>
      </c>
      <c r="AO181" s="111" t="str">
        <f t="array" ref="AO181">IFERROR(INDEX($AM$10:$AM$258, MATCH(0, IF(TRUE=$AJ$10:$AJ$258, COUNTIF($AO$9:$AO180, $AM$10:$AM$258), ""), 0)),"")</f>
        <v/>
      </c>
      <c r="AP181" s="111" t="str">
        <f t="array" ref="AP181">IFERROR(INDEX($AM$10:$AM$258, MATCH(0, IF(TRUE=$AK$10:$AK$258, COUNTIF($AP$9:$AP180, $AM$10:$AM$258), ""), 0)),"")</f>
        <v/>
      </c>
      <c r="AR181" s="30" t="str">
        <f>IFERROR(INDEX('G-7 WaterC'' Data'!$AZ$3:$AZ$7,MATCH(D181,'G-7 WaterC'' Data'!$AY$3:$AY$7,0)),"")</f>
        <v/>
      </c>
      <c r="AS181" s="30" t="str">
        <f>IFERROR(INDEX('G-7 WaterC'' Data'!AZ181:AZ185,MATCH(D181,'G-7 WaterC'' Data'!$AY$10:$AY$14,0)),"")</f>
        <v/>
      </c>
      <c r="AT181" s="903" t="str">
        <f>IF(AND(OR(AA181="Yes",AA181="Pending"),Q181='G-7 WaterC'' Data'!$G$4),R181-W181-X181,"")</f>
        <v/>
      </c>
      <c r="AU181" s="30" t="str">
        <f>IF(D181="","",VLOOKUP(D181,'G-7 WaterC'' Data'!B$4:M$8,12,FALSE))</f>
        <v/>
      </c>
      <c r="AV181" s="30" t="str">
        <f t="shared" si="20"/>
        <v/>
      </c>
      <c r="AX181" s="30" t="str">
        <f t="shared" si="29"/>
        <v>No</v>
      </c>
    </row>
    <row r="182" spans="3:50" x14ac:dyDescent="0.25">
      <c r="C182" s="101">
        <v>173</v>
      </c>
      <c r="D182" s="267"/>
      <c r="E182" s="119"/>
      <c r="F182" s="281" t="str">
        <f>IF(D182="","",VLOOKUP(D182,'G-7 WaterC'' Data'!$B$2:$G$8,2,FALSE))</f>
        <v/>
      </c>
      <c r="G182" s="282" t="str">
        <f>IFERROR(VLOOKUP(F182,'G-7 WaterC'' Data'!$C$4:$D$8,2,FALSE),"")</f>
        <v/>
      </c>
      <c r="H182" s="52"/>
      <c r="I182" s="282" t="str">
        <f>IFERROR(INDEX('G-7 WaterC'' Data'!$H$4:$L$8,MATCH(D182,'G-7 WaterC'' Data'!$B$4:$B$8,0),MATCH(H182,'G-7 WaterC'' Data'!$H$3:$L$3,0)),"")</f>
        <v/>
      </c>
      <c r="J182" s="793"/>
      <c r="K182" s="317" t="str">
        <f>IF(J182="","",IF(VLOOKUP(J182,'G-7 WaterC'' Data'!$AK$4:$AM$6,2,FALSE)=0,"Spatial Data Missing ⚠",VLOOKUP(J182,'G-7 WaterC'' Data'!$AK$4:$AM$6,2,FALSE)))</f>
        <v/>
      </c>
      <c r="L182" s="287" t="str">
        <f>IF(J182="","",IF(VLOOKUP(J182,'G-7 WaterC'' Data'!$AK$4:$AM$9,3,FALSE)=0,"Spatial Data Missing ⚠",VLOOKUP(J182,'G-7 WaterC'' Data'!$AK$4:$AM$6,3,FALSE)))</f>
        <v/>
      </c>
      <c r="M182" s="52"/>
      <c r="N182" s="282" t="str">
        <f>IF(M182="","",IF(AND(D182&lt;&gt;"Culvert",M182="N/A - Culvert"),"Not possible ▲",IF(AND(D182="Culvert",M182&lt;&gt;"N/A - Culvert"),"Not possible ▲",IF(VLOOKUP(M182,'G-7 WaterC'' Data'!$AA$4:$AB$7,2,FALSE)=0,"Spatial Data Missing ⚠",VLOOKUP(M182,'G-7 WaterC'' Data'!$AA$4:$AB$7,2,FALSE)))))</f>
        <v/>
      </c>
      <c r="O182" s="56"/>
      <c r="P182" s="282" t="str">
        <f>IF(O182="","",IF(AND(O182="N/A - Culvert", D182&lt;&gt;"Culvert"),"Not possible ▲", IF(AND(D182="Culvert",O182&lt;&gt;"N/A - Culvert"),"Not possible ▲",IF(VLOOKUP(O182,'G-7 WaterC'' Data'!$AD$4:$AE$14,2,FALSE)=0,"Spatial Data Missing ⚠",VLOOKUP(O182,'G-7 WaterC'' Data'!$AD$4:$AE$14,2,FALSE)))))</f>
        <v/>
      </c>
      <c r="Q182" s="288" t="str">
        <f>IF(D182="","",VLOOKUP(D182,'G-7 WaterC'' Data'!$B$2:$G$8,6,FALSE))</f>
        <v/>
      </c>
      <c r="R182" s="295" t="str">
        <f t="shared" si="21"/>
        <v xml:space="preserve"> </v>
      </c>
      <c r="S182" s="820" t="str">
        <f t="shared" si="22"/>
        <v/>
      </c>
      <c r="T182" s="32"/>
      <c r="U182" s="105"/>
      <c r="V182" s="112"/>
      <c r="W182" s="293" t="str">
        <f t="shared" si="23"/>
        <v/>
      </c>
      <c r="X182" s="293" t="str">
        <f t="shared" si="24"/>
        <v/>
      </c>
      <c r="Y182" s="293" t="str">
        <f t="shared" si="25"/>
        <v/>
      </c>
      <c r="Z182" s="323" t="str">
        <f>IFERROR(IF(OR(E182="",R182=""),"",  IF(AND(Q182='G-7 WaterC'' Data'!$G$4,AA182="Yes"),"Alternative Compensation ✓", IF(AND(AA182="Pending", Q182='G-7 WaterC'' Data'!$G$4),"Bespoke compensation must be agreed ▲", IF((W182+X182)&gt;=R182, 0, R182-W182-X182)))),"Check Data ⚠")</f>
        <v/>
      </c>
      <c r="AA182" s="817"/>
      <c r="AB182" s="140"/>
      <c r="AC182" s="108"/>
      <c r="AD182" s="108"/>
      <c r="AE182" s="54" t="str">
        <f>IF(OR(Q182="",AA182="Yes"),"",IF(Q182='G-1 All Habitats'!$X$9,E182-U182-V182,"None"))</f>
        <v/>
      </c>
      <c r="AF182" s="55" t="str">
        <f>IF(Q182="","", IF(Q182='G-1 All Habitats'!$X$9, AE182*G182*I182*L182*N182*P182,"None"))</f>
        <v/>
      </c>
      <c r="AI182" s="30">
        <f t="shared" si="26"/>
        <v>0</v>
      </c>
      <c r="AJ182" s="111" t="str">
        <f t="shared" si="27"/>
        <v/>
      </c>
      <c r="AK182" s="111" t="str">
        <f t="shared" si="28"/>
        <v/>
      </c>
      <c r="AM182" s="111">
        <v>173</v>
      </c>
      <c r="AO182" s="111" t="str">
        <f t="array" ref="AO182">IFERROR(INDEX($AM$10:$AM$258, MATCH(0, IF(TRUE=$AJ$10:$AJ$258, COUNTIF($AO$9:$AO181, $AM$10:$AM$258), ""), 0)),"")</f>
        <v/>
      </c>
      <c r="AP182" s="111" t="str">
        <f t="array" ref="AP182">IFERROR(INDEX($AM$10:$AM$258, MATCH(0, IF(TRUE=$AK$10:$AK$258, COUNTIF($AP$9:$AP181, $AM$10:$AM$258), ""), 0)),"")</f>
        <v/>
      </c>
      <c r="AR182" s="30" t="str">
        <f>IFERROR(INDEX('G-7 WaterC'' Data'!$AZ$3:$AZ$7,MATCH(D182,'G-7 WaterC'' Data'!$AY$3:$AY$7,0)),"")</f>
        <v/>
      </c>
      <c r="AS182" s="30" t="str">
        <f>IFERROR(INDEX('G-7 WaterC'' Data'!AZ182:AZ186,MATCH(D182,'G-7 WaterC'' Data'!$AY$10:$AY$14,0)),"")</f>
        <v/>
      </c>
      <c r="AT182" s="903" t="str">
        <f>IF(AND(OR(AA182="Yes",AA182="Pending"),Q182='G-7 WaterC'' Data'!$G$4),R182-W182-X182,"")</f>
        <v/>
      </c>
      <c r="AU182" s="30" t="str">
        <f>IF(D182="","",VLOOKUP(D182,'G-7 WaterC'' Data'!B$4:M$8,12,FALSE))</f>
        <v/>
      </c>
      <c r="AV182" s="30" t="str">
        <f t="shared" si="20"/>
        <v/>
      </c>
      <c r="AX182" s="30" t="str">
        <f t="shared" si="29"/>
        <v>No</v>
      </c>
    </row>
    <row r="183" spans="3:50" x14ac:dyDescent="0.25">
      <c r="C183" s="101">
        <v>174</v>
      </c>
      <c r="D183" s="267"/>
      <c r="E183" s="119"/>
      <c r="F183" s="281" t="str">
        <f>IF(D183="","",VLOOKUP(D183,'G-7 WaterC'' Data'!$B$2:$G$8,2,FALSE))</f>
        <v/>
      </c>
      <c r="G183" s="282" t="str">
        <f>IFERROR(VLOOKUP(F183,'G-7 WaterC'' Data'!$C$4:$D$8,2,FALSE),"")</f>
        <v/>
      </c>
      <c r="H183" s="52"/>
      <c r="I183" s="282" t="str">
        <f>IFERROR(INDEX('G-7 WaterC'' Data'!$H$4:$L$8,MATCH(D183,'G-7 WaterC'' Data'!$B$4:$B$8,0),MATCH(H183,'G-7 WaterC'' Data'!$H$3:$L$3,0)),"")</f>
        <v/>
      </c>
      <c r="J183" s="793"/>
      <c r="K183" s="317" t="str">
        <f>IF(J183="","",IF(VLOOKUP(J183,'G-7 WaterC'' Data'!$AK$4:$AM$6,2,FALSE)=0,"Spatial Data Missing ⚠",VLOOKUP(J183,'G-7 WaterC'' Data'!$AK$4:$AM$6,2,FALSE)))</f>
        <v/>
      </c>
      <c r="L183" s="287" t="str">
        <f>IF(J183="","",IF(VLOOKUP(J183,'G-7 WaterC'' Data'!$AK$4:$AM$9,3,FALSE)=0,"Spatial Data Missing ⚠",VLOOKUP(J183,'G-7 WaterC'' Data'!$AK$4:$AM$6,3,FALSE)))</f>
        <v/>
      </c>
      <c r="M183" s="52"/>
      <c r="N183" s="282" t="str">
        <f>IF(M183="","",IF(AND(D183&lt;&gt;"Culvert",M183="N/A - Culvert"),"Not possible ▲",IF(AND(D183="Culvert",M183&lt;&gt;"N/A - Culvert"),"Not possible ▲",IF(VLOOKUP(M183,'G-7 WaterC'' Data'!$AA$4:$AB$7,2,FALSE)=0,"Spatial Data Missing ⚠",VLOOKUP(M183,'G-7 WaterC'' Data'!$AA$4:$AB$7,2,FALSE)))))</f>
        <v/>
      </c>
      <c r="O183" s="56"/>
      <c r="P183" s="282" t="str">
        <f>IF(O183="","",IF(AND(O183="N/A - Culvert", D183&lt;&gt;"Culvert"),"Not possible ▲", IF(AND(D183="Culvert",O183&lt;&gt;"N/A - Culvert"),"Not possible ▲",IF(VLOOKUP(O183,'G-7 WaterC'' Data'!$AD$4:$AE$14,2,FALSE)=0,"Spatial Data Missing ⚠",VLOOKUP(O183,'G-7 WaterC'' Data'!$AD$4:$AE$14,2,FALSE)))))</f>
        <v/>
      </c>
      <c r="Q183" s="288" t="str">
        <f>IF(D183="","",VLOOKUP(D183,'G-7 WaterC'' Data'!$B$2:$G$8,6,FALSE))</f>
        <v/>
      </c>
      <c r="R183" s="295" t="str">
        <f t="shared" si="21"/>
        <v xml:space="preserve"> </v>
      </c>
      <c r="S183" s="820" t="str">
        <f t="shared" si="22"/>
        <v/>
      </c>
      <c r="T183" s="32"/>
      <c r="U183" s="105"/>
      <c r="V183" s="112"/>
      <c r="W183" s="293" t="str">
        <f t="shared" si="23"/>
        <v/>
      </c>
      <c r="X183" s="293" t="str">
        <f t="shared" si="24"/>
        <v/>
      </c>
      <c r="Y183" s="293" t="str">
        <f t="shared" si="25"/>
        <v/>
      </c>
      <c r="Z183" s="323" t="str">
        <f>IFERROR(IF(OR(E183="",R183=""),"",  IF(AND(Q183='G-7 WaterC'' Data'!$G$4,AA183="Yes"),"Alternative Compensation ✓", IF(AND(AA183="Pending", Q183='G-7 WaterC'' Data'!$G$4),"Bespoke compensation must be agreed ▲", IF((W183+X183)&gt;=R183, 0, R183-W183-X183)))),"Check Data ⚠")</f>
        <v/>
      </c>
      <c r="AA183" s="817"/>
      <c r="AB183" s="140"/>
      <c r="AC183" s="108"/>
      <c r="AD183" s="108"/>
      <c r="AE183" s="54" t="str">
        <f>IF(OR(Q183="",AA183="Yes"),"",IF(Q183='G-1 All Habitats'!$X$9,E183-U183-V183,"None"))</f>
        <v/>
      </c>
      <c r="AF183" s="55" t="str">
        <f>IF(Q183="","", IF(Q183='G-1 All Habitats'!$X$9, AE183*G183*I183*L183*N183*P183,"None"))</f>
        <v/>
      </c>
      <c r="AI183" s="30">
        <f t="shared" si="26"/>
        <v>0</v>
      </c>
      <c r="AJ183" s="111" t="str">
        <f t="shared" si="27"/>
        <v/>
      </c>
      <c r="AK183" s="111" t="str">
        <f t="shared" si="28"/>
        <v/>
      </c>
      <c r="AM183" s="111">
        <v>174</v>
      </c>
      <c r="AO183" s="111" t="str">
        <f t="array" ref="AO183">IFERROR(INDEX($AM$10:$AM$258, MATCH(0, IF(TRUE=$AJ$10:$AJ$258, COUNTIF($AO$9:$AO182, $AM$10:$AM$258), ""), 0)),"")</f>
        <v/>
      </c>
      <c r="AP183" s="111" t="str">
        <f t="array" ref="AP183">IFERROR(INDEX($AM$10:$AM$258, MATCH(0, IF(TRUE=$AK$10:$AK$258, COUNTIF($AP$9:$AP182, $AM$10:$AM$258), ""), 0)),"")</f>
        <v/>
      </c>
      <c r="AR183" s="30" t="str">
        <f>IFERROR(INDEX('G-7 WaterC'' Data'!$AZ$3:$AZ$7,MATCH(D183,'G-7 WaterC'' Data'!$AY$3:$AY$7,0)),"")</f>
        <v/>
      </c>
      <c r="AS183" s="30" t="str">
        <f>IFERROR(INDEX('G-7 WaterC'' Data'!AZ183:AZ187,MATCH(D183,'G-7 WaterC'' Data'!$AY$10:$AY$14,0)),"")</f>
        <v/>
      </c>
      <c r="AT183" s="903" t="str">
        <f>IF(AND(OR(AA183="Yes",AA183="Pending"),Q183='G-7 WaterC'' Data'!$G$4),R183-W183-X183,"")</f>
        <v/>
      </c>
      <c r="AU183" s="30" t="str">
        <f>IF(D183="","",VLOOKUP(D183,'G-7 WaterC'' Data'!B$4:M$8,12,FALSE))</f>
        <v/>
      </c>
      <c r="AV183" s="30" t="str">
        <f t="shared" si="20"/>
        <v/>
      </c>
      <c r="AX183" s="30" t="str">
        <f t="shared" si="29"/>
        <v>No</v>
      </c>
    </row>
    <row r="184" spans="3:50" x14ac:dyDescent="0.25">
      <c r="C184" s="101">
        <v>175</v>
      </c>
      <c r="D184" s="267"/>
      <c r="E184" s="119"/>
      <c r="F184" s="281" t="str">
        <f>IF(D184="","",VLOOKUP(D184,'G-7 WaterC'' Data'!$B$2:$G$8,2,FALSE))</f>
        <v/>
      </c>
      <c r="G184" s="282" t="str">
        <f>IFERROR(VLOOKUP(F184,'G-7 WaterC'' Data'!$C$4:$D$8,2,FALSE),"")</f>
        <v/>
      </c>
      <c r="H184" s="52"/>
      <c r="I184" s="282" t="str">
        <f>IFERROR(INDEX('G-7 WaterC'' Data'!$H$4:$L$8,MATCH(D184,'G-7 WaterC'' Data'!$B$4:$B$8,0),MATCH(H184,'G-7 WaterC'' Data'!$H$3:$L$3,0)),"")</f>
        <v/>
      </c>
      <c r="J184" s="793"/>
      <c r="K184" s="317" t="str">
        <f>IF(J184="","",IF(VLOOKUP(J184,'G-7 WaterC'' Data'!$AK$4:$AM$6,2,FALSE)=0,"Spatial Data Missing ⚠",VLOOKUP(J184,'G-7 WaterC'' Data'!$AK$4:$AM$6,2,FALSE)))</f>
        <v/>
      </c>
      <c r="L184" s="287" t="str">
        <f>IF(J184="","",IF(VLOOKUP(J184,'G-7 WaterC'' Data'!$AK$4:$AM$9,3,FALSE)=0,"Spatial Data Missing ⚠",VLOOKUP(J184,'G-7 WaterC'' Data'!$AK$4:$AM$6,3,FALSE)))</f>
        <v/>
      </c>
      <c r="M184" s="52"/>
      <c r="N184" s="282" t="str">
        <f>IF(M184="","",IF(AND(D184&lt;&gt;"Culvert",M184="N/A - Culvert"),"Not possible ▲",IF(AND(D184="Culvert",M184&lt;&gt;"N/A - Culvert"),"Not possible ▲",IF(VLOOKUP(M184,'G-7 WaterC'' Data'!$AA$4:$AB$7,2,FALSE)=0,"Spatial Data Missing ⚠",VLOOKUP(M184,'G-7 WaterC'' Data'!$AA$4:$AB$7,2,FALSE)))))</f>
        <v/>
      </c>
      <c r="O184" s="56"/>
      <c r="P184" s="282" t="str">
        <f>IF(O184="","",IF(AND(O184="N/A - Culvert", D184&lt;&gt;"Culvert"),"Not possible ▲", IF(AND(D184="Culvert",O184&lt;&gt;"N/A - Culvert"),"Not possible ▲",IF(VLOOKUP(O184,'G-7 WaterC'' Data'!$AD$4:$AE$14,2,FALSE)=0,"Spatial Data Missing ⚠",VLOOKUP(O184,'G-7 WaterC'' Data'!$AD$4:$AE$14,2,FALSE)))))</f>
        <v/>
      </c>
      <c r="Q184" s="288" t="str">
        <f>IF(D184="","",VLOOKUP(D184,'G-7 WaterC'' Data'!$B$2:$G$8,6,FALSE))</f>
        <v/>
      </c>
      <c r="R184" s="295" t="str">
        <f t="shared" si="21"/>
        <v xml:space="preserve"> </v>
      </c>
      <c r="S184" s="820" t="str">
        <f t="shared" si="22"/>
        <v/>
      </c>
      <c r="T184" s="32"/>
      <c r="U184" s="105"/>
      <c r="V184" s="112"/>
      <c r="W184" s="293" t="str">
        <f t="shared" si="23"/>
        <v/>
      </c>
      <c r="X184" s="293" t="str">
        <f t="shared" si="24"/>
        <v/>
      </c>
      <c r="Y184" s="293" t="str">
        <f t="shared" si="25"/>
        <v/>
      </c>
      <c r="Z184" s="323" t="str">
        <f>IFERROR(IF(OR(E184="",R184=""),"",  IF(AND(Q184='G-7 WaterC'' Data'!$G$4,AA184="Yes"),"Alternative Compensation ✓", IF(AND(AA184="Pending", Q184='G-7 WaterC'' Data'!$G$4),"Bespoke compensation must be agreed ▲", IF((W184+X184)&gt;=R184, 0, R184-W184-X184)))),"Check Data ⚠")</f>
        <v/>
      </c>
      <c r="AA184" s="817"/>
      <c r="AB184" s="140"/>
      <c r="AC184" s="108"/>
      <c r="AD184" s="108"/>
      <c r="AE184" s="54" t="str">
        <f>IF(OR(Q184="",AA184="Yes"),"",IF(Q184='G-1 All Habitats'!$X$9,E184-U184-V184,"None"))</f>
        <v/>
      </c>
      <c r="AF184" s="55" t="str">
        <f>IF(Q184="","", IF(Q184='G-1 All Habitats'!$X$9, AE184*G184*I184*L184*N184*P184,"None"))</f>
        <v/>
      </c>
      <c r="AI184" s="30">
        <f t="shared" si="26"/>
        <v>0</v>
      </c>
      <c r="AJ184" s="111" t="str">
        <f t="shared" si="27"/>
        <v/>
      </c>
      <c r="AK184" s="111" t="str">
        <f t="shared" si="28"/>
        <v/>
      </c>
      <c r="AM184" s="111">
        <v>175</v>
      </c>
      <c r="AO184" s="111" t="str">
        <f t="array" ref="AO184">IFERROR(INDEX($AM$10:$AM$258, MATCH(0, IF(TRUE=$AJ$10:$AJ$258, COUNTIF($AO$9:$AO183, $AM$10:$AM$258), ""), 0)),"")</f>
        <v/>
      </c>
      <c r="AP184" s="111" t="str">
        <f t="array" ref="AP184">IFERROR(INDEX($AM$10:$AM$258, MATCH(0, IF(TRUE=$AK$10:$AK$258, COUNTIF($AP$9:$AP183, $AM$10:$AM$258), ""), 0)),"")</f>
        <v/>
      </c>
      <c r="AR184" s="30" t="str">
        <f>IFERROR(INDEX('G-7 WaterC'' Data'!$AZ$3:$AZ$7,MATCH(D184,'G-7 WaterC'' Data'!$AY$3:$AY$7,0)),"")</f>
        <v/>
      </c>
      <c r="AS184" s="30" t="str">
        <f>IFERROR(INDEX('G-7 WaterC'' Data'!AZ184:AZ188,MATCH(D184,'G-7 WaterC'' Data'!$AY$10:$AY$14,0)),"")</f>
        <v/>
      </c>
      <c r="AT184" s="903" t="str">
        <f>IF(AND(OR(AA184="Yes",AA184="Pending"),Q184='G-7 WaterC'' Data'!$G$4),R184-W184-X184,"")</f>
        <v/>
      </c>
      <c r="AU184" s="30" t="str">
        <f>IF(D184="","",VLOOKUP(D184,'G-7 WaterC'' Data'!B$4:M$8,12,FALSE))</f>
        <v/>
      </c>
      <c r="AV184" s="30" t="str">
        <f t="shared" si="20"/>
        <v/>
      </c>
      <c r="AX184" s="30" t="str">
        <f t="shared" si="29"/>
        <v>No</v>
      </c>
    </row>
    <row r="185" spans="3:50" x14ac:dyDescent="0.25">
      <c r="C185" s="101">
        <v>176</v>
      </c>
      <c r="D185" s="267"/>
      <c r="E185" s="119"/>
      <c r="F185" s="281" t="str">
        <f>IF(D185="","",VLOOKUP(D185,'G-7 WaterC'' Data'!$B$2:$G$8,2,FALSE))</f>
        <v/>
      </c>
      <c r="G185" s="282" t="str">
        <f>IFERROR(VLOOKUP(F185,'G-7 WaterC'' Data'!$C$4:$D$8,2,FALSE),"")</f>
        <v/>
      </c>
      <c r="H185" s="52"/>
      <c r="I185" s="282" t="str">
        <f>IFERROR(INDEX('G-7 WaterC'' Data'!$H$4:$L$8,MATCH(D185,'G-7 WaterC'' Data'!$B$4:$B$8,0),MATCH(H185,'G-7 WaterC'' Data'!$H$3:$L$3,0)),"")</f>
        <v/>
      </c>
      <c r="J185" s="793"/>
      <c r="K185" s="317" t="str">
        <f>IF(J185="","",IF(VLOOKUP(J185,'G-7 WaterC'' Data'!$AK$4:$AM$6,2,FALSE)=0,"Spatial Data Missing ⚠",VLOOKUP(J185,'G-7 WaterC'' Data'!$AK$4:$AM$6,2,FALSE)))</f>
        <v/>
      </c>
      <c r="L185" s="287" t="str">
        <f>IF(J185="","",IF(VLOOKUP(J185,'G-7 WaterC'' Data'!$AK$4:$AM$9,3,FALSE)=0,"Spatial Data Missing ⚠",VLOOKUP(J185,'G-7 WaterC'' Data'!$AK$4:$AM$6,3,FALSE)))</f>
        <v/>
      </c>
      <c r="M185" s="52"/>
      <c r="N185" s="282" t="str">
        <f>IF(M185="","",IF(AND(D185&lt;&gt;"Culvert",M185="N/A - Culvert"),"Not possible ▲",IF(AND(D185="Culvert",M185&lt;&gt;"N/A - Culvert"),"Not possible ▲",IF(VLOOKUP(M185,'G-7 WaterC'' Data'!$AA$4:$AB$7,2,FALSE)=0,"Spatial Data Missing ⚠",VLOOKUP(M185,'G-7 WaterC'' Data'!$AA$4:$AB$7,2,FALSE)))))</f>
        <v/>
      </c>
      <c r="O185" s="56"/>
      <c r="P185" s="282" t="str">
        <f>IF(O185="","",IF(AND(O185="N/A - Culvert", D185&lt;&gt;"Culvert"),"Not possible ▲", IF(AND(D185="Culvert",O185&lt;&gt;"N/A - Culvert"),"Not possible ▲",IF(VLOOKUP(O185,'G-7 WaterC'' Data'!$AD$4:$AE$14,2,FALSE)=0,"Spatial Data Missing ⚠",VLOOKUP(O185,'G-7 WaterC'' Data'!$AD$4:$AE$14,2,FALSE)))))</f>
        <v/>
      </c>
      <c r="Q185" s="288" t="str">
        <f>IF(D185="","",VLOOKUP(D185,'G-7 WaterC'' Data'!$B$2:$G$8,6,FALSE))</f>
        <v/>
      </c>
      <c r="R185" s="295" t="str">
        <f t="shared" si="21"/>
        <v xml:space="preserve"> </v>
      </c>
      <c r="S185" s="820" t="str">
        <f t="shared" si="22"/>
        <v/>
      </c>
      <c r="T185" s="32"/>
      <c r="U185" s="105"/>
      <c r="V185" s="112"/>
      <c r="W185" s="293" t="str">
        <f t="shared" si="23"/>
        <v/>
      </c>
      <c r="X185" s="293" t="str">
        <f t="shared" si="24"/>
        <v/>
      </c>
      <c r="Y185" s="293" t="str">
        <f t="shared" si="25"/>
        <v/>
      </c>
      <c r="Z185" s="323" t="str">
        <f>IFERROR(IF(OR(E185="",R185=""),"",  IF(AND(Q185='G-7 WaterC'' Data'!$G$4,AA185="Yes"),"Alternative Compensation ✓", IF(AND(AA185="Pending", Q185='G-7 WaterC'' Data'!$G$4),"Bespoke compensation must be agreed ▲", IF((W185+X185)&gt;=R185, 0, R185-W185-X185)))),"Check Data ⚠")</f>
        <v/>
      </c>
      <c r="AA185" s="817"/>
      <c r="AB185" s="140"/>
      <c r="AC185" s="108"/>
      <c r="AD185" s="108"/>
      <c r="AE185" s="54" t="str">
        <f>IF(OR(Q185="",AA185="Yes"),"",IF(Q185='G-1 All Habitats'!$X$9,E185-U185-V185,"None"))</f>
        <v/>
      </c>
      <c r="AF185" s="55" t="str">
        <f>IF(Q185="","", IF(Q185='G-1 All Habitats'!$X$9, AE185*G185*I185*L185*N185*P185,"None"))</f>
        <v/>
      </c>
      <c r="AI185" s="30">
        <f t="shared" si="26"/>
        <v>0</v>
      </c>
      <c r="AJ185" s="111" t="str">
        <f t="shared" si="27"/>
        <v/>
      </c>
      <c r="AK185" s="111" t="str">
        <f t="shared" si="28"/>
        <v/>
      </c>
      <c r="AM185" s="111">
        <v>176</v>
      </c>
      <c r="AO185" s="111" t="str">
        <f t="array" ref="AO185">IFERROR(INDEX($AM$10:$AM$258, MATCH(0, IF(TRUE=$AJ$10:$AJ$258, COUNTIF($AO$9:$AO184, $AM$10:$AM$258), ""), 0)),"")</f>
        <v/>
      </c>
      <c r="AP185" s="111" t="str">
        <f t="array" ref="AP185">IFERROR(INDEX($AM$10:$AM$258, MATCH(0, IF(TRUE=$AK$10:$AK$258, COUNTIF($AP$9:$AP184, $AM$10:$AM$258), ""), 0)),"")</f>
        <v/>
      </c>
      <c r="AR185" s="30" t="str">
        <f>IFERROR(INDEX('G-7 WaterC'' Data'!$AZ$3:$AZ$7,MATCH(D185,'G-7 WaterC'' Data'!$AY$3:$AY$7,0)),"")</f>
        <v/>
      </c>
      <c r="AS185" s="30" t="str">
        <f>IFERROR(INDEX('G-7 WaterC'' Data'!AZ185:AZ189,MATCH(D185,'G-7 WaterC'' Data'!$AY$10:$AY$14,0)),"")</f>
        <v/>
      </c>
      <c r="AT185" s="903" t="str">
        <f>IF(AND(OR(AA185="Yes",AA185="Pending"),Q185='G-7 WaterC'' Data'!$G$4),R185-W185-X185,"")</f>
        <v/>
      </c>
      <c r="AU185" s="30" t="str">
        <f>IF(D185="","",VLOOKUP(D185,'G-7 WaterC'' Data'!B$4:M$8,12,FALSE))</f>
        <v/>
      </c>
      <c r="AV185" s="30" t="str">
        <f t="shared" si="20"/>
        <v/>
      </c>
      <c r="AX185" s="30" t="str">
        <f t="shared" si="29"/>
        <v>No</v>
      </c>
    </row>
    <row r="186" spans="3:50" x14ac:dyDescent="0.25">
      <c r="C186" s="101">
        <v>177</v>
      </c>
      <c r="D186" s="267"/>
      <c r="E186" s="119"/>
      <c r="F186" s="281" t="str">
        <f>IF(D186="","",VLOOKUP(D186,'G-7 WaterC'' Data'!$B$2:$G$8,2,FALSE))</f>
        <v/>
      </c>
      <c r="G186" s="282" t="str">
        <f>IFERROR(VLOOKUP(F186,'G-7 WaterC'' Data'!$C$4:$D$8,2,FALSE),"")</f>
        <v/>
      </c>
      <c r="H186" s="52"/>
      <c r="I186" s="282" t="str">
        <f>IFERROR(INDEX('G-7 WaterC'' Data'!$H$4:$L$8,MATCH(D186,'G-7 WaterC'' Data'!$B$4:$B$8,0),MATCH(H186,'G-7 WaterC'' Data'!$H$3:$L$3,0)),"")</f>
        <v/>
      </c>
      <c r="J186" s="793"/>
      <c r="K186" s="317" t="str">
        <f>IF(J186="","",IF(VLOOKUP(J186,'G-7 WaterC'' Data'!$AK$4:$AM$6,2,FALSE)=0,"Spatial Data Missing ⚠",VLOOKUP(J186,'G-7 WaterC'' Data'!$AK$4:$AM$6,2,FALSE)))</f>
        <v/>
      </c>
      <c r="L186" s="287" t="str">
        <f>IF(J186="","",IF(VLOOKUP(J186,'G-7 WaterC'' Data'!$AK$4:$AM$9,3,FALSE)=0,"Spatial Data Missing ⚠",VLOOKUP(J186,'G-7 WaterC'' Data'!$AK$4:$AM$6,3,FALSE)))</f>
        <v/>
      </c>
      <c r="M186" s="52"/>
      <c r="N186" s="282" t="str">
        <f>IF(M186="","",IF(AND(D186&lt;&gt;"Culvert",M186="N/A - Culvert"),"Not possible ▲",IF(AND(D186="Culvert",M186&lt;&gt;"N/A - Culvert"),"Not possible ▲",IF(VLOOKUP(M186,'G-7 WaterC'' Data'!$AA$4:$AB$7,2,FALSE)=0,"Spatial Data Missing ⚠",VLOOKUP(M186,'G-7 WaterC'' Data'!$AA$4:$AB$7,2,FALSE)))))</f>
        <v/>
      </c>
      <c r="O186" s="56"/>
      <c r="P186" s="282" t="str">
        <f>IF(O186="","",IF(AND(O186="N/A - Culvert", D186&lt;&gt;"Culvert"),"Not possible ▲", IF(AND(D186="Culvert",O186&lt;&gt;"N/A - Culvert"),"Not possible ▲",IF(VLOOKUP(O186,'G-7 WaterC'' Data'!$AD$4:$AE$14,2,FALSE)=0,"Spatial Data Missing ⚠",VLOOKUP(O186,'G-7 WaterC'' Data'!$AD$4:$AE$14,2,FALSE)))))</f>
        <v/>
      </c>
      <c r="Q186" s="288" t="str">
        <f>IF(D186="","",VLOOKUP(D186,'G-7 WaterC'' Data'!$B$2:$G$8,6,FALSE))</f>
        <v/>
      </c>
      <c r="R186" s="295" t="str">
        <f t="shared" si="21"/>
        <v xml:space="preserve"> </v>
      </c>
      <c r="S186" s="820" t="str">
        <f t="shared" si="22"/>
        <v/>
      </c>
      <c r="T186" s="32"/>
      <c r="U186" s="105"/>
      <c r="V186" s="112"/>
      <c r="W186" s="293" t="str">
        <f t="shared" si="23"/>
        <v/>
      </c>
      <c r="X186" s="293" t="str">
        <f t="shared" si="24"/>
        <v/>
      </c>
      <c r="Y186" s="293" t="str">
        <f t="shared" si="25"/>
        <v/>
      </c>
      <c r="Z186" s="323" t="str">
        <f>IFERROR(IF(OR(E186="",R186=""),"",  IF(AND(Q186='G-7 WaterC'' Data'!$G$4,AA186="Yes"),"Alternative Compensation ✓", IF(AND(AA186="Pending", Q186='G-7 WaterC'' Data'!$G$4),"Bespoke compensation must be agreed ▲", IF((W186+X186)&gt;=R186, 0, R186-W186-X186)))),"Check Data ⚠")</f>
        <v/>
      </c>
      <c r="AA186" s="817"/>
      <c r="AB186" s="140"/>
      <c r="AC186" s="108"/>
      <c r="AD186" s="108"/>
      <c r="AE186" s="54" t="str">
        <f>IF(OR(Q186="",AA186="Yes"),"",IF(Q186='G-1 All Habitats'!$X$9,E186-U186-V186,"None"))</f>
        <v/>
      </c>
      <c r="AF186" s="55" t="str">
        <f>IF(Q186="","", IF(Q186='G-1 All Habitats'!$X$9, AE186*G186*I186*L186*N186*P186,"None"))</f>
        <v/>
      </c>
      <c r="AI186" s="30">
        <f t="shared" si="26"/>
        <v>0</v>
      </c>
      <c r="AJ186" s="111" t="str">
        <f t="shared" si="27"/>
        <v/>
      </c>
      <c r="AK186" s="111" t="str">
        <f t="shared" si="28"/>
        <v/>
      </c>
      <c r="AM186" s="111">
        <v>177</v>
      </c>
      <c r="AO186" s="111" t="str">
        <f t="array" ref="AO186">IFERROR(INDEX($AM$10:$AM$258, MATCH(0, IF(TRUE=$AJ$10:$AJ$258, COUNTIF($AO$9:$AO185, $AM$10:$AM$258), ""), 0)),"")</f>
        <v/>
      </c>
      <c r="AP186" s="111" t="str">
        <f t="array" ref="AP186">IFERROR(INDEX($AM$10:$AM$258, MATCH(0, IF(TRUE=$AK$10:$AK$258, COUNTIF($AP$9:$AP185, $AM$10:$AM$258), ""), 0)),"")</f>
        <v/>
      </c>
      <c r="AR186" s="30" t="str">
        <f>IFERROR(INDEX('G-7 WaterC'' Data'!$AZ$3:$AZ$7,MATCH(D186,'G-7 WaterC'' Data'!$AY$3:$AY$7,0)),"")</f>
        <v/>
      </c>
      <c r="AS186" s="30" t="str">
        <f>IFERROR(INDEX('G-7 WaterC'' Data'!AZ186:AZ190,MATCH(D186,'G-7 WaterC'' Data'!$AY$10:$AY$14,0)),"")</f>
        <v/>
      </c>
      <c r="AT186" s="903" t="str">
        <f>IF(AND(OR(AA186="Yes",AA186="Pending"),Q186='G-7 WaterC'' Data'!$G$4),R186-W186-X186,"")</f>
        <v/>
      </c>
      <c r="AU186" s="30" t="str">
        <f>IF(D186="","",VLOOKUP(D186,'G-7 WaterC'' Data'!B$4:M$8,12,FALSE))</f>
        <v/>
      </c>
      <c r="AV186" s="30" t="str">
        <f t="shared" si="20"/>
        <v/>
      </c>
      <c r="AX186" s="30" t="str">
        <f t="shared" si="29"/>
        <v>No</v>
      </c>
    </row>
    <row r="187" spans="3:50" x14ac:dyDescent="0.25">
      <c r="C187" s="101">
        <v>178</v>
      </c>
      <c r="D187" s="267"/>
      <c r="E187" s="119"/>
      <c r="F187" s="281" t="str">
        <f>IF(D187="","",VLOOKUP(D187,'G-7 WaterC'' Data'!$B$2:$G$8,2,FALSE))</f>
        <v/>
      </c>
      <c r="G187" s="282" t="str">
        <f>IFERROR(VLOOKUP(F187,'G-7 WaterC'' Data'!$C$4:$D$8,2,FALSE),"")</f>
        <v/>
      </c>
      <c r="H187" s="52"/>
      <c r="I187" s="282" t="str">
        <f>IFERROR(INDEX('G-7 WaterC'' Data'!$H$4:$L$8,MATCH(D187,'G-7 WaterC'' Data'!$B$4:$B$8,0),MATCH(H187,'G-7 WaterC'' Data'!$H$3:$L$3,0)),"")</f>
        <v/>
      </c>
      <c r="J187" s="793"/>
      <c r="K187" s="317" t="str">
        <f>IF(J187="","",IF(VLOOKUP(J187,'G-7 WaterC'' Data'!$AK$4:$AM$6,2,FALSE)=0,"Spatial Data Missing ⚠",VLOOKUP(J187,'G-7 WaterC'' Data'!$AK$4:$AM$6,2,FALSE)))</f>
        <v/>
      </c>
      <c r="L187" s="287" t="str">
        <f>IF(J187="","",IF(VLOOKUP(J187,'G-7 WaterC'' Data'!$AK$4:$AM$9,3,FALSE)=0,"Spatial Data Missing ⚠",VLOOKUP(J187,'G-7 WaterC'' Data'!$AK$4:$AM$6,3,FALSE)))</f>
        <v/>
      </c>
      <c r="M187" s="52"/>
      <c r="N187" s="282" t="str">
        <f>IF(M187="","",IF(AND(D187&lt;&gt;"Culvert",M187="N/A - Culvert"),"Not possible ▲",IF(AND(D187="Culvert",M187&lt;&gt;"N/A - Culvert"),"Not possible ▲",IF(VLOOKUP(M187,'G-7 WaterC'' Data'!$AA$4:$AB$7,2,FALSE)=0,"Spatial Data Missing ⚠",VLOOKUP(M187,'G-7 WaterC'' Data'!$AA$4:$AB$7,2,FALSE)))))</f>
        <v/>
      </c>
      <c r="O187" s="56"/>
      <c r="P187" s="282" t="str">
        <f>IF(O187="","",IF(AND(O187="N/A - Culvert", D187&lt;&gt;"Culvert"),"Not possible ▲", IF(AND(D187="Culvert",O187&lt;&gt;"N/A - Culvert"),"Not possible ▲",IF(VLOOKUP(O187,'G-7 WaterC'' Data'!$AD$4:$AE$14,2,FALSE)=0,"Spatial Data Missing ⚠",VLOOKUP(O187,'G-7 WaterC'' Data'!$AD$4:$AE$14,2,FALSE)))))</f>
        <v/>
      </c>
      <c r="Q187" s="288" t="str">
        <f>IF(D187="","",VLOOKUP(D187,'G-7 WaterC'' Data'!$B$2:$G$8,6,FALSE))</f>
        <v/>
      </c>
      <c r="R187" s="295" t="str">
        <f t="shared" si="21"/>
        <v xml:space="preserve"> </v>
      </c>
      <c r="S187" s="820" t="str">
        <f t="shared" si="22"/>
        <v/>
      </c>
      <c r="T187" s="32"/>
      <c r="U187" s="105"/>
      <c r="V187" s="112"/>
      <c r="W187" s="293" t="str">
        <f t="shared" si="23"/>
        <v/>
      </c>
      <c r="X187" s="293" t="str">
        <f t="shared" si="24"/>
        <v/>
      </c>
      <c r="Y187" s="293" t="str">
        <f t="shared" si="25"/>
        <v/>
      </c>
      <c r="Z187" s="323" t="str">
        <f>IFERROR(IF(OR(E187="",R187=""),"",  IF(AND(Q187='G-7 WaterC'' Data'!$G$4,AA187="Yes"),"Alternative Compensation ✓", IF(AND(AA187="Pending", Q187='G-7 WaterC'' Data'!$G$4),"Bespoke compensation must be agreed ▲", IF((W187+X187)&gt;=R187, 0, R187-W187-X187)))),"Check Data ⚠")</f>
        <v/>
      </c>
      <c r="AA187" s="817"/>
      <c r="AB187" s="140"/>
      <c r="AC187" s="108"/>
      <c r="AD187" s="108"/>
      <c r="AE187" s="54" t="str">
        <f>IF(OR(Q187="",AA187="Yes"),"",IF(Q187='G-1 All Habitats'!$X$9,E187-U187-V187,"None"))</f>
        <v/>
      </c>
      <c r="AF187" s="55" t="str">
        <f>IF(Q187="","", IF(Q187='G-1 All Habitats'!$X$9, AE187*G187*I187*L187*N187*P187,"None"))</f>
        <v/>
      </c>
      <c r="AI187" s="30">
        <f t="shared" si="26"/>
        <v>0</v>
      </c>
      <c r="AJ187" s="111" t="str">
        <f t="shared" si="27"/>
        <v/>
      </c>
      <c r="AK187" s="111" t="str">
        <f t="shared" si="28"/>
        <v/>
      </c>
      <c r="AM187" s="111">
        <v>178</v>
      </c>
      <c r="AO187" s="111" t="str">
        <f t="array" ref="AO187">IFERROR(INDEX($AM$10:$AM$258, MATCH(0, IF(TRUE=$AJ$10:$AJ$258, COUNTIF($AO$9:$AO186, $AM$10:$AM$258), ""), 0)),"")</f>
        <v/>
      </c>
      <c r="AP187" s="111" t="str">
        <f t="array" ref="AP187">IFERROR(INDEX($AM$10:$AM$258, MATCH(0, IF(TRUE=$AK$10:$AK$258, COUNTIF($AP$9:$AP186, $AM$10:$AM$258), ""), 0)),"")</f>
        <v/>
      </c>
      <c r="AR187" s="30" t="str">
        <f>IFERROR(INDEX('G-7 WaterC'' Data'!$AZ$3:$AZ$7,MATCH(D187,'G-7 WaterC'' Data'!$AY$3:$AY$7,0)),"")</f>
        <v/>
      </c>
      <c r="AS187" s="30" t="str">
        <f>IFERROR(INDEX('G-7 WaterC'' Data'!AZ187:AZ191,MATCH(D187,'G-7 WaterC'' Data'!$AY$10:$AY$14,0)),"")</f>
        <v/>
      </c>
      <c r="AT187" s="903" t="str">
        <f>IF(AND(OR(AA187="Yes",AA187="Pending"),Q187='G-7 WaterC'' Data'!$G$4),R187-W187-X187,"")</f>
        <v/>
      </c>
      <c r="AU187" s="30" t="str">
        <f>IF(D187="","",VLOOKUP(D187,'G-7 WaterC'' Data'!B$4:M$8,12,FALSE))</f>
        <v/>
      </c>
      <c r="AV187" s="30" t="str">
        <f t="shared" si="20"/>
        <v/>
      </c>
      <c r="AX187" s="30" t="str">
        <f t="shared" si="29"/>
        <v>No</v>
      </c>
    </row>
    <row r="188" spans="3:50" x14ac:dyDescent="0.25">
      <c r="C188" s="101">
        <v>179</v>
      </c>
      <c r="D188" s="267"/>
      <c r="E188" s="119"/>
      <c r="F188" s="281" t="str">
        <f>IF(D188="","",VLOOKUP(D188,'G-7 WaterC'' Data'!$B$2:$G$8,2,FALSE))</f>
        <v/>
      </c>
      <c r="G188" s="282" t="str">
        <f>IFERROR(VLOOKUP(F188,'G-7 WaterC'' Data'!$C$4:$D$8,2,FALSE),"")</f>
        <v/>
      </c>
      <c r="H188" s="52"/>
      <c r="I188" s="282" t="str">
        <f>IFERROR(INDEX('G-7 WaterC'' Data'!$H$4:$L$8,MATCH(D188,'G-7 WaterC'' Data'!$B$4:$B$8,0),MATCH(H188,'G-7 WaterC'' Data'!$H$3:$L$3,0)),"")</f>
        <v/>
      </c>
      <c r="J188" s="793"/>
      <c r="K188" s="317" t="str">
        <f>IF(J188="","",IF(VLOOKUP(J188,'G-7 WaterC'' Data'!$AK$4:$AM$6,2,FALSE)=0,"Spatial Data Missing ⚠",VLOOKUP(J188,'G-7 WaterC'' Data'!$AK$4:$AM$6,2,FALSE)))</f>
        <v/>
      </c>
      <c r="L188" s="287" t="str">
        <f>IF(J188="","",IF(VLOOKUP(J188,'G-7 WaterC'' Data'!$AK$4:$AM$9,3,FALSE)=0,"Spatial Data Missing ⚠",VLOOKUP(J188,'G-7 WaterC'' Data'!$AK$4:$AM$6,3,FALSE)))</f>
        <v/>
      </c>
      <c r="M188" s="52"/>
      <c r="N188" s="282" t="str">
        <f>IF(M188="","",IF(AND(D188&lt;&gt;"Culvert",M188="N/A - Culvert"),"Not possible ▲",IF(AND(D188="Culvert",M188&lt;&gt;"N/A - Culvert"),"Not possible ▲",IF(VLOOKUP(M188,'G-7 WaterC'' Data'!$AA$4:$AB$7,2,FALSE)=0,"Spatial Data Missing ⚠",VLOOKUP(M188,'G-7 WaterC'' Data'!$AA$4:$AB$7,2,FALSE)))))</f>
        <v/>
      </c>
      <c r="O188" s="56"/>
      <c r="P188" s="282" t="str">
        <f>IF(O188="","",IF(AND(O188="N/A - Culvert", D188&lt;&gt;"Culvert"),"Not possible ▲", IF(AND(D188="Culvert",O188&lt;&gt;"N/A - Culvert"),"Not possible ▲",IF(VLOOKUP(O188,'G-7 WaterC'' Data'!$AD$4:$AE$14,2,FALSE)=0,"Spatial Data Missing ⚠",VLOOKUP(O188,'G-7 WaterC'' Data'!$AD$4:$AE$14,2,FALSE)))))</f>
        <v/>
      </c>
      <c r="Q188" s="288" t="str">
        <f>IF(D188="","",VLOOKUP(D188,'G-7 WaterC'' Data'!$B$2:$G$8,6,FALSE))</f>
        <v/>
      </c>
      <c r="R188" s="295" t="str">
        <f t="shared" si="21"/>
        <v xml:space="preserve"> </v>
      </c>
      <c r="S188" s="820" t="str">
        <f t="shared" si="22"/>
        <v/>
      </c>
      <c r="T188" s="32"/>
      <c r="U188" s="105"/>
      <c r="V188" s="112"/>
      <c r="W188" s="293" t="str">
        <f t="shared" si="23"/>
        <v/>
      </c>
      <c r="X188" s="293" t="str">
        <f t="shared" si="24"/>
        <v/>
      </c>
      <c r="Y188" s="293" t="str">
        <f t="shared" si="25"/>
        <v/>
      </c>
      <c r="Z188" s="323" t="str">
        <f>IFERROR(IF(OR(E188="",R188=""),"",  IF(AND(Q188='G-7 WaterC'' Data'!$G$4,AA188="Yes"),"Alternative Compensation ✓", IF(AND(AA188="Pending", Q188='G-7 WaterC'' Data'!$G$4),"Bespoke compensation must be agreed ▲", IF((W188+X188)&gt;=R188, 0, R188-W188-X188)))),"Check Data ⚠")</f>
        <v/>
      </c>
      <c r="AA188" s="817"/>
      <c r="AB188" s="140"/>
      <c r="AC188" s="108"/>
      <c r="AD188" s="108"/>
      <c r="AE188" s="54" t="str">
        <f>IF(OR(Q188="",AA188="Yes"),"",IF(Q188='G-1 All Habitats'!$X$9,E188-U188-V188,"None"))</f>
        <v/>
      </c>
      <c r="AF188" s="55" t="str">
        <f>IF(Q188="","", IF(Q188='G-1 All Habitats'!$X$9, AE188*G188*I188*L188*N188*P188,"None"))</f>
        <v/>
      </c>
      <c r="AI188" s="30">
        <f t="shared" si="26"/>
        <v>0</v>
      </c>
      <c r="AJ188" s="111" t="str">
        <f t="shared" si="27"/>
        <v/>
      </c>
      <c r="AK188" s="111" t="str">
        <f t="shared" si="28"/>
        <v/>
      </c>
      <c r="AM188" s="111">
        <v>179</v>
      </c>
      <c r="AO188" s="111" t="str">
        <f t="array" ref="AO188">IFERROR(INDEX($AM$10:$AM$258, MATCH(0, IF(TRUE=$AJ$10:$AJ$258, COUNTIF($AO$9:$AO187, $AM$10:$AM$258), ""), 0)),"")</f>
        <v/>
      </c>
      <c r="AP188" s="111" t="str">
        <f t="array" ref="AP188">IFERROR(INDEX($AM$10:$AM$258, MATCH(0, IF(TRUE=$AK$10:$AK$258, COUNTIF($AP$9:$AP187, $AM$10:$AM$258), ""), 0)),"")</f>
        <v/>
      </c>
      <c r="AR188" s="30" t="str">
        <f>IFERROR(INDEX('G-7 WaterC'' Data'!$AZ$3:$AZ$7,MATCH(D188,'G-7 WaterC'' Data'!$AY$3:$AY$7,0)),"")</f>
        <v/>
      </c>
      <c r="AS188" s="30" t="str">
        <f>IFERROR(INDEX('G-7 WaterC'' Data'!AZ188:AZ192,MATCH(D188,'G-7 WaterC'' Data'!$AY$10:$AY$14,0)),"")</f>
        <v/>
      </c>
      <c r="AT188" s="903" t="str">
        <f>IF(AND(OR(AA188="Yes",AA188="Pending"),Q188='G-7 WaterC'' Data'!$G$4),R188-W188-X188,"")</f>
        <v/>
      </c>
      <c r="AU188" s="30" t="str">
        <f>IF(D188="","",VLOOKUP(D188,'G-7 WaterC'' Data'!B$4:M$8,12,FALSE))</f>
        <v/>
      </c>
      <c r="AV188" s="30" t="str">
        <f t="shared" si="20"/>
        <v/>
      </c>
      <c r="AX188" s="30" t="str">
        <f t="shared" si="29"/>
        <v>No</v>
      </c>
    </row>
    <row r="189" spans="3:50" x14ac:dyDescent="0.25">
      <c r="C189" s="101">
        <v>180</v>
      </c>
      <c r="D189" s="267"/>
      <c r="E189" s="119"/>
      <c r="F189" s="281" t="str">
        <f>IF(D189="","",VLOOKUP(D189,'G-7 WaterC'' Data'!$B$2:$G$8,2,FALSE))</f>
        <v/>
      </c>
      <c r="G189" s="282" t="str">
        <f>IFERROR(VLOOKUP(F189,'G-7 WaterC'' Data'!$C$4:$D$8,2,FALSE),"")</f>
        <v/>
      </c>
      <c r="H189" s="52"/>
      <c r="I189" s="282" t="str">
        <f>IFERROR(INDEX('G-7 WaterC'' Data'!$H$4:$L$8,MATCH(D189,'G-7 WaterC'' Data'!$B$4:$B$8,0),MATCH(H189,'G-7 WaterC'' Data'!$H$3:$L$3,0)),"")</f>
        <v/>
      </c>
      <c r="J189" s="793"/>
      <c r="K189" s="317" t="str">
        <f>IF(J189="","",IF(VLOOKUP(J189,'G-7 WaterC'' Data'!$AK$4:$AM$6,2,FALSE)=0,"Spatial Data Missing ⚠",VLOOKUP(J189,'G-7 WaterC'' Data'!$AK$4:$AM$6,2,FALSE)))</f>
        <v/>
      </c>
      <c r="L189" s="287" t="str">
        <f>IF(J189="","",IF(VLOOKUP(J189,'G-7 WaterC'' Data'!$AK$4:$AM$9,3,FALSE)=0,"Spatial Data Missing ⚠",VLOOKUP(J189,'G-7 WaterC'' Data'!$AK$4:$AM$6,3,FALSE)))</f>
        <v/>
      </c>
      <c r="M189" s="52"/>
      <c r="N189" s="282" t="str">
        <f>IF(M189="","",IF(AND(D189&lt;&gt;"Culvert",M189="N/A - Culvert"),"Not possible ▲",IF(AND(D189="Culvert",M189&lt;&gt;"N/A - Culvert"),"Not possible ▲",IF(VLOOKUP(M189,'G-7 WaterC'' Data'!$AA$4:$AB$7,2,FALSE)=0,"Spatial Data Missing ⚠",VLOOKUP(M189,'G-7 WaterC'' Data'!$AA$4:$AB$7,2,FALSE)))))</f>
        <v/>
      </c>
      <c r="O189" s="56"/>
      <c r="P189" s="282" t="str">
        <f>IF(O189="","",IF(AND(O189="N/A - Culvert", D189&lt;&gt;"Culvert"),"Not possible ▲", IF(AND(D189="Culvert",O189&lt;&gt;"N/A - Culvert"),"Not possible ▲",IF(VLOOKUP(O189,'G-7 WaterC'' Data'!$AD$4:$AE$14,2,FALSE)=0,"Spatial Data Missing ⚠",VLOOKUP(O189,'G-7 WaterC'' Data'!$AD$4:$AE$14,2,FALSE)))))</f>
        <v/>
      </c>
      <c r="Q189" s="288" t="str">
        <f>IF(D189="","",VLOOKUP(D189,'G-7 WaterC'' Data'!$B$2:$G$8,6,FALSE))</f>
        <v/>
      </c>
      <c r="R189" s="295" t="str">
        <f t="shared" si="21"/>
        <v xml:space="preserve"> </v>
      </c>
      <c r="S189" s="820" t="str">
        <f t="shared" si="22"/>
        <v/>
      </c>
      <c r="T189" s="32"/>
      <c r="U189" s="105"/>
      <c r="V189" s="112"/>
      <c r="W189" s="293" t="str">
        <f t="shared" si="23"/>
        <v/>
      </c>
      <c r="X189" s="293" t="str">
        <f t="shared" si="24"/>
        <v/>
      </c>
      <c r="Y189" s="293" t="str">
        <f t="shared" si="25"/>
        <v/>
      </c>
      <c r="Z189" s="323" t="str">
        <f>IFERROR(IF(OR(E189="",R189=""),"",  IF(AND(Q189='G-7 WaterC'' Data'!$G$4,AA189="Yes"),"Alternative Compensation ✓", IF(AND(AA189="Pending", Q189='G-7 WaterC'' Data'!$G$4),"Bespoke compensation must be agreed ▲", IF((W189+X189)&gt;=R189, 0, R189-W189-X189)))),"Check Data ⚠")</f>
        <v/>
      </c>
      <c r="AA189" s="817"/>
      <c r="AB189" s="140"/>
      <c r="AC189" s="108"/>
      <c r="AD189" s="108"/>
      <c r="AE189" s="54" t="str">
        <f>IF(OR(Q189="",AA189="Yes"),"",IF(Q189='G-1 All Habitats'!$X$9,E189-U189-V189,"None"))</f>
        <v/>
      </c>
      <c r="AF189" s="55" t="str">
        <f>IF(Q189="","", IF(Q189='G-1 All Habitats'!$X$9, AE189*G189*I189*L189*N189*P189,"None"))</f>
        <v/>
      </c>
      <c r="AI189" s="30">
        <f t="shared" si="26"/>
        <v>0</v>
      </c>
      <c r="AJ189" s="111" t="str">
        <f t="shared" si="27"/>
        <v/>
      </c>
      <c r="AK189" s="111" t="str">
        <f t="shared" si="28"/>
        <v/>
      </c>
      <c r="AM189" s="111">
        <v>180</v>
      </c>
      <c r="AO189" s="111" t="str">
        <f t="array" ref="AO189">IFERROR(INDEX($AM$10:$AM$258, MATCH(0, IF(TRUE=$AJ$10:$AJ$258, COUNTIF($AO$9:$AO188, $AM$10:$AM$258), ""), 0)),"")</f>
        <v/>
      </c>
      <c r="AP189" s="111" t="str">
        <f t="array" ref="AP189">IFERROR(INDEX($AM$10:$AM$258, MATCH(0, IF(TRUE=$AK$10:$AK$258, COUNTIF($AP$9:$AP188, $AM$10:$AM$258), ""), 0)),"")</f>
        <v/>
      </c>
      <c r="AR189" s="30" t="str">
        <f>IFERROR(INDEX('G-7 WaterC'' Data'!$AZ$3:$AZ$7,MATCH(D189,'G-7 WaterC'' Data'!$AY$3:$AY$7,0)),"")</f>
        <v/>
      </c>
      <c r="AS189" s="30" t="str">
        <f>IFERROR(INDEX('G-7 WaterC'' Data'!AZ189:AZ193,MATCH(D189,'G-7 WaterC'' Data'!$AY$10:$AY$14,0)),"")</f>
        <v/>
      </c>
      <c r="AT189" s="903" t="str">
        <f>IF(AND(OR(AA189="Yes",AA189="Pending"),Q189='G-7 WaterC'' Data'!$G$4),R189-W189-X189,"")</f>
        <v/>
      </c>
      <c r="AU189" s="30" t="str">
        <f>IF(D189="","",VLOOKUP(D189,'G-7 WaterC'' Data'!B$4:M$8,12,FALSE))</f>
        <v/>
      </c>
      <c r="AV189" s="30" t="str">
        <f t="shared" si="20"/>
        <v/>
      </c>
      <c r="AX189" s="30" t="str">
        <f t="shared" si="29"/>
        <v>No</v>
      </c>
    </row>
    <row r="190" spans="3:50" x14ac:dyDescent="0.25">
      <c r="C190" s="101">
        <v>181</v>
      </c>
      <c r="D190" s="267"/>
      <c r="E190" s="119"/>
      <c r="F190" s="281" t="str">
        <f>IF(D190="","",VLOOKUP(D190,'G-7 WaterC'' Data'!$B$2:$G$8,2,FALSE))</f>
        <v/>
      </c>
      <c r="G190" s="282" t="str">
        <f>IFERROR(VLOOKUP(F190,'G-7 WaterC'' Data'!$C$4:$D$8,2,FALSE),"")</f>
        <v/>
      </c>
      <c r="H190" s="52"/>
      <c r="I190" s="282" t="str">
        <f>IFERROR(INDEX('G-7 WaterC'' Data'!$H$4:$L$8,MATCH(D190,'G-7 WaterC'' Data'!$B$4:$B$8,0),MATCH(H190,'G-7 WaterC'' Data'!$H$3:$L$3,0)),"")</f>
        <v/>
      </c>
      <c r="J190" s="793"/>
      <c r="K190" s="317" t="str">
        <f>IF(J190="","",IF(VLOOKUP(J190,'G-7 WaterC'' Data'!$AK$4:$AM$6,2,FALSE)=0,"Spatial Data Missing ⚠",VLOOKUP(J190,'G-7 WaterC'' Data'!$AK$4:$AM$6,2,FALSE)))</f>
        <v/>
      </c>
      <c r="L190" s="287" t="str">
        <f>IF(J190="","",IF(VLOOKUP(J190,'G-7 WaterC'' Data'!$AK$4:$AM$9,3,FALSE)=0,"Spatial Data Missing ⚠",VLOOKUP(J190,'G-7 WaterC'' Data'!$AK$4:$AM$6,3,FALSE)))</f>
        <v/>
      </c>
      <c r="M190" s="52"/>
      <c r="N190" s="282" t="str">
        <f>IF(M190="","",IF(AND(D190&lt;&gt;"Culvert",M190="N/A - Culvert"),"Not possible ▲",IF(AND(D190="Culvert",M190&lt;&gt;"N/A - Culvert"),"Not possible ▲",IF(VLOOKUP(M190,'G-7 WaterC'' Data'!$AA$4:$AB$7,2,FALSE)=0,"Spatial Data Missing ⚠",VLOOKUP(M190,'G-7 WaterC'' Data'!$AA$4:$AB$7,2,FALSE)))))</f>
        <v/>
      </c>
      <c r="O190" s="56"/>
      <c r="P190" s="282" t="str">
        <f>IF(O190="","",IF(AND(O190="N/A - Culvert", D190&lt;&gt;"Culvert"),"Not possible ▲", IF(AND(D190="Culvert",O190&lt;&gt;"N/A - Culvert"),"Not possible ▲",IF(VLOOKUP(O190,'G-7 WaterC'' Data'!$AD$4:$AE$14,2,FALSE)=0,"Spatial Data Missing ⚠",VLOOKUP(O190,'G-7 WaterC'' Data'!$AD$4:$AE$14,2,FALSE)))))</f>
        <v/>
      </c>
      <c r="Q190" s="288" t="str">
        <f>IF(D190="","",VLOOKUP(D190,'G-7 WaterC'' Data'!$B$2:$G$8,6,FALSE))</f>
        <v/>
      </c>
      <c r="R190" s="295" t="str">
        <f t="shared" si="21"/>
        <v xml:space="preserve"> </v>
      </c>
      <c r="S190" s="820" t="str">
        <f t="shared" si="22"/>
        <v/>
      </c>
      <c r="T190" s="32"/>
      <c r="U190" s="105"/>
      <c r="V190" s="112"/>
      <c r="W190" s="293" t="str">
        <f t="shared" si="23"/>
        <v/>
      </c>
      <c r="X190" s="293" t="str">
        <f t="shared" si="24"/>
        <v/>
      </c>
      <c r="Y190" s="293" t="str">
        <f t="shared" si="25"/>
        <v/>
      </c>
      <c r="Z190" s="323" t="str">
        <f>IFERROR(IF(OR(E190="",R190=""),"",  IF(AND(Q190='G-7 WaterC'' Data'!$G$4,AA190="Yes"),"Alternative Compensation ✓", IF(AND(AA190="Pending", Q190='G-7 WaterC'' Data'!$G$4),"Bespoke compensation must be agreed ▲", IF((W190+X190)&gt;=R190, 0, R190-W190-X190)))),"Check Data ⚠")</f>
        <v/>
      </c>
      <c r="AA190" s="817"/>
      <c r="AB190" s="140"/>
      <c r="AC190" s="108"/>
      <c r="AD190" s="108"/>
      <c r="AE190" s="54" t="str">
        <f>IF(OR(Q190="",AA190="Yes"),"",IF(Q190='G-1 All Habitats'!$X$9,E190-U190-V190,"None"))</f>
        <v/>
      </c>
      <c r="AF190" s="55" t="str">
        <f>IF(Q190="","", IF(Q190='G-1 All Habitats'!$X$9, AE190*G190*I190*L190*N190*P190,"None"))</f>
        <v/>
      </c>
      <c r="AI190" s="30">
        <f t="shared" si="26"/>
        <v>0</v>
      </c>
      <c r="AJ190" s="111" t="str">
        <f t="shared" si="27"/>
        <v/>
      </c>
      <c r="AK190" s="111" t="str">
        <f t="shared" si="28"/>
        <v/>
      </c>
      <c r="AM190" s="111">
        <v>181</v>
      </c>
      <c r="AO190" s="111" t="str">
        <f t="array" ref="AO190">IFERROR(INDEX($AM$10:$AM$258, MATCH(0, IF(TRUE=$AJ$10:$AJ$258, COUNTIF($AO$9:$AO189, $AM$10:$AM$258), ""), 0)),"")</f>
        <v/>
      </c>
      <c r="AP190" s="111" t="str">
        <f t="array" ref="AP190">IFERROR(INDEX($AM$10:$AM$258, MATCH(0, IF(TRUE=$AK$10:$AK$258, COUNTIF($AP$9:$AP189, $AM$10:$AM$258), ""), 0)),"")</f>
        <v/>
      </c>
      <c r="AR190" s="30" t="str">
        <f>IFERROR(INDEX('G-7 WaterC'' Data'!$AZ$3:$AZ$7,MATCH(D190,'G-7 WaterC'' Data'!$AY$3:$AY$7,0)),"")</f>
        <v/>
      </c>
      <c r="AS190" s="30" t="str">
        <f>IFERROR(INDEX('G-7 WaterC'' Data'!AZ190:AZ194,MATCH(D190,'G-7 WaterC'' Data'!$AY$10:$AY$14,0)),"")</f>
        <v/>
      </c>
      <c r="AT190" s="903" t="str">
        <f>IF(AND(OR(AA190="Yes",AA190="Pending"),Q190='G-7 WaterC'' Data'!$G$4),R190-W190-X190,"")</f>
        <v/>
      </c>
      <c r="AU190" s="30" t="str">
        <f>IF(D190="","",VLOOKUP(D190,'G-7 WaterC'' Data'!B$4:M$8,12,FALSE))</f>
        <v/>
      </c>
      <c r="AV190" s="30" t="str">
        <f t="shared" si="20"/>
        <v/>
      </c>
      <c r="AX190" s="30" t="str">
        <f t="shared" si="29"/>
        <v>No</v>
      </c>
    </row>
    <row r="191" spans="3:50" x14ac:dyDescent="0.25">
      <c r="C191" s="101">
        <v>182</v>
      </c>
      <c r="D191" s="267"/>
      <c r="E191" s="119"/>
      <c r="F191" s="281" t="str">
        <f>IF(D191="","",VLOOKUP(D191,'G-7 WaterC'' Data'!$B$2:$G$8,2,FALSE))</f>
        <v/>
      </c>
      <c r="G191" s="282" t="str">
        <f>IFERROR(VLOOKUP(F191,'G-7 WaterC'' Data'!$C$4:$D$8,2,FALSE),"")</f>
        <v/>
      </c>
      <c r="H191" s="52"/>
      <c r="I191" s="282" t="str">
        <f>IFERROR(INDEX('G-7 WaterC'' Data'!$H$4:$L$8,MATCH(D191,'G-7 WaterC'' Data'!$B$4:$B$8,0),MATCH(H191,'G-7 WaterC'' Data'!$H$3:$L$3,0)),"")</f>
        <v/>
      </c>
      <c r="J191" s="793"/>
      <c r="K191" s="317" t="str">
        <f>IF(J191="","",IF(VLOOKUP(J191,'G-7 WaterC'' Data'!$AK$4:$AM$6,2,FALSE)=0,"Spatial Data Missing ⚠",VLOOKUP(J191,'G-7 WaterC'' Data'!$AK$4:$AM$6,2,FALSE)))</f>
        <v/>
      </c>
      <c r="L191" s="287" t="str">
        <f>IF(J191="","",IF(VLOOKUP(J191,'G-7 WaterC'' Data'!$AK$4:$AM$9,3,FALSE)=0,"Spatial Data Missing ⚠",VLOOKUP(J191,'G-7 WaterC'' Data'!$AK$4:$AM$6,3,FALSE)))</f>
        <v/>
      </c>
      <c r="M191" s="52"/>
      <c r="N191" s="282" t="str">
        <f>IF(M191="","",IF(AND(D191&lt;&gt;"Culvert",M191="N/A - Culvert"),"Not possible ▲",IF(AND(D191="Culvert",M191&lt;&gt;"N/A - Culvert"),"Not possible ▲",IF(VLOOKUP(M191,'G-7 WaterC'' Data'!$AA$4:$AB$7,2,FALSE)=0,"Spatial Data Missing ⚠",VLOOKUP(M191,'G-7 WaterC'' Data'!$AA$4:$AB$7,2,FALSE)))))</f>
        <v/>
      </c>
      <c r="O191" s="56"/>
      <c r="P191" s="282" t="str">
        <f>IF(O191="","",IF(AND(O191="N/A - Culvert", D191&lt;&gt;"Culvert"),"Not possible ▲", IF(AND(D191="Culvert",O191&lt;&gt;"N/A - Culvert"),"Not possible ▲",IF(VLOOKUP(O191,'G-7 WaterC'' Data'!$AD$4:$AE$14,2,FALSE)=0,"Spatial Data Missing ⚠",VLOOKUP(O191,'G-7 WaterC'' Data'!$AD$4:$AE$14,2,FALSE)))))</f>
        <v/>
      </c>
      <c r="Q191" s="288" t="str">
        <f>IF(D191="","",VLOOKUP(D191,'G-7 WaterC'' Data'!$B$2:$G$8,6,FALSE))</f>
        <v/>
      </c>
      <c r="R191" s="295" t="str">
        <f t="shared" si="21"/>
        <v xml:space="preserve"> </v>
      </c>
      <c r="S191" s="820" t="str">
        <f t="shared" si="22"/>
        <v/>
      </c>
      <c r="T191" s="32"/>
      <c r="U191" s="105"/>
      <c r="V191" s="112"/>
      <c r="W191" s="293" t="str">
        <f t="shared" si="23"/>
        <v/>
      </c>
      <c r="X191" s="293" t="str">
        <f t="shared" si="24"/>
        <v/>
      </c>
      <c r="Y191" s="293" t="str">
        <f t="shared" si="25"/>
        <v/>
      </c>
      <c r="Z191" s="323" t="str">
        <f>IFERROR(IF(OR(E191="",R191=""),"",  IF(AND(Q191='G-7 WaterC'' Data'!$G$4,AA191="Yes"),"Alternative Compensation ✓", IF(AND(AA191="Pending", Q191='G-7 WaterC'' Data'!$G$4),"Bespoke compensation must be agreed ▲", IF((W191+X191)&gt;=R191, 0, R191-W191-X191)))),"Check Data ⚠")</f>
        <v/>
      </c>
      <c r="AA191" s="817"/>
      <c r="AB191" s="140"/>
      <c r="AC191" s="108"/>
      <c r="AD191" s="108"/>
      <c r="AE191" s="54" t="str">
        <f>IF(OR(Q191="",AA191="Yes"),"",IF(Q191='G-1 All Habitats'!$X$9,E191-U191-V191,"None"))</f>
        <v/>
      </c>
      <c r="AF191" s="55" t="str">
        <f>IF(Q191="","", IF(Q191='G-1 All Habitats'!$X$9, AE191*G191*I191*L191*N191*P191,"None"))</f>
        <v/>
      </c>
      <c r="AI191" s="30">
        <f t="shared" si="26"/>
        <v>0</v>
      </c>
      <c r="AJ191" s="111" t="str">
        <f t="shared" si="27"/>
        <v/>
      </c>
      <c r="AK191" s="111" t="str">
        <f t="shared" si="28"/>
        <v/>
      </c>
      <c r="AM191" s="111">
        <v>182</v>
      </c>
      <c r="AO191" s="111" t="str">
        <f t="array" ref="AO191">IFERROR(INDEX($AM$10:$AM$258, MATCH(0, IF(TRUE=$AJ$10:$AJ$258, COUNTIF($AO$9:$AO190, $AM$10:$AM$258), ""), 0)),"")</f>
        <v/>
      </c>
      <c r="AP191" s="111" t="str">
        <f t="array" ref="AP191">IFERROR(INDEX($AM$10:$AM$258, MATCH(0, IF(TRUE=$AK$10:$AK$258, COUNTIF($AP$9:$AP190, $AM$10:$AM$258), ""), 0)),"")</f>
        <v/>
      </c>
      <c r="AR191" s="30" t="str">
        <f>IFERROR(INDEX('G-7 WaterC'' Data'!$AZ$3:$AZ$7,MATCH(D191,'G-7 WaterC'' Data'!$AY$3:$AY$7,0)),"")</f>
        <v/>
      </c>
      <c r="AS191" s="30" t="str">
        <f>IFERROR(INDEX('G-7 WaterC'' Data'!AZ191:AZ195,MATCH(D191,'G-7 WaterC'' Data'!$AY$10:$AY$14,0)),"")</f>
        <v/>
      </c>
      <c r="AT191" s="903" t="str">
        <f>IF(AND(OR(AA191="Yes",AA191="Pending"),Q191='G-7 WaterC'' Data'!$G$4),R191-W191-X191,"")</f>
        <v/>
      </c>
      <c r="AU191" s="30" t="str">
        <f>IF(D191="","",VLOOKUP(D191,'G-7 WaterC'' Data'!B$4:M$8,12,FALSE))</f>
        <v/>
      </c>
      <c r="AV191" s="30" t="str">
        <f t="shared" si="20"/>
        <v/>
      </c>
      <c r="AX191" s="30" t="str">
        <f t="shared" si="29"/>
        <v>No</v>
      </c>
    </row>
    <row r="192" spans="3:50" x14ac:dyDescent="0.25">
      <c r="C192" s="101">
        <v>183</v>
      </c>
      <c r="D192" s="267"/>
      <c r="E192" s="119"/>
      <c r="F192" s="281" t="str">
        <f>IF(D192="","",VLOOKUP(D192,'G-7 WaterC'' Data'!$B$2:$G$8,2,FALSE))</f>
        <v/>
      </c>
      <c r="G192" s="282" t="str">
        <f>IFERROR(VLOOKUP(F192,'G-7 WaterC'' Data'!$C$4:$D$8,2,FALSE),"")</f>
        <v/>
      </c>
      <c r="H192" s="52"/>
      <c r="I192" s="282" t="str">
        <f>IFERROR(INDEX('G-7 WaterC'' Data'!$H$4:$L$8,MATCH(D192,'G-7 WaterC'' Data'!$B$4:$B$8,0),MATCH(H192,'G-7 WaterC'' Data'!$H$3:$L$3,0)),"")</f>
        <v/>
      </c>
      <c r="J192" s="793"/>
      <c r="K192" s="317" t="str">
        <f>IF(J192="","",IF(VLOOKUP(J192,'G-7 WaterC'' Data'!$AK$4:$AM$6,2,FALSE)=0,"Spatial Data Missing ⚠",VLOOKUP(J192,'G-7 WaterC'' Data'!$AK$4:$AM$6,2,FALSE)))</f>
        <v/>
      </c>
      <c r="L192" s="287" t="str">
        <f>IF(J192="","",IF(VLOOKUP(J192,'G-7 WaterC'' Data'!$AK$4:$AM$9,3,FALSE)=0,"Spatial Data Missing ⚠",VLOOKUP(J192,'G-7 WaterC'' Data'!$AK$4:$AM$6,3,FALSE)))</f>
        <v/>
      </c>
      <c r="M192" s="52"/>
      <c r="N192" s="282" t="str">
        <f>IF(M192="","",IF(AND(D192&lt;&gt;"Culvert",M192="N/A - Culvert"),"Not possible ▲",IF(AND(D192="Culvert",M192&lt;&gt;"N/A - Culvert"),"Not possible ▲",IF(VLOOKUP(M192,'G-7 WaterC'' Data'!$AA$4:$AB$7,2,FALSE)=0,"Spatial Data Missing ⚠",VLOOKUP(M192,'G-7 WaterC'' Data'!$AA$4:$AB$7,2,FALSE)))))</f>
        <v/>
      </c>
      <c r="O192" s="56"/>
      <c r="P192" s="282" t="str">
        <f>IF(O192="","",IF(AND(O192="N/A - Culvert", D192&lt;&gt;"Culvert"),"Not possible ▲", IF(AND(D192="Culvert",O192&lt;&gt;"N/A - Culvert"),"Not possible ▲",IF(VLOOKUP(O192,'G-7 WaterC'' Data'!$AD$4:$AE$14,2,FALSE)=0,"Spatial Data Missing ⚠",VLOOKUP(O192,'G-7 WaterC'' Data'!$AD$4:$AE$14,2,FALSE)))))</f>
        <v/>
      </c>
      <c r="Q192" s="288" t="str">
        <f>IF(D192="","",VLOOKUP(D192,'G-7 WaterC'' Data'!$B$2:$G$8,6,FALSE))</f>
        <v/>
      </c>
      <c r="R192" s="295" t="str">
        <f t="shared" si="21"/>
        <v xml:space="preserve"> </v>
      </c>
      <c r="S192" s="820" t="str">
        <f t="shared" si="22"/>
        <v/>
      </c>
      <c r="T192" s="32"/>
      <c r="U192" s="105"/>
      <c r="V192" s="112"/>
      <c r="W192" s="293" t="str">
        <f t="shared" si="23"/>
        <v/>
      </c>
      <c r="X192" s="293" t="str">
        <f t="shared" si="24"/>
        <v/>
      </c>
      <c r="Y192" s="293" t="str">
        <f t="shared" si="25"/>
        <v/>
      </c>
      <c r="Z192" s="323" t="str">
        <f>IFERROR(IF(OR(E192="",R192=""),"",  IF(AND(Q192='G-7 WaterC'' Data'!$G$4,AA192="Yes"),"Alternative Compensation ✓", IF(AND(AA192="Pending", Q192='G-7 WaterC'' Data'!$G$4),"Bespoke compensation must be agreed ▲", IF((W192+X192)&gt;=R192, 0, R192-W192-X192)))),"Check Data ⚠")</f>
        <v/>
      </c>
      <c r="AA192" s="817"/>
      <c r="AB192" s="140"/>
      <c r="AC192" s="108"/>
      <c r="AD192" s="108"/>
      <c r="AE192" s="54" t="str">
        <f>IF(OR(Q192="",AA192="Yes"),"",IF(Q192='G-1 All Habitats'!$X$9,E192-U192-V192,"None"))</f>
        <v/>
      </c>
      <c r="AF192" s="55" t="str">
        <f>IF(Q192="","", IF(Q192='G-1 All Habitats'!$X$9, AE192*G192*I192*L192*N192*P192,"None"))</f>
        <v/>
      </c>
      <c r="AI192" s="30">
        <f t="shared" si="26"/>
        <v>0</v>
      </c>
      <c r="AJ192" s="111" t="str">
        <f t="shared" si="27"/>
        <v/>
      </c>
      <c r="AK192" s="111" t="str">
        <f t="shared" si="28"/>
        <v/>
      </c>
      <c r="AM192" s="111">
        <v>183</v>
      </c>
      <c r="AO192" s="111" t="str">
        <f t="array" ref="AO192">IFERROR(INDEX($AM$10:$AM$258, MATCH(0, IF(TRUE=$AJ$10:$AJ$258, COUNTIF($AO$9:$AO191, $AM$10:$AM$258), ""), 0)),"")</f>
        <v/>
      </c>
      <c r="AP192" s="111" t="str">
        <f t="array" ref="AP192">IFERROR(INDEX($AM$10:$AM$258, MATCH(0, IF(TRUE=$AK$10:$AK$258, COUNTIF($AP$9:$AP191, $AM$10:$AM$258), ""), 0)),"")</f>
        <v/>
      </c>
      <c r="AR192" s="30" t="str">
        <f>IFERROR(INDEX('G-7 WaterC'' Data'!$AZ$3:$AZ$7,MATCH(D192,'G-7 WaterC'' Data'!$AY$3:$AY$7,0)),"")</f>
        <v/>
      </c>
      <c r="AS192" s="30" t="str">
        <f>IFERROR(INDEX('G-7 WaterC'' Data'!AZ192:AZ196,MATCH(D192,'G-7 WaterC'' Data'!$AY$10:$AY$14,0)),"")</f>
        <v/>
      </c>
      <c r="AT192" s="903" t="str">
        <f>IF(AND(OR(AA192="Yes",AA192="Pending"),Q192='G-7 WaterC'' Data'!$G$4),R192-W192-X192,"")</f>
        <v/>
      </c>
      <c r="AU192" s="30" t="str">
        <f>IF(D192="","",VLOOKUP(D192,'G-7 WaterC'' Data'!B$4:M$8,12,FALSE))</f>
        <v/>
      </c>
      <c r="AV192" s="30" t="str">
        <f t="shared" si="20"/>
        <v/>
      </c>
      <c r="AX192" s="30" t="str">
        <f t="shared" si="29"/>
        <v>No</v>
      </c>
    </row>
    <row r="193" spans="3:50" x14ac:dyDescent="0.25">
      <c r="C193" s="101">
        <v>184</v>
      </c>
      <c r="D193" s="267"/>
      <c r="E193" s="119"/>
      <c r="F193" s="281" t="str">
        <f>IF(D193="","",VLOOKUP(D193,'G-7 WaterC'' Data'!$B$2:$G$8,2,FALSE))</f>
        <v/>
      </c>
      <c r="G193" s="282" t="str">
        <f>IFERROR(VLOOKUP(F193,'G-7 WaterC'' Data'!$C$4:$D$8,2,FALSE),"")</f>
        <v/>
      </c>
      <c r="H193" s="52"/>
      <c r="I193" s="282" t="str">
        <f>IFERROR(INDEX('G-7 WaterC'' Data'!$H$4:$L$8,MATCH(D193,'G-7 WaterC'' Data'!$B$4:$B$8,0),MATCH(H193,'G-7 WaterC'' Data'!$H$3:$L$3,0)),"")</f>
        <v/>
      </c>
      <c r="J193" s="793"/>
      <c r="K193" s="317" t="str">
        <f>IF(J193="","",IF(VLOOKUP(J193,'G-7 WaterC'' Data'!$AK$4:$AM$6,2,FALSE)=0,"Spatial Data Missing ⚠",VLOOKUP(J193,'G-7 WaterC'' Data'!$AK$4:$AM$6,2,FALSE)))</f>
        <v/>
      </c>
      <c r="L193" s="287" t="str">
        <f>IF(J193="","",IF(VLOOKUP(J193,'G-7 WaterC'' Data'!$AK$4:$AM$9,3,FALSE)=0,"Spatial Data Missing ⚠",VLOOKUP(J193,'G-7 WaterC'' Data'!$AK$4:$AM$6,3,FALSE)))</f>
        <v/>
      </c>
      <c r="M193" s="52"/>
      <c r="N193" s="282" t="str">
        <f>IF(M193="","",IF(AND(D193&lt;&gt;"Culvert",M193="N/A - Culvert"),"Not possible ▲",IF(AND(D193="Culvert",M193&lt;&gt;"N/A - Culvert"),"Not possible ▲",IF(VLOOKUP(M193,'G-7 WaterC'' Data'!$AA$4:$AB$7,2,FALSE)=0,"Spatial Data Missing ⚠",VLOOKUP(M193,'G-7 WaterC'' Data'!$AA$4:$AB$7,2,FALSE)))))</f>
        <v/>
      </c>
      <c r="O193" s="56"/>
      <c r="P193" s="282" t="str">
        <f>IF(O193="","",IF(AND(O193="N/A - Culvert", D193&lt;&gt;"Culvert"),"Not possible ▲", IF(AND(D193="Culvert",O193&lt;&gt;"N/A - Culvert"),"Not possible ▲",IF(VLOOKUP(O193,'G-7 WaterC'' Data'!$AD$4:$AE$14,2,FALSE)=0,"Spatial Data Missing ⚠",VLOOKUP(O193,'G-7 WaterC'' Data'!$AD$4:$AE$14,2,FALSE)))))</f>
        <v/>
      </c>
      <c r="Q193" s="288" t="str">
        <f>IF(D193="","",VLOOKUP(D193,'G-7 WaterC'' Data'!$B$2:$G$8,6,FALSE))</f>
        <v/>
      </c>
      <c r="R193" s="295" t="str">
        <f t="shared" si="21"/>
        <v xml:space="preserve"> </v>
      </c>
      <c r="S193" s="820" t="str">
        <f t="shared" si="22"/>
        <v/>
      </c>
      <c r="T193" s="32"/>
      <c r="U193" s="105"/>
      <c r="V193" s="112"/>
      <c r="W193" s="293" t="str">
        <f t="shared" si="23"/>
        <v/>
      </c>
      <c r="X193" s="293" t="str">
        <f t="shared" si="24"/>
        <v/>
      </c>
      <c r="Y193" s="293" t="str">
        <f t="shared" si="25"/>
        <v/>
      </c>
      <c r="Z193" s="323" t="str">
        <f>IFERROR(IF(OR(E193="",R193=""),"",  IF(AND(Q193='G-7 WaterC'' Data'!$G$4,AA193="Yes"),"Alternative Compensation ✓", IF(AND(AA193="Pending", Q193='G-7 WaterC'' Data'!$G$4),"Bespoke compensation must be agreed ▲", IF((W193+X193)&gt;=R193, 0, R193-W193-X193)))),"Check Data ⚠")</f>
        <v/>
      </c>
      <c r="AA193" s="817"/>
      <c r="AB193" s="140"/>
      <c r="AC193" s="108"/>
      <c r="AD193" s="108"/>
      <c r="AE193" s="54" t="str">
        <f>IF(OR(Q193="",AA193="Yes"),"",IF(Q193='G-1 All Habitats'!$X$9,E193-U193-V193,"None"))</f>
        <v/>
      </c>
      <c r="AF193" s="55" t="str">
        <f>IF(Q193="","", IF(Q193='G-1 All Habitats'!$X$9, AE193*G193*I193*L193*N193*P193,"None"))</f>
        <v/>
      </c>
      <c r="AI193" s="30">
        <f t="shared" si="26"/>
        <v>0</v>
      </c>
      <c r="AJ193" s="111" t="str">
        <f t="shared" si="27"/>
        <v/>
      </c>
      <c r="AK193" s="111" t="str">
        <f t="shared" si="28"/>
        <v/>
      </c>
      <c r="AM193" s="111">
        <v>184</v>
      </c>
      <c r="AO193" s="111" t="str">
        <f t="array" ref="AO193">IFERROR(INDEX($AM$10:$AM$258, MATCH(0, IF(TRUE=$AJ$10:$AJ$258, COUNTIF($AO$9:$AO192, $AM$10:$AM$258), ""), 0)),"")</f>
        <v/>
      </c>
      <c r="AP193" s="111" t="str">
        <f t="array" ref="AP193">IFERROR(INDEX($AM$10:$AM$258, MATCH(0, IF(TRUE=$AK$10:$AK$258, COUNTIF($AP$9:$AP192, $AM$10:$AM$258), ""), 0)),"")</f>
        <v/>
      </c>
      <c r="AR193" s="30" t="str">
        <f>IFERROR(INDEX('G-7 WaterC'' Data'!$AZ$3:$AZ$7,MATCH(D193,'G-7 WaterC'' Data'!$AY$3:$AY$7,0)),"")</f>
        <v/>
      </c>
      <c r="AS193" s="30" t="str">
        <f>IFERROR(INDEX('G-7 WaterC'' Data'!AZ193:AZ197,MATCH(D193,'G-7 WaterC'' Data'!$AY$10:$AY$14,0)),"")</f>
        <v/>
      </c>
      <c r="AT193" s="903" t="str">
        <f>IF(AND(OR(AA193="Yes",AA193="Pending"),Q193='G-7 WaterC'' Data'!$G$4),R193-W193-X193,"")</f>
        <v/>
      </c>
      <c r="AU193" s="30" t="str">
        <f>IF(D193="","",VLOOKUP(D193,'G-7 WaterC'' Data'!B$4:M$8,12,FALSE))</f>
        <v/>
      </c>
      <c r="AV193" s="30" t="str">
        <f t="shared" si="20"/>
        <v/>
      </c>
      <c r="AX193" s="30" t="str">
        <f t="shared" si="29"/>
        <v>No</v>
      </c>
    </row>
    <row r="194" spans="3:50" x14ac:dyDescent="0.25">
      <c r="C194" s="101">
        <v>185</v>
      </c>
      <c r="D194" s="267"/>
      <c r="E194" s="119"/>
      <c r="F194" s="281" t="str">
        <f>IF(D194="","",VLOOKUP(D194,'G-7 WaterC'' Data'!$B$2:$G$8,2,FALSE))</f>
        <v/>
      </c>
      <c r="G194" s="282" t="str">
        <f>IFERROR(VLOOKUP(F194,'G-7 WaterC'' Data'!$C$4:$D$8,2,FALSE),"")</f>
        <v/>
      </c>
      <c r="H194" s="52"/>
      <c r="I194" s="282" t="str">
        <f>IFERROR(INDEX('G-7 WaterC'' Data'!$H$4:$L$8,MATCH(D194,'G-7 WaterC'' Data'!$B$4:$B$8,0),MATCH(H194,'G-7 WaterC'' Data'!$H$3:$L$3,0)),"")</f>
        <v/>
      </c>
      <c r="J194" s="793"/>
      <c r="K194" s="317" t="str">
        <f>IF(J194="","",IF(VLOOKUP(J194,'G-7 WaterC'' Data'!$AK$4:$AM$6,2,FALSE)=0,"Spatial Data Missing ⚠",VLOOKUP(J194,'G-7 WaterC'' Data'!$AK$4:$AM$6,2,FALSE)))</f>
        <v/>
      </c>
      <c r="L194" s="287" t="str">
        <f>IF(J194="","",IF(VLOOKUP(J194,'G-7 WaterC'' Data'!$AK$4:$AM$9,3,FALSE)=0,"Spatial Data Missing ⚠",VLOOKUP(J194,'G-7 WaterC'' Data'!$AK$4:$AM$6,3,FALSE)))</f>
        <v/>
      </c>
      <c r="M194" s="52"/>
      <c r="N194" s="282" t="str">
        <f>IF(M194="","",IF(AND(D194&lt;&gt;"Culvert",M194="N/A - Culvert"),"Not possible ▲",IF(AND(D194="Culvert",M194&lt;&gt;"N/A - Culvert"),"Not possible ▲",IF(VLOOKUP(M194,'G-7 WaterC'' Data'!$AA$4:$AB$7,2,FALSE)=0,"Spatial Data Missing ⚠",VLOOKUP(M194,'G-7 WaterC'' Data'!$AA$4:$AB$7,2,FALSE)))))</f>
        <v/>
      </c>
      <c r="O194" s="56"/>
      <c r="P194" s="282" t="str">
        <f>IF(O194="","",IF(AND(O194="N/A - Culvert", D194&lt;&gt;"Culvert"),"Not possible ▲", IF(AND(D194="Culvert",O194&lt;&gt;"N/A - Culvert"),"Not possible ▲",IF(VLOOKUP(O194,'G-7 WaterC'' Data'!$AD$4:$AE$14,2,FALSE)=0,"Spatial Data Missing ⚠",VLOOKUP(O194,'G-7 WaterC'' Data'!$AD$4:$AE$14,2,FALSE)))))</f>
        <v/>
      </c>
      <c r="Q194" s="288" t="str">
        <f>IF(D194="","",VLOOKUP(D194,'G-7 WaterC'' Data'!$B$2:$G$8,6,FALSE))</f>
        <v/>
      </c>
      <c r="R194" s="295" t="str">
        <f t="shared" si="21"/>
        <v xml:space="preserve"> </v>
      </c>
      <c r="S194" s="820" t="str">
        <f t="shared" si="22"/>
        <v/>
      </c>
      <c r="T194" s="32"/>
      <c r="U194" s="105"/>
      <c r="V194" s="112"/>
      <c r="W194" s="293" t="str">
        <f t="shared" si="23"/>
        <v/>
      </c>
      <c r="X194" s="293" t="str">
        <f t="shared" si="24"/>
        <v/>
      </c>
      <c r="Y194" s="293" t="str">
        <f t="shared" si="25"/>
        <v/>
      </c>
      <c r="Z194" s="323" t="str">
        <f>IFERROR(IF(OR(E194="",R194=""),"",  IF(AND(Q194='G-7 WaterC'' Data'!$G$4,AA194="Yes"),"Alternative Compensation ✓", IF(AND(AA194="Pending", Q194='G-7 WaterC'' Data'!$G$4),"Bespoke compensation must be agreed ▲", IF((W194+X194)&gt;=R194, 0, R194-W194-X194)))),"Check Data ⚠")</f>
        <v/>
      </c>
      <c r="AA194" s="817"/>
      <c r="AB194" s="140"/>
      <c r="AC194" s="108"/>
      <c r="AD194" s="108"/>
      <c r="AE194" s="54" t="str">
        <f>IF(OR(Q194="",AA194="Yes"),"",IF(Q194='G-1 All Habitats'!$X$9,E194-U194-V194,"None"))</f>
        <v/>
      </c>
      <c r="AF194" s="55" t="str">
        <f>IF(Q194="","", IF(Q194='G-1 All Habitats'!$X$9, AE194*G194*I194*L194*N194*P194,"None"))</f>
        <v/>
      </c>
      <c r="AI194" s="30">
        <f t="shared" si="26"/>
        <v>0</v>
      </c>
      <c r="AJ194" s="111" t="str">
        <f t="shared" si="27"/>
        <v/>
      </c>
      <c r="AK194" s="111" t="str">
        <f t="shared" si="28"/>
        <v/>
      </c>
      <c r="AM194" s="111">
        <v>185</v>
      </c>
      <c r="AO194" s="111" t="str">
        <f t="array" ref="AO194">IFERROR(INDEX($AM$10:$AM$258, MATCH(0, IF(TRUE=$AJ$10:$AJ$258, COUNTIF($AO$9:$AO193, $AM$10:$AM$258), ""), 0)),"")</f>
        <v/>
      </c>
      <c r="AP194" s="111" t="str">
        <f t="array" ref="AP194">IFERROR(INDEX($AM$10:$AM$258, MATCH(0, IF(TRUE=$AK$10:$AK$258, COUNTIF($AP$9:$AP193, $AM$10:$AM$258), ""), 0)),"")</f>
        <v/>
      </c>
      <c r="AR194" s="30" t="str">
        <f>IFERROR(INDEX('G-7 WaterC'' Data'!$AZ$3:$AZ$7,MATCH(D194,'G-7 WaterC'' Data'!$AY$3:$AY$7,0)),"")</f>
        <v/>
      </c>
      <c r="AS194" s="30" t="str">
        <f>IFERROR(INDEX('G-7 WaterC'' Data'!AZ194:AZ198,MATCH(D194,'G-7 WaterC'' Data'!$AY$10:$AY$14,0)),"")</f>
        <v/>
      </c>
      <c r="AT194" s="903" t="str">
        <f>IF(AND(OR(AA194="Yes",AA194="Pending"),Q194='G-7 WaterC'' Data'!$G$4),R194-W194-X194,"")</f>
        <v/>
      </c>
      <c r="AU194" s="30" t="str">
        <f>IF(D194="","",VLOOKUP(D194,'G-7 WaterC'' Data'!B$4:M$8,12,FALSE))</f>
        <v/>
      </c>
      <c r="AV194" s="30" t="str">
        <f t="shared" si="20"/>
        <v/>
      </c>
      <c r="AX194" s="30" t="str">
        <f t="shared" si="29"/>
        <v>No</v>
      </c>
    </row>
    <row r="195" spans="3:50" x14ac:dyDescent="0.25">
      <c r="C195" s="101">
        <v>186</v>
      </c>
      <c r="D195" s="267"/>
      <c r="E195" s="119"/>
      <c r="F195" s="281" t="str">
        <f>IF(D195="","",VLOOKUP(D195,'G-7 WaterC'' Data'!$B$2:$G$8,2,FALSE))</f>
        <v/>
      </c>
      <c r="G195" s="282" t="str">
        <f>IFERROR(VLOOKUP(F195,'G-7 WaterC'' Data'!$C$4:$D$8,2,FALSE),"")</f>
        <v/>
      </c>
      <c r="H195" s="52"/>
      <c r="I195" s="282" t="str">
        <f>IFERROR(INDEX('G-7 WaterC'' Data'!$H$4:$L$8,MATCH(D195,'G-7 WaterC'' Data'!$B$4:$B$8,0),MATCH(H195,'G-7 WaterC'' Data'!$H$3:$L$3,0)),"")</f>
        <v/>
      </c>
      <c r="J195" s="793"/>
      <c r="K195" s="317" t="str">
        <f>IF(J195="","",IF(VLOOKUP(J195,'G-7 WaterC'' Data'!$AK$4:$AM$6,2,FALSE)=0,"Spatial Data Missing ⚠",VLOOKUP(J195,'G-7 WaterC'' Data'!$AK$4:$AM$6,2,FALSE)))</f>
        <v/>
      </c>
      <c r="L195" s="287" t="str">
        <f>IF(J195="","",IF(VLOOKUP(J195,'G-7 WaterC'' Data'!$AK$4:$AM$9,3,FALSE)=0,"Spatial Data Missing ⚠",VLOOKUP(J195,'G-7 WaterC'' Data'!$AK$4:$AM$6,3,FALSE)))</f>
        <v/>
      </c>
      <c r="M195" s="52"/>
      <c r="N195" s="282" t="str">
        <f>IF(M195="","",IF(AND(D195&lt;&gt;"Culvert",M195="N/A - Culvert"),"Not possible ▲",IF(AND(D195="Culvert",M195&lt;&gt;"N/A - Culvert"),"Not possible ▲",IF(VLOOKUP(M195,'G-7 WaterC'' Data'!$AA$4:$AB$7,2,FALSE)=0,"Spatial Data Missing ⚠",VLOOKUP(M195,'G-7 WaterC'' Data'!$AA$4:$AB$7,2,FALSE)))))</f>
        <v/>
      </c>
      <c r="O195" s="56"/>
      <c r="P195" s="282" t="str">
        <f>IF(O195="","",IF(AND(O195="N/A - Culvert", D195&lt;&gt;"Culvert"),"Not possible ▲", IF(AND(D195="Culvert",O195&lt;&gt;"N/A - Culvert"),"Not possible ▲",IF(VLOOKUP(O195,'G-7 WaterC'' Data'!$AD$4:$AE$14,2,FALSE)=0,"Spatial Data Missing ⚠",VLOOKUP(O195,'G-7 WaterC'' Data'!$AD$4:$AE$14,2,FALSE)))))</f>
        <v/>
      </c>
      <c r="Q195" s="288" t="str">
        <f>IF(D195="","",VLOOKUP(D195,'G-7 WaterC'' Data'!$B$2:$G$8,6,FALSE))</f>
        <v/>
      </c>
      <c r="R195" s="295" t="str">
        <f t="shared" si="21"/>
        <v xml:space="preserve"> </v>
      </c>
      <c r="S195" s="820" t="str">
        <f t="shared" si="22"/>
        <v/>
      </c>
      <c r="T195" s="32"/>
      <c r="U195" s="105"/>
      <c r="V195" s="112"/>
      <c r="W195" s="293" t="str">
        <f t="shared" si="23"/>
        <v/>
      </c>
      <c r="X195" s="293" t="str">
        <f t="shared" si="24"/>
        <v/>
      </c>
      <c r="Y195" s="293" t="str">
        <f t="shared" si="25"/>
        <v/>
      </c>
      <c r="Z195" s="323" t="str">
        <f>IFERROR(IF(OR(E195="",R195=""),"",  IF(AND(Q195='G-7 WaterC'' Data'!$G$4,AA195="Yes"),"Alternative Compensation ✓", IF(AND(AA195="Pending", Q195='G-7 WaterC'' Data'!$G$4),"Bespoke compensation must be agreed ▲", IF((W195+X195)&gt;=R195, 0, R195-W195-X195)))),"Check Data ⚠")</f>
        <v/>
      </c>
      <c r="AA195" s="817"/>
      <c r="AB195" s="140"/>
      <c r="AC195" s="108"/>
      <c r="AD195" s="108"/>
      <c r="AE195" s="54" t="str">
        <f>IF(OR(Q195="",AA195="Yes"),"",IF(Q195='G-1 All Habitats'!$X$9,E195-U195-V195,"None"))</f>
        <v/>
      </c>
      <c r="AF195" s="55" t="str">
        <f>IF(Q195="","", IF(Q195='G-1 All Habitats'!$X$9, AE195*G195*I195*L195*N195*P195,"None"))</f>
        <v/>
      </c>
      <c r="AI195" s="30">
        <f t="shared" si="26"/>
        <v>0</v>
      </c>
      <c r="AJ195" s="111" t="str">
        <f t="shared" si="27"/>
        <v/>
      </c>
      <c r="AK195" s="111" t="str">
        <f t="shared" si="28"/>
        <v/>
      </c>
      <c r="AM195" s="111">
        <v>186</v>
      </c>
      <c r="AO195" s="111" t="str">
        <f t="array" ref="AO195">IFERROR(INDEX($AM$10:$AM$258, MATCH(0, IF(TRUE=$AJ$10:$AJ$258, COUNTIF($AO$9:$AO194, $AM$10:$AM$258), ""), 0)),"")</f>
        <v/>
      </c>
      <c r="AP195" s="111" t="str">
        <f t="array" ref="AP195">IFERROR(INDEX($AM$10:$AM$258, MATCH(0, IF(TRUE=$AK$10:$AK$258, COUNTIF($AP$9:$AP194, $AM$10:$AM$258), ""), 0)),"")</f>
        <v/>
      </c>
      <c r="AR195" s="30" t="str">
        <f>IFERROR(INDEX('G-7 WaterC'' Data'!$AZ$3:$AZ$7,MATCH(D195,'G-7 WaterC'' Data'!$AY$3:$AY$7,0)),"")</f>
        <v/>
      </c>
      <c r="AS195" s="30" t="str">
        <f>IFERROR(INDEX('G-7 WaterC'' Data'!AZ195:AZ199,MATCH(D195,'G-7 WaterC'' Data'!$AY$10:$AY$14,0)),"")</f>
        <v/>
      </c>
      <c r="AT195" s="903" t="str">
        <f>IF(AND(OR(AA195="Yes",AA195="Pending"),Q195='G-7 WaterC'' Data'!$G$4),R195-W195-X195,"")</f>
        <v/>
      </c>
      <c r="AU195" s="30" t="str">
        <f>IF(D195="","",VLOOKUP(D195,'G-7 WaterC'' Data'!B$4:M$8,12,FALSE))</f>
        <v/>
      </c>
      <c r="AV195" s="30" t="str">
        <f t="shared" si="20"/>
        <v/>
      </c>
      <c r="AX195" s="30" t="str">
        <f t="shared" si="29"/>
        <v>No</v>
      </c>
    </row>
    <row r="196" spans="3:50" x14ac:dyDescent="0.25">
      <c r="C196" s="101">
        <v>187</v>
      </c>
      <c r="D196" s="267"/>
      <c r="E196" s="119"/>
      <c r="F196" s="281" t="str">
        <f>IF(D196="","",VLOOKUP(D196,'G-7 WaterC'' Data'!$B$2:$G$8,2,FALSE))</f>
        <v/>
      </c>
      <c r="G196" s="282" t="str">
        <f>IFERROR(VLOOKUP(F196,'G-7 WaterC'' Data'!$C$4:$D$8,2,FALSE),"")</f>
        <v/>
      </c>
      <c r="H196" s="52"/>
      <c r="I196" s="282" t="str">
        <f>IFERROR(INDEX('G-7 WaterC'' Data'!$H$4:$L$8,MATCH(D196,'G-7 WaterC'' Data'!$B$4:$B$8,0),MATCH(H196,'G-7 WaterC'' Data'!$H$3:$L$3,0)),"")</f>
        <v/>
      </c>
      <c r="J196" s="793"/>
      <c r="K196" s="317" t="str">
        <f>IF(J196="","",IF(VLOOKUP(J196,'G-7 WaterC'' Data'!$AK$4:$AM$6,2,FALSE)=0,"Spatial Data Missing ⚠",VLOOKUP(J196,'G-7 WaterC'' Data'!$AK$4:$AM$6,2,FALSE)))</f>
        <v/>
      </c>
      <c r="L196" s="287" t="str">
        <f>IF(J196="","",IF(VLOOKUP(J196,'G-7 WaterC'' Data'!$AK$4:$AM$9,3,FALSE)=0,"Spatial Data Missing ⚠",VLOOKUP(J196,'G-7 WaterC'' Data'!$AK$4:$AM$6,3,FALSE)))</f>
        <v/>
      </c>
      <c r="M196" s="52"/>
      <c r="N196" s="282" t="str">
        <f>IF(M196="","",IF(AND(D196&lt;&gt;"Culvert",M196="N/A - Culvert"),"Not possible ▲",IF(AND(D196="Culvert",M196&lt;&gt;"N/A - Culvert"),"Not possible ▲",IF(VLOOKUP(M196,'G-7 WaterC'' Data'!$AA$4:$AB$7,2,FALSE)=0,"Spatial Data Missing ⚠",VLOOKUP(M196,'G-7 WaterC'' Data'!$AA$4:$AB$7,2,FALSE)))))</f>
        <v/>
      </c>
      <c r="O196" s="56"/>
      <c r="P196" s="282" t="str">
        <f>IF(O196="","",IF(AND(O196="N/A - Culvert", D196&lt;&gt;"Culvert"),"Not possible ▲", IF(AND(D196="Culvert",O196&lt;&gt;"N/A - Culvert"),"Not possible ▲",IF(VLOOKUP(O196,'G-7 WaterC'' Data'!$AD$4:$AE$14,2,FALSE)=0,"Spatial Data Missing ⚠",VLOOKUP(O196,'G-7 WaterC'' Data'!$AD$4:$AE$14,2,FALSE)))))</f>
        <v/>
      </c>
      <c r="Q196" s="288" t="str">
        <f>IF(D196="","",VLOOKUP(D196,'G-7 WaterC'' Data'!$B$2:$G$8,6,FALSE))</f>
        <v/>
      </c>
      <c r="R196" s="295" t="str">
        <f t="shared" si="21"/>
        <v xml:space="preserve"> </v>
      </c>
      <c r="S196" s="820" t="str">
        <f t="shared" si="22"/>
        <v/>
      </c>
      <c r="T196" s="32"/>
      <c r="U196" s="105"/>
      <c r="V196" s="112"/>
      <c r="W196" s="293" t="str">
        <f t="shared" si="23"/>
        <v/>
      </c>
      <c r="X196" s="293" t="str">
        <f t="shared" si="24"/>
        <v/>
      </c>
      <c r="Y196" s="293" t="str">
        <f t="shared" si="25"/>
        <v/>
      </c>
      <c r="Z196" s="323" t="str">
        <f>IFERROR(IF(OR(E196="",R196=""),"",  IF(AND(Q196='G-7 WaterC'' Data'!$G$4,AA196="Yes"),"Alternative Compensation ✓", IF(AND(AA196="Pending", Q196='G-7 WaterC'' Data'!$G$4),"Bespoke compensation must be agreed ▲", IF((W196+X196)&gt;=R196, 0, R196-W196-X196)))),"Check Data ⚠")</f>
        <v/>
      </c>
      <c r="AA196" s="817"/>
      <c r="AB196" s="140"/>
      <c r="AC196" s="108"/>
      <c r="AD196" s="108"/>
      <c r="AE196" s="54" t="str">
        <f>IF(OR(Q196="",AA196="Yes"),"",IF(Q196='G-1 All Habitats'!$X$9,E196-U196-V196,"None"))</f>
        <v/>
      </c>
      <c r="AF196" s="55" t="str">
        <f>IF(Q196="","", IF(Q196='G-1 All Habitats'!$X$9, AE196*G196*I196*L196*N196*P196,"None"))</f>
        <v/>
      </c>
      <c r="AI196" s="30">
        <f t="shared" si="26"/>
        <v>0</v>
      </c>
      <c r="AJ196" s="111" t="str">
        <f t="shared" si="27"/>
        <v/>
      </c>
      <c r="AK196" s="111" t="str">
        <f t="shared" si="28"/>
        <v/>
      </c>
      <c r="AM196" s="111">
        <v>187</v>
      </c>
      <c r="AO196" s="111" t="str">
        <f t="array" ref="AO196">IFERROR(INDEX($AM$10:$AM$258, MATCH(0, IF(TRUE=$AJ$10:$AJ$258, COUNTIF($AO$9:$AO195, $AM$10:$AM$258), ""), 0)),"")</f>
        <v/>
      </c>
      <c r="AP196" s="111" t="str">
        <f t="array" ref="AP196">IFERROR(INDEX($AM$10:$AM$258, MATCH(0, IF(TRUE=$AK$10:$AK$258, COUNTIF($AP$9:$AP195, $AM$10:$AM$258), ""), 0)),"")</f>
        <v/>
      </c>
      <c r="AR196" s="30" t="str">
        <f>IFERROR(INDEX('G-7 WaterC'' Data'!$AZ$3:$AZ$7,MATCH(D196,'G-7 WaterC'' Data'!$AY$3:$AY$7,0)),"")</f>
        <v/>
      </c>
      <c r="AS196" s="30" t="str">
        <f>IFERROR(INDEX('G-7 WaterC'' Data'!AZ196:AZ200,MATCH(D196,'G-7 WaterC'' Data'!$AY$10:$AY$14,0)),"")</f>
        <v/>
      </c>
      <c r="AT196" s="903" t="str">
        <f>IF(AND(OR(AA196="Yes",AA196="Pending"),Q196='G-7 WaterC'' Data'!$G$4),R196-W196-X196,"")</f>
        <v/>
      </c>
      <c r="AU196" s="30" t="str">
        <f>IF(D196="","",VLOOKUP(D196,'G-7 WaterC'' Data'!B$4:M$8,12,FALSE))</f>
        <v/>
      </c>
      <c r="AV196" s="30" t="str">
        <f t="shared" si="20"/>
        <v/>
      </c>
      <c r="AX196" s="30" t="str">
        <f t="shared" si="29"/>
        <v>No</v>
      </c>
    </row>
    <row r="197" spans="3:50" x14ac:dyDescent="0.25">
      <c r="C197" s="101">
        <v>188</v>
      </c>
      <c r="D197" s="267"/>
      <c r="E197" s="119"/>
      <c r="F197" s="281" t="str">
        <f>IF(D197="","",VLOOKUP(D197,'G-7 WaterC'' Data'!$B$2:$G$8,2,FALSE))</f>
        <v/>
      </c>
      <c r="G197" s="282" t="str">
        <f>IFERROR(VLOOKUP(F197,'G-7 WaterC'' Data'!$C$4:$D$8,2,FALSE),"")</f>
        <v/>
      </c>
      <c r="H197" s="52"/>
      <c r="I197" s="282" t="str">
        <f>IFERROR(INDEX('G-7 WaterC'' Data'!$H$4:$L$8,MATCH(D197,'G-7 WaterC'' Data'!$B$4:$B$8,0),MATCH(H197,'G-7 WaterC'' Data'!$H$3:$L$3,0)),"")</f>
        <v/>
      </c>
      <c r="J197" s="793"/>
      <c r="K197" s="317" t="str">
        <f>IF(J197="","",IF(VLOOKUP(J197,'G-7 WaterC'' Data'!$AK$4:$AM$6,2,FALSE)=0,"Spatial Data Missing ⚠",VLOOKUP(J197,'G-7 WaterC'' Data'!$AK$4:$AM$6,2,FALSE)))</f>
        <v/>
      </c>
      <c r="L197" s="287" t="str">
        <f>IF(J197="","",IF(VLOOKUP(J197,'G-7 WaterC'' Data'!$AK$4:$AM$9,3,FALSE)=0,"Spatial Data Missing ⚠",VLOOKUP(J197,'G-7 WaterC'' Data'!$AK$4:$AM$6,3,FALSE)))</f>
        <v/>
      </c>
      <c r="M197" s="52"/>
      <c r="N197" s="282" t="str">
        <f>IF(M197="","",IF(AND(D197&lt;&gt;"Culvert",M197="N/A - Culvert"),"Not possible ▲",IF(AND(D197="Culvert",M197&lt;&gt;"N/A - Culvert"),"Not possible ▲",IF(VLOOKUP(M197,'G-7 WaterC'' Data'!$AA$4:$AB$7,2,FALSE)=0,"Spatial Data Missing ⚠",VLOOKUP(M197,'G-7 WaterC'' Data'!$AA$4:$AB$7,2,FALSE)))))</f>
        <v/>
      </c>
      <c r="O197" s="56"/>
      <c r="P197" s="282" t="str">
        <f>IF(O197="","",IF(AND(O197="N/A - Culvert", D197&lt;&gt;"Culvert"),"Not possible ▲", IF(AND(D197="Culvert",O197&lt;&gt;"N/A - Culvert"),"Not possible ▲",IF(VLOOKUP(O197,'G-7 WaterC'' Data'!$AD$4:$AE$14,2,FALSE)=0,"Spatial Data Missing ⚠",VLOOKUP(O197,'G-7 WaterC'' Data'!$AD$4:$AE$14,2,FALSE)))))</f>
        <v/>
      </c>
      <c r="Q197" s="288" t="str">
        <f>IF(D197="","",VLOOKUP(D197,'G-7 WaterC'' Data'!$B$2:$G$8,6,FALSE))</f>
        <v/>
      </c>
      <c r="R197" s="295" t="str">
        <f t="shared" si="21"/>
        <v xml:space="preserve"> </v>
      </c>
      <c r="S197" s="820" t="str">
        <f t="shared" si="22"/>
        <v/>
      </c>
      <c r="T197" s="32"/>
      <c r="U197" s="105"/>
      <c r="V197" s="112"/>
      <c r="W197" s="293" t="str">
        <f t="shared" si="23"/>
        <v/>
      </c>
      <c r="X197" s="293" t="str">
        <f t="shared" si="24"/>
        <v/>
      </c>
      <c r="Y197" s="293" t="str">
        <f t="shared" si="25"/>
        <v/>
      </c>
      <c r="Z197" s="323" t="str">
        <f>IFERROR(IF(OR(E197="",R197=""),"",  IF(AND(Q197='G-7 WaterC'' Data'!$G$4,AA197="Yes"),"Alternative Compensation ✓", IF(AND(AA197="Pending", Q197='G-7 WaterC'' Data'!$G$4),"Bespoke compensation must be agreed ▲", IF((W197+X197)&gt;=R197, 0, R197-W197-X197)))),"Check Data ⚠")</f>
        <v/>
      </c>
      <c r="AA197" s="817"/>
      <c r="AB197" s="140"/>
      <c r="AC197" s="108"/>
      <c r="AD197" s="108"/>
      <c r="AE197" s="54" t="str">
        <f>IF(OR(Q197="",AA197="Yes"),"",IF(Q197='G-1 All Habitats'!$X$9,E197-U197-V197,"None"))</f>
        <v/>
      </c>
      <c r="AF197" s="55" t="str">
        <f>IF(Q197="","", IF(Q197='G-1 All Habitats'!$X$9, AE197*G197*I197*L197*N197*P197,"None"))</f>
        <v/>
      </c>
      <c r="AI197" s="30">
        <f t="shared" si="26"/>
        <v>0</v>
      </c>
      <c r="AJ197" s="111" t="str">
        <f t="shared" si="27"/>
        <v/>
      </c>
      <c r="AK197" s="111" t="str">
        <f t="shared" si="28"/>
        <v/>
      </c>
      <c r="AM197" s="111">
        <v>188</v>
      </c>
      <c r="AO197" s="111" t="str">
        <f t="array" ref="AO197">IFERROR(INDEX($AM$10:$AM$258, MATCH(0, IF(TRUE=$AJ$10:$AJ$258, COUNTIF($AO$9:$AO196, $AM$10:$AM$258), ""), 0)),"")</f>
        <v/>
      </c>
      <c r="AP197" s="111" t="str">
        <f t="array" ref="AP197">IFERROR(INDEX($AM$10:$AM$258, MATCH(0, IF(TRUE=$AK$10:$AK$258, COUNTIF($AP$9:$AP196, $AM$10:$AM$258), ""), 0)),"")</f>
        <v/>
      </c>
      <c r="AR197" s="30" t="str">
        <f>IFERROR(INDEX('G-7 WaterC'' Data'!$AZ$3:$AZ$7,MATCH(D197,'G-7 WaterC'' Data'!$AY$3:$AY$7,0)),"")</f>
        <v/>
      </c>
      <c r="AS197" s="30" t="str">
        <f>IFERROR(INDEX('G-7 WaterC'' Data'!AZ197:AZ201,MATCH(D197,'G-7 WaterC'' Data'!$AY$10:$AY$14,0)),"")</f>
        <v/>
      </c>
      <c r="AT197" s="903" t="str">
        <f>IF(AND(OR(AA197="Yes",AA197="Pending"),Q197='G-7 WaterC'' Data'!$G$4),R197-W197-X197,"")</f>
        <v/>
      </c>
      <c r="AU197" s="30" t="str">
        <f>IF(D197="","",VLOOKUP(D197,'G-7 WaterC'' Data'!B$4:M$8,12,FALSE))</f>
        <v/>
      </c>
      <c r="AV197" s="30" t="str">
        <f t="shared" si="20"/>
        <v/>
      </c>
      <c r="AX197" s="30" t="str">
        <f t="shared" si="29"/>
        <v>No</v>
      </c>
    </row>
    <row r="198" spans="3:50" x14ac:dyDescent="0.25">
      <c r="C198" s="101">
        <v>189</v>
      </c>
      <c r="D198" s="267"/>
      <c r="E198" s="119"/>
      <c r="F198" s="281" t="str">
        <f>IF(D198="","",VLOOKUP(D198,'G-7 WaterC'' Data'!$B$2:$G$8,2,FALSE))</f>
        <v/>
      </c>
      <c r="G198" s="282" t="str">
        <f>IFERROR(VLOOKUP(F198,'G-7 WaterC'' Data'!$C$4:$D$8,2,FALSE),"")</f>
        <v/>
      </c>
      <c r="H198" s="52"/>
      <c r="I198" s="282" t="str">
        <f>IFERROR(INDEX('G-7 WaterC'' Data'!$H$4:$L$8,MATCH(D198,'G-7 WaterC'' Data'!$B$4:$B$8,0),MATCH(H198,'G-7 WaterC'' Data'!$H$3:$L$3,0)),"")</f>
        <v/>
      </c>
      <c r="J198" s="793"/>
      <c r="K198" s="317" t="str">
        <f>IF(J198="","",IF(VLOOKUP(J198,'G-7 WaterC'' Data'!$AK$4:$AM$6,2,FALSE)=0,"Spatial Data Missing ⚠",VLOOKUP(J198,'G-7 WaterC'' Data'!$AK$4:$AM$6,2,FALSE)))</f>
        <v/>
      </c>
      <c r="L198" s="287" t="str">
        <f>IF(J198="","",IF(VLOOKUP(J198,'G-7 WaterC'' Data'!$AK$4:$AM$9,3,FALSE)=0,"Spatial Data Missing ⚠",VLOOKUP(J198,'G-7 WaterC'' Data'!$AK$4:$AM$6,3,FALSE)))</f>
        <v/>
      </c>
      <c r="M198" s="52"/>
      <c r="N198" s="282" t="str">
        <f>IF(M198="","",IF(AND(D198&lt;&gt;"Culvert",M198="N/A - Culvert"),"Not possible ▲",IF(AND(D198="Culvert",M198&lt;&gt;"N/A - Culvert"),"Not possible ▲",IF(VLOOKUP(M198,'G-7 WaterC'' Data'!$AA$4:$AB$7,2,FALSE)=0,"Spatial Data Missing ⚠",VLOOKUP(M198,'G-7 WaterC'' Data'!$AA$4:$AB$7,2,FALSE)))))</f>
        <v/>
      </c>
      <c r="O198" s="56"/>
      <c r="P198" s="282" t="str">
        <f>IF(O198="","",IF(AND(O198="N/A - Culvert", D198&lt;&gt;"Culvert"),"Not possible ▲", IF(AND(D198="Culvert",O198&lt;&gt;"N/A - Culvert"),"Not possible ▲",IF(VLOOKUP(O198,'G-7 WaterC'' Data'!$AD$4:$AE$14,2,FALSE)=0,"Spatial Data Missing ⚠",VLOOKUP(O198,'G-7 WaterC'' Data'!$AD$4:$AE$14,2,FALSE)))))</f>
        <v/>
      </c>
      <c r="Q198" s="288" t="str">
        <f>IF(D198="","",VLOOKUP(D198,'G-7 WaterC'' Data'!$B$2:$G$8,6,FALSE))</f>
        <v/>
      </c>
      <c r="R198" s="295" t="str">
        <f t="shared" si="21"/>
        <v xml:space="preserve"> </v>
      </c>
      <c r="S198" s="820" t="str">
        <f t="shared" si="22"/>
        <v/>
      </c>
      <c r="T198" s="32"/>
      <c r="U198" s="105"/>
      <c r="V198" s="112"/>
      <c r="W198" s="293" t="str">
        <f t="shared" si="23"/>
        <v/>
      </c>
      <c r="X198" s="293" t="str">
        <f t="shared" si="24"/>
        <v/>
      </c>
      <c r="Y198" s="293" t="str">
        <f t="shared" si="25"/>
        <v/>
      </c>
      <c r="Z198" s="323" t="str">
        <f>IFERROR(IF(OR(E198="",R198=""),"",  IF(AND(Q198='G-7 WaterC'' Data'!$G$4,AA198="Yes"),"Alternative Compensation ✓", IF(AND(AA198="Pending", Q198='G-7 WaterC'' Data'!$G$4),"Bespoke compensation must be agreed ▲", IF((W198+X198)&gt;=R198, 0, R198-W198-X198)))),"Check Data ⚠")</f>
        <v/>
      </c>
      <c r="AA198" s="817"/>
      <c r="AB198" s="140"/>
      <c r="AC198" s="108"/>
      <c r="AD198" s="108"/>
      <c r="AE198" s="54" t="str">
        <f>IF(OR(Q198="",AA198="Yes"),"",IF(Q198='G-1 All Habitats'!$X$9,E198-U198-V198,"None"))</f>
        <v/>
      </c>
      <c r="AF198" s="55" t="str">
        <f>IF(Q198="","", IF(Q198='G-1 All Habitats'!$X$9, AE198*G198*I198*L198*N198*P198,"None"))</f>
        <v/>
      </c>
      <c r="AI198" s="30">
        <f t="shared" si="26"/>
        <v>0</v>
      </c>
      <c r="AJ198" s="111" t="str">
        <f t="shared" si="27"/>
        <v/>
      </c>
      <c r="AK198" s="111" t="str">
        <f t="shared" si="28"/>
        <v/>
      </c>
      <c r="AM198" s="111">
        <v>189</v>
      </c>
      <c r="AO198" s="111" t="str">
        <f t="array" ref="AO198">IFERROR(INDEX($AM$10:$AM$258, MATCH(0, IF(TRUE=$AJ$10:$AJ$258, COUNTIF($AO$9:$AO197, $AM$10:$AM$258), ""), 0)),"")</f>
        <v/>
      </c>
      <c r="AP198" s="111" t="str">
        <f t="array" ref="AP198">IFERROR(INDEX($AM$10:$AM$258, MATCH(0, IF(TRUE=$AK$10:$AK$258, COUNTIF($AP$9:$AP197, $AM$10:$AM$258), ""), 0)),"")</f>
        <v/>
      </c>
      <c r="AR198" s="30" t="str">
        <f>IFERROR(INDEX('G-7 WaterC'' Data'!$AZ$3:$AZ$7,MATCH(D198,'G-7 WaterC'' Data'!$AY$3:$AY$7,0)),"")</f>
        <v/>
      </c>
      <c r="AS198" s="30" t="str">
        <f>IFERROR(INDEX('G-7 WaterC'' Data'!AZ198:AZ202,MATCH(D198,'G-7 WaterC'' Data'!$AY$10:$AY$14,0)),"")</f>
        <v/>
      </c>
      <c r="AT198" s="903" t="str">
        <f>IF(AND(OR(AA198="Yes",AA198="Pending"),Q198='G-7 WaterC'' Data'!$G$4),R198-W198-X198,"")</f>
        <v/>
      </c>
      <c r="AU198" s="30" t="str">
        <f>IF(D198="","",VLOOKUP(D198,'G-7 WaterC'' Data'!B$4:M$8,12,FALSE))</f>
        <v/>
      </c>
      <c r="AV198" s="30" t="str">
        <f t="shared" si="20"/>
        <v/>
      </c>
      <c r="AX198" s="30" t="str">
        <f t="shared" si="29"/>
        <v>No</v>
      </c>
    </row>
    <row r="199" spans="3:50" x14ac:dyDescent="0.25">
      <c r="C199" s="101">
        <v>190</v>
      </c>
      <c r="D199" s="267"/>
      <c r="E199" s="119"/>
      <c r="F199" s="281" t="str">
        <f>IF(D199="","",VLOOKUP(D199,'G-7 WaterC'' Data'!$B$2:$G$8,2,FALSE))</f>
        <v/>
      </c>
      <c r="G199" s="282" t="str">
        <f>IFERROR(VLOOKUP(F199,'G-7 WaterC'' Data'!$C$4:$D$8,2,FALSE),"")</f>
        <v/>
      </c>
      <c r="H199" s="52"/>
      <c r="I199" s="282" t="str">
        <f>IFERROR(INDEX('G-7 WaterC'' Data'!$H$4:$L$8,MATCH(D199,'G-7 WaterC'' Data'!$B$4:$B$8,0),MATCH(H199,'G-7 WaterC'' Data'!$H$3:$L$3,0)),"")</f>
        <v/>
      </c>
      <c r="J199" s="793"/>
      <c r="K199" s="317" t="str">
        <f>IF(J199="","",IF(VLOOKUP(J199,'G-7 WaterC'' Data'!$AK$4:$AM$6,2,FALSE)=0,"Spatial Data Missing ⚠",VLOOKUP(J199,'G-7 WaterC'' Data'!$AK$4:$AM$6,2,FALSE)))</f>
        <v/>
      </c>
      <c r="L199" s="287" t="str">
        <f>IF(J199="","",IF(VLOOKUP(J199,'G-7 WaterC'' Data'!$AK$4:$AM$9,3,FALSE)=0,"Spatial Data Missing ⚠",VLOOKUP(J199,'G-7 WaterC'' Data'!$AK$4:$AM$6,3,FALSE)))</f>
        <v/>
      </c>
      <c r="M199" s="52"/>
      <c r="N199" s="282" t="str">
        <f>IF(M199="","",IF(AND(D199&lt;&gt;"Culvert",M199="N/A - Culvert"),"Not possible ▲",IF(AND(D199="Culvert",M199&lt;&gt;"N/A - Culvert"),"Not possible ▲",IF(VLOOKUP(M199,'G-7 WaterC'' Data'!$AA$4:$AB$7,2,FALSE)=0,"Spatial Data Missing ⚠",VLOOKUP(M199,'G-7 WaterC'' Data'!$AA$4:$AB$7,2,FALSE)))))</f>
        <v/>
      </c>
      <c r="O199" s="56"/>
      <c r="P199" s="282" t="str">
        <f>IF(O199="","",IF(AND(O199="N/A - Culvert", D199&lt;&gt;"Culvert"),"Not possible ▲", IF(AND(D199="Culvert",O199&lt;&gt;"N/A - Culvert"),"Not possible ▲",IF(VLOOKUP(O199,'G-7 WaterC'' Data'!$AD$4:$AE$14,2,FALSE)=0,"Spatial Data Missing ⚠",VLOOKUP(O199,'G-7 WaterC'' Data'!$AD$4:$AE$14,2,FALSE)))))</f>
        <v/>
      </c>
      <c r="Q199" s="288" t="str">
        <f>IF(D199="","",VLOOKUP(D199,'G-7 WaterC'' Data'!$B$2:$G$8,6,FALSE))</f>
        <v/>
      </c>
      <c r="R199" s="295" t="str">
        <f t="shared" si="21"/>
        <v xml:space="preserve"> </v>
      </c>
      <c r="S199" s="820" t="str">
        <f t="shared" si="22"/>
        <v/>
      </c>
      <c r="T199" s="32"/>
      <c r="U199" s="105"/>
      <c r="V199" s="112"/>
      <c r="W199" s="293" t="str">
        <f t="shared" si="23"/>
        <v/>
      </c>
      <c r="X199" s="293" t="str">
        <f t="shared" si="24"/>
        <v/>
      </c>
      <c r="Y199" s="293" t="str">
        <f t="shared" si="25"/>
        <v/>
      </c>
      <c r="Z199" s="323" t="str">
        <f>IFERROR(IF(OR(E199="",R199=""),"",  IF(AND(Q199='G-7 WaterC'' Data'!$G$4,AA199="Yes"),"Alternative Compensation ✓", IF(AND(AA199="Pending", Q199='G-7 WaterC'' Data'!$G$4),"Bespoke compensation must be agreed ▲", IF((W199+X199)&gt;=R199, 0, R199-W199-X199)))),"Check Data ⚠")</f>
        <v/>
      </c>
      <c r="AA199" s="817"/>
      <c r="AB199" s="140"/>
      <c r="AC199" s="108"/>
      <c r="AD199" s="108"/>
      <c r="AE199" s="54" t="str">
        <f>IF(OR(Q199="",AA199="Yes"),"",IF(Q199='G-1 All Habitats'!$X$9,E199-U199-V199,"None"))</f>
        <v/>
      </c>
      <c r="AF199" s="55" t="str">
        <f>IF(Q199="","", IF(Q199='G-1 All Habitats'!$X$9, AE199*G199*I199*L199*N199*P199,"None"))</f>
        <v/>
      </c>
      <c r="AI199" s="30">
        <f t="shared" si="26"/>
        <v>0</v>
      </c>
      <c r="AJ199" s="111" t="str">
        <f t="shared" si="27"/>
        <v/>
      </c>
      <c r="AK199" s="111" t="str">
        <f t="shared" si="28"/>
        <v/>
      </c>
      <c r="AM199" s="111">
        <v>190</v>
      </c>
      <c r="AO199" s="111" t="str">
        <f t="array" ref="AO199">IFERROR(INDEX($AM$10:$AM$258, MATCH(0, IF(TRUE=$AJ$10:$AJ$258, COUNTIF($AO$9:$AO198, $AM$10:$AM$258), ""), 0)),"")</f>
        <v/>
      </c>
      <c r="AP199" s="111" t="str">
        <f t="array" ref="AP199">IFERROR(INDEX($AM$10:$AM$258, MATCH(0, IF(TRUE=$AK$10:$AK$258, COUNTIF($AP$9:$AP198, $AM$10:$AM$258), ""), 0)),"")</f>
        <v/>
      </c>
      <c r="AR199" s="30" t="str">
        <f>IFERROR(INDEX('G-7 WaterC'' Data'!$AZ$3:$AZ$7,MATCH(D199,'G-7 WaterC'' Data'!$AY$3:$AY$7,0)),"")</f>
        <v/>
      </c>
      <c r="AS199" s="30" t="str">
        <f>IFERROR(INDEX('G-7 WaterC'' Data'!AZ199:AZ203,MATCH(D199,'G-7 WaterC'' Data'!$AY$10:$AY$14,0)),"")</f>
        <v/>
      </c>
      <c r="AT199" s="903" t="str">
        <f>IF(AND(OR(AA199="Yes",AA199="Pending"),Q199='G-7 WaterC'' Data'!$G$4),R199-W199-X199,"")</f>
        <v/>
      </c>
      <c r="AU199" s="30" t="str">
        <f>IF(D199="","",VLOOKUP(D199,'G-7 WaterC'' Data'!B$4:M$8,12,FALSE))</f>
        <v/>
      </c>
      <c r="AV199" s="30" t="str">
        <f t="shared" si="20"/>
        <v/>
      </c>
      <c r="AX199" s="30" t="str">
        <f t="shared" si="29"/>
        <v>No</v>
      </c>
    </row>
    <row r="200" spans="3:50" x14ac:dyDescent="0.25">
      <c r="C200" s="101">
        <v>191</v>
      </c>
      <c r="D200" s="267"/>
      <c r="E200" s="119"/>
      <c r="F200" s="281" t="str">
        <f>IF(D200="","",VLOOKUP(D200,'G-7 WaterC'' Data'!$B$2:$G$8,2,FALSE))</f>
        <v/>
      </c>
      <c r="G200" s="282" t="str">
        <f>IFERROR(VLOOKUP(F200,'G-7 WaterC'' Data'!$C$4:$D$8,2,FALSE),"")</f>
        <v/>
      </c>
      <c r="H200" s="52"/>
      <c r="I200" s="282" t="str">
        <f>IFERROR(INDEX('G-7 WaterC'' Data'!$H$4:$L$8,MATCH(D200,'G-7 WaterC'' Data'!$B$4:$B$8,0),MATCH(H200,'G-7 WaterC'' Data'!$H$3:$L$3,0)),"")</f>
        <v/>
      </c>
      <c r="J200" s="793"/>
      <c r="K200" s="317" t="str">
        <f>IF(J200="","",IF(VLOOKUP(J200,'G-7 WaterC'' Data'!$AK$4:$AM$6,2,FALSE)=0,"Spatial Data Missing ⚠",VLOOKUP(J200,'G-7 WaterC'' Data'!$AK$4:$AM$6,2,FALSE)))</f>
        <v/>
      </c>
      <c r="L200" s="287" t="str">
        <f>IF(J200="","",IF(VLOOKUP(J200,'G-7 WaterC'' Data'!$AK$4:$AM$9,3,FALSE)=0,"Spatial Data Missing ⚠",VLOOKUP(J200,'G-7 WaterC'' Data'!$AK$4:$AM$6,3,FALSE)))</f>
        <v/>
      </c>
      <c r="M200" s="52"/>
      <c r="N200" s="282" t="str">
        <f>IF(M200="","",IF(AND(D200&lt;&gt;"Culvert",M200="N/A - Culvert"),"Not possible ▲",IF(AND(D200="Culvert",M200&lt;&gt;"N/A - Culvert"),"Not possible ▲",IF(VLOOKUP(M200,'G-7 WaterC'' Data'!$AA$4:$AB$7,2,FALSE)=0,"Spatial Data Missing ⚠",VLOOKUP(M200,'G-7 WaterC'' Data'!$AA$4:$AB$7,2,FALSE)))))</f>
        <v/>
      </c>
      <c r="O200" s="56"/>
      <c r="P200" s="282" t="str">
        <f>IF(O200="","",IF(AND(O200="N/A - Culvert", D200&lt;&gt;"Culvert"),"Not possible ▲", IF(AND(D200="Culvert",O200&lt;&gt;"N/A - Culvert"),"Not possible ▲",IF(VLOOKUP(O200,'G-7 WaterC'' Data'!$AD$4:$AE$14,2,FALSE)=0,"Spatial Data Missing ⚠",VLOOKUP(O200,'G-7 WaterC'' Data'!$AD$4:$AE$14,2,FALSE)))))</f>
        <v/>
      </c>
      <c r="Q200" s="288" t="str">
        <f>IF(D200="","",VLOOKUP(D200,'G-7 WaterC'' Data'!$B$2:$G$8,6,FALSE))</f>
        <v/>
      </c>
      <c r="R200" s="295" t="str">
        <f t="shared" si="21"/>
        <v xml:space="preserve"> </v>
      </c>
      <c r="S200" s="820" t="str">
        <f t="shared" si="22"/>
        <v/>
      </c>
      <c r="T200" s="32"/>
      <c r="U200" s="105"/>
      <c r="V200" s="112"/>
      <c r="W200" s="293" t="str">
        <f t="shared" si="23"/>
        <v/>
      </c>
      <c r="X200" s="293" t="str">
        <f t="shared" si="24"/>
        <v/>
      </c>
      <c r="Y200" s="293" t="str">
        <f t="shared" si="25"/>
        <v/>
      </c>
      <c r="Z200" s="323" t="str">
        <f>IFERROR(IF(OR(E200="",R200=""),"",  IF(AND(Q200='G-7 WaterC'' Data'!$G$4,AA200="Yes"),"Alternative Compensation ✓", IF(AND(AA200="Pending", Q200='G-7 WaterC'' Data'!$G$4),"Bespoke compensation must be agreed ▲", IF((W200+X200)&gt;=R200, 0, R200-W200-X200)))),"Check Data ⚠")</f>
        <v/>
      </c>
      <c r="AA200" s="817"/>
      <c r="AB200" s="140"/>
      <c r="AC200" s="108"/>
      <c r="AD200" s="108"/>
      <c r="AE200" s="54" t="str">
        <f>IF(OR(Q200="",AA200="Yes"),"",IF(Q200='G-1 All Habitats'!$X$9,E200-U200-V200,"None"))</f>
        <v/>
      </c>
      <c r="AF200" s="55" t="str">
        <f>IF(Q200="","", IF(Q200='G-1 All Habitats'!$X$9, AE200*G200*I200*L200*N200*P200,"None"))</f>
        <v/>
      </c>
      <c r="AI200" s="30">
        <f t="shared" si="26"/>
        <v>0</v>
      </c>
      <c r="AJ200" s="111" t="str">
        <f t="shared" si="27"/>
        <v/>
      </c>
      <c r="AK200" s="111" t="str">
        <f t="shared" si="28"/>
        <v/>
      </c>
      <c r="AM200" s="111">
        <v>191</v>
      </c>
      <c r="AO200" s="111" t="str">
        <f t="array" ref="AO200">IFERROR(INDEX($AM$10:$AM$258, MATCH(0, IF(TRUE=$AJ$10:$AJ$258, COUNTIF($AO$9:$AO199, $AM$10:$AM$258), ""), 0)),"")</f>
        <v/>
      </c>
      <c r="AP200" s="111" t="str">
        <f t="array" ref="AP200">IFERROR(INDEX($AM$10:$AM$258, MATCH(0, IF(TRUE=$AK$10:$AK$258, COUNTIF($AP$9:$AP199, $AM$10:$AM$258), ""), 0)),"")</f>
        <v/>
      </c>
      <c r="AR200" s="30" t="str">
        <f>IFERROR(INDEX('G-7 WaterC'' Data'!$AZ$3:$AZ$7,MATCH(D200,'G-7 WaterC'' Data'!$AY$3:$AY$7,0)),"")</f>
        <v/>
      </c>
      <c r="AS200" s="30" t="str">
        <f>IFERROR(INDEX('G-7 WaterC'' Data'!AZ200:AZ204,MATCH(D200,'G-7 WaterC'' Data'!$AY$10:$AY$14,0)),"")</f>
        <v/>
      </c>
      <c r="AT200" s="903" t="str">
        <f>IF(AND(OR(AA200="Yes",AA200="Pending"),Q200='G-7 WaterC'' Data'!$G$4),R200-W200-X200,"")</f>
        <v/>
      </c>
      <c r="AU200" s="30" t="str">
        <f>IF(D200="","",VLOOKUP(D200,'G-7 WaterC'' Data'!B$4:M$8,12,FALSE))</f>
        <v/>
      </c>
      <c r="AV200" s="30" t="str">
        <f t="shared" si="20"/>
        <v/>
      </c>
      <c r="AX200" s="30" t="str">
        <f t="shared" si="29"/>
        <v>No</v>
      </c>
    </row>
    <row r="201" spans="3:50" x14ac:dyDescent="0.25">
      <c r="C201" s="101">
        <v>192</v>
      </c>
      <c r="D201" s="267"/>
      <c r="E201" s="119"/>
      <c r="F201" s="281" t="str">
        <f>IF(D201="","",VLOOKUP(D201,'G-7 WaterC'' Data'!$B$2:$G$8,2,FALSE))</f>
        <v/>
      </c>
      <c r="G201" s="282" t="str">
        <f>IFERROR(VLOOKUP(F201,'G-7 WaterC'' Data'!$C$4:$D$8,2,FALSE),"")</f>
        <v/>
      </c>
      <c r="H201" s="52"/>
      <c r="I201" s="282" t="str">
        <f>IFERROR(INDEX('G-7 WaterC'' Data'!$H$4:$L$8,MATCH(D201,'G-7 WaterC'' Data'!$B$4:$B$8,0),MATCH(H201,'G-7 WaterC'' Data'!$H$3:$L$3,0)),"")</f>
        <v/>
      </c>
      <c r="J201" s="793"/>
      <c r="K201" s="317" t="str">
        <f>IF(J201="","",IF(VLOOKUP(J201,'G-7 WaterC'' Data'!$AK$4:$AM$6,2,FALSE)=0,"Spatial Data Missing ⚠",VLOOKUP(J201,'G-7 WaterC'' Data'!$AK$4:$AM$6,2,FALSE)))</f>
        <v/>
      </c>
      <c r="L201" s="287" t="str">
        <f>IF(J201="","",IF(VLOOKUP(J201,'G-7 WaterC'' Data'!$AK$4:$AM$9,3,FALSE)=0,"Spatial Data Missing ⚠",VLOOKUP(J201,'G-7 WaterC'' Data'!$AK$4:$AM$6,3,FALSE)))</f>
        <v/>
      </c>
      <c r="M201" s="52"/>
      <c r="N201" s="282" t="str">
        <f>IF(M201="","",IF(AND(D201&lt;&gt;"Culvert",M201="N/A - Culvert"),"Not possible ▲",IF(AND(D201="Culvert",M201&lt;&gt;"N/A - Culvert"),"Not possible ▲",IF(VLOOKUP(M201,'G-7 WaterC'' Data'!$AA$4:$AB$7,2,FALSE)=0,"Spatial Data Missing ⚠",VLOOKUP(M201,'G-7 WaterC'' Data'!$AA$4:$AB$7,2,FALSE)))))</f>
        <v/>
      </c>
      <c r="O201" s="56"/>
      <c r="P201" s="282" t="str">
        <f>IF(O201="","",IF(AND(O201="N/A - Culvert", D201&lt;&gt;"Culvert"),"Not possible ▲", IF(AND(D201="Culvert",O201&lt;&gt;"N/A - Culvert"),"Not possible ▲",IF(VLOOKUP(O201,'G-7 WaterC'' Data'!$AD$4:$AE$14,2,FALSE)=0,"Spatial Data Missing ⚠",VLOOKUP(O201,'G-7 WaterC'' Data'!$AD$4:$AE$14,2,FALSE)))))</f>
        <v/>
      </c>
      <c r="Q201" s="288" t="str">
        <f>IF(D201="","",VLOOKUP(D201,'G-7 WaterC'' Data'!$B$2:$G$8,6,FALSE))</f>
        <v/>
      </c>
      <c r="R201" s="295" t="str">
        <f t="shared" si="21"/>
        <v xml:space="preserve"> </v>
      </c>
      <c r="S201" s="820" t="str">
        <f t="shared" si="22"/>
        <v/>
      </c>
      <c r="T201" s="32"/>
      <c r="U201" s="105"/>
      <c r="V201" s="112"/>
      <c r="W201" s="293" t="str">
        <f t="shared" si="23"/>
        <v/>
      </c>
      <c r="X201" s="293" t="str">
        <f t="shared" si="24"/>
        <v/>
      </c>
      <c r="Y201" s="293" t="str">
        <f t="shared" si="25"/>
        <v/>
      </c>
      <c r="Z201" s="323" t="str">
        <f>IFERROR(IF(OR(E201="",R201=""),"",  IF(AND(Q201='G-7 WaterC'' Data'!$G$4,AA201="Yes"),"Alternative Compensation ✓", IF(AND(AA201="Pending", Q201='G-7 WaterC'' Data'!$G$4),"Bespoke compensation must be agreed ▲", IF((W201+X201)&gt;=R201, 0, R201-W201-X201)))),"Check Data ⚠")</f>
        <v/>
      </c>
      <c r="AA201" s="817"/>
      <c r="AB201" s="140"/>
      <c r="AC201" s="108"/>
      <c r="AD201" s="108"/>
      <c r="AE201" s="54" t="str">
        <f>IF(OR(Q201="",AA201="Yes"),"",IF(Q201='G-1 All Habitats'!$X$9,E201-U201-V201,"None"))</f>
        <v/>
      </c>
      <c r="AF201" s="55" t="str">
        <f>IF(Q201="","", IF(Q201='G-1 All Habitats'!$X$9, AE201*G201*I201*L201*N201*P201,"None"))</f>
        <v/>
      </c>
      <c r="AI201" s="30">
        <f t="shared" si="26"/>
        <v>0</v>
      </c>
      <c r="AJ201" s="111" t="str">
        <f t="shared" si="27"/>
        <v/>
      </c>
      <c r="AK201" s="111" t="str">
        <f t="shared" si="28"/>
        <v/>
      </c>
      <c r="AM201" s="111">
        <v>192</v>
      </c>
      <c r="AO201" s="111" t="str">
        <f t="array" ref="AO201">IFERROR(INDEX($AM$10:$AM$258, MATCH(0, IF(TRUE=$AJ$10:$AJ$258, COUNTIF($AO$9:$AO200, $AM$10:$AM$258), ""), 0)),"")</f>
        <v/>
      </c>
      <c r="AP201" s="111" t="str">
        <f t="array" ref="AP201">IFERROR(INDEX($AM$10:$AM$258, MATCH(0, IF(TRUE=$AK$10:$AK$258, COUNTIF($AP$9:$AP200, $AM$10:$AM$258), ""), 0)),"")</f>
        <v/>
      </c>
      <c r="AR201" s="30" t="str">
        <f>IFERROR(INDEX('G-7 WaterC'' Data'!$AZ$3:$AZ$7,MATCH(D201,'G-7 WaterC'' Data'!$AY$3:$AY$7,0)),"")</f>
        <v/>
      </c>
      <c r="AS201" s="30" t="str">
        <f>IFERROR(INDEX('G-7 WaterC'' Data'!AZ201:AZ205,MATCH(D201,'G-7 WaterC'' Data'!$AY$10:$AY$14,0)),"")</f>
        <v/>
      </c>
      <c r="AT201" s="903" t="str">
        <f>IF(AND(OR(AA201="Yes",AA201="Pending"),Q201='G-7 WaterC'' Data'!$G$4),R201-W201-X201,"")</f>
        <v/>
      </c>
      <c r="AU201" s="30" t="str">
        <f>IF(D201="","",VLOOKUP(D201,'G-7 WaterC'' Data'!B$4:M$8,12,FALSE))</f>
        <v/>
      </c>
      <c r="AV201" s="30" t="str">
        <f t="shared" si="20"/>
        <v/>
      </c>
      <c r="AX201" s="30" t="str">
        <f t="shared" si="29"/>
        <v>No</v>
      </c>
    </row>
    <row r="202" spans="3:50" x14ac:dyDescent="0.25">
      <c r="C202" s="101">
        <v>193</v>
      </c>
      <c r="D202" s="267"/>
      <c r="E202" s="119"/>
      <c r="F202" s="281" t="str">
        <f>IF(D202="","",VLOOKUP(D202,'G-7 WaterC'' Data'!$B$2:$G$8,2,FALSE))</f>
        <v/>
      </c>
      <c r="G202" s="282" t="str">
        <f>IFERROR(VLOOKUP(F202,'G-7 WaterC'' Data'!$C$4:$D$8,2,FALSE),"")</f>
        <v/>
      </c>
      <c r="H202" s="52"/>
      <c r="I202" s="282" t="str">
        <f>IFERROR(INDEX('G-7 WaterC'' Data'!$H$4:$L$8,MATCH(D202,'G-7 WaterC'' Data'!$B$4:$B$8,0),MATCH(H202,'G-7 WaterC'' Data'!$H$3:$L$3,0)),"")</f>
        <v/>
      </c>
      <c r="J202" s="793"/>
      <c r="K202" s="317" t="str">
        <f>IF(J202="","",IF(VLOOKUP(J202,'G-7 WaterC'' Data'!$AK$4:$AM$6,2,FALSE)=0,"Spatial Data Missing ⚠",VLOOKUP(J202,'G-7 WaterC'' Data'!$AK$4:$AM$6,2,FALSE)))</f>
        <v/>
      </c>
      <c r="L202" s="287" t="str">
        <f>IF(J202="","",IF(VLOOKUP(J202,'G-7 WaterC'' Data'!$AK$4:$AM$9,3,FALSE)=0,"Spatial Data Missing ⚠",VLOOKUP(J202,'G-7 WaterC'' Data'!$AK$4:$AM$6,3,FALSE)))</f>
        <v/>
      </c>
      <c r="M202" s="52"/>
      <c r="N202" s="282" t="str">
        <f>IF(M202="","",IF(AND(D202&lt;&gt;"Culvert",M202="N/A - Culvert"),"Not possible ▲",IF(AND(D202="Culvert",M202&lt;&gt;"N/A - Culvert"),"Not possible ▲",IF(VLOOKUP(M202,'G-7 WaterC'' Data'!$AA$4:$AB$7,2,FALSE)=0,"Spatial Data Missing ⚠",VLOOKUP(M202,'G-7 WaterC'' Data'!$AA$4:$AB$7,2,FALSE)))))</f>
        <v/>
      </c>
      <c r="O202" s="56"/>
      <c r="P202" s="282" t="str">
        <f>IF(O202="","",IF(AND(O202="N/A - Culvert", D202&lt;&gt;"Culvert"),"Not possible ▲", IF(AND(D202="Culvert",O202&lt;&gt;"N/A - Culvert"),"Not possible ▲",IF(VLOOKUP(O202,'G-7 WaterC'' Data'!$AD$4:$AE$14,2,FALSE)=0,"Spatial Data Missing ⚠",VLOOKUP(O202,'G-7 WaterC'' Data'!$AD$4:$AE$14,2,FALSE)))))</f>
        <v/>
      </c>
      <c r="Q202" s="288" t="str">
        <f>IF(D202="","",VLOOKUP(D202,'G-7 WaterC'' Data'!$B$2:$G$8,6,FALSE))</f>
        <v/>
      </c>
      <c r="R202" s="295" t="str">
        <f t="shared" si="21"/>
        <v xml:space="preserve"> </v>
      </c>
      <c r="S202" s="820" t="str">
        <f t="shared" si="22"/>
        <v/>
      </c>
      <c r="T202" s="32"/>
      <c r="U202" s="105"/>
      <c r="V202" s="112"/>
      <c r="W202" s="293" t="str">
        <f t="shared" si="23"/>
        <v/>
      </c>
      <c r="X202" s="293" t="str">
        <f t="shared" si="24"/>
        <v/>
      </c>
      <c r="Y202" s="293" t="str">
        <f t="shared" si="25"/>
        <v/>
      </c>
      <c r="Z202" s="323" t="str">
        <f>IFERROR(IF(OR(E202="",R202=""),"",  IF(AND(Q202='G-7 WaterC'' Data'!$G$4,AA202="Yes"),"Alternative Compensation ✓", IF(AND(AA202="Pending", Q202='G-7 WaterC'' Data'!$G$4),"Bespoke compensation must be agreed ▲", IF((W202+X202)&gt;=R202, 0, R202-W202-X202)))),"Check Data ⚠")</f>
        <v/>
      </c>
      <c r="AA202" s="817"/>
      <c r="AB202" s="140"/>
      <c r="AC202" s="108"/>
      <c r="AD202" s="108"/>
      <c r="AE202" s="54" t="str">
        <f>IF(OR(Q202="",AA202="Yes"),"",IF(Q202='G-1 All Habitats'!$X$9,E202-U202-V202,"None"))</f>
        <v/>
      </c>
      <c r="AF202" s="55" t="str">
        <f>IF(Q202="","", IF(Q202='G-1 All Habitats'!$X$9, AE202*G202*I202*L202*N202*P202,"None"))</f>
        <v/>
      </c>
      <c r="AI202" s="30">
        <f t="shared" si="26"/>
        <v>0</v>
      </c>
      <c r="AJ202" s="111" t="str">
        <f t="shared" si="27"/>
        <v/>
      </c>
      <c r="AK202" s="111" t="str">
        <f t="shared" si="28"/>
        <v/>
      </c>
      <c r="AM202" s="111">
        <v>193</v>
      </c>
      <c r="AO202" s="111" t="str">
        <f t="array" ref="AO202">IFERROR(INDEX($AM$10:$AM$258, MATCH(0, IF(TRUE=$AJ$10:$AJ$258, COUNTIF($AO$9:$AO201, $AM$10:$AM$258), ""), 0)),"")</f>
        <v/>
      </c>
      <c r="AP202" s="111" t="str">
        <f t="array" ref="AP202">IFERROR(INDEX($AM$10:$AM$258, MATCH(0, IF(TRUE=$AK$10:$AK$258, COUNTIF($AP$9:$AP201, $AM$10:$AM$258), ""), 0)),"")</f>
        <v/>
      </c>
      <c r="AR202" s="30" t="str">
        <f>IFERROR(INDEX('G-7 WaterC'' Data'!$AZ$3:$AZ$7,MATCH(D202,'G-7 WaterC'' Data'!$AY$3:$AY$7,0)),"")</f>
        <v/>
      </c>
      <c r="AS202" s="30" t="str">
        <f>IFERROR(INDEX('G-7 WaterC'' Data'!AZ202:AZ206,MATCH(D202,'G-7 WaterC'' Data'!$AY$10:$AY$14,0)),"")</f>
        <v/>
      </c>
      <c r="AT202" s="903" t="str">
        <f>IF(AND(OR(AA202="Yes",AA202="Pending"),Q202='G-7 WaterC'' Data'!$G$4),R202-W202-X202,"")</f>
        <v/>
      </c>
      <c r="AU202" s="30" t="str">
        <f>IF(D202="","",VLOOKUP(D202,'G-7 WaterC'' Data'!B$4:M$8,12,FALSE))</f>
        <v/>
      </c>
      <c r="AV202" s="30" t="str">
        <f t="shared" ref="AV202:AV257" si="30">IF(AA202="","", IF(AA202="Yes", "Yes ✓", "No ▲"))</f>
        <v/>
      </c>
      <c r="AX202" s="30" t="str">
        <f t="shared" si="29"/>
        <v>No</v>
      </c>
    </row>
    <row r="203" spans="3:50" x14ac:dyDescent="0.25">
      <c r="C203" s="101">
        <v>194</v>
      </c>
      <c r="D203" s="267"/>
      <c r="E203" s="119"/>
      <c r="F203" s="281" t="str">
        <f>IF(D203="","",VLOOKUP(D203,'G-7 WaterC'' Data'!$B$2:$G$8,2,FALSE))</f>
        <v/>
      </c>
      <c r="G203" s="282" t="str">
        <f>IFERROR(VLOOKUP(F203,'G-7 WaterC'' Data'!$C$4:$D$8,2,FALSE),"")</f>
        <v/>
      </c>
      <c r="H203" s="52"/>
      <c r="I203" s="282" t="str">
        <f>IFERROR(INDEX('G-7 WaterC'' Data'!$H$4:$L$8,MATCH(D203,'G-7 WaterC'' Data'!$B$4:$B$8,0),MATCH(H203,'G-7 WaterC'' Data'!$H$3:$L$3,0)),"")</f>
        <v/>
      </c>
      <c r="J203" s="793"/>
      <c r="K203" s="317" t="str">
        <f>IF(J203="","",IF(VLOOKUP(J203,'G-7 WaterC'' Data'!$AK$4:$AM$6,2,FALSE)=0,"Spatial Data Missing ⚠",VLOOKUP(J203,'G-7 WaterC'' Data'!$AK$4:$AM$6,2,FALSE)))</f>
        <v/>
      </c>
      <c r="L203" s="287" t="str">
        <f>IF(J203="","",IF(VLOOKUP(J203,'G-7 WaterC'' Data'!$AK$4:$AM$9,3,FALSE)=0,"Spatial Data Missing ⚠",VLOOKUP(J203,'G-7 WaterC'' Data'!$AK$4:$AM$6,3,FALSE)))</f>
        <v/>
      </c>
      <c r="M203" s="52"/>
      <c r="N203" s="282" t="str">
        <f>IF(M203="","",IF(AND(D203&lt;&gt;"Culvert",M203="N/A - Culvert"),"Not possible ▲",IF(AND(D203="Culvert",M203&lt;&gt;"N/A - Culvert"),"Not possible ▲",IF(VLOOKUP(M203,'G-7 WaterC'' Data'!$AA$4:$AB$7,2,FALSE)=0,"Spatial Data Missing ⚠",VLOOKUP(M203,'G-7 WaterC'' Data'!$AA$4:$AB$7,2,FALSE)))))</f>
        <v/>
      </c>
      <c r="O203" s="56"/>
      <c r="P203" s="282" t="str">
        <f>IF(O203="","",IF(AND(O203="N/A - Culvert", D203&lt;&gt;"Culvert"),"Not possible ▲", IF(AND(D203="Culvert",O203&lt;&gt;"N/A - Culvert"),"Not possible ▲",IF(VLOOKUP(O203,'G-7 WaterC'' Data'!$AD$4:$AE$14,2,FALSE)=0,"Spatial Data Missing ⚠",VLOOKUP(O203,'G-7 WaterC'' Data'!$AD$4:$AE$14,2,FALSE)))))</f>
        <v/>
      </c>
      <c r="Q203" s="288" t="str">
        <f>IF(D203="","",VLOOKUP(D203,'G-7 WaterC'' Data'!$B$2:$G$8,6,FALSE))</f>
        <v/>
      </c>
      <c r="R203" s="295" t="str">
        <f t="shared" ref="R203:R257" si="31">IFERROR(IF(AND(U203&gt;0, V203&gt;0, U203+V203&gt;E203), "Split retained and enhanced into separate entries ▲", IF(OR(K203="Check data ⚠",I203="Check data ⚠"), "Check data ▲", E203*G203*I203*L203*N203*P203))," ")</f>
        <v xml:space="preserve"> </v>
      </c>
      <c r="S203" s="820" t="str">
        <f t="shared" ref="S203:S257" si="32">AU203</f>
        <v/>
      </c>
      <c r="T203" s="32"/>
      <c r="U203" s="105"/>
      <c r="V203" s="112"/>
      <c r="W203" s="293" t="str">
        <f t="shared" ref="W203:W257" si="33">IFERROR(IF(U203&gt;E203,"Error in Lengths ▲",U203*G203*I203*L203*N203*P203),"")</f>
        <v/>
      </c>
      <c r="X203" s="293" t="str">
        <f t="shared" ref="X203:X257" si="34">IFERROR(IF(D203="","",V203*G203*I203*L203*N203*P203),"")</f>
        <v/>
      </c>
      <c r="Y203" s="293" t="str">
        <f t="shared" ref="Y203:Y257" si="35">IFERROR(IF(D203="","", IF(E203&gt;(U203+V203),E203-U203-V203,0)),"")</f>
        <v/>
      </c>
      <c r="Z203" s="323" t="str">
        <f>IFERROR(IF(OR(E203="",R203=""),"",  IF(AND(Q203='G-7 WaterC'' Data'!$G$4,AA203="Yes"),"Alternative Compensation ✓", IF(AND(AA203="Pending", Q203='G-7 WaterC'' Data'!$G$4),"Bespoke compensation must be agreed ▲", IF((W203+X203)&gt;=R203, 0, R203-W203-X203)))),"Check Data ⚠")</f>
        <v/>
      </c>
      <c r="AA203" s="817"/>
      <c r="AB203" s="140"/>
      <c r="AC203" s="108"/>
      <c r="AD203" s="108"/>
      <c r="AE203" s="54" t="str">
        <f>IF(OR(Q203="",AA203="Yes"),"",IF(Q203='G-1 All Habitats'!$X$9,E203-U203-V203,"None"))</f>
        <v/>
      </c>
      <c r="AF203" s="55" t="str">
        <f>IF(Q203="","", IF(Q203='G-1 All Habitats'!$X$9, AE203*G203*I203*L203*N203*P203,"None"))</f>
        <v/>
      </c>
      <c r="AI203" s="30">
        <f t="shared" ref="AI203:AI257" si="36">IFERROR(IF(U203+V203&gt;E203,1,0),"")</f>
        <v>0</v>
      </c>
      <c r="AJ203" s="111" t="str">
        <f t="shared" ref="AJ203:AJ257" si="37">IF(D203="","",IF(U203&gt;0,TRUE,FALSE))</f>
        <v/>
      </c>
      <c r="AK203" s="111" t="str">
        <f t="shared" ref="AK203:AK257" si="38">IF(D203="","",IF(V203&gt;0,TRUE,FALSE))</f>
        <v/>
      </c>
      <c r="AM203" s="111">
        <v>194</v>
      </c>
      <c r="AO203" s="111" t="str">
        <f t="array" ref="AO203">IFERROR(INDEX($AM$10:$AM$258, MATCH(0, IF(TRUE=$AJ$10:$AJ$258, COUNTIF($AO$9:$AO202, $AM$10:$AM$258), ""), 0)),"")</f>
        <v/>
      </c>
      <c r="AP203" s="111" t="str">
        <f t="array" ref="AP203">IFERROR(INDEX($AM$10:$AM$258, MATCH(0, IF(TRUE=$AK$10:$AK$258, COUNTIF($AP$9:$AP202, $AM$10:$AM$258), ""), 0)),"")</f>
        <v/>
      </c>
      <c r="AR203" s="30" t="str">
        <f>IFERROR(INDEX('G-7 WaterC'' Data'!$AZ$3:$AZ$7,MATCH(D203,'G-7 WaterC'' Data'!$AY$3:$AY$7,0)),"")</f>
        <v/>
      </c>
      <c r="AS203" s="30" t="str">
        <f>IFERROR(INDEX('G-7 WaterC'' Data'!AZ203:AZ207,MATCH(D203,'G-7 WaterC'' Data'!$AY$10:$AY$14,0)),"")</f>
        <v/>
      </c>
      <c r="AT203" s="903" t="str">
        <f>IF(AND(OR(AA203="Yes",AA203="Pending"),Q203='G-7 WaterC'' Data'!$G$4),R203-W203-X203,"")</f>
        <v/>
      </c>
      <c r="AU203" s="30" t="str">
        <f>IF(D203="","",VLOOKUP(D203,'G-7 WaterC'' Data'!B$4:M$8,12,FALSE))</f>
        <v/>
      </c>
      <c r="AV203" s="30" t="str">
        <f t="shared" si="30"/>
        <v/>
      </c>
      <c r="AX203" s="30" t="str">
        <f t="shared" ref="AX203:AX258" si="39">IF(AND(D203="Ditches",(OR(H203="Fairly Poor",H203="Fairly Good"))), "Yes", "No")</f>
        <v>No</v>
      </c>
    </row>
    <row r="204" spans="3:50" x14ac:dyDescent="0.25">
      <c r="C204" s="101">
        <v>195</v>
      </c>
      <c r="D204" s="267"/>
      <c r="E204" s="119"/>
      <c r="F204" s="281" t="str">
        <f>IF(D204="","",VLOOKUP(D204,'G-7 WaterC'' Data'!$B$2:$G$8,2,FALSE))</f>
        <v/>
      </c>
      <c r="G204" s="282" t="str">
        <f>IFERROR(VLOOKUP(F204,'G-7 WaterC'' Data'!$C$4:$D$8,2,FALSE),"")</f>
        <v/>
      </c>
      <c r="H204" s="52"/>
      <c r="I204" s="282" t="str">
        <f>IFERROR(INDEX('G-7 WaterC'' Data'!$H$4:$L$8,MATCH(D204,'G-7 WaterC'' Data'!$B$4:$B$8,0),MATCH(H204,'G-7 WaterC'' Data'!$H$3:$L$3,0)),"")</f>
        <v/>
      </c>
      <c r="J204" s="793"/>
      <c r="K204" s="317" t="str">
        <f>IF(J204="","",IF(VLOOKUP(J204,'G-7 WaterC'' Data'!$AK$4:$AM$6,2,FALSE)=0,"Spatial Data Missing ⚠",VLOOKUP(J204,'G-7 WaterC'' Data'!$AK$4:$AM$6,2,FALSE)))</f>
        <v/>
      </c>
      <c r="L204" s="287" t="str">
        <f>IF(J204="","",IF(VLOOKUP(J204,'G-7 WaterC'' Data'!$AK$4:$AM$9,3,FALSE)=0,"Spatial Data Missing ⚠",VLOOKUP(J204,'G-7 WaterC'' Data'!$AK$4:$AM$6,3,FALSE)))</f>
        <v/>
      </c>
      <c r="M204" s="52"/>
      <c r="N204" s="282" t="str">
        <f>IF(M204="","",IF(AND(D204&lt;&gt;"Culvert",M204="N/A - Culvert"),"Not possible ▲",IF(AND(D204="Culvert",M204&lt;&gt;"N/A - Culvert"),"Not possible ▲",IF(VLOOKUP(M204,'G-7 WaterC'' Data'!$AA$4:$AB$7,2,FALSE)=0,"Spatial Data Missing ⚠",VLOOKUP(M204,'G-7 WaterC'' Data'!$AA$4:$AB$7,2,FALSE)))))</f>
        <v/>
      </c>
      <c r="O204" s="56"/>
      <c r="P204" s="282" t="str">
        <f>IF(O204="","",IF(AND(O204="N/A - Culvert", D204&lt;&gt;"Culvert"),"Not possible ▲", IF(AND(D204="Culvert",O204&lt;&gt;"N/A - Culvert"),"Not possible ▲",IF(VLOOKUP(O204,'G-7 WaterC'' Data'!$AD$4:$AE$14,2,FALSE)=0,"Spatial Data Missing ⚠",VLOOKUP(O204,'G-7 WaterC'' Data'!$AD$4:$AE$14,2,FALSE)))))</f>
        <v/>
      </c>
      <c r="Q204" s="288" t="str">
        <f>IF(D204="","",VLOOKUP(D204,'G-7 WaterC'' Data'!$B$2:$G$8,6,FALSE))</f>
        <v/>
      </c>
      <c r="R204" s="295" t="str">
        <f t="shared" si="31"/>
        <v xml:space="preserve"> </v>
      </c>
      <c r="S204" s="820" t="str">
        <f t="shared" si="32"/>
        <v/>
      </c>
      <c r="T204" s="32"/>
      <c r="U204" s="105"/>
      <c r="V204" s="112"/>
      <c r="W204" s="293" t="str">
        <f t="shared" si="33"/>
        <v/>
      </c>
      <c r="X204" s="293" t="str">
        <f t="shared" si="34"/>
        <v/>
      </c>
      <c r="Y204" s="293" t="str">
        <f t="shared" si="35"/>
        <v/>
      </c>
      <c r="Z204" s="323" t="str">
        <f>IFERROR(IF(OR(E204="",R204=""),"",  IF(AND(Q204='G-7 WaterC'' Data'!$G$4,AA204="Yes"),"Alternative Compensation ✓", IF(AND(AA204="Pending", Q204='G-7 WaterC'' Data'!$G$4),"Bespoke compensation must be agreed ▲", IF((W204+X204)&gt;=R204, 0, R204-W204-X204)))),"Check Data ⚠")</f>
        <v/>
      </c>
      <c r="AA204" s="817"/>
      <c r="AB204" s="140"/>
      <c r="AC204" s="108"/>
      <c r="AD204" s="108"/>
      <c r="AE204" s="54" t="str">
        <f>IF(OR(Q204="",AA204="Yes"),"",IF(Q204='G-1 All Habitats'!$X$9,E204-U204-V204,"None"))</f>
        <v/>
      </c>
      <c r="AF204" s="55" t="str">
        <f>IF(Q204="","", IF(Q204='G-1 All Habitats'!$X$9, AE204*G204*I204*L204*N204*P204,"None"))</f>
        <v/>
      </c>
      <c r="AI204" s="30">
        <f t="shared" si="36"/>
        <v>0</v>
      </c>
      <c r="AJ204" s="111" t="str">
        <f t="shared" si="37"/>
        <v/>
      </c>
      <c r="AK204" s="111" t="str">
        <f t="shared" si="38"/>
        <v/>
      </c>
      <c r="AM204" s="111">
        <v>195</v>
      </c>
      <c r="AO204" s="111" t="str">
        <f t="array" ref="AO204">IFERROR(INDEX($AM$10:$AM$258, MATCH(0, IF(TRUE=$AJ$10:$AJ$258, COUNTIF($AO$9:$AO203, $AM$10:$AM$258), ""), 0)),"")</f>
        <v/>
      </c>
      <c r="AP204" s="111" t="str">
        <f t="array" ref="AP204">IFERROR(INDEX($AM$10:$AM$258, MATCH(0, IF(TRUE=$AK$10:$AK$258, COUNTIF($AP$9:$AP203, $AM$10:$AM$258), ""), 0)),"")</f>
        <v/>
      </c>
      <c r="AR204" s="30" t="str">
        <f>IFERROR(INDEX('G-7 WaterC'' Data'!$AZ$3:$AZ$7,MATCH(D204,'G-7 WaterC'' Data'!$AY$3:$AY$7,0)),"")</f>
        <v/>
      </c>
      <c r="AS204" s="30" t="str">
        <f>IFERROR(INDEX('G-7 WaterC'' Data'!AZ204:AZ208,MATCH(D204,'G-7 WaterC'' Data'!$AY$10:$AY$14,0)),"")</f>
        <v/>
      </c>
      <c r="AT204" s="903" t="str">
        <f>IF(AND(OR(AA204="Yes",AA204="Pending"),Q204='G-7 WaterC'' Data'!$G$4),R204-W204-X204,"")</f>
        <v/>
      </c>
      <c r="AU204" s="30" t="str">
        <f>IF(D204="","",VLOOKUP(D204,'G-7 WaterC'' Data'!B$4:M$8,12,FALSE))</f>
        <v/>
      </c>
      <c r="AV204" s="30" t="str">
        <f t="shared" si="30"/>
        <v/>
      </c>
      <c r="AX204" s="30" t="str">
        <f t="shared" si="39"/>
        <v>No</v>
      </c>
    </row>
    <row r="205" spans="3:50" x14ac:dyDescent="0.25">
      <c r="C205" s="101">
        <v>196</v>
      </c>
      <c r="D205" s="267"/>
      <c r="E205" s="119"/>
      <c r="F205" s="281" t="str">
        <f>IF(D205="","",VLOOKUP(D205,'G-7 WaterC'' Data'!$B$2:$G$8,2,FALSE))</f>
        <v/>
      </c>
      <c r="G205" s="282" t="str">
        <f>IFERROR(VLOOKUP(F205,'G-7 WaterC'' Data'!$C$4:$D$8,2,FALSE),"")</f>
        <v/>
      </c>
      <c r="H205" s="52"/>
      <c r="I205" s="282" t="str">
        <f>IFERROR(INDEX('G-7 WaterC'' Data'!$H$4:$L$8,MATCH(D205,'G-7 WaterC'' Data'!$B$4:$B$8,0),MATCH(H205,'G-7 WaterC'' Data'!$H$3:$L$3,0)),"")</f>
        <v/>
      </c>
      <c r="J205" s="793"/>
      <c r="K205" s="317" t="str">
        <f>IF(J205="","",IF(VLOOKUP(J205,'G-7 WaterC'' Data'!$AK$4:$AM$6,2,FALSE)=0,"Spatial Data Missing ⚠",VLOOKUP(J205,'G-7 WaterC'' Data'!$AK$4:$AM$6,2,FALSE)))</f>
        <v/>
      </c>
      <c r="L205" s="287" t="str">
        <f>IF(J205="","",IF(VLOOKUP(J205,'G-7 WaterC'' Data'!$AK$4:$AM$9,3,FALSE)=0,"Spatial Data Missing ⚠",VLOOKUP(J205,'G-7 WaterC'' Data'!$AK$4:$AM$6,3,FALSE)))</f>
        <v/>
      </c>
      <c r="M205" s="52"/>
      <c r="N205" s="282" t="str">
        <f>IF(M205="","",IF(AND(D205&lt;&gt;"Culvert",M205="N/A - Culvert"),"Not possible ▲",IF(AND(D205="Culvert",M205&lt;&gt;"N/A - Culvert"),"Not possible ▲",IF(VLOOKUP(M205,'G-7 WaterC'' Data'!$AA$4:$AB$7,2,FALSE)=0,"Spatial Data Missing ⚠",VLOOKUP(M205,'G-7 WaterC'' Data'!$AA$4:$AB$7,2,FALSE)))))</f>
        <v/>
      </c>
      <c r="O205" s="56"/>
      <c r="P205" s="282" t="str">
        <f>IF(O205="","",IF(AND(O205="N/A - Culvert", D205&lt;&gt;"Culvert"),"Not possible ▲", IF(AND(D205="Culvert",O205&lt;&gt;"N/A - Culvert"),"Not possible ▲",IF(VLOOKUP(O205,'G-7 WaterC'' Data'!$AD$4:$AE$14,2,FALSE)=0,"Spatial Data Missing ⚠",VLOOKUP(O205,'G-7 WaterC'' Data'!$AD$4:$AE$14,2,FALSE)))))</f>
        <v/>
      </c>
      <c r="Q205" s="288" t="str">
        <f>IF(D205="","",VLOOKUP(D205,'G-7 WaterC'' Data'!$B$2:$G$8,6,FALSE))</f>
        <v/>
      </c>
      <c r="R205" s="295" t="str">
        <f t="shared" si="31"/>
        <v xml:space="preserve"> </v>
      </c>
      <c r="S205" s="820" t="str">
        <f t="shared" si="32"/>
        <v/>
      </c>
      <c r="T205" s="32"/>
      <c r="U205" s="105"/>
      <c r="V205" s="112"/>
      <c r="W205" s="293" t="str">
        <f t="shared" si="33"/>
        <v/>
      </c>
      <c r="X205" s="293" t="str">
        <f t="shared" si="34"/>
        <v/>
      </c>
      <c r="Y205" s="293" t="str">
        <f t="shared" si="35"/>
        <v/>
      </c>
      <c r="Z205" s="323" t="str">
        <f>IFERROR(IF(OR(E205="",R205=""),"",  IF(AND(Q205='G-7 WaterC'' Data'!$G$4,AA205="Yes"),"Alternative Compensation ✓", IF(AND(AA205="Pending", Q205='G-7 WaterC'' Data'!$G$4),"Bespoke compensation must be agreed ▲", IF((W205+X205)&gt;=R205, 0, R205-W205-X205)))),"Check Data ⚠")</f>
        <v/>
      </c>
      <c r="AA205" s="817"/>
      <c r="AB205" s="140"/>
      <c r="AC205" s="108"/>
      <c r="AD205" s="108"/>
      <c r="AE205" s="54" t="str">
        <f>IF(OR(Q205="",AA205="Yes"),"",IF(Q205='G-1 All Habitats'!$X$9,E205-U205-V205,"None"))</f>
        <v/>
      </c>
      <c r="AF205" s="55" t="str">
        <f>IF(Q205="","", IF(Q205='G-1 All Habitats'!$X$9, AE205*G205*I205*L205*N205*P205,"None"))</f>
        <v/>
      </c>
      <c r="AI205" s="30">
        <f t="shared" si="36"/>
        <v>0</v>
      </c>
      <c r="AJ205" s="111" t="str">
        <f t="shared" si="37"/>
        <v/>
      </c>
      <c r="AK205" s="111" t="str">
        <f t="shared" si="38"/>
        <v/>
      </c>
      <c r="AM205" s="111">
        <v>196</v>
      </c>
      <c r="AO205" s="111" t="str">
        <f t="array" ref="AO205">IFERROR(INDEX($AM$10:$AM$258, MATCH(0, IF(TRUE=$AJ$10:$AJ$258, COUNTIF($AO$9:$AO204, $AM$10:$AM$258), ""), 0)),"")</f>
        <v/>
      </c>
      <c r="AP205" s="111" t="str">
        <f t="array" ref="AP205">IFERROR(INDEX($AM$10:$AM$258, MATCH(0, IF(TRUE=$AK$10:$AK$258, COUNTIF($AP$9:$AP204, $AM$10:$AM$258), ""), 0)),"")</f>
        <v/>
      </c>
      <c r="AR205" s="30" t="str">
        <f>IFERROR(INDEX('G-7 WaterC'' Data'!$AZ$3:$AZ$7,MATCH(D205,'G-7 WaterC'' Data'!$AY$3:$AY$7,0)),"")</f>
        <v/>
      </c>
      <c r="AS205" s="30" t="str">
        <f>IFERROR(INDEX('G-7 WaterC'' Data'!AZ205:AZ209,MATCH(D205,'G-7 WaterC'' Data'!$AY$10:$AY$14,0)),"")</f>
        <v/>
      </c>
      <c r="AT205" s="903" t="str">
        <f>IF(AND(OR(AA205="Yes",AA205="Pending"),Q205='G-7 WaterC'' Data'!$G$4),R205-W205-X205,"")</f>
        <v/>
      </c>
      <c r="AU205" s="30" t="str">
        <f>IF(D205="","",VLOOKUP(D205,'G-7 WaterC'' Data'!B$4:M$8,12,FALSE))</f>
        <v/>
      </c>
      <c r="AV205" s="30" t="str">
        <f t="shared" si="30"/>
        <v/>
      </c>
      <c r="AX205" s="30" t="str">
        <f t="shared" si="39"/>
        <v>No</v>
      </c>
    </row>
    <row r="206" spans="3:50" x14ac:dyDescent="0.25">
      <c r="C206" s="101">
        <v>197</v>
      </c>
      <c r="D206" s="267"/>
      <c r="E206" s="119"/>
      <c r="F206" s="281" t="str">
        <f>IF(D206="","",VLOOKUP(D206,'G-7 WaterC'' Data'!$B$2:$G$8,2,FALSE))</f>
        <v/>
      </c>
      <c r="G206" s="282" t="str">
        <f>IFERROR(VLOOKUP(F206,'G-7 WaterC'' Data'!$C$4:$D$8,2,FALSE),"")</f>
        <v/>
      </c>
      <c r="H206" s="52"/>
      <c r="I206" s="282" t="str">
        <f>IFERROR(INDEX('G-7 WaterC'' Data'!$H$4:$L$8,MATCH(D206,'G-7 WaterC'' Data'!$B$4:$B$8,0),MATCH(H206,'G-7 WaterC'' Data'!$H$3:$L$3,0)),"")</f>
        <v/>
      </c>
      <c r="J206" s="793"/>
      <c r="K206" s="317" t="str">
        <f>IF(J206="","",IF(VLOOKUP(J206,'G-7 WaterC'' Data'!$AK$4:$AM$6,2,FALSE)=0,"Spatial Data Missing ⚠",VLOOKUP(J206,'G-7 WaterC'' Data'!$AK$4:$AM$6,2,FALSE)))</f>
        <v/>
      </c>
      <c r="L206" s="287" t="str">
        <f>IF(J206="","",IF(VLOOKUP(J206,'G-7 WaterC'' Data'!$AK$4:$AM$9,3,FALSE)=0,"Spatial Data Missing ⚠",VLOOKUP(J206,'G-7 WaterC'' Data'!$AK$4:$AM$6,3,FALSE)))</f>
        <v/>
      </c>
      <c r="M206" s="52"/>
      <c r="N206" s="282" t="str">
        <f>IF(M206="","",IF(AND(D206&lt;&gt;"Culvert",M206="N/A - Culvert"),"Not possible ▲",IF(AND(D206="Culvert",M206&lt;&gt;"N/A - Culvert"),"Not possible ▲",IF(VLOOKUP(M206,'G-7 WaterC'' Data'!$AA$4:$AB$7,2,FALSE)=0,"Spatial Data Missing ⚠",VLOOKUP(M206,'G-7 WaterC'' Data'!$AA$4:$AB$7,2,FALSE)))))</f>
        <v/>
      </c>
      <c r="O206" s="56"/>
      <c r="P206" s="282" t="str">
        <f>IF(O206="","",IF(AND(O206="N/A - Culvert", D206&lt;&gt;"Culvert"),"Not possible ▲", IF(AND(D206="Culvert",O206&lt;&gt;"N/A - Culvert"),"Not possible ▲",IF(VLOOKUP(O206,'G-7 WaterC'' Data'!$AD$4:$AE$14,2,FALSE)=0,"Spatial Data Missing ⚠",VLOOKUP(O206,'G-7 WaterC'' Data'!$AD$4:$AE$14,2,FALSE)))))</f>
        <v/>
      </c>
      <c r="Q206" s="288" t="str">
        <f>IF(D206="","",VLOOKUP(D206,'G-7 WaterC'' Data'!$B$2:$G$8,6,FALSE))</f>
        <v/>
      </c>
      <c r="R206" s="295" t="str">
        <f t="shared" si="31"/>
        <v xml:space="preserve"> </v>
      </c>
      <c r="S206" s="820" t="str">
        <f t="shared" si="32"/>
        <v/>
      </c>
      <c r="T206" s="32"/>
      <c r="U206" s="105"/>
      <c r="V206" s="112"/>
      <c r="W206" s="293" t="str">
        <f t="shared" si="33"/>
        <v/>
      </c>
      <c r="X206" s="293" t="str">
        <f t="shared" si="34"/>
        <v/>
      </c>
      <c r="Y206" s="293" t="str">
        <f t="shared" si="35"/>
        <v/>
      </c>
      <c r="Z206" s="323" t="str">
        <f>IFERROR(IF(OR(E206="",R206=""),"",  IF(AND(Q206='G-7 WaterC'' Data'!$G$4,AA206="Yes"),"Alternative Compensation ✓", IF(AND(AA206="Pending", Q206='G-7 WaterC'' Data'!$G$4),"Bespoke compensation must be agreed ▲", IF((W206+X206)&gt;=R206, 0, R206-W206-X206)))),"Check Data ⚠")</f>
        <v/>
      </c>
      <c r="AA206" s="817"/>
      <c r="AB206" s="140"/>
      <c r="AC206" s="108"/>
      <c r="AD206" s="108"/>
      <c r="AE206" s="54" t="str">
        <f>IF(OR(Q206="",AA206="Yes"),"",IF(Q206='G-1 All Habitats'!$X$9,E206-U206-V206,"None"))</f>
        <v/>
      </c>
      <c r="AF206" s="55" t="str">
        <f>IF(Q206="","", IF(Q206='G-1 All Habitats'!$X$9, AE206*G206*I206*L206*N206*P206,"None"))</f>
        <v/>
      </c>
      <c r="AI206" s="30">
        <f t="shared" si="36"/>
        <v>0</v>
      </c>
      <c r="AJ206" s="111" t="str">
        <f t="shared" si="37"/>
        <v/>
      </c>
      <c r="AK206" s="111" t="str">
        <f t="shared" si="38"/>
        <v/>
      </c>
      <c r="AM206" s="111">
        <v>197</v>
      </c>
      <c r="AO206" s="111" t="str">
        <f t="array" ref="AO206">IFERROR(INDEX($AM$10:$AM$258, MATCH(0, IF(TRUE=$AJ$10:$AJ$258, COUNTIF($AO$9:$AO205, $AM$10:$AM$258), ""), 0)),"")</f>
        <v/>
      </c>
      <c r="AP206" s="111" t="str">
        <f t="array" ref="AP206">IFERROR(INDEX($AM$10:$AM$258, MATCH(0, IF(TRUE=$AK$10:$AK$258, COUNTIF($AP$9:$AP205, $AM$10:$AM$258), ""), 0)),"")</f>
        <v/>
      </c>
      <c r="AR206" s="30" t="str">
        <f>IFERROR(INDEX('G-7 WaterC'' Data'!$AZ$3:$AZ$7,MATCH(D206,'G-7 WaterC'' Data'!$AY$3:$AY$7,0)),"")</f>
        <v/>
      </c>
      <c r="AS206" s="30" t="str">
        <f>IFERROR(INDEX('G-7 WaterC'' Data'!AZ206:AZ210,MATCH(D206,'G-7 WaterC'' Data'!$AY$10:$AY$14,0)),"")</f>
        <v/>
      </c>
      <c r="AT206" s="903" t="str">
        <f>IF(AND(OR(AA206="Yes",AA206="Pending"),Q206='G-7 WaterC'' Data'!$G$4),R206-W206-X206,"")</f>
        <v/>
      </c>
      <c r="AU206" s="30" t="str">
        <f>IF(D206="","",VLOOKUP(D206,'G-7 WaterC'' Data'!B$4:M$8,12,FALSE))</f>
        <v/>
      </c>
      <c r="AV206" s="30" t="str">
        <f t="shared" si="30"/>
        <v/>
      </c>
      <c r="AX206" s="30" t="str">
        <f t="shared" si="39"/>
        <v>No</v>
      </c>
    </row>
    <row r="207" spans="3:50" x14ac:dyDescent="0.25">
      <c r="C207" s="101">
        <v>198</v>
      </c>
      <c r="D207" s="267"/>
      <c r="E207" s="119"/>
      <c r="F207" s="281" t="str">
        <f>IF(D207="","",VLOOKUP(D207,'G-7 WaterC'' Data'!$B$2:$G$8,2,FALSE))</f>
        <v/>
      </c>
      <c r="G207" s="282" t="str">
        <f>IFERROR(VLOOKUP(F207,'G-7 WaterC'' Data'!$C$4:$D$8,2,FALSE),"")</f>
        <v/>
      </c>
      <c r="H207" s="52"/>
      <c r="I207" s="282" t="str">
        <f>IFERROR(INDEX('G-7 WaterC'' Data'!$H$4:$L$8,MATCH(D207,'G-7 WaterC'' Data'!$B$4:$B$8,0),MATCH(H207,'G-7 WaterC'' Data'!$H$3:$L$3,0)),"")</f>
        <v/>
      </c>
      <c r="J207" s="793"/>
      <c r="K207" s="317" t="str">
        <f>IF(J207="","",IF(VLOOKUP(J207,'G-7 WaterC'' Data'!$AK$4:$AM$6,2,FALSE)=0,"Spatial Data Missing ⚠",VLOOKUP(J207,'G-7 WaterC'' Data'!$AK$4:$AM$6,2,FALSE)))</f>
        <v/>
      </c>
      <c r="L207" s="287" t="str">
        <f>IF(J207="","",IF(VLOOKUP(J207,'G-7 WaterC'' Data'!$AK$4:$AM$9,3,FALSE)=0,"Spatial Data Missing ⚠",VLOOKUP(J207,'G-7 WaterC'' Data'!$AK$4:$AM$6,3,FALSE)))</f>
        <v/>
      </c>
      <c r="M207" s="52"/>
      <c r="N207" s="282" t="str">
        <f>IF(M207="","",IF(AND(D207&lt;&gt;"Culvert",M207="N/A - Culvert"),"Not possible ▲",IF(AND(D207="Culvert",M207&lt;&gt;"N/A - Culvert"),"Not possible ▲",IF(VLOOKUP(M207,'G-7 WaterC'' Data'!$AA$4:$AB$7,2,FALSE)=0,"Spatial Data Missing ⚠",VLOOKUP(M207,'G-7 WaterC'' Data'!$AA$4:$AB$7,2,FALSE)))))</f>
        <v/>
      </c>
      <c r="O207" s="56"/>
      <c r="P207" s="282" t="str">
        <f>IF(O207="","",IF(AND(O207="N/A - Culvert", D207&lt;&gt;"Culvert"),"Not possible ▲", IF(AND(D207="Culvert",O207&lt;&gt;"N/A - Culvert"),"Not possible ▲",IF(VLOOKUP(O207,'G-7 WaterC'' Data'!$AD$4:$AE$14,2,FALSE)=0,"Spatial Data Missing ⚠",VLOOKUP(O207,'G-7 WaterC'' Data'!$AD$4:$AE$14,2,FALSE)))))</f>
        <v/>
      </c>
      <c r="Q207" s="288" t="str">
        <f>IF(D207="","",VLOOKUP(D207,'G-7 WaterC'' Data'!$B$2:$G$8,6,FALSE))</f>
        <v/>
      </c>
      <c r="R207" s="295" t="str">
        <f t="shared" si="31"/>
        <v xml:space="preserve"> </v>
      </c>
      <c r="S207" s="820" t="str">
        <f t="shared" si="32"/>
        <v/>
      </c>
      <c r="T207" s="32"/>
      <c r="U207" s="105"/>
      <c r="V207" s="112"/>
      <c r="W207" s="293" t="str">
        <f t="shared" si="33"/>
        <v/>
      </c>
      <c r="X207" s="293" t="str">
        <f t="shared" si="34"/>
        <v/>
      </c>
      <c r="Y207" s="293" t="str">
        <f t="shared" si="35"/>
        <v/>
      </c>
      <c r="Z207" s="323" t="str">
        <f>IFERROR(IF(OR(E207="",R207=""),"",  IF(AND(Q207='G-7 WaterC'' Data'!$G$4,AA207="Yes"),"Alternative Compensation ✓", IF(AND(AA207="Pending", Q207='G-7 WaterC'' Data'!$G$4),"Bespoke compensation must be agreed ▲", IF((W207+X207)&gt;=R207, 0, R207-W207-X207)))),"Check Data ⚠")</f>
        <v/>
      </c>
      <c r="AA207" s="817"/>
      <c r="AB207" s="140"/>
      <c r="AC207" s="108"/>
      <c r="AD207" s="108"/>
      <c r="AE207" s="54" t="str">
        <f>IF(OR(Q207="",AA207="Yes"),"",IF(Q207='G-1 All Habitats'!$X$9,E207-U207-V207,"None"))</f>
        <v/>
      </c>
      <c r="AF207" s="55" t="str">
        <f>IF(Q207="","", IF(Q207='G-1 All Habitats'!$X$9, AE207*G207*I207*L207*N207*P207,"None"))</f>
        <v/>
      </c>
      <c r="AI207" s="30">
        <f t="shared" si="36"/>
        <v>0</v>
      </c>
      <c r="AJ207" s="111" t="str">
        <f t="shared" si="37"/>
        <v/>
      </c>
      <c r="AK207" s="111" t="str">
        <f t="shared" si="38"/>
        <v/>
      </c>
      <c r="AM207" s="111">
        <v>198</v>
      </c>
      <c r="AO207" s="111" t="str">
        <f t="array" ref="AO207">IFERROR(INDEX($AM$10:$AM$258, MATCH(0, IF(TRUE=$AJ$10:$AJ$258, COUNTIF($AO$9:$AO206, $AM$10:$AM$258), ""), 0)),"")</f>
        <v/>
      </c>
      <c r="AP207" s="111" t="str">
        <f t="array" ref="AP207">IFERROR(INDEX($AM$10:$AM$258, MATCH(0, IF(TRUE=$AK$10:$AK$258, COUNTIF($AP$9:$AP206, $AM$10:$AM$258), ""), 0)),"")</f>
        <v/>
      </c>
      <c r="AR207" s="30" t="str">
        <f>IFERROR(INDEX('G-7 WaterC'' Data'!$AZ$3:$AZ$7,MATCH(D207,'G-7 WaterC'' Data'!$AY$3:$AY$7,0)),"")</f>
        <v/>
      </c>
      <c r="AS207" s="30" t="str">
        <f>IFERROR(INDEX('G-7 WaterC'' Data'!AZ207:AZ211,MATCH(D207,'G-7 WaterC'' Data'!$AY$10:$AY$14,0)),"")</f>
        <v/>
      </c>
      <c r="AT207" s="903" t="str">
        <f>IF(AND(OR(AA207="Yes",AA207="Pending"),Q207='G-7 WaterC'' Data'!$G$4),R207-W207-X207,"")</f>
        <v/>
      </c>
      <c r="AU207" s="30" t="str">
        <f>IF(D207="","",VLOOKUP(D207,'G-7 WaterC'' Data'!B$4:M$8,12,FALSE))</f>
        <v/>
      </c>
      <c r="AV207" s="30" t="str">
        <f t="shared" si="30"/>
        <v/>
      </c>
      <c r="AX207" s="30" t="str">
        <f t="shared" si="39"/>
        <v>No</v>
      </c>
    </row>
    <row r="208" spans="3:50" x14ac:dyDescent="0.25">
      <c r="C208" s="101">
        <v>199</v>
      </c>
      <c r="D208" s="267"/>
      <c r="E208" s="119"/>
      <c r="F208" s="281" t="str">
        <f>IF(D208="","",VLOOKUP(D208,'G-7 WaterC'' Data'!$B$2:$G$8,2,FALSE))</f>
        <v/>
      </c>
      <c r="G208" s="282" t="str">
        <f>IFERROR(VLOOKUP(F208,'G-7 WaterC'' Data'!$C$4:$D$8,2,FALSE),"")</f>
        <v/>
      </c>
      <c r="H208" s="52"/>
      <c r="I208" s="282" t="str">
        <f>IFERROR(INDEX('G-7 WaterC'' Data'!$H$4:$L$8,MATCH(D208,'G-7 WaterC'' Data'!$B$4:$B$8,0),MATCH(H208,'G-7 WaterC'' Data'!$H$3:$L$3,0)),"")</f>
        <v/>
      </c>
      <c r="J208" s="793"/>
      <c r="K208" s="317" t="str">
        <f>IF(J208="","",IF(VLOOKUP(J208,'G-7 WaterC'' Data'!$AK$4:$AM$6,2,FALSE)=0,"Spatial Data Missing ⚠",VLOOKUP(J208,'G-7 WaterC'' Data'!$AK$4:$AM$6,2,FALSE)))</f>
        <v/>
      </c>
      <c r="L208" s="287" t="str">
        <f>IF(J208="","",IF(VLOOKUP(J208,'G-7 WaterC'' Data'!$AK$4:$AM$9,3,FALSE)=0,"Spatial Data Missing ⚠",VLOOKUP(J208,'G-7 WaterC'' Data'!$AK$4:$AM$6,3,FALSE)))</f>
        <v/>
      </c>
      <c r="M208" s="52"/>
      <c r="N208" s="282" t="str">
        <f>IF(M208="","",IF(AND(D208&lt;&gt;"Culvert",M208="N/A - Culvert"),"Not possible ▲",IF(AND(D208="Culvert",M208&lt;&gt;"N/A - Culvert"),"Not possible ▲",IF(VLOOKUP(M208,'G-7 WaterC'' Data'!$AA$4:$AB$7,2,FALSE)=0,"Spatial Data Missing ⚠",VLOOKUP(M208,'G-7 WaterC'' Data'!$AA$4:$AB$7,2,FALSE)))))</f>
        <v/>
      </c>
      <c r="O208" s="56"/>
      <c r="P208" s="282" t="str">
        <f>IF(O208="","",IF(AND(O208="N/A - Culvert", D208&lt;&gt;"Culvert"),"Not possible ▲", IF(AND(D208="Culvert",O208&lt;&gt;"N/A - Culvert"),"Not possible ▲",IF(VLOOKUP(O208,'G-7 WaterC'' Data'!$AD$4:$AE$14,2,FALSE)=0,"Spatial Data Missing ⚠",VLOOKUP(O208,'G-7 WaterC'' Data'!$AD$4:$AE$14,2,FALSE)))))</f>
        <v/>
      </c>
      <c r="Q208" s="288" t="str">
        <f>IF(D208="","",VLOOKUP(D208,'G-7 WaterC'' Data'!$B$2:$G$8,6,FALSE))</f>
        <v/>
      </c>
      <c r="R208" s="295" t="str">
        <f t="shared" si="31"/>
        <v xml:space="preserve"> </v>
      </c>
      <c r="S208" s="820" t="str">
        <f t="shared" si="32"/>
        <v/>
      </c>
      <c r="T208" s="32"/>
      <c r="U208" s="105"/>
      <c r="V208" s="112"/>
      <c r="W208" s="293" t="str">
        <f t="shared" si="33"/>
        <v/>
      </c>
      <c r="X208" s="293" t="str">
        <f t="shared" si="34"/>
        <v/>
      </c>
      <c r="Y208" s="293" t="str">
        <f t="shared" si="35"/>
        <v/>
      </c>
      <c r="Z208" s="323" t="str">
        <f>IFERROR(IF(OR(E208="",R208=""),"",  IF(AND(Q208='G-7 WaterC'' Data'!$G$4,AA208="Yes"),"Alternative Compensation ✓", IF(AND(AA208="Pending", Q208='G-7 WaterC'' Data'!$G$4),"Bespoke compensation must be agreed ▲", IF((W208+X208)&gt;=R208, 0, R208-W208-X208)))),"Check Data ⚠")</f>
        <v/>
      </c>
      <c r="AA208" s="817"/>
      <c r="AB208" s="140"/>
      <c r="AC208" s="108"/>
      <c r="AD208" s="108"/>
      <c r="AE208" s="54" t="str">
        <f>IF(OR(Q208="",AA208="Yes"),"",IF(Q208='G-1 All Habitats'!$X$9,E208-U208-V208,"None"))</f>
        <v/>
      </c>
      <c r="AF208" s="55" t="str">
        <f>IF(Q208="","", IF(Q208='G-1 All Habitats'!$X$9, AE208*G208*I208*L208*N208*P208,"None"))</f>
        <v/>
      </c>
      <c r="AI208" s="30">
        <f t="shared" si="36"/>
        <v>0</v>
      </c>
      <c r="AJ208" s="111" t="str">
        <f t="shared" si="37"/>
        <v/>
      </c>
      <c r="AK208" s="111" t="str">
        <f t="shared" si="38"/>
        <v/>
      </c>
      <c r="AM208" s="111">
        <v>199</v>
      </c>
      <c r="AO208" s="111" t="str">
        <f t="array" ref="AO208">IFERROR(INDEX($AM$10:$AM$258, MATCH(0, IF(TRUE=$AJ$10:$AJ$258, COUNTIF($AO$9:$AO207, $AM$10:$AM$258), ""), 0)),"")</f>
        <v/>
      </c>
      <c r="AP208" s="111" t="str">
        <f t="array" ref="AP208">IFERROR(INDEX($AM$10:$AM$258, MATCH(0, IF(TRUE=$AK$10:$AK$258, COUNTIF($AP$9:$AP207, $AM$10:$AM$258), ""), 0)),"")</f>
        <v/>
      </c>
      <c r="AR208" s="30" t="str">
        <f>IFERROR(INDEX('G-7 WaterC'' Data'!$AZ$3:$AZ$7,MATCH(D208,'G-7 WaterC'' Data'!$AY$3:$AY$7,0)),"")</f>
        <v/>
      </c>
      <c r="AS208" s="30" t="str">
        <f>IFERROR(INDEX('G-7 WaterC'' Data'!AZ208:AZ212,MATCH(D208,'G-7 WaterC'' Data'!$AY$10:$AY$14,0)),"")</f>
        <v/>
      </c>
      <c r="AT208" s="903" t="str">
        <f>IF(AND(OR(AA208="Yes",AA208="Pending"),Q208='G-7 WaterC'' Data'!$G$4),R208-W208-X208,"")</f>
        <v/>
      </c>
      <c r="AU208" s="30" t="str">
        <f>IF(D208="","",VLOOKUP(D208,'G-7 WaterC'' Data'!B$4:M$8,12,FALSE))</f>
        <v/>
      </c>
      <c r="AV208" s="30" t="str">
        <f t="shared" si="30"/>
        <v/>
      </c>
      <c r="AX208" s="30" t="str">
        <f t="shared" si="39"/>
        <v>No</v>
      </c>
    </row>
    <row r="209" spans="3:50" x14ac:dyDescent="0.25">
      <c r="C209" s="101">
        <v>200</v>
      </c>
      <c r="D209" s="267"/>
      <c r="E209" s="119"/>
      <c r="F209" s="281" t="str">
        <f>IF(D209="","",VLOOKUP(D209,'G-7 WaterC'' Data'!$B$2:$G$8,2,FALSE))</f>
        <v/>
      </c>
      <c r="G209" s="282" t="str">
        <f>IFERROR(VLOOKUP(F209,'G-7 WaterC'' Data'!$C$4:$D$8,2,FALSE),"")</f>
        <v/>
      </c>
      <c r="H209" s="52"/>
      <c r="I209" s="282" t="str">
        <f>IFERROR(INDEX('G-7 WaterC'' Data'!$H$4:$L$8,MATCH(D209,'G-7 WaterC'' Data'!$B$4:$B$8,0),MATCH(H209,'G-7 WaterC'' Data'!$H$3:$L$3,0)),"")</f>
        <v/>
      </c>
      <c r="J209" s="793"/>
      <c r="K209" s="317" t="str">
        <f>IF(J209="","",IF(VLOOKUP(J209,'G-7 WaterC'' Data'!$AK$4:$AM$6,2,FALSE)=0,"Spatial Data Missing ⚠",VLOOKUP(J209,'G-7 WaterC'' Data'!$AK$4:$AM$6,2,FALSE)))</f>
        <v/>
      </c>
      <c r="L209" s="287" t="str">
        <f>IF(J209="","",IF(VLOOKUP(J209,'G-7 WaterC'' Data'!$AK$4:$AM$9,3,FALSE)=0,"Spatial Data Missing ⚠",VLOOKUP(J209,'G-7 WaterC'' Data'!$AK$4:$AM$6,3,FALSE)))</f>
        <v/>
      </c>
      <c r="M209" s="52"/>
      <c r="N209" s="282" t="str">
        <f>IF(M209="","",IF(AND(D209&lt;&gt;"Culvert",M209="N/A - Culvert"),"Not possible ▲",IF(AND(D209="Culvert",M209&lt;&gt;"N/A - Culvert"),"Not possible ▲",IF(VLOOKUP(M209,'G-7 WaterC'' Data'!$AA$4:$AB$7,2,FALSE)=0,"Spatial Data Missing ⚠",VLOOKUP(M209,'G-7 WaterC'' Data'!$AA$4:$AB$7,2,FALSE)))))</f>
        <v/>
      </c>
      <c r="O209" s="56"/>
      <c r="P209" s="282" t="str">
        <f>IF(O209="","",IF(AND(O209="N/A - Culvert", D209&lt;&gt;"Culvert"),"Not possible ▲", IF(AND(D209="Culvert",O209&lt;&gt;"N/A - Culvert"),"Not possible ▲",IF(VLOOKUP(O209,'G-7 WaterC'' Data'!$AD$4:$AE$14,2,FALSE)=0,"Spatial Data Missing ⚠",VLOOKUP(O209,'G-7 WaterC'' Data'!$AD$4:$AE$14,2,FALSE)))))</f>
        <v/>
      </c>
      <c r="Q209" s="288" t="str">
        <f>IF(D209="","",VLOOKUP(D209,'G-7 WaterC'' Data'!$B$2:$G$8,6,FALSE))</f>
        <v/>
      </c>
      <c r="R209" s="295" t="str">
        <f t="shared" si="31"/>
        <v xml:space="preserve"> </v>
      </c>
      <c r="S209" s="820" t="str">
        <f t="shared" si="32"/>
        <v/>
      </c>
      <c r="T209" s="32"/>
      <c r="U209" s="105"/>
      <c r="V209" s="112"/>
      <c r="W209" s="293" t="str">
        <f t="shared" si="33"/>
        <v/>
      </c>
      <c r="X209" s="293" t="str">
        <f t="shared" si="34"/>
        <v/>
      </c>
      <c r="Y209" s="293" t="str">
        <f t="shared" si="35"/>
        <v/>
      </c>
      <c r="Z209" s="323" t="str">
        <f>IFERROR(IF(OR(E209="",R209=""),"",  IF(AND(Q209='G-7 WaterC'' Data'!$G$4,AA209="Yes"),"Alternative Compensation ✓", IF(AND(AA209="Pending", Q209='G-7 WaterC'' Data'!$G$4),"Bespoke compensation must be agreed ▲", IF((W209+X209)&gt;=R209, 0, R209-W209-X209)))),"Check Data ⚠")</f>
        <v/>
      </c>
      <c r="AA209" s="817"/>
      <c r="AB209" s="140"/>
      <c r="AC209" s="108"/>
      <c r="AD209" s="108"/>
      <c r="AE209" s="54" t="str">
        <f>IF(OR(Q209="",AA209="Yes"),"",IF(Q209='G-1 All Habitats'!$X$9,E209-U209-V209,"None"))</f>
        <v/>
      </c>
      <c r="AF209" s="55" t="str">
        <f>IF(Q209="","", IF(Q209='G-1 All Habitats'!$X$9, AE209*G209*I209*L209*N209*P209,"None"))</f>
        <v/>
      </c>
      <c r="AI209" s="30">
        <f t="shared" si="36"/>
        <v>0</v>
      </c>
      <c r="AJ209" s="111" t="str">
        <f t="shared" si="37"/>
        <v/>
      </c>
      <c r="AK209" s="111" t="str">
        <f t="shared" si="38"/>
        <v/>
      </c>
      <c r="AM209" s="111">
        <v>200</v>
      </c>
      <c r="AO209" s="111" t="str">
        <f t="array" ref="AO209">IFERROR(INDEX($AM$10:$AM$258, MATCH(0, IF(TRUE=$AJ$10:$AJ$258, COUNTIF($AO$9:$AO208, $AM$10:$AM$258), ""), 0)),"")</f>
        <v/>
      </c>
      <c r="AP209" s="111" t="str">
        <f t="array" ref="AP209">IFERROR(INDEX($AM$10:$AM$258, MATCH(0, IF(TRUE=$AK$10:$AK$258, COUNTIF($AP$9:$AP208, $AM$10:$AM$258), ""), 0)),"")</f>
        <v/>
      </c>
      <c r="AR209" s="30" t="str">
        <f>IFERROR(INDEX('G-7 WaterC'' Data'!$AZ$3:$AZ$7,MATCH(D209,'G-7 WaterC'' Data'!$AY$3:$AY$7,0)),"")</f>
        <v/>
      </c>
      <c r="AS209" s="30" t="str">
        <f>IFERROR(INDEX('G-7 WaterC'' Data'!AZ209:AZ213,MATCH(D209,'G-7 WaterC'' Data'!$AY$10:$AY$14,0)),"")</f>
        <v/>
      </c>
      <c r="AT209" s="903" t="str">
        <f>IF(AND(OR(AA209="Yes",AA209="Pending"),Q209='G-7 WaterC'' Data'!$G$4),R209-W209-X209,"")</f>
        <v/>
      </c>
      <c r="AU209" s="30" t="str">
        <f>IF(D209="","",VLOOKUP(D209,'G-7 WaterC'' Data'!B$4:M$8,12,FALSE))</f>
        <v/>
      </c>
      <c r="AV209" s="30" t="str">
        <f t="shared" si="30"/>
        <v/>
      </c>
      <c r="AX209" s="30" t="str">
        <f t="shared" si="39"/>
        <v>No</v>
      </c>
    </row>
    <row r="210" spans="3:50" x14ac:dyDescent="0.25">
      <c r="C210" s="101">
        <v>201</v>
      </c>
      <c r="D210" s="267"/>
      <c r="E210" s="119"/>
      <c r="F210" s="281" t="str">
        <f>IF(D210="","",VLOOKUP(D210,'G-7 WaterC'' Data'!$B$2:$G$8,2,FALSE))</f>
        <v/>
      </c>
      <c r="G210" s="282" t="str">
        <f>IFERROR(VLOOKUP(F210,'G-7 WaterC'' Data'!$C$4:$D$8,2,FALSE),"")</f>
        <v/>
      </c>
      <c r="H210" s="52"/>
      <c r="I210" s="282" t="str">
        <f>IFERROR(INDEX('G-7 WaterC'' Data'!$H$4:$L$8,MATCH(D210,'G-7 WaterC'' Data'!$B$4:$B$8,0),MATCH(H210,'G-7 WaterC'' Data'!$H$3:$L$3,0)),"")</f>
        <v/>
      </c>
      <c r="J210" s="793"/>
      <c r="K210" s="317" t="str">
        <f>IF(J210="","",IF(VLOOKUP(J210,'G-7 WaterC'' Data'!$AK$4:$AM$6,2,FALSE)=0,"Spatial Data Missing ⚠",VLOOKUP(J210,'G-7 WaterC'' Data'!$AK$4:$AM$6,2,FALSE)))</f>
        <v/>
      </c>
      <c r="L210" s="287" t="str">
        <f>IF(J210="","",IF(VLOOKUP(J210,'G-7 WaterC'' Data'!$AK$4:$AM$9,3,FALSE)=0,"Spatial Data Missing ⚠",VLOOKUP(J210,'G-7 WaterC'' Data'!$AK$4:$AM$6,3,FALSE)))</f>
        <v/>
      </c>
      <c r="M210" s="52"/>
      <c r="N210" s="282" t="str">
        <f>IF(M210="","",IF(AND(D210&lt;&gt;"Culvert",M210="N/A - Culvert"),"Not possible ▲",IF(AND(D210="Culvert",M210&lt;&gt;"N/A - Culvert"),"Not possible ▲",IF(VLOOKUP(M210,'G-7 WaterC'' Data'!$AA$4:$AB$7,2,FALSE)=0,"Spatial Data Missing ⚠",VLOOKUP(M210,'G-7 WaterC'' Data'!$AA$4:$AB$7,2,FALSE)))))</f>
        <v/>
      </c>
      <c r="O210" s="56"/>
      <c r="P210" s="282" t="str">
        <f>IF(O210="","",IF(AND(O210="N/A - Culvert", D210&lt;&gt;"Culvert"),"Not possible ▲", IF(AND(D210="Culvert",O210&lt;&gt;"N/A - Culvert"),"Not possible ▲",IF(VLOOKUP(O210,'G-7 WaterC'' Data'!$AD$4:$AE$14,2,FALSE)=0,"Spatial Data Missing ⚠",VLOOKUP(O210,'G-7 WaterC'' Data'!$AD$4:$AE$14,2,FALSE)))))</f>
        <v/>
      </c>
      <c r="Q210" s="288" t="str">
        <f>IF(D210="","",VLOOKUP(D210,'G-7 WaterC'' Data'!$B$2:$G$8,6,FALSE))</f>
        <v/>
      </c>
      <c r="R210" s="295" t="str">
        <f t="shared" si="31"/>
        <v xml:space="preserve"> </v>
      </c>
      <c r="S210" s="820" t="str">
        <f t="shared" si="32"/>
        <v/>
      </c>
      <c r="T210" s="32"/>
      <c r="U210" s="105"/>
      <c r="V210" s="112"/>
      <c r="W210" s="293" t="str">
        <f t="shared" si="33"/>
        <v/>
      </c>
      <c r="X210" s="293" t="str">
        <f t="shared" si="34"/>
        <v/>
      </c>
      <c r="Y210" s="293" t="str">
        <f t="shared" si="35"/>
        <v/>
      </c>
      <c r="Z210" s="323" t="str">
        <f>IFERROR(IF(OR(E210="",R210=""),"",  IF(AND(Q210='G-7 WaterC'' Data'!$G$4,AA210="Yes"),"Alternative Compensation ✓", IF(AND(AA210="Pending", Q210='G-7 WaterC'' Data'!$G$4),"Bespoke compensation must be agreed ▲", IF((W210+X210)&gt;=R210, 0, R210-W210-X210)))),"Check Data ⚠")</f>
        <v/>
      </c>
      <c r="AA210" s="817"/>
      <c r="AB210" s="140"/>
      <c r="AC210" s="108"/>
      <c r="AD210" s="108"/>
      <c r="AE210" s="54" t="str">
        <f>IF(OR(Q210="",AA210="Yes"),"",IF(Q210='G-1 All Habitats'!$X$9,E210-U210-V210,"None"))</f>
        <v/>
      </c>
      <c r="AF210" s="55" t="str">
        <f>IF(Q210="","", IF(Q210='G-1 All Habitats'!$X$9, AE210*G210*I210*L210*N210*P210,"None"))</f>
        <v/>
      </c>
      <c r="AI210" s="30">
        <f t="shared" si="36"/>
        <v>0</v>
      </c>
      <c r="AJ210" s="111" t="str">
        <f t="shared" si="37"/>
        <v/>
      </c>
      <c r="AK210" s="111" t="str">
        <f t="shared" si="38"/>
        <v/>
      </c>
      <c r="AM210" s="111">
        <v>201</v>
      </c>
      <c r="AO210" s="111" t="str">
        <f t="array" ref="AO210">IFERROR(INDEX($AM$10:$AM$258, MATCH(0, IF(TRUE=$AJ$10:$AJ$258, COUNTIF($AO$9:$AO209, $AM$10:$AM$258), ""), 0)),"")</f>
        <v/>
      </c>
      <c r="AP210" s="111" t="str">
        <f t="array" ref="AP210">IFERROR(INDEX($AM$10:$AM$258, MATCH(0, IF(TRUE=$AK$10:$AK$258, COUNTIF($AP$9:$AP209, $AM$10:$AM$258), ""), 0)),"")</f>
        <v/>
      </c>
      <c r="AR210" s="30" t="str">
        <f>IFERROR(INDEX('G-7 WaterC'' Data'!$AZ$3:$AZ$7,MATCH(D210,'G-7 WaterC'' Data'!$AY$3:$AY$7,0)),"")</f>
        <v/>
      </c>
      <c r="AS210" s="30" t="str">
        <f>IFERROR(INDEX('G-7 WaterC'' Data'!AZ210:AZ214,MATCH(D210,'G-7 WaterC'' Data'!$AY$10:$AY$14,0)),"")</f>
        <v/>
      </c>
      <c r="AT210" s="903" t="str">
        <f>IF(AND(OR(AA210="Yes",AA210="Pending"),Q210='G-7 WaterC'' Data'!$G$4),R210-W210-X210,"")</f>
        <v/>
      </c>
      <c r="AU210" s="30" t="str">
        <f>IF(D210="","",VLOOKUP(D210,'G-7 WaterC'' Data'!B$4:M$8,12,FALSE))</f>
        <v/>
      </c>
      <c r="AV210" s="30" t="str">
        <f t="shared" si="30"/>
        <v/>
      </c>
      <c r="AX210" s="30" t="str">
        <f t="shared" si="39"/>
        <v>No</v>
      </c>
    </row>
    <row r="211" spans="3:50" x14ac:dyDescent="0.25">
      <c r="C211" s="101">
        <v>202</v>
      </c>
      <c r="D211" s="267"/>
      <c r="E211" s="119"/>
      <c r="F211" s="281" t="str">
        <f>IF(D211="","",VLOOKUP(D211,'G-7 WaterC'' Data'!$B$2:$G$8,2,FALSE))</f>
        <v/>
      </c>
      <c r="G211" s="282" t="str">
        <f>IFERROR(VLOOKUP(F211,'G-7 WaterC'' Data'!$C$4:$D$8,2,FALSE),"")</f>
        <v/>
      </c>
      <c r="H211" s="52"/>
      <c r="I211" s="282" t="str">
        <f>IFERROR(INDEX('G-7 WaterC'' Data'!$H$4:$L$8,MATCH(D211,'G-7 WaterC'' Data'!$B$4:$B$8,0),MATCH(H211,'G-7 WaterC'' Data'!$H$3:$L$3,0)),"")</f>
        <v/>
      </c>
      <c r="J211" s="793"/>
      <c r="K211" s="317" t="str">
        <f>IF(J211="","",IF(VLOOKUP(J211,'G-7 WaterC'' Data'!$AK$4:$AM$6,2,FALSE)=0,"Spatial Data Missing ⚠",VLOOKUP(J211,'G-7 WaterC'' Data'!$AK$4:$AM$6,2,FALSE)))</f>
        <v/>
      </c>
      <c r="L211" s="287" t="str">
        <f>IF(J211="","",IF(VLOOKUP(J211,'G-7 WaterC'' Data'!$AK$4:$AM$9,3,FALSE)=0,"Spatial Data Missing ⚠",VLOOKUP(J211,'G-7 WaterC'' Data'!$AK$4:$AM$6,3,FALSE)))</f>
        <v/>
      </c>
      <c r="M211" s="52"/>
      <c r="N211" s="282" t="str">
        <f>IF(M211="","",IF(AND(D211&lt;&gt;"Culvert",M211="N/A - Culvert"),"Not possible ▲",IF(AND(D211="Culvert",M211&lt;&gt;"N/A - Culvert"),"Not possible ▲",IF(VLOOKUP(M211,'G-7 WaterC'' Data'!$AA$4:$AB$7,2,FALSE)=0,"Spatial Data Missing ⚠",VLOOKUP(M211,'G-7 WaterC'' Data'!$AA$4:$AB$7,2,FALSE)))))</f>
        <v/>
      </c>
      <c r="O211" s="56"/>
      <c r="P211" s="282" t="str">
        <f>IF(O211="","",IF(AND(O211="N/A - Culvert", D211&lt;&gt;"Culvert"),"Not possible ▲", IF(AND(D211="Culvert",O211&lt;&gt;"N/A - Culvert"),"Not possible ▲",IF(VLOOKUP(O211,'G-7 WaterC'' Data'!$AD$4:$AE$14,2,FALSE)=0,"Spatial Data Missing ⚠",VLOOKUP(O211,'G-7 WaterC'' Data'!$AD$4:$AE$14,2,FALSE)))))</f>
        <v/>
      </c>
      <c r="Q211" s="288" t="str">
        <f>IF(D211="","",VLOOKUP(D211,'G-7 WaterC'' Data'!$B$2:$G$8,6,FALSE))</f>
        <v/>
      </c>
      <c r="R211" s="295" t="str">
        <f t="shared" si="31"/>
        <v xml:space="preserve"> </v>
      </c>
      <c r="S211" s="820" t="str">
        <f t="shared" si="32"/>
        <v/>
      </c>
      <c r="T211" s="32"/>
      <c r="U211" s="105"/>
      <c r="V211" s="112"/>
      <c r="W211" s="293" t="str">
        <f t="shared" si="33"/>
        <v/>
      </c>
      <c r="X211" s="293" t="str">
        <f t="shared" si="34"/>
        <v/>
      </c>
      <c r="Y211" s="293" t="str">
        <f t="shared" si="35"/>
        <v/>
      </c>
      <c r="Z211" s="323" t="str">
        <f>IFERROR(IF(OR(E211="",R211=""),"",  IF(AND(Q211='G-7 WaterC'' Data'!$G$4,AA211="Yes"),"Alternative Compensation ✓", IF(AND(AA211="Pending", Q211='G-7 WaterC'' Data'!$G$4),"Bespoke compensation must be agreed ▲", IF((W211+X211)&gt;=R211, 0, R211-W211-X211)))),"Check Data ⚠")</f>
        <v/>
      </c>
      <c r="AA211" s="817"/>
      <c r="AB211" s="140"/>
      <c r="AC211" s="108"/>
      <c r="AD211" s="108"/>
      <c r="AE211" s="54" t="str">
        <f>IF(OR(Q211="",AA211="Yes"),"",IF(Q211='G-1 All Habitats'!$X$9,E211-U211-V211,"None"))</f>
        <v/>
      </c>
      <c r="AF211" s="55" t="str">
        <f>IF(Q211="","", IF(Q211='G-1 All Habitats'!$X$9, AE211*G211*I211*L211*N211*P211,"None"))</f>
        <v/>
      </c>
      <c r="AI211" s="30">
        <f t="shared" si="36"/>
        <v>0</v>
      </c>
      <c r="AJ211" s="111" t="str">
        <f t="shared" si="37"/>
        <v/>
      </c>
      <c r="AK211" s="111" t="str">
        <f t="shared" si="38"/>
        <v/>
      </c>
      <c r="AM211" s="111">
        <v>202</v>
      </c>
      <c r="AO211" s="111" t="str">
        <f t="array" ref="AO211">IFERROR(INDEX($AM$10:$AM$258, MATCH(0, IF(TRUE=$AJ$10:$AJ$258, COUNTIF($AO$9:$AO210, $AM$10:$AM$258), ""), 0)),"")</f>
        <v/>
      </c>
      <c r="AP211" s="111" t="str">
        <f t="array" ref="AP211">IFERROR(INDEX($AM$10:$AM$258, MATCH(0, IF(TRUE=$AK$10:$AK$258, COUNTIF($AP$9:$AP210, $AM$10:$AM$258), ""), 0)),"")</f>
        <v/>
      </c>
      <c r="AR211" s="30" t="str">
        <f>IFERROR(INDEX('G-7 WaterC'' Data'!$AZ$3:$AZ$7,MATCH(D211,'G-7 WaterC'' Data'!$AY$3:$AY$7,0)),"")</f>
        <v/>
      </c>
      <c r="AS211" s="30" t="str">
        <f>IFERROR(INDEX('G-7 WaterC'' Data'!AZ211:AZ215,MATCH(D211,'G-7 WaterC'' Data'!$AY$10:$AY$14,0)),"")</f>
        <v/>
      </c>
      <c r="AT211" s="903" t="str">
        <f>IF(AND(OR(AA211="Yes",AA211="Pending"),Q211='G-7 WaterC'' Data'!$G$4),R211-W211-X211,"")</f>
        <v/>
      </c>
      <c r="AU211" s="30" t="str">
        <f>IF(D211="","",VLOOKUP(D211,'G-7 WaterC'' Data'!B$4:M$8,12,FALSE))</f>
        <v/>
      </c>
      <c r="AV211" s="30" t="str">
        <f t="shared" si="30"/>
        <v/>
      </c>
      <c r="AX211" s="30" t="str">
        <f t="shared" si="39"/>
        <v>No</v>
      </c>
    </row>
    <row r="212" spans="3:50" x14ac:dyDescent="0.25">
      <c r="C212" s="101">
        <v>203</v>
      </c>
      <c r="D212" s="267"/>
      <c r="E212" s="119"/>
      <c r="F212" s="281" t="str">
        <f>IF(D212="","",VLOOKUP(D212,'G-7 WaterC'' Data'!$B$2:$G$8,2,FALSE))</f>
        <v/>
      </c>
      <c r="G212" s="282" t="str">
        <f>IFERROR(VLOOKUP(F212,'G-7 WaterC'' Data'!$C$4:$D$8,2,FALSE),"")</f>
        <v/>
      </c>
      <c r="H212" s="52"/>
      <c r="I212" s="282" t="str">
        <f>IFERROR(INDEX('G-7 WaterC'' Data'!$H$4:$L$8,MATCH(D212,'G-7 WaterC'' Data'!$B$4:$B$8,0),MATCH(H212,'G-7 WaterC'' Data'!$H$3:$L$3,0)),"")</f>
        <v/>
      </c>
      <c r="J212" s="793"/>
      <c r="K212" s="317" t="str">
        <f>IF(J212="","",IF(VLOOKUP(J212,'G-7 WaterC'' Data'!$AK$4:$AM$6,2,FALSE)=0,"Spatial Data Missing ⚠",VLOOKUP(J212,'G-7 WaterC'' Data'!$AK$4:$AM$6,2,FALSE)))</f>
        <v/>
      </c>
      <c r="L212" s="287" t="str">
        <f>IF(J212="","",IF(VLOOKUP(J212,'G-7 WaterC'' Data'!$AK$4:$AM$9,3,FALSE)=0,"Spatial Data Missing ⚠",VLOOKUP(J212,'G-7 WaterC'' Data'!$AK$4:$AM$6,3,FALSE)))</f>
        <v/>
      </c>
      <c r="M212" s="52"/>
      <c r="N212" s="282" t="str">
        <f>IF(M212="","",IF(AND(D212&lt;&gt;"Culvert",M212="N/A - Culvert"),"Not possible ▲",IF(AND(D212="Culvert",M212&lt;&gt;"N/A - Culvert"),"Not possible ▲",IF(VLOOKUP(M212,'G-7 WaterC'' Data'!$AA$4:$AB$7,2,FALSE)=0,"Spatial Data Missing ⚠",VLOOKUP(M212,'G-7 WaterC'' Data'!$AA$4:$AB$7,2,FALSE)))))</f>
        <v/>
      </c>
      <c r="O212" s="56"/>
      <c r="P212" s="282" t="str">
        <f>IF(O212="","",IF(AND(O212="N/A - Culvert", D212&lt;&gt;"Culvert"),"Not possible ▲", IF(AND(D212="Culvert",O212&lt;&gt;"N/A - Culvert"),"Not possible ▲",IF(VLOOKUP(O212,'G-7 WaterC'' Data'!$AD$4:$AE$14,2,FALSE)=0,"Spatial Data Missing ⚠",VLOOKUP(O212,'G-7 WaterC'' Data'!$AD$4:$AE$14,2,FALSE)))))</f>
        <v/>
      </c>
      <c r="Q212" s="288" t="str">
        <f>IF(D212="","",VLOOKUP(D212,'G-7 WaterC'' Data'!$B$2:$G$8,6,FALSE))</f>
        <v/>
      </c>
      <c r="R212" s="295" t="str">
        <f t="shared" si="31"/>
        <v xml:space="preserve"> </v>
      </c>
      <c r="S212" s="820" t="str">
        <f t="shared" si="32"/>
        <v/>
      </c>
      <c r="T212" s="32"/>
      <c r="U212" s="105"/>
      <c r="V212" s="112"/>
      <c r="W212" s="293" t="str">
        <f t="shared" si="33"/>
        <v/>
      </c>
      <c r="X212" s="293" t="str">
        <f t="shared" si="34"/>
        <v/>
      </c>
      <c r="Y212" s="293" t="str">
        <f t="shared" si="35"/>
        <v/>
      </c>
      <c r="Z212" s="323" t="str">
        <f>IFERROR(IF(OR(E212="",R212=""),"",  IF(AND(Q212='G-7 WaterC'' Data'!$G$4,AA212="Yes"),"Alternative Compensation ✓", IF(AND(AA212="Pending", Q212='G-7 WaterC'' Data'!$G$4),"Bespoke compensation must be agreed ▲", IF((W212+X212)&gt;=R212, 0, R212-W212-X212)))),"Check Data ⚠")</f>
        <v/>
      </c>
      <c r="AA212" s="817"/>
      <c r="AB212" s="140"/>
      <c r="AC212" s="108"/>
      <c r="AD212" s="108"/>
      <c r="AE212" s="54" t="str">
        <f>IF(OR(Q212="",AA212="Yes"),"",IF(Q212='G-1 All Habitats'!$X$9,E212-U212-V212,"None"))</f>
        <v/>
      </c>
      <c r="AF212" s="55" t="str">
        <f>IF(Q212="","", IF(Q212='G-1 All Habitats'!$X$9, AE212*G212*I212*L212*N212*P212,"None"))</f>
        <v/>
      </c>
      <c r="AI212" s="30">
        <f t="shared" si="36"/>
        <v>0</v>
      </c>
      <c r="AJ212" s="111" t="str">
        <f t="shared" si="37"/>
        <v/>
      </c>
      <c r="AK212" s="111" t="str">
        <f t="shared" si="38"/>
        <v/>
      </c>
      <c r="AM212" s="111">
        <v>203</v>
      </c>
      <c r="AO212" s="111" t="str">
        <f t="array" ref="AO212">IFERROR(INDEX($AM$10:$AM$258, MATCH(0, IF(TRUE=$AJ$10:$AJ$258, COUNTIF($AO$9:$AO211, $AM$10:$AM$258), ""), 0)),"")</f>
        <v/>
      </c>
      <c r="AP212" s="111" t="str">
        <f t="array" ref="AP212">IFERROR(INDEX($AM$10:$AM$258, MATCH(0, IF(TRUE=$AK$10:$AK$258, COUNTIF($AP$9:$AP211, $AM$10:$AM$258), ""), 0)),"")</f>
        <v/>
      </c>
      <c r="AR212" s="30" t="str">
        <f>IFERROR(INDEX('G-7 WaterC'' Data'!$AZ$3:$AZ$7,MATCH(D212,'G-7 WaterC'' Data'!$AY$3:$AY$7,0)),"")</f>
        <v/>
      </c>
      <c r="AS212" s="30" t="str">
        <f>IFERROR(INDEX('G-7 WaterC'' Data'!AZ212:AZ216,MATCH(D212,'G-7 WaterC'' Data'!$AY$10:$AY$14,0)),"")</f>
        <v/>
      </c>
      <c r="AT212" s="903" t="str">
        <f>IF(AND(OR(AA212="Yes",AA212="Pending"),Q212='G-7 WaterC'' Data'!$G$4),R212-W212-X212,"")</f>
        <v/>
      </c>
      <c r="AU212" s="30" t="str">
        <f>IF(D212="","",VLOOKUP(D212,'G-7 WaterC'' Data'!B$4:M$8,12,FALSE))</f>
        <v/>
      </c>
      <c r="AV212" s="30" t="str">
        <f t="shared" si="30"/>
        <v/>
      </c>
      <c r="AX212" s="30" t="str">
        <f t="shared" si="39"/>
        <v>No</v>
      </c>
    </row>
    <row r="213" spans="3:50" x14ac:dyDescent="0.25">
      <c r="C213" s="101">
        <v>204</v>
      </c>
      <c r="D213" s="267"/>
      <c r="E213" s="119"/>
      <c r="F213" s="281" t="str">
        <f>IF(D213="","",VLOOKUP(D213,'G-7 WaterC'' Data'!$B$2:$G$8,2,FALSE))</f>
        <v/>
      </c>
      <c r="G213" s="282" t="str">
        <f>IFERROR(VLOOKUP(F213,'G-7 WaterC'' Data'!$C$4:$D$8,2,FALSE),"")</f>
        <v/>
      </c>
      <c r="H213" s="52"/>
      <c r="I213" s="282" t="str">
        <f>IFERROR(INDEX('G-7 WaterC'' Data'!$H$4:$L$8,MATCH(D213,'G-7 WaterC'' Data'!$B$4:$B$8,0),MATCH(H213,'G-7 WaterC'' Data'!$H$3:$L$3,0)),"")</f>
        <v/>
      </c>
      <c r="J213" s="793"/>
      <c r="K213" s="317" t="str">
        <f>IF(J213="","",IF(VLOOKUP(J213,'G-7 WaterC'' Data'!$AK$4:$AM$6,2,FALSE)=0,"Spatial Data Missing ⚠",VLOOKUP(J213,'G-7 WaterC'' Data'!$AK$4:$AM$6,2,FALSE)))</f>
        <v/>
      </c>
      <c r="L213" s="287" t="str">
        <f>IF(J213="","",IF(VLOOKUP(J213,'G-7 WaterC'' Data'!$AK$4:$AM$9,3,FALSE)=0,"Spatial Data Missing ⚠",VLOOKUP(J213,'G-7 WaterC'' Data'!$AK$4:$AM$6,3,FALSE)))</f>
        <v/>
      </c>
      <c r="M213" s="52"/>
      <c r="N213" s="282" t="str">
        <f>IF(M213="","",IF(AND(D213&lt;&gt;"Culvert",M213="N/A - Culvert"),"Not possible ▲",IF(AND(D213="Culvert",M213&lt;&gt;"N/A - Culvert"),"Not possible ▲",IF(VLOOKUP(M213,'G-7 WaterC'' Data'!$AA$4:$AB$7,2,FALSE)=0,"Spatial Data Missing ⚠",VLOOKUP(M213,'G-7 WaterC'' Data'!$AA$4:$AB$7,2,FALSE)))))</f>
        <v/>
      </c>
      <c r="O213" s="56"/>
      <c r="P213" s="282" t="str">
        <f>IF(O213="","",IF(AND(O213="N/A - Culvert", D213&lt;&gt;"Culvert"),"Not possible ▲", IF(AND(D213="Culvert",O213&lt;&gt;"N/A - Culvert"),"Not possible ▲",IF(VLOOKUP(O213,'G-7 WaterC'' Data'!$AD$4:$AE$14,2,FALSE)=0,"Spatial Data Missing ⚠",VLOOKUP(O213,'G-7 WaterC'' Data'!$AD$4:$AE$14,2,FALSE)))))</f>
        <v/>
      </c>
      <c r="Q213" s="288" t="str">
        <f>IF(D213="","",VLOOKUP(D213,'G-7 WaterC'' Data'!$B$2:$G$8,6,FALSE))</f>
        <v/>
      </c>
      <c r="R213" s="295" t="str">
        <f t="shared" si="31"/>
        <v xml:space="preserve"> </v>
      </c>
      <c r="S213" s="820" t="str">
        <f t="shared" si="32"/>
        <v/>
      </c>
      <c r="T213" s="32"/>
      <c r="U213" s="105"/>
      <c r="V213" s="112"/>
      <c r="W213" s="293" t="str">
        <f t="shared" si="33"/>
        <v/>
      </c>
      <c r="X213" s="293" t="str">
        <f t="shared" si="34"/>
        <v/>
      </c>
      <c r="Y213" s="293" t="str">
        <f t="shared" si="35"/>
        <v/>
      </c>
      <c r="Z213" s="323" t="str">
        <f>IFERROR(IF(OR(E213="",R213=""),"",  IF(AND(Q213='G-7 WaterC'' Data'!$G$4,AA213="Yes"),"Alternative Compensation ✓", IF(AND(AA213="Pending", Q213='G-7 WaterC'' Data'!$G$4),"Bespoke compensation must be agreed ▲", IF((W213+X213)&gt;=R213, 0, R213-W213-X213)))),"Check Data ⚠")</f>
        <v/>
      </c>
      <c r="AA213" s="817"/>
      <c r="AB213" s="140"/>
      <c r="AC213" s="108"/>
      <c r="AD213" s="108"/>
      <c r="AE213" s="54" t="str">
        <f>IF(OR(Q213="",AA213="Yes"),"",IF(Q213='G-1 All Habitats'!$X$9,E213-U213-V213,"None"))</f>
        <v/>
      </c>
      <c r="AF213" s="55" t="str">
        <f>IF(Q213="","", IF(Q213='G-1 All Habitats'!$X$9, AE213*G213*I213*L213*N213*P213,"None"))</f>
        <v/>
      </c>
      <c r="AI213" s="30">
        <f t="shared" si="36"/>
        <v>0</v>
      </c>
      <c r="AJ213" s="111" t="str">
        <f t="shared" si="37"/>
        <v/>
      </c>
      <c r="AK213" s="111" t="str">
        <f t="shared" si="38"/>
        <v/>
      </c>
      <c r="AM213" s="111">
        <v>204</v>
      </c>
      <c r="AO213" s="111" t="str">
        <f t="array" ref="AO213">IFERROR(INDEX($AM$10:$AM$258, MATCH(0, IF(TRUE=$AJ$10:$AJ$258, COUNTIF($AO$9:$AO212, $AM$10:$AM$258), ""), 0)),"")</f>
        <v/>
      </c>
      <c r="AP213" s="111" t="str">
        <f t="array" ref="AP213">IFERROR(INDEX($AM$10:$AM$258, MATCH(0, IF(TRUE=$AK$10:$AK$258, COUNTIF($AP$9:$AP212, $AM$10:$AM$258), ""), 0)),"")</f>
        <v/>
      </c>
      <c r="AR213" s="30" t="str">
        <f>IFERROR(INDEX('G-7 WaterC'' Data'!$AZ$3:$AZ$7,MATCH(D213,'G-7 WaterC'' Data'!$AY$3:$AY$7,0)),"")</f>
        <v/>
      </c>
      <c r="AS213" s="30" t="str">
        <f>IFERROR(INDEX('G-7 WaterC'' Data'!AZ213:AZ217,MATCH(D213,'G-7 WaterC'' Data'!$AY$10:$AY$14,0)),"")</f>
        <v/>
      </c>
      <c r="AT213" s="903" t="str">
        <f>IF(AND(OR(AA213="Yes",AA213="Pending"),Q213='G-7 WaterC'' Data'!$G$4),R213-W213-X213,"")</f>
        <v/>
      </c>
      <c r="AU213" s="30" t="str">
        <f>IF(D213="","",VLOOKUP(D213,'G-7 WaterC'' Data'!B$4:M$8,12,FALSE))</f>
        <v/>
      </c>
      <c r="AV213" s="30" t="str">
        <f t="shared" si="30"/>
        <v/>
      </c>
      <c r="AX213" s="30" t="str">
        <f t="shared" si="39"/>
        <v>No</v>
      </c>
    </row>
    <row r="214" spans="3:50" x14ac:dyDescent="0.25">
      <c r="C214" s="101">
        <v>205</v>
      </c>
      <c r="D214" s="267"/>
      <c r="E214" s="119"/>
      <c r="F214" s="281" t="str">
        <f>IF(D214="","",VLOOKUP(D214,'G-7 WaterC'' Data'!$B$2:$G$8,2,FALSE))</f>
        <v/>
      </c>
      <c r="G214" s="282" t="str">
        <f>IFERROR(VLOOKUP(F214,'G-7 WaterC'' Data'!$C$4:$D$8,2,FALSE),"")</f>
        <v/>
      </c>
      <c r="H214" s="52"/>
      <c r="I214" s="282" t="str">
        <f>IFERROR(INDEX('G-7 WaterC'' Data'!$H$4:$L$8,MATCH(D214,'G-7 WaterC'' Data'!$B$4:$B$8,0),MATCH(H214,'G-7 WaterC'' Data'!$H$3:$L$3,0)),"")</f>
        <v/>
      </c>
      <c r="J214" s="793"/>
      <c r="K214" s="317" t="str">
        <f>IF(J214="","",IF(VLOOKUP(J214,'G-7 WaterC'' Data'!$AK$4:$AM$6,2,FALSE)=0,"Spatial Data Missing ⚠",VLOOKUP(J214,'G-7 WaterC'' Data'!$AK$4:$AM$6,2,FALSE)))</f>
        <v/>
      </c>
      <c r="L214" s="287" t="str">
        <f>IF(J214="","",IF(VLOOKUP(J214,'G-7 WaterC'' Data'!$AK$4:$AM$9,3,FALSE)=0,"Spatial Data Missing ⚠",VLOOKUP(J214,'G-7 WaterC'' Data'!$AK$4:$AM$6,3,FALSE)))</f>
        <v/>
      </c>
      <c r="M214" s="52"/>
      <c r="N214" s="282" t="str">
        <f>IF(M214="","",IF(AND(D214&lt;&gt;"Culvert",M214="N/A - Culvert"),"Not possible ▲",IF(AND(D214="Culvert",M214&lt;&gt;"N/A - Culvert"),"Not possible ▲",IF(VLOOKUP(M214,'G-7 WaterC'' Data'!$AA$4:$AB$7,2,FALSE)=0,"Spatial Data Missing ⚠",VLOOKUP(M214,'G-7 WaterC'' Data'!$AA$4:$AB$7,2,FALSE)))))</f>
        <v/>
      </c>
      <c r="O214" s="56"/>
      <c r="P214" s="282" t="str">
        <f>IF(O214="","",IF(AND(O214="N/A - Culvert", D214&lt;&gt;"Culvert"),"Not possible ▲", IF(AND(D214="Culvert",O214&lt;&gt;"N/A - Culvert"),"Not possible ▲",IF(VLOOKUP(O214,'G-7 WaterC'' Data'!$AD$4:$AE$14,2,FALSE)=0,"Spatial Data Missing ⚠",VLOOKUP(O214,'G-7 WaterC'' Data'!$AD$4:$AE$14,2,FALSE)))))</f>
        <v/>
      </c>
      <c r="Q214" s="288" t="str">
        <f>IF(D214="","",VLOOKUP(D214,'G-7 WaterC'' Data'!$B$2:$G$8,6,FALSE))</f>
        <v/>
      </c>
      <c r="R214" s="295" t="str">
        <f t="shared" si="31"/>
        <v xml:space="preserve"> </v>
      </c>
      <c r="S214" s="820" t="str">
        <f t="shared" si="32"/>
        <v/>
      </c>
      <c r="T214" s="32"/>
      <c r="U214" s="105"/>
      <c r="V214" s="112"/>
      <c r="W214" s="293" t="str">
        <f t="shared" si="33"/>
        <v/>
      </c>
      <c r="X214" s="293" t="str">
        <f t="shared" si="34"/>
        <v/>
      </c>
      <c r="Y214" s="293" t="str">
        <f t="shared" si="35"/>
        <v/>
      </c>
      <c r="Z214" s="323" t="str">
        <f>IFERROR(IF(OR(E214="",R214=""),"",  IF(AND(Q214='G-7 WaterC'' Data'!$G$4,AA214="Yes"),"Alternative Compensation ✓", IF(AND(AA214="Pending", Q214='G-7 WaterC'' Data'!$G$4),"Bespoke compensation must be agreed ▲", IF((W214+X214)&gt;=R214, 0, R214-W214-X214)))),"Check Data ⚠")</f>
        <v/>
      </c>
      <c r="AA214" s="817"/>
      <c r="AB214" s="140"/>
      <c r="AC214" s="108"/>
      <c r="AD214" s="108"/>
      <c r="AE214" s="54" t="str">
        <f>IF(OR(Q214="",AA214="Yes"),"",IF(Q214='G-1 All Habitats'!$X$9,E214-U214-V214,"None"))</f>
        <v/>
      </c>
      <c r="AF214" s="55" t="str">
        <f>IF(Q214="","", IF(Q214='G-1 All Habitats'!$X$9, AE214*G214*I214*L214*N214*P214,"None"))</f>
        <v/>
      </c>
      <c r="AI214" s="30">
        <f t="shared" si="36"/>
        <v>0</v>
      </c>
      <c r="AJ214" s="111" t="str">
        <f t="shared" si="37"/>
        <v/>
      </c>
      <c r="AK214" s="111" t="str">
        <f t="shared" si="38"/>
        <v/>
      </c>
      <c r="AM214" s="111">
        <v>205</v>
      </c>
      <c r="AO214" s="111" t="str">
        <f t="array" ref="AO214">IFERROR(INDEX($AM$10:$AM$258, MATCH(0, IF(TRUE=$AJ$10:$AJ$258, COUNTIF($AO$9:$AO213, $AM$10:$AM$258), ""), 0)),"")</f>
        <v/>
      </c>
      <c r="AP214" s="111" t="str">
        <f t="array" ref="AP214">IFERROR(INDEX($AM$10:$AM$258, MATCH(0, IF(TRUE=$AK$10:$AK$258, COUNTIF($AP$9:$AP213, $AM$10:$AM$258), ""), 0)),"")</f>
        <v/>
      </c>
      <c r="AR214" s="30" t="str">
        <f>IFERROR(INDEX('G-7 WaterC'' Data'!$AZ$3:$AZ$7,MATCH(D214,'G-7 WaterC'' Data'!$AY$3:$AY$7,0)),"")</f>
        <v/>
      </c>
      <c r="AS214" s="30" t="str">
        <f>IFERROR(INDEX('G-7 WaterC'' Data'!AZ214:AZ218,MATCH(D214,'G-7 WaterC'' Data'!$AY$10:$AY$14,0)),"")</f>
        <v/>
      </c>
      <c r="AT214" s="903" t="str">
        <f>IF(AND(OR(AA214="Yes",AA214="Pending"),Q214='G-7 WaterC'' Data'!$G$4),R214-W214-X214,"")</f>
        <v/>
      </c>
      <c r="AU214" s="30" t="str">
        <f>IF(D214="","",VLOOKUP(D214,'G-7 WaterC'' Data'!B$4:M$8,12,FALSE))</f>
        <v/>
      </c>
      <c r="AV214" s="30" t="str">
        <f t="shared" si="30"/>
        <v/>
      </c>
      <c r="AX214" s="30" t="str">
        <f t="shared" si="39"/>
        <v>No</v>
      </c>
    </row>
    <row r="215" spans="3:50" x14ac:dyDescent="0.25">
      <c r="C215" s="101">
        <v>206</v>
      </c>
      <c r="D215" s="267"/>
      <c r="E215" s="119"/>
      <c r="F215" s="281" t="str">
        <f>IF(D215="","",VLOOKUP(D215,'G-7 WaterC'' Data'!$B$2:$G$8,2,FALSE))</f>
        <v/>
      </c>
      <c r="G215" s="282" t="str">
        <f>IFERROR(VLOOKUP(F215,'G-7 WaterC'' Data'!$C$4:$D$8,2,FALSE),"")</f>
        <v/>
      </c>
      <c r="H215" s="52"/>
      <c r="I215" s="282" t="str">
        <f>IFERROR(INDEX('G-7 WaterC'' Data'!$H$4:$L$8,MATCH(D215,'G-7 WaterC'' Data'!$B$4:$B$8,0),MATCH(H215,'G-7 WaterC'' Data'!$H$3:$L$3,0)),"")</f>
        <v/>
      </c>
      <c r="J215" s="793"/>
      <c r="K215" s="317" t="str">
        <f>IF(J215="","",IF(VLOOKUP(J215,'G-7 WaterC'' Data'!$AK$4:$AM$6,2,FALSE)=0,"Spatial Data Missing ⚠",VLOOKUP(J215,'G-7 WaterC'' Data'!$AK$4:$AM$6,2,FALSE)))</f>
        <v/>
      </c>
      <c r="L215" s="287" t="str">
        <f>IF(J215="","",IF(VLOOKUP(J215,'G-7 WaterC'' Data'!$AK$4:$AM$9,3,FALSE)=0,"Spatial Data Missing ⚠",VLOOKUP(J215,'G-7 WaterC'' Data'!$AK$4:$AM$6,3,FALSE)))</f>
        <v/>
      </c>
      <c r="M215" s="52"/>
      <c r="N215" s="282" t="str">
        <f>IF(M215="","",IF(AND(D215&lt;&gt;"Culvert",M215="N/A - Culvert"),"Not possible ▲",IF(AND(D215="Culvert",M215&lt;&gt;"N/A - Culvert"),"Not possible ▲",IF(VLOOKUP(M215,'G-7 WaterC'' Data'!$AA$4:$AB$7,2,FALSE)=0,"Spatial Data Missing ⚠",VLOOKUP(M215,'G-7 WaterC'' Data'!$AA$4:$AB$7,2,FALSE)))))</f>
        <v/>
      </c>
      <c r="O215" s="56"/>
      <c r="P215" s="282" t="str">
        <f>IF(O215="","",IF(AND(O215="N/A - Culvert", D215&lt;&gt;"Culvert"),"Not possible ▲", IF(AND(D215="Culvert",O215&lt;&gt;"N/A - Culvert"),"Not possible ▲",IF(VLOOKUP(O215,'G-7 WaterC'' Data'!$AD$4:$AE$14,2,FALSE)=0,"Spatial Data Missing ⚠",VLOOKUP(O215,'G-7 WaterC'' Data'!$AD$4:$AE$14,2,FALSE)))))</f>
        <v/>
      </c>
      <c r="Q215" s="288" t="str">
        <f>IF(D215="","",VLOOKUP(D215,'G-7 WaterC'' Data'!$B$2:$G$8,6,FALSE))</f>
        <v/>
      </c>
      <c r="R215" s="295" t="str">
        <f t="shared" si="31"/>
        <v xml:space="preserve"> </v>
      </c>
      <c r="S215" s="820" t="str">
        <f t="shared" si="32"/>
        <v/>
      </c>
      <c r="T215" s="32"/>
      <c r="U215" s="105"/>
      <c r="V215" s="112"/>
      <c r="W215" s="293" t="str">
        <f t="shared" si="33"/>
        <v/>
      </c>
      <c r="X215" s="293" t="str">
        <f t="shared" si="34"/>
        <v/>
      </c>
      <c r="Y215" s="293" t="str">
        <f t="shared" si="35"/>
        <v/>
      </c>
      <c r="Z215" s="323" t="str">
        <f>IFERROR(IF(OR(E215="",R215=""),"",  IF(AND(Q215='G-7 WaterC'' Data'!$G$4,AA215="Yes"),"Alternative Compensation ✓", IF(AND(AA215="Pending", Q215='G-7 WaterC'' Data'!$G$4),"Bespoke compensation must be agreed ▲", IF((W215+X215)&gt;=R215, 0, R215-W215-X215)))),"Check Data ⚠")</f>
        <v/>
      </c>
      <c r="AA215" s="817"/>
      <c r="AB215" s="140"/>
      <c r="AC215" s="108"/>
      <c r="AD215" s="108"/>
      <c r="AE215" s="54" t="str">
        <f>IF(OR(Q215="",AA215="Yes"),"",IF(Q215='G-1 All Habitats'!$X$9,E215-U215-V215,"None"))</f>
        <v/>
      </c>
      <c r="AF215" s="55" t="str">
        <f>IF(Q215="","", IF(Q215='G-1 All Habitats'!$X$9, AE215*G215*I215*L215*N215*P215,"None"))</f>
        <v/>
      </c>
      <c r="AI215" s="30">
        <f t="shared" si="36"/>
        <v>0</v>
      </c>
      <c r="AJ215" s="111" t="str">
        <f t="shared" si="37"/>
        <v/>
      </c>
      <c r="AK215" s="111" t="str">
        <f t="shared" si="38"/>
        <v/>
      </c>
      <c r="AM215" s="111">
        <v>206</v>
      </c>
      <c r="AO215" s="111" t="str">
        <f t="array" ref="AO215">IFERROR(INDEX($AM$10:$AM$258, MATCH(0, IF(TRUE=$AJ$10:$AJ$258, COUNTIF($AO$9:$AO214, $AM$10:$AM$258), ""), 0)),"")</f>
        <v/>
      </c>
      <c r="AP215" s="111" t="str">
        <f t="array" ref="AP215">IFERROR(INDEX($AM$10:$AM$258, MATCH(0, IF(TRUE=$AK$10:$AK$258, COUNTIF($AP$9:$AP214, $AM$10:$AM$258), ""), 0)),"")</f>
        <v/>
      </c>
      <c r="AR215" s="30" t="str">
        <f>IFERROR(INDEX('G-7 WaterC'' Data'!$AZ$3:$AZ$7,MATCH(D215,'G-7 WaterC'' Data'!$AY$3:$AY$7,0)),"")</f>
        <v/>
      </c>
      <c r="AS215" s="30" t="str">
        <f>IFERROR(INDEX('G-7 WaterC'' Data'!AZ215:AZ219,MATCH(D215,'G-7 WaterC'' Data'!$AY$10:$AY$14,0)),"")</f>
        <v/>
      </c>
      <c r="AT215" s="903" t="str">
        <f>IF(AND(OR(AA215="Yes",AA215="Pending"),Q215='G-7 WaterC'' Data'!$G$4),R215-W215-X215,"")</f>
        <v/>
      </c>
      <c r="AU215" s="30" t="str">
        <f>IF(D215="","",VLOOKUP(D215,'G-7 WaterC'' Data'!B$4:M$8,12,FALSE))</f>
        <v/>
      </c>
      <c r="AV215" s="30" t="str">
        <f t="shared" si="30"/>
        <v/>
      </c>
      <c r="AX215" s="30" t="str">
        <f t="shared" si="39"/>
        <v>No</v>
      </c>
    </row>
    <row r="216" spans="3:50" x14ac:dyDescent="0.25">
      <c r="C216" s="101">
        <v>207</v>
      </c>
      <c r="D216" s="267"/>
      <c r="E216" s="119"/>
      <c r="F216" s="281" t="str">
        <f>IF(D216="","",VLOOKUP(D216,'G-7 WaterC'' Data'!$B$2:$G$8,2,FALSE))</f>
        <v/>
      </c>
      <c r="G216" s="282" t="str">
        <f>IFERROR(VLOOKUP(F216,'G-7 WaterC'' Data'!$C$4:$D$8,2,FALSE),"")</f>
        <v/>
      </c>
      <c r="H216" s="52"/>
      <c r="I216" s="282" t="str">
        <f>IFERROR(INDEX('G-7 WaterC'' Data'!$H$4:$L$8,MATCH(D216,'G-7 WaterC'' Data'!$B$4:$B$8,0),MATCH(H216,'G-7 WaterC'' Data'!$H$3:$L$3,0)),"")</f>
        <v/>
      </c>
      <c r="J216" s="793"/>
      <c r="K216" s="317" t="str">
        <f>IF(J216="","",IF(VLOOKUP(J216,'G-7 WaterC'' Data'!$AK$4:$AM$6,2,FALSE)=0,"Spatial Data Missing ⚠",VLOOKUP(J216,'G-7 WaterC'' Data'!$AK$4:$AM$6,2,FALSE)))</f>
        <v/>
      </c>
      <c r="L216" s="287" t="str">
        <f>IF(J216="","",IF(VLOOKUP(J216,'G-7 WaterC'' Data'!$AK$4:$AM$9,3,FALSE)=0,"Spatial Data Missing ⚠",VLOOKUP(J216,'G-7 WaterC'' Data'!$AK$4:$AM$6,3,FALSE)))</f>
        <v/>
      </c>
      <c r="M216" s="52"/>
      <c r="N216" s="282" t="str">
        <f>IF(M216="","",IF(AND(D216&lt;&gt;"Culvert",M216="N/A - Culvert"),"Not possible ▲",IF(AND(D216="Culvert",M216&lt;&gt;"N/A - Culvert"),"Not possible ▲",IF(VLOOKUP(M216,'G-7 WaterC'' Data'!$AA$4:$AB$7,2,FALSE)=0,"Spatial Data Missing ⚠",VLOOKUP(M216,'G-7 WaterC'' Data'!$AA$4:$AB$7,2,FALSE)))))</f>
        <v/>
      </c>
      <c r="O216" s="56"/>
      <c r="P216" s="282" t="str">
        <f>IF(O216="","",IF(AND(O216="N/A - Culvert", D216&lt;&gt;"Culvert"),"Not possible ▲", IF(AND(D216="Culvert",O216&lt;&gt;"N/A - Culvert"),"Not possible ▲",IF(VLOOKUP(O216,'G-7 WaterC'' Data'!$AD$4:$AE$14,2,FALSE)=0,"Spatial Data Missing ⚠",VLOOKUP(O216,'G-7 WaterC'' Data'!$AD$4:$AE$14,2,FALSE)))))</f>
        <v/>
      </c>
      <c r="Q216" s="288" t="str">
        <f>IF(D216="","",VLOOKUP(D216,'G-7 WaterC'' Data'!$B$2:$G$8,6,FALSE))</f>
        <v/>
      </c>
      <c r="R216" s="295" t="str">
        <f t="shared" si="31"/>
        <v xml:space="preserve"> </v>
      </c>
      <c r="S216" s="820" t="str">
        <f t="shared" si="32"/>
        <v/>
      </c>
      <c r="T216" s="32"/>
      <c r="U216" s="105"/>
      <c r="V216" s="112"/>
      <c r="W216" s="293" t="str">
        <f t="shared" si="33"/>
        <v/>
      </c>
      <c r="X216" s="293" t="str">
        <f t="shared" si="34"/>
        <v/>
      </c>
      <c r="Y216" s="293" t="str">
        <f t="shared" si="35"/>
        <v/>
      </c>
      <c r="Z216" s="323" t="str">
        <f>IFERROR(IF(OR(E216="",R216=""),"",  IF(AND(Q216='G-7 WaterC'' Data'!$G$4,AA216="Yes"),"Alternative Compensation ✓", IF(AND(AA216="Pending", Q216='G-7 WaterC'' Data'!$G$4),"Bespoke compensation must be agreed ▲", IF((W216+X216)&gt;=R216, 0, R216-W216-X216)))),"Check Data ⚠")</f>
        <v/>
      </c>
      <c r="AA216" s="817"/>
      <c r="AB216" s="140"/>
      <c r="AC216" s="108"/>
      <c r="AD216" s="108"/>
      <c r="AE216" s="54" t="str">
        <f>IF(OR(Q216="",AA216="Yes"),"",IF(Q216='G-1 All Habitats'!$X$9,E216-U216-V216,"None"))</f>
        <v/>
      </c>
      <c r="AF216" s="55" t="str">
        <f>IF(Q216="","", IF(Q216='G-1 All Habitats'!$X$9, AE216*G216*I216*L216*N216*P216,"None"))</f>
        <v/>
      </c>
      <c r="AI216" s="30">
        <f t="shared" si="36"/>
        <v>0</v>
      </c>
      <c r="AJ216" s="111" t="str">
        <f t="shared" si="37"/>
        <v/>
      </c>
      <c r="AK216" s="111" t="str">
        <f t="shared" si="38"/>
        <v/>
      </c>
      <c r="AM216" s="111">
        <v>207</v>
      </c>
      <c r="AO216" s="111" t="str">
        <f t="array" ref="AO216">IFERROR(INDEX($AM$10:$AM$258, MATCH(0, IF(TRUE=$AJ$10:$AJ$258, COUNTIF($AO$9:$AO215, $AM$10:$AM$258), ""), 0)),"")</f>
        <v/>
      </c>
      <c r="AP216" s="111" t="str">
        <f t="array" ref="AP216">IFERROR(INDEX($AM$10:$AM$258, MATCH(0, IF(TRUE=$AK$10:$AK$258, COUNTIF($AP$9:$AP215, $AM$10:$AM$258), ""), 0)),"")</f>
        <v/>
      </c>
      <c r="AR216" s="30" t="str">
        <f>IFERROR(INDEX('G-7 WaterC'' Data'!$AZ$3:$AZ$7,MATCH(D216,'G-7 WaterC'' Data'!$AY$3:$AY$7,0)),"")</f>
        <v/>
      </c>
      <c r="AS216" s="30" t="str">
        <f>IFERROR(INDEX('G-7 WaterC'' Data'!AZ216:AZ220,MATCH(D216,'G-7 WaterC'' Data'!$AY$10:$AY$14,0)),"")</f>
        <v/>
      </c>
      <c r="AT216" s="903" t="str">
        <f>IF(AND(OR(AA216="Yes",AA216="Pending"),Q216='G-7 WaterC'' Data'!$G$4),R216-W216-X216,"")</f>
        <v/>
      </c>
      <c r="AU216" s="30" t="str">
        <f>IF(D216="","",VLOOKUP(D216,'G-7 WaterC'' Data'!B$4:M$8,12,FALSE))</f>
        <v/>
      </c>
      <c r="AV216" s="30" t="str">
        <f t="shared" si="30"/>
        <v/>
      </c>
      <c r="AX216" s="30" t="str">
        <f t="shared" si="39"/>
        <v>No</v>
      </c>
    </row>
    <row r="217" spans="3:50" x14ac:dyDescent="0.25">
      <c r="C217" s="101">
        <v>208</v>
      </c>
      <c r="D217" s="267"/>
      <c r="E217" s="119"/>
      <c r="F217" s="281" t="str">
        <f>IF(D217="","",VLOOKUP(D217,'G-7 WaterC'' Data'!$B$2:$G$8,2,FALSE))</f>
        <v/>
      </c>
      <c r="G217" s="282" t="str">
        <f>IFERROR(VLOOKUP(F217,'G-7 WaterC'' Data'!$C$4:$D$8,2,FALSE),"")</f>
        <v/>
      </c>
      <c r="H217" s="52"/>
      <c r="I217" s="282" t="str">
        <f>IFERROR(INDEX('G-7 WaterC'' Data'!$H$4:$L$8,MATCH(D217,'G-7 WaterC'' Data'!$B$4:$B$8,0),MATCH(H217,'G-7 WaterC'' Data'!$H$3:$L$3,0)),"")</f>
        <v/>
      </c>
      <c r="J217" s="793"/>
      <c r="K217" s="317" t="str">
        <f>IF(J217="","",IF(VLOOKUP(J217,'G-7 WaterC'' Data'!$AK$4:$AM$6,2,FALSE)=0,"Spatial Data Missing ⚠",VLOOKUP(J217,'G-7 WaterC'' Data'!$AK$4:$AM$6,2,FALSE)))</f>
        <v/>
      </c>
      <c r="L217" s="287" t="str">
        <f>IF(J217="","",IF(VLOOKUP(J217,'G-7 WaterC'' Data'!$AK$4:$AM$9,3,FALSE)=0,"Spatial Data Missing ⚠",VLOOKUP(J217,'G-7 WaterC'' Data'!$AK$4:$AM$6,3,FALSE)))</f>
        <v/>
      </c>
      <c r="M217" s="52"/>
      <c r="N217" s="282" t="str">
        <f>IF(M217="","",IF(AND(D217&lt;&gt;"Culvert",M217="N/A - Culvert"),"Not possible ▲",IF(AND(D217="Culvert",M217&lt;&gt;"N/A - Culvert"),"Not possible ▲",IF(VLOOKUP(M217,'G-7 WaterC'' Data'!$AA$4:$AB$7,2,FALSE)=0,"Spatial Data Missing ⚠",VLOOKUP(M217,'G-7 WaterC'' Data'!$AA$4:$AB$7,2,FALSE)))))</f>
        <v/>
      </c>
      <c r="O217" s="56"/>
      <c r="P217" s="282" t="str">
        <f>IF(O217="","",IF(AND(O217="N/A - Culvert", D217&lt;&gt;"Culvert"),"Not possible ▲", IF(AND(D217="Culvert",O217&lt;&gt;"N/A - Culvert"),"Not possible ▲",IF(VLOOKUP(O217,'G-7 WaterC'' Data'!$AD$4:$AE$14,2,FALSE)=0,"Spatial Data Missing ⚠",VLOOKUP(O217,'G-7 WaterC'' Data'!$AD$4:$AE$14,2,FALSE)))))</f>
        <v/>
      </c>
      <c r="Q217" s="288" t="str">
        <f>IF(D217="","",VLOOKUP(D217,'G-7 WaterC'' Data'!$B$2:$G$8,6,FALSE))</f>
        <v/>
      </c>
      <c r="R217" s="295" t="str">
        <f t="shared" si="31"/>
        <v xml:space="preserve"> </v>
      </c>
      <c r="S217" s="820" t="str">
        <f t="shared" si="32"/>
        <v/>
      </c>
      <c r="T217" s="32"/>
      <c r="U217" s="105"/>
      <c r="V217" s="112"/>
      <c r="W217" s="293" t="str">
        <f t="shared" si="33"/>
        <v/>
      </c>
      <c r="X217" s="293" t="str">
        <f t="shared" si="34"/>
        <v/>
      </c>
      <c r="Y217" s="293" t="str">
        <f t="shared" si="35"/>
        <v/>
      </c>
      <c r="Z217" s="323" t="str">
        <f>IFERROR(IF(OR(E217="",R217=""),"",  IF(AND(Q217='G-7 WaterC'' Data'!$G$4,AA217="Yes"),"Alternative Compensation ✓", IF(AND(AA217="Pending", Q217='G-7 WaterC'' Data'!$G$4),"Bespoke compensation must be agreed ▲", IF((W217+X217)&gt;=R217, 0, R217-W217-X217)))),"Check Data ⚠")</f>
        <v/>
      </c>
      <c r="AA217" s="817"/>
      <c r="AB217" s="140"/>
      <c r="AC217" s="108"/>
      <c r="AD217" s="108"/>
      <c r="AE217" s="54" t="str">
        <f>IF(OR(Q217="",AA217="Yes"),"",IF(Q217='G-1 All Habitats'!$X$9,E217-U217-V217,"None"))</f>
        <v/>
      </c>
      <c r="AF217" s="55" t="str">
        <f>IF(Q217="","", IF(Q217='G-1 All Habitats'!$X$9, AE217*G217*I217*L217*N217*P217,"None"))</f>
        <v/>
      </c>
      <c r="AI217" s="30">
        <f t="shared" si="36"/>
        <v>0</v>
      </c>
      <c r="AJ217" s="111" t="str">
        <f t="shared" si="37"/>
        <v/>
      </c>
      <c r="AK217" s="111" t="str">
        <f t="shared" si="38"/>
        <v/>
      </c>
      <c r="AM217" s="111">
        <v>208</v>
      </c>
      <c r="AO217" s="111" t="str">
        <f t="array" ref="AO217">IFERROR(INDEX($AM$10:$AM$258, MATCH(0, IF(TRUE=$AJ$10:$AJ$258, COUNTIF($AO$9:$AO216, $AM$10:$AM$258), ""), 0)),"")</f>
        <v/>
      </c>
      <c r="AP217" s="111" t="str">
        <f t="array" ref="AP217">IFERROR(INDEX($AM$10:$AM$258, MATCH(0, IF(TRUE=$AK$10:$AK$258, COUNTIF($AP$9:$AP216, $AM$10:$AM$258), ""), 0)),"")</f>
        <v/>
      </c>
      <c r="AR217" s="30" t="str">
        <f>IFERROR(INDEX('G-7 WaterC'' Data'!$AZ$3:$AZ$7,MATCH(D217,'G-7 WaterC'' Data'!$AY$3:$AY$7,0)),"")</f>
        <v/>
      </c>
      <c r="AS217" s="30" t="str">
        <f>IFERROR(INDEX('G-7 WaterC'' Data'!AZ217:AZ221,MATCH(D217,'G-7 WaterC'' Data'!$AY$10:$AY$14,0)),"")</f>
        <v/>
      </c>
      <c r="AT217" s="903" t="str">
        <f>IF(AND(OR(AA217="Yes",AA217="Pending"),Q217='G-7 WaterC'' Data'!$G$4),R217-W217-X217,"")</f>
        <v/>
      </c>
      <c r="AU217" s="30" t="str">
        <f>IF(D217="","",VLOOKUP(D217,'G-7 WaterC'' Data'!B$4:M$8,12,FALSE))</f>
        <v/>
      </c>
      <c r="AV217" s="30" t="str">
        <f t="shared" si="30"/>
        <v/>
      </c>
      <c r="AX217" s="30" t="str">
        <f t="shared" si="39"/>
        <v>No</v>
      </c>
    </row>
    <row r="218" spans="3:50" x14ac:dyDescent="0.25">
      <c r="C218" s="101">
        <v>209</v>
      </c>
      <c r="D218" s="267"/>
      <c r="E218" s="119"/>
      <c r="F218" s="281" t="str">
        <f>IF(D218="","",VLOOKUP(D218,'G-7 WaterC'' Data'!$B$2:$G$8,2,FALSE))</f>
        <v/>
      </c>
      <c r="G218" s="282" t="str">
        <f>IFERROR(VLOOKUP(F218,'G-7 WaterC'' Data'!$C$4:$D$8,2,FALSE),"")</f>
        <v/>
      </c>
      <c r="H218" s="52"/>
      <c r="I218" s="282" t="str">
        <f>IFERROR(INDEX('G-7 WaterC'' Data'!$H$4:$L$8,MATCH(D218,'G-7 WaterC'' Data'!$B$4:$B$8,0),MATCH(H218,'G-7 WaterC'' Data'!$H$3:$L$3,0)),"")</f>
        <v/>
      </c>
      <c r="J218" s="793"/>
      <c r="K218" s="317" t="str">
        <f>IF(J218="","",IF(VLOOKUP(J218,'G-7 WaterC'' Data'!$AK$4:$AM$6,2,FALSE)=0,"Spatial Data Missing ⚠",VLOOKUP(J218,'G-7 WaterC'' Data'!$AK$4:$AM$6,2,FALSE)))</f>
        <v/>
      </c>
      <c r="L218" s="287" t="str">
        <f>IF(J218="","",IF(VLOOKUP(J218,'G-7 WaterC'' Data'!$AK$4:$AM$9,3,FALSE)=0,"Spatial Data Missing ⚠",VLOOKUP(J218,'G-7 WaterC'' Data'!$AK$4:$AM$6,3,FALSE)))</f>
        <v/>
      </c>
      <c r="M218" s="52"/>
      <c r="N218" s="282" t="str">
        <f>IF(M218="","",IF(AND(D218&lt;&gt;"Culvert",M218="N/A - Culvert"),"Not possible ▲",IF(AND(D218="Culvert",M218&lt;&gt;"N/A - Culvert"),"Not possible ▲",IF(VLOOKUP(M218,'G-7 WaterC'' Data'!$AA$4:$AB$7,2,FALSE)=0,"Spatial Data Missing ⚠",VLOOKUP(M218,'G-7 WaterC'' Data'!$AA$4:$AB$7,2,FALSE)))))</f>
        <v/>
      </c>
      <c r="O218" s="56"/>
      <c r="P218" s="282" t="str">
        <f>IF(O218="","",IF(AND(O218="N/A - Culvert", D218&lt;&gt;"Culvert"),"Not possible ▲", IF(AND(D218="Culvert",O218&lt;&gt;"N/A - Culvert"),"Not possible ▲",IF(VLOOKUP(O218,'G-7 WaterC'' Data'!$AD$4:$AE$14,2,FALSE)=0,"Spatial Data Missing ⚠",VLOOKUP(O218,'G-7 WaterC'' Data'!$AD$4:$AE$14,2,FALSE)))))</f>
        <v/>
      </c>
      <c r="Q218" s="288" t="str">
        <f>IF(D218="","",VLOOKUP(D218,'G-7 WaterC'' Data'!$B$2:$G$8,6,FALSE))</f>
        <v/>
      </c>
      <c r="R218" s="295" t="str">
        <f t="shared" si="31"/>
        <v xml:space="preserve"> </v>
      </c>
      <c r="S218" s="820" t="str">
        <f t="shared" si="32"/>
        <v/>
      </c>
      <c r="T218" s="32"/>
      <c r="U218" s="105"/>
      <c r="V218" s="112"/>
      <c r="W218" s="293" t="str">
        <f t="shared" si="33"/>
        <v/>
      </c>
      <c r="X218" s="293" t="str">
        <f t="shared" si="34"/>
        <v/>
      </c>
      <c r="Y218" s="293" t="str">
        <f t="shared" si="35"/>
        <v/>
      </c>
      <c r="Z218" s="323" t="str">
        <f>IFERROR(IF(OR(E218="",R218=""),"",  IF(AND(Q218='G-7 WaterC'' Data'!$G$4,AA218="Yes"),"Alternative Compensation ✓", IF(AND(AA218="Pending", Q218='G-7 WaterC'' Data'!$G$4),"Bespoke compensation must be agreed ▲", IF((W218+X218)&gt;=R218, 0, R218-W218-X218)))),"Check Data ⚠")</f>
        <v/>
      </c>
      <c r="AA218" s="817"/>
      <c r="AB218" s="140"/>
      <c r="AC218" s="108"/>
      <c r="AD218" s="108"/>
      <c r="AE218" s="54" t="str">
        <f>IF(OR(Q218="",AA218="Yes"),"",IF(Q218='G-1 All Habitats'!$X$9,E218-U218-V218,"None"))</f>
        <v/>
      </c>
      <c r="AF218" s="55" t="str">
        <f>IF(Q218="","", IF(Q218='G-1 All Habitats'!$X$9, AE218*G218*I218*L218*N218*P218,"None"))</f>
        <v/>
      </c>
      <c r="AI218" s="30">
        <f t="shared" si="36"/>
        <v>0</v>
      </c>
      <c r="AJ218" s="111" t="str">
        <f t="shared" si="37"/>
        <v/>
      </c>
      <c r="AK218" s="111" t="str">
        <f t="shared" si="38"/>
        <v/>
      </c>
      <c r="AM218" s="111">
        <v>209</v>
      </c>
      <c r="AO218" s="111" t="str">
        <f t="array" ref="AO218">IFERROR(INDEX($AM$10:$AM$258, MATCH(0, IF(TRUE=$AJ$10:$AJ$258, COUNTIF($AO$9:$AO217, $AM$10:$AM$258), ""), 0)),"")</f>
        <v/>
      </c>
      <c r="AP218" s="111" t="str">
        <f t="array" ref="AP218">IFERROR(INDEX($AM$10:$AM$258, MATCH(0, IF(TRUE=$AK$10:$AK$258, COUNTIF($AP$9:$AP217, $AM$10:$AM$258), ""), 0)),"")</f>
        <v/>
      </c>
      <c r="AR218" s="30" t="str">
        <f>IFERROR(INDEX('G-7 WaterC'' Data'!$AZ$3:$AZ$7,MATCH(D218,'G-7 WaterC'' Data'!$AY$3:$AY$7,0)),"")</f>
        <v/>
      </c>
      <c r="AS218" s="30" t="str">
        <f>IFERROR(INDEX('G-7 WaterC'' Data'!AZ218:AZ222,MATCH(D218,'G-7 WaterC'' Data'!$AY$10:$AY$14,0)),"")</f>
        <v/>
      </c>
      <c r="AT218" s="903" t="str">
        <f>IF(AND(OR(AA218="Yes",AA218="Pending"),Q218='G-7 WaterC'' Data'!$G$4),R218-W218-X218,"")</f>
        <v/>
      </c>
      <c r="AU218" s="30" t="str">
        <f>IF(D218="","",VLOOKUP(D218,'G-7 WaterC'' Data'!B$4:M$8,12,FALSE))</f>
        <v/>
      </c>
      <c r="AV218" s="30" t="str">
        <f t="shared" si="30"/>
        <v/>
      </c>
      <c r="AX218" s="30" t="str">
        <f t="shared" si="39"/>
        <v>No</v>
      </c>
    </row>
    <row r="219" spans="3:50" x14ac:dyDescent="0.25">
      <c r="C219" s="101">
        <v>210</v>
      </c>
      <c r="D219" s="267"/>
      <c r="E219" s="119"/>
      <c r="F219" s="281" t="str">
        <f>IF(D219="","",VLOOKUP(D219,'G-7 WaterC'' Data'!$B$2:$G$8,2,FALSE))</f>
        <v/>
      </c>
      <c r="G219" s="282" t="str">
        <f>IFERROR(VLOOKUP(F219,'G-7 WaterC'' Data'!$C$4:$D$8,2,FALSE),"")</f>
        <v/>
      </c>
      <c r="H219" s="52"/>
      <c r="I219" s="282" t="str">
        <f>IFERROR(INDEX('G-7 WaterC'' Data'!$H$4:$L$8,MATCH(D219,'G-7 WaterC'' Data'!$B$4:$B$8,0),MATCH(H219,'G-7 WaterC'' Data'!$H$3:$L$3,0)),"")</f>
        <v/>
      </c>
      <c r="J219" s="793"/>
      <c r="K219" s="317" t="str">
        <f>IF(J219="","",IF(VLOOKUP(J219,'G-7 WaterC'' Data'!$AK$4:$AM$6,2,FALSE)=0,"Spatial Data Missing ⚠",VLOOKUP(J219,'G-7 WaterC'' Data'!$AK$4:$AM$6,2,FALSE)))</f>
        <v/>
      </c>
      <c r="L219" s="287" t="str">
        <f>IF(J219="","",IF(VLOOKUP(J219,'G-7 WaterC'' Data'!$AK$4:$AM$9,3,FALSE)=0,"Spatial Data Missing ⚠",VLOOKUP(J219,'G-7 WaterC'' Data'!$AK$4:$AM$6,3,FALSE)))</f>
        <v/>
      </c>
      <c r="M219" s="52"/>
      <c r="N219" s="282" t="str">
        <f>IF(M219="","",IF(AND(D219&lt;&gt;"Culvert",M219="N/A - Culvert"),"Not possible ▲",IF(AND(D219="Culvert",M219&lt;&gt;"N/A - Culvert"),"Not possible ▲",IF(VLOOKUP(M219,'G-7 WaterC'' Data'!$AA$4:$AB$7,2,FALSE)=0,"Spatial Data Missing ⚠",VLOOKUP(M219,'G-7 WaterC'' Data'!$AA$4:$AB$7,2,FALSE)))))</f>
        <v/>
      </c>
      <c r="O219" s="56"/>
      <c r="P219" s="282" t="str">
        <f>IF(O219="","",IF(AND(O219="N/A - Culvert", D219&lt;&gt;"Culvert"),"Not possible ▲", IF(AND(D219="Culvert",O219&lt;&gt;"N/A - Culvert"),"Not possible ▲",IF(VLOOKUP(O219,'G-7 WaterC'' Data'!$AD$4:$AE$14,2,FALSE)=0,"Spatial Data Missing ⚠",VLOOKUP(O219,'G-7 WaterC'' Data'!$AD$4:$AE$14,2,FALSE)))))</f>
        <v/>
      </c>
      <c r="Q219" s="288" t="str">
        <f>IF(D219="","",VLOOKUP(D219,'G-7 WaterC'' Data'!$B$2:$G$8,6,FALSE))</f>
        <v/>
      </c>
      <c r="R219" s="295" t="str">
        <f t="shared" si="31"/>
        <v xml:space="preserve"> </v>
      </c>
      <c r="S219" s="820" t="str">
        <f t="shared" si="32"/>
        <v/>
      </c>
      <c r="T219" s="32"/>
      <c r="U219" s="105"/>
      <c r="V219" s="112"/>
      <c r="W219" s="293" t="str">
        <f t="shared" si="33"/>
        <v/>
      </c>
      <c r="X219" s="293" t="str">
        <f t="shared" si="34"/>
        <v/>
      </c>
      <c r="Y219" s="293" t="str">
        <f t="shared" si="35"/>
        <v/>
      </c>
      <c r="Z219" s="323" t="str">
        <f>IFERROR(IF(OR(E219="",R219=""),"",  IF(AND(Q219='G-7 WaterC'' Data'!$G$4,AA219="Yes"),"Alternative Compensation ✓", IF(AND(AA219="Pending", Q219='G-7 WaterC'' Data'!$G$4),"Bespoke compensation must be agreed ▲", IF((W219+X219)&gt;=R219, 0, R219-W219-X219)))),"Check Data ⚠")</f>
        <v/>
      </c>
      <c r="AA219" s="817"/>
      <c r="AB219" s="140"/>
      <c r="AC219" s="108"/>
      <c r="AD219" s="108"/>
      <c r="AE219" s="54" t="str">
        <f>IF(OR(Q219="",AA219="Yes"),"",IF(Q219='G-1 All Habitats'!$X$9,E219-U219-V219,"None"))</f>
        <v/>
      </c>
      <c r="AF219" s="55" t="str">
        <f>IF(Q219="","", IF(Q219='G-1 All Habitats'!$X$9, AE219*G219*I219*L219*N219*P219,"None"))</f>
        <v/>
      </c>
      <c r="AI219" s="30">
        <f t="shared" si="36"/>
        <v>0</v>
      </c>
      <c r="AJ219" s="111" t="str">
        <f t="shared" si="37"/>
        <v/>
      </c>
      <c r="AK219" s="111" t="str">
        <f t="shared" si="38"/>
        <v/>
      </c>
      <c r="AM219" s="111">
        <v>210</v>
      </c>
      <c r="AO219" s="111" t="str">
        <f t="array" ref="AO219">IFERROR(INDEX($AM$10:$AM$258, MATCH(0, IF(TRUE=$AJ$10:$AJ$258, COUNTIF($AO$9:$AO218, $AM$10:$AM$258), ""), 0)),"")</f>
        <v/>
      </c>
      <c r="AP219" s="111" t="str">
        <f t="array" ref="AP219">IFERROR(INDEX($AM$10:$AM$258, MATCH(0, IF(TRUE=$AK$10:$AK$258, COUNTIF($AP$9:$AP218, $AM$10:$AM$258), ""), 0)),"")</f>
        <v/>
      </c>
      <c r="AR219" s="30" t="str">
        <f>IFERROR(INDEX('G-7 WaterC'' Data'!$AZ$3:$AZ$7,MATCH(D219,'G-7 WaterC'' Data'!$AY$3:$AY$7,0)),"")</f>
        <v/>
      </c>
      <c r="AS219" s="30" t="str">
        <f>IFERROR(INDEX('G-7 WaterC'' Data'!AZ219:AZ223,MATCH(D219,'G-7 WaterC'' Data'!$AY$10:$AY$14,0)),"")</f>
        <v/>
      </c>
      <c r="AT219" s="903" t="str">
        <f>IF(AND(OR(AA219="Yes",AA219="Pending"),Q219='G-7 WaterC'' Data'!$G$4),R219-W219-X219,"")</f>
        <v/>
      </c>
      <c r="AU219" s="30" t="str">
        <f>IF(D219="","",VLOOKUP(D219,'G-7 WaterC'' Data'!B$4:M$8,12,FALSE))</f>
        <v/>
      </c>
      <c r="AV219" s="30" t="str">
        <f t="shared" si="30"/>
        <v/>
      </c>
      <c r="AX219" s="30" t="str">
        <f t="shared" si="39"/>
        <v>No</v>
      </c>
    </row>
    <row r="220" spans="3:50" x14ac:dyDescent="0.25">
      <c r="C220" s="101">
        <v>211</v>
      </c>
      <c r="D220" s="267"/>
      <c r="E220" s="119"/>
      <c r="F220" s="281" t="str">
        <f>IF(D220="","",VLOOKUP(D220,'G-7 WaterC'' Data'!$B$2:$G$8,2,FALSE))</f>
        <v/>
      </c>
      <c r="G220" s="282" t="str">
        <f>IFERROR(VLOOKUP(F220,'G-7 WaterC'' Data'!$C$4:$D$8,2,FALSE),"")</f>
        <v/>
      </c>
      <c r="H220" s="52"/>
      <c r="I220" s="282" t="str">
        <f>IFERROR(INDEX('G-7 WaterC'' Data'!$H$4:$L$8,MATCH(D220,'G-7 WaterC'' Data'!$B$4:$B$8,0),MATCH(H220,'G-7 WaterC'' Data'!$H$3:$L$3,0)),"")</f>
        <v/>
      </c>
      <c r="J220" s="793"/>
      <c r="K220" s="317" t="str">
        <f>IF(J220="","",IF(VLOOKUP(J220,'G-7 WaterC'' Data'!$AK$4:$AM$6,2,FALSE)=0,"Spatial Data Missing ⚠",VLOOKUP(J220,'G-7 WaterC'' Data'!$AK$4:$AM$6,2,FALSE)))</f>
        <v/>
      </c>
      <c r="L220" s="287" t="str">
        <f>IF(J220="","",IF(VLOOKUP(J220,'G-7 WaterC'' Data'!$AK$4:$AM$9,3,FALSE)=0,"Spatial Data Missing ⚠",VLOOKUP(J220,'G-7 WaterC'' Data'!$AK$4:$AM$6,3,FALSE)))</f>
        <v/>
      </c>
      <c r="M220" s="52"/>
      <c r="N220" s="282" t="str">
        <f>IF(M220="","",IF(AND(D220&lt;&gt;"Culvert",M220="N/A - Culvert"),"Not possible ▲",IF(AND(D220="Culvert",M220&lt;&gt;"N/A - Culvert"),"Not possible ▲",IF(VLOOKUP(M220,'G-7 WaterC'' Data'!$AA$4:$AB$7,2,FALSE)=0,"Spatial Data Missing ⚠",VLOOKUP(M220,'G-7 WaterC'' Data'!$AA$4:$AB$7,2,FALSE)))))</f>
        <v/>
      </c>
      <c r="O220" s="56"/>
      <c r="P220" s="282" t="str">
        <f>IF(O220="","",IF(AND(O220="N/A - Culvert", D220&lt;&gt;"Culvert"),"Not possible ▲", IF(AND(D220="Culvert",O220&lt;&gt;"N/A - Culvert"),"Not possible ▲",IF(VLOOKUP(O220,'G-7 WaterC'' Data'!$AD$4:$AE$14,2,FALSE)=0,"Spatial Data Missing ⚠",VLOOKUP(O220,'G-7 WaterC'' Data'!$AD$4:$AE$14,2,FALSE)))))</f>
        <v/>
      </c>
      <c r="Q220" s="288" t="str">
        <f>IF(D220="","",VLOOKUP(D220,'G-7 WaterC'' Data'!$B$2:$G$8,6,FALSE))</f>
        <v/>
      </c>
      <c r="R220" s="295" t="str">
        <f t="shared" si="31"/>
        <v xml:space="preserve"> </v>
      </c>
      <c r="S220" s="820" t="str">
        <f t="shared" si="32"/>
        <v/>
      </c>
      <c r="T220" s="32"/>
      <c r="U220" s="105"/>
      <c r="V220" s="112"/>
      <c r="W220" s="293" t="str">
        <f t="shared" si="33"/>
        <v/>
      </c>
      <c r="X220" s="293" t="str">
        <f t="shared" si="34"/>
        <v/>
      </c>
      <c r="Y220" s="293" t="str">
        <f t="shared" si="35"/>
        <v/>
      </c>
      <c r="Z220" s="323" t="str">
        <f>IFERROR(IF(OR(E220="",R220=""),"",  IF(AND(Q220='G-7 WaterC'' Data'!$G$4,AA220="Yes"),"Alternative Compensation ✓", IF(AND(AA220="Pending", Q220='G-7 WaterC'' Data'!$G$4),"Bespoke compensation must be agreed ▲", IF((W220+X220)&gt;=R220, 0, R220-W220-X220)))),"Check Data ⚠")</f>
        <v/>
      </c>
      <c r="AA220" s="817"/>
      <c r="AB220" s="140"/>
      <c r="AC220" s="108"/>
      <c r="AD220" s="108"/>
      <c r="AE220" s="54" t="str">
        <f>IF(OR(Q220="",AA220="Yes"),"",IF(Q220='G-1 All Habitats'!$X$9,E220-U220-V220,"None"))</f>
        <v/>
      </c>
      <c r="AF220" s="55" t="str">
        <f>IF(Q220="","", IF(Q220='G-1 All Habitats'!$X$9, AE220*G220*I220*L220*N220*P220,"None"))</f>
        <v/>
      </c>
      <c r="AI220" s="30">
        <f t="shared" si="36"/>
        <v>0</v>
      </c>
      <c r="AJ220" s="111" t="str">
        <f t="shared" si="37"/>
        <v/>
      </c>
      <c r="AK220" s="111" t="str">
        <f t="shared" si="38"/>
        <v/>
      </c>
      <c r="AM220" s="111">
        <v>211</v>
      </c>
      <c r="AO220" s="111" t="str">
        <f t="array" ref="AO220">IFERROR(INDEX($AM$10:$AM$258, MATCH(0, IF(TRUE=$AJ$10:$AJ$258, COUNTIF($AO$9:$AO219, $AM$10:$AM$258), ""), 0)),"")</f>
        <v/>
      </c>
      <c r="AP220" s="111" t="str">
        <f t="array" ref="AP220">IFERROR(INDEX($AM$10:$AM$258, MATCH(0, IF(TRUE=$AK$10:$AK$258, COUNTIF($AP$9:$AP219, $AM$10:$AM$258), ""), 0)),"")</f>
        <v/>
      </c>
      <c r="AR220" s="30" t="str">
        <f>IFERROR(INDEX('G-7 WaterC'' Data'!$AZ$3:$AZ$7,MATCH(D220,'G-7 WaterC'' Data'!$AY$3:$AY$7,0)),"")</f>
        <v/>
      </c>
      <c r="AS220" s="30" t="str">
        <f>IFERROR(INDEX('G-7 WaterC'' Data'!AZ220:AZ224,MATCH(D220,'G-7 WaterC'' Data'!$AY$10:$AY$14,0)),"")</f>
        <v/>
      </c>
      <c r="AT220" s="903" t="str">
        <f>IF(AND(OR(AA220="Yes",AA220="Pending"),Q220='G-7 WaterC'' Data'!$G$4),R220-W220-X220,"")</f>
        <v/>
      </c>
      <c r="AU220" s="30" t="str">
        <f>IF(D220="","",VLOOKUP(D220,'G-7 WaterC'' Data'!B$4:M$8,12,FALSE))</f>
        <v/>
      </c>
      <c r="AV220" s="30" t="str">
        <f t="shared" si="30"/>
        <v/>
      </c>
      <c r="AX220" s="30" t="str">
        <f t="shared" si="39"/>
        <v>No</v>
      </c>
    </row>
    <row r="221" spans="3:50" x14ac:dyDescent="0.25">
      <c r="C221" s="101">
        <v>212</v>
      </c>
      <c r="D221" s="267"/>
      <c r="E221" s="119"/>
      <c r="F221" s="281" t="str">
        <f>IF(D221="","",VLOOKUP(D221,'G-7 WaterC'' Data'!$B$2:$G$8,2,FALSE))</f>
        <v/>
      </c>
      <c r="G221" s="282" t="str">
        <f>IFERROR(VLOOKUP(F221,'G-7 WaterC'' Data'!$C$4:$D$8,2,FALSE),"")</f>
        <v/>
      </c>
      <c r="H221" s="52"/>
      <c r="I221" s="282" t="str">
        <f>IFERROR(INDEX('G-7 WaterC'' Data'!$H$4:$L$8,MATCH(D221,'G-7 WaterC'' Data'!$B$4:$B$8,0),MATCH(H221,'G-7 WaterC'' Data'!$H$3:$L$3,0)),"")</f>
        <v/>
      </c>
      <c r="J221" s="793"/>
      <c r="K221" s="317" t="str">
        <f>IF(J221="","",IF(VLOOKUP(J221,'G-7 WaterC'' Data'!$AK$4:$AM$6,2,FALSE)=0,"Spatial Data Missing ⚠",VLOOKUP(J221,'G-7 WaterC'' Data'!$AK$4:$AM$6,2,FALSE)))</f>
        <v/>
      </c>
      <c r="L221" s="287" t="str">
        <f>IF(J221="","",IF(VLOOKUP(J221,'G-7 WaterC'' Data'!$AK$4:$AM$9,3,FALSE)=0,"Spatial Data Missing ⚠",VLOOKUP(J221,'G-7 WaterC'' Data'!$AK$4:$AM$6,3,FALSE)))</f>
        <v/>
      </c>
      <c r="M221" s="52"/>
      <c r="N221" s="282" t="str">
        <f>IF(M221="","",IF(AND(D221&lt;&gt;"Culvert",M221="N/A - Culvert"),"Not possible ▲",IF(AND(D221="Culvert",M221&lt;&gt;"N/A - Culvert"),"Not possible ▲",IF(VLOOKUP(M221,'G-7 WaterC'' Data'!$AA$4:$AB$7,2,FALSE)=0,"Spatial Data Missing ⚠",VLOOKUP(M221,'G-7 WaterC'' Data'!$AA$4:$AB$7,2,FALSE)))))</f>
        <v/>
      </c>
      <c r="O221" s="56"/>
      <c r="P221" s="282" t="str">
        <f>IF(O221="","",IF(AND(O221="N/A - Culvert", D221&lt;&gt;"Culvert"),"Not possible ▲", IF(AND(D221="Culvert",O221&lt;&gt;"N/A - Culvert"),"Not possible ▲",IF(VLOOKUP(O221,'G-7 WaterC'' Data'!$AD$4:$AE$14,2,FALSE)=0,"Spatial Data Missing ⚠",VLOOKUP(O221,'G-7 WaterC'' Data'!$AD$4:$AE$14,2,FALSE)))))</f>
        <v/>
      </c>
      <c r="Q221" s="288" t="str">
        <f>IF(D221="","",VLOOKUP(D221,'G-7 WaterC'' Data'!$B$2:$G$8,6,FALSE))</f>
        <v/>
      </c>
      <c r="R221" s="295" t="str">
        <f t="shared" si="31"/>
        <v xml:space="preserve"> </v>
      </c>
      <c r="S221" s="820" t="str">
        <f t="shared" si="32"/>
        <v/>
      </c>
      <c r="T221" s="32"/>
      <c r="U221" s="105"/>
      <c r="V221" s="112"/>
      <c r="W221" s="293" t="str">
        <f t="shared" si="33"/>
        <v/>
      </c>
      <c r="X221" s="293" t="str">
        <f t="shared" si="34"/>
        <v/>
      </c>
      <c r="Y221" s="293" t="str">
        <f t="shared" si="35"/>
        <v/>
      </c>
      <c r="Z221" s="323" t="str">
        <f>IFERROR(IF(OR(E221="",R221=""),"",  IF(AND(Q221='G-7 WaterC'' Data'!$G$4,AA221="Yes"),"Alternative Compensation ✓", IF(AND(AA221="Pending", Q221='G-7 WaterC'' Data'!$G$4),"Bespoke compensation must be agreed ▲", IF((W221+X221)&gt;=R221, 0, R221-W221-X221)))),"Check Data ⚠")</f>
        <v/>
      </c>
      <c r="AA221" s="817"/>
      <c r="AB221" s="140"/>
      <c r="AC221" s="108"/>
      <c r="AD221" s="108"/>
      <c r="AE221" s="54" t="str">
        <f>IF(OR(Q221="",AA221="Yes"),"",IF(Q221='G-1 All Habitats'!$X$9,E221-U221-V221,"None"))</f>
        <v/>
      </c>
      <c r="AF221" s="55" t="str">
        <f>IF(Q221="","", IF(Q221='G-1 All Habitats'!$X$9, AE221*G221*I221*L221*N221*P221,"None"))</f>
        <v/>
      </c>
      <c r="AI221" s="30">
        <f t="shared" si="36"/>
        <v>0</v>
      </c>
      <c r="AJ221" s="111" t="str">
        <f t="shared" si="37"/>
        <v/>
      </c>
      <c r="AK221" s="111" t="str">
        <f t="shared" si="38"/>
        <v/>
      </c>
      <c r="AM221" s="111">
        <v>212</v>
      </c>
      <c r="AO221" s="111" t="str">
        <f t="array" ref="AO221">IFERROR(INDEX($AM$10:$AM$258, MATCH(0, IF(TRUE=$AJ$10:$AJ$258, COUNTIF($AO$9:$AO220, $AM$10:$AM$258), ""), 0)),"")</f>
        <v/>
      </c>
      <c r="AP221" s="111" t="str">
        <f t="array" ref="AP221">IFERROR(INDEX($AM$10:$AM$258, MATCH(0, IF(TRUE=$AK$10:$AK$258, COUNTIF($AP$9:$AP220, $AM$10:$AM$258), ""), 0)),"")</f>
        <v/>
      </c>
      <c r="AR221" s="30" t="str">
        <f>IFERROR(INDEX('G-7 WaterC'' Data'!$AZ$3:$AZ$7,MATCH(D221,'G-7 WaterC'' Data'!$AY$3:$AY$7,0)),"")</f>
        <v/>
      </c>
      <c r="AS221" s="30" t="str">
        <f>IFERROR(INDEX('G-7 WaterC'' Data'!AZ221:AZ225,MATCH(D221,'G-7 WaterC'' Data'!$AY$10:$AY$14,0)),"")</f>
        <v/>
      </c>
      <c r="AT221" s="903" t="str">
        <f>IF(AND(OR(AA221="Yes",AA221="Pending"),Q221='G-7 WaterC'' Data'!$G$4),R221-W221-X221,"")</f>
        <v/>
      </c>
      <c r="AU221" s="30" t="str">
        <f>IF(D221="","",VLOOKUP(D221,'G-7 WaterC'' Data'!B$4:M$8,12,FALSE))</f>
        <v/>
      </c>
      <c r="AV221" s="30" t="str">
        <f t="shared" si="30"/>
        <v/>
      </c>
      <c r="AX221" s="30" t="str">
        <f t="shared" si="39"/>
        <v>No</v>
      </c>
    </row>
    <row r="222" spans="3:50" x14ac:dyDescent="0.25">
      <c r="C222" s="101">
        <v>213</v>
      </c>
      <c r="D222" s="267"/>
      <c r="E222" s="119"/>
      <c r="F222" s="281" t="str">
        <f>IF(D222="","",VLOOKUP(D222,'G-7 WaterC'' Data'!$B$2:$G$8,2,FALSE))</f>
        <v/>
      </c>
      <c r="G222" s="282" t="str">
        <f>IFERROR(VLOOKUP(F222,'G-7 WaterC'' Data'!$C$4:$D$8,2,FALSE),"")</f>
        <v/>
      </c>
      <c r="H222" s="52"/>
      <c r="I222" s="282" t="str">
        <f>IFERROR(INDEX('G-7 WaterC'' Data'!$H$4:$L$8,MATCH(D222,'G-7 WaterC'' Data'!$B$4:$B$8,0),MATCH(H222,'G-7 WaterC'' Data'!$H$3:$L$3,0)),"")</f>
        <v/>
      </c>
      <c r="J222" s="793"/>
      <c r="K222" s="317" t="str">
        <f>IF(J222="","",IF(VLOOKUP(J222,'G-7 WaterC'' Data'!$AK$4:$AM$6,2,FALSE)=0,"Spatial Data Missing ⚠",VLOOKUP(J222,'G-7 WaterC'' Data'!$AK$4:$AM$6,2,FALSE)))</f>
        <v/>
      </c>
      <c r="L222" s="287" t="str">
        <f>IF(J222="","",IF(VLOOKUP(J222,'G-7 WaterC'' Data'!$AK$4:$AM$9,3,FALSE)=0,"Spatial Data Missing ⚠",VLOOKUP(J222,'G-7 WaterC'' Data'!$AK$4:$AM$6,3,FALSE)))</f>
        <v/>
      </c>
      <c r="M222" s="52"/>
      <c r="N222" s="282" t="str">
        <f>IF(M222="","",IF(AND(D222&lt;&gt;"Culvert",M222="N/A - Culvert"),"Not possible ▲",IF(AND(D222="Culvert",M222&lt;&gt;"N/A - Culvert"),"Not possible ▲",IF(VLOOKUP(M222,'G-7 WaterC'' Data'!$AA$4:$AB$7,2,FALSE)=0,"Spatial Data Missing ⚠",VLOOKUP(M222,'G-7 WaterC'' Data'!$AA$4:$AB$7,2,FALSE)))))</f>
        <v/>
      </c>
      <c r="O222" s="56"/>
      <c r="P222" s="282" t="str">
        <f>IF(O222="","",IF(AND(O222="N/A - Culvert", D222&lt;&gt;"Culvert"),"Not possible ▲", IF(AND(D222="Culvert",O222&lt;&gt;"N/A - Culvert"),"Not possible ▲",IF(VLOOKUP(O222,'G-7 WaterC'' Data'!$AD$4:$AE$14,2,FALSE)=0,"Spatial Data Missing ⚠",VLOOKUP(O222,'G-7 WaterC'' Data'!$AD$4:$AE$14,2,FALSE)))))</f>
        <v/>
      </c>
      <c r="Q222" s="288" t="str">
        <f>IF(D222="","",VLOOKUP(D222,'G-7 WaterC'' Data'!$B$2:$G$8,6,FALSE))</f>
        <v/>
      </c>
      <c r="R222" s="295" t="str">
        <f t="shared" si="31"/>
        <v xml:space="preserve"> </v>
      </c>
      <c r="S222" s="820" t="str">
        <f t="shared" si="32"/>
        <v/>
      </c>
      <c r="T222" s="32"/>
      <c r="U222" s="105"/>
      <c r="V222" s="112"/>
      <c r="W222" s="293" t="str">
        <f t="shared" si="33"/>
        <v/>
      </c>
      <c r="X222" s="293" t="str">
        <f t="shared" si="34"/>
        <v/>
      </c>
      <c r="Y222" s="293" t="str">
        <f t="shared" si="35"/>
        <v/>
      </c>
      <c r="Z222" s="323" t="str">
        <f>IFERROR(IF(OR(E222="",R222=""),"",  IF(AND(Q222='G-7 WaterC'' Data'!$G$4,AA222="Yes"),"Alternative Compensation ✓", IF(AND(AA222="Pending", Q222='G-7 WaterC'' Data'!$G$4),"Bespoke compensation must be agreed ▲", IF((W222+X222)&gt;=R222, 0, R222-W222-X222)))),"Check Data ⚠")</f>
        <v/>
      </c>
      <c r="AA222" s="817"/>
      <c r="AB222" s="140"/>
      <c r="AC222" s="108"/>
      <c r="AD222" s="108"/>
      <c r="AE222" s="54" t="str">
        <f>IF(OR(Q222="",AA222="Yes"),"",IF(Q222='G-1 All Habitats'!$X$9,E222-U222-V222,"None"))</f>
        <v/>
      </c>
      <c r="AF222" s="55" t="str">
        <f>IF(Q222="","", IF(Q222='G-1 All Habitats'!$X$9, AE222*G222*I222*L222*N222*P222,"None"))</f>
        <v/>
      </c>
      <c r="AI222" s="30">
        <f t="shared" si="36"/>
        <v>0</v>
      </c>
      <c r="AJ222" s="111" t="str">
        <f t="shared" si="37"/>
        <v/>
      </c>
      <c r="AK222" s="111" t="str">
        <f t="shared" si="38"/>
        <v/>
      </c>
      <c r="AM222" s="111">
        <v>213</v>
      </c>
      <c r="AO222" s="111" t="str">
        <f t="array" ref="AO222">IFERROR(INDEX($AM$10:$AM$258, MATCH(0, IF(TRUE=$AJ$10:$AJ$258, COUNTIF($AO$9:$AO221, $AM$10:$AM$258), ""), 0)),"")</f>
        <v/>
      </c>
      <c r="AP222" s="111" t="str">
        <f t="array" ref="AP222">IFERROR(INDEX($AM$10:$AM$258, MATCH(0, IF(TRUE=$AK$10:$AK$258, COUNTIF($AP$9:$AP221, $AM$10:$AM$258), ""), 0)),"")</f>
        <v/>
      </c>
      <c r="AR222" s="30" t="str">
        <f>IFERROR(INDEX('G-7 WaterC'' Data'!$AZ$3:$AZ$7,MATCH(D222,'G-7 WaterC'' Data'!$AY$3:$AY$7,0)),"")</f>
        <v/>
      </c>
      <c r="AS222" s="30" t="str">
        <f>IFERROR(INDEX('G-7 WaterC'' Data'!AZ222:AZ226,MATCH(D222,'G-7 WaterC'' Data'!$AY$10:$AY$14,0)),"")</f>
        <v/>
      </c>
      <c r="AT222" s="903" t="str">
        <f>IF(AND(OR(AA222="Yes",AA222="Pending"),Q222='G-7 WaterC'' Data'!$G$4),R222-W222-X222,"")</f>
        <v/>
      </c>
      <c r="AU222" s="30" t="str">
        <f>IF(D222="","",VLOOKUP(D222,'G-7 WaterC'' Data'!B$4:M$8,12,FALSE))</f>
        <v/>
      </c>
      <c r="AV222" s="30" t="str">
        <f t="shared" si="30"/>
        <v/>
      </c>
      <c r="AX222" s="30" t="str">
        <f t="shared" si="39"/>
        <v>No</v>
      </c>
    </row>
    <row r="223" spans="3:50" x14ac:dyDescent="0.25">
      <c r="C223" s="101">
        <v>214</v>
      </c>
      <c r="D223" s="267"/>
      <c r="E223" s="119"/>
      <c r="F223" s="281" t="str">
        <f>IF(D223="","",VLOOKUP(D223,'G-7 WaterC'' Data'!$B$2:$G$8,2,FALSE))</f>
        <v/>
      </c>
      <c r="G223" s="282" t="str">
        <f>IFERROR(VLOOKUP(F223,'G-7 WaterC'' Data'!$C$4:$D$8,2,FALSE),"")</f>
        <v/>
      </c>
      <c r="H223" s="52"/>
      <c r="I223" s="282" t="str">
        <f>IFERROR(INDEX('G-7 WaterC'' Data'!$H$4:$L$8,MATCH(D223,'G-7 WaterC'' Data'!$B$4:$B$8,0),MATCH(H223,'G-7 WaterC'' Data'!$H$3:$L$3,0)),"")</f>
        <v/>
      </c>
      <c r="J223" s="793"/>
      <c r="K223" s="317" t="str">
        <f>IF(J223="","",IF(VLOOKUP(J223,'G-7 WaterC'' Data'!$AK$4:$AM$6,2,FALSE)=0,"Spatial Data Missing ⚠",VLOOKUP(J223,'G-7 WaterC'' Data'!$AK$4:$AM$6,2,FALSE)))</f>
        <v/>
      </c>
      <c r="L223" s="287" t="str">
        <f>IF(J223="","",IF(VLOOKUP(J223,'G-7 WaterC'' Data'!$AK$4:$AM$9,3,FALSE)=0,"Spatial Data Missing ⚠",VLOOKUP(J223,'G-7 WaterC'' Data'!$AK$4:$AM$6,3,FALSE)))</f>
        <v/>
      </c>
      <c r="M223" s="52"/>
      <c r="N223" s="282" t="str">
        <f>IF(M223="","",IF(AND(D223&lt;&gt;"Culvert",M223="N/A - Culvert"),"Not possible ▲",IF(AND(D223="Culvert",M223&lt;&gt;"N/A - Culvert"),"Not possible ▲",IF(VLOOKUP(M223,'G-7 WaterC'' Data'!$AA$4:$AB$7,2,FALSE)=0,"Spatial Data Missing ⚠",VLOOKUP(M223,'G-7 WaterC'' Data'!$AA$4:$AB$7,2,FALSE)))))</f>
        <v/>
      </c>
      <c r="O223" s="56"/>
      <c r="P223" s="282" t="str">
        <f>IF(O223="","",IF(AND(O223="N/A - Culvert", D223&lt;&gt;"Culvert"),"Not possible ▲", IF(AND(D223="Culvert",O223&lt;&gt;"N/A - Culvert"),"Not possible ▲",IF(VLOOKUP(O223,'G-7 WaterC'' Data'!$AD$4:$AE$14,2,FALSE)=0,"Spatial Data Missing ⚠",VLOOKUP(O223,'G-7 WaterC'' Data'!$AD$4:$AE$14,2,FALSE)))))</f>
        <v/>
      </c>
      <c r="Q223" s="288" t="str">
        <f>IF(D223="","",VLOOKUP(D223,'G-7 WaterC'' Data'!$B$2:$G$8,6,FALSE))</f>
        <v/>
      </c>
      <c r="R223" s="295" t="str">
        <f t="shared" si="31"/>
        <v xml:space="preserve"> </v>
      </c>
      <c r="S223" s="820" t="str">
        <f t="shared" si="32"/>
        <v/>
      </c>
      <c r="T223" s="32"/>
      <c r="U223" s="105"/>
      <c r="V223" s="112"/>
      <c r="W223" s="293" t="str">
        <f t="shared" si="33"/>
        <v/>
      </c>
      <c r="X223" s="293" t="str">
        <f t="shared" si="34"/>
        <v/>
      </c>
      <c r="Y223" s="293" t="str">
        <f t="shared" si="35"/>
        <v/>
      </c>
      <c r="Z223" s="323" t="str">
        <f>IFERROR(IF(OR(E223="",R223=""),"",  IF(AND(Q223='G-7 WaterC'' Data'!$G$4,AA223="Yes"),"Alternative Compensation ✓", IF(AND(AA223="Pending", Q223='G-7 WaterC'' Data'!$G$4),"Bespoke compensation must be agreed ▲", IF((W223+X223)&gt;=R223, 0, R223-W223-X223)))),"Check Data ⚠")</f>
        <v/>
      </c>
      <c r="AA223" s="817"/>
      <c r="AB223" s="140"/>
      <c r="AC223" s="108"/>
      <c r="AD223" s="108"/>
      <c r="AE223" s="54" t="str">
        <f>IF(OR(Q223="",AA223="Yes"),"",IF(Q223='G-1 All Habitats'!$X$9,E223-U223-V223,"None"))</f>
        <v/>
      </c>
      <c r="AF223" s="55" t="str">
        <f>IF(Q223="","", IF(Q223='G-1 All Habitats'!$X$9, AE223*G223*I223*L223*N223*P223,"None"))</f>
        <v/>
      </c>
      <c r="AI223" s="30">
        <f t="shared" si="36"/>
        <v>0</v>
      </c>
      <c r="AJ223" s="111" t="str">
        <f t="shared" si="37"/>
        <v/>
      </c>
      <c r="AK223" s="111" t="str">
        <f t="shared" si="38"/>
        <v/>
      </c>
      <c r="AM223" s="111">
        <v>214</v>
      </c>
      <c r="AO223" s="111" t="str">
        <f t="array" ref="AO223">IFERROR(INDEX($AM$10:$AM$258, MATCH(0, IF(TRUE=$AJ$10:$AJ$258, COUNTIF($AO$9:$AO222, $AM$10:$AM$258), ""), 0)),"")</f>
        <v/>
      </c>
      <c r="AP223" s="111" t="str">
        <f t="array" ref="AP223">IFERROR(INDEX($AM$10:$AM$258, MATCH(0, IF(TRUE=$AK$10:$AK$258, COUNTIF($AP$9:$AP222, $AM$10:$AM$258), ""), 0)),"")</f>
        <v/>
      </c>
      <c r="AR223" s="30" t="str">
        <f>IFERROR(INDEX('G-7 WaterC'' Data'!$AZ$3:$AZ$7,MATCH(D223,'G-7 WaterC'' Data'!$AY$3:$AY$7,0)),"")</f>
        <v/>
      </c>
      <c r="AS223" s="30" t="str">
        <f>IFERROR(INDEX('G-7 WaterC'' Data'!AZ223:AZ227,MATCH(D223,'G-7 WaterC'' Data'!$AY$10:$AY$14,0)),"")</f>
        <v/>
      </c>
      <c r="AT223" s="903" t="str">
        <f>IF(AND(OR(AA223="Yes",AA223="Pending"),Q223='G-7 WaterC'' Data'!$G$4),R223-W223-X223,"")</f>
        <v/>
      </c>
      <c r="AU223" s="30" t="str">
        <f>IF(D223="","",VLOOKUP(D223,'G-7 WaterC'' Data'!B$4:M$8,12,FALSE))</f>
        <v/>
      </c>
      <c r="AV223" s="30" t="str">
        <f t="shared" si="30"/>
        <v/>
      </c>
      <c r="AX223" s="30" t="str">
        <f t="shared" si="39"/>
        <v>No</v>
      </c>
    </row>
    <row r="224" spans="3:50" x14ac:dyDescent="0.25">
      <c r="C224" s="101">
        <v>215</v>
      </c>
      <c r="D224" s="267"/>
      <c r="E224" s="119"/>
      <c r="F224" s="281" t="str">
        <f>IF(D224="","",VLOOKUP(D224,'G-7 WaterC'' Data'!$B$2:$G$8,2,FALSE))</f>
        <v/>
      </c>
      <c r="G224" s="282" t="str">
        <f>IFERROR(VLOOKUP(F224,'G-7 WaterC'' Data'!$C$4:$D$8,2,FALSE),"")</f>
        <v/>
      </c>
      <c r="H224" s="52"/>
      <c r="I224" s="282" t="str">
        <f>IFERROR(INDEX('G-7 WaterC'' Data'!$H$4:$L$8,MATCH(D224,'G-7 WaterC'' Data'!$B$4:$B$8,0),MATCH(H224,'G-7 WaterC'' Data'!$H$3:$L$3,0)),"")</f>
        <v/>
      </c>
      <c r="J224" s="793"/>
      <c r="K224" s="317" t="str">
        <f>IF(J224="","",IF(VLOOKUP(J224,'G-7 WaterC'' Data'!$AK$4:$AM$6,2,FALSE)=0,"Spatial Data Missing ⚠",VLOOKUP(J224,'G-7 WaterC'' Data'!$AK$4:$AM$6,2,FALSE)))</f>
        <v/>
      </c>
      <c r="L224" s="287" t="str">
        <f>IF(J224="","",IF(VLOOKUP(J224,'G-7 WaterC'' Data'!$AK$4:$AM$9,3,FALSE)=0,"Spatial Data Missing ⚠",VLOOKUP(J224,'G-7 WaterC'' Data'!$AK$4:$AM$6,3,FALSE)))</f>
        <v/>
      </c>
      <c r="M224" s="52"/>
      <c r="N224" s="282" t="str">
        <f>IF(M224="","",IF(AND(D224&lt;&gt;"Culvert",M224="N/A - Culvert"),"Not possible ▲",IF(AND(D224="Culvert",M224&lt;&gt;"N/A - Culvert"),"Not possible ▲",IF(VLOOKUP(M224,'G-7 WaterC'' Data'!$AA$4:$AB$7,2,FALSE)=0,"Spatial Data Missing ⚠",VLOOKUP(M224,'G-7 WaterC'' Data'!$AA$4:$AB$7,2,FALSE)))))</f>
        <v/>
      </c>
      <c r="O224" s="56"/>
      <c r="P224" s="282" t="str">
        <f>IF(O224="","",IF(AND(O224="N/A - Culvert", D224&lt;&gt;"Culvert"),"Not possible ▲", IF(AND(D224="Culvert",O224&lt;&gt;"N/A - Culvert"),"Not possible ▲",IF(VLOOKUP(O224,'G-7 WaterC'' Data'!$AD$4:$AE$14,2,FALSE)=0,"Spatial Data Missing ⚠",VLOOKUP(O224,'G-7 WaterC'' Data'!$AD$4:$AE$14,2,FALSE)))))</f>
        <v/>
      </c>
      <c r="Q224" s="288" t="str">
        <f>IF(D224="","",VLOOKUP(D224,'G-7 WaterC'' Data'!$B$2:$G$8,6,FALSE))</f>
        <v/>
      </c>
      <c r="R224" s="295" t="str">
        <f t="shared" si="31"/>
        <v xml:space="preserve"> </v>
      </c>
      <c r="S224" s="820" t="str">
        <f t="shared" si="32"/>
        <v/>
      </c>
      <c r="T224" s="32"/>
      <c r="U224" s="105"/>
      <c r="V224" s="112"/>
      <c r="W224" s="293" t="str">
        <f t="shared" si="33"/>
        <v/>
      </c>
      <c r="X224" s="293" t="str">
        <f t="shared" si="34"/>
        <v/>
      </c>
      <c r="Y224" s="293" t="str">
        <f t="shared" si="35"/>
        <v/>
      </c>
      <c r="Z224" s="323" t="str">
        <f>IFERROR(IF(OR(E224="",R224=""),"",  IF(AND(Q224='G-7 WaterC'' Data'!$G$4,AA224="Yes"),"Alternative Compensation ✓", IF(AND(AA224="Pending", Q224='G-7 WaterC'' Data'!$G$4),"Bespoke compensation must be agreed ▲", IF((W224+X224)&gt;=R224, 0, R224-W224-X224)))),"Check Data ⚠")</f>
        <v/>
      </c>
      <c r="AA224" s="817"/>
      <c r="AB224" s="140"/>
      <c r="AC224" s="108"/>
      <c r="AD224" s="108"/>
      <c r="AE224" s="54" t="str">
        <f>IF(OR(Q224="",AA224="Yes"),"",IF(Q224='G-1 All Habitats'!$X$9,E224-U224-V224,"None"))</f>
        <v/>
      </c>
      <c r="AF224" s="55" t="str">
        <f>IF(Q224="","", IF(Q224='G-1 All Habitats'!$X$9, AE224*G224*I224*L224*N224*P224,"None"))</f>
        <v/>
      </c>
      <c r="AI224" s="30">
        <f t="shared" si="36"/>
        <v>0</v>
      </c>
      <c r="AJ224" s="111" t="str">
        <f t="shared" si="37"/>
        <v/>
      </c>
      <c r="AK224" s="111" t="str">
        <f t="shared" si="38"/>
        <v/>
      </c>
      <c r="AM224" s="111">
        <v>215</v>
      </c>
      <c r="AO224" s="111" t="str">
        <f t="array" ref="AO224">IFERROR(INDEX($AM$10:$AM$258, MATCH(0, IF(TRUE=$AJ$10:$AJ$258, COUNTIF($AO$9:$AO223, $AM$10:$AM$258), ""), 0)),"")</f>
        <v/>
      </c>
      <c r="AP224" s="111" t="str">
        <f t="array" ref="AP224">IFERROR(INDEX($AM$10:$AM$258, MATCH(0, IF(TRUE=$AK$10:$AK$258, COUNTIF($AP$9:$AP223, $AM$10:$AM$258), ""), 0)),"")</f>
        <v/>
      </c>
      <c r="AR224" s="30" t="str">
        <f>IFERROR(INDEX('G-7 WaterC'' Data'!$AZ$3:$AZ$7,MATCH(D224,'G-7 WaterC'' Data'!$AY$3:$AY$7,0)),"")</f>
        <v/>
      </c>
      <c r="AS224" s="30" t="str">
        <f>IFERROR(INDEX('G-7 WaterC'' Data'!AZ224:AZ228,MATCH(D224,'G-7 WaterC'' Data'!$AY$10:$AY$14,0)),"")</f>
        <v/>
      </c>
      <c r="AT224" s="903" t="str">
        <f>IF(AND(OR(AA224="Yes",AA224="Pending"),Q224='G-7 WaterC'' Data'!$G$4),R224-W224-X224,"")</f>
        <v/>
      </c>
      <c r="AU224" s="30" t="str">
        <f>IF(D224="","",VLOOKUP(D224,'G-7 WaterC'' Data'!B$4:M$8,12,FALSE))</f>
        <v/>
      </c>
      <c r="AV224" s="30" t="str">
        <f t="shared" si="30"/>
        <v/>
      </c>
      <c r="AX224" s="30" t="str">
        <f t="shared" si="39"/>
        <v>No</v>
      </c>
    </row>
    <row r="225" spans="3:50" x14ac:dyDescent="0.25">
      <c r="C225" s="101">
        <v>216</v>
      </c>
      <c r="D225" s="267"/>
      <c r="E225" s="119"/>
      <c r="F225" s="281" t="str">
        <f>IF(D225="","",VLOOKUP(D225,'G-7 WaterC'' Data'!$B$2:$G$8,2,FALSE))</f>
        <v/>
      </c>
      <c r="G225" s="282" t="str">
        <f>IFERROR(VLOOKUP(F225,'G-7 WaterC'' Data'!$C$4:$D$8,2,FALSE),"")</f>
        <v/>
      </c>
      <c r="H225" s="52"/>
      <c r="I225" s="282" t="str">
        <f>IFERROR(INDEX('G-7 WaterC'' Data'!$H$4:$L$8,MATCH(D225,'G-7 WaterC'' Data'!$B$4:$B$8,0),MATCH(H225,'G-7 WaterC'' Data'!$H$3:$L$3,0)),"")</f>
        <v/>
      </c>
      <c r="J225" s="793"/>
      <c r="K225" s="317" t="str">
        <f>IF(J225="","",IF(VLOOKUP(J225,'G-7 WaterC'' Data'!$AK$4:$AM$6,2,FALSE)=0,"Spatial Data Missing ⚠",VLOOKUP(J225,'G-7 WaterC'' Data'!$AK$4:$AM$6,2,FALSE)))</f>
        <v/>
      </c>
      <c r="L225" s="287" t="str">
        <f>IF(J225="","",IF(VLOOKUP(J225,'G-7 WaterC'' Data'!$AK$4:$AM$9,3,FALSE)=0,"Spatial Data Missing ⚠",VLOOKUP(J225,'G-7 WaterC'' Data'!$AK$4:$AM$6,3,FALSE)))</f>
        <v/>
      </c>
      <c r="M225" s="52"/>
      <c r="N225" s="282" t="str">
        <f>IF(M225="","",IF(AND(D225&lt;&gt;"Culvert",M225="N/A - Culvert"),"Not possible ▲",IF(AND(D225="Culvert",M225&lt;&gt;"N/A - Culvert"),"Not possible ▲",IF(VLOOKUP(M225,'G-7 WaterC'' Data'!$AA$4:$AB$7,2,FALSE)=0,"Spatial Data Missing ⚠",VLOOKUP(M225,'G-7 WaterC'' Data'!$AA$4:$AB$7,2,FALSE)))))</f>
        <v/>
      </c>
      <c r="O225" s="56"/>
      <c r="P225" s="282" t="str">
        <f>IF(O225="","",IF(AND(O225="N/A - Culvert", D225&lt;&gt;"Culvert"),"Not possible ▲", IF(AND(D225="Culvert",O225&lt;&gt;"N/A - Culvert"),"Not possible ▲",IF(VLOOKUP(O225,'G-7 WaterC'' Data'!$AD$4:$AE$14,2,FALSE)=0,"Spatial Data Missing ⚠",VLOOKUP(O225,'G-7 WaterC'' Data'!$AD$4:$AE$14,2,FALSE)))))</f>
        <v/>
      </c>
      <c r="Q225" s="288" t="str">
        <f>IF(D225="","",VLOOKUP(D225,'G-7 WaterC'' Data'!$B$2:$G$8,6,FALSE))</f>
        <v/>
      </c>
      <c r="R225" s="295" t="str">
        <f t="shared" si="31"/>
        <v xml:space="preserve"> </v>
      </c>
      <c r="S225" s="820" t="str">
        <f t="shared" si="32"/>
        <v/>
      </c>
      <c r="T225" s="32"/>
      <c r="U225" s="105"/>
      <c r="V225" s="112"/>
      <c r="W225" s="293" t="str">
        <f t="shared" si="33"/>
        <v/>
      </c>
      <c r="X225" s="293" t="str">
        <f t="shared" si="34"/>
        <v/>
      </c>
      <c r="Y225" s="293" t="str">
        <f t="shared" si="35"/>
        <v/>
      </c>
      <c r="Z225" s="323" t="str">
        <f>IFERROR(IF(OR(E225="",R225=""),"",  IF(AND(Q225='G-7 WaterC'' Data'!$G$4,AA225="Yes"),"Alternative Compensation ✓", IF(AND(AA225="Pending", Q225='G-7 WaterC'' Data'!$G$4),"Bespoke compensation must be agreed ▲", IF((W225+X225)&gt;=R225, 0, R225-W225-X225)))),"Check Data ⚠")</f>
        <v/>
      </c>
      <c r="AA225" s="817"/>
      <c r="AB225" s="140"/>
      <c r="AC225" s="108"/>
      <c r="AD225" s="108"/>
      <c r="AE225" s="54" t="str">
        <f>IF(OR(Q225="",AA225="Yes"),"",IF(Q225='G-1 All Habitats'!$X$9,E225-U225-V225,"None"))</f>
        <v/>
      </c>
      <c r="AF225" s="55" t="str">
        <f>IF(Q225="","", IF(Q225='G-1 All Habitats'!$X$9, AE225*G225*I225*L225*N225*P225,"None"))</f>
        <v/>
      </c>
      <c r="AI225" s="30">
        <f t="shared" si="36"/>
        <v>0</v>
      </c>
      <c r="AJ225" s="111" t="str">
        <f t="shared" si="37"/>
        <v/>
      </c>
      <c r="AK225" s="111" t="str">
        <f t="shared" si="38"/>
        <v/>
      </c>
      <c r="AM225" s="111">
        <v>216</v>
      </c>
      <c r="AO225" s="111" t="str">
        <f t="array" ref="AO225">IFERROR(INDEX($AM$10:$AM$258, MATCH(0, IF(TRUE=$AJ$10:$AJ$258, COUNTIF($AO$9:$AO224, $AM$10:$AM$258), ""), 0)),"")</f>
        <v/>
      </c>
      <c r="AP225" s="111" t="str">
        <f t="array" ref="AP225">IFERROR(INDEX($AM$10:$AM$258, MATCH(0, IF(TRUE=$AK$10:$AK$258, COUNTIF($AP$9:$AP224, $AM$10:$AM$258), ""), 0)),"")</f>
        <v/>
      </c>
      <c r="AR225" s="30" t="str">
        <f>IFERROR(INDEX('G-7 WaterC'' Data'!$AZ$3:$AZ$7,MATCH(D225,'G-7 WaterC'' Data'!$AY$3:$AY$7,0)),"")</f>
        <v/>
      </c>
      <c r="AS225" s="30" t="str">
        <f>IFERROR(INDEX('G-7 WaterC'' Data'!AZ225:AZ229,MATCH(D225,'G-7 WaterC'' Data'!$AY$10:$AY$14,0)),"")</f>
        <v/>
      </c>
      <c r="AT225" s="903" t="str">
        <f>IF(AND(OR(AA225="Yes",AA225="Pending"),Q225='G-7 WaterC'' Data'!$G$4),R225-W225-X225,"")</f>
        <v/>
      </c>
      <c r="AU225" s="30" t="str">
        <f>IF(D225="","",VLOOKUP(D225,'G-7 WaterC'' Data'!B$4:M$8,12,FALSE))</f>
        <v/>
      </c>
      <c r="AV225" s="30" t="str">
        <f t="shared" si="30"/>
        <v/>
      </c>
      <c r="AX225" s="30" t="str">
        <f t="shared" si="39"/>
        <v>No</v>
      </c>
    </row>
    <row r="226" spans="3:50" x14ac:dyDescent="0.25">
      <c r="C226" s="101">
        <v>217</v>
      </c>
      <c r="D226" s="267"/>
      <c r="E226" s="119"/>
      <c r="F226" s="281" t="str">
        <f>IF(D226="","",VLOOKUP(D226,'G-7 WaterC'' Data'!$B$2:$G$8,2,FALSE))</f>
        <v/>
      </c>
      <c r="G226" s="282" t="str">
        <f>IFERROR(VLOOKUP(F226,'G-7 WaterC'' Data'!$C$4:$D$8,2,FALSE),"")</f>
        <v/>
      </c>
      <c r="H226" s="52"/>
      <c r="I226" s="282" t="str">
        <f>IFERROR(INDEX('G-7 WaterC'' Data'!$H$4:$L$8,MATCH(D226,'G-7 WaterC'' Data'!$B$4:$B$8,0),MATCH(H226,'G-7 WaterC'' Data'!$H$3:$L$3,0)),"")</f>
        <v/>
      </c>
      <c r="J226" s="793"/>
      <c r="K226" s="317" t="str">
        <f>IF(J226="","",IF(VLOOKUP(J226,'G-7 WaterC'' Data'!$AK$4:$AM$6,2,FALSE)=0,"Spatial Data Missing ⚠",VLOOKUP(J226,'G-7 WaterC'' Data'!$AK$4:$AM$6,2,FALSE)))</f>
        <v/>
      </c>
      <c r="L226" s="287" t="str">
        <f>IF(J226="","",IF(VLOOKUP(J226,'G-7 WaterC'' Data'!$AK$4:$AM$9,3,FALSE)=0,"Spatial Data Missing ⚠",VLOOKUP(J226,'G-7 WaterC'' Data'!$AK$4:$AM$6,3,FALSE)))</f>
        <v/>
      </c>
      <c r="M226" s="52"/>
      <c r="N226" s="282" t="str">
        <f>IF(M226="","",IF(AND(D226&lt;&gt;"Culvert",M226="N/A - Culvert"),"Not possible ▲",IF(AND(D226="Culvert",M226&lt;&gt;"N/A - Culvert"),"Not possible ▲",IF(VLOOKUP(M226,'G-7 WaterC'' Data'!$AA$4:$AB$7,2,FALSE)=0,"Spatial Data Missing ⚠",VLOOKUP(M226,'G-7 WaterC'' Data'!$AA$4:$AB$7,2,FALSE)))))</f>
        <v/>
      </c>
      <c r="O226" s="56"/>
      <c r="P226" s="282" t="str">
        <f>IF(O226="","",IF(AND(O226="N/A - Culvert", D226&lt;&gt;"Culvert"),"Not possible ▲", IF(AND(D226="Culvert",O226&lt;&gt;"N/A - Culvert"),"Not possible ▲",IF(VLOOKUP(O226,'G-7 WaterC'' Data'!$AD$4:$AE$14,2,FALSE)=0,"Spatial Data Missing ⚠",VLOOKUP(O226,'G-7 WaterC'' Data'!$AD$4:$AE$14,2,FALSE)))))</f>
        <v/>
      </c>
      <c r="Q226" s="288" t="str">
        <f>IF(D226="","",VLOOKUP(D226,'G-7 WaterC'' Data'!$B$2:$G$8,6,FALSE))</f>
        <v/>
      </c>
      <c r="R226" s="295" t="str">
        <f t="shared" si="31"/>
        <v xml:space="preserve"> </v>
      </c>
      <c r="S226" s="820" t="str">
        <f t="shared" si="32"/>
        <v/>
      </c>
      <c r="T226" s="32"/>
      <c r="U226" s="105"/>
      <c r="V226" s="112"/>
      <c r="W226" s="293" t="str">
        <f t="shared" si="33"/>
        <v/>
      </c>
      <c r="X226" s="293" t="str">
        <f t="shared" si="34"/>
        <v/>
      </c>
      <c r="Y226" s="293" t="str">
        <f t="shared" si="35"/>
        <v/>
      </c>
      <c r="Z226" s="323" t="str">
        <f>IFERROR(IF(OR(E226="",R226=""),"",  IF(AND(Q226='G-7 WaterC'' Data'!$G$4,AA226="Yes"),"Alternative Compensation ✓", IF(AND(AA226="Pending", Q226='G-7 WaterC'' Data'!$G$4),"Bespoke compensation must be agreed ▲", IF((W226+X226)&gt;=R226, 0, R226-W226-X226)))),"Check Data ⚠")</f>
        <v/>
      </c>
      <c r="AA226" s="817"/>
      <c r="AB226" s="140"/>
      <c r="AC226" s="108"/>
      <c r="AD226" s="108"/>
      <c r="AE226" s="54" t="str">
        <f>IF(OR(Q226="",AA226="Yes"),"",IF(Q226='G-1 All Habitats'!$X$9,E226-U226-V226,"None"))</f>
        <v/>
      </c>
      <c r="AF226" s="55" t="str">
        <f>IF(Q226="","", IF(Q226='G-1 All Habitats'!$X$9, AE226*G226*I226*L226*N226*P226,"None"))</f>
        <v/>
      </c>
      <c r="AI226" s="30">
        <f t="shared" si="36"/>
        <v>0</v>
      </c>
      <c r="AJ226" s="111" t="str">
        <f t="shared" si="37"/>
        <v/>
      </c>
      <c r="AK226" s="111" t="str">
        <f t="shared" si="38"/>
        <v/>
      </c>
      <c r="AM226" s="111">
        <v>217</v>
      </c>
      <c r="AO226" s="111" t="str">
        <f t="array" ref="AO226">IFERROR(INDEX($AM$10:$AM$258, MATCH(0, IF(TRUE=$AJ$10:$AJ$258, COUNTIF($AO$9:$AO225, $AM$10:$AM$258), ""), 0)),"")</f>
        <v/>
      </c>
      <c r="AP226" s="111" t="str">
        <f t="array" ref="AP226">IFERROR(INDEX($AM$10:$AM$258, MATCH(0, IF(TRUE=$AK$10:$AK$258, COUNTIF($AP$9:$AP225, $AM$10:$AM$258), ""), 0)),"")</f>
        <v/>
      </c>
      <c r="AR226" s="30" t="str">
        <f>IFERROR(INDEX('G-7 WaterC'' Data'!$AZ$3:$AZ$7,MATCH(D226,'G-7 WaterC'' Data'!$AY$3:$AY$7,0)),"")</f>
        <v/>
      </c>
      <c r="AS226" s="30" t="str">
        <f>IFERROR(INDEX('G-7 WaterC'' Data'!AZ226:AZ230,MATCH(D226,'G-7 WaterC'' Data'!$AY$10:$AY$14,0)),"")</f>
        <v/>
      </c>
      <c r="AT226" s="903" t="str">
        <f>IF(AND(OR(AA226="Yes",AA226="Pending"),Q226='G-7 WaterC'' Data'!$G$4),R226-W226-X226,"")</f>
        <v/>
      </c>
      <c r="AU226" s="30" t="str">
        <f>IF(D226="","",VLOOKUP(D226,'G-7 WaterC'' Data'!B$4:M$8,12,FALSE))</f>
        <v/>
      </c>
      <c r="AV226" s="30" t="str">
        <f t="shared" si="30"/>
        <v/>
      </c>
      <c r="AX226" s="30" t="str">
        <f t="shared" si="39"/>
        <v>No</v>
      </c>
    </row>
    <row r="227" spans="3:50" x14ac:dyDescent="0.25">
      <c r="C227" s="101">
        <v>218</v>
      </c>
      <c r="D227" s="267"/>
      <c r="E227" s="119"/>
      <c r="F227" s="281" t="str">
        <f>IF(D227="","",VLOOKUP(D227,'G-7 WaterC'' Data'!$B$2:$G$8,2,FALSE))</f>
        <v/>
      </c>
      <c r="G227" s="282" t="str">
        <f>IFERROR(VLOOKUP(F227,'G-7 WaterC'' Data'!$C$4:$D$8,2,FALSE),"")</f>
        <v/>
      </c>
      <c r="H227" s="52"/>
      <c r="I227" s="282" t="str">
        <f>IFERROR(INDEX('G-7 WaterC'' Data'!$H$4:$L$8,MATCH(D227,'G-7 WaterC'' Data'!$B$4:$B$8,0),MATCH(H227,'G-7 WaterC'' Data'!$H$3:$L$3,0)),"")</f>
        <v/>
      </c>
      <c r="J227" s="793"/>
      <c r="K227" s="317" t="str">
        <f>IF(J227="","",IF(VLOOKUP(J227,'G-7 WaterC'' Data'!$AK$4:$AM$6,2,FALSE)=0,"Spatial Data Missing ⚠",VLOOKUP(J227,'G-7 WaterC'' Data'!$AK$4:$AM$6,2,FALSE)))</f>
        <v/>
      </c>
      <c r="L227" s="287" t="str">
        <f>IF(J227="","",IF(VLOOKUP(J227,'G-7 WaterC'' Data'!$AK$4:$AM$9,3,FALSE)=0,"Spatial Data Missing ⚠",VLOOKUP(J227,'G-7 WaterC'' Data'!$AK$4:$AM$6,3,FALSE)))</f>
        <v/>
      </c>
      <c r="M227" s="52"/>
      <c r="N227" s="282" t="str">
        <f>IF(M227="","",IF(AND(D227&lt;&gt;"Culvert",M227="N/A - Culvert"),"Not possible ▲",IF(AND(D227="Culvert",M227&lt;&gt;"N/A - Culvert"),"Not possible ▲",IF(VLOOKUP(M227,'G-7 WaterC'' Data'!$AA$4:$AB$7,2,FALSE)=0,"Spatial Data Missing ⚠",VLOOKUP(M227,'G-7 WaterC'' Data'!$AA$4:$AB$7,2,FALSE)))))</f>
        <v/>
      </c>
      <c r="O227" s="56"/>
      <c r="P227" s="282" t="str">
        <f>IF(O227="","",IF(AND(O227="N/A - Culvert", D227&lt;&gt;"Culvert"),"Not possible ▲", IF(AND(D227="Culvert",O227&lt;&gt;"N/A - Culvert"),"Not possible ▲",IF(VLOOKUP(O227,'G-7 WaterC'' Data'!$AD$4:$AE$14,2,FALSE)=0,"Spatial Data Missing ⚠",VLOOKUP(O227,'G-7 WaterC'' Data'!$AD$4:$AE$14,2,FALSE)))))</f>
        <v/>
      </c>
      <c r="Q227" s="288" t="str">
        <f>IF(D227="","",VLOOKUP(D227,'G-7 WaterC'' Data'!$B$2:$G$8,6,FALSE))</f>
        <v/>
      </c>
      <c r="R227" s="295" t="str">
        <f t="shared" si="31"/>
        <v xml:space="preserve"> </v>
      </c>
      <c r="S227" s="820" t="str">
        <f t="shared" si="32"/>
        <v/>
      </c>
      <c r="T227" s="32"/>
      <c r="U227" s="105"/>
      <c r="V227" s="112"/>
      <c r="W227" s="293" t="str">
        <f t="shared" si="33"/>
        <v/>
      </c>
      <c r="X227" s="293" t="str">
        <f t="shared" si="34"/>
        <v/>
      </c>
      <c r="Y227" s="293" t="str">
        <f t="shared" si="35"/>
        <v/>
      </c>
      <c r="Z227" s="323" t="str">
        <f>IFERROR(IF(OR(E227="",R227=""),"",  IF(AND(Q227='G-7 WaterC'' Data'!$G$4,AA227="Yes"),"Alternative Compensation ✓", IF(AND(AA227="Pending", Q227='G-7 WaterC'' Data'!$G$4),"Bespoke compensation must be agreed ▲", IF((W227+X227)&gt;=R227, 0, R227-W227-X227)))),"Check Data ⚠")</f>
        <v/>
      </c>
      <c r="AA227" s="817"/>
      <c r="AB227" s="140"/>
      <c r="AC227" s="108"/>
      <c r="AD227" s="108"/>
      <c r="AE227" s="54" t="str">
        <f>IF(OR(Q227="",AA227="Yes"),"",IF(Q227='G-1 All Habitats'!$X$9,E227-U227-V227,"None"))</f>
        <v/>
      </c>
      <c r="AF227" s="55" t="str">
        <f>IF(Q227="","", IF(Q227='G-1 All Habitats'!$X$9, AE227*G227*I227*L227*N227*P227,"None"))</f>
        <v/>
      </c>
      <c r="AI227" s="30">
        <f t="shared" si="36"/>
        <v>0</v>
      </c>
      <c r="AJ227" s="111" t="str">
        <f t="shared" si="37"/>
        <v/>
      </c>
      <c r="AK227" s="111" t="str">
        <f t="shared" si="38"/>
        <v/>
      </c>
      <c r="AM227" s="111">
        <v>218</v>
      </c>
      <c r="AO227" s="111" t="str">
        <f t="array" ref="AO227">IFERROR(INDEX($AM$10:$AM$258, MATCH(0, IF(TRUE=$AJ$10:$AJ$258, COUNTIF($AO$9:$AO226, $AM$10:$AM$258), ""), 0)),"")</f>
        <v/>
      </c>
      <c r="AP227" s="111" t="str">
        <f t="array" ref="AP227">IFERROR(INDEX($AM$10:$AM$258, MATCH(0, IF(TRUE=$AK$10:$AK$258, COUNTIF($AP$9:$AP226, $AM$10:$AM$258), ""), 0)),"")</f>
        <v/>
      </c>
      <c r="AR227" s="30" t="str">
        <f>IFERROR(INDEX('G-7 WaterC'' Data'!$AZ$3:$AZ$7,MATCH(D227,'G-7 WaterC'' Data'!$AY$3:$AY$7,0)),"")</f>
        <v/>
      </c>
      <c r="AS227" s="30" t="str">
        <f>IFERROR(INDEX('G-7 WaterC'' Data'!AZ227:AZ231,MATCH(D227,'G-7 WaterC'' Data'!$AY$10:$AY$14,0)),"")</f>
        <v/>
      </c>
      <c r="AT227" s="903" t="str">
        <f>IF(AND(OR(AA227="Yes",AA227="Pending"),Q227='G-7 WaterC'' Data'!$G$4),R227-W227-X227,"")</f>
        <v/>
      </c>
      <c r="AU227" s="30" t="str">
        <f>IF(D227="","",VLOOKUP(D227,'G-7 WaterC'' Data'!B$4:M$8,12,FALSE))</f>
        <v/>
      </c>
      <c r="AV227" s="30" t="str">
        <f t="shared" si="30"/>
        <v/>
      </c>
      <c r="AX227" s="30" t="str">
        <f t="shared" si="39"/>
        <v>No</v>
      </c>
    </row>
    <row r="228" spans="3:50" x14ac:dyDescent="0.25">
      <c r="C228" s="101">
        <v>219</v>
      </c>
      <c r="D228" s="267"/>
      <c r="E228" s="119"/>
      <c r="F228" s="281" t="str">
        <f>IF(D228="","",VLOOKUP(D228,'G-7 WaterC'' Data'!$B$2:$G$8,2,FALSE))</f>
        <v/>
      </c>
      <c r="G228" s="282" t="str">
        <f>IFERROR(VLOOKUP(F228,'G-7 WaterC'' Data'!$C$4:$D$8,2,FALSE),"")</f>
        <v/>
      </c>
      <c r="H228" s="52"/>
      <c r="I228" s="282" t="str">
        <f>IFERROR(INDEX('G-7 WaterC'' Data'!$H$4:$L$8,MATCH(D228,'G-7 WaterC'' Data'!$B$4:$B$8,0),MATCH(H228,'G-7 WaterC'' Data'!$H$3:$L$3,0)),"")</f>
        <v/>
      </c>
      <c r="J228" s="793"/>
      <c r="K228" s="317" t="str">
        <f>IF(J228="","",IF(VLOOKUP(J228,'G-7 WaterC'' Data'!$AK$4:$AM$6,2,FALSE)=0,"Spatial Data Missing ⚠",VLOOKUP(J228,'G-7 WaterC'' Data'!$AK$4:$AM$6,2,FALSE)))</f>
        <v/>
      </c>
      <c r="L228" s="287" t="str">
        <f>IF(J228="","",IF(VLOOKUP(J228,'G-7 WaterC'' Data'!$AK$4:$AM$9,3,FALSE)=0,"Spatial Data Missing ⚠",VLOOKUP(J228,'G-7 WaterC'' Data'!$AK$4:$AM$6,3,FALSE)))</f>
        <v/>
      </c>
      <c r="M228" s="52"/>
      <c r="N228" s="282" t="str">
        <f>IF(M228="","",IF(AND(D228&lt;&gt;"Culvert",M228="N/A - Culvert"),"Not possible ▲",IF(AND(D228="Culvert",M228&lt;&gt;"N/A - Culvert"),"Not possible ▲",IF(VLOOKUP(M228,'G-7 WaterC'' Data'!$AA$4:$AB$7,2,FALSE)=0,"Spatial Data Missing ⚠",VLOOKUP(M228,'G-7 WaterC'' Data'!$AA$4:$AB$7,2,FALSE)))))</f>
        <v/>
      </c>
      <c r="O228" s="56"/>
      <c r="P228" s="282" t="str">
        <f>IF(O228="","",IF(AND(O228="N/A - Culvert", D228&lt;&gt;"Culvert"),"Not possible ▲", IF(AND(D228="Culvert",O228&lt;&gt;"N/A - Culvert"),"Not possible ▲",IF(VLOOKUP(O228,'G-7 WaterC'' Data'!$AD$4:$AE$14,2,FALSE)=0,"Spatial Data Missing ⚠",VLOOKUP(O228,'G-7 WaterC'' Data'!$AD$4:$AE$14,2,FALSE)))))</f>
        <v/>
      </c>
      <c r="Q228" s="288" t="str">
        <f>IF(D228="","",VLOOKUP(D228,'G-7 WaterC'' Data'!$B$2:$G$8,6,FALSE))</f>
        <v/>
      </c>
      <c r="R228" s="295" t="str">
        <f t="shared" si="31"/>
        <v xml:space="preserve"> </v>
      </c>
      <c r="S228" s="820" t="str">
        <f t="shared" si="32"/>
        <v/>
      </c>
      <c r="T228" s="32"/>
      <c r="U228" s="105"/>
      <c r="V228" s="112"/>
      <c r="W228" s="293" t="str">
        <f t="shared" si="33"/>
        <v/>
      </c>
      <c r="X228" s="293" t="str">
        <f t="shared" si="34"/>
        <v/>
      </c>
      <c r="Y228" s="293" t="str">
        <f t="shared" si="35"/>
        <v/>
      </c>
      <c r="Z228" s="323" t="str">
        <f>IFERROR(IF(OR(E228="",R228=""),"",  IF(AND(Q228='G-7 WaterC'' Data'!$G$4,AA228="Yes"),"Alternative Compensation ✓", IF(AND(AA228="Pending", Q228='G-7 WaterC'' Data'!$G$4),"Bespoke compensation must be agreed ▲", IF((W228+X228)&gt;=R228, 0, R228-W228-X228)))),"Check Data ⚠")</f>
        <v/>
      </c>
      <c r="AA228" s="817"/>
      <c r="AB228" s="140"/>
      <c r="AC228" s="108"/>
      <c r="AD228" s="108"/>
      <c r="AE228" s="54" t="str">
        <f>IF(OR(Q228="",AA228="Yes"),"",IF(Q228='G-1 All Habitats'!$X$9,E228-U228-V228,"None"))</f>
        <v/>
      </c>
      <c r="AF228" s="55" t="str">
        <f>IF(Q228="","", IF(Q228='G-1 All Habitats'!$X$9, AE228*G228*I228*L228*N228*P228,"None"))</f>
        <v/>
      </c>
      <c r="AI228" s="30">
        <f t="shared" si="36"/>
        <v>0</v>
      </c>
      <c r="AJ228" s="111" t="str">
        <f t="shared" si="37"/>
        <v/>
      </c>
      <c r="AK228" s="111" t="str">
        <f t="shared" si="38"/>
        <v/>
      </c>
      <c r="AM228" s="111">
        <v>219</v>
      </c>
      <c r="AO228" s="111" t="str">
        <f t="array" ref="AO228">IFERROR(INDEX($AM$10:$AM$258, MATCH(0, IF(TRUE=$AJ$10:$AJ$258, COUNTIF($AO$9:$AO227, $AM$10:$AM$258), ""), 0)),"")</f>
        <v/>
      </c>
      <c r="AP228" s="111" t="str">
        <f t="array" ref="AP228">IFERROR(INDEX($AM$10:$AM$258, MATCH(0, IF(TRUE=$AK$10:$AK$258, COUNTIF($AP$9:$AP227, $AM$10:$AM$258), ""), 0)),"")</f>
        <v/>
      </c>
      <c r="AR228" s="30" t="str">
        <f>IFERROR(INDEX('G-7 WaterC'' Data'!$AZ$3:$AZ$7,MATCH(D228,'G-7 WaterC'' Data'!$AY$3:$AY$7,0)),"")</f>
        <v/>
      </c>
      <c r="AS228" s="30" t="str">
        <f>IFERROR(INDEX('G-7 WaterC'' Data'!AZ228:AZ232,MATCH(D228,'G-7 WaterC'' Data'!$AY$10:$AY$14,0)),"")</f>
        <v/>
      </c>
      <c r="AT228" s="903" t="str">
        <f>IF(AND(OR(AA228="Yes",AA228="Pending"),Q228='G-7 WaterC'' Data'!$G$4),R228-W228-X228,"")</f>
        <v/>
      </c>
      <c r="AU228" s="30" t="str">
        <f>IF(D228="","",VLOOKUP(D228,'G-7 WaterC'' Data'!B$4:M$8,12,FALSE))</f>
        <v/>
      </c>
      <c r="AV228" s="30" t="str">
        <f t="shared" si="30"/>
        <v/>
      </c>
      <c r="AX228" s="30" t="str">
        <f t="shared" si="39"/>
        <v>No</v>
      </c>
    </row>
    <row r="229" spans="3:50" x14ac:dyDescent="0.25">
      <c r="C229" s="101">
        <v>220</v>
      </c>
      <c r="D229" s="267"/>
      <c r="E229" s="119"/>
      <c r="F229" s="281" t="str">
        <f>IF(D229="","",VLOOKUP(D229,'G-7 WaterC'' Data'!$B$2:$G$8,2,FALSE))</f>
        <v/>
      </c>
      <c r="G229" s="282" t="str">
        <f>IFERROR(VLOOKUP(F229,'G-7 WaterC'' Data'!$C$4:$D$8,2,FALSE),"")</f>
        <v/>
      </c>
      <c r="H229" s="52"/>
      <c r="I229" s="282" t="str">
        <f>IFERROR(INDEX('G-7 WaterC'' Data'!$H$4:$L$8,MATCH(D229,'G-7 WaterC'' Data'!$B$4:$B$8,0),MATCH(H229,'G-7 WaterC'' Data'!$H$3:$L$3,0)),"")</f>
        <v/>
      </c>
      <c r="J229" s="793"/>
      <c r="K229" s="317" t="str">
        <f>IF(J229="","",IF(VLOOKUP(J229,'G-7 WaterC'' Data'!$AK$4:$AM$6,2,FALSE)=0,"Spatial Data Missing ⚠",VLOOKUP(J229,'G-7 WaterC'' Data'!$AK$4:$AM$6,2,FALSE)))</f>
        <v/>
      </c>
      <c r="L229" s="287" t="str">
        <f>IF(J229="","",IF(VLOOKUP(J229,'G-7 WaterC'' Data'!$AK$4:$AM$9,3,FALSE)=0,"Spatial Data Missing ⚠",VLOOKUP(J229,'G-7 WaterC'' Data'!$AK$4:$AM$6,3,FALSE)))</f>
        <v/>
      </c>
      <c r="M229" s="52"/>
      <c r="N229" s="282" t="str">
        <f>IF(M229="","",IF(AND(D229&lt;&gt;"Culvert",M229="N/A - Culvert"),"Not possible ▲",IF(AND(D229="Culvert",M229&lt;&gt;"N/A - Culvert"),"Not possible ▲",IF(VLOOKUP(M229,'G-7 WaterC'' Data'!$AA$4:$AB$7,2,FALSE)=0,"Spatial Data Missing ⚠",VLOOKUP(M229,'G-7 WaterC'' Data'!$AA$4:$AB$7,2,FALSE)))))</f>
        <v/>
      </c>
      <c r="O229" s="56"/>
      <c r="P229" s="282" t="str">
        <f>IF(O229="","",IF(AND(O229="N/A - Culvert", D229&lt;&gt;"Culvert"),"Not possible ▲", IF(AND(D229="Culvert",O229&lt;&gt;"N/A - Culvert"),"Not possible ▲",IF(VLOOKUP(O229,'G-7 WaterC'' Data'!$AD$4:$AE$14,2,FALSE)=0,"Spatial Data Missing ⚠",VLOOKUP(O229,'G-7 WaterC'' Data'!$AD$4:$AE$14,2,FALSE)))))</f>
        <v/>
      </c>
      <c r="Q229" s="288" t="str">
        <f>IF(D229="","",VLOOKUP(D229,'G-7 WaterC'' Data'!$B$2:$G$8,6,FALSE))</f>
        <v/>
      </c>
      <c r="R229" s="295" t="str">
        <f t="shared" si="31"/>
        <v xml:space="preserve"> </v>
      </c>
      <c r="S229" s="820" t="str">
        <f t="shared" si="32"/>
        <v/>
      </c>
      <c r="T229" s="32"/>
      <c r="U229" s="105"/>
      <c r="V229" s="112"/>
      <c r="W229" s="293" t="str">
        <f t="shared" si="33"/>
        <v/>
      </c>
      <c r="X229" s="293" t="str">
        <f t="shared" si="34"/>
        <v/>
      </c>
      <c r="Y229" s="293" t="str">
        <f t="shared" si="35"/>
        <v/>
      </c>
      <c r="Z229" s="323" t="str">
        <f>IFERROR(IF(OR(E229="",R229=""),"",  IF(AND(Q229='G-7 WaterC'' Data'!$G$4,AA229="Yes"),"Alternative Compensation ✓", IF(AND(AA229="Pending", Q229='G-7 WaterC'' Data'!$G$4),"Bespoke compensation must be agreed ▲", IF((W229+X229)&gt;=R229, 0, R229-W229-X229)))),"Check Data ⚠")</f>
        <v/>
      </c>
      <c r="AA229" s="817"/>
      <c r="AB229" s="140"/>
      <c r="AC229" s="108"/>
      <c r="AD229" s="108"/>
      <c r="AE229" s="54" t="str">
        <f>IF(OR(Q229="",AA229="Yes"),"",IF(Q229='G-1 All Habitats'!$X$9,E229-U229-V229,"None"))</f>
        <v/>
      </c>
      <c r="AF229" s="55" t="str">
        <f>IF(Q229="","", IF(Q229='G-1 All Habitats'!$X$9, AE229*G229*I229*L229*N229*P229,"None"))</f>
        <v/>
      </c>
      <c r="AI229" s="30">
        <f t="shared" si="36"/>
        <v>0</v>
      </c>
      <c r="AJ229" s="111" t="str">
        <f t="shared" si="37"/>
        <v/>
      </c>
      <c r="AK229" s="111" t="str">
        <f t="shared" si="38"/>
        <v/>
      </c>
      <c r="AM229" s="111">
        <v>220</v>
      </c>
      <c r="AO229" s="111" t="str">
        <f t="array" ref="AO229">IFERROR(INDEX($AM$10:$AM$258, MATCH(0, IF(TRUE=$AJ$10:$AJ$258, COUNTIF($AO$9:$AO228, $AM$10:$AM$258), ""), 0)),"")</f>
        <v/>
      </c>
      <c r="AP229" s="111" t="str">
        <f t="array" ref="AP229">IFERROR(INDEX($AM$10:$AM$258, MATCH(0, IF(TRUE=$AK$10:$AK$258, COUNTIF($AP$9:$AP228, $AM$10:$AM$258), ""), 0)),"")</f>
        <v/>
      </c>
      <c r="AR229" s="30" t="str">
        <f>IFERROR(INDEX('G-7 WaterC'' Data'!$AZ$3:$AZ$7,MATCH(D229,'G-7 WaterC'' Data'!$AY$3:$AY$7,0)),"")</f>
        <v/>
      </c>
      <c r="AS229" s="30" t="str">
        <f>IFERROR(INDEX('G-7 WaterC'' Data'!AZ229:AZ233,MATCH(D229,'G-7 WaterC'' Data'!$AY$10:$AY$14,0)),"")</f>
        <v/>
      </c>
      <c r="AT229" s="903" t="str">
        <f>IF(AND(OR(AA229="Yes",AA229="Pending"),Q229='G-7 WaterC'' Data'!$G$4),R229-W229-X229,"")</f>
        <v/>
      </c>
      <c r="AU229" s="30" t="str">
        <f>IF(D229="","",VLOOKUP(D229,'G-7 WaterC'' Data'!B$4:M$8,12,FALSE))</f>
        <v/>
      </c>
      <c r="AV229" s="30" t="str">
        <f t="shared" si="30"/>
        <v/>
      </c>
      <c r="AX229" s="30" t="str">
        <f t="shared" si="39"/>
        <v>No</v>
      </c>
    </row>
    <row r="230" spans="3:50" x14ac:dyDescent="0.25">
      <c r="C230" s="101">
        <v>221</v>
      </c>
      <c r="D230" s="267"/>
      <c r="E230" s="119"/>
      <c r="F230" s="281" t="str">
        <f>IF(D230="","",VLOOKUP(D230,'G-7 WaterC'' Data'!$B$2:$G$8,2,FALSE))</f>
        <v/>
      </c>
      <c r="G230" s="282" t="str">
        <f>IFERROR(VLOOKUP(F230,'G-7 WaterC'' Data'!$C$4:$D$8,2,FALSE),"")</f>
        <v/>
      </c>
      <c r="H230" s="52"/>
      <c r="I230" s="282" t="str">
        <f>IFERROR(INDEX('G-7 WaterC'' Data'!$H$4:$L$8,MATCH(D230,'G-7 WaterC'' Data'!$B$4:$B$8,0),MATCH(H230,'G-7 WaterC'' Data'!$H$3:$L$3,0)),"")</f>
        <v/>
      </c>
      <c r="J230" s="793"/>
      <c r="K230" s="317" t="str">
        <f>IF(J230="","",IF(VLOOKUP(J230,'G-7 WaterC'' Data'!$AK$4:$AM$6,2,FALSE)=0,"Spatial Data Missing ⚠",VLOOKUP(J230,'G-7 WaterC'' Data'!$AK$4:$AM$6,2,FALSE)))</f>
        <v/>
      </c>
      <c r="L230" s="287" t="str">
        <f>IF(J230="","",IF(VLOOKUP(J230,'G-7 WaterC'' Data'!$AK$4:$AM$9,3,FALSE)=0,"Spatial Data Missing ⚠",VLOOKUP(J230,'G-7 WaterC'' Data'!$AK$4:$AM$6,3,FALSE)))</f>
        <v/>
      </c>
      <c r="M230" s="52"/>
      <c r="N230" s="282" t="str">
        <f>IF(M230="","",IF(AND(D230&lt;&gt;"Culvert",M230="N/A - Culvert"),"Not possible ▲",IF(AND(D230="Culvert",M230&lt;&gt;"N/A - Culvert"),"Not possible ▲",IF(VLOOKUP(M230,'G-7 WaterC'' Data'!$AA$4:$AB$7,2,FALSE)=0,"Spatial Data Missing ⚠",VLOOKUP(M230,'G-7 WaterC'' Data'!$AA$4:$AB$7,2,FALSE)))))</f>
        <v/>
      </c>
      <c r="O230" s="56"/>
      <c r="P230" s="282" t="str">
        <f>IF(O230="","",IF(AND(O230="N/A - Culvert", D230&lt;&gt;"Culvert"),"Not possible ▲", IF(AND(D230="Culvert",O230&lt;&gt;"N/A - Culvert"),"Not possible ▲",IF(VLOOKUP(O230,'G-7 WaterC'' Data'!$AD$4:$AE$14,2,FALSE)=0,"Spatial Data Missing ⚠",VLOOKUP(O230,'G-7 WaterC'' Data'!$AD$4:$AE$14,2,FALSE)))))</f>
        <v/>
      </c>
      <c r="Q230" s="288" t="str">
        <f>IF(D230="","",VLOOKUP(D230,'G-7 WaterC'' Data'!$B$2:$G$8,6,FALSE))</f>
        <v/>
      </c>
      <c r="R230" s="295" t="str">
        <f t="shared" si="31"/>
        <v xml:space="preserve"> </v>
      </c>
      <c r="S230" s="820" t="str">
        <f t="shared" si="32"/>
        <v/>
      </c>
      <c r="T230" s="32"/>
      <c r="U230" s="105"/>
      <c r="V230" s="112"/>
      <c r="W230" s="293" t="str">
        <f t="shared" si="33"/>
        <v/>
      </c>
      <c r="X230" s="293" t="str">
        <f t="shared" si="34"/>
        <v/>
      </c>
      <c r="Y230" s="293" t="str">
        <f t="shared" si="35"/>
        <v/>
      </c>
      <c r="Z230" s="323" t="str">
        <f>IFERROR(IF(OR(E230="",R230=""),"",  IF(AND(Q230='G-7 WaterC'' Data'!$G$4,AA230="Yes"),"Alternative Compensation ✓", IF(AND(AA230="Pending", Q230='G-7 WaterC'' Data'!$G$4),"Bespoke compensation must be agreed ▲", IF((W230+X230)&gt;=R230, 0, R230-W230-X230)))),"Check Data ⚠")</f>
        <v/>
      </c>
      <c r="AA230" s="817"/>
      <c r="AB230" s="140"/>
      <c r="AC230" s="108"/>
      <c r="AD230" s="108"/>
      <c r="AE230" s="54" t="str">
        <f>IF(OR(Q230="",AA230="Yes"),"",IF(Q230='G-1 All Habitats'!$X$9,E230-U230-V230,"None"))</f>
        <v/>
      </c>
      <c r="AF230" s="55" t="str">
        <f>IF(Q230="","", IF(Q230='G-1 All Habitats'!$X$9, AE230*G230*I230*L230*N230*P230,"None"))</f>
        <v/>
      </c>
      <c r="AI230" s="30">
        <f t="shared" si="36"/>
        <v>0</v>
      </c>
      <c r="AJ230" s="111" t="str">
        <f t="shared" si="37"/>
        <v/>
      </c>
      <c r="AK230" s="111" t="str">
        <f t="shared" si="38"/>
        <v/>
      </c>
      <c r="AM230" s="111">
        <v>221</v>
      </c>
      <c r="AO230" s="111" t="str">
        <f t="array" ref="AO230">IFERROR(INDEX($AM$10:$AM$258, MATCH(0, IF(TRUE=$AJ$10:$AJ$258, COUNTIF($AO$9:$AO229, $AM$10:$AM$258), ""), 0)),"")</f>
        <v/>
      </c>
      <c r="AP230" s="111" t="str">
        <f t="array" ref="AP230">IFERROR(INDEX($AM$10:$AM$258, MATCH(0, IF(TRUE=$AK$10:$AK$258, COUNTIF($AP$9:$AP229, $AM$10:$AM$258), ""), 0)),"")</f>
        <v/>
      </c>
      <c r="AR230" s="30" t="str">
        <f>IFERROR(INDEX('G-7 WaterC'' Data'!$AZ$3:$AZ$7,MATCH(D230,'G-7 WaterC'' Data'!$AY$3:$AY$7,0)),"")</f>
        <v/>
      </c>
      <c r="AS230" s="30" t="str">
        <f>IFERROR(INDEX('G-7 WaterC'' Data'!AZ230:AZ234,MATCH(D230,'G-7 WaterC'' Data'!$AY$10:$AY$14,0)),"")</f>
        <v/>
      </c>
      <c r="AT230" s="903" t="str">
        <f>IF(AND(OR(AA230="Yes",AA230="Pending"),Q230='G-7 WaterC'' Data'!$G$4),R230-W230-X230,"")</f>
        <v/>
      </c>
      <c r="AU230" s="30" t="str">
        <f>IF(D230="","",VLOOKUP(D230,'G-7 WaterC'' Data'!B$4:M$8,12,FALSE))</f>
        <v/>
      </c>
      <c r="AV230" s="30" t="str">
        <f t="shared" si="30"/>
        <v/>
      </c>
      <c r="AX230" s="30" t="str">
        <f t="shared" si="39"/>
        <v>No</v>
      </c>
    </row>
    <row r="231" spans="3:50" x14ac:dyDescent="0.25">
      <c r="C231" s="101">
        <v>222</v>
      </c>
      <c r="D231" s="267"/>
      <c r="E231" s="119"/>
      <c r="F231" s="281" t="str">
        <f>IF(D231="","",VLOOKUP(D231,'G-7 WaterC'' Data'!$B$2:$G$8,2,FALSE))</f>
        <v/>
      </c>
      <c r="G231" s="282" t="str">
        <f>IFERROR(VLOOKUP(F231,'G-7 WaterC'' Data'!$C$4:$D$8,2,FALSE),"")</f>
        <v/>
      </c>
      <c r="H231" s="52"/>
      <c r="I231" s="282" t="str">
        <f>IFERROR(INDEX('G-7 WaterC'' Data'!$H$4:$L$8,MATCH(D231,'G-7 WaterC'' Data'!$B$4:$B$8,0),MATCH(H231,'G-7 WaterC'' Data'!$H$3:$L$3,0)),"")</f>
        <v/>
      </c>
      <c r="J231" s="793"/>
      <c r="K231" s="317" t="str">
        <f>IF(J231="","",IF(VLOOKUP(J231,'G-7 WaterC'' Data'!$AK$4:$AM$6,2,FALSE)=0,"Spatial Data Missing ⚠",VLOOKUP(J231,'G-7 WaterC'' Data'!$AK$4:$AM$6,2,FALSE)))</f>
        <v/>
      </c>
      <c r="L231" s="287" t="str">
        <f>IF(J231="","",IF(VLOOKUP(J231,'G-7 WaterC'' Data'!$AK$4:$AM$9,3,FALSE)=0,"Spatial Data Missing ⚠",VLOOKUP(J231,'G-7 WaterC'' Data'!$AK$4:$AM$6,3,FALSE)))</f>
        <v/>
      </c>
      <c r="M231" s="52"/>
      <c r="N231" s="282" t="str">
        <f>IF(M231="","",IF(AND(D231&lt;&gt;"Culvert",M231="N/A - Culvert"),"Not possible ▲",IF(AND(D231="Culvert",M231&lt;&gt;"N/A - Culvert"),"Not possible ▲",IF(VLOOKUP(M231,'G-7 WaterC'' Data'!$AA$4:$AB$7,2,FALSE)=0,"Spatial Data Missing ⚠",VLOOKUP(M231,'G-7 WaterC'' Data'!$AA$4:$AB$7,2,FALSE)))))</f>
        <v/>
      </c>
      <c r="O231" s="56"/>
      <c r="P231" s="282" t="str">
        <f>IF(O231="","",IF(AND(O231="N/A - Culvert", D231&lt;&gt;"Culvert"),"Not possible ▲", IF(AND(D231="Culvert",O231&lt;&gt;"N/A - Culvert"),"Not possible ▲",IF(VLOOKUP(O231,'G-7 WaterC'' Data'!$AD$4:$AE$14,2,FALSE)=0,"Spatial Data Missing ⚠",VLOOKUP(O231,'G-7 WaterC'' Data'!$AD$4:$AE$14,2,FALSE)))))</f>
        <v/>
      </c>
      <c r="Q231" s="288" t="str">
        <f>IF(D231="","",VLOOKUP(D231,'G-7 WaterC'' Data'!$B$2:$G$8,6,FALSE))</f>
        <v/>
      </c>
      <c r="R231" s="295" t="str">
        <f t="shared" si="31"/>
        <v xml:space="preserve"> </v>
      </c>
      <c r="S231" s="820" t="str">
        <f t="shared" si="32"/>
        <v/>
      </c>
      <c r="T231" s="32"/>
      <c r="U231" s="105"/>
      <c r="V231" s="112"/>
      <c r="W231" s="293" t="str">
        <f t="shared" si="33"/>
        <v/>
      </c>
      <c r="X231" s="293" t="str">
        <f t="shared" si="34"/>
        <v/>
      </c>
      <c r="Y231" s="293" t="str">
        <f t="shared" si="35"/>
        <v/>
      </c>
      <c r="Z231" s="323" t="str">
        <f>IFERROR(IF(OR(E231="",R231=""),"",  IF(AND(Q231='G-7 WaterC'' Data'!$G$4,AA231="Yes"),"Alternative Compensation ✓", IF(AND(AA231="Pending", Q231='G-7 WaterC'' Data'!$G$4),"Bespoke compensation must be agreed ▲", IF((W231+X231)&gt;=R231, 0, R231-W231-X231)))),"Check Data ⚠")</f>
        <v/>
      </c>
      <c r="AA231" s="817"/>
      <c r="AB231" s="140"/>
      <c r="AC231" s="108"/>
      <c r="AD231" s="108"/>
      <c r="AE231" s="54" t="str">
        <f>IF(OR(Q231="",AA231="Yes"),"",IF(Q231='G-1 All Habitats'!$X$9,E231-U231-V231,"None"))</f>
        <v/>
      </c>
      <c r="AF231" s="55" t="str">
        <f>IF(Q231="","", IF(Q231='G-1 All Habitats'!$X$9, AE231*G231*I231*L231*N231*P231,"None"))</f>
        <v/>
      </c>
      <c r="AI231" s="30">
        <f t="shared" si="36"/>
        <v>0</v>
      </c>
      <c r="AJ231" s="111" t="str">
        <f t="shared" si="37"/>
        <v/>
      </c>
      <c r="AK231" s="111" t="str">
        <f t="shared" si="38"/>
        <v/>
      </c>
      <c r="AM231" s="111">
        <v>222</v>
      </c>
      <c r="AO231" s="111" t="str">
        <f t="array" ref="AO231">IFERROR(INDEX($AM$10:$AM$258, MATCH(0, IF(TRUE=$AJ$10:$AJ$258, COUNTIF($AO$9:$AO230, $AM$10:$AM$258), ""), 0)),"")</f>
        <v/>
      </c>
      <c r="AP231" s="111" t="str">
        <f t="array" ref="AP231">IFERROR(INDEX($AM$10:$AM$258, MATCH(0, IF(TRUE=$AK$10:$AK$258, COUNTIF($AP$9:$AP230, $AM$10:$AM$258), ""), 0)),"")</f>
        <v/>
      </c>
      <c r="AR231" s="30" t="str">
        <f>IFERROR(INDEX('G-7 WaterC'' Data'!$AZ$3:$AZ$7,MATCH(D231,'G-7 WaterC'' Data'!$AY$3:$AY$7,0)),"")</f>
        <v/>
      </c>
      <c r="AS231" s="30" t="str">
        <f>IFERROR(INDEX('G-7 WaterC'' Data'!AZ231:AZ235,MATCH(D231,'G-7 WaterC'' Data'!$AY$10:$AY$14,0)),"")</f>
        <v/>
      </c>
      <c r="AT231" s="903" t="str">
        <f>IF(AND(OR(AA231="Yes",AA231="Pending"),Q231='G-7 WaterC'' Data'!$G$4),R231-W231-X231,"")</f>
        <v/>
      </c>
      <c r="AU231" s="30" t="str">
        <f>IF(D231="","",VLOOKUP(D231,'G-7 WaterC'' Data'!B$4:M$8,12,FALSE))</f>
        <v/>
      </c>
      <c r="AV231" s="30" t="str">
        <f t="shared" si="30"/>
        <v/>
      </c>
      <c r="AX231" s="30" t="str">
        <f t="shared" si="39"/>
        <v>No</v>
      </c>
    </row>
    <row r="232" spans="3:50" x14ac:dyDescent="0.25">
      <c r="C232" s="101">
        <v>223</v>
      </c>
      <c r="D232" s="267"/>
      <c r="E232" s="119"/>
      <c r="F232" s="281" t="str">
        <f>IF(D232="","",VLOOKUP(D232,'G-7 WaterC'' Data'!$B$2:$G$8,2,FALSE))</f>
        <v/>
      </c>
      <c r="G232" s="282" t="str">
        <f>IFERROR(VLOOKUP(F232,'G-7 WaterC'' Data'!$C$4:$D$8,2,FALSE),"")</f>
        <v/>
      </c>
      <c r="H232" s="52"/>
      <c r="I232" s="282" t="str">
        <f>IFERROR(INDEX('G-7 WaterC'' Data'!$H$4:$L$8,MATCH(D232,'G-7 WaterC'' Data'!$B$4:$B$8,0),MATCH(H232,'G-7 WaterC'' Data'!$H$3:$L$3,0)),"")</f>
        <v/>
      </c>
      <c r="J232" s="793"/>
      <c r="K232" s="317" t="str">
        <f>IF(J232="","",IF(VLOOKUP(J232,'G-7 WaterC'' Data'!$AK$4:$AM$6,2,FALSE)=0,"Spatial Data Missing ⚠",VLOOKUP(J232,'G-7 WaterC'' Data'!$AK$4:$AM$6,2,FALSE)))</f>
        <v/>
      </c>
      <c r="L232" s="287" t="str">
        <f>IF(J232="","",IF(VLOOKUP(J232,'G-7 WaterC'' Data'!$AK$4:$AM$9,3,FALSE)=0,"Spatial Data Missing ⚠",VLOOKUP(J232,'G-7 WaterC'' Data'!$AK$4:$AM$6,3,FALSE)))</f>
        <v/>
      </c>
      <c r="M232" s="52"/>
      <c r="N232" s="282" t="str">
        <f>IF(M232="","",IF(AND(D232&lt;&gt;"Culvert",M232="N/A - Culvert"),"Not possible ▲",IF(AND(D232="Culvert",M232&lt;&gt;"N/A - Culvert"),"Not possible ▲",IF(VLOOKUP(M232,'G-7 WaterC'' Data'!$AA$4:$AB$7,2,FALSE)=0,"Spatial Data Missing ⚠",VLOOKUP(M232,'G-7 WaterC'' Data'!$AA$4:$AB$7,2,FALSE)))))</f>
        <v/>
      </c>
      <c r="O232" s="56"/>
      <c r="P232" s="282" t="str">
        <f>IF(O232="","",IF(AND(O232="N/A - Culvert", D232&lt;&gt;"Culvert"),"Not possible ▲", IF(AND(D232="Culvert",O232&lt;&gt;"N/A - Culvert"),"Not possible ▲",IF(VLOOKUP(O232,'G-7 WaterC'' Data'!$AD$4:$AE$14,2,FALSE)=0,"Spatial Data Missing ⚠",VLOOKUP(O232,'G-7 WaterC'' Data'!$AD$4:$AE$14,2,FALSE)))))</f>
        <v/>
      </c>
      <c r="Q232" s="288" t="str">
        <f>IF(D232="","",VLOOKUP(D232,'G-7 WaterC'' Data'!$B$2:$G$8,6,FALSE))</f>
        <v/>
      </c>
      <c r="R232" s="295" t="str">
        <f t="shared" si="31"/>
        <v xml:space="preserve"> </v>
      </c>
      <c r="S232" s="820" t="str">
        <f t="shared" si="32"/>
        <v/>
      </c>
      <c r="T232" s="32"/>
      <c r="U232" s="105"/>
      <c r="V232" s="112"/>
      <c r="W232" s="293" t="str">
        <f t="shared" si="33"/>
        <v/>
      </c>
      <c r="X232" s="293" t="str">
        <f t="shared" si="34"/>
        <v/>
      </c>
      <c r="Y232" s="293" t="str">
        <f t="shared" si="35"/>
        <v/>
      </c>
      <c r="Z232" s="323" t="str">
        <f>IFERROR(IF(OR(E232="",R232=""),"",  IF(AND(Q232='G-7 WaterC'' Data'!$G$4,AA232="Yes"),"Alternative Compensation ✓", IF(AND(AA232="Pending", Q232='G-7 WaterC'' Data'!$G$4),"Bespoke compensation must be agreed ▲", IF((W232+X232)&gt;=R232, 0, R232-W232-X232)))),"Check Data ⚠")</f>
        <v/>
      </c>
      <c r="AA232" s="817"/>
      <c r="AB232" s="140"/>
      <c r="AC232" s="108"/>
      <c r="AD232" s="108"/>
      <c r="AE232" s="54" t="str">
        <f>IF(OR(Q232="",AA232="Yes"),"",IF(Q232='G-1 All Habitats'!$X$9,E232-U232-V232,"None"))</f>
        <v/>
      </c>
      <c r="AF232" s="55" t="str">
        <f>IF(Q232="","", IF(Q232='G-1 All Habitats'!$X$9, AE232*G232*I232*L232*N232*P232,"None"))</f>
        <v/>
      </c>
      <c r="AI232" s="30">
        <f t="shared" si="36"/>
        <v>0</v>
      </c>
      <c r="AJ232" s="111" t="str">
        <f t="shared" si="37"/>
        <v/>
      </c>
      <c r="AK232" s="111" t="str">
        <f t="shared" si="38"/>
        <v/>
      </c>
      <c r="AM232" s="111">
        <v>223</v>
      </c>
      <c r="AO232" s="111" t="str">
        <f t="array" ref="AO232">IFERROR(INDEX($AM$10:$AM$258, MATCH(0, IF(TRUE=$AJ$10:$AJ$258, COUNTIF($AO$9:$AO231, $AM$10:$AM$258), ""), 0)),"")</f>
        <v/>
      </c>
      <c r="AP232" s="111" t="str">
        <f t="array" ref="AP232">IFERROR(INDEX($AM$10:$AM$258, MATCH(0, IF(TRUE=$AK$10:$AK$258, COUNTIF($AP$9:$AP231, $AM$10:$AM$258), ""), 0)),"")</f>
        <v/>
      </c>
      <c r="AR232" s="30" t="str">
        <f>IFERROR(INDEX('G-7 WaterC'' Data'!$AZ$3:$AZ$7,MATCH(D232,'G-7 WaterC'' Data'!$AY$3:$AY$7,0)),"")</f>
        <v/>
      </c>
      <c r="AS232" s="30" t="str">
        <f>IFERROR(INDEX('G-7 WaterC'' Data'!AZ232:AZ236,MATCH(D232,'G-7 WaterC'' Data'!$AY$10:$AY$14,0)),"")</f>
        <v/>
      </c>
      <c r="AT232" s="903" t="str">
        <f>IF(AND(OR(AA232="Yes",AA232="Pending"),Q232='G-7 WaterC'' Data'!$G$4),R232-W232-X232,"")</f>
        <v/>
      </c>
      <c r="AU232" s="30" t="str">
        <f>IF(D232="","",VLOOKUP(D232,'G-7 WaterC'' Data'!B$4:M$8,12,FALSE))</f>
        <v/>
      </c>
      <c r="AV232" s="30" t="str">
        <f t="shared" si="30"/>
        <v/>
      </c>
      <c r="AX232" s="30" t="str">
        <f t="shared" si="39"/>
        <v>No</v>
      </c>
    </row>
    <row r="233" spans="3:50" x14ac:dyDescent="0.25">
      <c r="C233" s="101">
        <v>224</v>
      </c>
      <c r="D233" s="267"/>
      <c r="E233" s="119"/>
      <c r="F233" s="281" t="str">
        <f>IF(D233="","",VLOOKUP(D233,'G-7 WaterC'' Data'!$B$2:$G$8,2,FALSE))</f>
        <v/>
      </c>
      <c r="G233" s="282" t="str">
        <f>IFERROR(VLOOKUP(F233,'G-7 WaterC'' Data'!$C$4:$D$8,2,FALSE),"")</f>
        <v/>
      </c>
      <c r="H233" s="52"/>
      <c r="I233" s="282" t="str">
        <f>IFERROR(INDEX('G-7 WaterC'' Data'!$H$4:$L$8,MATCH(D233,'G-7 WaterC'' Data'!$B$4:$B$8,0),MATCH(H233,'G-7 WaterC'' Data'!$H$3:$L$3,0)),"")</f>
        <v/>
      </c>
      <c r="J233" s="793"/>
      <c r="K233" s="317" t="str">
        <f>IF(J233="","",IF(VLOOKUP(J233,'G-7 WaterC'' Data'!$AK$4:$AM$6,2,FALSE)=0,"Spatial Data Missing ⚠",VLOOKUP(J233,'G-7 WaterC'' Data'!$AK$4:$AM$6,2,FALSE)))</f>
        <v/>
      </c>
      <c r="L233" s="287" t="str">
        <f>IF(J233="","",IF(VLOOKUP(J233,'G-7 WaterC'' Data'!$AK$4:$AM$9,3,FALSE)=0,"Spatial Data Missing ⚠",VLOOKUP(J233,'G-7 WaterC'' Data'!$AK$4:$AM$6,3,FALSE)))</f>
        <v/>
      </c>
      <c r="M233" s="52"/>
      <c r="N233" s="282" t="str">
        <f>IF(M233="","",IF(AND(D233&lt;&gt;"Culvert",M233="N/A - Culvert"),"Not possible ▲",IF(AND(D233="Culvert",M233&lt;&gt;"N/A - Culvert"),"Not possible ▲",IF(VLOOKUP(M233,'G-7 WaterC'' Data'!$AA$4:$AB$7,2,FALSE)=0,"Spatial Data Missing ⚠",VLOOKUP(M233,'G-7 WaterC'' Data'!$AA$4:$AB$7,2,FALSE)))))</f>
        <v/>
      </c>
      <c r="O233" s="56"/>
      <c r="P233" s="282" t="str">
        <f>IF(O233="","",IF(AND(O233="N/A - Culvert", D233&lt;&gt;"Culvert"),"Not possible ▲", IF(AND(D233="Culvert",O233&lt;&gt;"N/A - Culvert"),"Not possible ▲",IF(VLOOKUP(O233,'G-7 WaterC'' Data'!$AD$4:$AE$14,2,FALSE)=0,"Spatial Data Missing ⚠",VLOOKUP(O233,'G-7 WaterC'' Data'!$AD$4:$AE$14,2,FALSE)))))</f>
        <v/>
      </c>
      <c r="Q233" s="288" t="str">
        <f>IF(D233="","",VLOOKUP(D233,'G-7 WaterC'' Data'!$B$2:$G$8,6,FALSE))</f>
        <v/>
      </c>
      <c r="R233" s="295" t="str">
        <f t="shared" si="31"/>
        <v xml:space="preserve"> </v>
      </c>
      <c r="S233" s="820" t="str">
        <f t="shared" si="32"/>
        <v/>
      </c>
      <c r="T233" s="32"/>
      <c r="U233" s="105"/>
      <c r="V233" s="112"/>
      <c r="W233" s="293" t="str">
        <f t="shared" si="33"/>
        <v/>
      </c>
      <c r="X233" s="293" t="str">
        <f t="shared" si="34"/>
        <v/>
      </c>
      <c r="Y233" s="293" t="str">
        <f t="shared" si="35"/>
        <v/>
      </c>
      <c r="Z233" s="323" t="str">
        <f>IFERROR(IF(OR(E233="",R233=""),"",  IF(AND(Q233='G-7 WaterC'' Data'!$G$4,AA233="Yes"),"Alternative Compensation ✓", IF(AND(AA233="Pending", Q233='G-7 WaterC'' Data'!$G$4),"Bespoke compensation must be agreed ▲", IF((W233+X233)&gt;=R233, 0, R233-W233-X233)))),"Check Data ⚠")</f>
        <v/>
      </c>
      <c r="AA233" s="817"/>
      <c r="AB233" s="140"/>
      <c r="AC233" s="108"/>
      <c r="AD233" s="108"/>
      <c r="AE233" s="54" t="str">
        <f>IF(OR(Q233="",AA233="Yes"),"",IF(Q233='G-1 All Habitats'!$X$9,E233-U233-V233,"None"))</f>
        <v/>
      </c>
      <c r="AF233" s="55" t="str">
        <f>IF(Q233="","", IF(Q233='G-1 All Habitats'!$X$9, AE233*G233*I233*L233*N233*P233,"None"))</f>
        <v/>
      </c>
      <c r="AI233" s="30">
        <f t="shared" si="36"/>
        <v>0</v>
      </c>
      <c r="AJ233" s="111" t="str">
        <f t="shared" si="37"/>
        <v/>
      </c>
      <c r="AK233" s="111" t="str">
        <f t="shared" si="38"/>
        <v/>
      </c>
      <c r="AM233" s="111">
        <v>224</v>
      </c>
      <c r="AO233" s="111" t="str">
        <f t="array" ref="AO233">IFERROR(INDEX($AM$10:$AM$258, MATCH(0, IF(TRUE=$AJ$10:$AJ$258, COUNTIF($AO$9:$AO232, $AM$10:$AM$258), ""), 0)),"")</f>
        <v/>
      </c>
      <c r="AP233" s="111" t="str">
        <f t="array" ref="AP233">IFERROR(INDEX($AM$10:$AM$258, MATCH(0, IF(TRUE=$AK$10:$AK$258, COUNTIF($AP$9:$AP232, $AM$10:$AM$258), ""), 0)),"")</f>
        <v/>
      </c>
      <c r="AR233" s="30" t="str">
        <f>IFERROR(INDEX('G-7 WaterC'' Data'!$AZ$3:$AZ$7,MATCH(D233,'G-7 WaterC'' Data'!$AY$3:$AY$7,0)),"")</f>
        <v/>
      </c>
      <c r="AS233" s="30" t="str">
        <f>IFERROR(INDEX('G-7 WaterC'' Data'!AZ233:AZ237,MATCH(D233,'G-7 WaterC'' Data'!$AY$10:$AY$14,0)),"")</f>
        <v/>
      </c>
      <c r="AT233" s="903" t="str">
        <f>IF(AND(OR(AA233="Yes",AA233="Pending"),Q233='G-7 WaterC'' Data'!$G$4),R233-W233-X233,"")</f>
        <v/>
      </c>
      <c r="AU233" s="30" t="str">
        <f>IF(D233="","",VLOOKUP(D233,'G-7 WaterC'' Data'!B$4:M$8,12,FALSE))</f>
        <v/>
      </c>
      <c r="AV233" s="30" t="str">
        <f t="shared" si="30"/>
        <v/>
      </c>
      <c r="AX233" s="30" t="str">
        <f t="shared" si="39"/>
        <v>No</v>
      </c>
    </row>
    <row r="234" spans="3:50" x14ac:dyDescent="0.25">
      <c r="C234" s="101">
        <v>225</v>
      </c>
      <c r="D234" s="267"/>
      <c r="E234" s="119"/>
      <c r="F234" s="281" t="str">
        <f>IF(D234="","",VLOOKUP(D234,'G-7 WaterC'' Data'!$B$2:$G$8,2,FALSE))</f>
        <v/>
      </c>
      <c r="G234" s="282" t="str">
        <f>IFERROR(VLOOKUP(F234,'G-7 WaterC'' Data'!$C$4:$D$8,2,FALSE),"")</f>
        <v/>
      </c>
      <c r="H234" s="52"/>
      <c r="I234" s="282" t="str">
        <f>IFERROR(INDEX('G-7 WaterC'' Data'!$H$4:$L$8,MATCH(D234,'G-7 WaterC'' Data'!$B$4:$B$8,0),MATCH(H234,'G-7 WaterC'' Data'!$H$3:$L$3,0)),"")</f>
        <v/>
      </c>
      <c r="J234" s="793"/>
      <c r="K234" s="317" t="str">
        <f>IF(J234="","",IF(VLOOKUP(J234,'G-7 WaterC'' Data'!$AK$4:$AM$6,2,FALSE)=0,"Spatial Data Missing ⚠",VLOOKUP(J234,'G-7 WaterC'' Data'!$AK$4:$AM$6,2,FALSE)))</f>
        <v/>
      </c>
      <c r="L234" s="287" t="str">
        <f>IF(J234="","",IF(VLOOKUP(J234,'G-7 WaterC'' Data'!$AK$4:$AM$9,3,FALSE)=0,"Spatial Data Missing ⚠",VLOOKUP(J234,'G-7 WaterC'' Data'!$AK$4:$AM$6,3,FALSE)))</f>
        <v/>
      </c>
      <c r="M234" s="52"/>
      <c r="N234" s="282" t="str">
        <f>IF(M234="","",IF(AND(D234&lt;&gt;"Culvert",M234="N/A - Culvert"),"Not possible ▲",IF(AND(D234="Culvert",M234&lt;&gt;"N/A - Culvert"),"Not possible ▲",IF(VLOOKUP(M234,'G-7 WaterC'' Data'!$AA$4:$AB$7,2,FALSE)=0,"Spatial Data Missing ⚠",VLOOKUP(M234,'G-7 WaterC'' Data'!$AA$4:$AB$7,2,FALSE)))))</f>
        <v/>
      </c>
      <c r="O234" s="56"/>
      <c r="P234" s="282" t="str">
        <f>IF(O234="","",IF(AND(O234="N/A - Culvert", D234&lt;&gt;"Culvert"),"Not possible ▲", IF(AND(D234="Culvert",O234&lt;&gt;"N/A - Culvert"),"Not possible ▲",IF(VLOOKUP(O234,'G-7 WaterC'' Data'!$AD$4:$AE$14,2,FALSE)=0,"Spatial Data Missing ⚠",VLOOKUP(O234,'G-7 WaterC'' Data'!$AD$4:$AE$14,2,FALSE)))))</f>
        <v/>
      </c>
      <c r="Q234" s="288" t="str">
        <f>IF(D234="","",VLOOKUP(D234,'G-7 WaterC'' Data'!$B$2:$G$8,6,FALSE))</f>
        <v/>
      </c>
      <c r="R234" s="295" t="str">
        <f t="shared" si="31"/>
        <v xml:space="preserve"> </v>
      </c>
      <c r="S234" s="820" t="str">
        <f t="shared" si="32"/>
        <v/>
      </c>
      <c r="T234" s="32"/>
      <c r="U234" s="105"/>
      <c r="V234" s="112"/>
      <c r="W234" s="293" t="str">
        <f t="shared" si="33"/>
        <v/>
      </c>
      <c r="X234" s="293" t="str">
        <f t="shared" si="34"/>
        <v/>
      </c>
      <c r="Y234" s="293" t="str">
        <f t="shared" si="35"/>
        <v/>
      </c>
      <c r="Z234" s="323" t="str">
        <f>IFERROR(IF(OR(E234="",R234=""),"",  IF(AND(Q234='G-7 WaterC'' Data'!$G$4,AA234="Yes"),"Alternative Compensation ✓", IF(AND(AA234="Pending", Q234='G-7 WaterC'' Data'!$G$4),"Bespoke compensation must be agreed ▲", IF((W234+X234)&gt;=R234, 0, R234-W234-X234)))),"Check Data ⚠")</f>
        <v/>
      </c>
      <c r="AA234" s="817"/>
      <c r="AB234" s="140"/>
      <c r="AC234" s="108"/>
      <c r="AD234" s="108"/>
      <c r="AE234" s="54" t="str">
        <f>IF(OR(Q234="",AA234="Yes"),"",IF(Q234='G-1 All Habitats'!$X$9,E234-U234-V234,"None"))</f>
        <v/>
      </c>
      <c r="AF234" s="55" t="str">
        <f>IF(Q234="","", IF(Q234='G-1 All Habitats'!$X$9, AE234*G234*I234*L234*N234*P234,"None"))</f>
        <v/>
      </c>
      <c r="AI234" s="30">
        <f t="shared" si="36"/>
        <v>0</v>
      </c>
      <c r="AJ234" s="111" t="str">
        <f t="shared" si="37"/>
        <v/>
      </c>
      <c r="AK234" s="111" t="str">
        <f t="shared" si="38"/>
        <v/>
      </c>
      <c r="AM234" s="111">
        <v>225</v>
      </c>
      <c r="AO234" s="111" t="str">
        <f t="array" ref="AO234">IFERROR(INDEX($AM$10:$AM$258, MATCH(0, IF(TRUE=$AJ$10:$AJ$258, COUNTIF($AO$9:$AO233, $AM$10:$AM$258), ""), 0)),"")</f>
        <v/>
      </c>
      <c r="AP234" s="111" t="str">
        <f t="array" ref="AP234">IFERROR(INDEX($AM$10:$AM$258, MATCH(0, IF(TRUE=$AK$10:$AK$258, COUNTIF($AP$9:$AP233, $AM$10:$AM$258), ""), 0)),"")</f>
        <v/>
      </c>
      <c r="AR234" s="30" t="str">
        <f>IFERROR(INDEX('G-7 WaterC'' Data'!$AZ$3:$AZ$7,MATCH(D234,'G-7 WaterC'' Data'!$AY$3:$AY$7,0)),"")</f>
        <v/>
      </c>
      <c r="AS234" s="30" t="str">
        <f>IFERROR(INDEX('G-7 WaterC'' Data'!AZ234:AZ238,MATCH(D234,'G-7 WaterC'' Data'!$AY$10:$AY$14,0)),"")</f>
        <v/>
      </c>
      <c r="AT234" s="903" t="str">
        <f>IF(AND(OR(AA234="Yes",AA234="Pending"),Q234='G-7 WaterC'' Data'!$G$4),R234-W234-X234,"")</f>
        <v/>
      </c>
      <c r="AU234" s="30" t="str">
        <f>IF(D234="","",VLOOKUP(D234,'G-7 WaterC'' Data'!B$4:M$8,12,FALSE))</f>
        <v/>
      </c>
      <c r="AV234" s="30" t="str">
        <f t="shared" si="30"/>
        <v/>
      </c>
      <c r="AX234" s="30" t="str">
        <f t="shared" si="39"/>
        <v>No</v>
      </c>
    </row>
    <row r="235" spans="3:50" x14ac:dyDescent="0.25">
      <c r="C235" s="101">
        <v>226</v>
      </c>
      <c r="D235" s="267"/>
      <c r="E235" s="119"/>
      <c r="F235" s="281" t="str">
        <f>IF(D235="","",VLOOKUP(D235,'G-7 WaterC'' Data'!$B$2:$G$8,2,FALSE))</f>
        <v/>
      </c>
      <c r="G235" s="282" t="str">
        <f>IFERROR(VLOOKUP(F235,'G-7 WaterC'' Data'!$C$4:$D$8,2,FALSE),"")</f>
        <v/>
      </c>
      <c r="H235" s="52"/>
      <c r="I235" s="282" t="str">
        <f>IFERROR(INDEX('G-7 WaterC'' Data'!$H$4:$L$8,MATCH(D235,'G-7 WaterC'' Data'!$B$4:$B$8,0),MATCH(H235,'G-7 WaterC'' Data'!$H$3:$L$3,0)),"")</f>
        <v/>
      </c>
      <c r="J235" s="793"/>
      <c r="K235" s="317" t="str">
        <f>IF(J235="","",IF(VLOOKUP(J235,'G-7 WaterC'' Data'!$AK$4:$AM$6,2,FALSE)=0,"Spatial Data Missing ⚠",VLOOKUP(J235,'G-7 WaterC'' Data'!$AK$4:$AM$6,2,FALSE)))</f>
        <v/>
      </c>
      <c r="L235" s="287" t="str">
        <f>IF(J235="","",IF(VLOOKUP(J235,'G-7 WaterC'' Data'!$AK$4:$AM$9,3,FALSE)=0,"Spatial Data Missing ⚠",VLOOKUP(J235,'G-7 WaterC'' Data'!$AK$4:$AM$6,3,FALSE)))</f>
        <v/>
      </c>
      <c r="M235" s="52"/>
      <c r="N235" s="282" t="str">
        <f>IF(M235="","",IF(AND(D235&lt;&gt;"Culvert",M235="N/A - Culvert"),"Not possible ▲",IF(AND(D235="Culvert",M235&lt;&gt;"N/A - Culvert"),"Not possible ▲",IF(VLOOKUP(M235,'G-7 WaterC'' Data'!$AA$4:$AB$7,2,FALSE)=0,"Spatial Data Missing ⚠",VLOOKUP(M235,'G-7 WaterC'' Data'!$AA$4:$AB$7,2,FALSE)))))</f>
        <v/>
      </c>
      <c r="O235" s="56"/>
      <c r="P235" s="282" t="str">
        <f>IF(O235="","",IF(AND(O235="N/A - Culvert", D235&lt;&gt;"Culvert"),"Not possible ▲", IF(AND(D235="Culvert",O235&lt;&gt;"N/A - Culvert"),"Not possible ▲",IF(VLOOKUP(O235,'G-7 WaterC'' Data'!$AD$4:$AE$14,2,FALSE)=0,"Spatial Data Missing ⚠",VLOOKUP(O235,'G-7 WaterC'' Data'!$AD$4:$AE$14,2,FALSE)))))</f>
        <v/>
      </c>
      <c r="Q235" s="288" t="str">
        <f>IF(D235="","",VLOOKUP(D235,'G-7 WaterC'' Data'!$B$2:$G$8,6,FALSE))</f>
        <v/>
      </c>
      <c r="R235" s="295" t="str">
        <f t="shared" si="31"/>
        <v xml:space="preserve"> </v>
      </c>
      <c r="S235" s="820" t="str">
        <f t="shared" si="32"/>
        <v/>
      </c>
      <c r="T235" s="32"/>
      <c r="U235" s="105"/>
      <c r="V235" s="112"/>
      <c r="W235" s="293" t="str">
        <f t="shared" si="33"/>
        <v/>
      </c>
      <c r="X235" s="293" t="str">
        <f t="shared" si="34"/>
        <v/>
      </c>
      <c r="Y235" s="293" t="str">
        <f t="shared" si="35"/>
        <v/>
      </c>
      <c r="Z235" s="323" t="str">
        <f>IFERROR(IF(OR(E235="",R235=""),"",  IF(AND(Q235='G-7 WaterC'' Data'!$G$4,AA235="Yes"),"Alternative Compensation ✓", IF(AND(AA235="Pending", Q235='G-7 WaterC'' Data'!$G$4),"Bespoke compensation must be agreed ▲", IF((W235+X235)&gt;=R235, 0, R235-W235-X235)))),"Check Data ⚠")</f>
        <v/>
      </c>
      <c r="AA235" s="817"/>
      <c r="AB235" s="140"/>
      <c r="AC235" s="108"/>
      <c r="AD235" s="108"/>
      <c r="AE235" s="54" t="str">
        <f>IF(OR(Q235="",AA235="Yes"),"",IF(Q235='G-1 All Habitats'!$X$9,E235-U235-V235,"None"))</f>
        <v/>
      </c>
      <c r="AF235" s="55" t="str">
        <f>IF(Q235="","", IF(Q235='G-1 All Habitats'!$X$9, AE235*G235*I235*L235*N235*P235,"None"))</f>
        <v/>
      </c>
      <c r="AI235" s="30">
        <f t="shared" si="36"/>
        <v>0</v>
      </c>
      <c r="AJ235" s="111" t="str">
        <f t="shared" si="37"/>
        <v/>
      </c>
      <c r="AK235" s="111" t="str">
        <f t="shared" si="38"/>
        <v/>
      </c>
      <c r="AM235" s="111">
        <v>226</v>
      </c>
      <c r="AO235" s="111" t="str">
        <f t="array" ref="AO235">IFERROR(INDEX($AM$10:$AM$258, MATCH(0, IF(TRUE=$AJ$10:$AJ$258, COUNTIF($AO$9:$AO234, $AM$10:$AM$258), ""), 0)),"")</f>
        <v/>
      </c>
      <c r="AP235" s="111" t="str">
        <f t="array" ref="AP235">IFERROR(INDEX($AM$10:$AM$258, MATCH(0, IF(TRUE=$AK$10:$AK$258, COUNTIF($AP$9:$AP234, $AM$10:$AM$258), ""), 0)),"")</f>
        <v/>
      </c>
      <c r="AR235" s="30" t="str">
        <f>IFERROR(INDEX('G-7 WaterC'' Data'!$AZ$3:$AZ$7,MATCH(D235,'G-7 WaterC'' Data'!$AY$3:$AY$7,0)),"")</f>
        <v/>
      </c>
      <c r="AS235" s="30" t="str">
        <f>IFERROR(INDEX('G-7 WaterC'' Data'!AZ235:AZ239,MATCH(D235,'G-7 WaterC'' Data'!$AY$10:$AY$14,0)),"")</f>
        <v/>
      </c>
      <c r="AT235" s="903" t="str">
        <f>IF(AND(OR(AA235="Yes",AA235="Pending"),Q235='G-7 WaterC'' Data'!$G$4),R235-W235-X235,"")</f>
        <v/>
      </c>
      <c r="AU235" s="30" t="str">
        <f>IF(D235="","",VLOOKUP(D235,'G-7 WaterC'' Data'!B$4:M$8,12,FALSE))</f>
        <v/>
      </c>
      <c r="AV235" s="30" t="str">
        <f t="shared" si="30"/>
        <v/>
      </c>
      <c r="AX235" s="30" t="str">
        <f t="shared" si="39"/>
        <v>No</v>
      </c>
    </row>
    <row r="236" spans="3:50" x14ac:dyDescent="0.25">
      <c r="C236" s="101">
        <v>227</v>
      </c>
      <c r="D236" s="267"/>
      <c r="E236" s="119"/>
      <c r="F236" s="281" t="str">
        <f>IF(D236="","",VLOOKUP(D236,'G-7 WaterC'' Data'!$B$2:$G$8,2,FALSE))</f>
        <v/>
      </c>
      <c r="G236" s="282" t="str">
        <f>IFERROR(VLOOKUP(F236,'G-7 WaterC'' Data'!$C$4:$D$8,2,FALSE),"")</f>
        <v/>
      </c>
      <c r="H236" s="52"/>
      <c r="I236" s="282" t="str">
        <f>IFERROR(INDEX('G-7 WaterC'' Data'!$H$4:$L$8,MATCH(D236,'G-7 WaterC'' Data'!$B$4:$B$8,0),MATCH(H236,'G-7 WaterC'' Data'!$H$3:$L$3,0)),"")</f>
        <v/>
      </c>
      <c r="J236" s="793"/>
      <c r="K236" s="317" t="str">
        <f>IF(J236="","",IF(VLOOKUP(J236,'G-7 WaterC'' Data'!$AK$4:$AM$6,2,FALSE)=0,"Spatial Data Missing ⚠",VLOOKUP(J236,'G-7 WaterC'' Data'!$AK$4:$AM$6,2,FALSE)))</f>
        <v/>
      </c>
      <c r="L236" s="287" t="str">
        <f>IF(J236="","",IF(VLOOKUP(J236,'G-7 WaterC'' Data'!$AK$4:$AM$9,3,FALSE)=0,"Spatial Data Missing ⚠",VLOOKUP(J236,'G-7 WaterC'' Data'!$AK$4:$AM$6,3,FALSE)))</f>
        <v/>
      </c>
      <c r="M236" s="52"/>
      <c r="N236" s="282" t="str">
        <f>IF(M236="","",IF(AND(D236&lt;&gt;"Culvert",M236="N/A - Culvert"),"Not possible ▲",IF(AND(D236="Culvert",M236&lt;&gt;"N/A - Culvert"),"Not possible ▲",IF(VLOOKUP(M236,'G-7 WaterC'' Data'!$AA$4:$AB$7,2,FALSE)=0,"Spatial Data Missing ⚠",VLOOKUP(M236,'G-7 WaterC'' Data'!$AA$4:$AB$7,2,FALSE)))))</f>
        <v/>
      </c>
      <c r="O236" s="56"/>
      <c r="P236" s="282" t="str">
        <f>IF(O236="","",IF(AND(O236="N/A - Culvert", D236&lt;&gt;"Culvert"),"Not possible ▲", IF(AND(D236="Culvert",O236&lt;&gt;"N/A - Culvert"),"Not possible ▲",IF(VLOOKUP(O236,'G-7 WaterC'' Data'!$AD$4:$AE$14,2,FALSE)=0,"Spatial Data Missing ⚠",VLOOKUP(O236,'G-7 WaterC'' Data'!$AD$4:$AE$14,2,FALSE)))))</f>
        <v/>
      </c>
      <c r="Q236" s="288" t="str">
        <f>IF(D236="","",VLOOKUP(D236,'G-7 WaterC'' Data'!$B$2:$G$8,6,FALSE))</f>
        <v/>
      </c>
      <c r="R236" s="295" t="str">
        <f t="shared" si="31"/>
        <v xml:space="preserve"> </v>
      </c>
      <c r="S236" s="820" t="str">
        <f t="shared" si="32"/>
        <v/>
      </c>
      <c r="T236" s="32"/>
      <c r="U236" s="105"/>
      <c r="V236" s="112"/>
      <c r="W236" s="293" t="str">
        <f t="shared" si="33"/>
        <v/>
      </c>
      <c r="X236" s="293" t="str">
        <f t="shared" si="34"/>
        <v/>
      </c>
      <c r="Y236" s="293" t="str">
        <f t="shared" si="35"/>
        <v/>
      </c>
      <c r="Z236" s="323" t="str">
        <f>IFERROR(IF(OR(E236="",R236=""),"",  IF(AND(Q236='G-7 WaterC'' Data'!$G$4,AA236="Yes"),"Alternative Compensation ✓", IF(AND(AA236="Pending", Q236='G-7 WaterC'' Data'!$G$4),"Bespoke compensation must be agreed ▲", IF((W236+X236)&gt;=R236, 0, R236-W236-X236)))),"Check Data ⚠")</f>
        <v/>
      </c>
      <c r="AA236" s="817"/>
      <c r="AB236" s="140"/>
      <c r="AC236" s="108"/>
      <c r="AD236" s="108"/>
      <c r="AE236" s="54" t="str">
        <f>IF(OR(Q236="",AA236="Yes"),"",IF(Q236='G-1 All Habitats'!$X$9,E236-U236-V236,"None"))</f>
        <v/>
      </c>
      <c r="AF236" s="55" t="str">
        <f>IF(Q236="","", IF(Q236='G-1 All Habitats'!$X$9, AE236*G236*I236*L236*N236*P236,"None"))</f>
        <v/>
      </c>
      <c r="AI236" s="30">
        <f t="shared" si="36"/>
        <v>0</v>
      </c>
      <c r="AJ236" s="111" t="str">
        <f t="shared" si="37"/>
        <v/>
      </c>
      <c r="AK236" s="111" t="str">
        <f t="shared" si="38"/>
        <v/>
      </c>
      <c r="AM236" s="111">
        <v>227</v>
      </c>
      <c r="AO236" s="111" t="str">
        <f t="array" ref="AO236">IFERROR(INDEX($AM$10:$AM$258, MATCH(0, IF(TRUE=$AJ$10:$AJ$258, COUNTIF($AO$9:$AO235, $AM$10:$AM$258), ""), 0)),"")</f>
        <v/>
      </c>
      <c r="AP236" s="111" t="str">
        <f t="array" ref="AP236">IFERROR(INDEX($AM$10:$AM$258, MATCH(0, IF(TRUE=$AK$10:$AK$258, COUNTIF($AP$9:$AP235, $AM$10:$AM$258), ""), 0)),"")</f>
        <v/>
      </c>
      <c r="AR236" s="30" t="str">
        <f>IFERROR(INDEX('G-7 WaterC'' Data'!$AZ$3:$AZ$7,MATCH(D236,'G-7 WaterC'' Data'!$AY$3:$AY$7,0)),"")</f>
        <v/>
      </c>
      <c r="AS236" s="30" t="str">
        <f>IFERROR(INDEX('G-7 WaterC'' Data'!AZ236:AZ240,MATCH(D236,'G-7 WaterC'' Data'!$AY$10:$AY$14,0)),"")</f>
        <v/>
      </c>
      <c r="AT236" s="903" t="str">
        <f>IF(AND(OR(AA236="Yes",AA236="Pending"),Q236='G-7 WaterC'' Data'!$G$4),R236-W236-X236,"")</f>
        <v/>
      </c>
      <c r="AU236" s="30" t="str">
        <f>IF(D236="","",VLOOKUP(D236,'G-7 WaterC'' Data'!B$4:M$8,12,FALSE))</f>
        <v/>
      </c>
      <c r="AV236" s="30" t="str">
        <f t="shared" si="30"/>
        <v/>
      </c>
      <c r="AX236" s="30" t="str">
        <f t="shared" si="39"/>
        <v>No</v>
      </c>
    </row>
    <row r="237" spans="3:50" x14ac:dyDescent="0.25">
      <c r="C237" s="101">
        <v>228</v>
      </c>
      <c r="D237" s="267"/>
      <c r="E237" s="119"/>
      <c r="F237" s="281" t="str">
        <f>IF(D237="","",VLOOKUP(D237,'G-7 WaterC'' Data'!$B$2:$G$8,2,FALSE))</f>
        <v/>
      </c>
      <c r="G237" s="282" t="str">
        <f>IFERROR(VLOOKUP(F237,'G-7 WaterC'' Data'!$C$4:$D$8,2,FALSE),"")</f>
        <v/>
      </c>
      <c r="H237" s="52"/>
      <c r="I237" s="282" t="str">
        <f>IFERROR(INDEX('G-7 WaterC'' Data'!$H$4:$L$8,MATCH(D237,'G-7 WaterC'' Data'!$B$4:$B$8,0),MATCH(H237,'G-7 WaterC'' Data'!$H$3:$L$3,0)),"")</f>
        <v/>
      </c>
      <c r="J237" s="793"/>
      <c r="K237" s="317" t="str">
        <f>IF(J237="","",IF(VLOOKUP(J237,'G-7 WaterC'' Data'!$AK$4:$AM$6,2,FALSE)=0,"Spatial Data Missing ⚠",VLOOKUP(J237,'G-7 WaterC'' Data'!$AK$4:$AM$6,2,FALSE)))</f>
        <v/>
      </c>
      <c r="L237" s="287" t="str">
        <f>IF(J237="","",IF(VLOOKUP(J237,'G-7 WaterC'' Data'!$AK$4:$AM$9,3,FALSE)=0,"Spatial Data Missing ⚠",VLOOKUP(J237,'G-7 WaterC'' Data'!$AK$4:$AM$6,3,FALSE)))</f>
        <v/>
      </c>
      <c r="M237" s="52"/>
      <c r="N237" s="282" t="str">
        <f>IF(M237="","",IF(AND(D237&lt;&gt;"Culvert",M237="N/A - Culvert"),"Not possible ▲",IF(AND(D237="Culvert",M237&lt;&gt;"N/A - Culvert"),"Not possible ▲",IF(VLOOKUP(M237,'G-7 WaterC'' Data'!$AA$4:$AB$7,2,FALSE)=0,"Spatial Data Missing ⚠",VLOOKUP(M237,'G-7 WaterC'' Data'!$AA$4:$AB$7,2,FALSE)))))</f>
        <v/>
      </c>
      <c r="O237" s="56"/>
      <c r="P237" s="282" t="str">
        <f>IF(O237="","",IF(AND(O237="N/A - Culvert", D237&lt;&gt;"Culvert"),"Not possible ▲", IF(AND(D237="Culvert",O237&lt;&gt;"N/A - Culvert"),"Not possible ▲",IF(VLOOKUP(O237,'G-7 WaterC'' Data'!$AD$4:$AE$14,2,FALSE)=0,"Spatial Data Missing ⚠",VLOOKUP(O237,'G-7 WaterC'' Data'!$AD$4:$AE$14,2,FALSE)))))</f>
        <v/>
      </c>
      <c r="Q237" s="288" t="str">
        <f>IF(D237="","",VLOOKUP(D237,'G-7 WaterC'' Data'!$B$2:$G$8,6,FALSE))</f>
        <v/>
      </c>
      <c r="R237" s="295" t="str">
        <f t="shared" si="31"/>
        <v xml:space="preserve"> </v>
      </c>
      <c r="S237" s="820" t="str">
        <f t="shared" si="32"/>
        <v/>
      </c>
      <c r="T237" s="32"/>
      <c r="U237" s="105"/>
      <c r="V237" s="112"/>
      <c r="W237" s="293" t="str">
        <f t="shared" si="33"/>
        <v/>
      </c>
      <c r="X237" s="293" t="str">
        <f t="shared" si="34"/>
        <v/>
      </c>
      <c r="Y237" s="293" t="str">
        <f t="shared" si="35"/>
        <v/>
      </c>
      <c r="Z237" s="323" t="str">
        <f>IFERROR(IF(OR(E237="",R237=""),"",  IF(AND(Q237='G-7 WaterC'' Data'!$G$4,AA237="Yes"),"Alternative Compensation ✓", IF(AND(AA237="Pending", Q237='G-7 WaterC'' Data'!$G$4),"Bespoke compensation must be agreed ▲", IF((W237+X237)&gt;=R237, 0, R237-W237-X237)))),"Check Data ⚠")</f>
        <v/>
      </c>
      <c r="AA237" s="817"/>
      <c r="AB237" s="140"/>
      <c r="AC237" s="108"/>
      <c r="AD237" s="108"/>
      <c r="AE237" s="54" t="str">
        <f>IF(OR(Q237="",AA237="Yes"),"",IF(Q237='G-1 All Habitats'!$X$9,E237-U237-V237,"None"))</f>
        <v/>
      </c>
      <c r="AF237" s="55" t="str">
        <f>IF(Q237="","", IF(Q237='G-1 All Habitats'!$X$9, AE237*G237*I237*L237*N237*P237,"None"))</f>
        <v/>
      </c>
      <c r="AI237" s="30">
        <f t="shared" si="36"/>
        <v>0</v>
      </c>
      <c r="AJ237" s="111" t="str">
        <f t="shared" si="37"/>
        <v/>
      </c>
      <c r="AK237" s="111" t="str">
        <f t="shared" si="38"/>
        <v/>
      </c>
      <c r="AM237" s="111">
        <v>228</v>
      </c>
      <c r="AO237" s="111" t="str">
        <f t="array" ref="AO237">IFERROR(INDEX($AM$10:$AM$258, MATCH(0, IF(TRUE=$AJ$10:$AJ$258, COUNTIF($AO$9:$AO236, $AM$10:$AM$258), ""), 0)),"")</f>
        <v/>
      </c>
      <c r="AP237" s="111" t="str">
        <f t="array" ref="AP237">IFERROR(INDEX($AM$10:$AM$258, MATCH(0, IF(TRUE=$AK$10:$AK$258, COUNTIF($AP$9:$AP236, $AM$10:$AM$258), ""), 0)),"")</f>
        <v/>
      </c>
      <c r="AR237" s="30" t="str">
        <f>IFERROR(INDEX('G-7 WaterC'' Data'!$AZ$3:$AZ$7,MATCH(D237,'G-7 WaterC'' Data'!$AY$3:$AY$7,0)),"")</f>
        <v/>
      </c>
      <c r="AS237" s="30" t="str">
        <f>IFERROR(INDEX('G-7 WaterC'' Data'!AZ237:AZ241,MATCH(D237,'G-7 WaterC'' Data'!$AY$10:$AY$14,0)),"")</f>
        <v/>
      </c>
      <c r="AT237" s="903" t="str">
        <f>IF(AND(OR(AA237="Yes",AA237="Pending"),Q237='G-7 WaterC'' Data'!$G$4),R237-W237-X237,"")</f>
        <v/>
      </c>
      <c r="AU237" s="30" t="str">
        <f>IF(D237="","",VLOOKUP(D237,'G-7 WaterC'' Data'!B$4:M$8,12,FALSE))</f>
        <v/>
      </c>
      <c r="AV237" s="30" t="str">
        <f t="shared" si="30"/>
        <v/>
      </c>
      <c r="AX237" s="30" t="str">
        <f t="shared" si="39"/>
        <v>No</v>
      </c>
    </row>
    <row r="238" spans="3:50" x14ac:dyDescent="0.25">
      <c r="C238" s="101">
        <v>229</v>
      </c>
      <c r="D238" s="267"/>
      <c r="E238" s="119"/>
      <c r="F238" s="281" t="str">
        <f>IF(D238="","",VLOOKUP(D238,'G-7 WaterC'' Data'!$B$2:$G$8,2,FALSE))</f>
        <v/>
      </c>
      <c r="G238" s="282" t="str">
        <f>IFERROR(VLOOKUP(F238,'G-7 WaterC'' Data'!$C$4:$D$8,2,FALSE),"")</f>
        <v/>
      </c>
      <c r="H238" s="52"/>
      <c r="I238" s="282" t="str">
        <f>IFERROR(INDEX('G-7 WaterC'' Data'!$H$4:$L$8,MATCH(D238,'G-7 WaterC'' Data'!$B$4:$B$8,0),MATCH(H238,'G-7 WaterC'' Data'!$H$3:$L$3,0)),"")</f>
        <v/>
      </c>
      <c r="J238" s="793"/>
      <c r="K238" s="317" t="str">
        <f>IF(J238="","",IF(VLOOKUP(J238,'G-7 WaterC'' Data'!$AK$4:$AM$6,2,FALSE)=0,"Spatial Data Missing ⚠",VLOOKUP(J238,'G-7 WaterC'' Data'!$AK$4:$AM$6,2,FALSE)))</f>
        <v/>
      </c>
      <c r="L238" s="287" t="str">
        <f>IF(J238="","",IF(VLOOKUP(J238,'G-7 WaterC'' Data'!$AK$4:$AM$9,3,FALSE)=0,"Spatial Data Missing ⚠",VLOOKUP(J238,'G-7 WaterC'' Data'!$AK$4:$AM$6,3,FALSE)))</f>
        <v/>
      </c>
      <c r="M238" s="52"/>
      <c r="N238" s="282" t="str">
        <f>IF(M238="","",IF(AND(D238&lt;&gt;"Culvert",M238="N/A - Culvert"),"Not possible ▲",IF(AND(D238="Culvert",M238&lt;&gt;"N/A - Culvert"),"Not possible ▲",IF(VLOOKUP(M238,'G-7 WaterC'' Data'!$AA$4:$AB$7,2,FALSE)=0,"Spatial Data Missing ⚠",VLOOKUP(M238,'G-7 WaterC'' Data'!$AA$4:$AB$7,2,FALSE)))))</f>
        <v/>
      </c>
      <c r="O238" s="56"/>
      <c r="P238" s="282" t="str">
        <f>IF(O238="","",IF(AND(O238="N/A - Culvert", D238&lt;&gt;"Culvert"),"Not possible ▲", IF(AND(D238="Culvert",O238&lt;&gt;"N/A - Culvert"),"Not possible ▲",IF(VLOOKUP(O238,'G-7 WaterC'' Data'!$AD$4:$AE$14,2,FALSE)=0,"Spatial Data Missing ⚠",VLOOKUP(O238,'G-7 WaterC'' Data'!$AD$4:$AE$14,2,FALSE)))))</f>
        <v/>
      </c>
      <c r="Q238" s="288" t="str">
        <f>IF(D238="","",VLOOKUP(D238,'G-7 WaterC'' Data'!$B$2:$G$8,6,FALSE))</f>
        <v/>
      </c>
      <c r="R238" s="295" t="str">
        <f t="shared" si="31"/>
        <v xml:space="preserve"> </v>
      </c>
      <c r="S238" s="820" t="str">
        <f t="shared" si="32"/>
        <v/>
      </c>
      <c r="T238" s="32"/>
      <c r="U238" s="105"/>
      <c r="V238" s="112"/>
      <c r="W238" s="293" t="str">
        <f t="shared" si="33"/>
        <v/>
      </c>
      <c r="X238" s="293" t="str">
        <f t="shared" si="34"/>
        <v/>
      </c>
      <c r="Y238" s="293" t="str">
        <f t="shared" si="35"/>
        <v/>
      </c>
      <c r="Z238" s="323" t="str">
        <f>IFERROR(IF(OR(E238="",R238=""),"",  IF(AND(Q238='G-7 WaterC'' Data'!$G$4,AA238="Yes"),"Alternative Compensation ✓", IF(AND(AA238="Pending", Q238='G-7 WaterC'' Data'!$G$4),"Bespoke compensation must be agreed ▲", IF((W238+X238)&gt;=R238, 0, R238-W238-X238)))),"Check Data ⚠")</f>
        <v/>
      </c>
      <c r="AA238" s="817"/>
      <c r="AB238" s="140"/>
      <c r="AC238" s="108"/>
      <c r="AD238" s="108"/>
      <c r="AE238" s="54" t="str">
        <f>IF(OR(Q238="",AA238="Yes"),"",IF(Q238='G-1 All Habitats'!$X$9,E238-U238-V238,"None"))</f>
        <v/>
      </c>
      <c r="AF238" s="55" t="str">
        <f>IF(Q238="","", IF(Q238='G-1 All Habitats'!$X$9, AE238*G238*I238*L238*N238*P238,"None"))</f>
        <v/>
      </c>
      <c r="AI238" s="30">
        <f t="shared" si="36"/>
        <v>0</v>
      </c>
      <c r="AJ238" s="111" t="str">
        <f t="shared" si="37"/>
        <v/>
      </c>
      <c r="AK238" s="111" t="str">
        <f t="shared" si="38"/>
        <v/>
      </c>
      <c r="AM238" s="111">
        <v>229</v>
      </c>
      <c r="AO238" s="111" t="str">
        <f t="array" ref="AO238">IFERROR(INDEX($AM$10:$AM$258, MATCH(0, IF(TRUE=$AJ$10:$AJ$258, COUNTIF($AO$9:$AO237, $AM$10:$AM$258), ""), 0)),"")</f>
        <v/>
      </c>
      <c r="AP238" s="111" t="str">
        <f t="array" ref="AP238">IFERROR(INDEX($AM$10:$AM$258, MATCH(0, IF(TRUE=$AK$10:$AK$258, COUNTIF($AP$9:$AP237, $AM$10:$AM$258), ""), 0)),"")</f>
        <v/>
      </c>
      <c r="AR238" s="30" t="str">
        <f>IFERROR(INDEX('G-7 WaterC'' Data'!$AZ$3:$AZ$7,MATCH(D238,'G-7 WaterC'' Data'!$AY$3:$AY$7,0)),"")</f>
        <v/>
      </c>
      <c r="AS238" s="30" t="str">
        <f>IFERROR(INDEX('G-7 WaterC'' Data'!AZ238:AZ242,MATCH(D238,'G-7 WaterC'' Data'!$AY$10:$AY$14,0)),"")</f>
        <v/>
      </c>
      <c r="AT238" s="903" t="str">
        <f>IF(AND(OR(AA238="Yes",AA238="Pending"),Q238='G-7 WaterC'' Data'!$G$4),R238-W238-X238,"")</f>
        <v/>
      </c>
      <c r="AU238" s="30" t="str">
        <f>IF(D238="","",VLOOKUP(D238,'G-7 WaterC'' Data'!B$4:M$8,12,FALSE))</f>
        <v/>
      </c>
      <c r="AV238" s="30" t="str">
        <f t="shared" si="30"/>
        <v/>
      </c>
      <c r="AX238" s="30" t="str">
        <f t="shared" si="39"/>
        <v>No</v>
      </c>
    </row>
    <row r="239" spans="3:50" x14ac:dyDescent="0.25">
      <c r="C239" s="101">
        <v>230</v>
      </c>
      <c r="D239" s="267"/>
      <c r="E239" s="119"/>
      <c r="F239" s="281" t="str">
        <f>IF(D239="","",VLOOKUP(D239,'G-7 WaterC'' Data'!$B$2:$G$8,2,FALSE))</f>
        <v/>
      </c>
      <c r="G239" s="282" t="str">
        <f>IFERROR(VLOOKUP(F239,'G-7 WaterC'' Data'!$C$4:$D$8,2,FALSE),"")</f>
        <v/>
      </c>
      <c r="H239" s="52"/>
      <c r="I239" s="282" t="str">
        <f>IFERROR(INDEX('G-7 WaterC'' Data'!$H$4:$L$8,MATCH(D239,'G-7 WaterC'' Data'!$B$4:$B$8,0),MATCH(H239,'G-7 WaterC'' Data'!$H$3:$L$3,0)),"")</f>
        <v/>
      </c>
      <c r="J239" s="793"/>
      <c r="K239" s="317" t="str">
        <f>IF(J239="","",IF(VLOOKUP(J239,'G-7 WaterC'' Data'!$AK$4:$AM$6,2,FALSE)=0,"Spatial Data Missing ⚠",VLOOKUP(J239,'G-7 WaterC'' Data'!$AK$4:$AM$6,2,FALSE)))</f>
        <v/>
      </c>
      <c r="L239" s="287" t="str">
        <f>IF(J239="","",IF(VLOOKUP(J239,'G-7 WaterC'' Data'!$AK$4:$AM$9,3,FALSE)=0,"Spatial Data Missing ⚠",VLOOKUP(J239,'G-7 WaterC'' Data'!$AK$4:$AM$6,3,FALSE)))</f>
        <v/>
      </c>
      <c r="M239" s="52"/>
      <c r="N239" s="282" t="str">
        <f>IF(M239="","",IF(AND(D239&lt;&gt;"Culvert",M239="N/A - Culvert"),"Not possible ▲",IF(AND(D239="Culvert",M239&lt;&gt;"N/A - Culvert"),"Not possible ▲",IF(VLOOKUP(M239,'G-7 WaterC'' Data'!$AA$4:$AB$7,2,FALSE)=0,"Spatial Data Missing ⚠",VLOOKUP(M239,'G-7 WaterC'' Data'!$AA$4:$AB$7,2,FALSE)))))</f>
        <v/>
      </c>
      <c r="O239" s="56"/>
      <c r="P239" s="282" t="str">
        <f>IF(O239="","",IF(AND(O239="N/A - Culvert", D239&lt;&gt;"Culvert"),"Not possible ▲", IF(AND(D239="Culvert",O239&lt;&gt;"N/A - Culvert"),"Not possible ▲",IF(VLOOKUP(O239,'G-7 WaterC'' Data'!$AD$4:$AE$14,2,FALSE)=0,"Spatial Data Missing ⚠",VLOOKUP(O239,'G-7 WaterC'' Data'!$AD$4:$AE$14,2,FALSE)))))</f>
        <v/>
      </c>
      <c r="Q239" s="288" t="str">
        <f>IF(D239="","",VLOOKUP(D239,'G-7 WaterC'' Data'!$B$2:$G$8,6,FALSE))</f>
        <v/>
      </c>
      <c r="R239" s="295" t="str">
        <f t="shared" si="31"/>
        <v xml:space="preserve"> </v>
      </c>
      <c r="S239" s="820" t="str">
        <f t="shared" si="32"/>
        <v/>
      </c>
      <c r="T239" s="32"/>
      <c r="U239" s="105"/>
      <c r="V239" s="112"/>
      <c r="W239" s="293" t="str">
        <f t="shared" si="33"/>
        <v/>
      </c>
      <c r="X239" s="293" t="str">
        <f t="shared" si="34"/>
        <v/>
      </c>
      <c r="Y239" s="293" t="str">
        <f t="shared" si="35"/>
        <v/>
      </c>
      <c r="Z239" s="323" t="str">
        <f>IFERROR(IF(OR(E239="",R239=""),"",  IF(AND(Q239='G-7 WaterC'' Data'!$G$4,AA239="Yes"),"Alternative Compensation ✓", IF(AND(AA239="Pending", Q239='G-7 WaterC'' Data'!$G$4),"Bespoke compensation must be agreed ▲", IF((W239+X239)&gt;=R239, 0, R239-W239-X239)))),"Check Data ⚠")</f>
        <v/>
      </c>
      <c r="AA239" s="817"/>
      <c r="AB239" s="140"/>
      <c r="AC239" s="108"/>
      <c r="AD239" s="108"/>
      <c r="AE239" s="54" t="str">
        <f>IF(OR(Q239="",AA239="Yes"),"",IF(Q239='G-1 All Habitats'!$X$9,E239-U239-V239,"None"))</f>
        <v/>
      </c>
      <c r="AF239" s="55" t="str">
        <f>IF(Q239="","", IF(Q239='G-1 All Habitats'!$X$9, AE239*G239*I239*L239*N239*P239,"None"))</f>
        <v/>
      </c>
      <c r="AI239" s="30">
        <f t="shared" si="36"/>
        <v>0</v>
      </c>
      <c r="AJ239" s="111" t="str">
        <f t="shared" si="37"/>
        <v/>
      </c>
      <c r="AK239" s="111" t="str">
        <f t="shared" si="38"/>
        <v/>
      </c>
      <c r="AM239" s="111">
        <v>230</v>
      </c>
      <c r="AO239" s="111" t="str">
        <f t="array" ref="AO239">IFERROR(INDEX($AM$10:$AM$258, MATCH(0, IF(TRUE=$AJ$10:$AJ$258, COUNTIF($AO$9:$AO238, $AM$10:$AM$258), ""), 0)),"")</f>
        <v/>
      </c>
      <c r="AP239" s="111" t="str">
        <f t="array" ref="AP239">IFERROR(INDEX($AM$10:$AM$258, MATCH(0, IF(TRUE=$AK$10:$AK$258, COUNTIF($AP$9:$AP238, $AM$10:$AM$258), ""), 0)),"")</f>
        <v/>
      </c>
      <c r="AR239" s="30" t="str">
        <f>IFERROR(INDEX('G-7 WaterC'' Data'!$AZ$3:$AZ$7,MATCH(D239,'G-7 WaterC'' Data'!$AY$3:$AY$7,0)),"")</f>
        <v/>
      </c>
      <c r="AS239" s="30" t="str">
        <f>IFERROR(INDEX('G-7 WaterC'' Data'!AZ239:AZ243,MATCH(D239,'G-7 WaterC'' Data'!$AY$10:$AY$14,0)),"")</f>
        <v/>
      </c>
      <c r="AT239" s="903" t="str">
        <f>IF(AND(OR(AA239="Yes",AA239="Pending"),Q239='G-7 WaterC'' Data'!$G$4),R239-W239-X239,"")</f>
        <v/>
      </c>
      <c r="AU239" s="30" t="str">
        <f>IF(D239="","",VLOOKUP(D239,'G-7 WaterC'' Data'!B$4:M$8,12,FALSE))</f>
        <v/>
      </c>
      <c r="AV239" s="30" t="str">
        <f t="shared" si="30"/>
        <v/>
      </c>
      <c r="AX239" s="30" t="str">
        <f t="shared" si="39"/>
        <v>No</v>
      </c>
    </row>
    <row r="240" spans="3:50" x14ac:dyDescent="0.25">
      <c r="C240" s="101">
        <v>231</v>
      </c>
      <c r="D240" s="267"/>
      <c r="E240" s="119"/>
      <c r="F240" s="281" t="str">
        <f>IF(D240="","",VLOOKUP(D240,'G-7 WaterC'' Data'!$B$2:$G$8,2,FALSE))</f>
        <v/>
      </c>
      <c r="G240" s="282" t="str">
        <f>IFERROR(VLOOKUP(F240,'G-7 WaterC'' Data'!$C$4:$D$8,2,FALSE),"")</f>
        <v/>
      </c>
      <c r="H240" s="52"/>
      <c r="I240" s="282" t="str">
        <f>IFERROR(INDEX('G-7 WaterC'' Data'!$H$4:$L$8,MATCH(D240,'G-7 WaterC'' Data'!$B$4:$B$8,0),MATCH(H240,'G-7 WaterC'' Data'!$H$3:$L$3,0)),"")</f>
        <v/>
      </c>
      <c r="J240" s="793"/>
      <c r="K240" s="317" t="str">
        <f>IF(J240="","",IF(VLOOKUP(J240,'G-7 WaterC'' Data'!$AK$4:$AM$6,2,FALSE)=0,"Spatial Data Missing ⚠",VLOOKUP(J240,'G-7 WaterC'' Data'!$AK$4:$AM$6,2,FALSE)))</f>
        <v/>
      </c>
      <c r="L240" s="287" t="str">
        <f>IF(J240="","",IF(VLOOKUP(J240,'G-7 WaterC'' Data'!$AK$4:$AM$9,3,FALSE)=0,"Spatial Data Missing ⚠",VLOOKUP(J240,'G-7 WaterC'' Data'!$AK$4:$AM$6,3,FALSE)))</f>
        <v/>
      </c>
      <c r="M240" s="52"/>
      <c r="N240" s="282" t="str">
        <f>IF(M240="","",IF(AND(D240&lt;&gt;"Culvert",M240="N/A - Culvert"),"Not possible ▲",IF(AND(D240="Culvert",M240&lt;&gt;"N/A - Culvert"),"Not possible ▲",IF(VLOOKUP(M240,'G-7 WaterC'' Data'!$AA$4:$AB$7,2,FALSE)=0,"Spatial Data Missing ⚠",VLOOKUP(M240,'G-7 WaterC'' Data'!$AA$4:$AB$7,2,FALSE)))))</f>
        <v/>
      </c>
      <c r="O240" s="56"/>
      <c r="P240" s="282" t="str">
        <f>IF(O240="","",IF(AND(O240="N/A - Culvert", D240&lt;&gt;"Culvert"),"Not possible ▲", IF(AND(D240="Culvert",O240&lt;&gt;"N/A - Culvert"),"Not possible ▲",IF(VLOOKUP(O240,'G-7 WaterC'' Data'!$AD$4:$AE$14,2,FALSE)=0,"Spatial Data Missing ⚠",VLOOKUP(O240,'G-7 WaterC'' Data'!$AD$4:$AE$14,2,FALSE)))))</f>
        <v/>
      </c>
      <c r="Q240" s="288" t="str">
        <f>IF(D240="","",VLOOKUP(D240,'G-7 WaterC'' Data'!$B$2:$G$8,6,FALSE))</f>
        <v/>
      </c>
      <c r="R240" s="295" t="str">
        <f t="shared" si="31"/>
        <v xml:space="preserve"> </v>
      </c>
      <c r="S240" s="820" t="str">
        <f t="shared" si="32"/>
        <v/>
      </c>
      <c r="T240" s="32"/>
      <c r="U240" s="105"/>
      <c r="V240" s="112"/>
      <c r="W240" s="293" t="str">
        <f t="shared" si="33"/>
        <v/>
      </c>
      <c r="X240" s="293" t="str">
        <f t="shared" si="34"/>
        <v/>
      </c>
      <c r="Y240" s="293" t="str">
        <f t="shared" si="35"/>
        <v/>
      </c>
      <c r="Z240" s="323" t="str">
        <f>IFERROR(IF(OR(E240="",R240=""),"",  IF(AND(Q240='G-7 WaterC'' Data'!$G$4,AA240="Yes"),"Alternative Compensation ✓", IF(AND(AA240="Pending", Q240='G-7 WaterC'' Data'!$G$4),"Bespoke compensation must be agreed ▲", IF((W240+X240)&gt;=R240, 0, R240-W240-X240)))),"Check Data ⚠")</f>
        <v/>
      </c>
      <c r="AA240" s="817"/>
      <c r="AB240" s="140"/>
      <c r="AC240" s="108"/>
      <c r="AD240" s="108"/>
      <c r="AE240" s="54" t="str">
        <f>IF(OR(Q240="",AA240="Yes"),"",IF(Q240='G-1 All Habitats'!$X$9,E240-U240-V240,"None"))</f>
        <v/>
      </c>
      <c r="AF240" s="55" t="str">
        <f>IF(Q240="","", IF(Q240='G-1 All Habitats'!$X$9, AE240*G240*I240*L240*N240*P240,"None"))</f>
        <v/>
      </c>
      <c r="AI240" s="30">
        <f t="shared" si="36"/>
        <v>0</v>
      </c>
      <c r="AJ240" s="111" t="str">
        <f t="shared" si="37"/>
        <v/>
      </c>
      <c r="AK240" s="111" t="str">
        <f t="shared" si="38"/>
        <v/>
      </c>
      <c r="AM240" s="111">
        <v>231</v>
      </c>
      <c r="AO240" s="111" t="str">
        <f t="array" ref="AO240">IFERROR(INDEX($AM$10:$AM$258, MATCH(0, IF(TRUE=$AJ$10:$AJ$258, COUNTIF($AO$9:$AO239, $AM$10:$AM$258), ""), 0)),"")</f>
        <v/>
      </c>
      <c r="AP240" s="111" t="str">
        <f t="array" ref="AP240">IFERROR(INDEX($AM$10:$AM$258, MATCH(0, IF(TRUE=$AK$10:$AK$258, COUNTIF($AP$9:$AP239, $AM$10:$AM$258), ""), 0)),"")</f>
        <v/>
      </c>
      <c r="AR240" s="30" t="str">
        <f>IFERROR(INDEX('G-7 WaterC'' Data'!$AZ$3:$AZ$7,MATCH(D240,'G-7 WaterC'' Data'!$AY$3:$AY$7,0)),"")</f>
        <v/>
      </c>
      <c r="AS240" s="30" t="str">
        <f>IFERROR(INDEX('G-7 WaterC'' Data'!AZ240:AZ244,MATCH(D240,'G-7 WaterC'' Data'!$AY$10:$AY$14,0)),"")</f>
        <v/>
      </c>
      <c r="AT240" s="903" t="str">
        <f>IF(AND(OR(AA240="Yes",AA240="Pending"),Q240='G-7 WaterC'' Data'!$G$4),R240-W240-X240,"")</f>
        <v/>
      </c>
      <c r="AU240" s="30" t="str">
        <f>IF(D240="","",VLOOKUP(D240,'G-7 WaterC'' Data'!B$4:M$8,12,FALSE))</f>
        <v/>
      </c>
      <c r="AV240" s="30" t="str">
        <f t="shared" si="30"/>
        <v/>
      </c>
      <c r="AX240" s="30" t="str">
        <f t="shared" si="39"/>
        <v>No</v>
      </c>
    </row>
    <row r="241" spans="3:50" x14ac:dyDescent="0.25">
      <c r="C241" s="101">
        <v>232</v>
      </c>
      <c r="D241" s="267"/>
      <c r="E241" s="119"/>
      <c r="F241" s="281" t="str">
        <f>IF(D241="","",VLOOKUP(D241,'G-7 WaterC'' Data'!$B$2:$G$8,2,FALSE))</f>
        <v/>
      </c>
      <c r="G241" s="282" t="str">
        <f>IFERROR(VLOOKUP(F241,'G-7 WaterC'' Data'!$C$4:$D$8,2,FALSE),"")</f>
        <v/>
      </c>
      <c r="H241" s="52"/>
      <c r="I241" s="282" t="str">
        <f>IFERROR(INDEX('G-7 WaterC'' Data'!$H$4:$L$8,MATCH(D241,'G-7 WaterC'' Data'!$B$4:$B$8,0),MATCH(H241,'G-7 WaterC'' Data'!$H$3:$L$3,0)),"")</f>
        <v/>
      </c>
      <c r="J241" s="793"/>
      <c r="K241" s="317" t="str">
        <f>IF(J241="","",IF(VLOOKUP(J241,'G-7 WaterC'' Data'!$AK$4:$AM$6,2,FALSE)=0,"Spatial Data Missing ⚠",VLOOKUP(J241,'G-7 WaterC'' Data'!$AK$4:$AM$6,2,FALSE)))</f>
        <v/>
      </c>
      <c r="L241" s="287" t="str">
        <f>IF(J241="","",IF(VLOOKUP(J241,'G-7 WaterC'' Data'!$AK$4:$AM$9,3,FALSE)=0,"Spatial Data Missing ⚠",VLOOKUP(J241,'G-7 WaterC'' Data'!$AK$4:$AM$6,3,FALSE)))</f>
        <v/>
      </c>
      <c r="M241" s="52"/>
      <c r="N241" s="282" t="str">
        <f>IF(M241="","",IF(AND(D241&lt;&gt;"Culvert",M241="N/A - Culvert"),"Not possible ▲",IF(AND(D241="Culvert",M241&lt;&gt;"N/A - Culvert"),"Not possible ▲",IF(VLOOKUP(M241,'G-7 WaterC'' Data'!$AA$4:$AB$7,2,FALSE)=0,"Spatial Data Missing ⚠",VLOOKUP(M241,'G-7 WaterC'' Data'!$AA$4:$AB$7,2,FALSE)))))</f>
        <v/>
      </c>
      <c r="O241" s="56"/>
      <c r="P241" s="282" t="str">
        <f>IF(O241="","",IF(AND(O241="N/A - Culvert", D241&lt;&gt;"Culvert"),"Not possible ▲", IF(AND(D241="Culvert",O241&lt;&gt;"N/A - Culvert"),"Not possible ▲",IF(VLOOKUP(O241,'G-7 WaterC'' Data'!$AD$4:$AE$14,2,FALSE)=0,"Spatial Data Missing ⚠",VLOOKUP(O241,'G-7 WaterC'' Data'!$AD$4:$AE$14,2,FALSE)))))</f>
        <v/>
      </c>
      <c r="Q241" s="288" t="str">
        <f>IF(D241="","",VLOOKUP(D241,'G-7 WaterC'' Data'!$B$2:$G$8,6,FALSE))</f>
        <v/>
      </c>
      <c r="R241" s="295" t="str">
        <f t="shared" si="31"/>
        <v xml:space="preserve"> </v>
      </c>
      <c r="S241" s="820" t="str">
        <f t="shared" si="32"/>
        <v/>
      </c>
      <c r="T241" s="32"/>
      <c r="U241" s="105"/>
      <c r="V241" s="112"/>
      <c r="W241" s="293" t="str">
        <f t="shared" si="33"/>
        <v/>
      </c>
      <c r="X241" s="293" t="str">
        <f t="shared" si="34"/>
        <v/>
      </c>
      <c r="Y241" s="293" t="str">
        <f t="shared" si="35"/>
        <v/>
      </c>
      <c r="Z241" s="323" t="str">
        <f>IFERROR(IF(OR(E241="",R241=""),"",  IF(AND(Q241='G-7 WaterC'' Data'!$G$4,AA241="Yes"),"Alternative Compensation ✓", IF(AND(AA241="Pending", Q241='G-7 WaterC'' Data'!$G$4),"Bespoke compensation must be agreed ▲", IF((W241+X241)&gt;=R241, 0, R241-W241-X241)))),"Check Data ⚠")</f>
        <v/>
      </c>
      <c r="AA241" s="817"/>
      <c r="AB241" s="140"/>
      <c r="AC241" s="108"/>
      <c r="AD241" s="108"/>
      <c r="AE241" s="54" t="str">
        <f>IF(OR(Q241="",AA241="Yes"),"",IF(Q241='G-1 All Habitats'!$X$9,E241-U241-V241,"None"))</f>
        <v/>
      </c>
      <c r="AF241" s="55" t="str">
        <f>IF(Q241="","", IF(Q241='G-1 All Habitats'!$X$9, AE241*G241*I241*L241*N241*P241,"None"))</f>
        <v/>
      </c>
      <c r="AI241" s="30">
        <f t="shared" si="36"/>
        <v>0</v>
      </c>
      <c r="AJ241" s="111" t="str">
        <f t="shared" si="37"/>
        <v/>
      </c>
      <c r="AK241" s="111" t="str">
        <f t="shared" si="38"/>
        <v/>
      </c>
      <c r="AM241" s="111">
        <v>232</v>
      </c>
      <c r="AO241" s="111" t="str">
        <f t="array" ref="AO241">IFERROR(INDEX($AM$10:$AM$258, MATCH(0, IF(TRUE=$AJ$10:$AJ$258, COUNTIF($AO$9:$AO240, $AM$10:$AM$258), ""), 0)),"")</f>
        <v/>
      </c>
      <c r="AP241" s="111" t="str">
        <f t="array" ref="AP241">IFERROR(INDEX($AM$10:$AM$258, MATCH(0, IF(TRUE=$AK$10:$AK$258, COUNTIF($AP$9:$AP240, $AM$10:$AM$258), ""), 0)),"")</f>
        <v/>
      </c>
      <c r="AR241" s="30" t="str">
        <f>IFERROR(INDEX('G-7 WaterC'' Data'!$AZ$3:$AZ$7,MATCH(D241,'G-7 WaterC'' Data'!$AY$3:$AY$7,0)),"")</f>
        <v/>
      </c>
      <c r="AS241" s="30" t="str">
        <f>IFERROR(INDEX('G-7 WaterC'' Data'!AZ241:AZ245,MATCH(D241,'G-7 WaterC'' Data'!$AY$10:$AY$14,0)),"")</f>
        <v/>
      </c>
      <c r="AT241" s="903" t="str">
        <f>IF(AND(OR(AA241="Yes",AA241="Pending"),Q241='G-7 WaterC'' Data'!$G$4),R241-W241-X241,"")</f>
        <v/>
      </c>
      <c r="AU241" s="30" t="str">
        <f>IF(D241="","",VLOOKUP(D241,'G-7 WaterC'' Data'!B$4:M$8,12,FALSE))</f>
        <v/>
      </c>
      <c r="AV241" s="30" t="str">
        <f t="shared" si="30"/>
        <v/>
      </c>
      <c r="AX241" s="30" t="str">
        <f t="shared" si="39"/>
        <v>No</v>
      </c>
    </row>
    <row r="242" spans="3:50" x14ac:dyDescent="0.25">
      <c r="C242" s="101">
        <v>233</v>
      </c>
      <c r="D242" s="267"/>
      <c r="E242" s="119"/>
      <c r="F242" s="281" t="str">
        <f>IF(D242="","",VLOOKUP(D242,'G-7 WaterC'' Data'!$B$2:$G$8,2,FALSE))</f>
        <v/>
      </c>
      <c r="G242" s="282" t="str">
        <f>IFERROR(VLOOKUP(F242,'G-7 WaterC'' Data'!$C$4:$D$8,2,FALSE),"")</f>
        <v/>
      </c>
      <c r="H242" s="52"/>
      <c r="I242" s="282" t="str">
        <f>IFERROR(INDEX('G-7 WaterC'' Data'!$H$4:$L$8,MATCH(D242,'G-7 WaterC'' Data'!$B$4:$B$8,0),MATCH(H242,'G-7 WaterC'' Data'!$H$3:$L$3,0)),"")</f>
        <v/>
      </c>
      <c r="J242" s="793"/>
      <c r="K242" s="317" t="str">
        <f>IF(J242="","",IF(VLOOKUP(J242,'G-7 WaterC'' Data'!$AK$4:$AM$6,2,FALSE)=0,"Spatial Data Missing ⚠",VLOOKUP(J242,'G-7 WaterC'' Data'!$AK$4:$AM$6,2,FALSE)))</f>
        <v/>
      </c>
      <c r="L242" s="287" t="str">
        <f>IF(J242="","",IF(VLOOKUP(J242,'G-7 WaterC'' Data'!$AK$4:$AM$9,3,FALSE)=0,"Spatial Data Missing ⚠",VLOOKUP(J242,'G-7 WaterC'' Data'!$AK$4:$AM$6,3,FALSE)))</f>
        <v/>
      </c>
      <c r="M242" s="52"/>
      <c r="N242" s="282" t="str">
        <f>IF(M242="","",IF(AND(D242&lt;&gt;"Culvert",M242="N/A - Culvert"),"Not possible ▲",IF(AND(D242="Culvert",M242&lt;&gt;"N/A - Culvert"),"Not possible ▲",IF(VLOOKUP(M242,'G-7 WaterC'' Data'!$AA$4:$AB$7,2,FALSE)=0,"Spatial Data Missing ⚠",VLOOKUP(M242,'G-7 WaterC'' Data'!$AA$4:$AB$7,2,FALSE)))))</f>
        <v/>
      </c>
      <c r="O242" s="56"/>
      <c r="P242" s="282" t="str">
        <f>IF(O242="","",IF(AND(O242="N/A - Culvert", D242&lt;&gt;"Culvert"),"Not possible ▲", IF(AND(D242="Culvert",O242&lt;&gt;"N/A - Culvert"),"Not possible ▲",IF(VLOOKUP(O242,'G-7 WaterC'' Data'!$AD$4:$AE$14,2,FALSE)=0,"Spatial Data Missing ⚠",VLOOKUP(O242,'G-7 WaterC'' Data'!$AD$4:$AE$14,2,FALSE)))))</f>
        <v/>
      </c>
      <c r="Q242" s="288" t="str">
        <f>IF(D242="","",VLOOKUP(D242,'G-7 WaterC'' Data'!$B$2:$G$8,6,FALSE))</f>
        <v/>
      </c>
      <c r="R242" s="295" t="str">
        <f t="shared" si="31"/>
        <v xml:space="preserve"> </v>
      </c>
      <c r="S242" s="820" t="str">
        <f t="shared" si="32"/>
        <v/>
      </c>
      <c r="T242" s="32"/>
      <c r="U242" s="105"/>
      <c r="V242" s="112"/>
      <c r="W242" s="293" t="str">
        <f t="shared" si="33"/>
        <v/>
      </c>
      <c r="X242" s="293" t="str">
        <f t="shared" si="34"/>
        <v/>
      </c>
      <c r="Y242" s="293" t="str">
        <f t="shared" si="35"/>
        <v/>
      </c>
      <c r="Z242" s="323" t="str">
        <f>IFERROR(IF(OR(E242="",R242=""),"",  IF(AND(Q242='G-7 WaterC'' Data'!$G$4,AA242="Yes"),"Alternative Compensation ✓", IF(AND(AA242="Pending", Q242='G-7 WaterC'' Data'!$G$4),"Bespoke compensation must be agreed ▲", IF((W242+X242)&gt;=R242, 0, R242-W242-X242)))),"Check Data ⚠")</f>
        <v/>
      </c>
      <c r="AA242" s="817"/>
      <c r="AB242" s="140"/>
      <c r="AC242" s="108"/>
      <c r="AD242" s="108"/>
      <c r="AE242" s="54" t="str">
        <f>IF(OR(Q242="",AA242="Yes"),"",IF(Q242='G-1 All Habitats'!$X$9,E242-U242-V242,"None"))</f>
        <v/>
      </c>
      <c r="AF242" s="55" t="str">
        <f>IF(Q242="","", IF(Q242='G-1 All Habitats'!$X$9, AE242*G242*I242*L242*N242*P242,"None"))</f>
        <v/>
      </c>
      <c r="AI242" s="30">
        <f t="shared" si="36"/>
        <v>0</v>
      </c>
      <c r="AJ242" s="111" t="str">
        <f t="shared" si="37"/>
        <v/>
      </c>
      <c r="AK242" s="111" t="str">
        <f t="shared" si="38"/>
        <v/>
      </c>
      <c r="AM242" s="111">
        <v>233</v>
      </c>
      <c r="AO242" s="111" t="str">
        <f t="array" ref="AO242">IFERROR(INDEX($AM$10:$AM$258, MATCH(0, IF(TRUE=$AJ$10:$AJ$258, COUNTIF($AO$9:$AO241, $AM$10:$AM$258), ""), 0)),"")</f>
        <v/>
      </c>
      <c r="AP242" s="111" t="str">
        <f t="array" ref="AP242">IFERROR(INDEX($AM$10:$AM$258, MATCH(0, IF(TRUE=$AK$10:$AK$258, COUNTIF($AP$9:$AP241, $AM$10:$AM$258), ""), 0)),"")</f>
        <v/>
      </c>
      <c r="AR242" s="30" t="str">
        <f>IFERROR(INDEX('G-7 WaterC'' Data'!$AZ$3:$AZ$7,MATCH(D242,'G-7 WaterC'' Data'!$AY$3:$AY$7,0)),"")</f>
        <v/>
      </c>
      <c r="AS242" s="30" t="str">
        <f>IFERROR(INDEX('G-7 WaterC'' Data'!AZ242:AZ246,MATCH(D242,'G-7 WaterC'' Data'!$AY$10:$AY$14,0)),"")</f>
        <v/>
      </c>
      <c r="AT242" s="903" t="str">
        <f>IF(AND(OR(AA242="Yes",AA242="Pending"),Q242='G-7 WaterC'' Data'!$G$4),R242-W242-X242,"")</f>
        <v/>
      </c>
      <c r="AU242" s="30" t="str">
        <f>IF(D242="","",VLOOKUP(D242,'G-7 WaterC'' Data'!B$4:M$8,12,FALSE))</f>
        <v/>
      </c>
      <c r="AV242" s="30" t="str">
        <f t="shared" si="30"/>
        <v/>
      </c>
      <c r="AX242" s="30" t="str">
        <f t="shared" si="39"/>
        <v>No</v>
      </c>
    </row>
    <row r="243" spans="3:50" x14ac:dyDescent="0.25">
      <c r="C243" s="101">
        <v>234</v>
      </c>
      <c r="D243" s="267"/>
      <c r="E243" s="119"/>
      <c r="F243" s="281" t="str">
        <f>IF(D243="","",VLOOKUP(D243,'G-7 WaterC'' Data'!$B$2:$G$8,2,FALSE))</f>
        <v/>
      </c>
      <c r="G243" s="282" t="str">
        <f>IFERROR(VLOOKUP(F243,'G-7 WaterC'' Data'!$C$4:$D$8,2,FALSE),"")</f>
        <v/>
      </c>
      <c r="H243" s="52"/>
      <c r="I243" s="282" t="str">
        <f>IFERROR(INDEX('G-7 WaterC'' Data'!$H$4:$L$8,MATCH(D243,'G-7 WaterC'' Data'!$B$4:$B$8,0),MATCH(H243,'G-7 WaterC'' Data'!$H$3:$L$3,0)),"")</f>
        <v/>
      </c>
      <c r="J243" s="793"/>
      <c r="K243" s="317" t="str">
        <f>IF(J243="","",IF(VLOOKUP(J243,'G-7 WaterC'' Data'!$AK$4:$AM$6,2,FALSE)=0,"Spatial Data Missing ⚠",VLOOKUP(J243,'G-7 WaterC'' Data'!$AK$4:$AM$6,2,FALSE)))</f>
        <v/>
      </c>
      <c r="L243" s="287" t="str">
        <f>IF(J243="","",IF(VLOOKUP(J243,'G-7 WaterC'' Data'!$AK$4:$AM$9,3,FALSE)=0,"Spatial Data Missing ⚠",VLOOKUP(J243,'G-7 WaterC'' Data'!$AK$4:$AM$6,3,FALSE)))</f>
        <v/>
      </c>
      <c r="M243" s="52"/>
      <c r="N243" s="282" t="str">
        <f>IF(M243="","",IF(AND(D243&lt;&gt;"Culvert",M243="N/A - Culvert"),"Not possible ▲",IF(AND(D243="Culvert",M243&lt;&gt;"N/A - Culvert"),"Not possible ▲",IF(VLOOKUP(M243,'G-7 WaterC'' Data'!$AA$4:$AB$7,2,FALSE)=0,"Spatial Data Missing ⚠",VLOOKUP(M243,'G-7 WaterC'' Data'!$AA$4:$AB$7,2,FALSE)))))</f>
        <v/>
      </c>
      <c r="O243" s="56"/>
      <c r="P243" s="282" t="str">
        <f>IF(O243="","",IF(AND(O243="N/A - Culvert", D243&lt;&gt;"Culvert"),"Not possible ▲", IF(AND(D243="Culvert",O243&lt;&gt;"N/A - Culvert"),"Not possible ▲",IF(VLOOKUP(O243,'G-7 WaterC'' Data'!$AD$4:$AE$14,2,FALSE)=0,"Spatial Data Missing ⚠",VLOOKUP(O243,'G-7 WaterC'' Data'!$AD$4:$AE$14,2,FALSE)))))</f>
        <v/>
      </c>
      <c r="Q243" s="288" t="str">
        <f>IF(D243="","",VLOOKUP(D243,'G-7 WaterC'' Data'!$B$2:$G$8,6,FALSE))</f>
        <v/>
      </c>
      <c r="R243" s="295" t="str">
        <f t="shared" si="31"/>
        <v xml:space="preserve"> </v>
      </c>
      <c r="S243" s="820" t="str">
        <f t="shared" si="32"/>
        <v/>
      </c>
      <c r="T243" s="32"/>
      <c r="U243" s="105"/>
      <c r="V243" s="112"/>
      <c r="W243" s="293" t="str">
        <f t="shared" si="33"/>
        <v/>
      </c>
      <c r="X243" s="293" t="str">
        <f t="shared" si="34"/>
        <v/>
      </c>
      <c r="Y243" s="293" t="str">
        <f t="shared" si="35"/>
        <v/>
      </c>
      <c r="Z243" s="323" t="str">
        <f>IFERROR(IF(OR(E243="",R243=""),"",  IF(AND(Q243='G-7 WaterC'' Data'!$G$4,AA243="Yes"),"Alternative Compensation ✓", IF(AND(AA243="Pending", Q243='G-7 WaterC'' Data'!$G$4),"Bespoke compensation must be agreed ▲", IF((W243+X243)&gt;=R243, 0, R243-W243-X243)))),"Check Data ⚠")</f>
        <v/>
      </c>
      <c r="AA243" s="817"/>
      <c r="AB243" s="140"/>
      <c r="AC243" s="108"/>
      <c r="AD243" s="108"/>
      <c r="AE243" s="54" t="str">
        <f>IF(OR(Q243="",AA243="Yes"),"",IF(Q243='G-1 All Habitats'!$X$9,E243-U243-V243,"None"))</f>
        <v/>
      </c>
      <c r="AF243" s="55" t="str">
        <f>IF(Q243="","", IF(Q243='G-1 All Habitats'!$X$9, AE243*G243*I243*L243*N243*P243,"None"))</f>
        <v/>
      </c>
      <c r="AI243" s="30">
        <f t="shared" si="36"/>
        <v>0</v>
      </c>
      <c r="AJ243" s="111" t="str">
        <f t="shared" si="37"/>
        <v/>
      </c>
      <c r="AK243" s="111" t="str">
        <f t="shared" si="38"/>
        <v/>
      </c>
      <c r="AM243" s="111">
        <v>234</v>
      </c>
      <c r="AO243" s="111" t="str">
        <f t="array" ref="AO243">IFERROR(INDEX($AM$10:$AM$258, MATCH(0, IF(TRUE=$AJ$10:$AJ$258, COUNTIF($AO$9:$AO242, $AM$10:$AM$258), ""), 0)),"")</f>
        <v/>
      </c>
      <c r="AP243" s="111" t="str">
        <f t="array" ref="AP243">IFERROR(INDEX($AM$10:$AM$258, MATCH(0, IF(TRUE=$AK$10:$AK$258, COUNTIF($AP$9:$AP242, $AM$10:$AM$258), ""), 0)),"")</f>
        <v/>
      </c>
      <c r="AR243" s="30" t="str">
        <f>IFERROR(INDEX('G-7 WaterC'' Data'!$AZ$3:$AZ$7,MATCH(D243,'G-7 WaterC'' Data'!$AY$3:$AY$7,0)),"")</f>
        <v/>
      </c>
      <c r="AS243" s="30" t="str">
        <f>IFERROR(INDEX('G-7 WaterC'' Data'!AZ243:AZ247,MATCH(D243,'G-7 WaterC'' Data'!$AY$10:$AY$14,0)),"")</f>
        <v/>
      </c>
      <c r="AT243" s="903" t="str">
        <f>IF(AND(OR(AA243="Yes",AA243="Pending"),Q243='G-7 WaterC'' Data'!$G$4),R243-W243-X243,"")</f>
        <v/>
      </c>
      <c r="AU243" s="30" t="str">
        <f>IF(D243="","",VLOOKUP(D243,'G-7 WaterC'' Data'!B$4:M$8,12,FALSE))</f>
        <v/>
      </c>
      <c r="AV243" s="30" t="str">
        <f t="shared" si="30"/>
        <v/>
      </c>
      <c r="AX243" s="30" t="str">
        <f t="shared" si="39"/>
        <v>No</v>
      </c>
    </row>
    <row r="244" spans="3:50" x14ac:dyDescent="0.25">
      <c r="C244" s="101">
        <v>235</v>
      </c>
      <c r="D244" s="267"/>
      <c r="E244" s="119"/>
      <c r="F244" s="281" t="str">
        <f>IF(D244="","",VLOOKUP(D244,'G-7 WaterC'' Data'!$B$2:$G$8,2,FALSE))</f>
        <v/>
      </c>
      <c r="G244" s="282" t="str">
        <f>IFERROR(VLOOKUP(F244,'G-7 WaterC'' Data'!$C$4:$D$8,2,FALSE),"")</f>
        <v/>
      </c>
      <c r="H244" s="52"/>
      <c r="I244" s="282" t="str">
        <f>IFERROR(INDEX('G-7 WaterC'' Data'!$H$4:$L$8,MATCH(D244,'G-7 WaterC'' Data'!$B$4:$B$8,0),MATCH(H244,'G-7 WaterC'' Data'!$H$3:$L$3,0)),"")</f>
        <v/>
      </c>
      <c r="J244" s="793"/>
      <c r="K244" s="317" t="str">
        <f>IF(J244="","",IF(VLOOKUP(J244,'G-7 WaterC'' Data'!$AK$4:$AM$6,2,FALSE)=0,"Spatial Data Missing ⚠",VLOOKUP(J244,'G-7 WaterC'' Data'!$AK$4:$AM$6,2,FALSE)))</f>
        <v/>
      </c>
      <c r="L244" s="287" t="str">
        <f>IF(J244="","",IF(VLOOKUP(J244,'G-7 WaterC'' Data'!$AK$4:$AM$9,3,FALSE)=0,"Spatial Data Missing ⚠",VLOOKUP(J244,'G-7 WaterC'' Data'!$AK$4:$AM$6,3,FALSE)))</f>
        <v/>
      </c>
      <c r="M244" s="52"/>
      <c r="N244" s="282" t="str">
        <f>IF(M244="","",IF(AND(D244&lt;&gt;"Culvert",M244="N/A - Culvert"),"Not possible ▲",IF(AND(D244="Culvert",M244&lt;&gt;"N/A - Culvert"),"Not possible ▲",IF(VLOOKUP(M244,'G-7 WaterC'' Data'!$AA$4:$AB$7,2,FALSE)=0,"Spatial Data Missing ⚠",VLOOKUP(M244,'G-7 WaterC'' Data'!$AA$4:$AB$7,2,FALSE)))))</f>
        <v/>
      </c>
      <c r="O244" s="56"/>
      <c r="P244" s="282" t="str">
        <f>IF(O244="","",IF(AND(O244="N/A - Culvert", D244&lt;&gt;"Culvert"),"Not possible ▲", IF(AND(D244="Culvert",O244&lt;&gt;"N/A - Culvert"),"Not possible ▲",IF(VLOOKUP(O244,'G-7 WaterC'' Data'!$AD$4:$AE$14,2,FALSE)=0,"Spatial Data Missing ⚠",VLOOKUP(O244,'G-7 WaterC'' Data'!$AD$4:$AE$14,2,FALSE)))))</f>
        <v/>
      </c>
      <c r="Q244" s="288" t="str">
        <f>IF(D244="","",VLOOKUP(D244,'G-7 WaterC'' Data'!$B$2:$G$8,6,FALSE))</f>
        <v/>
      </c>
      <c r="R244" s="295" t="str">
        <f t="shared" si="31"/>
        <v xml:space="preserve"> </v>
      </c>
      <c r="S244" s="820" t="str">
        <f t="shared" si="32"/>
        <v/>
      </c>
      <c r="T244" s="32"/>
      <c r="U244" s="105"/>
      <c r="V244" s="112"/>
      <c r="W244" s="293" t="str">
        <f t="shared" si="33"/>
        <v/>
      </c>
      <c r="X244" s="293" t="str">
        <f t="shared" si="34"/>
        <v/>
      </c>
      <c r="Y244" s="293" t="str">
        <f t="shared" si="35"/>
        <v/>
      </c>
      <c r="Z244" s="323" t="str">
        <f>IFERROR(IF(OR(E244="",R244=""),"",  IF(AND(Q244='G-7 WaterC'' Data'!$G$4,AA244="Yes"),"Alternative Compensation ✓", IF(AND(AA244="Pending", Q244='G-7 WaterC'' Data'!$G$4),"Bespoke compensation must be agreed ▲", IF((W244+X244)&gt;=R244, 0, R244-W244-X244)))),"Check Data ⚠")</f>
        <v/>
      </c>
      <c r="AA244" s="817"/>
      <c r="AB244" s="140"/>
      <c r="AC244" s="108"/>
      <c r="AD244" s="108"/>
      <c r="AE244" s="54" t="str">
        <f>IF(OR(Q244="",AA244="Yes"),"",IF(Q244='G-1 All Habitats'!$X$9,E244-U244-V244,"None"))</f>
        <v/>
      </c>
      <c r="AF244" s="55" t="str">
        <f>IF(Q244="","", IF(Q244='G-1 All Habitats'!$X$9, AE244*G244*I244*L244*N244*P244,"None"))</f>
        <v/>
      </c>
      <c r="AI244" s="30">
        <f t="shared" si="36"/>
        <v>0</v>
      </c>
      <c r="AJ244" s="111" t="str">
        <f t="shared" si="37"/>
        <v/>
      </c>
      <c r="AK244" s="111" t="str">
        <f t="shared" si="38"/>
        <v/>
      </c>
      <c r="AM244" s="111">
        <v>235</v>
      </c>
      <c r="AO244" s="111" t="str">
        <f t="array" ref="AO244">IFERROR(INDEX($AM$10:$AM$258, MATCH(0, IF(TRUE=$AJ$10:$AJ$258, COUNTIF($AO$9:$AO243, $AM$10:$AM$258), ""), 0)),"")</f>
        <v/>
      </c>
      <c r="AP244" s="111" t="str">
        <f t="array" ref="AP244">IFERROR(INDEX($AM$10:$AM$258, MATCH(0, IF(TRUE=$AK$10:$AK$258, COUNTIF($AP$9:$AP243, $AM$10:$AM$258), ""), 0)),"")</f>
        <v/>
      </c>
      <c r="AR244" s="30" t="str">
        <f>IFERROR(INDEX('G-7 WaterC'' Data'!$AZ$3:$AZ$7,MATCH(D244,'G-7 WaterC'' Data'!$AY$3:$AY$7,0)),"")</f>
        <v/>
      </c>
      <c r="AS244" s="30" t="str">
        <f>IFERROR(INDEX('G-7 WaterC'' Data'!AZ244:AZ248,MATCH(D244,'G-7 WaterC'' Data'!$AY$10:$AY$14,0)),"")</f>
        <v/>
      </c>
      <c r="AT244" s="903" t="str">
        <f>IF(AND(OR(AA244="Yes",AA244="Pending"),Q244='G-7 WaterC'' Data'!$G$4),R244-W244-X244,"")</f>
        <v/>
      </c>
      <c r="AU244" s="30" t="str">
        <f>IF(D244="","",VLOOKUP(D244,'G-7 WaterC'' Data'!B$4:M$8,12,FALSE))</f>
        <v/>
      </c>
      <c r="AV244" s="30" t="str">
        <f t="shared" si="30"/>
        <v/>
      </c>
      <c r="AX244" s="30" t="str">
        <f t="shared" si="39"/>
        <v>No</v>
      </c>
    </row>
    <row r="245" spans="3:50" x14ac:dyDescent="0.25">
      <c r="C245" s="101">
        <v>236</v>
      </c>
      <c r="D245" s="267"/>
      <c r="E245" s="119"/>
      <c r="F245" s="281" t="str">
        <f>IF(D245="","",VLOOKUP(D245,'G-7 WaterC'' Data'!$B$2:$G$8,2,FALSE))</f>
        <v/>
      </c>
      <c r="G245" s="282" t="str">
        <f>IFERROR(VLOOKUP(F245,'G-7 WaterC'' Data'!$C$4:$D$8,2,FALSE),"")</f>
        <v/>
      </c>
      <c r="H245" s="52"/>
      <c r="I245" s="282" t="str">
        <f>IFERROR(INDEX('G-7 WaterC'' Data'!$H$4:$L$8,MATCH(D245,'G-7 WaterC'' Data'!$B$4:$B$8,0),MATCH(H245,'G-7 WaterC'' Data'!$H$3:$L$3,0)),"")</f>
        <v/>
      </c>
      <c r="J245" s="793"/>
      <c r="K245" s="317" t="str">
        <f>IF(J245="","",IF(VLOOKUP(J245,'G-7 WaterC'' Data'!$AK$4:$AM$6,2,FALSE)=0,"Spatial Data Missing ⚠",VLOOKUP(J245,'G-7 WaterC'' Data'!$AK$4:$AM$6,2,FALSE)))</f>
        <v/>
      </c>
      <c r="L245" s="287" t="str">
        <f>IF(J245="","",IF(VLOOKUP(J245,'G-7 WaterC'' Data'!$AK$4:$AM$9,3,FALSE)=0,"Spatial Data Missing ⚠",VLOOKUP(J245,'G-7 WaterC'' Data'!$AK$4:$AM$6,3,FALSE)))</f>
        <v/>
      </c>
      <c r="M245" s="52"/>
      <c r="N245" s="282" t="str">
        <f>IF(M245="","",IF(AND(D245&lt;&gt;"Culvert",M245="N/A - Culvert"),"Not possible ▲",IF(AND(D245="Culvert",M245&lt;&gt;"N/A - Culvert"),"Not possible ▲",IF(VLOOKUP(M245,'G-7 WaterC'' Data'!$AA$4:$AB$7,2,FALSE)=0,"Spatial Data Missing ⚠",VLOOKUP(M245,'G-7 WaterC'' Data'!$AA$4:$AB$7,2,FALSE)))))</f>
        <v/>
      </c>
      <c r="O245" s="56"/>
      <c r="P245" s="282" t="str">
        <f>IF(O245="","",IF(AND(O245="N/A - Culvert", D245&lt;&gt;"Culvert"),"Not possible ▲", IF(AND(D245="Culvert",O245&lt;&gt;"N/A - Culvert"),"Not possible ▲",IF(VLOOKUP(O245,'G-7 WaterC'' Data'!$AD$4:$AE$14,2,FALSE)=0,"Spatial Data Missing ⚠",VLOOKUP(O245,'G-7 WaterC'' Data'!$AD$4:$AE$14,2,FALSE)))))</f>
        <v/>
      </c>
      <c r="Q245" s="288" t="str">
        <f>IF(D245="","",VLOOKUP(D245,'G-7 WaterC'' Data'!$B$2:$G$8,6,FALSE))</f>
        <v/>
      </c>
      <c r="R245" s="295" t="str">
        <f t="shared" si="31"/>
        <v xml:space="preserve"> </v>
      </c>
      <c r="S245" s="820" t="str">
        <f t="shared" si="32"/>
        <v/>
      </c>
      <c r="T245" s="32"/>
      <c r="U245" s="105"/>
      <c r="V245" s="112"/>
      <c r="W245" s="293" t="str">
        <f t="shared" si="33"/>
        <v/>
      </c>
      <c r="X245" s="293" t="str">
        <f t="shared" si="34"/>
        <v/>
      </c>
      <c r="Y245" s="293" t="str">
        <f t="shared" si="35"/>
        <v/>
      </c>
      <c r="Z245" s="323" t="str">
        <f>IFERROR(IF(OR(E245="",R245=""),"",  IF(AND(Q245='G-7 WaterC'' Data'!$G$4,AA245="Yes"),"Alternative Compensation ✓", IF(AND(AA245="Pending", Q245='G-7 WaterC'' Data'!$G$4),"Bespoke compensation must be agreed ▲", IF((W245+X245)&gt;=R245, 0, R245-W245-X245)))),"Check Data ⚠")</f>
        <v/>
      </c>
      <c r="AA245" s="817"/>
      <c r="AB245" s="140"/>
      <c r="AC245" s="108"/>
      <c r="AD245" s="108"/>
      <c r="AE245" s="54" t="str">
        <f>IF(OR(Q245="",AA245="Yes"),"",IF(Q245='G-1 All Habitats'!$X$9,E245-U245-V245,"None"))</f>
        <v/>
      </c>
      <c r="AF245" s="55" t="str">
        <f>IF(Q245="","", IF(Q245='G-1 All Habitats'!$X$9, AE245*G245*I245*L245*N245*P245,"None"))</f>
        <v/>
      </c>
      <c r="AI245" s="30">
        <f t="shared" si="36"/>
        <v>0</v>
      </c>
      <c r="AJ245" s="111" t="str">
        <f t="shared" si="37"/>
        <v/>
      </c>
      <c r="AK245" s="111" t="str">
        <f t="shared" si="38"/>
        <v/>
      </c>
      <c r="AM245" s="111">
        <v>236</v>
      </c>
      <c r="AO245" s="111" t="str">
        <f t="array" ref="AO245">IFERROR(INDEX($AM$10:$AM$258, MATCH(0, IF(TRUE=$AJ$10:$AJ$258, COUNTIF($AO$9:$AO244, $AM$10:$AM$258), ""), 0)),"")</f>
        <v/>
      </c>
      <c r="AP245" s="111" t="str">
        <f t="array" ref="AP245">IFERROR(INDEX($AM$10:$AM$258, MATCH(0, IF(TRUE=$AK$10:$AK$258, COUNTIF($AP$9:$AP244, $AM$10:$AM$258), ""), 0)),"")</f>
        <v/>
      </c>
      <c r="AR245" s="30" t="str">
        <f>IFERROR(INDEX('G-7 WaterC'' Data'!$AZ$3:$AZ$7,MATCH(D245,'G-7 WaterC'' Data'!$AY$3:$AY$7,0)),"")</f>
        <v/>
      </c>
      <c r="AS245" s="30" t="str">
        <f>IFERROR(INDEX('G-7 WaterC'' Data'!AZ245:AZ249,MATCH(D245,'G-7 WaterC'' Data'!$AY$10:$AY$14,0)),"")</f>
        <v/>
      </c>
      <c r="AT245" s="903" t="str">
        <f>IF(AND(OR(AA245="Yes",AA245="Pending"),Q245='G-7 WaterC'' Data'!$G$4),R245-W245-X245,"")</f>
        <v/>
      </c>
      <c r="AU245" s="30" t="str">
        <f>IF(D245="","",VLOOKUP(D245,'G-7 WaterC'' Data'!B$4:M$8,12,FALSE))</f>
        <v/>
      </c>
      <c r="AV245" s="30" t="str">
        <f t="shared" si="30"/>
        <v/>
      </c>
      <c r="AX245" s="30" t="str">
        <f t="shared" si="39"/>
        <v>No</v>
      </c>
    </row>
    <row r="246" spans="3:50" x14ac:dyDescent="0.25">
      <c r="C246" s="101">
        <v>237</v>
      </c>
      <c r="D246" s="267"/>
      <c r="E246" s="119"/>
      <c r="F246" s="281" t="str">
        <f>IF(D246="","",VLOOKUP(D246,'G-7 WaterC'' Data'!$B$2:$G$8,2,FALSE))</f>
        <v/>
      </c>
      <c r="G246" s="282" t="str">
        <f>IFERROR(VLOOKUP(F246,'G-7 WaterC'' Data'!$C$4:$D$8,2,FALSE),"")</f>
        <v/>
      </c>
      <c r="H246" s="52"/>
      <c r="I246" s="282" t="str">
        <f>IFERROR(INDEX('G-7 WaterC'' Data'!$H$4:$L$8,MATCH(D246,'G-7 WaterC'' Data'!$B$4:$B$8,0),MATCH(H246,'G-7 WaterC'' Data'!$H$3:$L$3,0)),"")</f>
        <v/>
      </c>
      <c r="J246" s="793"/>
      <c r="K246" s="317" t="str">
        <f>IF(J246="","",IF(VLOOKUP(J246,'G-7 WaterC'' Data'!$AK$4:$AM$6,2,FALSE)=0,"Spatial Data Missing ⚠",VLOOKUP(J246,'G-7 WaterC'' Data'!$AK$4:$AM$6,2,FALSE)))</f>
        <v/>
      </c>
      <c r="L246" s="287" t="str">
        <f>IF(J246="","",IF(VLOOKUP(J246,'G-7 WaterC'' Data'!$AK$4:$AM$9,3,FALSE)=0,"Spatial Data Missing ⚠",VLOOKUP(J246,'G-7 WaterC'' Data'!$AK$4:$AM$6,3,FALSE)))</f>
        <v/>
      </c>
      <c r="M246" s="52"/>
      <c r="N246" s="282" t="str">
        <f>IF(M246="","",IF(AND(D246&lt;&gt;"Culvert",M246="N/A - Culvert"),"Not possible ▲",IF(AND(D246="Culvert",M246&lt;&gt;"N/A - Culvert"),"Not possible ▲",IF(VLOOKUP(M246,'G-7 WaterC'' Data'!$AA$4:$AB$7,2,FALSE)=0,"Spatial Data Missing ⚠",VLOOKUP(M246,'G-7 WaterC'' Data'!$AA$4:$AB$7,2,FALSE)))))</f>
        <v/>
      </c>
      <c r="O246" s="56"/>
      <c r="P246" s="282" t="str">
        <f>IF(O246="","",IF(AND(O246="N/A - Culvert", D246&lt;&gt;"Culvert"),"Not possible ▲", IF(AND(D246="Culvert",O246&lt;&gt;"N/A - Culvert"),"Not possible ▲",IF(VLOOKUP(O246,'G-7 WaterC'' Data'!$AD$4:$AE$14,2,FALSE)=0,"Spatial Data Missing ⚠",VLOOKUP(O246,'G-7 WaterC'' Data'!$AD$4:$AE$14,2,FALSE)))))</f>
        <v/>
      </c>
      <c r="Q246" s="288" t="str">
        <f>IF(D246="","",VLOOKUP(D246,'G-7 WaterC'' Data'!$B$2:$G$8,6,FALSE))</f>
        <v/>
      </c>
      <c r="R246" s="295" t="str">
        <f t="shared" si="31"/>
        <v xml:space="preserve"> </v>
      </c>
      <c r="S246" s="820" t="str">
        <f t="shared" si="32"/>
        <v/>
      </c>
      <c r="T246" s="32"/>
      <c r="U246" s="105"/>
      <c r="V246" s="112"/>
      <c r="W246" s="293" t="str">
        <f t="shared" si="33"/>
        <v/>
      </c>
      <c r="X246" s="293" t="str">
        <f t="shared" si="34"/>
        <v/>
      </c>
      <c r="Y246" s="293" t="str">
        <f t="shared" si="35"/>
        <v/>
      </c>
      <c r="Z246" s="323" t="str">
        <f>IFERROR(IF(OR(E246="",R246=""),"",  IF(AND(Q246='G-7 WaterC'' Data'!$G$4,AA246="Yes"),"Alternative Compensation ✓", IF(AND(AA246="Pending", Q246='G-7 WaterC'' Data'!$G$4),"Bespoke compensation must be agreed ▲", IF((W246+X246)&gt;=R246, 0, R246-W246-X246)))),"Check Data ⚠")</f>
        <v/>
      </c>
      <c r="AA246" s="817"/>
      <c r="AB246" s="140"/>
      <c r="AC246" s="108"/>
      <c r="AD246" s="108"/>
      <c r="AE246" s="54" t="str">
        <f>IF(OR(Q246="",AA246="Yes"),"",IF(Q246='G-1 All Habitats'!$X$9,E246-U246-V246,"None"))</f>
        <v/>
      </c>
      <c r="AF246" s="55" t="str">
        <f>IF(Q246="","", IF(Q246='G-1 All Habitats'!$X$9, AE246*G246*I246*L246*N246*P246,"None"))</f>
        <v/>
      </c>
      <c r="AI246" s="30">
        <f t="shared" si="36"/>
        <v>0</v>
      </c>
      <c r="AJ246" s="111" t="str">
        <f t="shared" si="37"/>
        <v/>
      </c>
      <c r="AK246" s="111" t="str">
        <f t="shared" si="38"/>
        <v/>
      </c>
      <c r="AM246" s="111">
        <v>237</v>
      </c>
      <c r="AO246" s="111" t="str">
        <f t="array" ref="AO246">IFERROR(INDEX($AM$10:$AM$258, MATCH(0, IF(TRUE=$AJ$10:$AJ$258, COUNTIF($AO$9:$AO245, $AM$10:$AM$258), ""), 0)),"")</f>
        <v/>
      </c>
      <c r="AP246" s="111" t="str">
        <f t="array" ref="AP246">IFERROR(INDEX($AM$10:$AM$258, MATCH(0, IF(TRUE=$AK$10:$AK$258, COUNTIF($AP$9:$AP245, $AM$10:$AM$258), ""), 0)),"")</f>
        <v/>
      </c>
      <c r="AR246" s="30" t="str">
        <f>IFERROR(INDEX('G-7 WaterC'' Data'!$AZ$3:$AZ$7,MATCH(D246,'G-7 WaterC'' Data'!$AY$3:$AY$7,0)),"")</f>
        <v/>
      </c>
      <c r="AS246" s="30" t="str">
        <f>IFERROR(INDEX('G-7 WaterC'' Data'!AZ246:AZ250,MATCH(D246,'G-7 WaterC'' Data'!$AY$10:$AY$14,0)),"")</f>
        <v/>
      </c>
      <c r="AT246" s="903" t="str">
        <f>IF(AND(OR(AA246="Yes",AA246="Pending"),Q246='G-7 WaterC'' Data'!$G$4),R246-W246-X246,"")</f>
        <v/>
      </c>
      <c r="AU246" s="30" t="str">
        <f>IF(D246="","",VLOOKUP(D246,'G-7 WaterC'' Data'!B$4:M$8,12,FALSE))</f>
        <v/>
      </c>
      <c r="AV246" s="30" t="str">
        <f t="shared" si="30"/>
        <v/>
      </c>
      <c r="AX246" s="30" t="str">
        <f t="shared" si="39"/>
        <v>No</v>
      </c>
    </row>
    <row r="247" spans="3:50" x14ac:dyDescent="0.25">
      <c r="C247" s="101">
        <v>238</v>
      </c>
      <c r="D247" s="267"/>
      <c r="E247" s="119"/>
      <c r="F247" s="281" t="str">
        <f>IF(D247="","",VLOOKUP(D247,'G-7 WaterC'' Data'!$B$2:$G$8,2,FALSE))</f>
        <v/>
      </c>
      <c r="G247" s="282" t="str">
        <f>IFERROR(VLOOKUP(F247,'G-7 WaterC'' Data'!$C$4:$D$8,2,FALSE),"")</f>
        <v/>
      </c>
      <c r="H247" s="52"/>
      <c r="I247" s="282" t="str">
        <f>IFERROR(INDEX('G-7 WaterC'' Data'!$H$4:$L$8,MATCH(D247,'G-7 WaterC'' Data'!$B$4:$B$8,0),MATCH(H247,'G-7 WaterC'' Data'!$H$3:$L$3,0)),"")</f>
        <v/>
      </c>
      <c r="J247" s="793"/>
      <c r="K247" s="317" t="str">
        <f>IF(J247="","",IF(VLOOKUP(J247,'G-7 WaterC'' Data'!$AK$4:$AM$6,2,FALSE)=0,"Spatial Data Missing ⚠",VLOOKUP(J247,'G-7 WaterC'' Data'!$AK$4:$AM$6,2,FALSE)))</f>
        <v/>
      </c>
      <c r="L247" s="287" t="str">
        <f>IF(J247="","",IF(VLOOKUP(J247,'G-7 WaterC'' Data'!$AK$4:$AM$9,3,FALSE)=0,"Spatial Data Missing ⚠",VLOOKUP(J247,'G-7 WaterC'' Data'!$AK$4:$AM$6,3,FALSE)))</f>
        <v/>
      </c>
      <c r="M247" s="52"/>
      <c r="N247" s="282" t="str">
        <f>IF(M247="","",IF(AND(D247&lt;&gt;"Culvert",M247="N/A - Culvert"),"Not possible ▲",IF(AND(D247="Culvert",M247&lt;&gt;"N/A - Culvert"),"Not possible ▲",IF(VLOOKUP(M247,'G-7 WaterC'' Data'!$AA$4:$AB$7,2,FALSE)=0,"Spatial Data Missing ⚠",VLOOKUP(M247,'G-7 WaterC'' Data'!$AA$4:$AB$7,2,FALSE)))))</f>
        <v/>
      </c>
      <c r="O247" s="56"/>
      <c r="P247" s="282" t="str">
        <f>IF(O247="","",IF(AND(O247="N/A - Culvert", D247&lt;&gt;"Culvert"),"Not possible ▲", IF(AND(D247="Culvert",O247&lt;&gt;"N/A - Culvert"),"Not possible ▲",IF(VLOOKUP(O247,'G-7 WaterC'' Data'!$AD$4:$AE$14,2,FALSE)=0,"Spatial Data Missing ⚠",VLOOKUP(O247,'G-7 WaterC'' Data'!$AD$4:$AE$14,2,FALSE)))))</f>
        <v/>
      </c>
      <c r="Q247" s="288" t="str">
        <f>IF(D247="","",VLOOKUP(D247,'G-7 WaterC'' Data'!$B$2:$G$8,6,FALSE))</f>
        <v/>
      </c>
      <c r="R247" s="295" t="str">
        <f t="shared" si="31"/>
        <v xml:space="preserve"> </v>
      </c>
      <c r="S247" s="820" t="str">
        <f t="shared" si="32"/>
        <v/>
      </c>
      <c r="T247" s="32"/>
      <c r="U247" s="105"/>
      <c r="V247" s="112"/>
      <c r="W247" s="293" t="str">
        <f t="shared" si="33"/>
        <v/>
      </c>
      <c r="X247" s="293" t="str">
        <f t="shared" si="34"/>
        <v/>
      </c>
      <c r="Y247" s="293" t="str">
        <f t="shared" si="35"/>
        <v/>
      </c>
      <c r="Z247" s="323" t="str">
        <f>IFERROR(IF(OR(E247="",R247=""),"",  IF(AND(Q247='G-7 WaterC'' Data'!$G$4,AA247="Yes"),"Alternative Compensation ✓", IF(AND(AA247="Pending", Q247='G-7 WaterC'' Data'!$G$4),"Bespoke compensation must be agreed ▲", IF((W247+X247)&gt;=R247, 0, R247-W247-X247)))),"Check Data ⚠")</f>
        <v/>
      </c>
      <c r="AA247" s="817"/>
      <c r="AB247" s="140"/>
      <c r="AC247" s="108"/>
      <c r="AD247" s="108"/>
      <c r="AE247" s="54" t="str">
        <f>IF(OR(Q247="",AA247="Yes"),"",IF(Q247='G-1 All Habitats'!$X$9,E247-U247-V247,"None"))</f>
        <v/>
      </c>
      <c r="AF247" s="55" t="str">
        <f>IF(Q247="","", IF(Q247='G-1 All Habitats'!$X$9, AE247*G247*I247*L247*N247*P247,"None"))</f>
        <v/>
      </c>
      <c r="AI247" s="30">
        <f t="shared" si="36"/>
        <v>0</v>
      </c>
      <c r="AJ247" s="111" t="str">
        <f t="shared" si="37"/>
        <v/>
      </c>
      <c r="AK247" s="111" t="str">
        <f t="shared" si="38"/>
        <v/>
      </c>
      <c r="AM247" s="111">
        <v>238</v>
      </c>
      <c r="AO247" s="111" t="str">
        <f t="array" ref="AO247">IFERROR(INDEX($AM$10:$AM$258, MATCH(0, IF(TRUE=$AJ$10:$AJ$258, COUNTIF($AO$9:$AO246, $AM$10:$AM$258), ""), 0)),"")</f>
        <v/>
      </c>
      <c r="AP247" s="111" t="str">
        <f t="array" ref="AP247">IFERROR(INDEX($AM$10:$AM$258, MATCH(0, IF(TRUE=$AK$10:$AK$258, COUNTIF($AP$9:$AP246, $AM$10:$AM$258), ""), 0)),"")</f>
        <v/>
      </c>
      <c r="AR247" s="30" t="str">
        <f>IFERROR(INDEX('G-7 WaterC'' Data'!$AZ$3:$AZ$7,MATCH(D247,'G-7 WaterC'' Data'!$AY$3:$AY$7,0)),"")</f>
        <v/>
      </c>
      <c r="AS247" s="30" t="str">
        <f>IFERROR(INDEX('G-7 WaterC'' Data'!AZ247:AZ251,MATCH(D247,'G-7 WaterC'' Data'!$AY$10:$AY$14,0)),"")</f>
        <v/>
      </c>
      <c r="AT247" s="903" t="str">
        <f>IF(AND(OR(AA247="Yes",AA247="Pending"),Q247='G-7 WaterC'' Data'!$G$4),R247-W247-X247,"")</f>
        <v/>
      </c>
      <c r="AU247" s="30" t="str">
        <f>IF(D247="","",VLOOKUP(D247,'G-7 WaterC'' Data'!B$4:M$8,12,FALSE))</f>
        <v/>
      </c>
      <c r="AV247" s="30" t="str">
        <f t="shared" si="30"/>
        <v/>
      </c>
      <c r="AX247" s="30" t="str">
        <f t="shared" si="39"/>
        <v>No</v>
      </c>
    </row>
    <row r="248" spans="3:50" x14ac:dyDescent="0.25">
      <c r="C248" s="101">
        <v>239</v>
      </c>
      <c r="D248" s="267"/>
      <c r="E248" s="119"/>
      <c r="F248" s="281" t="str">
        <f>IF(D248="","",VLOOKUP(D248,'G-7 WaterC'' Data'!$B$2:$G$8,2,FALSE))</f>
        <v/>
      </c>
      <c r="G248" s="282" t="str">
        <f>IFERROR(VLOOKUP(F248,'G-7 WaterC'' Data'!$C$4:$D$8,2,FALSE),"")</f>
        <v/>
      </c>
      <c r="H248" s="52"/>
      <c r="I248" s="282" t="str">
        <f>IFERROR(INDEX('G-7 WaterC'' Data'!$H$4:$L$8,MATCH(D248,'G-7 WaterC'' Data'!$B$4:$B$8,0),MATCH(H248,'G-7 WaterC'' Data'!$H$3:$L$3,0)),"")</f>
        <v/>
      </c>
      <c r="J248" s="793"/>
      <c r="K248" s="317" t="str">
        <f>IF(J248="","",IF(VLOOKUP(J248,'G-7 WaterC'' Data'!$AK$4:$AM$6,2,FALSE)=0,"Spatial Data Missing ⚠",VLOOKUP(J248,'G-7 WaterC'' Data'!$AK$4:$AM$6,2,FALSE)))</f>
        <v/>
      </c>
      <c r="L248" s="287" t="str">
        <f>IF(J248="","",IF(VLOOKUP(J248,'G-7 WaterC'' Data'!$AK$4:$AM$9,3,FALSE)=0,"Spatial Data Missing ⚠",VLOOKUP(J248,'G-7 WaterC'' Data'!$AK$4:$AM$6,3,FALSE)))</f>
        <v/>
      </c>
      <c r="M248" s="52"/>
      <c r="N248" s="282" t="str">
        <f>IF(M248="","",IF(AND(D248&lt;&gt;"Culvert",M248="N/A - Culvert"),"Not possible ▲",IF(AND(D248="Culvert",M248&lt;&gt;"N/A - Culvert"),"Not possible ▲",IF(VLOOKUP(M248,'G-7 WaterC'' Data'!$AA$4:$AB$7,2,FALSE)=0,"Spatial Data Missing ⚠",VLOOKUP(M248,'G-7 WaterC'' Data'!$AA$4:$AB$7,2,FALSE)))))</f>
        <v/>
      </c>
      <c r="O248" s="56"/>
      <c r="P248" s="282" t="str">
        <f>IF(O248="","",IF(AND(O248="N/A - Culvert", D248&lt;&gt;"Culvert"),"Not possible ▲", IF(AND(D248="Culvert",O248&lt;&gt;"N/A - Culvert"),"Not possible ▲",IF(VLOOKUP(O248,'G-7 WaterC'' Data'!$AD$4:$AE$14,2,FALSE)=0,"Spatial Data Missing ⚠",VLOOKUP(O248,'G-7 WaterC'' Data'!$AD$4:$AE$14,2,FALSE)))))</f>
        <v/>
      </c>
      <c r="Q248" s="288" t="str">
        <f>IF(D248="","",VLOOKUP(D248,'G-7 WaterC'' Data'!$B$2:$G$8,6,FALSE))</f>
        <v/>
      </c>
      <c r="R248" s="295" t="str">
        <f t="shared" si="31"/>
        <v xml:space="preserve"> </v>
      </c>
      <c r="S248" s="820" t="str">
        <f t="shared" si="32"/>
        <v/>
      </c>
      <c r="T248" s="32"/>
      <c r="U248" s="105"/>
      <c r="V248" s="112"/>
      <c r="W248" s="293" t="str">
        <f t="shared" si="33"/>
        <v/>
      </c>
      <c r="X248" s="293" t="str">
        <f t="shared" si="34"/>
        <v/>
      </c>
      <c r="Y248" s="293" t="str">
        <f t="shared" si="35"/>
        <v/>
      </c>
      <c r="Z248" s="323" t="str">
        <f>IFERROR(IF(OR(E248="",R248=""),"",  IF(AND(Q248='G-7 WaterC'' Data'!$G$4,AA248="Yes"),"Alternative Compensation ✓", IF(AND(AA248="Pending", Q248='G-7 WaterC'' Data'!$G$4),"Bespoke compensation must be agreed ▲", IF((W248+X248)&gt;=R248, 0, R248-W248-X248)))),"Check Data ⚠")</f>
        <v/>
      </c>
      <c r="AA248" s="817"/>
      <c r="AB248" s="140"/>
      <c r="AC248" s="108"/>
      <c r="AD248" s="108"/>
      <c r="AE248" s="54" t="str">
        <f>IF(OR(Q248="",AA248="Yes"),"",IF(Q248='G-1 All Habitats'!$X$9,E248-U248-V248,"None"))</f>
        <v/>
      </c>
      <c r="AF248" s="55" t="str">
        <f>IF(Q248="","", IF(Q248='G-1 All Habitats'!$X$9, AE248*G248*I248*L248*N248*P248,"None"))</f>
        <v/>
      </c>
      <c r="AI248" s="30">
        <f t="shared" si="36"/>
        <v>0</v>
      </c>
      <c r="AJ248" s="111" t="str">
        <f t="shared" si="37"/>
        <v/>
      </c>
      <c r="AK248" s="111" t="str">
        <f t="shared" si="38"/>
        <v/>
      </c>
      <c r="AM248" s="111">
        <v>239</v>
      </c>
      <c r="AO248" s="111" t="str">
        <f t="array" ref="AO248">IFERROR(INDEX($AM$10:$AM$258, MATCH(0, IF(TRUE=$AJ$10:$AJ$258, COUNTIF($AO$9:$AO247, $AM$10:$AM$258), ""), 0)),"")</f>
        <v/>
      </c>
      <c r="AP248" s="111" t="str">
        <f t="array" ref="AP248">IFERROR(INDEX($AM$10:$AM$258, MATCH(0, IF(TRUE=$AK$10:$AK$258, COUNTIF($AP$9:$AP247, $AM$10:$AM$258), ""), 0)),"")</f>
        <v/>
      </c>
      <c r="AR248" s="30" t="str">
        <f>IFERROR(INDEX('G-7 WaterC'' Data'!$AZ$3:$AZ$7,MATCH(D248,'G-7 WaterC'' Data'!$AY$3:$AY$7,0)),"")</f>
        <v/>
      </c>
      <c r="AS248" s="30" t="str">
        <f>IFERROR(INDEX('G-7 WaterC'' Data'!AZ248:AZ252,MATCH(D248,'G-7 WaterC'' Data'!$AY$10:$AY$14,0)),"")</f>
        <v/>
      </c>
      <c r="AT248" s="903" t="str">
        <f>IF(AND(OR(AA248="Yes",AA248="Pending"),Q248='G-7 WaterC'' Data'!$G$4),R248-W248-X248,"")</f>
        <v/>
      </c>
      <c r="AU248" s="30" t="str">
        <f>IF(D248="","",VLOOKUP(D248,'G-7 WaterC'' Data'!B$4:M$8,12,FALSE))</f>
        <v/>
      </c>
      <c r="AV248" s="30" t="str">
        <f t="shared" si="30"/>
        <v/>
      </c>
      <c r="AX248" s="30" t="str">
        <f t="shared" si="39"/>
        <v>No</v>
      </c>
    </row>
    <row r="249" spans="3:50" x14ac:dyDescent="0.25">
      <c r="C249" s="101">
        <v>240</v>
      </c>
      <c r="D249" s="267"/>
      <c r="E249" s="119"/>
      <c r="F249" s="281" t="str">
        <f>IF(D249="","",VLOOKUP(D249,'G-7 WaterC'' Data'!$B$2:$G$8,2,FALSE))</f>
        <v/>
      </c>
      <c r="G249" s="282" t="str">
        <f>IFERROR(VLOOKUP(F249,'G-7 WaterC'' Data'!$C$4:$D$8,2,FALSE),"")</f>
        <v/>
      </c>
      <c r="H249" s="52"/>
      <c r="I249" s="282" t="str">
        <f>IFERROR(INDEX('G-7 WaterC'' Data'!$H$4:$L$8,MATCH(D249,'G-7 WaterC'' Data'!$B$4:$B$8,0),MATCH(H249,'G-7 WaterC'' Data'!$H$3:$L$3,0)),"")</f>
        <v/>
      </c>
      <c r="J249" s="793"/>
      <c r="K249" s="317" t="str">
        <f>IF(J249="","",IF(VLOOKUP(J249,'G-7 WaterC'' Data'!$AK$4:$AM$6,2,FALSE)=0,"Spatial Data Missing ⚠",VLOOKUP(J249,'G-7 WaterC'' Data'!$AK$4:$AM$6,2,FALSE)))</f>
        <v/>
      </c>
      <c r="L249" s="287" t="str">
        <f>IF(J249="","",IF(VLOOKUP(J249,'G-7 WaterC'' Data'!$AK$4:$AM$9,3,FALSE)=0,"Spatial Data Missing ⚠",VLOOKUP(J249,'G-7 WaterC'' Data'!$AK$4:$AM$6,3,FALSE)))</f>
        <v/>
      </c>
      <c r="M249" s="52"/>
      <c r="N249" s="282" t="str">
        <f>IF(M249="","",IF(AND(D249&lt;&gt;"Culvert",M249="N/A - Culvert"),"Not possible ▲",IF(AND(D249="Culvert",M249&lt;&gt;"N/A - Culvert"),"Not possible ▲",IF(VLOOKUP(M249,'G-7 WaterC'' Data'!$AA$4:$AB$7,2,FALSE)=0,"Spatial Data Missing ⚠",VLOOKUP(M249,'G-7 WaterC'' Data'!$AA$4:$AB$7,2,FALSE)))))</f>
        <v/>
      </c>
      <c r="O249" s="56"/>
      <c r="P249" s="282" t="str">
        <f>IF(O249="","",IF(AND(O249="N/A - Culvert", D249&lt;&gt;"Culvert"),"Not possible ▲", IF(AND(D249="Culvert",O249&lt;&gt;"N/A - Culvert"),"Not possible ▲",IF(VLOOKUP(O249,'G-7 WaterC'' Data'!$AD$4:$AE$14,2,FALSE)=0,"Spatial Data Missing ⚠",VLOOKUP(O249,'G-7 WaterC'' Data'!$AD$4:$AE$14,2,FALSE)))))</f>
        <v/>
      </c>
      <c r="Q249" s="288" t="str">
        <f>IF(D249="","",VLOOKUP(D249,'G-7 WaterC'' Data'!$B$2:$G$8,6,FALSE))</f>
        <v/>
      </c>
      <c r="R249" s="295" t="str">
        <f t="shared" si="31"/>
        <v xml:space="preserve"> </v>
      </c>
      <c r="S249" s="820" t="str">
        <f t="shared" si="32"/>
        <v/>
      </c>
      <c r="T249" s="32"/>
      <c r="U249" s="105"/>
      <c r="V249" s="112"/>
      <c r="W249" s="293" t="str">
        <f t="shared" si="33"/>
        <v/>
      </c>
      <c r="X249" s="293" t="str">
        <f t="shared" si="34"/>
        <v/>
      </c>
      <c r="Y249" s="293" t="str">
        <f t="shared" si="35"/>
        <v/>
      </c>
      <c r="Z249" s="323" t="str">
        <f>IFERROR(IF(OR(E249="",R249=""),"",  IF(AND(Q249='G-7 WaterC'' Data'!$G$4,AA249="Yes"),"Alternative Compensation ✓", IF(AND(AA249="Pending", Q249='G-7 WaterC'' Data'!$G$4),"Bespoke compensation must be agreed ▲", IF((W249+X249)&gt;=R249, 0, R249-W249-X249)))),"Check Data ⚠")</f>
        <v/>
      </c>
      <c r="AA249" s="817"/>
      <c r="AB249" s="140"/>
      <c r="AC249" s="108"/>
      <c r="AD249" s="108"/>
      <c r="AE249" s="54" t="str">
        <f>IF(OR(Q249="",AA249="Yes"),"",IF(Q249='G-1 All Habitats'!$X$9,E249-U249-V249,"None"))</f>
        <v/>
      </c>
      <c r="AF249" s="55" t="str">
        <f>IF(Q249="","", IF(Q249='G-1 All Habitats'!$X$9, AE249*G249*I249*L249*N249*P249,"None"))</f>
        <v/>
      </c>
      <c r="AI249" s="30">
        <f t="shared" si="36"/>
        <v>0</v>
      </c>
      <c r="AJ249" s="111" t="str">
        <f t="shared" si="37"/>
        <v/>
      </c>
      <c r="AK249" s="111" t="str">
        <f t="shared" si="38"/>
        <v/>
      </c>
      <c r="AM249" s="111">
        <v>240</v>
      </c>
      <c r="AO249" s="111" t="str">
        <f t="array" ref="AO249">IFERROR(INDEX($AM$10:$AM$258, MATCH(0, IF(TRUE=$AJ$10:$AJ$258, COUNTIF($AO$9:$AO248, $AM$10:$AM$258), ""), 0)),"")</f>
        <v/>
      </c>
      <c r="AP249" s="111" t="str">
        <f t="array" ref="AP249">IFERROR(INDEX($AM$10:$AM$258, MATCH(0, IF(TRUE=$AK$10:$AK$258, COUNTIF($AP$9:$AP248, $AM$10:$AM$258), ""), 0)),"")</f>
        <v/>
      </c>
      <c r="AR249" s="30" t="str">
        <f>IFERROR(INDEX('G-7 WaterC'' Data'!$AZ$3:$AZ$7,MATCH(D249,'G-7 WaterC'' Data'!$AY$3:$AY$7,0)),"")</f>
        <v/>
      </c>
      <c r="AS249" s="30" t="str">
        <f>IFERROR(INDEX('G-7 WaterC'' Data'!AZ249:AZ253,MATCH(D249,'G-7 WaterC'' Data'!$AY$10:$AY$14,0)),"")</f>
        <v/>
      </c>
      <c r="AT249" s="903" t="str">
        <f>IF(AND(OR(AA249="Yes",AA249="Pending"),Q249='G-7 WaterC'' Data'!$G$4),R249-W249-X249,"")</f>
        <v/>
      </c>
      <c r="AU249" s="30" t="str">
        <f>IF(D249="","",VLOOKUP(D249,'G-7 WaterC'' Data'!B$4:M$8,12,FALSE))</f>
        <v/>
      </c>
      <c r="AV249" s="30" t="str">
        <f t="shared" si="30"/>
        <v/>
      </c>
      <c r="AX249" s="30" t="str">
        <f t="shared" si="39"/>
        <v>No</v>
      </c>
    </row>
    <row r="250" spans="3:50" x14ac:dyDescent="0.25">
      <c r="C250" s="101">
        <v>241</v>
      </c>
      <c r="D250" s="267"/>
      <c r="E250" s="119"/>
      <c r="F250" s="281" t="str">
        <f>IF(D250="","",VLOOKUP(D250,'G-7 WaterC'' Data'!$B$2:$G$8,2,FALSE))</f>
        <v/>
      </c>
      <c r="G250" s="282" t="str">
        <f>IFERROR(VLOOKUP(F250,'G-7 WaterC'' Data'!$C$4:$D$8,2,FALSE),"")</f>
        <v/>
      </c>
      <c r="H250" s="52"/>
      <c r="I250" s="282" t="str">
        <f>IFERROR(INDEX('G-7 WaterC'' Data'!$H$4:$L$8,MATCH(D250,'G-7 WaterC'' Data'!$B$4:$B$8,0),MATCH(H250,'G-7 WaterC'' Data'!$H$3:$L$3,0)),"")</f>
        <v/>
      </c>
      <c r="J250" s="793"/>
      <c r="K250" s="317" t="str">
        <f>IF(J250="","",IF(VLOOKUP(J250,'G-7 WaterC'' Data'!$AK$4:$AM$6,2,FALSE)=0,"Spatial Data Missing ⚠",VLOOKUP(J250,'G-7 WaterC'' Data'!$AK$4:$AM$6,2,FALSE)))</f>
        <v/>
      </c>
      <c r="L250" s="287" t="str">
        <f>IF(J250="","",IF(VLOOKUP(J250,'G-7 WaterC'' Data'!$AK$4:$AM$9,3,FALSE)=0,"Spatial Data Missing ⚠",VLOOKUP(J250,'G-7 WaterC'' Data'!$AK$4:$AM$6,3,FALSE)))</f>
        <v/>
      </c>
      <c r="M250" s="52"/>
      <c r="N250" s="282" t="str">
        <f>IF(M250="","",IF(AND(D250&lt;&gt;"Culvert",M250="N/A - Culvert"),"Not possible ▲",IF(AND(D250="Culvert",M250&lt;&gt;"N/A - Culvert"),"Not possible ▲",IF(VLOOKUP(M250,'G-7 WaterC'' Data'!$AA$4:$AB$7,2,FALSE)=0,"Spatial Data Missing ⚠",VLOOKUP(M250,'G-7 WaterC'' Data'!$AA$4:$AB$7,2,FALSE)))))</f>
        <v/>
      </c>
      <c r="O250" s="56"/>
      <c r="P250" s="282" t="str">
        <f>IF(O250="","",IF(AND(O250="N/A - Culvert", D250&lt;&gt;"Culvert"),"Not possible ▲", IF(AND(D250="Culvert",O250&lt;&gt;"N/A - Culvert"),"Not possible ▲",IF(VLOOKUP(O250,'G-7 WaterC'' Data'!$AD$4:$AE$14,2,FALSE)=0,"Spatial Data Missing ⚠",VLOOKUP(O250,'G-7 WaterC'' Data'!$AD$4:$AE$14,2,FALSE)))))</f>
        <v/>
      </c>
      <c r="Q250" s="288" t="str">
        <f>IF(D250="","",VLOOKUP(D250,'G-7 WaterC'' Data'!$B$2:$G$8,6,FALSE))</f>
        <v/>
      </c>
      <c r="R250" s="295" t="str">
        <f t="shared" si="31"/>
        <v xml:space="preserve"> </v>
      </c>
      <c r="S250" s="820" t="str">
        <f t="shared" si="32"/>
        <v/>
      </c>
      <c r="T250" s="32"/>
      <c r="U250" s="105"/>
      <c r="V250" s="112"/>
      <c r="W250" s="293" t="str">
        <f t="shared" si="33"/>
        <v/>
      </c>
      <c r="X250" s="293" t="str">
        <f t="shared" si="34"/>
        <v/>
      </c>
      <c r="Y250" s="293" t="str">
        <f t="shared" si="35"/>
        <v/>
      </c>
      <c r="Z250" s="323" t="str">
        <f>IFERROR(IF(OR(E250="",R250=""),"",  IF(AND(Q250='G-7 WaterC'' Data'!$G$4,AA250="Yes"),"Alternative Compensation ✓", IF(AND(AA250="Pending", Q250='G-7 WaterC'' Data'!$G$4),"Bespoke compensation must be agreed ▲", IF((W250+X250)&gt;=R250, 0, R250-W250-X250)))),"Check Data ⚠")</f>
        <v/>
      </c>
      <c r="AA250" s="817"/>
      <c r="AB250" s="140"/>
      <c r="AC250" s="108"/>
      <c r="AD250" s="108"/>
      <c r="AE250" s="54" t="str">
        <f>IF(OR(Q250="",AA250="Yes"),"",IF(Q250='G-1 All Habitats'!$X$9,E250-U250-V250,"None"))</f>
        <v/>
      </c>
      <c r="AF250" s="55" t="str">
        <f>IF(Q250="","", IF(Q250='G-1 All Habitats'!$X$9, AE250*G250*I250*L250*N250*P250,"None"))</f>
        <v/>
      </c>
      <c r="AI250" s="30">
        <f t="shared" si="36"/>
        <v>0</v>
      </c>
      <c r="AJ250" s="111" t="str">
        <f t="shared" si="37"/>
        <v/>
      </c>
      <c r="AK250" s="111" t="str">
        <f t="shared" si="38"/>
        <v/>
      </c>
      <c r="AM250" s="111">
        <v>241</v>
      </c>
      <c r="AO250" s="111" t="str">
        <f t="array" ref="AO250">IFERROR(INDEX($AM$10:$AM$258, MATCH(0, IF(TRUE=$AJ$10:$AJ$258, COUNTIF($AO$9:$AO249, $AM$10:$AM$258), ""), 0)),"")</f>
        <v/>
      </c>
      <c r="AP250" s="111" t="str">
        <f t="array" ref="AP250">IFERROR(INDEX($AM$10:$AM$258, MATCH(0, IF(TRUE=$AK$10:$AK$258, COUNTIF($AP$9:$AP249, $AM$10:$AM$258), ""), 0)),"")</f>
        <v/>
      </c>
      <c r="AR250" s="30" t="str">
        <f>IFERROR(INDEX('G-7 WaterC'' Data'!$AZ$3:$AZ$7,MATCH(D250,'G-7 WaterC'' Data'!$AY$3:$AY$7,0)),"")</f>
        <v/>
      </c>
      <c r="AS250" s="30" t="str">
        <f>IFERROR(INDEX('G-7 WaterC'' Data'!AZ250:AZ254,MATCH(D250,'G-7 WaterC'' Data'!$AY$10:$AY$14,0)),"")</f>
        <v/>
      </c>
      <c r="AT250" s="903" t="str">
        <f>IF(AND(OR(AA250="Yes",AA250="Pending"),Q250='G-7 WaterC'' Data'!$G$4),R250-W250-X250,"")</f>
        <v/>
      </c>
      <c r="AU250" s="30" t="str">
        <f>IF(D250="","",VLOOKUP(D250,'G-7 WaterC'' Data'!B$4:M$8,12,FALSE))</f>
        <v/>
      </c>
      <c r="AV250" s="30" t="str">
        <f t="shared" si="30"/>
        <v/>
      </c>
      <c r="AX250" s="30" t="str">
        <f t="shared" si="39"/>
        <v>No</v>
      </c>
    </row>
    <row r="251" spans="3:50" x14ac:dyDescent="0.25">
      <c r="C251" s="101">
        <v>242</v>
      </c>
      <c r="D251" s="267"/>
      <c r="E251" s="119"/>
      <c r="F251" s="281" t="str">
        <f>IF(D251="","",VLOOKUP(D251,'G-7 WaterC'' Data'!$B$2:$G$8,2,FALSE))</f>
        <v/>
      </c>
      <c r="G251" s="282" t="str">
        <f>IFERROR(VLOOKUP(F251,'G-7 WaterC'' Data'!$C$4:$D$8,2,FALSE),"")</f>
        <v/>
      </c>
      <c r="H251" s="52"/>
      <c r="I251" s="282" t="str">
        <f>IFERROR(INDEX('G-7 WaterC'' Data'!$H$4:$L$8,MATCH(D251,'G-7 WaterC'' Data'!$B$4:$B$8,0),MATCH(H251,'G-7 WaterC'' Data'!$H$3:$L$3,0)),"")</f>
        <v/>
      </c>
      <c r="J251" s="793"/>
      <c r="K251" s="317" t="str">
        <f>IF(J251="","",IF(VLOOKUP(J251,'G-7 WaterC'' Data'!$AK$4:$AM$6,2,FALSE)=0,"Spatial Data Missing ⚠",VLOOKUP(J251,'G-7 WaterC'' Data'!$AK$4:$AM$6,2,FALSE)))</f>
        <v/>
      </c>
      <c r="L251" s="287" t="str">
        <f>IF(J251="","",IF(VLOOKUP(J251,'G-7 WaterC'' Data'!$AK$4:$AM$9,3,FALSE)=0,"Spatial Data Missing ⚠",VLOOKUP(J251,'G-7 WaterC'' Data'!$AK$4:$AM$6,3,FALSE)))</f>
        <v/>
      </c>
      <c r="M251" s="52"/>
      <c r="N251" s="282" t="str">
        <f>IF(M251="","",IF(AND(D251&lt;&gt;"Culvert",M251="N/A - Culvert"),"Not possible ▲",IF(AND(D251="Culvert",M251&lt;&gt;"N/A - Culvert"),"Not possible ▲",IF(VLOOKUP(M251,'G-7 WaterC'' Data'!$AA$4:$AB$7,2,FALSE)=0,"Spatial Data Missing ⚠",VLOOKUP(M251,'G-7 WaterC'' Data'!$AA$4:$AB$7,2,FALSE)))))</f>
        <v/>
      </c>
      <c r="O251" s="56"/>
      <c r="P251" s="282" t="str">
        <f>IF(O251="","",IF(AND(O251="N/A - Culvert", D251&lt;&gt;"Culvert"),"Not possible ▲", IF(AND(D251="Culvert",O251&lt;&gt;"N/A - Culvert"),"Not possible ▲",IF(VLOOKUP(O251,'G-7 WaterC'' Data'!$AD$4:$AE$14,2,FALSE)=0,"Spatial Data Missing ⚠",VLOOKUP(O251,'G-7 WaterC'' Data'!$AD$4:$AE$14,2,FALSE)))))</f>
        <v/>
      </c>
      <c r="Q251" s="288" t="str">
        <f>IF(D251="","",VLOOKUP(D251,'G-7 WaterC'' Data'!$B$2:$G$8,6,FALSE))</f>
        <v/>
      </c>
      <c r="R251" s="295" t="str">
        <f t="shared" si="31"/>
        <v xml:space="preserve"> </v>
      </c>
      <c r="S251" s="820" t="str">
        <f t="shared" si="32"/>
        <v/>
      </c>
      <c r="T251" s="32"/>
      <c r="U251" s="105"/>
      <c r="V251" s="112"/>
      <c r="W251" s="293" t="str">
        <f t="shared" si="33"/>
        <v/>
      </c>
      <c r="X251" s="293" t="str">
        <f t="shared" si="34"/>
        <v/>
      </c>
      <c r="Y251" s="293" t="str">
        <f t="shared" si="35"/>
        <v/>
      </c>
      <c r="Z251" s="323" t="str">
        <f>IFERROR(IF(OR(E251="",R251=""),"",  IF(AND(Q251='G-7 WaterC'' Data'!$G$4,AA251="Yes"),"Alternative Compensation ✓", IF(AND(AA251="Pending", Q251='G-7 WaterC'' Data'!$G$4),"Bespoke compensation must be agreed ▲", IF((W251+X251)&gt;=R251, 0, R251-W251-X251)))),"Check Data ⚠")</f>
        <v/>
      </c>
      <c r="AA251" s="817"/>
      <c r="AB251" s="140"/>
      <c r="AC251" s="108"/>
      <c r="AD251" s="108"/>
      <c r="AE251" s="54" t="str">
        <f>IF(OR(Q251="",AA251="Yes"),"",IF(Q251='G-1 All Habitats'!$X$9,E251-U251-V251,"None"))</f>
        <v/>
      </c>
      <c r="AF251" s="55" t="str">
        <f>IF(Q251="","", IF(Q251='G-1 All Habitats'!$X$9, AE251*G251*I251*L251*N251*P251,"None"))</f>
        <v/>
      </c>
      <c r="AI251" s="30">
        <f t="shared" si="36"/>
        <v>0</v>
      </c>
      <c r="AJ251" s="111" t="str">
        <f t="shared" si="37"/>
        <v/>
      </c>
      <c r="AK251" s="111" t="str">
        <f t="shared" si="38"/>
        <v/>
      </c>
      <c r="AM251" s="111">
        <v>242</v>
      </c>
      <c r="AO251" s="111" t="str">
        <f t="array" ref="AO251">IFERROR(INDEX($AM$10:$AM$258, MATCH(0, IF(TRUE=$AJ$10:$AJ$258, COUNTIF($AO$9:$AO250, $AM$10:$AM$258), ""), 0)),"")</f>
        <v/>
      </c>
      <c r="AP251" s="111" t="str">
        <f t="array" ref="AP251">IFERROR(INDEX($AM$10:$AM$258, MATCH(0, IF(TRUE=$AK$10:$AK$258, COUNTIF($AP$9:$AP250, $AM$10:$AM$258), ""), 0)),"")</f>
        <v/>
      </c>
      <c r="AR251" s="30" t="str">
        <f>IFERROR(INDEX('G-7 WaterC'' Data'!$AZ$3:$AZ$7,MATCH(D251,'G-7 WaterC'' Data'!$AY$3:$AY$7,0)),"")</f>
        <v/>
      </c>
      <c r="AS251" s="30" t="str">
        <f>IFERROR(INDEX('G-7 WaterC'' Data'!AZ251:AZ255,MATCH(D251,'G-7 WaterC'' Data'!$AY$10:$AY$14,0)),"")</f>
        <v/>
      </c>
      <c r="AT251" s="903" t="str">
        <f>IF(AND(OR(AA251="Yes",AA251="Pending"),Q251='G-7 WaterC'' Data'!$G$4),R251-W251-X251,"")</f>
        <v/>
      </c>
      <c r="AU251" s="30" t="str">
        <f>IF(D251="","",VLOOKUP(D251,'G-7 WaterC'' Data'!B$4:M$8,12,FALSE))</f>
        <v/>
      </c>
      <c r="AV251" s="30" t="str">
        <f t="shared" si="30"/>
        <v/>
      </c>
      <c r="AX251" s="30" t="str">
        <f t="shared" si="39"/>
        <v>No</v>
      </c>
    </row>
    <row r="252" spans="3:50" x14ac:dyDescent="0.25">
      <c r="C252" s="101">
        <v>243</v>
      </c>
      <c r="D252" s="267"/>
      <c r="E252" s="119"/>
      <c r="F252" s="281" t="str">
        <f>IF(D252="","",VLOOKUP(D252,'G-7 WaterC'' Data'!$B$2:$G$8,2,FALSE))</f>
        <v/>
      </c>
      <c r="G252" s="282" t="str">
        <f>IFERROR(VLOOKUP(F252,'G-7 WaterC'' Data'!$C$4:$D$8,2,FALSE),"")</f>
        <v/>
      </c>
      <c r="H252" s="52"/>
      <c r="I252" s="282" t="str">
        <f>IFERROR(INDEX('G-7 WaterC'' Data'!$H$4:$L$8,MATCH(D252,'G-7 WaterC'' Data'!$B$4:$B$8,0),MATCH(H252,'G-7 WaterC'' Data'!$H$3:$L$3,0)),"")</f>
        <v/>
      </c>
      <c r="J252" s="793"/>
      <c r="K252" s="317" t="str">
        <f>IF(J252="","",IF(VLOOKUP(J252,'G-7 WaterC'' Data'!$AK$4:$AM$6,2,FALSE)=0,"Spatial Data Missing ⚠",VLOOKUP(J252,'G-7 WaterC'' Data'!$AK$4:$AM$6,2,FALSE)))</f>
        <v/>
      </c>
      <c r="L252" s="287" t="str">
        <f>IF(J252="","",IF(VLOOKUP(J252,'G-7 WaterC'' Data'!$AK$4:$AM$9,3,FALSE)=0,"Spatial Data Missing ⚠",VLOOKUP(J252,'G-7 WaterC'' Data'!$AK$4:$AM$6,3,FALSE)))</f>
        <v/>
      </c>
      <c r="M252" s="52"/>
      <c r="N252" s="282" t="str">
        <f>IF(M252="","",IF(AND(D252&lt;&gt;"Culvert",M252="N/A - Culvert"),"Not possible ▲",IF(AND(D252="Culvert",M252&lt;&gt;"N/A - Culvert"),"Not possible ▲",IF(VLOOKUP(M252,'G-7 WaterC'' Data'!$AA$4:$AB$7,2,FALSE)=0,"Spatial Data Missing ⚠",VLOOKUP(M252,'G-7 WaterC'' Data'!$AA$4:$AB$7,2,FALSE)))))</f>
        <v/>
      </c>
      <c r="O252" s="56"/>
      <c r="P252" s="282" t="str">
        <f>IF(O252="","",IF(AND(O252="N/A - Culvert", D252&lt;&gt;"Culvert"),"Not possible ▲", IF(AND(D252="Culvert",O252&lt;&gt;"N/A - Culvert"),"Not possible ▲",IF(VLOOKUP(O252,'G-7 WaterC'' Data'!$AD$4:$AE$14,2,FALSE)=0,"Spatial Data Missing ⚠",VLOOKUP(O252,'G-7 WaterC'' Data'!$AD$4:$AE$14,2,FALSE)))))</f>
        <v/>
      </c>
      <c r="Q252" s="288" t="str">
        <f>IF(D252="","",VLOOKUP(D252,'G-7 WaterC'' Data'!$B$2:$G$8,6,FALSE))</f>
        <v/>
      </c>
      <c r="R252" s="295" t="str">
        <f t="shared" si="31"/>
        <v xml:space="preserve"> </v>
      </c>
      <c r="S252" s="820" t="str">
        <f t="shared" si="32"/>
        <v/>
      </c>
      <c r="T252" s="32"/>
      <c r="U252" s="105"/>
      <c r="V252" s="112"/>
      <c r="W252" s="293" t="str">
        <f t="shared" si="33"/>
        <v/>
      </c>
      <c r="X252" s="293" t="str">
        <f t="shared" si="34"/>
        <v/>
      </c>
      <c r="Y252" s="293" t="str">
        <f t="shared" si="35"/>
        <v/>
      </c>
      <c r="Z252" s="323" t="str">
        <f>IFERROR(IF(OR(E252="",R252=""),"",  IF(AND(Q252='G-7 WaterC'' Data'!$G$4,AA252="Yes"),"Alternative Compensation ✓", IF(AND(AA252="Pending", Q252='G-7 WaterC'' Data'!$G$4),"Bespoke compensation must be agreed ▲", IF((W252+X252)&gt;=R252, 0, R252-W252-X252)))),"Check Data ⚠")</f>
        <v/>
      </c>
      <c r="AA252" s="817"/>
      <c r="AB252" s="140"/>
      <c r="AC252" s="108"/>
      <c r="AD252" s="108"/>
      <c r="AE252" s="54" t="str">
        <f>IF(OR(Q252="",AA252="Yes"),"",IF(Q252='G-1 All Habitats'!$X$9,E252-U252-V252,"None"))</f>
        <v/>
      </c>
      <c r="AF252" s="55" t="str">
        <f>IF(Q252="","", IF(Q252='G-1 All Habitats'!$X$9, AE252*G252*I252*L252*N252*P252,"None"))</f>
        <v/>
      </c>
      <c r="AI252" s="30">
        <f t="shared" si="36"/>
        <v>0</v>
      </c>
      <c r="AJ252" s="111" t="str">
        <f t="shared" si="37"/>
        <v/>
      </c>
      <c r="AK252" s="111" t="str">
        <f t="shared" si="38"/>
        <v/>
      </c>
      <c r="AM252" s="111">
        <v>243</v>
      </c>
      <c r="AO252" s="111" t="str">
        <f t="array" ref="AO252">IFERROR(INDEX($AM$10:$AM$258, MATCH(0, IF(TRUE=$AJ$10:$AJ$258, COUNTIF($AO$9:$AO251, $AM$10:$AM$258), ""), 0)),"")</f>
        <v/>
      </c>
      <c r="AP252" s="111" t="str">
        <f t="array" ref="AP252">IFERROR(INDEX($AM$10:$AM$258, MATCH(0, IF(TRUE=$AK$10:$AK$258, COUNTIF($AP$9:$AP251, $AM$10:$AM$258), ""), 0)),"")</f>
        <v/>
      </c>
      <c r="AR252" s="30" t="str">
        <f>IFERROR(INDEX('G-7 WaterC'' Data'!$AZ$3:$AZ$7,MATCH(D252,'G-7 WaterC'' Data'!$AY$3:$AY$7,0)),"")</f>
        <v/>
      </c>
      <c r="AS252" s="30" t="str">
        <f>IFERROR(INDEX('G-7 WaterC'' Data'!AZ252:AZ256,MATCH(D252,'G-7 WaterC'' Data'!$AY$10:$AY$14,0)),"")</f>
        <v/>
      </c>
      <c r="AT252" s="903" t="str">
        <f>IF(AND(OR(AA252="Yes",AA252="Pending"),Q252='G-7 WaterC'' Data'!$G$4),R252-W252-X252,"")</f>
        <v/>
      </c>
      <c r="AU252" s="30" t="str">
        <f>IF(D252="","",VLOOKUP(D252,'G-7 WaterC'' Data'!B$4:M$8,12,FALSE))</f>
        <v/>
      </c>
      <c r="AV252" s="30" t="str">
        <f t="shared" si="30"/>
        <v/>
      </c>
      <c r="AX252" s="30" t="str">
        <f t="shared" si="39"/>
        <v>No</v>
      </c>
    </row>
    <row r="253" spans="3:50" x14ac:dyDescent="0.25">
      <c r="C253" s="101">
        <v>244</v>
      </c>
      <c r="D253" s="267"/>
      <c r="E253" s="119"/>
      <c r="F253" s="281" t="str">
        <f>IF(D253="","",VLOOKUP(D253,'G-7 WaterC'' Data'!$B$2:$G$8,2,FALSE))</f>
        <v/>
      </c>
      <c r="G253" s="282" t="str">
        <f>IFERROR(VLOOKUP(F253,'G-7 WaterC'' Data'!$C$4:$D$8,2,FALSE),"")</f>
        <v/>
      </c>
      <c r="H253" s="52"/>
      <c r="I253" s="282" t="str">
        <f>IFERROR(INDEX('G-7 WaterC'' Data'!$H$4:$L$8,MATCH(D253,'G-7 WaterC'' Data'!$B$4:$B$8,0),MATCH(H253,'G-7 WaterC'' Data'!$H$3:$L$3,0)),"")</f>
        <v/>
      </c>
      <c r="J253" s="793"/>
      <c r="K253" s="317" t="str">
        <f>IF(J253="","",IF(VLOOKUP(J253,'G-7 WaterC'' Data'!$AK$4:$AM$6,2,FALSE)=0,"Spatial Data Missing ⚠",VLOOKUP(J253,'G-7 WaterC'' Data'!$AK$4:$AM$6,2,FALSE)))</f>
        <v/>
      </c>
      <c r="L253" s="287" t="str">
        <f>IF(J253="","",IF(VLOOKUP(J253,'G-7 WaterC'' Data'!$AK$4:$AM$9,3,FALSE)=0,"Spatial Data Missing ⚠",VLOOKUP(J253,'G-7 WaterC'' Data'!$AK$4:$AM$6,3,FALSE)))</f>
        <v/>
      </c>
      <c r="M253" s="52"/>
      <c r="N253" s="282" t="str">
        <f>IF(M253="","",IF(AND(D253&lt;&gt;"Culvert",M253="N/A - Culvert"),"Not possible ▲",IF(AND(D253="Culvert",M253&lt;&gt;"N/A - Culvert"),"Not possible ▲",IF(VLOOKUP(M253,'G-7 WaterC'' Data'!$AA$4:$AB$7,2,FALSE)=0,"Spatial Data Missing ⚠",VLOOKUP(M253,'G-7 WaterC'' Data'!$AA$4:$AB$7,2,FALSE)))))</f>
        <v/>
      </c>
      <c r="O253" s="56"/>
      <c r="P253" s="282" t="str">
        <f>IF(O253="","",IF(AND(O253="N/A - Culvert", D253&lt;&gt;"Culvert"),"Not possible ▲", IF(AND(D253="Culvert",O253&lt;&gt;"N/A - Culvert"),"Not possible ▲",IF(VLOOKUP(O253,'G-7 WaterC'' Data'!$AD$4:$AE$14,2,FALSE)=0,"Spatial Data Missing ⚠",VLOOKUP(O253,'G-7 WaterC'' Data'!$AD$4:$AE$14,2,FALSE)))))</f>
        <v/>
      </c>
      <c r="Q253" s="288" t="str">
        <f>IF(D253="","",VLOOKUP(D253,'G-7 WaterC'' Data'!$B$2:$G$8,6,FALSE))</f>
        <v/>
      </c>
      <c r="R253" s="295" t="str">
        <f t="shared" si="31"/>
        <v xml:space="preserve"> </v>
      </c>
      <c r="S253" s="820" t="str">
        <f t="shared" si="32"/>
        <v/>
      </c>
      <c r="T253" s="32"/>
      <c r="U253" s="105"/>
      <c r="V253" s="112"/>
      <c r="W253" s="293" t="str">
        <f t="shared" si="33"/>
        <v/>
      </c>
      <c r="X253" s="293" t="str">
        <f t="shared" si="34"/>
        <v/>
      </c>
      <c r="Y253" s="293" t="str">
        <f t="shared" si="35"/>
        <v/>
      </c>
      <c r="Z253" s="323" t="str">
        <f>IFERROR(IF(OR(E253="",R253=""),"",  IF(AND(Q253='G-7 WaterC'' Data'!$G$4,AA253="Yes"),"Alternative Compensation ✓", IF(AND(AA253="Pending", Q253='G-7 WaterC'' Data'!$G$4),"Bespoke compensation must be agreed ▲", IF((W253+X253)&gt;=R253, 0, R253-W253-X253)))),"Check Data ⚠")</f>
        <v/>
      </c>
      <c r="AA253" s="817"/>
      <c r="AB253" s="140"/>
      <c r="AC253" s="108"/>
      <c r="AD253" s="108"/>
      <c r="AE253" s="54" t="str">
        <f>IF(OR(Q253="",AA253="Yes"),"",IF(Q253='G-1 All Habitats'!$X$9,E253-U253-V253,"None"))</f>
        <v/>
      </c>
      <c r="AF253" s="55" t="str">
        <f>IF(Q253="","", IF(Q253='G-1 All Habitats'!$X$9, AE253*G253*I253*L253*N253*P253,"None"))</f>
        <v/>
      </c>
      <c r="AI253" s="30">
        <f t="shared" si="36"/>
        <v>0</v>
      </c>
      <c r="AJ253" s="111" t="str">
        <f t="shared" si="37"/>
        <v/>
      </c>
      <c r="AK253" s="111" t="str">
        <f t="shared" si="38"/>
        <v/>
      </c>
      <c r="AM253" s="111">
        <v>244</v>
      </c>
      <c r="AO253" s="111" t="str">
        <f t="array" ref="AO253">IFERROR(INDEX($AM$10:$AM$258, MATCH(0, IF(TRUE=$AJ$10:$AJ$258, COUNTIF($AO$9:$AO252, $AM$10:$AM$258), ""), 0)),"")</f>
        <v/>
      </c>
      <c r="AP253" s="111" t="str">
        <f t="array" ref="AP253">IFERROR(INDEX($AM$10:$AM$258, MATCH(0, IF(TRUE=$AK$10:$AK$258, COUNTIF($AP$9:$AP252, $AM$10:$AM$258), ""), 0)),"")</f>
        <v/>
      </c>
      <c r="AR253" s="30" t="str">
        <f>IFERROR(INDEX('G-7 WaterC'' Data'!$AZ$3:$AZ$7,MATCH(D253,'G-7 WaterC'' Data'!$AY$3:$AY$7,0)),"")</f>
        <v/>
      </c>
      <c r="AS253" s="30" t="str">
        <f>IFERROR(INDEX('G-7 WaterC'' Data'!AZ253:AZ257,MATCH(D253,'G-7 WaterC'' Data'!$AY$10:$AY$14,0)),"")</f>
        <v/>
      </c>
      <c r="AT253" s="903" t="str">
        <f>IF(AND(OR(AA253="Yes",AA253="Pending"),Q253='G-7 WaterC'' Data'!$G$4),R253-W253-X253,"")</f>
        <v/>
      </c>
      <c r="AU253" s="30" t="str">
        <f>IF(D253="","",VLOOKUP(D253,'G-7 WaterC'' Data'!B$4:M$8,12,FALSE))</f>
        <v/>
      </c>
      <c r="AV253" s="30" t="str">
        <f t="shared" si="30"/>
        <v/>
      </c>
      <c r="AX253" s="30" t="str">
        <f t="shared" si="39"/>
        <v>No</v>
      </c>
    </row>
    <row r="254" spans="3:50" x14ac:dyDescent="0.25">
      <c r="C254" s="101">
        <v>245</v>
      </c>
      <c r="D254" s="267"/>
      <c r="E254" s="119"/>
      <c r="F254" s="281" t="str">
        <f>IF(D254="","",VLOOKUP(D254,'G-7 WaterC'' Data'!$B$2:$G$8,2,FALSE))</f>
        <v/>
      </c>
      <c r="G254" s="282" t="str">
        <f>IFERROR(VLOOKUP(F254,'G-7 WaterC'' Data'!$C$4:$D$8,2,FALSE),"")</f>
        <v/>
      </c>
      <c r="H254" s="52"/>
      <c r="I254" s="282" t="str">
        <f>IFERROR(INDEX('G-7 WaterC'' Data'!$H$4:$L$8,MATCH(D254,'G-7 WaterC'' Data'!$B$4:$B$8,0),MATCH(H254,'G-7 WaterC'' Data'!$H$3:$L$3,0)),"")</f>
        <v/>
      </c>
      <c r="J254" s="793"/>
      <c r="K254" s="317" t="str">
        <f>IF(J254="","",IF(VLOOKUP(J254,'G-7 WaterC'' Data'!$AK$4:$AM$6,2,FALSE)=0,"Spatial Data Missing ⚠",VLOOKUP(J254,'G-7 WaterC'' Data'!$AK$4:$AM$6,2,FALSE)))</f>
        <v/>
      </c>
      <c r="L254" s="287" t="str">
        <f>IF(J254="","",IF(VLOOKUP(J254,'G-7 WaterC'' Data'!$AK$4:$AM$9,3,FALSE)=0,"Spatial Data Missing ⚠",VLOOKUP(J254,'G-7 WaterC'' Data'!$AK$4:$AM$6,3,FALSE)))</f>
        <v/>
      </c>
      <c r="M254" s="52"/>
      <c r="N254" s="282" t="str">
        <f>IF(M254="","",IF(AND(D254&lt;&gt;"Culvert",M254="N/A - Culvert"),"Not possible ▲",IF(AND(D254="Culvert",M254&lt;&gt;"N/A - Culvert"),"Not possible ▲",IF(VLOOKUP(M254,'G-7 WaterC'' Data'!$AA$4:$AB$7,2,FALSE)=0,"Spatial Data Missing ⚠",VLOOKUP(M254,'G-7 WaterC'' Data'!$AA$4:$AB$7,2,FALSE)))))</f>
        <v/>
      </c>
      <c r="O254" s="56"/>
      <c r="P254" s="282" t="str">
        <f>IF(O254="","",IF(AND(O254="N/A - Culvert", D254&lt;&gt;"Culvert"),"Not possible ▲", IF(AND(D254="Culvert",O254&lt;&gt;"N/A - Culvert"),"Not possible ▲",IF(VLOOKUP(O254,'G-7 WaterC'' Data'!$AD$4:$AE$14,2,FALSE)=0,"Spatial Data Missing ⚠",VLOOKUP(O254,'G-7 WaterC'' Data'!$AD$4:$AE$14,2,FALSE)))))</f>
        <v/>
      </c>
      <c r="Q254" s="288" t="str">
        <f>IF(D254="","",VLOOKUP(D254,'G-7 WaterC'' Data'!$B$2:$G$8,6,FALSE))</f>
        <v/>
      </c>
      <c r="R254" s="295" t="str">
        <f t="shared" si="31"/>
        <v xml:space="preserve"> </v>
      </c>
      <c r="S254" s="820" t="str">
        <f t="shared" si="32"/>
        <v/>
      </c>
      <c r="T254" s="32"/>
      <c r="U254" s="105"/>
      <c r="V254" s="112"/>
      <c r="W254" s="293" t="str">
        <f t="shared" si="33"/>
        <v/>
      </c>
      <c r="X254" s="293" t="str">
        <f t="shared" si="34"/>
        <v/>
      </c>
      <c r="Y254" s="293" t="str">
        <f t="shared" si="35"/>
        <v/>
      </c>
      <c r="Z254" s="323" t="str">
        <f>IFERROR(IF(OR(E254="",R254=""),"",  IF(AND(Q254='G-7 WaterC'' Data'!$G$4,AA254="Yes"),"Alternative Compensation ✓", IF(AND(AA254="Pending", Q254='G-7 WaterC'' Data'!$G$4),"Bespoke compensation must be agreed ▲", IF((W254+X254)&gt;=R254, 0, R254-W254-X254)))),"Check Data ⚠")</f>
        <v/>
      </c>
      <c r="AA254" s="817"/>
      <c r="AB254" s="140"/>
      <c r="AC254" s="108"/>
      <c r="AD254" s="108"/>
      <c r="AE254" s="54" t="str">
        <f>IF(OR(Q254="",AA254="Yes"),"",IF(Q254='G-1 All Habitats'!$X$9,E254-U254-V254,"None"))</f>
        <v/>
      </c>
      <c r="AF254" s="55" t="str">
        <f>IF(Q254="","", IF(Q254='G-1 All Habitats'!$X$9, AE254*G254*I254*L254*N254*P254,"None"))</f>
        <v/>
      </c>
      <c r="AI254" s="30">
        <f t="shared" si="36"/>
        <v>0</v>
      </c>
      <c r="AJ254" s="111" t="str">
        <f t="shared" si="37"/>
        <v/>
      </c>
      <c r="AK254" s="111" t="str">
        <f t="shared" si="38"/>
        <v/>
      </c>
      <c r="AM254" s="111">
        <v>245</v>
      </c>
      <c r="AO254" s="111" t="str">
        <f t="array" ref="AO254">IFERROR(INDEX($AM$10:$AM$258, MATCH(0, IF(TRUE=$AJ$10:$AJ$258, COUNTIF($AO$9:$AO253, $AM$10:$AM$258), ""), 0)),"")</f>
        <v/>
      </c>
      <c r="AP254" s="111" t="str">
        <f t="array" ref="AP254">IFERROR(INDEX($AM$10:$AM$258, MATCH(0, IF(TRUE=$AK$10:$AK$258, COUNTIF($AP$9:$AP253, $AM$10:$AM$258), ""), 0)),"")</f>
        <v/>
      </c>
      <c r="AR254" s="30" t="str">
        <f>IFERROR(INDEX('G-7 WaterC'' Data'!$AZ$3:$AZ$7,MATCH(D254,'G-7 WaterC'' Data'!$AY$3:$AY$7,0)),"")</f>
        <v/>
      </c>
      <c r="AS254" s="30" t="str">
        <f>IFERROR(INDEX('G-7 WaterC'' Data'!AZ254:AZ258,MATCH(D254,'G-7 WaterC'' Data'!$AY$10:$AY$14,0)),"")</f>
        <v/>
      </c>
      <c r="AT254" s="903" t="str">
        <f>IF(AND(OR(AA254="Yes",AA254="Pending"),Q254='G-7 WaterC'' Data'!$G$4),R254-W254-X254,"")</f>
        <v/>
      </c>
      <c r="AU254" s="30" t="str">
        <f>IF(D254="","",VLOOKUP(D254,'G-7 WaterC'' Data'!B$4:M$8,12,FALSE))</f>
        <v/>
      </c>
      <c r="AV254" s="30" t="str">
        <f t="shared" si="30"/>
        <v/>
      </c>
      <c r="AX254" s="30" t="str">
        <f t="shared" si="39"/>
        <v>No</v>
      </c>
    </row>
    <row r="255" spans="3:50" x14ac:dyDescent="0.25">
      <c r="C255" s="101">
        <v>246</v>
      </c>
      <c r="D255" s="267"/>
      <c r="E255" s="119"/>
      <c r="F255" s="281" t="str">
        <f>IF(D255="","",VLOOKUP(D255,'G-7 WaterC'' Data'!$B$2:$G$8,2,FALSE))</f>
        <v/>
      </c>
      <c r="G255" s="282" t="str">
        <f>IFERROR(VLOOKUP(F255,'G-7 WaterC'' Data'!$C$4:$D$8,2,FALSE),"")</f>
        <v/>
      </c>
      <c r="H255" s="52"/>
      <c r="I255" s="282" t="str">
        <f>IFERROR(INDEX('G-7 WaterC'' Data'!$H$4:$L$8,MATCH(D255,'G-7 WaterC'' Data'!$B$4:$B$8,0),MATCH(H255,'G-7 WaterC'' Data'!$H$3:$L$3,0)),"")</f>
        <v/>
      </c>
      <c r="J255" s="793"/>
      <c r="K255" s="317" t="str">
        <f>IF(J255="","",IF(VLOOKUP(J255,'G-7 WaterC'' Data'!$AK$4:$AM$6,2,FALSE)=0,"Spatial Data Missing ⚠",VLOOKUP(J255,'G-7 WaterC'' Data'!$AK$4:$AM$6,2,FALSE)))</f>
        <v/>
      </c>
      <c r="L255" s="287" t="str">
        <f>IF(J255="","",IF(VLOOKUP(J255,'G-7 WaterC'' Data'!$AK$4:$AM$9,3,FALSE)=0,"Spatial Data Missing ⚠",VLOOKUP(J255,'G-7 WaterC'' Data'!$AK$4:$AM$6,3,FALSE)))</f>
        <v/>
      </c>
      <c r="M255" s="52"/>
      <c r="N255" s="282" t="str">
        <f>IF(M255="","",IF(AND(D255&lt;&gt;"Culvert",M255="N/A - Culvert"),"Not possible ▲",IF(AND(D255="Culvert",M255&lt;&gt;"N/A - Culvert"),"Not possible ▲",IF(VLOOKUP(M255,'G-7 WaterC'' Data'!$AA$4:$AB$7,2,FALSE)=0,"Spatial Data Missing ⚠",VLOOKUP(M255,'G-7 WaterC'' Data'!$AA$4:$AB$7,2,FALSE)))))</f>
        <v/>
      </c>
      <c r="O255" s="56"/>
      <c r="P255" s="282" t="str">
        <f>IF(O255="","",IF(AND(O255="N/A - Culvert", D255&lt;&gt;"Culvert"),"Not possible ▲", IF(AND(D255="Culvert",O255&lt;&gt;"N/A - Culvert"),"Not possible ▲",IF(VLOOKUP(O255,'G-7 WaterC'' Data'!$AD$4:$AE$14,2,FALSE)=0,"Spatial Data Missing ⚠",VLOOKUP(O255,'G-7 WaterC'' Data'!$AD$4:$AE$14,2,FALSE)))))</f>
        <v/>
      </c>
      <c r="Q255" s="288" t="str">
        <f>IF(D255="","",VLOOKUP(D255,'G-7 WaterC'' Data'!$B$2:$G$8,6,FALSE))</f>
        <v/>
      </c>
      <c r="R255" s="295" t="str">
        <f t="shared" si="31"/>
        <v xml:space="preserve"> </v>
      </c>
      <c r="S255" s="820" t="str">
        <f t="shared" si="32"/>
        <v/>
      </c>
      <c r="T255" s="32"/>
      <c r="U255" s="105"/>
      <c r="V255" s="112"/>
      <c r="W255" s="293" t="str">
        <f t="shared" si="33"/>
        <v/>
      </c>
      <c r="X255" s="293" t="str">
        <f t="shared" si="34"/>
        <v/>
      </c>
      <c r="Y255" s="293" t="str">
        <f t="shared" si="35"/>
        <v/>
      </c>
      <c r="Z255" s="323" t="str">
        <f>IFERROR(IF(OR(E255="",R255=""),"",  IF(AND(Q255='G-7 WaterC'' Data'!$G$4,AA255="Yes"),"Alternative Compensation ✓", IF(AND(AA255="Pending", Q255='G-7 WaterC'' Data'!$G$4),"Bespoke compensation must be agreed ▲", IF((W255+X255)&gt;=R255, 0, R255-W255-X255)))),"Check Data ⚠")</f>
        <v/>
      </c>
      <c r="AA255" s="817"/>
      <c r="AB255" s="140"/>
      <c r="AC255" s="108"/>
      <c r="AD255" s="108"/>
      <c r="AE255" s="54" t="str">
        <f>IF(OR(Q255="",AA255="Yes"),"",IF(Q255='G-1 All Habitats'!$X$9,E255-U255-V255,"None"))</f>
        <v/>
      </c>
      <c r="AF255" s="55" t="str">
        <f>IF(Q255="","", IF(Q255='G-1 All Habitats'!$X$9, AE255*G255*I255*L255*N255*P255,"None"))</f>
        <v/>
      </c>
      <c r="AI255" s="30">
        <f t="shared" si="36"/>
        <v>0</v>
      </c>
      <c r="AJ255" s="111" t="str">
        <f t="shared" si="37"/>
        <v/>
      </c>
      <c r="AK255" s="111" t="str">
        <f t="shared" si="38"/>
        <v/>
      </c>
      <c r="AM255" s="111">
        <v>246</v>
      </c>
      <c r="AO255" s="111" t="str">
        <f t="array" ref="AO255">IFERROR(INDEX($AM$10:$AM$258, MATCH(0, IF(TRUE=$AJ$10:$AJ$258, COUNTIF($AO$9:$AO254, $AM$10:$AM$258), ""), 0)),"")</f>
        <v/>
      </c>
      <c r="AP255" s="111" t="str">
        <f t="array" ref="AP255">IFERROR(INDEX($AM$10:$AM$258, MATCH(0, IF(TRUE=$AK$10:$AK$258, COUNTIF($AP$9:$AP254, $AM$10:$AM$258), ""), 0)),"")</f>
        <v/>
      </c>
      <c r="AR255" s="30" t="str">
        <f>IFERROR(INDEX('G-7 WaterC'' Data'!$AZ$3:$AZ$7,MATCH(D255,'G-7 WaterC'' Data'!$AY$3:$AY$7,0)),"")</f>
        <v/>
      </c>
      <c r="AS255" s="30" t="str">
        <f>IFERROR(INDEX('G-7 WaterC'' Data'!AZ255:AZ259,MATCH(D255,'G-7 WaterC'' Data'!$AY$10:$AY$14,0)),"")</f>
        <v/>
      </c>
      <c r="AT255" s="903" t="str">
        <f>IF(AND(OR(AA255="Yes",AA255="Pending"),Q255='G-7 WaterC'' Data'!$G$4),R255-W255-X255,"")</f>
        <v/>
      </c>
      <c r="AU255" s="30" t="str">
        <f>IF(D255="","",VLOOKUP(D255,'G-7 WaterC'' Data'!B$4:M$8,12,FALSE))</f>
        <v/>
      </c>
      <c r="AV255" s="30" t="str">
        <f t="shared" si="30"/>
        <v/>
      </c>
      <c r="AX255" s="30" t="str">
        <f t="shared" si="39"/>
        <v>No</v>
      </c>
    </row>
    <row r="256" spans="3:50" x14ac:dyDescent="0.25">
      <c r="C256" s="101">
        <v>247</v>
      </c>
      <c r="D256" s="267"/>
      <c r="E256" s="119"/>
      <c r="F256" s="281" t="str">
        <f>IF(D256="","",VLOOKUP(D256,'G-7 WaterC'' Data'!$B$2:$G$8,2,FALSE))</f>
        <v/>
      </c>
      <c r="G256" s="282" t="str">
        <f>IFERROR(VLOOKUP(F256,'G-7 WaterC'' Data'!$C$4:$D$8,2,FALSE),"")</f>
        <v/>
      </c>
      <c r="H256" s="52"/>
      <c r="I256" s="282" t="str">
        <f>IFERROR(INDEX('G-7 WaterC'' Data'!$H$4:$L$8,MATCH(D256,'G-7 WaterC'' Data'!$B$4:$B$8,0),MATCH(H256,'G-7 WaterC'' Data'!$H$3:$L$3,0)),"")</f>
        <v/>
      </c>
      <c r="J256" s="793"/>
      <c r="K256" s="317" t="str">
        <f>IF(J256="","",IF(VLOOKUP(J256,'G-7 WaterC'' Data'!$AK$4:$AM$6,2,FALSE)=0,"Spatial Data Missing ⚠",VLOOKUP(J256,'G-7 WaterC'' Data'!$AK$4:$AM$6,2,FALSE)))</f>
        <v/>
      </c>
      <c r="L256" s="287" t="str">
        <f>IF(J256="","",IF(VLOOKUP(J256,'G-7 WaterC'' Data'!$AK$4:$AM$9,3,FALSE)=0,"Spatial Data Missing ⚠",VLOOKUP(J256,'G-7 WaterC'' Data'!$AK$4:$AM$6,3,FALSE)))</f>
        <v/>
      </c>
      <c r="M256" s="52"/>
      <c r="N256" s="282" t="str">
        <f>IF(M256="","",IF(AND(D256&lt;&gt;"Culvert",M256="N/A - Culvert"),"Not possible ▲",IF(AND(D256="Culvert",M256&lt;&gt;"N/A - Culvert"),"Not possible ▲",IF(VLOOKUP(M256,'G-7 WaterC'' Data'!$AA$4:$AB$7,2,FALSE)=0,"Spatial Data Missing ⚠",VLOOKUP(M256,'G-7 WaterC'' Data'!$AA$4:$AB$7,2,FALSE)))))</f>
        <v/>
      </c>
      <c r="O256" s="56"/>
      <c r="P256" s="282" t="str">
        <f>IF(O256="","",IF(AND(O256="N/A - Culvert", D256&lt;&gt;"Culvert"),"Not possible ▲", IF(AND(D256="Culvert",O256&lt;&gt;"N/A - Culvert"),"Not possible ▲",IF(VLOOKUP(O256,'G-7 WaterC'' Data'!$AD$4:$AE$14,2,FALSE)=0,"Spatial Data Missing ⚠",VLOOKUP(O256,'G-7 WaterC'' Data'!$AD$4:$AE$14,2,FALSE)))))</f>
        <v/>
      </c>
      <c r="Q256" s="288" t="str">
        <f>IF(D256="","",VLOOKUP(D256,'G-7 WaterC'' Data'!$B$2:$G$8,6,FALSE))</f>
        <v/>
      </c>
      <c r="R256" s="295" t="str">
        <f t="shared" si="31"/>
        <v xml:space="preserve"> </v>
      </c>
      <c r="S256" s="820" t="str">
        <f t="shared" si="32"/>
        <v/>
      </c>
      <c r="T256" s="32"/>
      <c r="U256" s="105"/>
      <c r="V256" s="112"/>
      <c r="W256" s="293" t="str">
        <f t="shared" si="33"/>
        <v/>
      </c>
      <c r="X256" s="293" t="str">
        <f t="shared" si="34"/>
        <v/>
      </c>
      <c r="Y256" s="293" t="str">
        <f t="shared" si="35"/>
        <v/>
      </c>
      <c r="Z256" s="323" t="str">
        <f>IFERROR(IF(OR(E256="",R256=""),"",  IF(AND(Q256='G-7 WaterC'' Data'!$G$4,AA256="Yes"),"Alternative Compensation ✓", IF(AND(AA256="Pending", Q256='G-7 WaterC'' Data'!$G$4),"Bespoke compensation must be agreed ▲", IF((W256+X256)&gt;=R256, 0, R256-W256-X256)))),"Check Data ⚠")</f>
        <v/>
      </c>
      <c r="AA256" s="817"/>
      <c r="AB256" s="140"/>
      <c r="AC256" s="108"/>
      <c r="AD256" s="108"/>
      <c r="AE256" s="54" t="str">
        <f>IF(OR(Q256="",AA256="Yes"),"",IF(Q256='G-1 All Habitats'!$X$9,E256-U256-V256,"None"))</f>
        <v/>
      </c>
      <c r="AF256" s="55" t="str">
        <f>IF(Q256="","", IF(Q256='G-1 All Habitats'!$X$9, AE256*G256*I256*L256*N256*P256,"None"))</f>
        <v/>
      </c>
      <c r="AI256" s="30">
        <f t="shared" si="36"/>
        <v>0</v>
      </c>
      <c r="AJ256" s="111" t="str">
        <f t="shared" si="37"/>
        <v/>
      </c>
      <c r="AK256" s="111" t="str">
        <f t="shared" si="38"/>
        <v/>
      </c>
      <c r="AM256" s="111">
        <v>247</v>
      </c>
      <c r="AO256" s="111" t="str">
        <f t="array" ref="AO256">IFERROR(INDEX($AM$10:$AM$258, MATCH(0, IF(TRUE=$AJ$10:$AJ$258, COUNTIF($AO$9:$AO255, $AM$10:$AM$258), ""), 0)),"")</f>
        <v/>
      </c>
      <c r="AP256" s="111" t="str">
        <f t="array" ref="AP256">IFERROR(INDEX($AM$10:$AM$258, MATCH(0, IF(TRUE=$AK$10:$AK$258, COUNTIF($AP$9:$AP255, $AM$10:$AM$258), ""), 0)),"")</f>
        <v/>
      </c>
      <c r="AR256" s="30" t="str">
        <f>IFERROR(INDEX('G-7 WaterC'' Data'!$AZ$3:$AZ$7,MATCH(D256,'G-7 WaterC'' Data'!$AY$3:$AY$7,0)),"")</f>
        <v/>
      </c>
      <c r="AS256" s="30" t="str">
        <f>IFERROR(INDEX('G-7 WaterC'' Data'!AZ256:AZ260,MATCH(D256,'G-7 WaterC'' Data'!$AY$10:$AY$14,0)),"")</f>
        <v/>
      </c>
      <c r="AT256" s="903" t="str">
        <f>IF(AND(OR(AA256="Yes",AA256="Pending"),Q256='G-7 WaterC'' Data'!$G$4),R256-W256-X256,"")</f>
        <v/>
      </c>
      <c r="AU256" s="30" t="str">
        <f>IF(D256="","",VLOOKUP(D256,'G-7 WaterC'' Data'!B$4:M$8,12,FALSE))</f>
        <v/>
      </c>
      <c r="AV256" s="30" t="str">
        <f t="shared" si="30"/>
        <v/>
      </c>
      <c r="AX256" s="30" t="str">
        <f t="shared" si="39"/>
        <v>No</v>
      </c>
    </row>
    <row r="257" spans="2:50" ht="14.4" thickBot="1" x14ac:dyDescent="0.3">
      <c r="C257" s="113">
        <v>248</v>
      </c>
      <c r="D257" s="267"/>
      <c r="E257" s="119"/>
      <c r="F257" s="283" t="str">
        <f>IF(D257="","",VLOOKUP(D257,'G-7 WaterC'' Data'!$B$2:$G$8,2,FALSE))</f>
        <v/>
      </c>
      <c r="G257" s="284" t="str">
        <f>IFERROR(VLOOKUP(F257,'G-7 WaterC'' Data'!$C$4:$D$8,2,FALSE),"")</f>
        <v/>
      </c>
      <c r="H257" s="52"/>
      <c r="I257" s="282" t="str">
        <f>IFERROR(INDEX('G-7 WaterC'' Data'!$H$4:$L$8,MATCH(D257,'G-7 WaterC'' Data'!$B$4:$B$8,0),MATCH(H257,'G-7 WaterC'' Data'!$H$3:$L$3,0)),"")</f>
        <v/>
      </c>
      <c r="J257" s="793"/>
      <c r="K257" s="317" t="str">
        <f>IF(J257="","",IF(VLOOKUP(J257,'G-7 WaterC'' Data'!$AK$4:$AM$6,2,FALSE)=0,"Spatial Data Missing ⚠",VLOOKUP(J257,'G-7 WaterC'' Data'!$AK$4:$AM$6,2,FALSE)))</f>
        <v/>
      </c>
      <c r="L257" s="287" t="str">
        <f>IF(J257="","",IF(VLOOKUP(J257,'G-7 WaterC'' Data'!$AK$4:$AM$9,3,FALSE)=0,"Spatial Data Missing ⚠",VLOOKUP(J257,'G-7 WaterC'' Data'!$AK$4:$AM$6,3,FALSE)))</f>
        <v/>
      </c>
      <c r="M257" s="52"/>
      <c r="N257" s="282" t="str">
        <f>IF(M257="","",IF(AND(D257&lt;&gt;"Culvert",M257="N/A - Culvert"),"Not possible ▲",IF(AND(D257="Culvert",M257&lt;&gt;"N/A - Culvert"),"Not possible ▲",IF(VLOOKUP(M257,'G-7 WaterC'' Data'!$AA$4:$AB$7,2,FALSE)=0,"Spatial Data Missing ⚠",VLOOKUP(M257,'G-7 WaterC'' Data'!$AA$4:$AB$7,2,FALSE)))))</f>
        <v/>
      </c>
      <c r="O257" s="56"/>
      <c r="P257" s="282" t="str">
        <f>IF(O257="","",IF(AND(O257="N/A - Culvert", D257&lt;&gt;"Culvert"),"Not possible ▲", IF(AND(D257="Culvert",O257&lt;&gt;"N/A - Culvert"),"Not possible ▲",IF(VLOOKUP(O257,'G-7 WaterC'' Data'!$AD$4:$AE$14,2,FALSE)=0,"Spatial Data Missing ⚠",VLOOKUP(O257,'G-7 WaterC'' Data'!$AD$4:$AE$14,2,FALSE)))))</f>
        <v/>
      </c>
      <c r="Q257" s="292" t="str">
        <f>IF(D257="","",VLOOKUP(D257,'G-7 WaterC'' Data'!$B$2:$G$8,6,FALSE))</f>
        <v/>
      </c>
      <c r="R257" s="273" t="str">
        <f t="shared" si="31"/>
        <v xml:space="preserve"> </v>
      </c>
      <c r="S257" s="821" t="str">
        <f t="shared" si="32"/>
        <v/>
      </c>
      <c r="T257" s="32"/>
      <c r="U257" s="635"/>
      <c r="V257" s="637"/>
      <c r="W257" s="573" t="str">
        <f t="shared" si="33"/>
        <v/>
      </c>
      <c r="X257" s="573" t="str">
        <f t="shared" si="34"/>
        <v/>
      </c>
      <c r="Y257" s="573" t="str">
        <f t="shared" si="35"/>
        <v/>
      </c>
      <c r="Z257" s="617" t="str">
        <f>IFERROR(IF(OR(E257="",R257=""),"",  IF(AND(Q257='G-7 WaterC'' Data'!$G$4,AA257="Yes"),"Alternative Compensation ✓", IF(AND(AA257="Pending", Q257='G-7 WaterC'' Data'!$G$4),"Bespoke compensation must be agreed ▲", IF((W257+X257)&gt;=R257, 0, R257-W257-X257)))),"Check Data ⚠")</f>
        <v/>
      </c>
      <c r="AA257" s="818"/>
      <c r="AB257" s="177"/>
      <c r="AC257" s="114"/>
      <c r="AD257" s="114"/>
      <c r="AE257" s="54" t="str">
        <f>IF(OR(Q257="",AA257="Yes"),"",IF(Q257='G-1 All Habitats'!$X$9,E257-U257-V257,"None"))</f>
        <v/>
      </c>
      <c r="AF257" s="55" t="str">
        <f>IF(Q257="","", IF(Q257='G-1 All Habitats'!$X$9, AE257*G257*I257*L257*N257*P257,"None"))</f>
        <v/>
      </c>
      <c r="AI257" s="30">
        <f t="shared" si="36"/>
        <v>0</v>
      </c>
      <c r="AJ257" s="111" t="str">
        <f t="shared" si="37"/>
        <v/>
      </c>
      <c r="AK257" s="111" t="str">
        <f t="shared" si="38"/>
        <v/>
      </c>
      <c r="AM257" s="111">
        <v>248</v>
      </c>
      <c r="AO257" s="111" t="str">
        <f t="array" ref="AO257">IFERROR(INDEX($AM$10:$AM$258, MATCH(0, IF(TRUE=$AJ$10:$AJ$258, COUNTIF($AO$9:$AO256, $AM$10:$AM$258), ""), 0)),"")</f>
        <v/>
      </c>
      <c r="AP257" s="111" t="str">
        <f t="array" ref="AP257">IFERROR(INDEX($AM$10:$AM$258, MATCH(0, IF(TRUE=$AK$10:$AK$258, COUNTIF($AP$9:$AP256, $AM$10:$AM$258), ""), 0)),"")</f>
        <v/>
      </c>
      <c r="AR257" s="30" t="str">
        <f>IFERROR(INDEX('G-7 WaterC'' Data'!$AZ$3:$AZ$7,MATCH(D257,'G-7 WaterC'' Data'!$AY$3:$AY$7,0)),"")</f>
        <v/>
      </c>
      <c r="AS257" s="30" t="str">
        <f>IFERROR(INDEX('G-7 WaterC'' Data'!AZ257:AZ261,MATCH(D257,'G-7 WaterC'' Data'!$AY$10:$AY$14,0)),"")</f>
        <v/>
      </c>
      <c r="AT257" s="903" t="str">
        <f>IF(AND(OR(AA257="Yes",AA257="Pending"),Q257='G-7 WaterC'' Data'!$G$4),R257-W257-X257,"")</f>
        <v/>
      </c>
      <c r="AU257" s="30" t="str">
        <f>IF(D257="","",VLOOKUP(D257,'G-7 WaterC'' Data'!B$4:M$8,12,FALSE))</f>
        <v/>
      </c>
      <c r="AV257" s="30" t="str">
        <f t="shared" si="30"/>
        <v/>
      </c>
      <c r="AX257" s="30" t="str">
        <f t="shared" si="39"/>
        <v>No</v>
      </c>
    </row>
    <row r="258" spans="2:50" ht="14.4" thickBot="1" x14ac:dyDescent="0.3">
      <c r="B258" s="30"/>
      <c r="C258" s="34"/>
      <c r="D258" s="257"/>
      <c r="E258" s="339">
        <f>SUM(E10:E257)</f>
        <v>0</v>
      </c>
      <c r="F258" s="34"/>
      <c r="G258" s="34"/>
      <c r="H258" s="34"/>
      <c r="I258" s="34"/>
      <c r="J258" s="34"/>
      <c r="K258" s="34"/>
      <c r="L258" s="34"/>
      <c r="M258" s="34"/>
      <c r="N258" s="34"/>
      <c r="O258" s="34"/>
      <c r="P258" s="1682"/>
      <c r="Q258" s="1767"/>
      <c r="R258" s="339">
        <f>SUM(R10:R257)</f>
        <v>0</v>
      </c>
      <c r="S258" s="59"/>
      <c r="T258" s="117"/>
      <c r="U258" s="455">
        <f>SUM(U10:U257)</f>
        <v>0</v>
      </c>
      <c r="V258" s="456">
        <f>SUM(V10:V257)</f>
        <v>0</v>
      </c>
      <c r="W258" s="456" cm="1">
        <f t="array" ref="W258">IF(OR(W10:W257="Error in Lengths ▲", W10:W257="Error"), "Error ▲",SUM(W10:W257))</f>
        <v>0</v>
      </c>
      <c r="X258" s="456" cm="1">
        <f t="array" ref="X258">IF(OR(W10:W257="Error in Lengths ▲",X10:X257="Error"),"Error ▲",SUM(X10:X257))</f>
        <v>0</v>
      </c>
      <c r="Y258" s="456">
        <f>SUM(Y10:Y257)</f>
        <v>0</v>
      </c>
      <c r="Z258" s="456">
        <f>IFERROR(IF(E258="","",SUMIF(Z10:Z257, "&gt;0", Z10:Z257)),"Check Data ⚠")</f>
        <v>0</v>
      </c>
      <c r="AA258" s="432"/>
      <c r="AE258" s="722">
        <f>SUM(AE10:AE257)</f>
        <v>0</v>
      </c>
      <c r="AT258" s="903">
        <f>SUM(AT10:AT257)</f>
        <v>0</v>
      </c>
      <c r="AU258" s="30" t="str">
        <f>IF(D258="","",VLOOKUP(D258,'G-7 WaterC'' Data'!B$4:M$8,12,FALSE))</f>
        <v/>
      </c>
      <c r="AX258" s="30" t="str">
        <f t="shared" si="39"/>
        <v>No</v>
      </c>
    </row>
    <row r="259" spans="2:50" x14ac:dyDescent="0.25">
      <c r="B259" s="30"/>
      <c r="C259" s="30"/>
      <c r="T259" s="117"/>
      <c r="U259" s="117"/>
      <c r="V259" s="117"/>
      <c r="W259" s="117"/>
      <c r="X259" s="117"/>
      <c r="Y259" s="117"/>
      <c r="Z259" s="117"/>
      <c r="AA259" s="117"/>
    </row>
  </sheetData>
  <sheetProtection algorithmName="SHA-512" hashValue="v2Hl4QhbC4XhVrJyyPMI5TKD4U0wLgOdD0DNLVQANE4YmuCduUIvpVFHSZVEXtqbplKBddvc4c6eSdt1Ym+6PQ==" saltValue="Lw5XtqW3PZE664wdNvgbAA=="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D2"/>
    <mergeCell ref="B3:D4"/>
    <mergeCell ref="C8:E8"/>
    <mergeCell ref="F8:G8"/>
    <mergeCell ref="H8:I8"/>
    <mergeCell ref="F3:H3"/>
    <mergeCell ref="F4:H4"/>
    <mergeCell ref="I3:J3"/>
    <mergeCell ref="I4:J4"/>
    <mergeCell ref="F2:J2"/>
    <mergeCell ref="F5:H5"/>
    <mergeCell ref="I5:J5"/>
    <mergeCell ref="P258:Q258"/>
    <mergeCell ref="J8:L8"/>
    <mergeCell ref="M8:N8"/>
    <mergeCell ref="O8:P8"/>
    <mergeCell ref="Q8:Q9"/>
    <mergeCell ref="AA8:AA9"/>
    <mergeCell ref="S8:S9"/>
    <mergeCell ref="AB8:AD8"/>
    <mergeCell ref="L2:R4"/>
    <mergeCell ref="U5:Z6"/>
    <mergeCell ref="U8:Z8"/>
  </mergeCells>
  <conditionalFormatting sqref="Q10:Q257">
    <cfRule type="containsText" dxfId="351" priority="10" operator="containsText" text="Same">
      <formula>NOT(ISERROR(SEARCH("Same",Q10)))</formula>
    </cfRule>
    <cfRule type="containsText" dxfId="350" priority="38" operator="containsText" text="Bespoke">
      <formula>NOT(ISERROR(SEARCH("Bespoke",Q10)))</formula>
    </cfRule>
    <cfRule type="containsText" dxfId="349" priority="77" operator="containsText" text="Restore">
      <formula>NOT(ISERROR(SEARCH("Restore",Q10)))</formula>
    </cfRule>
  </conditionalFormatting>
  <conditionalFormatting sqref="K10:L257">
    <cfRule type="containsText" dxfId="348" priority="72" operator="containsText" text="Spatial">
      <formula>NOT(ISERROR(SEARCH("Spatial",K10)))</formula>
    </cfRule>
  </conditionalFormatting>
  <conditionalFormatting sqref="P10:P257">
    <cfRule type="containsText" dxfId="347" priority="71" operator="containsText" text="Spatial">
      <formula>NOT(ISERROR(SEARCH("Spatial",P10)))</formula>
    </cfRule>
  </conditionalFormatting>
  <conditionalFormatting sqref="Y10:Y257">
    <cfRule type="containsText" dxfId="346" priority="70" operator="containsText" text="Error">
      <formula>NOT(ISERROR(SEARCH("Error",Y10)))</formula>
    </cfRule>
  </conditionalFormatting>
  <conditionalFormatting sqref="Z10:AA257">
    <cfRule type="containsText" dxfId="345" priority="68" operator="containsText" text="Check">
      <formula>NOT(ISERROR(SEARCH("Check",Z10)))</formula>
    </cfRule>
    <cfRule type="containsText" dxfId="344" priority="69" operator="containsText" text="Error">
      <formula>NOT(ISERROR(SEARCH("Error",Z10)))</formula>
    </cfRule>
  </conditionalFormatting>
  <conditionalFormatting sqref="U5:AA6">
    <cfRule type="containsText" dxfId="343" priority="59" operator="containsText" text="Check">
      <formula>NOT(ISERROR(SEARCH("Check",U5)))</formula>
    </cfRule>
  </conditionalFormatting>
  <conditionalFormatting sqref="I4">
    <cfRule type="containsText" dxfId="342" priority="5" operator="containsText" text="Error">
      <formula>NOT(ISERROR(SEARCH("Error",I4)))</formula>
    </cfRule>
    <cfRule type="containsText" dxfId="341" priority="46" operator="containsText" text="Check">
      <formula>NOT(ISERROR(SEARCH("Check",I4)))</formula>
    </cfRule>
  </conditionalFormatting>
  <conditionalFormatting sqref="I3">
    <cfRule type="containsText" dxfId="340" priority="57" operator="containsText" text="Error">
      <formula>NOT(ISERROR(SEARCH("Error",I3)))</formula>
    </cfRule>
    <cfRule type="containsText" dxfId="339" priority="58" operator="containsText" text="Check">
      <formula>NOT(ISERROR(SEARCH("Check",I3)))</formula>
    </cfRule>
  </conditionalFormatting>
  <conditionalFormatting sqref="L2:S4">
    <cfRule type="containsText" dxfId="338" priority="52" operator="containsText" text="Check">
      <formula>NOT(ISERROR(SEARCH("Check",L2)))</formula>
    </cfRule>
  </conditionalFormatting>
  <conditionalFormatting sqref="I5">
    <cfRule type="containsText" dxfId="337" priority="50" operator="containsText" text="No">
      <formula>NOT(ISERROR(SEARCH("No",I5)))</formula>
    </cfRule>
    <cfRule type="containsText" dxfId="336" priority="51" operator="containsText" text="Yes">
      <formula>NOT(ISERROR(SEARCH("Yes",I5)))</formula>
    </cfRule>
  </conditionalFormatting>
  <conditionalFormatting sqref="I10:I257">
    <cfRule type="containsText" dxfId="335" priority="49" operator="containsText" text="Not possible">
      <formula>NOT(ISERROR(SEARCH("Not possible",I10)))</formula>
    </cfRule>
  </conditionalFormatting>
  <conditionalFormatting sqref="W258:X258">
    <cfRule type="containsText" dxfId="334" priority="48" operator="containsText" text="Error">
      <formula>NOT(ISERROR(SEARCH("Error",W258)))</formula>
    </cfRule>
  </conditionalFormatting>
  <conditionalFormatting sqref="W10:W257">
    <cfRule type="containsText" dxfId="333" priority="47" operator="containsText" text="Error">
      <formula>NOT(ISERROR(SEARCH("Error",W10)))</formula>
    </cfRule>
  </conditionalFormatting>
  <conditionalFormatting sqref="I4:J4">
    <cfRule type="cellIs" dxfId="332" priority="45" operator="equal">
      <formula>0</formula>
    </cfRule>
    <cfRule type="cellIs" dxfId="331" priority="54" operator="lessThan">
      <formula>0</formula>
    </cfRule>
  </conditionalFormatting>
  <conditionalFormatting sqref="AA1:AA1048576">
    <cfRule type="containsText" dxfId="330" priority="2" operator="containsText" text="Pending">
      <formula>NOT(ISERROR(SEARCH("Pending",AA1)))</formula>
    </cfRule>
    <cfRule type="containsText" dxfId="329" priority="41" operator="containsText" text="Yes">
      <formula>NOT(ISERROR(SEARCH("Yes",AA1)))</formula>
    </cfRule>
    <cfRule type="containsText" dxfId="328" priority="42" operator="containsText" text="No">
      <formula>NOT(ISERROR(SEARCH("No",AA1)))</formula>
    </cfRule>
  </conditionalFormatting>
  <conditionalFormatting sqref="Z10:Z257">
    <cfRule type="containsText" dxfId="327" priority="9" operator="containsText" text="⚠">
      <formula>NOT(ISERROR(SEARCH("⚠",Z10)))</formula>
    </cfRule>
    <cfRule type="containsText" dxfId="326" priority="39" operator="containsText" text="▲">
      <formula>NOT(ISERROR(SEARCH("▲",Z10)))</formula>
    </cfRule>
    <cfRule type="containsText" dxfId="325" priority="40" operator="containsText" text="✓">
      <formula>NOT(ISERROR(SEARCH("✓",Z10)))</formula>
    </cfRule>
  </conditionalFormatting>
  <conditionalFormatting sqref="R10:S257">
    <cfRule type="containsText" dxfId="324" priority="37" operator="containsText" text="⚠">
      <formula>NOT(ISERROR(SEARCH("⚠",R10)))</formula>
    </cfRule>
  </conditionalFormatting>
  <conditionalFormatting sqref="Y10:Y257">
    <cfRule type="containsText" dxfId="323" priority="36" operator="containsText" text="⚠">
      <formula>NOT(ISERROR(SEARCH("⚠",Y10)))</formula>
    </cfRule>
  </conditionalFormatting>
  <conditionalFormatting sqref="U258:Z258">
    <cfRule type="containsText" dxfId="322" priority="35" operator="containsText" text="▲">
      <formula>NOT(ISERROR(SEARCH("▲",U258)))</formula>
    </cfRule>
  </conditionalFormatting>
  <conditionalFormatting sqref="R258:S258">
    <cfRule type="containsText" dxfId="321" priority="34" operator="containsText" text="▲">
      <formula>NOT(ISERROR(SEARCH("▲",R258)))</formula>
    </cfRule>
  </conditionalFormatting>
  <conditionalFormatting sqref="E258">
    <cfRule type="containsText" dxfId="320" priority="33" operator="containsText" text="▲">
      <formula>NOT(ISERROR(SEARCH("▲",E258)))</formula>
    </cfRule>
  </conditionalFormatting>
  <conditionalFormatting sqref="AE10:AE257">
    <cfRule type="cellIs" dxfId="319" priority="29" operator="equal">
      <formula>""</formula>
    </cfRule>
    <cfRule type="cellIs" dxfId="318" priority="30" operator="equal">
      <formula>"None"</formula>
    </cfRule>
    <cfRule type="cellIs" dxfId="317" priority="32" operator="greaterThan">
      <formula>0</formula>
    </cfRule>
  </conditionalFormatting>
  <conditionalFormatting sqref="AF11">
    <cfRule type="cellIs" dxfId="316" priority="27" operator="equal">
      <formula>"None"</formula>
    </cfRule>
    <cfRule type="cellIs" dxfId="315" priority="28" operator="equal">
      <formula>""</formula>
    </cfRule>
    <cfRule type="cellIs" dxfId="314" priority="31" operator="greaterThan">
      <formula>0</formula>
    </cfRule>
  </conditionalFormatting>
  <conditionalFormatting sqref="AE10:AE257">
    <cfRule type="cellIs" dxfId="313" priority="23" operator="equal">
      <formula>""</formula>
    </cfRule>
    <cfRule type="cellIs" dxfId="312" priority="24" operator="equal">
      <formula>"None"</formula>
    </cfRule>
    <cfRule type="cellIs" dxfId="311" priority="26" operator="greaterThan">
      <formula>0</formula>
    </cfRule>
  </conditionalFormatting>
  <conditionalFormatting sqref="AF10:AF257">
    <cfRule type="cellIs" dxfId="310" priority="21" operator="equal">
      <formula>"None"</formula>
    </cfRule>
    <cfRule type="cellIs" dxfId="309" priority="22" operator="equal">
      <formula>""</formula>
    </cfRule>
    <cfRule type="cellIs" dxfId="308" priority="25" operator="greaterThan">
      <formula>0</formula>
    </cfRule>
  </conditionalFormatting>
  <conditionalFormatting sqref="AE10:AE257">
    <cfRule type="cellIs" dxfId="307" priority="17" operator="equal">
      <formula>""</formula>
    </cfRule>
    <cfRule type="cellIs" dxfId="306" priority="18" operator="equal">
      <formula>"None"</formula>
    </cfRule>
    <cfRule type="cellIs" dxfId="305" priority="20" operator="greaterThan">
      <formula>0</formula>
    </cfRule>
  </conditionalFormatting>
  <conditionalFormatting sqref="AF12:AF257">
    <cfRule type="cellIs" dxfId="304" priority="15" operator="equal">
      <formula>"None"</formula>
    </cfRule>
    <cfRule type="cellIs" dxfId="303" priority="16" operator="equal">
      <formula>""</formula>
    </cfRule>
    <cfRule type="cellIs" dxfId="302" priority="19" operator="greaterThan">
      <formula>0</formula>
    </cfRule>
  </conditionalFormatting>
  <conditionalFormatting sqref="AE10:AE257">
    <cfRule type="cellIs" dxfId="301" priority="14" operator="equal">
      <formula>0</formula>
    </cfRule>
  </conditionalFormatting>
  <conditionalFormatting sqref="I3:J5">
    <cfRule type="containsText" dxfId="300" priority="44" operator="containsText" text="N/A">
      <formula>NOT(ISERROR(SEARCH("N/A",I3)))</formula>
    </cfRule>
  </conditionalFormatting>
  <conditionalFormatting sqref="S1:S1048576">
    <cfRule type="containsText" dxfId="299" priority="12" operator="containsText" text="Yes">
      <formula>NOT(ISERROR(SEARCH("Yes",S1)))</formula>
    </cfRule>
  </conditionalFormatting>
  <conditionalFormatting sqref="W1:W1048576">
    <cfRule type="containsText" dxfId="298" priority="11" operator="containsText" text="⚠">
      <formula>NOT(ISERROR(SEARCH("⚠",W1)))</formula>
    </cfRule>
  </conditionalFormatting>
  <conditionalFormatting sqref="R10:R257">
    <cfRule type="containsText" dxfId="297" priority="8" operator="containsText" text="▲">
      <formula>NOT(ISERROR(SEARCH("▲",R10)))</formula>
    </cfRule>
  </conditionalFormatting>
  <conditionalFormatting sqref="N1:N1048576">
    <cfRule type="containsText" dxfId="296" priority="7" operator="containsText" text="Not possible">
      <formula>NOT(ISERROR(SEARCH("Not possible",N1)))</formula>
    </cfRule>
  </conditionalFormatting>
  <conditionalFormatting sqref="P1:P1048576">
    <cfRule type="containsText" dxfId="295" priority="6" operator="containsText" text="Not possible">
      <formula>NOT(ISERROR(SEARCH("Not possible",P1)))</formula>
    </cfRule>
  </conditionalFormatting>
  <conditionalFormatting sqref="K1:K1048576">
    <cfRule type="containsText" dxfId="294" priority="4" operator="containsText" text="▲">
      <formula>NOT(ISERROR(SEARCH("▲",K1)))</formula>
    </cfRule>
  </conditionalFormatting>
  <conditionalFormatting sqref="Q1:Q1048576">
    <cfRule type="containsText" dxfId="293" priority="1" operator="containsText" text="Better">
      <formula>NOT(ISERROR(SEARCH("Better",Q1)))</formula>
    </cfRule>
    <cfRule type="containsText" dxfId="292" priority="3" operator="containsText" text="⚠">
      <formula>NOT(ISERROR(SEARCH("⚠",Q1)))</formula>
    </cfRule>
  </conditionalFormatting>
  <dataValidations count="4">
    <dataValidation type="list" allowBlank="1" showInputMessage="1" showErrorMessage="1" sqref="H10:H257" xr:uid="{00000000-0002-0000-1700-000000000000}">
      <formula1>INDIRECT(AR10)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O10:O257" xr:uid="{7D324509-9B5C-44C8-8954-F6948F29EBF9}">
      <formula1>IF(D10="Culvert",Encroachment2,Encroachment1)</formula1>
    </dataValidation>
    <dataValidation type="list" allowBlank="1" showInputMessage="1" showErrorMessage="1" sqref="AA10:AA257" xr:uid="{BD13ABAB-4937-440F-A768-B1CDF1A88430}">
      <formula1>"Yes, No, Pending"</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13" id="{E04A5AF3-797E-4166-99BD-284E1101BFA3}">
            <xm:f>'Headline Results'!$H$10:$I$10=0</xm:f>
            <x14:dxf>
              <font>
                <color auto="1"/>
              </font>
              <fill>
                <patternFill>
                  <bgColor rgb="FFE0DCD3"/>
                </patternFill>
              </fill>
            </x14:dxf>
          </x14:cfRule>
          <xm:sqref>I4:J4</xm:sqref>
        </x14:conditionalFormatting>
        <x14:conditionalFormatting xmlns:xm="http://schemas.microsoft.com/office/excel/2006/main">
          <x14:cfRule type="cellIs" priority="482" operator="greaterThanOrEqual" id="{E42BCD5D-E6B2-4B5A-8037-E67C2416228B}">
            <xm:f>Start!$F$22</xm:f>
            <x14:dxf>
              <font>
                <color rgb="FF383745"/>
              </font>
              <fill>
                <patternFill>
                  <bgColor rgb="FF92D050"/>
                </patternFill>
              </fill>
            </x14:dxf>
          </x14:cfRule>
          <xm:sqref>I4:J4</xm:sqref>
        </x14:conditionalFormatting>
        <x14:conditionalFormatting xmlns:xm="http://schemas.microsoft.com/office/excel/2006/main">
          <x14:cfRule type="cellIs" priority="43"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E07AE834-6A9A-4C77-9596-8FE9AEDCE850}">
          <x14:formula1>
            <xm:f>'G-7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B1:XFB267"/>
  <sheetViews>
    <sheetView topLeftCell="A2" zoomScale="80" zoomScaleNormal="80" workbookViewId="0">
      <pane ySplit="11" topLeftCell="A13" activePane="bottomLeft" state="frozen"/>
      <selection pane="bottomLeft"/>
    </sheetView>
  </sheetViews>
  <sheetFormatPr defaultColWidth="42.6640625" defaultRowHeight="38.1" customHeight="1" zeroHeight="1" x14ac:dyDescent="0.25"/>
  <cols>
    <col min="1" max="1" width="2.6640625" style="30" customWidth="1"/>
    <col min="2" max="2" width="10.6640625" style="30" customWidth="1"/>
    <col min="3" max="3" width="41" style="30" customWidth="1"/>
    <col min="4" max="4" width="10" style="30" customWidth="1"/>
    <col min="5" max="5" width="18.33203125" style="30" customWidth="1"/>
    <col min="6" max="6" width="13.33203125" style="30" customWidth="1"/>
    <col min="7" max="7" width="12.5546875" style="30" bestFit="1" customWidth="1"/>
    <col min="8" max="8" width="12.5546875" style="30" customWidth="1"/>
    <col min="9" max="9" width="33.6640625" style="30" customWidth="1"/>
    <col min="10" max="10" width="22.33203125" style="30" customWidth="1"/>
    <col min="11" max="11" width="13.6640625" style="30" customWidth="1"/>
    <col min="12" max="12" width="20.6640625" style="30" customWidth="1"/>
    <col min="13" max="14" width="17.6640625" style="30" customWidth="1"/>
    <col min="15" max="15" width="23.5546875" style="30" customWidth="1"/>
    <col min="16" max="16" width="20.44140625" style="30" customWidth="1"/>
    <col min="17" max="17" width="15.33203125" style="30" customWidth="1"/>
    <col min="18" max="18" width="15" style="30" customWidth="1"/>
    <col min="19" max="19" width="21.6640625" style="30" customWidth="1"/>
    <col min="20" max="20" width="15.5546875" style="30" customWidth="1"/>
    <col min="21" max="21" width="13.6640625" style="30" customWidth="1"/>
    <col min="22" max="22" width="17.6640625" style="30" customWidth="1"/>
    <col min="23" max="23" width="13.33203125" style="30" customWidth="1"/>
    <col min="24" max="24" width="21.33203125" style="30" customWidth="1"/>
    <col min="25" max="25" width="13.33203125" style="30" customWidth="1"/>
    <col min="26" max="26" width="17.33203125" style="30" customWidth="1"/>
    <col min="27" max="28" width="34.6640625" style="30" customWidth="1"/>
    <col min="29" max="29" width="14.33203125" style="30" customWidth="1"/>
    <col min="30" max="16382" width="42.6640625" style="30" hidden="1" customWidth="1"/>
    <col min="16383" max="16383" width="42.6640625" style="30" customWidth="1"/>
    <col min="16384" max="16384" width="42.6640625" style="30"/>
  </cols>
  <sheetData>
    <row r="1" spans="2:37" ht="14.4" hidden="1" thickBot="1" x14ac:dyDescent="0.3"/>
    <row r="2" spans="2:37" ht="24.6" customHeight="1" thickBot="1" x14ac:dyDescent="0.35">
      <c r="B2" s="1764" t="str">
        <f>CONCATENATE("Project Name:", " ", Start!F12, "     ", "Map Reference:", " ", Start!K55)</f>
        <v xml:space="preserve">Project Name: Chickenhall Lane     Map Reference: </v>
      </c>
      <c r="C2" s="1768"/>
      <c r="D2" s="1768"/>
      <c r="E2" s="1765"/>
      <c r="J2" s="245"/>
      <c r="K2" s="245"/>
      <c r="V2" s="1653" t="str">
        <f>IF(OR(COUNTIF(L$12:$L260,"*30+*")&gt;0,COUNTIF(P$12:$P260,"*30+*")&gt;0),"Note; Habitat selected has a time to target condition greater than 30 years. Non standard agreement may be required. ⚠","")</f>
        <v/>
      </c>
      <c r="W2" s="1653"/>
      <c r="X2" s="1653"/>
      <c r="Y2" s="1653"/>
      <c r="Z2" s="1653"/>
      <c r="AA2" s="1653"/>
    </row>
    <row r="3" spans="2:37" ht="21" customHeight="1" thickBot="1" x14ac:dyDescent="0.3">
      <c r="B3" s="1357" t="str">
        <f ca="1">MID(CELL("filename",A1),FIND("]",CELL("filename",A1))+1,256)</f>
        <v>C-2 On-Site WaterC' Creation</v>
      </c>
      <c r="C3" s="1358"/>
      <c r="D3" s="1358"/>
      <c r="E3" s="1359"/>
      <c r="I3" s="1591" t="s">
        <v>526</v>
      </c>
      <c r="J3" s="1592"/>
      <c r="K3" s="1592"/>
      <c r="L3" s="1592"/>
      <c r="M3" s="1592"/>
      <c r="N3" s="1592"/>
      <c r="O3" s="1593"/>
      <c r="Q3" s="247"/>
      <c r="R3" s="247"/>
      <c r="S3" s="247"/>
      <c r="V3" s="1653"/>
      <c r="W3" s="1653"/>
      <c r="X3" s="1653"/>
      <c r="Y3" s="1653"/>
      <c r="Z3" s="1653"/>
      <c r="AA3" s="1653"/>
    </row>
    <row r="4" spans="2:37" ht="15" customHeight="1" thickBot="1" x14ac:dyDescent="0.3">
      <c r="B4" s="1357"/>
      <c r="C4" s="1358"/>
      <c r="D4" s="1358"/>
      <c r="E4" s="1359"/>
      <c r="I4" s="1659" t="s">
        <v>389</v>
      </c>
      <c r="J4" s="1660"/>
      <c r="K4" s="1660"/>
      <c r="L4" s="1660"/>
      <c r="M4" s="1676">
        <f>'Headline Results'!H49</f>
        <v>0.26578800000000014</v>
      </c>
      <c r="N4" s="1676"/>
      <c r="O4" s="1677"/>
      <c r="Q4" s="247"/>
      <c r="R4" s="247"/>
      <c r="S4" s="247"/>
      <c r="V4" s="1653"/>
      <c r="W4" s="1653"/>
      <c r="X4" s="1653"/>
      <c r="Y4" s="1653"/>
      <c r="Z4" s="1653"/>
      <c r="AA4" s="1653"/>
    </row>
    <row r="5" spans="2:37" ht="22.2" customHeight="1" x14ac:dyDescent="0.25">
      <c r="I5" s="1752" t="s">
        <v>391</v>
      </c>
      <c r="J5" s="1753"/>
      <c r="K5" s="1753"/>
      <c r="L5" s="1753"/>
      <c r="M5" s="1678" t="str">
        <f>'Headline Results'!H53</f>
        <v>N/A</v>
      </c>
      <c r="N5" s="1678"/>
      <c r="O5" s="1679"/>
      <c r="Q5" s="247"/>
      <c r="R5" s="247"/>
      <c r="S5" s="247"/>
      <c r="V5" s="1772" t="str" cm="1">
        <f t="array" ref="V5">IF(OR(AK12:AK260="Yes"),"A 'Fairly' Category has been used for ditches - check evidence to ensure this is appropriate ⚠", "")</f>
        <v/>
      </c>
      <c r="W5" s="1772"/>
      <c r="X5" s="1772"/>
      <c r="Y5" s="1772"/>
      <c r="Z5" s="1772"/>
    </row>
    <row r="6" spans="2:37" ht="26.1" customHeight="1" thickBot="1" x14ac:dyDescent="0.3">
      <c r="I6" s="1754" t="s">
        <v>393</v>
      </c>
      <c r="J6" s="1729"/>
      <c r="K6" s="1729"/>
      <c r="L6" s="1729"/>
      <c r="M6" s="1729" t="str" cm="1">
        <f t="array" ref="M6">IF(OR('Trading Summary WaterC''s'!G5:H8="No ▲"), "No - check trading summary ▲", "Yes ✓")</f>
        <v>Yes ✓</v>
      </c>
      <c r="N6" s="1729"/>
      <c r="O6" s="1730"/>
      <c r="P6" s="247"/>
      <c r="Q6" s="247"/>
      <c r="R6" s="247"/>
      <c r="S6" s="247"/>
      <c r="V6" s="1772"/>
      <c r="W6" s="1772"/>
      <c r="X6" s="1772"/>
      <c r="Y6" s="1772"/>
      <c r="Z6" s="1772"/>
    </row>
    <row r="7" spans="2:37" ht="6" customHeight="1" x14ac:dyDescent="0.25">
      <c r="L7" s="247"/>
      <c r="M7" s="247"/>
      <c r="N7" s="247"/>
      <c r="O7" s="247"/>
      <c r="P7" s="247"/>
    </row>
    <row r="8" spans="2:37" ht="6" customHeight="1" x14ac:dyDescent="0.25"/>
    <row r="9" spans="2:37" ht="15.75" customHeight="1" thickBot="1" x14ac:dyDescent="0.3"/>
    <row r="10" spans="2:37" s="33" customFormat="1" ht="29.25" customHeight="1" thickBot="1" x14ac:dyDescent="0.3">
      <c r="B10" s="164"/>
      <c r="C10" s="1688" t="s">
        <v>512</v>
      </c>
      <c r="D10" s="1688"/>
      <c r="E10" s="1688" t="s">
        <v>395</v>
      </c>
      <c r="F10" s="1688"/>
      <c r="G10" s="1688" t="s">
        <v>482</v>
      </c>
      <c r="H10" s="1688"/>
      <c r="I10" s="1688" t="s">
        <v>397</v>
      </c>
      <c r="J10" s="1688"/>
      <c r="K10" s="1688"/>
      <c r="L10" s="1711" t="s">
        <v>440</v>
      </c>
      <c r="M10" s="1432"/>
      <c r="N10" s="1432"/>
      <c r="O10" s="1432"/>
      <c r="P10" s="1432"/>
      <c r="Q10" s="1425"/>
      <c r="R10" s="1711" t="s">
        <v>441</v>
      </c>
      <c r="S10" s="1432"/>
      <c r="T10" s="1432"/>
      <c r="U10" s="1425"/>
      <c r="V10" s="1688" t="s">
        <v>528</v>
      </c>
      <c r="W10" s="1688"/>
      <c r="X10" s="1688" t="s">
        <v>529</v>
      </c>
      <c r="Y10" s="1688"/>
      <c r="Z10" s="1685" t="s">
        <v>541</v>
      </c>
      <c r="AA10" s="1689" t="s">
        <v>401</v>
      </c>
      <c r="AB10" s="1690"/>
      <c r="AC10" s="1691"/>
    </row>
    <row r="11" spans="2:37" s="33" customFormat="1" ht="62.1" customHeight="1" thickBot="1" x14ac:dyDescent="0.3">
      <c r="B11" s="522" t="s">
        <v>406</v>
      </c>
      <c r="C11" s="120" t="s">
        <v>273</v>
      </c>
      <c r="D11" s="124" t="s">
        <v>505</v>
      </c>
      <c r="E11" s="120" t="s">
        <v>395</v>
      </c>
      <c r="F11" s="124" t="s">
        <v>411</v>
      </c>
      <c r="G11" s="120" t="s">
        <v>396</v>
      </c>
      <c r="H11" s="124" t="s">
        <v>411</v>
      </c>
      <c r="I11" s="120" t="s">
        <v>397</v>
      </c>
      <c r="J11" s="125" t="s">
        <v>397</v>
      </c>
      <c r="K11" s="124" t="s">
        <v>412</v>
      </c>
      <c r="L11" s="120" t="s">
        <v>515</v>
      </c>
      <c r="M11" s="125" t="s">
        <v>444</v>
      </c>
      <c r="N11" s="125" t="s">
        <v>445</v>
      </c>
      <c r="O11" s="125" t="s">
        <v>446</v>
      </c>
      <c r="P11" s="125" t="s">
        <v>447</v>
      </c>
      <c r="Q11" s="124" t="s">
        <v>520</v>
      </c>
      <c r="R11" s="120" t="s">
        <v>449</v>
      </c>
      <c r="S11" s="125" t="s">
        <v>542</v>
      </c>
      <c r="T11" s="125" t="s">
        <v>451</v>
      </c>
      <c r="U11" s="124" t="s">
        <v>452</v>
      </c>
      <c r="V11" s="120" t="s">
        <v>531</v>
      </c>
      <c r="W11" s="124" t="s">
        <v>532</v>
      </c>
      <c r="X11" s="120" t="s">
        <v>533</v>
      </c>
      <c r="Y11" s="124" t="s">
        <v>532</v>
      </c>
      <c r="Z11" s="1685"/>
      <c r="AA11" s="116" t="s">
        <v>385</v>
      </c>
      <c r="AB11" s="546" t="s">
        <v>362</v>
      </c>
      <c r="AC11" s="633" t="s">
        <v>363</v>
      </c>
      <c r="AH11" s="172" t="s">
        <v>405</v>
      </c>
      <c r="AK11" s="33" t="s">
        <v>543</v>
      </c>
    </row>
    <row r="12" spans="2:37" ht="13.8" x14ac:dyDescent="0.25">
      <c r="B12" s="232">
        <v>1</v>
      </c>
      <c r="C12" s="948"/>
      <c r="D12" s="51"/>
      <c r="E12" s="281" t="str">
        <f>IF(C12="","",VLOOKUP(C12,'G-7 WaterC'' Data'!$B$2:$G$8,2,FALSE))</f>
        <v/>
      </c>
      <c r="F12" s="282" t="str">
        <f>IFERROR(VLOOKUP(E12,'G-7 WaterC'' Data'!$C$4:$D$8,2,FALSE),"")</f>
        <v/>
      </c>
      <c r="G12" s="105"/>
      <c r="H12" s="282" t="str">
        <f>IFERROR(INDEX('G-7 WaterC'' Data'!$H$4:$L$8,MATCH(C12,'G-7 WaterC'' Data'!$B$4:$B$8,0),MATCH(G12,'G-7 WaterC'' Data'!$H$3:$L$3,0)),"")</f>
        <v/>
      </c>
      <c r="I12" s="52"/>
      <c r="J12" s="289" t="str">
        <f>IF(I12="","",IF(VLOOKUP(I12,'G-7 WaterC'' Data'!$AK$4:$AM$6,2,FALSE)=0,"Spatial Data Missing ⚠",VLOOKUP(I12,'G-7 WaterC'' Data'!$AK$4:$AM$6,2,FALSE)))</f>
        <v/>
      </c>
      <c r="K12" s="282" t="str">
        <f>IF(I12="","",IF(VLOOKUP(I12,'G-7 WaterC'' Data'!$AK$4:$AM$6,3,FALSE)=0,"Spatial Data Missing ⚠",VLOOKUP(I12,'G-7 WaterC'' Data'!$AK$4:$AM$6,3,FALSE)))</f>
        <v/>
      </c>
      <c r="L12" s="281" t="str">
        <f>IFERROR(INDEX('G-7 WaterC'' Data'!$O$3:$O$7,MATCH(G12,'G-7 WaterC'' Data'!$N$3:$N$7,0)),"")</f>
        <v/>
      </c>
      <c r="M12" s="58"/>
      <c r="N12" s="58"/>
      <c r="O12" s="289"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02" t="str">
        <f>IF(O12="Error -both advance and delayed habitat creation ▲","Check Data ⚠",IF(L12="","",IF(M12="30+",0,IF(N12="30+","30+",IF(L12+N12&gt;30,"30+ ",IF(L12+N12-M12&gt;0,L12+N12-M12,IF(L12-M12&lt;0,0,L12+N12-M12)))))))</f>
        <v/>
      </c>
      <c r="Q12" s="340" t="str">
        <f>IFERROR(IF(P12="Check Data ⚠","Check Data ⚠",VLOOKUP(P12,'G-4 Temporal multipliers'!$A$4:$C$37,3,FALSE)),"")</f>
        <v/>
      </c>
      <c r="R12" s="281" t="str">
        <f>IF(C12="","",VLOOKUP(C12,'G-7 WaterC'' Data'!$B$4:$G$8,4,FALSE))</f>
        <v/>
      </c>
      <c r="S12" s="289" t="str">
        <f>IF(C12="","",IF(P12="Check Data ⚠","Check Data ⚠",IF(G12="","",IF($O12="Check details - Is there evidence that habitat has reached target condition? ⚠","Low Difficulty - only applicable if all habitat created before losses ⚠","Standard difficulty applied"))))</f>
        <v/>
      </c>
      <c r="T12" s="320" t="str">
        <f>(IF(AND(S12="Standard difficulty applied",L12&gt;M12),R12,IF(AND(S12="Low Difficulty - only applicable if all habitat created before losses ⚠",M12&gt;=L12),"Low",R12)))</f>
        <v/>
      </c>
      <c r="U12" s="282" t="str">
        <f>IF(C12="","",VLOOKUP(T12,'G-3 Multipliers'!$P$2:$Q$6,2,FALSE))</f>
        <v/>
      </c>
      <c r="V12" s="52"/>
      <c r="W12" s="282" t="str">
        <f>IF(V12="","",IF(AND(V12="N/A - Culvert",C12&lt;&gt;"Culvert"),"Not possible ▲",IF(AND(C12="Culvert",V12&lt;&gt;"N/A - Culvert"),"Not possible ▲",IF(VLOOKUP(V12,'G-7 WaterC'' Data'!$AA$4:$AB$7,2,FALSE)=0,"Spatial Data Missing ⚠",VLOOKUP(V12,'G-7 WaterC'' Data'!$AA$4:$AB$7,2,FALSE)))))</f>
        <v/>
      </c>
      <c r="X12" s="56"/>
      <c r="Y12" s="282" t="str">
        <f>IF(X12="","",IF(AND(X12="N/A - Culvert", C12&lt;&gt;"Culvert"), "Not possible ▲",IF(AND(C12="Culvert",X12&lt;&gt;"N/A - Culvert"),"Not possible ▲",IF(VLOOKUP(X12,'G-7 WaterC'' Data'!$AD$4:$AE$14,2,FALSE)=0,"Enrcoachment Data Missing ⚠",VLOOKUP(X12,'G-7 WaterC'' Data'!$AD$4:$AE$14,2,FALSE)))))</f>
        <v/>
      </c>
      <c r="Z12" s="323" t="str">
        <f>IFERROR(IF(C12="","",D12*F12*H12*K12*Q12*U12*Y12*W12),"")</f>
        <v/>
      </c>
      <c r="AA12" s="105"/>
      <c r="AB12" s="119"/>
      <c r="AC12" s="119"/>
      <c r="AH12" s="30" t="str">
        <f>IFERROR(INDEX('G-7 WaterC'' Data'!$AZ$3:$AZ$7,MATCH(C12,'G-7 WaterC'' Data'!$AY$3:$AY$7,0)),"")</f>
        <v/>
      </c>
      <c r="AK12" s="30" t="str">
        <f>IF(AND(C12="Ditches",(OR(G12="Fairly Poor",G12="Fairly Good"))), "Yes", "No")</f>
        <v>No</v>
      </c>
    </row>
    <row r="13" spans="2:37" ht="13.8" x14ac:dyDescent="0.25">
      <c r="B13" s="101">
        <v>2</v>
      </c>
      <c r="C13" s="949"/>
      <c r="D13" s="51"/>
      <c r="E13" s="281" t="str">
        <f>IF(C13="","",VLOOKUP(C13,'G-7 WaterC'' Data'!$B$2:$G$8,2,FALSE))</f>
        <v/>
      </c>
      <c r="F13" s="282" t="str">
        <f>IFERROR(VLOOKUP(E13,'G-7 WaterC'' Data'!$C$4:$D$8,2,FALSE),"")</f>
        <v/>
      </c>
      <c r="G13" s="105"/>
      <c r="H13" s="282" t="str">
        <f>IFERROR(INDEX('G-7 WaterC'' Data'!$H$4:$L$8,MATCH(C13,'G-7 WaterC'' Data'!$B$4:$B$8,0),MATCH(G13,'G-7 WaterC'' Data'!$H$3:$L$3,0)),"")</f>
        <v/>
      </c>
      <c r="I13" s="52"/>
      <c r="J13" s="289" t="str">
        <f>IF(I13="","",IF(VLOOKUP(I13,'G-7 WaterC'' Data'!$AK$4:$AM$6,2,FALSE)=0,"Spatial Data Missing ⚠",VLOOKUP(I13,'G-7 WaterC'' Data'!$AK$4:$AM$6,2,FALSE)))</f>
        <v/>
      </c>
      <c r="K13" s="282" t="str">
        <f>IF(I13="","",IF(VLOOKUP(I13,'G-7 WaterC'' Data'!$AK$4:$AM$6,3,FALSE)=0,"Spatial Data Missing ⚠",VLOOKUP(I13,'G-7 WaterC'' Data'!$AK$4:$AM$6,3,FALSE)))</f>
        <v/>
      </c>
      <c r="L13" s="281" t="str">
        <f>IFERROR(INDEX('G-7 WaterC'' Data'!$O$3:$O$7,MATCH(G13,'G-7 WaterC'' Data'!$N$3:$N$7,0)),"")</f>
        <v/>
      </c>
      <c r="M13" s="58"/>
      <c r="N13" s="58"/>
      <c r="O13" s="289"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02" t="str">
        <f t="shared" ref="P13:P76" si="1">IF(O13="Error -both advance and delayed habitat creation ▲","Check Data ⚠",IF(L13="","",IF(M13="30+",0,IF(N13="30+","30+",IF(L13+N13&gt;30,"30+ ",IF(L13+N13-M13&gt;0,L13+N13-M13,IF(L13-M13&lt;0,0,L13+N13-M13)))))))</f>
        <v/>
      </c>
      <c r="Q13" s="340" t="str">
        <f>IFERROR(IF(P13="Check Data ⚠","Check Data ⚠",VLOOKUP(P13,'G-4 Temporal multipliers'!$A$4:$C$37,3,FALSE)),"")</f>
        <v/>
      </c>
      <c r="R13" s="281" t="str">
        <f>IF(C13="","",VLOOKUP(C13,'G-7 WaterC'' Data'!$B$4:$G$8,4,FALSE))</f>
        <v/>
      </c>
      <c r="S13" s="289" t="str">
        <f t="shared" ref="S13:S76" si="2">IF(C13="","",IF(P13="Check Data ⚠","Check Data ⚠",IF(G13="","",IF($O13="Check details - Is there evidence that habitat has reached target condition? ⚠","Low Difficulty - only applicable if all habitat created before losses ⚠","Standard difficulty applied"))))</f>
        <v/>
      </c>
      <c r="T13" s="320" t="str">
        <f t="shared" ref="T13:T76" si="3">(IF(AND(S13="Standard difficulty applied",L13&gt;M13),R13,IF(AND(S13="Low Difficulty - only applicable if all habitat created before losses ⚠",M13&gt;=L13),"Low",R13)))</f>
        <v/>
      </c>
      <c r="U13" s="282" t="str">
        <f>IF(C13="","",VLOOKUP(T13,'G-3 Multipliers'!$P$2:$Q$6,2,FALSE))</f>
        <v/>
      </c>
      <c r="V13" s="106"/>
      <c r="W13" s="282" t="str">
        <f>IF(V13="","",IF(AND(V13="N/A - Culvert",C13&lt;&gt;"Culvert"),"Not possible ▲",IF(AND(C13="Culvert",V13&lt;&gt;"N/A - Culvert"),"Not possible ▲",IF(VLOOKUP(V13,'G-7 WaterC'' Data'!$AA$4:$AB$7,2,FALSE)=0,"Spatial Data Missing ⚠",VLOOKUP(V13,'G-7 WaterC'' Data'!$AA$4:$AB$7,2,FALSE)))))</f>
        <v/>
      </c>
      <c r="X13" s="56"/>
      <c r="Y13" s="282" t="str">
        <f>IF(X13="","",IF(AND(X13="N/A - Culvert", C13&lt;&gt;"Culvert"), "Not possible ▲",IF(AND(C13="Culvert",X13&lt;&gt;"N/A - Culvert"),"Not possible ▲",IF(VLOOKUP(X13,'G-7 WaterC'' Data'!$AD$4:$AE$14,2,FALSE)=0,"Enrcoachment Data Missing ⚠",VLOOKUP(X13,'G-7 WaterC'' Data'!$AD$4:$AE$14,2,FALSE)))))</f>
        <v/>
      </c>
      <c r="Z13" s="323" t="str">
        <f t="shared" ref="Z13:Z76" si="4">IFERROR(IF(C13="","",D13*F13*H13*K13*Q13*U13*Y13*W13),"")</f>
        <v/>
      </c>
      <c r="AA13" s="105"/>
      <c r="AB13" s="119"/>
      <c r="AC13" s="108"/>
      <c r="AH13" s="30" t="str">
        <f>IFERROR(INDEX('G-7 WaterC'' Data'!$AZ$3:$AZ$7,MATCH(C13,'G-7 WaterC'' Data'!$AY$3:$AY$7,0)),"")</f>
        <v/>
      </c>
      <c r="AK13" s="30" t="str">
        <f t="shared" ref="AK13:AK76" si="5">IF(AND(C13="Ditches",(OR(G13="Fairly Poor",G13="Fairly Good"))), "Yes", "No")</f>
        <v>No</v>
      </c>
    </row>
    <row r="14" spans="2:37" ht="13.8" x14ac:dyDescent="0.25">
      <c r="B14" s="101">
        <v>3</v>
      </c>
      <c r="C14" s="949"/>
      <c r="D14" s="51"/>
      <c r="E14" s="281" t="str">
        <f>IF(C14="","",VLOOKUP(C14,'G-7 WaterC'' Data'!$B$2:$G$8,2,FALSE))</f>
        <v/>
      </c>
      <c r="F14" s="282" t="str">
        <f>IFERROR(VLOOKUP(E14,'G-7 WaterC'' Data'!$C$4:$D$8,2,FALSE),"")</f>
        <v/>
      </c>
      <c r="G14" s="105"/>
      <c r="H14" s="282" t="str">
        <f>IFERROR(INDEX('G-7 WaterC'' Data'!$H$4:$L$8,MATCH(C14,'G-7 WaterC'' Data'!$B$4:$B$8,0),MATCH(G14,'G-7 WaterC'' Data'!$H$3:$L$3,0)),"")</f>
        <v/>
      </c>
      <c r="I14" s="52"/>
      <c r="J14" s="289" t="str">
        <f>IF(I14="","",IF(VLOOKUP(I14,'G-7 WaterC'' Data'!$AK$4:$AM$6,2,FALSE)=0,"Spatial Data Missing ⚠",VLOOKUP(I14,'G-7 WaterC'' Data'!$AK$4:$AM$6,2,FALSE)))</f>
        <v/>
      </c>
      <c r="K14" s="282" t="str">
        <f>IF(I14="","",IF(VLOOKUP(I14,'G-7 WaterC'' Data'!$AK$4:$AM$6,3,FALSE)=0,"Spatial Data Missing ⚠",VLOOKUP(I14,'G-7 WaterC'' Data'!$AK$4:$AM$6,3,FALSE)))</f>
        <v/>
      </c>
      <c r="L14" s="281" t="str">
        <f>IFERROR(INDEX('G-7 WaterC'' Data'!$O$3:$O$7,MATCH(G14,'G-7 WaterC'' Data'!$N$3:$N$7,0)),"")</f>
        <v/>
      </c>
      <c r="M14" s="58"/>
      <c r="N14" s="58"/>
      <c r="O14" s="289" t="str">
        <f t="shared" si="0"/>
        <v/>
      </c>
      <c r="P14" s="302" t="str">
        <f t="shared" si="1"/>
        <v/>
      </c>
      <c r="Q14" s="340" t="str">
        <f>IFERROR(IF(P14="Check Data ⚠","Check Data ⚠",VLOOKUP(P14,'G-4 Temporal multipliers'!$A$4:$C$37,3,FALSE)),"")</f>
        <v/>
      </c>
      <c r="R14" s="281" t="str">
        <f>IF(C14="","",VLOOKUP(C14,'G-7 WaterC'' Data'!$B$4:$G$8,4,FALSE))</f>
        <v/>
      </c>
      <c r="S14" s="289" t="str">
        <f t="shared" si="2"/>
        <v/>
      </c>
      <c r="T14" s="320" t="str">
        <f t="shared" si="3"/>
        <v/>
      </c>
      <c r="U14" s="282" t="str">
        <f>IF(C14="","",VLOOKUP(T14,'G-3 Multipliers'!$P$2:$Q$6,2,FALSE))</f>
        <v/>
      </c>
      <c r="V14" s="106"/>
      <c r="W14" s="282" t="str">
        <f>IF(V14="","",IF(AND(V14="N/A - Culvert",C14&lt;&gt;"Culvert"),"Not possible ▲",IF(AND(C14="Culvert",V14&lt;&gt;"N/A - Culvert"),"Not possible ▲",IF(VLOOKUP(V14,'G-7 WaterC'' Data'!$AA$4:$AB$7,2,FALSE)=0,"Spatial Data Missing ⚠",VLOOKUP(V14,'G-7 WaterC'' Data'!$AA$4:$AB$7,2,FALSE)))))</f>
        <v/>
      </c>
      <c r="X14" s="56"/>
      <c r="Y14" s="282" t="str">
        <f>IF(X14="","",IF(AND(X14="N/A - Culvert", C14&lt;&gt;"Culvert"), "Not possible ▲",IF(AND(C14="Culvert",X14&lt;&gt;"N/A - Culvert"),"Not possible ▲",IF(VLOOKUP(X14,'G-7 WaterC'' Data'!$AD$4:$AE$14,2,FALSE)=0,"Enrcoachment Data Missing ⚠",VLOOKUP(X14,'G-7 WaterC'' Data'!$AD$4:$AE$14,2,FALSE)))))</f>
        <v/>
      </c>
      <c r="Z14" s="323" t="str">
        <f t="shared" si="4"/>
        <v/>
      </c>
      <c r="AA14" s="105"/>
      <c r="AB14" s="119"/>
      <c r="AC14" s="108"/>
      <c r="AH14" s="30" t="str">
        <f>IFERROR(INDEX('G-7 WaterC'' Data'!$AZ$3:$AZ$7,MATCH(C14,'G-7 WaterC'' Data'!$AY$3:$AY$7,0)),"")</f>
        <v/>
      </c>
      <c r="AK14" s="30" t="str">
        <f t="shared" si="5"/>
        <v>No</v>
      </c>
    </row>
    <row r="15" spans="2:37" ht="13.8" x14ac:dyDescent="0.25">
      <c r="B15" s="101">
        <v>4</v>
      </c>
      <c r="C15" s="949"/>
      <c r="D15" s="51"/>
      <c r="E15" s="281" t="str">
        <f>IF(C15="","",VLOOKUP(C15,'G-7 WaterC'' Data'!$B$2:$G$8,2,FALSE))</f>
        <v/>
      </c>
      <c r="F15" s="282" t="str">
        <f>IFERROR(VLOOKUP(E15,'G-7 WaterC'' Data'!$C$4:$D$8,2,FALSE),"")</f>
        <v/>
      </c>
      <c r="G15" s="105"/>
      <c r="H15" s="282" t="str">
        <f>IFERROR(INDEX('G-7 WaterC'' Data'!$H$4:$L$8,MATCH(C15,'G-7 WaterC'' Data'!$B$4:$B$8,0),MATCH(G15,'G-7 WaterC'' Data'!$H$3:$L$3,0)),"")</f>
        <v/>
      </c>
      <c r="I15" s="52"/>
      <c r="J15" s="289" t="str">
        <f>IF(I15="","",IF(VLOOKUP(I15,'G-7 WaterC'' Data'!$AK$4:$AM$6,2,FALSE)=0,"Spatial Data Missing ⚠",VLOOKUP(I15,'G-7 WaterC'' Data'!$AK$4:$AM$6,2,FALSE)))</f>
        <v/>
      </c>
      <c r="K15" s="282" t="str">
        <f>IF(I15="","",IF(VLOOKUP(I15,'G-7 WaterC'' Data'!$AK$4:$AM$6,3,FALSE)=0,"Spatial Data Missing ⚠",VLOOKUP(I15,'G-7 WaterC'' Data'!$AK$4:$AM$6,3,FALSE)))</f>
        <v/>
      </c>
      <c r="L15" s="281" t="str">
        <f>IFERROR(INDEX('G-7 WaterC'' Data'!$O$3:$O$7,MATCH(G15,'G-7 WaterC'' Data'!$N$3:$N$7,0)),"")</f>
        <v/>
      </c>
      <c r="M15" s="58"/>
      <c r="N15" s="58"/>
      <c r="O15" s="289" t="str">
        <f t="shared" si="0"/>
        <v/>
      </c>
      <c r="P15" s="302" t="str">
        <f t="shared" si="1"/>
        <v/>
      </c>
      <c r="Q15" s="340" t="str">
        <f>IFERROR(IF(P15="Check Data ⚠","Check Data ⚠",VLOOKUP(P15,'G-4 Temporal multipliers'!$A$4:$C$37,3,FALSE)),"")</f>
        <v/>
      </c>
      <c r="R15" s="281" t="str">
        <f>IF(C15="","",VLOOKUP(C15,'G-7 WaterC'' Data'!$B$4:$G$8,4,FALSE))</f>
        <v/>
      </c>
      <c r="S15" s="289" t="str">
        <f t="shared" si="2"/>
        <v/>
      </c>
      <c r="T15" s="320" t="str">
        <f t="shared" si="3"/>
        <v/>
      </c>
      <c r="U15" s="282" t="str">
        <f>IF(C15="","",VLOOKUP(T15,'G-3 Multipliers'!$P$2:$Q$6,2,FALSE))</f>
        <v/>
      </c>
      <c r="V15" s="106"/>
      <c r="W15" s="282" t="str">
        <f>IF(V15="","",IF(AND(V15="N/A - Culvert",C15&lt;&gt;"Culvert"),"Not possible ▲",IF(AND(C15="Culvert",V15&lt;&gt;"N/A - Culvert"),"Not possible ▲",IF(VLOOKUP(V15,'G-7 WaterC'' Data'!$AA$4:$AB$7,2,FALSE)=0,"Spatial Data Missing ⚠",VLOOKUP(V15,'G-7 WaterC'' Data'!$AA$4:$AB$7,2,FALSE)))))</f>
        <v/>
      </c>
      <c r="X15" s="56"/>
      <c r="Y15" s="282" t="str">
        <f>IF(X15="","",IF(AND(X15="N/A - Culvert", C15&lt;&gt;"Culvert"), "Not possible ▲",IF(AND(C15="Culvert",X15&lt;&gt;"N/A - Culvert"),"Not possible ▲",IF(VLOOKUP(X15,'G-7 WaterC'' Data'!$AD$4:$AE$14,2,FALSE)=0,"Enrcoachment Data Missing ⚠",VLOOKUP(X15,'G-7 WaterC'' Data'!$AD$4:$AE$14,2,FALSE)))))</f>
        <v/>
      </c>
      <c r="Z15" s="323" t="str">
        <f t="shared" si="4"/>
        <v/>
      </c>
      <c r="AA15" s="105"/>
      <c r="AB15" s="119"/>
      <c r="AC15" s="108"/>
      <c r="AH15" s="30" t="str">
        <f>IFERROR(INDEX('G-7 WaterC'' Data'!$AZ$3:$AZ$7,MATCH(C15,'G-7 WaterC'' Data'!$AY$3:$AY$7,0)),"")</f>
        <v/>
      </c>
      <c r="AK15" s="30" t="str">
        <f t="shared" si="5"/>
        <v>No</v>
      </c>
    </row>
    <row r="16" spans="2:37" ht="13.8" x14ac:dyDescent="0.25">
      <c r="B16" s="101">
        <v>5</v>
      </c>
      <c r="C16" s="950"/>
      <c r="D16" s="119"/>
      <c r="E16" s="281" t="str">
        <f>IF(C16="","",VLOOKUP(C16,'G-7 WaterC'' Data'!$B$2:$G$8,2,FALSE))</f>
        <v/>
      </c>
      <c r="F16" s="282" t="str">
        <f>IFERROR(VLOOKUP(E16,'G-7 WaterC'' Data'!$C$4:$D$8,2,FALSE),"")</f>
        <v/>
      </c>
      <c r="G16" s="105"/>
      <c r="H16" s="282" t="str">
        <f>IFERROR(INDEX('G-7 WaterC'' Data'!$H$4:$L$8,MATCH(C16,'G-7 WaterC'' Data'!$B$4:$B$8,0),MATCH(G16,'G-7 WaterC'' Data'!$H$3:$L$3,0)),"")</f>
        <v/>
      </c>
      <c r="I16" s="52"/>
      <c r="J16" s="289" t="str">
        <f>IF(I16="","",IF(VLOOKUP(I16,'G-7 WaterC'' Data'!$AK$4:$AM$6,2,FALSE)=0,"Spatial Data Missing ⚠",VLOOKUP(I16,'G-7 WaterC'' Data'!$AK$4:$AM$6,2,FALSE)))</f>
        <v/>
      </c>
      <c r="K16" s="282" t="str">
        <f>IF(I16="","",IF(VLOOKUP(I16,'G-7 WaterC'' Data'!$AK$4:$AM$6,3,FALSE)=0,"Spatial Data Missing ⚠",VLOOKUP(I16,'G-7 WaterC'' Data'!$AK$4:$AM$6,3,FALSE)))</f>
        <v/>
      </c>
      <c r="L16" s="281" t="str">
        <f>IFERROR(INDEX('G-7 WaterC'' Data'!$O$3:$O$7,MATCH(G16,'G-7 WaterC'' Data'!$N$3:$N$7,0)),"")</f>
        <v/>
      </c>
      <c r="M16" s="58"/>
      <c r="N16" s="137"/>
      <c r="O16" s="289" t="str">
        <f t="shared" si="0"/>
        <v/>
      </c>
      <c r="P16" s="302" t="str">
        <f t="shared" si="1"/>
        <v/>
      </c>
      <c r="Q16" s="340" t="str">
        <f>IFERROR(IF(P16="Check Data ⚠","Check Data ⚠",VLOOKUP(P16,'G-4 Temporal multipliers'!$A$4:$C$37,3,FALSE)),"")</f>
        <v/>
      </c>
      <c r="R16" s="281" t="str">
        <f>IF(C16="","",VLOOKUP(C16,'G-7 WaterC'' Data'!$B$4:$G$8,4,FALSE))</f>
        <v/>
      </c>
      <c r="S16" s="289" t="str">
        <f t="shared" si="2"/>
        <v/>
      </c>
      <c r="T16" s="320" t="str">
        <f t="shared" si="3"/>
        <v/>
      </c>
      <c r="U16" s="282" t="str">
        <f>IF(C16="","",VLOOKUP(T16,'G-3 Multipliers'!$P$2:$Q$6,2,FALSE))</f>
        <v/>
      </c>
      <c r="V16" s="106"/>
      <c r="W16" s="282" t="str">
        <f>IF(V16="","",IF(AND(V16="N/A - Culvert",C16&lt;&gt;"Culvert"),"Not possible ▲",IF(AND(C16="Culvert",V16&lt;&gt;"N/A - Culvert"),"Not possible ▲",IF(VLOOKUP(V16,'G-7 WaterC'' Data'!$AA$4:$AB$7,2,FALSE)=0,"Spatial Data Missing ⚠",VLOOKUP(V16,'G-7 WaterC'' Data'!$AA$4:$AB$7,2,FALSE)))))</f>
        <v/>
      </c>
      <c r="X16" s="56"/>
      <c r="Y16" s="282" t="str">
        <f>IF(X16="","",IF(AND(X16="N/A - Culvert", C16&lt;&gt;"Culvert"), "Not possible ▲",IF(AND(C16="Culvert",X16&lt;&gt;"N/A - Culvert"),"Not possible ▲",IF(VLOOKUP(X16,'G-7 WaterC'' Data'!$AD$4:$AE$14,2,FALSE)=0,"Enrcoachment Data Missing ⚠",VLOOKUP(X16,'G-7 WaterC'' Data'!$AD$4:$AE$14,2,FALSE)))))</f>
        <v/>
      </c>
      <c r="Z16" s="323" t="str">
        <f t="shared" si="4"/>
        <v/>
      </c>
      <c r="AA16" s="105"/>
      <c r="AB16" s="119"/>
      <c r="AC16" s="108"/>
      <c r="AH16" s="30" t="str">
        <f>IFERROR(INDEX('G-7 WaterC'' Data'!$AZ$3:$AZ$7,MATCH(C16,'G-7 WaterC'' Data'!$AY$3:$AY$7,0)),"")</f>
        <v/>
      </c>
      <c r="AK16" s="30" t="str">
        <f t="shared" si="5"/>
        <v>No</v>
      </c>
    </row>
    <row r="17" spans="2:37" ht="13.8" x14ac:dyDescent="0.25">
      <c r="B17" s="101">
        <v>6</v>
      </c>
      <c r="C17" s="950"/>
      <c r="D17" s="119"/>
      <c r="E17" s="281" t="str">
        <f>IF(C17="","",VLOOKUP(C17,'G-7 WaterC'' Data'!$B$2:$G$8,2,FALSE))</f>
        <v/>
      </c>
      <c r="F17" s="282" t="str">
        <f>IFERROR(VLOOKUP(E17,'G-7 WaterC'' Data'!$C$4:$D$8,2,FALSE),"")</f>
        <v/>
      </c>
      <c r="G17" s="105"/>
      <c r="H17" s="282" t="str">
        <f>IFERROR(INDEX('G-7 WaterC'' Data'!$H$4:$L$8,MATCH(C17,'G-7 WaterC'' Data'!$B$4:$B$8,0),MATCH(G17,'G-7 WaterC'' Data'!$H$3:$L$3,0)),"")</f>
        <v/>
      </c>
      <c r="I17" s="52"/>
      <c r="J17" s="289" t="str">
        <f>IF(I17="","",IF(VLOOKUP(I17,'G-7 WaterC'' Data'!$AK$4:$AM$6,2,FALSE)=0,"Spatial Data Missing ⚠",VLOOKUP(I17,'G-7 WaterC'' Data'!$AK$4:$AM$6,2,FALSE)))</f>
        <v/>
      </c>
      <c r="K17" s="282" t="str">
        <f>IF(I17="","",IF(VLOOKUP(I17,'G-7 WaterC'' Data'!$AK$4:$AM$6,3,FALSE)=0,"Spatial Data Missing ⚠",VLOOKUP(I17,'G-7 WaterC'' Data'!$AK$4:$AM$6,3,FALSE)))</f>
        <v/>
      </c>
      <c r="L17" s="281" t="str">
        <f>IFERROR(INDEX('G-7 WaterC'' Data'!$O$3:$O$7,MATCH(G17,'G-7 WaterC'' Data'!$N$3:$N$7,0)),"")</f>
        <v/>
      </c>
      <c r="M17" s="58"/>
      <c r="N17" s="137"/>
      <c r="O17" s="289" t="str">
        <f t="shared" si="0"/>
        <v/>
      </c>
      <c r="P17" s="302" t="str">
        <f t="shared" si="1"/>
        <v/>
      </c>
      <c r="Q17" s="340" t="str">
        <f>IFERROR(IF(P17="Check Data ⚠","Check Data ⚠",VLOOKUP(P17,'G-4 Temporal multipliers'!$A$4:$C$37,3,FALSE)),"")</f>
        <v/>
      </c>
      <c r="R17" s="281" t="str">
        <f>IF(C17="","",VLOOKUP(C17,'G-7 WaterC'' Data'!$B$4:$G$8,4,FALSE))</f>
        <v/>
      </c>
      <c r="S17" s="289" t="str">
        <f t="shared" si="2"/>
        <v/>
      </c>
      <c r="T17" s="320" t="str">
        <f t="shared" si="3"/>
        <v/>
      </c>
      <c r="U17" s="282" t="str">
        <f>IF(C17="","",VLOOKUP(T17,'G-3 Multipliers'!$P$2:$Q$6,2,FALSE))</f>
        <v/>
      </c>
      <c r="V17" s="106"/>
      <c r="W17" s="282" t="str">
        <f>IF(V17="","",IF(AND(V17="N/A - Culvert",C17&lt;&gt;"Culvert"),"Not possible ▲",IF(AND(C17="Culvert",V17&lt;&gt;"N/A - Culvert"),"Not possible ▲",IF(VLOOKUP(V17,'G-7 WaterC'' Data'!$AA$4:$AB$7,2,FALSE)=0,"Spatial Data Missing ⚠",VLOOKUP(V17,'G-7 WaterC'' Data'!$AA$4:$AB$7,2,FALSE)))))</f>
        <v/>
      </c>
      <c r="X17" s="56"/>
      <c r="Y17" s="282" t="str">
        <f>IF(X17="","",IF(AND(X17="N/A - Culvert", C17&lt;&gt;"Culvert"), "Not possible ▲",IF(AND(C17="Culvert",X17&lt;&gt;"N/A - Culvert"),"Not possible ▲",IF(VLOOKUP(X17,'G-7 WaterC'' Data'!$AD$4:$AE$14,2,FALSE)=0,"Enrcoachment Data Missing ⚠",VLOOKUP(X17,'G-7 WaterC'' Data'!$AD$4:$AE$14,2,FALSE)))))</f>
        <v/>
      </c>
      <c r="Z17" s="323" t="str">
        <f t="shared" si="4"/>
        <v/>
      </c>
      <c r="AA17" s="105"/>
      <c r="AB17" s="119"/>
      <c r="AC17" s="108"/>
      <c r="AH17" s="30" t="str">
        <f>IFERROR(INDEX('G-7 WaterC'' Data'!$AZ$3:$AZ$7,MATCH(C17,'G-7 WaterC'' Data'!$AY$3:$AY$7,0)),"")</f>
        <v/>
      </c>
      <c r="AK17" s="30" t="str">
        <f t="shared" si="5"/>
        <v>No</v>
      </c>
    </row>
    <row r="18" spans="2:37" ht="13.8" x14ac:dyDescent="0.25">
      <c r="B18" s="101">
        <v>7</v>
      </c>
      <c r="C18" s="950"/>
      <c r="D18" s="119"/>
      <c r="E18" s="281" t="str">
        <f>IF(C18="","",VLOOKUP(C18,'G-7 WaterC'' Data'!$B$2:$G$8,2,FALSE))</f>
        <v/>
      </c>
      <c r="F18" s="282" t="str">
        <f>IFERROR(VLOOKUP(E18,'G-7 WaterC'' Data'!$C$4:$D$8,2,FALSE),"")</f>
        <v/>
      </c>
      <c r="G18" s="105"/>
      <c r="H18" s="282" t="str">
        <f>IFERROR(INDEX('G-7 WaterC'' Data'!$H$4:$L$8,MATCH(C18,'G-7 WaterC'' Data'!$B$4:$B$8,0),MATCH(G18,'G-7 WaterC'' Data'!$H$3:$L$3,0)),"")</f>
        <v/>
      </c>
      <c r="I18" s="52"/>
      <c r="J18" s="289" t="str">
        <f>IF(I18="","",IF(VLOOKUP(I18,'G-7 WaterC'' Data'!$AK$4:$AM$6,2,FALSE)=0,"Spatial Data Missing ⚠",VLOOKUP(I18,'G-7 WaterC'' Data'!$AK$4:$AM$6,2,FALSE)))</f>
        <v/>
      </c>
      <c r="K18" s="282" t="str">
        <f>IF(I18="","",IF(VLOOKUP(I18,'G-7 WaterC'' Data'!$AK$4:$AM$6,3,FALSE)=0,"Spatial Data Missing ⚠",VLOOKUP(I18,'G-7 WaterC'' Data'!$AK$4:$AM$6,3,FALSE)))</f>
        <v/>
      </c>
      <c r="L18" s="281" t="str">
        <f>IFERROR(INDEX('G-7 WaterC'' Data'!$O$3:$O$7,MATCH(G18,'G-7 WaterC'' Data'!$N$3:$N$7,0)),"")</f>
        <v/>
      </c>
      <c r="M18" s="58"/>
      <c r="N18" s="137"/>
      <c r="O18" s="289" t="str">
        <f t="shared" si="0"/>
        <v/>
      </c>
      <c r="P18" s="302" t="str">
        <f t="shared" si="1"/>
        <v/>
      </c>
      <c r="Q18" s="340" t="str">
        <f>IFERROR(IF(P18="Check Data ⚠","Check Data ⚠",VLOOKUP(P18,'G-4 Temporal multipliers'!$A$4:$C$37,3,FALSE)),"")</f>
        <v/>
      </c>
      <c r="R18" s="281" t="str">
        <f>IF(C18="","",VLOOKUP(C18,'G-7 WaterC'' Data'!$B$4:$G$8,4,FALSE))</f>
        <v/>
      </c>
      <c r="S18" s="289" t="str">
        <f t="shared" si="2"/>
        <v/>
      </c>
      <c r="T18" s="320" t="str">
        <f t="shared" si="3"/>
        <v/>
      </c>
      <c r="U18" s="282" t="str">
        <f>IF(C18="","",VLOOKUP(T18,'G-3 Multipliers'!$P$2:$Q$6,2,FALSE))</f>
        <v/>
      </c>
      <c r="V18" s="106"/>
      <c r="W18" s="282" t="str">
        <f>IF(V18="","",IF(AND(V18="N/A - Culvert",C18&lt;&gt;"Culvert"),"Not possible ▲",IF(AND(C18="Culvert",V18&lt;&gt;"N/A - Culvert"),"Not possible ▲",IF(VLOOKUP(V18,'G-7 WaterC'' Data'!$AA$4:$AB$7,2,FALSE)=0,"Spatial Data Missing ⚠",VLOOKUP(V18,'G-7 WaterC'' Data'!$AA$4:$AB$7,2,FALSE)))))</f>
        <v/>
      </c>
      <c r="X18" s="56"/>
      <c r="Y18" s="282" t="str">
        <f>IF(X18="","",IF(AND(X18="N/A - Culvert", C18&lt;&gt;"Culvert"), "Not possible ▲",IF(AND(C18="Culvert",X18&lt;&gt;"N/A - Culvert"),"Not possible ▲",IF(VLOOKUP(X18,'G-7 WaterC'' Data'!$AD$4:$AE$14,2,FALSE)=0,"Enrcoachment Data Missing ⚠",VLOOKUP(X18,'G-7 WaterC'' Data'!$AD$4:$AE$14,2,FALSE)))))</f>
        <v/>
      </c>
      <c r="Z18" s="323" t="str">
        <f t="shared" si="4"/>
        <v/>
      </c>
      <c r="AA18" s="105"/>
      <c r="AB18" s="119"/>
      <c r="AC18" s="108"/>
      <c r="AH18" s="30" t="str">
        <f>IFERROR(INDEX('G-7 WaterC'' Data'!$AZ$3:$AZ$7,MATCH(C18,'G-7 WaterC'' Data'!$AY$3:$AY$7,0)),"")</f>
        <v/>
      </c>
      <c r="AK18" s="30" t="str">
        <f t="shared" si="5"/>
        <v>No</v>
      </c>
    </row>
    <row r="19" spans="2:37" ht="13.8" x14ac:dyDescent="0.25">
      <c r="B19" s="101">
        <v>8</v>
      </c>
      <c r="C19" s="950"/>
      <c r="D19" s="119"/>
      <c r="E19" s="281" t="str">
        <f>IF(C19="","",VLOOKUP(C19,'G-7 WaterC'' Data'!$B$2:$G$8,2,FALSE))</f>
        <v/>
      </c>
      <c r="F19" s="282" t="str">
        <f>IFERROR(VLOOKUP(E19,'G-7 WaterC'' Data'!$C$4:$D$8,2,FALSE),"")</f>
        <v/>
      </c>
      <c r="G19" s="105"/>
      <c r="H19" s="282" t="str">
        <f>IFERROR(INDEX('G-7 WaterC'' Data'!$H$4:$L$8,MATCH(C19,'G-7 WaterC'' Data'!$B$4:$B$8,0),MATCH(G19,'G-7 WaterC'' Data'!$H$3:$L$3,0)),"")</f>
        <v/>
      </c>
      <c r="I19" s="52"/>
      <c r="J19" s="289" t="str">
        <f>IF(I19="","",IF(VLOOKUP(I19,'G-7 WaterC'' Data'!$AK$4:$AM$6,2,FALSE)=0,"Spatial Data Missing ⚠",VLOOKUP(I19,'G-7 WaterC'' Data'!$AK$4:$AM$6,2,FALSE)))</f>
        <v/>
      </c>
      <c r="K19" s="282" t="str">
        <f>IF(I19="","",IF(VLOOKUP(I19,'G-7 WaterC'' Data'!$AK$4:$AM$6,3,FALSE)=0,"Spatial Data Missing ⚠",VLOOKUP(I19,'G-7 WaterC'' Data'!$AK$4:$AM$6,3,FALSE)))</f>
        <v/>
      </c>
      <c r="L19" s="281" t="str">
        <f>IFERROR(INDEX('G-7 WaterC'' Data'!$O$3:$O$7,MATCH(G19,'G-7 WaterC'' Data'!$N$3:$N$7,0)),"")</f>
        <v/>
      </c>
      <c r="M19" s="58"/>
      <c r="N19" s="137"/>
      <c r="O19" s="289" t="str">
        <f t="shared" si="0"/>
        <v/>
      </c>
      <c r="P19" s="302" t="str">
        <f t="shared" si="1"/>
        <v/>
      </c>
      <c r="Q19" s="340" t="str">
        <f>IFERROR(IF(P19="Check Data ⚠","Check Data ⚠",VLOOKUP(P19,'G-4 Temporal multipliers'!$A$4:$C$37,3,FALSE)),"")</f>
        <v/>
      </c>
      <c r="R19" s="281" t="str">
        <f>IF(C19="","",VLOOKUP(C19,'G-7 WaterC'' Data'!$B$4:$G$8,4,FALSE))</f>
        <v/>
      </c>
      <c r="S19" s="289" t="str">
        <f t="shared" si="2"/>
        <v/>
      </c>
      <c r="T19" s="320" t="str">
        <f t="shared" si="3"/>
        <v/>
      </c>
      <c r="U19" s="282" t="str">
        <f>IF(C19="","",VLOOKUP(T19,'G-3 Multipliers'!$P$2:$Q$6,2,FALSE))</f>
        <v/>
      </c>
      <c r="V19" s="106"/>
      <c r="W19" s="282" t="str">
        <f>IF(V19="","",IF(AND(V19="N/A - Culvert",C19&lt;&gt;"Culvert"),"Not possible ▲",IF(AND(C19="Culvert",V19&lt;&gt;"N/A - Culvert"),"Not possible ▲",IF(VLOOKUP(V19,'G-7 WaterC'' Data'!$AA$4:$AB$7,2,FALSE)=0,"Spatial Data Missing ⚠",VLOOKUP(V19,'G-7 WaterC'' Data'!$AA$4:$AB$7,2,FALSE)))))</f>
        <v/>
      </c>
      <c r="X19" s="56"/>
      <c r="Y19" s="282" t="str">
        <f>IF(X19="","",IF(AND(X19="N/A - Culvert", C19&lt;&gt;"Culvert"), "Not possible ▲",IF(AND(C19="Culvert",X19&lt;&gt;"N/A - Culvert"),"Not possible ▲",IF(VLOOKUP(X19,'G-7 WaterC'' Data'!$AD$4:$AE$14,2,FALSE)=0,"Enrcoachment Data Missing ⚠",VLOOKUP(X19,'G-7 WaterC'' Data'!$AD$4:$AE$14,2,FALSE)))))</f>
        <v/>
      </c>
      <c r="Z19" s="323" t="str">
        <f t="shared" si="4"/>
        <v/>
      </c>
      <c r="AA19" s="105"/>
      <c r="AB19" s="119"/>
      <c r="AC19" s="108"/>
      <c r="AH19" s="30" t="str">
        <f>IFERROR(INDEX('G-7 WaterC'' Data'!$AZ$3:$AZ$7,MATCH(C19,'G-7 WaterC'' Data'!$AY$3:$AY$7,0)),"")</f>
        <v/>
      </c>
      <c r="AK19" s="30" t="str">
        <f t="shared" si="5"/>
        <v>No</v>
      </c>
    </row>
    <row r="20" spans="2:37" ht="13.8" x14ac:dyDescent="0.25">
      <c r="B20" s="101">
        <v>9</v>
      </c>
      <c r="C20" s="950"/>
      <c r="D20" s="119"/>
      <c r="E20" s="281" t="str">
        <f>IF(C20="","",VLOOKUP(C20,'G-7 WaterC'' Data'!$B$2:$G$8,2,FALSE))</f>
        <v/>
      </c>
      <c r="F20" s="282" t="str">
        <f>IFERROR(VLOOKUP(E20,'G-7 WaterC'' Data'!$C$4:$D$8,2,FALSE),"")</f>
        <v/>
      </c>
      <c r="G20" s="105"/>
      <c r="H20" s="282" t="str">
        <f>IFERROR(INDEX('G-7 WaterC'' Data'!$H$4:$L$8,MATCH(C20,'G-7 WaterC'' Data'!$B$4:$B$8,0),MATCH(G20,'G-7 WaterC'' Data'!$H$3:$L$3,0)),"")</f>
        <v/>
      </c>
      <c r="I20" s="52"/>
      <c r="J20" s="289" t="str">
        <f>IF(I20="","",IF(VLOOKUP(I20,'G-7 WaterC'' Data'!$AK$4:$AM$6,2,FALSE)=0,"Spatial Data Missing ⚠",VLOOKUP(I20,'G-7 WaterC'' Data'!$AK$4:$AM$6,2,FALSE)))</f>
        <v/>
      </c>
      <c r="K20" s="282" t="str">
        <f>IF(I20="","",IF(VLOOKUP(I20,'G-7 WaterC'' Data'!$AK$4:$AM$6,3,FALSE)=0,"Spatial Data Missing ⚠",VLOOKUP(I20,'G-7 WaterC'' Data'!$AK$4:$AM$6,3,FALSE)))</f>
        <v/>
      </c>
      <c r="L20" s="281" t="str">
        <f>IFERROR(INDEX('G-7 WaterC'' Data'!$O$3:$O$7,MATCH(G20,'G-7 WaterC'' Data'!$N$3:$N$7,0)),"")</f>
        <v/>
      </c>
      <c r="M20" s="58"/>
      <c r="N20" s="137"/>
      <c r="O20" s="289" t="str">
        <f t="shared" si="0"/>
        <v/>
      </c>
      <c r="P20" s="302" t="str">
        <f t="shared" si="1"/>
        <v/>
      </c>
      <c r="Q20" s="340" t="str">
        <f>IFERROR(IF(P20="Check Data ⚠","Check Data ⚠",VLOOKUP(P20,'G-4 Temporal multipliers'!$A$4:$C$37,3,FALSE)),"")</f>
        <v/>
      </c>
      <c r="R20" s="281" t="str">
        <f>IF(C20="","",VLOOKUP(C20,'G-7 WaterC'' Data'!$B$4:$G$8,4,FALSE))</f>
        <v/>
      </c>
      <c r="S20" s="289" t="str">
        <f t="shared" si="2"/>
        <v/>
      </c>
      <c r="T20" s="320" t="str">
        <f t="shared" si="3"/>
        <v/>
      </c>
      <c r="U20" s="282" t="str">
        <f>IF(C20="","",VLOOKUP(T20,'G-3 Multipliers'!$P$2:$Q$6,2,FALSE))</f>
        <v/>
      </c>
      <c r="V20" s="106"/>
      <c r="W20" s="282" t="str">
        <f>IF(V20="","",IF(AND(V20="N/A - Culvert",C20&lt;&gt;"Culvert"),"Not possible ▲",IF(AND(C20="Culvert",V20&lt;&gt;"N/A - Culvert"),"Not possible ▲",IF(VLOOKUP(V20,'G-7 WaterC'' Data'!$AA$4:$AB$7,2,FALSE)=0,"Spatial Data Missing ⚠",VLOOKUP(V20,'G-7 WaterC'' Data'!$AA$4:$AB$7,2,FALSE)))))</f>
        <v/>
      </c>
      <c r="X20" s="56"/>
      <c r="Y20" s="282" t="str">
        <f>IF(X20="","",IF(AND(X20="N/A - Culvert", C20&lt;&gt;"Culvert"), "Not possible ▲",IF(AND(C20="Culvert",X20&lt;&gt;"N/A - Culvert"),"Not possible ▲",IF(VLOOKUP(X20,'G-7 WaterC'' Data'!$AD$4:$AE$14,2,FALSE)=0,"Enrcoachment Data Missing ⚠",VLOOKUP(X20,'G-7 WaterC'' Data'!$AD$4:$AE$14,2,FALSE)))))</f>
        <v/>
      </c>
      <c r="Z20" s="323" t="str">
        <f t="shared" si="4"/>
        <v/>
      </c>
      <c r="AA20" s="105"/>
      <c r="AB20" s="119"/>
      <c r="AC20" s="108"/>
      <c r="AH20" s="30" t="str">
        <f>IFERROR(INDEX('G-7 WaterC'' Data'!$AZ$3:$AZ$7,MATCH(C20,'G-7 WaterC'' Data'!$AY$3:$AY$7,0)),"")</f>
        <v/>
      </c>
      <c r="AK20" s="30" t="str">
        <f t="shared" si="5"/>
        <v>No</v>
      </c>
    </row>
    <row r="21" spans="2:37" ht="13.8" x14ac:dyDescent="0.25">
      <c r="B21" s="101">
        <v>10</v>
      </c>
      <c r="C21" s="950"/>
      <c r="D21" s="119"/>
      <c r="E21" s="281" t="str">
        <f>IF(C21="","",VLOOKUP(C21,'G-7 WaterC'' Data'!$B$2:$G$8,2,FALSE))</f>
        <v/>
      </c>
      <c r="F21" s="282" t="str">
        <f>IFERROR(VLOOKUP(E21,'G-7 WaterC'' Data'!$C$4:$D$8,2,FALSE),"")</f>
        <v/>
      </c>
      <c r="G21" s="105"/>
      <c r="H21" s="282" t="str">
        <f>IFERROR(INDEX('G-7 WaterC'' Data'!$H$4:$L$8,MATCH(C21,'G-7 WaterC'' Data'!$B$4:$B$8,0),MATCH(G21,'G-7 WaterC'' Data'!$H$3:$L$3,0)),"")</f>
        <v/>
      </c>
      <c r="I21" s="52"/>
      <c r="J21" s="289" t="str">
        <f>IF(I21="","",IF(VLOOKUP(I21,'G-7 WaterC'' Data'!$AK$4:$AM$6,2,FALSE)=0,"Spatial Data Missing ⚠",VLOOKUP(I21,'G-7 WaterC'' Data'!$AK$4:$AM$6,2,FALSE)))</f>
        <v/>
      </c>
      <c r="K21" s="282" t="str">
        <f>IF(I21="","",IF(VLOOKUP(I21,'G-7 WaterC'' Data'!$AK$4:$AM$6,3,FALSE)=0,"Spatial Data Missing ⚠",VLOOKUP(I21,'G-7 WaterC'' Data'!$AK$4:$AM$6,3,FALSE)))</f>
        <v/>
      </c>
      <c r="L21" s="281" t="str">
        <f>IFERROR(INDEX('G-7 WaterC'' Data'!$O$3:$O$7,MATCH(G21,'G-7 WaterC'' Data'!$N$3:$N$7,0)),"")</f>
        <v/>
      </c>
      <c r="M21" s="58"/>
      <c r="N21" s="137"/>
      <c r="O21" s="289" t="str">
        <f t="shared" si="0"/>
        <v/>
      </c>
      <c r="P21" s="302" t="str">
        <f t="shared" si="1"/>
        <v/>
      </c>
      <c r="Q21" s="340" t="str">
        <f>IFERROR(IF(P21="Check Data ⚠","Check Data ⚠",VLOOKUP(P21,'G-4 Temporal multipliers'!$A$4:$C$37,3,FALSE)),"")</f>
        <v/>
      </c>
      <c r="R21" s="281" t="str">
        <f>IF(C21="","",VLOOKUP(C21,'G-7 WaterC'' Data'!$B$4:$G$8,4,FALSE))</f>
        <v/>
      </c>
      <c r="S21" s="289" t="str">
        <f t="shared" si="2"/>
        <v/>
      </c>
      <c r="T21" s="320" t="str">
        <f t="shared" si="3"/>
        <v/>
      </c>
      <c r="U21" s="282" t="str">
        <f>IF(C21="","",VLOOKUP(T21,'G-3 Multipliers'!$P$2:$Q$6,2,FALSE))</f>
        <v/>
      </c>
      <c r="V21" s="106"/>
      <c r="W21" s="282" t="str">
        <f>IF(V21="","",IF(AND(V21="N/A - Culvert",C21&lt;&gt;"Culvert"),"Not possible ▲",IF(AND(C21="Culvert",V21&lt;&gt;"N/A - Culvert"),"Not possible ▲",IF(VLOOKUP(V21,'G-7 WaterC'' Data'!$AA$4:$AB$7,2,FALSE)=0,"Spatial Data Missing ⚠",VLOOKUP(V21,'G-7 WaterC'' Data'!$AA$4:$AB$7,2,FALSE)))))</f>
        <v/>
      </c>
      <c r="X21" s="56"/>
      <c r="Y21" s="282" t="str">
        <f>IF(X21="","",IF(AND(X21="N/A - Culvert", C21&lt;&gt;"Culvert"), "Not possible ▲",IF(AND(C21="Culvert",X21&lt;&gt;"N/A - Culvert"),"Not possible ▲",IF(VLOOKUP(X21,'G-7 WaterC'' Data'!$AD$4:$AE$14,2,FALSE)=0,"Enrcoachment Data Missing ⚠",VLOOKUP(X21,'G-7 WaterC'' Data'!$AD$4:$AE$14,2,FALSE)))))</f>
        <v/>
      </c>
      <c r="Z21" s="323" t="str">
        <f t="shared" si="4"/>
        <v/>
      </c>
      <c r="AA21" s="105"/>
      <c r="AB21" s="119"/>
      <c r="AC21" s="108"/>
      <c r="AH21" s="30" t="str">
        <f>IFERROR(INDEX('G-7 WaterC'' Data'!$AZ$3:$AZ$7,MATCH(C21,'G-7 WaterC'' Data'!$AY$3:$AY$7,0)),"")</f>
        <v/>
      </c>
      <c r="AK21" s="30" t="str">
        <f t="shared" si="5"/>
        <v>No</v>
      </c>
    </row>
    <row r="22" spans="2:37" ht="13.8" x14ac:dyDescent="0.25">
      <c r="B22" s="101">
        <v>11</v>
      </c>
      <c r="C22" s="950"/>
      <c r="D22" s="119"/>
      <c r="E22" s="281" t="str">
        <f>IF(C22="","",VLOOKUP(C22,'G-7 WaterC'' Data'!$B$2:$G$8,2,FALSE))</f>
        <v/>
      </c>
      <c r="F22" s="282" t="str">
        <f>IFERROR(VLOOKUP(E22,'G-7 WaterC'' Data'!$C$4:$D$8,2,FALSE),"")</f>
        <v/>
      </c>
      <c r="G22" s="105"/>
      <c r="H22" s="282" t="str">
        <f>IFERROR(INDEX('G-7 WaterC'' Data'!$H$4:$L$8,MATCH(C22,'G-7 WaterC'' Data'!$B$4:$B$8,0),MATCH(G22,'G-7 WaterC'' Data'!$H$3:$L$3,0)),"")</f>
        <v/>
      </c>
      <c r="I22" s="52"/>
      <c r="J22" s="289" t="str">
        <f>IF(I22="","",IF(VLOOKUP(I22,'G-7 WaterC'' Data'!$AK$4:$AM$6,2,FALSE)=0,"Spatial Data Missing ⚠",VLOOKUP(I22,'G-7 WaterC'' Data'!$AK$4:$AM$6,2,FALSE)))</f>
        <v/>
      </c>
      <c r="K22" s="282" t="str">
        <f>IF(I22="","",IF(VLOOKUP(I22,'G-7 WaterC'' Data'!$AK$4:$AM$6,3,FALSE)=0,"Spatial Data Missing ⚠",VLOOKUP(I22,'G-7 WaterC'' Data'!$AK$4:$AM$6,3,FALSE)))</f>
        <v/>
      </c>
      <c r="L22" s="281" t="str">
        <f>IFERROR(INDEX('G-7 WaterC'' Data'!$O$3:$O$7,MATCH(G22,'G-7 WaterC'' Data'!$N$3:$N$7,0)),"")</f>
        <v/>
      </c>
      <c r="M22" s="58"/>
      <c r="N22" s="137"/>
      <c r="O22" s="289" t="str">
        <f t="shared" si="0"/>
        <v/>
      </c>
      <c r="P22" s="302" t="str">
        <f t="shared" si="1"/>
        <v/>
      </c>
      <c r="Q22" s="340" t="str">
        <f>IFERROR(IF(P22="Check Data ⚠","Check Data ⚠",VLOOKUP(P22,'G-4 Temporal multipliers'!$A$4:$C$37,3,FALSE)),"")</f>
        <v/>
      </c>
      <c r="R22" s="281" t="str">
        <f>IF(C22="","",VLOOKUP(C22,'G-7 WaterC'' Data'!$B$4:$G$8,4,FALSE))</f>
        <v/>
      </c>
      <c r="S22" s="289" t="str">
        <f t="shared" si="2"/>
        <v/>
      </c>
      <c r="T22" s="320" t="str">
        <f t="shared" si="3"/>
        <v/>
      </c>
      <c r="U22" s="282" t="str">
        <f>IF(C22="","",VLOOKUP(T22,'G-3 Multipliers'!$P$2:$Q$6,2,FALSE))</f>
        <v/>
      </c>
      <c r="V22" s="106"/>
      <c r="W22" s="282" t="str">
        <f>IF(V22="","",IF(AND(V22="N/A - Culvert",C22&lt;&gt;"Culvert"),"Not possible ▲",IF(AND(C22="Culvert",V22&lt;&gt;"N/A - Culvert"),"Not possible ▲",IF(VLOOKUP(V22,'G-7 WaterC'' Data'!$AA$4:$AB$7,2,FALSE)=0,"Spatial Data Missing ⚠",VLOOKUP(V22,'G-7 WaterC'' Data'!$AA$4:$AB$7,2,FALSE)))))</f>
        <v/>
      </c>
      <c r="X22" s="56"/>
      <c r="Y22" s="282" t="str">
        <f>IF(X22="","",IF(AND(X22="N/A - Culvert", C22&lt;&gt;"Culvert"), "Not possible ▲",IF(AND(C22="Culvert",X22&lt;&gt;"N/A - Culvert"),"Not possible ▲",IF(VLOOKUP(X22,'G-7 WaterC'' Data'!$AD$4:$AE$14,2,FALSE)=0,"Enrcoachment Data Missing ⚠",VLOOKUP(X22,'G-7 WaterC'' Data'!$AD$4:$AE$14,2,FALSE)))))</f>
        <v/>
      </c>
      <c r="Z22" s="323" t="str">
        <f t="shared" si="4"/>
        <v/>
      </c>
      <c r="AA22" s="105"/>
      <c r="AB22" s="119"/>
      <c r="AC22" s="108"/>
      <c r="AH22" s="30" t="str">
        <f>IFERROR(INDEX('G-7 WaterC'' Data'!$AZ$3:$AZ$7,MATCH(C22,'G-7 WaterC'' Data'!$AY$3:$AY$7,0)),"")</f>
        <v/>
      </c>
      <c r="AK22" s="30" t="str">
        <f t="shared" si="5"/>
        <v>No</v>
      </c>
    </row>
    <row r="23" spans="2:37" ht="13.8" x14ac:dyDescent="0.25">
      <c r="B23" s="101">
        <v>12</v>
      </c>
      <c r="C23" s="950"/>
      <c r="D23" s="119"/>
      <c r="E23" s="281" t="str">
        <f>IF(C23="","",VLOOKUP(C23,'G-7 WaterC'' Data'!$B$2:$G$8,2,FALSE))</f>
        <v/>
      </c>
      <c r="F23" s="282" t="str">
        <f>IFERROR(VLOOKUP(E23,'G-7 WaterC'' Data'!$C$4:$D$8,2,FALSE),"")</f>
        <v/>
      </c>
      <c r="G23" s="105"/>
      <c r="H23" s="282" t="str">
        <f>IFERROR(INDEX('G-7 WaterC'' Data'!$H$4:$L$8,MATCH(C23,'G-7 WaterC'' Data'!$B$4:$B$8,0),MATCH(G23,'G-7 WaterC'' Data'!$H$3:$L$3,0)),"")</f>
        <v/>
      </c>
      <c r="I23" s="52"/>
      <c r="J23" s="289" t="str">
        <f>IF(I23="","",IF(VLOOKUP(I23,'G-7 WaterC'' Data'!$AK$4:$AM$6,2,FALSE)=0,"Spatial Data Missing ⚠",VLOOKUP(I23,'G-7 WaterC'' Data'!$AK$4:$AM$6,2,FALSE)))</f>
        <v/>
      </c>
      <c r="K23" s="282" t="str">
        <f>IF(I23="","",IF(VLOOKUP(I23,'G-7 WaterC'' Data'!$AK$4:$AM$6,3,FALSE)=0,"Spatial Data Missing ⚠",VLOOKUP(I23,'G-7 WaterC'' Data'!$AK$4:$AM$6,3,FALSE)))</f>
        <v/>
      </c>
      <c r="L23" s="281" t="str">
        <f>IFERROR(INDEX('G-7 WaterC'' Data'!$O$3:$O$7,MATCH(G23,'G-7 WaterC'' Data'!$N$3:$N$7,0)),"")</f>
        <v/>
      </c>
      <c r="M23" s="58"/>
      <c r="N23" s="137"/>
      <c r="O23" s="289" t="str">
        <f t="shared" si="0"/>
        <v/>
      </c>
      <c r="P23" s="302" t="str">
        <f t="shared" si="1"/>
        <v/>
      </c>
      <c r="Q23" s="340" t="str">
        <f>IFERROR(IF(P23="Check Data ⚠","Check Data ⚠",VLOOKUP(P23,'G-4 Temporal multipliers'!$A$4:$C$37,3,FALSE)),"")</f>
        <v/>
      </c>
      <c r="R23" s="281" t="str">
        <f>IF(C23="","",VLOOKUP(C23,'G-7 WaterC'' Data'!$B$4:$G$8,4,FALSE))</f>
        <v/>
      </c>
      <c r="S23" s="289" t="str">
        <f t="shared" si="2"/>
        <v/>
      </c>
      <c r="T23" s="320" t="str">
        <f t="shared" si="3"/>
        <v/>
      </c>
      <c r="U23" s="282" t="str">
        <f>IF(C23="","",VLOOKUP(T23,'G-3 Multipliers'!$P$2:$Q$6,2,FALSE))</f>
        <v/>
      </c>
      <c r="V23" s="106"/>
      <c r="W23" s="282" t="str">
        <f>IF(V23="","",IF(AND(V23="N/A - Culvert",C23&lt;&gt;"Culvert"),"Not possible ▲",IF(AND(C23="Culvert",V23&lt;&gt;"N/A - Culvert"),"Not possible ▲",IF(VLOOKUP(V23,'G-7 WaterC'' Data'!$AA$4:$AB$7,2,FALSE)=0,"Spatial Data Missing ⚠",VLOOKUP(V23,'G-7 WaterC'' Data'!$AA$4:$AB$7,2,FALSE)))))</f>
        <v/>
      </c>
      <c r="X23" s="56"/>
      <c r="Y23" s="282" t="str">
        <f>IF(X23="","",IF(AND(X23="N/A - Culvert", C23&lt;&gt;"Culvert"), "Not possible ▲",IF(AND(C23="Culvert",X23&lt;&gt;"N/A - Culvert"),"Not possible ▲",IF(VLOOKUP(X23,'G-7 WaterC'' Data'!$AD$4:$AE$14,2,FALSE)=0,"Enrcoachment Data Missing ⚠",VLOOKUP(X23,'G-7 WaterC'' Data'!$AD$4:$AE$14,2,FALSE)))))</f>
        <v/>
      </c>
      <c r="Z23" s="323" t="str">
        <f t="shared" si="4"/>
        <v/>
      </c>
      <c r="AA23" s="105"/>
      <c r="AB23" s="119"/>
      <c r="AC23" s="108"/>
      <c r="AH23" s="30" t="str">
        <f>IFERROR(INDEX('G-7 WaterC'' Data'!$AZ$3:$AZ$7,MATCH(C23,'G-7 WaterC'' Data'!$AY$3:$AY$7,0)),"")</f>
        <v/>
      </c>
      <c r="AK23" s="30" t="str">
        <f t="shared" si="5"/>
        <v>No</v>
      </c>
    </row>
    <row r="24" spans="2:37" ht="13.8" x14ac:dyDescent="0.25">
      <c r="B24" s="101">
        <v>13</v>
      </c>
      <c r="C24" s="950"/>
      <c r="D24" s="119"/>
      <c r="E24" s="281" t="str">
        <f>IF(C24="","",VLOOKUP(C24,'G-7 WaterC'' Data'!$B$2:$G$8,2,FALSE))</f>
        <v/>
      </c>
      <c r="F24" s="282" t="str">
        <f>IFERROR(VLOOKUP(E24,'G-7 WaterC'' Data'!$C$4:$D$8,2,FALSE),"")</f>
        <v/>
      </c>
      <c r="G24" s="105"/>
      <c r="H24" s="282" t="str">
        <f>IFERROR(INDEX('G-7 WaterC'' Data'!$H$4:$L$8,MATCH(C24,'G-7 WaterC'' Data'!$B$4:$B$8,0),MATCH(G24,'G-7 WaterC'' Data'!$H$3:$L$3,0)),"")</f>
        <v/>
      </c>
      <c r="I24" s="52"/>
      <c r="J24" s="289" t="str">
        <f>IF(I24="","",IF(VLOOKUP(I24,'G-7 WaterC'' Data'!$AK$4:$AM$6,2,FALSE)=0,"Spatial Data Missing ⚠",VLOOKUP(I24,'G-7 WaterC'' Data'!$AK$4:$AM$6,2,FALSE)))</f>
        <v/>
      </c>
      <c r="K24" s="282" t="str">
        <f>IF(I24="","",IF(VLOOKUP(I24,'G-7 WaterC'' Data'!$AK$4:$AM$6,3,FALSE)=0,"Spatial Data Missing ⚠",VLOOKUP(I24,'G-7 WaterC'' Data'!$AK$4:$AM$6,3,FALSE)))</f>
        <v/>
      </c>
      <c r="L24" s="281" t="str">
        <f>IFERROR(INDEX('G-7 WaterC'' Data'!$O$3:$O$7,MATCH(G24,'G-7 WaterC'' Data'!$N$3:$N$7,0)),"")</f>
        <v/>
      </c>
      <c r="M24" s="58"/>
      <c r="N24" s="137"/>
      <c r="O24" s="289" t="str">
        <f t="shared" si="0"/>
        <v/>
      </c>
      <c r="P24" s="302" t="str">
        <f t="shared" si="1"/>
        <v/>
      </c>
      <c r="Q24" s="340" t="str">
        <f>IFERROR(IF(P24="Check Data ⚠","Check Data ⚠",VLOOKUP(P24,'G-4 Temporal multipliers'!$A$4:$C$37,3,FALSE)),"")</f>
        <v/>
      </c>
      <c r="R24" s="281" t="str">
        <f>IF(C24="","",VLOOKUP(C24,'G-7 WaterC'' Data'!$B$4:$G$8,4,FALSE))</f>
        <v/>
      </c>
      <c r="S24" s="289" t="str">
        <f t="shared" si="2"/>
        <v/>
      </c>
      <c r="T24" s="320" t="str">
        <f t="shared" si="3"/>
        <v/>
      </c>
      <c r="U24" s="282" t="str">
        <f>IF(C24="","",VLOOKUP(T24,'G-3 Multipliers'!$P$2:$Q$6,2,FALSE))</f>
        <v/>
      </c>
      <c r="V24" s="106"/>
      <c r="W24" s="282" t="str">
        <f>IF(V24="","",IF(AND(V24="N/A - Culvert",C24&lt;&gt;"Culvert"),"Not possible ▲",IF(AND(C24="Culvert",V24&lt;&gt;"N/A - Culvert"),"Not possible ▲",IF(VLOOKUP(V24,'G-7 WaterC'' Data'!$AA$4:$AB$7,2,FALSE)=0,"Spatial Data Missing ⚠",VLOOKUP(V24,'G-7 WaterC'' Data'!$AA$4:$AB$7,2,FALSE)))))</f>
        <v/>
      </c>
      <c r="X24" s="56"/>
      <c r="Y24" s="282" t="str">
        <f>IF(X24="","",IF(AND(X24="N/A - Culvert", C24&lt;&gt;"Culvert"), "Not possible ▲",IF(AND(C24="Culvert",X24&lt;&gt;"N/A - Culvert"),"Not possible ▲",IF(VLOOKUP(X24,'G-7 WaterC'' Data'!$AD$4:$AE$14,2,FALSE)=0,"Enrcoachment Data Missing ⚠",VLOOKUP(X24,'G-7 WaterC'' Data'!$AD$4:$AE$14,2,FALSE)))))</f>
        <v/>
      </c>
      <c r="Z24" s="323" t="str">
        <f t="shared" si="4"/>
        <v/>
      </c>
      <c r="AA24" s="105"/>
      <c r="AB24" s="119"/>
      <c r="AC24" s="108"/>
      <c r="AH24" s="30" t="str">
        <f>IFERROR(INDEX('G-7 WaterC'' Data'!$AZ$3:$AZ$7,MATCH(C24,'G-7 WaterC'' Data'!$AY$3:$AY$7,0)),"")</f>
        <v/>
      </c>
      <c r="AK24" s="30" t="str">
        <f t="shared" si="5"/>
        <v>No</v>
      </c>
    </row>
    <row r="25" spans="2:37" ht="13.8" x14ac:dyDescent="0.25">
      <c r="B25" s="101">
        <v>14</v>
      </c>
      <c r="C25" s="950"/>
      <c r="D25" s="119"/>
      <c r="E25" s="281" t="str">
        <f>IF(C25="","",VLOOKUP(C25,'G-7 WaterC'' Data'!$B$2:$G$8,2,FALSE))</f>
        <v/>
      </c>
      <c r="F25" s="282" t="str">
        <f>IFERROR(VLOOKUP(E25,'G-7 WaterC'' Data'!$C$4:$D$8,2,FALSE),"")</f>
        <v/>
      </c>
      <c r="G25" s="105"/>
      <c r="H25" s="282" t="str">
        <f>IFERROR(INDEX('G-7 WaterC'' Data'!$H$4:$L$8,MATCH(C25,'G-7 WaterC'' Data'!$B$4:$B$8,0),MATCH(G25,'G-7 WaterC'' Data'!$H$3:$L$3,0)),"")</f>
        <v/>
      </c>
      <c r="I25" s="52"/>
      <c r="J25" s="289" t="str">
        <f>IF(I25="","",IF(VLOOKUP(I25,'G-7 WaterC'' Data'!$AK$4:$AM$6,2,FALSE)=0,"Spatial Data Missing ⚠",VLOOKUP(I25,'G-7 WaterC'' Data'!$AK$4:$AM$6,2,FALSE)))</f>
        <v/>
      </c>
      <c r="K25" s="282" t="str">
        <f>IF(I25="","",IF(VLOOKUP(I25,'G-7 WaterC'' Data'!$AK$4:$AM$6,3,FALSE)=0,"Spatial Data Missing ⚠",VLOOKUP(I25,'G-7 WaterC'' Data'!$AK$4:$AM$6,3,FALSE)))</f>
        <v/>
      </c>
      <c r="L25" s="281" t="str">
        <f>IFERROR(INDEX('G-7 WaterC'' Data'!$O$3:$O$7,MATCH(G25,'G-7 WaterC'' Data'!$N$3:$N$7,0)),"")</f>
        <v/>
      </c>
      <c r="M25" s="58"/>
      <c r="N25" s="137"/>
      <c r="O25" s="289" t="str">
        <f t="shared" si="0"/>
        <v/>
      </c>
      <c r="P25" s="302" t="str">
        <f t="shared" si="1"/>
        <v/>
      </c>
      <c r="Q25" s="340" t="str">
        <f>IFERROR(IF(P25="Check Data ⚠","Check Data ⚠",VLOOKUP(P25,'G-4 Temporal multipliers'!$A$4:$C$37,3,FALSE)),"")</f>
        <v/>
      </c>
      <c r="R25" s="281" t="str">
        <f>IF(C25="","",VLOOKUP(C25,'G-7 WaterC'' Data'!$B$4:$G$8,4,FALSE))</f>
        <v/>
      </c>
      <c r="S25" s="289" t="str">
        <f t="shared" si="2"/>
        <v/>
      </c>
      <c r="T25" s="320" t="str">
        <f t="shared" si="3"/>
        <v/>
      </c>
      <c r="U25" s="282" t="str">
        <f>IF(C25="","",VLOOKUP(T25,'G-3 Multipliers'!$P$2:$Q$6,2,FALSE))</f>
        <v/>
      </c>
      <c r="V25" s="106"/>
      <c r="W25" s="282" t="str">
        <f>IF(V25="","",IF(AND(V25="N/A - Culvert",C25&lt;&gt;"Culvert"),"Not possible ▲",IF(AND(C25="Culvert",V25&lt;&gt;"N/A - Culvert"),"Not possible ▲",IF(VLOOKUP(V25,'G-7 WaterC'' Data'!$AA$4:$AB$7,2,FALSE)=0,"Spatial Data Missing ⚠",VLOOKUP(V25,'G-7 WaterC'' Data'!$AA$4:$AB$7,2,FALSE)))))</f>
        <v/>
      </c>
      <c r="X25" s="56"/>
      <c r="Y25" s="282" t="str">
        <f>IF(X25="","",IF(AND(X25="N/A - Culvert", C25&lt;&gt;"Culvert"), "Not possible ▲",IF(AND(C25="Culvert",X25&lt;&gt;"N/A - Culvert"),"Not possible ▲",IF(VLOOKUP(X25,'G-7 WaterC'' Data'!$AD$4:$AE$14,2,FALSE)=0,"Enrcoachment Data Missing ⚠",VLOOKUP(X25,'G-7 WaterC'' Data'!$AD$4:$AE$14,2,FALSE)))))</f>
        <v/>
      </c>
      <c r="Z25" s="323" t="str">
        <f t="shared" si="4"/>
        <v/>
      </c>
      <c r="AA25" s="105"/>
      <c r="AB25" s="119"/>
      <c r="AC25" s="108"/>
      <c r="AH25" s="30" t="str">
        <f>IFERROR(INDEX('G-7 WaterC'' Data'!$AZ$3:$AZ$7,MATCH(C25,'G-7 WaterC'' Data'!$AY$3:$AY$7,0)),"")</f>
        <v/>
      </c>
      <c r="AK25" s="30" t="str">
        <f t="shared" si="5"/>
        <v>No</v>
      </c>
    </row>
    <row r="26" spans="2:37" ht="13.8" x14ac:dyDescent="0.25">
      <c r="B26" s="101">
        <v>15</v>
      </c>
      <c r="C26" s="950"/>
      <c r="D26" s="119"/>
      <c r="E26" s="281" t="str">
        <f>IF(C26="","",VLOOKUP(C26,'G-7 WaterC'' Data'!$B$2:$G$8,2,FALSE))</f>
        <v/>
      </c>
      <c r="F26" s="282" t="str">
        <f>IFERROR(VLOOKUP(E26,'G-7 WaterC'' Data'!$C$4:$D$8,2,FALSE),"")</f>
        <v/>
      </c>
      <c r="G26" s="105"/>
      <c r="H26" s="282" t="str">
        <f>IFERROR(INDEX('G-7 WaterC'' Data'!$H$4:$L$8,MATCH(C26,'G-7 WaterC'' Data'!$B$4:$B$8,0),MATCH(G26,'G-7 WaterC'' Data'!$H$3:$L$3,0)),"")</f>
        <v/>
      </c>
      <c r="I26" s="52"/>
      <c r="J26" s="289" t="str">
        <f>IF(I26="","",IF(VLOOKUP(I26,'G-7 WaterC'' Data'!$AK$4:$AM$6,2,FALSE)=0,"Spatial Data Missing ⚠",VLOOKUP(I26,'G-7 WaterC'' Data'!$AK$4:$AM$6,2,FALSE)))</f>
        <v/>
      </c>
      <c r="K26" s="282" t="str">
        <f>IF(I26="","",IF(VLOOKUP(I26,'G-7 WaterC'' Data'!$AK$4:$AM$6,3,FALSE)=0,"Spatial Data Missing ⚠",VLOOKUP(I26,'G-7 WaterC'' Data'!$AK$4:$AM$6,3,FALSE)))</f>
        <v/>
      </c>
      <c r="L26" s="281" t="str">
        <f>IFERROR(INDEX('G-7 WaterC'' Data'!$O$3:$O$7,MATCH(G26,'G-7 WaterC'' Data'!$N$3:$N$7,0)),"")</f>
        <v/>
      </c>
      <c r="M26" s="58"/>
      <c r="N26" s="137"/>
      <c r="O26" s="289" t="str">
        <f t="shared" si="0"/>
        <v/>
      </c>
      <c r="P26" s="302" t="str">
        <f t="shared" si="1"/>
        <v/>
      </c>
      <c r="Q26" s="340" t="str">
        <f>IFERROR(IF(P26="Check Data ⚠","Check Data ⚠",VLOOKUP(P26,'G-4 Temporal multipliers'!$A$4:$C$37,3,FALSE)),"")</f>
        <v/>
      </c>
      <c r="R26" s="281" t="str">
        <f>IF(C26="","",VLOOKUP(C26,'G-7 WaterC'' Data'!$B$4:$G$8,4,FALSE))</f>
        <v/>
      </c>
      <c r="S26" s="289" t="str">
        <f t="shared" si="2"/>
        <v/>
      </c>
      <c r="T26" s="320" t="str">
        <f t="shared" si="3"/>
        <v/>
      </c>
      <c r="U26" s="282" t="str">
        <f>IF(C26="","",VLOOKUP(T26,'G-3 Multipliers'!$P$2:$Q$6,2,FALSE))</f>
        <v/>
      </c>
      <c r="V26" s="106"/>
      <c r="W26" s="282" t="str">
        <f>IF(V26="","",IF(AND(V26="N/A - Culvert",C26&lt;&gt;"Culvert"),"Not possible ▲",IF(AND(C26="Culvert",V26&lt;&gt;"N/A - Culvert"),"Not possible ▲",IF(VLOOKUP(V26,'G-7 WaterC'' Data'!$AA$4:$AB$7,2,FALSE)=0,"Spatial Data Missing ⚠",VLOOKUP(V26,'G-7 WaterC'' Data'!$AA$4:$AB$7,2,FALSE)))))</f>
        <v/>
      </c>
      <c r="X26" s="56"/>
      <c r="Y26" s="282" t="str">
        <f>IF(X26="","",IF(AND(X26="N/A - Culvert", C26&lt;&gt;"Culvert"), "Not possible ▲",IF(AND(C26="Culvert",X26&lt;&gt;"N/A - Culvert"),"Not possible ▲",IF(VLOOKUP(X26,'G-7 WaterC'' Data'!$AD$4:$AE$14,2,FALSE)=0,"Enrcoachment Data Missing ⚠",VLOOKUP(X26,'G-7 WaterC'' Data'!$AD$4:$AE$14,2,FALSE)))))</f>
        <v/>
      </c>
      <c r="Z26" s="323" t="str">
        <f t="shared" si="4"/>
        <v/>
      </c>
      <c r="AA26" s="105"/>
      <c r="AB26" s="119"/>
      <c r="AC26" s="108"/>
      <c r="AH26" s="30" t="str">
        <f>IFERROR(INDEX('G-7 WaterC'' Data'!$AZ$3:$AZ$7,MATCH(C26,'G-7 WaterC'' Data'!$AY$3:$AY$7,0)),"")</f>
        <v/>
      </c>
      <c r="AK26" s="30" t="str">
        <f t="shared" si="5"/>
        <v>No</v>
      </c>
    </row>
    <row r="27" spans="2:37" ht="13.8" x14ac:dyDescent="0.25">
      <c r="B27" s="101">
        <v>16</v>
      </c>
      <c r="C27" s="950"/>
      <c r="D27" s="119"/>
      <c r="E27" s="281" t="str">
        <f>IF(C27="","",VLOOKUP(C27,'G-7 WaterC'' Data'!$B$2:$G$8,2,FALSE))</f>
        <v/>
      </c>
      <c r="F27" s="282" t="str">
        <f>IFERROR(VLOOKUP(E27,'G-7 WaterC'' Data'!$C$4:$D$8,2,FALSE),"")</f>
        <v/>
      </c>
      <c r="G27" s="105"/>
      <c r="H27" s="282" t="str">
        <f>IFERROR(INDEX('G-7 WaterC'' Data'!$H$4:$L$8,MATCH(C27,'G-7 WaterC'' Data'!$B$4:$B$8,0),MATCH(G27,'G-7 WaterC'' Data'!$H$3:$L$3,0)),"")</f>
        <v/>
      </c>
      <c r="I27" s="52"/>
      <c r="J27" s="289" t="str">
        <f>IF(I27="","",IF(VLOOKUP(I27,'G-7 WaterC'' Data'!$AK$4:$AM$6,2,FALSE)=0,"Spatial Data Missing ⚠",VLOOKUP(I27,'G-7 WaterC'' Data'!$AK$4:$AM$6,2,FALSE)))</f>
        <v/>
      </c>
      <c r="K27" s="282" t="str">
        <f>IF(I27="","",IF(VLOOKUP(I27,'G-7 WaterC'' Data'!$AK$4:$AM$6,3,FALSE)=0,"Spatial Data Missing ⚠",VLOOKUP(I27,'G-7 WaterC'' Data'!$AK$4:$AM$6,3,FALSE)))</f>
        <v/>
      </c>
      <c r="L27" s="281" t="str">
        <f>IFERROR(INDEX('G-7 WaterC'' Data'!$O$3:$O$7,MATCH(G27,'G-7 WaterC'' Data'!$N$3:$N$7,0)),"")</f>
        <v/>
      </c>
      <c r="M27" s="58"/>
      <c r="N27" s="137"/>
      <c r="O27" s="289" t="str">
        <f t="shared" si="0"/>
        <v/>
      </c>
      <c r="P27" s="302" t="str">
        <f t="shared" si="1"/>
        <v/>
      </c>
      <c r="Q27" s="340" t="str">
        <f>IFERROR(IF(P27="Check Data ⚠","Check Data ⚠",VLOOKUP(P27,'G-4 Temporal multipliers'!$A$4:$C$37,3,FALSE)),"")</f>
        <v/>
      </c>
      <c r="R27" s="281" t="str">
        <f>IF(C27="","",VLOOKUP(C27,'G-7 WaterC'' Data'!$B$4:$G$8,4,FALSE))</f>
        <v/>
      </c>
      <c r="S27" s="289" t="str">
        <f t="shared" si="2"/>
        <v/>
      </c>
      <c r="T27" s="320" t="str">
        <f t="shared" si="3"/>
        <v/>
      </c>
      <c r="U27" s="282" t="str">
        <f>IF(C27="","",VLOOKUP(T27,'G-3 Multipliers'!$P$2:$Q$6,2,FALSE))</f>
        <v/>
      </c>
      <c r="V27" s="106"/>
      <c r="W27" s="282" t="str">
        <f>IF(V27="","",IF(AND(V27="N/A - Culvert",C27&lt;&gt;"Culvert"),"Not possible ▲",IF(AND(C27="Culvert",V27&lt;&gt;"N/A - Culvert"),"Not possible ▲",IF(VLOOKUP(V27,'G-7 WaterC'' Data'!$AA$4:$AB$7,2,FALSE)=0,"Spatial Data Missing ⚠",VLOOKUP(V27,'G-7 WaterC'' Data'!$AA$4:$AB$7,2,FALSE)))))</f>
        <v/>
      </c>
      <c r="X27" s="56"/>
      <c r="Y27" s="282" t="str">
        <f>IF(X27="","",IF(AND(X27="N/A - Culvert", C27&lt;&gt;"Culvert"), "Not possible ▲",IF(AND(C27="Culvert",X27&lt;&gt;"N/A - Culvert"),"Not possible ▲",IF(VLOOKUP(X27,'G-7 WaterC'' Data'!$AD$4:$AE$14,2,FALSE)=0,"Enrcoachment Data Missing ⚠",VLOOKUP(X27,'G-7 WaterC'' Data'!$AD$4:$AE$14,2,FALSE)))))</f>
        <v/>
      </c>
      <c r="Z27" s="323" t="str">
        <f t="shared" si="4"/>
        <v/>
      </c>
      <c r="AA27" s="105"/>
      <c r="AB27" s="119"/>
      <c r="AC27" s="108"/>
      <c r="AH27" s="30" t="str">
        <f>IFERROR(INDEX('G-7 WaterC'' Data'!$AZ$3:$AZ$7,MATCH(C27,'G-7 WaterC'' Data'!$AY$3:$AY$7,0)),"")</f>
        <v/>
      </c>
      <c r="AK27" s="30" t="str">
        <f t="shared" si="5"/>
        <v>No</v>
      </c>
    </row>
    <row r="28" spans="2:37" ht="13.8" x14ac:dyDescent="0.25">
      <c r="B28" s="101">
        <v>17</v>
      </c>
      <c r="C28" s="950"/>
      <c r="D28" s="119"/>
      <c r="E28" s="281" t="str">
        <f>IF(C28="","",VLOOKUP(C28,'G-7 WaterC'' Data'!$B$2:$G$8,2,FALSE))</f>
        <v/>
      </c>
      <c r="F28" s="282" t="str">
        <f>IFERROR(VLOOKUP(E28,'G-7 WaterC'' Data'!$C$4:$D$8,2,FALSE),"")</f>
        <v/>
      </c>
      <c r="G28" s="105"/>
      <c r="H28" s="282" t="str">
        <f>IFERROR(INDEX('G-7 WaterC'' Data'!$H$4:$L$8,MATCH(C28,'G-7 WaterC'' Data'!$B$4:$B$8,0),MATCH(G28,'G-7 WaterC'' Data'!$H$3:$L$3,0)),"")</f>
        <v/>
      </c>
      <c r="I28" s="52"/>
      <c r="J28" s="289" t="str">
        <f>IF(I28="","",IF(VLOOKUP(I28,'G-7 WaterC'' Data'!$AK$4:$AM$6,2,FALSE)=0,"Spatial Data Missing ⚠",VLOOKUP(I28,'G-7 WaterC'' Data'!$AK$4:$AM$6,2,FALSE)))</f>
        <v/>
      </c>
      <c r="K28" s="282" t="str">
        <f>IF(I28="","",IF(VLOOKUP(I28,'G-7 WaterC'' Data'!$AK$4:$AM$6,3,FALSE)=0,"Spatial Data Missing ⚠",VLOOKUP(I28,'G-7 WaterC'' Data'!$AK$4:$AM$6,3,FALSE)))</f>
        <v/>
      </c>
      <c r="L28" s="281" t="str">
        <f>IFERROR(INDEX('G-7 WaterC'' Data'!$O$3:$O$7,MATCH(G28,'G-7 WaterC'' Data'!$N$3:$N$7,0)),"")</f>
        <v/>
      </c>
      <c r="M28" s="58"/>
      <c r="N28" s="137"/>
      <c r="O28" s="289" t="str">
        <f t="shared" si="0"/>
        <v/>
      </c>
      <c r="P28" s="302" t="str">
        <f t="shared" si="1"/>
        <v/>
      </c>
      <c r="Q28" s="340" t="str">
        <f>IFERROR(IF(P28="Check Data ⚠","Check Data ⚠",VLOOKUP(P28,'G-4 Temporal multipliers'!$A$4:$C$37,3,FALSE)),"")</f>
        <v/>
      </c>
      <c r="R28" s="281" t="str">
        <f>IF(C28="","",VLOOKUP(C28,'G-7 WaterC'' Data'!$B$4:$G$8,4,FALSE))</f>
        <v/>
      </c>
      <c r="S28" s="289" t="str">
        <f t="shared" si="2"/>
        <v/>
      </c>
      <c r="T28" s="320" t="str">
        <f t="shared" si="3"/>
        <v/>
      </c>
      <c r="U28" s="282" t="str">
        <f>IF(C28="","",VLOOKUP(T28,'G-3 Multipliers'!$P$2:$Q$6,2,FALSE))</f>
        <v/>
      </c>
      <c r="V28" s="106"/>
      <c r="W28" s="282" t="str">
        <f>IF(V28="","",IF(AND(V28="N/A - Culvert",C28&lt;&gt;"Culvert"),"Not possible ▲",IF(AND(C28="Culvert",V28&lt;&gt;"N/A - Culvert"),"Not possible ▲",IF(VLOOKUP(V28,'G-7 WaterC'' Data'!$AA$4:$AB$7,2,FALSE)=0,"Spatial Data Missing ⚠",VLOOKUP(V28,'G-7 WaterC'' Data'!$AA$4:$AB$7,2,FALSE)))))</f>
        <v/>
      </c>
      <c r="X28" s="56"/>
      <c r="Y28" s="282" t="str">
        <f>IF(X28="","",IF(AND(X28="N/A - Culvert", C28&lt;&gt;"Culvert"), "Not possible ▲",IF(AND(C28="Culvert",X28&lt;&gt;"N/A - Culvert"),"Not possible ▲",IF(VLOOKUP(X28,'G-7 WaterC'' Data'!$AD$4:$AE$14,2,FALSE)=0,"Enrcoachment Data Missing ⚠",VLOOKUP(X28,'G-7 WaterC'' Data'!$AD$4:$AE$14,2,FALSE)))))</f>
        <v/>
      </c>
      <c r="Z28" s="323" t="str">
        <f t="shared" si="4"/>
        <v/>
      </c>
      <c r="AA28" s="105"/>
      <c r="AB28" s="119"/>
      <c r="AC28" s="108"/>
      <c r="AH28" s="30" t="str">
        <f>IFERROR(INDEX('G-7 WaterC'' Data'!$AZ$3:$AZ$7,MATCH(C28,'G-7 WaterC'' Data'!$AY$3:$AY$7,0)),"")</f>
        <v/>
      </c>
      <c r="AK28" s="30" t="str">
        <f t="shared" si="5"/>
        <v>No</v>
      </c>
    </row>
    <row r="29" spans="2:37" ht="13.8" x14ac:dyDescent="0.25">
      <c r="B29" s="101">
        <v>18</v>
      </c>
      <c r="C29" s="950"/>
      <c r="D29" s="119"/>
      <c r="E29" s="281" t="str">
        <f>IF(C29="","",VLOOKUP(C29,'G-7 WaterC'' Data'!$B$2:$G$8,2,FALSE))</f>
        <v/>
      </c>
      <c r="F29" s="282" t="str">
        <f>IFERROR(VLOOKUP(E29,'G-7 WaterC'' Data'!$C$4:$D$8,2,FALSE),"")</f>
        <v/>
      </c>
      <c r="G29" s="105"/>
      <c r="H29" s="282" t="str">
        <f>IFERROR(INDEX('G-7 WaterC'' Data'!$H$4:$L$8,MATCH(C29,'G-7 WaterC'' Data'!$B$4:$B$8,0),MATCH(G29,'G-7 WaterC'' Data'!$H$3:$L$3,0)),"")</f>
        <v/>
      </c>
      <c r="I29" s="52"/>
      <c r="J29" s="289" t="str">
        <f>IF(I29="","",IF(VLOOKUP(I29,'G-7 WaterC'' Data'!$AK$4:$AM$6,2,FALSE)=0,"Spatial Data Missing ⚠",VLOOKUP(I29,'G-7 WaterC'' Data'!$AK$4:$AM$6,2,FALSE)))</f>
        <v/>
      </c>
      <c r="K29" s="282" t="str">
        <f>IF(I29="","",IF(VLOOKUP(I29,'G-7 WaterC'' Data'!$AK$4:$AM$6,3,FALSE)=0,"Spatial Data Missing ⚠",VLOOKUP(I29,'G-7 WaterC'' Data'!$AK$4:$AM$6,3,FALSE)))</f>
        <v/>
      </c>
      <c r="L29" s="281" t="str">
        <f>IFERROR(INDEX('G-7 WaterC'' Data'!$O$3:$O$7,MATCH(G29,'G-7 WaterC'' Data'!$N$3:$N$7,0)),"")</f>
        <v/>
      </c>
      <c r="M29" s="58"/>
      <c r="N29" s="137"/>
      <c r="O29" s="289" t="str">
        <f t="shared" si="0"/>
        <v/>
      </c>
      <c r="P29" s="302" t="str">
        <f t="shared" si="1"/>
        <v/>
      </c>
      <c r="Q29" s="340" t="str">
        <f>IFERROR(IF(P29="Check Data ⚠","Check Data ⚠",VLOOKUP(P29,'G-4 Temporal multipliers'!$A$4:$C$37,3,FALSE)),"")</f>
        <v/>
      </c>
      <c r="R29" s="281" t="str">
        <f>IF(C29="","",VLOOKUP(C29,'G-7 WaterC'' Data'!$B$4:$G$8,4,FALSE))</f>
        <v/>
      </c>
      <c r="S29" s="289" t="str">
        <f t="shared" si="2"/>
        <v/>
      </c>
      <c r="T29" s="320" t="str">
        <f t="shared" si="3"/>
        <v/>
      </c>
      <c r="U29" s="282" t="str">
        <f>IF(C29="","",VLOOKUP(T29,'G-3 Multipliers'!$P$2:$Q$6,2,FALSE))</f>
        <v/>
      </c>
      <c r="V29" s="106"/>
      <c r="W29" s="282" t="str">
        <f>IF(V29="","",IF(AND(V29="N/A - Culvert",C29&lt;&gt;"Culvert"),"Not possible ▲",IF(AND(C29="Culvert",V29&lt;&gt;"N/A - Culvert"),"Not possible ▲",IF(VLOOKUP(V29,'G-7 WaterC'' Data'!$AA$4:$AB$7,2,FALSE)=0,"Spatial Data Missing ⚠",VLOOKUP(V29,'G-7 WaterC'' Data'!$AA$4:$AB$7,2,FALSE)))))</f>
        <v/>
      </c>
      <c r="X29" s="56"/>
      <c r="Y29" s="282" t="str">
        <f>IF(X29="","",IF(AND(X29="N/A - Culvert", C29&lt;&gt;"Culvert"), "Not possible ▲",IF(AND(C29="Culvert",X29&lt;&gt;"N/A - Culvert"),"Not possible ▲",IF(VLOOKUP(X29,'G-7 WaterC'' Data'!$AD$4:$AE$14,2,FALSE)=0,"Enrcoachment Data Missing ⚠",VLOOKUP(X29,'G-7 WaterC'' Data'!$AD$4:$AE$14,2,FALSE)))))</f>
        <v/>
      </c>
      <c r="Z29" s="323" t="str">
        <f t="shared" si="4"/>
        <v/>
      </c>
      <c r="AA29" s="105"/>
      <c r="AB29" s="119"/>
      <c r="AC29" s="108"/>
      <c r="AH29" s="30" t="str">
        <f>IFERROR(INDEX('G-7 WaterC'' Data'!$AZ$3:$AZ$7,MATCH(C29,'G-7 WaterC'' Data'!$AY$3:$AY$7,0)),"")</f>
        <v/>
      </c>
      <c r="AK29" s="30" t="str">
        <f t="shared" si="5"/>
        <v>No</v>
      </c>
    </row>
    <row r="30" spans="2:37" ht="13.8" x14ac:dyDescent="0.25">
      <c r="B30" s="101">
        <v>19</v>
      </c>
      <c r="C30" s="950"/>
      <c r="D30" s="119"/>
      <c r="E30" s="281" t="str">
        <f>IF(C30="","",VLOOKUP(C30,'G-7 WaterC'' Data'!$B$2:$G$8,2,FALSE))</f>
        <v/>
      </c>
      <c r="F30" s="282" t="str">
        <f>IFERROR(VLOOKUP(E30,'G-7 WaterC'' Data'!$C$4:$D$8,2,FALSE),"")</f>
        <v/>
      </c>
      <c r="G30" s="105"/>
      <c r="H30" s="282" t="str">
        <f>IFERROR(INDEX('G-7 WaterC'' Data'!$H$4:$L$8,MATCH(C30,'G-7 WaterC'' Data'!$B$4:$B$8,0),MATCH(G30,'G-7 WaterC'' Data'!$H$3:$L$3,0)),"")</f>
        <v/>
      </c>
      <c r="I30" s="52"/>
      <c r="J30" s="289" t="str">
        <f>IF(I30="","",IF(VLOOKUP(I30,'G-7 WaterC'' Data'!$AK$4:$AM$6,2,FALSE)=0,"Spatial Data Missing ⚠",VLOOKUP(I30,'G-7 WaterC'' Data'!$AK$4:$AM$6,2,FALSE)))</f>
        <v/>
      </c>
      <c r="K30" s="282" t="str">
        <f>IF(I30="","",IF(VLOOKUP(I30,'G-7 WaterC'' Data'!$AK$4:$AM$6,3,FALSE)=0,"Spatial Data Missing ⚠",VLOOKUP(I30,'G-7 WaterC'' Data'!$AK$4:$AM$6,3,FALSE)))</f>
        <v/>
      </c>
      <c r="L30" s="281" t="str">
        <f>IFERROR(INDEX('G-7 WaterC'' Data'!$O$3:$O$7,MATCH(G30,'G-7 WaterC'' Data'!$N$3:$N$7,0)),"")</f>
        <v/>
      </c>
      <c r="M30" s="58"/>
      <c r="N30" s="137"/>
      <c r="O30" s="289" t="str">
        <f t="shared" si="0"/>
        <v/>
      </c>
      <c r="P30" s="302" t="str">
        <f t="shared" si="1"/>
        <v/>
      </c>
      <c r="Q30" s="340" t="str">
        <f>IFERROR(IF(P30="Check Data ⚠","Check Data ⚠",VLOOKUP(P30,'G-4 Temporal multipliers'!$A$4:$C$37,3,FALSE)),"")</f>
        <v/>
      </c>
      <c r="R30" s="281" t="str">
        <f>IF(C30="","",VLOOKUP(C30,'G-7 WaterC'' Data'!$B$4:$G$8,4,FALSE))</f>
        <v/>
      </c>
      <c r="S30" s="289" t="str">
        <f t="shared" si="2"/>
        <v/>
      </c>
      <c r="T30" s="320" t="str">
        <f t="shared" si="3"/>
        <v/>
      </c>
      <c r="U30" s="282" t="str">
        <f>IF(C30="","",VLOOKUP(T30,'G-3 Multipliers'!$P$2:$Q$6,2,FALSE))</f>
        <v/>
      </c>
      <c r="V30" s="106"/>
      <c r="W30" s="282" t="str">
        <f>IF(V30="","",IF(AND(V30="N/A - Culvert",C30&lt;&gt;"Culvert"),"Not possible ▲",IF(AND(C30="Culvert",V30&lt;&gt;"N/A - Culvert"),"Not possible ▲",IF(VLOOKUP(V30,'G-7 WaterC'' Data'!$AA$4:$AB$7,2,FALSE)=0,"Spatial Data Missing ⚠",VLOOKUP(V30,'G-7 WaterC'' Data'!$AA$4:$AB$7,2,FALSE)))))</f>
        <v/>
      </c>
      <c r="X30" s="56"/>
      <c r="Y30" s="282" t="str">
        <f>IF(X30="","",IF(AND(X30="N/A - Culvert", C30&lt;&gt;"Culvert"), "Not possible ▲",IF(AND(C30="Culvert",X30&lt;&gt;"N/A - Culvert"),"Not possible ▲",IF(VLOOKUP(X30,'G-7 WaterC'' Data'!$AD$4:$AE$14,2,FALSE)=0,"Enrcoachment Data Missing ⚠",VLOOKUP(X30,'G-7 WaterC'' Data'!$AD$4:$AE$14,2,FALSE)))))</f>
        <v/>
      </c>
      <c r="Z30" s="323" t="str">
        <f t="shared" si="4"/>
        <v/>
      </c>
      <c r="AA30" s="105"/>
      <c r="AB30" s="119"/>
      <c r="AC30" s="108"/>
      <c r="AH30" s="30" t="str">
        <f>IFERROR(INDEX('G-7 WaterC'' Data'!$AZ$3:$AZ$7,MATCH(C30,'G-7 WaterC'' Data'!$AY$3:$AY$7,0)),"")</f>
        <v/>
      </c>
      <c r="AK30" s="30" t="str">
        <f t="shared" si="5"/>
        <v>No</v>
      </c>
    </row>
    <row r="31" spans="2:37" ht="13.8" x14ac:dyDescent="0.25">
      <c r="B31" s="101">
        <v>20</v>
      </c>
      <c r="C31" s="950"/>
      <c r="D31" s="119"/>
      <c r="E31" s="281" t="str">
        <f>IF(C31="","",VLOOKUP(C31,'G-7 WaterC'' Data'!$B$2:$G$8,2,FALSE))</f>
        <v/>
      </c>
      <c r="F31" s="282" t="str">
        <f>IFERROR(VLOOKUP(E31,'G-7 WaterC'' Data'!$C$4:$D$8,2,FALSE),"")</f>
        <v/>
      </c>
      <c r="G31" s="105"/>
      <c r="H31" s="282" t="str">
        <f>IFERROR(INDEX('G-7 WaterC'' Data'!$H$4:$L$8,MATCH(C31,'G-7 WaterC'' Data'!$B$4:$B$8,0),MATCH(G31,'G-7 WaterC'' Data'!$H$3:$L$3,0)),"")</f>
        <v/>
      </c>
      <c r="I31" s="52"/>
      <c r="J31" s="289" t="str">
        <f>IF(I31="","",IF(VLOOKUP(I31,'G-7 WaterC'' Data'!$AK$4:$AM$6,2,FALSE)=0,"Spatial Data Missing ⚠",VLOOKUP(I31,'G-7 WaterC'' Data'!$AK$4:$AM$6,2,FALSE)))</f>
        <v/>
      </c>
      <c r="K31" s="282" t="str">
        <f>IF(I31="","",IF(VLOOKUP(I31,'G-7 WaterC'' Data'!$AK$4:$AM$6,3,FALSE)=0,"Spatial Data Missing ⚠",VLOOKUP(I31,'G-7 WaterC'' Data'!$AK$4:$AM$6,3,FALSE)))</f>
        <v/>
      </c>
      <c r="L31" s="281" t="str">
        <f>IFERROR(INDEX('G-7 WaterC'' Data'!$O$3:$O$7,MATCH(G31,'G-7 WaterC'' Data'!$N$3:$N$7,0)),"")</f>
        <v/>
      </c>
      <c r="M31" s="58"/>
      <c r="N31" s="137"/>
      <c r="O31" s="289" t="str">
        <f t="shared" si="0"/>
        <v/>
      </c>
      <c r="P31" s="302" t="str">
        <f t="shared" si="1"/>
        <v/>
      </c>
      <c r="Q31" s="340" t="str">
        <f>IFERROR(IF(P31="Check Data ⚠","Check Data ⚠",VLOOKUP(P31,'G-4 Temporal multipliers'!$A$4:$C$37,3,FALSE)),"")</f>
        <v/>
      </c>
      <c r="R31" s="281" t="str">
        <f>IF(C31="","",VLOOKUP(C31,'G-7 WaterC'' Data'!$B$4:$G$8,4,FALSE))</f>
        <v/>
      </c>
      <c r="S31" s="289" t="str">
        <f t="shared" si="2"/>
        <v/>
      </c>
      <c r="T31" s="320" t="str">
        <f t="shared" si="3"/>
        <v/>
      </c>
      <c r="U31" s="282" t="str">
        <f>IF(C31="","",VLOOKUP(T31,'G-3 Multipliers'!$P$2:$Q$6,2,FALSE))</f>
        <v/>
      </c>
      <c r="V31" s="106"/>
      <c r="W31" s="282" t="str">
        <f>IF(V31="","",IF(AND(V31="N/A - Culvert",C31&lt;&gt;"Culvert"),"Not possible ▲",IF(AND(C31="Culvert",V31&lt;&gt;"N/A - Culvert"),"Not possible ▲",IF(VLOOKUP(V31,'G-7 WaterC'' Data'!$AA$4:$AB$7,2,FALSE)=0,"Spatial Data Missing ⚠",VLOOKUP(V31,'G-7 WaterC'' Data'!$AA$4:$AB$7,2,FALSE)))))</f>
        <v/>
      </c>
      <c r="X31" s="56"/>
      <c r="Y31" s="282" t="str">
        <f>IF(X31="","",IF(AND(X31="N/A - Culvert", C31&lt;&gt;"Culvert"), "Not possible ▲",IF(AND(C31="Culvert",X31&lt;&gt;"N/A - Culvert"),"Not possible ▲",IF(VLOOKUP(X31,'G-7 WaterC'' Data'!$AD$4:$AE$14,2,FALSE)=0,"Enrcoachment Data Missing ⚠",VLOOKUP(X31,'G-7 WaterC'' Data'!$AD$4:$AE$14,2,FALSE)))))</f>
        <v/>
      </c>
      <c r="Z31" s="323" t="str">
        <f t="shared" si="4"/>
        <v/>
      </c>
      <c r="AA31" s="105"/>
      <c r="AB31" s="119"/>
      <c r="AC31" s="108"/>
      <c r="AH31" s="30" t="str">
        <f>IFERROR(INDEX('G-7 WaterC'' Data'!$AZ$3:$AZ$7,MATCH(C31,'G-7 WaterC'' Data'!$AY$3:$AY$7,0)),"")</f>
        <v/>
      </c>
      <c r="AK31" s="30" t="str">
        <f t="shared" si="5"/>
        <v>No</v>
      </c>
    </row>
    <row r="32" spans="2:37" ht="13.8" x14ac:dyDescent="0.25">
      <c r="B32" s="101">
        <v>21</v>
      </c>
      <c r="C32" s="950"/>
      <c r="D32" s="119"/>
      <c r="E32" s="281" t="str">
        <f>IF(C32="","",VLOOKUP(C32,'G-7 WaterC'' Data'!$B$2:$G$8,2,FALSE))</f>
        <v/>
      </c>
      <c r="F32" s="282" t="str">
        <f>IFERROR(VLOOKUP(E32,'G-7 WaterC'' Data'!$C$4:$D$8,2,FALSE),"")</f>
        <v/>
      </c>
      <c r="G32" s="105"/>
      <c r="H32" s="282" t="str">
        <f>IFERROR(INDEX('G-7 WaterC'' Data'!$H$4:$L$8,MATCH(C32,'G-7 WaterC'' Data'!$B$4:$B$8,0),MATCH(G32,'G-7 WaterC'' Data'!$H$3:$L$3,0)),"")</f>
        <v/>
      </c>
      <c r="I32" s="52"/>
      <c r="J32" s="289" t="str">
        <f>IF(I32="","",IF(VLOOKUP(I32,'G-7 WaterC'' Data'!$AK$4:$AM$6,2,FALSE)=0,"Spatial Data Missing ⚠",VLOOKUP(I32,'G-7 WaterC'' Data'!$AK$4:$AM$6,2,FALSE)))</f>
        <v/>
      </c>
      <c r="K32" s="282" t="str">
        <f>IF(I32="","",IF(VLOOKUP(I32,'G-7 WaterC'' Data'!$AK$4:$AM$6,3,FALSE)=0,"Spatial Data Missing ⚠",VLOOKUP(I32,'G-7 WaterC'' Data'!$AK$4:$AM$6,3,FALSE)))</f>
        <v/>
      </c>
      <c r="L32" s="281" t="str">
        <f>IFERROR(INDEX('G-7 WaterC'' Data'!$O$3:$O$7,MATCH(G32,'G-7 WaterC'' Data'!$N$3:$N$7,0)),"")</f>
        <v/>
      </c>
      <c r="M32" s="58"/>
      <c r="N32" s="137"/>
      <c r="O32" s="289" t="str">
        <f t="shared" si="0"/>
        <v/>
      </c>
      <c r="P32" s="302" t="str">
        <f t="shared" si="1"/>
        <v/>
      </c>
      <c r="Q32" s="340" t="str">
        <f>IFERROR(IF(P32="Check Data ⚠","Check Data ⚠",VLOOKUP(P32,'G-4 Temporal multipliers'!$A$4:$C$37,3,FALSE)),"")</f>
        <v/>
      </c>
      <c r="R32" s="281" t="str">
        <f>IF(C32="","",VLOOKUP(C32,'G-7 WaterC'' Data'!$B$4:$G$8,4,FALSE))</f>
        <v/>
      </c>
      <c r="S32" s="289" t="str">
        <f t="shared" si="2"/>
        <v/>
      </c>
      <c r="T32" s="320" t="str">
        <f t="shared" si="3"/>
        <v/>
      </c>
      <c r="U32" s="282" t="str">
        <f>IF(C32="","",VLOOKUP(T32,'G-3 Multipliers'!$P$2:$Q$6,2,FALSE))</f>
        <v/>
      </c>
      <c r="V32" s="106"/>
      <c r="W32" s="282" t="str">
        <f>IF(V32="","",IF(AND(V32="N/A - Culvert",C32&lt;&gt;"Culvert"),"Not possible ▲",IF(AND(C32="Culvert",V32&lt;&gt;"N/A - Culvert"),"Not possible ▲",IF(VLOOKUP(V32,'G-7 WaterC'' Data'!$AA$4:$AB$7,2,FALSE)=0,"Spatial Data Missing ⚠",VLOOKUP(V32,'G-7 WaterC'' Data'!$AA$4:$AB$7,2,FALSE)))))</f>
        <v/>
      </c>
      <c r="X32" s="56"/>
      <c r="Y32" s="282" t="str">
        <f>IF(X32="","",IF(AND(X32="N/A - Culvert", C32&lt;&gt;"Culvert"), "Not possible ▲",IF(AND(C32="Culvert",X32&lt;&gt;"N/A - Culvert"),"Not possible ▲",IF(VLOOKUP(X32,'G-7 WaterC'' Data'!$AD$4:$AE$14,2,FALSE)=0,"Enrcoachment Data Missing ⚠",VLOOKUP(X32,'G-7 WaterC'' Data'!$AD$4:$AE$14,2,FALSE)))))</f>
        <v/>
      </c>
      <c r="Z32" s="323" t="str">
        <f t="shared" si="4"/>
        <v/>
      </c>
      <c r="AA32" s="105"/>
      <c r="AB32" s="119"/>
      <c r="AC32" s="108"/>
      <c r="AH32" s="30" t="str">
        <f>IFERROR(INDEX('G-7 WaterC'' Data'!$AZ$3:$AZ$7,MATCH(C32,'G-7 WaterC'' Data'!$AY$3:$AY$7,0)),"")</f>
        <v/>
      </c>
      <c r="AK32" s="30" t="str">
        <f t="shared" si="5"/>
        <v>No</v>
      </c>
    </row>
    <row r="33" spans="2:37" ht="13.8" x14ac:dyDescent="0.25">
      <c r="B33" s="101">
        <v>22</v>
      </c>
      <c r="C33" s="950"/>
      <c r="D33" s="119"/>
      <c r="E33" s="281" t="str">
        <f>IF(C33="","",VLOOKUP(C33,'G-7 WaterC'' Data'!$B$2:$G$8,2,FALSE))</f>
        <v/>
      </c>
      <c r="F33" s="282" t="str">
        <f>IFERROR(VLOOKUP(E33,'G-7 WaterC'' Data'!$C$4:$D$8,2,FALSE),"")</f>
        <v/>
      </c>
      <c r="G33" s="105"/>
      <c r="H33" s="282" t="str">
        <f>IFERROR(INDEX('G-7 WaterC'' Data'!$H$4:$L$8,MATCH(C33,'G-7 WaterC'' Data'!$B$4:$B$8,0),MATCH(G33,'G-7 WaterC'' Data'!$H$3:$L$3,0)),"")</f>
        <v/>
      </c>
      <c r="I33" s="52"/>
      <c r="J33" s="289" t="str">
        <f>IF(I33="","",IF(VLOOKUP(I33,'G-7 WaterC'' Data'!$AK$4:$AM$6,2,FALSE)=0,"Spatial Data Missing ⚠",VLOOKUP(I33,'G-7 WaterC'' Data'!$AK$4:$AM$6,2,FALSE)))</f>
        <v/>
      </c>
      <c r="K33" s="282" t="str">
        <f>IF(I33="","",IF(VLOOKUP(I33,'G-7 WaterC'' Data'!$AK$4:$AM$6,3,FALSE)=0,"Spatial Data Missing ⚠",VLOOKUP(I33,'G-7 WaterC'' Data'!$AK$4:$AM$6,3,FALSE)))</f>
        <v/>
      </c>
      <c r="L33" s="281" t="str">
        <f>IFERROR(INDEX('G-7 WaterC'' Data'!$O$3:$O$7,MATCH(G33,'G-7 WaterC'' Data'!$N$3:$N$7,0)),"")</f>
        <v/>
      </c>
      <c r="M33" s="58"/>
      <c r="N33" s="137"/>
      <c r="O33" s="289" t="str">
        <f t="shared" si="0"/>
        <v/>
      </c>
      <c r="P33" s="302" t="str">
        <f t="shared" si="1"/>
        <v/>
      </c>
      <c r="Q33" s="340" t="str">
        <f>IFERROR(IF(P33="Check Data ⚠","Check Data ⚠",VLOOKUP(P33,'G-4 Temporal multipliers'!$A$4:$C$37,3,FALSE)),"")</f>
        <v/>
      </c>
      <c r="R33" s="281" t="str">
        <f>IF(C33="","",VLOOKUP(C33,'G-7 WaterC'' Data'!$B$4:$G$8,4,FALSE))</f>
        <v/>
      </c>
      <c r="S33" s="289" t="str">
        <f t="shared" si="2"/>
        <v/>
      </c>
      <c r="T33" s="320" t="str">
        <f t="shared" si="3"/>
        <v/>
      </c>
      <c r="U33" s="282" t="str">
        <f>IF(C33="","",VLOOKUP(T33,'G-3 Multipliers'!$P$2:$Q$6,2,FALSE))</f>
        <v/>
      </c>
      <c r="V33" s="106"/>
      <c r="W33" s="282" t="str">
        <f>IF(V33="","",IF(AND(V33="N/A - Culvert",C33&lt;&gt;"Culvert"),"Not possible ▲",IF(AND(C33="Culvert",V33&lt;&gt;"N/A - Culvert"),"Not possible ▲",IF(VLOOKUP(V33,'G-7 WaterC'' Data'!$AA$4:$AB$7,2,FALSE)=0,"Spatial Data Missing ⚠",VLOOKUP(V33,'G-7 WaterC'' Data'!$AA$4:$AB$7,2,FALSE)))))</f>
        <v/>
      </c>
      <c r="X33" s="56"/>
      <c r="Y33" s="282" t="str">
        <f>IF(X33="","",IF(AND(X33="N/A - Culvert", C33&lt;&gt;"Culvert"), "Not possible ▲",IF(AND(C33="Culvert",X33&lt;&gt;"N/A - Culvert"),"Not possible ▲",IF(VLOOKUP(X33,'G-7 WaterC'' Data'!$AD$4:$AE$14,2,FALSE)=0,"Enrcoachment Data Missing ⚠",VLOOKUP(X33,'G-7 WaterC'' Data'!$AD$4:$AE$14,2,FALSE)))))</f>
        <v/>
      </c>
      <c r="Z33" s="323" t="str">
        <f t="shared" si="4"/>
        <v/>
      </c>
      <c r="AA33" s="105"/>
      <c r="AB33" s="119"/>
      <c r="AC33" s="108"/>
      <c r="AH33" s="30" t="str">
        <f>IFERROR(INDEX('G-7 WaterC'' Data'!$AZ$3:$AZ$7,MATCH(C33,'G-7 WaterC'' Data'!$AY$3:$AY$7,0)),"")</f>
        <v/>
      </c>
      <c r="AK33" s="30" t="str">
        <f t="shared" si="5"/>
        <v>No</v>
      </c>
    </row>
    <row r="34" spans="2:37" ht="13.8" x14ac:dyDescent="0.25">
      <c r="B34" s="101">
        <v>23</v>
      </c>
      <c r="C34" s="950"/>
      <c r="D34" s="119"/>
      <c r="E34" s="281" t="str">
        <f>IF(C34="","",VLOOKUP(C34,'G-7 WaterC'' Data'!$B$2:$G$8,2,FALSE))</f>
        <v/>
      </c>
      <c r="F34" s="282" t="str">
        <f>IFERROR(VLOOKUP(E34,'G-7 WaterC'' Data'!$C$4:$D$8,2,FALSE),"")</f>
        <v/>
      </c>
      <c r="G34" s="105"/>
      <c r="H34" s="282" t="str">
        <f>IFERROR(INDEX('G-7 WaterC'' Data'!$H$4:$L$8,MATCH(C34,'G-7 WaterC'' Data'!$B$4:$B$8,0),MATCH(G34,'G-7 WaterC'' Data'!$H$3:$L$3,0)),"")</f>
        <v/>
      </c>
      <c r="I34" s="52"/>
      <c r="J34" s="289" t="str">
        <f>IF(I34="","",IF(VLOOKUP(I34,'G-7 WaterC'' Data'!$AK$4:$AM$6,2,FALSE)=0,"Spatial Data Missing ⚠",VLOOKUP(I34,'G-7 WaterC'' Data'!$AK$4:$AM$6,2,FALSE)))</f>
        <v/>
      </c>
      <c r="K34" s="282" t="str">
        <f>IF(I34="","",IF(VLOOKUP(I34,'G-7 WaterC'' Data'!$AK$4:$AM$6,3,FALSE)=0,"Spatial Data Missing ⚠",VLOOKUP(I34,'G-7 WaterC'' Data'!$AK$4:$AM$6,3,FALSE)))</f>
        <v/>
      </c>
      <c r="L34" s="281" t="str">
        <f>IFERROR(INDEX('G-7 WaterC'' Data'!$O$3:$O$7,MATCH(G34,'G-7 WaterC'' Data'!$N$3:$N$7,0)),"")</f>
        <v/>
      </c>
      <c r="M34" s="58"/>
      <c r="N34" s="137"/>
      <c r="O34" s="289" t="str">
        <f t="shared" si="0"/>
        <v/>
      </c>
      <c r="P34" s="302" t="str">
        <f t="shared" si="1"/>
        <v/>
      </c>
      <c r="Q34" s="340" t="str">
        <f>IFERROR(IF(P34="Check Data ⚠","Check Data ⚠",VLOOKUP(P34,'G-4 Temporal multipliers'!$A$4:$C$37,3,FALSE)),"")</f>
        <v/>
      </c>
      <c r="R34" s="281" t="str">
        <f>IF(C34="","",VLOOKUP(C34,'G-7 WaterC'' Data'!$B$4:$G$8,4,FALSE))</f>
        <v/>
      </c>
      <c r="S34" s="289" t="str">
        <f t="shared" si="2"/>
        <v/>
      </c>
      <c r="T34" s="320" t="str">
        <f t="shared" si="3"/>
        <v/>
      </c>
      <c r="U34" s="282" t="str">
        <f>IF(C34="","",VLOOKUP(T34,'G-3 Multipliers'!$P$2:$Q$6,2,FALSE))</f>
        <v/>
      </c>
      <c r="V34" s="106"/>
      <c r="W34" s="282" t="str">
        <f>IF(V34="","",IF(AND(V34="N/A - Culvert",C34&lt;&gt;"Culvert"),"Not possible ▲",IF(AND(C34="Culvert",V34&lt;&gt;"N/A - Culvert"),"Not possible ▲",IF(VLOOKUP(V34,'G-7 WaterC'' Data'!$AA$4:$AB$7,2,FALSE)=0,"Spatial Data Missing ⚠",VLOOKUP(V34,'G-7 WaterC'' Data'!$AA$4:$AB$7,2,FALSE)))))</f>
        <v/>
      </c>
      <c r="X34" s="56"/>
      <c r="Y34" s="282" t="str">
        <f>IF(X34="","",IF(AND(X34="N/A - Culvert", C34&lt;&gt;"Culvert"), "Not possible ▲",IF(AND(C34="Culvert",X34&lt;&gt;"N/A - Culvert"),"Not possible ▲",IF(VLOOKUP(X34,'G-7 WaterC'' Data'!$AD$4:$AE$14,2,FALSE)=0,"Enrcoachment Data Missing ⚠",VLOOKUP(X34,'G-7 WaterC'' Data'!$AD$4:$AE$14,2,FALSE)))))</f>
        <v/>
      </c>
      <c r="Z34" s="323" t="str">
        <f t="shared" si="4"/>
        <v/>
      </c>
      <c r="AA34" s="105"/>
      <c r="AB34" s="119"/>
      <c r="AC34" s="108"/>
      <c r="AH34" s="30" t="str">
        <f>IFERROR(INDEX('G-7 WaterC'' Data'!$AZ$3:$AZ$7,MATCH(C34,'G-7 WaterC'' Data'!$AY$3:$AY$7,0)),"")</f>
        <v/>
      </c>
      <c r="AK34" s="30" t="str">
        <f t="shared" si="5"/>
        <v>No</v>
      </c>
    </row>
    <row r="35" spans="2:37" ht="13.8" x14ac:dyDescent="0.25">
      <c r="B35" s="101">
        <v>24</v>
      </c>
      <c r="C35" s="950"/>
      <c r="D35" s="119"/>
      <c r="E35" s="281" t="str">
        <f>IF(C35="","",VLOOKUP(C35,'G-7 WaterC'' Data'!$B$2:$G$8,2,FALSE))</f>
        <v/>
      </c>
      <c r="F35" s="282" t="str">
        <f>IFERROR(VLOOKUP(E35,'G-7 WaterC'' Data'!$C$4:$D$8,2,FALSE),"")</f>
        <v/>
      </c>
      <c r="G35" s="105"/>
      <c r="H35" s="282" t="str">
        <f>IFERROR(INDEX('G-7 WaterC'' Data'!$H$4:$L$8,MATCH(C35,'G-7 WaterC'' Data'!$B$4:$B$8,0),MATCH(G35,'G-7 WaterC'' Data'!$H$3:$L$3,0)),"")</f>
        <v/>
      </c>
      <c r="I35" s="52"/>
      <c r="J35" s="289" t="str">
        <f>IF(I35="","",IF(VLOOKUP(I35,'G-7 WaterC'' Data'!$AK$4:$AM$6,2,FALSE)=0,"Spatial Data Missing ⚠",VLOOKUP(I35,'G-7 WaterC'' Data'!$AK$4:$AM$6,2,FALSE)))</f>
        <v/>
      </c>
      <c r="K35" s="282" t="str">
        <f>IF(I35="","",IF(VLOOKUP(I35,'G-7 WaterC'' Data'!$AK$4:$AM$6,3,FALSE)=0,"Spatial Data Missing ⚠",VLOOKUP(I35,'G-7 WaterC'' Data'!$AK$4:$AM$6,3,FALSE)))</f>
        <v/>
      </c>
      <c r="L35" s="281" t="str">
        <f>IFERROR(INDEX('G-7 WaterC'' Data'!$O$3:$O$7,MATCH(G35,'G-7 WaterC'' Data'!$N$3:$N$7,0)),"")</f>
        <v/>
      </c>
      <c r="M35" s="58"/>
      <c r="N35" s="137"/>
      <c r="O35" s="289" t="str">
        <f t="shared" si="0"/>
        <v/>
      </c>
      <c r="P35" s="302" t="str">
        <f t="shared" si="1"/>
        <v/>
      </c>
      <c r="Q35" s="340" t="str">
        <f>IFERROR(IF(P35="Check Data ⚠","Check Data ⚠",VLOOKUP(P35,'G-4 Temporal multipliers'!$A$4:$C$37,3,FALSE)),"")</f>
        <v/>
      </c>
      <c r="R35" s="281" t="str">
        <f>IF(C35="","",VLOOKUP(C35,'G-7 WaterC'' Data'!$B$4:$G$8,4,FALSE))</f>
        <v/>
      </c>
      <c r="S35" s="289" t="str">
        <f t="shared" si="2"/>
        <v/>
      </c>
      <c r="T35" s="320" t="str">
        <f t="shared" si="3"/>
        <v/>
      </c>
      <c r="U35" s="282" t="str">
        <f>IF(C35="","",VLOOKUP(T35,'G-3 Multipliers'!$P$2:$Q$6,2,FALSE))</f>
        <v/>
      </c>
      <c r="V35" s="106"/>
      <c r="W35" s="282" t="str">
        <f>IF(V35="","",IF(AND(V35="N/A - Culvert",C35&lt;&gt;"Culvert"),"Not possible ▲",IF(AND(C35="Culvert",V35&lt;&gt;"N/A - Culvert"),"Not possible ▲",IF(VLOOKUP(V35,'G-7 WaterC'' Data'!$AA$4:$AB$7,2,FALSE)=0,"Spatial Data Missing ⚠",VLOOKUP(V35,'G-7 WaterC'' Data'!$AA$4:$AB$7,2,FALSE)))))</f>
        <v/>
      </c>
      <c r="X35" s="56"/>
      <c r="Y35" s="282" t="str">
        <f>IF(X35="","",IF(AND(X35="N/A - Culvert", C35&lt;&gt;"Culvert"), "Not possible ▲",IF(AND(C35="Culvert",X35&lt;&gt;"N/A - Culvert"),"Not possible ▲",IF(VLOOKUP(X35,'G-7 WaterC'' Data'!$AD$4:$AE$14,2,FALSE)=0,"Enrcoachment Data Missing ⚠",VLOOKUP(X35,'G-7 WaterC'' Data'!$AD$4:$AE$14,2,FALSE)))))</f>
        <v/>
      </c>
      <c r="Z35" s="323" t="str">
        <f t="shared" si="4"/>
        <v/>
      </c>
      <c r="AA35" s="105"/>
      <c r="AB35" s="119"/>
      <c r="AC35" s="108"/>
      <c r="AH35" s="30" t="str">
        <f>IFERROR(INDEX('G-7 WaterC'' Data'!$AZ$3:$AZ$7,MATCH(C35,'G-7 WaterC'' Data'!$AY$3:$AY$7,0)),"")</f>
        <v/>
      </c>
      <c r="AK35" s="30" t="str">
        <f t="shared" si="5"/>
        <v>No</v>
      </c>
    </row>
    <row r="36" spans="2:37" ht="13.8" x14ac:dyDescent="0.25">
      <c r="B36" s="101">
        <v>25</v>
      </c>
      <c r="C36" s="950"/>
      <c r="D36" s="119"/>
      <c r="E36" s="281" t="str">
        <f>IF(C36="","",VLOOKUP(C36,'G-7 WaterC'' Data'!$B$2:$G$8,2,FALSE))</f>
        <v/>
      </c>
      <c r="F36" s="282" t="str">
        <f>IFERROR(VLOOKUP(E36,'G-7 WaterC'' Data'!$C$4:$D$8,2,FALSE),"")</f>
        <v/>
      </c>
      <c r="G36" s="105"/>
      <c r="H36" s="282" t="str">
        <f>IFERROR(INDEX('G-7 WaterC'' Data'!$H$4:$L$8,MATCH(C36,'G-7 WaterC'' Data'!$B$4:$B$8,0),MATCH(G36,'G-7 WaterC'' Data'!$H$3:$L$3,0)),"")</f>
        <v/>
      </c>
      <c r="I36" s="52"/>
      <c r="J36" s="289" t="str">
        <f>IF(I36="","",IF(VLOOKUP(I36,'G-7 WaterC'' Data'!$AK$4:$AM$6,2,FALSE)=0,"Spatial Data Missing ⚠",VLOOKUP(I36,'G-7 WaterC'' Data'!$AK$4:$AM$6,2,FALSE)))</f>
        <v/>
      </c>
      <c r="K36" s="282" t="str">
        <f>IF(I36="","",IF(VLOOKUP(I36,'G-7 WaterC'' Data'!$AK$4:$AM$6,3,FALSE)=0,"Spatial Data Missing ⚠",VLOOKUP(I36,'G-7 WaterC'' Data'!$AK$4:$AM$6,3,FALSE)))</f>
        <v/>
      </c>
      <c r="L36" s="281" t="str">
        <f>IFERROR(INDEX('G-7 WaterC'' Data'!$O$3:$O$7,MATCH(G36,'G-7 WaterC'' Data'!$N$3:$N$7,0)),"")</f>
        <v/>
      </c>
      <c r="M36" s="58"/>
      <c r="N36" s="137"/>
      <c r="O36" s="289" t="str">
        <f t="shared" si="0"/>
        <v/>
      </c>
      <c r="P36" s="302" t="str">
        <f t="shared" si="1"/>
        <v/>
      </c>
      <c r="Q36" s="340" t="str">
        <f>IFERROR(IF(P36="Check Data ⚠","Check Data ⚠",VLOOKUP(P36,'G-4 Temporal multipliers'!$A$4:$C$37,3,FALSE)),"")</f>
        <v/>
      </c>
      <c r="R36" s="281" t="str">
        <f>IF(C36="","",VLOOKUP(C36,'G-7 WaterC'' Data'!$B$4:$G$8,4,FALSE))</f>
        <v/>
      </c>
      <c r="S36" s="289" t="str">
        <f t="shared" si="2"/>
        <v/>
      </c>
      <c r="T36" s="320" t="str">
        <f t="shared" si="3"/>
        <v/>
      </c>
      <c r="U36" s="282" t="str">
        <f>IF(C36="","",VLOOKUP(T36,'G-3 Multipliers'!$P$2:$Q$6,2,FALSE))</f>
        <v/>
      </c>
      <c r="V36" s="106"/>
      <c r="W36" s="282" t="str">
        <f>IF(V36="","",IF(AND(V36="N/A - Culvert",C36&lt;&gt;"Culvert"),"Not possible ▲",IF(AND(C36="Culvert",V36&lt;&gt;"N/A - Culvert"),"Not possible ▲",IF(VLOOKUP(V36,'G-7 WaterC'' Data'!$AA$4:$AB$7,2,FALSE)=0,"Spatial Data Missing ⚠",VLOOKUP(V36,'G-7 WaterC'' Data'!$AA$4:$AB$7,2,FALSE)))))</f>
        <v/>
      </c>
      <c r="X36" s="56"/>
      <c r="Y36" s="282" t="str">
        <f>IF(X36="","",IF(AND(X36="N/A - Culvert", C36&lt;&gt;"Culvert"), "Not possible ▲",IF(AND(C36="Culvert",X36&lt;&gt;"N/A - Culvert"),"Not possible ▲",IF(VLOOKUP(X36,'G-7 WaterC'' Data'!$AD$4:$AE$14,2,FALSE)=0,"Enrcoachment Data Missing ⚠",VLOOKUP(X36,'G-7 WaterC'' Data'!$AD$4:$AE$14,2,FALSE)))))</f>
        <v/>
      </c>
      <c r="Z36" s="323" t="str">
        <f t="shared" si="4"/>
        <v/>
      </c>
      <c r="AA36" s="105"/>
      <c r="AB36" s="119"/>
      <c r="AC36" s="108"/>
      <c r="AH36" s="30" t="str">
        <f>IFERROR(INDEX('G-7 WaterC'' Data'!$AZ$3:$AZ$7,MATCH(C36,'G-7 WaterC'' Data'!$AY$3:$AY$7,0)),"")</f>
        <v/>
      </c>
      <c r="AK36" s="30" t="str">
        <f t="shared" si="5"/>
        <v>No</v>
      </c>
    </row>
    <row r="37" spans="2:37" ht="13.8" x14ac:dyDescent="0.25">
      <c r="B37" s="101">
        <v>26</v>
      </c>
      <c r="C37" s="950"/>
      <c r="D37" s="119"/>
      <c r="E37" s="281" t="str">
        <f>IF(C37="","",VLOOKUP(C37,'G-7 WaterC'' Data'!$B$2:$G$8,2,FALSE))</f>
        <v/>
      </c>
      <c r="F37" s="282" t="str">
        <f>IFERROR(VLOOKUP(E37,'G-7 WaterC'' Data'!$C$4:$D$8,2,FALSE),"")</f>
        <v/>
      </c>
      <c r="G37" s="105"/>
      <c r="H37" s="282" t="str">
        <f>IFERROR(INDEX('G-7 WaterC'' Data'!$H$4:$L$8,MATCH(C37,'G-7 WaterC'' Data'!$B$4:$B$8,0),MATCH(G37,'G-7 WaterC'' Data'!$H$3:$L$3,0)),"")</f>
        <v/>
      </c>
      <c r="I37" s="52"/>
      <c r="J37" s="289" t="str">
        <f>IF(I37="","",IF(VLOOKUP(I37,'G-7 WaterC'' Data'!$AK$4:$AM$6,2,FALSE)=0,"Spatial Data Missing ⚠",VLOOKUP(I37,'G-7 WaterC'' Data'!$AK$4:$AM$6,2,FALSE)))</f>
        <v/>
      </c>
      <c r="K37" s="282" t="str">
        <f>IF(I37="","",IF(VLOOKUP(I37,'G-7 WaterC'' Data'!$AK$4:$AM$6,3,FALSE)=0,"Spatial Data Missing ⚠",VLOOKUP(I37,'G-7 WaterC'' Data'!$AK$4:$AM$6,3,FALSE)))</f>
        <v/>
      </c>
      <c r="L37" s="281" t="str">
        <f>IFERROR(INDEX('G-7 WaterC'' Data'!$O$3:$O$7,MATCH(G37,'G-7 WaterC'' Data'!$N$3:$N$7,0)),"")</f>
        <v/>
      </c>
      <c r="M37" s="58"/>
      <c r="N37" s="137"/>
      <c r="O37" s="289" t="str">
        <f t="shared" si="0"/>
        <v/>
      </c>
      <c r="P37" s="302" t="str">
        <f t="shared" si="1"/>
        <v/>
      </c>
      <c r="Q37" s="340" t="str">
        <f>IFERROR(IF(P37="Check Data ⚠","Check Data ⚠",VLOOKUP(P37,'G-4 Temporal multipliers'!$A$4:$C$37,3,FALSE)),"")</f>
        <v/>
      </c>
      <c r="R37" s="281" t="str">
        <f>IF(C37="","",VLOOKUP(C37,'G-7 WaterC'' Data'!$B$4:$G$8,4,FALSE))</f>
        <v/>
      </c>
      <c r="S37" s="289" t="str">
        <f t="shared" si="2"/>
        <v/>
      </c>
      <c r="T37" s="320" t="str">
        <f t="shared" si="3"/>
        <v/>
      </c>
      <c r="U37" s="282" t="str">
        <f>IF(C37="","",VLOOKUP(T37,'G-3 Multipliers'!$P$2:$Q$6,2,FALSE))</f>
        <v/>
      </c>
      <c r="V37" s="106"/>
      <c r="W37" s="282" t="str">
        <f>IF(V37="","",IF(AND(V37="N/A - Culvert",C37&lt;&gt;"Culvert"),"Not possible ▲",IF(AND(C37="Culvert",V37&lt;&gt;"N/A - Culvert"),"Not possible ▲",IF(VLOOKUP(V37,'G-7 WaterC'' Data'!$AA$4:$AB$7,2,FALSE)=0,"Spatial Data Missing ⚠",VLOOKUP(V37,'G-7 WaterC'' Data'!$AA$4:$AB$7,2,FALSE)))))</f>
        <v/>
      </c>
      <c r="X37" s="56"/>
      <c r="Y37" s="282" t="str">
        <f>IF(X37="","",IF(AND(X37="N/A - Culvert", C37&lt;&gt;"Culvert"), "Not possible ▲",IF(AND(C37="Culvert",X37&lt;&gt;"N/A - Culvert"),"Not possible ▲",IF(VLOOKUP(X37,'G-7 WaterC'' Data'!$AD$4:$AE$14,2,FALSE)=0,"Enrcoachment Data Missing ⚠",VLOOKUP(X37,'G-7 WaterC'' Data'!$AD$4:$AE$14,2,FALSE)))))</f>
        <v/>
      </c>
      <c r="Z37" s="323" t="str">
        <f t="shared" si="4"/>
        <v/>
      </c>
      <c r="AA37" s="105"/>
      <c r="AB37" s="119"/>
      <c r="AC37" s="108"/>
      <c r="AH37" s="30" t="str">
        <f>IFERROR(INDEX('G-7 WaterC'' Data'!$AZ$3:$AZ$7,MATCH(C37,'G-7 WaterC'' Data'!$AY$3:$AY$7,0)),"")</f>
        <v/>
      </c>
      <c r="AK37" s="30" t="str">
        <f t="shared" si="5"/>
        <v>No</v>
      </c>
    </row>
    <row r="38" spans="2:37" ht="13.8" x14ac:dyDescent="0.25">
      <c r="B38" s="101">
        <v>27</v>
      </c>
      <c r="C38" s="950"/>
      <c r="D38" s="119"/>
      <c r="E38" s="281" t="str">
        <f>IF(C38="","",VLOOKUP(C38,'G-7 WaterC'' Data'!$B$2:$G$8,2,FALSE))</f>
        <v/>
      </c>
      <c r="F38" s="282" t="str">
        <f>IFERROR(VLOOKUP(E38,'G-7 WaterC'' Data'!$C$4:$D$8,2,FALSE),"")</f>
        <v/>
      </c>
      <c r="G38" s="105"/>
      <c r="H38" s="282" t="str">
        <f>IFERROR(INDEX('G-7 WaterC'' Data'!$H$4:$L$8,MATCH(C38,'G-7 WaterC'' Data'!$B$4:$B$8,0),MATCH(G38,'G-7 WaterC'' Data'!$H$3:$L$3,0)),"")</f>
        <v/>
      </c>
      <c r="I38" s="52"/>
      <c r="J38" s="289" t="str">
        <f>IF(I38="","",IF(VLOOKUP(I38,'G-7 WaterC'' Data'!$AK$4:$AM$6,2,FALSE)=0,"Spatial Data Missing ⚠",VLOOKUP(I38,'G-7 WaterC'' Data'!$AK$4:$AM$6,2,FALSE)))</f>
        <v/>
      </c>
      <c r="K38" s="282" t="str">
        <f>IF(I38="","",IF(VLOOKUP(I38,'G-7 WaterC'' Data'!$AK$4:$AM$6,3,FALSE)=0,"Spatial Data Missing ⚠",VLOOKUP(I38,'G-7 WaterC'' Data'!$AK$4:$AM$6,3,FALSE)))</f>
        <v/>
      </c>
      <c r="L38" s="281" t="str">
        <f>IFERROR(INDEX('G-7 WaterC'' Data'!$O$3:$O$7,MATCH(G38,'G-7 WaterC'' Data'!$N$3:$N$7,0)),"")</f>
        <v/>
      </c>
      <c r="M38" s="58"/>
      <c r="N38" s="137"/>
      <c r="O38" s="289" t="str">
        <f t="shared" si="0"/>
        <v/>
      </c>
      <c r="P38" s="302" t="str">
        <f t="shared" si="1"/>
        <v/>
      </c>
      <c r="Q38" s="340" t="str">
        <f>IFERROR(IF(P38="Check Data ⚠","Check Data ⚠",VLOOKUP(P38,'G-4 Temporal multipliers'!$A$4:$C$37,3,FALSE)),"")</f>
        <v/>
      </c>
      <c r="R38" s="281" t="str">
        <f>IF(C38="","",VLOOKUP(C38,'G-7 WaterC'' Data'!$B$4:$G$8,4,FALSE))</f>
        <v/>
      </c>
      <c r="S38" s="289" t="str">
        <f t="shared" si="2"/>
        <v/>
      </c>
      <c r="T38" s="320" t="str">
        <f t="shared" si="3"/>
        <v/>
      </c>
      <c r="U38" s="282" t="str">
        <f>IF(C38="","",VLOOKUP(T38,'G-3 Multipliers'!$P$2:$Q$6,2,FALSE))</f>
        <v/>
      </c>
      <c r="V38" s="106"/>
      <c r="W38" s="282" t="str">
        <f>IF(V38="","",IF(AND(V38="N/A - Culvert",C38&lt;&gt;"Culvert"),"Not possible ▲",IF(AND(C38="Culvert",V38&lt;&gt;"N/A - Culvert"),"Not possible ▲",IF(VLOOKUP(V38,'G-7 WaterC'' Data'!$AA$4:$AB$7,2,FALSE)=0,"Spatial Data Missing ⚠",VLOOKUP(V38,'G-7 WaterC'' Data'!$AA$4:$AB$7,2,FALSE)))))</f>
        <v/>
      </c>
      <c r="X38" s="56"/>
      <c r="Y38" s="282" t="str">
        <f>IF(X38="","",IF(AND(X38="N/A - Culvert", C38&lt;&gt;"Culvert"), "Not possible ▲",IF(AND(C38="Culvert",X38&lt;&gt;"N/A - Culvert"),"Not possible ▲",IF(VLOOKUP(X38,'G-7 WaterC'' Data'!$AD$4:$AE$14,2,FALSE)=0,"Enrcoachment Data Missing ⚠",VLOOKUP(X38,'G-7 WaterC'' Data'!$AD$4:$AE$14,2,FALSE)))))</f>
        <v/>
      </c>
      <c r="Z38" s="323" t="str">
        <f t="shared" si="4"/>
        <v/>
      </c>
      <c r="AA38" s="105"/>
      <c r="AB38" s="119"/>
      <c r="AC38" s="108"/>
      <c r="AH38" s="30" t="str">
        <f>IFERROR(INDEX('G-7 WaterC'' Data'!$AZ$3:$AZ$7,MATCH(C38,'G-7 WaterC'' Data'!$AY$3:$AY$7,0)),"")</f>
        <v/>
      </c>
      <c r="AK38" s="30" t="str">
        <f t="shared" si="5"/>
        <v>No</v>
      </c>
    </row>
    <row r="39" spans="2:37" ht="13.8" x14ac:dyDescent="0.25">
      <c r="B39" s="101">
        <v>28</v>
      </c>
      <c r="C39" s="950"/>
      <c r="D39" s="119"/>
      <c r="E39" s="281" t="str">
        <f>IF(C39="","",VLOOKUP(C39,'G-7 WaterC'' Data'!$B$2:$G$8,2,FALSE))</f>
        <v/>
      </c>
      <c r="F39" s="282" t="str">
        <f>IFERROR(VLOOKUP(E39,'G-7 WaterC'' Data'!$C$4:$D$8,2,FALSE),"")</f>
        <v/>
      </c>
      <c r="G39" s="105"/>
      <c r="H39" s="282" t="str">
        <f>IFERROR(INDEX('G-7 WaterC'' Data'!$H$4:$L$8,MATCH(C39,'G-7 WaterC'' Data'!$B$4:$B$8,0),MATCH(G39,'G-7 WaterC'' Data'!$H$3:$L$3,0)),"")</f>
        <v/>
      </c>
      <c r="I39" s="52"/>
      <c r="J39" s="289" t="str">
        <f>IF(I39="","",IF(VLOOKUP(I39,'G-7 WaterC'' Data'!$AK$4:$AM$6,2,FALSE)=0,"Spatial Data Missing ⚠",VLOOKUP(I39,'G-7 WaterC'' Data'!$AK$4:$AM$6,2,FALSE)))</f>
        <v/>
      </c>
      <c r="K39" s="282" t="str">
        <f>IF(I39="","",IF(VLOOKUP(I39,'G-7 WaterC'' Data'!$AK$4:$AM$6,3,FALSE)=0,"Spatial Data Missing ⚠",VLOOKUP(I39,'G-7 WaterC'' Data'!$AK$4:$AM$6,3,FALSE)))</f>
        <v/>
      </c>
      <c r="L39" s="281" t="str">
        <f>IFERROR(INDEX('G-7 WaterC'' Data'!$O$3:$O$7,MATCH(G39,'G-7 WaterC'' Data'!$N$3:$N$7,0)),"")</f>
        <v/>
      </c>
      <c r="M39" s="58"/>
      <c r="N39" s="137"/>
      <c r="O39" s="289" t="str">
        <f t="shared" si="0"/>
        <v/>
      </c>
      <c r="P39" s="302" t="str">
        <f t="shared" si="1"/>
        <v/>
      </c>
      <c r="Q39" s="340" t="str">
        <f>IFERROR(IF(P39="Check Data ⚠","Check Data ⚠",VLOOKUP(P39,'G-4 Temporal multipliers'!$A$4:$C$37,3,FALSE)),"")</f>
        <v/>
      </c>
      <c r="R39" s="281" t="str">
        <f>IF(C39="","",VLOOKUP(C39,'G-7 WaterC'' Data'!$B$4:$G$8,4,FALSE))</f>
        <v/>
      </c>
      <c r="S39" s="289" t="str">
        <f t="shared" si="2"/>
        <v/>
      </c>
      <c r="T39" s="320" t="str">
        <f t="shared" si="3"/>
        <v/>
      </c>
      <c r="U39" s="282" t="str">
        <f>IF(C39="","",VLOOKUP(T39,'G-3 Multipliers'!$P$2:$Q$6,2,FALSE))</f>
        <v/>
      </c>
      <c r="V39" s="106"/>
      <c r="W39" s="282" t="str">
        <f>IF(V39="","",IF(AND(V39="N/A - Culvert",C39&lt;&gt;"Culvert"),"Not possible ▲",IF(AND(C39="Culvert",V39&lt;&gt;"N/A - Culvert"),"Not possible ▲",IF(VLOOKUP(V39,'G-7 WaterC'' Data'!$AA$4:$AB$7,2,FALSE)=0,"Spatial Data Missing ⚠",VLOOKUP(V39,'G-7 WaterC'' Data'!$AA$4:$AB$7,2,FALSE)))))</f>
        <v/>
      </c>
      <c r="X39" s="56"/>
      <c r="Y39" s="282" t="str">
        <f>IF(X39="","",IF(AND(X39="N/A - Culvert", C39&lt;&gt;"Culvert"), "Not possible ▲",IF(AND(C39="Culvert",X39&lt;&gt;"N/A - Culvert"),"Not possible ▲",IF(VLOOKUP(X39,'G-7 WaterC'' Data'!$AD$4:$AE$14,2,FALSE)=0,"Enrcoachment Data Missing ⚠",VLOOKUP(X39,'G-7 WaterC'' Data'!$AD$4:$AE$14,2,FALSE)))))</f>
        <v/>
      </c>
      <c r="Z39" s="323" t="str">
        <f t="shared" si="4"/>
        <v/>
      </c>
      <c r="AA39" s="105"/>
      <c r="AB39" s="119"/>
      <c r="AC39" s="108"/>
      <c r="AH39" s="30" t="str">
        <f>IFERROR(INDEX('G-7 WaterC'' Data'!$AZ$3:$AZ$7,MATCH(C39,'G-7 WaterC'' Data'!$AY$3:$AY$7,0)),"")</f>
        <v/>
      </c>
      <c r="AK39" s="30" t="str">
        <f t="shared" si="5"/>
        <v>No</v>
      </c>
    </row>
    <row r="40" spans="2:37" ht="13.8" x14ac:dyDescent="0.25">
      <c r="B40" s="101">
        <v>29</v>
      </c>
      <c r="C40" s="950"/>
      <c r="D40" s="119"/>
      <c r="E40" s="281" t="str">
        <f>IF(C40="","",VLOOKUP(C40,'G-7 WaterC'' Data'!$B$2:$G$8,2,FALSE))</f>
        <v/>
      </c>
      <c r="F40" s="282" t="str">
        <f>IFERROR(VLOOKUP(E40,'G-7 WaterC'' Data'!$C$4:$D$8,2,FALSE),"")</f>
        <v/>
      </c>
      <c r="G40" s="105"/>
      <c r="H40" s="282" t="str">
        <f>IFERROR(INDEX('G-7 WaterC'' Data'!$H$4:$L$8,MATCH(C40,'G-7 WaterC'' Data'!$B$4:$B$8,0),MATCH(G40,'G-7 WaterC'' Data'!$H$3:$L$3,0)),"")</f>
        <v/>
      </c>
      <c r="I40" s="52"/>
      <c r="J40" s="289" t="str">
        <f>IF(I40="","",IF(VLOOKUP(I40,'G-7 WaterC'' Data'!$AK$4:$AM$6,2,FALSE)=0,"Spatial Data Missing ⚠",VLOOKUP(I40,'G-7 WaterC'' Data'!$AK$4:$AM$6,2,FALSE)))</f>
        <v/>
      </c>
      <c r="K40" s="282" t="str">
        <f>IF(I40="","",IF(VLOOKUP(I40,'G-7 WaterC'' Data'!$AK$4:$AM$6,3,FALSE)=0,"Spatial Data Missing ⚠",VLOOKUP(I40,'G-7 WaterC'' Data'!$AK$4:$AM$6,3,FALSE)))</f>
        <v/>
      </c>
      <c r="L40" s="281" t="str">
        <f>IFERROR(INDEX('G-7 WaterC'' Data'!$O$3:$O$7,MATCH(G40,'G-7 WaterC'' Data'!$N$3:$N$7,0)),"")</f>
        <v/>
      </c>
      <c r="M40" s="58"/>
      <c r="N40" s="137"/>
      <c r="O40" s="289" t="str">
        <f t="shared" si="0"/>
        <v/>
      </c>
      <c r="P40" s="302" t="str">
        <f t="shared" si="1"/>
        <v/>
      </c>
      <c r="Q40" s="340" t="str">
        <f>IFERROR(IF(P40="Check Data ⚠","Check Data ⚠",VLOOKUP(P40,'G-4 Temporal multipliers'!$A$4:$C$37,3,FALSE)),"")</f>
        <v/>
      </c>
      <c r="R40" s="281" t="str">
        <f>IF(C40="","",VLOOKUP(C40,'G-7 WaterC'' Data'!$B$4:$G$8,4,FALSE))</f>
        <v/>
      </c>
      <c r="S40" s="289" t="str">
        <f t="shared" si="2"/>
        <v/>
      </c>
      <c r="T40" s="320" t="str">
        <f t="shared" si="3"/>
        <v/>
      </c>
      <c r="U40" s="282" t="str">
        <f>IF(C40="","",VLOOKUP(T40,'G-3 Multipliers'!$P$2:$Q$6,2,FALSE))</f>
        <v/>
      </c>
      <c r="V40" s="106"/>
      <c r="W40" s="282" t="str">
        <f>IF(V40="","",IF(AND(V40="N/A - Culvert",C40&lt;&gt;"Culvert"),"Not possible ▲",IF(AND(C40="Culvert",V40&lt;&gt;"N/A - Culvert"),"Not possible ▲",IF(VLOOKUP(V40,'G-7 WaterC'' Data'!$AA$4:$AB$7,2,FALSE)=0,"Spatial Data Missing ⚠",VLOOKUP(V40,'G-7 WaterC'' Data'!$AA$4:$AB$7,2,FALSE)))))</f>
        <v/>
      </c>
      <c r="X40" s="56"/>
      <c r="Y40" s="282" t="str">
        <f>IF(X40="","",IF(AND(X40="N/A - Culvert", C40&lt;&gt;"Culvert"), "Not possible ▲",IF(AND(C40="Culvert",X40&lt;&gt;"N/A - Culvert"),"Not possible ▲",IF(VLOOKUP(X40,'G-7 WaterC'' Data'!$AD$4:$AE$14,2,FALSE)=0,"Enrcoachment Data Missing ⚠",VLOOKUP(X40,'G-7 WaterC'' Data'!$AD$4:$AE$14,2,FALSE)))))</f>
        <v/>
      </c>
      <c r="Z40" s="323" t="str">
        <f t="shared" si="4"/>
        <v/>
      </c>
      <c r="AA40" s="105"/>
      <c r="AB40" s="119"/>
      <c r="AC40" s="108"/>
      <c r="AH40" s="30" t="str">
        <f>IFERROR(INDEX('G-7 WaterC'' Data'!$AZ$3:$AZ$7,MATCH(C40,'G-7 WaterC'' Data'!$AY$3:$AY$7,0)),"")</f>
        <v/>
      </c>
      <c r="AK40" s="30" t="str">
        <f t="shared" si="5"/>
        <v>No</v>
      </c>
    </row>
    <row r="41" spans="2:37" ht="13.8" x14ac:dyDescent="0.25">
      <c r="B41" s="101">
        <v>30</v>
      </c>
      <c r="C41" s="950"/>
      <c r="D41" s="119"/>
      <c r="E41" s="281" t="str">
        <f>IF(C41="","",VLOOKUP(C41,'G-7 WaterC'' Data'!$B$2:$G$8,2,FALSE))</f>
        <v/>
      </c>
      <c r="F41" s="282" t="str">
        <f>IFERROR(VLOOKUP(E41,'G-7 WaterC'' Data'!$C$4:$D$8,2,FALSE),"")</f>
        <v/>
      </c>
      <c r="G41" s="105"/>
      <c r="H41" s="282" t="str">
        <f>IFERROR(INDEX('G-7 WaterC'' Data'!$H$4:$L$8,MATCH(C41,'G-7 WaterC'' Data'!$B$4:$B$8,0),MATCH(G41,'G-7 WaterC'' Data'!$H$3:$L$3,0)),"")</f>
        <v/>
      </c>
      <c r="I41" s="52"/>
      <c r="J41" s="289" t="str">
        <f>IF(I41="","",IF(VLOOKUP(I41,'G-7 WaterC'' Data'!$AK$4:$AM$6,2,FALSE)=0,"Spatial Data Missing ⚠",VLOOKUP(I41,'G-7 WaterC'' Data'!$AK$4:$AM$6,2,FALSE)))</f>
        <v/>
      </c>
      <c r="K41" s="282" t="str">
        <f>IF(I41="","",IF(VLOOKUP(I41,'G-7 WaterC'' Data'!$AK$4:$AM$6,3,FALSE)=0,"Spatial Data Missing ⚠",VLOOKUP(I41,'G-7 WaterC'' Data'!$AK$4:$AM$6,3,FALSE)))</f>
        <v/>
      </c>
      <c r="L41" s="281" t="str">
        <f>IFERROR(INDEX('G-7 WaterC'' Data'!$O$3:$O$7,MATCH(G41,'G-7 WaterC'' Data'!$N$3:$N$7,0)),"")</f>
        <v/>
      </c>
      <c r="M41" s="58"/>
      <c r="N41" s="137"/>
      <c r="O41" s="289" t="str">
        <f t="shared" si="0"/>
        <v/>
      </c>
      <c r="P41" s="302" t="str">
        <f t="shared" si="1"/>
        <v/>
      </c>
      <c r="Q41" s="340" t="str">
        <f>IFERROR(IF(P41="Check Data ⚠","Check Data ⚠",VLOOKUP(P41,'G-4 Temporal multipliers'!$A$4:$C$37,3,FALSE)),"")</f>
        <v/>
      </c>
      <c r="R41" s="281" t="str">
        <f>IF(C41="","",VLOOKUP(C41,'G-7 WaterC'' Data'!$B$4:$G$8,4,FALSE))</f>
        <v/>
      </c>
      <c r="S41" s="289" t="str">
        <f t="shared" si="2"/>
        <v/>
      </c>
      <c r="T41" s="320" t="str">
        <f t="shared" si="3"/>
        <v/>
      </c>
      <c r="U41" s="282" t="str">
        <f>IF(C41="","",VLOOKUP(T41,'G-3 Multipliers'!$P$2:$Q$6,2,FALSE))</f>
        <v/>
      </c>
      <c r="V41" s="106"/>
      <c r="W41" s="282" t="str">
        <f>IF(V41="","",IF(AND(V41="N/A - Culvert",C41&lt;&gt;"Culvert"),"Not possible ▲",IF(AND(C41="Culvert",V41&lt;&gt;"N/A - Culvert"),"Not possible ▲",IF(VLOOKUP(V41,'G-7 WaterC'' Data'!$AA$4:$AB$7,2,FALSE)=0,"Spatial Data Missing ⚠",VLOOKUP(V41,'G-7 WaterC'' Data'!$AA$4:$AB$7,2,FALSE)))))</f>
        <v/>
      </c>
      <c r="X41" s="56"/>
      <c r="Y41" s="282" t="str">
        <f>IF(X41="","",IF(AND(X41="N/A - Culvert", C41&lt;&gt;"Culvert"), "Not possible ▲",IF(AND(C41="Culvert",X41&lt;&gt;"N/A - Culvert"),"Not possible ▲",IF(VLOOKUP(X41,'G-7 WaterC'' Data'!$AD$4:$AE$14,2,FALSE)=0,"Enrcoachment Data Missing ⚠",VLOOKUP(X41,'G-7 WaterC'' Data'!$AD$4:$AE$14,2,FALSE)))))</f>
        <v/>
      </c>
      <c r="Z41" s="323" t="str">
        <f t="shared" si="4"/>
        <v/>
      </c>
      <c r="AA41" s="105"/>
      <c r="AB41" s="119"/>
      <c r="AC41" s="108"/>
      <c r="AH41" s="30" t="str">
        <f>IFERROR(INDEX('G-7 WaterC'' Data'!$AZ$3:$AZ$7,MATCH(C41,'G-7 WaterC'' Data'!$AY$3:$AY$7,0)),"")</f>
        <v/>
      </c>
      <c r="AK41" s="30" t="str">
        <f t="shared" si="5"/>
        <v>No</v>
      </c>
    </row>
    <row r="42" spans="2:37" ht="13.8" x14ac:dyDescent="0.25">
      <c r="B42" s="101">
        <v>31</v>
      </c>
      <c r="C42" s="950"/>
      <c r="D42" s="119"/>
      <c r="E42" s="281" t="str">
        <f>IF(C42="","",VLOOKUP(C42,'G-7 WaterC'' Data'!$B$2:$G$8,2,FALSE))</f>
        <v/>
      </c>
      <c r="F42" s="282" t="str">
        <f>IFERROR(VLOOKUP(E42,'G-7 WaterC'' Data'!$C$4:$D$8,2,FALSE),"")</f>
        <v/>
      </c>
      <c r="G42" s="105"/>
      <c r="H42" s="282" t="str">
        <f>IFERROR(INDEX('G-7 WaterC'' Data'!$H$4:$L$8,MATCH(C42,'G-7 WaterC'' Data'!$B$4:$B$8,0),MATCH(G42,'G-7 WaterC'' Data'!$H$3:$L$3,0)),"")</f>
        <v/>
      </c>
      <c r="I42" s="52"/>
      <c r="J42" s="289" t="str">
        <f>IF(I42="","",IF(VLOOKUP(I42,'G-7 WaterC'' Data'!$AK$4:$AM$6,2,FALSE)=0,"Spatial Data Missing ⚠",VLOOKUP(I42,'G-7 WaterC'' Data'!$AK$4:$AM$6,2,FALSE)))</f>
        <v/>
      </c>
      <c r="K42" s="282" t="str">
        <f>IF(I42="","",IF(VLOOKUP(I42,'G-7 WaterC'' Data'!$AK$4:$AM$6,3,FALSE)=0,"Spatial Data Missing ⚠",VLOOKUP(I42,'G-7 WaterC'' Data'!$AK$4:$AM$6,3,FALSE)))</f>
        <v/>
      </c>
      <c r="L42" s="281" t="str">
        <f>IFERROR(INDEX('G-7 WaterC'' Data'!$O$3:$O$7,MATCH(G42,'G-7 WaterC'' Data'!$N$3:$N$7,0)),"")</f>
        <v/>
      </c>
      <c r="M42" s="58"/>
      <c r="N42" s="137"/>
      <c r="O42" s="289" t="str">
        <f t="shared" si="0"/>
        <v/>
      </c>
      <c r="P42" s="302" t="str">
        <f t="shared" si="1"/>
        <v/>
      </c>
      <c r="Q42" s="340" t="str">
        <f>IFERROR(IF(P42="Check Data ⚠","Check Data ⚠",VLOOKUP(P42,'G-4 Temporal multipliers'!$A$4:$C$37,3,FALSE)),"")</f>
        <v/>
      </c>
      <c r="R42" s="281" t="str">
        <f>IF(C42="","",VLOOKUP(C42,'G-7 WaterC'' Data'!$B$4:$G$8,4,FALSE))</f>
        <v/>
      </c>
      <c r="S42" s="289" t="str">
        <f t="shared" si="2"/>
        <v/>
      </c>
      <c r="T42" s="320" t="str">
        <f t="shared" si="3"/>
        <v/>
      </c>
      <c r="U42" s="282" t="str">
        <f>IF(C42="","",VLOOKUP(T42,'G-3 Multipliers'!$P$2:$Q$6,2,FALSE))</f>
        <v/>
      </c>
      <c r="V42" s="106"/>
      <c r="W42" s="282" t="str">
        <f>IF(V42="","",IF(AND(V42="N/A - Culvert",C42&lt;&gt;"Culvert"),"Not possible ▲",IF(AND(C42="Culvert",V42&lt;&gt;"N/A - Culvert"),"Not possible ▲",IF(VLOOKUP(V42,'G-7 WaterC'' Data'!$AA$4:$AB$7,2,FALSE)=0,"Spatial Data Missing ⚠",VLOOKUP(V42,'G-7 WaterC'' Data'!$AA$4:$AB$7,2,FALSE)))))</f>
        <v/>
      </c>
      <c r="X42" s="56"/>
      <c r="Y42" s="282" t="str">
        <f>IF(X42="","",IF(AND(X42="N/A - Culvert", C42&lt;&gt;"Culvert"), "Not possible ▲",IF(AND(C42="Culvert",X42&lt;&gt;"N/A - Culvert"),"Not possible ▲",IF(VLOOKUP(X42,'G-7 WaterC'' Data'!$AD$4:$AE$14,2,FALSE)=0,"Enrcoachment Data Missing ⚠",VLOOKUP(X42,'G-7 WaterC'' Data'!$AD$4:$AE$14,2,FALSE)))))</f>
        <v/>
      </c>
      <c r="Z42" s="323" t="str">
        <f t="shared" si="4"/>
        <v/>
      </c>
      <c r="AA42" s="105"/>
      <c r="AB42" s="119"/>
      <c r="AC42" s="108"/>
      <c r="AH42" s="30" t="str">
        <f>IFERROR(INDEX('G-7 WaterC'' Data'!$AZ$3:$AZ$7,MATCH(C42,'G-7 WaterC'' Data'!$AY$3:$AY$7,0)),"")</f>
        <v/>
      </c>
      <c r="AK42" s="30" t="str">
        <f t="shared" si="5"/>
        <v>No</v>
      </c>
    </row>
    <row r="43" spans="2:37" ht="13.8" x14ac:dyDescent="0.25">
      <c r="B43" s="101">
        <v>32</v>
      </c>
      <c r="C43" s="950"/>
      <c r="D43" s="119"/>
      <c r="E43" s="281" t="str">
        <f>IF(C43="","",VLOOKUP(C43,'G-7 WaterC'' Data'!$B$2:$G$8,2,FALSE))</f>
        <v/>
      </c>
      <c r="F43" s="282" t="str">
        <f>IFERROR(VLOOKUP(E43,'G-7 WaterC'' Data'!$C$4:$D$8,2,FALSE),"")</f>
        <v/>
      </c>
      <c r="G43" s="105"/>
      <c r="H43" s="282" t="str">
        <f>IFERROR(INDEX('G-7 WaterC'' Data'!$H$4:$L$8,MATCH(C43,'G-7 WaterC'' Data'!$B$4:$B$8,0),MATCH(G43,'G-7 WaterC'' Data'!$H$3:$L$3,0)),"")</f>
        <v/>
      </c>
      <c r="I43" s="52"/>
      <c r="J43" s="289" t="str">
        <f>IF(I43="","",IF(VLOOKUP(I43,'G-7 WaterC'' Data'!$AK$4:$AM$6,2,FALSE)=0,"Spatial Data Missing ⚠",VLOOKUP(I43,'G-7 WaterC'' Data'!$AK$4:$AM$6,2,FALSE)))</f>
        <v/>
      </c>
      <c r="K43" s="282" t="str">
        <f>IF(I43="","",IF(VLOOKUP(I43,'G-7 WaterC'' Data'!$AK$4:$AM$6,3,FALSE)=0,"Spatial Data Missing ⚠",VLOOKUP(I43,'G-7 WaterC'' Data'!$AK$4:$AM$6,3,FALSE)))</f>
        <v/>
      </c>
      <c r="L43" s="281" t="str">
        <f>IFERROR(INDEX('G-7 WaterC'' Data'!$O$3:$O$7,MATCH(G43,'G-7 WaterC'' Data'!$N$3:$N$7,0)),"")</f>
        <v/>
      </c>
      <c r="M43" s="58"/>
      <c r="N43" s="137"/>
      <c r="O43" s="289" t="str">
        <f t="shared" si="0"/>
        <v/>
      </c>
      <c r="P43" s="302" t="str">
        <f t="shared" si="1"/>
        <v/>
      </c>
      <c r="Q43" s="340" t="str">
        <f>IFERROR(IF(P43="Check Data ⚠","Check Data ⚠",VLOOKUP(P43,'G-4 Temporal multipliers'!$A$4:$C$37,3,FALSE)),"")</f>
        <v/>
      </c>
      <c r="R43" s="281" t="str">
        <f>IF(C43="","",VLOOKUP(C43,'G-7 WaterC'' Data'!$B$4:$G$8,4,FALSE))</f>
        <v/>
      </c>
      <c r="S43" s="289" t="str">
        <f t="shared" si="2"/>
        <v/>
      </c>
      <c r="T43" s="320" t="str">
        <f t="shared" si="3"/>
        <v/>
      </c>
      <c r="U43" s="282" t="str">
        <f>IF(C43="","",VLOOKUP(T43,'G-3 Multipliers'!$P$2:$Q$6,2,FALSE))</f>
        <v/>
      </c>
      <c r="V43" s="106"/>
      <c r="W43" s="282" t="str">
        <f>IF(V43="","",IF(AND(V43="N/A - Culvert",C43&lt;&gt;"Culvert"),"Not possible ▲",IF(AND(C43="Culvert",V43&lt;&gt;"N/A - Culvert"),"Not possible ▲",IF(VLOOKUP(V43,'G-7 WaterC'' Data'!$AA$4:$AB$7,2,FALSE)=0,"Spatial Data Missing ⚠",VLOOKUP(V43,'G-7 WaterC'' Data'!$AA$4:$AB$7,2,FALSE)))))</f>
        <v/>
      </c>
      <c r="X43" s="56"/>
      <c r="Y43" s="282" t="str">
        <f>IF(X43="","",IF(AND(X43="N/A - Culvert", C43&lt;&gt;"Culvert"), "Not possible ▲",IF(AND(C43="Culvert",X43&lt;&gt;"N/A - Culvert"),"Not possible ▲",IF(VLOOKUP(X43,'G-7 WaterC'' Data'!$AD$4:$AE$14,2,FALSE)=0,"Enrcoachment Data Missing ⚠",VLOOKUP(X43,'G-7 WaterC'' Data'!$AD$4:$AE$14,2,FALSE)))))</f>
        <v/>
      </c>
      <c r="Z43" s="323" t="str">
        <f t="shared" si="4"/>
        <v/>
      </c>
      <c r="AA43" s="105"/>
      <c r="AB43" s="119"/>
      <c r="AC43" s="108"/>
      <c r="AH43" s="30" t="str">
        <f>IFERROR(INDEX('G-7 WaterC'' Data'!$AZ$3:$AZ$7,MATCH(C43,'G-7 WaterC'' Data'!$AY$3:$AY$7,0)),"")</f>
        <v/>
      </c>
      <c r="AK43" s="30" t="str">
        <f t="shared" si="5"/>
        <v>No</v>
      </c>
    </row>
    <row r="44" spans="2:37" ht="13.8" x14ac:dyDescent="0.25">
      <c r="B44" s="101">
        <v>33</v>
      </c>
      <c r="C44" s="950"/>
      <c r="D44" s="119"/>
      <c r="E44" s="281" t="str">
        <f>IF(C44="","",VLOOKUP(C44,'G-7 WaterC'' Data'!$B$2:$G$8,2,FALSE))</f>
        <v/>
      </c>
      <c r="F44" s="282" t="str">
        <f>IFERROR(VLOOKUP(E44,'G-7 WaterC'' Data'!$C$4:$D$8,2,FALSE),"")</f>
        <v/>
      </c>
      <c r="G44" s="105"/>
      <c r="H44" s="282" t="str">
        <f>IFERROR(INDEX('G-7 WaterC'' Data'!$H$4:$L$8,MATCH(C44,'G-7 WaterC'' Data'!$B$4:$B$8,0),MATCH(G44,'G-7 WaterC'' Data'!$H$3:$L$3,0)),"")</f>
        <v/>
      </c>
      <c r="I44" s="52"/>
      <c r="J44" s="289" t="str">
        <f>IF(I44="","",IF(VLOOKUP(I44,'G-7 WaterC'' Data'!$AK$4:$AM$6,2,FALSE)=0,"Spatial Data Missing ⚠",VLOOKUP(I44,'G-7 WaterC'' Data'!$AK$4:$AM$6,2,FALSE)))</f>
        <v/>
      </c>
      <c r="K44" s="282" t="str">
        <f>IF(I44="","",IF(VLOOKUP(I44,'G-7 WaterC'' Data'!$AK$4:$AM$6,3,FALSE)=0,"Spatial Data Missing ⚠",VLOOKUP(I44,'G-7 WaterC'' Data'!$AK$4:$AM$6,3,FALSE)))</f>
        <v/>
      </c>
      <c r="L44" s="281" t="str">
        <f>IFERROR(INDEX('G-7 WaterC'' Data'!$O$3:$O$7,MATCH(G44,'G-7 WaterC'' Data'!$N$3:$N$7,0)),"")</f>
        <v/>
      </c>
      <c r="M44" s="58"/>
      <c r="N44" s="137"/>
      <c r="O44" s="289" t="str">
        <f t="shared" si="0"/>
        <v/>
      </c>
      <c r="P44" s="302" t="str">
        <f t="shared" si="1"/>
        <v/>
      </c>
      <c r="Q44" s="340" t="str">
        <f>IFERROR(IF(P44="Check Data ⚠","Check Data ⚠",VLOOKUP(P44,'G-4 Temporal multipliers'!$A$4:$C$37,3,FALSE)),"")</f>
        <v/>
      </c>
      <c r="R44" s="281" t="str">
        <f>IF(C44="","",VLOOKUP(C44,'G-7 WaterC'' Data'!$B$4:$G$8,4,FALSE))</f>
        <v/>
      </c>
      <c r="S44" s="289" t="str">
        <f t="shared" si="2"/>
        <v/>
      </c>
      <c r="T44" s="320" t="str">
        <f t="shared" si="3"/>
        <v/>
      </c>
      <c r="U44" s="282" t="str">
        <f>IF(C44="","",VLOOKUP(T44,'G-3 Multipliers'!$P$2:$Q$6,2,FALSE))</f>
        <v/>
      </c>
      <c r="V44" s="106"/>
      <c r="W44" s="282" t="str">
        <f>IF(V44="","",IF(AND(V44="N/A - Culvert",C44&lt;&gt;"Culvert"),"Not possible ▲",IF(AND(C44="Culvert",V44&lt;&gt;"N/A - Culvert"),"Not possible ▲",IF(VLOOKUP(V44,'G-7 WaterC'' Data'!$AA$4:$AB$7,2,FALSE)=0,"Spatial Data Missing ⚠",VLOOKUP(V44,'G-7 WaterC'' Data'!$AA$4:$AB$7,2,FALSE)))))</f>
        <v/>
      </c>
      <c r="X44" s="56"/>
      <c r="Y44" s="282" t="str">
        <f>IF(X44="","",IF(AND(X44="N/A - Culvert", C44&lt;&gt;"Culvert"), "Not possible ▲",IF(AND(C44="Culvert",X44&lt;&gt;"N/A - Culvert"),"Not possible ▲",IF(VLOOKUP(X44,'G-7 WaterC'' Data'!$AD$4:$AE$14,2,FALSE)=0,"Enrcoachment Data Missing ⚠",VLOOKUP(X44,'G-7 WaterC'' Data'!$AD$4:$AE$14,2,FALSE)))))</f>
        <v/>
      </c>
      <c r="Z44" s="323" t="str">
        <f t="shared" si="4"/>
        <v/>
      </c>
      <c r="AA44" s="105"/>
      <c r="AB44" s="119"/>
      <c r="AC44" s="108"/>
      <c r="AH44" s="30" t="str">
        <f>IFERROR(INDEX('G-7 WaterC'' Data'!$AZ$3:$AZ$7,MATCH(C44,'G-7 WaterC'' Data'!$AY$3:$AY$7,0)),"")</f>
        <v/>
      </c>
      <c r="AK44" s="30" t="str">
        <f t="shared" si="5"/>
        <v>No</v>
      </c>
    </row>
    <row r="45" spans="2:37" ht="13.8" x14ac:dyDescent="0.25">
      <c r="B45" s="101">
        <v>34</v>
      </c>
      <c r="C45" s="950"/>
      <c r="D45" s="119"/>
      <c r="E45" s="281" t="str">
        <f>IF(C45="","",VLOOKUP(C45,'G-7 WaterC'' Data'!$B$2:$G$8,2,FALSE))</f>
        <v/>
      </c>
      <c r="F45" s="282" t="str">
        <f>IFERROR(VLOOKUP(E45,'G-7 WaterC'' Data'!$C$4:$D$8,2,FALSE),"")</f>
        <v/>
      </c>
      <c r="G45" s="105"/>
      <c r="H45" s="282" t="str">
        <f>IFERROR(INDEX('G-7 WaterC'' Data'!$H$4:$L$8,MATCH(C45,'G-7 WaterC'' Data'!$B$4:$B$8,0),MATCH(G45,'G-7 WaterC'' Data'!$H$3:$L$3,0)),"")</f>
        <v/>
      </c>
      <c r="I45" s="52"/>
      <c r="J45" s="289" t="str">
        <f>IF(I45="","",IF(VLOOKUP(I45,'G-7 WaterC'' Data'!$AK$4:$AM$6,2,FALSE)=0,"Spatial Data Missing ⚠",VLOOKUP(I45,'G-7 WaterC'' Data'!$AK$4:$AM$6,2,FALSE)))</f>
        <v/>
      </c>
      <c r="K45" s="282" t="str">
        <f>IF(I45="","",IF(VLOOKUP(I45,'G-7 WaterC'' Data'!$AK$4:$AM$6,3,FALSE)=0,"Spatial Data Missing ⚠",VLOOKUP(I45,'G-7 WaterC'' Data'!$AK$4:$AM$6,3,FALSE)))</f>
        <v/>
      </c>
      <c r="L45" s="281" t="str">
        <f>IFERROR(INDEX('G-7 WaterC'' Data'!$O$3:$O$7,MATCH(G45,'G-7 WaterC'' Data'!$N$3:$N$7,0)),"")</f>
        <v/>
      </c>
      <c r="M45" s="58"/>
      <c r="N45" s="137"/>
      <c r="O45" s="289" t="str">
        <f t="shared" si="0"/>
        <v/>
      </c>
      <c r="P45" s="302" t="str">
        <f t="shared" si="1"/>
        <v/>
      </c>
      <c r="Q45" s="340" t="str">
        <f>IFERROR(IF(P45="Check Data ⚠","Check Data ⚠",VLOOKUP(P45,'G-4 Temporal multipliers'!$A$4:$C$37,3,FALSE)),"")</f>
        <v/>
      </c>
      <c r="R45" s="281" t="str">
        <f>IF(C45="","",VLOOKUP(C45,'G-7 WaterC'' Data'!$B$4:$G$8,4,FALSE))</f>
        <v/>
      </c>
      <c r="S45" s="289" t="str">
        <f t="shared" si="2"/>
        <v/>
      </c>
      <c r="T45" s="320" t="str">
        <f t="shared" si="3"/>
        <v/>
      </c>
      <c r="U45" s="282" t="str">
        <f>IF(C45="","",VLOOKUP(T45,'G-3 Multipliers'!$P$2:$Q$6,2,FALSE))</f>
        <v/>
      </c>
      <c r="V45" s="106"/>
      <c r="W45" s="282" t="str">
        <f>IF(V45="","",IF(AND(V45="N/A - Culvert",C45&lt;&gt;"Culvert"),"Not possible ▲",IF(AND(C45="Culvert",V45&lt;&gt;"N/A - Culvert"),"Not possible ▲",IF(VLOOKUP(V45,'G-7 WaterC'' Data'!$AA$4:$AB$7,2,FALSE)=0,"Spatial Data Missing ⚠",VLOOKUP(V45,'G-7 WaterC'' Data'!$AA$4:$AB$7,2,FALSE)))))</f>
        <v/>
      </c>
      <c r="X45" s="56"/>
      <c r="Y45" s="282" t="str">
        <f>IF(X45="","",IF(AND(X45="N/A - Culvert", C45&lt;&gt;"Culvert"), "Not possible ▲",IF(AND(C45="Culvert",X45&lt;&gt;"N/A - Culvert"),"Not possible ▲",IF(VLOOKUP(X45,'G-7 WaterC'' Data'!$AD$4:$AE$14,2,FALSE)=0,"Enrcoachment Data Missing ⚠",VLOOKUP(X45,'G-7 WaterC'' Data'!$AD$4:$AE$14,2,FALSE)))))</f>
        <v/>
      </c>
      <c r="Z45" s="323" t="str">
        <f t="shared" si="4"/>
        <v/>
      </c>
      <c r="AA45" s="105"/>
      <c r="AB45" s="119"/>
      <c r="AC45" s="108"/>
      <c r="AH45" s="30" t="str">
        <f>IFERROR(INDEX('G-7 WaterC'' Data'!$AZ$3:$AZ$7,MATCH(C45,'G-7 WaterC'' Data'!$AY$3:$AY$7,0)),"")</f>
        <v/>
      </c>
      <c r="AK45" s="30" t="str">
        <f t="shared" si="5"/>
        <v>No</v>
      </c>
    </row>
    <row r="46" spans="2:37" ht="13.8" x14ac:dyDescent="0.25">
      <c r="B46" s="101">
        <v>35</v>
      </c>
      <c r="C46" s="950"/>
      <c r="D46" s="119"/>
      <c r="E46" s="281" t="str">
        <f>IF(C46="","",VLOOKUP(C46,'G-7 WaterC'' Data'!$B$2:$G$8,2,FALSE))</f>
        <v/>
      </c>
      <c r="F46" s="282" t="str">
        <f>IFERROR(VLOOKUP(E46,'G-7 WaterC'' Data'!$C$4:$D$8,2,FALSE),"")</f>
        <v/>
      </c>
      <c r="G46" s="105"/>
      <c r="H46" s="282" t="str">
        <f>IFERROR(INDEX('G-7 WaterC'' Data'!$H$4:$L$8,MATCH(C46,'G-7 WaterC'' Data'!$B$4:$B$8,0),MATCH(G46,'G-7 WaterC'' Data'!$H$3:$L$3,0)),"")</f>
        <v/>
      </c>
      <c r="I46" s="52"/>
      <c r="J46" s="289" t="str">
        <f>IF(I46="","",IF(VLOOKUP(I46,'G-7 WaterC'' Data'!$AK$4:$AM$6,2,FALSE)=0,"Spatial Data Missing ⚠",VLOOKUP(I46,'G-7 WaterC'' Data'!$AK$4:$AM$6,2,FALSE)))</f>
        <v/>
      </c>
      <c r="K46" s="282" t="str">
        <f>IF(I46="","",IF(VLOOKUP(I46,'G-7 WaterC'' Data'!$AK$4:$AM$6,3,FALSE)=0,"Spatial Data Missing ⚠",VLOOKUP(I46,'G-7 WaterC'' Data'!$AK$4:$AM$6,3,FALSE)))</f>
        <v/>
      </c>
      <c r="L46" s="281" t="str">
        <f>IFERROR(INDEX('G-7 WaterC'' Data'!$O$3:$O$7,MATCH(G46,'G-7 WaterC'' Data'!$N$3:$N$7,0)),"")</f>
        <v/>
      </c>
      <c r="M46" s="58"/>
      <c r="N46" s="137"/>
      <c r="O46" s="289" t="str">
        <f t="shared" si="0"/>
        <v/>
      </c>
      <c r="P46" s="302" t="str">
        <f t="shared" si="1"/>
        <v/>
      </c>
      <c r="Q46" s="340" t="str">
        <f>IFERROR(IF(P46="Check Data ⚠","Check Data ⚠",VLOOKUP(P46,'G-4 Temporal multipliers'!$A$4:$C$37,3,FALSE)),"")</f>
        <v/>
      </c>
      <c r="R46" s="281" t="str">
        <f>IF(C46="","",VLOOKUP(C46,'G-7 WaterC'' Data'!$B$4:$G$8,4,FALSE))</f>
        <v/>
      </c>
      <c r="S46" s="289" t="str">
        <f t="shared" si="2"/>
        <v/>
      </c>
      <c r="T46" s="320" t="str">
        <f t="shared" si="3"/>
        <v/>
      </c>
      <c r="U46" s="282" t="str">
        <f>IF(C46="","",VLOOKUP(T46,'G-3 Multipliers'!$P$2:$Q$6,2,FALSE))</f>
        <v/>
      </c>
      <c r="V46" s="106"/>
      <c r="W46" s="282" t="str">
        <f>IF(V46="","",IF(AND(V46="N/A - Culvert",C46&lt;&gt;"Culvert"),"Not possible ▲",IF(AND(C46="Culvert",V46&lt;&gt;"N/A - Culvert"),"Not possible ▲",IF(VLOOKUP(V46,'G-7 WaterC'' Data'!$AA$4:$AB$7,2,FALSE)=0,"Spatial Data Missing ⚠",VLOOKUP(V46,'G-7 WaterC'' Data'!$AA$4:$AB$7,2,FALSE)))))</f>
        <v/>
      </c>
      <c r="X46" s="56"/>
      <c r="Y46" s="282" t="str">
        <f>IF(X46="","",IF(AND(X46="N/A - Culvert", C46&lt;&gt;"Culvert"), "Not possible ▲",IF(AND(C46="Culvert",X46&lt;&gt;"N/A - Culvert"),"Not possible ▲",IF(VLOOKUP(X46,'G-7 WaterC'' Data'!$AD$4:$AE$14,2,FALSE)=0,"Enrcoachment Data Missing ⚠",VLOOKUP(X46,'G-7 WaterC'' Data'!$AD$4:$AE$14,2,FALSE)))))</f>
        <v/>
      </c>
      <c r="Z46" s="323" t="str">
        <f t="shared" si="4"/>
        <v/>
      </c>
      <c r="AA46" s="105"/>
      <c r="AB46" s="119"/>
      <c r="AC46" s="108"/>
      <c r="AH46" s="30" t="str">
        <f>IFERROR(INDEX('G-7 WaterC'' Data'!$AZ$3:$AZ$7,MATCH(C46,'G-7 WaterC'' Data'!$AY$3:$AY$7,0)),"")</f>
        <v/>
      </c>
      <c r="AK46" s="30" t="str">
        <f t="shared" si="5"/>
        <v>No</v>
      </c>
    </row>
    <row r="47" spans="2:37" ht="13.8" x14ac:dyDescent="0.25">
      <c r="B47" s="101">
        <v>36</v>
      </c>
      <c r="C47" s="950"/>
      <c r="D47" s="119"/>
      <c r="E47" s="281" t="str">
        <f>IF(C47="","",VLOOKUP(C47,'G-7 WaterC'' Data'!$B$2:$G$8,2,FALSE))</f>
        <v/>
      </c>
      <c r="F47" s="282" t="str">
        <f>IFERROR(VLOOKUP(E47,'G-7 WaterC'' Data'!$C$4:$D$8,2,FALSE),"")</f>
        <v/>
      </c>
      <c r="G47" s="105"/>
      <c r="H47" s="282" t="str">
        <f>IFERROR(INDEX('G-7 WaterC'' Data'!$H$4:$L$8,MATCH(C47,'G-7 WaterC'' Data'!$B$4:$B$8,0),MATCH(G47,'G-7 WaterC'' Data'!$H$3:$L$3,0)),"")</f>
        <v/>
      </c>
      <c r="I47" s="52"/>
      <c r="J47" s="289" t="str">
        <f>IF(I47="","",IF(VLOOKUP(I47,'G-7 WaterC'' Data'!$AK$4:$AM$6,2,FALSE)=0,"Spatial Data Missing ⚠",VLOOKUP(I47,'G-7 WaterC'' Data'!$AK$4:$AM$6,2,FALSE)))</f>
        <v/>
      </c>
      <c r="K47" s="282" t="str">
        <f>IF(I47="","",IF(VLOOKUP(I47,'G-7 WaterC'' Data'!$AK$4:$AM$6,3,FALSE)=0,"Spatial Data Missing ⚠",VLOOKUP(I47,'G-7 WaterC'' Data'!$AK$4:$AM$6,3,FALSE)))</f>
        <v/>
      </c>
      <c r="L47" s="281" t="str">
        <f>IFERROR(INDEX('G-7 WaterC'' Data'!$O$3:$O$7,MATCH(G47,'G-7 WaterC'' Data'!$N$3:$N$7,0)),"")</f>
        <v/>
      </c>
      <c r="M47" s="58"/>
      <c r="N47" s="137"/>
      <c r="O47" s="289" t="str">
        <f t="shared" si="0"/>
        <v/>
      </c>
      <c r="P47" s="302" t="str">
        <f t="shared" si="1"/>
        <v/>
      </c>
      <c r="Q47" s="340" t="str">
        <f>IFERROR(IF(P47="Check Data ⚠","Check Data ⚠",VLOOKUP(P47,'G-4 Temporal multipliers'!$A$4:$C$37,3,FALSE)),"")</f>
        <v/>
      </c>
      <c r="R47" s="281" t="str">
        <f>IF(C47="","",VLOOKUP(C47,'G-7 WaterC'' Data'!$B$4:$G$8,4,FALSE))</f>
        <v/>
      </c>
      <c r="S47" s="289" t="str">
        <f t="shared" si="2"/>
        <v/>
      </c>
      <c r="T47" s="320" t="str">
        <f t="shared" si="3"/>
        <v/>
      </c>
      <c r="U47" s="282" t="str">
        <f>IF(C47="","",VLOOKUP(T47,'G-3 Multipliers'!$P$2:$Q$6,2,FALSE))</f>
        <v/>
      </c>
      <c r="V47" s="106"/>
      <c r="W47" s="282" t="str">
        <f>IF(V47="","",IF(AND(V47="N/A - Culvert",C47&lt;&gt;"Culvert"),"Not possible ▲",IF(AND(C47="Culvert",V47&lt;&gt;"N/A - Culvert"),"Not possible ▲",IF(VLOOKUP(V47,'G-7 WaterC'' Data'!$AA$4:$AB$7,2,FALSE)=0,"Spatial Data Missing ⚠",VLOOKUP(V47,'G-7 WaterC'' Data'!$AA$4:$AB$7,2,FALSE)))))</f>
        <v/>
      </c>
      <c r="X47" s="56"/>
      <c r="Y47" s="282" t="str">
        <f>IF(X47="","",IF(AND(X47="N/A - Culvert", C47&lt;&gt;"Culvert"), "Not possible ▲",IF(AND(C47="Culvert",X47&lt;&gt;"N/A - Culvert"),"Not possible ▲",IF(VLOOKUP(X47,'G-7 WaterC'' Data'!$AD$4:$AE$14,2,FALSE)=0,"Enrcoachment Data Missing ⚠",VLOOKUP(X47,'G-7 WaterC'' Data'!$AD$4:$AE$14,2,FALSE)))))</f>
        <v/>
      </c>
      <c r="Z47" s="323" t="str">
        <f t="shared" si="4"/>
        <v/>
      </c>
      <c r="AA47" s="105"/>
      <c r="AB47" s="119"/>
      <c r="AC47" s="108"/>
      <c r="AH47" s="30" t="str">
        <f>IFERROR(INDEX('G-7 WaterC'' Data'!$AZ$3:$AZ$7,MATCH(C47,'G-7 WaterC'' Data'!$AY$3:$AY$7,0)),"")</f>
        <v/>
      </c>
      <c r="AK47" s="30" t="str">
        <f t="shared" si="5"/>
        <v>No</v>
      </c>
    </row>
    <row r="48" spans="2:37" ht="13.8" x14ac:dyDescent="0.25">
      <c r="B48" s="101">
        <v>37</v>
      </c>
      <c r="C48" s="950"/>
      <c r="D48" s="119"/>
      <c r="E48" s="281" t="str">
        <f>IF(C48="","",VLOOKUP(C48,'G-7 WaterC'' Data'!$B$2:$G$8,2,FALSE))</f>
        <v/>
      </c>
      <c r="F48" s="282" t="str">
        <f>IFERROR(VLOOKUP(E48,'G-7 WaterC'' Data'!$C$4:$D$8,2,FALSE),"")</f>
        <v/>
      </c>
      <c r="G48" s="105"/>
      <c r="H48" s="282" t="str">
        <f>IFERROR(INDEX('G-7 WaterC'' Data'!$H$4:$L$8,MATCH(C48,'G-7 WaterC'' Data'!$B$4:$B$8,0),MATCH(G48,'G-7 WaterC'' Data'!$H$3:$L$3,0)),"")</f>
        <v/>
      </c>
      <c r="I48" s="52"/>
      <c r="J48" s="289" t="str">
        <f>IF(I48="","",IF(VLOOKUP(I48,'G-7 WaterC'' Data'!$AK$4:$AM$6,2,FALSE)=0,"Spatial Data Missing ⚠",VLOOKUP(I48,'G-7 WaterC'' Data'!$AK$4:$AM$6,2,FALSE)))</f>
        <v/>
      </c>
      <c r="K48" s="282" t="str">
        <f>IF(I48="","",IF(VLOOKUP(I48,'G-7 WaterC'' Data'!$AK$4:$AM$6,3,FALSE)=0,"Spatial Data Missing ⚠",VLOOKUP(I48,'G-7 WaterC'' Data'!$AK$4:$AM$6,3,FALSE)))</f>
        <v/>
      </c>
      <c r="L48" s="281" t="str">
        <f>IFERROR(INDEX('G-7 WaterC'' Data'!$O$3:$O$7,MATCH(G48,'G-7 WaterC'' Data'!$N$3:$N$7,0)),"")</f>
        <v/>
      </c>
      <c r="M48" s="58"/>
      <c r="N48" s="137"/>
      <c r="O48" s="289" t="str">
        <f t="shared" si="0"/>
        <v/>
      </c>
      <c r="P48" s="302" t="str">
        <f t="shared" si="1"/>
        <v/>
      </c>
      <c r="Q48" s="340" t="str">
        <f>IFERROR(IF(P48="Check Data ⚠","Check Data ⚠",VLOOKUP(P48,'G-4 Temporal multipliers'!$A$4:$C$37,3,FALSE)),"")</f>
        <v/>
      </c>
      <c r="R48" s="281" t="str">
        <f>IF(C48="","",VLOOKUP(C48,'G-7 WaterC'' Data'!$B$4:$G$8,4,FALSE))</f>
        <v/>
      </c>
      <c r="S48" s="289" t="str">
        <f t="shared" si="2"/>
        <v/>
      </c>
      <c r="T48" s="320" t="str">
        <f t="shared" si="3"/>
        <v/>
      </c>
      <c r="U48" s="282" t="str">
        <f>IF(C48="","",VLOOKUP(T48,'G-3 Multipliers'!$P$2:$Q$6,2,FALSE))</f>
        <v/>
      </c>
      <c r="V48" s="106"/>
      <c r="W48" s="282" t="str">
        <f>IF(V48="","",IF(AND(V48="N/A - Culvert",C48&lt;&gt;"Culvert"),"Not possible ▲",IF(AND(C48="Culvert",V48&lt;&gt;"N/A - Culvert"),"Not possible ▲",IF(VLOOKUP(V48,'G-7 WaterC'' Data'!$AA$4:$AB$7,2,FALSE)=0,"Spatial Data Missing ⚠",VLOOKUP(V48,'G-7 WaterC'' Data'!$AA$4:$AB$7,2,FALSE)))))</f>
        <v/>
      </c>
      <c r="X48" s="56"/>
      <c r="Y48" s="282" t="str">
        <f>IF(X48="","",IF(AND(X48="N/A - Culvert", C48&lt;&gt;"Culvert"), "Not possible ▲",IF(AND(C48="Culvert",X48&lt;&gt;"N/A - Culvert"),"Not possible ▲",IF(VLOOKUP(X48,'G-7 WaterC'' Data'!$AD$4:$AE$14,2,FALSE)=0,"Enrcoachment Data Missing ⚠",VLOOKUP(X48,'G-7 WaterC'' Data'!$AD$4:$AE$14,2,FALSE)))))</f>
        <v/>
      </c>
      <c r="Z48" s="323" t="str">
        <f t="shared" si="4"/>
        <v/>
      </c>
      <c r="AA48" s="105"/>
      <c r="AB48" s="119"/>
      <c r="AC48" s="108"/>
      <c r="AH48" s="30" t="str">
        <f>IFERROR(INDEX('G-7 WaterC'' Data'!$AZ$3:$AZ$7,MATCH(C48,'G-7 WaterC'' Data'!$AY$3:$AY$7,0)),"")</f>
        <v/>
      </c>
      <c r="AK48" s="30" t="str">
        <f t="shared" si="5"/>
        <v>No</v>
      </c>
    </row>
    <row r="49" spans="2:37" ht="13.8" x14ac:dyDescent="0.25">
      <c r="B49" s="101">
        <v>38</v>
      </c>
      <c r="C49" s="950"/>
      <c r="D49" s="119"/>
      <c r="E49" s="281" t="str">
        <f>IF(C49="","",VLOOKUP(C49,'G-7 WaterC'' Data'!$B$2:$G$8,2,FALSE))</f>
        <v/>
      </c>
      <c r="F49" s="282" t="str">
        <f>IFERROR(VLOOKUP(E49,'G-7 WaterC'' Data'!$C$4:$D$8,2,FALSE),"")</f>
        <v/>
      </c>
      <c r="G49" s="105"/>
      <c r="H49" s="282" t="str">
        <f>IFERROR(INDEX('G-7 WaterC'' Data'!$H$4:$L$8,MATCH(C49,'G-7 WaterC'' Data'!$B$4:$B$8,0),MATCH(G49,'G-7 WaterC'' Data'!$H$3:$L$3,0)),"")</f>
        <v/>
      </c>
      <c r="I49" s="52"/>
      <c r="J49" s="289" t="str">
        <f>IF(I49="","",IF(VLOOKUP(I49,'G-7 WaterC'' Data'!$AK$4:$AM$6,2,FALSE)=0,"Spatial Data Missing ⚠",VLOOKUP(I49,'G-7 WaterC'' Data'!$AK$4:$AM$6,2,FALSE)))</f>
        <v/>
      </c>
      <c r="K49" s="282" t="str">
        <f>IF(I49="","",IF(VLOOKUP(I49,'G-7 WaterC'' Data'!$AK$4:$AM$6,3,FALSE)=0,"Spatial Data Missing ⚠",VLOOKUP(I49,'G-7 WaterC'' Data'!$AK$4:$AM$6,3,FALSE)))</f>
        <v/>
      </c>
      <c r="L49" s="281" t="str">
        <f>IFERROR(INDEX('G-7 WaterC'' Data'!$O$3:$O$7,MATCH(G49,'G-7 WaterC'' Data'!$N$3:$N$7,0)),"")</f>
        <v/>
      </c>
      <c r="M49" s="58"/>
      <c r="N49" s="137"/>
      <c r="O49" s="289" t="str">
        <f t="shared" si="0"/>
        <v/>
      </c>
      <c r="P49" s="302" t="str">
        <f t="shared" si="1"/>
        <v/>
      </c>
      <c r="Q49" s="340" t="str">
        <f>IFERROR(IF(P49="Check Data ⚠","Check Data ⚠",VLOOKUP(P49,'G-4 Temporal multipliers'!$A$4:$C$37,3,FALSE)),"")</f>
        <v/>
      </c>
      <c r="R49" s="281" t="str">
        <f>IF(C49="","",VLOOKUP(C49,'G-7 WaterC'' Data'!$B$4:$G$8,4,FALSE))</f>
        <v/>
      </c>
      <c r="S49" s="289" t="str">
        <f t="shared" si="2"/>
        <v/>
      </c>
      <c r="T49" s="320" t="str">
        <f t="shared" si="3"/>
        <v/>
      </c>
      <c r="U49" s="282" t="str">
        <f>IF(C49="","",VLOOKUP(T49,'G-3 Multipliers'!$P$2:$Q$6,2,FALSE))</f>
        <v/>
      </c>
      <c r="V49" s="106"/>
      <c r="W49" s="282" t="str">
        <f>IF(V49="","",IF(AND(V49="N/A - Culvert",C49&lt;&gt;"Culvert"),"Not possible ▲",IF(AND(C49="Culvert",V49&lt;&gt;"N/A - Culvert"),"Not possible ▲",IF(VLOOKUP(V49,'G-7 WaterC'' Data'!$AA$4:$AB$7,2,FALSE)=0,"Spatial Data Missing ⚠",VLOOKUP(V49,'G-7 WaterC'' Data'!$AA$4:$AB$7,2,FALSE)))))</f>
        <v/>
      </c>
      <c r="X49" s="56"/>
      <c r="Y49" s="282" t="str">
        <f>IF(X49="","",IF(AND(X49="N/A - Culvert", C49&lt;&gt;"Culvert"), "Not possible ▲",IF(AND(C49="Culvert",X49&lt;&gt;"N/A - Culvert"),"Not possible ▲",IF(VLOOKUP(X49,'G-7 WaterC'' Data'!$AD$4:$AE$14,2,FALSE)=0,"Enrcoachment Data Missing ⚠",VLOOKUP(X49,'G-7 WaterC'' Data'!$AD$4:$AE$14,2,FALSE)))))</f>
        <v/>
      </c>
      <c r="Z49" s="323" t="str">
        <f t="shared" si="4"/>
        <v/>
      </c>
      <c r="AA49" s="105"/>
      <c r="AB49" s="119"/>
      <c r="AC49" s="108"/>
      <c r="AH49" s="30" t="str">
        <f>IFERROR(INDEX('G-7 WaterC'' Data'!$AZ$3:$AZ$7,MATCH(C49,'G-7 WaterC'' Data'!$AY$3:$AY$7,0)),"")</f>
        <v/>
      </c>
      <c r="AK49" s="30" t="str">
        <f t="shared" si="5"/>
        <v>No</v>
      </c>
    </row>
    <row r="50" spans="2:37" ht="13.8" x14ac:dyDescent="0.25">
      <c r="B50" s="101">
        <v>39</v>
      </c>
      <c r="C50" s="950"/>
      <c r="D50" s="119"/>
      <c r="E50" s="281" t="str">
        <f>IF(C50="","",VLOOKUP(C50,'G-7 WaterC'' Data'!$B$2:$G$8,2,FALSE))</f>
        <v/>
      </c>
      <c r="F50" s="282" t="str">
        <f>IFERROR(VLOOKUP(E50,'G-7 WaterC'' Data'!$C$4:$D$8,2,FALSE),"")</f>
        <v/>
      </c>
      <c r="G50" s="105"/>
      <c r="H50" s="282" t="str">
        <f>IFERROR(INDEX('G-7 WaterC'' Data'!$H$4:$L$8,MATCH(C50,'G-7 WaterC'' Data'!$B$4:$B$8,0),MATCH(G50,'G-7 WaterC'' Data'!$H$3:$L$3,0)),"")</f>
        <v/>
      </c>
      <c r="I50" s="52"/>
      <c r="J50" s="289" t="str">
        <f>IF(I50="","",IF(VLOOKUP(I50,'G-7 WaterC'' Data'!$AK$4:$AM$6,2,FALSE)=0,"Spatial Data Missing ⚠",VLOOKUP(I50,'G-7 WaterC'' Data'!$AK$4:$AM$6,2,FALSE)))</f>
        <v/>
      </c>
      <c r="K50" s="282" t="str">
        <f>IF(I50="","",IF(VLOOKUP(I50,'G-7 WaterC'' Data'!$AK$4:$AM$6,3,FALSE)=0,"Spatial Data Missing ⚠",VLOOKUP(I50,'G-7 WaterC'' Data'!$AK$4:$AM$6,3,FALSE)))</f>
        <v/>
      </c>
      <c r="L50" s="281" t="str">
        <f>IFERROR(INDEX('G-7 WaterC'' Data'!$O$3:$O$7,MATCH(G50,'G-7 WaterC'' Data'!$N$3:$N$7,0)),"")</f>
        <v/>
      </c>
      <c r="M50" s="58"/>
      <c r="N50" s="137"/>
      <c r="O50" s="289" t="str">
        <f t="shared" si="0"/>
        <v/>
      </c>
      <c r="P50" s="302" t="str">
        <f t="shared" si="1"/>
        <v/>
      </c>
      <c r="Q50" s="340" t="str">
        <f>IFERROR(IF(P50="Check Data ⚠","Check Data ⚠",VLOOKUP(P50,'G-4 Temporal multipliers'!$A$4:$C$37,3,FALSE)),"")</f>
        <v/>
      </c>
      <c r="R50" s="281" t="str">
        <f>IF(C50="","",VLOOKUP(C50,'G-7 WaterC'' Data'!$B$4:$G$8,4,FALSE))</f>
        <v/>
      </c>
      <c r="S50" s="289" t="str">
        <f t="shared" si="2"/>
        <v/>
      </c>
      <c r="T50" s="320" t="str">
        <f t="shared" si="3"/>
        <v/>
      </c>
      <c r="U50" s="282" t="str">
        <f>IF(C50="","",VLOOKUP(T50,'G-3 Multipliers'!$P$2:$Q$6,2,FALSE))</f>
        <v/>
      </c>
      <c r="V50" s="106"/>
      <c r="W50" s="282" t="str">
        <f>IF(V50="","",IF(AND(V50="N/A - Culvert",C50&lt;&gt;"Culvert"),"Not possible ▲",IF(AND(C50="Culvert",V50&lt;&gt;"N/A - Culvert"),"Not possible ▲",IF(VLOOKUP(V50,'G-7 WaterC'' Data'!$AA$4:$AB$7,2,FALSE)=0,"Spatial Data Missing ⚠",VLOOKUP(V50,'G-7 WaterC'' Data'!$AA$4:$AB$7,2,FALSE)))))</f>
        <v/>
      </c>
      <c r="X50" s="56"/>
      <c r="Y50" s="282" t="str">
        <f>IF(X50="","",IF(AND(X50="N/A - Culvert", C50&lt;&gt;"Culvert"), "Not possible ▲",IF(AND(C50="Culvert",X50&lt;&gt;"N/A - Culvert"),"Not possible ▲",IF(VLOOKUP(X50,'G-7 WaterC'' Data'!$AD$4:$AE$14,2,FALSE)=0,"Enrcoachment Data Missing ⚠",VLOOKUP(X50,'G-7 WaterC'' Data'!$AD$4:$AE$14,2,FALSE)))))</f>
        <v/>
      </c>
      <c r="Z50" s="323" t="str">
        <f t="shared" si="4"/>
        <v/>
      </c>
      <c r="AA50" s="105"/>
      <c r="AB50" s="119"/>
      <c r="AC50" s="108"/>
      <c r="AH50" s="30" t="str">
        <f>IFERROR(INDEX('G-7 WaterC'' Data'!$AZ$3:$AZ$7,MATCH(C50,'G-7 WaterC'' Data'!$AY$3:$AY$7,0)),"")</f>
        <v/>
      </c>
      <c r="AK50" s="30" t="str">
        <f t="shared" si="5"/>
        <v>No</v>
      </c>
    </row>
    <row r="51" spans="2:37" ht="13.8" x14ac:dyDescent="0.25">
      <c r="B51" s="101">
        <v>40</v>
      </c>
      <c r="C51" s="950"/>
      <c r="D51" s="119"/>
      <c r="E51" s="281" t="str">
        <f>IF(C51="","",VLOOKUP(C51,'G-7 WaterC'' Data'!$B$2:$G$8,2,FALSE))</f>
        <v/>
      </c>
      <c r="F51" s="282" t="str">
        <f>IFERROR(VLOOKUP(E51,'G-7 WaterC'' Data'!$C$4:$D$8,2,FALSE),"")</f>
        <v/>
      </c>
      <c r="G51" s="105"/>
      <c r="H51" s="282" t="str">
        <f>IFERROR(INDEX('G-7 WaterC'' Data'!$H$4:$L$8,MATCH(C51,'G-7 WaterC'' Data'!$B$4:$B$8,0),MATCH(G51,'G-7 WaterC'' Data'!$H$3:$L$3,0)),"")</f>
        <v/>
      </c>
      <c r="I51" s="52"/>
      <c r="J51" s="289" t="str">
        <f>IF(I51="","",IF(VLOOKUP(I51,'G-7 WaterC'' Data'!$AK$4:$AM$6,2,FALSE)=0,"Spatial Data Missing ⚠",VLOOKUP(I51,'G-7 WaterC'' Data'!$AK$4:$AM$6,2,FALSE)))</f>
        <v/>
      </c>
      <c r="K51" s="282" t="str">
        <f>IF(I51="","",IF(VLOOKUP(I51,'G-7 WaterC'' Data'!$AK$4:$AM$6,3,FALSE)=0,"Spatial Data Missing ⚠",VLOOKUP(I51,'G-7 WaterC'' Data'!$AK$4:$AM$6,3,FALSE)))</f>
        <v/>
      </c>
      <c r="L51" s="281" t="str">
        <f>IFERROR(INDEX('G-7 WaterC'' Data'!$O$3:$O$7,MATCH(G51,'G-7 WaterC'' Data'!$N$3:$N$7,0)),"")</f>
        <v/>
      </c>
      <c r="M51" s="58"/>
      <c r="N51" s="137"/>
      <c r="O51" s="289" t="str">
        <f t="shared" si="0"/>
        <v/>
      </c>
      <c r="P51" s="302" t="str">
        <f t="shared" si="1"/>
        <v/>
      </c>
      <c r="Q51" s="340" t="str">
        <f>IFERROR(IF(P51="Check Data ⚠","Check Data ⚠",VLOOKUP(P51,'G-4 Temporal multipliers'!$A$4:$C$37,3,FALSE)),"")</f>
        <v/>
      </c>
      <c r="R51" s="281" t="str">
        <f>IF(C51="","",VLOOKUP(C51,'G-7 WaterC'' Data'!$B$4:$G$8,4,FALSE))</f>
        <v/>
      </c>
      <c r="S51" s="289" t="str">
        <f t="shared" si="2"/>
        <v/>
      </c>
      <c r="T51" s="320" t="str">
        <f t="shared" si="3"/>
        <v/>
      </c>
      <c r="U51" s="282" t="str">
        <f>IF(C51="","",VLOOKUP(T51,'G-3 Multipliers'!$P$2:$Q$6,2,FALSE))</f>
        <v/>
      </c>
      <c r="V51" s="106"/>
      <c r="W51" s="282" t="str">
        <f>IF(V51="","",IF(AND(V51="N/A - Culvert",C51&lt;&gt;"Culvert"),"Not possible ▲",IF(AND(C51="Culvert",V51&lt;&gt;"N/A - Culvert"),"Not possible ▲",IF(VLOOKUP(V51,'G-7 WaterC'' Data'!$AA$4:$AB$7,2,FALSE)=0,"Spatial Data Missing ⚠",VLOOKUP(V51,'G-7 WaterC'' Data'!$AA$4:$AB$7,2,FALSE)))))</f>
        <v/>
      </c>
      <c r="X51" s="56"/>
      <c r="Y51" s="282" t="str">
        <f>IF(X51="","",IF(AND(X51="N/A - Culvert", C51&lt;&gt;"Culvert"), "Not possible ▲",IF(AND(C51="Culvert",X51&lt;&gt;"N/A - Culvert"),"Not possible ▲",IF(VLOOKUP(X51,'G-7 WaterC'' Data'!$AD$4:$AE$14,2,FALSE)=0,"Enrcoachment Data Missing ⚠",VLOOKUP(X51,'G-7 WaterC'' Data'!$AD$4:$AE$14,2,FALSE)))))</f>
        <v/>
      </c>
      <c r="Z51" s="323" t="str">
        <f t="shared" si="4"/>
        <v/>
      </c>
      <c r="AA51" s="105"/>
      <c r="AB51" s="119"/>
      <c r="AC51" s="108"/>
      <c r="AH51" s="30" t="str">
        <f>IFERROR(INDEX('G-7 WaterC'' Data'!$AZ$3:$AZ$7,MATCH(C51,'G-7 WaterC'' Data'!$AY$3:$AY$7,0)),"")</f>
        <v/>
      </c>
      <c r="AK51" s="30" t="str">
        <f t="shared" si="5"/>
        <v>No</v>
      </c>
    </row>
    <row r="52" spans="2:37" ht="13.8" x14ac:dyDescent="0.25">
      <c r="B52" s="101">
        <v>41</v>
      </c>
      <c r="C52" s="950"/>
      <c r="D52" s="119"/>
      <c r="E52" s="281" t="str">
        <f>IF(C52="","",VLOOKUP(C52,'G-7 WaterC'' Data'!$B$2:$G$8,2,FALSE))</f>
        <v/>
      </c>
      <c r="F52" s="282" t="str">
        <f>IFERROR(VLOOKUP(E52,'G-7 WaterC'' Data'!$C$4:$D$8,2,FALSE),"")</f>
        <v/>
      </c>
      <c r="G52" s="105"/>
      <c r="H52" s="282" t="str">
        <f>IFERROR(INDEX('G-7 WaterC'' Data'!$H$4:$L$8,MATCH(C52,'G-7 WaterC'' Data'!$B$4:$B$8,0),MATCH(G52,'G-7 WaterC'' Data'!$H$3:$L$3,0)),"")</f>
        <v/>
      </c>
      <c r="I52" s="52"/>
      <c r="J52" s="289" t="str">
        <f>IF(I52="","",IF(VLOOKUP(I52,'G-7 WaterC'' Data'!$AK$4:$AM$6,2,FALSE)=0,"Spatial Data Missing ⚠",VLOOKUP(I52,'G-7 WaterC'' Data'!$AK$4:$AM$6,2,FALSE)))</f>
        <v/>
      </c>
      <c r="K52" s="282" t="str">
        <f>IF(I52="","",IF(VLOOKUP(I52,'G-7 WaterC'' Data'!$AK$4:$AM$6,3,FALSE)=0,"Spatial Data Missing ⚠",VLOOKUP(I52,'G-7 WaterC'' Data'!$AK$4:$AM$6,3,FALSE)))</f>
        <v/>
      </c>
      <c r="L52" s="281" t="str">
        <f>IFERROR(INDEX('G-7 WaterC'' Data'!$O$3:$O$7,MATCH(G52,'G-7 WaterC'' Data'!$N$3:$N$7,0)),"")</f>
        <v/>
      </c>
      <c r="M52" s="58"/>
      <c r="N52" s="137"/>
      <c r="O52" s="289" t="str">
        <f t="shared" si="0"/>
        <v/>
      </c>
      <c r="P52" s="302" t="str">
        <f t="shared" si="1"/>
        <v/>
      </c>
      <c r="Q52" s="340" t="str">
        <f>IFERROR(IF(P52="Check Data ⚠","Check Data ⚠",VLOOKUP(P52,'G-4 Temporal multipliers'!$A$4:$C$37,3,FALSE)),"")</f>
        <v/>
      </c>
      <c r="R52" s="281" t="str">
        <f>IF(C52="","",VLOOKUP(C52,'G-7 WaterC'' Data'!$B$4:$G$8,4,FALSE))</f>
        <v/>
      </c>
      <c r="S52" s="289" t="str">
        <f t="shared" si="2"/>
        <v/>
      </c>
      <c r="T52" s="320" t="str">
        <f t="shared" si="3"/>
        <v/>
      </c>
      <c r="U52" s="282" t="str">
        <f>IF(C52="","",VLOOKUP(T52,'G-3 Multipliers'!$P$2:$Q$6,2,FALSE))</f>
        <v/>
      </c>
      <c r="V52" s="106"/>
      <c r="W52" s="282" t="str">
        <f>IF(V52="","",IF(AND(V52="N/A - Culvert",C52&lt;&gt;"Culvert"),"Not possible ▲",IF(AND(C52="Culvert",V52&lt;&gt;"N/A - Culvert"),"Not possible ▲",IF(VLOOKUP(V52,'G-7 WaterC'' Data'!$AA$4:$AB$7,2,FALSE)=0,"Spatial Data Missing ⚠",VLOOKUP(V52,'G-7 WaterC'' Data'!$AA$4:$AB$7,2,FALSE)))))</f>
        <v/>
      </c>
      <c r="X52" s="56"/>
      <c r="Y52" s="282" t="str">
        <f>IF(X52="","",IF(AND(X52="N/A - Culvert", C52&lt;&gt;"Culvert"), "Not possible ▲",IF(AND(C52="Culvert",X52&lt;&gt;"N/A - Culvert"),"Not possible ▲",IF(VLOOKUP(X52,'G-7 WaterC'' Data'!$AD$4:$AE$14,2,FALSE)=0,"Enrcoachment Data Missing ⚠",VLOOKUP(X52,'G-7 WaterC'' Data'!$AD$4:$AE$14,2,FALSE)))))</f>
        <v/>
      </c>
      <c r="Z52" s="323" t="str">
        <f t="shared" si="4"/>
        <v/>
      </c>
      <c r="AA52" s="105"/>
      <c r="AB52" s="119"/>
      <c r="AC52" s="108"/>
      <c r="AH52" s="30" t="str">
        <f>IFERROR(INDEX('G-7 WaterC'' Data'!$AZ$3:$AZ$7,MATCH(C52,'G-7 WaterC'' Data'!$AY$3:$AY$7,0)),"")</f>
        <v/>
      </c>
      <c r="AK52" s="30" t="str">
        <f t="shared" si="5"/>
        <v>No</v>
      </c>
    </row>
    <row r="53" spans="2:37" ht="13.8" x14ac:dyDescent="0.25">
      <c r="B53" s="101">
        <v>42</v>
      </c>
      <c r="C53" s="950"/>
      <c r="D53" s="119"/>
      <c r="E53" s="281" t="str">
        <f>IF(C53="","",VLOOKUP(C53,'G-7 WaterC'' Data'!$B$2:$G$8,2,FALSE))</f>
        <v/>
      </c>
      <c r="F53" s="282" t="str">
        <f>IFERROR(VLOOKUP(E53,'G-7 WaterC'' Data'!$C$4:$D$8,2,FALSE),"")</f>
        <v/>
      </c>
      <c r="G53" s="105"/>
      <c r="H53" s="282" t="str">
        <f>IFERROR(INDEX('G-7 WaterC'' Data'!$H$4:$L$8,MATCH(C53,'G-7 WaterC'' Data'!$B$4:$B$8,0),MATCH(G53,'G-7 WaterC'' Data'!$H$3:$L$3,0)),"")</f>
        <v/>
      </c>
      <c r="I53" s="52"/>
      <c r="J53" s="289" t="str">
        <f>IF(I53="","",IF(VLOOKUP(I53,'G-7 WaterC'' Data'!$AK$4:$AM$6,2,FALSE)=0,"Spatial Data Missing ⚠",VLOOKUP(I53,'G-7 WaterC'' Data'!$AK$4:$AM$6,2,FALSE)))</f>
        <v/>
      </c>
      <c r="K53" s="282" t="str">
        <f>IF(I53="","",IF(VLOOKUP(I53,'G-7 WaterC'' Data'!$AK$4:$AM$6,3,FALSE)=0,"Spatial Data Missing ⚠",VLOOKUP(I53,'G-7 WaterC'' Data'!$AK$4:$AM$6,3,FALSE)))</f>
        <v/>
      </c>
      <c r="L53" s="281" t="str">
        <f>IFERROR(INDEX('G-7 WaterC'' Data'!$O$3:$O$7,MATCH(G53,'G-7 WaterC'' Data'!$N$3:$N$7,0)),"")</f>
        <v/>
      </c>
      <c r="M53" s="58"/>
      <c r="N53" s="137"/>
      <c r="O53" s="289" t="str">
        <f t="shared" si="0"/>
        <v/>
      </c>
      <c r="P53" s="302" t="str">
        <f t="shared" si="1"/>
        <v/>
      </c>
      <c r="Q53" s="340" t="str">
        <f>IFERROR(IF(P53="Check Data ⚠","Check Data ⚠",VLOOKUP(P53,'G-4 Temporal multipliers'!$A$4:$C$37,3,FALSE)),"")</f>
        <v/>
      </c>
      <c r="R53" s="281" t="str">
        <f>IF(C53="","",VLOOKUP(C53,'G-7 WaterC'' Data'!$B$4:$G$8,4,FALSE))</f>
        <v/>
      </c>
      <c r="S53" s="289" t="str">
        <f t="shared" si="2"/>
        <v/>
      </c>
      <c r="T53" s="320" t="str">
        <f t="shared" si="3"/>
        <v/>
      </c>
      <c r="U53" s="282" t="str">
        <f>IF(C53="","",VLOOKUP(T53,'G-3 Multipliers'!$P$2:$Q$6,2,FALSE))</f>
        <v/>
      </c>
      <c r="V53" s="106"/>
      <c r="W53" s="282" t="str">
        <f>IF(V53="","",IF(AND(V53="N/A - Culvert",C53&lt;&gt;"Culvert"),"Not possible ▲",IF(AND(C53="Culvert",V53&lt;&gt;"N/A - Culvert"),"Not possible ▲",IF(VLOOKUP(V53,'G-7 WaterC'' Data'!$AA$4:$AB$7,2,FALSE)=0,"Spatial Data Missing ⚠",VLOOKUP(V53,'G-7 WaterC'' Data'!$AA$4:$AB$7,2,FALSE)))))</f>
        <v/>
      </c>
      <c r="X53" s="56"/>
      <c r="Y53" s="282" t="str">
        <f>IF(X53="","",IF(AND(X53="N/A - Culvert", C53&lt;&gt;"Culvert"), "Not possible ▲",IF(AND(C53="Culvert",X53&lt;&gt;"N/A - Culvert"),"Not possible ▲",IF(VLOOKUP(X53,'G-7 WaterC'' Data'!$AD$4:$AE$14,2,FALSE)=0,"Enrcoachment Data Missing ⚠",VLOOKUP(X53,'G-7 WaterC'' Data'!$AD$4:$AE$14,2,FALSE)))))</f>
        <v/>
      </c>
      <c r="Z53" s="323" t="str">
        <f t="shared" si="4"/>
        <v/>
      </c>
      <c r="AA53" s="105"/>
      <c r="AB53" s="119"/>
      <c r="AC53" s="108"/>
      <c r="AH53" s="30" t="str">
        <f>IFERROR(INDEX('G-7 WaterC'' Data'!$AZ$3:$AZ$7,MATCH(C53,'G-7 WaterC'' Data'!$AY$3:$AY$7,0)),"")</f>
        <v/>
      </c>
      <c r="AK53" s="30" t="str">
        <f t="shared" si="5"/>
        <v>No</v>
      </c>
    </row>
    <row r="54" spans="2:37" ht="13.8" x14ac:dyDescent="0.25">
      <c r="B54" s="101">
        <v>43</v>
      </c>
      <c r="C54" s="950"/>
      <c r="D54" s="119"/>
      <c r="E54" s="281" t="str">
        <f>IF(C54="","",VLOOKUP(C54,'G-7 WaterC'' Data'!$B$2:$G$8,2,FALSE))</f>
        <v/>
      </c>
      <c r="F54" s="282" t="str">
        <f>IFERROR(VLOOKUP(E54,'G-7 WaterC'' Data'!$C$4:$D$8,2,FALSE),"")</f>
        <v/>
      </c>
      <c r="G54" s="105"/>
      <c r="H54" s="282" t="str">
        <f>IFERROR(INDEX('G-7 WaterC'' Data'!$H$4:$L$8,MATCH(C54,'G-7 WaterC'' Data'!$B$4:$B$8,0),MATCH(G54,'G-7 WaterC'' Data'!$H$3:$L$3,0)),"")</f>
        <v/>
      </c>
      <c r="I54" s="52"/>
      <c r="J54" s="289" t="str">
        <f>IF(I54="","",IF(VLOOKUP(I54,'G-7 WaterC'' Data'!$AK$4:$AM$6,2,FALSE)=0,"Spatial Data Missing ⚠",VLOOKUP(I54,'G-7 WaterC'' Data'!$AK$4:$AM$6,2,FALSE)))</f>
        <v/>
      </c>
      <c r="K54" s="282" t="str">
        <f>IF(I54="","",IF(VLOOKUP(I54,'G-7 WaterC'' Data'!$AK$4:$AM$6,3,FALSE)=0,"Spatial Data Missing ⚠",VLOOKUP(I54,'G-7 WaterC'' Data'!$AK$4:$AM$6,3,FALSE)))</f>
        <v/>
      </c>
      <c r="L54" s="281" t="str">
        <f>IFERROR(INDEX('G-7 WaterC'' Data'!$O$3:$O$7,MATCH(G54,'G-7 WaterC'' Data'!$N$3:$N$7,0)),"")</f>
        <v/>
      </c>
      <c r="M54" s="58"/>
      <c r="N54" s="137"/>
      <c r="O54" s="289" t="str">
        <f t="shared" si="0"/>
        <v/>
      </c>
      <c r="P54" s="302" t="str">
        <f t="shared" si="1"/>
        <v/>
      </c>
      <c r="Q54" s="340" t="str">
        <f>IFERROR(IF(P54="Check Data ⚠","Check Data ⚠",VLOOKUP(P54,'G-4 Temporal multipliers'!$A$4:$C$37,3,FALSE)),"")</f>
        <v/>
      </c>
      <c r="R54" s="281" t="str">
        <f>IF(C54="","",VLOOKUP(C54,'G-7 WaterC'' Data'!$B$4:$G$8,4,FALSE))</f>
        <v/>
      </c>
      <c r="S54" s="289" t="str">
        <f t="shared" si="2"/>
        <v/>
      </c>
      <c r="T54" s="320" t="str">
        <f t="shared" si="3"/>
        <v/>
      </c>
      <c r="U54" s="282" t="str">
        <f>IF(C54="","",VLOOKUP(T54,'G-3 Multipliers'!$P$2:$Q$6,2,FALSE))</f>
        <v/>
      </c>
      <c r="V54" s="106"/>
      <c r="W54" s="282" t="str">
        <f>IF(V54="","",IF(AND(V54="N/A - Culvert",C54&lt;&gt;"Culvert"),"Not possible ▲",IF(AND(C54="Culvert",V54&lt;&gt;"N/A - Culvert"),"Not possible ▲",IF(VLOOKUP(V54,'G-7 WaterC'' Data'!$AA$4:$AB$7,2,FALSE)=0,"Spatial Data Missing ⚠",VLOOKUP(V54,'G-7 WaterC'' Data'!$AA$4:$AB$7,2,FALSE)))))</f>
        <v/>
      </c>
      <c r="X54" s="56"/>
      <c r="Y54" s="282" t="str">
        <f>IF(X54="","",IF(AND(X54="N/A - Culvert", C54&lt;&gt;"Culvert"), "Not possible ▲",IF(AND(C54="Culvert",X54&lt;&gt;"N/A - Culvert"),"Not possible ▲",IF(VLOOKUP(X54,'G-7 WaterC'' Data'!$AD$4:$AE$14,2,FALSE)=0,"Enrcoachment Data Missing ⚠",VLOOKUP(X54,'G-7 WaterC'' Data'!$AD$4:$AE$14,2,FALSE)))))</f>
        <v/>
      </c>
      <c r="Z54" s="323" t="str">
        <f t="shared" si="4"/>
        <v/>
      </c>
      <c r="AA54" s="105"/>
      <c r="AB54" s="119"/>
      <c r="AC54" s="108"/>
      <c r="AH54" s="30" t="str">
        <f>IFERROR(INDEX('G-7 WaterC'' Data'!$AZ$3:$AZ$7,MATCH(C54,'G-7 WaterC'' Data'!$AY$3:$AY$7,0)),"")</f>
        <v/>
      </c>
      <c r="AK54" s="30" t="str">
        <f t="shared" si="5"/>
        <v>No</v>
      </c>
    </row>
    <row r="55" spans="2:37" ht="13.8" x14ac:dyDescent="0.25">
      <c r="B55" s="101">
        <v>44</v>
      </c>
      <c r="C55" s="950"/>
      <c r="D55" s="119"/>
      <c r="E55" s="281" t="str">
        <f>IF(C55="","",VLOOKUP(C55,'G-7 WaterC'' Data'!$B$2:$G$8,2,FALSE))</f>
        <v/>
      </c>
      <c r="F55" s="282" t="str">
        <f>IFERROR(VLOOKUP(E55,'G-7 WaterC'' Data'!$C$4:$D$8,2,FALSE),"")</f>
        <v/>
      </c>
      <c r="G55" s="105"/>
      <c r="H55" s="282" t="str">
        <f>IFERROR(INDEX('G-7 WaterC'' Data'!$H$4:$L$8,MATCH(C55,'G-7 WaterC'' Data'!$B$4:$B$8,0),MATCH(G55,'G-7 WaterC'' Data'!$H$3:$L$3,0)),"")</f>
        <v/>
      </c>
      <c r="I55" s="52"/>
      <c r="J55" s="289" t="str">
        <f>IF(I55="","",IF(VLOOKUP(I55,'G-7 WaterC'' Data'!$AK$4:$AM$6,2,FALSE)=0,"Spatial Data Missing ⚠",VLOOKUP(I55,'G-7 WaterC'' Data'!$AK$4:$AM$6,2,FALSE)))</f>
        <v/>
      </c>
      <c r="K55" s="282" t="str">
        <f>IF(I55="","",IF(VLOOKUP(I55,'G-7 WaterC'' Data'!$AK$4:$AM$6,3,FALSE)=0,"Spatial Data Missing ⚠",VLOOKUP(I55,'G-7 WaterC'' Data'!$AK$4:$AM$6,3,FALSE)))</f>
        <v/>
      </c>
      <c r="L55" s="281" t="str">
        <f>IFERROR(INDEX('G-7 WaterC'' Data'!$O$3:$O$7,MATCH(G55,'G-7 WaterC'' Data'!$N$3:$N$7,0)),"")</f>
        <v/>
      </c>
      <c r="M55" s="58"/>
      <c r="N55" s="137"/>
      <c r="O55" s="289" t="str">
        <f t="shared" si="0"/>
        <v/>
      </c>
      <c r="P55" s="302" t="str">
        <f t="shared" si="1"/>
        <v/>
      </c>
      <c r="Q55" s="340" t="str">
        <f>IFERROR(IF(P55="Check Data ⚠","Check Data ⚠",VLOOKUP(P55,'G-4 Temporal multipliers'!$A$4:$C$37,3,FALSE)),"")</f>
        <v/>
      </c>
      <c r="R55" s="281" t="str">
        <f>IF(C55="","",VLOOKUP(C55,'G-7 WaterC'' Data'!$B$4:$G$8,4,FALSE))</f>
        <v/>
      </c>
      <c r="S55" s="289" t="str">
        <f t="shared" si="2"/>
        <v/>
      </c>
      <c r="T55" s="320" t="str">
        <f t="shared" si="3"/>
        <v/>
      </c>
      <c r="U55" s="282" t="str">
        <f>IF(C55="","",VLOOKUP(T55,'G-3 Multipliers'!$P$2:$Q$6,2,FALSE))</f>
        <v/>
      </c>
      <c r="V55" s="106"/>
      <c r="W55" s="282" t="str">
        <f>IF(V55="","",IF(AND(V55="N/A - Culvert",C55&lt;&gt;"Culvert"),"Not possible ▲",IF(AND(C55="Culvert",V55&lt;&gt;"N/A - Culvert"),"Not possible ▲",IF(VLOOKUP(V55,'G-7 WaterC'' Data'!$AA$4:$AB$7,2,FALSE)=0,"Spatial Data Missing ⚠",VLOOKUP(V55,'G-7 WaterC'' Data'!$AA$4:$AB$7,2,FALSE)))))</f>
        <v/>
      </c>
      <c r="X55" s="56"/>
      <c r="Y55" s="282" t="str">
        <f>IF(X55="","",IF(AND(X55="N/A - Culvert", C55&lt;&gt;"Culvert"), "Not possible ▲",IF(AND(C55="Culvert",X55&lt;&gt;"N/A - Culvert"),"Not possible ▲",IF(VLOOKUP(X55,'G-7 WaterC'' Data'!$AD$4:$AE$14,2,FALSE)=0,"Enrcoachment Data Missing ⚠",VLOOKUP(X55,'G-7 WaterC'' Data'!$AD$4:$AE$14,2,FALSE)))))</f>
        <v/>
      </c>
      <c r="Z55" s="323" t="str">
        <f t="shared" si="4"/>
        <v/>
      </c>
      <c r="AA55" s="105"/>
      <c r="AB55" s="119"/>
      <c r="AC55" s="108"/>
      <c r="AH55" s="30" t="str">
        <f>IFERROR(INDEX('G-7 WaterC'' Data'!$AZ$3:$AZ$7,MATCH(C55,'G-7 WaterC'' Data'!$AY$3:$AY$7,0)),"")</f>
        <v/>
      </c>
      <c r="AK55" s="30" t="str">
        <f t="shared" si="5"/>
        <v>No</v>
      </c>
    </row>
    <row r="56" spans="2:37" ht="13.8" x14ac:dyDescent="0.25">
      <c r="B56" s="101">
        <v>45</v>
      </c>
      <c r="C56" s="950"/>
      <c r="D56" s="119"/>
      <c r="E56" s="281" t="str">
        <f>IF(C56="","",VLOOKUP(C56,'G-7 WaterC'' Data'!$B$2:$G$8,2,FALSE))</f>
        <v/>
      </c>
      <c r="F56" s="282" t="str">
        <f>IFERROR(VLOOKUP(E56,'G-7 WaterC'' Data'!$C$4:$D$8,2,FALSE),"")</f>
        <v/>
      </c>
      <c r="G56" s="105"/>
      <c r="H56" s="282" t="str">
        <f>IFERROR(INDEX('G-7 WaterC'' Data'!$H$4:$L$8,MATCH(C56,'G-7 WaterC'' Data'!$B$4:$B$8,0),MATCH(G56,'G-7 WaterC'' Data'!$H$3:$L$3,0)),"")</f>
        <v/>
      </c>
      <c r="I56" s="52"/>
      <c r="J56" s="289" t="str">
        <f>IF(I56="","",IF(VLOOKUP(I56,'G-7 WaterC'' Data'!$AK$4:$AM$6,2,FALSE)=0,"Spatial Data Missing ⚠",VLOOKUP(I56,'G-7 WaterC'' Data'!$AK$4:$AM$6,2,FALSE)))</f>
        <v/>
      </c>
      <c r="K56" s="282" t="str">
        <f>IF(I56="","",IF(VLOOKUP(I56,'G-7 WaterC'' Data'!$AK$4:$AM$6,3,FALSE)=0,"Spatial Data Missing ⚠",VLOOKUP(I56,'G-7 WaterC'' Data'!$AK$4:$AM$6,3,FALSE)))</f>
        <v/>
      </c>
      <c r="L56" s="281" t="str">
        <f>IFERROR(INDEX('G-7 WaterC'' Data'!$O$3:$O$7,MATCH(G56,'G-7 WaterC'' Data'!$N$3:$N$7,0)),"")</f>
        <v/>
      </c>
      <c r="M56" s="58"/>
      <c r="N56" s="137"/>
      <c r="O56" s="289" t="str">
        <f t="shared" si="0"/>
        <v/>
      </c>
      <c r="P56" s="302" t="str">
        <f t="shared" si="1"/>
        <v/>
      </c>
      <c r="Q56" s="340" t="str">
        <f>IFERROR(IF(P56="Check Data ⚠","Check Data ⚠",VLOOKUP(P56,'G-4 Temporal multipliers'!$A$4:$C$37,3,FALSE)),"")</f>
        <v/>
      </c>
      <c r="R56" s="281" t="str">
        <f>IF(C56="","",VLOOKUP(C56,'G-7 WaterC'' Data'!$B$4:$G$8,4,FALSE))</f>
        <v/>
      </c>
      <c r="S56" s="289" t="str">
        <f t="shared" si="2"/>
        <v/>
      </c>
      <c r="T56" s="320" t="str">
        <f t="shared" si="3"/>
        <v/>
      </c>
      <c r="U56" s="282" t="str">
        <f>IF(C56="","",VLOOKUP(T56,'G-3 Multipliers'!$P$2:$Q$6,2,FALSE))</f>
        <v/>
      </c>
      <c r="V56" s="106"/>
      <c r="W56" s="282" t="str">
        <f>IF(V56="","",IF(AND(V56="N/A - Culvert",C56&lt;&gt;"Culvert"),"Not possible ▲",IF(AND(C56="Culvert",V56&lt;&gt;"N/A - Culvert"),"Not possible ▲",IF(VLOOKUP(V56,'G-7 WaterC'' Data'!$AA$4:$AB$7,2,FALSE)=0,"Spatial Data Missing ⚠",VLOOKUP(V56,'G-7 WaterC'' Data'!$AA$4:$AB$7,2,FALSE)))))</f>
        <v/>
      </c>
      <c r="X56" s="56"/>
      <c r="Y56" s="282" t="str">
        <f>IF(X56="","",IF(AND(X56="N/A - Culvert", C56&lt;&gt;"Culvert"), "Not possible ▲",IF(AND(C56="Culvert",X56&lt;&gt;"N/A - Culvert"),"Not possible ▲",IF(VLOOKUP(X56,'G-7 WaterC'' Data'!$AD$4:$AE$14,2,FALSE)=0,"Enrcoachment Data Missing ⚠",VLOOKUP(X56,'G-7 WaterC'' Data'!$AD$4:$AE$14,2,FALSE)))))</f>
        <v/>
      </c>
      <c r="Z56" s="323" t="str">
        <f t="shared" si="4"/>
        <v/>
      </c>
      <c r="AA56" s="105"/>
      <c r="AB56" s="119"/>
      <c r="AC56" s="108"/>
      <c r="AH56" s="30" t="str">
        <f>IFERROR(INDEX('G-7 WaterC'' Data'!$AZ$3:$AZ$7,MATCH(C56,'G-7 WaterC'' Data'!$AY$3:$AY$7,0)),"")</f>
        <v/>
      </c>
      <c r="AK56" s="30" t="str">
        <f t="shared" si="5"/>
        <v>No</v>
      </c>
    </row>
    <row r="57" spans="2:37" ht="13.8" x14ac:dyDescent="0.25">
      <c r="B57" s="101">
        <v>46</v>
      </c>
      <c r="C57" s="950"/>
      <c r="D57" s="119"/>
      <c r="E57" s="281" t="str">
        <f>IF(C57="","",VLOOKUP(C57,'G-7 WaterC'' Data'!$B$2:$G$8,2,FALSE))</f>
        <v/>
      </c>
      <c r="F57" s="282" t="str">
        <f>IFERROR(VLOOKUP(E57,'G-7 WaterC'' Data'!$C$4:$D$8,2,FALSE),"")</f>
        <v/>
      </c>
      <c r="G57" s="105"/>
      <c r="H57" s="282" t="str">
        <f>IFERROR(INDEX('G-7 WaterC'' Data'!$H$4:$L$8,MATCH(C57,'G-7 WaterC'' Data'!$B$4:$B$8,0),MATCH(G57,'G-7 WaterC'' Data'!$H$3:$L$3,0)),"")</f>
        <v/>
      </c>
      <c r="I57" s="52"/>
      <c r="J57" s="289" t="str">
        <f>IF(I57="","",IF(VLOOKUP(I57,'G-7 WaterC'' Data'!$AK$4:$AM$6,2,FALSE)=0,"Spatial Data Missing ⚠",VLOOKUP(I57,'G-7 WaterC'' Data'!$AK$4:$AM$6,2,FALSE)))</f>
        <v/>
      </c>
      <c r="K57" s="282" t="str">
        <f>IF(I57="","",IF(VLOOKUP(I57,'G-7 WaterC'' Data'!$AK$4:$AM$6,3,FALSE)=0,"Spatial Data Missing ⚠",VLOOKUP(I57,'G-7 WaterC'' Data'!$AK$4:$AM$6,3,FALSE)))</f>
        <v/>
      </c>
      <c r="L57" s="281" t="str">
        <f>IFERROR(INDEX('G-7 WaterC'' Data'!$O$3:$O$7,MATCH(G57,'G-7 WaterC'' Data'!$N$3:$N$7,0)),"")</f>
        <v/>
      </c>
      <c r="M57" s="58"/>
      <c r="N57" s="137"/>
      <c r="O57" s="289" t="str">
        <f t="shared" si="0"/>
        <v/>
      </c>
      <c r="P57" s="302" t="str">
        <f t="shared" si="1"/>
        <v/>
      </c>
      <c r="Q57" s="340" t="str">
        <f>IFERROR(IF(P57="Check Data ⚠","Check Data ⚠",VLOOKUP(P57,'G-4 Temporal multipliers'!$A$4:$C$37,3,FALSE)),"")</f>
        <v/>
      </c>
      <c r="R57" s="281" t="str">
        <f>IF(C57="","",VLOOKUP(C57,'G-7 WaterC'' Data'!$B$4:$G$8,4,FALSE))</f>
        <v/>
      </c>
      <c r="S57" s="289" t="str">
        <f t="shared" si="2"/>
        <v/>
      </c>
      <c r="T57" s="320" t="str">
        <f t="shared" si="3"/>
        <v/>
      </c>
      <c r="U57" s="282" t="str">
        <f>IF(C57="","",VLOOKUP(T57,'G-3 Multipliers'!$P$2:$Q$6,2,FALSE))</f>
        <v/>
      </c>
      <c r="V57" s="106"/>
      <c r="W57" s="282" t="str">
        <f>IF(V57="","",IF(AND(V57="N/A - Culvert",C57&lt;&gt;"Culvert"),"Not possible ▲",IF(AND(C57="Culvert",V57&lt;&gt;"N/A - Culvert"),"Not possible ▲",IF(VLOOKUP(V57,'G-7 WaterC'' Data'!$AA$4:$AB$7,2,FALSE)=0,"Spatial Data Missing ⚠",VLOOKUP(V57,'G-7 WaterC'' Data'!$AA$4:$AB$7,2,FALSE)))))</f>
        <v/>
      </c>
      <c r="X57" s="56"/>
      <c r="Y57" s="282" t="str">
        <f>IF(X57="","",IF(AND(X57="N/A - Culvert", C57&lt;&gt;"Culvert"), "Not possible ▲",IF(AND(C57="Culvert",X57&lt;&gt;"N/A - Culvert"),"Not possible ▲",IF(VLOOKUP(X57,'G-7 WaterC'' Data'!$AD$4:$AE$14,2,FALSE)=0,"Enrcoachment Data Missing ⚠",VLOOKUP(X57,'G-7 WaterC'' Data'!$AD$4:$AE$14,2,FALSE)))))</f>
        <v/>
      </c>
      <c r="Z57" s="323" t="str">
        <f t="shared" si="4"/>
        <v/>
      </c>
      <c r="AA57" s="105"/>
      <c r="AB57" s="119"/>
      <c r="AC57" s="108"/>
      <c r="AH57" s="30" t="str">
        <f>IFERROR(INDEX('G-7 WaterC'' Data'!$AZ$3:$AZ$7,MATCH(C57,'G-7 WaterC'' Data'!$AY$3:$AY$7,0)),"")</f>
        <v/>
      </c>
      <c r="AK57" s="30" t="str">
        <f t="shared" si="5"/>
        <v>No</v>
      </c>
    </row>
    <row r="58" spans="2:37" ht="13.8" x14ac:dyDescent="0.25">
      <c r="B58" s="101">
        <v>47</v>
      </c>
      <c r="C58" s="950"/>
      <c r="D58" s="119"/>
      <c r="E58" s="281" t="str">
        <f>IF(C58="","",VLOOKUP(C58,'G-7 WaterC'' Data'!$B$2:$G$8,2,FALSE))</f>
        <v/>
      </c>
      <c r="F58" s="282" t="str">
        <f>IFERROR(VLOOKUP(E58,'G-7 WaterC'' Data'!$C$4:$D$8,2,FALSE),"")</f>
        <v/>
      </c>
      <c r="G58" s="105"/>
      <c r="H58" s="282" t="str">
        <f>IFERROR(INDEX('G-7 WaterC'' Data'!$H$4:$L$8,MATCH(C58,'G-7 WaterC'' Data'!$B$4:$B$8,0),MATCH(G58,'G-7 WaterC'' Data'!$H$3:$L$3,0)),"")</f>
        <v/>
      </c>
      <c r="I58" s="52"/>
      <c r="J58" s="289" t="str">
        <f>IF(I58="","",IF(VLOOKUP(I58,'G-7 WaterC'' Data'!$AK$4:$AM$6,2,FALSE)=0,"Spatial Data Missing ⚠",VLOOKUP(I58,'G-7 WaterC'' Data'!$AK$4:$AM$6,2,FALSE)))</f>
        <v/>
      </c>
      <c r="K58" s="282" t="str">
        <f>IF(I58="","",IF(VLOOKUP(I58,'G-7 WaterC'' Data'!$AK$4:$AM$6,3,FALSE)=0,"Spatial Data Missing ⚠",VLOOKUP(I58,'G-7 WaterC'' Data'!$AK$4:$AM$6,3,FALSE)))</f>
        <v/>
      </c>
      <c r="L58" s="281" t="str">
        <f>IFERROR(INDEX('G-7 WaterC'' Data'!$O$3:$O$7,MATCH(G58,'G-7 WaterC'' Data'!$N$3:$N$7,0)),"")</f>
        <v/>
      </c>
      <c r="M58" s="58"/>
      <c r="N58" s="137"/>
      <c r="O58" s="289" t="str">
        <f t="shared" si="0"/>
        <v/>
      </c>
      <c r="P58" s="302" t="str">
        <f t="shared" si="1"/>
        <v/>
      </c>
      <c r="Q58" s="340" t="str">
        <f>IFERROR(IF(P58="Check Data ⚠","Check Data ⚠",VLOOKUP(P58,'G-4 Temporal multipliers'!$A$4:$C$37,3,FALSE)),"")</f>
        <v/>
      </c>
      <c r="R58" s="281" t="str">
        <f>IF(C58="","",VLOOKUP(C58,'G-7 WaterC'' Data'!$B$4:$G$8,4,FALSE))</f>
        <v/>
      </c>
      <c r="S58" s="289" t="str">
        <f t="shared" si="2"/>
        <v/>
      </c>
      <c r="T58" s="320" t="str">
        <f t="shared" si="3"/>
        <v/>
      </c>
      <c r="U58" s="282" t="str">
        <f>IF(C58="","",VLOOKUP(T58,'G-3 Multipliers'!$P$2:$Q$6,2,FALSE))</f>
        <v/>
      </c>
      <c r="V58" s="106"/>
      <c r="W58" s="282" t="str">
        <f>IF(V58="","",IF(AND(V58="N/A - Culvert",C58&lt;&gt;"Culvert"),"Not possible ▲",IF(AND(C58="Culvert",V58&lt;&gt;"N/A - Culvert"),"Not possible ▲",IF(VLOOKUP(V58,'G-7 WaterC'' Data'!$AA$4:$AB$7,2,FALSE)=0,"Spatial Data Missing ⚠",VLOOKUP(V58,'G-7 WaterC'' Data'!$AA$4:$AB$7,2,FALSE)))))</f>
        <v/>
      </c>
      <c r="X58" s="56"/>
      <c r="Y58" s="282" t="str">
        <f>IF(X58="","",IF(AND(X58="N/A - Culvert", C58&lt;&gt;"Culvert"), "Not possible ▲",IF(AND(C58="Culvert",X58&lt;&gt;"N/A - Culvert"),"Not possible ▲",IF(VLOOKUP(X58,'G-7 WaterC'' Data'!$AD$4:$AE$14,2,FALSE)=0,"Enrcoachment Data Missing ⚠",VLOOKUP(X58,'G-7 WaterC'' Data'!$AD$4:$AE$14,2,FALSE)))))</f>
        <v/>
      </c>
      <c r="Z58" s="323" t="str">
        <f t="shared" si="4"/>
        <v/>
      </c>
      <c r="AA58" s="105"/>
      <c r="AB58" s="119"/>
      <c r="AC58" s="108"/>
      <c r="AH58" s="30" t="str">
        <f>IFERROR(INDEX('G-7 WaterC'' Data'!$AZ$3:$AZ$7,MATCH(C58,'G-7 WaterC'' Data'!$AY$3:$AY$7,0)),"")</f>
        <v/>
      </c>
      <c r="AK58" s="30" t="str">
        <f t="shared" si="5"/>
        <v>No</v>
      </c>
    </row>
    <row r="59" spans="2:37" ht="13.8" x14ac:dyDescent="0.25">
      <c r="B59" s="101">
        <v>48</v>
      </c>
      <c r="C59" s="950"/>
      <c r="D59" s="119"/>
      <c r="E59" s="281" t="str">
        <f>IF(C59="","",VLOOKUP(C59,'G-7 WaterC'' Data'!$B$2:$G$8,2,FALSE))</f>
        <v/>
      </c>
      <c r="F59" s="282" t="str">
        <f>IFERROR(VLOOKUP(E59,'G-7 WaterC'' Data'!$C$4:$D$8,2,FALSE),"")</f>
        <v/>
      </c>
      <c r="G59" s="105"/>
      <c r="H59" s="282" t="str">
        <f>IFERROR(INDEX('G-7 WaterC'' Data'!$H$4:$L$8,MATCH(C59,'G-7 WaterC'' Data'!$B$4:$B$8,0),MATCH(G59,'G-7 WaterC'' Data'!$H$3:$L$3,0)),"")</f>
        <v/>
      </c>
      <c r="I59" s="52"/>
      <c r="J59" s="289" t="str">
        <f>IF(I59="","",IF(VLOOKUP(I59,'G-7 WaterC'' Data'!$AK$4:$AM$6,2,FALSE)=0,"Spatial Data Missing ⚠",VLOOKUP(I59,'G-7 WaterC'' Data'!$AK$4:$AM$6,2,FALSE)))</f>
        <v/>
      </c>
      <c r="K59" s="282" t="str">
        <f>IF(I59="","",IF(VLOOKUP(I59,'G-7 WaterC'' Data'!$AK$4:$AM$6,3,FALSE)=0,"Spatial Data Missing ⚠",VLOOKUP(I59,'G-7 WaterC'' Data'!$AK$4:$AM$6,3,FALSE)))</f>
        <v/>
      </c>
      <c r="L59" s="281" t="str">
        <f>IFERROR(INDEX('G-7 WaterC'' Data'!$O$3:$O$7,MATCH(G59,'G-7 WaterC'' Data'!$N$3:$N$7,0)),"")</f>
        <v/>
      </c>
      <c r="M59" s="58"/>
      <c r="N59" s="137"/>
      <c r="O59" s="289" t="str">
        <f t="shared" si="0"/>
        <v/>
      </c>
      <c r="P59" s="302" t="str">
        <f t="shared" si="1"/>
        <v/>
      </c>
      <c r="Q59" s="340" t="str">
        <f>IFERROR(IF(P59="Check Data ⚠","Check Data ⚠",VLOOKUP(P59,'G-4 Temporal multipliers'!$A$4:$C$37,3,FALSE)),"")</f>
        <v/>
      </c>
      <c r="R59" s="281" t="str">
        <f>IF(C59="","",VLOOKUP(C59,'G-7 WaterC'' Data'!$B$4:$G$8,4,FALSE))</f>
        <v/>
      </c>
      <c r="S59" s="289" t="str">
        <f t="shared" si="2"/>
        <v/>
      </c>
      <c r="T59" s="320" t="str">
        <f t="shared" si="3"/>
        <v/>
      </c>
      <c r="U59" s="282" t="str">
        <f>IF(C59="","",VLOOKUP(T59,'G-3 Multipliers'!$P$2:$Q$6,2,FALSE))</f>
        <v/>
      </c>
      <c r="V59" s="106"/>
      <c r="W59" s="282" t="str">
        <f>IF(V59="","",IF(AND(V59="N/A - Culvert",C59&lt;&gt;"Culvert"),"Not possible ▲",IF(AND(C59="Culvert",V59&lt;&gt;"N/A - Culvert"),"Not possible ▲",IF(VLOOKUP(V59,'G-7 WaterC'' Data'!$AA$4:$AB$7,2,FALSE)=0,"Spatial Data Missing ⚠",VLOOKUP(V59,'G-7 WaterC'' Data'!$AA$4:$AB$7,2,FALSE)))))</f>
        <v/>
      </c>
      <c r="X59" s="56"/>
      <c r="Y59" s="282" t="str">
        <f>IF(X59="","",IF(AND(X59="N/A - Culvert", C59&lt;&gt;"Culvert"), "Not possible ▲",IF(AND(C59="Culvert",X59&lt;&gt;"N/A - Culvert"),"Not possible ▲",IF(VLOOKUP(X59,'G-7 WaterC'' Data'!$AD$4:$AE$14,2,FALSE)=0,"Enrcoachment Data Missing ⚠",VLOOKUP(X59,'G-7 WaterC'' Data'!$AD$4:$AE$14,2,FALSE)))))</f>
        <v/>
      </c>
      <c r="Z59" s="323" t="str">
        <f t="shared" si="4"/>
        <v/>
      </c>
      <c r="AA59" s="105"/>
      <c r="AB59" s="119"/>
      <c r="AC59" s="108"/>
      <c r="AH59" s="30" t="str">
        <f>IFERROR(INDEX('G-7 WaterC'' Data'!$AZ$3:$AZ$7,MATCH(C59,'G-7 WaterC'' Data'!$AY$3:$AY$7,0)),"")</f>
        <v/>
      </c>
      <c r="AK59" s="30" t="str">
        <f t="shared" si="5"/>
        <v>No</v>
      </c>
    </row>
    <row r="60" spans="2:37" ht="13.8" x14ac:dyDescent="0.25">
      <c r="B60" s="101">
        <v>49</v>
      </c>
      <c r="C60" s="950"/>
      <c r="D60" s="119"/>
      <c r="E60" s="281" t="str">
        <f>IF(C60="","",VLOOKUP(C60,'G-7 WaterC'' Data'!$B$2:$G$8,2,FALSE))</f>
        <v/>
      </c>
      <c r="F60" s="282" t="str">
        <f>IFERROR(VLOOKUP(E60,'G-7 WaterC'' Data'!$C$4:$D$8,2,FALSE),"")</f>
        <v/>
      </c>
      <c r="G60" s="105"/>
      <c r="H60" s="282" t="str">
        <f>IFERROR(INDEX('G-7 WaterC'' Data'!$H$4:$L$8,MATCH(C60,'G-7 WaterC'' Data'!$B$4:$B$8,0),MATCH(G60,'G-7 WaterC'' Data'!$H$3:$L$3,0)),"")</f>
        <v/>
      </c>
      <c r="I60" s="52"/>
      <c r="J60" s="289" t="str">
        <f>IF(I60="","",IF(VLOOKUP(I60,'G-7 WaterC'' Data'!$AK$4:$AM$6,2,FALSE)=0,"Spatial Data Missing ⚠",VLOOKUP(I60,'G-7 WaterC'' Data'!$AK$4:$AM$6,2,FALSE)))</f>
        <v/>
      </c>
      <c r="K60" s="282" t="str">
        <f>IF(I60="","",IF(VLOOKUP(I60,'G-7 WaterC'' Data'!$AK$4:$AM$6,3,FALSE)=0,"Spatial Data Missing ⚠",VLOOKUP(I60,'G-7 WaterC'' Data'!$AK$4:$AM$6,3,FALSE)))</f>
        <v/>
      </c>
      <c r="L60" s="281" t="str">
        <f>IFERROR(INDEX('G-7 WaterC'' Data'!$O$3:$O$7,MATCH(G60,'G-7 WaterC'' Data'!$N$3:$N$7,0)),"")</f>
        <v/>
      </c>
      <c r="M60" s="58"/>
      <c r="N60" s="137"/>
      <c r="O60" s="289" t="str">
        <f t="shared" si="0"/>
        <v/>
      </c>
      <c r="P60" s="302" t="str">
        <f t="shared" si="1"/>
        <v/>
      </c>
      <c r="Q60" s="340" t="str">
        <f>IFERROR(IF(P60="Check Data ⚠","Check Data ⚠",VLOOKUP(P60,'G-4 Temporal multipliers'!$A$4:$C$37,3,FALSE)),"")</f>
        <v/>
      </c>
      <c r="R60" s="281" t="str">
        <f>IF(C60="","",VLOOKUP(C60,'G-7 WaterC'' Data'!$B$4:$G$8,4,FALSE))</f>
        <v/>
      </c>
      <c r="S60" s="289" t="str">
        <f t="shared" si="2"/>
        <v/>
      </c>
      <c r="T60" s="320" t="str">
        <f t="shared" si="3"/>
        <v/>
      </c>
      <c r="U60" s="282" t="str">
        <f>IF(C60="","",VLOOKUP(T60,'G-3 Multipliers'!$P$2:$Q$6,2,FALSE))</f>
        <v/>
      </c>
      <c r="V60" s="106"/>
      <c r="W60" s="282" t="str">
        <f>IF(V60="","",IF(AND(V60="N/A - Culvert",C60&lt;&gt;"Culvert"),"Not possible ▲",IF(AND(C60="Culvert",V60&lt;&gt;"N/A - Culvert"),"Not possible ▲",IF(VLOOKUP(V60,'G-7 WaterC'' Data'!$AA$4:$AB$7,2,FALSE)=0,"Spatial Data Missing ⚠",VLOOKUP(V60,'G-7 WaterC'' Data'!$AA$4:$AB$7,2,FALSE)))))</f>
        <v/>
      </c>
      <c r="X60" s="56"/>
      <c r="Y60" s="282" t="str">
        <f>IF(X60="","",IF(AND(X60="N/A - Culvert", C60&lt;&gt;"Culvert"), "Not possible ▲",IF(AND(C60="Culvert",X60&lt;&gt;"N/A - Culvert"),"Not possible ▲",IF(VLOOKUP(X60,'G-7 WaterC'' Data'!$AD$4:$AE$14,2,FALSE)=0,"Enrcoachment Data Missing ⚠",VLOOKUP(X60,'G-7 WaterC'' Data'!$AD$4:$AE$14,2,FALSE)))))</f>
        <v/>
      </c>
      <c r="Z60" s="323" t="str">
        <f t="shared" si="4"/>
        <v/>
      </c>
      <c r="AA60" s="105"/>
      <c r="AB60" s="119"/>
      <c r="AC60" s="108"/>
      <c r="AH60" s="30" t="str">
        <f>IFERROR(INDEX('G-7 WaterC'' Data'!$AZ$3:$AZ$7,MATCH(C60,'G-7 WaterC'' Data'!$AY$3:$AY$7,0)),"")</f>
        <v/>
      </c>
      <c r="AK60" s="30" t="str">
        <f t="shared" si="5"/>
        <v>No</v>
      </c>
    </row>
    <row r="61" spans="2:37" ht="13.8" x14ac:dyDescent="0.25">
      <c r="B61" s="101">
        <v>50</v>
      </c>
      <c r="C61" s="950"/>
      <c r="D61" s="119"/>
      <c r="E61" s="281" t="str">
        <f>IF(C61="","",VLOOKUP(C61,'G-7 WaterC'' Data'!$B$2:$G$8,2,FALSE))</f>
        <v/>
      </c>
      <c r="F61" s="282" t="str">
        <f>IFERROR(VLOOKUP(E61,'G-7 WaterC'' Data'!$C$4:$D$8,2,FALSE),"")</f>
        <v/>
      </c>
      <c r="G61" s="105"/>
      <c r="H61" s="282" t="str">
        <f>IFERROR(INDEX('G-7 WaterC'' Data'!$H$4:$L$8,MATCH(C61,'G-7 WaterC'' Data'!$B$4:$B$8,0),MATCH(G61,'G-7 WaterC'' Data'!$H$3:$L$3,0)),"")</f>
        <v/>
      </c>
      <c r="I61" s="52"/>
      <c r="J61" s="289" t="str">
        <f>IF(I61="","",IF(VLOOKUP(I61,'G-7 WaterC'' Data'!$AK$4:$AM$6,2,FALSE)=0,"Spatial Data Missing ⚠",VLOOKUP(I61,'G-7 WaterC'' Data'!$AK$4:$AM$6,2,FALSE)))</f>
        <v/>
      </c>
      <c r="K61" s="282" t="str">
        <f>IF(I61="","",IF(VLOOKUP(I61,'G-7 WaterC'' Data'!$AK$4:$AM$6,3,FALSE)=0,"Spatial Data Missing ⚠",VLOOKUP(I61,'G-7 WaterC'' Data'!$AK$4:$AM$6,3,FALSE)))</f>
        <v/>
      </c>
      <c r="L61" s="281" t="str">
        <f>IFERROR(INDEX('G-7 WaterC'' Data'!$O$3:$O$7,MATCH(G61,'G-7 WaterC'' Data'!$N$3:$N$7,0)),"")</f>
        <v/>
      </c>
      <c r="M61" s="58"/>
      <c r="N61" s="137"/>
      <c r="O61" s="289" t="str">
        <f t="shared" si="0"/>
        <v/>
      </c>
      <c r="P61" s="302" t="str">
        <f t="shared" si="1"/>
        <v/>
      </c>
      <c r="Q61" s="340" t="str">
        <f>IFERROR(IF(P61="Check Data ⚠","Check Data ⚠",VLOOKUP(P61,'G-4 Temporal multipliers'!$A$4:$C$37,3,FALSE)),"")</f>
        <v/>
      </c>
      <c r="R61" s="281" t="str">
        <f>IF(C61="","",VLOOKUP(C61,'G-7 WaterC'' Data'!$B$4:$G$8,4,FALSE))</f>
        <v/>
      </c>
      <c r="S61" s="289" t="str">
        <f t="shared" si="2"/>
        <v/>
      </c>
      <c r="T61" s="320" t="str">
        <f t="shared" si="3"/>
        <v/>
      </c>
      <c r="U61" s="282" t="str">
        <f>IF(C61="","",VLOOKUP(T61,'G-3 Multipliers'!$P$2:$Q$6,2,FALSE))</f>
        <v/>
      </c>
      <c r="V61" s="106"/>
      <c r="W61" s="282" t="str">
        <f>IF(V61="","",IF(AND(V61="N/A - Culvert",C61&lt;&gt;"Culvert"),"Not possible ▲",IF(AND(C61="Culvert",V61&lt;&gt;"N/A - Culvert"),"Not possible ▲",IF(VLOOKUP(V61,'G-7 WaterC'' Data'!$AA$4:$AB$7,2,FALSE)=0,"Spatial Data Missing ⚠",VLOOKUP(V61,'G-7 WaterC'' Data'!$AA$4:$AB$7,2,FALSE)))))</f>
        <v/>
      </c>
      <c r="X61" s="56"/>
      <c r="Y61" s="282" t="str">
        <f>IF(X61="","",IF(AND(X61="N/A - Culvert", C61&lt;&gt;"Culvert"), "Not possible ▲",IF(AND(C61="Culvert",X61&lt;&gt;"N/A - Culvert"),"Not possible ▲",IF(VLOOKUP(X61,'G-7 WaterC'' Data'!$AD$4:$AE$14,2,FALSE)=0,"Enrcoachment Data Missing ⚠",VLOOKUP(X61,'G-7 WaterC'' Data'!$AD$4:$AE$14,2,FALSE)))))</f>
        <v/>
      </c>
      <c r="Z61" s="323" t="str">
        <f t="shared" si="4"/>
        <v/>
      </c>
      <c r="AA61" s="105"/>
      <c r="AB61" s="119"/>
      <c r="AC61" s="108"/>
      <c r="AH61" s="30" t="str">
        <f>IFERROR(INDEX('G-7 WaterC'' Data'!$AZ$3:$AZ$7,MATCH(C61,'G-7 WaterC'' Data'!$AY$3:$AY$7,0)),"")</f>
        <v/>
      </c>
      <c r="AK61" s="30" t="str">
        <f t="shared" si="5"/>
        <v>No</v>
      </c>
    </row>
    <row r="62" spans="2:37" ht="13.8" x14ac:dyDescent="0.25">
      <c r="B62" s="101">
        <v>51</v>
      </c>
      <c r="C62" s="950"/>
      <c r="D62" s="119"/>
      <c r="E62" s="281" t="str">
        <f>IF(C62="","",VLOOKUP(C62,'G-7 WaterC'' Data'!$B$2:$G$8,2,FALSE))</f>
        <v/>
      </c>
      <c r="F62" s="282" t="str">
        <f>IFERROR(VLOOKUP(E62,'G-7 WaterC'' Data'!$C$4:$D$8,2,FALSE),"")</f>
        <v/>
      </c>
      <c r="G62" s="105"/>
      <c r="H62" s="282" t="str">
        <f>IFERROR(INDEX('G-7 WaterC'' Data'!$H$4:$L$8,MATCH(C62,'G-7 WaterC'' Data'!$B$4:$B$8,0),MATCH(G62,'G-7 WaterC'' Data'!$H$3:$L$3,0)),"")</f>
        <v/>
      </c>
      <c r="I62" s="52"/>
      <c r="J62" s="289" t="str">
        <f>IF(I62="","",IF(VLOOKUP(I62,'G-7 WaterC'' Data'!$AK$4:$AM$6,2,FALSE)=0,"Spatial Data Missing ⚠",VLOOKUP(I62,'G-7 WaterC'' Data'!$AK$4:$AM$6,2,FALSE)))</f>
        <v/>
      </c>
      <c r="K62" s="282" t="str">
        <f>IF(I62="","",IF(VLOOKUP(I62,'G-7 WaterC'' Data'!$AK$4:$AM$6,3,FALSE)=0,"Spatial Data Missing ⚠",VLOOKUP(I62,'G-7 WaterC'' Data'!$AK$4:$AM$6,3,FALSE)))</f>
        <v/>
      </c>
      <c r="L62" s="281" t="str">
        <f>IFERROR(INDEX('G-7 WaterC'' Data'!$O$3:$O$7,MATCH(G62,'G-7 WaterC'' Data'!$N$3:$N$7,0)),"")</f>
        <v/>
      </c>
      <c r="M62" s="58"/>
      <c r="N62" s="137"/>
      <c r="O62" s="289" t="str">
        <f t="shared" si="0"/>
        <v/>
      </c>
      <c r="P62" s="302" t="str">
        <f t="shared" si="1"/>
        <v/>
      </c>
      <c r="Q62" s="340" t="str">
        <f>IFERROR(IF(P62="Check Data ⚠","Check Data ⚠",VLOOKUP(P62,'G-4 Temporal multipliers'!$A$4:$C$37,3,FALSE)),"")</f>
        <v/>
      </c>
      <c r="R62" s="281" t="str">
        <f>IF(C62="","",VLOOKUP(C62,'G-7 WaterC'' Data'!$B$4:$G$8,4,FALSE))</f>
        <v/>
      </c>
      <c r="S62" s="289" t="str">
        <f t="shared" si="2"/>
        <v/>
      </c>
      <c r="T62" s="320" t="str">
        <f t="shared" si="3"/>
        <v/>
      </c>
      <c r="U62" s="282" t="str">
        <f>IF(C62="","",VLOOKUP(T62,'G-3 Multipliers'!$P$2:$Q$6,2,FALSE))</f>
        <v/>
      </c>
      <c r="V62" s="106"/>
      <c r="W62" s="282" t="str">
        <f>IF(V62="","",IF(AND(V62="N/A - Culvert",C62&lt;&gt;"Culvert"),"Not possible ▲",IF(AND(C62="Culvert",V62&lt;&gt;"N/A - Culvert"),"Not possible ▲",IF(VLOOKUP(V62,'G-7 WaterC'' Data'!$AA$4:$AB$7,2,FALSE)=0,"Spatial Data Missing ⚠",VLOOKUP(V62,'G-7 WaterC'' Data'!$AA$4:$AB$7,2,FALSE)))))</f>
        <v/>
      </c>
      <c r="X62" s="56"/>
      <c r="Y62" s="282" t="str">
        <f>IF(X62="","",IF(AND(X62="N/A - Culvert", C62&lt;&gt;"Culvert"), "Not possible ▲",IF(AND(C62="Culvert",X62&lt;&gt;"N/A - Culvert"),"Not possible ▲",IF(VLOOKUP(X62,'G-7 WaterC'' Data'!$AD$4:$AE$14,2,FALSE)=0,"Enrcoachment Data Missing ⚠",VLOOKUP(X62,'G-7 WaterC'' Data'!$AD$4:$AE$14,2,FALSE)))))</f>
        <v/>
      </c>
      <c r="Z62" s="323" t="str">
        <f t="shared" si="4"/>
        <v/>
      </c>
      <c r="AA62" s="105"/>
      <c r="AB62" s="119"/>
      <c r="AC62" s="108"/>
      <c r="AH62" s="30" t="str">
        <f>IFERROR(INDEX('G-7 WaterC'' Data'!$AZ$3:$AZ$7,MATCH(C62,'G-7 WaterC'' Data'!$AY$3:$AY$7,0)),"")</f>
        <v/>
      </c>
      <c r="AK62" s="30" t="str">
        <f t="shared" si="5"/>
        <v>No</v>
      </c>
    </row>
    <row r="63" spans="2:37" ht="13.8" x14ac:dyDescent="0.25">
      <c r="B63" s="101">
        <v>52</v>
      </c>
      <c r="C63" s="950"/>
      <c r="D63" s="119"/>
      <c r="E63" s="281" t="str">
        <f>IF(C63="","",VLOOKUP(C63,'G-7 WaterC'' Data'!$B$2:$G$8,2,FALSE))</f>
        <v/>
      </c>
      <c r="F63" s="282" t="str">
        <f>IFERROR(VLOOKUP(E63,'G-7 WaterC'' Data'!$C$4:$D$8,2,FALSE),"")</f>
        <v/>
      </c>
      <c r="G63" s="105"/>
      <c r="H63" s="282" t="str">
        <f>IFERROR(INDEX('G-7 WaterC'' Data'!$H$4:$L$8,MATCH(C63,'G-7 WaterC'' Data'!$B$4:$B$8,0),MATCH(G63,'G-7 WaterC'' Data'!$H$3:$L$3,0)),"")</f>
        <v/>
      </c>
      <c r="I63" s="52"/>
      <c r="J63" s="289" t="str">
        <f>IF(I63="","",IF(VLOOKUP(I63,'G-7 WaterC'' Data'!$AK$4:$AM$6,2,FALSE)=0,"Spatial Data Missing ⚠",VLOOKUP(I63,'G-7 WaterC'' Data'!$AK$4:$AM$6,2,FALSE)))</f>
        <v/>
      </c>
      <c r="K63" s="282" t="str">
        <f>IF(I63="","",IF(VLOOKUP(I63,'G-7 WaterC'' Data'!$AK$4:$AM$6,3,FALSE)=0,"Spatial Data Missing ⚠",VLOOKUP(I63,'G-7 WaterC'' Data'!$AK$4:$AM$6,3,FALSE)))</f>
        <v/>
      </c>
      <c r="L63" s="281" t="str">
        <f>IFERROR(INDEX('G-7 WaterC'' Data'!$O$3:$O$7,MATCH(G63,'G-7 WaterC'' Data'!$N$3:$N$7,0)),"")</f>
        <v/>
      </c>
      <c r="M63" s="58"/>
      <c r="N63" s="137"/>
      <c r="O63" s="289" t="str">
        <f t="shared" si="0"/>
        <v/>
      </c>
      <c r="P63" s="302" t="str">
        <f t="shared" si="1"/>
        <v/>
      </c>
      <c r="Q63" s="340" t="str">
        <f>IFERROR(IF(P63="Check Data ⚠","Check Data ⚠",VLOOKUP(P63,'G-4 Temporal multipliers'!$A$4:$C$37,3,FALSE)),"")</f>
        <v/>
      </c>
      <c r="R63" s="281" t="str">
        <f>IF(C63="","",VLOOKUP(C63,'G-7 WaterC'' Data'!$B$4:$G$8,4,FALSE))</f>
        <v/>
      </c>
      <c r="S63" s="289" t="str">
        <f t="shared" si="2"/>
        <v/>
      </c>
      <c r="T63" s="320" t="str">
        <f t="shared" si="3"/>
        <v/>
      </c>
      <c r="U63" s="282" t="str">
        <f>IF(C63="","",VLOOKUP(T63,'G-3 Multipliers'!$P$2:$Q$6,2,FALSE))</f>
        <v/>
      </c>
      <c r="V63" s="106"/>
      <c r="W63" s="282" t="str">
        <f>IF(V63="","",IF(AND(V63="N/A - Culvert",C63&lt;&gt;"Culvert"),"Not possible ▲",IF(AND(C63="Culvert",V63&lt;&gt;"N/A - Culvert"),"Not possible ▲",IF(VLOOKUP(V63,'G-7 WaterC'' Data'!$AA$4:$AB$7,2,FALSE)=0,"Spatial Data Missing ⚠",VLOOKUP(V63,'G-7 WaterC'' Data'!$AA$4:$AB$7,2,FALSE)))))</f>
        <v/>
      </c>
      <c r="X63" s="56"/>
      <c r="Y63" s="282" t="str">
        <f>IF(X63="","",IF(AND(X63="N/A - Culvert", C63&lt;&gt;"Culvert"), "Not possible ▲",IF(AND(C63="Culvert",X63&lt;&gt;"N/A - Culvert"),"Not possible ▲",IF(VLOOKUP(X63,'G-7 WaterC'' Data'!$AD$4:$AE$14,2,FALSE)=0,"Enrcoachment Data Missing ⚠",VLOOKUP(X63,'G-7 WaterC'' Data'!$AD$4:$AE$14,2,FALSE)))))</f>
        <v/>
      </c>
      <c r="Z63" s="323" t="str">
        <f t="shared" si="4"/>
        <v/>
      </c>
      <c r="AA63" s="105"/>
      <c r="AB63" s="119"/>
      <c r="AC63" s="108"/>
      <c r="AH63" s="30" t="str">
        <f>IFERROR(INDEX('G-7 WaterC'' Data'!$AZ$3:$AZ$7,MATCH(C63,'G-7 WaterC'' Data'!$AY$3:$AY$7,0)),"")</f>
        <v/>
      </c>
      <c r="AK63" s="30" t="str">
        <f t="shared" si="5"/>
        <v>No</v>
      </c>
    </row>
    <row r="64" spans="2:37" ht="13.8" x14ac:dyDescent="0.25">
      <c r="B64" s="101">
        <v>53</v>
      </c>
      <c r="C64" s="950"/>
      <c r="D64" s="119"/>
      <c r="E64" s="281" t="str">
        <f>IF(C64="","",VLOOKUP(C64,'G-7 WaterC'' Data'!$B$2:$G$8,2,FALSE))</f>
        <v/>
      </c>
      <c r="F64" s="282" t="str">
        <f>IFERROR(VLOOKUP(E64,'G-7 WaterC'' Data'!$C$4:$D$8,2,FALSE),"")</f>
        <v/>
      </c>
      <c r="G64" s="105"/>
      <c r="H64" s="282" t="str">
        <f>IFERROR(INDEX('G-7 WaterC'' Data'!$H$4:$L$8,MATCH(C64,'G-7 WaterC'' Data'!$B$4:$B$8,0),MATCH(G64,'G-7 WaterC'' Data'!$H$3:$L$3,0)),"")</f>
        <v/>
      </c>
      <c r="I64" s="52"/>
      <c r="J64" s="289" t="str">
        <f>IF(I64="","",IF(VLOOKUP(I64,'G-7 WaterC'' Data'!$AK$4:$AM$6,2,FALSE)=0,"Spatial Data Missing ⚠",VLOOKUP(I64,'G-7 WaterC'' Data'!$AK$4:$AM$6,2,FALSE)))</f>
        <v/>
      </c>
      <c r="K64" s="282" t="str">
        <f>IF(I64="","",IF(VLOOKUP(I64,'G-7 WaterC'' Data'!$AK$4:$AM$6,3,FALSE)=0,"Spatial Data Missing ⚠",VLOOKUP(I64,'G-7 WaterC'' Data'!$AK$4:$AM$6,3,FALSE)))</f>
        <v/>
      </c>
      <c r="L64" s="281" t="str">
        <f>IFERROR(INDEX('G-7 WaterC'' Data'!$O$3:$O$7,MATCH(G64,'G-7 WaterC'' Data'!$N$3:$N$7,0)),"")</f>
        <v/>
      </c>
      <c r="M64" s="58"/>
      <c r="N64" s="137"/>
      <c r="O64" s="289" t="str">
        <f t="shared" si="0"/>
        <v/>
      </c>
      <c r="P64" s="302" t="str">
        <f t="shared" si="1"/>
        <v/>
      </c>
      <c r="Q64" s="340" t="str">
        <f>IFERROR(IF(P64="Check Data ⚠","Check Data ⚠",VLOOKUP(P64,'G-4 Temporal multipliers'!$A$4:$C$37,3,FALSE)),"")</f>
        <v/>
      </c>
      <c r="R64" s="281" t="str">
        <f>IF(C64="","",VLOOKUP(C64,'G-7 WaterC'' Data'!$B$4:$G$8,4,FALSE))</f>
        <v/>
      </c>
      <c r="S64" s="289" t="str">
        <f t="shared" si="2"/>
        <v/>
      </c>
      <c r="T64" s="320" t="str">
        <f t="shared" si="3"/>
        <v/>
      </c>
      <c r="U64" s="282" t="str">
        <f>IF(C64="","",VLOOKUP(T64,'G-3 Multipliers'!$P$2:$Q$6,2,FALSE))</f>
        <v/>
      </c>
      <c r="V64" s="106"/>
      <c r="W64" s="282" t="str">
        <f>IF(V64="","",IF(AND(V64="N/A - Culvert",C64&lt;&gt;"Culvert"),"Not possible ▲",IF(AND(C64="Culvert",V64&lt;&gt;"N/A - Culvert"),"Not possible ▲",IF(VLOOKUP(V64,'G-7 WaterC'' Data'!$AA$4:$AB$7,2,FALSE)=0,"Spatial Data Missing ⚠",VLOOKUP(V64,'G-7 WaterC'' Data'!$AA$4:$AB$7,2,FALSE)))))</f>
        <v/>
      </c>
      <c r="X64" s="56"/>
      <c r="Y64" s="282" t="str">
        <f>IF(X64="","",IF(AND(X64="N/A - Culvert", C64&lt;&gt;"Culvert"), "Not possible ▲",IF(AND(C64="Culvert",X64&lt;&gt;"N/A - Culvert"),"Not possible ▲",IF(VLOOKUP(X64,'G-7 WaterC'' Data'!$AD$4:$AE$14,2,FALSE)=0,"Enrcoachment Data Missing ⚠",VLOOKUP(X64,'G-7 WaterC'' Data'!$AD$4:$AE$14,2,FALSE)))))</f>
        <v/>
      </c>
      <c r="Z64" s="323" t="str">
        <f t="shared" si="4"/>
        <v/>
      </c>
      <c r="AA64" s="105"/>
      <c r="AB64" s="119"/>
      <c r="AC64" s="108"/>
      <c r="AH64" s="30" t="str">
        <f>IFERROR(INDEX('G-7 WaterC'' Data'!$AZ$3:$AZ$7,MATCH(C64,'G-7 WaterC'' Data'!$AY$3:$AY$7,0)),"")</f>
        <v/>
      </c>
      <c r="AK64" s="30" t="str">
        <f t="shared" si="5"/>
        <v>No</v>
      </c>
    </row>
    <row r="65" spans="2:37" ht="13.8" x14ac:dyDescent="0.25">
      <c r="B65" s="101">
        <v>54</v>
      </c>
      <c r="C65" s="950"/>
      <c r="D65" s="119"/>
      <c r="E65" s="281" t="str">
        <f>IF(C65="","",VLOOKUP(C65,'G-7 WaterC'' Data'!$B$2:$G$8,2,FALSE))</f>
        <v/>
      </c>
      <c r="F65" s="282" t="str">
        <f>IFERROR(VLOOKUP(E65,'G-7 WaterC'' Data'!$C$4:$D$8,2,FALSE),"")</f>
        <v/>
      </c>
      <c r="G65" s="105"/>
      <c r="H65" s="282" t="str">
        <f>IFERROR(INDEX('G-7 WaterC'' Data'!$H$4:$L$8,MATCH(C65,'G-7 WaterC'' Data'!$B$4:$B$8,0),MATCH(G65,'G-7 WaterC'' Data'!$H$3:$L$3,0)),"")</f>
        <v/>
      </c>
      <c r="I65" s="52"/>
      <c r="J65" s="289" t="str">
        <f>IF(I65="","",IF(VLOOKUP(I65,'G-7 WaterC'' Data'!$AK$4:$AM$6,2,FALSE)=0,"Spatial Data Missing ⚠",VLOOKUP(I65,'G-7 WaterC'' Data'!$AK$4:$AM$6,2,FALSE)))</f>
        <v/>
      </c>
      <c r="K65" s="282" t="str">
        <f>IF(I65="","",IF(VLOOKUP(I65,'G-7 WaterC'' Data'!$AK$4:$AM$6,3,FALSE)=0,"Spatial Data Missing ⚠",VLOOKUP(I65,'G-7 WaterC'' Data'!$AK$4:$AM$6,3,FALSE)))</f>
        <v/>
      </c>
      <c r="L65" s="281" t="str">
        <f>IFERROR(INDEX('G-7 WaterC'' Data'!$O$3:$O$7,MATCH(G65,'G-7 WaterC'' Data'!$N$3:$N$7,0)),"")</f>
        <v/>
      </c>
      <c r="M65" s="58"/>
      <c r="N65" s="137"/>
      <c r="O65" s="289" t="str">
        <f t="shared" si="0"/>
        <v/>
      </c>
      <c r="P65" s="302" t="str">
        <f t="shared" si="1"/>
        <v/>
      </c>
      <c r="Q65" s="340" t="str">
        <f>IFERROR(IF(P65="Check Data ⚠","Check Data ⚠",VLOOKUP(P65,'G-4 Temporal multipliers'!$A$4:$C$37,3,FALSE)),"")</f>
        <v/>
      </c>
      <c r="R65" s="281" t="str">
        <f>IF(C65="","",VLOOKUP(C65,'G-7 WaterC'' Data'!$B$4:$G$8,4,FALSE))</f>
        <v/>
      </c>
      <c r="S65" s="289" t="str">
        <f t="shared" si="2"/>
        <v/>
      </c>
      <c r="T65" s="320" t="str">
        <f t="shared" si="3"/>
        <v/>
      </c>
      <c r="U65" s="282" t="str">
        <f>IF(C65="","",VLOOKUP(T65,'G-3 Multipliers'!$P$2:$Q$6,2,FALSE))</f>
        <v/>
      </c>
      <c r="V65" s="106"/>
      <c r="W65" s="282" t="str">
        <f>IF(V65="","",IF(AND(V65="N/A - Culvert",C65&lt;&gt;"Culvert"),"Not possible ▲",IF(AND(C65="Culvert",V65&lt;&gt;"N/A - Culvert"),"Not possible ▲",IF(VLOOKUP(V65,'G-7 WaterC'' Data'!$AA$4:$AB$7,2,FALSE)=0,"Spatial Data Missing ⚠",VLOOKUP(V65,'G-7 WaterC'' Data'!$AA$4:$AB$7,2,FALSE)))))</f>
        <v/>
      </c>
      <c r="X65" s="56"/>
      <c r="Y65" s="282" t="str">
        <f>IF(X65="","",IF(AND(X65="N/A - Culvert", C65&lt;&gt;"Culvert"), "Not possible ▲",IF(AND(C65="Culvert",X65&lt;&gt;"N/A - Culvert"),"Not possible ▲",IF(VLOOKUP(X65,'G-7 WaterC'' Data'!$AD$4:$AE$14,2,FALSE)=0,"Enrcoachment Data Missing ⚠",VLOOKUP(X65,'G-7 WaterC'' Data'!$AD$4:$AE$14,2,FALSE)))))</f>
        <v/>
      </c>
      <c r="Z65" s="323" t="str">
        <f t="shared" si="4"/>
        <v/>
      </c>
      <c r="AA65" s="105"/>
      <c r="AB65" s="119"/>
      <c r="AC65" s="108"/>
      <c r="AH65" s="30" t="str">
        <f>IFERROR(INDEX('G-7 WaterC'' Data'!$AZ$3:$AZ$7,MATCH(C65,'G-7 WaterC'' Data'!$AY$3:$AY$7,0)),"")</f>
        <v/>
      </c>
      <c r="AK65" s="30" t="str">
        <f t="shared" si="5"/>
        <v>No</v>
      </c>
    </row>
    <row r="66" spans="2:37" ht="13.8" x14ac:dyDescent="0.25">
      <c r="B66" s="101">
        <v>55</v>
      </c>
      <c r="C66" s="950"/>
      <c r="D66" s="119"/>
      <c r="E66" s="281" t="str">
        <f>IF(C66="","",VLOOKUP(C66,'G-7 WaterC'' Data'!$B$2:$G$8,2,FALSE))</f>
        <v/>
      </c>
      <c r="F66" s="282" t="str">
        <f>IFERROR(VLOOKUP(E66,'G-7 WaterC'' Data'!$C$4:$D$8,2,FALSE),"")</f>
        <v/>
      </c>
      <c r="G66" s="105"/>
      <c r="H66" s="282" t="str">
        <f>IFERROR(INDEX('G-7 WaterC'' Data'!$H$4:$L$8,MATCH(C66,'G-7 WaterC'' Data'!$B$4:$B$8,0),MATCH(G66,'G-7 WaterC'' Data'!$H$3:$L$3,0)),"")</f>
        <v/>
      </c>
      <c r="I66" s="52"/>
      <c r="J66" s="289" t="str">
        <f>IF(I66="","",IF(VLOOKUP(I66,'G-7 WaterC'' Data'!$AK$4:$AM$6,2,FALSE)=0,"Spatial Data Missing ⚠",VLOOKUP(I66,'G-7 WaterC'' Data'!$AK$4:$AM$6,2,FALSE)))</f>
        <v/>
      </c>
      <c r="K66" s="282" t="str">
        <f>IF(I66="","",IF(VLOOKUP(I66,'G-7 WaterC'' Data'!$AK$4:$AM$6,3,FALSE)=0,"Spatial Data Missing ⚠",VLOOKUP(I66,'G-7 WaterC'' Data'!$AK$4:$AM$6,3,FALSE)))</f>
        <v/>
      </c>
      <c r="L66" s="281" t="str">
        <f>IFERROR(INDEX('G-7 WaterC'' Data'!$O$3:$O$7,MATCH(G66,'G-7 WaterC'' Data'!$N$3:$N$7,0)),"")</f>
        <v/>
      </c>
      <c r="M66" s="58"/>
      <c r="N66" s="137"/>
      <c r="O66" s="289" t="str">
        <f t="shared" si="0"/>
        <v/>
      </c>
      <c r="P66" s="302" t="str">
        <f t="shared" si="1"/>
        <v/>
      </c>
      <c r="Q66" s="340" t="str">
        <f>IFERROR(IF(P66="Check Data ⚠","Check Data ⚠",VLOOKUP(P66,'G-4 Temporal multipliers'!$A$4:$C$37,3,FALSE)),"")</f>
        <v/>
      </c>
      <c r="R66" s="281" t="str">
        <f>IF(C66="","",VLOOKUP(C66,'G-7 WaterC'' Data'!$B$4:$G$8,4,FALSE))</f>
        <v/>
      </c>
      <c r="S66" s="289" t="str">
        <f t="shared" si="2"/>
        <v/>
      </c>
      <c r="T66" s="320" t="str">
        <f t="shared" si="3"/>
        <v/>
      </c>
      <c r="U66" s="282" t="str">
        <f>IF(C66="","",VLOOKUP(T66,'G-3 Multipliers'!$P$2:$Q$6,2,FALSE))</f>
        <v/>
      </c>
      <c r="V66" s="106"/>
      <c r="W66" s="282" t="str">
        <f>IF(V66="","",IF(AND(V66="N/A - Culvert",C66&lt;&gt;"Culvert"),"Not possible ▲",IF(AND(C66="Culvert",V66&lt;&gt;"N/A - Culvert"),"Not possible ▲",IF(VLOOKUP(V66,'G-7 WaterC'' Data'!$AA$4:$AB$7,2,FALSE)=0,"Spatial Data Missing ⚠",VLOOKUP(V66,'G-7 WaterC'' Data'!$AA$4:$AB$7,2,FALSE)))))</f>
        <v/>
      </c>
      <c r="X66" s="56"/>
      <c r="Y66" s="282" t="str">
        <f>IF(X66="","",IF(AND(X66="N/A - Culvert", C66&lt;&gt;"Culvert"), "Not possible ▲",IF(AND(C66="Culvert",X66&lt;&gt;"N/A - Culvert"),"Not possible ▲",IF(VLOOKUP(X66,'G-7 WaterC'' Data'!$AD$4:$AE$14,2,FALSE)=0,"Enrcoachment Data Missing ⚠",VLOOKUP(X66,'G-7 WaterC'' Data'!$AD$4:$AE$14,2,FALSE)))))</f>
        <v/>
      </c>
      <c r="Z66" s="323" t="str">
        <f t="shared" si="4"/>
        <v/>
      </c>
      <c r="AA66" s="105"/>
      <c r="AB66" s="119"/>
      <c r="AC66" s="108"/>
      <c r="AH66" s="30" t="str">
        <f>IFERROR(INDEX('G-7 WaterC'' Data'!$AZ$3:$AZ$7,MATCH(C66,'G-7 WaterC'' Data'!$AY$3:$AY$7,0)),"")</f>
        <v/>
      </c>
      <c r="AK66" s="30" t="str">
        <f t="shared" si="5"/>
        <v>No</v>
      </c>
    </row>
    <row r="67" spans="2:37" ht="13.8" x14ac:dyDescent="0.25">
      <c r="B67" s="101">
        <v>56</v>
      </c>
      <c r="C67" s="950"/>
      <c r="D67" s="119"/>
      <c r="E67" s="281" t="str">
        <f>IF(C67="","",VLOOKUP(C67,'G-7 WaterC'' Data'!$B$2:$G$8,2,FALSE))</f>
        <v/>
      </c>
      <c r="F67" s="282" t="str">
        <f>IFERROR(VLOOKUP(E67,'G-7 WaterC'' Data'!$C$4:$D$8,2,FALSE),"")</f>
        <v/>
      </c>
      <c r="G67" s="105"/>
      <c r="H67" s="282" t="str">
        <f>IFERROR(INDEX('G-7 WaterC'' Data'!$H$4:$L$8,MATCH(C67,'G-7 WaterC'' Data'!$B$4:$B$8,0),MATCH(G67,'G-7 WaterC'' Data'!$H$3:$L$3,0)),"")</f>
        <v/>
      </c>
      <c r="I67" s="52"/>
      <c r="J67" s="289" t="str">
        <f>IF(I67="","",IF(VLOOKUP(I67,'G-7 WaterC'' Data'!$AK$4:$AM$6,2,FALSE)=0,"Spatial Data Missing ⚠",VLOOKUP(I67,'G-7 WaterC'' Data'!$AK$4:$AM$6,2,FALSE)))</f>
        <v/>
      </c>
      <c r="K67" s="282" t="str">
        <f>IF(I67="","",IF(VLOOKUP(I67,'G-7 WaterC'' Data'!$AK$4:$AM$6,3,FALSE)=0,"Spatial Data Missing ⚠",VLOOKUP(I67,'G-7 WaterC'' Data'!$AK$4:$AM$6,3,FALSE)))</f>
        <v/>
      </c>
      <c r="L67" s="281" t="str">
        <f>IFERROR(INDEX('G-7 WaterC'' Data'!$O$3:$O$7,MATCH(G67,'G-7 WaterC'' Data'!$N$3:$N$7,0)),"")</f>
        <v/>
      </c>
      <c r="M67" s="58"/>
      <c r="N67" s="137"/>
      <c r="O67" s="289" t="str">
        <f t="shared" si="0"/>
        <v/>
      </c>
      <c r="P67" s="302" t="str">
        <f t="shared" si="1"/>
        <v/>
      </c>
      <c r="Q67" s="340" t="str">
        <f>IFERROR(IF(P67="Check Data ⚠","Check Data ⚠",VLOOKUP(P67,'G-4 Temporal multipliers'!$A$4:$C$37,3,FALSE)),"")</f>
        <v/>
      </c>
      <c r="R67" s="281" t="str">
        <f>IF(C67="","",VLOOKUP(C67,'G-7 WaterC'' Data'!$B$4:$G$8,4,FALSE))</f>
        <v/>
      </c>
      <c r="S67" s="289" t="str">
        <f t="shared" si="2"/>
        <v/>
      </c>
      <c r="T67" s="320" t="str">
        <f t="shared" si="3"/>
        <v/>
      </c>
      <c r="U67" s="282" t="str">
        <f>IF(C67="","",VLOOKUP(T67,'G-3 Multipliers'!$P$2:$Q$6,2,FALSE))</f>
        <v/>
      </c>
      <c r="V67" s="106"/>
      <c r="W67" s="282" t="str">
        <f>IF(V67="","",IF(AND(V67="N/A - Culvert",C67&lt;&gt;"Culvert"),"Not possible ▲",IF(AND(C67="Culvert",V67&lt;&gt;"N/A - Culvert"),"Not possible ▲",IF(VLOOKUP(V67,'G-7 WaterC'' Data'!$AA$4:$AB$7,2,FALSE)=0,"Spatial Data Missing ⚠",VLOOKUP(V67,'G-7 WaterC'' Data'!$AA$4:$AB$7,2,FALSE)))))</f>
        <v/>
      </c>
      <c r="X67" s="56"/>
      <c r="Y67" s="282" t="str">
        <f>IF(X67="","",IF(AND(X67="N/A - Culvert", C67&lt;&gt;"Culvert"), "Not possible ▲",IF(AND(C67="Culvert",X67&lt;&gt;"N/A - Culvert"),"Not possible ▲",IF(VLOOKUP(X67,'G-7 WaterC'' Data'!$AD$4:$AE$14,2,FALSE)=0,"Enrcoachment Data Missing ⚠",VLOOKUP(X67,'G-7 WaterC'' Data'!$AD$4:$AE$14,2,FALSE)))))</f>
        <v/>
      </c>
      <c r="Z67" s="323" t="str">
        <f t="shared" si="4"/>
        <v/>
      </c>
      <c r="AA67" s="105"/>
      <c r="AB67" s="119"/>
      <c r="AC67" s="108"/>
      <c r="AH67" s="30" t="str">
        <f>IFERROR(INDEX('G-7 WaterC'' Data'!$AZ$3:$AZ$7,MATCH(C67,'G-7 WaterC'' Data'!$AY$3:$AY$7,0)),"")</f>
        <v/>
      </c>
      <c r="AK67" s="30" t="str">
        <f t="shared" si="5"/>
        <v>No</v>
      </c>
    </row>
    <row r="68" spans="2:37" ht="13.8" x14ac:dyDescent="0.25">
      <c r="B68" s="101">
        <v>57</v>
      </c>
      <c r="C68" s="950"/>
      <c r="D68" s="119"/>
      <c r="E68" s="281" t="str">
        <f>IF(C68="","",VLOOKUP(C68,'G-7 WaterC'' Data'!$B$2:$G$8,2,FALSE))</f>
        <v/>
      </c>
      <c r="F68" s="282" t="str">
        <f>IFERROR(VLOOKUP(E68,'G-7 WaterC'' Data'!$C$4:$D$8,2,FALSE),"")</f>
        <v/>
      </c>
      <c r="G68" s="105"/>
      <c r="H68" s="282" t="str">
        <f>IFERROR(INDEX('G-7 WaterC'' Data'!$H$4:$L$8,MATCH(C68,'G-7 WaterC'' Data'!$B$4:$B$8,0),MATCH(G68,'G-7 WaterC'' Data'!$H$3:$L$3,0)),"")</f>
        <v/>
      </c>
      <c r="I68" s="52"/>
      <c r="J68" s="289" t="str">
        <f>IF(I68="","",IF(VLOOKUP(I68,'G-7 WaterC'' Data'!$AK$4:$AM$6,2,FALSE)=0,"Spatial Data Missing ⚠",VLOOKUP(I68,'G-7 WaterC'' Data'!$AK$4:$AM$6,2,FALSE)))</f>
        <v/>
      </c>
      <c r="K68" s="282" t="str">
        <f>IF(I68="","",IF(VLOOKUP(I68,'G-7 WaterC'' Data'!$AK$4:$AM$6,3,FALSE)=0,"Spatial Data Missing ⚠",VLOOKUP(I68,'G-7 WaterC'' Data'!$AK$4:$AM$6,3,FALSE)))</f>
        <v/>
      </c>
      <c r="L68" s="281" t="str">
        <f>IFERROR(INDEX('G-7 WaterC'' Data'!$O$3:$O$7,MATCH(G68,'G-7 WaterC'' Data'!$N$3:$N$7,0)),"")</f>
        <v/>
      </c>
      <c r="M68" s="58"/>
      <c r="N68" s="137"/>
      <c r="O68" s="289" t="str">
        <f t="shared" si="0"/>
        <v/>
      </c>
      <c r="P68" s="302" t="str">
        <f t="shared" si="1"/>
        <v/>
      </c>
      <c r="Q68" s="340" t="str">
        <f>IFERROR(IF(P68="Check Data ⚠","Check Data ⚠",VLOOKUP(P68,'G-4 Temporal multipliers'!$A$4:$C$37,3,FALSE)),"")</f>
        <v/>
      </c>
      <c r="R68" s="281" t="str">
        <f>IF(C68="","",VLOOKUP(C68,'G-7 WaterC'' Data'!$B$4:$G$8,4,FALSE))</f>
        <v/>
      </c>
      <c r="S68" s="289" t="str">
        <f t="shared" si="2"/>
        <v/>
      </c>
      <c r="T68" s="320" t="str">
        <f t="shared" si="3"/>
        <v/>
      </c>
      <c r="U68" s="282" t="str">
        <f>IF(C68="","",VLOOKUP(T68,'G-3 Multipliers'!$P$2:$Q$6,2,FALSE))</f>
        <v/>
      </c>
      <c r="V68" s="106"/>
      <c r="W68" s="282" t="str">
        <f>IF(V68="","",IF(AND(V68="N/A - Culvert",C68&lt;&gt;"Culvert"),"Not possible ▲",IF(AND(C68="Culvert",V68&lt;&gt;"N/A - Culvert"),"Not possible ▲",IF(VLOOKUP(V68,'G-7 WaterC'' Data'!$AA$4:$AB$7,2,FALSE)=0,"Spatial Data Missing ⚠",VLOOKUP(V68,'G-7 WaterC'' Data'!$AA$4:$AB$7,2,FALSE)))))</f>
        <v/>
      </c>
      <c r="X68" s="56"/>
      <c r="Y68" s="282" t="str">
        <f>IF(X68="","",IF(AND(X68="N/A - Culvert", C68&lt;&gt;"Culvert"), "Not possible ▲",IF(AND(C68="Culvert",X68&lt;&gt;"N/A - Culvert"),"Not possible ▲",IF(VLOOKUP(X68,'G-7 WaterC'' Data'!$AD$4:$AE$14,2,FALSE)=0,"Enrcoachment Data Missing ⚠",VLOOKUP(X68,'G-7 WaterC'' Data'!$AD$4:$AE$14,2,FALSE)))))</f>
        <v/>
      </c>
      <c r="Z68" s="323" t="str">
        <f t="shared" si="4"/>
        <v/>
      </c>
      <c r="AA68" s="105"/>
      <c r="AB68" s="119"/>
      <c r="AC68" s="108"/>
      <c r="AH68" s="30" t="str">
        <f>IFERROR(INDEX('G-7 WaterC'' Data'!$AZ$3:$AZ$7,MATCH(C68,'G-7 WaterC'' Data'!$AY$3:$AY$7,0)),"")</f>
        <v/>
      </c>
      <c r="AK68" s="30" t="str">
        <f t="shared" si="5"/>
        <v>No</v>
      </c>
    </row>
    <row r="69" spans="2:37" ht="13.8" x14ac:dyDescent="0.25">
      <c r="B69" s="101">
        <v>58</v>
      </c>
      <c r="C69" s="950"/>
      <c r="D69" s="119"/>
      <c r="E69" s="281" t="str">
        <f>IF(C69="","",VLOOKUP(C69,'G-7 WaterC'' Data'!$B$2:$G$8,2,FALSE))</f>
        <v/>
      </c>
      <c r="F69" s="282" t="str">
        <f>IFERROR(VLOOKUP(E69,'G-7 WaterC'' Data'!$C$4:$D$8,2,FALSE),"")</f>
        <v/>
      </c>
      <c r="G69" s="105"/>
      <c r="H69" s="282" t="str">
        <f>IFERROR(INDEX('G-7 WaterC'' Data'!$H$4:$L$8,MATCH(C69,'G-7 WaterC'' Data'!$B$4:$B$8,0),MATCH(G69,'G-7 WaterC'' Data'!$H$3:$L$3,0)),"")</f>
        <v/>
      </c>
      <c r="I69" s="52"/>
      <c r="J69" s="289" t="str">
        <f>IF(I69="","",IF(VLOOKUP(I69,'G-7 WaterC'' Data'!$AK$4:$AM$6,2,FALSE)=0,"Spatial Data Missing ⚠",VLOOKUP(I69,'G-7 WaterC'' Data'!$AK$4:$AM$6,2,FALSE)))</f>
        <v/>
      </c>
      <c r="K69" s="282" t="str">
        <f>IF(I69="","",IF(VLOOKUP(I69,'G-7 WaterC'' Data'!$AK$4:$AM$6,3,FALSE)=0,"Spatial Data Missing ⚠",VLOOKUP(I69,'G-7 WaterC'' Data'!$AK$4:$AM$6,3,FALSE)))</f>
        <v/>
      </c>
      <c r="L69" s="281" t="str">
        <f>IFERROR(INDEX('G-7 WaterC'' Data'!$O$3:$O$7,MATCH(G69,'G-7 WaterC'' Data'!$N$3:$N$7,0)),"")</f>
        <v/>
      </c>
      <c r="M69" s="58"/>
      <c r="N69" s="137"/>
      <c r="O69" s="289" t="str">
        <f t="shared" si="0"/>
        <v/>
      </c>
      <c r="P69" s="302" t="str">
        <f t="shared" si="1"/>
        <v/>
      </c>
      <c r="Q69" s="340" t="str">
        <f>IFERROR(IF(P69="Check Data ⚠","Check Data ⚠",VLOOKUP(P69,'G-4 Temporal multipliers'!$A$4:$C$37,3,FALSE)),"")</f>
        <v/>
      </c>
      <c r="R69" s="281" t="str">
        <f>IF(C69="","",VLOOKUP(C69,'G-7 WaterC'' Data'!$B$4:$G$8,4,FALSE))</f>
        <v/>
      </c>
      <c r="S69" s="289" t="str">
        <f t="shared" si="2"/>
        <v/>
      </c>
      <c r="T69" s="320" t="str">
        <f t="shared" si="3"/>
        <v/>
      </c>
      <c r="U69" s="282" t="str">
        <f>IF(C69="","",VLOOKUP(T69,'G-3 Multipliers'!$P$2:$Q$6,2,FALSE))</f>
        <v/>
      </c>
      <c r="V69" s="106"/>
      <c r="W69" s="282" t="str">
        <f>IF(V69="","",IF(AND(V69="N/A - Culvert",C69&lt;&gt;"Culvert"),"Not possible ▲",IF(AND(C69="Culvert",V69&lt;&gt;"N/A - Culvert"),"Not possible ▲",IF(VLOOKUP(V69,'G-7 WaterC'' Data'!$AA$4:$AB$7,2,FALSE)=0,"Spatial Data Missing ⚠",VLOOKUP(V69,'G-7 WaterC'' Data'!$AA$4:$AB$7,2,FALSE)))))</f>
        <v/>
      </c>
      <c r="X69" s="56"/>
      <c r="Y69" s="282" t="str">
        <f>IF(X69="","",IF(AND(X69="N/A - Culvert", C69&lt;&gt;"Culvert"), "Not possible ▲",IF(AND(C69="Culvert",X69&lt;&gt;"N/A - Culvert"),"Not possible ▲",IF(VLOOKUP(X69,'G-7 WaterC'' Data'!$AD$4:$AE$14,2,FALSE)=0,"Enrcoachment Data Missing ⚠",VLOOKUP(X69,'G-7 WaterC'' Data'!$AD$4:$AE$14,2,FALSE)))))</f>
        <v/>
      </c>
      <c r="Z69" s="323" t="str">
        <f t="shared" si="4"/>
        <v/>
      </c>
      <c r="AA69" s="105"/>
      <c r="AB69" s="119"/>
      <c r="AC69" s="108"/>
      <c r="AH69" s="30" t="str">
        <f>IFERROR(INDEX('G-7 WaterC'' Data'!$AZ$3:$AZ$7,MATCH(C69,'G-7 WaterC'' Data'!$AY$3:$AY$7,0)),"")</f>
        <v/>
      </c>
      <c r="AK69" s="30" t="str">
        <f t="shared" si="5"/>
        <v>No</v>
      </c>
    </row>
    <row r="70" spans="2:37" ht="13.8" x14ac:dyDescent="0.25">
      <c r="B70" s="101">
        <v>59</v>
      </c>
      <c r="C70" s="950"/>
      <c r="D70" s="119"/>
      <c r="E70" s="281" t="str">
        <f>IF(C70="","",VLOOKUP(C70,'G-7 WaterC'' Data'!$B$2:$G$8,2,FALSE))</f>
        <v/>
      </c>
      <c r="F70" s="282" t="str">
        <f>IFERROR(VLOOKUP(E70,'G-7 WaterC'' Data'!$C$4:$D$8,2,FALSE),"")</f>
        <v/>
      </c>
      <c r="G70" s="105"/>
      <c r="H70" s="282" t="str">
        <f>IFERROR(INDEX('G-7 WaterC'' Data'!$H$4:$L$8,MATCH(C70,'G-7 WaterC'' Data'!$B$4:$B$8,0),MATCH(G70,'G-7 WaterC'' Data'!$H$3:$L$3,0)),"")</f>
        <v/>
      </c>
      <c r="I70" s="52"/>
      <c r="J70" s="289" t="str">
        <f>IF(I70="","",IF(VLOOKUP(I70,'G-7 WaterC'' Data'!$AK$4:$AM$6,2,FALSE)=0,"Spatial Data Missing ⚠",VLOOKUP(I70,'G-7 WaterC'' Data'!$AK$4:$AM$6,2,FALSE)))</f>
        <v/>
      </c>
      <c r="K70" s="282" t="str">
        <f>IF(I70="","",IF(VLOOKUP(I70,'G-7 WaterC'' Data'!$AK$4:$AM$6,3,FALSE)=0,"Spatial Data Missing ⚠",VLOOKUP(I70,'G-7 WaterC'' Data'!$AK$4:$AM$6,3,FALSE)))</f>
        <v/>
      </c>
      <c r="L70" s="281" t="str">
        <f>IFERROR(INDEX('G-7 WaterC'' Data'!$O$3:$O$7,MATCH(G70,'G-7 WaterC'' Data'!$N$3:$N$7,0)),"")</f>
        <v/>
      </c>
      <c r="M70" s="58"/>
      <c r="N70" s="137"/>
      <c r="O70" s="289" t="str">
        <f t="shared" si="0"/>
        <v/>
      </c>
      <c r="P70" s="302" t="str">
        <f t="shared" si="1"/>
        <v/>
      </c>
      <c r="Q70" s="340" t="str">
        <f>IFERROR(IF(P70="Check Data ⚠","Check Data ⚠",VLOOKUP(P70,'G-4 Temporal multipliers'!$A$4:$C$37,3,FALSE)),"")</f>
        <v/>
      </c>
      <c r="R70" s="281" t="str">
        <f>IF(C70="","",VLOOKUP(C70,'G-7 WaterC'' Data'!$B$4:$G$8,4,FALSE))</f>
        <v/>
      </c>
      <c r="S70" s="289" t="str">
        <f t="shared" si="2"/>
        <v/>
      </c>
      <c r="T70" s="320" t="str">
        <f t="shared" si="3"/>
        <v/>
      </c>
      <c r="U70" s="282" t="str">
        <f>IF(C70="","",VLOOKUP(T70,'G-3 Multipliers'!$P$2:$Q$6,2,FALSE))</f>
        <v/>
      </c>
      <c r="V70" s="106"/>
      <c r="W70" s="282" t="str">
        <f>IF(V70="","",IF(AND(V70="N/A - Culvert",C70&lt;&gt;"Culvert"),"Not possible ▲",IF(AND(C70="Culvert",V70&lt;&gt;"N/A - Culvert"),"Not possible ▲",IF(VLOOKUP(V70,'G-7 WaterC'' Data'!$AA$4:$AB$7,2,FALSE)=0,"Spatial Data Missing ⚠",VLOOKUP(V70,'G-7 WaterC'' Data'!$AA$4:$AB$7,2,FALSE)))))</f>
        <v/>
      </c>
      <c r="X70" s="56"/>
      <c r="Y70" s="282" t="str">
        <f>IF(X70="","",IF(AND(X70="N/A - Culvert", C70&lt;&gt;"Culvert"), "Not possible ▲",IF(AND(C70="Culvert",X70&lt;&gt;"N/A - Culvert"),"Not possible ▲",IF(VLOOKUP(X70,'G-7 WaterC'' Data'!$AD$4:$AE$14,2,FALSE)=0,"Enrcoachment Data Missing ⚠",VLOOKUP(X70,'G-7 WaterC'' Data'!$AD$4:$AE$14,2,FALSE)))))</f>
        <v/>
      </c>
      <c r="Z70" s="323" t="str">
        <f t="shared" si="4"/>
        <v/>
      </c>
      <c r="AA70" s="105"/>
      <c r="AB70" s="119"/>
      <c r="AC70" s="108"/>
      <c r="AH70" s="30" t="str">
        <f>IFERROR(INDEX('G-7 WaterC'' Data'!$AZ$3:$AZ$7,MATCH(C70,'G-7 WaterC'' Data'!$AY$3:$AY$7,0)),"")</f>
        <v/>
      </c>
      <c r="AK70" s="30" t="str">
        <f t="shared" si="5"/>
        <v>No</v>
      </c>
    </row>
    <row r="71" spans="2:37" ht="13.8" x14ac:dyDescent="0.25">
      <c r="B71" s="101">
        <v>60</v>
      </c>
      <c r="C71" s="950"/>
      <c r="D71" s="119"/>
      <c r="E71" s="281" t="str">
        <f>IF(C71="","",VLOOKUP(C71,'G-7 WaterC'' Data'!$B$2:$G$8,2,FALSE))</f>
        <v/>
      </c>
      <c r="F71" s="282" t="str">
        <f>IFERROR(VLOOKUP(E71,'G-7 WaterC'' Data'!$C$4:$D$8,2,FALSE),"")</f>
        <v/>
      </c>
      <c r="G71" s="105"/>
      <c r="H71" s="282" t="str">
        <f>IFERROR(INDEX('G-7 WaterC'' Data'!$H$4:$L$8,MATCH(C71,'G-7 WaterC'' Data'!$B$4:$B$8,0),MATCH(G71,'G-7 WaterC'' Data'!$H$3:$L$3,0)),"")</f>
        <v/>
      </c>
      <c r="I71" s="52"/>
      <c r="J71" s="289" t="str">
        <f>IF(I71="","",IF(VLOOKUP(I71,'G-7 WaterC'' Data'!$AK$4:$AM$6,2,FALSE)=0,"Spatial Data Missing ⚠",VLOOKUP(I71,'G-7 WaterC'' Data'!$AK$4:$AM$6,2,FALSE)))</f>
        <v/>
      </c>
      <c r="K71" s="282" t="str">
        <f>IF(I71="","",IF(VLOOKUP(I71,'G-7 WaterC'' Data'!$AK$4:$AM$6,3,FALSE)=0,"Spatial Data Missing ⚠",VLOOKUP(I71,'G-7 WaterC'' Data'!$AK$4:$AM$6,3,FALSE)))</f>
        <v/>
      </c>
      <c r="L71" s="281" t="str">
        <f>IFERROR(INDEX('G-7 WaterC'' Data'!$O$3:$O$7,MATCH(G71,'G-7 WaterC'' Data'!$N$3:$N$7,0)),"")</f>
        <v/>
      </c>
      <c r="M71" s="58"/>
      <c r="N71" s="137"/>
      <c r="O71" s="289" t="str">
        <f t="shared" si="0"/>
        <v/>
      </c>
      <c r="P71" s="302" t="str">
        <f t="shared" si="1"/>
        <v/>
      </c>
      <c r="Q71" s="340" t="str">
        <f>IFERROR(IF(P71="Check Data ⚠","Check Data ⚠",VLOOKUP(P71,'G-4 Temporal multipliers'!$A$4:$C$37,3,FALSE)),"")</f>
        <v/>
      </c>
      <c r="R71" s="281" t="str">
        <f>IF(C71="","",VLOOKUP(C71,'G-7 WaterC'' Data'!$B$4:$G$8,4,FALSE))</f>
        <v/>
      </c>
      <c r="S71" s="289" t="str">
        <f t="shared" si="2"/>
        <v/>
      </c>
      <c r="T71" s="320" t="str">
        <f t="shared" si="3"/>
        <v/>
      </c>
      <c r="U71" s="282" t="str">
        <f>IF(C71="","",VLOOKUP(T71,'G-3 Multipliers'!$P$2:$Q$6,2,FALSE))</f>
        <v/>
      </c>
      <c r="V71" s="106"/>
      <c r="W71" s="282" t="str">
        <f>IF(V71="","",IF(AND(V71="N/A - Culvert",C71&lt;&gt;"Culvert"),"Not possible ▲",IF(AND(C71="Culvert",V71&lt;&gt;"N/A - Culvert"),"Not possible ▲",IF(VLOOKUP(V71,'G-7 WaterC'' Data'!$AA$4:$AB$7,2,FALSE)=0,"Spatial Data Missing ⚠",VLOOKUP(V71,'G-7 WaterC'' Data'!$AA$4:$AB$7,2,FALSE)))))</f>
        <v/>
      </c>
      <c r="X71" s="56"/>
      <c r="Y71" s="282" t="str">
        <f>IF(X71="","",IF(AND(X71="N/A - Culvert", C71&lt;&gt;"Culvert"), "Not possible ▲",IF(AND(C71="Culvert",X71&lt;&gt;"N/A - Culvert"),"Not possible ▲",IF(VLOOKUP(X71,'G-7 WaterC'' Data'!$AD$4:$AE$14,2,FALSE)=0,"Enrcoachment Data Missing ⚠",VLOOKUP(X71,'G-7 WaterC'' Data'!$AD$4:$AE$14,2,FALSE)))))</f>
        <v/>
      </c>
      <c r="Z71" s="323" t="str">
        <f t="shared" si="4"/>
        <v/>
      </c>
      <c r="AA71" s="105"/>
      <c r="AB71" s="119"/>
      <c r="AC71" s="108"/>
      <c r="AH71" s="30" t="str">
        <f>IFERROR(INDEX('G-7 WaterC'' Data'!$AZ$3:$AZ$7,MATCH(C71,'G-7 WaterC'' Data'!$AY$3:$AY$7,0)),"")</f>
        <v/>
      </c>
      <c r="AK71" s="30" t="str">
        <f t="shared" si="5"/>
        <v>No</v>
      </c>
    </row>
    <row r="72" spans="2:37" ht="13.8" x14ac:dyDescent="0.25">
      <c r="B72" s="101">
        <v>61</v>
      </c>
      <c r="C72" s="950"/>
      <c r="D72" s="119"/>
      <c r="E72" s="281" t="str">
        <f>IF(C72="","",VLOOKUP(C72,'G-7 WaterC'' Data'!$B$2:$G$8,2,FALSE))</f>
        <v/>
      </c>
      <c r="F72" s="282" t="str">
        <f>IFERROR(VLOOKUP(E72,'G-7 WaterC'' Data'!$C$4:$D$8,2,FALSE),"")</f>
        <v/>
      </c>
      <c r="G72" s="105"/>
      <c r="H72" s="282" t="str">
        <f>IFERROR(INDEX('G-7 WaterC'' Data'!$H$4:$L$8,MATCH(C72,'G-7 WaterC'' Data'!$B$4:$B$8,0),MATCH(G72,'G-7 WaterC'' Data'!$H$3:$L$3,0)),"")</f>
        <v/>
      </c>
      <c r="I72" s="52"/>
      <c r="J72" s="289" t="str">
        <f>IF(I72="","",IF(VLOOKUP(I72,'G-7 WaterC'' Data'!$AK$4:$AM$6,2,FALSE)=0,"Spatial Data Missing ⚠",VLOOKUP(I72,'G-7 WaterC'' Data'!$AK$4:$AM$6,2,FALSE)))</f>
        <v/>
      </c>
      <c r="K72" s="282" t="str">
        <f>IF(I72="","",IF(VLOOKUP(I72,'G-7 WaterC'' Data'!$AK$4:$AM$6,3,FALSE)=0,"Spatial Data Missing ⚠",VLOOKUP(I72,'G-7 WaterC'' Data'!$AK$4:$AM$6,3,FALSE)))</f>
        <v/>
      </c>
      <c r="L72" s="281" t="str">
        <f>IFERROR(INDEX('G-7 WaterC'' Data'!$O$3:$O$7,MATCH(G72,'G-7 WaterC'' Data'!$N$3:$N$7,0)),"")</f>
        <v/>
      </c>
      <c r="M72" s="58"/>
      <c r="N72" s="137"/>
      <c r="O72" s="289" t="str">
        <f t="shared" si="0"/>
        <v/>
      </c>
      <c r="P72" s="302" t="str">
        <f t="shared" si="1"/>
        <v/>
      </c>
      <c r="Q72" s="340" t="str">
        <f>IFERROR(IF(P72="Check Data ⚠","Check Data ⚠",VLOOKUP(P72,'G-4 Temporal multipliers'!$A$4:$C$37,3,FALSE)),"")</f>
        <v/>
      </c>
      <c r="R72" s="281" t="str">
        <f>IF(C72="","",VLOOKUP(C72,'G-7 WaterC'' Data'!$B$4:$G$8,4,FALSE))</f>
        <v/>
      </c>
      <c r="S72" s="289" t="str">
        <f t="shared" si="2"/>
        <v/>
      </c>
      <c r="T72" s="320" t="str">
        <f t="shared" si="3"/>
        <v/>
      </c>
      <c r="U72" s="282" t="str">
        <f>IF(C72="","",VLOOKUP(T72,'G-3 Multipliers'!$P$2:$Q$6,2,FALSE))</f>
        <v/>
      </c>
      <c r="V72" s="106"/>
      <c r="W72" s="282" t="str">
        <f>IF(V72="","",IF(AND(V72="N/A - Culvert",C72&lt;&gt;"Culvert"),"Not possible ▲",IF(AND(C72="Culvert",V72&lt;&gt;"N/A - Culvert"),"Not possible ▲",IF(VLOOKUP(V72,'G-7 WaterC'' Data'!$AA$4:$AB$7,2,FALSE)=0,"Spatial Data Missing ⚠",VLOOKUP(V72,'G-7 WaterC'' Data'!$AA$4:$AB$7,2,FALSE)))))</f>
        <v/>
      </c>
      <c r="X72" s="56"/>
      <c r="Y72" s="282" t="str">
        <f>IF(X72="","",IF(AND(X72="N/A - Culvert", C72&lt;&gt;"Culvert"), "Not possible ▲",IF(AND(C72="Culvert",X72&lt;&gt;"N/A - Culvert"),"Not possible ▲",IF(VLOOKUP(X72,'G-7 WaterC'' Data'!$AD$4:$AE$14,2,FALSE)=0,"Enrcoachment Data Missing ⚠",VLOOKUP(X72,'G-7 WaterC'' Data'!$AD$4:$AE$14,2,FALSE)))))</f>
        <v/>
      </c>
      <c r="Z72" s="323" t="str">
        <f t="shared" si="4"/>
        <v/>
      </c>
      <c r="AA72" s="105"/>
      <c r="AB72" s="119"/>
      <c r="AC72" s="108"/>
      <c r="AH72" s="30" t="str">
        <f>IFERROR(INDEX('G-7 WaterC'' Data'!$AZ$3:$AZ$7,MATCH(C72,'G-7 WaterC'' Data'!$AY$3:$AY$7,0)),"")</f>
        <v/>
      </c>
      <c r="AK72" s="30" t="str">
        <f t="shared" si="5"/>
        <v>No</v>
      </c>
    </row>
    <row r="73" spans="2:37" ht="13.8" x14ac:dyDescent="0.25">
      <c r="B73" s="101">
        <v>62</v>
      </c>
      <c r="C73" s="950"/>
      <c r="D73" s="119"/>
      <c r="E73" s="281" t="str">
        <f>IF(C73="","",VLOOKUP(C73,'G-7 WaterC'' Data'!$B$2:$G$8,2,FALSE))</f>
        <v/>
      </c>
      <c r="F73" s="282" t="str">
        <f>IFERROR(VLOOKUP(E73,'G-7 WaterC'' Data'!$C$4:$D$8,2,FALSE),"")</f>
        <v/>
      </c>
      <c r="G73" s="105"/>
      <c r="H73" s="282" t="str">
        <f>IFERROR(INDEX('G-7 WaterC'' Data'!$H$4:$L$8,MATCH(C73,'G-7 WaterC'' Data'!$B$4:$B$8,0),MATCH(G73,'G-7 WaterC'' Data'!$H$3:$L$3,0)),"")</f>
        <v/>
      </c>
      <c r="I73" s="52"/>
      <c r="J73" s="289" t="str">
        <f>IF(I73="","",IF(VLOOKUP(I73,'G-7 WaterC'' Data'!$AK$4:$AM$6,2,FALSE)=0,"Spatial Data Missing ⚠",VLOOKUP(I73,'G-7 WaterC'' Data'!$AK$4:$AM$6,2,FALSE)))</f>
        <v/>
      </c>
      <c r="K73" s="282" t="str">
        <f>IF(I73="","",IF(VLOOKUP(I73,'G-7 WaterC'' Data'!$AK$4:$AM$6,3,FALSE)=0,"Spatial Data Missing ⚠",VLOOKUP(I73,'G-7 WaterC'' Data'!$AK$4:$AM$6,3,FALSE)))</f>
        <v/>
      </c>
      <c r="L73" s="281" t="str">
        <f>IFERROR(INDEX('G-7 WaterC'' Data'!$O$3:$O$7,MATCH(G73,'G-7 WaterC'' Data'!$N$3:$N$7,0)),"")</f>
        <v/>
      </c>
      <c r="M73" s="58"/>
      <c r="N73" s="137"/>
      <c r="O73" s="289" t="str">
        <f t="shared" si="0"/>
        <v/>
      </c>
      <c r="P73" s="302" t="str">
        <f t="shared" si="1"/>
        <v/>
      </c>
      <c r="Q73" s="340" t="str">
        <f>IFERROR(IF(P73="Check Data ⚠","Check Data ⚠",VLOOKUP(P73,'G-4 Temporal multipliers'!$A$4:$C$37,3,FALSE)),"")</f>
        <v/>
      </c>
      <c r="R73" s="281" t="str">
        <f>IF(C73="","",VLOOKUP(C73,'G-7 WaterC'' Data'!$B$4:$G$8,4,FALSE))</f>
        <v/>
      </c>
      <c r="S73" s="289" t="str">
        <f t="shared" si="2"/>
        <v/>
      </c>
      <c r="T73" s="320" t="str">
        <f t="shared" si="3"/>
        <v/>
      </c>
      <c r="U73" s="282" t="str">
        <f>IF(C73="","",VLOOKUP(T73,'G-3 Multipliers'!$P$2:$Q$6,2,FALSE))</f>
        <v/>
      </c>
      <c r="V73" s="106"/>
      <c r="W73" s="282" t="str">
        <f>IF(V73="","",IF(AND(V73="N/A - Culvert",C73&lt;&gt;"Culvert"),"Not possible ▲",IF(AND(C73="Culvert",V73&lt;&gt;"N/A - Culvert"),"Not possible ▲",IF(VLOOKUP(V73,'G-7 WaterC'' Data'!$AA$4:$AB$7,2,FALSE)=0,"Spatial Data Missing ⚠",VLOOKUP(V73,'G-7 WaterC'' Data'!$AA$4:$AB$7,2,FALSE)))))</f>
        <v/>
      </c>
      <c r="X73" s="56"/>
      <c r="Y73" s="282" t="str">
        <f>IF(X73="","",IF(AND(X73="N/A - Culvert", C73&lt;&gt;"Culvert"), "Not possible ▲",IF(AND(C73="Culvert",X73&lt;&gt;"N/A - Culvert"),"Not possible ▲",IF(VLOOKUP(X73,'G-7 WaterC'' Data'!$AD$4:$AE$14,2,FALSE)=0,"Enrcoachment Data Missing ⚠",VLOOKUP(X73,'G-7 WaterC'' Data'!$AD$4:$AE$14,2,FALSE)))))</f>
        <v/>
      </c>
      <c r="Z73" s="323" t="str">
        <f t="shared" si="4"/>
        <v/>
      </c>
      <c r="AA73" s="105"/>
      <c r="AB73" s="119"/>
      <c r="AC73" s="108"/>
      <c r="AH73" s="30" t="str">
        <f>IFERROR(INDEX('G-7 WaterC'' Data'!$AZ$3:$AZ$7,MATCH(C73,'G-7 WaterC'' Data'!$AY$3:$AY$7,0)),"")</f>
        <v/>
      </c>
      <c r="AK73" s="30" t="str">
        <f t="shared" si="5"/>
        <v>No</v>
      </c>
    </row>
    <row r="74" spans="2:37" ht="13.8" x14ac:dyDescent="0.25">
      <c r="B74" s="101">
        <v>63</v>
      </c>
      <c r="C74" s="950"/>
      <c r="D74" s="119"/>
      <c r="E74" s="281" t="str">
        <f>IF(C74="","",VLOOKUP(C74,'G-7 WaterC'' Data'!$B$2:$G$8,2,FALSE))</f>
        <v/>
      </c>
      <c r="F74" s="282" t="str">
        <f>IFERROR(VLOOKUP(E74,'G-7 WaterC'' Data'!$C$4:$D$8,2,FALSE),"")</f>
        <v/>
      </c>
      <c r="G74" s="105"/>
      <c r="H74" s="282" t="str">
        <f>IFERROR(INDEX('G-7 WaterC'' Data'!$H$4:$L$8,MATCH(C74,'G-7 WaterC'' Data'!$B$4:$B$8,0),MATCH(G74,'G-7 WaterC'' Data'!$H$3:$L$3,0)),"")</f>
        <v/>
      </c>
      <c r="I74" s="52"/>
      <c r="J74" s="289" t="str">
        <f>IF(I74="","",IF(VLOOKUP(I74,'G-7 WaterC'' Data'!$AK$4:$AM$6,2,FALSE)=0,"Spatial Data Missing ⚠",VLOOKUP(I74,'G-7 WaterC'' Data'!$AK$4:$AM$6,2,FALSE)))</f>
        <v/>
      </c>
      <c r="K74" s="282" t="str">
        <f>IF(I74="","",IF(VLOOKUP(I74,'G-7 WaterC'' Data'!$AK$4:$AM$6,3,FALSE)=0,"Spatial Data Missing ⚠",VLOOKUP(I74,'G-7 WaterC'' Data'!$AK$4:$AM$6,3,FALSE)))</f>
        <v/>
      </c>
      <c r="L74" s="281" t="str">
        <f>IFERROR(INDEX('G-7 WaterC'' Data'!$O$3:$O$7,MATCH(G74,'G-7 WaterC'' Data'!$N$3:$N$7,0)),"")</f>
        <v/>
      </c>
      <c r="M74" s="58"/>
      <c r="N74" s="137"/>
      <c r="O74" s="289" t="str">
        <f t="shared" si="0"/>
        <v/>
      </c>
      <c r="P74" s="302" t="str">
        <f t="shared" si="1"/>
        <v/>
      </c>
      <c r="Q74" s="340" t="str">
        <f>IFERROR(IF(P74="Check Data ⚠","Check Data ⚠",VLOOKUP(P74,'G-4 Temporal multipliers'!$A$4:$C$37,3,FALSE)),"")</f>
        <v/>
      </c>
      <c r="R74" s="281" t="str">
        <f>IF(C74="","",VLOOKUP(C74,'G-7 WaterC'' Data'!$B$4:$G$8,4,FALSE))</f>
        <v/>
      </c>
      <c r="S74" s="289" t="str">
        <f t="shared" si="2"/>
        <v/>
      </c>
      <c r="T74" s="320" t="str">
        <f t="shared" si="3"/>
        <v/>
      </c>
      <c r="U74" s="282" t="str">
        <f>IF(C74="","",VLOOKUP(T74,'G-3 Multipliers'!$P$2:$Q$6,2,FALSE))</f>
        <v/>
      </c>
      <c r="V74" s="106"/>
      <c r="W74" s="282" t="str">
        <f>IF(V74="","",IF(AND(V74="N/A - Culvert",C74&lt;&gt;"Culvert"),"Not possible ▲",IF(AND(C74="Culvert",V74&lt;&gt;"N/A - Culvert"),"Not possible ▲",IF(VLOOKUP(V74,'G-7 WaterC'' Data'!$AA$4:$AB$7,2,FALSE)=0,"Spatial Data Missing ⚠",VLOOKUP(V74,'G-7 WaterC'' Data'!$AA$4:$AB$7,2,FALSE)))))</f>
        <v/>
      </c>
      <c r="X74" s="56"/>
      <c r="Y74" s="282" t="str">
        <f>IF(X74="","",IF(AND(X74="N/A - Culvert", C74&lt;&gt;"Culvert"), "Not possible ▲",IF(AND(C74="Culvert",X74&lt;&gt;"N/A - Culvert"),"Not possible ▲",IF(VLOOKUP(X74,'G-7 WaterC'' Data'!$AD$4:$AE$14,2,FALSE)=0,"Enrcoachment Data Missing ⚠",VLOOKUP(X74,'G-7 WaterC'' Data'!$AD$4:$AE$14,2,FALSE)))))</f>
        <v/>
      </c>
      <c r="Z74" s="323" t="str">
        <f t="shared" si="4"/>
        <v/>
      </c>
      <c r="AA74" s="105"/>
      <c r="AB74" s="119"/>
      <c r="AC74" s="108"/>
      <c r="AH74" s="30" t="str">
        <f>IFERROR(INDEX('G-7 WaterC'' Data'!$AZ$3:$AZ$7,MATCH(C74,'G-7 WaterC'' Data'!$AY$3:$AY$7,0)),"")</f>
        <v/>
      </c>
      <c r="AK74" s="30" t="str">
        <f t="shared" si="5"/>
        <v>No</v>
      </c>
    </row>
    <row r="75" spans="2:37" ht="13.8" x14ac:dyDescent="0.25">
      <c r="B75" s="101">
        <v>64</v>
      </c>
      <c r="C75" s="950"/>
      <c r="D75" s="119"/>
      <c r="E75" s="281" t="str">
        <f>IF(C75="","",VLOOKUP(C75,'G-7 WaterC'' Data'!$B$2:$G$8,2,FALSE))</f>
        <v/>
      </c>
      <c r="F75" s="282" t="str">
        <f>IFERROR(VLOOKUP(E75,'G-7 WaterC'' Data'!$C$4:$D$8,2,FALSE),"")</f>
        <v/>
      </c>
      <c r="G75" s="105"/>
      <c r="H75" s="282" t="str">
        <f>IFERROR(INDEX('G-7 WaterC'' Data'!$H$4:$L$8,MATCH(C75,'G-7 WaterC'' Data'!$B$4:$B$8,0),MATCH(G75,'G-7 WaterC'' Data'!$H$3:$L$3,0)),"")</f>
        <v/>
      </c>
      <c r="I75" s="52"/>
      <c r="J75" s="289" t="str">
        <f>IF(I75="","",IF(VLOOKUP(I75,'G-7 WaterC'' Data'!$AK$4:$AM$6,2,FALSE)=0,"Spatial Data Missing ⚠",VLOOKUP(I75,'G-7 WaterC'' Data'!$AK$4:$AM$6,2,FALSE)))</f>
        <v/>
      </c>
      <c r="K75" s="282" t="str">
        <f>IF(I75="","",IF(VLOOKUP(I75,'G-7 WaterC'' Data'!$AK$4:$AM$6,3,FALSE)=0,"Spatial Data Missing ⚠",VLOOKUP(I75,'G-7 WaterC'' Data'!$AK$4:$AM$6,3,FALSE)))</f>
        <v/>
      </c>
      <c r="L75" s="281" t="str">
        <f>IFERROR(INDEX('G-7 WaterC'' Data'!$O$3:$O$7,MATCH(G75,'G-7 WaterC'' Data'!$N$3:$N$7,0)),"")</f>
        <v/>
      </c>
      <c r="M75" s="58"/>
      <c r="N75" s="137"/>
      <c r="O75" s="289" t="str">
        <f t="shared" si="0"/>
        <v/>
      </c>
      <c r="P75" s="302" t="str">
        <f t="shared" si="1"/>
        <v/>
      </c>
      <c r="Q75" s="340" t="str">
        <f>IFERROR(IF(P75="Check Data ⚠","Check Data ⚠",VLOOKUP(P75,'G-4 Temporal multipliers'!$A$4:$C$37,3,FALSE)),"")</f>
        <v/>
      </c>
      <c r="R75" s="281" t="str">
        <f>IF(C75="","",VLOOKUP(C75,'G-7 WaterC'' Data'!$B$4:$G$8,4,FALSE))</f>
        <v/>
      </c>
      <c r="S75" s="289" t="str">
        <f t="shared" si="2"/>
        <v/>
      </c>
      <c r="T75" s="320" t="str">
        <f t="shared" si="3"/>
        <v/>
      </c>
      <c r="U75" s="282" t="str">
        <f>IF(C75="","",VLOOKUP(T75,'G-3 Multipliers'!$P$2:$Q$6,2,FALSE))</f>
        <v/>
      </c>
      <c r="V75" s="106"/>
      <c r="W75" s="282" t="str">
        <f>IF(V75="","",IF(AND(V75="N/A - Culvert",C75&lt;&gt;"Culvert"),"Not possible ▲",IF(AND(C75="Culvert",V75&lt;&gt;"N/A - Culvert"),"Not possible ▲",IF(VLOOKUP(V75,'G-7 WaterC'' Data'!$AA$4:$AB$7,2,FALSE)=0,"Spatial Data Missing ⚠",VLOOKUP(V75,'G-7 WaterC'' Data'!$AA$4:$AB$7,2,FALSE)))))</f>
        <v/>
      </c>
      <c r="X75" s="56"/>
      <c r="Y75" s="282" t="str">
        <f>IF(X75="","",IF(AND(X75="N/A - Culvert", C75&lt;&gt;"Culvert"), "Not possible ▲",IF(AND(C75="Culvert",X75&lt;&gt;"N/A - Culvert"),"Not possible ▲",IF(VLOOKUP(X75,'G-7 WaterC'' Data'!$AD$4:$AE$14,2,FALSE)=0,"Enrcoachment Data Missing ⚠",VLOOKUP(X75,'G-7 WaterC'' Data'!$AD$4:$AE$14,2,FALSE)))))</f>
        <v/>
      </c>
      <c r="Z75" s="323" t="str">
        <f t="shared" si="4"/>
        <v/>
      </c>
      <c r="AA75" s="105"/>
      <c r="AB75" s="119"/>
      <c r="AC75" s="108"/>
      <c r="AH75" s="30" t="str">
        <f>IFERROR(INDEX('G-7 WaterC'' Data'!$AZ$3:$AZ$7,MATCH(C75,'G-7 WaterC'' Data'!$AY$3:$AY$7,0)),"")</f>
        <v/>
      </c>
      <c r="AK75" s="30" t="str">
        <f t="shared" si="5"/>
        <v>No</v>
      </c>
    </row>
    <row r="76" spans="2:37" ht="13.8" x14ac:dyDescent="0.25">
      <c r="B76" s="101">
        <v>65</v>
      </c>
      <c r="C76" s="950"/>
      <c r="D76" s="119"/>
      <c r="E76" s="281" t="str">
        <f>IF(C76="","",VLOOKUP(C76,'G-7 WaterC'' Data'!$B$2:$G$8,2,FALSE))</f>
        <v/>
      </c>
      <c r="F76" s="282" t="str">
        <f>IFERROR(VLOOKUP(E76,'G-7 WaterC'' Data'!$C$4:$D$8,2,FALSE),"")</f>
        <v/>
      </c>
      <c r="G76" s="105"/>
      <c r="H76" s="282" t="str">
        <f>IFERROR(INDEX('G-7 WaterC'' Data'!$H$4:$L$8,MATCH(C76,'G-7 WaterC'' Data'!$B$4:$B$8,0),MATCH(G76,'G-7 WaterC'' Data'!$H$3:$L$3,0)),"")</f>
        <v/>
      </c>
      <c r="I76" s="52"/>
      <c r="J76" s="289" t="str">
        <f>IF(I76="","",IF(VLOOKUP(I76,'G-7 WaterC'' Data'!$AK$4:$AM$6,2,FALSE)=0,"Spatial Data Missing ⚠",VLOOKUP(I76,'G-7 WaterC'' Data'!$AK$4:$AM$6,2,FALSE)))</f>
        <v/>
      </c>
      <c r="K76" s="282" t="str">
        <f>IF(I76="","",IF(VLOOKUP(I76,'G-7 WaterC'' Data'!$AK$4:$AM$6,3,FALSE)=0,"Spatial Data Missing ⚠",VLOOKUP(I76,'G-7 WaterC'' Data'!$AK$4:$AM$6,3,FALSE)))</f>
        <v/>
      </c>
      <c r="L76" s="281" t="str">
        <f>IFERROR(INDEX('G-7 WaterC'' Data'!$O$3:$O$7,MATCH(G76,'G-7 WaterC'' Data'!$N$3:$N$7,0)),"")</f>
        <v/>
      </c>
      <c r="M76" s="58"/>
      <c r="N76" s="137"/>
      <c r="O76" s="289" t="str">
        <f t="shared" si="0"/>
        <v/>
      </c>
      <c r="P76" s="302" t="str">
        <f t="shared" si="1"/>
        <v/>
      </c>
      <c r="Q76" s="340" t="str">
        <f>IFERROR(IF(P76="Check Data ⚠","Check Data ⚠",VLOOKUP(P76,'G-4 Temporal multipliers'!$A$4:$C$37,3,FALSE)),"")</f>
        <v/>
      </c>
      <c r="R76" s="281" t="str">
        <f>IF(C76="","",VLOOKUP(C76,'G-7 WaterC'' Data'!$B$4:$G$8,4,FALSE))</f>
        <v/>
      </c>
      <c r="S76" s="289" t="str">
        <f t="shared" si="2"/>
        <v/>
      </c>
      <c r="T76" s="320" t="str">
        <f t="shared" si="3"/>
        <v/>
      </c>
      <c r="U76" s="282" t="str">
        <f>IF(C76="","",VLOOKUP(T76,'G-3 Multipliers'!$P$2:$Q$6,2,FALSE))</f>
        <v/>
      </c>
      <c r="V76" s="106"/>
      <c r="W76" s="282" t="str">
        <f>IF(V76="","",IF(AND(V76="N/A - Culvert",C76&lt;&gt;"Culvert"),"Not possible ▲",IF(AND(C76="Culvert",V76&lt;&gt;"N/A - Culvert"),"Not possible ▲",IF(VLOOKUP(V76,'G-7 WaterC'' Data'!$AA$4:$AB$7,2,FALSE)=0,"Spatial Data Missing ⚠",VLOOKUP(V76,'G-7 WaterC'' Data'!$AA$4:$AB$7,2,FALSE)))))</f>
        <v/>
      </c>
      <c r="X76" s="56"/>
      <c r="Y76" s="282" t="str">
        <f>IF(X76="","",IF(AND(X76="N/A - Culvert", C76&lt;&gt;"Culvert"), "Not possible ▲",IF(AND(C76="Culvert",X76&lt;&gt;"N/A - Culvert"),"Not possible ▲",IF(VLOOKUP(X76,'G-7 WaterC'' Data'!$AD$4:$AE$14,2,FALSE)=0,"Enrcoachment Data Missing ⚠",VLOOKUP(X76,'G-7 WaterC'' Data'!$AD$4:$AE$14,2,FALSE)))))</f>
        <v/>
      </c>
      <c r="Z76" s="323" t="str">
        <f t="shared" si="4"/>
        <v/>
      </c>
      <c r="AA76" s="105"/>
      <c r="AB76" s="119"/>
      <c r="AC76" s="108"/>
      <c r="AH76" s="30" t="str">
        <f>IFERROR(INDEX('G-7 WaterC'' Data'!$AZ$3:$AZ$7,MATCH(C76,'G-7 WaterC'' Data'!$AY$3:$AY$7,0)),"")</f>
        <v/>
      </c>
      <c r="AK76" s="30" t="str">
        <f t="shared" si="5"/>
        <v>No</v>
      </c>
    </row>
    <row r="77" spans="2:37" ht="13.8" x14ac:dyDescent="0.25">
      <c r="B77" s="101">
        <v>66</v>
      </c>
      <c r="C77" s="950"/>
      <c r="D77" s="119"/>
      <c r="E77" s="281" t="str">
        <f>IF(C77="","",VLOOKUP(C77,'G-7 WaterC'' Data'!$B$2:$G$8,2,FALSE))</f>
        <v/>
      </c>
      <c r="F77" s="282" t="str">
        <f>IFERROR(VLOOKUP(E77,'G-7 WaterC'' Data'!$C$4:$D$8,2,FALSE),"")</f>
        <v/>
      </c>
      <c r="G77" s="105"/>
      <c r="H77" s="282" t="str">
        <f>IFERROR(INDEX('G-7 WaterC'' Data'!$H$4:$L$8,MATCH(C77,'G-7 WaterC'' Data'!$B$4:$B$8,0),MATCH(G77,'G-7 WaterC'' Data'!$H$3:$L$3,0)),"")</f>
        <v/>
      </c>
      <c r="I77" s="52"/>
      <c r="J77" s="289" t="str">
        <f>IF(I77="","",IF(VLOOKUP(I77,'G-7 WaterC'' Data'!$AK$4:$AM$6,2,FALSE)=0,"Spatial Data Missing ⚠",VLOOKUP(I77,'G-7 WaterC'' Data'!$AK$4:$AM$6,2,FALSE)))</f>
        <v/>
      </c>
      <c r="K77" s="282" t="str">
        <f>IF(I77="","",IF(VLOOKUP(I77,'G-7 WaterC'' Data'!$AK$4:$AM$6,3,FALSE)=0,"Spatial Data Missing ⚠",VLOOKUP(I77,'G-7 WaterC'' Data'!$AK$4:$AM$6,3,FALSE)))</f>
        <v/>
      </c>
      <c r="L77" s="281" t="str">
        <f>IFERROR(INDEX('G-7 WaterC'' Data'!$O$3:$O$7,MATCH(G77,'G-7 WaterC'' Data'!$N$3:$N$7,0)),"")</f>
        <v/>
      </c>
      <c r="M77" s="58"/>
      <c r="N77" s="137"/>
      <c r="O77" s="289"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02" t="str">
        <f t="shared" ref="P77:P140" si="7">IF(O77="Error -both advance and delayed habitat creation ▲","Check Data ⚠",IF(L77="","",IF(M77="30+",0,IF(N77="30+","30+",IF(L77+N77&gt;30,"30+ ",IF(L77+N77-M77&gt;0,L77+N77-M77,IF(L77-M77&lt;0,0,L77+N77-M77)))))))</f>
        <v/>
      </c>
      <c r="Q77" s="340" t="str">
        <f>IFERROR(IF(P77="Check Data ⚠","Check Data ⚠",VLOOKUP(P77,'G-4 Temporal multipliers'!$A$4:$C$37,3,FALSE)),"")</f>
        <v/>
      </c>
      <c r="R77" s="281" t="str">
        <f>IF(C77="","",VLOOKUP(C77,'G-7 WaterC'' Data'!$B$4:$G$8,4,FALSE))</f>
        <v/>
      </c>
      <c r="S77" s="289" t="str">
        <f t="shared" ref="S77:S140" si="8">IF(C77="","",IF(P77="Check Data ⚠","Check Data ⚠",IF(G77="","",IF($O77="Check details - Is there evidence that habitat has reached target condition? ⚠","Low Difficulty - only applicable if all habitat created before losses ⚠","Standard difficulty applied"))))</f>
        <v/>
      </c>
      <c r="T77" s="320" t="str">
        <f t="shared" ref="T77:T140" si="9">(IF(AND(S77="Standard difficulty applied",L77&gt;M77),R77,IF(AND(S77="Low Difficulty - only applicable if all habitat created before losses ⚠",M77&gt;=L77),"Low",R77)))</f>
        <v/>
      </c>
      <c r="U77" s="282" t="str">
        <f>IF(C77="","",VLOOKUP(T77,'G-3 Multipliers'!$P$2:$Q$6,2,FALSE))</f>
        <v/>
      </c>
      <c r="V77" s="106"/>
      <c r="W77" s="282" t="str">
        <f>IF(V77="","",IF(AND(V77="N/A - Culvert",C77&lt;&gt;"Culvert"),"Not possible ▲",IF(AND(C77="Culvert",V77&lt;&gt;"N/A - Culvert"),"Not possible ▲",IF(VLOOKUP(V77,'G-7 WaterC'' Data'!$AA$4:$AB$7,2,FALSE)=0,"Spatial Data Missing ⚠",VLOOKUP(V77,'G-7 WaterC'' Data'!$AA$4:$AB$7,2,FALSE)))))</f>
        <v/>
      </c>
      <c r="X77" s="56"/>
      <c r="Y77" s="282" t="str">
        <f>IF(X77="","",IF(AND(X77="N/A - Culvert", C77&lt;&gt;"Culvert"), "Not possible ▲",IF(AND(C77="Culvert",X77&lt;&gt;"N/A - Culvert"),"Not possible ▲",IF(VLOOKUP(X77,'G-7 WaterC'' Data'!$AD$4:$AE$14,2,FALSE)=0,"Enrcoachment Data Missing ⚠",VLOOKUP(X77,'G-7 WaterC'' Data'!$AD$4:$AE$14,2,FALSE)))))</f>
        <v/>
      </c>
      <c r="Z77" s="323" t="str">
        <f t="shared" ref="Z77:Z140" si="10">IFERROR(IF(C77="","",D77*F77*H77*K77*Q77*U77*Y77*W77),"")</f>
        <v/>
      </c>
      <c r="AA77" s="105"/>
      <c r="AB77" s="119"/>
      <c r="AC77" s="108"/>
      <c r="AH77" s="30" t="str">
        <f>IFERROR(INDEX('G-7 WaterC'' Data'!$AZ$3:$AZ$7,MATCH(C77,'G-7 WaterC'' Data'!$AY$3:$AY$7,0)),"")</f>
        <v/>
      </c>
      <c r="AK77" s="30" t="str">
        <f t="shared" ref="AK77:AK140" si="11">IF(AND(C77="Ditches",(OR(G77="Fairly Poor",G77="Fairly Good"))), "Yes", "No")</f>
        <v>No</v>
      </c>
    </row>
    <row r="78" spans="2:37" ht="13.8" x14ac:dyDescent="0.25">
      <c r="B78" s="101">
        <v>67</v>
      </c>
      <c r="C78" s="950"/>
      <c r="D78" s="119"/>
      <c r="E78" s="281" t="str">
        <f>IF(C78="","",VLOOKUP(C78,'G-7 WaterC'' Data'!$B$2:$G$8,2,FALSE))</f>
        <v/>
      </c>
      <c r="F78" s="282" t="str">
        <f>IFERROR(VLOOKUP(E78,'G-7 WaterC'' Data'!$C$4:$D$8,2,FALSE),"")</f>
        <v/>
      </c>
      <c r="G78" s="105"/>
      <c r="H78" s="282" t="str">
        <f>IFERROR(INDEX('G-7 WaterC'' Data'!$H$4:$L$8,MATCH(C78,'G-7 WaterC'' Data'!$B$4:$B$8,0),MATCH(G78,'G-7 WaterC'' Data'!$H$3:$L$3,0)),"")</f>
        <v/>
      </c>
      <c r="I78" s="52"/>
      <c r="J78" s="289" t="str">
        <f>IF(I78="","",IF(VLOOKUP(I78,'G-7 WaterC'' Data'!$AK$4:$AM$6,2,FALSE)=0,"Spatial Data Missing ⚠",VLOOKUP(I78,'G-7 WaterC'' Data'!$AK$4:$AM$6,2,FALSE)))</f>
        <v/>
      </c>
      <c r="K78" s="282" t="str">
        <f>IF(I78="","",IF(VLOOKUP(I78,'G-7 WaterC'' Data'!$AK$4:$AM$6,3,FALSE)=0,"Spatial Data Missing ⚠",VLOOKUP(I78,'G-7 WaterC'' Data'!$AK$4:$AM$6,3,FALSE)))</f>
        <v/>
      </c>
      <c r="L78" s="281" t="str">
        <f>IFERROR(INDEX('G-7 WaterC'' Data'!$O$3:$O$7,MATCH(G78,'G-7 WaterC'' Data'!$N$3:$N$7,0)),"")</f>
        <v/>
      </c>
      <c r="M78" s="58"/>
      <c r="N78" s="137"/>
      <c r="O78" s="289" t="str">
        <f t="shared" si="6"/>
        <v/>
      </c>
      <c r="P78" s="302" t="str">
        <f t="shared" si="7"/>
        <v/>
      </c>
      <c r="Q78" s="340" t="str">
        <f>IFERROR(IF(P78="Check Data ⚠","Check Data ⚠",VLOOKUP(P78,'G-4 Temporal multipliers'!$A$4:$C$37,3,FALSE)),"")</f>
        <v/>
      </c>
      <c r="R78" s="281" t="str">
        <f>IF(C78="","",VLOOKUP(C78,'G-7 WaterC'' Data'!$B$4:$G$8,4,FALSE))</f>
        <v/>
      </c>
      <c r="S78" s="289" t="str">
        <f t="shared" si="8"/>
        <v/>
      </c>
      <c r="T78" s="320" t="str">
        <f t="shared" si="9"/>
        <v/>
      </c>
      <c r="U78" s="282" t="str">
        <f>IF(C78="","",VLOOKUP(T78,'G-3 Multipliers'!$P$2:$Q$6,2,FALSE))</f>
        <v/>
      </c>
      <c r="V78" s="106"/>
      <c r="W78" s="282" t="str">
        <f>IF(V78="","",IF(AND(V78="N/A - Culvert",C78&lt;&gt;"Culvert"),"Not possible ▲",IF(AND(C78="Culvert",V78&lt;&gt;"N/A - Culvert"),"Not possible ▲",IF(VLOOKUP(V78,'G-7 WaterC'' Data'!$AA$4:$AB$7,2,FALSE)=0,"Spatial Data Missing ⚠",VLOOKUP(V78,'G-7 WaterC'' Data'!$AA$4:$AB$7,2,FALSE)))))</f>
        <v/>
      </c>
      <c r="X78" s="56"/>
      <c r="Y78" s="282" t="str">
        <f>IF(X78="","",IF(AND(X78="N/A - Culvert", C78&lt;&gt;"Culvert"), "Not possible ▲",IF(AND(C78="Culvert",X78&lt;&gt;"N/A - Culvert"),"Not possible ▲",IF(VLOOKUP(X78,'G-7 WaterC'' Data'!$AD$4:$AE$14,2,FALSE)=0,"Enrcoachment Data Missing ⚠",VLOOKUP(X78,'G-7 WaterC'' Data'!$AD$4:$AE$14,2,FALSE)))))</f>
        <v/>
      </c>
      <c r="Z78" s="323" t="str">
        <f t="shared" si="10"/>
        <v/>
      </c>
      <c r="AA78" s="105"/>
      <c r="AB78" s="119"/>
      <c r="AC78" s="108"/>
      <c r="AH78" s="30" t="str">
        <f>IFERROR(INDEX('G-7 WaterC'' Data'!$AZ$3:$AZ$7,MATCH(C78,'G-7 WaterC'' Data'!$AY$3:$AY$7,0)),"")</f>
        <v/>
      </c>
      <c r="AK78" s="30" t="str">
        <f t="shared" si="11"/>
        <v>No</v>
      </c>
    </row>
    <row r="79" spans="2:37" ht="13.8" x14ac:dyDescent="0.25">
      <c r="B79" s="101">
        <v>68</v>
      </c>
      <c r="C79" s="950"/>
      <c r="D79" s="119"/>
      <c r="E79" s="281" t="str">
        <f>IF(C79="","",VLOOKUP(C79,'G-7 WaterC'' Data'!$B$2:$G$8,2,FALSE))</f>
        <v/>
      </c>
      <c r="F79" s="282" t="str">
        <f>IFERROR(VLOOKUP(E79,'G-7 WaterC'' Data'!$C$4:$D$8,2,FALSE),"")</f>
        <v/>
      </c>
      <c r="G79" s="105"/>
      <c r="H79" s="282" t="str">
        <f>IFERROR(INDEX('G-7 WaterC'' Data'!$H$4:$L$8,MATCH(C79,'G-7 WaterC'' Data'!$B$4:$B$8,0),MATCH(G79,'G-7 WaterC'' Data'!$H$3:$L$3,0)),"")</f>
        <v/>
      </c>
      <c r="I79" s="52"/>
      <c r="J79" s="289" t="str">
        <f>IF(I79="","",IF(VLOOKUP(I79,'G-7 WaterC'' Data'!$AK$4:$AM$6,2,FALSE)=0,"Spatial Data Missing ⚠",VLOOKUP(I79,'G-7 WaterC'' Data'!$AK$4:$AM$6,2,FALSE)))</f>
        <v/>
      </c>
      <c r="K79" s="282" t="str">
        <f>IF(I79="","",IF(VLOOKUP(I79,'G-7 WaterC'' Data'!$AK$4:$AM$6,3,FALSE)=0,"Spatial Data Missing ⚠",VLOOKUP(I79,'G-7 WaterC'' Data'!$AK$4:$AM$6,3,FALSE)))</f>
        <v/>
      </c>
      <c r="L79" s="281" t="str">
        <f>IFERROR(INDEX('G-7 WaterC'' Data'!$O$3:$O$7,MATCH(G79,'G-7 WaterC'' Data'!$N$3:$N$7,0)),"")</f>
        <v/>
      </c>
      <c r="M79" s="58"/>
      <c r="N79" s="137"/>
      <c r="O79" s="289" t="str">
        <f t="shared" si="6"/>
        <v/>
      </c>
      <c r="P79" s="302" t="str">
        <f t="shared" si="7"/>
        <v/>
      </c>
      <c r="Q79" s="340" t="str">
        <f>IFERROR(IF(P79="Check Data ⚠","Check Data ⚠",VLOOKUP(P79,'G-4 Temporal multipliers'!$A$4:$C$37,3,FALSE)),"")</f>
        <v/>
      </c>
      <c r="R79" s="281" t="str">
        <f>IF(C79="","",VLOOKUP(C79,'G-7 WaterC'' Data'!$B$4:$G$8,4,FALSE))</f>
        <v/>
      </c>
      <c r="S79" s="289" t="str">
        <f t="shared" si="8"/>
        <v/>
      </c>
      <c r="T79" s="320" t="str">
        <f t="shared" si="9"/>
        <v/>
      </c>
      <c r="U79" s="282" t="str">
        <f>IF(C79="","",VLOOKUP(T79,'G-3 Multipliers'!$P$2:$Q$6,2,FALSE))</f>
        <v/>
      </c>
      <c r="V79" s="106"/>
      <c r="W79" s="282" t="str">
        <f>IF(V79="","",IF(AND(V79="N/A - Culvert",C79&lt;&gt;"Culvert"),"Not possible ▲",IF(AND(C79="Culvert",V79&lt;&gt;"N/A - Culvert"),"Not possible ▲",IF(VLOOKUP(V79,'G-7 WaterC'' Data'!$AA$4:$AB$7,2,FALSE)=0,"Spatial Data Missing ⚠",VLOOKUP(V79,'G-7 WaterC'' Data'!$AA$4:$AB$7,2,FALSE)))))</f>
        <v/>
      </c>
      <c r="X79" s="56"/>
      <c r="Y79" s="282" t="str">
        <f>IF(X79="","",IF(AND(X79="N/A - Culvert", C79&lt;&gt;"Culvert"), "Not possible ▲",IF(AND(C79="Culvert",X79&lt;&gt;"N/A - Culvert"),"Not possible ▲",IF(VLOOKUP(X79,'G-7 WaterC'' Data'!$AD$4:$AE$14,2,FALSE)=0,"Enrcoachment Data Missing ⚠",VLOOKUP(X79,'G-7 WaterC'' Data'!$AD$4:$AE$14,2,FALSE)))))</f>
        <v/>
      </c>
      <c r="Z79" s="323" t="str">
        <f t="shared" si="10"/>
        <v/>
      </c>
      <c r="AA79" s="105"/>
      <c r="AB79" s="119"/>
      <c r="AC79" s="108"/>
      <c r="AH79" s="30" t="str">
        <f>IFERROR(INDEX('G-7 WaterC'' Data'!$AZ$3:$AZ$7,MATCH(C79,'G-7 WaterC'' Data'!$AY$3:$AY$7,0)),"")</f>
        <v/>
      </c>
      <c r="AK79" s="30" t="str">
        <f t="shared" si="11"/>
        <v>No</v>
      </c>
    </row>
    <row r="80" spans="2:37" ht="13.8" x14ac:dyDescent="0.25">
      <c r="B80" s="101">
        <v>69</v>
      </c>
      <c r="C80" s="950"/>
      <c r="D80" s="119"/>
      <c r="E80" s="281" t="str">
        <f>IF(C80="","",VLOOKUP(C80,'G-7 WaterC'' Data'!$B$2:$G$8,2,FALSE))</f>
        <v/>
      </c>
      <c r="F80" s="282" t="str">
        <f>IFERROR(VLOOKUP(E80,'G-7 WaterC'' Data'!$C$4:$D$8,2,FALSE),"")</f>
        <v/>
      </c>
      <c r="G80" s="105"/>
      <c r="H80" s="282" t="str">
        <f>IFERROR(INDEX('G-7 WaterC'' Data'!$H$4:$L$8,MATCH(C80,'G-7 WaterC'' Data'!$B$4:$B$8,0),MATCH(G80,'G-7 WaterC'' Data'!$H$3:$L$3,0)),"")</f>
        <v/>
      </c>
      <c r="I80" s="52"/>
      <c r="J80" s="289" t="str">
        <f>IF(I80="","",IF(VLOOKUP(I80,'G-7 WaterC'' Data'!$AK$4:$AM$6,2,FALSE)=0,"Spatial Data Missing ⚠",VLOOKUP(I80,'G-7 WaterC'' Data'!$AK$4:$AM$6,2,FALSE)))</f>
        <v/>
      </c>
      <c r="K80" s="282" t="str">
        <f>IF(I80="","",IF(VLOOKUP(I80,'G-7 WaterC'' Data'!$AK$4:$AM$6,3,FALSE)=0,"Spatial Data Missing ⚠",VLOOKUP(I80,'G-7 WaterC'' Data'!$AK$4:$AM$6,3,FALSE)))</f>
        <v/>
      </c>
      <c r="L80" s="281" t="str">
        <f>IFERROR(INDEX('G-7 WaterC'' Data'!$O$3:$O$7,MATCH(G80,'G-7 WaterC'' Data'!$N$3:$N$7,0)),"")</f>
        <v/>
      </c>
      <c r="M80" s="58"/>
      <c r="N80" s="137"/>
      <c r="O80" s="289" t="str">
        <f t="shared" si="6"/>
        <v/>
      </c>
      <c r="P80" s="302" t="str">
        <f t="shared" si="7"/>
        <v/>
      </c>
      <c r="Q80" s="340" t="str">
        <f>IFERROR(IF(P80="Check Data ⚠","Check Data ⚠",VLOOKUP(P80,'G-4 Temporal multipliers'!$A$4:$C$37,3,FALSE)),"")</f>
        <v/>
      </c>
      <c r="R80" s="281" t="str">
        <f>IF(C80="","",VLOOKUP(C80,'G-7 WaterC'' Data'!$B$4:$G$8,4,FALSE))</f>
        <v/>
      </c>
      <c r="S80" s="289" t="str">
        <f t="shared" si="8"/>
        <v/>
      </c>
      <c r="T80" s="320" t="str">
        <f t="shared" si="9"/>
        <v/>
      </c>
      <c r="U80" s="282" t="str">
        <f>IF(C80="","",VLOOKUP(T80,'G-3 Multipliers'!$P$2:$Q$6,2,FALSE))</f>
        <v/>
      </c>
      <c r="V80" s="106"/>
      <c r="W80" s="282" t="str">
        <f>IF(V80="","",IF(AND(V80="N/A - Culvert",C80&lt;&gt;"Culvert"),"Not possible ▲",IF(AND(C80="Culvert",V80&lt;&gt;"N/A - Culvert"),"Not possible ▲",IF(VLOOKUP(V80,'G-7 WaterC'' Data'!$AA$4:$AB$7,2,FALSE)=0,"Spatial Data Missing ⚠",VLOOKUP(V80,'G-7 WaterC'' Data'!$AA$4:$AB$7,2,FALSE)))))</f>
        <v/>
      </c>
      <c r="X80" s="56"/>
      <c r="Y80" s="282" t="str">
        <f>IF(X80="","",IF(AND(X80="N/A - Culvert", C80&lt;&gt;"Culvert"), "Not possible ▲",IF(AND(C80="Culvert",X80&lt;&gt;"N/A - Culvert"),"Not possible ▲",IF(VLOOKUP(X80,'G-7 WaterC'' Data'!$AD$4:$AE$14,2,FALSE)=0,"Enrcoachment Data Missing ⚠",VLOOKUP(X80,'G-7 WaterC'' Data'!$AD$4:$AE$14,2,FALSE)))))</f>
        <v/>
      </c>
      <c r="Z80" s="323" t="str">
        <f t="shared" si="10"/>
        <v/>
      </c>
      <c r="AA80" s="105"/>
      <c r="AB80" s="119"/>
      <c r="AC80" s="108"/>
      <c r="AH80" s="30" t="str">
        <f>IFERROR(INDEX('G-7 WaterC'' Data'!$AZ$3:$AZ$7,MATCH(C80,'G-7 WaterC'' Data'!$AY$3:$AY$7,0)),"")</f>
        <v/>
      </c>
      <c r="AK80" s="30" t="str">
        <f t="shared" si="11"/>
        <v>No</v>
      </c>
    </row>
    <row r="81" spans="2:37" ht="13.8" x14ac:dyDescent="0.25">
      <c r="B81" s="101">
        <v>70</v>
      </c>
      <c r="C81" s="950"/>
      <c r="D81" s="119"/>
      <c r="E81" s="281" t="str">
        <f>IF(C81="","",VLOOKUP(C81,'G-7 WaterC'' Data'!$B$2:$G$8,2,FALSE))</f>
        <v/>
      </c>
      <c r="F81" s="282" t="str">
        <f>IFERROR(VLOOKUP(E81,'G-7 WaterC'' Data'!$C$4:$D$8,2,FALSE),"")</f>
        <v/>
      </c>
      <c r="G81" s="105"/>
      <c r="H81" s="282" t="str">
        <f>IFERROR(INDEX('G-7 WaterC'' Data'!$H$4:$L$8,MATCH(C81,'G-7 WaterC'' Data'!$B$4:$B$8,0),MATCH(G81,'G-7 WaterC'' Data'!$H$3:$L$3,0)),"")</f>
        <v/>
      </c>
      <c r="I81" s="52"/>
      <c r="J81" s="289" t="str">
        <f>IF(I81="","",IF(VLOOKUP(I81,'G-7 WaterC'' Data'!$AK$4:$AM$6,2,FALSE)=0,"Spatial Data Missing ⚠",VLOOKUP(I81,'G-7 WaterC'' Data'!$AK$4:$AM$6,2,FALSE)))</f>
        <v/>
      </c>
      <c r="K81" s="282" t="str">
        <f>IF(I81="","",IF(VLOOKUP(I81,'G-7 WaterC'' Data'!$AK$4:$AM$6,3,FALSE)=0,"Spatial Data Missing ⚠",VLOOKUP(I81,'G-7 WaterC'' Data'!$AK$4:$AM$6,3,FALSE)))</f>
        <v/>
      </c>
      <c r="L81" s="281" t="str">
        <f>IFERROR(INDEX('G-7 WaterC'' Data'!$O$3:$O$7,MATCH(G81,'G-7 WaterC'' Data'!$N$3:$N$7,0)),"")</f>
        <v/>
      </c>
      <c r="M81" s="58"/>
      <c r="N81" s="137"/>
      <c r="O81" s="289" t="str">
        <f t="shared" si="6"/>
        <v/>
      </c>
      <c r="P81" s="302" t="str">
        <f t="shared" si="7"/>
        <v/>
      </c>
      <c r="Q81" s="340" t="str">
        <f>IFERROR(IF(P81="Check Data ⚠","Check Data ⚠",VLOOKUP(P81,'G-4 Temporal multipliers'!$A$4:$C$37,3,FALSE)),"")</f>
        <v/>
      </c>
      <c r="R81" s="281" t="str">
        <f>IF(C81="","",VLOOKUP(C81,'G-7 WaterC'' Data'!$B$4:$G$8,4,FALSE))</f>
        <v/>
      </c>
      <c r="S81" s="289" t="str">
        <f t="shared" si="8"/>
        <v/>
      </c>
      <c r="T81" s="320" t="str">
        <f t="shared" si="9"/>
        <v/>
      </c>
      <c r="U81" s="282" t="str">
        <f>IF(C81="","",VLOOKUP(T81,'G-3 Multipliers'!$P$2:$Q$6,2,FALSE))</f>
        <v/>
      </c>
      <c r="V81" s="106"/>
      <c r="W81" s="282" t="str">
        <f>IF(V81="","",IF(AND(V81="N/A - Culvert",C81&lt;&gt;"Culvert"),"Not possible ▲",IF(AND(C81="Culvert",V81&lt;&gt;"N/A - Culvert"),"Not possible ▲",IF(VLOOKUP(V81,'G-7 WaterC'' Data'!$AA$4:$AB$7,2,FALSE)=0,"Spatial Data Missing ⚠",VLOOKUP(V81,'G-7 WaterC'' Data'!$AA$4:$AB$7,2,FALSE)))))</f>
        <v/>
      </c>
      <c r="X81" s="56"/>
      <c r="Y81" s="282" t="str">
        <f>IF(X81="","",IF(AND(X81="N/A - Culvert", C81&lt;&gt;"Culvert"), "Not possible ▲",IF(AND(C81="Culvert",X81&lt;&gt;"N/A - Culvert"),"Not possible ▲",IF(VLOOKUP(X81,'G-7 WaterC'' Data'!$AD$4:$AE$14,2,FALSE)=0,"Enrcoachment Data Missing ⚠",VLOOKUP(X81,'G-7 WaterC'' Data'!$AD$4:$AE$14,2,FALSE)))))</f>
        <v/>
      </c>
      <c r="Z81" s="323" t="str">
        <f t="shared" si="10"/>
        <v/>
      </c>
      <c r="AA81" s="105"/>
      <c r="AB81" s="119"/>
      <c r="AC81" s="108"/>
      <c r="AH81" s="30" t="str">
        <f>IFERROR(INDEX('G-7 WaterC'' Data'!$AZ$3:$AZ$7,MATCH(C81,'G-7 WaterC'' Data'!$AY$3:$AY$7,0)),"")</f>
        <v/>
      </c>
      <c r="AK81" s="30" t="str">
        <f t="shared" si="11"/>
        <v>No</v>
      </c>
    </row>
    <row r="82" spans="2:37" ht="13.8" x14ac:dyDescent="0.25">
      <c r="B82" s="101">
        <v>71</v>
      </c>
      <c r="C82" s="950"/>
      <c r="D82" s="119"/>
      <c r="E82" s="281" t="str">
        <f>IF(C82="","",VLOOKUP(C82,'G-7 WaterC'' Data'!$B$2:$G$8,2,FALSE))</f>
        <v/>
      </c>
      <c r="F82" s="282" t="str">
        <f>IFERROR(VLOOKUP(E82,'G-7 WaterC'' Data'!$C$4:$D$8,2,FALSE),"")</f>
        <v/>
      </c>
      <c r="G82" s="105"/>
      <c r="H82" s="282" t="str">
        <f>IFERROR(INDEX('G-7 WaterC'' Data'!$H$4:$L$8,MATCH(C82,'G-7 WaterC'' Data'!$B$4:$B$8,0),MATCH(G82,'G-7 WaterC'' Data'!$H$3:$L$3,0)),"")</f>
        <v/>
      </c>
      <c r="I82" s="52"/>
      <c r="J82" s="289" t="str">
        <f>IF(I82="","",IF(VLOOKUP(I82,'G-7 WaterC'' Data'!$AK$4:$AM$6,2,FALSE)=0,"Spatial Data Missing ⚠",VLOOKUP(I82,'G-7 WaterC'' Data'!$AK$4:$AM$6,2,FALSE)))</f>
        <v/>
      </c>
      <c r="K82" s="282" t="str">
        <f>IF(I82="","",IF(VLOOKUP(I82,'G-7 WaterC'' Data'!$AK$4:$AM$6,3,FALSE)=0,"Spatial Data Missing ⚠",VLOOKUP(I82,'G-7 WaterC'' Data'!$AK$4:$AM$6,3,FALSE)))</f>
        <v/>
      </c>
      <c r="L82" s="281" t="str">
        <f>IFERROR(INDEX('G-7 WaterC'' Data'!$O$3:$O$7,MATCH(G82,'G-7 WaterC'' Data'!$N$3:$N$7,0)),"")</f>
        <v/>
      </c>
      <c r="M82" s="58"/>
      <c r="N82" s="137"/>
      <c r="O82" s="289" t="str">
        <f t="shared" si="6"/>
        <v/>
      </c>
      <c r="P82" s="302" t="str">
        <f t="shared" si="7"/>
        <v/>
      </c>
      <c r="Q82" s="340" t="str">
        <f>IFERROR(IF(P82="Check Data ⚠","Check Data ⚠",VLOOKUP(P82,'G-4 Temporal multipliers'!$A$4:$C$37,3,FALSE)),"")</f>
        <v/>
      </c>
      <c r="R82" s="281" t="str">
        <f>IF(C82="","",VLOOKUP(C82,'G-7 WaterC'' Data'!$B$4:$G$8,4,FALSE))</f>
        <v/>
      </c>
      <c r="S82" s="289" t="str">
        <f t="shared" si="8"/>
        <v/>
      </c>
      <c r="T82" s="320" t="str">
        <f t="shared" si="9"/>
        <v/>
      </c>
      <c r="U82" s="282" t="str">
        <f>IF(C82="","",VLOOKUP(T82,'G-3 Multipliers'!$P$2:$Q$6,2,FALSE))</f>
        <v/>
      </c>
      <c r="V82" s="106"/>
      <c r="W82" s="282" t="str">
        <f>IF(V82="","",IF(AND(V82="N/A - Culvert",C82&lt;&gt;"Culvert"),"Not possible ▲",IF(AND(C82="Culvert",V82&lt;&gt;"N/A - Culvert"),"Not possible ▲",IF(VLOOKUP(V82,'G-7 WaterC'' Data'!$AA$4:$AB$7,2,FALSE)=0,"Spatial Data Missing ⚠",VLOOKUP(V82,'G-7 WaterC'' Data'!$AA$4:$AB$7,2,FALSE)))))</f>
        <v/>
      </c>
      <c r="X82" s="56"/>
      <c r="Y82" s="282" t="str">
        <f>IF(X82="","",IF(AND(X82="N/A - Culvert", C82&lt;&gt;"Culvert"), "Not possible ▲",IF(AND(C82="Culvert",X82&lt;&gt;"N/A - Culvert"),"Not possible ▲",IF(VLOOKUP(X82,'G-7 WaterC'' Data'!$AD$4:$AE$14,2,FALSE)=0,"Enrcoachment Data Missing ⚠",VLOOKUP(X82,'G-7 WaterC'' Data'!$AD$4:$AE$14,2,FALSE)))))</f>
        <v/>
      </c>
      <c r="Z82" s="323" t="str">
        <f t="shared" si="10"/>
        <v/>
      </c>
      <c r="AA82" s="105"/>
      <c r="AB82" s="119"/>
      <c r="AC82" s="108"/>
      <c r="AH82" s="30" t="str">
        <f>IFERROR(INDEX('G-7 WaterC'' Data'!$AZ$3:$AZ$7,MATCH(C82,'G-7 WaterC'' Data'!$AY$3:$AY$7,0)),"")</f>
        <v/>
      </c>
      <c r="AK82" s="30" t="str">
        <f t="shared" si="11"/>
        <v>No</v>
      </c>
    </row>
    <row r="83" spans="2:37" ht="13.8" x14ac:dyDescent="0.25">
      <c r="B83" s="101">
        <v>72</v>
      </c>
      <c r="C83" s="950"/>
      <c r="D83" s="119"/>
      <c r="E83" s="281" t="str">
        <f>IF(C83="","",VLOOKUP(C83,'G-7 WaterC'' Data'!$B$2:$G$8,2,FALSE))</f>
        <v/>
      </c>
      <c r="F83" s="282" t="str">
        <f>IFERROR(VLOOKUP(E83,'G-7 WaterC'' Data'!$C$4:$D$8,2,FALSE),"")</f>
        <v/>
      </c>
      <c r="G83" s="105"/>
      <c r="H83" s="282" t="str">
        <f>IFERROR(INDEX('G-7 WaterC'' Data'!$H$4:$L$8,MATCH(C83,'G-7 WaterC'' Data'!$B$4:$B$8,0),MATCH(G83,'G-7 WaterC'' Data'!$H$3:$L$3,0)),"")</f>
        <v/>
      </c>
      <c r="I83" s="52"/>
      <c r="J83" s="289" t="str">
        <f>IF(I83="","",IF(VLOOKUP(I83,'G-7 WaterC'' Data'!$AK$4:$AM$6,2,FALSE)=0,"Spatial Data Missing ⚠",VLOOKUP(I83,'G-7 WaterC'' Data'!$AK$4:$AM$6,2,FALSE)))</f>
        <v/>
      </c>
      <c r="K83" s="282" t="str">
        <f>IF(I83="","",IF(VLOOKUP(I83,'G-7 WaterC'' Data'!$AK$4:$AM$6,3,FALSE)=0,"Spatial Data Missing ⚠",VLOOKUP(I83,'G-7 WaterC'' Data'!$AK$4:$AM$6,3,FALSE)))</f>
        <v/>
      </c>
      <c r="L83" s="281" t="str">
        <f>IFERROR(INDEX('G-7 WaterC'' Data'!$O$3:$O$7,MATCH(G83,'G-7 WaterC'' Data'!$N$3:$N$7,0)),"")</f>
        <v/>
      </c>
      <c r="M83" s="58"/>
      <c r="N83" s="137"/>
      <c r="O83" s="289" t="str">
        <f t="shared" si="6"/>
        <v/>
      </c>
      <c r="P83" s="302" t="str">
        <f t="shared" si="7"/>
        <v/>
      </c>
      <c r="Q83" s="340" t="str">
        <f>IFERROR(IF(P83="Check Data ⚠","Check Data ⚠",VLOOKUP(P83,'G-4 Temporal multipliers'!$A$4:$C$37,3,FALSE)),"")</f>
        <v/>
      </c>
      <c r="R83" s="281" t="str">
        <f>IF(C83="","",VLOOKUP(C83,'G-7 WaterC'' Data'!$B$4:$G$8,4,FALSE))</f>
        <v/>
      </c>
      <c r="S83" s="289" t="str">
        <f t="shared" si="8"/>
        <v/>
      </c>
      <c r="T83" s="320" t="str">
        <f t="shared" si="9"/>
        <v/>
      </c>
      <c r="U83" s="282" t="str">
        <f>IF(C83="","",VLOOKUP(T83,'G-3 Multipliers'!$P$2:$Q$6,2,FALSE))</f>
        <v/>
      </c>
      <c r="V83" s="106"/>
      <c r="W83" s="282" t="str">
        <f>IF(V83="","",IF(AND(V83="N/A - Culvert",C83&lt;&gt;"Culvert"),"Not possible ▲",IF(AND(C83="Culvert",V83&lt;&gt;"N/A - Culvert"),"Not possible ▲",IF(VLOOKUP(V83,'G-7 WaterC'' Data'!$AA$4:$AB$7,2,FALSE)=0,"Spatial Data Missing ⚠",VLOOKUP(V83,'G-7 WaterC'' Data'!$AA$4:$AB$7,2,FALSE)))))</f>
        <v/>
      </c>
      <c r="X83" s="56"/>
      <c r="Y83" s="282" t="str">
        <f>IF(X83="","",IF(AND(X83="N/A - Culvert", C83&lt;&gt;"Culvert"), "Not possible ▲",IF(AND(C83="Culvert",X83&lt;&gt;"N/A - Culvert"),"Not possible ▲",IF(VLOOKUP(X83,'G-7 WaterC'' Data'!$AD$4:$AE$14,2,FALSE)=0,"Enrcoachment Data Missing ⚠",VLOOKUP(X83,'G-7 WaterC'' Data'!$AD$4:$AE$14,2,FALSE)))))</f>
        <v/>
      </c>
      <c r="Z83" s="323" t="str">
        <f t="shared" si="10"/>
        <v/>
      </c>
      <c r="AA83" s="105"/>
      <c r="AB83" s="119"/>
      <c r="AC83" s="108"/>
      <c r="AH83" s="30" t="str">
        <f>IFERROR(INDEX('G-7 WaterC'' Data'!$AZ$3:$AZ$7,MATCH(C83,'G-7 WaterC'' Data'!$AY$3:$AY$7,0)),"")</f>
        <v/>
      </c>
      <c r="AK83" s="30" t="str">
        <f t="shared" si="11"/>
        <v>No</v>
      </c>
    </row>
    <row r="84" spans="2:37" ht="13.8" x14ac:dyDescent="0.25">
      <c r="B84" s="101">
        <v>73</v>
      </c>
      <c r="C84" s="950"/>
      <c r="D84" s="119"/>
      <c r="E84" s="281" t="str">
        <f>IF(C84="","",VLOOKUP(C84,'G-7 WaterC'' Data'!$B$2:$G$8,2,FALSE))</f>
        <v/>
      </c>
      <c r="F84" s="282" t="str">
        <f>IFERROR(VLOOKUP(E84,'G-7 WaterC'' Data'!$C$4:$D$8,2,FALSE),"")</f>
        <v/>
      </c>
      <c r="G84" s="105"/>
      <c r="H84" s="282" t="str">
        <f>IFERROR(INDEX('G-7 WaterC'' Data'!$H$4:$L$8,MATCH(C84,'G-7 WaterC'' Data'!$B$4:$B$8,0),MATCH(G84,'G-7 WaterC'' Data'!$H$3:$L$3,0)),"")</f>
        <v/>
      </c>
      <c r="I84" s="52"/>
      <c r="J84" s="289" t="str">
        <f>IF(I84="","",IF(VLOOKUP(I84,'G-7 WaterC'' Data'!$AK$4:$AM$6,2,FALSE)=0,"Spatial Data Missing ⚠",VLOOKUP(I84,'G-7 WaterC'' Data'!$AK$4:$AM$6,2,FALSE)))</f>
        <v/>
      </c>
      <c r="K84" s="282" t="str">
        <f>IF(I84="","",IF(VLOOKUP(I84,'G-7 WaterC'' Data'!$AK$4:$AM$6,3,FALSE)=0,"Spatial Data Missing ⚠",VLOOKUP(I84,'G-7 WaterC'' Data'!$AK$4:$AM$6,3,FALSE)))</f>
        <v/>
      </c>
      <c r="L84" s="281" t="str">
        <f>IFERROR(INDEX('G-7 WaterC'' Data'!$O$3:$O$7,MATCH(G84,'G-7 WaterC'' Data'!$N$3:$N$7,0)),"")</f>
        <v/>
      </c>
      <c r="M84" s="58"/>
      <c r="N84" s="137"/>
      <c r="O84" s="289" t="str">
        <f t="shared" si="6"/>
        <v/>
      </c>
      <c r="P84" s="302" t="str">
        <f t="shared" si="7"/>
        <v/>
      </c>
      <c r="Q84" s="340" t="str">
        <f>IFERROR(IF(P84="Check Data ⚠","Check Data ⚠",VLOOKUP(P84,'G-4 Temporal multipliers'!$A$4:$C$37,3,FALSE)),"")</f>
        <v/>
      </c>
      <c r="R84" s="281" t="str">
        <f>IF(C84="","",VLOOKUP(C84,'G-7 WaterC'' Data'!$B$4:$G$8,4,FALSE))</f>
        <v/>
      </c>
      <c r="S84" s="289" t="str">
        <f t="shared" si="8"/>
        <v/>
      </c>
      <c r="T84" s="320" t="str">
        <f t="shared" si="9"/>
        <v/>
      </c>
      <c r="U84" s="282" t="str">
        <f>IF(C84="","",VLOOKUP(T84,'G-3 Multipliers'!$P$2:$Q$6,2,FALSE))</f>
        <v/>
      </c>
      <c r="V84" s="106"/>
      <c r="W84" s="282" t="str">
        <f>IF(V84="","",IF(AND(V84="N/A - Culvert",C84&lt;&gt;"Culvert"),"Not possible ▲",IF(AND(C84="Culvert",V84&lt;&gt;"N/A - Culvert"),"Not possible ▲",IF(VLOOKUP(V84,'G-7 WaterC'' Data'!$AA$4:$AB$7,2,FALSE)=0,"Spatial Data Missing ⚠",VLOOKUP(V84,'G-7 WaterC'' Data'!$AA$4:$AB$7,2,FALSE)))))</f>
        <v/>
      </c>
      <c r="X84" s="56"/>
      <c r="Y84" s="282" t="str">
        <f>IF(X84="","",IF(AND(X84="N/A - Culvert", C84&lt;&gt;"Culvert"), "Not possible ▲",IF(AND(C84="Culvert",X84&lt;&gt;"N/A - Culvert"),"Not possible ▲",IF(VLOOKUP(X84,'G-7 WaterC'' Data'!$AD$4:$AE$14,2,FALSE)=0,"Enrcoachment Data Missing ⚠",VLOOKUP(X84,'G-7 WaterC'' Data'!$AD$4:$AE$14,2,FALSE)))))</f>
        <v/>
      </c>
      <c r="Z84" s="323" t="str">
        <f t="shared" si="10"/>
        <v/>
      </c>
      <c r="AA84" s="105"/>
      <c r="AB84" s="119"/>
      <c r="AC84" s="108"/>
      <c r="AH84" s="30" t="str">
        <f>IFERROR(INDEX('G-7 WaterC'' Data'!$AZ$3:$AZ$7,MATCH(C84,'G-7 WaterC'' Data'!$AY$3:$AY$7,0)),"")</f>
        <v/>
      </c>
      <c r="AK84" s="30" t="str">
        <f t="shared" si="11"/>
        <v>No</v>
      </c>
    </row>
    <row r="85" spans="2:37" ht="13.8" x14ac:dyDescent="0.25">
      <c r="B85" s="101">
        <v>74</v>
      </c>
      <c r="C85" s="950"/>
      <c r="D85" s="119"/>
      <c r="E85" s="281" t="str">
        <f>IF(C85="","",VLOOKUP(C85,'G-7 WaterC'' Data'!$B$2:$G$8,2,FALSE))</f>
        <v/>
      </c>
      <c r="F85" s="282" t="str">
        <f>IFERROR(VLOOKUP(E85,'G-7 WaterC'' Data'!$C$4:$D$8,2,FALSE),"")</f>
        <v/>
      </c>
      <c r="G85" s="105"/>
      <c r="H85" s="282" t="str">
        <f>IFERROR(INDEX('G-7 WaterC'' Data'!$H$4:$L$8,MATCH(C85,'G-7 WaterC'' Data'!$B$4:$B$8,0),MATCH(G85,'G-7 WaterC'' Data'!$H$3:$L$3,0)),"")</f>
        <v/>
      </c>
      <c r="I85" s="52"/>
      <c r="J85" s="289" t="str">
        <f>IF(I85="","",IF(VLOOKUP(I85,'G-7 WaterC'' Data'!$AK$4:$AM$6,2,FALSE)=0,"Spatial Data Missing ⚠",VLOOKUP(I85,'G-7 WaterC'' Data'!$AK$4:$AM$6,2,FALSE)))</f>
        <v/>
      </c>
      <c r="K85" s="282" t="str">
        <f>IF(I85="","",IF(VLOOKUP(I85,'G-7 WaterC'' Data'!$AK$4:$AM$6,3,FALSE)=0,"Spatial Data Missing ⚠",VLOOKUP(I85,'G-7 WaterC'' Data'!$AK$4:$AM$6,3,FALSE)))</f>
        <v/>
      </c>
      <c r="L85" s="281" t="str">
        <f>IFERROR(INDEX('G-7 WaterC'' Data'!$O$3:$O$7,MATCH(G85,'G-7 WaterC'' Data'!$N$3:$N$7,0)),"")</f>
        <v/>
      </c>
      <c r="M85" s="58"/>
      <c r="N85" s="137"/>
      <c r="O85" s="289" t="str">
        <f t="shared" si="6"/>
        <v/>
      </c>
      <c r="P85" s="302" t="str">
        <f t="shared" si="7"/>
        <v/>
      </c>
      <c r="Q85" s="340" t="str">
        <f>IFERROR(IF(P85="Check Data ⚠","Check Data ⚠",VLOOKUP(P85,'G-4 Temporal multipliers'!$A$4:$C$37,3,FALSE)),"")</f>
        <v/>
      </c>
      <c r="R85" s="281" t="str">
        <f>IF(C85="","",VLOOKUP(C85,'G-7 WaterC'' Data'!$B$4:$G$8,4,FALSE))</f>
        <v/>
      </c>
      <c r="S85" s="289" t="str">
        <f t="shared" si="8"/>
        <v/>
      </c>
      <c r="T85" s="320" t="str">
        <f t="shared" si="9"/>
        <v/>
      </c>
      <c r="U85" s="282" t="str">
        <f>IF(C85="","",VLOOKUP(T85,'G-3 Multipliers'!$P$2:$Q$6,2,FALSE))</f>
        <v/>
      </c>
      <c r="V85" s="106"/>
      <c r="W85" s="282" t="str">
        <f>IF(V85="","",IF(AND(V85="N/A - Culvert",C85&lt;&gt;"Culvert"),"Not possible ▲",IF(AND(C85="Culvert",V85&lt;&gt;"N/A - Culvert"),"Not possible ▲",IF(VLOOKUP(V85,'G-7 WaterC'' Data'!$AA$4:$AB$7,2,FALSE)=0,"Spatial Data Missing ⚠",VLOOKUP(V85,'G-7 WaterC'' Data'!$AA$4:$AB$7,2,FALSE)))))</f>
        <v/>
      </c>
      <c r="X85" s="56"/>
      <c r="Y85" s="282" t="str">
        <f>IF(X85="","",IF(AND(X85="N/A - Culvert", C85&lt;&gt;"Culvert"), "Not possible ▲",IF(AND(C85="Culvert",X85&lt;&gt;"N/A - Culvert"),"Not possible ▲",IF(VLOOKUP(X85,'G-7 WaterC'' Data'!$AD$4:$AE$14,2,FALSE)=0,"Enrcoachment Data Missing ⚠",VLOOKUP(X85,'G-7 WaterC'' Data'!$AD$4:$AE$14,2,FALSE)))))</f>
        <v/>
      </c>
      <c r="Z85" s="323" t="str">
        <f t="shared" si="10"/>
        <v/>
      </c>
      <c r="AA85" s="105"/>
      <c r="AB85" s="119"/>
      <c r="AC85" s="108"/>
      <c r="AH85" s="30" t="str">
        <f>IFERROR(INDEX('G-7 WaterC'' Data'!$AZ$3:$AZ$7,MATCH(C85,'G-7 WaterC'' Data'!$AY$3:$AY$7,0)),"")</f>
        <v/>
      </c>
      <c r="AK85" s="30" t="str">
        <f t="shared" si="11"/>
        <v>No</v>
      </c>
    </row>
    <row r="86" spans="2:37" ht="13.8" x14ac:dyDescent="0.25">
      <c r="B86" s="101">
        <v>75</v>
      </c>
      <c r="C86" s="950"/>
      <c r="D86" s="119"/>
      <c r="E86" s="281" t="str">
        <f>IF(C86="","",VLOOKUP(C86,'G-7 WaterC'' Data'!$B$2:$G$8,2,FALSE))</f>
        <v/>
      </c>
      <c r="F86" s="282" t="str">
        <f>IFERROR(VLOOKUP(E86,'G-7 WaterC'' Data'!$C$4:$D$8,2,FALSE),"")</f>
        <v/>
      </c>
      <c r="G86" s="105"/>
      <c r="H86" s="282" t="str">
        <f>IFERROR(INDEX('G-7 WaterC'' Data'!$H$4:$L$8,MATCH(C86,'G-7 WaterC'' Data'!$B$4:$B$8,0),MATCH(G86,'G-7 WaterC'' Data'!$H$3:$L$3,0)),"")</f>
        <v/>
      </c>
      <c r="I86" s="52"/>
      <c r="J86" s="289" t="str">
        <f>IF(I86="","",IF(VLOOKUP(I86,'G-7 WaterC'' Data'!$AK$4:$AM$6,2,FALSE)=0,"Spatial Data Missing ⚠",VLOOKUP(I86,'G-7 WaterC'' Data'!$AK$4:$AM$6,2,FALSE)))</f>
        <v/>
      </c>
      <c r="K86" s="282" t="str">
        <f>IF(I86="","",IF(VLOOKUP(I86,'G-7 WaterC'' Data'!$AK$4:$AM$6,3,FALSE)=0,"Spatial Data Missing ⚠",VLOOKUP(I86,'G-7 WaterC'' Data'!$AK$4:$AM$6,3,FALSE)))</f>
        <v/>
      </c>
      <c r="L86" s="281" t="str">
        <f>IFERROR(INDEX('G-7 WaterC'' Data'!$O$3:$O$7,MATCH(G86,'G-7 WaterC'' Data'!$N$3:$N$7,0)),"")</f>
        <v/>
      </c>
      <c r="M86" s="58"/>
      <c r="N86" s="137"/>
      <c r="O86" s="289" t="str">
        <f t="shared" si="6"/>
        <v/>
      </c>
      <c r="P86" s="302" t="str">
        <f t="shared" si="7"/>
        <v/>
      </c>
      <c r="Q86" s="340" t="str">
        <f>IFERROR(IF(P86="Check Data ⚠","Check Data ⚠",VLOOKUP(P86,'G-4 Temporal multipliers'!$A$4:$C$37,3,FALSE)),"")</f>
        <v/>
      </c>
      <c r="R86" s="281" t="str">
        <f>IF(C86="","",VLOOKUP(C86,'G-7 WaterC'' Data'!$B$4:$G$8,4,FALSE))</f>
        <v/>
      </c>
      <c r="S86" s="289" t="str">
        <f t="shared" si="8"/>
        <v/>
      </c>
      <c r="T86" s="320" t="str">
        <f t="shared" si="9"/>
        <v/>
      </c>
      <c r="U86" s="282" t="str">
        <f>IF(C86="","",VLOOKUP(T86,'G-3 Multipliers'!$P$2:$Q$6,2,FALSE))</f>
        <v/>
      </c>
      <c r="V86" s="106"/>
      <c r="W86" s="282" t="str">
        <f>IF(V86="","",IF(AND(V86="N/A - Culvert",C86&lt;&gt;"Culvert"),"Not possible ▲",IF(AND(C86="Culvert",V86&lt;&gt;"N/A - Culvert"),"Not possible ▲",IF(VLOOKUP(V86,'G-7 WaterC'' Data'!$AA$4:$AB$7,2,FALSE)=0,"Spatial Data Missing ⚠",VLOOKUP(V86,'G-7 WaterC'' Data'!$AA$4:$AB$7,2,FALSE)))))</f>
        <v/>
      </c>
      <c r="X86" s="56"/>
      <c r="Y86" s="282" t="str">
        <f>IF(X86="","",IF(AND(X86="N/A - Culvert", C86&lt;&gt;"Culvert"), "Not possible ▲",IF(AND(C86="Culvert",X86&lt;&gt;"N/A - Culvert"),"Not possible ▲",IF(VLOOKUP(X86,'G-7 WaterC'' Data'!$AD$4:$AE$14,2,FALSE)=0,"Enrcoachment Data Missing ⚠",VLOOKUP(X86,'G-7 WaterC'' Data'!$AD$4:$AE$14,2,FALSE)))))</f>
        <v/>
      </c>
      <c r="Z86" s="323" t="str">
        <f t="shared" si="10"/>
        <v/>
      </c>
      <c r="AA86" s="105"/>
      <c r="AB86" s="119"/>
      <c r="AC86" s="108"/>
      <c r="AH86" s="30" t="str">
        <f>IFERROR(INDEX('G-7 WaterC'' Data'!$AZ$3:$AZ$7,MATCH(C86,'G-7 WaterC'' Data'!$AY$3:$AY$7,0)),"")</f>
        <v/>
      </c>
      <c r="AK86" s="30" t="str">
        <f t="shared" si="11"/>
        <v>No</v>
      </c>
    </row>
    <row r="87" spans="2:37" ht="13.8" x14ac:dyDescent="0.25">
      <c r="B87" s="101">
        <v>76</v>
      </c>
      <c r="C87" s="950"/>
      <c r="D87" s="119"/>
      <c r="E87" s="281" t="str">
        <f>IF(C87="","",VLOOKUP(C87,'G-7 WaterC'' Data'!$B$2:$G$8,2,FALSE))</f>
        <v/>
      </c>
      <c r="F87" s="282" t="str">
        <f>IFERROR(VLOOKUP(E87,'G-7 WaterC'' Data'!$C$4:$D$8,2,FALSE),"")</f>
        <v/>
      </c>
      <c r="G87" s="105"/>
      <c r="H87" s="282" t="str">
        <f>IFERROR(INDEX('G-7 WaterC'' Data'!$H$4:$L$8,MATCH(C87,'G-7 WaterC'' Data'!$B$4:$B$8,0),MATCH(G87,'G-7 WaterC'' Data'!$H$3:$L$3,0)),"")</f>
        <v/>
      </c>
      <c r="I87" s="52"/>
      <c r="J87" s="289" t="str">
        <f>IF(I87="","",IF(VLOOKUP(I87,'G-7 WaterC'' Data'!$AK$4:$AM$6,2,FALSE)=0,"Spatial Data Missing ⚠",VLOOKUP(I87,'G-7 WaterC'' Data'!$AK$4:$AM$6,2,FALSE)))</f>
        <v/>
      </c>
      <c r="K87" s="282" t="str">
        <f>IF(I87="","",IF(VLOOKUP(I87,'G-7 WaterC'' Data'!$AK$4:$AM$6,3,FALSE)=0,"Spatial Data Missing ⚠",VLOOKUP(I87,'G-7 WaterC'' Data'!$AK$4:$AM$6,3,FALSE)))</f>
        <v/>
      </c>
      <c r="L87" s="281" t="str">
        <f>IFERROR(INDEX('G-7 WaterC'' Data'!$O$3:$O$7,MATCH(G87,'G-7 WaterC'' Data'!$N$3:$N$7,0)),"")</f>
        <v/>
      </c>
      <c r="M87" s="58"/>
      <c r="N87" s="137"/>
      <c r="O87" s="289" t="str">
        <f t="shared" si="6"/>
        <v/>
      </c>
      <c r="P87" s="302" t="str">
        <f t="shared" si="7"/>
        <v/>
      </c>
      <c r="Q87" s="340" t="str">
        <f>IFERROR(IF(P87="Check Data ⚠","Check Data ⚠",VLOOKUP(P87,'G-4 Temporal multipliers'!$A$4:$C$37,3,FALSE)),"")</f>
        <v/>
      </c>
      <c r="R87" s="281" t="str">
        <f>IF(C87="","",VLOOKUP(C87,'G-7 WaterC'' Data'!$B$4:$G$8,4,FALSE))</f>
        <v/>
      </c>
      <c r="S87" s="289" t="str">
        <f t="shared" si="8"/>
        <v/>
      </c>
      <c r="T87" s="320" t="str">
        <f t="shared" si="9"/>
        <v/>
      </c>
      <c r="U87" s="282" t="str">
        <f>IF(C87="","",VLOOKUP(T87,'G-3 Multipliers'!$P$2:$Q$6,2,FALSE))</f>
        <v/>
      </c>
      <c r="V87" s="106"/>
      <c r="W87" s="282" t="str">
        <f>IF(V87="","",IF(AND(V87="N/A - Culvert",C87&lt;&gt;"Culvert"),"Not possible ▲",IF(AND(C87="Culvert",V87&lt;&gt;"N/A - Culvert"),"Not possible ▲",IF(VLOOKUP(V87,'G-7 WaterC'' Data'!$AA$4:$AB$7,2,FALSE)=0,"Spatial Data Missing ⚠",VLOOKUP(V87,'G-7 WaterC'' Data'!$AA$4:$AB$7,2,FALSE)))))</f>
        <v/>
      </c>
      <c r="X87" s="56"/>
      <c r="Y87" s="282" t="str">
        <f>IF(X87="","",IF(AND(X87="N/A - Culvert", C87&lt;&gt;"Culvert"), "Not possible ▲",IF(AND(C87="Culvert",X87&lt;&gt;"N/A - Culvert"),"Not possible ▲",IF(VLOOKUP(X87,'G-7 WaterC'' Data'!$AD$4:$AE$14,2,FALSE)=0,"Enrcoachment Data Missing ⚠",VLOOKUP(X87,'G-7 WaterC'' Data'!$AD$4:$AE$14,2,FALSE)))))</f>
        <v/>
      </c>
      <c r="Z87" s="323" t="str">
        <f t="shared" si="10"/>
        <v/>
      </c>
      <c r="AA87" s="105"/>
      <c r="AB87" s="119"/>
      <c r="AC87" s="108"/>
      <c r="AH87" s="30" t="str">
        <f>IFERROR(INDEX('G-7 WaterC'' Data'!$AZ$3:$AZ$7,MATCH(C87,'G-7 WaterC'' Data'!$AY$3:$AY$7,0)),"")</f>
        <v/>
      </c>
      <c r="AK87" s="30" t="str">
        <f t="shared" si="11"/>
        <v>No</v>
      </c>
    </row>
    <row r="88" spans="2:37" ht="13.8" x14ac:dyDescent="0.25">
      <c r="B88" s="101">
        <v>77</v>
      </c>
      <c r="C88" s="950"/>
      <c r="D88" s="119"/>
      <c r="E88" s="281" t="str">
        <f>IF(C88="","",VLOOKUP(C88,'G-7 WaterC'' Data'!$B$2:$G$8,2,FALSE))</f>
        <v/>
      </c>
      <c r="F88" s="282" t="str">
        <f>IFERROR(VLOOKUP(E88,'G-7 WaterC'' Data'!$C$4:$D$8,2,FALSE),"")</f>
        <v/>
      </c>
      <c r="G88" s="105"/>
      <c r="H88" s="282" t="str">
        <f>IFERROR(INDEX('G-7 WaterC'' Data'!$H$4:$L$8,MATCH(C88,'G-7 WaterC'' Data'!$B$4:$B$8,0),MATCH(G88,'G-7 WaterC'' Data'!$H$3:$L$3,0)),"")</f>
        <v/>
      </c>
      <c r="I88" s="52"/>
      <c r="J88" s="289" t="str">
        <f>IF(I88="","",IF(VLOOKUP(I88,'G-7 WaterC'' Data'!$AK$4:$AM$6,2,FALSE)=0,"Spatial Data Missing ⚠",VLOOKUP(I88,'G-7 WaterC'' Data'!$AK$4:$AM$6,2,FALSE)))</f>
        <v/>
      </c>
      <c r="K88" s="282" t="str">
        <f>IF(I88="","",IF(VLOOKUP(I88,'G-7 WaterC'' Data'!$AK$4:$AM$6,3,FALSE)=0,"Spatial Data Missing ⚠",VLOOKUP(I88,'G-7 WaterC'' Data'!$AK$4:$AM$6,3,FALSE)))</f>
        <v/>
      </c>
      <c r="L88" s="281" t="str">
        <f>IFERROR(INDEX('G-7 WaterC'' Data'!$O$3:$O$7,MATCH(G88,'G-7 WaterC'' Data'!$N$3:$N$7,0)),"")</f>
        <v/>
      </c>
      <c r="M88" s="58"/>
      <c r="N88" s="137"/>
      <c r="O88" s="289" t="str">
        <f t="shared" si="6"/>
        <v/>
      </c>
      <c r="P88" s="302" t="str">
        <f t="shared" si="7"/>
        <v/>
      </c>
      <c r="Q88" s="340" t="str">
        <f>IFERROR(IF(P88="Check Data ⚠","Check Data ⚠",VLOOKUP(P88,'G-4 Temporal multipliers'!$A$4:$C$37,3,FALSE)),"")</f>
        <v/>
      </c>
      <c r="R88" s="281" t="str">
        <f>IF(C88="","",VLOOKUP(C88,'G-7 WaterC'' Data'!$B$4:$G$8,4,FALSE))</f>
        <v/>
      </c>
      <c r="S88" s="289" t="str">
        <f t="shared" si="8"/>
        <v/>
      </c>
      <c r="T88" s="320" t="str">
        <f t="shared" si="9"/>
        <v/>
      </c>
      <c r="U88" s="282" t="str">
        <f>IF(C88="","",VLOOKUP(T88,'G-3 Multipliers'!$P$2:$Q$6,2,FALSE))</f>
        <v/>
      </c>
      <c r="V88" s="106"/>
      <c r="W88" s="282" t="str">
        <f>IF(V88="","",IF(AND(V88="N/A - Culvert",C88&lt;&gt;"Culvert"),"Not possible ▲",IF(AND(C88="Culvert",V88&lt;&gt;"N/A - Culvert"),"Not possible ▲",IF(VLOOKUP(V88,'G-7 WaterC'' Data'!$AA$4:$AB$7,2,FALSE)=0,"Spatial Data Missing ⚠",VLOOKUP(V88,'G-7 WaterC'' Data'!$AA$4:$AB$7,2,FALSE)))))</f>
        <v/>
      </c>
      <c r="X88" s="56"/>
      <c r="Y88" s="282" t="str">
        <f>IF(X88="","",IF(AND(X88="N/A - Culvert", C88&lt;&gt;"Culvert"), "Not possible ▲",IF(AND(C88="Culvert",X88&lt;&gt;"N/A - Culvert"),"Not possible ▲",IF(VLOOKUP(X88,'G-7 WaterC'' Data'!$AD$4:$AE$14,2,FALSE)=0,"Enrcoachment Data Missing ⚠",VLOOKUP(X88,'G-7 WaterC'' Data'!$AD$4:$AE$14,2,FALSE)))))</f>
        <v/>
      </c>
      <c r="Z88" s="323" t="str">
        <f t="shared" si="10"/>
        <v/>
      </c>
      <c r="AA88" s="105"/>
      <c r="AB88" s="119"/>
      <c r="AC88" s="108"/>
      <c r="AH88" s="30" t="str">
        <f>IFERROR(INDEX('G-7 WaterC'' Data'!$AZ$3:$AZ$7,MATCH(C88,'G-7 WaterC'' Data'!$AY$3:$AY$7,0)),"")</f>
        <v/>
      </c>
      <c r="AK88" s="30" t="str">
        <f t="shared" si="11"/>
        <v>No</v>
      </c>
    </row>
    <row r="89" spans="2:37" ht="13.8" x14ac:dyDescent="0.25">
      <c r="B89" s="101">
        <v>78</v>
      </c>
      <c r="C89" s="950"/>
      <c r="D89" s="119"/>
      <c r="E89" s="281" t="str">
        <f>IF(C89="","",VLOOKUP(C89,'G-7 WaterC'' Data'!$B$2:$G$8,2,FALSE))</f>
        <v/>
      </c>
      <c r="F89" s="282" t="str">
        <f>IFERROR(VLOOKUP(E89,'G-7 WaterC'' Data'!$C$4:$D$8,2,FALSE),"")</f>
        <v/>
      </c>
      <c r="G89" s="105"/>
      <c r="H89" s="282" t="str">
        <f>IFERROR(INDEX('G-7 WaterC'' Data'!$H$4:$L$8,MATCH(C89,'G-7 WaterC'' Data'!$B$4:$B$8,0),MATCH(G89,'G-7 WaterC'' Data'!$H$3:$L$3,0)),"")</f>
        <v/>
      </c>
      <c r="I89" s="52"/>
      <c r="J89" s="289" t="str">
        <f>IF(I89="","",IF(VLOOKUP(I89,'G-7 WaterC'' Data'!$AK$4:$AM$6,2,FALSE)=0,"Spatial Data Missing ⚠",VLOOKUP(I89,'G-7 WaterC'' Data'!$AK$4:$AM$6,2,FALSE)))</f>
        <v/>
      </c>
      <c r="K89" s="282" t="str">
        <f>IF(I89="","",IF(VLOOKUP(I89,'G-7 WaterC'' Data'!$AK$4:$AM$6,3,FALSE)=0,"Spatial Data Missing ⚠",VLOOKUP(I89,'G-7 WaterC'' Data'!$AK$4:$AM$6,3,FALSE)))</f>
        <v/>
      </c>
      <c r="L89" s="281" t="str">
        <f>IFERROR(INDEX('G-7 WaterC'' Data'!$O$3:$O$7,MATCH(G89,'G-7 WaterC'' Data'!$N$3:$N$7,0)),"")</f>
        <v/>
      </c>
      <c r="M89" s="58"/>
      <c r="N89" s="137"/>
      <c r="O89" s="289" t="str">
        <f t="shared" si="6"/>
        <v/>
      </c>
      <c r="P89" s="302" t="str">
        <f t="shared" si="7"/>
        <v/>
      </c>
      <c r="Q89" s="340" t="str">
        <f>IFERROR(IF(P89="Check Data ⚠","Check Data ⚠",VLOOKUP(P89,'G-4 Temporal multipliers'!$A$4:$C$37,3,FALSE)),"")</f>
        <v/>
      </c>
      <c r="R89" s="281" t="str">
        <f>IF(C89="","",VLOOKUP(C89,'G-7 WaterC'' Data'!$B$4:$G$8,4,FALSE))</f>
        <v/>
      </c>
      <c r="S89" s="289" t="str">
        <f t="shared" si="8"/>
        <v/>
      </c>
      <c r="T89" s="320" t="str">
        <f t="shared" si="9"/>
        <v/>
      </c>
      <c r="U89" s="282" t="str">
        <f>IF(C89="","",VLOOKUP(T89,'G-3 Multipliers'!$P$2:$Q$6,2,FALSE))</f>
        <v/>
      </c>
      <c r="V89" s="106"/>
      <c r="W89" s="282" t="str">
        <f>IF(V89="","",IF(AND(V89="N/A - Culvert",C89&lt;&gt;"Culvert"),"Not possible ▲",IF(AND(C89="Culvert",V89&lt;&gt;"N/A - Culvert"),"Not possible ▲",IF(VLOOKUP(V89,'G-7 WaterC'' Data'!$AA$4:$AB$7,2,FALSE)=0,"Spatial Data Missing ⚠",VLOOKUP(V89,'G-7 WaterC'' Data'!$AA$4:$AB$7,2,FALSE)))))</f>
        <v/>
      </c>
      <c r="X89" s="56"/>
      <c r="Y89" s="282" t="str">
        <f>IF(X89="","",IF(AND(X89="N/A - Culvert", C89&lt;&gt;"Culvert"), "Not possible ▲",IF(AND(C89="Culvert",X89&lt;&gt;"N/A - Culvert"),"Not possible ▲",IF(VLOOKUP(X89,'G-7 WaterC'' Data'!$AD$4:$AE$14,2,FALSE)=0,"Enrcoachment Data Missing ⚠",VLOOKUP(X89,'G-7 WaterC'' Data'!$AD$4:$AE$14,2,FALSE)))))</f>
        <v/>
      </c>
      <c r="Z89" s="323" t="str">
        <f t="shared" si="10"/>
        <v/>
      </c>
      <c r="AA89" s="105"/>
      <c r="AB89" s="119"/>
      <c r="AC89" s="108"/>
      <c r="AH89" s="30" t="str">
        <f>IFERROR(INDEX('G-7 WaterC'' Data'!$AZ$3:$AZ$7,MATCH(C89,'G-7 WaterC'' Data'!$AY$3:$AY$7,0)),"")</f>
        <v/>
      </c>
      <c r="AK89" s="30" t="str">
        <f t="shared" si="11"/>
        <v>No</v>
      </c>
    </row>
    <row r="90" spans="2:37" ht="13.8" x14ac:dyDescent="0.25">
      <c r="B90" s="101">
        <v>79</v>
      </c>
      <c r="C90" s="950"/>
      <c r="D90" s="119"/>
      <c r="E90" s="281" t="str">
        <f>IF(C90="","",VLOOKUP(C90,'G-7 WaterC'' Data'!$B$2:$G$8,2,FALSE))</f>
        <v/>
      </c>
      <c r="F90" s="282" t="str">
        <f>IFERROR(VLOOKUP(E90,'G-7 WaterC'' Data'!$C$4:$D$8,2,FALSE),"")</f>
        <v/>
      </c>
      <c r="G90" s="105"/>
      <c r="H90" s="282" t="str">
        <f>IFERROR(INDEX('G-7 WaterC'' Data'!$H$4:$L$8,MATCH(C90,'G-7 WaterC'' Data'!$B$4:$B$8,0),MATCH(G90,'G-7 WaterC'' Data'!$H$3:$L$3,0)),"")</f>
        <v/>
      </c>
      <c r="I90" s="52"/>
      <c r="J90" s="289" t="str">
        <f>IF(I90="","",IF(VLOOKUP(I90,'G-7 WaterC'' Data'!$AK$4:$AM$6,2,FALSE)=0,"Spatial Data Missing ⚠",VLOOKUP(I90,'G-7 WaterC'' Data'!$AK$4:$AM$6,2,FALSE)))</f>
        <v/>
      </c>
      <c r="K90" s="282" t="str">
        <f>IF(I90="","",IF(VLOOKUP(I90,'G-7 WaterC'' Data'!$AK$4:$AM$6,3,FALSE)=0,"Spatial Data Missing ⚠",VLOOKUP(I90,'G-7 WaterC'' Data'!$AK$4:$AM$6,3,FALSE)))</f>
        <v/>
      </c>
      <c r="L90" s="281" t="str">
        <f>IFERROR(INDEX('G-7 WaterC'' Data'!$O$3:$O$7,MATCH(G90,'G-7 WaterC'' Data'!$N$3:$N$7,0)),"")</f>
        <v/>
      </c>
      <c r="M90" s="58"/>
      <c r="N90" s="137"/>
      <c r="O90" s="289" t="str">
        <f t="shared" si="6"/>
        <v/>
      </c>
      <c r="P90" s="302" t="str">
        <f t="shared" si="7"/>
        <v/>
      </c>
      <c r="Q90" s="340" t="str">
        <f>IFERROR(IF(P90="Check Data ⚠","Check Data ⚠",VLOOKUP(P90,'G-4 Temporal multipliers'!$A$4:$C$37,3,FALSE)),"")</f>
        <v/>
      </c>
      <c r="R90" s="281" t="str">
        <f>IF(C90="","",VLOOKUP(C90,'G-7 WaterC'' Data'!$B$4:$G$8,4,FALSE))</f>
        <v/>
      </c>
      <c r="S90" s="289" t="str">
        <f t="shared" si="8"/>
        <v/>
      </c>
      <c r="T90" s="320" t="str">
        <f t="shared" si="9"/>
        <v/>
      </c>
      <c r="U90" s="282" t="str">
        <f>IF(C90="","",VLOOKUP(T90,'G-3 Multipliers'!$P$2:$Q$6,2,FALSE))</f>
        <v/>
      </c>
      <c r="V90" s="106"/>
      <c r="W90" s="282" t="str">
        <f>IF(V90="","",IF(AND(V90="N/A - Culvert",C90&lt;&gt;"Culvert"),"Not possible ▲",IF(AND(C90="Culvert",V90&lt;&gt;"N/A - Culvert"),"Not possible ▲",IF(VLOOKUP(V90,'G-7 WaterC'' Data'!$AA$4:$AB$7,2,FALSE)=0,"Spatial Data Missing ⚠",VLOOKUP(V90,'G-7 WaterC'' Data'!$AA$4:$AB$7,2,FALSE)))))</f>
        <v/>
      </c>
      <c r="X90" s="56"/>
      <c r="Y90" s="282" t="str">
        <f>IF(X90="","",IF(AND(X90="N/A - Culvert", C90&lt;&gt;"Culvert"), "Not possible ▲",IF(AND(C90="Culvert",X90&lt;&gt;"N/A - Culvert"),"Not possible ▲",IF(VLOOKUP(X90,'G-7 WaterC'' Data'!$AD$4:$AE$14,2,FALSE)=0,"Enrcoachment Data Missing ⚠",VLOOKUP(X90,'G-7 WaterC'' Data'!$AD$4:$AE$14,2,FALSE)))))</f>
        <v/>
      </c>
      <c r="Z90" s="323" t="str">
        <f t="shared" si="10"/>
        <v/>
      </c>
      <c r="AA90" s="105"/>
      <c r="AB90" s="119"/>
      <c r="AC90" s="108"/>
      <c r="AH90" s="30" t="str">
        <f>IFERROR(INDEX('G-7 WaterC'' Data'!$AZ$3:$AZ$7,MATCH(C90,'G-7 WaterC'' Data'!$AY$3:$AY$7,0)),"")</f>
        <v/>
      </c>
      <c r="AK90" s="30" t="str">
        <f t="shared" si="11"/>
        <v>No</v>
      </c>
    </row>
    <row r="91" spans="2:37" ht="13.8" x14ac:dyDescent="0.25">
      <c r="B91" s="101">
        <v>80</v>
      </c>
      <c r="C91" s="950"/>
      <c r="D91" s="119"/>
      <c r="E91" s="281" t="str">
        <f>IF(C91="","",VLOOKUP(C91,'G-7 WaterC'' Data'!$B$2:$G$8,2,FALSE))</f>
        <v/>
      </c>
      <c r="F91" s="282" t="str">
        <f>IFERROR(VLOOKUP(E91,'G-7 WaterC'' Data'!$C$4:$D$8,2,FALSE),"")</f>
        <v/>
      </c>
      <c r="G91" s="105"/>
      <c r="H91" s="282" t="str">
        <f>IFERROR(INDEX('G-7 WaterC'' Data'!$H$4:$L$8,MATCH(C91,'G-7 WaterC'' Data'!$B$4:$B$8,0),MATCH(G91,'G-7 WaterC'' Data'!$H$3:$L$3,0)),"")</f>
        <v/>
      </c>
      <c r="I91" s="52"/>
      <c r="J91" s="289" t="str">
        <f>IF(I91="","",IF(VLOOKUP(I91,'G-7 WaterC'' Data'!$AK$4:$AM$6,2,FALSE)=0,"Spatial Data Missing ⚠",VLOOKUP(I91,'G-7 WaterC'' Data'!$AK$4:$AM$6,2,FALSE)))</f>
        <v/>
      </c>
      <c r="K91" s="282" t="str">
        <f>IF(I91="","",IF(VLOOKUP(I91,'G-7 WaterC'' Data'!$AK$4:$AM$6,3,FALSE)=0,"Spatial Data Missing ⚠",VLOOKUP(I91,'G-7 WaterC'' Data'!$AK$4:$AM$6,3,FALSE)))</f>
        <v/>
      </c>
      <c r="L91" s="281" t="str">
        <f>IFERROR(INDEX('G-7 WaterC'' Data'!$O$3:$O$7,MATCH(G91,'G-7 WaterC'' Data'!$N$3:$N$7,0)),"")</f>
        <v/>
      </c>
      <c r="M91" s="58"/>
      <c r="N91" s="137"/>
      <c r="O91" s="289" t="str">
        <f t="shared" si="6"/>
        <v/>
      </c>
      <c r="P91" s="302" t="str">
        <f t="shared" si="7"/>
        <v/>
      </c>
      <c r="Q91" s="340" t="str">
        <f>IFERROR(IF(P91="Check Data ⚠","Check Data ⚠",VLOOKUP(P91,'G-4 Temporal multipliers'!$A$4:$C$37,3,FALSE)),"")</f>
        <v/>
      </c>
      <c r="R91" s="281" t="str">
        <f>IF(C91="","",VLOOKUP(C91,'G-7 WaterC'' Data'!$B$4:$G$8,4,FALSE))</f>
        <v/>
      </c>
      <c r="S91" s="289" t="str">
        <f t="shared" si="8"/>
        <v/>
      </c>
      <c r="T91" s="320" t="str">
        <f t="shared" si="9"/>
        <v/>
      </c>
      <c r="U91" s="282" t="str">
        <f>IF(C91="","",VLOOKUP(T91,'G-3 Multipliers'!$P$2:$Q$6,2,FALSE))</f>
        <v/>
      </c>
      <c r="V91" s="106"/>
      <c r="W91" s="282" t="str">
        <f>IF(V91="","",IF(AND(V91="N/A - Culvert",C91&lt;&gt;"Culvert"),"Not possible ▲",IF(AND(C91="Culvert",V91&lt;&gt;"N/A - Culvert"),"Not possible ▲",IF(VLOOKUP(V91,'G-7 WaterC'' Data'!$AA$4:$AB$7,2,FALSE)=0,"Spatial Data Missing ⚠",VLOOKUP(V91,'G-7 WaterC'' Data'!$AA$4:$AB$7,2,FALSE)))))</f>
        <v/>
      </c>
      <c r="X91" s="56"/>
      <c r="Y91" s="282" t="str">
        <f>IF(X91="","",IF(AND(X91="N/A - Culvert", C91&lt;&gt;"Culvert"), "Not possible ▲",IF(AND(C91="Culvert",X91&lt;&gt;"N/A - Culvert"),"Not possible ▲",IF(VLOOKUP(X91,'G-7 WaterC'' Data'!$AD$4:$AE$14,2,FALSE)=0,"Enrcoachment Data Missing ⚠",VLOOKUP(X91,'G-7 WaterC'' Data'!$AD$4:$AE$14,2,FALSE)))))</f>
        <v/>
      </c>
      <c r="Z91" s="323" t="str">
        <f t="shared" si="10"/>
        <v/>
      </c>
      <c r="AA91" s="105"/>
      <c r="AB91" s="119"/>
      <c r="AC91" s="108"/>
      <c r="AH91" s="30" t="str">
        <f>IFERROR(INDEX('G-7 WaterC'' Data'!$AZ$3:$AZ$7,MATCH(C91,'G-7 WaterC'' Data'!$AY$3:$AY$7,0)),"")</f>
        <v/>
      </c>
      <c r="AK91" s="30" t="str">
        <f t="shared" si="11"/>
        <v>No</v>
      </c>
    </row>
    <row r="92" spans="2:37" ht="13.8" x14ac:dyDescent="0.25">
      <c r="B92" s="101">
        <v>81</v>
      </c>
      <c r="C92" s="950"/>
      <c r="D92" s="119"/>
      <c r="E92" s="281" t="str">
        <f>IF(C92="","",VLOOKUP(C92,'G-7 WaterC'' Data'!$B$2:$G$8,2,FALSE))</f>
        <v/>
      </c>
      <c r="F92" s="282" t="str">
        <f>IFERROR(VLOOKUP(E92,'G-7 WaterC'' Data'!$C$4:$D$8,2,FALSE),"")</f>
        <v/>
      </c>
      <c r="G92" s="105"/>
      <c r="H92" s="282" t="str">
        <f>IFERROR(INDEX('G-7 WaterC'' Data'!$H$4:$L$8,MATCH(C92,'G-7 WaterC'' Data'!$B$4:$B$8,0),MATCH(G92,'G-7 WaterC'' Data'!$H$3:$L$3,0)),"")</f>
        <v/>
      </c>
      <c r="I92" s="52"/>
      <c r="J92" s="289" t="str">
        <f>IF(I92="","",IF(VLOOKUP(I92,'G-7 WaterC'' Data'!$AK$4:$AM$6,2,FALSE)=0,"Spatial Data Missing ⚠",VLOOKUP(I92,'G-7 WaterC'' Data'!$AK$4:$AM$6,2,FALSE)))</f>
        <v/>
      </c>
      <c r="K92" s="282" t="str">
        <f>IF(I92="","",IF(VLOOKUP(I92,'G-7 WaterC'' Data'!$AK$4:$AM$6,3,FALSE)=0,"Spatial Data Missing ⚠",VLOOKUP(I92,'G-7 WaterC'' Data'!$AK$4:$AM$6,3,FALSE)))</f>
        <v/>
      </c>
      <c r="L92" s="281" t="str">
        <f>IFERROR(INDEX('G-7 WaterC'' Data'!$O$3:$O$7,MATCH(G92,'G-7 WaterC'' Data'!$N$3:$N$7,0)),"")</f>
        <v/>
      </c>
      <c r="M92" s="58"/>
      <c r="N92" s="137"/>
      <c r="O92" s="289" t="str">
        <f t="shared" si="6"/>
        <v/>
      </c>
      <c r="P92" s="302" t="str">
        <f t="shared" si="7"/>
        <v/>
      </c>
      <c r="Q92" s="340" t="str">
        <f>IFERROR(IF(P92="Check Data ⚠","Check Data ⚠",VLOOKUP(P92,'G-4 Temporal multipliers'!$A$4:$C$37,3,FALSE)),"")</f>
        <v/>
      </c>
      <c r="R92" s="281" t="str">
        <f>IF(C92="","",VLOOKUP(C92,'G-7 WaterC'' Data'!$B$4:$G$8,4,FALSE))</f>
        <v/>
      </c>
      <c r="S92" s="289" t="str">
        <f t="shared" si="8"/>
        <v/>
      </c>
      <c r="T92" s="320" t="str">
        <f t="shared" si="9"/>
        <v/>
      </c>
      <c r="U92" s="282" t="str">
        <f>IF(C92="","",VLOOKUP(T92,'G-3 Multipliers'!$P$2:$Q$6,2,FALSE))</f>
        <v/>
      </c>
      <c r="V92" s="106"/>
      <c r="W92" s="282" t="str">
        <f>IF(V92="","",IF(AND(V92="N/A - Culvert",C92&lt;&gt;"Culvert"),"Not possible ▲",IF(AND(C92="Culvert",V92&lt;&gt;"N/A - Culvert"),"Not possible ▲",IF(VLOOKUP(V92,'G-7 WaterC'' Data'!$AA$4:$AB$7,2,FALSE)=0,"Spatial Data Missing ⚠",VLOOKUP(V92,'G-7 WaterC'' Data'!$AA$4:$AB$7,2,FALSE)))))</f>
        <v/>
      </c>
      <c r="X92" s="56"/>
      <c r="Y92" s="282" t="str">
        <f>IF(X92="","",IF(AND(X92="N/A - Culvert", C92&lt;&gt;"Culvert"), "Not possible ▲",IF(AND(C92="Culvert",X92&lt;&gt;"N/A - Culvert"),"Not possible ▲",IF(VLOOKUP(X92,'G-7 WaterC'' Data'!$AD$4:$AE$14,2,FALSE)=0,"Enrcoachment Data Missing ⚠",VLOOKUP(X92,'G-7 WaterC'' Data'!$AD$4:$AE$14,2,FALSE)))))</f>
        <v/>
      </c>
      <c r="Z92" s="323" t="str">
        <f t="shared" si="10"/>
        <v/>
      </c>
      <c r="AA92" s="105"/>
      <c r="AB92" s="119"/>
      <c r="AC92" s="108"/>
      <c r="AH92" s="30" t="str">
        <f>IFERROR(INDEX('G-7 WaterC'' Data'!$AZ$3:$AZ$7,MATCH(C92,'G-7 WaterC'' Data'!$AY$3:$AY$7,0)),"")</f>
        <v/>
      </c>
      <c r="AK92" s="30" t="str">
        <f t="shared" si="11"/>
        <v>No</v>
      </c>
    </row>
    <row r="93" spans="2:37" ht="13.8" x14ac:dyDescent="0.25">
      <c r="B93" s="101">
        <v>82</v>
      </c>
      <c r="C93" s="950"/>
      <c r="D93" s="119"/>
      <c r="E93" s="281" t="str">
        <f>IF(C93="","",VLOOKUP(C93,'G-7 WaterC'' Data'!$B$2:$G$8,2,FALSE))</f>
        <v/>
      </c>
      <c r="F93" s="282" t="str">
        <f>IFERROR(VLOOKUP(E93,'G-7 WaterC'' Data'!$C$4:$D$8,2,FALSE),"")</f>
        <v/>
      </c>
      <c r="G93" s="105"/>
      <c r="H93" s="282" t="str">
        <f>IFERROR(INDEX('G-7 WaterC'' Data'!$H$4:$L$8,MATCH(C93,'G-7 WaterC'' Data'!$B$4:$B$8,0),MATCH(G93,'G-7 WaterC'' Data'!$H$3:$L$3,0)),"")</f>
        <v/>
      </c>
      <c r="I93" s="52"/>
      <c r="J93" s="289" t="str">
        <f>IF(I93="","",IF(VLOOKUP(I93,'G-7 WaterC'' Data'!$AK$4:$AM$6,2,FALSE)=0,"Spatial Data Missing ⚠",VLOOKUP(I93,'G-7 WaterC'' Data'!$AK$4:$AM$6,2,FALSE)))</f>
        <v/>
      </c>
      <c r="K93" s="282" t="str">
        <f>IF(I93="","",IF(VLOOKUP(I93,'G-7 WaterC'' Data'!$AK$4:$AM$6,3,FALSE)=0,"Spatial Data Missing ⚠",VLOOKUP(I93,'G-7 WaterC'' Data'!$AK$4:$AM$6,3,FALSE)))</f>
        <v/>
      </c>
      <c r="L93" s="281" t="str">
        <f>IFERROR(INDEX('G-7 WaterC'' Data'!$O$3:$O$7,MATCH(G93,'G-7 WaterC'' Data'!$N$3:$N$7,0)),"")</f>
        <v/>
      </c>
      <c r="M93" s="58"/>
      <c r="N93" s="137"/>
      <c r="O93" s="289" t="str">
        <f t="shared" si="6"/>
        <v/>
      </c>
      <c r="P93" s="302" t="str">
        <f t="shared" si="7"/>
        <v/>
      </c>
      <c r="Q93" s="340" t="str">
        <f>IFERROR(IF(P93="Check Data ⚠","Check Data ⚠",VLOOKUP(P93,'G-4 Temporal multipliers'!$A$4:$C$37,3,FALSE)),"")</f>
        <v/>
      </c>
      <c r="R93" s="281" t="str">
        <f>IF(C93="","",VLOOKUP(C93,'G-7 WaterC'' Data'!$B$4:$G$8,4,FALSE))</f>
        <v/>
      </c>
      <c r="S93" s="289" t="str">
        <f t="shared" si="8"/>
        <v/>
      </c>
      <c r="T93" s="320" t="str">
        <f t="shared" si="9"/>
        <v/>
      </c>
      <c r="U93" s="282" t="str">
        <f>IF(C93="","",VLOOKUP(T93,'G-3 Multipliers'!$P$2:$Q$6,2,FALSE))</f>
        <v/>
      </c>
      <c r="V93" s="106"/>
      <c r="W93" s="282" t="str">
        <f>IF(V93="","",IF(AND(V93="N/A - Culvert",C93&lt;&gt;"Culvert"),"Not possible ▲",IF(AND(C93="Culvert",V93&lt;&gt;"N/A - Culvert"),"Not possible ▲",IF(VLOOKUP(V93,'G-7 WaterC'' Data'!$AA$4:$AB$7,2,FALSE)=0,"Spatial Data Missing ⚠",VLOOKUP(V93,'G-7 WaterC'' Data'!$AA$4:$AB$7,2,FALSE)))))</f>
        <v/>
      </c>
      <c r="X93" s="56"/>
      <c r="Y93" s="282" t="str">
        <f>IF(X93="","",IF(AND(X93="N/A - Culvert", C93&lt;&gt;"Culvert"), "Not possible ▲",IF(AND(C93="Culvert",X93&lt;&gt;"N/A - Culvert"),"Not possible ▲",IF(VLOOKUP(X93,'G-7 WaterC'' Data'!$AD$4:$AE$14,2,FALSE)=0,"Enrcoachment Data Missing ⚠",VLOOKUP(X93,'G-7 WaterC'' Data'!$AD$4:$AE$14,2,FALSE)))))</f>
        <v/>
      </c>
      <c r="Z93" s="323" t="str">
        <f t="shared" si="10"/>
        <v/>
      </c>
      <c r="AA93" s="105"/>
      <c r="AB93" s="119"/>
      <c r="AC93" s="108"/>
      <c r="AH93" s="30" t="str">
        <f>IFERROR(INDEX('G-7 WaterC'' Data'!$AZ$3:$AZ$7,MATCH(C93,'G-7 WaterC'' Data'!$AY$3:$AY$7,0)),"")</f>
        <v/>
      </c>
      <c r="AK93" s="30" t="str">
        <f t="shared" si="11"/>
        <v>No</v>
      </c>
    </row>
    <row r="94" spans="2:37" ht="13.8" x14ac:dyDescent="0.25">
      <c r="B94" s="101">
        <v>83</v>
      </c>
      <c r="C94" s="950"/>
      <c r="D94" s="119"/>
      <c r="E94" s="281" t="str">
        <f>IF(C94="","",VLOOKUP(C94,'G-7 WaterC'' Data'!$B$2:$G$8,2,FALSE))</f>
        <v/>
      </c>
      <c r="F94" s="282" t="str">
        <f>IFERROR(VLOOKUP(E94,'G-7 WaterC'' Data'!$C$4:$D$8,2,FALSE),"")</f>
        <v/>
      </c>
      <c r="G94" s="105"/>
      <c r="H94" s="282" t="str">
        <f>IFERROR(INDEX('G-7 WaterC'' Data'!$H$4:$L$8,MATCH(C94,'G-7 WaterC'' Data'!$B$4:$B$8,0),MATCH(G94,'G-7 WaterC'' Data'!$H$3:$L$3,0)),"")</f>
        <v/>
      </c>
      <c r="I94" s="52"/>
      <c r="J94" s="289" t="str">
        <f>IF(I94="","",IF(VLOOKUP(I94,'G-7 WaterC'' Data'!$AK$4:$AM$6,2,FALSE)=0,"Spatial Data Missing ⚠",VLOOKUP(I94,'G-7 WaterC'' Data'!$AK$4:$AM$6,2,FALSE)))</f>
        <v/>
      </c>
      <c r="K94" s="282" t="str">
        <f>IF(I94="","",IF(VLOOKUP(I94,'G-7 WaterC'' Data'!$AK$4:$AM$6,3,FALSE)=0,"Spatial Data Missing ⚠",VLOOKUP(I94,'G-7 WaterC'' Data'!$AK$4:$AM$6,3,FALSE)))</f>
        <v/>
      </c>
      <c r="L94" s="281" t="str">
        <f>IFERROR(INDEX('G-7 WaterC'' Data'!$O$3:$O$7,MATCH(G94,'G-7 WaterC'' Data'!$N$3:$N$7,0)),"")</f>
        <v/>
      </c>
      <c r="M94" s="58"/>
      <c r="N94" s="137"/>
      <c r="O94" s="289" t="str">
        <f t="shared" si="6"/>
        <v/>
      </c>
      <c r="P94" s="302" t="str">
        <f t="shared" si="7"/>
        <v/>
      </c>
      <c r="Q94" s="340" t="str">
        <f>IFERROR(IF(P94="Check Data ⚠","Check Data ⚠",VLOOKUP(P94,'G-4 Temporal multipliers'!$A$4:$C$37,3,FALSE)),"")</f>
        <v/>
      </c>
      <c r="R94" s="281" t="str">
        <f>IF(C94="","",VLOOKUP(C94,'G-7 WaterC'' Data'!$B$4:$G$8,4,FALSE))</f>
        <v/>
      </c>
      <c r="S94" s="289" t="str">
        <f t="shared" si="8"/>
        <v/>
      </c>
      <c r="T94" s="320" t="str">
        <f t="shared" si="9"/>
        <v/>
      </c>
      <c r="U94" s="282" t="str">
        <f>IF(C94="","",VLOOKUP(T94,'G-3 Multipliers'!$P$2:$Q$6,2,FALSE))</f>
        <v/>
      </c>
      <c r="V94" s="106"/>
      <c r="W94" s="282" t="str">
        <f>IF(V94="","",IF(AND(V94="N/A - Culvert",C94&lt;&gt;"Culvert"),"Not possible ▲",IF(AND(C94="Culvert",V94&lt;&gt;"N/A - Culvert"),"Not possible ▲",IF(VLOOKUP(V94,'G-7 WaterC'' Data'!$AA$4:$AB$7,2,FALSE)=0,"Spatial Data Missing ⚠",VLOOKUP(V94,'G-7 WaterC'' Data'!$AA$4:$AB$7,2,FALSE)))))</f>
        <v/>
      </c>
      <c r="X94" s="56"/>
      <c r="Y94" s="282" t="str">
        <f>IF(X94="","",IF(AND(X94="N/A - Culvert", C94&lt;&gt;"Culvert"), "Not possible ▲",IF(AND(C94="Culvert",X94&lt;&gt;"N/A - Culvert"),"Not possible ▲",IF(VLOOKUP(X94,'G-7 WaterC'' Data'!$AD$4:$AE$14,2,FALSE)=0,"Enrcoachment Data Missing ⚠",VLOOKUP(X94,'G-7 WaterC'' Data'!$AD$4:$AE$14,2,FALSE)))))</f>
        <v/>
      </c>
      <c r="Z94" s="323" t="str">
        <f t="shared" si="10"/>
        <v/>
      </c>
      <c r="AA94" s="105"/>
      <c r="AB94" s="119"/>
      <c r="AC94" s="108"/>
      <c r="AH94" s="30" t="str">
        <f>IFERROR(INDEX('G-7 WaterC'' Data'!$AZ$3:$AZ$7,MATCH(C94,'G-7 WaterC'' Data'!$AY$3:$AY$7,0)),"")</f>
        <v/>
      </c>
      <c r="AK94" s="30" t="str">
        <f t="shared" si="11"/>
        <v>No</v>
      </c>
    </row>
    <row r="95" spans="2:37" ht="13.8" x14ac:dyDescent="0.25">
      <c r="B95" s="101">
        <v>84</v>
      </c>
      <c r="C95" s="950"/>
      <c r="D95" s="119"/>
      <c r="E95" s="281" t="str">
        <f>IF(C95="","",VLOOKUP(C95,'G-7 WaterC'' Data'!$B$2:$G$8,2,FALSE))</f>
        <v/>
      </c>
      <c r="F95" s="282" t="str">
        <f>IFERROR(VLOOKUP(E95,'G-7 WaterC'' Data'!$C$4:$D$8,2,FALSE),"")</f>
        <v/>
      </c>
      <c r="G95" s="105"/>
      <c r="H95" s="282" t="str">
        <f>IFERROR(INDEX('G-7 WaterC'' Data'!$H$4:$L$8,MATCH(C95,'G-7 WaterC'' Data'!$B$4:$B$8,0),MATCH(G95,'G-7 WaterC'' Data'!$H$3:$L$3,0)),"")</f>
        <v/>
      </c>
      <c r="I95" s="52"/>
      <c r="J95" s="289" t="str">
        <f>IF(I95="","",IF(VLOOKUP(I95,'G-7 WaterC'' Data'!$AK$4:$AM$6,2,FALSE)=0,"Spatial Data Missing ⚠",VLOOKUP(I95,'G-7 WaterC'' Data'!$AK$4:$AM$6,2,FALSE)))</f>
        <v/>
      </c>
      <c r="K95" s="282" t="str">
        <f>IF(I95="","",IF(VLOOKUP(I95,'G-7 WaterC'' Data'!$AK$4:$AM$6,3,FALSE)=0,"Spatial Data Missing ⚠",VLOOKUP(I95,'G-7 WaterC'' Data'!$AK$4:$AM$6,3,FALSE)))</f>
        <v/>
      </c>
      <c r="L95" s="281" t="str">
        <f>IFERROR(INDEX('G-7 WaterC'' Data'!$O$3:$O$7,MATCH(G95,'G-7 WaterC'' Data'!$N$3:$N$7,0)),"")</f>
        <v/>
      </c>
      <c r="M95" s="58"/>
      <c r="N95" s="137"/>
      <c r="O95" s="289" t="str">
        <f t="shared" si="6"/>
        <v/>
      </c>
      <c r="P95" s="302" t="str">
        <f t="shared" si="7"/>
        <v/>
      </c>
      <c r="Q95" s="340" t="str">
        <f>IFERROR(IF(P95="Check Data ⚠","Check Data ⚠",VLOOKUP(P95,'G-4 Temporal multipliers'!$A$4:$C$37,3,FALSE)),"")</f>
        <v/>
      </c>
      <c r="R95" s="281" t="str">
        <f>IF(C95="","",VLOOKUP(C95,'G-7 WaterC'' Data'!$B$4:$G$8,4,FALSE))</f>
        <v/>
      </c>
      <c r="S95" s="289" t="str">
        <f t="shared" si="8"/>
        <v/>
      </c>
      <c r="T95" s="320" t="str">
        <f t="shared" si="9"/>
        <v/>
      </c>
      <c r="U95" s="282" t="str">
        <f>IF(C95="","",VLOOKUP(T95,'G-3 Multipliers'!$P$2:$Q$6,2,FALSE))</f>
        <v/>
      </c>
      <c r="V95" s="106"/>
      <c r="W95" s="282" t="str">
        <f>IF(V95="","",IF(AND(V95="N/A - Culvert",C95&lt;&gt;"Culvert"),"Not possible ▲",IF(AND(C95="Culvert",V95&lt;&gt;"N/A - Culvert"),"Not possible ▲",IF(VLOOKUP(V95,'G-7 WaterC'' Data'!$AA$4:$AB$7,2,FALSE)=0,"Spatial Data Missing ⚠",VLOOKUP(V95,'G-7 WaterC'' Data'!$AA$4:$AB$7,2,FALSE)))))</f>
        <v/>
      </c>
      <c r="X95" s="56"/>
      <c r="Y95" s="282" t="str">
        <f>IF(X95="","",IF(AND(X95="N/A - Culvert", C95&lt;&gt;"Culvert"), "Not possible ▲",IF(AND(C95="Culvert",X95&lt;&gt;"N/A - Culvert"),"Not possible ▲",IF(VLOOKUP(X95,'G-7 WaterC'' Data'!$AD$4:$AE$14,2,FALSE)=0,"Enrcoachment Data Missing ⚠",VLOOKUP(X95,'G-7 WaterC'' Data'!$AD$4:$AE$14,2,FALSE)))))</f>
        <v/>
      </c>
      <c r="Z95" s="323" t="str">
        <f t="shared" si="10"/>
        <v/>
      </c>
      <c r="AA95" s="105"/>
      <c r="AB95" s="119"/>
      <c r="AC95" s="108"/>
      <c r="AH95" s="30" t="str">
        <f>IFERROR(INDEX('G-7 WaterC'' Data'!$AZ$3:$AZ$7,MATCH(C95,'G-7 WaterC'' Data'!$AY$3:$AY$7,0)),"")</f>
        <v/>
      </c>
      <c r="AK95" s="30" t="str">
        <f t="shared" si="11"/>
        <v>No</v>
      </c>
    </row>
    <row r="96" spans="2:37" ht="13.8" x14ac:dyDescent="0.25">
      <c r="B96" s="101">
        <v>85</v>
      </c>
      <c r="C96" s="950"/>
      <c r="D96" s="119"/>
      <c r="E96" s="281" t="str">
        <f>IF(C96="","",VLOOKUP(C96,'G-7 WaterC'' Data'!$B$2:$G$8,2,FALSE))</f>
        <v/>
      </c>
      <c r="F96" s="282" t="str">
        <f>IFERROR(VLOOKUP(E96,'G-7 WaterC'' Data'!$C$4:$D$8,2,FALSE),"")</f>
        <v/>
      </c>
      <c r="G96" s="105"/>
      <c r="H96" s="282" t="str">
        <f>IFERROR(INDEX('G-7 WaterC'' Data'!$H$4:$L$8,MATCH(C96,'G-7 WaterC'' Data'!$B$4:$B$8,0),MATCH(G96,'G-7 WaterC'' Data'!$H$3:$L$3,0)),"")</f>
        <v/>
      </c>
      <c r="I96" s="52"/>
      <c r="J96" s="289" t="str">
        <f>IF(I96="","",IF(VLOOKUP(I96,'G-7 WaterC'' Data'!$AK$4:$AM$6,2,FALSE)=0,"Spatial Data Missing ⚠",VLOOKUP(I96,'G-7 WaterC'' Data'!$AK$4:$AM$6,2,FALSE)))</f>
        <v/>
      </c>
      <c r="K96" s="282" t="str">
        <f>IF(I96="","",IF(VLOOKUP(I96,'G-7 WaterC'' Data'!$AK$4:$AM$6,3,FALSE)=0,"Spatial Data Missing ⚠",VLOOKUP(I96,'G-7 WaterC'' Data'!$AK$4:$AM$6,3,FALSE)))</f>
        <v/>
      </c>
      <c r="L96" s="281" t="str">
        <f>IFERROR(INDEX('G-7 WaterC'' Data'!$O$3:$O$7,MATCH(G96,'G-7 WaterC'' Data'!$N$3:$N$7,0)),"")</f>
        <v/>
      </c>
      <c r="M96" s="58"/>
      <c r="N96" s="137"/>
      <c r="O96" s="289" t="str">
        <f t="shared" si="6"/>
        <v/>
      </c>
      <c r="P96" s="302" t="str">
        <f t="shared" si="7"/>
        <v/>
      </c>
      <c r="Q96" s="340" t="str">
        <f>IFERROR(IF(P96="Check Data ⚠","Check Data ⚠",VLOOKUP(P96,'G-4 Temporal multipliers'!$A$4:$C$37,3,FALSE)),"")</f>
        <v/>
      </c>
      <c r="R96" s="281" t="str">
        <f>IF(C96="","",VLOOKUP(C96,'G-7 WaterC'' Data'!$B$4:$G$8,4,FALSE))</f>
        <v/>
      </c>
      <c r="S96" s="289" t="str">
        <f t="shared" si="8"/>
        <v/>
      </c>
      <c r="T96" s="320" t="str">
        <f t="shared" si="9"/>
        <v/>
      </c>
      <c r="U96" s="282" t="str">
        <f>IF(C96="","",VLOOKUP(T96,'G-3 Multipliers'!$P$2:$Q$6,2,FALSE))</f>
        <v/>
      </c>
      <c r="V96" s="106"/>
      <c r="W96" s="282" t="str">
        <f>IF(V96="","",IF(AND(V96="N/A - Culvert",C96&lt;&gt;"Culvert"),"Not possible ▲",IF(AND(C96="Culvert",V96&lt;&gt;"N/A - Culvert"),"Not possible ▲",IF(VLOOKUP(V96,'G-7 WaterC'' Data'!$AA$4:$AB$7,2,FALSE)=0,"Spatial Data Missing ⚠",VLOOKUP(V96,'G-7 WaterC'' Data'!$AA$4:$AB$7,2,FALSE)))))</f>
        <v/>
      </c>
      <c r="X96" s="56"/>
      <c r="Y96" s="282" t="str">
        <f>IF(X96="","",IF(AND(X96="N/A - Culvert", C96&lt;&gt;"Culvert"), "Not possible ▲",IF(AND(C96="Culvert",X96&lt;&gt;"N/A - Culvert"),"Not possible ▲",IF(VLOOKUP(X96,'G-7 WaterC'' Data'!$AD$4:$AE$14,2,FALSE)=0,"Enrcoachment Data Missing ⚠",VLOOKUP(X96,'G-7 WaterC'' Data'!$AD$4:$AE$14,2,FALSE)))))</f>
        <v/>
      </c>
      <c r="Z96" s="323" t="str">
        <f t="shared" si="10"/>
        <v/>
      </c>
      <c r="AA96" s="105"/>
      <c r="AB96" s="119"/>
      <c r="AC96" s="108"/>
      <c r="AH96" s="30" t="str">
        <f>IFERROR(INDEX('G-7 WaterC'' Data'!$AZ$3:$AZ$7,MATCH(C96,'G-7 WaterC'' Data'!$AY$3:$AY$7,0)),"")</f>
        <v/>
      </c>
      <c r="AK96" s="30" t="str">
        <f t="shared" si="11"/>
        <v>No</v>
      </c>
    </row>
    <row r="97" spans="2:37" ht="13.8" x14ac:dyDescent="0.25">
      <c r="B97" s="101">
        <v>86</v>
      </c>
      <c r="C97" s="950"/>
      <c r="D97" s="119"/>
      <c r="E97" s="281" t="str">
        <f>IF(C97="","",VLOOKUP(C97,'G-7 WaterC'' Data'!$B$2:$G$8,2,FALSE))</f>
        <v/>
      </c>
      <c r="F97" s="282" t="str">
        <f>IFERROR(VLOOKUP(E97,'G-7 WaterC'' Data'!$C$4:$D$8,2,FALSE),"")</f>
        <v/>
      </c>
      <c r="G97" s="105"/>
      <c r="H97" s="282" t="str">
        <f>IFERROR(INDEX('G-7 WaterC'' Data'!$H$4:$L$8,MATCH(C97,'G-7 WaterC'' Data'!$B$4:$B$8,0),MATCH(G97,'G-7 WaterC'' Data'!$H$3:$L$3,0)),"")</f>
        <v/>
      </c>
      <c r="I97" s="52"/>
      <c r="J97" s="289" t="str">
        <f>IF(I97="","",IF(VLOOKUP(I97,'G-7 WaterC'' Data'!$AK$4:$AM$6,2,FALSE)=0,"Spatial Data Missing ⚠",VLOOKUP(I97,'G-7 WaterC'' Data'!$AK$4:$AM$6,2,FALSE)))</f>
        <v/>
      </c>
      <c r="K97" s="282" t="str">
        <f>IF(I97="","",IF(VLOOKUP(I97,'G-7 WaterC'' Data'!$AK$4:$AM$6,3,FALSE)=0,"Spatial Data Missing ⚠",VLOOKUP(I97,'G-7 WaterC'' Data'!$AK$4:$AM$6,3,FALSE)))</f>
        <v/>
      </c>
      <c r="L97" s="281" t="str">
        <f>IFERROR(INDEX('G-7 WaterC'' Data'!$O$3:$O$7,MATCH(G97,'G-7 WaterC'' Data'!$N$3:$N$7,0)),"")</f>
        <v/>
      </c>
      <c r="M97" s="58"/>
      <c r="N97" s="137"/>
      <c r="O97" s="289" t="str">
        <f t="shared" si="6"/>
        <v/>
      </c>
      <c r="P97" s="302" t="str">
        <f t="shared" si="7"/>
        <v/>
      </c>
      <c r="Q97" s="340" t="str">
        <f>IFERROR(IF(P97="Check Data ⚠","Check Data ⚠",VLOOKUP(P97,'G-4 Temporal multipliers'!$A$4:$C$37,3,FALSE)),"")</f>
        <v/>
      </c>
      <c r="R97" s="281" t="str">
        <f>IF(C97="","",VLOOKUP(C97,'G-7 WaterC'' Data'!$B$4:$G$8,4,FALSE))</f>
        <v/>
      </c>
      <c r="S97" s="289" t="str">
        <f t="shared" si="8"/>
        <v/>
      </c>
      <c r="T97" s="320" t="str">
        <f t="shared" si="9"/>
        <v/>
      </c>
      <c r="U97" s="282" t="str">
        <f>IF(C97="","",VLOOKUP(T97,'G-3 Multipliers'!$P$2:$Q$6,2,FALSE))</f>
        <v/>
      </c>
      <c r="V97" s="106"/>
      <c r="W97" s="282" t="str">
        <f>IF(V97="","",IF(AND(V97="N/A - Culvert",C97&lt;&gt;"Culvert"),"Not possible ▲",IF(AND(C97="Culvert",V97&lt;&gt;"N/A - Culvert"),"Not possible ▲",IF(VLOOKUP(V97,'G-7 WaterC'' Data'!$AA$4:$AB$7,2,FALSE)=0,"Spatial Data Missing ⚠",VLOOKUP(V97,'G-7 WaterC'' Data'!$AA$4:$AB$7,2,FALSE)))))</f>
        <v/>
      </c>
      <c r="X97" s="56"/>
      <c r="Y97" s="282" t="str">
        <f>IF(X97="","",IF(AND(X97="N/A - Culvert", C97&lt;&gt;"Culvert"), "Not possible ▲",IF(AND(C97="Culvert",X97&lt;&gt;"N/A - Culvert"),"Not possible ▲",IF(VLOOKUP(X97,'G-7 WaterC'' Data'!$AD$4:$AE$14,2,FALSE)=0,"Enrcoachment Data Missing ⚠",VLOOKUP(X97,'G-7 WaterC'' Data'!$AD$4:$AE$14,2,FALSE)))))</f>
        <v/>
      </c>
      <c r="Z97" s="323" t="str">
        <f t="shared" si="10"/>
        <v/>
      </c>
      <c r="AA97" s="105"/>
      <c r="AB97" s="119"/>
      <c r="AC97" s="108"/>
      <c r="AH97" s="30" t="str">
        <f>IFERROR(INDEX('G-7 WaterC'' Data'!$AZ$3:$AZ$7,MATCH(C97,'G-7 WaterC'' Data'!$AY$3:$AY$7,0)),"")</f>
        <v/>
      </c>
      <c r="AK97" s="30" t="str">
        <f t="shared" si="11"/>
        <v>No</v>
      </c>
    </row>
    <row r="98" spans="2:37" ht="13.8" x14ac:dyDescent="0.25">
      <c r="B98" s="101">
        <v>87</v>
      </c>
      <c r="C98" s="950"/>
      <c r="D98" s="119"/>
      <c r="E98" s="281" t="str">
        <f>IF(C98="","",VLOOKUP(C98,'G-7 WaterC'' Data'!$B$2:$G$8,2,FALSE))</f>
        <v/>
      </c>
      <c r="F98" s="282" t="str">
        <f>IFERROR(VLOOKUP(E98,'G-7 WaterC'' Data'!$C$4:$D$8,2,FALSE),"")</f>
        <v/>
      </c>
      <c r="G98" s="105"/>
      <c r="H98" s="282" t="str">
        <f>IFERROR(INDEX('G-7 WaterC'' Data'!$H$4:$L$8,MATCH(C98,'G-7 WaterC'' Data'!$B$4:$B$8,0),MATCH(G98,'G-7 WaterC'' Data'!$H$3:$L$3,0)),"")</f>
        <v/>
      </c>
      <c r="I98" s="52"/>
      <c r="J98" s="289" t="str">
        <f>IF(I98="","",IF(VLOOKUP(I98,'G-7 WaterC'' Data'!$AK$4:$AM$6,2,FALSE)=0,"Spatial Data Missing ⚠",VLOOKUP(I98,'G-7 WaterC'' Data'!$AK$4:$AM$6,2,FALSE)))</f>
        <v/>
      </c>
      <c r="K98" s="282" t="str">
        <f>IF(I98="","",IF(VLOOKUP(I98,'G-7 WaterC'' Data'!$AK$4:$AM$6,3,FALSE)=0,"Spatial Data Missing ⚠",VLOOKUP(I98,'G-7 WaterC'' Data'!$AK$4:$AM$6,3,FALSE)))</f>
        <v/>
      </c>
      <c r="L98" s="281" t="str">
        <f>IFERROR(INDEX('G-7 WaterC'' Data'!$O$3:$O$7,MATCH(G98,'G-7 WaterC'' Data'!$N$3:$N$7,0)),"")</f>
        <v/>
      </c>
      <c r="M98" s="58"/>
      <c r="N98" s="137"/>
      <c r="O98" s="289" t="str">
        <f t="shared" si="6"/>
        <v/>
      </c>
      <c r="P98" s="302" t="str">
        <f t="shared" si="7"/>
        <v/>
      </c>
      <c r="Q98" s="340" t="str">
        <f>IFERROR(IF(P98="Check Data ⚠","Check Data ⚠",VLOOKUP(P98,'G-4 Temporal multipliers'!$A$4:$C$37,3,FALSE)),"")</f>
        <v/>
      </c>
      <c r="R98" s="281" t="str">
        <f>IF(C98="","",VLOOKUP(C98,'G-7 WaterC'' Data'!$B$4:$G$8,4,FALSE))</f>
        <v/>
      </c>
      <c r="S98" s="289" t="str">
        <f t="shared" si="8"/>
        <v/>
      </c>
      <c r="T98" s="320" t="str">
        <f t="shared" si="9"/>
        <v/>
      </c>
      <c r="U98" s="282" t="str">
        <f>IF(C98="","",VLOOKUP(T98,'G-3 Multipliers'!$P$2:$Q$6,2,FALSE))</f>
        <v/>
      </c>
      <c r="V98" s="106"/>
      <c r="W98" s="282" t="str">
        <f>IF(V98="","",IF(AND(V98="N/A - Culvert",C98&lt;&gt;"Culvert"),"Not possible ▲",IF(AND(C98="Culvert",V98&lt;&gt;"N/A - Culvert"),"Not possible ▲",IF(VLOOKUP(V98,'G-7 WaterC'' Data'!$AA$4:$AB$7,2,FALSE)=0,"Spatial Data Missing ⚠",VLOOKUP(V98,'G-7 WaterC'' Data'!$AA$4:$AB$7,2,FALSE)))))</f>
        <v/>
      </c>
      <c r="X98" s="56"/>
      <c r="Y98" s="282" t="str">
        <f>IF(X98="","",IF(AND(X98="N/A - Culvert", C98&lt;&gt;"Culvert"), "Not possible ▲",IF(AND(C98="Culvert",X98&lt;&gt;"N/A - Culvert"),"Not possible ▲",IF(VLOOKUP(X98,'G-7 WaterC'' Data'!$AD$4:$AE$14,2,FALSE)=0,"Enrcoachment Data Missing ⚠",VLOOKUP(X98,'G-7 WaterC'' Data'!$AD$4:$AE$14,2,FALSE)))))</f>
        <v/>
      </c>
      <c r="Z98" s="323" t="str">
        <f t="shared" si="10"/>
        <v/>
      </c>
      <c r="AA98" s="105"/>
      <c r="AB98" s="119"/>
      <c r="AC98" s="108"/>
      <c r="AH98" s="30" t="str">
        <f>IFERROR(INDEX('G-7 WaterC'' Data'!$AZ$3:$AZ$7,MATCH(C98,'G-7 WaterC'' Data'!$AY$3:$AY$7,0)),"")</f>
        <v/>
      </c>
      <c r="AK98" s="30" t="str">
        <f t="shared" si="11"/>
        <v>No</v>
      </c>
    </row>
    <row r="99" spans="2:37" ht="13.8" x14ac:dyDescent="0.25">
      <c r="B99" s="101">
        <v>88</v>
      </c>
      <c r="C99" s="950"/>
      <c r="D99" s="119"/>
      <c r="E99" s="281" t="str">
        <f>IF(C99="","",VLOOKUP(C99,'G-7 WaterC'' Data'!$B$2:$G$8,2,FALSE))</f>
        <v/>
      </c>
      <c r="F99" s="282" t="str">
        <f>IFERROR(VLOOKUP(E99,'G-7 WaterC'' Data'!$C$4:$D$8,2,FALSE),"")</f>
        <v/>
      </c>
      <c r="G99" s="105"/>
      <c r="H99" s="282" t="str">
        <f>IFERROR(INDEX('G-7 WaterC'' Data'!$H$4:$L$8,MATCH(C99,'G-7 WaterC'' Data'!$B$4:$B$8,0),MATCH(G99,'G-7 WaterC'' Data'!$H$3:$L$3,0)),"")</f>
        <v/>
      </c>
      <c r="I99" s="52"/>
      <c r="J99" s="289" t="str">
        <f>IF(I99="","",IF(VLOOKUP(I99,'G-7 WaterC'' Data'!$AK$4:$AM$6,2,FALSE)=0,"Spatial Data Missing ⚠",VLOOKUP(I99,'G-7 WaterC'' Data'!$AK$4:$AM$6,2,FALSE)))</f>
        <v/>
      </c>
      <c r="K99" s="282" t="str">
        <f>IF(I99="","",IF(VLOOKUP(I99,'G-7 WaterC'' Data'!$AK$4:$AM$6,3,FALSE)=0,"Spatial Data Missing ⚠",VLOOKUP(I99,'G-7 WaterC'' Data'!$AK$4:$AM$6,3,FALSE)))</f>
        <v/>
      </c>
      <c r="L99" s="281" t="str">
        <f>IFERROR(INDEX('G-7 WaterC'' Data'!$O$3:$O$7,MATCH(G99,'G-7 WaterC'' Data'!$N$3:$N$7,0)),"")</f>
        <v/>
      </c>
      <c r="M99" s="58"/>
      <c r="N99" s="137"/>
      <c r="O99" s="289" t="str">
        <f t="shared" si="6"/>
        <v/>
      </c>
      <c r="P99" s="302" t="str">
        <f t="shared" si="7"/>
        <v/>
      </c>
      <c r="Q99" s="340" t="str">
        <f>IFERROR(IF(P99="Check Data ⚠","Check Data ⚠",VLOOKUP(P99,'G-4 Temporal multipliers'!$A$4:$C$37,3,FALSE)),"")</f>
        <v/>
      </c>
      <c r="R99" s="281" t="str">
        <f>IF(C99="","",VLOOKUP(C99,'G-7 WaterC'' Data'!$B$4:$G$8,4,FALSE))</f>
        <v/>
      </c>
      <c r="S99" s="289" t="str">
        <f t="shared" si="8"/>
        <v/>
      </c>
      <c r="T99" s="320" t="str">
        <f t="shared" si="9"/>
        <v/>
      </c>
      <c r="U99" s="282" t="str">
        <f>IF(C99="","",VLOOKUP(T99,'G-3 Multipliers'!$P$2:$Q$6,2,FALSE))</f>
        <v/>
      </c>
      <c r="V99" s="106"/>
      <c r="W99" s="282" t="str">
        <f>IF(V99="","",IF(AND(V99="N/A - Culvert",C99&lt;&gt;"Culvert"),"Not possible ▲",IF(AND(C99="Culvert",V99&lt;&gt;"N/A - Culvert"),"Not possible ▲",IF(VLOOKUP(V99,'G-7 WaterC'' Data'!$AA$4:$AB$7,2,FALSE)=0,"Spatial Data Missing ⚠",VLOOKUP(V99,'G-7 WaterC'' Data'!$AA$4:$AB$7,2,FALSE)))))</f>
        <v/>
      </c>
      <c r="X99" s="56"/>
      <c r="Y99" s="282" t="str">
        <f>IF(X99="","",IF(AND(X99="N/A - Culvert", C99&lt;&gt;"Culvert"), "Not possible ▲",IF(AND(C99="Culvert",X99&lt;&gt;"N/A - Culvert"),"Not possible ▲",IF(VLOOKUP(X99,'G-7 WaterC'' Data'!$AD$4:$AE$14,2,FALSE)=0,"Enrcoachment Data Missing ⚠",VLOOKUP(X99,'G-7 WaterC'' Data'!$AD$4:$AE$14,2,FALSE)))))</f>
        <v/>
      </c>
      <c r="Z99" s="323" t="str">
        <f t="shared" si="10"/>
        <v/>
      </c>
      <c r="AA99" s="105"/>
      <c r="AB99" s="119"/>
      <c r="AC99" s="108"/>
      <c r="AH99" s="30" t="str">
        <f>IFERROR(INDEX('G-7 WaterC'' Data'!$AZ$3:$AZ$7,MATCH(C99,'G-7 WaterC'' Data'!$AY$3:$AY$7,0)),"")</f>
        <v/>
      </c>
      <c r="AK99" s="30" t="str">
        <f t="shared" si="11"/>
        <v>No</v>
      </c>
    </row>
    <row r="100" spans="2:37" ht="13.8" x14ac:dyDescent="0.25">
      <c r="B100" s="101">
        <v>89</v>
      </c>
      <c r="C100" s="950"/>
      <c r="D100" s="119"/>
      <c r="E100" s="281" t="str">
        <f>IF(C100="","",VLOOKUP(C100,'G-7 WaterC'' Data'!$B$2:$G$8,2,FALSE))</f>
        <v/>
      </c>
      <c r="F100" s="282" t="str">
        <f>IFERROR(VLOOKUP(E100,'G-7 WaterC'' Data'!$C$4:$D$8,2,FALSE),"")</f>
        <v/>
      </c>
      <c r="G100" s="105"/>
      <c r="H100" s="282" t="str">
        <f>IFERROR(INDEX('G-7 WaterC'' Data'!$H$4:$L$8,MATCH(C100,'G-7 WaterC'' Data'!$B$4:$B$8,0),MATCH(G100,'G-7 WaterC'' Data'!$H$3:$L$3,0)),"")</f>
        <v/>
      </c>
      <c r="I100" s="52"/>
      <c r="J100" s="289" t="str">
        <f>IF(I100="","",IF(VLOOKUP(I100,'G-7 WaterC'' Data'!$AK$4:$AM$6,2,FALSE)=0,"Spatial Data Missing ⚠",VLOOKUP(I100,'G-7 WaterC'' Data'!$AK$4:$AM$6,2,FALSE)))</f>
        <v/>
      </c>
      <c r="K100" s="282" t="str">
        <f>IF(I100="","",IF(VLOOKUP(I100,'G-7 WaterC'' Data'!$AK$4:$AM$6,3,FALSE)=0,"Spatial Data Missing ⚠",VLOOKUP(I100,'G-7 WaterC'' Data'!$AK$4:$AM$6,3,FALSE)))</f>
        <v/>
      </c>
      <c r="L100" s="281" t="str">
        <f>IFERROR(INDEX('G-7 WaterC'' Data'!$O$3:$O$7,MATCH(G100,'G-7 WaterC'' Data'!$N$3:$N$7,0)),"")</f>
        <v/>
      </c>
      <c r="M100" s="58"/>
      <c r="N100" s="137"/>
      <c r="O100" s="289" t="str">
        <f t="shared" si="6"/>
        <v/>
      </c>
      <c r="P100" s="302" t="str">
        <f t="shared" si="7"/>
        <v/>
      </c>
      <c r="Q100" s="340" t="str">
        <f>IFERROR(IF(P100="Check Data ⚠","Check Data ⚠",VLOOKUP(P100,'G-4 Temporal multipliers'!$A$4:$C$37,3,FALSE)),"")</f>
        <v/>
      </c>
      <c r="R100" s="281" t="str">
        <f>IF(C100="","",VLOOKUP(C100,'G-7 WaterC'' Data'!$B$4:$G$8,4,FALSE))</f>
        <v/>
      </c>
      <c r="S100" s="289" t="str">
        <f t="shared" si="8"/>
        <v/>
      </c>
      <c r="T100" s="320" t="str">
        <f t="shared" si="9"/>
        <v/>
      </c>
      <c r="U100" s="282" t="str">
        <f>IF(C100="","",VLOOKUP(T100,'G-3 Multipliers'!$P$2:$Q$6,2,FALSE))</f>
        <v/>
      </c>
      <c r="V100" s="106"/>
      <c r="W100" s="282" t="str">
        <f>IF(V100="","",IF(AND(V100="N/A - Culvert",C100&lt;&gt;"Culvert"),"Not possible ▲",IF(AND(C100="Culvert",V100&lt;&gt;"N/A - Culvert"),"Not possible ▲",IF(VLOOKUP(V100,'G-7 WaterC'' Data'!$AA$4:$AB$7,2,FALSE)=0,"Spatial Data Missing ⚠",VLOOKUP(V100,'G-7 WaterC'' Data'!$AA$4:$AB$7,2,FALSE)))))</f>
        <v/>
      </c>
      <c r="X100" s="56"/>
      <c r="Y100" s="282" t="str">
        <f>IF(X100="","",IF(AND(X100="N/A - Culvert", C100&lt;&gt;"Culvert"), "Not possible ▲",IF(AND(C100="Culvert",X100&lt;&gt;"N/A - Culvert"),"Not possible ▲",IF(VLOOKUP(X100,'G-7 WaterC'' Data'!$AD$4:$AE$14,2,FALSE)=0,"Enrcoachment Data Missing ⚠",VLOOKUP(X100,'G-7 WaterC'' Data'!$AD$4:$AE$14,2,FALSE)))))</f>
        <v/>
      </c>
      <c r="Z100" s="323" t="str">
        <f t="shared" si="10"/>
        <v/>
      </c>
      <c r="AA100" s="105"/>
      <c r="AB100" s="119"/>
      <c r="AC100" s="108"/>
      <c r="AH100" s="30" t="str">
        <f>IFERROR(INDEX('G-7 WaterC'' Data'!$AZ$3:$AZ$7,MATCH(C100,'G-7 WaterC'' Data'!$AY$3:$AY$7,0)),"")</f>
        <v/>
      </c>
      <c r="AK100" s="30" t="str">
        <f t="shared" si="11"/>
        <v>No</v>
      </c>
    </row>
    <row r="101" spans="2:37" ht="13.8" x14ac:dyDescent="0.25">
      <c r="B101" s="101">
        <v>90</v>
      </c>
      <c r="C101" s="950"/>
      <c r="D101" s="119"/>
      <c r="E101" s="281" t="str">
        <f>IF(C101="","",VLOOKUP(C101,'G-7 WaterC'' Data'!$B$2:$G$8,2,FALSE))</f>
        <v/>
      </c>
      <c r="F101" s="282" t="str">
        <f>IFERROR(VLOOKUP(E101,'G-7 WaterC'' Data'!$C$4:$D$8,2,FALSE),"")</f>
        <v/>
      </c>
      <c r="G101" s="105"/>
      <c r="H101" s="282" t="str">
        <f>IFERROR(INDEX('G-7 WaterC'' Data'!$H$4:$L$8,MATCH(C101,'G-7 WaterC'' Data'!$B$4:$B$8,0),MATCH(G101,'G-7 WaterC'' Data'!$H$3:$L$3,0)),"")</f>
        <v/>
      </c>
      <c r="I101" s="52"/>
      <c r="J101" s="289" t="str">
        <f>IF(I101="","",IF(VLOOKUP(I101,'G-7 WaterC'' Data'!$AK$4:$AM$6,2,FALSE)=0,"Spatial Data Missing ⚠",VLOOKUP(I101,'G-7 WaterC'' Data'!$AK$4:$AM$6,2,FALSE)))</f>
        <v/>
      </c>
      <c r="K101" s="282" t="str">
        <f>IF(I101="","",IF(VLOOKUP(I101,'G-7 WaterC'' Data'!$AK$4:$AM$6,3,FALSE)=0,"Spatial Data Missing ⚠",VLOOKUP(I101,'G-7 WaterC'' Data'!$AK$4:$AM$6,3,FALSE)))</f>
        <v/>
      </c>
      <c r="L101" s="281" t="str">
        <f>IFERROR(INDEX('G-7 WaterC'' Data'!$O$3:$O$7,MATCH(G101,'G-7 WaterC'' Data'!$N$3:$N$7,0)),"")</f>
        <v/>
      </c>
      <c r="M101" s="58"/>
      <c r="N101" s="137"/>
      <c r="O101" s="289" t="str">
        <f t="shared" si="6"/>
        <v/>
      </c>
      <c r="P101" s="302" t="str">
        <f t="shared" si="7"/>
        <v/>
      </c>
      <c r="Q101" s="340" t="str">
        <f>IFERROR(IF(P101="Check Data ⚠","Check Data ⚠",VLOOKUP(P101,'G-4 Temporal multipliers'!$A$4:$C$37,3,FALSE)),"")</f>
        <v/>
      </c>
      <c r="R101" s="281" t="str">
        <f>IF(C101="","",VLOOKUP(C101,'G-7 WaterC'' Data'!$B$4:$G$8,4,FALSE))</f>
        <v/>
      </c>
      <c r="S101" s="289" t="str">
        <f t="shared" si="8"/>
        <v/>
      </c>
      <c r="T101" s="320" t="str">
        <f t="shared" si="9"/>
        <v/>
      </c>
      <c r="U101" s="282" t="str">
        <f>IF(C101="","",VLOOKUP(T101,'G-3 Multipliers'!$P$2:$Q$6,2,FALSE))</f>
        <v/>
      </c>
      <c r="V101" s="106"/>
      <c r="W101" s="282" t="str">
        <f>IF(V101="","",IF(AND(V101="N/A - Culvert",C101&lt;&gt;"Culvert"),"Not possible ▲",IF(AND(C101="Culvert",V101&lt;&gt;"N/A - Culvert"),"Not possible ▲",IF(VLOOKUP(V101,'G-7 WaterC'' Data'!$AA$4:$AB$7,2,FALSE)=0,"Spatial Data Missing ⚠",VLOOKUP(V101,'G-7 WaterC'' Data'!$AA$4:$AB$7,2,FALSE)))))</f>
        <v/>
      </c>
      <c r="X101" s="56"/>
      <c r="Y101" s="282" t="str">
        <f>IF(X101="","",IF(AND(X101="N/A - Culvert", C101&lt;&gt;"Culvert"), "Not possible ▲",IF(AND(C101="Culvert",X101&lt;&gt;"N/A - Culvert"),"Not possible ▲",IF(VLOOKUP(X101,'G-7 WaterC'' Data'!$AD$4:$AE$14,2,FALSE)=0,"Enrcoachment Data Missing ⚠",VLOOKUP(X101,'G-7 WaterC'' Data'!$AD$4:$AE$14,2,FALSE)))))</f>
        <v/>
      </c>
      <c r="Z101" s="323" t="str">
        <f t="shared" si="10"/>
        <v/>
      </c>
      <c r="AA101" s="105"/>
      <c r="AB101" s="119"/>
      <c r="AC101" s="108"/>
      <c r="AH101" s="30" t="str">
        <f>IFERROR(INDEX('G-7 WaterC'' Data'!$AZ$3:$AZ$7,MATCH(C101,'G-7 WaterC'' Data'!$AY$3:$AY$7,0)),"")</f>
        <v/>
      </c>
      <c r="AK101" s="30" t="str">
        <f t="shared" si="11"/>
        <v>No</v>
      </c>
    </row>
    <row r="102" spans="2:37" ht="13.8" x14ac:dyDescent="0.25">
      <c r="B102" s="101">
        <v>91</v>
      </c>
      <c r="C102" s="950"/>
      <c r="D102" s="119"/>
      <c r="E102" s="281" t="str">
        <f>IF(C102="","",VLOOKUP(C102,'G-7 WaterC'' Data'!$B$2:$G$8,2,FALSE))</f>
        <v/>
      </c>
      <c r="F102" s="282" t="str">
        <f>IFERROR(VLOOKUP(E102,'G-7 WaterC'' Data'!$C$4:$D$8,2,FALSE),"")</f>
        <v/>
      </c>
      <c r="G102" s="105"/>
      <c r="H102" s="282" t="str">
        <f>IFERROR(INDEX('G-7 WaterC'' Data'!$H$4:$L$8,MATCH(C102,'G-7 WaterC'' Data'!$B$4:$B$8,0),MATCH(G102,'G-7 WaterC'' Data'!$H$3:$L$3,0)),"")</f>
        <v/>
      </c>
      <c r="I102" s="52"/>
      <c r="J102" s="289" t="str">
        <f>IF(I102="","",IF(VLOOKUP(I102,'G-7 WaterC'' Data'!$AK$4:$AM$6,2,FALSE)=0,"Spatial Data Missing ⚠",VLOOKUP(I102,'G-7 WaterC'' Data'!$AK$4:$AM$6,2,FALSE)))</f>
        <v/>
      </c>
      <c r="K102" s="282" t="str">
        <f>IF(I102="","",IF(VLOOKUP(I102,'G-7 WaterC'' Data'!$AK$4:$AM$6,3,FALSE)=0,"Spatial Data Missing ⚠",VLOOKUP(I102,'G-7 WaterC'' Data'!$AK$4:$AM$6,3,FALSE)))</f>
        <v/>
      </c>
      <c r="L102" s="281" t="str">
        <f>IFERROR(INDEX('G-7 WaterC'' Data'!$O$3:$O$7,MATCH(G102,'G-7 WaterC'' Data'!$N$3:$N$7,0)),"")</f>
        <v/>
      </c>
      <c r="M102" s="58"/>
      <c r="N102" s="137"/>
      <c r="O102" s="289" t="str">
        <f t="shared" si="6"/>
        <v/>
      </c>
      <c r="P102" s="302" t="str">
        <f t="shared" si="7"/>
        <v/>
      </c>
      <c r="Q102" s="340" t="str">
        <f>IFERROR(IF(P102="Check Data ⚠","Check Data ⚠",VLOOKUP(P102,'G-4 Temporal multipliers'!$A$4:$C$37,3,FALSE)),"")</f>
        <v/>
      </c>
      <c r="R102" s="281" t="str">
        <f>IF(C102="","",VLOOKUP(C102,'G-7 WaterC'' Data'!$B$4:$G$8,4,FALSE))</f>
        <v/>
      </c>
      <c r="S102" s="289" t="str">
        <f t="shared" si="8"/>
        <v/>
      </c>
      <c r="T102" s="320" t="str">
        <f t="shared" si="9"/>
        <v/>
      </c>
      <c r="U102" s="282" t="str">
        <f>IF(C102="","",VLOOKUP(T102,'G-3 Multipliers'!$P$2:$Q$6,2,FALSE))</f>
        <v/>
      </c>
      <c r="V102" s="106"/>
      <c r="W102" s="282" t="str">
        <f>IF(V102="","",IF(AND(V102="N/A - Culvert",C102&lt;&gt;"Culvert"),"Not possible ▲",IF(AND(C102="Culvert",V102&lt;&gt;"N/A - Culvert"),"Not possible ▲",IF(VLOOKUP(V102,'G-7 WaterC'' Data'!$AA$4:$AB$7,2,FALSE)=0,"Spatial Data Missing ⚠",VLOOKUP(V102,'G-7 WaterC'' Data'!$AA$4:$AB$7,2,FALSE)))))</f>
        <v/>
      </c>
      <c r="X102" s="56"/>
      <c r="Y102" s="282" t="str">
        <f>IF(X102="","",IF(AND(X102="N/A - Culvert", C102&lt;&gt;"Culvert"), "Not possible ▲",IF(AND(C102="Culvert",X102&lt;&gt;"N/A - Culvert"),"Not possible ▲",IF(VLOOKUP(X102,'G-7 WaterC'' Data'!$AD$4:$AE$14,2,FALSE)=0,"Enrcoachment Data Missing ⚠",VLOOKUP(X102,'G-7 WaterC'' Data'!$AD$4:$AE$14,2,FALSE)))))</f>
        <v/>
      </c>
      <c r="Z102" s="323" t="str">
        <f t="shared" si="10"/>
        <v/>
      </c>
      <c r="AA102" s="105"/>
      <c r="AB102" s="119"/>
      <c r="AC102" s="108"/>
      <c r="AH102" s="30" t="str">
        <f>IFERROR(INDEX('G-7 WaterC'' Data'!$AZ$3:$AZ$7,MATCH(C102,'G-7 WaterC'' Data'!$AY$3:$AY$7,0)),"")</f>
        <v/>
      </c>
      <c r="AK102" s="30" t="str">
        <f t="shared" si="11"/>
        <v>No</v>
      </c>
    </row>
    <row r="103" spans="2:37" ht="13.8" x14ac:dyDescent="0.25">
      <c r="B103" s="101">
        <v>92</v>
      </c>
      <c r="C103" s="950"/>
      <c r="D103" s="119"/>
      <c r="E103" s="281" t="str">
        <f>IF(C103="","",VLOOKUP(C103,'G-7 WaterC'' Data'!$B$2:$G$8,2,FALSE))</f>
        <v/>
      </c>
      <c r="F103" s="282" t="str">
        <f>IFERROR(VLOOKUP(E103,'G-7 WaterC'' Data'!$C$4:$D$8,2,FALSE),"")</f>
        <v/>
      </c>
      <c r="G103" s="105"/>
      <c r="H103" s="282" t="str">
        <f>IFERROR(INDEX('G-7 WaterC'' Data'!$H$4:$L$8,MATCH(C103,'G-7 WaterC'' Data'!$B$4:$B$8,0),MATCH(G103,'G-7 WaterC'' Data'!$H$3:$L$3,0)),"")</f>
        <v/>
      </c>
      <c r="I103" s="52"/>
      <c r="J103" s="289" t="str">
        <f>IF(I103="","",IF(VLOOKUP(I103,'G-7 WaterC'' Data'!$AK$4:$AM$6,2,FALSE)=0,"Spatial Data Missing ⚠",VLOOKUP(I103,'G-7 WaterC'' Data'!$AK$4:$AM$6,2,FALSE)))</f>
        <v/>
      </c>
      <c r="K103" s="282" t="str">
        <f>IF(I103="","",IF(VLOOKUP(I103,'G-7 WaterC'' Data'!$AK$4:$AM$6,3,FALSE)=0,"Spatial Data Missing ⚠",VLOOKUP(I103,'G-7 WaterC'' Data'!$AK$4:$AM$6,3,FALSE)))</f>
        <v/>
      </c>
      <c r="L103" s="281" t="str">
        <f>IFERROR(INDEX('G-7 WaterC'' Data'!$O$3:$O$7,MATCH(G103,'G-7 WaterC'' Data'!$N$3:$N$7,0)),"")</f>
        <v/>
      </c>
      <c r="M103" s="58"/>
      <c r="N103" s="137"/>
      <c r="O103" s="289" t="str">
        <f t="shared" si="6"/>
        <v/>
      </c>
      <c r="P103" s="302" t="str">
        <f t="shared" si="7"/>
        <v/>
      </c>
      <c r="Q103" s="340" t="str">
        <f>IFERROR(IF(P103="Check Data ⚠","Check Data ⚠",VLOOKUP(P103,'G-4 Temporal multipliers'!$A$4:$C$37,3,FALSE)),"")</f>
        <v/>
      </c>
      <c r="R103" s="281" t="str">
        <f>IF(C103="","",VLOOKUP(C103,'G-7 WaterC'' Data'!$B$4:$G$8,4,FALSE))</f>
        <v/>
      </c>
      <c r="S103" s="289" t="str">
        <f t="shared" si="8"/>
        <v/>
      </c>
      <c r="T103" s="320" t="str">
        <f t="shared" si="9"/>
        <v/>
      </c>
      <c r="U103" s="282" t="str">
        <f>IF(C103="","",VLOOKUP(T103,'G-3 Multipliers'!$P$2:$Q$6,2,FALSE))</f>
        <v/>
      </c>
      <c r="V103" s="106"/>
      <c r="W103" s="282" t="str">
        <f>IF(V103="","",IF(AND(V103="N/A - Culvert",C103&lt;&gt;"Culvert"),"Not possible ▲",IF(AND(C103="Culvert",V103&lt;&gt;"N/A - Culvert"),"Not possible ▲",IF(VLOOKUP(V103,'G-7 WaterC'' Data'!$AA$4:$AB$7,2,FALSE)=0,"Spatial Data Missing ⚠",VLOOKUP(V103,'G-7 WaterC'' Data'!$AA$4:$AB$7,2,FALSE)))))</f>
        <v/>
      </c>
      <c r="X103" s="56"/>
      <c r="Y103" s="282" t="str">
        <f>IF(X103="","",IF(AND(X103="N/A - Culvert", C103&lt;&gt;"Culvert"), "Not possible ▲",IF(AND(C103="Culvert",X103&lt;&gt;"N/A - Culvert"),"Not possible ▲",IF(VLOOKUP(X103,'G-7 WaterC'' Data'!$AD$4:$AE$14,2,FALSE)=0,"Enrcoachment Data Missing ⚠",VLOOKUP(X103,'G-7 WaterC'' Data'!$AD$4:$AE$14,2,FALSE)))))</f>
        <v/>
      </c>
      <c r="Z103" s="323" t="str">
        <f t="shared" si="10"/>
        <v/>
      </c>
      <c r="AA103" s="105"/>
      <c r="AB103" s="119"/>
      <c r="AC103" s="108"/>
      <c r="AH103" s="30" t="str">
        <f>IFERROR(INDEX('G-7 WaterC'' Data'!$AZ$3:$AZ$7,MATCH(C103,'G-7 WaterC'' Data'!$AY$3:$AY$7,0)),"")</f>
        <v/>
      </c>
      <c r="AK103" s="30" t="str">
        <f t="shared" si="11"/>
        <v>No</v>
      </c>
    </row>
    <row r="104" spans="2:37" ht="13.8" x14ac:dyDescent="0.25">
      <c r="B104" s="101">
        <v>93</v>
      </c>
      <c r="C104" s="950"/>
      <c r="D104" s="119"/>
      <c r="E104" s="281" t="str">
        <f>IF(C104="","",VLOOKUP(C104,'G-7 WaterC'' Data'!$B$2:$G$8,2,FALSE))</f>
        <v/>
      </c>
      <c r="F104" s="282" t="str">
        <f>IFERROR(VLOOKUP(E104,'G-7 WaterC'' Data'!$C$4:$D$8,2,FALSE),"")</f>
        <v/>
      </c>
      <c r="G104" s="105"/>
      <c r="H104" s="282" t="str">
        <f>IFERROR(INDEX('G-7 WaterC'' Data'!$H$4:$L$8,MATCH(C104,'G-7 WaterC'' Data'!$B$4:$B$8,0),MATCH(G104,'G-7 WaterC'' Data'!$H$3:$L$3,0)),"")</f>
        <v/>
      </c>
      <c r="I104" s="52"/>
      <c r="J104" s="289" t="str">
        <f>IF(I104="","",IF(VLOOKUP(I104,'G-7 WaterC'' Data'!$AK$4:$AM$6,2,FALSE)=0,"Spatial Data Missing ⚠",VLOOKUP(I104,'G-7 WaterC'' Data'!$AK$4:$AM$6,2,FALSE)))</f>
        <v/>
      </c>
      <c r="K104" s="282" t="str">
        <f>IF(I104="","",IF(VLOOKUP(I104,'G-7 WaterC'' Data'!$AK$4:$AM$6,3,FALSE)=0,"Spatial Data Missing ⚠",VLOOKUP(I104,'G-7 WaterC'' Data'!$AK$4:$AM$6,3,FALSE)))</f>
        <v/>
      </c>
      <c r="L104" s="281" t="str">
        <f>IFERROR(INDEX('G-7 WaterC'' Data'!$O$3:$O$7,MATCH(G104,'G-7 WaterC'' Data'!$N$3:$N$7,0)),"")</f>
        <v/>
      </c>
      <c r="M104" s="58"/>
      <c r="N104" s="137"/>
      <c r="O104" s="289" t="str">
        <f t="shared" si="6"/>
        <v/>
      </c>
      <c r="P104" s="302" t="str">
        <f t="shared" si="7"/>
        <v/>
      </c>
      <c r="Q104" s="340" t="str">
        <f>IFERROR(IF(P104="Check Data ⚠","Check Data ⚠",VLOOKUP(P104,'G-4 Temporal multipliers'!$A$4:$C$37,3,FALSE)),"")</f>
        <v/>
      </c>
      <c r="R104" s="281" t="str">
        <f>IF(C104="","",VLOOKUP(C104,'G-7 WaterC'' Data'!$B$4:$G$8,4,FALSE))</f>
        <v/>
      </c>
      <c r="S104" s="289" t="str">
        <f t="shared" si="8"/>
        <v/>
      </c>
      <c r="T104" s="320" t="str">
        <f t="shared" si="9"/>
        <v/>
      </c>
      <c r="U104" s="282" t="str">
        <f>IF(C104="","",VLOOKUP(T104,'G-3 Multipliers'!$P$2:$Q$6,2,FALSE))</f>
        <v/>
      </c>
      <c r="V104" s="106"/>
      <c r="W104" s="282" t="str">
        <f>IF(V104="","",IF(AND(V104="N/A - Culvert",C104&lt;&gt;"Culvert"),"Not possible ▲",IF(AND(C104="Culvert",V104&lt;&gt;"N/A - Culvert"),"Not possible ▲",IF(VLOOKUP(V104,'G-7 WaterC'' Data'!$AA$4:$AB$7,2,FALSE)=0,"Spatial Data Missing ⚠",VLOOKUP(V104,'G-7 WaterC'' Data'!$AA$4:$AB$7,2,FALSE)))))</f>
        <v/>
      </c>
      <c r="X104" s="56"/>
      <c r="Y104" s="282" t="str">
        <f>IF(X104="","",IF(AND(X104="N/A - Culvert", C104&lt;&gt;"Culvert"), "Not possible ▲",IF(AND(C104="Culvert",X104&lt;&gt;"N/A - Culvert"),"Not possible ▲",IF(VLOOKUP(X104,'G-7 WaterC'' Data'!$AD$4:$AE$14,2,FALSE)=0,"Enrcoachment Data Missing ⚠",VLOOKUP(X104,'G-7 WaterC'' Data'!$AD$4:$AE$14,2,FALSE)))))</f>
        <v/>
      </c>
      <c r="Z104" s="323" t="str">
        <f t="shared" si="10"/>
        <v/>
      </c>
      <c r="AA104" s="105"/>
      <c r="AB104" s="119"/>
      <c r="AC104" s="108"/>
      <c r="AH104" s="30" t="str">
        <f>IFERROR(INDEX('G-7 WaterC'' Data'!$AZ$3:$AZ$7,MATCH(C104,'G-7 WaterC'' Data'!$AY$3:$AY$7,0)),"")</f>
        <v/>
      </c>
      <c r="AK104" s="30" t="str">
        <f t="shared" si="11"/>
        <v>No</v>
      </c>
    </row>
    <row r="105" spans="2:37" ht="13.8" x14ac:dyDescent="0.25">
      <c r="B105" s="101">
        <v>94</v>
      </c>
      <c r="C105" s="950"/>
      <c r="D105" s="119"/>
      <c r="E105" s="281" t="str">
        <f>IF(C105="","",VLOOKUP(C105,'G-7 WaterC'' Data'!$B$2:$G$8,2,FALSE))</f>
        <v/>
      </c>
      <c r="F105" s="282" t="str">
        <f>IFERROR(VLOOKUP(E105,'G-7 WaterC'' Data'!$C$4:$D$8,2,FALSE),"")</f>
        <v/>
      </c>
      <c r="G105" s="105"/>
      <c r="H105" s="282" t="str">
        <f>IFERROR(INDEX('G-7 WaterC'' Data'!$H$4:$L$8,MATCH(C105,'G-7 WaterC'' Data'!$B$4:$B$8,0),MATCH(G105,'G-7 WaterC'' Data'!$H$3:$L$3,0)),"")</f>
        <v/>
      </c>
      <c r="I105" s="52"/>
      <c r="J105" s="289" t="str">
        <f>IF(I105="","",IF(VLOOKUP(I105,'G-7 WaterC'' Data'!$AK$4:$AM$6,2,FALSE)=0,"Spatial Data Missing ⚠",VLOOKUP(I105,'G-7 WaterC'' Data'!$AK$4:$AM$6,2,FALSE)))</f>
        <v/>
      </c>
      <c r="K105" s="282" t="str">
        <f>IF(I105="","",IF(VLOOKUP(I105,'G-7 WaterC'' Data'!$AK$4:$AM$6,3,FALSE)=0,"Spatial Data Missing ⚠",VLOOKUP(I105,'G-7 WaterC'' Data'!$AK$4:$AM$6,3,FALSE)))</f>
        <v/>
      </c>
      <c r="L105" s="281" t="str">
        <f>IFERROR(INDEX('G-7 WaterC'' Data'!$O$3:$O$7,MATCH(G105,'G-7 WaterC'' Data'!$N$3:$N$7,0)),"")</f>
        <v/>
      </c>
      <c r="M105" s="58"/>
      <c r="N105" s="137"/>
      <c r="O105" s="289" t="str">
        <f t="shared" si="6"/>
        <v/>
      </c>
      <c r="P105" s="302" t="str">
        <f t="shared" si="7"/>
        <v/>
      </c>
      <c r="Q105" s="340" t="str">
        <f>IFERROR(IF(P105="Check Data ⚠","Check Data ⚠",VLOOKUP(P105,'G-4 Temporal multipliers'!$A$4:$C$37,3,FALSE)),"")</f>
        <v/>
      </c>
      <c r="R105" s="281" t="str">
        <f>IF(C105="","",VLOOKUP(C105,'G-7 WaterC'' Data'!$B$4:$G$8,4,FALSE))</f>
        <v/>
      </c>
      <c r="S105" s="289" t="str">
        <f t="shared" si="8"/>
        <v/>
      </c>
      <c r="T105" s="320" t="str">
        <f t="shared" si="9"/>
        <v/>
      </c>
      <c r="U105" s="282" t="str">
        <f>IF(C105="","",VLOOKUP(T105,'G-3 Multipliers'!$P$2:$Q$6,2,FALSE))</f>
        <v/>
      </c>
      <c r="V105" s="106"/>
      <c r="W105" s="282" t="str">
        <f>IF(V105="","",IF(AND(V105="N/A - Culvert",C105&lt;&gt;"Culvert"),"Not possible ▲",IF(AND(C105="Culvert",V105&lt;&gt;"N/A - Culvert"),"Not possible ▲",IF(VLOOKUP(V105,'G-7 WaterC'' Data'!$AA$4:$AB$7,2,FALSE)=0,"Spatial Data Missing ⚠",VLOOKUP(V105,'G-7 WaterC'' Data'!$AA$4:$AB$7,2,FALSE)))))</f>
        <v/>
      </c>
      <c r="X105" s="56"/>
      <c r="Y105" s="282" t="str">
        <f>IF(X105="","",IF(AND(X105="N/A - Culvert", C105&lt;&gt;"Culvert"), "Not possible ▲",IF(AND(C105="Culvert",X105&lt;&gt;"N/A - Culvert"),"Not possible ▲",IF(VLOOKUP(X105,'G-7 WaterC'' Data'!$AD$4:$AE$14,2,FALSE)=0,"Enrcoachment Data Missing ⚠",VLOOKUP(X105,'G-7 WaterC'' Data'!$AD$4:$AE$14,2,FALSE)))))</f>
        <v/>
      </c>
      <c r="Z105" s="323" t="str">
        <f t="shared" si="10"/>
        <v/>
      </c>
      <c r="AA105" s="105"/>
      <c r="AB105" s="119"/>
      <c r="AC105" s="108"/>
      <c r="AH105" s="30" t="str">
        <f>IFERROR(INDEX('G-7 WaterC'' Data'!$AZ$3:$AZ$7,MATCH(C105,'G-7 WaterC'' Data'!$AY$3:$AY$7,0)),"")</f>
        <v/>
      </c>
      <c r="AK105" s="30" t="str">
        <f t="shared" si="11"/>
        <v>No</v>
      </c>
    </row>
    <row r="106" spans="2:37" ht="13.8" x14ac:dyDescent="0.25">
      <c r="B106" s="101">
        <v>95</v>
      </c>
      <c r="C106" s="950"/>
      <c r="D106" s="119"/>
      <c r="E106" s="281" t="str">
        <f>IF(C106="","",VLOOKUP(C106,'G-7 WaterC'' Data'!$B$2:$G$8,2,FALSE))</f>
        <v/>
      </c>
      <c r="F106" s="282" t="str">
        <f>IFERROR(VLOOKUP(E106,'G-7 WaterC'' Data'!$C$4:$D$8,2,FALSE),"")</f>
        <v/>
      </c>
      <c r="G106" s="105"/>
      <c r="H106" s="282" t="str">
        <f>IFERROR(INDEX('G-7 WaterC'' Data'!$H$4:$L$8,MATCH(C106,'G-7 WaterC'' Data'!$B$4:$B$8,0),MATCH(G106,'G-7 WaterC'' Data'!$H$3:$L$3,0)),"")</f>
        <v/>
      </c>
      <c r="I106" s="52"/>
      <c r="J106" s="289" t="str">
        <f>IF(I106="","",IF(VLOOKUP(I106,'G-7 WaterC'' Data'!$AK$4:$AM$6,2,FALSE)=0,"Spatial Data Missing ⚠",VLOOKUP(I106,'G-7 WaterC'' Data'!$AK$4:$AM$6,2,FALSE)))</f>
        <v/>
      </c>
      <c r="K106" s="282" t="str">
        <f>IF(I106="","",IF(VLOOKUP(I106,'G-7 WaterC'' Data'!$AK$4:$AM$6,3,FALSE)=0,"Spatial Data Missing ⚠",VLOOKUP(I106,'G-7 WaterC'' Data'!$AK$4:$AM$6,3,FALSE)))</f>
        <v/>
      </c>
      <c r="L106" s="281" t="str">
        <f>IFERROR(INDEX('G-7 WaterC'' Data'!$O$3:$O$7,MATCH(G106,'G-7 WaterC'' Data'!$N$3:$N$7,0)),"")</f>
        <v/>
      </c>
      <c r="M106" s="58"/>
      <c r="N106" s="137"/>
      <c r="O106" s="289" t="str">
        <f t="shared" si="6"/>
        <v/>
      </c>
      <c r="P106" s="302" t="str">
        <f t="shared" si="7"/>
        <v/>
      </c>
      <c r="Q106" s="340" t="str">
        <f>IFERROR(IF(P106="Check Data ⚠","Check Data ⚠",VLOOKUP(P106,'G-4 Temporal multipliers'!$A$4:$C$37,3,FALSE)),"")</f>
        <v/>
      </c>
      <c r="R106" s="281" t="str">
        <f>IF(C106="","",VLOOKUP(C106,'G-7 WaterC'' Data'!$B$4:$G$8,4,FALSE))</f>
        <v/>
      </c>
      <c r="S106" s="289" t="str">
        <f t="shared" si="8"/>
        <v/>
      </c>
      <c r="T106" s="320" t="str">
        <f t="shared" si="9"/>
        <v/>
      </c>
      <c r="U106" s="282" t="str">
        <f>IF(C106="","",VLOOKUP(T106,'G-3 Multipliers'!$P$2:$Q$6,2,FALSE))</f>
        <v/>
      </c>
      <c r="V106" s="106"/>
      <c r="W106" s="282" t="str">
        <f>IF(V106="","",IF(AND(V106="N/A - Culvert",C106&lt;&gt;"Culvert"),"Not possible ▲",IF(AND(C106="Culvert",V106&lt;&gt;"N/A - Culvert"),"Not possible ▲",IF(VLOOKUP(V106,'G-7 WaterC'' Data'!$AA$4:$AB$7,2,FALSE)=0,"Spatial Data Missing ⚠",VLOOKUP(V106,'G-7 WaterC'' Data'!$AA$4:$AB$7,2,FALSE)))))</f>
        <v/>
      </c>
      <c r="X106" s="56"/>
      <c r="Y106" s="282" t="str">
        <f>IF(X106="","",IF(AND(X106="N/A - Culvert", C106&lt;&gt;"Culvert"), "Not possible ▲",IF(AND(C106="Culvert",X106&lt;&gt;"N/A - Culvert"),"Not possible ▲",IF(VLOOKUP(X106,'G-7 WaterC'' Data'!$AD$4:$AE$14,2,FALSE)=0,"Enrcoachment Data Missing ⚠",VLOOKUP(X106,'G-7 WaterC'' Data'!$AD$4:$AE$14,2,FALSE)))))</f>
        <v/>
      </c>
      <c r="Z106" s="323" t="str">
        <f t="shared" si="10"/>
        <v/>
      </c>
      <c r="AA106" s="105"/>
      <c r="AB106" s="119"/>
      <c r="AC106" s="108"/>
      <c r="AH106" s="30" t="str">
        <f>IFERROR(INDEX('G-7 WaterC'' Data'!$AZ$3:$AZ$7,MATCH(C106,'G-7 WaterC'' Data'!$AY$3:$AY$7,0)),"")</f>
        <v/>
      </c>
      <c r="AK106" s="30" t="str">
        <f t="shared" si="11"/>
        <v>No</v>
      </c>
    </row>
    <row r="107" spans="2:37" ht="13.8" x14ac:dyDescent="0.25">
      <c r="B107" s="101">
        <v>96</v>
      </c>
      <c r="C107" s="950"/>
      <c r="D107" s="119"/>
      <c r="E107" s="281" t="str">
        <f>IF(C107="","",VLOOKUP(C107,'G-7 WaterC'' Data'!$B$2:$G$8,2,FALSE))</f>
        <v/>
      </c>
      <c r="F107" s="282" t="str">
        <f>IFERROR(VLOOKUP(E107,'G-7 WaterC'' Data'!$C$4:$D$8,2,FALSE),"")</f>
        <v/>
      </c>
      <c r="G107" s="105"/>
      <c r="H107" s="282" t="str">
        <f>IFERROR(INDEX('G-7 WaterC'' Data'!$H$4:$L$8,MATCH(C107,'G-7 WaterC'' Data'!$B$4:$B$8,0),MATCH(G107,'G-7 WaterC'' Data'!$H$3:$L$3,0)),"")</f>
        <v/>
      </c>
      <c r="I107" s="52"/>
      <c r="J107" s="289" t="str">
        <f>IF(I107="","",IF(VLOOKUP(I107,'G-7 WaterC'' Data'!$AK$4:$AM$6,2,FALSE)=0,"Spatial Data Missing ⚠",VLOOKUP(I107,'G-7 WaterC'' Data'!$AK$4:$AM$6,2,FALSE)))</f>
        <v/>
      </c>
      <c r="K107" s="282" t="str">
        <f>IF(I107="","",IF(VLOOKUP(I107,'G-7 WaterC'' Data'!$AK$4:$AM$6,3,FALSE)=0,"Spatial Data Missing ⚠",VLOOKUP(I107,'G-7 WaterC'' Data'!$AK$4:$AM$6,3,FALSE)))</f>
        <v/>
      </c>
      <c r="L107" s="281" t="str">
        <f>IFERROR(INDEX('G-7 WaterC'' Data'!$O$3:$O$7,MATCH(G107,'G-7 WaterC'' Data'!$N$3:$N$7,0)),"")</f>
        <v/>
      </c>
      <c r="M107" s="58"/>
      <c r="N107" s="137"/>
      <c r="O107" s="289" t="str">
        <f t="shared" si="6"/>
        <v/>
      </c>
      <c r="P107" s="302" t="str">
        <f t="shared" si="7"/>
        <v/>
      </c>
      <c r="Q107" s="340" t="str">
        <f>IFERROR(IF(P107="Check Data ⚠","Check Data ⚠",VLOOKUP(P107,'G-4 Temporal multipliers'!$A$4:$C$37,3,FALSE)),"")</f>
        <v/>
      </c>
      <c r="R107" s="281" t="str">
        <f>IF(C107="","",VLOOKUP(C107,'G-7 WaterC'' Data'!$B$4:$G$8,4,FALSE))</f>
        <v/>
      </c>
      <c r="S107" s="289" t="str">
        <f t="shared" si="8"/>
        <v/>
      </c>
      <c r="T107" s="320" t="str">
        <f t="shared" si="9"/>
        <v/>
      </c>
      <c r="U107" s="282" t="str">
        <f>IF(C107="","",VLOOKUP(T107,'G-3 Multipliers'!$P$2:$Q$6,2,FALSE))</f>
        <v/>
      </c>
      <c r="V107" s="106"/>
      <c r="W107" s="282" t="str">
        <f>IF(V107="","",IF(AND(V107="N/A - Culvert",C107&lt;&gt;"Culvert"),"Not possible ▲",IF(AND(C107="Culvert",V107&lt;&gt;"N/A - Culvert"),"Not possible ▲",IF(VLOOKUP(V107,'G-7 WaterC'' Data'!$AA$4:$AB$7,2,FALSE)=0,"Spatial Data Missing ⚠",VLOOKUP(V107,'G-7 WaterC'' Data'!$AA$4:$AB$7,2,FALSE)))))</f>
        <v/>
      </c>
      <c r="X107" s="56"/>
      <c r="Y107" s="282" t="str">
        <f>IF(X107="","",IF(AND(X107="N/A - Culvert", C107&lt;&gt;"Culvert"), "Not possible ▲",IF(AND(C107="Culvert",X107&lt;&gt;"N/A - Culvert"),"Not possible ▲",IF(VLOOKUP(X107,'G-7 WaterC'' Data'!$AD$4:$AE$14,2,FALSE)=0,"Enrcoachment Data Missing ⚠",VLOOKUP(X107,'G-7 WaterC'' Data'!$AD$4:$AE$14,2,FALSE)))))</f>
        <v/>
      </c>
      <c r="Z107" s="323" t="str">
        <f t="shared" si="10"/>
        <v/>
      </c>
      <c r="AA107" s="105"/>
      <c r="AB107" s="119"/>
      <c r="AC107" s="108"/>
      <c r="AH107" s="30" t="str">
        <f>IFERROR(INDEX('G-7 WaterC'' Data'!$AZ$3:$AZ$7,MATCH(C107,'G-7 WaterC'' Data'!$AY$3:$AY$7,0)),"")</f>
        <v/>
      </c>
      <c r="AK107" s="30" t="str">
        <f t="shared" si="11"/>
        <v>No</v>
      </c>
    </row>
    <row r="108" spans="2:37" ht="13.8" x14ac:dyDescent="0.25">
      <c r="B108" s="101">
        <v>97</v>
      </c>
      <c r="C108" s="950"/>
      <c r="D108" s="119"/>
      <c r="E108" s="281" t="str">
        <f>IF(C108="","",VLOOKUP(C108,'G-7 WaterC'' Data'!$B$2:$G$8,2,FALSE))</f>
        <v/>
      </c>
      <c r="F108" s="282" t="str">
        <f>IFERROR(VLOOKUP(E108,'G-7 WaterC'' Data'!$C$4:$D$8,2,FALSE),"")</f>
        <v/>
      </c>
      <c r="G108" s="105"/>
      <c r="H108" s="282" t="str">
        <f>IFERROR(INDEX('G-7 WaterC'' Data'!$H$4:$L$8,MATCH(C108,'G-7 WaterC'' Data'!$B$4:$B$8,0),MATCH(G108,'G-7 WaterC'' Data'!$H$3:$L$3,0)),"")</f>
        <v/>
      </c>
      <c r="I108" s="52"/>
      <c r="J108" s="289" t="str">
        <f>IF(I108="","",IF(VLOOKUP(I108,'G-7 WaterC'' Data'!$AK$4:$AM$6,2,FALSE)=0,"Spatial Data Missing ⚠",VLOOKUP(I108,'G-7 WaterC'' Data'!$AK$4:$AM$6,2,FALSE)))</f>
        <v/>
      </c>
      <c r="K108" s="282" t="str">
        <f>IF(I108="","",IF(VLOOKUP(I108,'G-7 WaterC'' Data'!$AK$4:$AM$6,3,FALSE)=0,"Spatial Data Missing ⚠",VLOOKUP(I108,'G-7 WaterC'' Data'!$AK$4:$AM$6,3,FALSE)))</f>
        <v/>
      </c>
      <c r="L108" s="281" t="str">
        <f>IFERROR(INDEX('G-7 WaterC'' Data'!$O$3:$O$7,MATCH(G108,'G-7 WaterC'' Data'!$N$3:$N$7,0)),"")</f>
        <v/>
      </c>
      <c r="M108" s="58"/>
      <c r="N108" s="137"/>
      <c r="O108" s="289" t="str">
        <f t="shared" si="6"/>
        <v/>
      </c>
      <c r="P108" s="302" t="str">
        <f t="shared" si="7"/>
        <v/>
      </c>
      <c r="Q108" s="340" t="str">
        <f>IFERROR(IF(P108="Check Data ⚠","Check Data ⚠",VLOOKUP(P108,'G-4 Temporal multipliers'!$A$4:$C$37,3,FALSE)),"")</f>
        <v/>
      </c>
      <c r="R108" s="281" t="str">
        <f>IF(C108="","",VLOOKUP(C108,'G-7 WaterC'' Data'!$B$4:$G$8,4,FALSE))</f>
        <v/>
      </c>
      <c r="S108" s="289" t="str">
        <f t="shared" si="8"/>
        <v/>
      </c>
      <c r="T108" s="320" t="str">
        <f t="shared" si="9"/>
        <v/>
      </c>
      <c r="U108" s="282" t="str">
        <f>IF(C108="","",VLOOKUP(T108,'G-3 Multipliers'!$P$2:$Q$6,2,FALSE))</f>
        <v/>
      </c>
      <c r="V108" s="106"/>
      <c r="W108" s="282" t="str">
        <f>IF(V108="","",IF(AND(V108="N/A - Culvert",C108&lt;&gt;"Culvert"),"Not possible ▲",IF(AND(C108="Culvert",V108&lt;&gt;"N/A - Culvert"),"Not possible ▲",IF(VLOOKUP(V108,'G-7 WaterC'' Data'!$AA$4:$AB$7,2,FALSE)=0,"Spatial Data Missing ⚠",VLOOKUP(V108,'G-7 WaterC'' Data'!$AA$4:$AB$7,2,FALSE)))))</f>
        <v/>
      </c>
      <c r="X108" s="56"/>
      <c r="Y108" s="282" t="str">
        <f>IF(X108="","",IF(AND(X108="N/A - Culvert", C108&lt;&gt;"Culvert"), "Not possible ▲",IF(AND(C108="Culvert",X108&lt;&gt;"N/A - Culvert"),"Not possible ▲",IF(VLOOKUP(X108,'G-7 WaterC'' Data'!$AD$4:$AE$14,2,FALSE)=0,"Enrcoachment Data Missing ⚠",VLOOKUP(X108,'G-7 WaterC'' Data'!$AD$4:$AE$14,2,FALSE)))))</f>
        <v/>
      </c>
      <c r="Z108" s="323" t="str">
        <f t="shared" si="10"/>
        <v/>
      </c>
      <c r="AA108" s="105"/>
      <c r="AB108" s="119"/>
      <c r="AC108" s="108"/>
      <c r="AH108" s="30" t="str">
        <f>IFERROR(INDEX('G-7 WaterC'' Data'!$AZ$3:$AZ$7,MATCH(C108,'G-7 WaterC'' Data'!$AY$3:$AY$7,0)),"")</f>
        <v/>
      </c>
      <c r="AK108" s="30" t="str">
        <f t="shared" si="11"/>
        <v>No</v>
      </c>
    </row>
    <row r="109" spans="2:37" ht="13.8" x14ac:dyDescent="0.25">
      <c r="B109" s="101">
        <v>98</v>
      </c>
      <c r="C109" s="950"/>
      <c r="D109" s="119"/>
      <c r="E109" s="281" t="str">
        <f>IF(C109="","",VLOOKUP(C109,'G-7 WaterC'' Data'!$B$2:$G$8,2,FALSE))</f>
        <v/>
      </c>
      <c r="F109" s="282" t="str">
        <f>IFERROR(VLOOKUP(E109,'G-7 WaterC'' Data'!$C$4:$D$8,2,FALSE),"")</f>
        <v/>
      </c>
      <c r="G109" s="105"/>
      <c r="H109" s="282" t="str">
        <f>IFERROR(INDEX('G-7 WaterC'' Data'!$H$4:$L$8,MATCH(C109,'G-7 WaterC'' Data'!$B$4:$B$8,0),MATCH(G109,'G-7 WaterC'' Data'!$H$3:$L$3,0)),"")</f>
        <v/>
      </c>
      <c r="I109" s="52"/>
      <c r="J109" s="289" t="str">
        <f>IF(I109="","",IF(VLOOKUP(I109,'G-7 WaterC'' Data'!$AK$4:$AM$6,2,FALSE)=0,"Spatial Data Missing ⚠",VLOOKUP(I109,'G-7 WaterC'' Data'!$AK$4:$AM$6,2,FALSE)))</f>
        <v/>
      </c>
      <c r="K109" s="282" t="str">
        <f>IF(I109="","",IF(VLOOKUP(I109,'G-7 WaterC'' Data'!$AK$4:$AM$6,3,FALSE)=0,"Spatial Data Missing ⚠",VLOOKUP(I109,'G-7 WaterC'' Data'!$AK$4:$AM$6,3,FALSE)))</f>
        <v/>
      </c>
      <c r="L109" s="281" t="str">
        <f>IFERROR(INDEX('G-7 WaterC'' Data'!$O$3:$O$7,MATCH(G109,'G-7 WaterC'' Data'!$N$3:$N$7,0)),"")</f>
        <v/>
      </c>
      <c r="M109" s="58"/>
      <c r="N109" s="137"/>
      <c r="O109" s="289" t="str">
        <f t="shared" si="6"/>
        <v/>
      </c>
      <c r="P109" s="302" t="str">
        <f t="shared" si="7"/>
        <v/>
      </c>
      <c r="Q109" s="340" t="str">
        <f>IFERROR(IF(P109="Check Data ⚠","Check Data ⚠",VLOOKUP(P109,'G-4 Temporal multipliers'!$A$4:$C$37,3,FALSE)),"")</f>
        <v/>
      </c>
      <c r="R109" s="281" t="str">
        <f>IF(C109="","",VLOOKUP(C109,'G-7 WaterC'' Data'!$B$4:$G$8,4,FALSE))</f>
        <v/>
      </c>
      <c r="S109" s="289" t="str">
        <f t="shared" si="8"/>
        <v/>
      </c>
      <c r="T109" s="320" t="str">
        <f t="shared" si="9"/>
        <v/>
      </c>
      <c r="U109" s="282" t="str">
        <f>IF(C109="","",VLOOKUP(T109,'G-3 Multipliers'!$P$2:$Q$6,2,FALSE))</f>
        <v/>
      </c>
      <c r="V109" s="106"/>
      <c r="W109" s="282" t="str">
        <f>IF(V109="","",IF(AND(V109="N/A - Culvert",C109&lt;&gt;"Culvert"),"Not possible ▲",IF(AND(C109="Culvert",V109&lt;&gt;"N/A - Culvert"),"Not possible ▲",IF(VLOOKUP(V109,'G-7 WaterC'' Data'!$AA$4:$AB$7,2,FALSE)=0,"Spatial Data Missing ⚠",VLOOKUP(V109,'G-7 WaterC'' Data'!$AA$4:$AB$7,2,FALSE)))))</f>
        <v/>
      </c>
      <c r="X109" s="56"/>
      <c r="Y109" s="282" t="str">
        <f>IF(X109="","",IF(AND(X109="N/A - Culvert", C109&lt;&gt;"Culvert"), "Not possible ▲",IF(AND(C109="Culvert",X109&lt;&gt;"N/A - Culvert"),"Not possible ▲",IF(VLOOKUP(X109,'G-7 WaterC'' Data'!$AD$4:$AE$14,2,FALSE)=0,"Enrcoachment Data Missing ⚠",VLOOKUP(X109,'G-7 WaterC'' Data'!$AD$4:$AE$14,2,FALSE)))))</f>
        <v/>
      </c>
      <c r="Z109" s="323" t="str">
        <f t="shared" si="10"/>
        <v/>
      </c>
      <c r="AA109" s="105"/>
      <c r="AB109" s="119"/>
      <c r="AC109" s="108"/>
      <c r="AH109" s="30" t="str">
        <f>IFERROR(INDEX('G-7 WaterC'' Data'!$AZ$3:$AZ$7,MATCH(C109,'G-7 WaterC'' Data'!$AY$3:$AY$7,0)),"")</f>
        <v/>
      </c>
      <c r="AK109" s="30" t="str">
        <f t="shared" si="11"/>
        <v>No</v>
      </c>
    </row>
    <row r="110" spans="2:37" ht="13.8" x14ac:dyDescent="0.25">
      <c r="B110" s="101">
        <v>99</v>
      </c>
      <c r="C110" s="950"/>
      <c r="D110" s="119"/>
      <c r="E110" s="281" t="str">
        <f>IF(C110="","",VLOOKUP(C110,'G-7 WaterC'' Data'!$B$2:$G$8,2,FALSE))</f>
        <v/>
      </c>
      <c r="F110" s="282" t="str">
        <f>IFERROR(VLOOKUP(E110,'G-7 WaterC'' Data'!$C$4:$D$8,2,FALSE),"")</f>
        <v/>
      </c>
      <c r="G110" s="105"/>
      <c r="H110" s="282" t="str">
        <f>IFERROR(INDEX('G-7 WaterC'' Data'!$H$4:$L$8,MATCH(C110,'G-7 WaterC'' Data'!$B$4:$B$8,0),MATCH(G110,'G-7 WaterC'' Data'!$H$3:$L$3,0)),"")</f>
        <v/>
      </c>
      <c r="I110" s="52"/>
      <c r="J110" s="289" t="str">
        <f>IF(I110="","",IF(VLOOKUP(I110,'G-7 WaterC'' Data'!$AK$4:$AM$6,2,FALSE)=0,"Spatial Data Missing ⚠",VLOOKUP(I110,'G-7 WaterC'' Data'!$AK$4:$AM$6,2,FALSE)))</f>
        <v/>
      </c>
      <c r="K110" s="282" t="str">
        <f>IF(I110="","",IF(VLOOKUP(I110,'G-7 WaterC'' Data'!$AK$4:$AM$6,3,FALSE)=0,"Spatial Data Missing ⚠",VLOOKUP(I110,'G-7 WaterC'' Data'!$AK$4:$AM$6,3,FALSE)))</f>
        <v/>
      </c>
      <c r="L110" s="281" t="str">
        <f>IFERROR(INDEX('G-7 WaterC'' Data'!$O$3:$O$7,MATCH(G110,'G-7 WaterC'' Data'!$N$3:$N$7,0)),"")</f>
        <v/>
      </c>
      <c r="M110" s="58"/>
      <c r="N110" s="137"/>
      <c r="O110" s="289" t="str">
        <f t="shared" si="6"/>
        <v/>
      </c>
      <c r="P110" s="302" t="str">
        <f t="shared" si="7"/>
        <v/>
      </c>
      <c r="Q110" s="340" t="str">
        <f>IFERROR(IF(P110="Check Data ⚠","Check Data ⚠",VLOOKUP(P110,'G-4 Temporal multipliers'!$A$4:$C$37,3,FALSE)),"")</f>
        <v/>
      </c>
      <c r="R110" s="281" t="str">
        <f>IF(C110="","",VLOOKUP(C110,'G-7 WaterC'' Data'!$B$4:$G$8,4,FALSE))</f>
        <v/>
      </c>
      <c r="S110" s="289" t="str">
        <f t="shared" si="8"/>
        <v/>
      </c>
      <c r="T110" s="320" t="str">
        <f t="shared" si="9"/>
        <v/>
      </c>
      <c r="U110" s="282" t="str">
        <f>IF(C110="","",VLOOKUP(T110,'G-3 Multipliers'!$P$2:$Q$6,2,FALSE))</f>
        <v/>
      </c>
      <c r="V110" s="106"/>
      <c r="W110" s="282" t="str">
        <f>IF(V110="","",IF(AND(V110="N/A - Culvert",C110&lt;&gt;"Culvert"),"Not possible ▲",IF(AND(C110="Culvert",V110&lt;&gt;"N/A - Culvert"),"Not possible ▲",IF(VLOOKUP(V110,'G-7 WaterC'' Data'!$AA$4:$AB$7,2,FALSE)=0,"Spatial Data Missing ⚠",VLOOKUP(V110,'G-7 WaterC'' Data'!$AA$4:$AB$7,2,FALSE)))))</f>
        <v/>
      </c>
      <c r="X110" s="56"/>
      <c r="Y110" s="282" t="str">
        <f>IF(X110="","",IF(AND(X110="N/A - Culvert", C110&lt;&gt;"Culvert"), "Not possible ▲",IF(AND(C110="Culvert",X110&lt;&gt;"N/A - Culvert"),"Not possible ▲",IF(VLOOKUP(X110,'G-7 WaterC'' Data'!$AD$4:$AE$14,2,FALSE)=0,"Enrcoachment Data Missing ⚠",VLOOKUP(X110,'G-7 WaterC'' Data'!$AD$4:$AE$14,2,FALSE)))))</f>
        <v/>
      </c>
      <c r="Z110" s="323" t="str">
        <f t="shared" si="10"/>
        <v/>
      </c>
      <c r="AA110" s="105"/>
      <c r="AB110" s="119"/>
      <c r="AC110" s="108"/>
      <c r="AH110" s="30" t="str">
        <f>IFERROR(INDEX('G-7 WaterC'' Data'!$AZ$3:$AZ$7,MATCH(C110,'G-7 WaterC'' Data'!$AY$3:$AY$7,0)),"")</f>
        <v/>
      </c>
      <c r="AK110" s="30" t="str">
        <f t="shared" si="11"/>
        <v>No</v>
      </c>
    </row>
    <row r="111" spans="2:37" ht="13.8" x14ac:dyDescent="0.25">
      <c r="B111" s="101">
        <v>100</v>
      </c>
      <c r="C111" s="950"/>
      <c r="D111" s="119"/>
      <c r="E111" s="281" t="str">
        <f>IF(C111="","",VLOOKUP(C111,'G-7 WaterC'' Data'!$B$2:$G$8,2,FALSE))</f>
        <v/>
      </c>
      <c r="F111" s="282" t="str">
        <f>IFERROR(VLOOKUP(E111,'G-7 WaterC'' Data'!$C$4:$D$8,2,FALSE),"")</f>
        <v/>
      </c>
      <c r="G111" s="105"/>
      <c r="H111" s="282" t="str">
        <f>IFERROR(INDEX('G-7 WaterC'' Data'!$H$4:$L$8,MATCH(C111,'G-7 WaterC'' Data'!$B$4:$B$8,0),MATCH(G111,'G-7 WaterC'' Data'!$H$3:$L$3,0)),"")</f>
        <v/>
      </c>
      <c r="I111" s="52"/>
      <c r="J111" s="289" t="str">
        <f>IF(I111="","",IF(VLOOKUP(I111,'G-7 WaterC'' Data'!$AK$4:$AM$6,2,FALSE)=0,"Spatial Data Missing ⚠",VLOOKUP(I111,'G-7 WaterC'' Data'!$AK$4:$AM$6,2,FALSE)))</f>
        <v/>
      </c>
      <c r="K111" s="282" t="str">
        <f>IF(I111="","",IF(VLOOKUP(I111,'G-7 WaterC'' Data'!$AK$4:$AM$6,3,FALSE)=0,"Spatial Data Missing ⚠",VLOOKUP(I111,'G-7 WaterC'' Data'!$AK$4:$AM$6,3,FALSE)))</f>
        <v/>
      </c>
      <c r="L111" s="281" t="str">
        <f>IFERROR(INDEX('G-7 WaterC'' Data'!$O$3:$O$7,MATCH(G111,'G-7 WaterC'' Data'!$N$3:$N$7,0)),"")</f>
        <v/>
      </c>
      <c r="M111" s="58"/>
      <c r="N111" s="137"/>
      <c r="O111" s="289" t="str">
        <f t="shared" si="6"/>
        <v/>
      </c>
      <c r="P111" s="302" t="str">
        <f t="shared" si="7"/>
        <v/>
      </c>
      <c r="Q111" s="340" t="str">
        <f>IFERROR(IF(P111="Check Data ⚠","Check Data ⚠",VLOOKUP(P111,'G-4 Temporal multipliers'!$A$4:$C$37,3,FALSE)),"")</f>
        <v/>
      </c>
      <c r="R111" s="281" t="str">
        <f>IF(C111="","",VLOOKUP(C111,'G-7 WaterC'' Data'!$B$4:$G$8,4,FALSE))</f>
        <v/>
      </c>
      <c r="S111" s="289" t="str">
        <f t="shared" si="8"/>
        <v/>
      </c>
      <c r="T111" s="320" t="str">
        <f t="shared" si="9"/>
        <v/>
      </c>
      <c r="U111" s="282" t="str">
        <f>IF(C111="","",VLOOKUP(T111,'G-3 Multipliers'!$P$2:$Q$6,2,FALSE))</f>
        <v/>
      </c>
      <c r="V111" s="106"/>
      <c r="W111" s="282" t="str">
        <f>IF(V111="","",IF(AND(V111="N/A - Culvert",C111&lt;&gt;"Culvert"),"Not possible ▲",IF(AND(C111="Culvert",V111&lt;&gt;"N/A - Culvert"),"Not possible ▲",IF(VLOOKUP(V111,'G-7 WaterC'' Data'!$AA$4:$AB$7,2,FALSE)=0,"Spatial Data Missing ⚠",VLOOKUP(V111,'G-7 WaterC'' Data'!$AA$4:$AB$7,2,FALSE)))))</f>
        <v/>
      </c>
      <c r="X111" s="56"/>
      <c r="Y111" s="282" t="str">
        <f>IF(X111="","",IF(AND(X111="N/A - Culvert", C111&lt;&gt;"Culvert"), "Not possible ▲",IF(AND(C111="Culvert",X111&lt;&gt;"N/A - Culvert"),"Not possible ▲",IF(VLOOKUP(X111,'G-7 WaterC'' Data'!$AD$4:$AE$14,2,FALSE)=0,"Enrcoachment Data Missing ⚠",VLOOKUP(X111,'G-7 WaterC'' Data'!$AD$4:$AE$14,2,FALSE)))))</f>
        <v/>
      </c>
      <c r="Z111" s="323" t="str">
        <f t="shared" si="10"/>
        <v/>
      </c>
      <c r="AA111" s="105"/>
      <c r="AB111" s="119"/>
      <c r="AC111" s="108"/>
      <c r="AH111" s="30" t="str">
        <f>IFERROR(INDEX('G-7 WaterC'' Data'!$AZ$3:$AZ$7,MATCH(C111,'G-7 WaterC'' Data'!$AY$3:$AY$7,0)),"")</f>
        <v/>
      </c>
      <c r="AK111" s="30" t="str">
        <f t="shared" si="11"/>
        <v>No</v>
      </c>
    </row>
    <row r="112" spans="2:37" ht="13.8" x14ac:dyDescent="0.25">
      <c r="B112" s="101">
        <v>101</v>
      </c>
      <c r="C112" s="950"/>
      <c r="D112" s="119"/>
      <c r="E112" s="281" t="str">
        <f>IF(C112="","",VLOOKUP(C112,'G-7 WaterC'' Data'!$B$2:$G$8,2,FALSE))</f>
        <v/>
      </c>
      <c r="F112" s="282" t="str">
        <f>IFERROR(VLOOKUP(E112,'G-7 WaterC'' Data'!$C$4:$D$8,2,FALSE),"")</f>
        <v/>
      </c>
      <c r="G112" s="105"/>
      <c r="H112" s="282" t="str">
        <f>IFERROR(INDEX('G-7 WaterC'' Data'!$H$4:$L$8,MATCH(C112,'G-7 WaterC'' Data'!$B$4:$B$8,0),MATCH(G112,'G-7 WaterC'' Data'!$H$3:$L$3,0)),"")</f>
        <v/>
      </c>
      <c r="I112" s="52"/>
      <c r="J112" s="289" t="str">
        <f>IF(I112="","",IF(VLOOKUP(I112,'G-7 WaterC'' Data'!$AK$4:$AM$6,2,FALSE)=0,"Spatial Data Missing ⚠",VLOOKUP(I112,'G-7 WaterC'' Data'!$AK$4:$AM$6,2,FALSE)))</f>
        <v/>
      </c>
      <c r="K112" s="282" t="str">
        <f>IF(I112="","",IF(VLOOKUP(I112,'G-7 WaterC'' Data'!$AK$4:$AM$6,3,FALSE)=0,"Spatial Data Missing ⚠",VLOOKUP(I112,'G-7 WaterC'' Data'!$AK$4:$AM$6,3,FALSE)))</f>
        <v/>
      </c>
      <c r="L112" s="281" t="str">
        <f>IFERROR(INDEX('G-7 WaterC'' Data'!$O$3:$O$7,MATCH(G112,'G-7 WaterC'' Data'!$N$3:$N$7,0)),"")</f>
        <v/>
      </c>
      <c r="M112" s="58"/>
      <c r="N112" s="137"/>
      <c r="O112" s="289" t="str">
        <f t="shared" si="6"/>
        <v/>
      </c>
      <c r="P112" s="302" t="str">
        <f t="shared" si="7"/>
        <v/>
      </c>
      <c r="Q112" s="340" t="str">
        <f>IFERROR(IF(P112="Check Data ⚠","Check Data ⚠",VLOOKUP(P112,'G-4 Temporal multipliers'!$A$4:$C$37,3,FALSE)),"")</f>
        <v/>
      </c>
      <c r="R112" s="281" t="str">
        <f>IF(C112="","",VLOOKUP(C112,'G-7 WaterC'' Data'!$B$4:$G$8,4,FALSE))</f>
        <v/>
      </c>
      <c r="S112" s="289" t="str">
        <f t="shared" si="8"/>
        <v/>
      </c>
      <c r="T112" s="320" t="str">
        <f t="shared" si="9"/>
        <v/>
      </c>
      <c r="U112" s="282" t="str">
        <f>IF(C112="","",VLOOKUP(T112,'G-3 Multipliers'!$P$2:$Q$6,2,FALSE))</f>
        <v/>
      </c>
      <c r="V112" s="106"/>
      <c r="W112" s="282" t="str">
        <f>IF(V112="","",IF(AND(V112="N/A - Culvert",C112&lt;&gt;"Culvert"),"Not possible ▲",IF(AND(C112="Culvert",V112&lt;&gt;"N/A - Culvert"),"Not possible ▲",IF(VLOOKUP(V112,'G-7 WaterC'' Data'!$AA$4:$AB$7,2,FALSE)=0,"Spatial Data Missing ⚠",VLOOKUP(V112,'G-7 WaterC'' Data'!$AA$4:$AB$7,2,FALSE)))))</f>
        <v/>
      </c>
      <c r="X112" s="56"/>
      <c r="Y112" s="282" t="str">
        <f>IF(X112="","",IF(AND(X112="N/A - Culvert", C112&lt;&gt;"Culvert"), "Not possible ▲",IF(AND(C112="Culvert",X112&lt;&gt;"N/A - Culvert"),"Not possible ▲",IF(VLOOKUP(X112,'G-7 WaterC'' Data'!$AD$4:$AE$14,2,FALSE)=0,"Enrcoachment Data Missing ⚠",VLOOKUP(X112,'G-7 WaterC'' Data'!$AD$4:$AE$14,2,FALSE)))))</f>
        <v/>
      </c>
      <c r="Z112" s="323" t="str">
        <f t="shared" si="10"/>
        <v/>
      </c>
      <c r="AA112" s="105"/>
      <c r="AB112" s="119"/>
      <c r="AC112" s="108"/>
      <c r="AH112" s="30" t="str">
        <f>IFERROR(INDEX('G-7 WaterC'' Data'!$AZ$3:$AZ$7,MATCH(C112,'G-7 WaterC'' Data'!$AY$3:$AY$7,0)),"")</f>
        <v/>
      </c>
      <c r="AK112" s="30" t="str">
        <f t="shared" si="11"/>
        <v>No</v>
      </c>
    </row>
    <row r="113" spans="2:37" ht="13.8" x14ac:dyDescent="0.25">
      <c r="B113" s="101">
        <v>102</v>
      </c>
      <c r="C113" s="950"/>
      <c r="D113" s="119"/>
      <c r="E113" s="281" t="str">
        <f>IF(C113="","",VLOOKUP(C113,'G-7 WaterC'' Data'!$B$2:$G$8,2,FALSE))</f>
        <v/>
      </c>
      <c r="F113" s="282" t="str">
        <f>IFERROR(VLOOKUP(E113,'G-7 WaterC'' Data'!$C$4:$D$8,2,FALSE),"")</f>
        <v/>
      </c>
      <c r="G113" s="105"/>
      <c r="H113" s="282" t="str">
        <f>IFERROR(INDEX('G-7 WaterC'' Data'!$H$4:$L$8,MATCH(C113,'G-7 WaterC'' Data'!$B$4:$B$8,0),MATCH(G113,'G-7 WaterC'' Data'!$H$3:$L$3,0)),"")</f>
        <v/>
      </c>
      <c r="I113" s="52"/>
      <c r="J113" s="289" t="str">
        <f>IF(I113="","",IF(VLOOKUP(I113,'G-7 WaterC'' Data'!$AK$4:$AM$6,2,FALSE)=0,"Spatial Data Missing ⚠",VLOOKUP(I113,'G-7 WaterC'' Data'!$AK$4:$AM$6,2,FALSE)))</f>
        <v/>
      </c>
      <c r="K113" s="282" t="str">
        <f>IF(I113="","",IF(VLOOKUP(I113,'G-7 WaterC'' Data'!$AK$4:$AM$6,3,FALSE)=0,"Spatial Data Missing ⚠",VLOOKUP(I113,'G-7 WaterC'' Data'!$AK$4:$AM$6,3,FALSE)))</f>
        <v/>
      </c>
      <c r="L113" s="281" t="str">
        <f>IFERROR(INDEX('G-7 WaterC'' Data'!$O$3:$O$7,MATCH(G113,'G-7 WaterC'' Data'!$N$3:$N$7,0)),"")</f>
        <v/>
      </c>
      <c r="M113" s="58"/>
      <c r="N113" s="137"/>
      <c r="O113" s="289" t="str">
        <f t="shared" si="6"/>
        <v/>
      </c>
      <c r="P113" s="302" t="str">
        <f t="shared" si="7"/>
        <v/>
      </c>
      <c r="Q113" s="340" t="str">
        <f>IFERROR(IF(P113="Check Data ⚠","Check Data ⚠",VLOOKUP(P113,'G-4 Temporal multipliers'!$A$4:$C$37,3,FALSE)),"")</f>
        <v/>
      </c>
      <c r="R113" s="281" t="str">
        <f>IF(C113="","",VLOOKUP(C113,'G-7 WaterC'' Data'!$B$4:$G$8,4,FALSE))</f>
        <v/>
      </c>
      <c r="S113" s="289" t="str">
        <f t="shared" si="8"/>
        <v/>
      </c>
      <c r="T113" s="320" t="str">
        <f t="shared" si="9"/>
        <v/>
      </c>
      <c r="U113" s="282" t="str">
        <f>IF(C113="","",VLOOKUP(T113,'G-3 Multipliers'!$P$2:$Q$6,2,FALSE))</f>
        <v/>
      </c>
      <c r="V113" s="106"/>
      <c r="W113" s="282" t="str">
        <f>IF(V113="","",IF(AND(V113="N/A - Culvert",C113&lt;&gt;"Culvert"),"Not possible ▲",IF(AND(C113="Culvert",V113&lt;&gt;"N/A - Culvert"),"Not possible ▲",IF(VLOOKUP(V113,'G-7 WaterC'' Data'!$AA$4:$AB$7,2,FALSE)=0,"Spatial Data Missing ⚠",VLOOKUP(V113,'G-7 WaterC'' Data'!$AA$4:$AB$7,2,FALSE)))))</f>
        <v/>
      </c>
      <c r="X113" s="56"/>
      <c r="Y113" s="282" t="str">
        <f>IF(X113="","",IF(AND(X113="N/A - Culvert", C113&lt;&gt;"Culvert"), "Not possible ▲",IF(AND(C113="Culvert",X113&lt;&gt;"N/A - Culvert"),"Not possible ▲",IF(VLOOKUP(X113,'G-7 WaterC'' Data'!$AD$4:$AE$14,2,FALSE)=0,"Enrcoachment Data Missing ⚠",VLOOKUP(X113,'G-7 WaterC'' Data'!$AD$4:$AE$14,2,FALSE)))))</f>
        <v/>
      </c>
      <c r="Z113" s="323" t="str">
        <f t="shared" si="10"/>
        <v/>
      </c>
      <c r="AA113" s="105"/>
      <c r="AB113" s="119"/>
      <c r="AC113" s="108"/>
      <c r="AH113" s="30" t="str">
        <f>IFERROR(INDEX('G-7 WaterC'' Data'!$AZ$3:$AZ$7,MATCH(C113,'G-7 WaterC'' Data'!$AY$3:$AY$7,0)),"")</f>
        <v/>
      </c>
      <c r="AK113" s="30" t="str">
        <f t="shared" si="11"/>
        <v>No</v>
      </c>
    </row>
    <row r="114" spans="2:37" ht="13.8" x14ac:dyDescent="0.25">
      <c r="B114" s="101">
        <v>103</v>
      </c>
      <c r="C114" s="950"/>
      <c r="D114" s="119"/>
      <c r="E114" s="281" t="str">
        <f>IF(C114="","",VLOOKUP(C114,'G-7 WaterC'' Data'!$B$2:$G$8,2,FALSE))</f>
        <v/>
      </c>
      <c r="F114" s="282" t="str">
        <f>IFERROR(VLOOKUP(E114,'G-7 WaterC'' Data'!$C$4:$D$8,2,FALSE),"")</f>
        <v/>
      </c>
      <c r="G114" s="105"/>
      <c r="H114" s="282" t="str">
        <f>IFERROR(INDEX('G-7 WaterC'' Data'!$H$4:$L$8,MATCH(C114,'G-7 WaterC'' Data'!$B$4:$B$8,0),MATCH(G114,'G-7 WaterC'' Data'!$H$3:$L$3,0)),"")</f>
        <v/>
      </c>
      <c r="I114" s="52"/>
      <c r="J114" s="289" t="str">
        <f>IF(I114="","",IF(VLOOKUP(I114,'G-7 WaterC'' Data'!$AK$4:$AM$6,2,FALSE)=0,"Spatial Data Missing ⚠",VLOOKUP(I114,'G-7 WaterC'' Data'!$AK$4:$AM$6,2,FALSE)))</f>
        <v/>
      </c>
      <c r="K114" s="282" t="str">
        <f>IF(I114="","",IF(VLOOKUP(I114,'G-7 WaterC'' Data'!$AK$4:$AM$6,3,FALSE)=0,"Spatial Data Missing ⚠",VLOOKUP(I114,'G-7 WaterC'' Data'!$AK$4:$AM$6,3,FALSE)))</f>
        <v/>
      </c>
      <c r="L114" s="281" t="str">
        <f>IFERROR(INDEX('G-7 WaterC'' Data'!$O$3:$O$7,MATCH(G114,'G-7 WaterC'' Data'!$N$3:$N$7,0)),"")</f>
        <v/>
      </c>
      <c r="M114" s="58"/>
      <c r="N114" s="137"/>
      <c r="O114" s="289" t="str">
        <f t="shared" si="6"/>
        <v/>
      </c>
      <c r="P114" s="302" t="str">
        <f t="shared" si="7"/>
        <v/>
      </c>
      <c r="Q114" s="340" t="str">
        <f>IFERROR(IF(P114="Check Data ⚠","Check Data ⚠",VLOOKUP(P114,'G-4 Temporal multipliers'!$A$4:$C$37,3,FALSE)),"")</f>
        <v/>
      </c>
      <c r="R114" s="281" t="str">
        <f>IF(C114="","",VLOOKUP(C114,'G-7 WaterC'' Data'!$B$4:$G$8,4,FALSE))</f>
        <v/>
      </c>
      <c r="S114" s="289" t="str">
        <f t="shared" si="8"/>
        <v/>
      </c>
      <c r="T114" s="320" t="str">
        <f t="shared" si="9"/>
        <v/>
      </c>
      <c r="U114" s="282" t="str">
        <f>IF(C114="","",VLOOKUP(T114,'G-3 Multipliers'!$P$2:$Q$6,2,FALSE))</f>
        <v/>
      </c>
      <c r="V114" s="106"/>
      <c r="W114" s="282" t="str">
        <f>IF(V114="","",IF(AND(V114="N/A - Culvert",C114&lt;&gt;"Culvert"),"Not possible ▲",IF(AND(C114="Culvert",V114&lt;&gt;"N/A - Culvert"),"Not possible ▲",IF(VLOOKUP(V114,'G-7 WaterC'' Data'!$AA$4:$AB$7,2,FALSE)=0,"Spatial Data Missing ⚠",VLOOKUP(V114,'G-7 WaterC'' Data'!$AA$4:$AB$7,2,FALSE)))))</f>
        <v/>
      </c>
      <c r="X114" s="56"/>
      <c r="Y114" s="282" t="str">
        <f>IF(X114="","",IF(AND(X114="N/A - Culvert", C114&lt;&gt;"Culvert"), "Not possible ▲",IF(AND(C114="Culvert",X114&lt;&gt;"N/A - Culvert"),"Not possible ▲",IF(VLOOKUP(X114,'G-7 WaterC'' Data'!$AD$4:$AE$14,2,FALSE)=0,"Enrcoachment Data Missing ⚠",VLOOKUP(X114,'G-7 WaterC'' Data'!$AD$4:$AE$14,2,FALSE)))))</f>
        <v/>
      </c>
      <c r="Z114" s="323" t="str">
        <f t="shared" si="10"/>
        <v/>
      </c>
      <c r="AA114" s="105"/>
      <c r="AB114" s="119"/>
      <c r="AC114" s="108"/>
      <c r="AH114" s="30" t="str">
        <f>IFERROR(INDEX('G-7 WaterC'' Data'!$AZ$3:$AZ$7,MATCH(C114,'G-7 WaterC'' Data'!$AY$3:$AY$7,0)),"")</f>
        <v/>
      </c>
      <c r="AK114" s="30" t="str">
        <f t="shared" si="11"/>
        <v>No</v>
      </c>
    </row>
    <row r="115" spans="2:37" ht="13.8" x14ac:dyDescent="0.25">
      <c r="B115" s="101">
        <v>104</v>
      </c>
      <c r="C115" s="950"/>
      <c r="D115" s="119"/>
      <c r="E115" s="281" t="str">
        <f>IF(C115="","",VLOOKUP(C115,'G-7 WaterC'' Data'!$B$2:$G$8,2,FALSE))</f>
        <v/>
      </c>
      <c r="F115" s="282" t="str">
        <f>IFERROR(VLOOKUP(E115,'G-7 WaterC'' Data'!$C$4:$D$8,2,FALSE),"")</f>
        <v/>
      </c>
      <c r="G115" s="105"/>
      <c r="H115" s="282" t="str">
        <f>IFERROR(INDEX('G-7 WaterC'' Data'!$H$4:$L$8,MATCH(C115,'G-7 WaterC'' Data'!$B$4:$B$8,0),MATCH(G115,'G-7 WaterC'' Data'!$H$3:$L$3,0)),"")</f>
        <v/>
      </c>
      <c r="I115" s="52"/>
      <c r="J115" s="289" t="str">
        <f>IF(I115="","",IF(VLOOKUP(I115,'G-7 WaterC'' Data'!$AK$4:$AM$6,2,FALSE)=0,"Spatial Data Missing ⚠",VLOOKUP(I115,'G-7 WaterC'' Data'!$AK$4:$AM$6,2,FALSE)))</f>
        <v/>
      </c>
      <c r="K115" s="282" t="str">
        <f>IF(I115="","",IF(VLOOKUP(I115,'G-7 WaterC'' Data'!$AK$4:$AM$6,3,FALSE)=0,"Spatial Data Missing ⚠",VLOOKUP(I115,'G-7 WaterC'' Data'!$AK$4:$AM$6,3,FALSE)))</f>
        <v/>
      </c>
      <c r="L115" s="281" t="str">
        <f>IFERROR(INDEX('G-7 WaterC'' Data'!$O$3:$O$7,MATCH(G115,'G-7 WaterC'' Data'!$N$3:$N$7,0)),"")</f>
        <v/>
      </c>
      <c r="M115" s="58"/>
      <c r="N115" s="137"/>
      <c r="O115" s="289" t="str">
        <f t="shared" si="6"/>
        <v/>
      </c>
      <c r="P115" s="302" t="str">
        <f t="shared" si="7"/>
        <v/>
      </c>
      <c r="Q115" s="340" t="str">
        <f>IFERROR(IF(P115="Check Data ⚠","Check Data ⚠",VLOOKUP(P115,'G-4 Temporal multipliers'!$A$4:$C$37,3,FALSE)),"")</f>
        <v/>
      </c>
      <c r="R115" s="281" t="str">
        <f>IF(C115="","",VLOOKUP(C115,'G-7 WaterC'' Data'!$B$4:$G$8,4,FALSE))</f>
        <v/>
      </c>
      <c r="S115" s="289" t="str">
        <f t="shared" si="8"/>
        <v/>
      </c>
      <c r="T115" s="320" t="str">
        <f t="shared" si="9"/>
        <v/>
      </c>
      <c r="U115" s="282" t="str">
        <f>IF(C115="","",VLOOKUP(T115,'G-3 Multipliers'!$P$2:$Q$6,2,FALSE))</f>
        <v/>
      </c>
      <c r="V115" s="106"/>
      <c r="W115" s="282" t="str">
        <f>IF(V115="","",IF(AND(V115="N/A - Culvert",C115&lt;&gt;"Culvert"),"Not possible ▲",IF(AND(C115="Culvert",V115&lt;&gt;"N/A - Culvert"),"Not possible ▲",IF(VLOOKUP(V115,'G-7 WaterC'' Data'!$AA$4:$AB$7,2,FALSE)=0,"Spatial Data Missing ⚠",VLOOKUP(V115,'G-7 WaterC'' Data'!$AA$4:$AB$7,2,FALSE)))))</f>
        <v/>
      </c>
      <c r="X115" s="56"/>
      <c r="Y115" s="282" t="str">
        <f>IF(X115="","",IF(AND(X115="N/A - Culvert", C115&lt;&gt;"Culvert"), "Not possible ▲",IF(AND(C115="Culvert",X115&lt;&gt;"N/A - Culvert"),"Not possible ▲",IF(VLOOKUP(X115,'G-7 WaterC'' Data'!$AD$4:$AE$14,2,FALSE)=0,"Enrcoachment Data Missing ⚠",VLOOKUP(X115,'G-7 WaterC'' Data'!$AD$4:$AE$14,2,FALSE)))))</f>
        <v/>
      </c>
      <c r="Z115" s="323" t="str">
        <f t="shared" si="10"/>
        <v/>
      </c>
      <c r="AA115" s="105"/>
      <c r="AB115" s="119"/>
      <c r="AC115" s="108"/>
      <c r="AH115" s="30" t="str">
        <f>IFERROR(INDEX('G-7 WaterC'' Data'!$AZ$3:$AZ$7,MATCH(C115,'G-7 WaterC'' Data'!$AY$3:$AY$7,0)),"")</f>
        <v/>
      </c>
      <c r="AK115" s="30" t="str">
        <f t="shared" si="11"/>
        <v>No</v>
      </c>
    </row>
    <row r="116" spans="2:37" ht="13.8" x14ac:dyDescent="0.25">
      <c r="B116" s="101">
        <v>105</v>
      </c>
      <c r="C116" s="950"/>
      <c r="D116" s="119"/>
      <c r="E116" s="281" t="str">
        <f>IF(C116="","",VLOOKUP(C116,'G-7 WaterC'' Data'!$B$2:$G$8,2,FALSE))</f>
        <v/>
      </c>
      <c r="F116" s="282" t="str">
        <f>IFERROR(VLOOKUP(E116,'G-7 WaterC'' Data'!$C$4:$D$8,2,FALSE),"")</f>
        <v/>
      </c>
      <c r="G116" s="105"/>
      <c r="H116" s="282" t="str">
        <f>IFERROR(INDEX('G-7 WaterC'' Data'!$H$4:$L$8,MATCH(C116,'G-7 WaterC'' Data'!$B$4:$B$8,0),MATCH(G116,'G-7 WaterC'' Data'!$H$3:$L$3,0)),"")</f>
        <v/>
      </c>
      <c r="I116" s="52"/>
      <c r="J116" s="289" t="str">
        <f>IF(I116="","",IF(VLOOKUP(I116,'G-7 WaterC'' Data'!$AK$4:$AM$6,2,FALSE)=0,"Spatial Data Missing ⚠",VLOOKUP(I116,'G-7 WaterC'' Data'!$AK$4:$AM$6,2,FALSE)))</f>
        <v/>
      </c>
      <c r="K116" s="282" t="str">
        <f>IF(I116="","",IF(VLOOKUP(I116,'G-7 WaterC'' Data'!$AK$4:$AM$6,3,FALSE)=0,"Spatial Data Missing ⚠",VLOOKUP(I116,'G-7 WaterC'' Data'!$AK$4:$AM$6,3,FALSE)))</f>
        <v/>
      </c>
      <c r="L116" s="281" t="str">
        <f>IFERROR(INDEX('G-7 WaterC'' Data'!$O$3:$O$7,MATCH(G116,'G-7 WaterC'' Data'!$N$3:$N$7,0)),"")</f>
        <v/>
      </c>
      <c r="M116" s="58"/>
      <c r="N116" s="137"/>
      <c r="O116" s="289" t="str">
        <f t="shared" si="6"/>
        <v/>
      </c>
      <c r="P116" s="302" t="str">
        <f t="shared" si="7"/>
        <v/>
      </c>
      <c r="Q116" s="340" t="str">
        <f>IFERROR(IF(P116="Check Data ⚠","Check Data ⚠",VLOOKUP(P116,'G-4 Temporal multipliers'!$A$4:$C$37,3,FALSE)),"")</f>
        <v/>
      </c>
      <c r="R116" s="281" t="str">
        <f>IF(C116="","",VLOOKUP(C116,'G-7 WaterC'' Data'!$B$4:$G$8,4,FALSE))</f>
        <v/>
      </c>
      <c r="S116" s="289" t="str">
        <f t="shared" si="8"/>
        <v/>
      </c>
      <c r="T116" s="320" t="str">
        <f t="shared" si="9"/>
        <v/>
      </c>
      <c r="U116" s="282" t="str">
        <f>IF(C116="","",VLOOKUP(T116,'G-3 Multipliers'!$P$2:$Q$6,2,FALSE))</f>
        <v/>
      </c>
      <c r="V116" s="106"/>
      <c r="W116" s="282" t="str">
        <f>IF(V116="","",IF(AND(V116="N/A - Culvert",C116&lt;&gt;"Culvert"),"Not possible ▲",IF(AND(C116="Culvert",V116&lt;&gt;"N/A - Culvert"),"Not possible ▲",IF(VLOOKUP(V116,'G-7 WaterC'' Data'!$AA$4:$AB$7,2,FALSE)=0,"Spatial Data Missing ⚠",VLOOKUP(V116,'G-7 WaterC'' Data'!$AA$4:$AB$7,2,FALSE)))))</f>
        <v/>
      </c>
      <c r="X116" s="56"/>
      <c r="Y116" s="282" t="str">
        <f>IF(X116="","",IF(AND(X116="N/A - Culvert", C116&lt;&gt;"Culvert"), "Not possible ▲",IF(AND(C116="Culvert",X116&lt;&gt;"N/A - Culvert"),"Not possible ▲",IF(VLOOKUP(X116,'G-7 WaterC'' Data'!$AD$4:$AE$14,2,FALSE)=0,"Enrcoachment Data Missing ⚠",VLOOKUP(X116,'G-7 WaterC'' Data'!$AD$4:$AE$14,2,FALSE)))))</f>
        <v/>
      </c>
      <c r="Z116" s="323" t="str">
        <f t="shared" si="10"/>
        <v/>
      </c>
      <c r="AA116" s="105"/>
      <c r="AB116" s="119"/>
      <c r="AC116" s="108"/>
      <c r="AH116" s="30" t="str">
        <f>IFERROR(INDEX('G-7 WaterC'' Data'!$AZ$3:$AZ$7,MATCH(C116,'G-7 WaterC'' Data'!$AY$3:$AY$7,0)),"")</f>
        <v/>
      </c>
      <c r="AK116" s="30" t="str">
        <f t="shared" si="11"/>
        <v>No</v>
      </c>
    </row>
    <row r="117" spans="2:37" ht="13.8" x14ac:dyDescent="0.25">
      <c r="B117" s="101">
        <v>106</v>
      </c>
      <c r="C117" s="950"/>
      <c r="D117" s="119"/>
      <c r="E117" s="281" t="str">
        <f>IF(C117="","",VLOOKUP(C117,'G-7 WaterC'' Data'!$B$2:$G$8,2,FALSE))</f>
        <v/>
      </c>
      <c r="F117" s="282" t="str">
        <f>IFERROR(VLOOKUP(E117,'G-7 WaterC'' Data'!$C$4:$D$8,2,FALSE),"")</f>
        <v/>
      </c>
      <c r="G117" s="105"/>
      <c r="H117" s="282" t="str">
        <f>IFERROR(INDEX('G-7 WaterC'' Data'!$H$4:$L$8,MATCH(C117,'G-7 WaterC'' Data'!$B$4:$B$8,0),MATCH(G117,'G-7 WaterC'' Data'!$H$3:$L$3,0)),"")</f>
        <v/>
      </c>
      <c r="I117" s="52"/>
      <c r="J117" s="289" t="str">
        <f>IF(I117="","",IF(VLOOKUP(I117,'G-7 WaterC'' Data'!$AK$4:$AM$6,2,FALSE)=0,"Spatial Data Missing ⚠",VLOOKUP(I117,'G-7 WaterC'' Data'!$AK$4:$AM$6,2,FALSE)))</f>
        <v/>
      </c>
      <c r="K117" s="282" t="str">
        <f>IF(I117="","",IF(VLOOKUP(I117,'G-7 WaterC'' Data'!$AK$4:$AM$6,3,FALSE)=0,"Spatial Data Missing ⚠",VLOOKUP(I117,'G-7 WaterC'' Data'!$AK$4:$AM$6,3,FALSE)))</f>
        <v/>
      </c>
      <c r="L117" s="281" t="str">
        <f>IFERROR(INDEX('G-7 WaterC'' Data'!$O$3:$O$7,MATCH(G117,'G-7 WaterC'' Data'!$N$3:$N$7,0)),"")</f>
        <v/>
      </c>
      <c r="M117" s="58"/>
      <c r="N117" s="137"/>
      <c r="O117" s="289" t="str">
        <f t="shared" si="6"/>
        <v/>
      </c>
      <c r="P117" s="302" t="str">
        <f t="shared" si="7"/>
        <v/>
      </c>
      <c r="Q117" s="340" t="str">
        <f>IFERROR(IF(P117="Check Data ⚠","Check Data ⚠",VLOOKUP(P117,'G-4 Temporal multipliers'!$A$4:$C$37,3,FALSE)),"")</f>
        <v/>
      </c>
      <c r="R117" s="281" t="str">
        <f>IF(C117="","",VLOOKUP(C117,'G-7 WaterC'' Data'!$B$4:$G$8,4,FALSE))</f>
        <v/>
      </c>
      <c r="S117" s="289" t="str">
        <f t="shared" si="8"/>
        <v/>
      </c>
      <c r="T117" s="320" t="str">
        <f t="shared" si="9"/>
        <v/>
      </c>
      <c r="U117" s="282" t="str">
        <f>IF(C117="","",VLOOKUP(T117,'G-3 Multipliers'!$P$2:$Q$6,2,FALSE))</f>
        <v/>
      </c>
      <c r="V117" s="106"/>
      <c r="W117" s="282" t="str">
        <f>IF(V117="","",IF(AND(V117="N/A - Culvert",C117&lt;&gt;"Culvert"),"Not possible ▲",IF(AND(C117="Culvert",V117&lt;&gt;"N/A - Culvert"),"Not possible ▲",IF(VLOOKUP(V117,'G-7 WaterC'' Data'!$AA$4:$AB$7,2,FALSE)=0,"Spatial Data Missing ⚠",VLOOKUP(V117,'G-7 WaterC'' Data'!$AA$4:$AB$7,2,FALSE)))))</f>
        <v/>
      </c>
      <c r="X117" s="56"/>
      <c r="Y117" s="282" t="str">
        <f>IF(X117="","",IF(AND(X117="N/A - Culvert", C117&lt;&gt;"Culvert"), "Not possible ▲",IF(AND(C117="Culvert",X117&lt;&gt;"N/A - Culvert"),"Not possible ▲",IF(VLOOKUP(X117,'G-7 WaterC'' Data'!$AD$4:$AE$14,2,FALSE)=0,"Enrcoachment Data Missing ⚠",VLOOKUP(X117,'G-7 WaterC'' Data'!$AD$4:$AE$14,2,FALSE)))))</f>
        <v/>
      </c>
      <c r="Z117" s="323" t="str">
        <f t="shared" si="10"/>
        <v/>
      </c>
      <c r="AA117" s="105"/>
      <c r="AB117" s="119"/>
      <c r="AC117" s="108"/>
      <c r="AH117" s="30" t="str">
        <f>IFERROR(INDEX('G-7 WaterC'' Data'!$AZ$3:$AZ$7,MATCH(C117,'G-7 WaterC'' Data'!$AY$3:$AY$7,0)),"")</f>
        <v/>
      </c>
      <c r="AK117" s="30" t="str">
        <f t="shared" si="11"/>
        <v>No</v>
      </c>
    </row>
    <row r="118" spans="2:37" ht="13.8" x14ac:dyDescent="0.25">
      <c r="B118" s="101">
        <v>107</v>
      </c>
      <c r="C118" s="950"/>
      <c r="D118" s="119"/>
      <c r="E118" s="281" t="str">
        <f>IF(C118="","",VLOOKUP(C118,'G-7 WaterC'' Data'!$B$2:$G$8,2,FALSE))</f>
        <v/>
      </c>
      <c r="F118" s="282" t="str">
        <f>IFERROR(VLOOKUP(E118,'G-7 WaterC'' Data'!$C$4:$D$8,2,FALSE),"")</f>
        <v/>
      </c>
      <c r="G118" s="105"/>
      <c r="H118" s="282" t="str">
        <f>IFERROR(INDEX('G-7 WaterC'' Data'!$H$4:$L$8,MATCH(C118,'G-7 WaterC'' Data'!$B$4:$B$8,0),MATCH(G118,'G-7 WaterC'' Data'!$H$3:$L$3,0)),"")</f>
        <v/>
      </c>
      <c r="I118" s="52"/>
      <c r="J118" s="289" t="str">
        <f>IF(I118="","",IF(VLOOKUP(I118,'G-7 WaterC'' Data'!$AK$4:$AM$6,2,FALSE)=0,"Spatial Data Missing ⚠",VLOOKUP(I118,'G-7 WaterC'' Data'!$AK$4:$AM$6,2,FALSE)))</f>
        <v/>
      </c>
      <c r="K118" s="282" t="str">
        <f>IF(I118="","",IF(VLOOKUP(I118,'G-7 WaterC'' Data'!$AK$4:$AM$6,3,FALSE)=0,"Spatial Data Missing ⚠",VLOOKUP(I118,'G-7 WaterC'' Data'!$AK$4:$AM$6,3,FALSE)))</f>
        <v/>
      </c>
      <c r="L118" s="281" t="str">
        <f>IFERROR(INDEX('G-7 WaterC'' Data'!$O$3:$O$7,MATCH(G118,'G-7 WaterC'' Data'!$N$3:$N$7,0)),"")</f>
        <v/>
      </c>
      <c r="M118" s="58"/>
      <c r="N118" s="137"/>
      <c r="O118" s="289" t="str">
        <f t="shared" si="6"/>
        <v/>
      </c>
      <c r="P118" s="302" t="str">
        <f t="shared" si="7"/>
        <v/>
      </c>
      <c r="Q118" s="340" t="str">
        <f>IFERROR(IF(P118="Check Data ⚠","Check Data ⚠",VLOOKUP(P118,'G-4 Temporal multipliers'!$A$4:$C$37,3,FALSE)),"")</f>
        <v/>
      </c>
      <c r="R118" s="281" t="str">
        <f>IF(C118="","",VLOOKUP(C118,'G-7 WaterC'' Data'!$B$4:$G$8,4,FALSE))</f>
        <v/>
      </c>
      <c r="S118" s="289" t="str">
        <f t="shared" si="8"/>
        <v/>
      </c>
      <c r="T118" s="320" t="str">
        <f t="shared" si="9"/>
        <v/>
      </c>
      <c r="U118" s="282" t="str">
        <f>IF(C118="","",VLOOKUP(T118,'G-3 Multipliers'!$P$2:$Q$6,2,FALSE))</f>
        <v/>
      </c>
      <c r="V118" s="106"/>
      <c r="W118" s="282" t="str">
        <f>IF(V118="","",IF(AND(V118="N/A - Culvert",C118&lt;&gt;"Culvert"),"Not possible ▲",IF(AND(C118="Culvert",V118&lt;&gt;"N/A - Culvert"),"Not possible ▲",IF(VLOOKUP(V118,'G-7 WaterC'' Data'!$AA$4:$AB$7,2,FALSE)=0,"Spatial Data Missing ⚠",VLOOKUP(V118,'G-7 WaterC'' Data'!$AA$4:$AB$7,2,FALSE)))))</f>
        <v/>
      </c>
      <c r="X118" s="56"/>
      <c r="Y118" s="282" t="str">
        <f>IF(X118="","",IF(AND(X118="N/A - Culvert", C118&lt;&gt;"Culvert"), "Not possible ▲",IF(AND(C118="Culvert",X118&lt;&gt;"N/A - Culvert"),"Not possible ▲",IF(VLOOKUP(X118,'G-7 WaterC'' Data'!$AD$4:$AE$14,2,FALSE)=0,"Enrcoachment Data Missing ⚠",VLOOKUP(X118,'G-7 WaterC'' Data'!$AD$4:$AE$14,2,FALSE)))))</f>
        <v/>
      </c>
      <c r="Z118" s="323" t="str">
        <f t="shared" si="10"/>
        <v/>
      </c>
      <c r="AA118" s="105"/>
      <c r="AB118" s="119"/>
      <c r="AC118" s="108"/>
      <c r="AH118" s="30" t="str">
        <f>IFERROR(INDEX('G-7 WaterC'' Data'!$AZ$3:$AZ$7,MATCH(C118,'G-7 WaterC'' Data'!$AY$3:$AY$7,0)),"")</f>
        <v/>
      </c>
      <c r="AK118" s="30" t="str">
        <f t="shared" si="11"/>
        <v>No</v>
      </c>
    </row>
    <row r="119" spans="2:37" ht="13.8" x14ac:dyDescent="0.25">
      <c r="B119" s="101">
        <v>108</v>
      </c>
      <c r="C119" s="950"/>
      <c r="D119" s="119"/>
      <c r="E119" s="281" t="str">
        <f>IF(C119="","",VLOOKUP(C119,'G-7 WaterC'' Data'!$B$2:$G$8,2,FALSE))</f>
        <v/>
      </c>
      <c r="F119" s="282" t="str">
        <f>IFERROR(VLOOKUP(E119,'G-7 WaterC'' Data'!$C$4:$D$8,2,FALSE),"")</f>
        <v/>
      </c>
      <c r="G119" s="105"/>
      <c r="H119" s="282" t="str">
        <f>IFERROR(INDEX('G-7 WaterC'' Data'!$H$4:$L$8,MATCH(C119,'G-7 WaterC'' Data'!$B$4:$B$8,0),MATCH(G119,'G-7 WaterC'' Data'!$H$3:$L$3,0)),"")</f>
        <v/>
      </c>
      <c r="I119" s="52"/>
      <c r="J119" s="289" t="str">
        <f>IF(I119="","",IF(VLOOKUP(I119,'G-7 WaterC'' Data'!$AK$4:$AM$6,2,FALSE)=0,"Spatial Data Missing ⚠",VLOOKUP(I119,'G-7 WaterC'' Data'!$AK$4:$AM$6,2,FALSE)))</f>
        <v/>
      </c>
      <c r="K119" s="282" t="str">
        <f>IF(I119="","",IF(VLOOKUP(I119,'G-7 WaterC'' Data'!$AK$4:$AM$6,3,FALSE)=0,"Spatial Data Missing ⚠",VLOOKUP(I119,'G-7 WaterC'' Data'!$AK$4:$AM$6,3,FALSE)))</f>
        <v/>
      </c>
      <c r="L119" s="281" t="str">
        <f>IFERROR(INDEX('G-7 WaterC'' Data'!$O$3:$O$7,MATCH(G119,'G-7 WaterC'' Data'!$N$3:$N$7,0)),"")</f>
        <v/>
      </c>
      <c r="M119" s="58"/>
      <c r="N119" s="137"/>
      <c r="O119" s="289" t="str">
        <f t="shared" si="6"/>
        <v/>
      </c>
      <c r="P119" s="302" t="str">
        <f t="shared" si="7"/>
        <v/>
      </c>
      <c r="Q119" s="340" t="str">
        <f>IFERROR(IF(P119="Check Data ⚠","Check Data ⚠",VLOOKUP(P119,'G-4 Temporal multipliers'!$A$4:$C$37,3,FALSE)),"")</f>
        <v/>
      </c>
      <c r="R119" s="281" t="str">
        <f>IF(C119="","",VLOOKUP(C119,'G-7 WaterC'' Data'!$B$4:$G$8,4,FALSE))</f>
        <v/>
      </c>
      <c r="S119" s="289" t="str">
        <f t="shared" si="8"/>
        <v/>
      </c>
      <c r="T119" s="320" t="str">
        <f t="shared" si="9"/>
        <v/>
      </c>
      <c r="U119" s="282" t="str">
        <f>IF(C119="","",VLOOKUP(T119,'G-3 Multipliers'!$P$2:$Q$6,2,FALSE))</f>
        <v/>
      </c>
      <c r="V119" s="106"/>
      <c r="W119" s="282" t="str">
        <f>IF(V119="","",IF(AND(V119="N/A - Culvert",C119&lt;&gt;"Culvert"),"Not possible ▲",IF(AND(C119="Culvert",V119&lt;&gt;"N/A - Culvert"),"Not possible ▲",IF(VLOOKUP(V119,'G-7 WaterC'' Data'!$AA$4:$AB$7,2,FALSE)=0,"Spatial Data Missing ⚠",VLOOKUP(V119,'G-7 WaterC'' Data'!$AA$4:$AB$7,2,FALSE)))))</f>
        <v/>
      </c>
      <c r="X119" s="56"/>
      <c r="Y119" s="282" t="str">
        <f>IF(X119="","",IF(AND(X119="N/A - Culvert", C119&lt;&gt;"Culvert"), "Not possible ▲",IF(AND(C119="Culvert",X119&lt;&gt;"N/A - Culvert"),"Not possible ▲",IF(VLOOKUP(X119,'G-7 WaterC'' Data'!$AD$4:$AE$14,2,FALSE)=0,"Enrcoachment Data Missing ⚠",VLOOKUP(X119,'G-7 WaterC'' Data'!$AD$4:$AE$14,2,FALSE)))))</f>
        <v/>
      </c>
      <c r="Z119" s="323" t="str">
        <f t="shared" si="10"/>
        <v/>
      </c>
      <c r="AA119" s="105"/>
      <c r="AB119" s="119"/>
      <c r="AC119" s="108"/>
      <c r="AH119" s="30" t="str">
        <f>IFERROR(INDEX('G-7 WaterC'' Data'!$AZ$3:$AZ$7,MATCH(C119,'G-7 WaterC'' Data'!$AY$3:$AY$7,0)),"")</f>
        <v/>
      </c>
      <c r="AK119" s="30" t="str">
        <f t="shared" si="11"/>
        <v>No</v>
      </c>
    </row>
    <row r="120" spans="2:37" ht="13.8" x14ac:dyDescent="0.25">
      <c r="B120" s="101">
        <v>109</v>
      </c>
      <c r="C120" s="950"/>
      <c r="D120" s="119"/>
      <c r="E120" s="281" t="str">
        <f>IF(C120="","",VLOOKUP(C120,'G-7 WaterC'' Data'!$B$2:$G$8,2,FALSE))</f>
        <v/>
      </c>
      <c r="F120" s="282" t="str">
        <f>IFERROR(VLOOKUP(E120,'G-7 WaterC'' Data'!$C$4:$D$8,2,FALSE),"")</f>
        <v/>
      </c>
      <c r="G120" s="105"/>
      <c r="H120" s="282" t="str">
        <f>IFERROR(INDEX('G-7 WaterC'' Data'!$H$4:$L$8,MATCH(C120,'G-7 WaterC'' Data'!$B$4:$B$8,0),MATCH(G120,'G-7 WaterC'' Data'!$H$3:$L$3,0)),"")</f>
        <v/>
      </c>
      <c r="I120" s="52"/>
      <c r="J120" s="289" t="str">
        <f>IF(I120="","",IF(VLOOKUP(I120,'G-7 WaterC'' Data'!$AK$4:$AM$6,2,FALSE)=0,"Spatial Data Missing ⚠",VLOOKUP(I120,'G-7 WaterC'' Data'!$AK$4:$AM$6,2,FALSE)))</f>
        <v/>
      </c>
      <c r="K120" s="282" t="str">
        <f>IF(I120="","",IF(VLOOKUP(I120,'G-7 WaterC'' Data'!$AK$4:$AM$6,3,FALSE)=0,"Spatial Data Missing ⚠",VLOOKUP(I120,'G-7 WaterC'' Data'!$AK$4:$AM$6,3,FALSE)))</f>
        <v/>
      </c>
      <c r="L120" s="281" t="str">
        <f>IFERROR(INDEX('G-7 WaterC'' Data'!$O$3:$O$7,MATCH(G120,'G-7 WaterC'' Data'!$N$3:$N$7,0)),"")</f>
        <v/>
      </c>
      <c r="M120" s="58"/>
      <c r="N120" s="137"/>
      <c r="O120" s="289" t="str">
        <f t="shared" si="6"/>
        <v/>
      </c>
      <c r="P120" s="302" t="str">
        <f t="shared" si="7"/>
        <v/>
      </c>
      <c r="Q120" s="340" t="str">
        <f>IFERROR(IF(P120="Check Data ⚠","Check Data ⚠",VLOOKUP(P120,'G-4 Temporal multipliers'!$A$4:$C$37,3,FALSE)),"")</f>
        <v/>
      </c>
      <c r="R120" s="281" t="str">
        <f>IF(C120="","",VLOOKUP(C120,'G-7 WaterC'' Data'!$B$4:$G$8,4,FALSE))</f>
        <v/>
      </c>
      <c r="S120" s="289" t="str">
        <f t="shared" si="8"/>
        <v/>
      </c>
      <c r="T120" s="320" t="str">
        <f t="shared" si="9"/>
        <v/>
      </c>
      <c r="U120" s="282" t="str">
        <f>IF(C120="","",VLOOKUP(T120,'G-3 Multipliers'!$P$2:$Q$6,2,FALSE))</f>
        <v/>
      </c>
      <c r="V120" s="106"/>
      <c r="W120" s="282" t="str">
        <f>IF(V120="","",IF(AND(V120="N/A - Culvert",C120&lt;&gt;"Culvert"),"Not possible ▲",IF(AND(C120="Culvert",V120&lt;&gt;"N/A - Culvert"),"Not possible ▲",IF(VLOOKUP(V120,'G-7 WaterC'' Data'!$AA$4:$AB$7,2,FALSE)=0,"Spatial Data Missing ⚠",VLOOKUP(V120,'G-7 WaterC'' Data'!$AA$4:$AB$7,2,FALSE)))))</f>
        <v/>
      </c>
      <c r="X120" s="56"/>
      <c r="Y120" s="282" t="str">
        <f>IF(X120="","",IF(AND(X120="N/A - Culvert", C120&lt;&gt;"Culvert"), "Not possible ▲",IF(AND(C120="Culvert",X120&lt;&gt;"N/A - Culvert"),"Not possible ▲",IF(VLOOKUP(X120,'G-7 WaterC'' Data'!$AD$4:$AE$14,2,FALSE)=0,"Enrcoachment Data Missing ⚠",VLOOKUP(X120,'G-7 WaterC'' Data'!$AD$4:$AE$14,2,FALSE)))))</f>
        <v/>
      </c>
      <c r="Z120" s="323" t="str">
        <f t="shared" si="10"/>
        <v/>
      </c>
      <c r="AA120" s="105"/>
      <c r="AB120" s="119"/>
      <c r="AC120" s="108"/>
      <c r="AH120" s="30" t="str">
        <f>IFERROR(INDEX('G-7 WaterC'' Data'!$AZ$3:$AZ$7,MATCH(C120,'G-7 WaterC'' Data'!$AY$3:$AY$7,0)),"")</f>
        <v/>
      </c>
      <c r="AK120" s="30" t="str">
        <f t="shared" si="11"/>
        <v>No</v>
      </c>
    </row>
    <row r="121" spans="2:37" ht="13.8" x14ac:dyDescent="0.25">
      <c r="B121" s="101">
        <v>110</v>
      </c>
      <c r="C121" s="950"/>
      <c r="D121" s="119"/>
      <c r="E121" s="281" t="str">
        <f>IF(C121="","",VLOOKUP(C121,'G-7 WaterC'' Data'!$B$2:$G$8,2,FALSE))</f>
        <v/>
      </c>
      <c r="F121" s="282" t="str">
        <f>IFERROR(VLOOKUP(E121,'G-7 WaterC'' Data'!$C$4:$D$8,2,FALSE),"")</f>
        <v/>
      </c>
      <c r="G121" s="105"/>
      <c r="H121" s="282" t="str">
        <f>IFERROR(INDEX('G-7 WaterC'' Data'!$H$4:$L$8,MATCH(C121,'G-7 WaterC'' Data'!$B$4:$B$8,0),MATCH(G121,'G-7 WaterC'' Data'!$H$3:$L$3,0)),"")</f>
        <v/>
      </c>
      <c r="I121" s="52"/>
      <c r="J121" s="289" t="str">
        <f>IF(I121="","",IF(VLOOKUP(I121,'G-7 WaterC'' Data'!$AK$4:$AM$6,2,FALSE)=0,"Spatial Data Missing ⚠",VLOOKUP(I121,'G-7 WaterC'' Data'!$AK$4:$AM$6,2,FALSE)))</f>
        <v/>
      </c>
      <c r="K121" s="282" t="str">
        <f>IF(I121="","",IF(VLOOKUP(I121,'G-7 WaterC'' Data'!$AK$4:$AM$6,3,FALSE)=0,"Spatial Data Missing ⚠",VLOOKUP(I121,'G-7 WaterC'' Data'!$AK$4:$AM$6,3,FALSE)))</f>
        <v/>
      </c>
      <c r="L121" s="281" t="str">
        <f>IFERROR(INDEX('G-7 WaterC'' Data'!$O$3:$O$7,MATCH(G121,'G-7 WaterC'' Data'!$N$3:$N$7,0)),"")</f>
        <v/>
      </c>
      <c r="M121" s="58"/>
      <c r="N121" s="137"/>
      <c r="O121" s="289" t="str">
        <f t="shared" si="6"/>
        <v/>
      </c>
      <c r="P121" s="302" t="str">
        <f t="shared" si="7"/>
        <v/>
      </c>
      <c r="Q121" s="340" t="str">
        <f>IFERROR(IF(P121="Check Data ⚠","Check Data ⚠",VLOOKUP(P121,'G-4 Temporal multipliers'!$A$4:$C$37,3,FALSE)),"")</f>
        <v/>
      </c>
      <c r="R121" s="281" t="str">
        <f>IF(C121="","",VLOOKUP(C121,'G-7 WaterC'' Data'!$B$4:$G$8,4,FALSE))</f>
        <v/>
      </c>
      <c r="S121" s="289" t="str">
        <f t="shared" si="8"/>
        <v/>
      </c>
      <c r="T121" s="320" t="str">
        <f t="shared" si="9"/>
        <v/>
      </c>
      <c r="U121" s="282" t="str">
        <f>IF(C121="","",VLOOKUP(T121,'G-3 Multipliers'!$P$2:$Q$6,2,FALSE))</f>
        <v/>
      </c>
      <c r="V121" s="106"/>
      <c r="W121" s="282" t="str">
        <f>IF(V121="","",IF(AND(V121="N/A - Culvert",C121&lt;&gt;"Culvert"),"Not possible ▲",IF(AND(C121="Culvert",V121&lt;&gt;"N/A - Culvert"),"Not possible ▲",IF(VLOOKUP(V121,'G-7 WaterC'' Data'!$AA$4:$AB$7,2,FALSE)=0,"Spatial Data Missing ⚠",VLOOKUP(V121,'G-7 WaterC'' Data'!$AA$4:$AB$7,2,FALSE)))))</f>
        <v/>
      </c>
      <c r="X121" s="56"/>
      <c r="Y121" s="282" t="str">
        <f>IF(X121="","",IF(AND(X121="N/A - Culvert", C121&lt;&gt;"Culvert"), "Not possible ▲",IF(AND(C121="Culvert",X121&lt;&gt;"N/A - Culvert"),"Not possible ▲",IF(VLOOKUP(X121,'G-7 WaterC'' Data'!$AD$4:$AE$14,2,FALSE)=0,"Enrcoachment Data Missing ⚠",VLOOKUP(X121,'G-7 WaterC'' Data'!$AD$4:$AE$14,2,FALSE)))))</f>
        <v/>
      </c>
      <c r="Z121" s="323" t="str">
        <f t="shared" si="10"/>
        <v/>
      </c>
      <c r="AA121" s="105"/>
      <c r="AB121" s="119"/>
      <c r="AC121" s="108"/>
      <c r="AH121" s="30" t="str">
        <f>IFERROR(INDEX('G-7 WaterC'' Data'!$AZ$3:$AZ$7,MATCH(C121,'G-7 WaterC'' Data'!$AY$3:$AY$7,0)),"")</f>
        <v/>
      </c>
      <c r="AK121" s="30" t="str">
        <f t="shared" si="11"/>
        <v>No</v>
      </c>
    </row>
    <row r="122" spans="2:37" ht="13.8" x14ac:dyDescent="0.25">
      <c r="B122" s="101">
        <v>111</v>
      </c>
      <c r="C122" s="950"/>
      <c r="D122" s="119"/>
      <c r="E122" s="281" t="str">
        <f>IF(C122="","",VLOOKUP(C122,'G-7 WaterC'' Data'!$B$2:$G$8,2,FALSE))</f>
        <v/>
      </c>
      <c r="F122" s="282" t="str">
        <f>IFERROR(VLOOKUP(E122,'G-7 WaterC'' Data'!$C$4:$D$8,2,FALSE),"")</f>
        <v/>
      </c>
      <c r="G122" s="105"/>
      <c r="H122" s="282" t="str">
        <f>IFERROR(INDEX('G-7 WaterC'' Data'!$H$4:$L$8,MATCH(C122,'G-7 WaterC'' Data'!$B$4:$B$8,0),MATCH(G122,'G-7 WaterC'' Data'!$H$3:$L$3,0)),"")</f>
        <v/>
      </c>
      <c r="I122" s="52"/>
      <c r="J122" s="289" t="str">
        <f>IF(I122="","",IF(VLOOKUP(I122,'G-7 WaterC'' Data'!$AK$4:$AM$6,2,FALSE)=0,"Spatial Data Missing ⚠",VLOOKUP(I122,'G-7 WaterC'' Data'!$AK$4:$AM$6,2,FALSE)))</f>
        <v/>
      </c>
      <c r="K122" s="282" t="str">
        <f>IF(I122="","",IF(VLOOKUP(I122,'G-7 WaterC'' Data'!$AK$4:$AM$6,3,FALSE)=0,"Spatial Data Missing ⚠",VLOOKUP(I122,'G-7 WaterC'' Data'!$AK$4:$AM$6,3,FALSE)))</f>
        <v/>
      </c>
      <c r="L122" s="281" t="str">
        <f>IFERROR(INDEX('G-7 WaterC'' Data'!$O$3:$O$7,MATCH(G122,'G-7 WaterC'' Data'!$N$3:$N$7,0)),"")</f>
        <v/>
      </c>
      <c r="M122" s="58"/>
      <c r="N122" s="137"/>
      <c r="O122" s="289" t="str">
        <f t="shared" si="6"/>
        <v/>
      </c>
      <c r="P122" s="302" t="str">
        <f t="shared" si="7"/>
        <v/>
      </c>
      <c r="Q122" s="340" t="str">
        <f>IFERROR(IF(P122="Check Data ⚠","Check Data ⚠",VLOOKUP(P122,'G-4 Temporal multipliers'!$A$4:$C$37,3,FALSE)),"")</f>
        <v/>
      </c>
      <c r="R122" s="281" t="str">
        <f>IF(C122="","",VLOOKUP(C122,'G-7 WaterC'' Data'!$B$4:$G$8,4,FALSE))</f>
        <v/>
      </c>
      <c r="S122" s="289" t="str">
        <f t="shared" si="8"/>
        <v/>
      </c>
      <c r="T122" s="320" t="str">
        <f t="shared" si="9"/>
        <v/>
      </c>
      <c r="U122" s="282" t="str">
        <f>IF(C122="","",VLOOKUP(T122,'G-3 Multipliers'!$P$2:$Q$6,2,FALSE))</f>
        <v/>
      </c>
      <c r="V122" s="106"/>
      <c r="W122" s="282" t="str">
        <f>IF(V122="","",IF(AND(V122="N/A - Culvert",C122&lt;&gt;"Culvert"),"Not possible ▲",IF(AND(C122="Culvert",V122&lt;&gt;"N/A - Culvert"),"Not possible ▲",IF(VLOOKUP(V122,'G-7 WaterC'' Data'!$AA$4:$AB$7,2,FALSE)=0,"Spatial Data Missing ⚠",VLOOKUP(V122,'G-7 WaterC'' Data'!$AA$4:$AB$7,2,FALSE)))))</f>
        <v/>
      </c>
      <c r="X122" s="56"/>
      <c r="Y122" s="282" t="str">
        <f>IF(X122="","",IF(AND(X122="N/A - Culvert", C122&lt;&gt;"Culvert"), "Not possible ▲",IF(AND(C122="Culvert",X122&lt;&gt;"N/A - Culvert"),"Not possible ▲",IF(VLOOKUP(X122,'G-7 WaterC'' Data'!$AD$4:$AE$14,2,FALSE)=0,"Enrcoachment Data Missing ⚠",VLOOKUP(X122,'G-7 WaterC'' Data'!$AD$4:$AE$14,2,FALSE)))))</f>
        <v/>
      </c>
      <c r="Z122" s="323" t="str">
        <f t="shared" si="10"/>
        <v/>
      </c>
      <c r="AA122" s="105"/>
      <c r="AB122" s="119"/>
      <c r="AC122" s="108"/>
      <c r="AH122" s="30" t="str">
        <f>IFERROR(INDEX('G-7 WaterC'' Data'!$AZ$3:$AZ$7,MATCH(C122,'G-7 WaterC'' Data'!$AY$3:$AY$7,0)),"")</f>
        <v/>
      </c>
      <c r="AK122" s="30" t="str">
        <f t="shared" si="11"/>
        <v>No</v>
      </c>
    </row>
    <row r="123" spans="2:37" ht="13.8" x14ac:dyDescent="0.25">
      <c r="B123" s="101">
        <v>112</v>
      </c>
      <c r="C123" s="950"/>
      <c r="D123" s="119"/>
      <c r="E123" s="281" t="str">
        <f>IF(C123="","",VLOOKUP(C123,'G-7 WaterC'' Data'!$B$2:$G$8,2,FALSE))</f>
        <v/>
      </c>
      <c r="F123" s="282" t="str">
        <f>IFERROR(VLOOKUP(E123,'G-7 WaterC'' Data'!$C$4:$D$8,2,FALSE),"")</f>
        <v/>
      </c>
      <c r="G123" s="105"/>
      <c r="H123" s="282" t="str">
        <f>IFERROR(INDEX('G-7 WaterC'' Data'!$H$4:$L$8,MATCH(C123,'G-7 WaterC'' Data'!$B$4:$B$8,0),MATCH(G123,'G-7 WaterC'' Data'!$H$3:$L$3,0)),"")</f>
        <v/>
      </c>
      <c r="I123" s="52"/>
      <c r="J123" s="289" t="str">
        <f>IF(I123="","",IF(VLOOKUP(I123,'G-7 WaterC'' Data'!$AK$4:$AM$6,2,FALSE)=0,"Spatial Data Missing ⚠",VLOOKUP(I123,'G-7 WaterC'' Data'!$AK$4:$AM$6,2,FALSE)))</f>
        <v/>
      </c>
      <c r="K123" s="282" t="str">
        <f>IF(I123="","",IF(VLOOKUP(I123,'G-7 WaterC'' Data'!$AK$4:$AM$6,3,FALSE)=0,"Spatial Data Missing ⚠",VLOOKUP(I123,'G-7 WaterC'' Data'!$AK$4:$AM$6,3,FALSE)))</f>
        <v/>
      </c>
      <c r="L123" s="281" t="str">
        <f>IFERROR(INDEX('G-7 WaterC'' Data'!$O$3:$O$7,MATCH(G123,'G-7 WaterC'' Data'!$N$3:$N$7,0)),"")</f>
        <v/>
      </c>
      <c r="M123" s="58"/>
      <c r="N123" s="137"/>
      <c r="O123" s="289" t="str">
        <f t="shared" si="6"/>
        <v/>
      </c>
      <c r="P123" s="302" t="str">
        <f t="shared" si="7"/>
        <v/>
      </c>
      <c r="Q123" s="340" t="str">
        <f>IFERROR(IF(P123="Check Data ⚠","Check Data ⚠",VLOOKUP(P123,'G-4 Temporal multipliers'!$A$4:$C$37,3,FALSE)),"")</f>
        <v/>
      </c>
      <c r="R123" s="281" t="str">
        <f>IF(C123="","",VLOOKUP(C123,'G-7 WaterC'' Data'!$B$4:$G$8,4,FALSE))</f>
        <v/>
      </c>
      <c r="S123" s="289" t="str">
        <f t="shared" si="8"/>
        <v/>
      </c>
      <c r="T123" s="320" t="str">
        <f t="shared" si="9"/>
        <v/>
      </c>
      <c r="U123" s="282" t="str">
        <f>IF(C123="","",VLOOKUP(T123,'G-3 Multipliers'!$P$2:$Q$6,2,FALSE))</f>
        <v/>
      </c>
      <c r="V123" s="106"/>
      <c r="W123" s="282" t="str">
        <f>IF(V123="","",IF(AND(V123="N/A - Culvert",C123&lt;&gt;"Culvert"),"Not possible ▲",IF(AND(C123="Culvert",V123&lt;&gt;"N/A - Culvert"),"Not possible ▲",IF(VLOOKUP(V123,'G-7 WaterC'' Data'!$AA$4:$AB$7,2,FALSE)=0,"Spatial Data Missing ⚠",VLOOKUP(V123,'G-7 WaterC'' Data'!$AA$4:$AB$7,2,FALSE)))))</f>
        <v/>
      </c>
      <c r="X123" s="56"/>
      <c r="Y123" s="282" t="str">
        <f>IF(X123="","",IF(AND(X123="N/A - Culvert", C123&lt;&gt;"Culvert"), "Not possible ▲",IF(AND(C123="Culvert",X123&lt;&gt;"N/A - Culvert"),"Not possible ▲",IF(VLOOKUP(X123,'G-7 WaterC'' Data'!$AD$4:$AE$14,2,FALSE)=0,"Enrcoachment Data Missing ⚠",VLOOKUP(X123,'G-7 WaterC'' Data'!$AD$4:$AE$14,2,FALSE)))))</f>
        <v/>
      </c>
      <c r="Z123" s="323" t="str">
        <f t="shared" si="10"/>
        <v/>
      </c>
      <c r="AA123" s="105"/>
      <c r="AB123" s="119"/>
      <c r="AC123" s="108"/>
      <c r="AH123" s="30" t="str">
        <f>IFERROR(INDEX('G-7 WaterC'' Data'!$AZ$3:$AZ$7,MATCH(C123,'G-7 WaterC'' Data'!$AY$3:$AY$7,0)),"")</f>
        <v/>
      </c>
      <c r="AK123" s="30" t="str">
        <f t="shared" si="11"/>
        <v>No</v>
      </c>
    </row>
    <row r="124" spans="2:37" ht="13.8" x14ac:dyDescent="0.25">
      <c r="B124" s="101">
        <v>113</v>
      </c>
      <c r="C124" s="950"/>
      <c r="D124" s="119"/>
      <c r="E124" s="281" t="str">
        <f>IF(C124="","",VLOOKUP(C124,'G-7 WaterC'' Data'!$B$2:$G$8,2,FALSE))</f>
        <v/>
      </c>
      <c r="F124" s="282" t="str">
        <f>IFERROR(VLOOKUP(E124,'G-7 WaterC'' Data'!$C$4:$D$8,2,FALSE),"")</f>
        <v/>
      </c>
      <c r="G124" s="105"/>
      <c r="H124" s="282" t="str">
        <f>IFERROR(INDEX('G-7 WaterC'' Data'!$H$4:$L$8,MATCH(C124,'G-7 WaterC'' Data'!$B$4:$B$8,0),MATCH(G124,'G-7 WaterC'' Data'!$H$3:$L$3,0)),"")</f>
        <v/>
      </c>
      <c r="I124" s="52"/>
      <c r="J124" s="289" t="str">
        <f>IF(I124="","",IF(VLOOKUP(I124,'G-7 WaterC'' Data'!$AK$4:$AM$6,2,FALSE)=0,"Spatial Data Missing ⚠",VLOOKUP(I124,'G-7 WaterC'' Data'!$AK$4:$AM$6,2,FALSE)))</f>
        <v/>
      </c>
      <c r="K124" s="282" t="str">
        <f>IF(I124="","",IF(VLOOKUP(I124,'G-7 WaterC'' Data'!$AK$4:$AM$6,3,FALSE)=0,"Spatial Data Missing ⚠",VLOOKUP(I124,'G-7 WaterC'' Data'!$AK$4:$AM$6,3,FALSE)))</f>
        <v/>
      </c>
      <c r="L124" s="281" t="str">
        <f>IFERROR(INDEX('G-7 WaterC'' Data'!$O$3:$O$7,MATCH(G124,'G-7 WaterC'' Data'!$N$3:$N$7,0)),"")</f>
        <v/>
      </c>
      <c r="M124" s="58"/>
      <c r="N124" s="137"/>
      <c r="O124" s="289" t="str">
        <f t="shared" si="6"/>
        <v/>
      </c>
      <c r="P124" s="302" t="str">
        <f t="shared" si="7"/>
        <v/>
      </c>
      <c r="Q124" s="340" t="str">
        <f>IFERROR(IF(P124="Check Data ⚠","Check Data ⚠",VLOOKUP(P124,'G-4 Temporal multipliers'!$A$4:$C$37,3,FALSE)),"")</f>
        <v/>
      </c>
      <c r="R124" s="281" t="str">
        <f>IF(C124="","",VLOOKUP(C124,'G-7 WaterC'' Data'!$B$4:$G$8,4,FALSE))</f>
        <v/>
      </c>
      <c r="S124" s="289" t="str">
        <f t="shared" si="8"/>
        <v/>
      </c>
      <c r="T124" s="320" t="str">
        <f t="shared" si="9"/>
        <v/>
      </c>
      <c r="U124" s="282" t="str">
        <f>IF(C124="","",VLOOKUP(T124,'G-3 Multipliers'!$P$2:$Q$6,2,FALSE))</f>
        <v/>
      </c>
      <c r="V124" s="106"/>
      <c r="W124" s="282" t="str">
        <f>IF(V124="","",IF(AND(V124="N/A - Culvert",C124&lt;&gt;"Culvert"),"Not possible ▲",IF(AND(C124="Culvert",V124&lt;&gt;"N/A - Culvert"),"Not possible ▲",IF(VLOOKUP(V124,'G-7 WaterC'' Data'!$AA$4:$AB$7,2,FALSE)=0,"Spatial Data Missing ⚠",VLOOKUP(V124,'G-7 WaterC'' Data'!$AA$4:$AB$7,2,FALSE)))))</f>
        <v/>
      </c>
      <c r="X124" s="56"/>
      <c r="Y124" s="282" t="str">
        <f>IF(X124="","",IF(AND(X124="N/A - Culvert", C124&lt;&gt;"Culvert"), "Not possible ▲",IF(AND(C124="Culvert",X124&lt;&gt;"N/A - Culvert"),"Not possible ▲",IF(VLOOKUP(X124,'G-7 WaterC'' Data'!$AD$4:$AE$14,2,FALSE)=0,"Enrcoachment Data Missing ⚠",VLOOKUP(X124,'G-7 WaterC'' Data'!$AD$4:$AE$14,2,FALSE)))))</f>
        <v/>
      </c>
      <c r="Z124" s="323" t="str">
        <f t="shared" si="10"/>
        <v/>
      </c>
      <c r="AA124" s="105"/>
      <c r="AB124" s="119"/>
      <c r="AC124" s="108"/>
      <c r="AH124" s="30" t="str">
        <f>IFERROR(INDEX('G-7 WaterC'' Data'!$AZ$3:$AZ$7,MATCH(C124,'G-7 WaterC'' Data'!$AY$3:$AY$7,0)),"")</f>
        <v/>
      </c>
      <c r="AK124" s="30" t="str">
        <f t="shared" si="11"/>
        <v>No</v>
      </c>
    </row>
    <row r="125" spans="2:37" ht="13.8" x14ac:dyDescent="0.25">
      <c r="B125" s="101">
        <v>114</v>
      </c>
      <c r="C125" s="950"/>
      <c r="D125" s="119"/>
      <c r="E125" s="281" t="str">
        <f>IF(C125="","",VLOOKUP(C125,'G-7 WaterC'' Data'!$B$2:$G$8,2,FALSE))</f>
        <v/>
      </c>
      <c r="F125" s="282" t="str">
        <f>IFERROR(VLOOKUP(E125,'G-7 WaterC'' Data'!$C$4:$D$8,2,FALSE),"")</f>
        <v/>
      </c>
      <c r="G125" s="105"/>
      <c r="H125" s="282" t="str">
        <f>IFERROR(INDEX('G-7 WaterC'' Data'!$H$4:$L$8,MATCH(C125,'G-7 WaterC'' Data'!$B$4:$B$8,0),MATCH(G125,'G-7 WaterC'' Data'!$H$3:$L$3,0)),"")</f>
        <v/>
      </c>
      <c r="I125" s="52"/>
      <c r="J125" s="289" t="str">
        <f>IF(I125="","",IF(VLOOKUP(I125,'G-7 WaterC'' Data'!$AK$4:$AM$6,2,FALSE)=0,"Spatial Data Missing ⚠",VLOOKUP(I125,'G-7 WaterC'' Data'!$AK$4:$AM$6,2,FALSE)))</f>
        <v/>
      </c>
      <c r="K125" s="282" t="str">
        <f>IF(I125="","",IF(VLOOKUP(I125,'G-7 WaterC'' Data'!$AK$4:$AM$6,3,FALSE)=0,"Spatial Data Missing ⚠",VLOOKUP(I125,'G-7 WaterC'' Data'!$AK$4:$AM$6,3,FALSE)))</f>
        <v/>
      </c>
      <c r="L125" s="281" t="str">
        <f>IFERROR(INDEX('G-7 WaterC'' Data'!$O$3:$O$7,MATCH(G125,'G-7 WaterC'' Data'!$N$3:$N$7,0)),"")</f>
        <v/>
      </c>
      <c r="M125" s="58"/>
      <c r="N125" s="137"/>
      <c r="O125" s="289" t="str">
        <f t="shared" si="6"/>
        <v/>
      </c>
      <c r="P125" s="302" t="str">
        <f t="shared" si="7"/>
        <v/>
      </c>
      <c r="Q125" s="340" t="str">
        <f>IFERROR(IF(P125="Check Data ⚠","Check Data ⚠",VLOOKUP(P125,'G-4 Temporal multipliers'!$A$4:$C$37,3,FALSE)),"")</f>
        <v/>
      </c>
      <c r="R125" s="281" t="str">
        <f>IF(C125="","",VLOOKUP(C125,'G-7 WaterC'' Data'!$B$4:$G$8,4,FALSE))</f>
        <v/>
      </c>
      <c r="S125" s="289" t="str">
        <f t="shared" si="8"/>
        <v/>
      </c>
      <c r="T125" s="320" t="str">
        <f t="shared" si="9"/>
        <v/>
      </c>
      <c r="U125" s="282" t="str">
        <f>IF(C125="","",VLOOKUP(T125,'G-3 Multipliers'!$P$2:$Q$6,2,FALSE))</f>
        <v/>
      </c>
      <c r="V125" s="106"/>
      <c r="W125" s="282" t="str">
        <f>IF(V125="","",IF(AND(V125="N/A - Culvert",C125&lt;&gt;"Culvert"),"Not possible ▲",IF(AND(C125="Culvert",V125&lt;&gt;"N/A - Culvert"),"Not possible ▲",IF(VLOOKUP(V125,'G-7 WaterC'' Data'!$AA$4:$AB$7,2,FALSE)=0,"Spatial Data Missing ⚠",VLOOKUP(V125,'G-7 WaterC'' Data'!$AA$4:$AB$7,2,FALSE)))))</f>
        <v/>
      </c>
      <c r="X125" s="56"/>
      <c r="Y125" s="282" t="str">
        <f>IF(X125="","",IF(AND(X125="N/A - Culvert", C125&lt;&gt;"Culvert"), "Not possible ▲",IF(AND(C125="Culvert",X125&lt;&gt;"N/A - Culvert"),"Not possible ▲",IF(VLOOKUP(X125,'G-7 WaterC'' Data'!$AD$4:$AE$14,2,FALSE)=0,"Enrcoachment Data Missing ⚠",VLOOKUP(X125,'G-7 WaterC'' Data'!$AD$4:$AE$14,2,FALSE)))))</f>
        <v/>
      </c>
      <c r="Z125" s="323" t="str">
        <f t="shared" si="10"/>
        <v/>
      </c>
      <c r="AA125" s="105"/>
      <c r="AB125" s="119"/>
      <c r="AC125" s="108"/>
      <c r="AH125" s="30" t="str">
        <f>IFERROR(INDEX('G-7 WaterC'' Data'!$AZ$3:$AZ$7,MATCH(C125,'G-7 WaterC'' Data'!$AY$3:$AY$7,0)),"")</f>
        <v/>
      </c>
      <c r="AK125" s="30" t="str">
        <f t="shared" si="11"/>
        <v>No</v>
      </c>
    </row>
    <row r="126" spans="2:37" ht="13.8" x14ac:dyDescent="0.25">
      <c r="B126" s="101">
        <v>115</v>
      </c>
      <c r="C126" s="950"/>
      <c r="D126" s="119"/>
      <c r="E126" s="281" t="str">
        <f>IF(C126="","",VLOOKUP(C126,'G-7 WaterC'' Data'!$B$2:$G$8,2,FALSE))</f>
        <v/>
      </c>
      <c r="F126" s="282" t="str">
        <f>IFERROR(VLOOKUP(E126,'G-7 WaterC'' Data'!$C$4:$D$8,2,FALSE),"")</f>
        <v/>
      </c>
      <c r="G126" s="105"/>
      <c r="H126" s="282" t="str">
        <f>IFERROR(INDEX('G-7 WaterC'' Data'!$H$4:$L$8,MATCH(C126,'G-7 WaterC'' Data'!$B$4:$B$8,0),MATCH(G126,'G-7 WaterC'' Data'!$H$3:$L$3,0)),"")</f>
        <v/>
      </c>
      <c r="I126" s="52"/>
      <c r="J126" s="289" t="str">
        <f>IF(I126="","",IF(VLOOKUP(I126,'G-7 WaterC'' Data'!$AK$4:$AM$6,2,FALSE)=0,"Spatial Data Missing ⚠",VLOOKUP(I126,'G-7 WaterC'' Data'!$AK$4:$AM$6,2,FALSE)))</f>
        <v/>
      </c>
      <c r="K126" s="282" t="str">
        <f>IF(I126="","",IF(VLOOKUP(I126,'G-7 WaterC'' Data'!$AK$4:$AM$6,3,FALSE)=0,"Spatial Data Missing ⚠",VLOOKUP(I126,'G-7 WaterC'' Data'!$AK$4:$AM$6,3,FALSE)))</f>
        <v/>
      </c>
      <c r="L126" s="281" t="str">
        <f>IFERROR(INDEX('G-7 WaterC'' Data'!$O$3:$O$7,MATCH(G126,'G-7 WaterC'' Data'!$N$3:$N$7,0)),"")</f>
        <v/>
      </c>
      <c r="M126" s="58"/>
      <c r="N126" s="137"/>
      <c r="O126" s="289" t="str">
        <f t="shared" si="6"/>
        <v/>
      </c>
      <c r="P126" s="302" t="str">
        <f t="shared" si="7"/>
        <v/>
      </c>
      <c r="Q126" s="340" t="str">
        <f>IFERROR(IF(P126="Check Data ⚠","Check Data ⚠",VLOOKUP(P126,'G-4 Temporal multipliers'!$A$4:$C$37,3,FALSE)),"")</f>
        <v/>
      </c>
      <c r="R126" s="281" t="str">
        <f>IF(C126="","",VLOOKUP(C126,'G-7 WaterC'' Data'!$B$4:$G$8,4,FALSE))</f>
        <v/>
      </c>
      <c r="S126" s="289" t="str">
        <f t="shared" si="8"/>
        <v/>
      </c>
      <c r="T126" s="320" t="str">
        <f t="shared" si="9"/>
        <v/>
      </c>
      <c r="U126" s="282" t="str">
        <f>IF(C126="","",VLOOKUP(T126,'G-3 Multipliers'!$P$2:$Q$6,2,FALSE))</f>
        <v/>
      </c>
      <c r="V126" s="106"/>
      <c r="W126" s="282" t="str">
        <f>IF(V126="","",IF(AND(V126="N/A - Culvert",C126&lt;&gt;"Culvert"),"Not possible ▲",IF(AND(C126="Culvert",V126&lt;&gt;"N/A - Culvert"),"Not possible ▲",IF(VLOOKUP(V126,'G-7 WaterC'' Data'!$AA$4:$AB$7,2,FALSE)=0,"Spatial Data Missing ⚠",VLOOKUP(V126,'G-7 WaterC'' Data'!$AA$4:$AB$7,2,FALSE)))))</f>
        <v/>
      </c>
      <c r="X126" s="56"/>
      <c r="Y126" s="282" t="str">
        <f>IF(X126="","",IF(AND(X126="N/A - Culvert", C126&lt;&gt;"Culvert"), "Not possible ▲",IF(AND(C126="Culvert",X126&lt;&gt;"N/A - Culvert"),"Not possible ▲",IF(VLOOKUP(X126,'G-7 WaterC'' Data'!$AD$4:$AE$14,2,FALSE)=0,"Enrcoachment Data Missing ⚠",VLOOKUP(X126,'G-7 WaterC'' Data'!$AD$4:$AE$14,2,FALSE)))))</f>
        <v/>
      </c>
      <c r="Z126" s="323" t="str">
        <f t="shared" si="10"/>
        <v/>
      </c>
      <c r="AA126" s="105"/>
      <c r="AB126" s="119"/>
      <c r="AC126" s="108"/>
      <c r="AH126" s="30" t="str">
        <f>IFERROR(INDEX('G-7 WaterC'' Data'!$AZ$3:$AZ$7,MATCH(C126,'G-7 WaterC'' Data'!$AY$3:$AY$7,0)),"")</f>
        <v/>
      </c>
      <c r="AK126" s="30" t="str">
        <f t="shared" si="11"/>
        <v>No</v>
      </c>
    </row>
    <row r="127" spans="2:37" ht="13.8" x14ac:dyDescent="0.25">
      <c r="B127" s="101">
        <v>116</v>
      </c>
      <c r="C127" s="950"/>
      <c r="D127" s="119"/>
      <c r="E127" s="281" t="str">
        <f>IF(C127="","",VLOOKUP(C127,'G-7 WaterC'' Data'!$B$2:$G$8,2,FALSE))</f>
        <v/>
      </c>
      <c r="F127" s="282" t="str">
        <f>IFERROR(VLOOKUP(E127,'G-7 WaterC'' Data'!$C$4:$D$8,2,FALSE),"")</f>
        <v/>
      </c>
      <c r="G127" s="105"/>
      <c r="H127" s="282" t="str">
        <f>IFERROR(INDEX('G-7 WaterC'' Data'!$H$4:$L$8,MATCH(C127,'G-7 WaterC'' Data'!$B$4:$B$8,0),MATCH(G127,'G-7 WaterC'' Data'!$H$3:$L$3,0)),"")</f>
        <v/>
      </c>
      <c r="I127" s="52"/>
      <c r="J127" s="289" t="str">
        <f>IF(I127="","",IF(VLOOKUP(I127,'G-7 WaterC'' Data'!$AK$4:$AM$6,2,FALSE)=0,"Spatial Data Missing ⚠",VLOOKUP(I127,'G-7 WaterC'' Data'!$AK$4:$AM$6,2,FALSE)))</f>
        <v/>
      </c>
      <c r="K127" s="282" t="str">
        <f>IF(I127="","",IF(VLOOKUP(I127,'G-7 WaterC'' Data'!$AK$4:$AM$6,3,FALSE)=0,"Spatial Data Missing ⚠",VLOOKUP(I127,'G-7 WaterC'' Data'!$AK$4:$AM$6,3,FALSE)))</f>
        <v/>
      </c>
      <c r="L127" s="281" t="str">
        <f>IFERROR(INDEX('G-7 WaterC'' Data'!$O$3:$O$7,MATCH(G127,'G-7 WaterC'' Data'!$N$3:$N$7,0)),"")</f>
        <v/>
      </c>
      <c r="M127" s="58"/>
      <c r="N127" s="137"/>
      <c r="O127" s="289" t="str">
        <f t="shared" si="6"/>
        <v/>
      </c>
      <c r="P127" s="302" t="str">
        <f t="shared" si="7"/>
        <v/>
      </c>
      <c r="Q127" s="340" t="str">
        <f>IFERROR(IF(P127="Check Data ⚠","Check Data ⚠",VLOOKUP(P127,'G-4 Temporal multipliers'!$A$4:$C$37,3,FALSE)),"")</f>
        <v/>
      </c>
      <c r="R127" s="281" t="str">
        <f>IF(C127="","",VLOOKUP(C127,'G-7 WaterC'' Data'!$B$4:$G$8,4,FALSE))</f>
        <v/>
      </c>
      <c r="S127" s="289" t="str">
        <f t="shared" si="8"/>
        <v/>
      </c>
      <c r="T127" s="320" t="str">
        <f t="shared" si="9"/>
        <v/>
      </c>
      <c r="U127" s="282" t="str">
        <f>IF(C127="","",VLOOKUP(T127,'G-3 Multipliers'!$P$2:$Q$6,2,FALSE))</f>
        <v/>
      </c>
      <c r="V127" s="106"/>
      <c r="W127" s="282" t="str">
        <f>IF(V127="","",IF(AND(V127="N/A - Culvert",C127&lt;&gt;"Culvert"),"Not possible ▲",IF(AND(C127="Culvert",V127&lt;&gt;"N/A - Culvert"),"Not possible ▲",IF(VLOOKUP(V127,'G-7 WaterC'' Data'!$AA$4:$AB$7,2,FALSE)=0,"Spatial Data Missing ⚠",VLOOKUP(V127,'G-7 WaterC'' Data'!$AA$4:$AB$7,2,FALSE)))))</f>
        <v/>
      </c>
      <c r="X127" s="56"/>
      <c r="Y127" s="282" t="str">
        <f>IF(X127="","",IF(AND(X127="N/A - Culvert", C127&lt;&gt;"Culvert"), "Not possible ▲",IF(AND(C127="Culvert",X127&lt;&gt;"N/A - Culvert"),"Not possible ▲",IF(VLOOKUP(X127,'G-7 WaterC'' Data'!$AD$4:$AE$14,2,FALSE)=0,"Enrcoachment Data Missing ⚠",VLOOKUP(X127,'G-7 WaterC'' Data'!$AD$4:$AE$14,2,FALSE)))))</f>
        <v/>
      </c>
      <c r="Z127" s="323" t="str">
        <f t="shared" si="10"/>
        <v/>
      </c>
      <c r="AA127" s="105"/>
      <c r="AB127" s="119"/>
      <c r="AC127" s="108"/>
      <c r="AH127" s="30" t="str">
        <f>IFERROR(INDEX('G-7 WaterC'' Data'!$AZ$3:$AZ$7,MATCH(C127,'G-7 WaterC'' Data'!$AY$3:$AY$7,0)),"")</f>
        <v/>
      </c>
      <c r="AK127" s="30" t="str">
        <f t="shared" si="11"/>
        <v>No</v>
      </c>
    </row>
    <row r="128" spans="2:37" ht="13.8" x14ac:dyDescent="0.25">
      <c r="B128" s="101">
        <v>117</v>
      </c>
      <c r="C128" s="950"/>
      <c r="D128" s="119"/>
      <c r="E128" s="281" t="str">
        <f>IF(C128="","",VLOOKUP(C128,'G-7 WaterC'' Data'!$B$2:$G$8,2,FALSE))</f>
        <v/>
      </c>
      <c r="F128" s="282" t="str">
        <f>IFERROR(VLOOKUP(E128,'G-7 WaterC'' Data'!$C$4:$D$8,2,FALSE),"")</f>
        <v/>
      </c>
      <c r="G128" s="105"/>
      <c r="H128" s="282" t="str">
        <f>IFERROR(INDEX('G-7 WaterC'' Data'!$H$4:$L$8,MATCH(C128,'G-7 WaterC'' Data'!$B$4:$B$8,0),MATCH(G128,'G-7 WaterC'' Data'!$H$3:$L$3,0)),"")</f>
        <v/>
      </c>
      <c r="I128" s="52"/>
      <c r="J128" s="289" t="str">
        <f>IF(I128="","",IF(VLOOKUP(I128,'G-7 WaterC'' Data'!$AK$4:$AM$6,2,FALSE)=0,"Spatial Data Missing ⚠",VLOOKUP(I128,'G-7 WaterC'' Data'!$AK$4:$AM$6,2,FALSE)))</f>
        <v/>
      </c>
      <c r="K128" s="282" t="str">
        <f>IF(I128="","",IF(VLOOKUP(I128,'G-7 WaterC'' Data'!$AK$4:$AM$6,3,FALSE)=0,"Spatial Data Missing ⚠",VLOOKUP(I128,'G-7 WaterC'' Data'!$AK$4:$AM$6,3,FALSE)))</f>
        <v/>
      </c>
      <c r="L128" s="281" t="str">
        <f>IFERROR(INDEX('G-7 WaterC'' Data'!$O$3:$O$7,MATCH(G128,'G-7 WaterC'' Data'!$N$3:$N$7,0)),"")</f>
        <v/>
      </c>
      <c r="M128" s="58"/>
      <c r="N128" s="137"/>
      <c r="O128" s="289" t="str">
        <f t="shared" si="6"/>
        <v/>
      </c>
      <c r="P128" s="302" t="str">
        <f t="shared" si="7"/>
        <v/>
      </c>
      <c r="Q128" s="340" t="str">
        <f>IFERROR(IF(P128="Check Data ⚠","Check Data ⚠",VLOOKUP(P128,'G-4 Temporal multipliers'!$A$4:$C$37,3,FALSE)),"")</f>
        <v/>
      </c>
      <c r="R128" s="281" t="str">
        <f>IF(C128="","",VLOOKUP(C128,'G-7 WaterC'' Data'!$B$4:$G$8,4,FALSE))</f>
        <v/>
      </c>
      <c r="S128" s="289" t="str">
        <f t="shared" si="8"/>
        <v/>
      </c>
      <c r="T128" s="320" t="str">
        <f t="shared" si="9"/>
        <v/>
      </c>
      <c r="U128" s="282" t="str">
        <f>IF(C128="","",VLOOKUP(T128,'G-3 Multipliers'!$P$2:$Q$6,2,FALSE))</f>
        <v/>
      </c>
      <c r="V128" s="106"/>
      <c r="W128" s="282" t="str">
        <f>IF(V128="","",IF(AND(V128="N/A - Culvert",C128&lt;&gt;"Culvert"),"Not possible ▲",IF(AND(C128="Culvert",V128&lt;&gt;"N/A - Culvert"),"Not possible ▲",IF(VLOOKUP(V128,'G-7 WaterC'' Data'!$AA$4:$AB$7,2,FALSE)=0,"Spatial Data Missing ⚠",VLOOKUP(V128,'G-7 WaterC'' Data'!$AA$4:$AB$7,2,FALSE)))))</f>
        <v/>
      </c>
      <c r="X128" s="56"/>
      <c r="Y128" s="282" t="str">
        <f>IF(X128="","",IF(AND(X128="N/A - Culvert", C128&lt;&gt;"Culvert"), "Not possible ▲",IF(AND(C128="Culvert",X128&lt;&gt;"N/A - Culvert"),"Not possible ▲",IF(VLOOKUP(X128,'G-7 WaterC'' Data'!$AD$4:$AE$14,2,FALSE)=0,"Enrcoachment Data Missing ⚠",VLOOKUP(X128,'G-7 WaterC'' Data'!$AD$4:$AE$14,2,FALSE)))))</f>
        <v/>
      </c>
      <c r="Z128" s="323" t="str">
        <f t="shared" si="10"/>
        <v/>
      </c>
      <c r="AA128" s="105"/>
      <c r="AB128" s="119"/>
      <c r="AC128" s="108"/>
      <c r="AH128" s="30" t="str">
        <f>IFERROR(INDEX('G-7 WaterC'' Data'!$AZ$3:$AZ$7,MATCH(C128,'G-7 WaterC'' Data'!$AY$3:$AY$7,0)),"")</f>
        <v/>
      </c>
      <c r="AK128" s="30" t="str">
        <f t="shared" si="11"/>
        <v>No</v>
      </c>
    </row>
    <row r="129" spans="2:37" ht="13.8" x14ac:dyDescent="0.25">
      <c r="B129" s="101">
        <v>118</v>
      </c>
      <c r="C129" s="950"/>
      <c r="D129" s="119"/>
      <c r="E129" s="281" t="str">
        <f>IF(C129="","",VLOOKUP(C129,'G-7 WaterC'' Data'!$B$2:$G$8,2,FALSE))</f>
        <v/>
      </c>
      <c r="F129" s="282" t="str">
        <f>IFERROR(VLOOKUP(E129,'G-7 WaterC'' Data'!$C$4:$D$8,2,FALSE),"")</f>
        <v/>
      </c>
      <c r="G129" s="105"/>
      <c r="H129" s="282" t="str">
        <f>IFERROR(INDEX('G-7 WaterC'' Data'!$H$4:$L$8,MATCH(C129,'G-7 WaterC'' Data'!$B$4:$B$8,0),MATCH(G129,'G-7 WaterC'' Data'!$H$3:$L$3,0)),"")</f>
        <v/>
      </c>
      <c r="I129" s="52"/>
      <c r="J129" s="289" t="str">
        <f>IF(I129="","",IF(VLOOKUP(I129,'G-7 WaterC'' Data'!$AK$4:$AM$6,2,FALSE)=0,"Spatial Data Missing ⚠",VLOOKUP(I129,'G-7 WaterC'' Data'!$AK$4:$AM$6,2,FALSE)))</f>
        <v/>
      </c>
      <c r="K129" s="282" t="str">
        <f>IF(I129="","",IF(VLOOKUP(I129,'G-7 WaterC'' Data'!$AK$4:$AM$6,3,FALSE)=0,"Spatial Data Missing ⚠",VLOOKUP(I129,'G-7 WaterC'' Data'!$AK$4:$AM$6,3,FALSE)))</f>
        <v/>
      </c>
      <c r="L129" s="281" t="str">
        <f>IFERROR(INDEX('G-7 WaterC'' Data'!$O$3:$O$7,MATCH(G129,'G-7 WaterC'' Data'!$N$3:$N$7,0)),"")</f>
        <v/>
      </c>
      <c r="M129" s="58"/>
      <c r="N129" s="137"/>
      <c r="O129" s="289" t="str">
        <f t="shared" si="6"/>
        <v/>
      </c>
      <c r="P129" s="302" t="str">
        <f t="shared" si="7"/>
        <v/>
      </c>
      <c r="Q129" s="340" t="str">
        <f>IFERROR(IF(P129="Check Data ⚠","Check Data ⚠",VLOOKUP(P129,'G-4 Temporal multipliers'!$A$4:$C$37,3,FALSE)),"")</f>
        <v/>
      </c>
      <c r="R129" s="281" t="str">
        <f>IF(C129="","",VLOOKUP(C129,'G-7 WaterC'' Data'!$B$4:$G$8,4,FALSE))</f>
        <v/>
      </c>
      <c r="S129" s="289" t="str">
        <f t="shared" si="8"/>
        <v/>
      </c>
      <c r="T129" s="320" t="str">
        <f t="shared" si="9"/>
        <v/>
      </c>
      <c r="U129" s="282" t="str">
        <f>IF(C129="","",VLOOKUP(T129,'G-3 Multipliers'!$P$2:$Q$6,2,FALSE))</f>
        <v/>
      </c>
      <c r="V129" s="106"/>
      <c r="W129" s="282" t="str">
        <f>IF(V129="","",IF(AND(V129="N/A - Culvert",C129&lt;&gt;"Culvert"),"Not possible ▲",IF(AND(C129="Culvert",V129&lt;&gt;"N/A - Culvert"),"Not possible ▲",IF(VLOOKUP(V129,'G-7 WaterC'' Data'!$AA$4:$AB$7,2,FALSE)=0,"Spatial Data Missing ⚠",VLOOKUP(V129,'G-7 WaterC'' Data'!$AA$4:$AB$7,2,FALSE)))))</f>
        <v/>
      </c>
      <c r="X129" s="56"/>
      <c r="Y129" s="282" t="str">
        <f>IF(X129="","",IF(AND(X129="N/A - Culvert", C129&lt;&gt;"Culvert"), "Not possible ▲",IF(AND(C129="Culvert",X129&lt;&gt;"N/A - Culvert"),"Not possible ▲",IF(VLOOKUP(X129,'G-7 WaterC'' Data'!$AD$4:$AE$14,2,FALSE)=0,"Enrcoachment Data Missing ⚠",VLOOKUP(X129,'G-7 WaterC'' Data'!$AD$4:$AE$14,2,FALSE)))))</f>
        <v/>
      </c>
      <c r="Z129" s="323" t="str">
        <f t="shared" si="10"/>
        <v/>
      </c>
      <c r="AA129" s="105"/>
      <c r="AB129" s="119"/>
      <c r="AC129" s="108"/>
      <c r="AH129" s="30" t="str">
        <f>IFERROR(INDEX('G-7 WaterC'' Data'!$AZ$3:$AZ$7,MATCH(C129,'G-7 WaterC'' Data'!$AY$3:$AY$7,0)),"")</f>
        <v/>
      </c>
      <c r="AK129" s="30" t="str">
        <f t="shared" si="11"/>
        <v>No</v>
      </c>
    </row>
    <row r="130" spans="2:37" ht="13.8" x14ac:dyDescent="0.25">
      <c r="B130" s="101">
        <v>119</v>
      </c>
      <c r="C130" s="950"/>
      <c r="D130" s="119"/>
      <c r="E130" s="281" t="str">
        <f>IF(C130="","",VLOOKUP(C130,'G-7 WaterC'' Data'!$B$2:$G$8,2,FALSE))</f>
        <v/>
      </c>
      <c r="F130" s="282" t="str">
        <f>IFERROR(VLOOKUP(E130,'G-7 WaterC'' Data'!$C$4:$D$8,2,FALSE),"")</f>
        <v/>
      </c>
      <c r="G130" s="105"/>
      <c r="H130" s="282" t="str">
        <f>IFERROR(INDEX('G-7 WaterC'' Data'!$H$4:$L$8,MATCH(C130,'G-7 WaterC'' Data'!$B$4:$B$8,0),MATCH(G130,'G-7 WaterC'' Data'!$H$3:$L$3,0)),"")</f>
        <v/>
      </c>
      <c r="I130" s="52"/>
      <c r="J130" s="289" t="str">
        <f>IF(I130="","",IF(VLOOKUP(I130,'G-7 WaterC'' Data'!$AK$4:$AM$6,2,FALSE)=0,"Spatial Data Missing ⚠",VLOOKUP(I130,'G-7 WaterC'' Data'!$AK$4:$AM$6,2,FALSE)))</f>
        <v/>
      </c>
      <c r="K130" s="282" t="str">
        <f>IF(I130="","",IF(VLOOKUP(I130,'G-7 WaterC'' Data'!$AK$4:$AM$6,3,FALSE)=0,"Spatial Data Missing ⚠",VLOOKUP(I130,'G-7 WaterC'' Data'!$AK$4:$AM$6,3,FALSE)))</f>
        <v/>
      </c>
      <c r="L130" s="281" t="str">
        <f>IFERROR(INDEX('G-7 WaterC'' Data'!$O$3:$O$7,MATCH(G130,'G-7 WaterC'' Data'!$N$3:$N$7,0)),"")</f>
        <v/>
      </c>
      <c r="M130" s="58"/>
      <c r="N130" s="137"/>
      <c r="O130" s="289" t="str">
        <f t="shared" si="6"/>
        <v/>
      </c>
      <c r="P130" s="302" t="str">
        <f t="shared" si="7"/>
        <v/>
      </c>
      <c r="Q130" s="340" t="str">
        <f>IFERROR(IF(P130="Check Data ⚠","Check Data ⚠",VLOOKUP(P130,'G-4 Temporal multipliers'!$A$4:$C$37,3,FALSE)),"")</f>
        <v/>
      </c>
      <c r="R130" s="281" t="str">
        <f>IF(C130="","",VLOOKUP(C130,'G-7 WaterC'' Data'!$B$4:$G$8,4,FALSE))</f>
        <v/>
      </c>
      <c r="S130" s="289" t="str">
        <f t="shared" si="8"/>
        <v/>
      </c>
      <c r="T130" s="320" t="str">
        <f t="shared" si="9"/>
        <v/>
      </c>
      <c r="U130" s="282" t="str">
        <f>IF(C130="","",VLOOKUP(T130,'G-3 Multipliers'!$P$2:$Q$6,2,FALSE))</f>
        <v/>
      </c>
      <c r="V130" s="106"/>
      <c r="W130" s="282" t="str">
        <f>IF(V130="","",IF(AND(V130="N/A - Culvert",C130&lt;&gt;"Culvert"),"Not possible ▲",IF(AND(C130="Culvert",V130&lt;&gt;"N/A - Culvert"),"Not possible ▲",IF(VLOOKUP(V130,'G-7 WaterC'' Data'!$AA$4:$AB$7,2,FALSE)=0,"Spatial Data Missing ⚠",VLOOKUP(V130,'G-7 WaterC'' Data'!$AA$4:$AB$7,2,FALSE)))))</f>
        <v/>
      </c>
      <c r="X130" s="56"/>
      <c r="Y130" s="282" t="str">
        <f>IF(X130="","",IF(AND(X130="N/A - Culvert", C130&lt;&gt;"Culvert"), "Not possible ▲",IF(AND(C130="Culvert",X130&lt;&gt;"N/A - Culvert"),"Not possible ▲",IF(VLOOKUP(X130,'G-7 WaterC'' Data'!$AD$4:$AE$14,2,FALSE)=0,"Enrcoachment Data Missing ⚠",VLOOKUP(X130,'G-7 WaterC'' Data'!$AD$4:$AE$14,2,FALSE)))))</f>
        <v/>
      </c>
      <c r="Z130" s="323" t="str">
        <f t="shared" si="10"/>
        <v/>
      </c>
      <c r="AA130" s="105"/>
      <c r="AB130" s="119"/>
      <c r="AC130" s="108"/>
      <c r="AH130" s="30" t="str">
        <f>IFERROR(INDEX('G-7 WaterC'' Data'!$AZ$3:$AZ$7,MATCH(C130,'G-7 WaterC'' Data'!$AY$3:$AY$7,0)),"")</f>
        <v/>
      </c>
      <c r="AK130" s="30" t="str">
        <f t="shared" si="11"/>
        <v>No</v>
      </c>
    </row>
    <row r="131" spans="2:37" ht="13.8" x14ac:dyDescent="0.25">
      <c r="B131" s="101">
        <v>120</v>
      </c>
      <c r="C131" s="950"/>
      <c r="D131" s="119"/>
      <c r="E131" s="281" t="str">
        <f>IF(C131="","",VLOOKUP(C131,'G-7 WaterC'' Data'!$B$2:$G$8,2,FALSE))</f>
        <v/>
      </c>
      <c r="F131" s="282" t="str">
        <f>IFERROR(VLOOKUP(E131,'G-7 WaterC'' Data'!$C$4:$D$8,2,FALSE),"")</f>
        <v/>
      </c>
      <c r="G131" s="105"/>
      <c r="H131" s="282" t="str">
        <f>IFERROR(INDEX('G-7 WaterC'' Data'!$H$4:$L$8,MATCH(C131,'G-7 WaterC'' Data'!$B$4:$B$8,0),MATCH(G131,'G-7 WaterC'' Data'!$H$3:$L$3,0)),"")</f>
        <v/>
      </c>
      <c r="I131" s="52"/>
      <c r="J131" s="289" t="str">
        <f>IF(I131="","",IF(VLOOKUP(I131,'G-7 WaterC'' Data'!$AK$4:$AM$6,2,FALSE)=0,"Spatial Data Missing ⚠",VLOOKUP(I131,'G-7 WaterC'' Data'!$AK$4:$AM$6,2,FALSE)))</f>
        <v/>
      </c>
      <c r="K131" s="282" t="str">
        <f>IF(I131="","",IF(VLOOKUP(I131,'G-7 WaterC'' Data'!$AK$4:$AM$6,3,FALSE)=0,"Spatial Data Missing ⚠",VLOOKUP(I131,'G-7 WaterC'' Data'!$AK$4:$AM$6,3,FALSE)))</f>
        <v/>
      </c>
      <c r="L131" s="281" t="str">
        <f>IFERROR(INDEX('G-7 WaterC'' Data'!$O$3:$O$7,MATCH(G131,'G-7 WaterC'' Data'!$N$3:$N$7,0)),"")</f>
        <v/>
      </c>
      <c r="M131" s="58"/>
      <c r="N131" s="137"/>
      <c r="O131" s="289" t="str">
        <f t="shared" si="6"/>
        <v/>
      </c>
      <c r="P131" s="302" t="str">
        <f t="shared" si="7"/>
        <v/>
      </c>
      <c r="Q131" s="340" t="str">
        <f>IFERROR(IF(P131="Check Data ⚠","Check Data ⚠",VLOOKUP(P131,'G-4 Temporal multipliers'!$A$4:$C$37,3,FALSE)),"")</f>
        <v/>
      </c>
      <c r="R131" s="281" t="str">
        <f>IF(C131="","",VLOOKUP(C131,'G-7 WaterC'' Data'!$B$4:$G$8,4,FALSE))</f>
        <v/>
      </c>
      <c r="S131" s="289" t="str">
        <f t="shared" si="8"/>
        <v/>
      </c>
      <c r="T131" s="320" t="str">
        <f t="shared" si="9"/>
        <v/>
      </c>
      <c r="U131" s="282" t="str">
        <f>IF(C131="","",VLOOKUP(T131,'G-3 Multipliers'!$P$2:$Q$6,2,FALSE))</f>
        <v/>
      </c>
      <c r="V131" s="106"/>
      <c r="W131" s="282" t="str">
        <f>IF(V131="","",IF(AND(V131="N/A - Culvert",C131&lt;&gt;"Culvert"),"Not possible ▲",IF(AND(C131="Culvert",V131&lt;&gt;"N/A - Culvert"),"Not possible ▲",IF(VLOOKUP(V131,'G-7 WaterC'' Data'!$AA$4:$AB$7,2,FALSE)=0,"Spatial Data Missing ⚠",VLOOKUP(V131,'G-7 WaterC'' Data'!$AA$4:$AB$7,2,FALSE)))))</f>
        <v/>
      </c>
      <c r="X131" s="56"/>
      <c r="Y131" s="282" t="str">
        <f>IF(X131="","",IF(AND(X131="N/A - Culvert", C131&lt;&gt;"Culvert"), "Not possible ▲",IF(AND(C131="Culvert",X131&lt;&gt;"N/A - Culvert"),"Not possible ▲",IF(VLOOKUP(X131,'G-7 WaterC'' Data'!$AD$4:$AE$14,2,FALSE)=0,"Enrcoachment Data Missing ⚠",VLOOKUP(X131,'G-7 WaterC'' Data'!$AD$4:$AE$14,2,FALSE)))))</f>
        <v/>
      </c>
      <c r="Z131" s="323" t="str">
        <f t="shared" si="10"/>
        <v/>
      </c>
      <c r="AA131" s="105"/>
      <c r="AB131" s="119"/>
      <c r="AC131" s="108"/>
      <c r="AH131" s="30" t="str">
        <f>IFERROR(INDEX('G-7 WaterC'' Data'!$AZ$3:$AZ$7,MATCH(C131,'G-7 WaterC'' Data'!$AY$3:$AY$7,0)),"")</f>
        <v/>
      </c>
      <c r="AK131" s="30" t="str">
        <f t="shared" si="11"/>
        <v>No</v>
      </c>
    </row>
    <row r="132" spans="2:37" ht="13.8" x14ac:dyDescent="0.25">
      <c r="B132" s="101">
        <v>121</v>
      </c>
      <c r="C132" s="950"/>
      <c r="D132" s="119"/>
      <c r="E132" s="281" t="str">
        <f>IF(C132="","",VLOOKUP(C132,'G-7 WaterC'' Data'!$B$2:$G$8,2,FALSE))</f>
        <v/>
      </c>
      <c r="F132" s="282" t="str">
        <f>IFERROR(VLOOKUP(E132,'G-7 WaterC'' Data'!$C$4:$D$8,2,FALSE),"")</f>
        <v/>
      </c>
      <c r="G132" s="105"/>
      <c r="H132" s="282" t="str">
        <f>IFERROR(INDEX('G-7 WaterC'' Data'!$H$4:$L$8,MATCH(C132,'G-7 WaterC'' Data'!$B$4:$B$8,0),MATCH(G132,'G-7 WaterC'' Data'!$H$3:$L$3,0)),"")</f>
        <v/>
      </c>
      <c r="I132" s="52"/>
      <c r="J132" s="289" t="str">
        <f>IF(I132="","",IF(VLOOKUP(I132,'G-7 WaterC'' Data'!$AK$4:$AM$6,2,FALSE)=0,"Spatial Data Missing ⚠",VLOOKUP(I132,'G-7 WaterC'' Data'!$AK$4:$AM$6,2,FALSE)))</f>
        <v/>
      </c>
      <c r="K132" s="282" t="str">
        <f>IF(I132="","",IF(VLOOKUP(I132,'G-7 WaterC'' Data'!$AK$4:$AM$6,3,FALSE)=0,"Spatial Data Missing ⚠",VLOOKUP(I132,'G-7 WaterC'' Data'!$AK$4:$AM$6,3,FALSE)))</f>
        <v/>
      </c>
      <c r="L132" s="281" t="str">
        <f>IFERROR(INDEX('G-7 WaterC'' Data'!$O$3:$O$7,MATCH(G132,'G-7 WaterC'' Data'!$N$3:$N$7,0)),"")</f>
        <v/>
      </c>
      <c r="M132" s="58"/>
      <c r="N132" s="137"/>
      <c r="O132" s="289" t="str">
        <f t="shared" si="6"/>
        <v/>
      </c>
      <c r="P132" s="302" t="str">
        <f t="shared" si="7"/>
        <v/>
      </c>
      <c r="Q132" s="340" t="str">
        <f>IFERROR(IF(P132="Check Data ⚠","Check Data ⚠",VLOOKUP(P132,'G-4 Temporal multipliers'!$A$4:$C$37,3,FALSE)),"")</f>
        <v/>
      </c>
      <c r="R132" s="281" t="str">
        <f>IF(C132="","",VLOOKUP(C132,'G-7 WaterC'' Data'!$B$4:$G$8,4,FALSE))</f>
        <v/>
      </c>
      <c r="S132" s="289" t="str">
        <f t="shared" si="8"/>
        <v/>
      </c>
      <c r="T132" s="320" t="str">
        <f t="shared" si="9"/>
        <v/>
      </c>
      <c r="U132" s="282" t="str">
        <f>IF(C132="","",VLOOKUP(T132,'G-3 Multipliers'!$P$2:$Q$6,2,FALSE))</f>
        <v/>
      </c>
      <c r="V132" s="106"/>
      <c r="W132" s="282" t="str">
        <f>IF(V132="","",IF(AND(V132="N/A - Culvert",C132&lt;&gt;"Culvert"),"Not possible ▲",IF(AND(C132="Culvert",V132&lt;&gt;"N/A - Culvert"),"Not possible ▲",IF(VLOOKUP(V132,'G-7 WaterC'' Data'!$AA$4:$AB$7,2,FALSE)=0,"Spatial Data Missing ⚠",VLOOKUP(V132,'G-7 WaterC'' Data'!$AA$4:$AB$7,2,FALSE)))))</f>
        <v/>
      </c>
      <c r="X132" s="56"/>
      <c r="Y132" s="282" t="str">
        <f>IF(X132="","",IF(AND(X132="N/A - Culvert", C132&lt;&gt;"Culvert"), "Not possible ▲",IF(AND(C132="Culvert",X132&lt;&gt;"N/A - Culvert"),"Not possible ▲",IF(VLOOKUP(X132,'G-7 WaterC'' Data'!$AD$4:$AE$14,2,FALSE)=0,"Enrcoachment Data Missing ⚠",VLOOKUP(X132,'G-7 WaterC'' Data'!$AD$4:$AE$14,2,FALSE)))))</f>
        <v/>
      </c>
      <c r="Z132" s="323" t="str">
        <f t="shared" si="10"/>
        <v/>
      </c>
      <c r="AA132" s="105"/>
      <c r="AB132" s="119"/>
      <c r="AC132" s="108"/>
      <c r="AH132" s="30" t="str">
        <f>IFERROR(INDEX('G-7 WaterC'' Data'!$AZ$3:$AZ$7,MATCH(C132,'G-7 WaterC'' Data'!$AY$3:$AY$7,0)),"")</f>
        <v/>
      </c>
      <c r="AK132" s="30" t="str">
        <f t="shared" si="11"/>
        <v>No</v>
      </c>
    </row>
    <row r="133" spans="2:37" ht="13.8" x14ac:dyDescent="0.25">
      <c r="B133" s="101">
        <v>122</v>
      </c>
      <c r="C133" s="950"/>
      <c r="D133" s="119"/>
      <c r="E133" s="281" t="str">
        <f>IF(C133="","",VLOOKUP(C133,'G-7 WaterC'' Data'!$B$2:$G$8,2,FALSE))</f>
        <v/>
      </c>
      <c r="F133" s="282" t="str">
        <f>IFERROR(VLOOKUP(E133,'G-7 WaterC'' Data'!$C$4:$D$8,2,FALSE),"")</f>
        <v/>
      </c>
      <c r="G133" s="105"/>
      <c r="H133" s="282" t="str">
        <f>IFERROR(INDEX('G-7 WaterC'' Data'!$H$4:$L$8,MATCH(C133,'G-7 WaterC'' Data'!$B$4:$B$8,0),MATCH(G133,'G-7 WaterC'' Data'!$H$3:$L$3,0)),"")</f>
        <v/>
      </c>
      <c r="I133" s="52"/>
      <c r="J133" s="289" t="str">
        <f>IF(I133="","",IF(VLOOKUP(I133,'G-7 WaterC'' Data'!$AK$4:$AM$6,2,FALSE)=0,"Spatial Data Missing ⚠",VLOOKUP(I133,'G-7 WaterC'' Data'!$AK$4:$AM$6,2,FALSE)))</f>
        <v/>
      </c>
      <c r="K133" s="282" t="str">
        <f>IF(I133="","",IF(VLOOKUP(I133,'G-7 WaterC'' Data'!$AK$4:$AM$6,3,FALSE)=0,"Spatial Data Missing ⚠",VLOOKUP(I133,'G-7 WaterC'' Data'!$AK$4:$AM$6,3,FALSE)))</f>
        <v/>
      </c>
      <c r="L133" s="281" t="str">
        <f>IFERROR(INDEX('G-7 WaterC'' Data'!$O$3:$O$7,MATCH(G133,'G-7 WaterC'' Data'!$N$3:$N$7,0)),"")</f>
        <v/>
      </c>
      <c r="M133" s="58"/>
      <c r="N133" s="137"/>
      <c r="O133" s="289" t="str">
        <f t="shared" si="6"/>
        <v/>
      </c>
      <c r="P133" s="302" t="str">
        <f t="shared" si="7"/>
        <v/>
      </c>
      <c r="Q133" s="340" t="str">
        <f>IFERROR(IF(P133="Check Data ⚠","Check Data ⚠",VLOOKUP(P133,'G-4 Temporal multipliers'!$A$4:$C$37,3,FALSE)),"")</f>
        <v/>
      </c>
      <c r="R133" s="281" t="str">
        <f>IF(C133="","",VLOOKUP(C133,'G-7 WaterC'' Data'!$B$4:$G$8,4,FALSE))</f>
        <v/>
      </c>
      <c r="S133" s="289" t="str">
        <f t="shared" si="8"/>
        <v/>
      </c>
      <c r="T133" s="320" t="str">
        <f t="shared" si="9"/>
        <v/>
      </c>
      <c r="U133" s="282" t="str">
        <f>IF(C133="","",VLOOKUP(T133,'G-3 Multipliers'!$P$2:$Q$6,2,FALSE))</f>
        <v/>
      </c>
      <c r="V133" s="106"/>
      <c r="W133" s="282" t="str">
        <f>IF(V133="","",IF(AND(V133="N/A - Culvert",C133&lt;&gt;"Culvert"),"Not possible ▲",IF(AND(C133="Culvert",V133&lt;&gt;"N/A - Culvert"),"Not possible ▲",IF(VLOOKUP(V133,'G-7 WaterC'' Data'!$AA$4:$AB$7,2,FALSE)=0,"Spatial Data Missing ⚠",VLOOKUP(V133,'G-7 WaterC'' Data'!$AA$4:$AB$7,2,FALSE)))))</f>
        <v/>
      </c>
      <c r="X133" s="56"/>
      <c r="Y133" s="282" t="str">
        <f>IF(X133="","",IF(AND(X133="N/A - Culvert", C133&lt;&gt;"Culvert"), "Not possible ▲",IF(AND(C133="Culvert",X133&lt;&gt;"N/A - Culvert"),"Not possible ▲",IF(VLOOKUP(X133,'G-7 WaterC'' Data'!$AD$4:$AE$14,2,FALSE)=0,"Enrcoachment Data Missing ⚠",VLOOKUP(X133,'G-7 WaterC'' Data'!$AD$4:$AE$14,2,FALSE)))))</f>
        <v/>
      </c>
      <c r="Z133" s="323" t="str">
        <f t="shared" si="10"/>
        <v/>
      </c>
      <c r="AA133" s="105"/>
      <c r="AB133" s="119"/>
      <c r="AC133" s="108"/>
      <c r="AH133" s="30" t="str">
        <f>IFERROR(INDEX('G-7 WaterC'' Data'!$AZ$3:$AZ$7,MATCH(C133,'G-7 WaterC'' Data'!$AY$3:$AY$7,0)),"")</f>
        <v/>
      </c>
      <c r="AK133" s="30" t="str">
        <f t="shared" si="11"/>
        <v>No</v>
      </c>
    </row>
    <row r="134" spans="2:37" ht="13.8" x14ac:dyDescent="0.25">
      <c r="B134" s="101">
        <v>123</v>
      </c>
      <c r="C134" s="950"/>
      <c r="D134" s="119"/>
      <c r="E134" s="281" t="str">
        <f>IF(C134="","",VLOOKUP(C134,'G-7 WaterC'' Data'!$B$2:$G$8,2,FALSE))</f>
        <v/>
      </c>
      <c r="F134" s="282" t="str">
        <f>IFERROR(VLOOKUP(E134,'G-7 WaterC'' Data'!$C$4:$D$8,2,FALSE),"")</f>
        <v/>
      </c>
      <c r="G134" s="105"/>
      <c r="H134" s="282" t="str">
        <f>IFERROR(INDEX('G-7 WaterC'' Data'!$H$4:$L$8,MATCH(C134,'G-7 WaterC'' Data'!$B$4:$B$8,0),MATCH(G134,'G-7 WaterC'' Data'!$H$3:$L$3,0)),"")</f>
        <v/>
      </c>
      <c r="I134" s="52"/>
      <c r="J134" s="289" t="str">
        <f>IF(I134="","",IF(VLOOKUP(I134,'G-7 WaterC'' Data'!$AK$4:$AM$6,2,FALSE)=0,"Spatial Data Missing ⚠",VLOOKUP(I134,'G-7 WaterC'' Data'!$AK$4:$AM$6,2,FALSE)))</f>
        <v/>
      </c>
      <c r="K134" s="282" t="str">
        <f>IF(I134="","",IF(VLOOKUP(I134,'G-7 WaterC'' Data'!$AK$4:$AM$6,3,FALSE)=0,"Spatial Data Missing ⚠",VLOOKUP(I134,'G-7 WaterC'' Data'!$AK$4:$AM$6,3,FALSE)))</f>
        <v/>
      </c>
      <c r="L134" s="281" t="str">
        <f>IFERROR(INDEX('G-7 WaterC'' Data'!$O$3:$O$7,MATCH(G134,'G-7 WaterC'' Data'!$N$3:$N$7,0)),"")</f>
        <v/>
      </c>
      <c r="M134" s="58"/>
      <c r="N134" s="137"/>
      <c r="O134" s="289" t="str">
        <f t="shared" si="6"/>
        <v/>
      </c>
      <c r="P134" s="302" t="str">
        <f t="shared" si="7"/>
        <v/>
      </c>
      <c r="Q134" s="340" t="str">
        <f>IFERROR(IF(P134="Check Data ⚠","Check Data ⚠",VLOOKUP(P134,'G-4 Temporal multipliers'!$A$4:$C$37,3,FALSE)),"")</f>
        <v/>
      </c>
      <c r="R134" s="281" t="str">
        <f>IF(C134="","",VLOOKUP(C134,'G-7 WaterC'' Data'!$B$4:$G$8,4,FALSE))</f>
        <v/>
      </c>
      <c r="S134" s="289" t="str">
        <f t="shared" si="8"/>
        <v/>
      </c>
      <c r="T134" s="320" t="str">
        <f t="shared" si="9"/>
        <v/>
      </c>
      <c r="U134" s="282" t="str">
        <f>IF(C134="","",VLOOKUP(T134,'G-3 Multipliers'!$P$2:$Q$6,2,FALSE))</f>
        <v/>
      </c>
      <c r="V134" s="106"/>
      <c r="W134" s="282" t="str">
        <f>IF(V134="","",IF(AND(V134="N/A - Culvert",C134&lt;&gt;"Culvert"),"Not possible ▲",IF(AND(C134="Culvert",V134&lt;&gt;"N/A - Culvert"),"Not possible ▲",IF(VLOOKUP(V134,'G-7 WaterC'' Data'!$AA$4:$AB$7,2,FALSE)=0,"Spatial Data Missing ⚠",VLOOKUP(V134,'G-7 WaterC'' Data'!$AA$4:$AB$7,2,FALSE)))))</f>
        <v/>
      </c>
      <c r="X134" s="56"/>
      <c r="Y134" s="282" t="str">
        <f>IF(X134="","",IF(AND(X134="N/A - Culvert", C134&lt;&gt;"Culvert"), "Not possible ▲",IF(AND(C134="Culvert",X134&lt;&gt;"N/A - Culvert"),"Not possible ▲",IF(VLOOKUP(X134,'G-7 WaterC'' Data'!$AD$4:$AE$14,2,FALSE)=0,"Enrcoachment Data Missing ⚠",VLOOKUP(X134,'G-7 WaterC'' Data'!$AD$4:$AE$14,2,FALSE)))))</f>
        <v/>
      </c>
      <c r="Z134" s="323" t="str">
        <f t="shared" si="10"/>
        <v/>
      </c>
      <c r="AA134" s="105"/>
      <c r="AB134" s="119"/>
      <c r="AC134" s="108"/>
      <c r="AH134" s="30" t="str">
        <f>IFERROR(INDEX('G-7 WaterC'' Data'!$AZ$3:$AZ$7,MATCH(C134,'G-7 WaterC'' Data'!$AY$3:$AY$7,0)),"")</f>
        <v/>
      </c>
      <c r="AK134" s="30" t="str">
        <f t="shared" si="11"/>
        <v>No</v>
      </c>
    </row>
    <row r="135" spans="2:37" ht="13.8" x14ac:dyDescent="0.25">
      <c r="B135" s="101">
        <v>124</v>
      </c>
      <c r="C135" s="950"/>
      <c r="D135" s="119"/>
      <c r="E135" s="281" t="str">
        <f>IF(C135="","",VLOOKUP(C135,'G-7 WaterC'' Data'!$B$2:$G$8,2,FALSE))</f>
        <v/>
      </c>
      <c r="F135" s="282" t="str">
        <f>IFERROR(VLOOKUP(E135,'G-7 WaterC'' Data'!$C$4:$D$8,2,FALSE),"")</f>
        <v/>
      </c>
      <c r="G135" s="105"/>
      <c r="H135" s="282" t="str">
        <f>IFERROR(INDEX('G-7 WaterC'' Data'!$H$4:$L$8,MATCH(C135,'G-7 WaterC'' Data'!$B$4:$B$8,0),MATCH(G135,'G-7 WaterC'' Data'!$H$3:$L$3,0)),"")</f>
        <v/>
      </c>
      <c r="I135" s="52"/>
      <c r="J135" s="289" t="str">
        <f>IF(I135="","",IF(VLOOKUP(I135,'G-7 WaterC'' Data'!$AK$4:$AM$6,2,FALSE)=0,"Spatial Data Missing ⚠",VLOOKUP(I135,'G-7 WaterC'' Data'!$AK$4:$AM$6,2,FALSE)))</f>
        <v/>
      </c>
      <c r="K135" s="282" t="str">
        <f>IF(I135="","",IF(VLOOKUP(I135,'G-7 WaterC'' Data'!$AK$4:$AM$6,3,FALSE)=0,"Spatial Data Missing ⚠",VLOOKUP(I135,'G-7 WaterC'' Data'!$AK$4:$AM$6,3,FALSE)))</f>
        <v/>
      </c>
      <c r="L135" s="281" t="str">
        <f>IFERROR(INDEX('G-7 WaterC'' Data'!$O$3:$O$7,MATCH(G135,'G-7 WaterC'' Data'!$N$3:$N$7,0)),"")</f>
        <v/>
      </c>
      <c r="M135" s="58"/>
      <c r="N135" s="137"/>
      <c r="O135" s="289" t="str">
        <f t="shared" si="6"/>
        <v/>
      </c>
      <c r="P135" s="302" t="str">
        <f t="shared" si="7"/>
        <v/>
      </c>
      <c r="Q135" s="340" t="str">
        <f>IFERROR(IF(P135="Check Data ⚠","Check Data ⚠",VLOOKUP(P135,'G-4 Temporal multipliers'!$A$4:$C$37,3,FALSE)),"")</f>
        <v/>
      </c>
      <c r="R135" s="281" t="str">
        <f>IF(C135="","",VLOOKUP(C135,'G-7 WaterC'' Data'!$B$4:$G$8,4,FALSE))</f>
        <v/>
      </c>
      <c r="S135" s="289" t="str">
        <f t="shared" si="8"/>
        <v/>
      </c>
      <c r="T135" s="320" t="str">
        <f t="shared" si="9"/>
        <v/>
      </c>
      <c r="U135" s="282" t="str">
        <f>IF(C135="","",VLOOKUP(T135,'G-3 Multipliers'!$P$2:$Q$6,2,FALSE))</f>
        <v/>
      </c>
      <c r="V135" s="106"/>
      <c r="W135" s="282" t="str">
        <f>IF(V135="","",IF(AND(V135="N/A - Culvert",C135&lt;&gt;"Culvert"),"Not possible ▲",IF(AND(C135="Culvert",V135&lt;&gt;"N/A - Culvert"),"Not possible ▲",IF(VLOOKUP(V135,'G-7 WaterC'' Data'!$AA$4:$AB$7,2,FALSE)=0,"Spatial Data Missing ⚠",VLOOKUP(V135,'G-7 WaterC'' Data'!$AA$4:$AB$7,2,FALSE)))))</f>
        <v/>
      </c>
      <c r="X135" s="56"/>
      <c r="Y135" s="282" t="str">
        <f>IF(X135="","",IF(AND(X135="N/A - Culvert", C135&lt;&gt;"Culvert"), "Not possible ▲",IF(AND(C135="Culvert",X135&lt;&gt;"N/A - Culvert"),"Not possible ▲",IF(VLOOKUP(X135,'G-7 WaterC'' Data'!$AD$4:$AE$14,2,FALSE)=0,"Enrcoachment Data Missing ⚠",VLOOKUP(X135,'G-7 WaterC'' Data'!$AD$4:$AE$14,2,FALSE)))))</f>
        <v/>
      </c>
      <c r="Z135" s="323" t="str">
        <f t="shared" si="10"/>
        <v/>
      </c>
      <c r="AA135" s="105"/>
      <c r="AB135" s="119"/>
      <c r="AC135" s="108"/>
      <c r="AH135" s="30" t="str">
        <f>IFERROR(INDEX('G-7 WaterC'' Data'!$AZ$3:$AZ$7,MATCH(C135,'G-7 WaterC'' Data'!$AY$3:$AY$7,0)),"")</f>
        <v/>
      </c>
      <c r="AK135" s="30" t="str">
        <f t="shared" si="11"/>
        <v>No</v>
      </c>
    </row>
    <row r="136" spans="2:37" ht="13.8" x14ac:dyDescent="0.25">
      <c r="B136" s="101">
        <v>125</v>
      </c>
      <c r="C136" s="950"/>
      <c r="D136" s="119"/>
      <c r="E136" s="281" t="str">
        <f>IF(C136="","",VLOOKUP(C136,'G-7 WaterC'' Data'!$B$2:$G$8,2,FALSE))</f>
        <v/>
      </c>
      <c r="F136" s="282" t="str">
        <f>IFERROR(VLOOKUP(E136,'G-7 WaterC'' Data'!$C$4:$D$8,2,FALSE),"")</f>
        <v/>
      </c>
      <c r="G136" s="105"/>
      <c r="H136" s="282" t="str">
        <f>IFERROR(INDEX('G-7 WaterC'' Data'!$H$4:$L$8,MATCH(C136,'G-7 WaterC'' Data'!$B$4:$B$8,0),MATCH(G136,'G-7 WaterC'' Data'!$H$3:$L$3,0)),"")</f>
        <v/>
      </c>
      <c r="I136" s="52"/>
      <c r="J136" s="289" t="str">
        <f>IF(I136="","",IF(VLOOKUP(I136,'G-7 WaterC'' Data'!$AK$4:$AM$6,2,FALSE)=0,"Spatial Data Missing ⚠",VLOOKUP(I136,'G-7 WaterC'' Data'!$AK$4:$AM$6,2,FALSE)))</f>
        <v/>
      </c>
      <c r="K136" s="282" t="str">
        <f>IF(I136="","",IF(VLOOKUP(I136,'G-7 WaterC'' Data'!$AK$4:$AM$6,3,FALSE)=0,"Spatial Data Missing ⚠",VLOOKUP(I136,'G-7 WaterC'' Data'!$AK$4:$AM$6,3,FALSE)))</f>
        <v/>
      </c>
      <c r="L136" s="281" t="str">
        <f>IFERROR(INDEX('G-7 WaterC'' Data'!$O$3:$O$7,MATCH(G136,'G-7 WaterC'' Data'!$N$3:$N$7,0)),"")</f>
        <v/>
      </c>
      <c r="M136" s="58"/>
      <c r="N136" s="137"/>
      <c r="O136" s="289" t="str">
        <f t="shared" si="6"/>
        <v/>
      </c>
      <c r="P136" s="302" t="str">
        <f t="shared" si="7"/>
        <v/>
      </c>
      <c r="Q136" s="340" t="str">
        <f>IFERROR(IF(P136="Check Data ⚠","Check Data ⚠",VLOOKUP(P136,'G-4 Temporal multipliers'!$A$4:$C$37,3,FALSE)),"")</f>
        <v/>
      </c>
      <c r="R136" s="281" t="str">
        <f>IF(C136="","",VLOOKUP(C136,'G-7 WaterC'' Data'!$B$4:$G$8,4,FALSE))</f>
        <v/>
      </c>
      <c r="S136" s="289" t="str">
        <f t="shared" si="8"/>
        <v/>
      </c>
      <c r="T136" s="320" t="str">
        <f t="shared" si="9"/>
        <v/>
      </c>
      <c r="U136" s="282" t="str">
        <f>IF(C136="","",VLOOKUP(T136,'G-3 Multipliers'!$P$2:$Q$6,2,FALSE))</f>
        <v/>
      </c>
      <c r="V136" s="106"/>
      <c r="W136" s="282" t="str">
        <f>IF(V136="","",IF(AND(V136="N/A - Culvert",C136&lt;&gt;"Culvert"),"Not possible ▲",IF(AND(C136="Culvert",V136&lt;&gt;"N/A - Culvert"),"Not possible ▲",IF(VLOOKUP(V136,'G-7 WaterC'' Data'!$AA$4:$AB$7,2,FALSE)=0,"Spatial Data Missing ⚠",VLOOKUP(V136,'G-7 WaterC'' Data'!$AA$4:$AB$7,2,FALSE)))))</f>
        <v/>
      </c>
      <c r="X136" s="56"/>
      <c r="Y136" s="282" t="str">
        <f>IF(X136="","",IF(AND(X136="N/A - Culvert", C136&lt;&gt;"Culvert"), "Not possible ▲",IF(AND(C136="Culvert",X136&lt;&gt;"N/A - Culvert"),"Not possible ▲",IF(VLOOKUP(X136,'G-7 WaterC'' Data'!$AD$4:$AE$14,2,FALSE)=0,"Enrcoachment Data Missing ⚠",VLOOKUP(X136,'G-7 WaterC'' Data'!$AD$4:$AE$14,2,FALSE)))))</f>
        <v/>
      </c>
      <c r="Z136" s="323" t="str">
        <f t="shared" si="10"/>
        <v/>
      </c>
      <c r="AA136" s="105"/>
      <c r="AB136" s="119"/>
      <c r="AC136" s="108"/>
      <c r="AH136" s="30" t="str">
        <f>IFERROR(INDEX('G-7 WaterC'' Data'!$AZ$3:$AZ$7,MATCH(C136,'G-7 WaterC'' Data'!$AY$3:$AY$7,0)),"")</f>
        <v/>
      </c>
      <c r="AK136" s="30" t="str">
        <f t="shared" si="11"/>
        <v>No</v>
      </c>
    </row>
    <row r="137" spans="2:37" ht="13.8" x14ac:dyDescent="0.25">
      <c r="B137" s="101">
        <v>126</v>
      </c>
      <c r="C137" s="950"/>
      <c r="D137" s="119"/>
      <c r="E137" s="281" t="str">
        <f>IF(C137="","",VLOOKUP(C137,'G-7 WaterC'' Data'!$B$2:$G$8,2,FALSE))</f>
        <v/>
      </c>
      <c r="F137" s="282" t="str">
        <f>IFERROR(VLOOKUP(E137,'G-7 WaterC'' Data'!$C$4:$D$8,2,FALSE),"")</f>
        <v/>
      </c>
      <c r="G137" s="105"/>
      <c r="H137" s="282" t="str">
        <f>IFERROR(INDEX('G-7 WaterC'' Data'!$H$4:$L$8,MATCH(C137,'G-7 WaterC'' Data'!$B$4:$B$8,0),MATCH(G137,'G-7 WaterC'' Data'!$H$3:$L$3,0)),"")</f>
        <v/>
      </c>
      <c r="I137" s="52"/>
      <c r="J137" s="289" t="str">
        <f>IF(I137="","",IF(VLOOKUP(I137,'G-7 WaterC'' Data'!$AK$4:$AM$6,2,FALSE)=0,"Spatial Data Missing ⚠",VLOOKUP(I137,'G-7 WaterC'' Data'!$AK$4:$AM$6,2,FALSE)))</f>
        <v/>
      </c>
      <c r="K137" s="282" t="str">
        <f>IF(I137="","",IF(VLOOKUP(I137,'G-7 WaterC'' Data'!$AK$4:$AM$6,3,FALSE)=0,"Spatial Data Missing ⚠",VLOOKUP(I137,'G-7 WaterC'' Data'!$AK$4:$AM$6,3,FALSE)))</f>
        <v/>
      </c>
      <c r="L137" s="281" t="str">
        <f>IFERROR(INDEX('G-7 WaterC'' Data'!$O$3:$O$7,MATCH(G137,'G-7 WaterC'' Data'!$N$3:$N$7,0)),"")</f>
        <v/>
      </c>
      <c r="M137" s="58"/>
      <c r="N137" s="137"/>
      <c r="O137" s="289" t="str">
        <f t="shared" si="6"/>
        <v/>
      </c>
      <c r="P137" s="302" t="str">
        <f t="shared" si="7"/>
        <v/>
      </c>
      <c r="Q137" s="340" t="str">
        <f>IFERROR(IF(P137="Check Data ⚠","Check Data ⚠",VLOOKUP(P137,'G-4 Temporal multipliers'!$A$4:$C$37,3,FALSE)),"")</f>
        <v/>
      </c>
      <c r="R137" s="281" t="str">
        <f>IF(C137="","",VLOOKUP(C137,'G-7 WaterC'' Data'!$B$4:$G$8,4,FALSE))</f>
        <v/>
      </c>
      <c r="S137" s="289" t="str">
        <f t="shared" si="8"/>
        <v/>
      </c>
      <c r="T137" s="320" t="str">
        <f t="shared" si="9"/>
        <v/>
      </c>
      <c r="U137" s="282" t="str">
        <f>IF(C137="","",VLOOKUP(T137,'G-3 Multipliers'!$P$2:$Q$6,2,FALSE))</f>
        <v/>
      </c>
      <c r="V137" s="106"/>
      <c r="W137" s="282" t="str">
        <f>IF(V137="","",IF(AND(V137="N/A - Culvert",C137&lt;&gt;"Culvert"),"Not possible ▲",IF(AND(C137="Culvert",V137&lt;&gt;"N/A - Culvert"),"Not possible ▲",IF(VLOOKUP(V137,'G-7 WaterC'' Data'!$AA$4:$AB$7,2,FALSE)=0,"Spatial Data Missing ⚠",VLOOKUP(V137,'G-7 WaterC'' Data'!$AA$4:$AB$7,2,FALSE)))))</f>
        <v/>
      </c>
      <c r="X137" s="56"/>
      <c r="Y137" s="282" t="str">
        <f>IF(X137="","",IF(AND(X137="N/A - Culvert", C137&lt;&gt;"Culvert"), "Not possible ▲",IF(AND(C137="Culvert",X137&lt;&gt;"N/A - Culvert"),"Not possible ▲",IF(VLOOKUP(X137,'G-7 WaterC'' Data'!$AD$4:$AE$14,2,FALSE)=0,"Enrcoachment Data Missing ⚠",VLOOKUP(X137,'G-7 WaterC'' Data'!$AD$4:$AE$14,2,FALSE)))))</f>
        <v/>
      </c>
      <c r="Z137" s="323" t="str">
        <f t="shared" si="10"/>
        <v/>
      </c>
      <c r="AA137" s="105"/>
      <c r="AB137" s="119"/>
      <c r="AC137" s="108"/>
      <c r="AH137" s="30" t="str">
        <f>IFERROR(INDEX('G-7 WaterC'' Data'!$AZ$3:$AZ$7,MATCH(C137,'G-7 WaterC'' Data'!$AY$3:$AY$7,0)),"")</f>
        <v/>
      </c>
      <c r="AK137" s="30" t="str">
        <f t="shared" si="11"/>
        <v>No</v>
      </c>
    </row>
    <row r="138" spans="2:37" ht="13.8" x14ac:dyDescent="0.25">
      <c r="B138" s="101">
        <v>127</v>
      </c>
      <c r="C138" s="950"/>
      <c r="D138" s="119"/>
      <c r="E138" s="281" t="str">
        <f>IF(C138="","",VLOOKUP(C138,'G-7 WaterC'' Data'!$B$2:$G$8,2,FALSE))</f>
        <v/>
      </c>
      <c r="F138" s="282" t="str">
        <f>IFERROR(VLOOKUP(E138,'G-7 WaterC'' Data'!$C$4:$D$8,2,FALSE),"")</f>
        <v/>
      </c>
      <c r="G138" s="105"/>
      <c r="H138" s="282" t="str">
        <f>IFERROR(INDEX('G-7 WaterC'' Data'!$H$4:$L$8,MATCH(C138,'G-7 WaterC'' Data'!$B$4:$B$8,0),MATCH(G138,'G-7 WaterC'' Data'!$H$3:$L$3,0)),"")</f>
        <v/>
      </c>
      <c r="I138" s="52"/>
      <c r="J138" s="289" t="str">
        <f>IF(I138="","",IF(VLOOKUP(I138,'G-7 WaterC'' Data'!$AK$4:$AM$6,2,FALSE)=0,"Spatial Data Missing ⚠",VLOOKUP(I138,'G-7 WaterC'' Data'!$AK$4:$AM$6,2,FALSE)))</f>
        <v/>
      </c>
      <c r="K138" s="282" t="str">
        <f>IF(I138="","",IF(VLOOKUP(I138,'G-7 WaterC'' Data'!$AK$4:$AM$6,3,FALSE)=0,"Spatial Data Missing ⚠",VLOOKUP(I138,'G-7 WaterC'' Data'!$AK$4:$AM$6,3,FALSE)))</f>
        <v/>
      </c>
      <c r="L138" s="281" t="str">
        <f>IFERROR(INDEX('G-7 WaterC'' Data'!$O$3:$O$7,MATCH(G138,'G-7 WaterC'' Data'!$N$3:$N$7,0)),"")</f>
        <v/>
      </c>
      <c r="M138" s="58"/>
      <c r="N138" s="137"/>
      <c r="O138" s="289" t="str">
        <f t="shared" si="6"/>
        <v/>
      </c>
      <c r="P138" s="302" t="str">
        <f t="shared" si="7"/>
        <v/>
      </c>
      <c r="Q138" s="340" t="str">
        <f>IFERROR(IF(P138="Check Data ⚠","Check Data ⚠",VLOOKUP(P138,'G-4 Temporal multipliers'!$A$4:$C$37,3,FALSE)),"")</f>
        <v/>
      </c>
      <c r="R138" s="281" t="str">
        <f>IF(C138="","",VLOOKUP(C138,'G-7 WaterC'' Data'!$B$4:$G$8,4,FALSE))</f>
        <v/>
      </c>
      <c r="S138" s="289" t="str">
        <f t="shared" si="8"/>
        <v/>
      </c>
      <c r="T138" s="320" t="str">
        <f t="shared" si="9"/>
        <v/>
      </c>
      <c r="U138" s="282" t="str">
        <f>IF(C138="","",VLOOKUP(T138,'G-3 Multipliers'!$P$2:$Q$6,2,FALSE))</f>
        <v/>
      </c>
      <c r="V138" s="106"/>
      <c r="W138" s="282" t="str">
        <f>IF(V138="","",IF(AND(V138="N/A - Culvert",C138&lt;&gt;"Culvert"),"Not possible ▲",IF(AND(C138="Culvert",V138&lt;&gt;"N/A - Culvert"),"Not possible ▲",IF(VLOOKUP(V138,'G-7 WaterC'' Data'!$AA$4:$AB$7,2,FALSE)=0,"Spatial Data Missing ⚠",VLOOKUP(V138,'G-7 WaterC'' Data'!$AA$4:$AB$7,2,FALSE)))))</f>
        <v/>
      </c>
      <c r="X138" s="56"/>
      <c r="Y138" s="282" t="str">
        <f>IF(X138="","",IF(AND(X138="N/A - Culvert", C138&lt;&gt;"Culvert"), "Not possible ▲",IF(AND(C138="Culvert",X138&lt;&gt;"N/A - Culvert"),"Not possible ▲",IF(VLOOKUP(X138,'G-7 WaterC'' Data'!$AD$4:$AE$14,2,FALSE)=0,"Enrcoachment Data Missing ⚠",VLOOKUP(X138,'G-7 WaterC'' Data'!$AD$4:$AE$14,2,FALSE)))))</f>
        <v/>
      </c>
      <c r="Z138" s="323" t="str">
        <f t="shared" si="10"/>
        <v/>
      </c>
      <c r="AA138" s="105"/>
      <c r="AB138" s="119"/>
      <c r="AC138" s="108"/>
      <c r="AH138" s="30" t="str">
        <f>IFERROR(INDEX('G-7 WaterC'' Data'!$AZ$3:$AZ$7,MATCH(C138,'G-7 WaterC'' Data'!$AY$3:$AY$7,0)),"")</f>
        <v/>
      </c>
      <c r="AK138" s="30" t="str">
        <f t="shared" si="11"/>
        <v>No</v>
      </c>
    </row>
    <row r="139" spans="2:37" ht="13.8" x14ac:dyDescent="0.25">
      <c r="B139" s="101">
        <v>128</v>
      </c>
      <c r="C139" s="950"/>
      <c r="D139" s="119"/>
      <c r="E139" s="281" t="str">
        <f>IF(C139="","",VLOOKUP(C139,'G-7 WaterC'' Data'!$B$2:$G$8,2,FALSE))</f>
        <v/>
      </c>
      <c r="F139" s="282" t="str">
        <f>IFERROR(VLOOKUP(E139,'G-7 WaterC'' Data'!$C$4:$D$8,2,FALSE),"")</f>
        <v/>
      </c>
      <c r="G139" s="105"/>
      <c r="H139" s="282" t="str">
        <f>IFERROR(INDEX('G-7 WaterC'' Data'!$H$4:$L$8,MATCH(C139,'G-7 WaterC'' Data'!$B$4:$B$8,0),MATCH(G139,'G-7 WaterC'' Data'!$H$3:$L$3,0)),"")</f>
        <v/>
      </c>
      <c r="I139" s="52"/>
      <c r="J139" s="289" t="str">
        <f>IF(I139="","",IF(VLOOKUP(I139,'G-7 WaterC'' Data'!$AK$4:$AM$6,2,FALSE)=0,"Spatial Data Missing ⚠",VLOOKUP(I139,'G-7 WaterC'' Data'!$AK$4:$AM$6,2,FALSE)))</f>
        <v/>
      </c>
      <c r="K139" s="282" t="str">
        <f>IF(I139="","",IF(VLOOKUP(I139,'G-7 WaterC'' Data'!$AK$4:$AM$6,3,FALSE)=0,"Spatial Data Missing ⚠",VLOOKUP(I139,'G-7 WaterC'' Data'!$AK$4:$AM$6,3,FALSE)))</f>
        <v/>
      </c>
      <c r="L139" s="281" t="str">
        <f>IFERROR(INDEX('G-7 WaterC'' Data'!$O$3:$O$7,MATCH(G139,'G-7 WaterC'' Data'!$N$3:$N$7,0)),"")</f>
        <v/>
      </c>
      <c r="M139" s="58"/>
      <c r="N139" s="137"/>
      <c r="O139" s="289" t="str">
        <f t="shared" si="6"/>
        <v/>
      </c>
      <c r="P139" s="302" t="str">
        <f t="shared" si="7"/>
        <v/>
      </c>
      <c r="Q139" s="340" t="str">
        <f>IFERROR(IF(P139="Check Data ⚠","Check Data ⚠",VLOOKUP(P139,'G-4 Temporal multipliers'!$A$4:$C$37,3,FALSE)),"")</f>
        <v/>
      </c>
      <c r="R139" s="281" t="str">
        <f>IF(C139="","",VLOOKUP(C139,'G-7 WaterC'' Data'!$B$4:$G$8,4,FALSE))</f>
        <v/>
      </c>
      <c r="S139" s="289" t="str">
        <f t="shared" si="8"/>
        <v/>
      </c>
      <c r="T139" s="320" t="str">
        <f t="shared" si="9"/>
        <v/>
      </c>
      <c r="U139" s="282" t="str">
        <f>IF(C139="","",VLOOKUP(T139,'G-3 Multipliers'!$P$2:$Q$6,2,FALSE))</f>
        <v/>
      </c>
      <c r="V139" s="106"/>
      <c r="W139" s="282" t="str">
        <f>IF(V139="","",IF(AND(V139="N/A - Culvert",C139&lt;&gt;"Culvert"),"Not possible ▲",IF(AND(C139="Culvert",V139&lt;&gt;"N/A - Culvert"),"Not possible ▲",IF(VLOOKUP(V139,'G-7 WaterC'' Data'!$AA$4:$AB$7,2,FALSE)=0,"Spatial Data Missing ⚠",VLOOKUP(V139,'G-7 WaterC'' Data'!$AA$4:$AB$7,2,FALSE)))))</f>
        <v/>
      </c>
      <c r="X139" s="56"/>
      <c r="Y139" s="282" t="str">
        <f>IF(X139="","",IF(AND(X139="N/A - Culvert", C139&lt;&gt;"Culvert"), "Not possible ▲",IF(AND(C139="Culvert",X139&lt;&gt;"N/A - Culvert"),"Not possible ▲",IF(VLOOKUP(X139,'G-7 WaterC'' Data'!$AD$4:$AE$14,2,FALSE)=0,"Enrcoachment Data Missing ⚠",VLOOKUP(X139,'G-7 WaterC'' Data'!$AD$4:$AE$14,2,FALSE)))))</f>
        <v/>
      </c>
      <c r="Z139" s="323" t="str">
        <f t="shared" si="10"/>
        <v/>
      </c>
      <c r="AA139" s="105"/>
      <c r="AB139" s="119"/>
      <c r="AC139" s="108"/>
      <c r="AH139" s="30" t="str">
        <f>IFERROR(INDEX('G-7 WaterC'' Data'!$AZ$3:$AZ$7,MATCH(C139,'G-7 WaterC'' Data'!$AY$3:$AY$7,0)),"")</f>
        <v/>
      </c>
      <c r="AK139" s="30" t="str">
        <f t="shared" si="11"/>
        <v>No</v>
      </c>
    </row>
    <row r="140" spans="2:37" ht="13.8" x14ac:dyDescent="0.25">
      <c r="B140" s="101">
        <v>129</v>
      </c>
      <c r="C140" s="950"/>
      <c r="D140" s="119"/>
      <c r="E140" s="281" t="str">
        <f>IF(C140="","",VLOOKUP(C140,'G-7 WaterC'' Data'!$B$2:$G$8,2,FALSE))</f>
        <v/>
      </c>
      <c r="F140" s="282" t="str">
        <f>IFERROR(VLOOKUP(E140,'G-7 WaterC'' Data'!$C$4:$D$8,2,FALSE),"")</f>
        <v/>
      </c>
      <c r="G140" s="105"/>
      <c r="H140" s="282" t="str">
        <f>IFERROR(INDEX('G-7 WaterC'' Data'!$H$4:$L$8,MATCH(C140,'G-7 WaterC'' Data'!$B$4:$B$8,0),MATCH(G140,'G-7 WaterC'' Data'!$H$3:$L$3,0)),"")</f>
        <v/>
      </c>
      <c r="I140" s="52"/>
      <c r="J140" s="289" t="str">
        <f>IF(I140="","",IF(VLOOKUP(I140,'G-7 WaterC'' Data'!$AK$4:$AM$6,2,FALSE)=0,"Spatial Data Missing ⚠",VLOOKUP(I140,'G-7 WaterC'' Data'!$AK$4:$AM$6,2,FALSE)))</f>
        <v/>
      </c>
      <c r="K140" s="282" t="str">
        <f>IF(I140="","",IF(VLOOKUP(I140,'G-7 WaterC'' Data'!$AK$4:$AM$6,3,FALSE)=0,"Spatial Data Missing ⚠",VLOOKUP(I140,'G-7 WaterC'' Data'!$AK$4:$AM$6,3,FALSE)))</f>
        <v/>
      </c>
      <c r="L140" s="281" t="str">
        <f>IFERROR(INDEX('G-7 WaterC'' Data'!$O$3:$O$7,MATCH(G140,'G-7 WaterC'' Data'!$N$3:$N$7,0)),"")</f>
        <v/>
      </c>
      <c r="M140" s="58"/>
      <c r="N140" s="137"/>
      <c r="O140" s="289" t="str">
        <f t="shared" si="6"/>
        <v/>
      </c>
      <c r="P140" s="302" t="str">
        <f t="shared" si="7"/>
        <v/>
      </c>
      <c r="Q140" s="340" t="str">
        <f>IFERROR(IF(P140="Check Data ⚠","Check Data ⚠",VLOOKUP(P140,'G-4 Temporal multipliers'!$A$4:$C$37,3,FALSE)),"")</f>
        <v/>
      </c>
      <c r="R140" s="281" t="str">
        <f>IF(C140="","",VLOOKUP(C140,'G-7 WaterC'' Data'!$B$4:$G$8,4,FALSE))</f>
        <v/>
      </c>
      <c r="S140" s="289" t="str">
        <f t="shared" si="8"/>
        <v/>
      </c>
      <c r="T140" s="320" t="str">
        <f t="shared" si="9"/>
        <v/>
      </c>
      <c r="U140" s="282" t="str">
        <f>IF(C140="","",VLOOKUP(T140,'G-3 Multipliers'!$P$2:$Q$6,2,FALSE))</f>
        <v/>
      </c>
      <c r="V140" s="106"/>
      <c r="W140" s="282" t="str">
        <f>IF(V140="","",IF(AND(V140="N/A - Culvert",C140&lt;&gt;"Culvert"),"Not possible ▲",IF(AND(C140="Culvert",V140&lt;&gt;"N/A - Culvert"),"Not possible ▲",IF(VLOOKUP(V140,'G-7 WaterC'' Data'!$AA$4:$AB$7,2,FALSE)=0,"Spatial Data Missing ⚠",VLOOKUP(V140,'G-7 WaterC'' Data'!$AA$4:$AB$7,2,FALSE)))))</f>
        <v/>
      </c>
      <c r="X140" s="56"/>
      <c r="Y140" s="282" t="str">
        <f>IF(X140="","",IF(AND(X140="N/A - Culvert", C140&lt;&gt;"Culvert"), "Not possible ▲",IF(AND(C140="Culvert",X140&lt;&gt;"N/A - Culvert"),"Not possible ▲",IF(VLOOKUP(X140,'G-7 WaterC'' Data'!$AD$4:$AE$14,2,FALSE)=0,"Enrcoachment Data Missing ⚠",VLOOKUP(X140,'G-7 WaterC'' Data'!$AD$4:$AE$14,2,FALSE)))))</f>
        <v/>
      </c>
      <c r="Z140" s="323" t="str">
        <f t="shared" si="10"/>
        <v/>
      </c>
      <c r="AA140" s="105"/>
      <c r="AB140" s="119"/>
      <c r="AC140" s="108"/>
      <c r="AH140" s="30" t="str">
        <f>IFERROR(INDEX('G-7 WaterC'' Data'!$AZ$3:$AZ$7,MATCH(C140,'G-7 WaterC'' Data'!$AY$3:$AY$7,0)),"")</f>
        <v/>
      </c>
      <c r="AK140" s="30" t="str">
        <f t="shared" si="11"/>
        <v>No</v>
      </c>
    </row>
    <row r="141" spans="2:37" ht="13.8" x14ac:dyDescent="0.25">
      <c r="B141" s="101">
        <v>130</v>
      </c>
      <c r="C141" s="950"/>
      <c r="D141" s="119"/>
      <c r="E141" s="281" t="str">
        <f>IF(C141="","",VLOOKUP(C141,'G-7 WaterC'' Data'!$B$2:$G$8,2,FALSE))</f>
        <v/>
      </c>
      <c r="F141" s="282" t="str">
        <f>IFERROR(VLOOKUP(E141,'G-7 WaterC'' Data'!$C$4:$D$8,2,FALSE),"")</f>
        <v/>
      </c>
      <c r="G141" s="105"/>
      <c r="H141" s="282" t="str">
        <f>IFERROR(INDEX('G-7 WaterC'' Data'!$H$4:$L$8,MATCH(C141,'G-7 WaterC'' Data'!$B$4:$B$8,0),MATCH(G141,'G-7 WaterC'' Data'!$H$3:$L$3,0)),"")</f>
        <v/>
      </c>
      <c r="I141" s="52"/>
      <c r="J141" s="289" t="str">
        <f>IF(I141="","",IF(VLOOKUP(I141,'G-7 WaterC'' Data'!$AK$4:$AM$6,2,FALSE)=0,"Spatial Data Missing ⚠",VLOOKUP(I141,'G-7 WaterC'' Data'!$AK$4:$AM$6,2,FALSE)))</f>
        <v/>
      </c>
      <c r="K141" s="282" t="str">
        <f>IF(I141="","",IF(VLOOKUP(I141,'G-7 WaterC'' Data'!$AK$4:$AM$6,3,FALSE)=0,"Spatial Data Missing ⚠",VLOOKUP(I141,'G-7 WaterC'' Data'!$AK$4:$AM$6,3,FALSE)))</f>
        <v/>
      </c>
      <c r="L141" s="281" t="str">
        <f>IFERROR(INDEX('G-7 WaterC'' Data'!$O$3:$O$7,MATCH(G141,'G-7 WaterC'' Data'!$N$3:$N$7,0)),"")</f>
        <v/>
      </c>
      <c r="M141" s="58"/>
      <c r="N141" s="137"/>
      <c r="O141" s="289"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02" t="str">
        <f t="shared" ref="P141:P204" si="13">IF(O141="Error -both advance and delayed habitat creation ▲","Check Data ⚠",IF(L141="","",IF(M141="30+",0,IF(N141="30+","30+",IF(L141+N141&gt;30,"30+ ",IF(L141+N141-M141&gt;0,L141+N141-M141,IF(L141-M141&lt;0,0,L141+N141-M141)))))))</f>
        <v/>
      </c>
      <c r="Q141" s="340" t="str">
        <f>IFERROR(IF(P141="Check Data ⚠","Check Data ⚠",VLOOKUP(P141,'G-4 Temporal multipliers'!$A$4:$C$37,3,FALSE)),"")</f>
        <v/>
      </c>
      <c r="R141" s="281" t="str">
        <f>IF(C141="","",VLOOKUP(C141,'G-7 WaterC'' Data'!$B$4:$G$8,4,FALSE))</f>
        <v/>
      </c>
      <c r="S141" s="289" t="str">
        <f t="shared" ref="S141:S204" si="14">IF(C141="","",IF(P141="Check Data ⚠","Check Data ⚠",IF(G141="","",IF($O141="Check details - Is there evidence that habitat has reached target condition? ⚠","Low Difficulty - only applicable if all habitat created before losses ⚠","Standard difficulty applied"))))</f>
        <v/>
      </c>
      <c r="T141" s="320" t="str">
        <f t="shared" ref="T141:T204" si="15">(IF(AND(S141="Standard difficulty applied",L141&gt;M141),R141,IF(AND(S141="Low Difficulty - only applicable if all habitat created before losses ⚠",M141&gt;=L141),"Low",R141)))</f>
        <v/>
      </c>
      <c r="U141" s="282" t="str">
        <f>IF(C141="","",VLOOKUP(T141,'G-3 Multipliers'!$P$2:$Q$6,2,FALSE))</f>
        <v/>
      </c>
      <c r="V141" s="106"/>
      <c r="W141" s="282" t="str">
        <f>IF(V141="","",IF(AND(V141="N/A - Culvert",C141&lt;&gt;"Culvert"),"Not possible ▲",IF(AND(C141="Culvert",V141&lt;&gt;"N/A - Culvert"),"Not possible ▲",IF(VLOOKUP(V141,'G-7 WaterC'' Data'!$AA$4:$AB$7,2,FALSE)=0,"Spatial Data Missing ⚠",VLOOKUP(V141,'G-7 WaterC'' Data'!$AA$4:$AB$7,2,FALSE)))))</f>
        <v/>
      </c>
      <c r="X141" s="56"/>
      <c r="Y141" s="282" t="str">
        <f>IF(X141="","",IF(AND(X141="N/A - Culvert", C141&lt;&gt;"Culvert"), "Not possible ▲",IF(AND(C141="Culvert",X141&lt;&gt;"N/A - Culvert"),"Not possible ▲",IF(VLOOKUP(X141,'G-7 WaterC'' Data'!$AD$4:$AE$14,2,FALSE)=0,"Enrcoachment Data Missing ⚠",VLOOKUP(X141,'G-7 WaterC'' Data'!$AD$4:$AE$14,2,FALSE)))))</f>
        <v/>
      </c>
      <c r="Z141" s="323" t="str">
        <f t="shared" ref="Z141:Z204" si="16">IFERROR(IF(C141="","",D141*F141*H141*K141*Q141*U141*Y141*W141),"")</f>
        <v/>
      </c>
      <c r="AA141" s="105"/>
      <c r="AB141" s="119"/>
      <c r="AC141" s="108"/>
      <c r="AH141" s="30" t="str">
        <f>IFERROR(INDEX('G-7 WaterC'' Data'!$AZ$3:$AZ$7,MATCH(C141,'G-7 WaterC'' Data'!$AY$3:$AY$7,0)),"")</f>
        <v/>
      </c>
      <c r="AK141" s="30" t="str">
        <f t="shared" ref="AK141:AK204" si="17">IF(AND(C141="Ditches",(OR(G141="Fairly Poor",G141="Fairly Good"))), "Yes", "No")</f>
        <v>No</v>
      </c>
    </row>
    <row r="142" spans="2:37" ht="13.8" x14ac:dyDescent="0.25">
      <c r="B142" s="101">
        <v>131</v>
      </c>
      <c r="C142" s="950"/>
      <c r="D142" s="119"/>
      <c r="E142" s="281" t="str">
        <f>IF(C142="","",VLOOKUP(C142,'G-7 WaterC'' Data'!$B$2:$G$8,2,FALSE))</f>
        <v/>
      </c>
      <c r="F142" s="282" t="str">
        <f>IFERROR(VLOOKUP(E142,'G-7 WaterC'' Data'!$C$4:$D$8,2,FALSE),"")</f>
        <v/>
      </c>
      <c r="G142" s="105"/>
      <c r="H142" s="282" t="str">
        <f>IFERROR(INDEX('G-7 WaterC'' Data'!$H$4:$L$8,MATCH(C142,'G-7 WaterC'' Data'!$B$4:$B$8,0),MATCH(G142,'G-7 WaterC'' Data'!$H$3:$L$3,0)),"")</f>
        <v/>
      </c>
      <c r="I142" s="52"/>
      <c r="J142" s="289" t="str">
        <f>IF(I142="","",IF(VLOOKUP(I142,'G-7 WaterC'' Data'!$AK$4:$AM$6,2,FALSE)=0,"Spatial Data Missing ⚠",VLOOKUP(I142,'G-7 WaterC'' Data'!$AK$4:$AM$6,2,FALSE)))</f>
        <v/>
      </c>
      <c r="K142" s="282" t="str">
        <f>IF(I142="","",IF(VLOOKUP(I142,'G-7 WaterC'' Data'!$AK$4:$AM$6,3,FALSE)=0,"Spatial Data Missing ⚠",VLOOKUP(I142,'G-7 WaterC'' Data'!$AK$4:$AM$6,3,FALSE)))</f>
        <v/>
      </c>
      <c r="L142" s="281" t="str">
        <f>IFERROR(INDEX('G-7 WaterC'' Data'!$O$3:$O$7,MATCH(G142,'G-7 WaterC'' Data'!$N$3:$N$7,0)),"")</f>
        <v/>
      </c>
      <c r="M142" s="58"/>
      <c r="N142" s="137"/>
      <c r="O142" s="289" t="str">
        <f t="shared" si="12"/>
        <v/>
      </c>
      <c r="P142" s="302" t="str">
        <f t="shared" si="13"/>
        <v/>
      </c>
      <c r="Q142" s="340" t="str">
        <f>IFERROR(IF(P142="Check Data ⚠","Check Data ⚠",VLOOKUP(P142,'G-4 Temporal multipliers'!$A$4:$C$37,3,FALSE)),"")</f>
        <v/>
      </c>
      <c r="R142" s="281" t="str">
        <f>IF(C142="","",VLOOKUP(C142,'G-7 WaterC'' Data'!$B$4:$G$8,4,FALSE))</f>
        <v/>
      </c>
      <c r="S142" s="289" t="str">
        <f t="shared" si="14"/>
        <v/>
      </c>
      <c r="T142" s="320" t="str">
        <f t="shared" si="15"/>
        <v/>
      </c>
      <c r="U142" s="282" t="str">
        <f>IF(C142="","",VLOOKUP(T142,'G-3 Multipliers'!$P$2:$Q$6,2,FALSE))</f>
        <v/>
      </c>
      <c r="V142" s="106"/>
      <c r="W142" s="282" t="str">
        <f>IF(V142="","",IF(AND(V142="N/A - Culvert",C142&lt;&gt;"Culvert"),"Not possible ▲",IF(AND(C142="Culvert",V142&lt;&gt;"N/A - Culvert"),"Not possible ▲",IF(VLOOKUP(V142,'G-7 WaterC'' Data'!$AA$4:$AB$7,2,FALSE)=0,"Spatial Data Missing ⚠",VLOOKUP(V142,'G-7 WaterC'' Data'!$AA$4:$AB$7,2,FALSE)))))</f>
        <v/>
      </c>
      <c r="X142" s="56"/>
      <c r="Y142" s="282" t="str">
        <f>IF(X142="","",IF(AND(X142="N/A - Culvert", C142&lt;&gt;"Culvert"), "Not possible ▲",IF(AND(C142="Culvert",X142&lt;&gt;"N/A - Culvert"),"Not possible ▲",IF(VLOOKUP(X142,'G-7 WaterC'' Data'!$AD$4:$AE$14,2,FALSE)=0,"Enrcoachment Data Missing ⚠",VLOOKUP(X142,'G-7 WaterC'' Data'!$AD$4:$AE$14,2,FALSE)))))</f>
        <v/>
      </c>
      <c r="Z142" s="323" t="str">
        <f t="shared" si="16"/>
        <v/>
      </c>
      <c r="AA142" s="105"/>
      <c r="AB142" s="119"/>
      <c r="AC142" s="108"/>
      <c r="AH142" s="30" t="str">
        <f>IFERROR(INDEX('G-7 WaterC'' Data'!$AZ$3:$AZ$7,MATCH(C142,'G-7 WaterC'' Data'!$AY$3:$AY$7,0)),"")</f>
        <v/>
      </c>
      <c r="AK142" s="30" t="str">
        <f t="shared" si="17"/>
        <v>No</v>
      </c>
    </row>
    <row r="143" spans="2:37" ht="13.8" x14ac:dyDescent="0.25">
      <c r="B143" s="101">
        <v>132</v>
      </c>
      <c r="C143" s="950"/>
      <c r="D143" s="119"/>
      <c r="E143" s="281" t="str">
        <f>IF(C143="","",VLOOKUP(C143,'G-7 WaterC'' Data'!$B$2:$G$8,2,FALSE))</f>
        <v/>
      </c>
      <c r="F143" s="282" t="str">
        <f>IFERROR(VLOOKUP(E143,'G-7 WaterC'' Data'!$C$4:$D$8,2,FALSE),"")</f>
        <v/>
      </c>
      <c r="G143" s="105"/>
      <c r="H143" s="282" t="str">
        <f>IFERROR(INDEX('G-7 WaterC'' Data'!$H$4:$L$8,MATCH(C143,'G-7 WaterC'' Data'!$B$4:$B$8,0),MATCH(G143,'G-7 WaterC'' Data'!$H$3:$L$3,0)),"")</f>
        <v/>
      </c>
      <c r="I143" s="52"/>
      <c r="J143" s="289" t="str">
        <f>IF(I143="","",IF(VLOOKUP(I143,'G-7 WaterC'' Data'!$AK$4:$AM$6,2,FALSE)=0,"Spatial Data Missing ⚠",VLOOKUP(I143,'G-7 WaterC'' Data'!$AK$4:$AM$6,2,FALSE)))</f>
        <v/>
      </c>
      <c r="K143" s="282" t="str">
        <f>IF(I143="","",IF(VLOOKUP(I143,'G-7 WaterC'' Data'!$AK$4:$AM$6,3,FALSE)=0,"Spatial Data Missing ⚠",VLOOKUP(I143,'G-7 WaterC'' Data'!$AK$4:$AM$6,3,FALSE)))</f>
        <v/>
      </c>
      <c r="L143" s="281" t="str">
        <f>IFERROR(INDEX('G-7 WaterC'' Data'!$O$3:$O$7,MATCH(G143,'G-7 WaterC'' Data'!$N$3:$N$7,0)),"")</f>
        <v/>
      </c>
      <c r="M143" s="58"/>
      <c r="N143" s="137"/>
      <c r="O143" s="289" t="str">
        <f t="shared" si="12"/>
        <v/>
      </c>
      <c r="P143" s="302" t="str">
        <f t="shared" si="13"/>
        <v/>
      </c>
      <c r="Q143" s="340" t="str">
        <f>IFERROR(IF(P143="Check Data ⚠","Check Data ⚠",VLOOKUP(P143,'G-4 Temporal multipliers'!$A$4:$C$37,3,FALSE)),"")</f>
        <v/>
      </c>
      <c r="R143" s="281" t="str">
        <f>IF(C143="","",VLOOKUP(C143,'G-7 WaterC'' Data'!$B$4:$G$8,4,FALSE))</f>
        <v/>
      </c>
      <c r="S143" s="289" t="str">
        <f t="shared" si="14"/>
        <v/>
      </c>
      <c r="T143" s="320" t="str">
        <f t="shared" si="15"/>
        <v/>
      </c>
      <c r="U143" s="282" t="str">
        <f>IF(C143="","",VLOOKUP(T143,'G-3 Multipliers'!$P$2:$Q$6,2,FALSE))</f>
        <v/>
      </c>
      <c r="V143" s="106"/>
      <c r="W143" s="282" t="str">
        <f>IF(V143="","",IF(AND(V143="N/A - Culvert",C143&lt;&gt;"Culvert"),"Not possible ▲",IF(AND(C143="Culvert",V143&lt;&gt;"N/A - Culvert"),"Not possible ▲",IF(VLOOKUP(V143,'G-7 WaterC'' Data'!$AA$4:$AB$7,2,FALSE)=0,"Spatial Data Missing ⚠",VLOOKUP(V143,'G-7 WaterC'' Data'!$AA$4:$AB$7,2,FALSE)))))</f>
        <v/>
      </c>
      <c r="X143" s="56"/>
      <c r="Y143" s="282" t="str">
        <f>IF(X143="","",IF(AND(X143="N/A - Culvert", C143&lt;&gt;"Culvert"), "Not possible ▲",IF(AND(C143="Culvert",X143&lt;&gt;"N/A - Culvert"),"Not possible ▲",IF(VLOOKUP(X143,'G-7 WaterC'' Data'!$AD$4:$AE$14,2,FALSE)=0,"Enrcoachment Data Missing ⚠",VLOOKUP(X143,'G-7 WaterC'' Data'!$AD$4:$AE$14,2,FALSE)))))</f>
        <v/>
      </c>
      <c r="Z143" s="323" t="str">
        <f t="shared" si="16"/>
        <v/>
      </c>
      <c r="AA143" s="105"/>
      <c r="AB143" s="119"/>
      <c r="AC143" s="108"/>
      <c r="AH143" s="30" t="str">
        <f>IFERROR(INDEX('G-7 WaterC'' Data'!$AZ$3:$AZ$7,MATCH(C143,'G-7 WaterC'' Data'!$AY$3:$AY$7,0)),"")</f>
        <v/>
      </c>
      <c r="AK143" s="30" t="str">
        <f t="shared" si="17"/>
        <v>No</v>
      </c>
    </row>
    <row r="144" spans="2:37" ht="13.8" x14ac:dyDescent="0.25">
      <c r="B144" s="101">
        <v>133</v>
      </c>
      <c r="C144" s="950"/>
      <c r="D144" s="119"/>
      <c r="E144" s="281" t="str">
        <f>IF(C144="","",VLOOKUP(C144,'G-7 WaterC'' Data'!$B$2:$G$8,2,FALSE))</f>
        <v/>
      </c>
      <c r="F144" s="282" t="str">
        <f>IFERROR(VLOOKUP(E144,'G-7 WaterC'' Data'!$C$4:$D$8,2,FALSE),"")</f>
        <v/>
      </c>
      <c r="G144" s="105"/>
      <c r="H144" s="282" t="str">
        <f>IFERROR(INDEX('G-7 WaterC'' Data'!$H$4:$L$8,MATCH(C144,'G-7 WaterC'' Data'!$B$4:$B$8,0),MATCH(G144,'G-7 WaterC'' Data'!$H$3:$L$3,0)),"")</f>
        <v/>
      </c>
      <c r="I144" s="52"/>
      <c r="J144" s="289" t="str">
        <f>IF(I144="","",IF(VLOOKUP(I144,'G-7 WaterC'' Data'!$AK$4:$AM$6,2,FALSE)=0,"Spatial Data Missing ⚠",VLOOKUP(I144,'G-7 WaterC'' Data'!$AK$4:$AM$6,2,FALSE)))</f>
        <v/>
      </c>
      <c r="K144" s="282" t="str">
        <f>IF(I144="","",IF(VLOOKUP(I144,'G-7 WaterC'' Data'!$AK$4:$AM$6,3,FALSE)=0,"Spatial Data Missing ⚠",VLOOKUP(I144,'G-7 WaterC'' Data'!$AK$4:$AM$6,3,FALSE)))</f>
        <v/>
      </c>
      <c r="L144" s="281" t="str">
        <f>IFERROR(INDEX('G-7 WaterC'' Data'!$O$3:$O$7,MATCH(G144,'G-7 WaterC'' Data'!$N$3:$N$7,0)),"")</f>
        <v/>
      </c>
      <c r="M144" s="58"/>
      <c r="N144" s="137"/>
      <c r="O144" s="289" t="str">
        <f t="shared" si="12"/>
        <v/>
      </c>
      <c r="P144" s="302" t="str">
        <f t="shared" si="13"/>
        <v/>
      </c>
      <c r="Q144" s="340" t="str">
        <f>IFERROR(IF(P144="Check Data ⚠","Check Data ⚠",VLOOKUP(P144,'G-4 Temporal multipliers'!$A$4:$C$37,3,FALSE)),"")</f>
        <v/>
      </c>
      <c r="R144" s="281" t="str">
        <f>IF(C144="","",VLOOKUP(C144,'G-7 WaterC'' Data'!$B$4:$G$8,4,FALSE))</f>
        <v/>
      </c>
      <c r="S144" s="289" t="str">
        <f t="shared" si="14"/>
        <v/>
      </c>
      <c r="T144" s="320" t="str">
        <f t="shared" si="15"/>
        <v/>
      </c>
      <c r="U144" s="282" t="str">
        <f>IF(C144="","",VLOOKUP(T144,'G-3 Multipliers'!$P$2:$Q$6,2,FALSE))</f>
        <v/>
      </c>
      <c r="V144" s="106"/>
      <c r="W144" s="282" t="str">
        <f>IF(V144="","",IF(AND(V144="N/A - Culvert",C144&lt;&gt;"Culvert"),"Not possible ▲",IF(AND(C144="Culvert",V144&lt;&gt;"N/A - Culvert"),"Not possible ▲",IF(VLOOKUP(V144,'G-7 WaterC'' Data'!$AA$4:$AB$7,2,FALSE)=0,"Spatial Data Missing ⚠",VLOOKUP(V144,'G-7 WaterC'' Data'!$AA$4:$AB$7,2,FALSE)))))</f>
        <v/>
      </c>
      <c r="X144" s="56"/>
      <c r="Y144" s="282" t="str">
        <f>IF(X144="","",IF(AND(X144="N/A - Culvert", C144&lt;&gt;"Culvert"), "Not possible ▲",IF(AND(C144="Culvert",X144&lt;&gt;"N/A - Culvert"),"Not possible ▲",IF(VLOOKUP(X144,'G-7 WaterC'' Data'!$AD$4:$AE$14,2,FALSE)=0,"Enrcoachment Data Missing ⚠",VLOOKUP(X144,'G-7 WaterC'' Data'!$AD$4:$AE$14,2,FALSE)))))</f>
        <v/>
      </c>
      <c r="Z144" s="323" t="str">
        <f t="shared" si="16"/>
        <v/>
      </c>
      <c r="AA144" s="105"/>
      <c r="AB144" s="119"/>
      <c r="AC144" s="108"/>
      <c r="AH144" s="30" t="str">
        <f>IFERROR(INDEX('G-7 WaterC'' Data'!$AZ$3:$AZ$7,MATCH(C144,'G-7 WaterC'' Data'!$AY$3:$AY$7,0)),"")</f>
        <v/>
      </c>
      <c r="AK144" s="30" t="str">
        <f t="shared" si="17"/>
        <v>No</v>
      </c>
    </row>
    <row r="145" spans="2:37" ht="13.8" x14ac:dyDescent="0.25">
      <c r="B145" s="101">
        <v>134</v>
      </c>
      <c r="C145" s="950"/>
      <c r="D145" s="119"/>
      <c r="E145" s="281" t="str">
        <f>IF(C145="","",VLOOKUP(C145,'G-7 WaterC'' Data'!$B$2:$G$8,2,FALSE))</f>
        <v/>
      </c>
      <c r="F145" s="282" t="str">
        <f>IFERROR(VLOOKUP(E145,'G-7 WaterC'' Data'!$C$4:$D$8,2,FALSE),"")</f>
        <v/>
      </c>
      <c r="G145" s="105"/>
      <c r="H145" s="282" t="str">
        <f>IFERROR(INDEX('G-7 WaterC'' Data'!$H$4:$L$8,MATCH(C145,'G-7 WaterC'' Data'!$B$4:$B$8,0),MATCH(G145,'G-7 WaterC'' Data'!$H$3:$L$3,0)),"")</f>
        <v/>
      </c>
      <c r="I145" s="52"/>
      <c r="J145" s="289" t="str">
        <f>IF(I145="","",IF(VLOOKUP(I145,'G-7 WaterC'' Data'!$AK$4:$AM$6,2,FALSE)=0,"Spatial Data Missing ⚠",VLOOKUP(I145,'G-7 WaterC'' Data'!$AK$4:$AM$6,2,FALSE)))</f>
        <v/>
      </c>
      <c r="K145" s="282" t="str">
        <f>IF(I145="","",IF(VLOOKUP(I145,'G-7 WaterC'' Data'!$AK$4:$AM$6,3,FALSE)=0,"Spatial Data Missing ⚠",VLOOKUP(I145,'G-7 WaterC'' Data'!$AK$4:$AM$6,3,FALSE)))</f>
        <v/>
      </c>
      <c r="L145" s="281" t="str">
        <f>IFERROR(INDEX('G-7 WaterC'' Data'!$O$3:$O$7,MATCH(G145,'G-7 WaterC'' Data'!$N$3:$N$7,0)),"")</f>
        <v/>
      </c>
      <c r="M145" s="58"/>
      <c r="N145" s="137"/>
      <c r="O145" s="289" t="str">
        <f t="shared" si="12"/>
        <v/>
      </c>
      <c r="P145" s="302" t="str">
        <f t="shared" si="13"/>
        <v/>
      </c>
      <c r="Q145" s="340" t="str">
        <f>IFERROR(IF(P145="Check Data ⚠","Check Data ⚠",VLOOKUP(P145,'G-4 Temporal multipliers'!$A$4:$C$37,3,FALSE)),"")</f>
        <v/>
      </c>
      <c r="R145" s="281" t="str">
        <f>IF(C145="","",VLOOKUP(C145,'G-7 WaterC'' Data'!$B$4:$G$8,4,FALSE))</f>
        <v/>
      </c>
      <c r="S145" s="289" t="str">
        <f t="shared" si="14"/>
        <v/>
      </c>
      <c r="T145" s="320" t="str">
        <f t="shared" si="15"/>
        <v/>
      </c>
      <c r="U145" s="282" t="str">
        <f>IF(C145="","",VLOOKUP(T145,'G-3 Multipliers'!$P$2:$Q$6,2,FALSE))</f>
        <v/>
      </c>
      <c r="V145" s="106"/>
      <c r="W145" s="282" t="str">
        <f>IF(V145="","",IF(AND(V145="N/A - Culvert",C145&lt;&gt;"Culvert"),"Not possible ▲",IF(AND(C145="Culvert",V145&lt;&gt;"N/A - Culvert"),"Not possible ▲",IF(VLOOKUP(V145,'G-7 WaterC'' Data'!$AA$4:$AB$7,2,FALSE)=0,"Spatial Data Missing ⚠",VLOOKUP(V145,'G-7 WaterC'' Data'!$AA$4:$AB$7,2,FALSE)))))</f>
        <v/>
      </c>
      <c r="X145" s="56"/>
      <c r="Y145" s="282" t="str">
        <f>IF(X145="","",IF(AND(X145="N/A - Culvert", C145&lt;&gt;"Culvert"), "Not possible ▲",IF(AND(C145="Culvert",X145&lt;&gt;"N/A - Culvert"),"Not possible ▲",IF(VLOOKUP(X145,'G-7 WaterC'' Data'!$AD$4:$AE$14,2,FALSE)=0,"Enrcoachment Data Missing ⚠",VLOOKUP(X145,'G-7 WaterC'' Data'!$AD$4:$AE$14,2,FALSE)))))</f>
        <v/>
      </c>
      <c r="Z145" s="323" t="str">
        <f t="shared" si="16"/>
        <v/>
      </c>
      <c r="AA145" s="105"/>
      <c r="AB145" s="119"/>
      <c r="AC145" s="108"/>
      <c r="AH145" s="30" t="str">
        <f>IFERROR(INDEX('G-7 WaterC'' Data'!$AZ$3:$AZ$7,MATCH(C145,'G-7 WaterC'' Data'!$AY$3:$AY$7,0)),"")</f>
        <v/>
      </c>
      <c r="AK145" s="30" t="str">
        <f t="shared" si="17"/>
        <v>No</v>
      </c>
    </row>
    <row r="146" spans="2:37" ht="13.8" x14ac:dyDescent="0.25">
      <c r="B146" s="101">
        <v>135</v>
      </c>
      <c r="C146" s="950"/>
      <c r="D146" s="119"/>
      <c r="E146" s="281" t="str">
        <f>IF(C146="","",VLOOKUP(C146,'G-7 WaterC'' Data'!$B$2:$G$8,2,FALSE))</f>
        <v/>
      </c>
      <c r="F146" s="282" t="str">
        <f>IFERROR(VLOOKUP(E146,'G-7 WaterC'' Data'!$C$4:$D$8,2,FALSE),"")</f>
        <v/>
      </c>
      <c r="G146" s="105"/>
      <c r="H146" s="282" t="str">
        <f>IFERROR(INDEX('G-7 WaterC'' Data'!$H$4:$L$8,MATCH(C146,'G-7 WaterC'' Data'!$B$4:$B$8,0),MATCH(G146,'G-7 WaterC'' Data'!$H$3:$L$3,0)),"")</f>
        <v/>
      </c>
      <c r="I146" s="52"/>
      <c r="J146" s="289" t="str">
        <f>IF(I146="","",IF(VLOOKUP(I146,'G-7 WaterC'' Data'!$AK$4:$AM$6,2,FALSE)=0,"Spatial Data Missing ⚠",VLOOKUP(I146,'G-7 WaterC'' Data'!$AK$4:$AM$6,2,FALSE)))</f>
        <v/>
      </c>
      <c r="K146" s="282" t="str">
        <f>IF(I146="","",IF(VLOOKUP(I146,'G-7 WaterC'' Data'!$AK$4:$AM$6,3,FALSE)=0,"Spatial Data Missing ⚠",VLOOKUP(I146,'G-7 WaterC'' Data'!$AK$4:$AM$6,3,FALSE)))</f>
        <v/>
      </c>
      <c r="L146" s="281" t="str">
        <f>IFERROR(INDEX('G-7 WaterC'' Data'!$O$3:$O$7,MATCH(G146,'G-7 WaterC'' Data'!$N$3:$N$7,0)),"")</f>
        <v/>
      </c>
      <c r="M146" s="58"/>
      <c r="N146" s="137"/>
      <c r="O146" s="289" t="str">
        <f t="shared" si="12"/>
        <v/>
      </c>
      <c r="P146" s="302" t="str">
        <f t="shared" si="13"/>
        <v/>
      </c>
      <c r="Q146" s="340" t="str">
        <f>IFERROR(IF(P146="Check Data ⚠","Check Data ⚠",VLOOKUP(P146,'G-4 Temporal multipliers'!$A$4:$C$37,3,FALSE)),"")</f>
        <v/>
      </c>
      <c r="R146" s="281" t="str">
        <f>IF(C146="","",VLOOKUP(C146,'G-7 WaterC'' Data'!$B$4:$G$8,4,FALSE))</f>
        <v/>
      </c>
      <c r="S146" s="289" t="str">
        <f t="shared" si="14"/>
        <v/>
      </c>
      <c r="T146" s="320" t="str">
        <f t="shared" si="15"/>
        <v/>
      </c>
      <c r="U146" s="282" t="str">
        <f>IF(C146="","",VLOOKUP(T146,'G-3 Multipliers'!$P$2:$Q$6,2,FALSE))</f>
        <v/>
      </c>
      <c r="V146" s="106"/>
      <c r="W146" s="282" t="str">
        <f>IF(V146="","",IF(AND(V146="N/A - Culvert",C146&lt;&gt;"Culvert"),"Not possible ▲",IF(AND(C146="Culvert",V146&lt;&gt;"N/A - Culvert"),"Not possible ▲",IF(VLOOKUP(V146,'G-7 WaterC'' Data'!$AA$4:$AB$7,2,FALSE)=0,"Spatial Data Missing ⚠",VLOOKUP(V146,'G-7 WaterC'' Data'!$AA$4:$AB$7,2,FALSE)))))</f>
        <v/>
      </c>
      <c r="X146" s="56"/>
      <c r="Y146" s="282" t="str">
        <f>IF(X146="","",IF(AND(X146="N/A - Culvert", C146&lt;&gt;"Culvert"), "Not possible ▲",IF(AND(C146="Culvert",X146&lt;&gt;"N/A - Culvert"),"Not possible ▲",IF(VLOOKUP(X146,'G-7 WaterC'' Data'!$AD$4:$AE$14,2,FALSE)=0,"Enrcoachment Data Missing ⚠",VLOOKUP(X146,'G-7 WaterC'' Data'!$AD$4:$AE$14,2,FALSE)))))</f>
        <v/>
      </c>
      <c r="Z146" s="323" t="str">
        <f t="shared" si="16"/>
        <v/>
      </c>
      <c r="AA146" s="105"/>
      <c r="AB146" s="119"/>
      <c r="AC146" s="108"/>
      <c r="AH146" s="30" t="str">
        <f>IFERROR(INDEX('G-7 WaterC'' Data'!$AZ$3:$AZ$7,MATCH(C146,'G-7 WaterC'' Data'!$AY$3:$AY$7,0)),"")</f>
        <v/>
      </c>
      <c r="AK146" s="30" t="str">
        <f t="shared" si="17"/>
        <v>No</v>
      </c>
    </row>
    <row r="147" spans="2:37" ht="13.8" x14ac:dyDescent="0.25">
      <c r="B147" s="101">
        <v>136</v>
      </c>
      <c r="C147" s="950"/>
      <c r="D147" s="119"/>
      <c r="E147" s="281" t="str">
        <f>IF(C147="","",VLOOKUP(C147,'G-7 WaterC'' Data'!$B$2:$G$8,2,FALSE))</f>
        <v/>
      </c>
      <c r="F147" s="282" t="str">
        <f>IFERROR(VLOOKUP(E147,'G-7 WaterC'' Data'!$C$4:$D$8,2,FALSE),"")</f>
        <v/>
      </c>
      <c r="G147" s="105"/>
      <c r="H147" s="282" t="str">
        <f>IFERROR(INDEX('G-7 WaterC'' Data'!$H$4:$L$8,MATCH(C147,'G-7 WaterC'' Data'!$B$4:$B$8,0),MATCH(G147,'G-7 WaterC'' Data'!$H$3:$L$3,0)),"")</f>
        <v/>
      </c>
      <c r="I147" s="52"/>
      <c r="J147" s="289" t="str">
        <f>IF(I147="","",IF(VLOOKUP(I147,'G-7 WaterC'' Data'!$AK$4:$AM$6,2,FALSE)=0,"Spatial Data Missing ⚠",VLOOKUP(I147,'G-7 WaterC'' Data'!$AK$4:$AM$6,2,FALSE)))</f>
        <v/>
      </c>
      <c r="K147" s="282" t="str">
        <f>IF(I147="","",IF(VLOOKUP(I147,'G-7 WaterC'' Data'!$AK$4:$AM$6,3,FALSE)=0,"Spatial Data Missing ⚠",VLOOKUP(I147,'G-7 WaterC'' Data'!$AK$4:$AM$6,3,FALSE)))</f>
        <v/>
      </c>
      <c r="L147" s="281" t="str">
        <f>IFERROR(INDEX('G-7 WaterC'' Data'!$O$3:$O$7,MATCH(G147,'G-7 WaterC'' Data'!$N$3:$N$7,0)),"")</f>
        <v/>
      </c>
      <c r="M147" s="58"/>
      <c r="N147" s="137"/>
      <c r="O147" s="289" t="str">
        <f t="shared" si="12"/>
        <v/>
      </c>
      <c r="P147" s="302" t="str">
        <f t="shared" si="13"/>
        <v/>
      </c>
      <c r="Q147" s="340" t="str">
        <f>IFERROR(IF(P147="Check Data ⚠","Check Data ⚠",VLOOKUP(P147,'G-4 Temporal multipliers'!$A$4:$C$37,3,FALSE)),"")</f>
        <v/>
      </c>
      <c r="R147" s="281" t="str">
        <f>IF(C147="","",VLOOKUP(C147,'G-7 WaterC'' Data'!$B$4:$G$8,4,FALSE))</f>
        <v/>
      </c>
      <c r="S147" s="289" t="str">
        <f t="shared" si="14"/>
        <v/>
      </c>
      <c r="T147" s="320" t="str">
        <f t="shared" si="15"/>
        <v/>
      </c>
      <c r="U147" s="282" t="str">
        <f>IF(C147="","",VLOOKUP(T147,'G-3 Multipliers'!$P$2:$Q$6,2,FALSE))</f>
        <v/>
      </c>
      <c r="V147" s="106"/>
      <c r="W147" s="282" t="str">
        <f>IF(V147="","",IF(AND(V147="N/A - Culvert",C147&lt;&gt;"Culvert"),"Not possible ▲",IF(AND(C147="Culvert",V147&lt;&gt;"N/A - Culvert"),"Not possible ▲",IF(VLOOKUP(V147,'G-7 WaterC'' Data'!$AA$4:$AB$7,2,FALSE)=0,"Spatial Data Missing ⚠",VLOOKUP(V147,'G-7 WaterC'' Data'!$AA$4:$AB$7,2,FALSE)))))</f>
        <v/>
      </c>
      <c r="X147" s="56"/>
      <c r="Y147" s="282" t="str">
        <f>IF(X147="","",IF(AND(X147="N/A - Culvert", C147&lt;&gt;"Culvert"), "Not possible ▲",IF(AND(C147="Culvert",X147&lt;&gt;"N/A - Culvert"),"Not possible ▲",IF(VLOOKUP(X147,'G-7 WaterC'' Data'!$AD$4:$AE$14,2,FALSE)=0,"Enrcoachment Data Missing ⚠",VLOOKUP(X147,'G-7 WaterC'' Data'!$AD$4:$AE$14,2,FALSE)))))</f>
        <v/>
      </c>
      <c r="Z147" s="323" t="str">
        <f t="shared" si="16"/>
        <v/>
      </c>
      <c r="AA147" s="105"/>
      <c r="AB147" s="119"/>
      <c r="AC147" s="108"/>
      <c r="AH147" s="30" t="str">
        <f>IFERROR(INDEX('G-7 WaterC'' Data'!$AZ$3:$AZ$7,MATCH(C147,'G-7 WaterC'' Data'!$AY$3:$AY$7,0)),"")</f>
        <v/>
      </c>
      <c r="AK147" s="30" t="str">
        <f t="shared" si="17"/>
        <v>No</v>
      </c>
    </row>
    <row r="148" spans="2:37" ht="13.8" x14ac:dyDescent="0.25">
      <c r="B148" s="101">
        <v>137</v>
      </c>
      <c r="C148" s="950"/>
      <c r="D148" s="119"/>
      <c r="E148" s="281" t="str">
        <f>IF(C148="","",VLOOKUP(C148,'G-7 WaterC'' Data'!$B$2:$G$8,2,FALSE))</f>
        <v/>
      </c>
      <c r="F148" s="282" t="str">
        <f>IFERROR(VLOOKUP(E148,'G-7 WaterC'' Data'!$C$4:$D$8,2,FALSE),"")</f>
        <v/>
      </c>
      <c r="G148" s="105"/>
      <c r="H148" s="282" t="str">
        <f>IFERROR(INDEX('G-7 WaterC'' Data'!$H$4:$L$8,MATCH(C148,'G-7 WaterC'' Data'!$B$4:$B$8,0),MATCH(G148,'G-7 WaterC'' Data'!$H$3:$L$3,0)),"")</f>
        <v/>
      </c>
      <c r="I148" s="52"/>
      <c r="J148" s="289" t="str">
        <f>IF(I148="","",IF(VLOOKUP(I148,'G-7 WaterC'' Data'!$AK$4:$AM$6,2,FALSE)=0,"Spatial Data Missing ⚠",VLOOKUP(I148,'G-7 WaterC'' Data'!$AK$4:$AM$6,2,FALSE)))</f>
        <v/>
      </c>
      <c r="K148" s="282" t="str">
        <f>IF(I148="","",IF(VLOOKUP(I148,'G-7 WaterC'' Data'!$AK$4:$AM$6,3,FALSE)=0,"Spatial Data Missing ⚠",VLOOKUP(I148,'G-7 WaterC'' Data'!$AK$4:$AM$6,3,FALSE)))</f>
        <v/>
      </c>
      <c r="L148" s="281" t="str">
        <f>IFERROR(INDEX('G-7 WaterC'' Data'!$O$3:$O$7,MATCH(G148,'G-7 WaterC'' Data'!$N$3:$N$7,0)),"")</f>
        <v/>
      </c>
      <c r="M148" s="58"/>
      <c r="N148" s="137"/>
      <c r="O148" s="289" t="str">
        <f t="shared" si="12"/>
        <v/>
      </c>
      <c r="P148" s="302" t="str">
        <f t="shared" si="13"/>
        <v/>
      </c>
      <c r="Q148" s="340" t="str">
        <f>IFERROR(IF(P148="Check Data ⚠","Check Data ⚠",VLOOKUP(P148,'G-4 Temporal multipliers'!$A$4:$C$37,3,FALSE)),"")</f>
        <v/>
      </c>
      <c r="R148" s="281" t="str">
        <f>IF(C148="","",VLOOKUP(C148,'G-7 WaterC'' Data'!$B$4:$G$8,4,FALSE))</f>
        <v/>
      </c>
      <c r="S148" s="289" t="str">
        <f t="shared" si="14"/>
        <v/>
      </c>
      <c r="T148" s="320" t="str">
        <f t="shared" si="15"/>
        <v/>
      </c>
      <c r="U148" s="282" t="str">
        <f>IF(C148="","",VLOOKUP(T148,'G-3 Multipliers'!$P$2:$Q$6,2,FALSE))</f>
        <v/>
      </c>
      <c r="V148" s="106"/>
      <c r="W148" s="282" t="str">
        <f>IF(V148="","",IF(AND(V148="N/A - Culvert",C148&lt;&gt;"Culvert"),"Not possible ▲",IF(AND(C148="Culvert",V148&lt;&gt;"N/A - Culvert"),"Not possible ▲",IF(VLOOKUP(V148,'G-7 WaterC'' Data'!$AA$4:$AB$7,2,FALSE)=0,"Spatial Data Missing ⚠",VLOOKUP(V148,'G-7 WaterC'' Data'!$AA$4:$AB$7,2,FALSE)))))</f>
        <v/>
      </c>
      <c r="X148" s="56"/>
      <c r="Y148" s="282" t="str">
        <f>IF(X148="","",IF(AND(X148="N/A - Culvert", C148&lt;&gt;"Culvert"), "Not possible ▲",IF(AND(C148="Culvert",X148&lt;&gt;"N/A - Culvert"),"Not possible ▲",IF(VLOOKUP(X148,'G-7 WaterC'' Data'!$AD$4:$AE$14,2,FALSE)=0,"Enrcoachment Data Missing ⚠",VLOOKUP(X148,'G-7 WaterC'' Data'!$AD$4:$AE$14,2,FALSE)))))</f>
        <v/>
      </c>
      <c r="Z148" s="323" t="str">
        <f t="shared" si="16"/>
        <v/>
      </c>
      <c r="AA148" s="105"/>
      <c r="AB148" s="119"/>
      <c r="AC148" s="108"/>
      <c r="AH148" s="30" t="str">
        <f>IFERROR(INDEX('G-7 WaterC'' Data'!$AZ$3:$AZ$7,MATCH(C148,'G-7 WaterC'' Data'!$AY$3:$AY$7,0)),"")</f>
        <v/>
      </c>
      <c r="AK148" s="30" t="str">
        <f t="shared" si="17"/>
        <v>No</v>
      </c>
    </row>
    <row r="149" spans="2:37" ht="13.8" x14ac:dyDescent="0.25">
      <c r="B149" s="101">
        <v>138</v>
      </c>
      <c r="C149" s="950"/>
      <c r="D149" s="119"/>
      <c r="E149" s="281" t="str">
        <f>IF(C149="","",VLOOKUP(C149,'G-7 WaterC'' Data'!$B$2:$G$8,2,FALSE))</f>
        <v/>
      </c>
      <c r="F149" s="282" t="str">
        <f>IFERROR(VLOOKUP(E149,'G-7 WaterC'' Data'!$C$4:$D$8,2,FALSE),"")</f>
        <v/>
      </c>
      <c r="G149" s="105"/>
      <c r="H149" s="282" t="str">
        <f>IFERROR(INDEX('G-7 WaterC'' Data'!$H$4:$L$8,MATCH(C149,'G-7 WaterC'' Data'!$B$4:$B$8,0),MATCH(G149,'G-7 WaterC'' Data'!$H$3:$L$3,0)),"")</f>
        <v/>
      </c>
      <c r="I149" s="52"/>
      <c r="J149" s="289" t="str">
        <f>IF(I149="","",IF(VLOOKUP(I149,'G-7 WaterC'' Data'!$AK$4:$AM$6,2,FALSE)=0,"Spatial Data Missing ⚠",VLOOKUP(I149,'G-7 WaterC'' Data'!$AK$4:$AM$6,2,FALSE)))</f>
        <v/>
      </c>
      <c r="K149" s="282" t="str">
        <f>IF(I149="","",IF(VLOOKUP(I149,'G-7 WaterC'' Data'!$AK$4:$AM$6,3,FALSE)=0,"Spatial Data Missing ⚠",VLOOKUP(I149,'G-7 WaterC'' Data'!$AK$4:$AM$6,3,FALSE)))</f>
        <v/>
      </c>
      <c r="L149" s="281" t="str">
        <f>IFERROR(INDEX('G-7 WaterC'' Data'!$O$3:$O$7,MATCH(G149,'G-7 WaterC'' Data'!$N$3:$N$7,0)),"")</f>
        <v/>
      </c>
      <c r="M149" s="58"/>
      <c r="N149" s="137"/>
      <c r="O149" s="289" t="str">
        <f t="shared" si="12"/>
        <v/>
      </c>
      <c r="P149" s="302" t="str">
        <f t="shared" si="13"/>
        <v/>
      </c>
      <c r="Q149" s="340" t="str">
        <f>IFERROR(IF(P149="Check Data ⚠","Check Data ⚠",VLOOKUP(P149,'G-4 Temporal multipliers'!$A$4:$C$37,3,FALSE)),"")</f>
        <v/>
      </c>
      <c r="R149" s="281" t="str">
        <f>IF(C149="","",VLOOKUP(C149,'G-7 WaterC'' Data'!$B$4:$G$8,4,FALSE))</f>
        <v/>
      </c>
      <c r="S149" s="289" t="str">
        <f t="shared" si="14"/>
        <v/>
      </c>
      <c r="T149" s="320" t="str">
        <f t="shared" si="15"/>
        <v/>
      </c>
      <c r="U149" s="282" t="str">
        <f>IF(C149="","",VLOOKUP(T149,'G-3 Multipliers'!$P$2:$Q$6,2,FALSE))</f>
        <v/>
      </c>
      <c r="V149" s="106"/>
      <c r="W149" s="282" t="str">
        <f>IF(V149="","",IF(AND(V149="N/A - Culvert",C149&lt;&gt;"Culvert"),"Not possible ▲",IF(AND(C149="Culvert",V149&lt;&gt;"N/A - Culvert"),"Not possible ▲",IF(VLOOKUP(V149,'G-7 WaterC'' Data'!$AA$4:$AB$7,2,FALSE)=0,"Spatial Data Missing ⚠",VLOOKUP(V149,'G-7 WaterC'' Data'!$AA$4:$AB$7,2,FALSE)))))</f>
        <v/>
      </c>
      <c r="X149" s="56"/>
      <c r="Y149" s="282" t="str">
        <f>IF(X149="","",IF(AND(X149="N/A - Culvert", C149&lt;&gt;"Culvert"), "Not possible ▲",IF(AND(C149="Culvert",X149&lt;&gt;"N/A - Culvert"),"Not possible ▲",IF(VLOOKUP(X149,'G-7 WaterC'' Data'!$AD$4:$AE$14,2,FALSE)=0,"Enrcoachment Data Missing ⚠",VLOOKUP(X149,'G-7 WaterC'' Data'!$AD$4:$AE$14,2,FALSE)))))</f>
        <v/>
      </c>
      <c r="Z149" s="323" t="str">
        <f t="shared" si="16"/>
        <v/>
      </c>
      <c r="AA149" s="105"/>
      <c r="AB149" s="119"/>
      <c r="AC149" s="108"/>
      <c r="AH149" s="30" t="str">
        <f>IFERROR(INDEX('G-7 WaterC'' Data'!$AZ$3:$AZ$7,MATCH(C149,'G-7 WaterC'' Data'!$AY$3:$AY$7,0)),"")</f>
        <v/>
      </c>
      <c r="AK149" s="30" t="str">
        <f t="shared" si="17"/>
        <v>No</v>
      </c>
    </row>
    <row r="150" spans="2:37" ht="13.8" x14ac:dyDescent="0.25">
      <c r="B150" s="101">
        <v>139</v>
      </c>
      <c r="C150" s="950"/>
      <c r="D150" s="119"/>
      <c r="E150" s="281" t="str">
        <f>IF(C150="","",VLOOKUP(C150,'G-7 WaterC'' Data'!$B$2:$G$8,2,FALSE))</f>
        <v/>
      </c>
      <c r="F150" s="282" t="str">
        <f>IFERROR(VLOOKUP(E150,'G-7 WaterC'' Data'!$C$4:$D$8,2,FALSE),"")</f>
        <v/>
      </c>
      <c r="G150" s="105"/>
      <c r="H150" s="282" t="str">
        <f>IFERROR(INDEX('G-7 WaterC'' Data'!$H$4:$L$8,MATCH(C150,'G-7 WaterC'' Data'!$B$4:$B$8,0),MATCH(G150,'G-7 WaterC'' Data'!$H$3:$L$3,0)),"")</f>
        <v/>
      </c>
      <c r="I150" s="52"/>
      <c r="J150" s="289" t="str">
        <f>IF(I150="","",IF(VLOOKUP(I150,'G-7 WaterC'' Data'!$AK$4:$AM$6,2,FALSE)=0,"Spatial Data Missing ⚠",VLOOKUP(I150,'G-7 WaterC'' Data'!$AK$4:$AM$6,2,FALSE)))</f>
        <v/>
      </c>
      <c r="K150" s="282" t="str">
        <f>IF(I150="","",IF(VLOOKUP(I150,'G-7 WaterC'' Data'!$AK$4:$AM$6,3,FALSE)=0,"Spatial Data Missing ⚠",VLOOKUP(I150,'G-7 WaterC'' Data'!$AK$4:$AM$6,3,FALSE)))</f>
        <v/>
      </c>
      <c r="L150" s="281" t="str">
        <f>IFERROR(INDEX('G-7 WaterC'' Data'!$O$3:$O$7,MATCH(G150,'G-7 WaterC'' Data'!$N$3:$N$7,0)),"")</f>
        <v/>
      </c>
      <c r="M150" s="58"/>
      <c r="N150" s="137"/>
      <c r="O150" s="289" t="str">
        <f t="shared" si="12"/>
        <v/>
      </c>
      <c r="P150" s="302" t="str">
        <f t="shared" si="13"/>
        <v/>
      </c>
      <c r="Q150" s="340" t="str">
        <f>IFERROR(IF(P150="Check Data ⚠","Check Data ⚠",VLOOKUP(P150,'G-4 Temporal multipliers'!$A$4:$C$37,3,FALSE)),"")</f>
        <v/>
      </c>
      <c r="R150" s="281" t="str">
        <f>IF(C150="","",VLOOKUP(C150,'G-7 WaterC'' Data'!$B$4:$G$8,4,FALSE))</f>
        <v/>
      </c>
      <c r="S150" s="289" t="str">
        <f t="shared" si="14"/>
        <v/>
      </c>
      <c r="T150" s="320" t="str">
        <f t="shared" si="15"/>
        <v/>
      </c>
      <c r="U150" s="282" t="str">
        <f>IF(C150="","",VLOOKUP(T150,'G-3 Multipliers'!$P$2:$Q$6,2,FALSE))</f>
        <v/>
      </c>
      <c r="V150" s="106"/>
      <c r="W150" s="282" t="str">
        <f>IF(V150="","",IF(AND(V150="N/A - Culvert",C150&lt;&gt;"Culvert"),"Not possible ▲",IF(AND(C150="Culvert",V150&lt;&gt;"N/A - Culvert"),"Not possible ▲",IF(VLOOKUP(V150,'G-7 WaterC'' Data'!$AA$4:$AB$7,2,FALSE)=0,"Spatial Data Missing ⚠",VLOOKUP(V150,'G-7 WaterC'' Data'!$AA$4:$AB$7,2,FALSE)))))</f>
        <v/>
      </c>
      <c r="X150" s="56"/>
      <c r="Y150" s="282" t="str">
        <f>IF(X150="","",IF(AND(X150="N/A - Culvert", C150&lt;&gt;"Culvert"), "Not possible ▲",IF(AND(C150="Culvert",X150&lt;&gt;"N/A - Culvert"),"Not possible ▲",IF(VLOOKUP(X150,'G-7 WaterC'' Data'!$AD$4:$AE$14,2,FALSE)=0,"Enrcoachment Data Missing ⚠",VLOOKUP(X150,'G-7 WaterC'' Data'!$AD$4:$AE$14,2,FALSE)))))</f>
        <v/>
      </c>
      <c r="Z150" s="323" t="str">
        <f t="shared" si="16"/>
        <v/>
      </c>
      <c r="AA150" s="105"/>
      <c r="AB150" s="119"/>
      <c r="AC150" s="108"/>
      <c r="AH150" s="30" t="str">
        <f>IFERROR(INDEX('G-7 WaterC'' Data'!$AZ$3:$AZ$7,MATCH(C150,'G-7 WaterC'' Data'!$AY$3:$AY$7,0)),"")</f>
        <v/>
      </c>
      <c r="AK150" s="30" t="str">
        <f t="shared" si="17"/>
        <v>No</v>
      </c>
    </row>
    <row r="151" spans="2:37" ht="13.8" x14ac:dyDescent="0.25">
      <c r="B151" s="101">
        <v>140</v>
      </c>
      <c r="C151" s="950"/>
      <c r="D151" s="119"/>
      <c r="E151" s="281" t="str">
        <f>IF(C151="","",VLOOKUP(C151,'G-7 WaterC'' Data'!$B$2:$G$8,2,FALSE))</f>
        <v/>
      </c>
      <c r="F151" s="282" t="str">
        <f>IFERROR(VLOOKUP(E151,'G-7 WaterC'' Data'!$C$4:$D$8,2,FALSE),"")</f>
        <v/>
      </c>
      <c r="G151" s="105"/>
      <c r="H151" s="282" t="str">
        <f>IFERROR(INDEX('G-7 WaterC'' Data'!$H$4:$L$8,MATCH(C151,'G-7 WaterC'' Data'!$B$4:$B$8,0),MATCH(G151,'G-7 WaterC'' Data'!$H$3:$L$3,0)),"")</f>
        <v/>
      </c>
      <c r="I151" s="52"/>
      <c r="J151" s="289" t="str">
        <f>IF(I151="","",IF(VLOOKUP(I151,'G-7 WaterC'' Data'!$AK$4:$AM$6,2,FALSE)=0,"Spatial Data Missing ⚠",VLOOKUP(I151,'G-7 WaterC'' Data'!$AK$4:$AM$6,2,FALSE)))</f>
        <v/>
      </c>
      <c r="K151" s="282" t="str">
        <f>IF(I151="","",IF(VLOOKUP(I151,'G-7 WaterC'' Data'!$AK$4:$AM$6,3,FALSE)=0,"Spatial Data Missing ⚠",VLOOKUP(I151,'G-7 WaterC'' Data'!$AK$4:$AM$6,3,FALSE)))</f>
        <v/>
      </c>
      <c r="L151" s="281" t="str">
        <f>IFERROR(INDEX('G-7 WaterC'' Data'!$O$3:$O$7,MATCH(G151,'G-7 WaterC'' Data'!$N$3:$N$7,0)),"")</f>
        <v/>
      </c>
      <c r="M151" s="58"/>
      <c r="N151" s="137"/>
      <c r="O151" s="289" t="str">
        <f t="shared" si="12"/>
        <v/>
      </c>
      <c r="P151" s="302" t="str">
        <f t="shared" si="13"/>
        <v/>
      </c>
      <c r="Q151" s="340" t="str">
        <f>IFERROR(IF(P151="Check Data ⚠","Check Data ⚠",VLOOKUP(P151,'G-4 Temporal multipliers'!$A$4:$C$37,3,FALSE)),"")</f>
        <v/>
      </c>
      <c r="R151" s="281" t="str">
        <f>IF(C151="","",VLOOKUP(C151,'G-7 WaterC'' Data'!$B$4:$G$8,4,FALSE))</f>
        <v/>
      </c>
      <c r="S151" s="289" t="str">
        <f t="shared" si="14"/>
        <v/>
      </c>
      <c r="T151" s="320" t="str">
        <f t="shared" si="15"/>
        <v/>
      </c>
      <c r="U151" s="282" t="str">
        <f>IF(C151="","",VLOOKUP(T151,'G-3 Multipliers'!$P$2:$Q$6,2,FALSE))</f>
        <v/>
      </c>
      <c r="V151" s="106"/>
      <c r="W151" s="282" t="str">
        <f>IF(V151="","",IF(AND(V151="N/A - Culvert",C151&lt;&gt;"Culvert"),"Not possible ▲",IF(AND(C151="Culvert",V151&lt;&gt;"N/A - Culvert"),"Not possible ▲",IF(VLOOKUP(V151,'G-7 WaterC'' Data'!$AA$4:$AB$7,2,FALSE)=0,"Spatial Data Missing ⚠",VLOOKUP(V151,'G-7 WaterC'' Data'!$AA$4:$AB$7,2,FALSE)))))</f>
        <v/>
      </c>
      <c r="X151" s="56"/>
      <c r="Y151" s="282" t="str">
        <f>IF(X151="","",IF(AND(X151="N/A - Culvert", C151&lt;&gt;"Culvert"), "Not possible ▲",IF(AND(C151="Culvert",X151&lt;&gt;"N/A - Culvert"),"Not possible ▲",IF(VLOOKUP(X151,'G-7 WaterC'' Data'!$AD$4:$AE$14,2,FALSE)=0,"Enrcoachment Data Missing ⚠",VLOOKUP(X151,'G-7 WaterC'' Data'!$AD$4:$AE$14,2,FALSE)))))</f>
        <v/>
      </c>
      <c r="Z151" s="323" t="str">
        <f t="shared" si="16"/>
        <v/>
      </c>
      <c r="AA151" s="105"/>
      <c r="AB151" s="119"/>
      <c r="AC151" s="108"/>
      <c r="AH151" s="30" t="str">
        <f>IFERROR(INDEX('G-7 WaterC'' Data'!$AZ$3:$AZ$7,MATCH(C151,'G-7 WaterC'' Data'!$AY$3:$AY$7,0)),"")</f>
        <v/>
      </c>
      <c r="AK151" s="30" t="str">
        <f t="shared" si="17"/>
        <v>No</v>
      </c>
    </row>
    <row r="152" spans="2:37" ht="13.8" x14ac:dyDescent="0.25">
      <c r="B152" s="101">
        <v>141</v>
      </c>
      <c r="C152" s="950"/>
      <c r="D152" s="119"/>
      <c r="E152" s="281" t="str">
        <f>IF(C152="","",VLOOKUP(C152,'G-7 WaterC'' Data'!$B$2:$G$8,2,FALSE))</f>
        <v/>
      </c>
      <c r="F152" s="282" t="str">
        <f>IFERROR(VLOOKUP(E152,'G-7 WaterC'' Data'!$C$4:$D$8,2,FALSE),"")</f>
        <v/>
      </c>
      <c r="G152" s="105"/>
      <c r="H152" s="282" t="str">
        <f>IFERROR(INDEX('G-7 WaterC'' Data'!$H$4:$L$8,MATCH(C152,'G-7 WaterC'' Data'!$B$4:$B$8,0),MATCH(G152,'G-7 WaterC'' Data'!$H$3:$L$3,0)),"")</f>
        <v/>
      </c>
      <c r="I152" s="52"/>
      <c r="J152" s="289" t="str">
        <f>IF(I152="","",IF(VLOOKUP(I152,'G-7 WaterC'' Data'!$AK$4:$AM$6,2,FALSE)=0,"Spatial Data Missing ⚠",VLOOKUP(I152,'G-7 WaterC'' Data'!$AK$4:$AM$6,2,FALSE)))</f>
        <v/>
      </c>
      <c r="K152" s="282" t="str">
        <f>IF(I152="","",IF(VLOOKUP(I152,'G-7 WaterC'' Data'!$AK$4:$AM$6,3,FALSE)=0,"Spatial Data Missing ⚠",VLOOKUP(I152,'G-7 WaterC'' Data'!$AK$4:$AM$6,3,FALSE)))</f>
        <v/>
      </c>
      <c r="L152" s="281" t="str">
        <f>IFERROR(INDEX('G-7 WaterC'' Data'!$O$3:$O$7,MATCH(G152,'G-7 WaterC'' Data'!$N$3:$N$7,0)),"")</f>
        <v/>
      </c>
      <c r="M152" s="58"/>
      <c r="N152" s="137"/>
      <c r="O152" s="289" t="str">
        <f t="shared" si="12"/>
        <v/>
      </c>
      <c r="P152" s="302" t="str">
        <f t="shared" si="13"/>
        <v/>
      </c>
      <c r="Q152" s="340" t="str">
        <f>IFERROR(IF(P152="Check Data ⚠","Check Data ⚠",VLOOKUP(P152,'G-4 Temporal multipliers'!$A$4:$C$37,3,FALSE)),"")</f>
        <v/>
      </c>
      <c r="R152" s="281" t="str">
        <f>IF(C152="","",VLOOKUP(C152,'G-7 WaterC'' Data'!$B$4:$G$8,4,FALSE))</f>
        <v/>
      </c>
      <c r="S152" s="289" t="str">
        <f t="shared" si="14"/>
        <v/>
      </c>
      <c r="T152" s="320" t="str">
        <f t="shared" si="15"/>
        <v/>
      </c>
      <c r="U152" s="282" t="str">
        <f>IF(C152="","",VLOOKUP(T152,'G-3 Multipliers'!$P$2:$Q$6,2,FALSE))</f>
        <v/>
      </c>
      <c r="V152" s="106"/>
      <c r="W152" s="282" t="str">
        <f>IF(V152="","",IF(AND(V152="N/A - Culvert",C152&lt;&gt;"Culvert"),"Not possible ▲",IF(AND(C152="Culvert",V152&lt;&gt;"N/A - Culvert"),"Not possible ▲",IF(VLOOKUP(V152,'G-7 WaterC'' Data'!$AA$4:$AB$7,2,FALSE)=0,"Spatial Data Missing ⚠",VLOOKUP(V152,'G-7 WaterC'' Data'!$AA$4:$AB$7,2,FALSE)))))</f>
        <v/>
      </c>
      <c r="X152" s="56"/>
      <c r="Y152" s="282" t="str">
        <f>IF(X152="","",IF(AND(X152="N/A - Culvert", C152&lt;&gt;"Culvert"), "Not possible ▲",IF(AND(C152="Culvert",X152&lt;&gt;"N/A - Culvert"),"Not possible ▲",IF(VLOOKUP(X152,'G-7 WaterC'' Data'!$AD$4:$AE$14,2,FALSE)=0,"Enrcoachment Data Missing ⚠",VLOOKUP(X152,'G-7 WaterC'' Data'!$AD$4:$AE$14,2,FALSE)))))</f>
        <v/>
      </c>
      <c r="Z152" s="323" t="str">
        <f t="shared" si="16"/>
        <v/>
      </c>
      <c r="AA152" s="105"/>
      <c r="AB152" s="119"/>
      <c r="AC152" s="108"/>
      <c r="AH152" s="30" t="str">
        <f>IFERROR(INDEX('G-7 WaterC'' Data'!$AZ$3:$AZ$7,MATCH(C152,'G-7 WaterC'' Data'!$AY$3:$AY$7,0)),"")</f>
        <v/>
      </c>
      <c r="AK152" s="30" t="str">
        <f t="shared" si="17"/>
        <v>No</v>
      </c>
    </row>
    <row r="153" spans="2:37" ht="13.8" x14ac:dyDescent="0.25">
      <c r="B153" s="101">
        <v>142</v>
      </c>
      <c r="C153" s="950"/>
      <c r="D153" s="119"/>
      <c r="E153" s="281" t="str">
        <f>IF(C153="","",VLOOKUP(C153,'G-7 WaterC'' Data'!$B$2:$G$8,2,FALSE))</f>
        <v/>
      </c>
      <c r="F153" s="282" t="str">
        <f>IFERROR(VLOOKUP(E153,'G-7 WaterC'' Data'!$C$4:$D$8,2,FALSE),"")</f>
        <v/>
      </c>
      <c r="G153" s="105"/>
      <c r="H153" s="282" t="str">
        <f>IFERROR(INDEX('G-7 WaterC'' Data'!$H$4:$L$8,MATCH(C153,'G-7 WaterC'' Data'!$B$4:$B$8,0),MATCH(G153,'G-7 WaterC'' Data'!$H$3:$L$3,0)),"")</f>
        <v/>
      </c>
      <c r="I153" s="52"/>
      <c r="J153" s="289" t="str">
        <f>IF(I153="","",IF(VLOOKUP(I153,'G-7 WaterC'' Data'!$AK$4:$AM$6,2,FALSE)=0,"Spatial Data Missing ⚠",VLOOKUP(I153,'G-7 WaterC'' Data'!$AK$4:$AM$6,2,FALSE)))</f>
        <v/>
      </c>
      <c r="K153" s="282" t="str">
        <f>IF(I153="","",IF(VLOOKUP(I153,'G-7 WaterC'' Data'!$AK$4:$AM$6,3,FALSE)=0,"Spatial Data Missing ⚠",VLOOKUP(I153,'G-7 WaterC'' Data'!$AK$4:$AM$6,3,FALSE)))</f>
        <v/>
      </c>
      <c r="L153" s="281" t="str">
        <f>IFERROR(INDEX('G-7 WaterC'' Data'!$O$3:$O$7,MATCH(G153,'G-7 WaterC'' Data'!$N$3:$N$7,0)),"")</f>
        <v/>
      </c>
      <c r="M153" s="58"/>
      <c r="N153" s="137"/>
      <c r="O153" s="289" t="str">
        <f t="shared" si="12"/>
        <v/>
      </c>
      <c r="P153" s="302" t="str">
        <f t="shared" si="13"/>
        <v/>
      </c>
      <c r="Q153" s="340" t="str">
        <f>IFERROR(IF(P153="Check Data ⚠","Check Data ⚠",VLOOKUP(P153,'G-4 Temporal multipliers'!$A$4:$C$37,3,FALSE)),"")</f>
        <v/>
      </c>
      <c r="R153" s="281" t="str">
        <f>IF(C153="","",VLOOKUP(C153,'G-7 WaterC'' Data'!$B$4:$G$8,4,FALSE))</f>
        <v/>
      </c>
      <c r="S153" s="289" t="str">
        <f t="shared" si="14"/>
        <v/>
      </c>
      <c r="T153" s="320" t="str">
        <f t="shared" si="15"/>
        <v/>
      </c>
      <c r="U153" s="282" t="str">
        <f>IF(C153="","",VLOOKUP(T153,'G-3 Multipliers'!$P$2:$Q$6,2,FALSE))</f>
        <v/>
      </c>
      <c r="V153" s="106"/>
      <c r="W153" s="282" t="str">
        <f>IF(V153="","",IF(AND(V153="N/A - Culvert",C153&lt;&gt;"Culvert"),"Not possible ▲",IF(AND(C153="Culvert",V153&lt;&gt;"N/A - Culvert"),"Not possible ▲",IF(VLOOKUP(V153,'G-7 WaterC'' Data'!$AA$4:$AB$7,2,FALSE)=0,"Spatial Data Missing ⚠",VLOOKUP(V153,'G-7 WaterC'' Data'!$AA$4:$AB$7,2,FALSE)))))</f>
        <v/>
      </c>
      <c r="X153" s="56"/>
      <c r="Y153" s="282" t="str">
        <f>IF(X153="","",IF(AND(X153="N/A - Culvert", C153&lt;&gt;"Culvert"), "Not possible ▲",IF(AND(C153="Culvert",X153&lt;&gt;"N/A - Culvert"),"Not possible ▲",IF(VLOOKUP(X153,'G-7 WaterC'' Data'!$AD$4:$AE$14,2,FALSE)=0,"Enrcoachment Data Missing ⚠",VLOOKUP(X153,'G-7 WaterC'' Data'!$AD$4:$AE$14,2,FALSE)))))</f>
        <v/>
      </c>
      <c r="Z153" s="323" t="str">
        <f t="shared" si="16"/>
        <v/>
      </c>
      <c r="AA153" s="105"/>
      <c r="AB153" s="119"/>
      <c r="AC153" s="108"/>
      <c r="AH153" s="30" t="str">
        <f>IFERROR(INDEX('G-7 WaterC'' Data'!$AZ$3:$AZ$7,MATCH(C153,'G-7 WaterC'' Data'!$AY$3:$AY$7,0)),"")</f>
        <v/>
      </c>
      <c r="AK153" s="30" t="str">
        <f t="shared" si="17"/>
        <v>No</v>
      </c>
    </row>
    <row r="154" spans="2:37" ht="13.8" x14ac:dyDescent="0.25">
      <c r="B154" s="101">
        <v>143</v>
      </c>
      <c r="C154" s="950"/>
      <c r="D154" s="119"/>
      <c r="E154" s="281" t="str">
        <f>IF(C154="","",VLOOKUP(C154,'G-7 WaterC'' Data'!$B$2:$G$8,2,FALSE))</f>
        <v/>
      </c>
      <c r="F154" s="282" t="str">
        <f>IFERROR(VLOOKUP(E154,'G-7 WaterC'' Data'!$C$4:$D$8,2,FALSE),"")</f>
        <v/>
      </c>
      <c r="G154" s="105"/>
      <c r="H154" s="282" t="str">
        <f>IFERROR(INDEX('G-7 WaterC'' Data'!$H$4:$L$8,MATCH(C154,'G-7 WaterC'' Data'!$B$4:$B$8,0),MATCH(G154,'G-7 WaterC'' Data'!$H$3:$L$3,0)),"")</f>
        <v/>
      </c>
      <c r="I154" s="52"/>
      <c r="J154" s="289" t="str">
        <f>IF(I154="","",IF(VLOOKUP(I154,'G-7 WaterC'' Data'!$AK$4:$AM$6,2,FALSE)=0,"Spatial Data Missing ⚠",VLOOKUP(I154,'G-7 WaterC'' Data'!$AK$4:$AM$6,2,FALSE)))</f>
        <v/>
      </c>
      <c r="K154" s="282" t="str">
        <f>IF(I154="","",IF(VLOOKUP(I154,'G-7 WaterC'' Data'!$AK$4:$AM$6,3,FALSE)=0,"Spatial Data Missing ⚠",VLOOKUP(I154,'G-7 WaterC'' Data'!$AK$4:$AM$6,3,FALSE)))</f>
        <v/>
      </c>
      <c r="L154" s="281" t="str">
        <f>IFERROR(INDEX('G-7 WaterC'' Data'!$O$3:$O$7,MATCH(G154,'G-7 WaterC'' Data'!$N$3:$N$7,0)),"")</f>
        <v/>
      </c>
      <c r="M154" s="58"/>
      <c r="N154" s="137"/>
      <c r="O154" s="289" t="str">
        <f t="shared" si="12"/>
        <v/>
      </c>
      <c r="P154" s="302" t="str">
        <f t="shared" si="13"/>
        <v/>
      </c>
      <c r="Q154" s="340" t="str">
        <f>IFERROR(IF(P154="Check Data ⚠","Check Data ⚠",VLOOKUP(P154,'G-4 Temporal multipliers'!$A$4:$C$37,3,FALSE)),"")</f>
        <v/>
      </c>
      <c r="R154" s="281" t="str">
        <f>IF(C154="","",VLOOKUP(C154,'G-7 WaterC'' Data'!$B$4:$G$8,4,FALSE))</f>
        <v/>
      </c>
      <c r="S154" s="289" t="str">
        <f t="shared" si="14"/>
        <v/>
      </c>
      <c r="T154" s="320" t="str">
        <f t="shared" si="15"/>
        <v/>
      </c>
      <c r="U154" s="282" t="str">
        <f>IF(C154="","",VLOOKUP(T154,'G-3 Multipliers'!$P$2:$Q$6,2,FALSE))</f>
        <v/>
      </c>
      <c r="V154" s="106"/>
      <c r="W154" s="282" t="str">
        <f>IF(V154="","",IF(AND(V154="N/A - Culvert",C154&lt;&gt;"Culvert"),"Not possible ▲",IF(AND(C154="Culvert",V154&lt;&gt;"N/A - Culvert"),"Not possible ▲",IF(VLOOKUP(V154,'G-7 WaterC'' Data'!$AA$4:$AB$7,2,FALSE)=0,"Spatial Data Missing ⚠",VLOOKUP(V154,'G-7 WaterC'' Data'!$AA$4:$AB$7,2,FALSE)))))</f>
        <v/>
      </c>
      <c r="X154" s="56"/>
      <c r="Y154" s="282" t="str">
        <f>IF(X154="","",IF(AND(X154="N/A - Culvert", C154&lt;&gt;"Culvert"), "Not possible ▲",IF(AND(C154="Culvert",X154&lt;&gt;"N/A - Culvert"),"Not possible ▲",IF(VLOOKUP(X154,'G-7 WaterC'' Data'!$AD$4:$AE$14,2,FALSE)=0,"Enrcoachment Data Missing ⚠",VLOOKUP(X154,'G-7 WaterC'' Data'!$AD$4:$AE$14,2,FALSE)))))</f>
        <v/>
      </c>
      <c r="Z154" s="323" t="str">
        <f t="shared" si="16"/>
        <v/>
      </c>
      <c r="AA154" s="105"/>
      <c r="AB154" s="119"/>
      <c r="AC154" s="108"/>
      <c r="AH154" s="30" t="str">
        <f>IFERROR(INDEX('G-7 WaterC'' Data'!$AZ$3:$AZ$7,MATCH(C154,'G-7 WaterC'' Data'!$AY$3:$AY$7,0)),"")</f>
        <v/>
      </c>
      <c r="AK154" s="30" t="str">
        <f t="shared" si="17"/>
        <v>No</v>
      </c>
    </row>
    <row r="155" spans="2:37" ht="13.8" x14ac:dyDescent="0.25">
      <c r="B155" s="101">
        <v>144</v>
      </c>
      <c r="C155" s="950"/>
      <c r="D155" s="119"/>
      <c r="E155" s="281" t="str">
        <f>IF(C155="","",VLOOKUP(C155,'G-7 WaterC'' Data'!$B$2:$G$8,2,FALSE))</f>
        <v/>
      </c>
      <c r="F155" s="282" t="str">
        <f>IFERROR(VLOOKUP(E155,'G-7 WaterC'' Data'!$C$4:$D$8,2,FALSE),"")</f>
        <v/>
      </c>
      <c r="G155" s="105"/>
      <c r="H155" s="282" t="str">
        <f>IFERROR(INDEX('G-7 WaterC'' Data'!$H$4:$L$8,MATCH(C155,'G-7 WaterC'' Data'!$B$4:$B$8,0),MATCH(G155,'G-7 WaterC'' Data'!$H$3:$L$3,0)),"")</f>
        <v/>
      </c>
      <c r="I155" s="52"/>
      <c r="J155" s="289" t="str">
        <f>IF(I155="","",IF(VLOOKUP(I155,'G-7 WaterC'' Data'!$AK$4:$AM$6,2,FALSE)=0,"Spatial Data Missing ⚠",VLOOKUP(I155,'G-7 WaterC'' Data'!$AK$4:$AM$6,2,FALSE)))</f>
        <v/>
      </c>
      <c r="K155" s="282" t="str">
        <f>IF(I155="","",IF(VLOOKUP(I155,'G-7 WaterC'' Data'!$AK$4:$AM$6,3,FALSE)=0,"Spatial Data Missing ⚠",VLOOKUP(I155,'G-7 WaterC'' Data'!$AK$4:$AM$6,3,FALSE)))</f>
        <v/>
      </c>
      <c r="L155" s="281" t="str">
        <f>IFERROR(INDEX('G-7 WaterC'' Data'!$O$3:$O$7,MATCH(G155,'G-7 WaterC'' Data'!$N$3:$N$7,0)),"")</f>
        <v/>
      </c>
      <c r="M155" s="58"/>
      <c r="N155" s="137"/>
      <c r="O155" s="289" t="str">
        <f t="shared" si="12"/>
        <v/>
      </c>
      <c r="P155" s="302" t="str">
        <f t="shared" si="13"/>
        <v/>
      </c>
      <c r="Q155" s="340" t="str">
        <f>IFERROR(IF(P155="Check Data ⚠","Check Data ⚠",VLOOKUP(P155,'G-4 Temporal multipliers'!$A$4:$C$37,3,FALSE)),"")</f>
        <v/>
      </c>
      <c r="R155" s="281" t="str">
        <f>IF(C155="","",VLOOKUP(C155,'G-7 WaterC'' Data'!$B$4:$G$8,4,FALSE))</f>
        <v/>
      </c>
      <c r="S155" s="289" t="str">
        <f t="shared" si="14"/>
        <v/>
      </c>
      <c r="T155" s="320" t="str">
        <f t="shared" si="15"/>
        <v/>
      </c>
      <c r="U155" s="282" t="str">
        <f>IF(C155="","",VLOOKUP(T155,'G-3 Multipliers'!$P$2:$Q$6,2,FALSE))</f>
        <v/>
      </c>
      <c r="V155" s="106"/>
      <c r="W155" s="282" t="str">
        <f>IF(V155="","",IF(AND(V155="N/A - Culvert",C155&lt;&gt;"Culvert"),"Not possible ▲",IF(AND(C155="Culvert",V155&lt;&gt;"N/A - Culvert"),"Not possible ▲",IF(VLOOKUP(V155,'G-7 WaterC'' Data'!$AA$4:$AB$7,2,FALSE)=0,"Spatial Data Missing ⚠",VLOOKUP(V155,'G-7 WaterC'' Data'!$AA$4:$AB$7,2,FALSE)))))</f>
        <v/>
      </c>
      <c r="X155" s="56"/>
      <c r="Y155" s="282" t="str">
        <f>IF(X155="","",IF(AND(X155="N/A - Culvert", C155&lt;&gt;"Culvert"), "Not possible ▲",IF(AND(C155="Culvert",X155&lt;&gt;"N/A - Culvert"),"Not possible ▲",IF(VLOOKUP(X155,'G-7 WaterC'' Data'!$AD$4:$AE$14,2,FALSE)=0,"Enrcoachment Data Missing ⚠",VLOOKUP(X155,'G-7 WaterC'' Data'!$AD$4:$AE$14,2,FALSE)))))</f>
        <v/>
      </c>
      <c r="Z155" s="323" t="str">
        <f t="shared" si="16"/>
        <v/>
      </c>
      <c r="AA155" s="105"/>
      <c r="AB155" s="119"/>
      <c r="AC155" s="108"/>
      <c r="AH155" s="30" t="str">
        <f>IFERROR(INDEX('G-7 WaterC'' Data'!$AZ$3:$AZ$7,MATCH(C155,'G-7 WaterC'' Data'!$AY$3:$AY$7,0)),"")</f>
        <v/>
      </c>
      <c r="AK155" s="30" t="str">
        <f t="shared" si="17"/>
        <v>No</v>
      </c>
    </row>
    <row r="156" spans="2:37" ht="13.8" x14ac:dyDescent="0.25">
      <c r="B156" s="101">
        <v>145</v>
      </c>
      <c r="C156" s="950"/>
      <c r="D156" s="119"/>
      <c r="E156" s="281" t="str">
        <f>IF(C156="","",VLOOKUP(C156,'G-7 WaterC'' Data'!$B$2:$G$8,2,FALSE))</f>
        <v/>
      </c>
      <c r="F156" s="282" t="str">
        <f>IFERROR(VLOOKUP(E156,'G-7 WaterC'' Data'!$C$4:$D$8,2,FALSE),"")</f>
        <v/>
      </c>
      <c r="G156" s="105"/>
      <c r="H156" s="282" t="str">
        <f>IFERROR(INDEX('G-7 WaterC'' Data'!$H$4:$L$8,MATCH(C156,'G-7 WaterC'' Data'!$B$4:$B$8,0),MATCH(G156,'G-7 WaterC'' Data'!$H$3:$L$3,0)),"")</f>
        <v/>
      </c>
      <c r="I156" s="52"/>
      <c r="J156" s="289" t="str">
        <f>IF(I156="","",IF(VLOOKUP(I156,'G-7 WaterC'' Data'!$AK$4:$AM$6,2,FALSE)=0,"Spatial Data Missing ⚠",VLOOKUP(I156,'G-7 WaterC'' Data'!$AK$4:$AM$6,2,FALSE)))</f>
        <v/>
      </c>
      <c r="K156" s="282" t="str">
        <f>IF(I156="","",IF(VLOOKUP(I156,'G-7 WaterC'' Data'!$AK$4:$AM$6,3,FALSE)=0,"Spatial Data Missing ⚠",VLOOKUP(I156,'G-7 WaterC'' Data'!$AK$4:$AM$6,3,FALSE)))</f>
        <v/>
      </c>
      <c r="L156" s="281" t="str">
        <f>IFERROR(INDEX('G-7 WaterC'' Data'!$O$3:$O$7,MATCH(G156,'G-7 WaterC'' Data'!$N$3:$N$7,0)),"")</f>
        <v/>
      </c>
      <c r="M156" s="58"/>
      <c r="N156" s="137"/>
      <c r="O156" s="289" t="str">
        <f t="shared" si="12"/>
        <v/>
      </c>
      <c r="P156" s="302" t="str">
        <f t="shared" si="13"/>
        <v/>
      </c>
      <c r="Q156" s="340" t="str">
        <f>IFERROR(IF(P156="Check Data ⚠","Check Data ⚠",VLOOKUP(P156,'G-4 Temporal multipliers'!$A$4:$C$37,3,FALSE)),"")</f>
        <v/>
      </c>
      <c r="R156" s="281" t="str">
        <f>IF(C156="","",VLOOKUP(C156,'G-7 WaterC'' Data'!$B$4:$G$8,4,FALSE))</f>
        <v/>
      </c>
      <c r="S156" s="289" t="str">
        <f t="shared" si="14"/>
        <v/>
      </c>
      <c r="T156" s="320" t="str">
        <f t="shared" si="15"/>
        <v/>
      </c>
      <c r="U156" s="282" t="str">
        <f>IF(C156="","",VLOOKUP(T156,'G-3 Multipliers'!$P$2:$Q$6,2,FALSE))</f>
        <v/>
      </c>
      <c r="V156" s="106"/>
      <c r="W156" s="282" t="str">
        <f>IF(V156="","",IF(AND(V156="N/A - Culvert",C156&lt;&gt;"Culvert"),"Not possible ▲",IF(AND(C156="Culvert",V156&lt;&gt;"N/A - Culvert"),"Not possible ▲",IF(VLOOKUP(V156,'G-7 WaterC'' Data'!$AA$4:$AB$7,2,FALSE)=0,"Spatial Data Missing ⚠",VLOOKUP(V156,'G-7 WaterC'' Data'!$AA$4:$AB$7,2,FALSE)))))</f>
        <v/>
      </c>
      <c r="X156" s="56"/>
      <c r="Y156" s="282" t="str">
        <f>IF(X156="","",IF(AND(X156="N/A - Culvert", C156&lt;&gt;"Culvert"), "Not possible ▲",IF(AND(C156="Culvert",X156&lt;&gt;"N/A - Culvert"),"Not possible ▲",IF(VLOOKUP(X156,'G-7 WaterC'' Data'!$AD$4:$AE$14,2,FALSE)=0,"Enrcoachment Data Missing ⚠",VLOOKUP(X156,'G-7 WaterC'' Data'!$AD$4:$AE$14,2,FALSE)))))</f>
        <v/>
      </c>
      <c r="Z156" s="323" t="str">
        <f t="shared" si="16"/>
        <v/>
      </c>
      <c r="AA156" s="105"/>
      <c r="AB156" s="119"/>
      <c r="AC156" s="108"/>
      <c r="AH156" s="30" t="str">
        <f>IFERROR(INDEX('G-7 WaterC'' Data'!$AZ$3:$AZ$7,MATCH(C156,'G-7 WaterC'' Data'!$AY$3:$AY$7,0)),"")</f>
        <v/>
      </c>
      <c r="AK156" s="30" t="str">
        <f t="shared" si="17"/>
        <v>No</v>
      </c>
    </row>
    <row r="157" spans="2:37" ht="13.8" x14ac:dyDescent="0.25">
      <c r="B157" s="101">
        <v>146</v>
      </c>
      <c r="C157" s="950"/>
      <c r="D157" s="119"/>
      <c r="E157" s="281" t="str">
        <f>IF(C157="","",VLOOKUP(C157,'G-7 WaterC'' Data'!$B$2:$G$8,2,FALSE))</f>
        <v/>
      </c>
      <c r="F157" s="282" t="str">
        <f>IFERROR(VLOOKUP(E157,'G-7 WaterC'' Data'!$C$4:$D$8,2,FALSE),"")</f>
        <v/>
      </c>
      <c r="G157" s="105"/>
      <c r="H157" s="282" t="str">
        <f>IFERROR(INDEX('G-7 WaterC'' Data'!$H$4:$L$8,MATCH(C157,'G-7 WaterC'' Data'!$B$4:$B$8,0),MATCH(G157,'G-7 WaterC'' Data'!$H$3:$L$3,0)),"")</f>
        <v/>
      </c>
      <c r="I157" s="52"/>
      <c r="J157" s="289" t="str">
        <f>IF(I157="","",IF(VLOOKUP(I157,'G-7 WaterC'' Data'!$AK$4:$AM$6,2,FALSE)=0,"Spatial Data Missing ⚠",VLOOKUP(I157,'G-7 WaterC'' Data'!$AK$4:$AM$6,2,FALSE)))</f>
        <v/>
      </c>
      <c r="K157" s="282" t="str">
        <f>IF(I157="","",IF(VLOOKUP(I157,'G-7 WaterC'' Data'!$AK$4:$AM$6,3,FALSE)=0,"Spatial Data Missing ⚠",VLOOKUP(I157,'G-7 WaterC'' Data'!$AK$4:$AM$6,3,FALSE)))</f>
        <v/>
      </c>
      <c r="L157" s="281" t="str">
        <f>IFERROR(INDEX('G-7 WaterC'' Data'!$O$3:$O$7,MATCH(G157,'G-7 WaterC'' Data'!$N$3:$N$7,0)),"")</f>
        <v/>
      </c>
      <c r="M157" s="58"/>
      <c r="N157" s="137"/>
      <c r="O157" s="289" t="str">
        <f t="shared" si="12"/>
        <v/>
      </c>
      <c r="P157" s="302" t="str">
        <f t="shared" si="13"/>
        <v/>
      </c>
      <c r="Q157" s="340" t="str">
        <f>IFERROR(IF(P157="Check Data ⚠","Check Data ⚠",VLOOKUP(P157,'G-4 Temporal multipliers'!$A$4:$C$37,3,FALSE)),"")</f>
        <v/>
      </c>
      <c r="R157" s="281" t="str">
        <f>IF(C157="","",VLOOKUP(C157,'G-7 WaterC'' Data'!$B$4:$G$8,4,FALSE))</f>
        <v/>
      </c>
      <c r="S157" s="289" t="str">
        <f t="shared" si="14"/>
        <v/>
      </c>
      <c r="T157" s="320" t="str">
        <f t="shared" si="15"/>
        <v/>
      </c>
      <c r="U157" s="282" t="str">
        <f>IF(C157="","",VLOOKUP(T157,'G-3 Multipliers'!$P$2:$Q$6,2,FALSE))</f>
        <v/>
      </c>
      <c r="V157" s="106"/>
      <c r="W157" s="282" t="str">
        <f>IF(V157="","",IF(AND(V157="N/A - Culvert",C157&lt;&gt;"Culvert"),"Not possible ▲",IF(AND(C157="Culvert",V157&lt;&gt;"N/A - Culvert"),"Not possible ▲",IF(VLOOKUP(V157,'G-7 WaterC'' Data'!$AA$4:$AB$7,2,FALSE)=0,"Spatial Data Missing ⚠",VLOOKUP(V157,'G-7 WaterC'' Data'!$AA$4:$AB$7,2,FALSE)))))</f>
        <v/>
      </c>
      <c r="X157" s="56"/>
      <c r="Y157" s="282" t="str">
        <f>IF(X157="","",IF(AND(X157="N/A - Culvert", C157&lt;&gt;"Culvert"), "Not possible ▲",IF(AND(C157="Culvert",X157&lt;&gt;"N/A - Culvert"),"Not possible ▲",IF(VLOOKUP(X157,'G-7 WaterC'' Data'!$AD$4:$AE$14,2,FALSE)=0,"Enrcoachment Data Missing ⚠",VLOOKUP(X157,'G-7 WaterC'' Data'!$AD$4:$AE$14,2,FALSE)))))</f>
        <v/>
      </c>
      <c r="Z157" s="323" t="str">
        <f t="shared" si="16"/>
        <v/>
      </c>
      <c r="AA157" s="105"/>
      <c r="AB157" s="119"/>
      <c r="AC157" s="108"/>
      <c r="AH157" s="30" t="str">
        <f>IFERROR(INDEX('G-7 WaterC'' Data'!$AZ$3:$AZ$7,MATCH(C157,'G-7 WaterC'' Data'!$AY$3:$AY$7,0)),"")</f>
        <v/>
      </c>
      <c r="AK157" s="30" t="str">
        <f t="shared" si="17"/>
        <v>No</v>
      </c>
    </row>
    <row r="158" spans="2:37" ht="13.8" x14ac:dyDescent="0.25">
      <c r="B158" s="101">
        <v>147</v>
      </c>
      <c r="C158" s="950"/>
      <c r="D158" s="119"/>
      <c r="E158" s="281" t="str">
        <f>IF(C158="","",VLOOKUP(C158,'G-7 WaterC'' Data'!$B$2:$G$8,2,FALSE))</f>
        <v/>
      </c>
      <c r="F158" s="282" t="str">
        <f>IFERROR(VLOOKUP(E158,'G-7 WaterC'' Data'!$C$4:$D$8,2,FALSE),"")</f>
        <v/>
      </c>
      <c r="G158" s="105"/>
      <c r="H158" s="282" t="str">
        <f>IFERROR(INDEX('G-7 WaterC'' Data'!$H$4:$L$8,MATCH(C158,'G-7 WaterC'' Data'!$B$4:$B$8,0),MATCH(G158,'G-7 WaterC'' Data'!$H$3:$L$3,0)),"")</f>
        <v/>
      </c>
      <c r="I158" s="52"/>
      <c r="J158" s="289" t="str">
        <f>IF(I158="","",IF(VLOOKUP(I158,'G-7 WaterC'' Data'!$AK$4:$AM$6,2,FALSE)=0,"Spatial Data Missing ⚠",VLOOKUP(I158,'G-7 WaterC'' Data'!$AK$4:$AM$6,2,FALSE)))</f>
        <v/>
      </c>
      <c r="K158" s="282" t="str">
        <f>IF(I158="","",IF(VLOOKUP(I158,'G-7 WaterC'' Data'!$AK$4:$AM$6,3,FALSE)=0,"Spatial Data Missing ⚠",VLOOKUP(I158,'G-7 WaterC'' Data'!$AK$4:$AM$6,3,FALSE)))</f>
        <v/>
      </c>
      <c r="L158" s="281" t="str">
        <f>IFERROR(INDEX('G-7 WaterC'' Data'!$O$3:$O$7,MATCH(G158,'G-7 WaterC'' Data'!$N$3:$N$7,0)),"")</f>
        <v/>
      </c>
      <c r="M158" s="58"/>
      <c r="N158" s="137"/>
      <c r="O158" s="289" t="str">
        <f t="shared" si="12"/>
        <v/>
      </c>
      <c r="P158" s="302" t="str">
        <f t="shared" si="13"/>
        <v/>
      </c>
      <c r="Q158" s="340" t="str">
        <f>IFERROR(IF(P158="Check Data ⚠","Check Data ⚠",VLOOKUP(P158,'G-4 Temporal multipliers'!$A$4:$C$37,3,FALSE)),"")</f>
        <v/>
      </c>
      <c r="R158" s="281" t="str">
        <f>IF(C158="","",VLOOKUP(C158,'G-7 WaterC'' Data'!$B$4:$G$8,4,FALSE))</f>
        <v/>
      </c>
      <c r="S158" s="289" t="str">
        <f t="shared" si="14"/>
        <v/>
      </c>
      <c r="T158" s="320" t="str">
        <f t="shared" si="15"/>
        <v/>
      </c>
      <c r="U158" s="282" t="str">
        <f>IF(C158="","",VLOOKUP(T158,'G-3 Multipliers'!$P$2:$Q$6,2,FALSE))</f>
        <v/>
      </c>
      <c r="V158" s="106"/>
      <c r="W158" s="282" t="str">
        <f>IF(V158="","",IF(AND(V158="N/A - Culvert",C158&lt;&gt;"Culvert"),"Not possible ▲",IF(AND(C158="Culvert",V158&lt;&gt;"N/A - Culvert"),"Not possible ▲",IF(VLOOKUP(V158,'G-7 WaterC'' Data'!$AA$4:$AB$7,2,FALSE)=0,"Spatial Data Missing ⚠",VLOOKUP(V158,'G-7 WaterC'' Data'!$AA$4:$AB$7,2,FALSE)))))</f>
        <v/>
      </c>
      <c r="X158" s="56"/>
      <c r="Y158" s="282" t="str">
        <f>IF(X158="","",IF(AND(X158="N/A - Culvert", C158&lt;&gt;"Culvert"), "Not possible ▲",IF(AND(C158="Culvert",X158&lt;&gt;"N/A - Culvert"),"Not possible ▲",IF(VLOOKUP(X158,'G-7 WaterC'' Data'!$AD$4:$AE$14,2,FALSE)=0,"Enrcoachment Data Missing ⚠",VLOOKUP(X158,'G-7 WaterC'' Data'!$AD$4:$AE$14,2,FALSE)))))</f>
        <v/>
      </c>
      <c r="Z158" s="323" t="str">
        <f t="shared" si="16"/>
        <v/>
      </c>
      <c r="AA158" s="105"/>
      <c r="AB158" s="119"/>
      <c r="AC158" s="108"/>
      <c r="AH158" s="30" t="str">
        <f>IFERROR(INDEX('G-7 WaterC'' Data'!$AZ$3:$AZ$7,MATCH(C158,'G-7 WaterC'' Data'!$AY$3:$AY$7,0)),"")</f>
        <v/>
      </c>
      <c r="AK158" s="30" t="str">
        <f t="shared" si="17"/>
        <v>No</v>
      </c>
    </row>
    <row r="159" spans="2:37" ht="13.8" x14ac:dyDescent="0.25">
      <c r="B159" s="101">
        <v>148</v>
      </c>
      <c r="C159" s="950"/>
      <c r="D159" s="119"/>
      <c r="E159" s="281" t="str">
        <f>IF(C159="","",VLOOKUP(C159,'G-7 WaterC'' Data'!$B$2:$G$8,2,FALSE))</f>
        <v/>
      </c>
      <c r="F159" s="282" t="str">
        <f>IFERROR(VLOOKUP(E159,'G-7 WaterC'' Data'!$C$4:$D$8,2,FALSE),"")</f>
        <v/>
      </c>
      <c r="G159" s="105"/>
      <c r="H159" s="282" t="str">
        <f>IFERROR(INDEX('G-7 WaterC'' Data'!$H$4:$L$8,MATCH(C159,'G-7 WaterC'' Data'!$B$4:$B$8,0),MATCH(G159,'G-7 WaterC'' Data'!$H$3:$L$3,0)),"")</f>
        <v/>
      </c>
      <c r="I159" s="52"/>
      <c r="J159" s="289" t="str">
        <f>IF(I159="","",IF(VLOOKUP(I159,'G-7 WaterC'' Data'!$AK$4:$AM$6,2,FALSE)=0,"Spatial Data Missing ⚠",VLOOKUP(I159,'G-7 WaterC'' Data'!$AK$4:$AM$6,2,FALSE)))</f>
        <v/>
      </c>
      <c r="K159" s="282" t="str">
        <f>IF(I159="","",IF(VLOOKUP(I159,'G-7 WaterC'' Data'!$AK$4:$AM$6,3,FALSE)=0,"Spatial Data Missing ⚠",VLOOKUP(I159,'G-7 WaterC'' Data'!$AK$4:$AM$6,3,FALSE)))</f>
        <v/>
      </c>
      <c r="L159" s="281" t="str">
        <f>IFERROR(INDEX('G-7 WaterC'' Data'!$O$3:$O$7,MATCH(G159,'G-7 WaterC'' Data'!$N$3:$N$7,0)),"")</f>
        <v/>
      </c>
      <c r="M159" s="58"/>
      <c r="N159" s="137"/>
      <c r="O159" s="289" t="str">
        <f t="shared" si="12"/>
        <v/>
      </c>
      <c r="P159" s="302" t="str">
        <f t="shared" si="13"/>
        <v/>
      </c>
      <c r="Q159" s="340" t="str">
        <f>IFERROR(IF(P159="Check Data ⚠","Check Data ⚠",VLOOKUP(P159,'G-4 Temporal multipliers'!$A$4:$C$37,3,FALSE)),"")</f>
        <v/>
      </c>
      <c r="R159" s="281" t="str">
        <f>IF(C159="","",VLOOKUP(C159,'G-7 WaterC'' Data'!$B$4:$G$8,4,FALSE))</f>
        <v/>
      </c>
      <c r="S159" s="289" t="str">
        <f t="shared" si="14"/>
        <v/>
      </c>
      <c r="T159" s="320" t="str">
        <f t="shared" si="15"/>
        <v/>
      </c>
      <c r="U159" s="282" t="str">
        <f>IF(C159="","",VLOOKUP(T159,'G-3 Multipliers'!$P$2:$Q$6,2,FALSE))</f>
        <v/>
      </c>
      <c r="V159" s="106"/>
      <c r="W159" s="282" t="str">
        <f>IF(V159="","",IF(AND(V159="N/A - Culvert",C159&lt;&gt;"Culvert"),"Not possible ▲",IF(AND(C159="Culvert",V159&lt;&gt;"N/A - Culvert"),"Not possible ▲",IF(VLOOKUP(V159,'G-7 WaterC'' Data'!$AA$4:$AB$7,2,FALSE)=0,"Spatial Data Missing ⚠",VLOOKUP(V159,'G-7 WaterC'' Data'!$AA$4:$AB$7,2,FALSE)))))</f>
        <v/>
      </c>
      <c r="X159" s="56"/>
      <c r="Y159" s="282" t="str">
        <f>IF(X159="","",IF(AND(X159="N/A - Culvert", C159&lt;&gt;"Culvert"), "Not possible ▲",IF(AND(C159="Culvert",X159&lt;&gt;"N/A - Culvert"),"Not possible ▲",IF(VLOOKUP(X159,'G-7 WaterC'' Data'!$AD$4:$AE$14,2,FALSE)=0,"Enrcoachment Data Missing ⚠",VLOOKUP(X159,'G-7 WaterC'' Data'!$AD$4:$AE$14,2,FALSE)))))</f>
        <v/>
      </c>
      <c r="Z159" s="323" t="str">
        <f t="shared" si="16"/>
        <v/>
      </c>
      <c r="AA159" s="105"/>
      <c r="AB159" s="119"/>
      <c r="AC159" s="108"/>
      <c r="AH159" s="30" t="str">
        <f>IFERROR(INDEX('G-7 WaterC'' Data'!$AZ$3:$AZ$7,MATCH(C159,'G-7 WaterC'' Data'!$AY$3:$AY$7,0)),"")</f>
        <v/>
      </c>
      <c r="AK159" s="30" t="str">
        <f t="shared" si="17"/>
        <v>No</v>
      </c>
    </row>
    <row r="160" spans="2:37" ht="13.8" x14ac:dyDescent="0.25">
      <c r="B160" s="101">
        <v>149</v>
      </c>
      <c r="C160" s="950"/>
      <c r="D160" s="119"/>
      <c r="E160" s="281" t="str">
        <f>IF(C160="","",VLOOKUP(C160,'G-7 WaterC'' Data'!$B$2:$G$8,2,FALSE))</f>
        <v/>
      </c>
      <c r="F160" s="282" t="str">
        <f>IFERROR(VLOOKUP(E160,'G-7 WaterC'' Data'!$C$4:$D$8,2,FALSE),"")</f>
        <v/>
      </c>
      <c r="G160" s="105"/>
      <c r="H160" s="282" t="str">
        <f>IFERROR(INDEX('G-7 WaterC'' Data'!$H$4:$L$8,MATCH(C160,'G-7 WaterC'' Data'!$B$4:$B$8,0),MATCH(G160,'G-7 WaterC'' Data'!$H$3:$L$3,0)),"")</f>
        <v/>
      </c>
      <c r="I160" s="52"/>
      <c r="J160" s="289" t="str">
        <f>IF(I160="","",IF(VLOOKUP(I160,'G-7 WaterC'' Data'!$AK$4:$AM$6,2,FALSE)=0,"Spatial Data Missing ⚠",VLOOKUP(I160,'G-7 WaterC'' Data'!$AK$4:$AM$6,2,FALSE)))</f>
        <v/>
      </c>
      <c r="K160" s="282" t="str">
        <f>IF(I160="","",IF(VLOOKUP(I160,'G-7 WaterC'' Data'!$AK$4:$AM$6,3,FALSE)=0,"Spatial Data Missing ⚠",VLOOKUP(I160,'G-7 WaterC'' Data'!$AK$4:$AM$6,3,FALSE)))</f>
        <v/>
      </c>
      <c r="L160" s="281" t="str">
        <f>IFERROR(INDEX('G-7 WaterC'' Data'!$O$3:$O$7,MATCH(G160,'G-7 WaterC'' Data'!$N$3:$N$7,0)),"")</f>
        <v/>
      </c>
      <c r="M160" s="58"/>
      <c r="N160" s="137"/>
      <c r="O160" s="289" t="str">
        <f t="shared" si="12"/>
        <v/>
      </c>
      <c r="P160" s="302" t="str">
        <f t="shared" si="13"/>
        <v/>
      </c>
      <c r="Q160" s="340" t="str">
        <f>IFERROR(IF(P160="Check Data ⚠","Check Data ⚠",VLOOKUP(P160,'G-4 Temporal multipliers'!$A$4:$C$37,3,FALSE)),"")</f>
        <v/>
      </c>
      <c r="R160" s="281" t="str">
        <f>IF(C160="","",VLOOKUP(C160,'G-7 WaterC'' Data'!$B$4:$G$8,4,FALSE))</f>
        <v/>
      </c>
      <c r="S160" s="289" t="str">
        <f t="shared" si="14"/>
        <v/>
      </c>
      <c r="T160" s="320" t="str">
        <f t="shared" si="15"/>
        <v/>
      </c>
      <c r="U160" s="282" t="str">
        <f>IF(C160="","",VLOOKUP(T160,'G-3 Multipliers'!$P$2:$Q$6,2,FALSE))</f>
        <v/>
      </c>
      <c r="V160" s="106"/>
      <c r="W160" s="282" t="str">
        <f>IF(V160="","",IF(AND(V160="N/A - Culvert",C160&lt;&gt;"Culvert"),"Not possible ▲",IF(AND(C160="Culvert",V160&lt;&gt;"N/A - Culvert"),"Not possible ▲",IF(VLOOKUP(V160,'G-7 WaterC'' Data'!$AA$4:$AB$7,2,FALSE)=0,"Spatial Data Missing ⚠",VLOOKUP(V160,'G-7 WaterC'' Data'!$AA$4:$AB$7,2,FALSE)))))</f>
        <v/>
      </c>
      <c r="X160" s="56"/>
      <c r="Y160" s="282" t="str">
        <f>IF(X160="","",IF(AND(X160="N/A - Culvert", C160&lt;&gt;"Culvert"), "Not possible ▲",IF(AND(C160="Culvert",X160&lt;&gt;"N/A - Culvert"),"Not possible ▲",IF(VLOOKUP(X160,'G-7 WaterC'' Data'!$AD$4:$AE$14,2,FALSE)=0,"Enrcoachment Data Missing ⚠",VLOOKUP(X160,'G-7 WaterC'' Data'!$AD$4:$AE$14,2,FALSE)))))</f>
        <v/>
      </c>
      <c r="Z160" s="323" t="str">
        <f t="shared" si="16"/>
        <v/>
      </c>
      <c r="AA160" s="105"/>
      <c r="AB160" s="119"/>
      <c r="AC160" s="108"/>
      <c r="AH160" s="30" t="str">
        <f>IFERROR(INDEX('G-7 WaterC'' Data'!$AZ$3:$AZ$7,MATCH(C160,'G-7 WaterC'' Data'!$AY$3:$AY$7,0)),"")</f>
        <v/>
      </c>
      <c r="AK160" s="30" t="str">
        <f t="shared" si="17"/>
        <v>No</v>
      </c>
    </row>
    <row r="161" spans="2:37" ht="13.8" x14ac:dyDescent="0.25">
      <c r="B161" s="101">
        <v>150</v>
      </c>
      <c r="C161" s="950"/>
      <c r="D161" s="119"/>
      <c r="E161" s="281" t="str">
        <f>IF(C161="","",VLOOKUP(C161,'G-7 WaterC'' Data'!$B$2:$G$8,2,FALSE))</f>
        <v/>
      </c>
      <c r="F161" s="282" t="str">
        <f>IFERROR(VLOOKUP(E161,'G-7 WaterC'' Data'!$C$4:$D$8,2,FALSE),"")</f>
        <v/>
      </c>
      <c r="G161" s="105"/>
      <c r="H161" s="282" t="str">
        <f>IFERROR(INDEX('G-7 WaterC'' Data'!$H$4:$L$8,MATCH(C161,'G-7 WaterC'' Data'!$B$4:$B$8,0),MATCH(G161,'G-7 WaterC'' Data'!$H$3:$L$3,0)),"")</f>
        <v/>
      </c>
      <c r="I161" s="52"/>
      <c r="J161" s="289" t="str">
        <f>IF(I161="","",IF(VLOOKUP(I161,'G-7 WaterC'' Data'!$AK$4:$AM$6,2,FALSE)=0,"Spatial Data Missing ⚠",VLOOKUP(I161,'G-7 WaterC'' Data'!$AK$4:$AM$6,2,FALSE)))</f>
        <v/>
      </c>
      <c r="K161" s="282" t="str">
        <f>IF(I161="","",IF(VLOOKUP(I161,'G-7 WaterC'' Data'!$AK$4:$AM$6,3,FALSE)=0,"Spatial Data Missing ⚠",VLOOKUP(I161,'G-7 WaterC'' Data'!$AK$4:$AM$6,3,FALSE)))</f>
        <v/>
      </c>
      <c r="L161" s="281" t="str">
        <f>IFERROR(INDEX('G-7 WaterC'' Data'!$O$3:$O$7,MATCH(G161,'G-7 WaterC'' Data'!$N$3:$N$7,0)),"")</f>
        <v/>
      </c>
      <c r="M161" s="58"/>
      <c r="N161" s="137"/>
      <c r="O161" s="289" t="str">
        <f t="shared" si="12"/>
        <v/>
      </c>
      <c r="P161" s="302" t="str">
        <f t="shared" si="13"/>
        <v/>
      </c>
      <c r="Q161" s="340" t="str">
        <f>IFERROR(IF(P161="Check Data ⚠","Check Data ⚠",VLOOKUP(P161,'G-4 Temporal multipliers'!$A$4:$C$37,3,FALSE)),"")</f>
        <v/>
      </c>
      <c r="R161" s="281" t="str">
        <f>IF(C161="","",VLOOKUP(C161,'G-7 WaterC'' Data'!$B$4:$G$8,4,FALSE))</f>
        <v/>
      </c>
      <c r="S161" s="289" t="str">
        <f t="shared" si="14"/>
        <v/>
      </c>
      <c r="T161" s="320" t="str">
        <f t="shared" si="15"/>
        <v/>
      </c>
      <c r="U161" s="282" t="str">
        <f>IF(C161="","",VLOOKUP(T161,'G-3 Multipliers'!$P$2:$Q$6,2,FALSE))</f>
        <v/>
      </c>
      <c r="V161" s="106"/>
      <c r="W161" s="282" t="str">
        <f>IF(V161="","",IF(AND(V161="N/A - Culvert",C161&lt;&gt;"Culvert"),"Not possible ▲",IF(AND(C161="Culvert",V161&lt;&gt;"N/A - Culvert"),"Not possible ▲",IF(VLOOKUP(V161,'G-7 WaterC'' Data'!$AA$4:$AB$7,2,FALSE)=0,"Spatial Data Missing ⚠",VLOOKUP(V161,'G-7 WaterC'' Data'!$AA$4:$AB$7,2,FALSE)))))</f>
        <v/>
      </c>
      <c r="X161" s="56"/>
      <c r="Y161" s="282" t="str">
        <f>IF(X161="","",IF(AND(X161="N/A - Culvert", C161&lt;&gt;"Culvert"), "Not possible ▲",IF(AND(C161="Culvert",X161&lt;&gt;"N/A - Culvert"),"Not possible ▲",IF(VLOOKUP(X161,'G-7 WaterC'' Data'!$AD$4:$AE$14,2,FALSE)=0,"Enrcoachment Data Missing ⚠",VLOOKUP(X161,'G-7 WaterC'' Data'!$AD$4:$AE$14,2,FALSE)))))</f>
        <v/>
      </c>
      <c r="Z161" s="323" t="str">
        <f t="shared" si="16"/>
        <v/>
      </c>
      <c r="AA161" s="105"/>
      <c r="AB161" s="119"/>
      <c r="AC161" s="108"/>
      <c r="AH161" s="30" t="str">
        <f>IFERROR(INDEX('G-7 WaterC'' Data'!$AZ$3:$AZ$7,MATCH(C161,'G-7 WaterC'' Data'!$AY$3:$AY$7,0)),"")</f>
        <v/>
      </c>
      <c r="AK161" s="30" t="str">
        <f t="shared" si="17"/>
        <v>No</v>
      </c>
    </row>
    <row r="162" spans="2:37" ht="13.8" x14ac:dyDescent="0.25">
      <c r="B162" s="101">
        <v>151</v>
      </c>
      <c r="C162" s="950"/>
      <c r="D162" s="119"/>
      <c r="E162" s="281" t="str">
        <f>IF(C162="","",VLOOKUP(C162,'G-7 WaterC'' Data'!$B$2:$G$8,2,FALSE))</f>
        <v/>
      </c>
      <c r="F162" s="282" t="str">
        <f>IFERROR(VLOOKUP(E162,'G-7 WaterC'' Data'!$C$4:$D$8,2,FALSE),"")</f>
        <v/>
      </c>
      <c r="G162" s="105"/>
      <c r="H162" s="282" t="str">
        <f>IFERROR(INDEX('G-7 WaterC'' Data'!$H$4:$L$8,MATCH(C162,'G-7 WaterC'' Data'!$B$4:$B$8,0),MATCH(G162,'G-7 WaterC'' Data'!$H$3:$L$3,0)),"")</f>
        <v/>
      </c>
      <c r="I162" s="52"/>
      <c r="J162" s="289" t="str">
        <f>IF(I162="","",IF(VLOOKUP(I162,'G-7 WaterC'' Data'!$AK$4:$AM$6,2,FALSE)=0,"Spatial Data Missing ⚠",VLOOKUP(I162,'G-7 WaterC'' Data'!$AK$4:$AM$6,2,FALSE)))</f>
        <v/>
      </c>
      <c r="K162" s="282" t="str">
        <f>IF(I162="","",IF(VLOOKUP(I162,'G-7 WaterC'' Data'!$AK$4:$AM$6,3,FALSE)=0,"Spatial Data Missing ⚠",VLOOKUP(I162,'G-7 WaterC'' Data'!$AK$4:$AM$6,3,FALSE)))</f>
        <v/>
      </c>
      <c r="L162" s="281" t="str">
        <f>IFERROR(INDEX('G-7 WaterC'' Data'!$O$3:$O$7,MATCH(G162,'G-7 WaterC'' Data'!$N$3:$N$7,0)),"")</f>
        <v/>
      </c>
      <c r="M162" s="58"/>
      <c r="N162" s="137"/>
      <c r="O162" s="289" t="str">
        <f t="shared" si="12"/>
        <v/>
      </c>
      <c r="P162" s="302" t="str">
        <f t="shared" si="13"/>
        <v/>
      </c>
      <c r="Q162" s="340" t="str">
        <f>IFERROR(IF(P162="Check Data ⚠","Check Data ⚠",VLOOKUP(P162,'G-4 Temporal multipliers'!$A$4:$C$37,3,FALSE)),"")</f>
        <v/>
      </c>
      <c r="R162" s="281" t="str">
        <f>IF(C162="","",VLOOKUP(C162,'G-7 WaterC'' Data'!$B$4:$G$8,4,FALSE))</f>
        <v/>
      </c>
      <c r="S162" s="289" t="str">
        <f t="shared" si="14"/>
        <v/>
      </c>
      <c r="T162" s="320" t="str">
        <f t="shared" si="15"/>
        <v/>
      </c>
      <c r="U162" s="282" t="str">
        <f>IF(C162="","",VLOOKUP(T162,'G-3 Multipliers'!$P$2:$Q$6,2,FALSE))</f>
        <v/>
      </c>
      <c r="V162" s="106"/>
      <c r="W162" s="282" t="str">
        <f>IF(V162="","",IF(AND(V162="N/A - Culvert",C162&lt;&gt;"Culvert"),"Not possible ▲",IF(AND(C162="Culvert",V162&lt;&gt;"N/A - Culvert"),"Not possible ▲",IF(VLOOKUP(V162,'G-7 WaterC'' Data'!$AA$4:$AB$7,2,FALSE)=0,"Spatial Data Missing ⚠",VLOOKUP(V162,'G-7 WaterC'' Data'!$AA$4:$AB$7,2,FALSE)))))</f>
        <v/>
      </c>
      <c r="X162" s="56"/>
      <c r="Y162" s="282" t="str">
        <f>IF(X162="","",IF(AND(X162="N/A - Culvert", C162&lt;&gt;"Culvert"), "Not possible ▲",IF(AND(C162="Culvert",X162&lt;&gt;"N/A - Culvert"),"Not possible ▲",IF(VLOOKUP(X162,'G-7 WaterC'' Data'!$AD$4:$AE$14,2,FALSE)=0,"Enrcoachment Data Missing ⚠",VLOOKUP(X162,'G-7 WaterC'' Data'!$AD$4:$AE$14,2,FALSE)))))</f>
        <v/>
      </c>
      <c r="Z162" s="323" t="str">
        <f t="shared" si="16"/>
        <v/>
      </c>
      <c r="AA162" s="105"/>
      <c r="AB162" s="119"/>
      <c r="AC162" s="108"/>
      <c r="AH162" s="30" t="str">
        <f>IFERROR(INDEX('G-7 WaterC'' Data'!$AZ$3:$AZ$7,MATCH(C162,'G-7 WaterC'' Data'!$AY$3:$AY$7,0)),"")</f>
        <v/>
      </c>
      <c r="AK162" s="30" t="str">
        <f t="shared" si="17"/>
        <v>No</v>
      </c>
    </row>
    <row r="163" spans="2:37" ht="13.8" x14ac:dyDescent="0.25">
      <c r="B163" s="101">
        <v>152</v>
      </c>
      <c r="C163" s="950"/>
      <c r="D163" s="119"/>
      <c r="E163" s="281" t="str">
        <f>IF(C163="","",VLOOKUP(C163,'G-7 WaterC'' Data'!$B$2:$G$8,2,FALSE))</f>
        <v/>
      </c>
      <c r="F163" s="282" t="str">
        <f>IFERROR(VLOOKUP(E163,'G-7 WaterC'' Data'!$C$4:$D$8,2,FALSE),"")</f>
        <v/>
      </c>
      <c r="G163" s="105"/>
      <c r="H163" s="282" t="str">
        <f>IFERROR(INDEX('G-7 WaterC'' Data'!$H$4:$L$8,MATCH(C163,'G-7 WaterC'' Data'!$B$4:$B$8,0),MATCH(G163,'G-7 WaterC'' Data'!$H$3:$L$3,0)),"")</f>
        <v/>
      </c>
      <c r="I163" s="52"/>
      <c r="J163" s="289" t="str">
        <f>IF(I163="","",IF(VLOOKUP(I163,'G-7 WaterC'' Data'!$AK$4:$AM$6,2,FALSE)=0,"Spatial Data Missing ⚠",VLOOKUP(I163,'G-7 WaterC'' Data'!$AK$4:$AM$6,2,FALSE)))</f>
        <v/>
      </c>
      <c r="K163" s="282" t="str">
        <f>IF(I163="","",IF(VLOOKUP(I163,'G-7 WaterC'' Data'!$AK$4:$AM$6,3,FALSE)=0,"Spatial Data Missing ⚠",VLOOKUP(I163,'G-7 WaterC'' Data'!$AK$4:$AM$6,3,FALSE)))</f>
        <v/>
      </c>
      <c r="L163" s="281" t="str">
        <f>IFERROR(INDEX('G-7 WaterC'' Data'!$O$3:$O$7,MATCH(G163,'G-7 WaterC'' Data'!$N$3:$N$7,0)),"")</f>
        <v/>
      </c>
      <c r="M163" s="58"/>
      <c r="N163" s="137"/>
      <c r="O163" s="289" t="str">
        <f t="shared" si="12"/>
        <v/>
      </c>
      <c r="P163" s="302" t="str">
        <f t="shared" si="13"/>
        <v/>
      </c>
      <c r="Q163" s="340" t="str">
        <f>IFERROR(IF(P163="Check Data ⚠","Check Data ⚠",VLOOKUP(P163,'G-4 Temporal multipliers'!$A$4:$C$37,3,FALSE)),"")</f>
        <v/>
      </c>
      <c r="R163" s="281" t="str">
        <f>IF(C163="","",VLOOKUP(C163,'G-7 WaterC'' Data'!$B$4:$G$8,4,FALSE))</f>
        <v/>
      </c>
      <c r="S163" s="289" t="str">
        <f t="shared" si="14"/>
        <v/>
      </c>
      <c r="T163" s="320" t="str">
        <f t="shared" si="15"/>
        <v/>
      </c>
      <c r="U163" s="282" t="str">
        <f>IF(C163="","",VLOOKUP(T163,'G-3 Multipliers'!$P$2:$Q$6,2,FALSE))</f>
        <v/>
      </c>
      <c r="V163" s="106"/>
      <c r="W163" s="282" t="str">
        <f>IF(V163="","",IF(AND(V163="N/A - Culvert",C163&lt;&gt;"Culvert"),"Not possible ▲",IF(AND(C163="Culvert",V163&lt;&gt;"N/A - Culvert"),"Not possible ▲",IF(VLOOKUP(V163,'G-7 WaterC'' Data'!$AA$4:$AB$7,2,FALSE)=0,"Spatial Data Missing ⚠",VLOOKUP(V163,'G-7 WaterC'' Data'!$AA$4:$AB$7,2,FALSE)))))</f>
        <v/>
      </c>
      <c r="X163" s="56"/>
      <c r="Y163" s="282" t="str">
        <f>IF(X163="","",IF(AND(X163="N/A - Culvert", C163&lt;&gt;"Culvert"), "Not possible ▲",IF(AND(C163="Culvert",X163&lt;&gt;"N/A - Culvert"),"Not possible ▲",IF(VLOOKUP(X163,'G-7 WaterC'' Data'!$AD$4:$AE$14,2,FALSE)=0,"Enrcoachment Data Missing ⚠",VLOOKUP(X163,'G-7 WaterC'' Data'!$AD$4:$AE$14,2,FALSE)))))</f>
        <v/>
      </c>
      <c r="Z163" s="323" t="str">
        <f t="shared" si="16"/>
        <v/>
      </c>
      <c r="AA163" s="105"/>
      <c r="AB163" s="119"/>
      <c r="AC163" s="108"/>
      <c r="AH163" s="30" t="str">
        <f>IFERROR(INDEX('G-7 WaterC'' Data'!$AZ$3:$AZ$7,MATCH(C163,'G-7 WaterC'' Data'!$AY$3:$AY$7,0)),"")</f>
        <v/>
      </c>
      <c r="AK163" s="30" t="str">
        <f t="shared" si="17"/>
        <v>No</v>
      </c>
    </row>
    <row r="164" spans="2:37" ht="13.8" x14ac:dyDescent="0.25">
      <c r="B164" s="101">
        <v>153</v>
      </c>
      <c r="C164" s="950"/>
      <c r="D164" s="119"/>
      <c r="E164" s="281" t="str">
        <f>IF(C164="","",VLOOKUP(C164,'G-7 WaterC'' Data'!$B$2:$G$8,2,FALSE))</f>
        <v/>
      </c>
      <c r="F164" s="282" t="str">
        <f>IFERROR(VLOOKUP(E164,'G-7 WaterC'' Data'!$C$4:$D$8,2,FALSE),"")</f>
        <v/>
      </c>
      <c r="G164" s="105"/>
      <c r="H164" s="282" t="str">
        <f>IFERROR(INDEX('G-7 WaterC'' Data'!$H$4:$L$8,MATCH(C164,'G-7 WaterC'' Data'!$B$4:$B$8,0),MATCH(G164,'G-7 WaterC'' Data'!$H$3:$L$3,0)),"")</f>
        <v/>
      </c>
      <c r="I164" s="52"/>
      <c r="J164" s="289" t="str">
        <f>IF(I164="","",IF(VLOOKUP(I164,'G-7 WaterC'' Data'!$AK$4:$AM$6,2,FALSE)=0,"Spatial Data Missing ⚠",VLOOKUP(I164,'G-7 WaterC'' Data'!$AK$4:$AM$6,2,FALSE)))</f>
        <v/>
      </c>
      <c r="K164" s="282" t="str">
        <f>IF(I164="","",IF(VLOOKUP(I164,'G-7 WaterC'' Data'!$AK$4:$AM$6,3,FALSE)=0,"Spatial Data Missing ⚠",VLOOKUP(I164,'G-7 WaterC'' Data'!$AK$4:$AM$6,3,FALSE)))</f>
        <v/>
      </c>
      <c r="L164" s="281" t="str">
        <f>IFERROR(INDEX('G-7 WaterC'' Data'!$O$3:$O$7,MATCH(G164,'G-7 WaterC'' Data'!$N$3:$N$7,0)),"")</f>
        <v/>
      </c>
      <c r="M164" s="58"/>
      <c r="N164" s="137"/>
      <c r="O164" s="289" t="str">
        <f t="shared" si="12"/>
        <v/>
      </c>
      <c r="P164" s="302" t="str">
        <f t="shared" si="13"/>
        <v/>
      </c>
      <c r="Q164" s="340" t="str">
        <f>IFERROR(IF(P164="Check Data ⚠","Check Data ⚠",VLOOKUP(P164,'G-4 Temporal multipliers'!$A$4:$C$37,3,FALSE)),"")</f>
        <v/>
      </c>
      <c r="R164" s="281" t="str">
        <f>IF(C164="","",VLOOKUP(C164,'G-7 WaterC'' Data'!$B$4:$G$8,4,FALSE))</f>
        <v/>
      </c>
      <c r="S164" s="289" t="str">
        <f t="shared" si="14"/>
        <v/>
      </c>
      <c r="T164" s="320" t="str">
        <f t="shared" si="15"/>
        <v/>
      </c>
      <c r="U164" s="282" t="str">
        <f>IF(C164="","",VLOOKUP(T164,'G-3 Multipliers'!$P$2:$Q$6,2,FALSE))</f>
        <v/>
      </c>
      <c r="V164" s="106"/>
      <c r="W164" s="282" t="str">
        <f>IF(V164="","",IF(AND(V164="N/A - Culvert",C164&lt;&gt;"Culvert"),"Not possible ▲",IF(AND(C164="Culvert",V164&lt;&gt;"N/A - Culvert"),"Not possible ▲",IF(VLOOKUP(V164,'G-7 WaterC'' Data'!$AA$4:$AB$7,2,FALSE)=0,"Spatial Data Missing ⚠",VLOOKUP(V164,'G-7 WaterC'' Data'!$AA$4:$AB$7,2,FALSE)))))</f>
        <v/>
      </c>
      <c r="X164" s="56"/>
      <c r="Y164" s="282" t="str">
        <f>IF(X164="","",IF(AND(X164="N/A - Culvert", C164&lt;&gt;"Culvert"), "Not possible ▲",IF(AND(C164="Culvert",X164&lt;&gt;"N/A - Culvert"),"Not possible ▲",IF(VLOOKUP(X164,'G-7 WaterC'' Data'!$AD$4:$AE$14,2,FALSE)=0,"Enrcoachment Data Missing ⚠",VLOOKUP(X164,'G-7 WaterC'' Data'!$AD$4:$AE$14,2,FALSE)))))</f>
        <v/>
      </c>
      <c r="Z164" s="323" t="str">
        <f t="shared" si="16"/>
        <v/>
      </c>
      <c r="AA164" s="105"/>
      <c r="AB164" s="119"/>
      <c r="AC164" s="108"/>
      <c r="AH164" s="30" t="str">
        <f>IFERROR(INDEX('G-7 WaterC'' Data'!$AZ$3:$AZ$7,MATCH(C164,'G-7 WaterC'' Data'!$AY$3:$AY$7,0)),"")</f>
        <v/>
      </c>
      <c r="AK164" s="30" t="str">
        <f t="shared" si="17"/>
        <v>No</v>
      </c>
    </row>
    <row r="165" spans="2:37" ht="13.8" x14ac:dyDescent="0.25">
      <c r="B165" s="101">
        <v>154</v>
      </c>
      <c r="C165" s="950"/>
      <c r="D165" s="119"/>
      <c r="E165" s="281" t="str">
        <f>IF(C165="","",VLOOKUP(C165,'G-7 WaterC'' Data'!$B$2:$G$8,2,FALSE))</f>
        <v/>
      </c>
      <c r="F165" s="282" t="str">
        <f>IFERROR(VLOOKUP(E165,'G-7 WaterC'' Data'!$C$4:$D$8,2,FALSE),"")</f>
        <v/>
      </c>
      <c r="G165" s="105"/>
      <c r="H165" s="282" t="str">
        <f>IFERROR(INDEX('G-7 WaterC'' Data'!$H$4:$L$8,MATCH(C165,'G-7 WaterC'' Data'!$B$4:$B$8,0),MATCH(G165,'G-7 WaterC'' Data'!$H$3:$L$3,0)),"")</f>
        <v/>
      </c>
      <c r="I165" s="52"/>
      <c r="J165" s="289" t="str">
        <f>IF(I165="","",IF(VLOOKUP(I165,'G-7 WaterC'' Data'!$AK$4:$AM$6,2,FALSE)=0,"Spatial Data Missing ⚠",VLOOKUP(I165,'G-7 WaterC'' Data'!$AK$4:$AM$6,2,FALSE)))</f>
        <v/>
      </c>
      <c r="K165" s="282" t="str">
        <f>IF(I165="","",IF(VLOOKUP(I165,'G-7 WaterC'' Data'!$AK$4:$AM$6,3,FALSE)=0,"Spatial Data Missing ⚠",VLOOKUP(I165,'G-7 WaterC'' Data'!$AK$4:$AM$6,3,FALSE)))</f>
        <v/>
      </c>
      <c r="L165" s="281" t="str">
        <f>IFERROR(INDEX('G-7 WaterC'' Data'!$O$3:$O$7,MATCH(G165,'G-7 WaterC'' Data'!$N$3:$N$7,0)),"")</f>
        <v/>
      </c>
      <c r="M165" s="58"/>
      <c r="N165" s="137"/>
      <c r="O165" s="289" t="str">
        <f t="shared" si="12"/>
        <v/>
      </c>
      <c r="P165" s="302" t="str">
        <f t="shared" si="13"/>
        <v/>
      </c>
      <c r="Q165" s="340" t="str">
        <f>IFERROR(IF(P165="Check Data ⚠","Check Data ⚠",VLOOKUP(P165,'G-4 Temporal multipliers'!$A$4:$C$37,3,FALSE)),"")</f>
        <v/>
      </c>
      <c r="R165" s="281" t="str">
        <f>IF(C165="","",VLOOKUP(C165,'G-7 WaterC'' Data'!$B$4:$G$8,4,FALSE))</f>
        <v/>
      </c>
      <c r="S165" s="289" t="str">
        <f t="shared" si="14"/>
        <v/>
      </c>
      <c r="T165" s="320" t="str">
        <f t="shared" si="15"/>
        <v/>
      </c>
      <c r="U165" s="282" t="str">
        <f>IF(C165="","",VLOOKUP(T165,'G-3 Multipliers'!$P$2:$Q$6,2,FALSE))</f>
        <v/>
      </c>
      <c r="V165" s="106"/>
      <c r="W165" s="282" t="str">
        <f>IF(V165="","",IF(AND(V165="N/A - Culvert",C165&lt;&gt;"Culvert"),"Not possible ▲",IF(AND(C165="Culvert",V165&lt;&gt;"N/A - Culvert"),"Not possible ▲",IF(VLOOKUP(V165,'G-7 WaterC'' Data'!$AA$4:$AB$7,2,FALSE)=0,"Spatial Data Missing ⚠",VLOOKUP(V165,'G-7 WaterC'' Data'!$AA$4:$AB$7,2,FALSE)))))</f>
        <v/>
      </c>
      <c r="X165" s="56"/>
      <c r="Y165" s="282" t="str">
        <f>IF(X165="","",IF(AND(X165="N/A - Culvert", C165&lt;&gt;"Culvert"), "Not possible ▲",IF(AND(C165="Culvert",X165&lt;&gt;"N/A - Culvert"),"Not possible ▲",IF(VLOOKUP(X165,'G-7 WaterC'' Data'!$AD$4:$AE$14,2,FALSE)=0,"Enrcoachment Data Missing ⚠",VLOOKUP(X165,'G-7 WaterC'' Data'!$AD$4:$AE$14,2,FALSE)))))</f>
        <v/>
      </c>
      <c r="Z165" s="323" t="str">
        <f t="shared" si="16"/>
        <v/>
      </c>
      <c r="AA165" s="105"/>
      <c r="AB165" s="119"/>
      <c r="AC165" s="108"/>
      <c r="AH165" s="30" t="str">
        <f>IFERROR(INDEX('G-7 WaterC'' Data'!$AZ$3:$AZ$7,MATCH(C165,'G-7 WaterC'' Data'!$AY$3:$AY$7,0)),"")</f>
        <v/>
      </c>
      <c r="AK165" s="30" t="str">
        <f t="shared" si="17"/>
        <v>No</v>
      </c>
    </row>
    <row r="166" spans="2:37" ht="13.8" x14ac:dyDescent="0.25">
      <c r="B166" s="101">
        <v>155</v>
      </c>
      <c r="C166" s="950"/>
      <c r="D166" s="119"/>
      <c r="E166" s="281" t="str">
        <f>IF(C166="","",VLOOKUP(C166,'G-7 WaterC'' Data'!$B$2:$G$8,2,FALSE))</f>
        <v/>
      </c>
      <c r="F166" s="282" t="str">
        <f>IFERROR(VLOOKUP(E166,'G-7 WaterC'' Data'!$C$4:$D$8,2,FALSE),"")</f>
        <v/>
      </c>
      <c r="G166" s="105"/>
      <c r="H166" s="282" t="str">
        <f>IFERROR(INDEX('G-7 WaterC'' Data'!$H$4:$L$8,MATCH(C166,'G-7 WaterC'' Data'!$B$4:$B$8,0),MATCH(G166,'G-7 WaterC'' Data'!$H$3:$L$3,0)),"")</f>
        <v/>
      </c>
      <c r="I166" s="52"/>
      <c r="J166" s="289" t="str">
        <f>IF(I166="","",IF(VLOOKUP(I166,'G-7 WaterC'' Data'!$AK$4:$AM$6,2,FALSE)=0,"Spatial Data Missing ⚠",VLOOKUP(I166,'G-7 WaterC'' Data'!$AK$4:$AM$6,2,FALSE)))</f>
        <v/>
      </c>
      <c r="K166" s="282" t="str">
        <f>IF(I166="","",IF(VLOOKUP(I166,'G-7 WaterC'' Data'!$AK$4:$AM$6,3,FALSE)=0,"Spatial Data Missing ⚠",VLOOKUP(I166,'G-7 WaterC'' Data'!$AK$4:$AM$6,3,FALSE)))</f>
        <v/>
      </c>
      <c r="L166" s="281" t="str">
        <f>IFERROR(INDEX('G-7 WaterC'' Data'!$O$3:$O$7,MATCH(G166,'G-7 WaterC'' Data'!$N$3:$N$7,0)),"")</f>
        <v/>
      </c>
      <c r="M166" s="58"/>
      <c r="N166" s="137"/>
      <c r="O166" s="289" t="str">
        <f t="shared" si="12"/>
        <v/>
      </c>
      <c r="P166" s="302" t="str">
        <f t="shared" si="13"/>
        <v/>
      </c>
      <c r="Q166" s="340" t="str">
        <f>IFERROR(IF(P166="Check Data ⚠","Check Data ⚠",VLOOKUP(P166,'G-4 Temporal multipliers'!$A$4:$C$37,3,FALSE)),"")</f>
        <v/>
      </c>
      <c r="R166" s="281" t="str">
        <f>IF(C166="","",VLOOKUP(C166,'G-7 WaterC'' Data'!$B$4:$G$8,4,FALSE))</f>
        <v/>
      </c>
      <c r="S166" s="289" t="str">
        <f t="shared" si="14"/>
        <v/>
      </c>
      <c r="T166" s="320" t="str">
        <f t="shared" si="15"/>
        <v/>
      </c>
      <c r="U166" s="282" t="str">
        <f>IF(C166="","",VLOOKUP(T166,'G-3 Multipliers'!$P$2:$Q$6,2,FALSE))</f>
        <v/>
      </c>
      <c r="V166" s="106"/>
      <c r="W166" s="282" t="str">
        <f>IF(V166="","",IF(AND(V166="N/A - Culvert",C166&lt;&gt;"Culvert"),"Not possible ▲",IF(AND(C166="Culvert",V166&lt;&gt;"N/A - Culvert"),"Not possible ▲",IF(VLOOKUP(V166,'G-7 WaterC'' Data'!$AA$4:$AB$7,2,FALSE)=0,"Spatial Data Missing ⚠",VLOOKUP(V166,'G-7 WaterC'' Data'!$AA$4:$AB$7,2,FALSE)))))</f>
        <v/>
      </c>
      <c r="X166" s="56"/>
      <c r="Y166" s="282" t="str">
        <f>IF(X166="","",IF(AND(X166="N/A - Culvert", C166&lt;&gt;"Culvert"), "Not possible ▲",IF(AND(C166="Culvert",X166&lt;&gt;"N/A - Culvert"),"Not possible ▲",IF(VLOOKUP(X166,'G-7 WaterC'' Data'!$AD$4:$AE$14,2,FALSE)=0,"Enrcoachment Data Missing ⚠",VLOOKUP(X166,'G-7 WaterC'' Data'!$AD$4:$AE$14,2,FALSE)))))</f>
        <v/>
      </c>
      <c r="Z166" s="323" t="str">
        <f t="shared" si="16"/>
        <v/>
      </c>
      <c r="AA166" s="105"/>
      <c r="AB166" s="119"/>
      <c r="AC166" s="108"/>
      <c r="AH166" s="30" t="str">
        <f>IFERROR(INDEX('G-7 WaterC'' Data'!$AZ$3:$AZ$7,MATCH(C166,'G-7 WaterC'' Data'!$AY$3:$AY$7,0)),"")</f>
        <v/>
      </c>
      <c r="AK166" s="30" t="str">
        <f t="shared" si="17"/>
        <v>No</v>
      </c>
    </row>
    <row r="167" spans="2:37" ht="13.8" x14ac:dyDescent="0.25">
      <c r="B167" s="101">
        <v>156</v>
      </c>
      <c r="C167" s="950"/>
      <c r="D167" s="119"/>
      <c r="E167" s="281" t="str">
        <f>IF(C167="","",VLOOKUP(C167,'G-7 WaterC'' Data'!$B$2:$G$8,2,FALSE))</f>
        <v/>
      </c>
      <c r="F167" s="282" t="str">
        <f>IFERROR(VLOOKUP(E167,'G-7 WaterC'' Data'!$C$4:$D$8,2,FALSE),"")</f>
        <v/>
      </c>
      <c r="G167" s="105"/>
      <c r="H167" s="282" t="str">
        <f>IFERROR(INDEX('G-7 WaterC'' Data'!$H$4:$L$8,MATCH(C167,'G-7 WaterC'' Data'!$B$4:$B$8,0),MATCH(G167,'G-7 WaterC'' Data'!$H$3:$L$3,0)),"")</f>
        <v/>
      </c>
      <c r="I167" s="52"/>
      <c r="J167" s="289" t="str">
        <f>IF(I167="","",IF(VLOOKUP(I167,'G-7 WaterC'' Data'!$AK$4:$AM$6,2,FALSE)=0,"Spatial Data Missing ⚠",VLOOKUP(I167,'G-7 WaterC'' Data'!$AK$4:$AM$6,2,FALSE)))</f>
        <v/>
      </c>
      <c r="K167" s="282" t="str">
        <f>IF(I167="","",IF(VLOOKUP(I167,'G-7 WaterC'' Data'!$AK$4:$AM$6,3,FALSE)=0,"Spatial Data Missing ⚠",VLOOKUP(I167,'G-7 WaterC'' Data'!$AK$4:$AM$6,3,FALSE)))</f>
        <v/>
      </c>
      <c r="L167" s="281" t="str">
        <f>IFERROR(INDEX('G-7 WaterC'' Data'!$O$3:$O$7,MATCH(G167,'G-7 WaterC'' Data'!$N$3:$N$7,0)),"")</f>
        <v/>
      </c>
      <c r="M167" s="58"/>
      <c r="N167" s="137"/>
      <c r="O167" s="289" t="str">
        <f t="shared" si="12"/>
        <v/>
      </c>
      <c r="P167" s="302" t="str">
        <f t="shared" si="13"/>
        <v/>
      </c>
      <c r="Q167" s="340" t="str">
        <f>IFERROR(IF(P167="Check Data ⚠","Check Data ⚠",VLOOKUP(P167,'G-4 Temporal multipliers'!$A$4:$C$37,3,FALSE)),"")</f>
        <v/>
      </c>
      <c r="R167" s="281" t="str">
        <f>IF(C167="","",VLOOKUP(C167,'G-7 WaterC'' Data'!$B$4:$G$8,4,FALSE))</f>
        <v/>
      </c>
      <c r="S167" s="289" t="str">
        <f t="shared" si="14"/>
        <v/>
      </c>
      <c r="T167" s="320" t="str">
        <f t="shared" si="15"/>
        <v/>
      </c>
      <c r="U167" s="282" t="str">
        <f>IF(C167="","",VLOOKUP(T167,'G-3 Multipliers'!$P$2:$Q$6,2,FALSE))</f>
        <v/>
      </c>
      <c r="V167" s="106"/>
      <c r="W167" s="282" t="str">
        <f>IF(V167="","",IF(AND(V167="N/A - Culvert",C167&lt;&gt;"Culvert"),"Not possible ▲",IF(AND(C167="Culvert",V167&lt;&gt;"N/A - Culvert"),"Not possible ▲",IF(VLOOKUP(V167,'G-7 WaterC'' Data'!$AA$4:$AB$7,2,FALSE)=0,"Spatial Data Missing ⚠",VLOOKUP(V167,'G-7 WaterC'' Data'!$AA$4:$AB$7,2,FALSE)))))</f>
        <v/>
      </c>
      <c r="X167" s="56"/>
      <c r="Y167" s="282" t="str">
        <f>IF(X167="","",IF(AND(X167="N/A - Culvert", C167&lt;&gt;"Culvert"), "Not possible ▲",IF(AND(C167="Culvert",X167&lt;&gt;"N/A - Culvert"),"Not possible ▲",IF(VLOOKUP(X167,'G-7 WaterC'' Data'!$AD$4:$AE$14,2,FALSE)=0,"Enrcoachment Data Missing ⚠",VLOOKUP(X167,'G-7 WaterC'' Data'!$AD$4:$AE$14,2,FALSE)))))</f>
        <v/>
      </c>
      <c r="Z167" s="323" t="str">
        <f t="shared" si="16"/>
        <v/>
      </c>
      <c r="AA167" s="105"/>
      <c r="AB167" s="119"/>
      <c r="AC167" s="108"/>
      <c r="AH167" s="30" t="str">
        <f>IFERROR(INDEX('G-7 WaterC'' Data'!$AZ$3:$AZ$7,MATCH(C167,'G-7 WaterC'' Data'!$AY$3:$AY$7,0)),"")</f>
        <v/>
      </c>
      <c r="AK167" s="30" t="str">
        <f t="shared" si="17"/>
        <v>No</v>
      </c>
    </row>
    <row r="168" spans="2:37" ht="13.8" x14ac:dyDescent="0.25">
      <c r="B168" s="101">
        <v>157</v>
      </c>
      <c r="C168" s="950"/>
      <c r="D168" s="119"/>
      <c r="E168" s="281" t="str">
        <f>IF(C168="","",VLOOKUP(C168,'G-7 WaterC'' Data'!$B$2:$G$8,2,FALSE))</f>
        <v/>
      </c>
      <c r="F168" s="282" t="str">
        <f>IFERROR(VLOOKUP(E168,'G-7 WaterC'' Data'!$C$4:$D$8,2,FALSE),"")</f>
        <v/>
      </c>
      <c r="G168" s="105"/>
      <c r="H168" s="282" t="str">
        <f>IFERROR(INDEX('G-7 WaterC'' Data'!$H$4:$L$8,MATCH(C168,'G-7 WaterC'' Data'!$B$4:$B$8,0),MATCH(G168,'G-7 WaterC'' Data'!$H$3:$L$3,0)),"")</f>
        <v/>
      </c>
      <c r="I168" s="52"/>
      <c r="J168" s="289" t="str">
        <f>IF(I168="","",IF(VLOOKUP(I168,'G-7 WaterC'' Data'!$AK$4:$AM$6,2,FALSE)=0,"Spatial Data Missing ⚠",VLOOKUP(I168,'G-7 WaterC'' Data'!$AK$4:$AM$6,2,FALSE)))</f>
        <v/>
      </c>
      <c r="K168" s="282" t="str">
        <f>IF(I168="","",IF(VLOOKUP(I168,'G-7 WaterC'' Data'!$AK$4:$AM$6,3,FALSE)=0,"Spatial Data Missing ⚠",VLOOKUP(I168,'G-7 WaterC'' Data'!$AK$4:$AM$6,3,FALSE)))</f>
        <v/>
      </c>
      <c r="L168" s="281" t="str">
        <f>IFERROR(INDEX('G-7 WaterC'' Data'!$O$3:$O$7,MATCH(G168,'G-7 WaterC'' Data'!$N$3:$N$7,0)),"")</f>
        <v/>
      </c>
      <c r="M168" s="58"/>
      <c r="N168" s="137"/>
      <c r="O168" s="289" t="str">
        <f t="shared" si="12"/>
        <v/>
      </c>
      <c r="P168" s="302" t="str">
        <f t="shared" si="13"/>
        <v/>
      </c>
      <c r="Q168" s="340" t="str">
        <f>IFERROR(IF(P168="Check Data ⚠","Check Data ⚠",VLOOKUP(P168,'G-4 Temporal multipliers'!$A$4:$C$37,3,FALSE)),"")</f>
        <v/>
      </c>
      <c r="R168" s="281" t="str">
        <f>IF(C168="","",VLOOKUP(C168,'G-7 WaterC'' Data'!$B$4:$G$8,4,FALSE))</f>
        <v/>
      </c>
      <c r="S168" s="289" t="str">
        <f t="shared" si="14"/>
        <v/>
      </c>
      <c r="T168" s="320" t="str">
        <f t="shared" si="15"/>
        <v/>
      </c>
      <c r="U168" s="282" t="str">
        <f>IF(C168="","",VLOOKUP(T168,'G-3 Multipliers'!$P$2:$Q$6,2,FALSE))</f>
        <v/>
      </c>
      <c r="V168" s="106"/>
      <c r="W168" s="282" t="str">
        <f>IF(V168="","",IF(AND(V168="N/A - Culvert",C168&lt;&gt;"Culvert"),"Not possible ▲",IF(AND(C168="Culvert",V168&lt;&gt;"N/A - Culvert"),"Not possible ▲",IF(VLOOKUP(V168,'G-7 WaterC'' Data'!$AA$4:$AB$7,2,FALSE)=0,"Spatial Data Missing ⚠",VLOOKUP(V168,'G-7 WaterC'' Data'!$AA$4:$AB$7,2,FALSE)))))</f>
        <v/>
      </c>
      <c r="X168" s="56"/>
      <c r="Y168" s="282" t="str">
        <f>IF(X168="","",IF(AND(X168="N/A - Culvert", C168&lt;&gt;"Culvert"), "Not possible ▲",IF(AND(C168="Culvert",X168&lt;&gt;"N/A - Culvert"),"Not possible ▲",IF(VLOOKUP(X168,'G-7 WaterC'' Data'!$AD$4:$AE$14,2,FALSE)=0,"Enrcoachment Data Missing ⚠",VLOOKUP(X168,'G-7 WaterC'' Data'!$AD$4:$AE$14,2,FALSE)))))</f>
        <v/>
      </c>
      <c r="Z168" s="323" t="str">
        <f t="shared" si="16"/>
        <v/>
      </c>
      <c r="AA168" s="105"/>
      <c r="AB168" s="119"/>
      <c r="AC168" s="108"/>
      <c r="AH168" s="30" t="str">
        <f>IFERROR(INDEX('G-7 WaterC'' Data'!$AZ$3:$AZ$7,MATCH(C168,'G-7 WaterC'' Data'!$AY$3:$AY$7,0)),"")</f>
        <v/>
      </c>
      <c r="AK168" s="30" t="str">
        <f t="shared" si="17"/>
        <v>No</v>
      </c>
    </row>
    <row r="169" spans="2:37" ht="13.8" x14ac:dyDescent="0.25">
      <c r="B169" s="101">
        <v>158</v>
      </c>
      <c r="C169" s="950"/>
      <c r="D169" s="119"/>
      <c r="E169" s="281" t="str">
        <f>IF(C169="","",VLOOKUP(C169,'G-7 WaterC'' Data'!$B$2:$G$8,2,FALSE))</f>
        <v/>
      </c>
      <c r="F169" s="282" t="str">
        <f>IFERROR(VLOOKUP(E169,'G-7 WaterC'' Data'!$C$4:$D$8,2,FALSE),"")</f>
        <v/>
      </c>
      <c r="G169" s="105"/>
      <c r="H169" s="282" t="str">
        <f>IFERROR(INDEX('G-7 WaterC'' Data'!$H$4:$L$8,MATCH(C169,'G-7 WaterC'' Data'!$B$4:$B$8,0),MATCH(G169,'G-7 WaterC'' Data'!$H$3:$L$3,0)),"")</f>
        <v/>
      </c>
      <c r="I169" s="52"/>
      <c r="J169" s="289" t="str">
        <f>IF(I169="","",IF(VLOOKUP(I169,'G-7 WaterC'' Data'!$AK$4:$AM$6,2,FALSE)=0,"Spatial Data Missing ⚠",VLOOKUP(I169,'G-7 WaterC'' Data'!$AK$4:$AM$6,2,FALSE)))</f>
        <v/>
      </c>
      <c r="K169" s="282" t="str">
        <f>IF(I169="","",IF(VLOOKUP(I169,'G-7 WaterC'' Data'!$AK$4:$AM$6,3,FALSE)=0,"Spatial Data Missing ⚠",VLOOKUP(I169,'G-7 WaterC'' Data'!$AK$4:$AM$6,3,FALSE)))</f>
        <v/>
      </c>
      <c r="L169" s="281" t="str">
        <f>IFERROR(INDEX('G-7 WaterC'' Data'!$O$3:$O$7,MATCH(G169,'G-7 WaterC'' Data'!$N$3:$N$7,0)),"")</f>
        <v/>
      </c>
      <c r="M169" s="58"/>
      <c r="N169" s="137"/>
      <c r="O169" s="289" t="str">
        <f t="shared" si="12"/>
        <v/>
      </c>
      <c r="P169" s="302" t="str">
        <f t="shared" si="13"/>
        <v/>
      </c>
      <c r="Q169" s="340" t="str">
        <f>IFERROR(IF(P169="Check Data ⚠","Check Data ⚠",VLOOKUP(P169,'G-4 Temporal multipliers'!$A$4:$C$37,3,FALSE)),"")</f>
        <v/>
      </c>
      <c r="R169" s="281" t="str">
        <f>IF(C169="","",VLOOKUP(C169,'G-7 WaterC'' Data'!$B$4:$G$8,4,FALSE))</f>
        <v/>
      </c>
      <c r="S169" s="289" t="str">
        <f t="shared" si="14"/>
        <v/>
      </c>
      <c r="T169" s="320" t="str">
        <f t="shared" si="15"/>
        <v/>
      </c>
      <c r="U169" s="282" t="str">
        <f>IF(C169="","",VLOOKUP(T169,'G-3 Multipliers'!$P$2:$Q$6,2,FALSE))</f>
        <v/>
      </c>
      <c r="V169" s="106"/>
      <c r="W169" s="282" t="str">
        <f>IF(V169="","",IF(AND(V169="N/A - Culvert",C169&lt;&gt;"Culvert"),"Not possible ▲",IF(AND(C169="Culvert",V169&lt;&gt;"N/A - Culvert"),"Not possible ▲",IF(VLOOKUP(V169,'G-7 WaterC'' Data'!$AA$4:$AB$7,2,FALSE)=0,"Spatial Data Missing ⚠",VLOOKUP(V169,'G-7 WaterC'' Data'!$AA$4:$AB$7,2,FALSE)))))</f>
        <v/>
      </c>
      <c r="X169" s="56"/>
      <c r="Y169" s="282" t="str">
        <f>IF(X169="","",IF(AND(X169="N/A - Culvert", C169&lt;&gt;"Culvert"), "Not possible ▲",IF(AND(C169="Culvert",X169&lt;&gt;"N/A - Culvert"),"Not possible ▲",IF(VLOOKUP(X169,'G-7 WaterC'' Data'!$AD$4:$AE$14,2,FALSE)=0,"Enrcoachment Data Missing ⚠",VLOOKUP(X169,'G-7 WaterC'' Data'!$AD$4:$AE$14,2,FALSE)))))</f>
        <v/>
      </c>
      <c r="Z169" s="323" t="str">
        <f t="shared" si="16"/>
        <v/>
      </c>
      <c r="AA169" s="105"/>
      <c r="AB169" s="119"/>
      <c r="AC169" s="108"/>
      <c r="AH169" s="30" t="str">
        <f>IFERROR(INDEX('G-7 WaterC'' Data'!$AZ$3:$AZ$7,MATCH(C169,'G-7 WaterC'' Data'!$AY$3:$AY$7,0)),"")</f>
        <v/>
      </c>
      <c r="AK169" s="30" t="str">
        <f t="shared" si="17"/>
        <v>No</v>
      </c>
    </row>
    <row r="170" spans="2:37" ht="13.8" x14ac:dyDescent="0.25">
      <c r="B170" s="101">
        <v>159</v>
      </c>
      <c r="C170" s="950"/>
      <c r="D170" s="119"/>
      <c r="E170" s="281" t="str">
        <f>IF(C170="","",VLOOKUP(C170,'G-7 WaterC'' Data'!$B$2:$G$8,2,FALSE))</f>
        <v/>
      </c>
      <c r="F170" s="282" t="str">
        <f>IFERROR(VLOOKUP(E170,'G-7 WaterC'' Data'!$C$4:$D$8,2,FALSE),"")</f>
        <v/>
      </c>
      <c r="G170" s="105"/>
      <c r="H170" s="282" t="str">
        <f>IFERROR(INDEX('G-7 WaterC'' Data'!$H$4:$L$8,MATCH(C170,'G-7 WaterC'' Data'!$B$4:$B$8,0),MATCH(G170,'G-7 WaterC'' Data'!$H$3:$L$3,0)),"")</f>
        <v/>
      </c>
      <c r="I170" s="52"/>
      <c r="J170" s="289" t="str">
        <f>IF(I170="","",IF(VLOOKUP(I170,'G-7 WaterC'' Data'!$AK$4:$AM$6,2,FALSE)=0,"Spatial Data Missing ⚠",VLOOKUP(I170,'G-7 WaterC'' Data'!$AK$4:$AM$6,2,FALSE)))</f>
        <v/>
      </c>
      <c r="K170" s="282" t="str">
        <f>IF(I170="","",IF(VLOOKUP(I170,'G-7 WaterC'' Data'!$AK$4:$AM$6,3,FALSE)=0,"Spatial Data Missing ⚠",VLOOKUP(I170,'G-7 WaterC'' Data'!$AK$4:$AM$6,3,FALSE)))</f>
        <v/>
      </c>
      <c r="L170" s="281" t="str">
        <f>IFERROR(INDEX('G-7 WaterC'' Data'!$O$3:$O$7,MATCH(G170,'G-7 WaterC'' Data'!$N$3:$N$7,0)),"")</f>
        <v/>
      </c>
      <c r="M170" s="58"/>
      <c r="N170" s="137"/>
      <c r="O170" s="289" t="str">
        <f t="shared" si="12"/>
        <v/>
      </c>
      <c r="P170" s="302" t="str">
        <f t="shared" si="13"/>
        <v/>
      </c>
      <c r="Q170" s="340" t="str">
        <f>IFERROR(IF(P170="Check Data ⚠","Check Data ⚠",VLOOKUP(P170,'G-4 Temporal multipliers'!$A$4:$C$37,3,FALSE)),"")</f>
        <v/>
      </c>
      <c r="R170" s="281" t="str">
        <f>IF(C170="","",VLOOKUP(C170,'G-7 WaterC'' Data'!$B$4:$G$8,4,FALSE))</f>
        <v/>
      </c>
      <c r="S170" s="289" t="str">
        <f t="shared" si="14"/>
        <v/>
      </c>
      <c r="T170" s="320" t="str">
        <f t="shared" si="15"/>
        <v/>
      </c>
      <c r="U170" s="282" t="str">
        <f>IF(C170="","",VLOOKUP(T170,'G-3 Multipliers'!$P$2:$Q$6,2,FALSE))</f>
        <v/>
      </c>
      <c r="V170" s="106"/>
      <c r="W170" s="282" t="str">
        <f>IF(V170="","",IF(AND(V170="N/A - Culvert",C170&lt;&gt;"Culvert"),"Not possible ▲",IF(AND(C170="Culvert",V170&lt;&gt;"N/A - Culvert"),"Not possible ▲",IF(VLOOKUP(V170,'G-7 WaterC'' Data'!$AA$4:$AB$7,2,FALSE)=0,"Spatial Data Missing ⚠",VLOOKUP(V170,'G-7 WaterC'' Data'!$AA$4:$AB$7,2,FALSE)))))</f>
        <v/>
      </c>
      <c r="X170" s="56"/>
      <c r="Y170" s="282" t="str">
        <f>IF(X170="","",IF(AND(X170="N/A - Culvert", C170&lt;&gt;"Culvert"), "Not possible ▲",IF(AND(C170="Culvert",X170&lt;&gt;"N/A - Culvert"),"Not possible ▲",IF(VLOOKUP(X170,'G-7 WaterC'' Data'!$AD$4:$AE$14,2,FALSE)=0,"Enrcoachment Data Missing ⚠",VLOOKUP(X170,'G-7 WaterC'' Data'!$AD$4:$AE$14,2,FALSE)))))</f>
        <v/>
      </c>
      <c r="Z170" s="323" t="str">
        <f t="shared" si="16"/>
        <v/>
      </c>
      <c r="AA170" s="105"/>
      <c r="AB170" s="119"/>
      <c r="AC170" s="108"/>
      <c r="AH170" s="30" t="str">
        <f>IFERROR(INDEX('G-7 WaterC'' Data'!$AZ$3:$AZ$7,MATCH(C170,'G-7 WaterC'' Data'!$AY$3:$AY$7,0)),"")</f>
        <v/>
      </c>
      <c r="AK170" s="30" t="str">
        <f t="shared" si="17"/>
        <v>No</v>
      </c>
    </row>
    <row r="171" spans="2:37" ht="13.8" x14ac:dyDescent="0.25">
      <c r="B171" s="101">
        <v>160</v>
      </c>
      <c r="C171" s="950"/>
      <c r="D171" s="119"/>
      <c r="E171" s="281" t="str">
        <f>IF(C171="","",VLOOKUP(C171,'G-7 WaterC'' Data'!$B$2:$G$8,2,FALSE))</f>
        <v/>
      </c>
      <c r="F171" s="282" t="str">
        <f>IFERROR(VLOOKUP(E171,'G-7 WaterC'' Data'!$C$4:$D$8,2,FALSE),"")</f>
        <v/>
      </c>
      <c r="G171" s="105"/>
      <c r="H171" s="282" t="str">
        <f>IFERROR(INDEX('G-7 WaterC'' Data'!$H$4:$L$8,MATCH(C171,'G-7 WaterC'' Data'!$B$4:$B$8,0),MATCH(G171,'G-7 WaterC'' Data'!$H$3:$L$3,0)),"")</f>
        <v/>
      </c>
      <c r="I171" s="52"/>
      <c r="J171" s="289" t="str">
        <f>IF(I171="","",IF(VLOOKUP(I171,'G-7 WaterC'' Data'!$AK$4:$AM$6,2,FALSE)=0,"Spatial Data Missing ⚠",VLOOKUP(I171,'G-7 WaterC'' Data'!$AK$4:$AM$6,2,FALSE)))</f>
        <v/>
      </c>
      <c r="K171" s="282" t="str">
        <f>IF(I171="","",IF(VLOOKUP(I171,'G-7 WaterC'' Data'!$AK$4:$AM$6,3,FALSE)=0,"Spatial Data Missing ⚠",VLOOKUP(I171,'G-7 WaterC'' Data'!$AK$4:$AM$6,3,FALSE)))</f>
        <v/>
      </c>
      <c r="L171" s="281" t="str">
        <f>IFERROR(INDEX('G-7 WaterC'' Data'!$O$3:$O$7,MATCH(G171,'G-7 WaterC'' Data'!$N$3:$N$7,0)),"")</f>
        <v/>
      </c>
      <c r="M171" s="58"/>
      <c r="N171" s="137"/>
      <c r="O171" s="289" t="str">
        <f t="shared" si="12"/>
        <v/>
      </c>
      <c r="P171" s="302" t="str">
        <f t="shared" si="13"/>
        <v/>
      </c>
      <c r="Q171" s="340" t="str">
        <f>IFERROR(IF(P171="Check Data ⚠","Check Data ⚠",VLOOKUP(P171,'G-4 Temporal multipliers'!$A$4:$C$37,3,FALSE)),"")</f>
        <v/>
      </c>
      <c r="R171" s="281" t="str">
        <f>IF(C171="","",VLOOKUP(C171,'G-7 WaterC'' Data'!$B$4:$G$8,4,FALSE))</f>
        <v/>
      </c>
      <c r="S171" s="289" t="str">
        <f t="shared" si="14"/>
        <v/>
      </c>
      <c r="T171" s="320" t="str">
        <f t="shared" si="15"/>
        <v/>
      </c>
      <c r="U171" s="282" t="str">
        <f>IF(C171="","",VLOOKUP(T171,'G-3 Multipliers'!$P$2:$Q$6,2,FALSE))</f>
        <v/>
      </c>
      <c r="V171" s="106"/>
      <c r="W171" s="282" t="str">
        <f>IF(V171="","",IF(AND(V171="N/A - Culvert",C171&lt;&gt;"Culvert"),"Not possible ▲",IF(AND(C171="Culvert",V171&lt;&gt;"N/A - Culvert"),"Not possible ▲",IF(VLOOKUP(V171,'G-7 WaterC'' Data'!$AA$4:$AB$7,2,FALSE)=0,"Spatial Data Missing ⚠",VLOOKUP(V171,'G-7 WaterC'' Data'!$AA$4:$AB$7,2,FALSE)))))</f>
        <v/>
      </c>
      <c r="X171" s="56"/>
      <c r="Y171" s="282" t="str">
        <f>IF(X171="","",IF(AND(X171="N/A - Culvert", C171&lt;&gt;"Culvert"), "Not possible ▲",IF(AND(C171="Culvert",X171&lt;&gt;"N/A - Culvert"),"Not possible ▲",IF(VLOOKUP(X171,'G-7 WaterC'' Data'!$AD$4:$AE$14,2,FALSE)=0,"Enrcoachment Data Missing ⚠",VLOOKUP(X171,'G-7 WaterC'' Data'!$AD$4:$AE$14,2,FALSE)))))</f>
        <v/>
      </c>
      <c r="Z171" s="323" t="str">
        <f t="shared" si="16"/>
        <v/>
      </c>
      <c r="AA171" s="105"/>
      <c r="AB171" s="119"/>
      <c r="AC171" s="108"/>
      <c r="AH171" s="30" t="str">
        <f>IFERROR(INDEX('G-7 WaterC'' Data'!$AZ$3:$AZ$7,MATCH(C171,'G-7 WaterC'' Data'!$AY$3:$AY$7,0)),"")</f>
        <v/>
      </c>
      <c r="AK171" s="30" t="str">
        <f t="shared" si="17"/>
        <v>No</v>
      </c>
    </row>
    <row r="172" spans="2:37" ht="13.8" x14ac:dyDescent="0.25">
      <c r="B172" s="101">
        <v>161</v>
      </c>
      <c r="C172" s="950"/>
      <c r="D172" s="119"/>
      <c r="E172" s="281" t="str">
        <f>IF(C172="","",VLOOKUP(C172,'G-7 WaterC'' Data'!$B$2:$G$8,2,FALSE))</f>
        <v/>
      </c>
      <c r="F172" s="282" t="str">
        <f>IFERROR(VLOOKUP(E172,'G-7 WaterC'' Data'!$C$4:$D$8,2,FALSE),"")</f>
        <v/>
      </c>
      <c r="G172" s="105"/>
      <c r="H172" s="282" t="str">
        <f>IFERROR(INDEX('G-7 WaterC'' Data'!$H$4:$L$8,MATCH(C172,'G-7 WaterC'' Data'!$B$4:$B$8,0),MATCH(G172,'G-7 WaterC'' Data'!$H$3:$L$3,0)),"")</f>
        <v/>
      </c>
      <c r="I172" s="52"/>
      <c r="J172" s="289" t="str">
        <f>IF(I172="","",IF(VLOOKUP(I172,'G-7 WaterC'' Data'!$AK$4:$AM$6,2,FALSE)=0,"Spatial Data Missing ⚠",VLOOKUP(I172,'G-7 WaterC'' Data'!$AK$4:$AM$6,2,FALSE)))</f>
        <v/>
      </c>
      <c r="K172" s="282" t="str">
        <f>IF(I172="","",IF(VLOOKUP(I172,'G-7 WaterC'' Data'!$AK$4:$AM$6,3,FALSE)=0,"Spatial Data Missing ⚠",VLOOKUP(I172,'G-7 WaterC'' Data'!$AK$4:$AM$6,3,FALSE)))</f>
        <v/>
      </c>
      <c r="L172" s="281" t="str">
        <f>IFERROR(INDEX('G-7 WaterC'' Data'!$O$3:$O$7,MATCH(G172,'G-7 WaterC'' Data'!$N$3:$N$7,0)),"")</f>
        <v/>
      </c>
      <c r="M172" s="58"/>
      <c r="N172" s="137"/>
      <c r="O172" s="289" t="str">
        <f t="shared" si="12"/>
        <v/>
      </c>
      <c r="P172" s="302" t="str">
        <f t="shared" si="13"/>
        <v/>
      </c>
      <c r="Q172" s="340" t="str">
        <f>IFERROR(IF(P172="Check Data ⚠","Check Data ⚠",VLOOKUP(P172,'G-4 Temporal multipliers'!$A$4:$C$37,3,FALSE)),"")</f>
        <v/>
      </c>
      <c r="R172" s="281" t="str">
        <f>IF(C172="","",VLOOKUP(C172,'G-7 WaterC'' Data'!$B$4:$G$8,4,FALSE))</f>
        <v/>
      </c>
      <c r="S172" s="289" t="str">
        <f t="shared" si="14"/>
        <v/>
      </c>
      <c r="T172" s="320" t="str">
        <f t="shared" si="15"/>
        <v/>
      </c>
      <c r="U172" s="282" t="str">
        <f>IF(C172="","",VLOOKUP(T172,'G-3 Multipliers'!$P$2:$Q$6,2,FALSE))</f>
        <v/>
      </c>
      <c r="V172" s="106"/>
      <c r="W172" s="282" t="str">
        <f>IF(V172="","",IF(AND(V172="N/A - Culvert",C172&lt;&gt;"Culvert"),"Not possible ▲",IF(AND(C172="Culvert",V172&lt;&gt;"N/A - Culvert"),"Not possible ▲",IF(VLOOKUP(V172,'G-7 WaterC'' Data'!$AA$4:$AB$7,2,FALSE)=0,"Spatial Data Missing ⚠",VLOOKUP(V172,'G-7 WaterC'' Data'!$AA$4:$AB$7,2,FALSE)))))</f>
        <v/>
      </c>
      <c r="X172" s="56"/>
      <c r="Y172" s="282" t="str">
        <f>IF(X172="","",IF(AND(X172="N/A - Culvert", C172&lt;&gt;"Culvert"), "Not possible ▲",IF(AND(C172="Culvert",X172&lt;&gt;"N/A - Culvert"),"Not possible ▲",IF(VLOOKUP(X172,'G-7 WaterC'' Data'!$AD$4:$AE$14,2,FALSE)=0,"Enrcoachment Data Missing ⚠",VLOOKUP(X172,'G-7 WaterC'' Data'!$AD$4:$AE$14,2,FALSE)))))</f>
        <v/>
      </c>
      <c r="Z172" s="323" t="str">
        <f t="shared" si="16"/>
        <v/>
      </c>
      <c r="AA172" s="105"/>
      <c r="AB172" s="119"/>
      <c r="AC172" s="108"/>
      <c r="AH172" s="30" t="str">
        <f>IFERROR(INDEX('G-7 WaterC'' Data'!$AZ$3:$AZ$7,MATCH(C172,'G-7 WaterC'' Data'!$AY$3:$AY$7,0)),"")</f>
        <v/>
      </c>
      <c r="AK172" s="30" t="str">
        <f t="shared" si="17"/>
        <v>No</v>
      </c>
    </row>
    <row r="173" spans="2:37" ht="13.8" x14ac:dyDescent="0.25">
      <c r="B173" s="101">
        <v>162</v>
      </c>
      <c r="C173" s="950"/>
      <c r="D173" s="119"/>
      <c r="E173" s="281" t="str">
        <f>IF(C173="","",VLOOKUP(C173,'G-7 WaterC'' Data'!$B$2:$G$8,2,FALSE))</f>
        <v/>
      </c>
      <c r="F173" s="282" t="str">
        <f>IFERROR(VLOOKUP(E173,'G-7 WaterC'' Data'!$C$4:$D$8,2,FALSE),"")</f>
        <v/>
      </c>
      <c r="G173" s="105"/>
      <c r="H173" s="282" t="str">
        <f>IFERROR(INDEX('G-7 WaterC'' Data'!$H$4:$L$8,MATCH(C173,'G-7 WaterC'' Data'!$B$4:$B$8,0),MATCH(G173,'G-7 WaterC'' Data'!$H$3:$L$3,0)),"")</f>
        <v/>
      </c>
      <c r="I173" s="52"/>
      <c r="J173" s="289" t="str">
        <f>IF(I173="","",IF(VLOOKUP(I173,'G-7 WaterC'' Data'!$AK$4:$AM$6,2,FALSE)=0,"Spatial Data Missing ⚠",VLOOKUP(I173,'G-7 WaterC'' Data'!$AK$4:$AM$6,2,FALSE)))</f>
        <v/>
      </c>
      <c r="K173" s="282" t="str">
        <f>IF(I173="","",IF(VLOOKUP(I173,'G-7 WaterC'' Data'!$AK$4:$AM$6,3,FALSE)=0,"Spatial Data Missing ⚠",VLOOKUP(I173,'G-7 WaterC'' Data'!$AK$4:$AM$6,3,FALSE)))</f>
        <v/>
      </c>
      <c r="L173" s="281" t="str">
        <f>IFERROR(INDEX('G-7 WaterC'' Data'!$O$3:$O$7,MATCH(G173,'G-7 WaterC'' Data'!$N$3:$N$7,0)),"")</f>
        <v/>
      </c>
      <c r="M173" s="58"/>
      <c r="N173" s="137"/>
      <c r="O173" s="289" t="str">
        <f t="shared" si="12"/>
        <v/>
      </c>
      <c r="P173" s="302" t="str">
        <f t="shared" si="13"/>
        <v/>
      </c>
      <c r="Q173" s="340" t="str">
        <f>IFERROR(IF(P173="Check Data ⚠","Check Data ⚠",VLOOKUP(P173,'G-4 Temporal multipliers'!$A$4:$C$37,3,FALSE)),"")</f>
        <v/>
      </c>
      <c r="R173" s="281" t="str">
        <f>IF(C173="","",VLOOKUP(C173,'G-7 WaterC'' Data'!$B$4:$G$8,4,FALSE))</f>
        <v/>
      </c>
      <c r="S173" s="289" t="str">
        <f t="shared" si="14"/>
        <v/>
      </c>
      <c r="T173" s="320" t="str">
        <f t="shared" si="15"/>
        <v/>
      </c>
      <c r="U173" s="282" t="str">
        <f>IF(C173="","",VLOOKUP(T173,'G-3 Multipliers'!$P$2:$Q$6,2,FALSE))</f>
        <v/>
      </c>
      <c r="V173" s="106"/>
      <c r="W173" s="282" t="str">
        <f>IF(V173="","",IF(AND(V173="N/A - Culvert",C173&lt;&gt;"Culvert"),"Not possible ▲",IF(AND(C173="Culvert",V173&lt;&gt;"N/A - Culvert"),"Not possible ▲",IF(VLOOKUP(V173,'G-7 WaterC'' Data'!$AA$4:$AB$7,2,FALSE)=0,"Spatial Data Missing ⚠",VLOOKUP(V173,'G-7 WaterC'' Data'!$AA$4:$AB$7,2,FALSE)))))</f>
        <v/>
      </c>
      <c r="X173" s="56"/>
      <c r="Y173" s="282" t="str">
        <f>IF(X173="","",IF(AND(X173="N/A - Culvert", C173&lt;&gt;"Culvert"), "Not possible ▲",IF(AND(C173="Culvert",X173&lt;&gt;"N/A - Culvert"),"Not possible ▲",IF(VLOOKUP(X173,'G-7 WaterC'' Data'!$AD$4:$AE$14,2,FALSE)=0,"Enrcoachment Data Missing ⚠",VLOOKUP(X173,'G-7 WaterC'' Data'!$AD$4:$AE$14,2,FALSE)))))</f>
        <v/>
      </c>
      <c r="Z173" s="323" t="str">
        <f t="shared" si="16"/>
        <v/>
      </c>
      <c r="AA173" s="105"/>
      <c r="AB173" s="119"/>
      <c r="AC173" s="108"/>
      <c r="AH173" s="30" t="str">
        <f>IFERROR(INDEX('G-7 WaterC'' Data'!$AZ$3:$AZ$7,MATCH(C173,'G-7 WaterC'' Data'!$AY$3:$AY$7,0)),"")</f>
        <v/>
      </c>
      <c r="AK173" s="30" t="str">
        <f t="shared" si="17"/>
        <v>No</v>
      </c>
    </row>
    <row r="174" spans="2:37" ht="13.8" x14ac:dyDescent="0.25">
      <c r="B174" s="101">
        <v>163</v>
      </c>
      <c r="C174" s="950"/>
      <c r="D174" s="119"/>
      <c r="E174" s="281" t="str">
        <f>IF(C174="","",VLOOKUP(C174,'G-7 WaterC'' Data'!$B$2:$G$8,2,FALSE))</f>
        <v/>
      </c>
      <c r="F174" s="282" t="str">
        <f>IFERROR(VLOOKUP(E174,'G-7 WaterC'' Data'!$C$4:$D$8,2,FALSE),"")</f>
        <v/>
      </c>
      <c r="G174" s="105"/>
      <c r="H174" s="282" t="str">
        <f>IFERROR(INDEX('G-7 WaterC'' Data'!$H$4:$L$8,MATCH(C174,'G-7 WaterC'' Data'!$B$4:$B$8,0),MATCH(G174,'G-7 WaterC'' Data'!$H$3:$L$3,0)),"")</f>
        <v/>
      </c>
      <c r="I174" s="52"/>
      <c r="J174" s="289" t="str">
        <f>IF(I174="","",IF(VLOOKUP(I174,'G-7 WaterC'' Data'!$AK$4:$AM$6,2,FALSE)=0,"Spatial Data Missing ⚠",VLOOKUP(I174,'G-7 WaterC'' Data'!$AK$4:$AM$6,2,FALSE)))</f>
        <v/>
      </c>
      <c r="K174" s="282" t="str">
        <f>IF(I174="","",IF(VLOOKUP(I174,'G-7 WaterC'' Data'!$AK$4:$AM$6,3,FALSE)=0,"Spatial Data Missing ⚠",VLOOKUP(I174,'G-7 WaterC'' Data'!$AK$4:$AM$6,3,FALSE)))</f>
        <v/>
      </c>
      <c r="L174" s="281" t="str">
        <f>IFERROR(INDEX('G-7 WaterC'' Data'!$O$3:$O$7,MATCH(G174,'G-7 WaterC'' Data'!$N$3:$N$7,0)),"")</f>
        <v/>
      </c>
      <c r="M174" s="58"/>
      <c r="N174" s="137"/>
      <c r="O174" s="289" t="str">
        <f t="shared" si="12"/>
        <v/>
      </c>
      <c r="P174" s="302" t="str">
        <f t="shared" si="13"/>
        <v/>
      </c>
      <c r="Q174" s="340" t="str">
        <f>IFERROR(IF(P174="Check Data ⚠","Check Data ⚠",VLOOKUP(P174,'G-4 Temporal multipliers'!$A$4:$C$37,3,FALSE)),"")</f>
        <v/>
      </c>
      <c r="R174" s="281" t="str">
        <f>IF(C174="","",VLOOKUP(C174,'G-7 WaterC'' Data'!$B$4:$G$8,4,FALSE))</f>
        <v/>
      </c>
      <c r="S174" s="289" t="str">
        <f t="shared" si="14"/>
        <v/>
      </c>
      <c r="T174" s="320" t="str">
        <f t="shared" si="15"/>
        <v/>
      </c>
      <c r="U174" s="282" t="str">
        <f>IF(C174="","",VLOOKUP(T174,'G-3 Multipliers'!$P$2:$Q$6,2,FALSE))</f>
        <v/>
      </c>
      <c r="V174" s="106"/>
      <c r="W174" s="282" t="str">
        <f>IF(V174="","",IF(AND(V174="N/A - Culvert",C174&lt;&gt;"Culvert"),"Not possible ▲",IF(AND(C174="Culvert",V174&lt;&gt;"N/A - Culvert"),"Not possible ▲",IF(VLOOKUP(V174,'G-7 WaterC'' Data'!$AA$4:$AB$7,2,FALSE)=0,"Spatial Data Missing ⚠",VLOOKUP(V174,'G-7 WaterC'' Data'!$AA$4:$AB$7,2,FALSE)))))</f>
        <v/>
      </c>
      <c r="X174" s="56"/>
      <c r="Y174" s="282" t="str">
        <f>IF(X174="","",IF(AND(X174="N/A - Culvert", C174&lt;&gt;"Culvert"), "Not possible ▲",IF(AND(C174="Culvert",X174&lt;&gt;"N/A - Culvert"),"Not possible ▲",IF(VLOOKUP(X174,'G-7 WaterC'' Data'!$AD$4:$AE$14,2,FALSE)=0,"Enrcoachment Data Missing ⚠",VLOOKUP(X174,'G-7 WaterC'' Data'!$AD$4:$AE$14,2,FALSE)))))</f>
        <v/>
      </c>
      <c r="Z174" s="323" t="str">
        <f t="shared" si="16"/>
        <v/>
      </c>
      <c r="AA174" s="105"/>
      <c r="AB174" s="119"/>
      <c r="AC174" s="108"/>
      <c r="AH174" s="30" t="str">
        <f>IFERROR(INDEX('G-7 WaterC'' Data'!$AZ$3:$AZ$7,MATCH(C174,'G-7 WaterC'' Data'!$AY$3:$AY$7,0)),"")</f>
        <v/>
      </c>
      <c r="AK174" s="30" t="str">
        <f t="shared" si="17"/>
        <v>No</v>
      </c>
    </row>
    <row r="175" spans="2:37" ht="13.8" x14ac:dyDescent="0.25">
      <c r="B175" s="101">
        <v>164</v>
      </c>
      <c r="C175" s="950"/>
      <c r="D175" s="119"/>
      <c r="E175" s="281" t="str">
        <f>IF(C175="","",VLOOKUP(C175,'G-7 WaterC'' Data'!$B$2:$G$8,2,FALSE))</f>
        <v/>
      </c>
      <c r="F175" s="282" t="str">
        <f>IFERROR(VLOOKUP(E175,'G-7 WaterC'' Data'!$C$4:$D$8,2,FALSE),"")</f>
        <v/>
      </c>
      <c r="G175" s="105"/>
      <c r="H175" s="282" t="str">
        <f>IFERROR(INDEX('G-7 WaterC'' Data'!$H$4:$L$8,MATCH(C175,'G-7 WaterC'' Data'!$B$4:$B$8,0),MATCH(G175,'G-7 WaterC'' Data'!$H$3:$L$3,0)),"")</f>
        <v/>
      </c>
      <c r="I175" s="52"/>
      <c r="J175" s="289" t="str">
        <f>IF(I175="","",IF(VLOOKUP(I175,'G-7 WaterC'' Data'!$AK$4:$AM$6,2,FALSE)=0,"Spatial Data Missing ⚠",VLOOKUP(I175,'G-7 WaterC'' Data'!$AK$4:$AM$6,2,FALSE)))</f>
        <v/>
      </c>
      <c r="K175" s="282" t="str">
        <f>IF(I175="","",IF(VLOOKUP(I175,'G-7 WaterC'' Data'!$AK$4:$AM$6,3,FALSE)=0,"Spatial Data Missing ⚠",VLOOKUP(I175,'G-7 WaterC'' Data'!$AK$4:$AM$6,3,FALSE)))</f>
        <v/>
      </c>
      <c r="L175" s="281" t="str">
        <f>IFERROR(INDEX('G-7 WaterC'' Data'!$O$3:$O$7,MATCH(G175,'G-7 WaterC'' Data'!$N$3:$N$7,0)),"")</f>
        <v/>
      </c>
      <c r="M175" s="58"/>
      <c r="N175" s="137"/>
      <c r="O175" s="289" t="str">
        <f t="shared" si="12"/>
        <v/>
      </c>
      <c r="P175" s="302" t="str">
        <f t="shared" si="13"/>
        <v/>
      </c>
      <c r="Q175" s="340" t="str">
        <f>IFERROR(IF(P175="Check Data ⚠","Check Data ⚠",VLOOKUP(P175,'G-4 Temporal multipliers'!$A$4:$C$37,3,FALSE)),"")</f>
        <v/>
      </c>
      <c r="R175" s="281" t="str">
        <f>IF(C175="","",VLOOKUP(C175,'G-7 WaterC'' Data'!$B$4:$G$8,4,FALSE))</f>
        <v/>
      </c>
      <c r="S175" s="289" t="str">
        <f t="shared" si="14"/>
        <v/>
      </c>
      <c r="T175" s="320" t="str">
        <f t="shared" si="15"/>
        <v/>
      </c>
      <c r="U175" s="282" t="str">
        <f>IF(C175="","",VLOOKUP(T175,'G-3 Multipliers'!$P$2:$Q$6,2,FALSE))</f>
        <v/>
      </c>
      <c r="V175" s="106"/>
      <c r="W175" s="282" t="str">
        <f>IF(V175="","",IF(AND(V175="N/A - Culvert",C175&lt;&gt;"Culvert"),"Not possible ▲",IF(AND(C175="Culvert",V175&lt;&gt;"N/A - Culvert"),"Not possible ▲",IF(VLOOKUP(V175,'G-7 WaterC'' Data'!$AA$4:$AB$7,2,FALSE)=0,"Spatial Data Missing ⚠",VLOOKUP(V175,'G-7 WaterC'' Data'!$AA$4:$AB$7,2,FALSE)))))</f>
        <v/>
      </c>
      <c r="X175" s="56"/>
      <c r="Y175" s="282" t="str">
        <f>IF(X175="","",IF(AND(X175="N/A - Culvert", C175&lt;&gt;"Culvert"), "Not possible ▲",IF(AND(C175="Culvert",X175&lt;&gt;"N/A - Culvert"),"Not possible ▲",IF(VLOOKUP(X175,'G-7 WaterC'' Data'!$AD$4:$AE$14,2,FALSE)=0,"Enrcoachment Data Missing ⚠",VLOOKUP(X175,'G-7 WaterC'' Data'!$AD$4:$AE$14,2,FALSE)))))</f>
        <v/>
      </c>
      <c r="Z175" s="323" t="str">
        <f t="shared" si="16"/>
        <v/>
      </c>
      <c r="AA175" s="105"/>
      <c r="AB175" s="119"/>
      <c r="AC175" s="108"/>
      <c r="AH175" s="30" t="str">
        <f>IFERROR(INDEX('G-7 WaterC'' Data'!$AZ$3:$AZ$7,MATCH(C175,'G-7 WaterC'' Data'!$AY$3:$AY$7,0)),"")</f>
        <v/>
      </c>
      <c r="AK175" s="30" t="str">
        <f t="shared" si="17"/>
        <v>No</v>
      </c>
    </row>
    <row r="176" spans="2:37" ht="13.8" x14ac:dyDescent="0.25">
      <c r="B176" s="101">
        <v>165</v>
      </c>
      <c r="C176" s="950"/>
      <c r="D176" s="119"/>
      <c r="E176" s="281" t="str">
        <f>IF(C176="","",VLOOKUP(C176,'G-7 WaterC'' Data'!$B$2:$G$8,2,FALSE))</f>
        <v/>
      </c>
      <c r="F176" s="282" t="str">
        <f>IFERROR(VLOOKUP(E176,'G-7 WaterC'' Data'!$C$4:$D$8,2,FALSE),"")</f>
        <v/>
      </c>
      <c r="G176" s="105"/>
      <c r="H176" s="282" t="str">
        <f>IFERROR(INDEX('G-7 WaterC'' Data'!$H$4:$L$8,MATCH(C176,'G-7 WaterC'' Data'!$B$4:$B$8,0),MATCH(G176,'G-7 WaterC'' Data'!$H$3:$L$3,0)),"")</f>
        <v/>
      </c>
      <c r="I176" s="52"/>
      <c r="J176" s="289" t="str">
        <f>IF(I176="","",IF(VLOOKUP(I176,'G-7 WaterC'' Data'!$AK$4:$AM$6,2,FALSE)=0,"Spatial Data Missing ⚠",VLOOKUP(I176,'G-7 WaterC'' Data'!$AK$4:$AM$6,2,FALSE)))</f>
        <v/>
      </c>
      <c r="K176" s="282" t="str">
        <f>IF(I176="","",IF(VLOOKUP(I176,'G-7 WaterC'' Data'!$AK$4:$AM$6,3,FALSE)=0,"Spatial Data Missing ⚠",VLOOKUP(I176,'G-7 WaterC'' Data'!$AK$4:$AM$6,3,FALSE)))</f>
        <v/>
      </c>
      <c r="L176" s="281" t="str">
        <f>IFERROR(INDEX('G-7 WaterC'' Data'!$O$3:$O$7,MATCH(G176,'G-7 WaterC'' Data'!$N$3:$N$7,0)),"")</f>
        <v/>
      </c>
      <c r="M176" s="58"/>
      <c r="N176" s="137"/>
      <c r="O176" s="289" t="str">
        <f t="shared" si="12"/>
        <v/>
      </c>
      <c r="P176" s="302" t="str">
        <f t="shared" si="13"/>
        <v/>
      </c>
      <c r="Q176" s="340" t="str">
        <f>IFERROR(IF(P176="Check Data ⚠","Check Data ⚠",VLOOKUP(P176,'G-4 Temporal multipliers'!$A$4:$C$37,3,FALSE)),"")</f>
        <v/>
      </c>
      <c r="R176" s="281" t="str">
        <f>IF(C176="","",VLOOKUP(C176,'G-7 WaterC'' Data'!$B$4:$G$8,4,FALSE))</f>
        <v/>
      </c>
      <c r="S176" s="289" t="str">
        <f t="shared" si="14"/>
        <v/>
      </c>
      <c r="T176" s="320" t="str">
        <f t="shared" si="15"/>
        <v/>
      </c>
      <c r="U176" s="282" t="str">
        <f>IF(C176="","",VLOOKUP(T176,'G-3 Multipliers'!$P$2:$Q$6,2,FALSE))</f>
        <v/>
      </c>
      <c r="V176" s="106"/>
      <c r="W176" s="282" t="str">
        <f>IF(V176="","",IF(AND(V176="N/A - Culvert",C176&lt;&gt;"Culvert"),"Not possible ▲",IF(AND(C176="Culvert",V176&lt;&gt;"N/A - Culvert"),"Not possible ▲",IF(VLOOKUP(V176,'G-7 WaterC'' Data'!$AA$4:$AB$7,2,FALSE)=0,"Spatial Data Missing ⚠",VLOOKUP(V176,'G-7 WaterC'' Data'!$AA$4:$AB$7,2,FALSE)))))</f>
        <v/>
      </c>
      <c r="X176" s="56"/>
      <c r="Y176" s="282" t="str">
        <f>IF(X176="","",IF(AND(X176="N/A - Culvert", C176&lt;&gt;"Culvert"), "Not possible ▲",IF(AND(C176="Culvert",X176&lt;&gt;"N/A - Culvert"),"Not possible ▲",IF(VLOOKUP(X176,'G-7 WaterC'' Data'!$AD$4:$AE$14,2,FALSE)=0,"Enrcoachment Data Missing ⚠",VLOOKUP(X176,'G-7 WaterC'' Data'!$AD$4:$AE$14,2,FALSE)))))</f>
        <v/>
      </c>
      <c r="Z176" s="323" t="str">
        <f t="shared" si="16"/>
        <v/>
      </c>
      <c r="AA176" s="105"/>
      <c r="AB176" s="119"/>
      <c r="AC176" s="108"/>
      <c r="AH176" s="30" t="str">
        <f>IFERROR(INDEX('G-7 WaterC'' Data'!$AZ$3:$AZ$7,MATCH(C176,'G-7 WaterC'' Data'!$AY$3:$AY$7,0)),"")</f>
        <v/>
      </c>
      <c r="AK176" s="30" t="str">
        <f t="shared" si="17"/>
        <v>No</v>
      </c>
    </row>
    <row r="177" spans="2:37" ht="13.8" x14ac:dyDescent="0.25">
      <c r="B177" s="101">
        <v>166</v>
      </c>
      <c r="C177" s="950"/>
      <c r="D177" s="119"/>
      <c r="E177" s="281" t="str">
        <f>IF(C177="","",VLOOKUP(C177,'G-7 WaterC'' Data'!$B$2:$G$8,2,FALSE))</f>
        <v/>
      </c>
      <c r="F177" s="282" t="str">
        <f>IFERROR(VLOOKUP(E177,'G-7 WaterC'' Data'!$C$4:$D$8,2,FALSE),"")</f>
        <v/>
      </c>
      <c r="G177" s="105"/>
      <c r="H177" s="282" t="str">
        <f>IFERROR(INDEX('G-7 WaterC'' Data'!$H$4:$L$8,MATCH(C177,'G-7 WaterC'' Data'!$B$4:$B$8,0),MATCH(G177,'G-7 WaterC'' Data'!$H$3:$L$3,0)),"")</f>
        <v/>
      </c>
      <c r="I177" s="52"/>
      <c r="J177" s="289" t="str">
        <f>IF(I177="","",IF(VLOOKUP(I177,'G-7 WaterC'' Data'!$AK$4:$AM$6,2,FALSE)=0,"Spatial Data Missing ⚠",VLOOKUP(I177,'G-7 WaterC'' Data'!$AK$4:$AM$6,2,FALSE)))</f>
        <v/>
      </c>
      <c r="K177" s="282" t="str">
        <f>IF(I177="","",IF(VLOOKUP(I177,'G-7 WaterC'' Data'!$AK$4:$AM$6,3,FALSE)=0,"Spatial Data Missing ⚠",VLOOKUP(I177,'G-7 WaterC'' Data'!$AK$4:$AM$6,3,FALSE)))</f>
        <v/>
      </c>
      <c r="L177" s="281" t="str">
        <f>IFERROR(INDEX('G-7 WaterC'' Data'!$O$3:$O$7,MATCH(G177,'G-7 WaterC'' Data'!$N$3:$N$7,0)),"")</f>
        <v/>
      </c>
      <c r="M177" s="58"/>
      <c r="N177" s="137"/>
      <c r="O177" s="289" t="str">
        <f t="shared" si="12"/>
        <v/>
      </c>
      <c r="P177" s="302" t="str">
        <f t="shared" si="13"/>
        <v/>
      </c>
      <c r="Q177" s="340" t="str">
        <f>IFERROR(IF(P177="Check Data ⚠","Check Data ⚠",VLOOKUP(P177,'G-4 Temporal multipliers'!$A$4:$C$37,3,FALSE)),"")</f>
        <v/>
      </c>
      <c r="R177" s="281" t="str">
        <f>IF(C177="","",VLOOKUP(C177,'G-7 WaterC'' Data'!$B$4:$G$8,4,FALSE))</f>
        <v/>
      </c>
      <c r="S177" s="289" t="str">
        <f t="shared" si="14"/>
        <v/>
      </c>
      <c r="T177" s="320" t="str">
        <f t="shared" si="15"/>
        <v/>
      </c>
      <c r="U177" s="282" t="str">
        <f>IF(C177="","",VLOOKUP(T177,'G-3 Multipliers'!$P$2:$Q$6,2,FALSE))</f>
        <v/>
      </c>
      <c r="V177" s="106"/>
      <c r="W177" s="282" t="str">
        <f>IF(V177="","",IF(AND(V177="N/A - Culvert",C177&lt;&gt;"Culvert"),"Not possible ▲",IF(AND(C177="Culvert",V177&lt;&gt;"N/A - Culvert"),"Not possible ▲",IF(VLOOKUP(V177,'G-7 WaterC'' Data'!$AA$4:$AB$7,2,FALSE)=0,"Spatial Data Missing ⚠",VLOOKUP(V177,'G-7 WaterC'' Data'!$AA$4:$AB$7,2,FALSE)))))</f>
        <v/>
      </c>
      <c r="X177" s="56"/>
      <c r="Y177" s="282" t="str">
        <f>IF(X177="","",IF(AND(X177="N/A - Culvert", C177&lt;&gt;"Culvert"), "Not possible ▲",IF(AND(C177="Culvert",X177&lt;&gt;"N/A - Culvert"),"Not possible ▲",IF(VLOOKUP(X177,'G-7 WaterC'' Data'!$AD$4:$AE$14,2,FALSE)=0,"Enrcoachment Data Missing ⚠",VLOOKUP(X177,'G-7 WaterC'' Data'!$AD$4:$AE$14,2,FALSE)))))</f>
        <v/>
      </c>
      <c r="Z177" s="323" t="str">
        <f t="shared" si="16"/>
        <v/>
      </c>
      <c r="AA177" s="105"/>
      <c r="AB177" s="119"/>
      <c r="AC177" s="108"/>
      <c r="AH177" s="30" t="str">
        <f>IFERROR(INDEX('G-7 WaterC'' Data'!$AZ$3:$AZ$7,MATCH(C177,'G-7 WaterC'' Data'!$AY$3:$AY$7,0)),"")</f>
        <v/>
      </c>
      <c r="AK177" s="30" t="str">
        <f t="shared" si="17"/>
        <v>No</v>
      </c>
    </row>
    <row r="178" spans="2:37" ht="13.8" x14ac:dyDescent="0.25">
      <c r="B178" s="101">
        <v>167</v>
      </c>
      <c r="C178" s="950"/>
      <c r="D178" s="119"/>
      <c r="E178" s="281" t="str">
        <f>IF(C178="","",VLOOKUP(C178,'G-7 WaterC'' Data'!$B$2:$G$8,2,FALSE))</f>
        <v/>
      </c>
      <c r="F178" s="282" t="str">
        <f>IFERROR(VLOOKUP(E178,'G-7 WaterC'' Data'!$C$4:$D$8,2,FALSE),"")</f>
        <v/>
      </c>
      <c r="G178" s="105"/>
      <c r="H178" s="282" t="str">
        <f>IFERROR(INDEX('G-7 WaterC'' Data'!$H$4:$L$8,MATCH(C178,'G-7 WaterC'' Data'!$B$4:$B$8,0),MATCH(G178,'G-7 WaterC'' Data'!$H$3:$L$3,0)),"")</f>
        <v/>
      </c>
      <c r="I178" s="52"/>
      <c r="J178" s="289" t="str">
        <f>IF(I178="","",IF(VLOOKUP(I178,'G-7 WaterC'' Data'!$AK$4:$AM$6,2,FALSE)=0,"Spatial Data Missing ⚠",VLOOKUP(I178,'G-7 WaterC'' Data'!$AK$4:$AM$6,2,FALSE)))</f>
        <v/>
      </c>
      <c r="K178" s="282" t="str">
        <f>IF(I178="","",IF(VLOOKUP(I178,'G-7 WaterC'' Data'!$AK$4:$AM$6,3,FALSE)=0,"Spatial Data Missing ⚠",VLOOKUP(I178,'G-7 WaterC'' Data'!$AK$4:$AM$6,3,FALSE)))</f>
        <v/>
      </c>
      <c r="L178" s="281" t="str">
        <f>IFERROR(INDEX('G-7 WaterC'' Data'!$O$3:$O$7,MATCH(G178,'G-7 WaterC'' Data'!$N$3:$N$7,0)),"")</f>
        <v/>
      </c>
      <c r="M178" s="58"/>
      <c r="N178" s="137"/>
      <c r="O178" s="289" t="str">
        <f t="shared" si="12"/>
        <v/>
      </c>
      <c r="P178" s="302" t="str">
        <f t="shared" si="13"/>
        <v/>
      </c>
      <c r="Q178" s="340" t="str">
        <f>IFERROR(IF(P178="Check Data ⚠","Check Data ⚠",VLOOKUP(P178,'G-4 Temporal multipliers'!$A$4:$C$37,3,FALSE)),"")</f>
        <v/>
      </c>
      <c r="R178" s="281" t="str">
        <f>IF(C178="","",VLOOKUP(C178,'G-7 WaterC'' Data'!$B$4:$G$8,4,FALSE))</f>
        <v/>
      </c>
      <c r="S178" s="289" t="str">
        <f t="shared" si="14"/>
        <v/>
      </c>
      <c r="T178" s="320" t="str">
        <f t="shared" si="15"/>
        <v/>
      </c>
      <c r="U178" s="282" t="str">
        <f>IF(C178="","",VLOOKUP(T178,'G-3 Multipliers'!$P$2:$Q$6,2,FALSE))</f>
        <v/>
      </c>
      <c r="V178" s="106"/>
      <c r="W178" s="282" t="str">
        <f>IF(V178="","",IF(AND(V178="N/A - Culvert",C178&lt;&gt;"Culvert"),"Not possible ▲",IF(AND(C178="Culvert",V178&lt;&gt;"N/A - Culvert"),"Not possible ▲",IF(VLOOKUP(V178,'G-7 WaterC'' Data'!$AA$4:$AB$7,2,FALSE)=0,"Spatial Data Missing ⚠",VLOOKUP(V178,'G-7 WaterC'' Data'!$AA$4:$AB$7,2,FALSE)))))</f>
        <v/>
      </c>
      <c r="X178" s="56"/>
      <c r="Y178" s="282" t="str">
        <f>IF(X178="","",IF(AND(X178="N/A - Culvert", C178&lt;&gt;"Culvert"), "Not possible ▲",IF(AND(C178="Culvert",X178&lt;&gt;"N/A - Culvert"),"Not possible ▲",IF(VLOOKUP(X178,'G-7 WaterC'' Data'!$AD$4:$AE$14,2,FALSE)=0,"Enrcoachment Data Missing ⚠",VLOOKUP(X178,'G-7 WaterC'' Data'!$AD$4:$AE$14,2,FALSE)))))</f>
        <v/>
      </c>
      <c r="Z178" s="323" t="str">
        <f t="shared" si="16"/>
        <v/>
      </c>
      <c r="AA178" s="105"/>
      <c r="AB178" s="119"/>
      <c r="AC178" s="108"/>
      <c r="AH178" s="30" t="str">
        <f>IFERROR(INDEX('G-7 WaterC'' Data'!$AZ$3:$AZ$7,MATCH(C178,'G-7 WaterC'' Data'!$AY$3:$AY$7,0)),"")</f>
        <v/>
      </c>
      <c r="AK178" s="30" t="str">
        <f t="shared" si="17"/>
        <v>No</v>
      </c>
    </row>
    <row r="179" spans="2:37" ht="13.8" x14ac:dyDescent="0.25">
      <c r="B179" s="101">
        <v>168</v>
      </c>
      <c r="C179" s="950"/>
      <c r="D179" s="119"/>
      <c r="E179" s="281" t="str">
        <f>IF(C179="","",VLOOKUP(C179,'G-7 WaterC'' Data'!$B$2:$G$8,2,FALSE))</f>
        <v/>
      </c>
      <c r="F179" s="282" t="str">
        <f>IFERROR(VLOOKUP(E179,'G-7 WaterC'' Data'!$C$4:$D$8,2,FALSE),"")</f>
        <v/>
      </c>
      <c r="G179" s="105"/>
      <c r="H179" s="282" t="str">
        <f>IFERROR(INDEX('G-7 WaterC'' Data'!$H$4:$L$8,MATCH(C179,'G-7 WaterC'' Data'!$B$4:$B$8,0),MATCH(G179,'G-7 WaterC'' Data'!$H$3:$L$3,0)),"")</f>
        <v/>
      </c>
      <c r="I179" s="52"/>
      <c r="J179" s="289" t="str">
        <f>IF(I179="","",IF(VLOOKUP(I179,'G-7 WaterC'' Data'!$AK$4:$AM$6,2,FALSE)=0,"Spatial Data Missing ⚠",VLOOKUP(I179,'G-7 WaterC'' Data'!$AK$4:$AM$6,2,FALSE)))</f>
        <v/>
      </c>
      <c r="K179" s="282" t="str">
        <f>IF(I179="","",IF(VLOOKUP(I179,'G-7 WaterC'' Data'!$AK$4:$AM$6,3,FALSE)=0,"Spatial Data Missing ⚠",VLOOKUP(I179,'G-7 WaterC'' Data'!$AK$4:$AM$6,3,FALSE)))</f>
        <v/>
      </c>
      <c r="L179" s="281" t="str">
        <f>IFERROR(INDEX('G-7 WaterC'' Data'!$O$3:$O$7,MATCH(G179,'G-7 WaterC'' Data'!$N$3:$N$7,0)),"")</f>
        <v/>
      </c>
      <c r="M179" s="58"/>
      <c r="N179" s="137"/>
      <c r="O179" s="289" t="str">
        <f t="shared" si="12"/>
        <v/>
      </c>
      <c r="P179" s="302" t="str">
        <f t="shared" si="13"/>
        <v/>
      </c>
      <c r="Q179" s="340" t="str">
        <f>IFERROR(IF(P179="Check Data ⚠","Check Data ⚠",VLOOKUP(P179,'G-4 Temporal multipliers'!$A$4:$C$37,3,FALSE)),"")</f>
        <v/>
      </c>
      <c r="R179" s="281" t="str">
        <f>IF(C179="","",VLOOKUP(C179,'G-7 WaterC'' Data'!$B$4:$G$8,4,FALSE))</f>
        <v/>
      </c>
      <c r="S179" s="289" t="str">
        <f t="shared" si="14"/>
        <v/>
      </c>
      <c r="T179" s="320" t="str">
        <f t="shared" si="15"/>
        <v/>
      </c>
      <c r="U179" s="282" t="str">
        <f>IF(C179="","",VLOOKUP(T179,'G-3 Multipliers'!$P$2:$Q$6,2,FALSE))</f>
        <v/>
      </c>
      <c r="V179" s="106"/>
      <c r="W179" s="282" t="str">
        <f>IF(V179="","",IF(AND(V179="N/A - Culvert",C179&lt;&gt;"Culvert"),"Not possible ▲",IF(AND(C179="Culvert",V179&lt;&gt;"N/A - Culvert"),"Not possible ▲",IF(VLOOKUP(V179,'G-7 WaterC'' Data'!$AA$4:$AB$7,2,FALSE)=0,"Spatial Data Missing ⚠",VLOOKUP(V179,'G-7 WaterC'' Data'!$AA$4:$AB$7,2,FALSE)))))</f>
        <v/>
      </c>
      <c r="X179" s="56"/>
      <c r="Y179" s="282" t="str">
        <f>IF(X179="","",IF(AND(X179="N/A - Culvert", C179&lt;&gt;"Culvert"), "Not possible ▲",IF(AND(C179="Culvert",X179&lt;&gt;"N/A - Culvert"),"Not possible ▲",IF(VLOOKUP(X179,'G-7 WaterC'' Data'!$AD$4:$AE$14,2,FALSE)=0,"Enrcoachment Data Missing ⚠",VLOOKUP(X179,'G-7 WaterC'' Data'!$AD$4:$AE$14,2,FALSE)))))</f>
        <v/>
      </c>
      <c r="Z179" s="323" t="str">
        <f t="shared" si="16"/>
        <v/>
      </c>
      <c r="AA179" s="105"/>
      <c r="AB179" s="119"/>
      <c r="AC179" s="108"/>
      <c r="AH179" s="30" t="str">
        <f>IFERROR(INDEX('G-7 WaterC'' Data'!$AZ$3:$AZ$7,MATCH(C179,'G-7 WaterC'' Data'!$AY$3:$AY$7,0)),"")</f>
        <v/>
      </c>
      <c r="AK179" s="30" t="str">
        <f t="shared" si="17"/>
        <v>No</v>
      </c>
    </row>
    <row r="180" spans="2:37" ht="13.8" x14ac:dyDescent="0.25">
      <c r="B180" s="101">
        <v>169</v>
      </c>
      <c r="C180" s="950"/>
      <c r="D180" s="119"/>
      <c r="E180" s="281" t="str">
        <f>IF(C180="","",VLOOKUP(C180,'G-7 WaterC'' Data'!$B$2:$G$8,2,FALSE))</f>
        <v/>
      </c>
      <c r="F180" s="282" t="str">
        <f>IFERROR(VLOOKUP(E180,'G-7 WaterC'' Data'!$C$4:$D$8,2,FALSE),"")</f>
        <v/>
      </c>
      <c r="G180" s="105"/>
      <c r="H180" s="282" t="str">
        <f>IFERROR(INDEX('G-7 WaterC'' Data'!$H$4:$L$8,MATCH(C180,'G-7 WaterC'' Data'!$B$4:$B$8,0),MATCH(G180,'G-7 WaterC'' Data'!$H$3:$L$3,0)),"")</f>
        <v/>
      </c>
      <c r="I180" s="52"/>
      <c r="J180" s="289" t="str">
        <f>IF(I180="","",IF(VLOOKUP(I180,'G-7 WaterC'' Data'!$AK$4:$AM$6,2,FALSE)=0,"Spatial Data Missing ⚠",VLOOKUP(I180,'G-7 WaterC'' Data'!$AK$4:$AM$6,2,FALSE)))</f>
        <v/>
      </c>
      <c r="K180" s="282" t="str">
        <f>IF(I180="","",IF(VLOOKUP(I180,'G-7 WaterC'' Data'!$AK$4:$AM$6,3,FALSE)=0,"Spatial Data Missing ⚠",VLOOKUP(I180,'G-7 WaterC'' Data'!$AK$4:$AM$6,3,FALSE)))</f>
        <v/>
      </c>
      <c r="L180" s="281" t="str">
        <f>IFERROR(INDEX('G-7 WaterC'' Data'!$O$3:$O$7,MATCH(G180,'G-7 WaterC'' Data'!$N$3:$N$7,0)),"")</f>
        <v/>
      </c>
      <c r="M180" s="58"/>
      <c r="N180" s="137"/>
      <c r="O180" s="289" t="str">
        <f t="shared" si="12"/>
        <v/>
      </c>
      <c r="P180" s="302" t="str">
        <f t="shared" si="13"/>
        <v/>
      </c>
      <c r="Q180" s="340" t="str">
        <f>IFERROR(IF(P180="Check Data ⚠","Check Data ⚠",VLOOKUP(P180,'G-4 Temporal multipliers'!$A$4:$C$37,3,FALSE)),"")</f>
        <v/>
      </c>
      <c r="R180" s="281" t="str">
        <f>IF(C180="","",VLOOKUP(C180,'G-7 WaterC'' Data'!$B$4:$G$8,4,FALSE))</f>
        <v/>
      </c>
      <c r="S180" s="289" t="str">
        <f t="shared" si="14"/>
        <v/>
      </c>
      <c r="T180" s="320" t="str">
        <f t="shared" si="15"/>
        <v/>
      </c>
      <c r="U180" s="282" t="str">
        <f>IF(C180="","",VLOOKUP(T180,'G-3 Multipliers'!$P$2:$Q$6,2,FALSE))</f>
        <v/>
      </c>
      <c r="V180" s="106"/>
      <c r="W180" s="282" t="str">
        <f>IF(V180="","",IF(AND(V180="N/A - Culvert",C180&lt;&gt;"Culvert"),"Not possible ▲",IF(AND(C180="Culvert",V180&lt;&gt;"N/A - Culvert"),"Not possible ▲",IF(VLOOKUP(V180,'G-7 WaterC'' Data'!$AA$4:$AB$7,2,FALSE)=0,"Spatial Data Missing ⚠",VLOOKUP(V180,'G-7 WaterC'' Data'!$AA$4:$AB$7,2,FALSE)))))</f>
        <v/>
      </c>
      <c r="X180" s="56"/>
      <c r="Y180" s="282" t="str">
        <f>IF(X180="","",IF(AND(X180="N/A - Culvert", C180&lt;&gt;"Culvert"), "Not possible ▲",IF(AND(C180="Culvert",X180&lt;&gt;"N/A - Culvert"),"Not possible ▲",IF(VLOOKUP(X180,'G-7 WaterC'' Data'!$AD$4:$AE$14,2,FALSE)=0,"Enrcoachment Data Missing ⚠",VLOOKUP(X180,'G-7 WaterC'' Data'!$AD$4:$AE$14,2,FALSE)))))</f>
        <v/>
      </c>
      <c r="Z180" s="323" t="str">
        <f t="shared" si="16"/>
        <v/>
      </c>
      <c r="AA180" s="105"/>
      <c r="AB180" s="119"/>
      <c r="AC180" s="108"/>
      <c r="AH180" s="30" t="str">
        <f>IFERROR(INDEX('G-7 WaterC'' Data'!$AZ$3:$AZ$7,MATCH(C180,'G-7 WaterC'' Data'!$AY$3:$AY$7,0)),"")</f>
        <v/>
      </c>
      <c r="AK180" s="30" t="str">
        <f t="shared" si="17"/>
        <v>No</v>
      </c>
    </row>
    <row r="181" spans="2:37" ht="13.8" x14ac:dyDescent="0.25">
      <c r="B181" s="101">
        <v>170</v>
      </c>
      <c r="C181" s="950"/>
      <c r="D181" s="119"/>
      <c r="E181" s="281" t="str">
        <f>IF(C181="","",VLOOKUP(C181,'G-7 WaterC'' Data'!$B$2:$G$8,2,FALSE))</f>
        <v/>
      </c>
      <c r="F181" s="282" t="str">
        <f>IFERROR(VLOOKUP(E181,'G-7 WaterC'' Data'!$C$4:$D$8,2,FALSE),"")</f>
        <v/>
      </c>
      <c r="G181" s="105"/>
      <c r="H181" s="282" t="str">
        <f>IFERROR(INDEX('G-7 WaterC'' Data'!$H$4:$L$8,MATCH(C181,'G-7 WaterC'' Data'!$B$4:$B$8,0),MATCH(G181,'G-7 WaterC'' Data'!$H$3:$L$3,0)),"")</f>
        <v/>
      </c>
      <c r="I181" s="52"/>
      <c r="J181" s="289" t="str">
        <f>IF(I181="","",IF(VLOOKUP(I181,'G-7 WaterC'' Data'!$AK$4:$AM$6,2,FALSE)=0,"Spatial Data Missing ⚠",VLOOKUP(I181,'G-7 WaterC'' Data'!$AK$4:$AM$6,2,FALSE)))</f>
        <v/>
      </c>
      <c r="K181" s="282" t="str">
        <f>IF(I181="","",IF(VLOOKUP(I181,'G-7 WaterC'' Data'!$AK$4:$AM$6,3,FALSE)=0,"Spatial Data Missing ⚠",VLOOKUP(I181,'G-7 WaterC'' Data'!$AK$4:$AM$6,3,FALSE)))</f>
        <v/>
      </c>
      <c r="L181" s="281" t="str">
        <f>IFERROR(INDEX('G-7 WaterC'' Data'!$O$3:$O$7,MATCH(G181,'G-7 WaterC'' Data'!$N$3:$N$7,0)),"")</f>
        <v/>
      </c>
      <c r="M181" s="58"/>
      <c r="N181" s="137"/>
      <c r="O181" s="289" t="str">
        <f t="shared" si="12"/>
        <v/>
      </c>
      <c r="P181" s="302" t="str">
        <f t="shared" si="13"/>
        <v/>
      </c>
      <c r="Q181" s="340" t="str">
        <f>IFERROR(IF(P181="Check Data ⚠","Check Data ⚠",VLOOKUP(P181,'G-4 Temporal multipliers'!$A$4:$C$37,3,FALSE)),"")</f>
        <v/>
      </c>
      <c r="R181" s="281" t="str">
        <f>IF(C181="","",VLOOKUP(C181,'G-7 WaterC'' Data'!$B$4:$G$8,4,FALSE))</f>
        <v/>
      </c>
      <c r="S181" s="289" t="str">
        <f t="shared" si="14"/>
        <v/>
      </c>
      <c r="T181" s="320" t="str">
        <f t="shared" si="15"/>
        <v/>
      </c>
      <c r="U181" s="282" t="str">
        <f>IF(C181="","",VLOOKUP(T181,'G-3 Multipliers'!$P$2:$Q$6,2,FALSE))</f>
        <v/>
      </c>
      <c r="V181" s="106"/>
      <c r="W181" s="282" t="str">
        <f>IF(V181="","",IF(AND(V181="N/A - Culvert",C181&lt;&gt;"Culvert"),"Not possible ▲",IF(AND(C181="Culvert",V181&lt;&gt;"N/A - Culvert"),"Not possible ▲",IF(VLOOKUP(V181,'G-7 WaterC'' Data'!$AA$4:$AB$7,2,FALSE)=0,"Spatial Data Missing ⚠",VLOOKUP(V181,'G-7 WaterC'' Data'!$AA$4:$AB$7,2,FALSE)))))</f>
        <v/>
      </c>
      <c r="X181" s="56"/>
      <c r="Y181" s="282" t="str">
        <f>IF(X181="","",IF(AND(X181="N/A - Culvert", C181&lt;&gt;"Culvert"), "Not possible ▲",IF(AND(C181="Culvert",X181&lt;&gt;"N/A - Culvert"),"Not possible ▲",IF(VLOOKUP(X181,'G-7 WaterC'' Data'!$AD$4:$AE$14,2,FALSE)=0,"Enrcoachment Data Missing ⚠",VLOOKUP(X181,'G-7 WaterC'' Data'!$AD$4:$AE$14,2,FALSE)))))</f>
        <v/>
      </c>
      <c r="Z181" s="323" t="str">
        <f t="shared" si="16"/>
        <v/>
      </c>
      <c r="AA181" s="105"/>
      <c r="AB181" s="119"/>
      <c r="AC181" s="108"/>
      <c r="AH181" s="30" t="str">
        <f>IFERROR(INDEX('G-7 WaterC'' Data'!$AZ$3:$AZ$7,MATCH(C181,'G-7 WaterC'' Data'!$AY$3:$AY$7,0)),"")</f>
        <v/>
      </c>
      <c r="AK181" s="30" t="str">
        <f t="shared" si="17"/>
        <v>No</v>
      </c>
    </row>
    <row r="182" spans="2:37" ht="13.8" x14ac:dyDescent="0.25">
      <c r="B182" s="101">
        <v>171</v>
      </c>
      <c r="C182" s="950"/>
      <c r="D182" s="119"/>
      <c r="E182" s="281" t="str">
        <f>IF(C182="","",VLOOKUP(C182,'G-7 WaterC'' Data'!$B$2:$G$8,2,FALSE))</f>
        <v/>
      </c>
      <c r="F182" s="282" t="str">
        <f>IFERROR(VLOOKUP(E182,'G-7 WaterC'' Data'!$C$4:$D$8,2,FALSE),"")</f>
        <v/>
      </c>
      <c r="G182" s="105"/>
      <c r="H182" s="282" t="str">
        <f>IFERROR(INDEX('G-7 WaterC'' Data'!$H$4:$L$8,MATCH(C182,'G-7 WaterC'' Data'!$B$4:$B$8,0),MATCH(G182,'G-7 WaterC'' Data'!$H$3:$L$3,0)),"")</f>
        <v/>
      </c>
      <c r="I182" s="52"/>
      <c r="J182" s="289" t="str">
        <f>IF(I182="","",IF(VLOOKUP(I182,'G-7 WaterC'' Data'!$AK$4:$AM$6,2,FALSE)=0,"Spatial Data Missing ⚠",VLOOKUP(I182,'G-7 WaterC'' Data'!$AK$4:$AM$6,2,FALSE)))</f>
        <v/>
      </c>
      <c r="K182" s="282" t="str">
        <f>IF(I182="","",IF(VLOOKUP(I182,'G-7 WaterC'' Data'!$AK$4:$AM$6,3,FALSE)=0,"Spatial Data Missing ⚠",VLOOKUP(I182,'G-7 WaterC'' Data'!$AK$4:$AM$6,3,FALSE)))</f>
        <v/>
      </c>
      <c r="L182" s="281" t="str">
        <f>IFERROR(INDEX('G-7 WaterC'' Data'!$O$3:$O$7,MATCH(G182,'G-7 WaterC'' Data'!$N$3:$N$7,0)),"")</f>
        <v/>
      </c>
      <c r="M182" s="58"/>
      <c r="N182" s="137"/>
      <c r="O182" s="289" t="str">
        <f t="shared" si="12"/>
        <v/>
      </c>
      <c r="P182" s="302" t="str">
        <f t="shared" si="13"/>
        <v/>
      </c>
      <c r="Q182" s="340" t="str">
        <f>IFERROR(IF(P182="Check Data ⚠","Check Data ⚠",VLOOKUP(P182,'G-4 Temporal multipliers'!$A$4:$C$37,3,FALSE)),"")</f>
        <v/>
      </c>
      <c r="R182" s="281" t="str">
        <f>IF(C182="","",VLOOKUP(C182,'G-7 WaterC'' Data'!$B$4:$G$8,4,FALSE))</f>
        <v/>
      </c>
      <c r="S182" s="289" t="str">
        <f t="shared" si="14"/>
        <v/>
      </c>
      <c r="T182" s="320" t="str">
        <f t="shared" si="15"/>
        <v/>
      </c>
      <c r="U182" s="282" t="str">
        <f>IF(C182="","",VLOOKUP(T182,'G-3 Multipliers'!$P$2:$Q$6,2,FALSE))</f>
        <v/>
      </c>
      <c r="V182" s="106"/>
      <c r="W182" s="282" t="str">
        <f>IF(V182="","",IF(AND(V182="N/A - Culvert",C182&lt;&gt;"Culvert"),"Not possible ▲",IF(AND(C182="Culvert",V182&lt;&gt;"N/A - Culvert"),"Not possible ▲",IF(VLOOKUP(V182,'G-7 WaterC'' Data'!$AA$4:$AB$7,2,FALSE)=0,"Spatial Data Missing ⚠",VLOOKUP(V182,'G-7 WaterC'' Data'!$AA$4:$AB$7,2,FALSE)))))</f>
        <v/>
      </c>
      <c r="X182" s="56"/>
      <c r="Y182" s="282" t="str">
        <f>IF(X182="","",IF(AND(X182="N/A - Culvert", C182&lt;&gt;"Culvert"), "Not possible ▲",IF(AND(C182="Culvert",X182&lt;&gt;"N/A - Culvert"),"Not possible ▲",IF(VLOOKUP(X182,'G-7 WaterC'' Data'!$AD$4:$AE$14,2,FALSE)=0,"Enrcoachment Data Missing ⚠",VLOOKUP(X182,'G-7 WaterC'' Data'!$AD$4:$AE$14,2,FALSE)))))</f>
        <v/>
      </c>
      <c r="Z182" s="323" t="str">
        <f t="shared" si="16"/>
        <v/>
      </c>
      <c r="AA182" s="105"/>
      <c r="AB182" s="119"/>
      <c r="AC182" s="108"/>
      <c r="AH182" s="30" t="str">
        <f>IFERROR(INDEX('G-7 WaterC'' Data'!$AZ$3:$AZ$7,MATCH(C182,'G-7 WaterC'' Data'!$AY$3:$AY$7,0)),"")</f>
        <v/>
      </c>
      <c r="AK182" s="30" t="str">
        <f t="shared" si="17"/>
        <v>No</v>
      </c>
    </row>
    <row r="183" spans="2:37" ht="13.8" x14ac:dyDescent="0.25">
      <c r="B183" s="101">
        <v>172</v>
      </c>
      <c r="C183" s="950"/>
      <c r="D183" s="119"/>
      <c r="E183" s="281" t="str">
        <f>IF(C183="","",VLOOKUP(C183,'G-7 WaterC'' Data'!$B$2:$G$8,2,FALSE))</f>
        <v/>
      </c>
      <c r="F183" s="282" t="str">
        <f>IFERROR(VLOOKUP(E183,'G-7 WaterC'' Data'!$C$4:$D$8,2,FALSE),"")</f>
        <v/>
      </c>
      <c r="G183" s="105"/>
      <c r="H183" s="282" t="str">
        <f>IFERROR(INDEX('G-7 WaterC'' Data'!$H$4:$L$8,MATCH(C183,'G-7 WaterC'' Data'!$B$4:$B$8,0),MATCH(G183,'G-7 WaterC'' Data'!$H$3:$L$3,0)),"")</f>
        <v/>
      </c>
      <c r="I183" s="52"/>
      <c r="J183" s="289" t="str">
        <f>IF(I183="","",IF(VLOOKUP(I183,'G-7 WaterC'' Data'!$AK$4:$AM$6,2,FALSE)=0,"Spatial Data Missing ⚠",VLOOKUP(I183,'G-7 WaterC'' Data'!$AK$4:$AM$6,2,FALSE)))</f>
        <v/>
      </c>
      <c r="K183" s="282" t="str">
        <f>IF(I183="","",IF(VLOOKUP(I183,'G-7 WaterC'' Data'!$AK$4:$AM$6,3,FALSE)=0,"Spatial Data Missing ⚠",VLOOKUP(I183,'G-7 WaterC'' Data'!$AK$4:$AM$6,3,FALSE)))</f>
        <v/>
      </c>
      <c r="L183" s="281" t="str">
        <f>IFERROR(INDEX('G-7 WaterC'' Data'!$O$3:$O$7,MATCH(G183,'G-7 WaterC'' Data'!$N$3:$N$7,0)),"")</f>
        <v/>
      </c>
      <c r="M183" s="58"/>
      <c r="N183" s="137"/>
      <c r="O183" s="289" t="str">
        <f t="shared" si="12"/>
        <v/>
      </c>
      <c r="P183" s="302" t="str">
        <f t="shared" si="13"/>
        <v/>
      </c>
      <c r="Q183" s="340" t="str">
        <f>IFERROR(IF(P183="Check Data ⚠","Check Data ⚠",VLOOKUP(P183,'G-4 Temporal multipliers'!$A$4:$C$37,3,FALSE)),"")</f>
        <v/>
      </c>
      <c r="R183" s="281" t="str">
        <f>IF(C183="","",VLOOKUP(C183,'G-7 WaterC'' Data'!$B$4:$G$8,4,FALSE))</f>
        <v/>
      </c>
      <c r="S183" s="289" t="str">
        <f t="shared" si="14"/>
        <v/>
      </c>
      <c r="T183" s="320" t="str">
        <f t="shared" si="15"/>
        <v/>
      </c>
      <c r="U183" s="282" t="str">
        <f>IF(C183="","",VLOOKUP(T183,'G-3 Multipliers'!$P$2:$Q$6,2,FALSE))</f>
        <v/>
      </c>
      <c r="V183" s="106"/>
      <c r="W183" s="282" t="str">
        <f>IF(V183="","",IF(AND(V183="N/A - Culvert",C183&lt;&gt;"Culvert"),"Not possible ▲",IF(AND(C183="Culvert",V183&lt;&gt;"N/A - Culvert"),"Not possible ▲",IF(VLOOKUP(V183,'G-7 WaterC'' Data'!$AA$4:$AB$7,2,FALSE)=0,"Spatial Data Missing ⚠",VLOOKUP(V183,'G-7 WaterC'' Data'!$AA$4:$AB$7,2,FALSE)))))</f>
        <v/>
      </c>
      <c r="X183" s="56"/>
      <c r="Y183" s="282" t="str">
        <f>IF(X183="","",IF(AND(X183="N/A - Culvert", C183&lt;&gt;"Culvert"), "Not possible ▲",IF(AND(C183="Culvert",X183&lt;&gt;"N/A - Culvert"),"Not possible ▲",IF(VLOOKUP(X183,'G-7 WaterC'' Data'!$AD$4:$AE$14,2,FALSE)=0,"Enrcoachment Data Missing ⚠",VLOOKUP(X183,'G-7 WaterC'' Data'!$AD$4:$AE$14,2,FALSE)))))</f>
        <v/>
      </c>
      <c r="Z183" s="323" t="str">
        <f t="shared" si="16"/>
        <v/>
      </c>
      <c r="AA183" s="105"/>
      <c r="AB183" s="119"/>
      <c r="AC183" s="108"/>
      <c r="AH183" s="30" t="str">
        <f>IFERROR(INDEX('G-7 WaterC'' Data'!$AZ$3:$AZ$7,MATCH(C183,'G-7 WaterC'' Data'!$AY$3:$AY$7,0)),"")</f>
        <v/>
      </c>
      <c r="AK183" s="30" t="str">
        <f t="shared" si="17"/>
        <v>No</v>
      </c>
    </row>
    <row r="184" spans="2:37" ht="13.8" x14ac:dyDescent="0.25">
      <c r="B184" s="101">
        <v>173</v>
      </c>
      <c r="C184" s="950"/>
      <c r="D184" s="119"/>
      <c r="E184" s="281" t="str">
        <f>IF(C184="","",VLOOKUP(C184,'G-7 WaterC'' Data'!$B$2:$G$8,2,FALSE))</f>
        <v/>
      </c>
      <c r="F184" s="282" t="str">
        <f>IFERROR(VLOOKUP(E184,'G-7 WaterC'' Data'!$C$4:$D$8,2,FALSE),"")</f>
        <v/>
      </c>
      <c r="G184" s="105"/>
      <c r="H184" s="282" t="str">
        <f>IFERROR(INDEX('G-7 WaterC'' Data'!$H$4:$L$8,MATCH(C184,'G-7 WaterC'' Data'!$B$4:$B$8,0),MATCH(G184,'G-7 WaterC'' Data'!$H$3:$L$3,0)),"")</f>
        <v/>
      </c>
      <c r="I184" s="52"/>
      <c r="J184" s="289" t="str">
        <f>IF(I184="","",IF(VLOOKUP(I184,'G-7 WaterC'' Data'!$AK$4:$AM$6,2,FALSE)=0,"Spatial Data Missing ⚠",VLOOKUP(I184,'G-7 WaterC'' Data'!$AK$4:$AM$6,2,FALSE)))</f>
        <v/>
      </c>
      <c r="K184" s="282" t="str">
        <f>IF(I184="","",IF(VLOOKUP(I184,'G-7 WaterC'' Data'!$AK$4:$AM$6,3,FALSE)=0,"Spatial Data Missing ⚠",VLOOKUP(I184,'G-7 WaterC'' Data'!$AK$4:$AM$6,3,FALSE)))</f>
        <v/>
      </c>
      <c r="L184" s="281" t="str">
        <f>IFERROR(INDEX('G-7 WaterC'' Data'!$O$3:$O$7,MATCH(G184,'G-7 WaterC'' Data'!$N$3:$N$7,0)),"")</f>
        <v/>
      </c>
      <c r="M184" s="58"/>
      <c r="N184" s="137"/>
      <c r="O184" s="289" t="str">
        <f t="shared" si="12"/>
        <v/>
      </c>
      <c r="P184" s="302" t="str">
        <f t="shared" si="13"/>
        <v/>
      </c>
      <c r="Q184" s="340" t="str">
        <f>IFERROR(IF(P184="Check Data ⚠","Check Data ⚠",VLOOKUP(P184,'G-4 Temporal multipliers'!$A$4:$C$37,3,FALSE)),"")</f>
        <v/>
      </c>
      <c r="R184" s="281" t="str">
        <f>IF(C184="","",VLOOKUP(C184,'G-7 WaterC'' Data'!$B$4:$G$8,4,FALSE))</f>
        <v/>
      </c>
      <c r="S184" s="289" t="str">
        <f t="shared" si="14"/>
        <v/>
      </c>
      <c r="T184" s="320" t="str">
        <f t="shared" si="15"/>
        <v/>
      </c>
      <c r="U184" s="282" t="str">
        <f>IF(C184="","",VLOOKUP(T184,'G-3 Multipliers'!$P$2:$Q$6,2,FALSE))</f>
        <v/>
      </c>
      <c r="V184" s="106"/>
      <c r="W184" s="282" t="str">
        <f>IF(V184="","",IF(AND(V184="N/A - Culvert",C184&lt;&gt;"Culvert"),"Not possible ▲",IF(AND(C184="Culvert",V184&lt;&gt;"N/A - Culvert"),"Not possible ▲",IF(VLOOKUP(V184,'G-7 WaterC'' Data'!$AA$4:$AB$7,2,FALSE)=0,"Spatial Data Missing ⚠",VLOOKUP(V184,'G-7 WaterC'' Data'!$AA$4:$AB$7,2,FALSE)))))</f>
        <v/>
      </c>
      <c r="X184" s="56"/>
      <c r="Y184" s="282" t="str">
        <f>IF(X184="","",IF(AND(X184="N/A - Culvert", C184&lt;&gt;"Culvert"), "Not possible ▲",IF(AND(C184="Culvert",X184&lt;&gt;"N/A - Culvert"),"Not possible ▲",IF(VLOOKUP(X184,'G-7 WaterC'' Data'!$AD$4:$AE$14,2,FALSE)=0,"Enrcoachment Data Missing ⚠",VLOOKUP(X184,'G-7 WaterC'' Data'!$AD$4:$AE$14,2,FALSE)))))</f>
        <v/>
      </c>
      <c r="Z184" s="323" t="str">
        <f t="shared" si="16"/>
        <v/>
      </c>
      <c r="AA184" s="105"/>
      <c r="AB184" s="119"/>
      <c r="AC184" s="108"/>
      <c r="AH184" s="30" t="str">
        <f>IFERROR(INDEX('G-7 WaterC'' Data'!$AZ$3:$AZ$7,MATCH(C184,'G-7 WaterC'' Data'!$AY$3:$AY$7,0)),"")</f>
        <v/>
      </c>
      <c r="AK184" s="30" t="str">
        <f t="shared" si="17"/>
        <v>No</v>
      </c>
    </row>
    <row r="185" spans="2:37" ht="13.8" x14ac:dyDescent="0.25">
      <c r="B185" s="101">
        <v>174</v>
      </c>
      <c r="C185" s="950"/>
      <c r="D185" s="119"/>
      <c r="E185" s="281" t="str">
        <f>IF(C185="","",VLOOKUP(C185,'G-7 WaterC'' Data'!$B$2:$G$8,2,FALSE))</f>
        <v/>
      </c>
      <c r="F185" s="282" t="str">
        <f>IFERROR(VLOOKUP(E185,'G-7 WaterC'' Data'!$C$4:$D$8,2,FALSE),"")</f>
        <v/>
      </c>
      <c r="G185" s="105"/>
      <c r="H185" s="282" t="str">
        <f>IFERROR(INDEX('G-7 WaterC'' Data'!$H$4:$L$8,MATCH(C185,'G-7 WaterC'' Data'!$B$4:$B$8,0),MATCH(G185,'G-7 WaterC'' Data'!$H$3:$L$3,0)),"")</f>
        <v/>
      </c>
      <c r="I185" s="52"/>
      <c r="J185" s="289" t="str">
        <f>IF(I185="","",IF(VLOOKUP(I185,'G-7 WaterC'' Data'!$AK$4:$AM$6,2,FALSE)=0,"Spatial Data Missing ⚠",VLOOKUP(I185,'G-7 WaterC'' Data'!$AK$4:$AM$6,2,FALSE)))</f>
        <v/>
      </c>
      <c r="K185" s="282" t="str">
        <f>IF(I185="","",IF(VLOOKUP(I185,'G-7 WaterC'' Data'!$AK$4:$AM$6,3,FALSE)=0,"Spatial Data Missing ⚠",VLOOKUP(I185,'G-7 WaterC'' Data'!$AK$4:$AM$6,3,FALSE)))</f>
        <v/>
      </c>
      <c r="L185" s="281" t="str">
        <f>IFERROR(INDEX('G-7 WaterC'' Data'!$O$3:$O$7,MATCH(G185,'G-7 WaterC'' Data'!$N$3:$N$7,0)),"")</f>
        <v/>
      </c>
      <c r="M185" s="58"/>
      <c r="N185" s="137"/>
      <c r="O185" s="289" t="str">
        <f t="shared" si="12"/>
        <v/>
      </c>
      <c r="P185" s="302" t="str">
        <f t="shared" si="13"/>
        <v/>
      </c>
      <c r="Q185" s="340" t="str">
        <f>IFERROR(IF(P185="Check Data ⚠","Check Data ⚠",VLOOKUP(P185,'G-4 Temporal multipliers'!$A$4:$C$37,3,FALSE)),"")</f>
        <v/>
      </c>
      <c r="R185" s="281" t="str">
        <f>IF(C185="","",VLOOKUP(C185,'G-7 WaterC'' Data'!$B$4:$G$8,4,FALSE))</f>
        <v/>
      </c>
      <c r="S185" s="289" t="str">
        <f t="shared" si="14"/>
        <v/>
      </c>
      <c r="T185" s="320" t="str">
        <f t="shared" si="15"/>
        <v/>
      </c>
      <c r="U185" s="282" t="str">
        <f>IF(C185="","",VLOOKUP(T185,'G-3 Multipliers'!$P$2:$Q$6,2,FALSE))</f>
        <v/>
      </c>
      <c r="V185" s="106"/>
      <c r="W185" s="282" t="str">
        <f>IF(V185="","",IF(AND(V185="N/A - Culvert",C185&lt;&gt;"Culvert"),"Not possible ▲",IF(AND(C185="Culvert",V185&lt;&gt;"N/A - Culvert"),"Not possible ▲",IF(VLOOKUP(V185,'G-7 WaterC'' Data'!$AA$4:$AB$7,2,FALSE)=0,"Spatial Data Missing ⚠",VLOOKUP(V185,'G-7 WaterC'' Data'!$AA$4:$AB$7,2,FALSE)))))</f>
        <v/>
      </c>
      <c r="X185" s="56"/>
      <c r="Y185" s="282" t="str">
        <f>IF(X185="","",IF(AND(X185="N/A - Culvert", C185&lt;&gt;"Culvert"), "Not possible ▲",IF(AND(C185="Culvert",X185&lt;&gt;"N/A - Culvert"),"Not possible ▲",IF(VLOOKUP(X185,'G-7 WaterC'' Data'!$AD$4:$AE$14,2,FALSE)=0,"Enrcoachment Data Missing ⚠",VLOOKUP(X185,'G-7 WaterC'' Data'!$AD$4:$AE$14,2,FALSE)))))</f>
        <v/>
      </c>
      <c r="Z185" s="323" t="str">
        <f t="shared" si="16"/>
        <v/>
      </c>
      <c r="AA185" s="105"/>
      <c r="AB185" s="119"/>
      <c r="AC185" s="108"/>
      <c r="AH185" s="30" t="str">
        <f>IFERROR(INDEX('G-7 WaterC'' Data'!$AZ$3:$AZ$7,MATCH(C185,'G-7 WaterC'' Data'!$AY$3:$AY$7,0)),"")</f>
        <v/>
      </c>
      <c r="AK185" s="30" t="str">
        <f t="shared" si="17"/>
        <v>No</v>
      </c>
    </row>
    <row r="186" spans="2:37" ht="13.8" x14ac:dyDescent="0.25">
      <c r="B186" s="101">
        <v>175</v>
      </c>
      <c r="C186" s="950"/>
      <c r="D186" s="119"/>
      <c r="E186" s="281" t="str">
        <f>IF(C186="","",VLOOKUP(C186,'G-7 WaterC'' Data'!$B$2:$G$8,2,FALSE))</f>
        <v/>
      </c>
      <c r="F186" s="282" t="str">
        <f>IFERROR(VLOOKUP(E186,'G-7 WaterC'' Data'!$C$4:$D$8,2,FALSE),"")</f>
        <v/>
      </c>
      <c r="G186" s="105"/>
      <c r="H186" s="282" t="str">
        <f>IFERROR(INDEX('G-7 WaterC'' Data'!$H$4:$L$8,MATCH(C186,'G-7 WaterC'' Data'!$B$4:$B$8,0),MATCH(G186,'G-7 WaterC'' Data'!$H$3:$L$3,0)),"")</f>
        <v/>
      </c>
      <c r="I186" s="52"/>
      <c r="J186" s="289" t="str">
        <f>IF(I186="","",IF(VLOOKUP(I186,'G-7 WaterC'' Data'!$AK$4:$AM$6,2,FALSE)=0,"Spatial Data Missing ⚠",VLOOKUP(I186,'G-7 WaterC'' Data'!$AK$4:$AM$6,2,FALSE)))</f>
        <v/>
      </c>
      <c r="K186" s="282" t="str">
        <f>IF(I186="","",IF(VLOOKUP(I186,'G-7 WaterC'' Data'!$AK$4:$AM$6,3,FALSE)=0,"Spatial Data Missing ⚠",VLOOKUP(I186,'G-7 WaterC'' Data'!$AK$4:$AM$6,3,FALSE)))</f>
        <v/>
      </c>
      <c r="L186" s="281" t="str">
        <f>IFERROR(INDEX('G-7 WaterC'' Data'!$O$3:$O$7,MATCH(G186,'G-7 WaterC'' Data'!$N$3:$N$7,0)),"")</f>
        <v/>
      </c>
      <c r="M186" s="58"/>
      <c r="N186" s="137"/>
      <c r="O186" s="289" t="str">
        <f t="shared" si="12"/>
        <v/>
      </c>
      <c r="P186" s="302" t="str">
        <f t="shared" si="13"/>
        <v/>
      </c>
      <c r="Q186" s="340" t="str">
        <f>IFERROR(IF(P186="Check Data ⚠","Check Data ⚠",VLOOKUP(P186,'G-4 Temporal multipliers'!$A$4:$C$37,3,FALSE)),"")</f>
        <v/>
      </c>
      <c r="R186" s="281" t="str">
        <f>IF(C186="","",VLOOKUP(C186,'G-7 WaterC'' Data'!$B$4:$G$8,4,FALSE))</f>
        <v/>
      </c>
      <c r="S186" s="289" t="str">
        <f t="shared" si="14"/>
        <v/>
      </c>
      <c r="T186" s="320" t="str">
        <f t="shared" si="15"/>
        <v/>
      </c>
      <c r="U186" s="282" t="str">
        <f>IF(C186="","",VLOOKUP(T186,'G-3 Multipliers'!$P$2:$Q$6,2,FALSE))</f>
        <v/>
      </c>
      <c r="V186" s="106"/>
      <c r="W186" s="282" t="str">
        <f>IF(V186="","",IF(AND(V186="N/A - Culvert",C186&lt;&gt;"Culvert"),"Not possible ▲",IF(AND(C186="Culvert",V186&lt;&gt;"N/A - Culvert"),"Not possible ▲",IF(VLOOKUP(V186,'G-7 WaterC'' Data'!$AA$4:$AB$7,2,FALSE)=0,"Spatial Data Missing ⚠",VLOOKUP(V186,'G-7 WaterC'' Data'!$AA$4:$AB$7,2,FALSE)))))</f>
        <v/>
      </c>
      <c r="X186" s="56"/>
      <c r="Y186" s="282" t="str">
        <f>IF(X186="","",IF(AND(X186="N/A - Culvert", C186&lt;&gt;"Culvert"), "Not possible ▲",IF(AND(C186="Culvert",X186&lt;&gt;"N/A - Culvert"),"Not possible ▲",IF(VLOOKUP(X186,'G-7 WaterC'' Data'!$AD$4:$AE$14,2,FALSE)=0,"Enrcoachment Data Missing ⚠",VLOOKUP(X186,'G-7 WaterC'' Data'!$AD$4:$AE$14,2,FALSE)))))</f>
        <v/>
      </c>
      <c r="Z186" s="323" t="str">
        <f t="shared" si="16"/>
        <v/>
      </c>
      <c r="AA186" s="105"/>
      <c r="AB186" s="119"/>
      <c r="AC186" s="108"/>
      <c r="AH186" s="30" t="str">
        <f>IFERROR(INDEX('G-7 WaterC'' Data'!$AZ$3:$AZ$7,MATCH(C186,'G-7 WaterC'' Data'!$AY$3:$AY$7,0)),"")</f>
        <v/>
      </c>
      <c r="AK186" s="30" t="str">
        <f t="shared" si="17"/>
        <v>No</v>
      </c>
    </row>
    <row r="187" spans="2:37" ht="13.8" x14ac:dyDescent="0.25">
      <c r="B187" s="101">
        <v>176</v>
      </c>
      <c r="C187" s="950"/>
      <c r="D187" s="119"/>
      <c r="E187" s="281" t="str">
        <f>IF(C187="","",VLOOKUP(C187,'G-7 WaterC'' Data'!$B$2:$G$8,2,FALSE))</f>
        <v/>
      </c>
      <c r="F187" s="282" t="str">
        <f>IFERROR(VLOOKUP(E187,'G-7 WaterC'' Data'!$C$4:$D$8,2,FALSE),"")</f>
        <v/>
      </c>
      <c r="G187" s="105"/>
      <c r="H187" s="282" t="str">
        <f>IFERROR(INDEX('G-7 WaterC'' Data'!$H$4:$L$8,MATCH(C187,'G-7 WaterC'' Data'!$B$4:$B$8,0),MATCH(G187,'G-7 WaterC'' Data'!$H$3:$L$3,0)),"")</f>
        <v/>
      </c>
      <c r="I187" s="52"/>
      <c r="J187" s="289" t="str">
        <f>IF(I187="","",IF(VLOOKUP(I187,'G-7 WaterC'' Data'!$AK$4:$AM$6,2,FALSE)=0,"Spatial Data Missing ⚠",VLOOKUP(I187,'G-7 WaterC'' Data'!$AK$4:$AM$6,2,FALSE)))</f>
        <v/>
      </c>
      <c r="K187" s="282" t="str">
        <f>IF(I187="","",IF(VLOOKUP(I187,'G-7 WaterC'' Data'!$AK$4:$AM$6,3,FALSE)=0,"Spatial Data Missing ⚠",VLOOKUP(I187,'G-7 WaterC'' Data'!$AK$4:$AM$6,3,FALSE)))</f>
        <v/>
      </c>
      <c r="L187" s="281" t="str">
        <f>IFERROR(INDEX('G-7 WaterC'' Data'!$O$3:$O$7,MATCH(G187,'G-7 WaterC'' Data'!$N$3:$N$7,0)),"")</f>
        <v/>
      </c>
      <c r="M187" s="58"/>
      <c r="N187" s="137"/>
      <c r="O187" s="289" t="str">
        <f t="shared" si="12"/>
        <v/>
      </c>
      <c r="P187" s="302" t="str">
        <f t="shared" si="13"/>
        <v/>
      </c>
      <c r="Q187" s="340" t="str">
        <f>IFERROR(IF(P187="Check Data ⚠","Check Data ⚠",VLOOKUP(P187,'G-4 Temporal multipliers'!$A$4:$C$37,3,FALSE)),"")</f>
        <v/>
      </c>
      <c r="R187" s="281" t="str">
        <f>IF(C187="","",VLOOKUP(C187,'G-7 WaterC'' Data'!$B$4:$G$8,4,FALSE))</f>
        <v/>
      </c>
      <c r="S187" s="289" t="str">
        <f t="shared" si="14"/>
        <v/>
      </c>
      <c r="T187" s="320" t="str">
        <f t="shared" si="15"/>
        <v/>
      </c>
      <c r="U187" s="282" t="str">
        <f>IF(C187="","",VLOOKUP(T187,'G-3 Multipliers'!$P$2:$Q$6,2,FALSE))</f>
        <v/>
      </c>
      <c r="V187" s="106"/>
      <c r="W187" s="282" t="str">
        <f>IF(V187="","",IF(AND(V187="N/A - Culvert",C187&lt;&gt;"Culvert"),"Not possible ▲",IF(AND(C187="Culvert",V187&lt;&gt;"N/A - Culvert"),"Not possible ▲",IF(VLOOKUP(V187,'G-7 WaterC'' Data'!$AA$4:$AB$7,2,FALSE)=0,"Spatial Data Missing ⚠",VLOOKUP(V187,'G-7 WaterC'' Data'!$AA$4:$AB$7,2,FALSE)))))</f>
        <v/>
      </c>
      <c r="X187" s="56"/>
      <c r="Y187" s="282" t="str">
        <f>IF(X187="","",IF(AND(X187="N/A - Culvert", C187&lt;&gt;"Culvert"), "Not possible ▲",IF(AND(C187="Culvert",X187&lt;&gt;"N/A - Culvert"),"Not possible ▲",IF(VLOOKUP(X187,'G-7 WaterC'' Data'!$AD$4:$AE$14,2,FALSE)=0,"Enrcoachment Data Missing ⚠",VLOOKUP(X187,'G-7 WaterC'' Data'!$AD$4:$AE$14,2,FALSE)))))</f>
        <v/>
      </c>
      <c r="Z187" s="323" t="str">
        <f t="shared" si="16"/>
        <v/>
      </c>
      <c r="AA187" s="105"/>
      <c r="AB187" s="119"/>
      <c r="AC187" s="108"/>
      <c r="AH187" s="30" t="str">
        <f>IFERROR(INDEX('G-7 WaterC'' Data'!$AZ$3:$AZ$7,MATCH(C187,'G-7 WaterC'' Data'!$AY$3:$AY$7,0)),"")</f>
        <v/>
      </c>
      <c r="AK187" s="30" t="str">
        <f t="shared" si="17"/>
        <v>No</v>
      </c>
    </row>
    <row r="188" spans="2:37" ht="13.8" x14ac:dyDescent="0.25">
      <c r="B188" s="101">
        <v>177</v>
      </c>
      <c r="C188" s="950"/>
      <c r="D188" s="119"/>
      <c r="E188" s="281" t="str">
        <f>IF(C188="","",VLOOKUP(C188,'G-7 WaterC'' Data'!$B$2:$G$8,2,FALSE))</f>
        <v/>
      </c>
      <c r="F188" s="282" t="str">
        <f>IFERROR(VLOOKUP(E188,'G-7 WaterC'' Data'!$C$4:$D$8,2,FALSE),"")</f>
        <v/>
      </c>
      <c r="G188" s="105"/>
      <c r="H188" s="282" t="str">
        <f>IFERROR(INDEX('G-7 WaterC'' Data'!$H$4:$L$8,MATCH(C188,'G-7 WaterC'' Data'!$B$4:$B$8,0),MATCH(G188,'G-7 WaterC'' Data'!$H$3:$L$3,0)),"")</f>
        <v/>
      </c>
      <c r="I188" s="52"/>
      <c r="J188" s="289" t="str">
        <f>IF(I188="","",IF(VLOOKUP(I188,'G-7 WaterC'' Data'!$AK$4:$AM$6,2,FALSE)=0,"Spatial Data Missing ⚠",VLOOKUP(I188,'G-7 WaterC'' Data'!$AK$4:$AM$6,2,FALSE)))</f>
        <v/>
      </c>
      <c r="K188" s="282" t="str">
        <f>IF(I188="","",IF(VLOOKUP(I188,'G-7 WaterC'' Data'!$AK$4:$AM$6,3,FALSE)=0,"Spatial Data Missing ⚠",VLOOKUP(I188,'G-7 WaterC'' Data'!$AK$4:$AM$6,3,FALSE)))</f>
        <v/>
      </c>
      <c r="L188" s="281" t="str">
        <f>IFERROR(INDEX('G-7 WaterC'' Data'!$O$3:$O$7,MATCH(G188,'G-7 WaterC'' Data'!$N$3:$N$7,0)),"")</f>
        <v/>
      </c>
      <c r="M188" s="58"/>
      <c r="N188" s="137"/>
      <c r="O188" s="289" t="str">
        <f t="shared" si="12"/>
        <v/>
      </c>
      <c r="P188" s="302" t="str">
        <f t="shared" si="13"/>
        <v/>
      </c>
      <c r="Q188" s="340" t="str">
        <f>IFERROR(IF(P188="Check Data ⚠","Check Data ⚠",VLOOKUP(P188,'G-4 Temporal multipliers'!$A$4:$C$37,3,FALSE)),"")</f>
        <v/>
      </c>
      <c r="R188" s="281" t="str">
        <f>IF(C188="","",VLOOKUP(C188,'G-7 WaterC'' Data'!$B$4:$G$8,4,FALSE))</f>
        <v/>
      </c>
      <c r="S188" s="289" t="str">
        <f t="shared" si="14"/>
        <v/>
      </c>
      <c r="T188" s="320" t="str">
        <f t="shared" si="15"/>
        <v/>
      </c>
      <c r="U188" s="282" t="str">
        <f>IF(C188="","",VLOOKUP(T188,'G-3 Multipliers'!$P$2:$Q$6,2,FALSE))</f>
        <v/>
      </c>
      <c r="V188" s="106"/>
      <c r="W188" s="282" t="str">
        <f>IF(V188="","",IF(AND(V188="N/A - Culvert",C188&lt;&gt;"Culvert"),"Not possible ▲",IF(AND(C188="Culvert",V188&lt;&gt;"N/A - Culvert"),"Not possible ▲",IF(VLOOKUP(V188,'G-7 WaterC'' Data'!$AA$4:$AB$7,2,FALSE)=0,"Spatial Data Missing ⚠",VLOOKUP(V188,'G-7 WaterC'' Data'!$AA$4:$AB$7,2,FALSE)))))</f>
        <v/>
      </c>
      <c r="X188" s="56"/>
      <c r="Y188" s="282" t="str">
        <f>IF(X188="","",IF(AND(X188="N/A - Culvert", C188&lt;&gt;"Culvert"), "Not possible ▲",IF(AND(C188="Culvert",X188&lt;&gt;"N/A - Culvert"),"Not possible ▲",IF(VLOOKUP(X188,'G-7 WaterC'' Data'!$AD$4:$AE$14,2,FALSE)=0,"Enrcoachment Data Missing ⚠",VLOOKUP(X188,'G-7 WaterC'' Data'!$AD$4:$AE$14,2,FALSE)))))</f>
        <v/>
      </c>
      <c r="Z188" s="323" t="str">
        <f t="shared" si="16"/>
        <v/>
      </c>
      <c r="AA188" s="105"/>
      <c r="AB188" s="119"/>
      <c r="AC188" s="108"/>
      <c r="AH188" s="30" t="str">
        <f>IFERROR(INDEX('G-7 WaterC'' Data'!$AZ$3:$AZ$7,MATCH(C188,'G-7 WaterC'' Data'!$AY$3:$AY$7,0)),"")</f>
        <v/>
      </c>
      <c r="AK188" s="30" t="str">
        <f t="shared" si="17"/>
        <v>No</v>
      </c>
    </row>
    <row r="189" spans="2:37" ht="13.8" x14ac:dyDescent="0.25">
      <c r="B189" s="101">
        <v>178</v>
      </c>
      <c r="C189" s="950"/>
      <c r="D189" s="119"/>
      <c r="E189" s="281" t="str">
        <f>IF(C189="","",VLOOKUP(C189,'G-7 WaterC'' Data'!$B$2:$G$8,2,FALSE))</f>
        <v/>
      </c>
      <c r="F189" s="282" t="str">
        <f>IFERROR(VLOOKUP(E189,'G-7 WaterC'' Data'!$C$4:$D$8,2,FALSE),"")</f>
        <v/>
      </c>
      <c r="G189" s="105"/>
      <c r="H189" s="282" t="str">
        <f>IFERROR(INDEX('G-7 WaterC'' Data'!$H$4:$L$8,MATCH(C189,'G-7 WaterC'' Data'!$B$4:$B$8,0),MATCH(G189,'G-7 WaterC'' Data'!$H$3:$L$3,0)),"")</f>
        <v/>
      </c>
      <c r="I189" s="52"/>
      <c r="J189" s="289" t="str">
        <f>IF(I189="","",IF(VLOOKUP(I189,'G-7 WaterC'' Data'!$AK$4:$AM$6,2,FALSE)=0,"Spatial Data Missing ⚠",VLOOKUP(I189,'G-7 WaterC'' Data'!$AK$4:$AM$6,2,FALSE)))</f>
        <v/>
      </c>
      <c r="K189" s="282" t="str">
        <f>IF(I189="","",IF(VLOOKUP(I189,'G-7 WaterC'' Data'!$AK$4:$AM$6,3,FALSE)=0,"Spatial Data Missing ⚠",VLOOKUP(I189,'G-7 WaterC'' Data'!$AK$4:$AM$6,3,FALSE)))</f>
        <v/>
      </c>
      <c r="L189" s="281" t="str">
        <f>IFERROR(INDEX('G-7 WaterC'' Data'!$O$3:$O$7,MATCH(G189,'G-7 WaterC'' Data'!$N$3:$N$7,0)),"")</f>
        <v/>
      </c>
      <c r="M189" s="58"/>
      <c r="N189" s="137"/>
      <c r="O189" s="289" t="str">
        <f t="shared" si="12"/>
        <v/>
      </c>
      <c r="P189" s="302" t="str">
        <f t="shared" si="13"/>
        <v/>
      </c>
      <c r="Q189" s="340" t="str">
        <f>IFERROR(IF(P189="Check Data ⚠","Check Data ⚠",VLOOKUP(P189,'G-4 Temporal multipliers'!$A$4:$C$37,3,FALSE)),"")</f>
        <v/>
      </c>
      <c r="R189" s="281" t="str">
        <f>IF(C189="","",VLOOKUP(C189,'G-7 WaterC'' Data'!$B$4:$G$8,4,FALSE))</f>
        <v/>
      </c>
      <c r="S189" s="289" t="str">
        <f t="shared" si="14"/>
        <v/>
      </c>
      <c r="T189" s="320" t="str">
        <f t="shared" si="15"/>
        <v/>
      </c>
      <c r="U189" s="282" t="str">
        <f>IF(C189="","",VLOOKUP(T189,'G-3 Multipliers'!$P$2:$Q$6,2,FALSE))</f>
        <v/>
      </c>
      <c r="V189" s="106"/>
      <c r="W189" s="282" t="str">
        <f>IF(V189="","",IF(AND(V189="N/A - Culvert",C189&lt;&gt;"Culvert"),"Not possible ▲",IF(AND(C189="Culvert",V189&lt;&gt;"N/A - Culvert"),"Not possible ▲",IF(VLOOKUP(V189,'G-7 WaterC'' Data'!$AA$4:$AB$7,2,FALSE)=0,"Spatial Data Missing ⚠",VLOOKUP(V189,'G-7 WaterC'' Data'!$AA$4:$AB$7,2,FALSE)))))</f>
        <v/>
      </c>
      <c r="X189" s="56"/>
      <c r="Y189" s="282" t="str">
        <f>IF(X189="","",IF(AND(X189="N/A - Culvert", C189&lt;&gt;"Culvert"), "Not possible ▲",IF(AND(C189="Culvert",X189&lt;&gt;"N/A - Culvert"),"Not possible ▲",IF(VLOOKUP(X189,'G-7 WaterC'' Data'!$AD$4:$AE$14,2,FALSE)=0,"Enrcoachment Data Missing ⚠",VLOOKUP(X189,'G-7 WaterC'' Data'!$AD$4:$AE$14,2,FALSE)))))</f>
        <v/>
      </c>
      <c r="Z189" s="323" t="str">
        <f t="shared" si="16"/>
        <v/>
      </c>
      <c r="AA189" s="105"/>
      <c r="AB189" s="119"/>
      <c r="AC189" s="108"/>
      <c r="AH189" s="30" t="str">
        <f>IFERROR(INDEX('G-7 WaterC'' Data'!$AZ$3:$AZ$7,MATCH(C189,'G-7 WaterC'' Data'!$AY$3:$AY$7,0)),"")</f>
        <v/>
      </c>
      <c r="AK189" s="30" t="str">
        <f t="shared" si="17"/>
        <v>No</v>
      </c>
    </row>
    <row r="190" spans="2:37" ht="13.8" x14ac:dyDescent="0.25">
      <c r="B190" s="101">
        <v>179</v>
      </c>
      <c r="C190" s="950"/>
      <c r="D190" s="119"/>
      <c r="E190" s="281" t="str">
        <f>IF(C190="","",VLOOKUP(C190,'G-7 WaterC'' Data'!$B$2:$G$8,2,FALSE))</f>
        <v/>
      </c>
      <c r="F190" s="282" t="str">
        <f>IFERROR(VLOOKUP(E190,'G-7 WaterC'' Data'!$C$4:$D$8,2,FALSE),"")</f>
        <v/>
      </c>
      <c r="G190" s="105"/>
      <c r="H190" s="282" t="str">
        <f>IFERROR(INDEX('G-7 WaterC'' Data'!$H$4:$L$8,MATCH(C190,'G-7 WaterC'' Data'!$B$4:$B$8,0),MATCH(G190,'G-7 WaterC'' Data'!$H$3:$L$3,0)),"")</f>
        <v/>
      </c>
      <c r="I190" s="52"/>
      <c r="J190" s="289" t="str">
        <f>IF(I190="","",IF(VLOOKUP(I190,'G-7 WaterC'' Data'!$AK$4:$AM$6,2,FALSE)=0,"Spatial Data Missing ⚠",VLOOKUP(I190,'G-7 WaterC'' Data'!$AK$4:$AM$6,2,FALSE)))</f>
        <v/>
      </c>
      <c r="K190" s="282" t="str">
        <f>IF(I190="","",IF(VLOOKUP(I190,'G-7 WaterC'' Data'!$AK$4:$AM$6,3,FALSE)=0,"Spatial Data Missing ⚠",VLOOKUP(I190,'G-7 WaterC'' Data'!$AK$4:$AM$6,3,FALSE)))</f>
        <v/>
      </c>
      <c r="L190" s="281" t="str">
        <f>IFERROR(INDEX('G-7 WaterC'' Data'!$O$3:$O$7,MATCH(G190,'G-7 WaterC'' Data'!$N$3:$N$7,0)),"")</f>
        <v/>
      </c>
      <c r="M190" s="58"/>
      <c r="N190" s="137"/>
      <c r="O190" s="289" t="str">
        <f t="shared" si="12"/>
        <v/>
      </c>
      <c r="P190" s="302" t="str">
        <f t="shared" si="13"/>
        <v/>
      </c>
      <c r="Q190" s="340" t="str">
        <f>IFERROR(IF(P190="Check Data ⚠","Check Data ⚠",VLOOKUP(P190,'G-4 Temporal multipliers'!$A$4:$C$37,3,FALSE)),"")</f>
        <v/>
      </c>
      <c r="R190" s="281" t="str">
        <f>IF(C190="","",VLOOKUP(C190,'G-7 WaterC'' Data'!$B$4:$G$8,4,FALSE))</f>
        <v/>
      </c>
      <c r="S190" s="289" t="str">
        <f t="shared" si="14"/>
        <v/>
      </c>
      <c r="T190" s="320" t="str">
        <f t="shared" si="15"/>
        <v/>
      </c>
      <c r="U190" s="282" t="str">
        <f>IF(C190="","",VLOOKUP(T190,'G-3 Multipliers'!$P$2:$Q$6,2,FALSE))</f>
        <v/>
      </c>
      <c r="V190" s="106"/>
      <c r="W190" s="282" t="str">
        <f>IF(V190="","",IF(AND(V190="N/A - Culvert",C190&lt;&gt;"Culvert"),"Not possible ▲",IF(AND(C190="Culvert",V190&lt;&gt;"N/A - Culvert"),"Not possible ▲",IF(VLOOKUP(V190,'G-7 WaterC'' Data'!$AA$4:$AB$7,2,FALSE)=0,"Spatial Data Missing ⚠",VLOOKUP(V190,'G-7 WaterC'' Data'!$AA$4:$AB$7,2,FALSE)))))</f>
        <v/>
      </c>
      <c r="X190" s="56"/>
      <c r="Y190" s="282" t="str">
        <f>IF(X190="","",IF(AND(X190="N/A - Culvert", C190&lt;&gt;"Culvert"), "Not possible ▲",IF(AND(C190="Culvert",X190&lt;&gt;"N/A - Culvert"),"Not possible ▲",IF(VLOOKUP(X190,'G-7 WaterC'' Data'!$AD$4:$AE$14,2,FALSE)=0,"Enrcoachment Data Missing ⚠",VLOOKUP(X190,'G-7 WaterC'' Data'!$AD$4:$AE$14,2,FALSE)))))</f>
        <v/>
      </c>
      <c r="Z190" s="323" t="str">
        <f t="shared" si="16"/>
        <v/>
      </c>
      <c r="AA190" s="105"/>
      <c r="AB190" s="119"/>
      <c r="AC190" s="108"/>
      <c r="AH190" s="30" t="str">
        <f>IFERROR(INDEX('G-7 WaterC'' Data'!$AZ$3:$AZ$7,MATCH(C190,'G-7 WaterC'' Data'!$AY$3:$AY$7,0)),"")</f>
        <v/>
      </c>
      <c r="AK190" s="30" t="str">
        <f t="shared" si="17"/>
        <v>No</v>
      </c>
    </row>
    <row r="191" spans="2:37" ht="13.8" x14ac:dyDescent="0.25">
      <c r="B191" s="101">
        <v>180</v>
      </c>
      <c r="C191" s="950"/>
      <c r="D191" s="119"/>
      <c r="E191" s="281" t="str">
        <f>IF(C191="","",VLOOKUP(C191,'G-7 WaterC'' Data'!$B$2:$G$8,2,FALSE))</f>
        <v/>
      </c>
      <c r="F191" s="282" t="str">
        <f>IFERROR(VLOOKUP(E191,'G-7 WaterC'' Data'!$C$4:$D$8,2,FALSE),"")</f>
        <v/>
      </c>
      <c r="G191" s="105"/>
      <c r="H191" s="282" t="str">
        <f>IFERROR(INDEX('G-7 WaterC'' Data'!$H$4:$L$8,MATCH(C191,'G-7 WaterC'' Data'!$B$4:$B$8,0),MATCH(G191,'G-7 WaterC'' Data'!$H$3:$L$3,0)),"")</f>
        <v/>
      </c>
      <c r="I191" s="52"/>
      <c r="J191" s="289" t="str">
        <f>IF(I191="","",IF(VLOOKUP(I191,'G-7 WaterC'' Data'!$AK$4:$AM$6,2,FALSE)=0,"Spatial Data Missing ⚠",VLOOKUP(I191,'G-7 WaterC'' Data'!$AK$4:$AM$6,2,FALSE)))</f>
        <v/>
      </c>
      <c r="K191" s="282" t="str">
        <f>IF(I191="","",IF(VLOOKUP(I191,'G-7 WaterC'' Data'!$AK$4:$AM$6,3,FALSE)=0,"Spatial Data Missing ⚠",VLOOKUP(I191,'G-7 WaterC'' Data'!$AK$4:$AM$6,3,FALSE)))</f>
        <v/>
      </c>
      <c r="L191" s="281" t="str">
        <f>IFERROR(INDEX('G-7 WaterC'' Data'!$O$3:$O$7,MATCH(G191,'G-7 WaterC'' Data'!$N$3:$N$7,0)),"")</f>
        <v/>
      </c>
      <c r="M191" s="58"/>
      <c r="N191" s="137"/>
      <c r="O191" s="289" t="str">
        <f t="shared" si="12"/>
        <v/>
      </c>
      <c r="P191" s="302" t="str">
        <f t="shared" si="13"/>
        <v/>
      </c>
      <c r="Q191" s="340" t="str">
        <f>IFERROR(IF(P191="Check Data ⚠","Check Data ⚠",VLOOKUP(P191,'G-4 Temporal multipliers'!$A$4:$C$37,3,FALSE)),"")</f>
        <v/>
      </c>
      <c r="R191" s="281" t="str">
        <f>IF(C191="","",VLOOKUP(C191,'G-7 WaterC'' Data'!$B$4:$G$8,4,FALSE))</f>
        <v/>
      </c>
      <c r="S191" s="289" t="str">
        <f t="shared" si="14"/>
        <v/>
      </c>
      <c r="T191" s="320" t="str">
        <f t="shared" si="15"/>
        <v/>
      </c>
      <c r="U191" s="282" t="str">
        <f>IF(C191="","",VLOOKUP(T191,'G-3 Multipliers'!$P$2:$Q$6,2,FALSE))</f>
        <v/>
      </c>
      <c r="V191" s="106"/>
      <c r="W191" s="282" t="str">
        <f>IF(V191="","",IF(AND(V191="N/A - Culvert",C191&lt;&gt;"Culvert"),"Not possible ▲",IF(AND(C191="Culvert",V191&lt;&gt;"N/A - Culvert"),"Not possible ▲",IF(VLOOKUP(V191,'G-7 WaterC'' Data'!$AA$4:$AB$7,2,FALSE)=0,"Spatial Data Missing ⚠",VLOOKUP(V191,'G-7 WaterC'' Data'!$AA$4:$AB$7,2,FALSE)))))</f>
        <v/>
      </c>
      <c r="X191" s="56"/>
      <c r="Y191" s="282" t="str">
        <f>IF(X191="","",IF(AND(X191="N/A - Culvert", C191&lt;&gt;"Culvert"), "Not possible ▲",IF(AND(C191="Culvert",X191&lt;&gt;"N/A - Culvert"),"Not possible ▲",IF(VLOOKUP(X191,'G-7 WaterC'' Data'!$AD$4:$AE$14,2,FALSE)=0,"Enrcoachment Data Missing ⚠",VLOOKUP(X191,'G-7 WaterC'' Data'!$AD$4:$AE$14,2,FALSE)))))</f>
        <v/>
      </c>
      <c r="Z191" s="323" t="str">
        <f t="shared" si="16"/>
        <v/>
      </c>
      <c r="AA191" s="105"/>
      <c r="AB191" s="119"/>
      <c r="AC191" s="108"/>
      <c r="AH191" s="30" t="str">
        <f>IFERROR(INDEX('G-7 WaterC'' Data'!$AZ$3:$AZ$7,MATCH(C191,'G-7 WaterC'' Data'!$AY$3:$AY$7,0)),"")</f>
        <v/>
      </c>
      <c r="AK191" s="30" t="str">
        <f t="shared" si="17"/>
        <v>No</v>
      </c>
    </row>
    <row r="192" spans="2:37" ht="13.8" x14ac:dyDescent="0.25">
      <c r="B192" s="101">
        <v>181</v>
      </c>
      <c r="C192" s="950"/>
      <c r="D192" s="119"/>
      <c r="E192" s="281" t="str">
        <f>IF(C192="","",VLOOKUP(C192,'G-7 WaterC'' Data'!$B$2:$G$8,2,FALSE))</f>
        <v/>
      </c>
      <c r="F192" s="282" t="str">
        <f>IFERROR(VLOOKUP(E192,'G-7 WaterC'' Data'!$C$4:$D$8,2,FALSE),"")</f>
        <v/>
      </c>
      <c r="G192" s="105"/>
      <c r="H192" s="282" t="str">
        <f>IFERROR(INDEX('G-7 WaterC'' Data'!$H$4:$L$8,MATCH(C192,'G-7 WaterC'' Data'!$B$4:$B$8,0),MATCH(G192,'G-7 WaterC'' Data'!$H$3:$L$3,0)),"")</f>
        <v/>
      </c>
      <c r="I192" s="52"/>
      <c r="J192" s="289" t="str">
        <f>IF(I192="","",IF(VLOOKUP(I192,'G-7 WaterC'' Data'!$AK$4:$AM$6,2,FALSE)=0,"Spatial Data Missing ⚠",VLOOKUP(I192,'G-7 WaterC'' Data'!$AK$4:$AM$6,2,FALSE)))</f>
        <v/>
      </c>
      <c r="K192" s="282" t="str">
        <f>IF(I192="","",IF(VLOOKUP(I192,'G-7 WaterC'' Data'!$AK$4:$AM$6,3,FALSE)=0,"Spatial Data Missing ⚠",VLOOKUP(I192,'G-7 WaterC'' Data'!$AK$4:$AM$6,3,FALSE)))</f>
        <v/>
      </c>
      <c r="L192" s="281" t="str">
        <f>IFERROR(INDEX('G-7 WaterC'' Data'!$O$3:$O$7,MATCH(G192,'G-7 WaterC'' Data'!$N$3:$N$7,0)),"")</f>
        <v/>
      </c>
      <c r="M192" s="58"/>
      <c r="N192" s="137"/>
      <c r="O192" s="289" t="str">
        <f t="shared" si="12"/>
        <v/>
      </c>
      <c r="P192" s="302" t="str">
        <f t="shared" si="13"/>
        <v/>
      </c>
      <c r="Q192" s="340" t="str">
        <f>IFERROR(IF(P192="Check Data ⚠","Check Data ⚠",VLOOKUP(P192,'G-4 Temporal multipliers'!$A$4:$C$37,3,FALSE)),"")</f>
        <v/>
      </c>
      <c r="R192" s="281" t="str">
        <f>IF(C192="","",VLOOKUP(C192,'G-7 WaterC'' Data'!$B$4:$G$8,4,FALSE))</f>
        <v/>
      </c>
      <c r="S192" s="289" t="str">
        <f t="shared" si="14"/>
        <v/>
      </c>
      <c r="T192" s="320" t="str">
        <f t="shared" si="15"/>
        <v/>
      </c>
      <c r="U192" s="282" t="str">
        <f>IF(C192="","",VLOOKUP(T192,'G-3 Multipliers'!$P$2:$Q$6,2,FALSE))</f>
        <v/>
      </c>
      <c r="V192" s="106"/>
      <c r="W192" s="282" t="str">
        <f>IF(V192="","",IF(AND(V192="N/A - Culvert",C192&lt;&gt;"Culvert"),"Not possible ▲",IF(AND(C192="Culvert",V192&lt;&gt;"N/A - Culvert"),"Not possible ▲",IF(VLOOKUP(V192,'G-7 WaterC'' Data'!$AA$4:$AB$7,2,FALSE)=0,"Spatial Data Missing ⚠",VLOOKUP(V192,'G-7 WaterC'' Data'!$AA$4:$AB$7,2,FALSE)))))</f>
        <v/>
      </c>
      <c r="X192" s="56"/>
      <c r="Y192" s="282" t="str">
        <f>IF(X192="","",IF(AND(X192="N/A - Culvert", C192&lt;&gt;"Culvert"), "Not possible ▲",IF(AND(C192="Culvert",X192&lt;&gt;"N/A - Culvert"),"Not possible ▲",IF(VLOOKUP(X192,'G-7 WaterC'' Data'!$AD$4:$AE$14,2,FALSE)=0,"Enrcoachment Data Missing ⚠",VLOOKUP(X192,'G-7 WaterC'' Data'!$AD$4:$AE$14,2,FALSE)))))</f>
        <v/>
      </c>
      <c r="Z192" s="323" t="str">
        <f t="shared" si="16"/>
        <v/>
      </c>
      <c r="AA192" s="105"/>
      <c r="AB192" s="119"/>
      <c r="AC192" s="108"/>
      <c r="AH192" s="30" t="str">
        <f>IFERROR(INDEX('G-7 WaterC'' Data'!$AZ$3:$AZ$7,MATCH(C192,'G-7 WaterC'' Data'!$AY$3:$AY$7,0)),"")</f>
        <v/>
      </c>
      <c r="AK192" s="30" t="str">
        <f t="shared" si="17"/>
        <v>No</v>
      </c>
    </row>
    <row r="193" spans="2:37" ht="13.8" x14ac:dyDescent="0.25">
      <c r="B193" s="101">
        <v>182</v>
      </c>
      <c r="C193" s="950"/>
      <c r="D193" s="119"/>
      <c r="E193" s="281" t="str">
        <f>IF(C193="","",VLOOKUP(C193,'G-7 WaterC'' Data'!$B$2:$G$8,2,FALSE))</f>
        <v/>
      </c>
      <c r="F193" s="282" t="str">
        <f>IFERROR(VLOOKUP(E193,'G-7 WaterC'' Data'!$C$4:$D$8,2,FALSE),"")</f>
        <v/>
      </c>
      <c r="G193" s="105"/>
      <c r="H193" s="282" t="str">
        <f>IFERROR(INDEX('G-7 WaterC'' Data'!$H$4:$L$8,MATCH(C193,'G-7 WaterC'' Data'!$B$4:$B$8,0),MATCH(G193,'G-7 WaterC'' Data'!$H$3:$L$3,0)),"")</f>
        <v/>
      </c>
      <c r="I193" s="52"/>
      <c r="J193" s="289" t="str">
        <f>IF(I193="","",IF(VLOOKUP(I193,'G-7 WaterC'' Data'!$AK$4:$AM$6,2,FALSE)=0,"Spatial Data Missing ⚠",VLOOKUP(I193,'G-7 WaterC'' Data'!$AK$4:$AM$6,2,FALSE)))</f>
        <v/>
      </c>
      <c r="K193" s="282" t="str">
        <f>IF(I193="","",IF(VLOOKUP(I193,'G-7 WaterC'' Data'!$AK$4:$AM$6,3,FALSE)=0,"Spatial Data Missing ⚠",VLOOKUP(I193,'G-7 WaterC'' Data'!$AK$4:$AM$6,3,FALSE)))</f>
        <v/>
      </c>
      <c r="L193" s="281" t="str">
        <f>IFERROR(INDEX('G-7 WaterC'' Data'!$O$3:$O$7,MATCH(G193,'G-7 WaterC'' Data'!$N$3:$N$7,0)),"")</f>
        <v/>
      </c>
      <c r="M193" s="58"/>
      <c r="N193" s="137"/>
      <c r="O193" s="289" t="str">
        <f t="shared" si="12"/>
        <v/>
      </c>
      <c r="P193" s="302" t="str">
        <f t="shared" si="13"/>
        <v/>
      </c>
      <c r="Q193" s="340" t="str">
        <f>IFERROR(IF(P193="Check Data ⚠","Check Data ⚠",VLOOKUP(P193,'G-4 Temporal multipliers'!$A$4:$C$37,3,FALSE)),"")</f>
        <v/>
      </c>
      <c r="R193" s="281" t="str">
        <f>IF(C193="","",VLOOKUP(C193,'G-7 WaterC'' Data'!$B$4:$G$8,4,FALSE))</f>
        <v/>
      </c>
      <c r="S193" s="289" t="str">
        <f t="shared" si="14"/>
        <v/>
      </c>
      <c r="T193" s="320" t="str">
        <f t="shared" si="15"/>
        <v/>
      </c>
      <c r="U193" s="282" t="str">
        <f>IF(C193="","",VLOOKUP(T193,'G-3 Multipliers'!$P$2:$Q$6,2,FALSE))</f>
        <v/>
      </c>
      <c r="V193" s="106"/>
      <c r="W193" s="282" t="str">
        <f>IF(V193="","",IF(AND(V193="N/A - Culvert",C193&lt;&gt;"Culvert"),"Not possible ▲",IF(AND(C193="Culvert",V193&lt;&gt;"N/A - Culvert"),"Not possible ▲",IF(VLOOKUP(V193,'G-7 WaterC'' Data'!$AA$4:$AB$7,2,FALSE)=0,"Spatial Data Missing ⚠",VLOOKUP(V193,'G-7 WaterC'' Data'!$AA$4:$AB$7,2,FALSE)))))</f>
        <v/>
      </c>
      <c r="X193" s="56"/>
      <c r="Y193" s="282" t="str">
        <f>IF(X193="","",IF(AND(X193="N/A - Culvert", C193&lt;&gt;"Culvert"), "Not possible ▲",IF(AND(C193="Culvert",X193&lt;&gt;"N/A - Culvert"),"Not possible ▲",IF(VLOOKUP(X193,'G-7 WaterC'' Data'!$AD$4:$AE$14,2,FALSE)=0,"Enrcoachment Data Missing ⚠",VLOOKUP(X193,'G-7 WaterC'' Data'!$AD$4:$AE$14,2,FALSE)))))</f>
        <v/>
      </c>
      <c r="Z193" s="323" t="str">
        <f t="shared" si="16"/>
        <v/>
      </c>
      <c r="AA193" s="105"/>
      <c r="AB193" s="119"/>
      <c r="AC193" s="108"/>
      <c r="AH193" s="30" t="str">
        <f>IFERROR(INDEX('G-7 WaterC'' Data'!$AZ$3:$AZ$7,MATCH(C193,'G-7 WaterC'' Data'!$AY$3:$AY$7,0)),"")</f>
        <v/>
      </c>
      <c r="AK193" s="30" t="str">
        <f t="shared" si="17"/>
        <v>No</v>
      </c>
    </row>
    <row r="194" spans="2:37" ht="13.8" x14ac:dyDescent="0.25">
      <c r="B194" s="101">
        <v>183</v>
      </c>
      <c r="C194" s="950"/>
      <c r="D194" s="119"/>
      <c r="E194" s="281" t="str">
        <f>IF(C194="","",VLOOKUP(C194,'G-7 WaterC'' Data'!$B$2:$G$8,2,FALSE))</f>
        <v/>
      </c>
      <c r="F194" s="282" t="str">
        <f>IFERROR(VLOOKUP(E194,'G-7 WaterC'' Data'!$C$4:$D$8,2,FALSE),"")</f>
        <v/>
      </c>
      <c r="G194" s="105"/>
      <c r="H194" s="282" t="str">
        <f>IFERROR(INDEX('G-7 WaterC'' Data'!$H$4:$L$8,MATCH(C194,'G-7 WaterC'' Data'!$B$4:$B$8,0),MATCH(G194,'G-7 WaterC'' Data'!$H$3:$L$3,0)),"")</f>
        <v/>
      </c>
      <c r="I194" s="52"/>
      <c r="J194" s="289" t="str">
        <f>IF(I194="","",IF(VLOOKUP(I194,'G-7 WaterC'' Data'!$AK$4:$AM$6,2,FALSE)=0,"Spatial Data Missing ⚠",VLOOKUP(I194,'G-7 WaterC'' Data'!$AK$4:$AM$6,2,FALSE)))</f>
        <v/>
      </c>
      <c r="K194" s="282" t="str">
        <f>IF(I194="","",IF(VLOOKUP(I194,'G-7 WaterC'' Data'!$AK$4:$AM$6,3,FALSE)=0,"Spatial Data Missing ⚠",VLOOKUP(I194,'G-7 WaterC'' Data'!$AK$4:$AM$6,3,FALSE)))</f>
        <v/>
      </c>
      <c r="L194" s="281" t="str">
        <f>IFERROR(INDEX('G-7 WaterC'' Data'!$O$3:$O$7,MATCH(G194,'G-7 WaterC'' Data'!$N$3:$N$7,0)),"")</f>
        <v/>
      </c>
      <c r="M194" s="58"/>
      <c r="N194" s="137"/>
      <c r="O194" s="289" t="str">
        <f t="shared" si="12"/>
        <v/>
      </c>
      <c r="P194" s="302" t="str">
        <f t="shared" si="13"/>
        <v/>
      </c>
      <c r="Q194" s="340" t="str">
        <f>IFERROR(IF(P194="Check Data ⚠","Check Data ⚠",VLOOKUP(P194,'G-4 Temporal multipliers'!$A$4:$C$37,3,FALSE)),"")</f>
        <v/>
      </c>
      <c r="R194" s="281" t="str">
        <f>IF(C194="","",VLOOKUP(C194,'G-7 WaterC'' Data'!$B$4:$G$8,4,FALSE))</f>
        <v/>
      </c>
      <c r="S194" s="289" t="str">
        <f t="shared" si="14"/>
        <v/>
      </c>
      <c r="T194" s="320" t="str">
        <f t="shared" si="15"/>
        <v/>
      </c>
      <c r="U194" s="282" t="str">
        <f>IF(C194="","",VLOOKUP(T194,'G-3 Multipliers'!$P$2:$Q$6,2,FALSE))</f>
        <v/>
      </c>
      <c r="V194" s="106"/>
      <c r="W194" s="282" t="str">
        <f>IF(V194="","",IF(AND(V194="N/A - Culvert",C194&lt;&gt;"Culvert"),"Not possible ▲",IF(AND(C194="Culvert",V194&lt;&gt;"N/A - Culvert"),"Not possible ▲",IF(VLOOKUP(V194,'G-7 WaterC'' Data'!$AA$4:$AB$7,2,FALSE)=0,"Spatial Data Missing ⚠",VLOOKUP(V194,'G-7 WaterC'' Data'!$AA$4:$AB$7,2,FALSE)))))</f>
        <v/>
      </c>
      <c r="X194" s="56"/>
      <c r="Y194" s="282" t="str">
        <f>IF(X194="","",IF(AND(X194="N/A - Culvert", C194&lt;&gt;"Culvert"), "Not possible ▲",IF(AND(C194="Culvert",X194&lt;&gt;"N/A - Culvert"),"Not possible ▲",IF(VLOOKUP(X194,'G-7 WaterC'' Data'!$AD$4:$AE$14,2,FALSE)=0,"Enrcoachment Data Missing ⚠",VLOOKUP(X194,'G-7 WaterC'' Data'!$AD$4:$AE$14,2,FALSE)))))</f>
        <v/>
      </c>
      <c r="Z194" s="323" t="str">
        <f t="shared" si="16"/>
        <v/>
      </c>
      <c r="AA194" s="105"/>
      <c r="AB194" s="119"/>
      <c r="AC194" s="108"/>
      <c r="AH194" s="30" t="str">
        <f>IFERROR(INDEX('G-7 WaterC'' Data'!$AZ$3:$AZ$7,MATCH(C194,'G-7 WaterC'' Data'!$AY$3:$AY$7,0)),"")</f>
        <v/>
      </c>
      <c r="AK194" s="30" t="str">
        <f t="shared" si="17"/>
        <v>No</v>
      </c>
    </row>
    <row r="195" spans="2:37" ht="13.8" x14ac:dyDescent="0.25">
      <c r="B195" s="101">
        <v>184</v>
      </c>
      <c r="C195" s="950"/>
      <c r="D195" s="119"/>
      <c r="E195" s="281" t="str">
        <f>IF(C195="","",VLOOKUP(C195,'G-7 WaterC'' Data'!$B$2:$G$8,2,FALSE))</f>
        <v/>
      </c>
      <c r="F195" s="282" t="str">
        <f>IFERROR(VLOOKUP(E195,'G-7 WaterC'' Data'!$C$4:$D$8,2,FALSE),"")</f>
        <v/>
      </c>
      <c r="G195" s="105"/>
      <c r="H195" s="282" t="str">
        <f>IFERROR(INDEX('G-7 WaterC'' Data'!$H$4:$L$8,MATCH(C195,'G-7 WaterC'' Data'!$B$4:$B$8,0),MATCH(G195,'G-7 WaterC'' Data'!$H$3:$L$3,0)),"")</f>
        <v/>
      </c>
      <c r="I195" s="52"/>
      <c r="J195" s="289" t="str">
        <f>IF(I195="","",IF(VLOOKUP(I195,'G-7 WaterC'' Data'!$AK$4:$AM$6,2,FALSE)=0,"Spatial Data Missing ⚠",VLOOKUP(I195,'G-7 WaterC'' Data'!$AK$4:$AM$6,2,FALSE)))</f>
        <v/>
      </c>
      <c r="K195" s="282" t="str">
        <f>IF(I195="","",IF(VLOOKUP(I195,'G-7 WaterC'' Data'!$AK$4:$AM$6,3,FALSE)=0,"Spatial Data Missing ⚠",VLOOKUP(I195,'G-7 WaterC'' Data'!$AK$4:$AM$6,3,FALSE)))</f>
        <v/>
      </c>
      <c r="L195" s="281" t="str">
        <f>IFERROR(INDEX('G-7 WaterC'' Data'!$O$3:$O$7,MATCH(G195,'G-7 WaterC'' Data'!$N$3:$N$7,0)),"")</f>
        <v/>
      </c>
      <c r="M195" s="58"/>
      <c r="N195" s="137"/>
      <c r="O195" s="289" t="str">
        <f t="shared" si="12"/>
        <v/>
      </c>
      <c r="P195" s="302" t="str">
        <f t="shared" si="13"/>
        <v/>
      </c>
      <c r="Q195" s="340" t="str">
        <f>IFERROR(IF(P195="Check Data ⚠","Check Data ⚠",VLOOKUP(P195,'G-4 Temporal multipliers'!$A$4:$C$37,3,FALSE)),"")</f>
        <v/>
      </c>
      <c r="R195" s="281" t="str">
        <f>IF(C195="","",VLOOKUP(C195,'G-7 WaterC'' Data'!$B$4:$G$8,4,FALSE))</f>
        <v/>
      </c>
      <c r="S195" s="289" t="str">
        <f t="shared" si="14"/>
        <v/>
      </c>
      <c r="T195" s="320" t="str">
        <f t="shared" si="15"/>
        <v/>
      </c>
      <c r="U195" s="282" t="str">
        <f>IF(C195="","",VLOOKUP(T195,'G-3 Multipliers'!$P$2:$Q$6,2,FALSE))</f>
        <v/>
      </c>
      <c r="V195" s="106"/>
      <c r="W195" s="282" t="str">
        <f>IF(V195="","",IF(AND(V195="N/A - Culvert",C195&lt;&gt;"Culvert"),"Not possible ▲",IF(AND(C195="Culvert",V195&lt;&gt;"N/A - Culvert"),"Not possible ▲",IF(VLOOKUP(V195,'G-7 WaterC'' Data'!$AA$4:$AB$7,2,FALSE)=0,"Spatial Data Missing ⚠",VLOOKUP(V195,'G-7 WaterC'' Data'!$AA$4:$AB$7,2,FALSE)))))</f>
        <v/>
      </c>
      <c r="X195" s="56"/>
      <c r="Y195" s="282" t="str">
        <f>IF(X195="","",IF(AND(X195="N/A - Culvert", C195&lt;&gt;"Culvert"), "Not possible ▲",IF(AND(C195="Culvert",X195&lt;&gt;"N/A - Culvert"),"Not possible ▲",IF(VLOOKUP(X195,'G-7 WaterC'' Data'!$AD$4:$AE$14,2,FALSE)=0,"Enrcoachment Data Missing ⚠",VLOOKUP(X195,'G-7 WaterC'' Data'!$AD$4:$AE$14,2,FALSE)))))</f>
        <v/>
      </c>
      <c r="Z195" s="323" t="str">
        <f t="shared" si="16"/>
        <v/>
      </c>
      <c r="AA195" s="105"/>
      <c r="AB195" s="119"/>
      <c r="AC195" s="108"/>
      <c r="AH195" s="30" t="str">
        <f>IFERROR(INDEX('G-7 WaterC'' Data'!$AZ$3:$AZ$7,MATCH(C195,'G-7 WaterC'' Data'!$AY$3:$AY$7,0)),"")</f>
        <v/>
      </c>
      <c r="AK195" s="30" t="str">
        <f t="shared" si="17"/>
        <v>No</v>
      </c>
    </row>
    <row r="196" spans="2:37" ht="13.8" x14ac:dyDescent="0.25">
      <c r="B196" s="101">
        <v>185</v>
      </c>
      <c r="C196" s="950"/>
      <c r="D196" s="119"/>
      <c r="E196" s="281" t="str">
        <f>IF(C196="","",VLOOKUP(C196,'G-7 WaterC'' Data'!$B$2:$G$8,2,FALSE))</f>
        <v/>
      </c>
      <c r="F196" s="282" t="str">
        <f>IFERROR(VLOOKUP(E196,'G-7 WaterC'' Data'!$C$4:$D$8,2,FALSE),"")</f>
        <v/>
      </c>
      <c r="G196" s="105"/>
      <c r="H196" s="282" t="str">
        <f>IFERROR(INDEX('G-7 WaterC'' Data'!$H$4:$L$8,MATCH(C196,'G-7 WaterC'' Data'!$B$4:$B$8,0),MATCH(G196,'G-7 WaterC'' Data'!$H$3:$L$3,0)),"")</f>
        <v/>
      </c>
      <c r="I196" s="52"/>
      <c r="J196" s="289" t="str">
        <f>IF(I196="","",IF(VLOOKUP(I196,'G-7 WaterC'' Data'!$AK$4:$AM$6,2,FALSE)=0,"Spatial Data Missing ⚠",VLOOKUP(I196,'G-7 WaterC'' Data'!$AK$4:$AM$6,2,FALSE)))</f>
        <v/>
      </c>
      <c r="K196" s="282" t="str">
        <f>IF(I196="","",IF(VLOOKUP(I196,'G-7 WaterC'' Data'!$AK$4:$AM$6,3,FALSE)=0,"Spatial Data Missing ⚠",VLOOKUP(I196,'G-7 WaterC'' Data'!$AK$4:$AM$6,3,FALSE)))</f>
        <v/>
      </c>
      <c r="L196" s="281" t="str">
        <f>IFERROR(INDEX('G-7 WaterC'' Data'!$O$3:$O$7,MATCH(G196,'G-7 WaterC'' Data'!$N$3:$N$7,0)),"")</f>
        <v/>
      </c>
      <c r="M196" s="58"/>
      <c r="N196" s="137"/>
      <c r="O196" s="289" t="str">
        <f t="shared" si="12"/>
        <v/>
      </c>
      <c r="P196" s="302" t="str">
        <f t="shared" si="13"/>
        <v/>
      </c>
      <c r="Q196" s="340" t="str">
        <f>IFERROR(IF(P196="Check Data ⚠","Check Data ⚠",VLOOKUP(P196,'G-4 Temporal multipliers'!$A$4:$C$37,3,FALSE)),"")</f>
        <v/>
      </c>
      <c r="R196" s="281" t="str">
        <f>IF(C196="","",VLOOKUP(C196,'G-7 WaterC'' Data'!$B$4:$G$8,4,FALSE))</f>
        <v/>
      </c>
      <c r="S196" s="289" t="str">
        <f t="shared" si="14"/>
        <v/>
      </c>
      <c r="T196" s="320" t="str">
        <f t="shared" si="15"/>
        <v/>
      </c>
      <c r="U196" s="282" t="str">
        <f>IF(C196="","",VLOOKUP(T196,'G-3 Multipliers'!$P$2:$Q$6,2,FALSE))</f>
        <v/>
      </c>
      <c r="V196" s="106"/>
      <c r="W196" s="282" t="str">
        <f>IF(V196="","",IF(AND(V196="N/A - Culvert",C196&lt;&gt;"Culvert"),"Not possible ▲",IF(AND(C196="Culvert",V196&lt;&gt;"N/A - Culvert"),"Not possible ▲",IF(VLOOKUP(V196,'G-7 WaterC'' Data'!$AA$4:$AB$7,2,FALSE)=0,"Spatial Data Missing ⚠",VLOOKUP(V196,'G-7 WaterC'' Data'!$AA$4:$AB$7,2,FALSE)))))</f>
        <v/>
      </c>
      <c r="X196" s="56"/>
      <c r="Y196" s="282" t="str">
        <f>IF(X196="","",IF(AND(X196="N/A - Culvert", C196&lt;&gt;"Culvert"), "Not possible ▲",IF(AND(C196="Culvert",X196&lt;&gt;"N/A - Culvert"),"Not possible ▲",IF(VLOOKUP(X196,'G-7 WaterC'' Data'!$AD$4:$AE$14,2,FALSE)=0,"Enrcoachment Data Missing ⚠",VLOOKUP(X196,'G-7 WaterC'' Data'!$AD$4:$AE$14,2,FALSE)))))</f>
        <v/>
      </c>
      <c r="Z196" s="323" t="str">
        <f t="shared" si="16"/>
        <v/>
      </c>
      <c r="AA196" s="105"/>
      <c r="AB196" s="119"/>
      <c r="AC196" s="108"/>
      <c r="AH196" s="30" t="str">
        <f>IFERROR(INDEX('G-7 WaterC'' Data'!$AZ$3:$AZ$7,MATCH(C196,'G-7 WaterC'' Data'!$AY$3:$AY$7,0)),"")</f>
        <v/>
      </c>
      <c r="AK196" s="30" t="str">
        <f t="shared" si="17"/>
        <v>No</v>
      </c>
    </row>
    <row r="197" spans="2:37" ht="13.8" x14ac:dyDescent="0.25">
      <c r="B197" s="101">
        <v>186</v>
      </c>
      <c r="C197" s="950"/>
      <c r="D197" s="119"/>
      <c r="E197" s="281" t="str">
        <f>IF(C197="","",VLOOKUP(C197,'G-7 WaterC'' Data'!$B$2:$G$8,2,FALSE))</f>
        <v/>
      </c>
      <c r="F197" s="282" t="str">
        <f>IFERROR(VLOOKUP(E197,'G-7 WaterC'' Data'!$C$4:$D$8,2,FALSE),"")</f>
        <v/>
      </c>
      <c r="G197" s="105"/>
      <c r="H197" s="282" t="str">
        <f>IFERROR(INDEX('G-7 WaterC'' Data'!$H$4:$L$8,MATCH(C197,'G-7 WaterC'' Data'!$B$4:$B$8,0),MATCH(G197,'G-7 WaterC'' Data'!$H$3:$L$3,0)),"")</f>
        <v/>
      </c>
      <c r="I197" s="52"/>
      <c r="J197" s="289" t="str">
        <f>IF(I197="","",IF(VLOOKUP(I197,'G-7 WaterC'' Data'!$AK$4:$AM$6,2,FALSE)=0,"Spatial Data Missing ⚠",VLOOKUP(I197,'G-7 WaterC'' Data'!$AK$4:$AM$6,2,FALSE)))</f>
        <v/>
      </c>
      <c r="K197" s="282" t="str">
        <f>IF(I197="","",IF(VLOOKUP(I197,'G-7 WaterC'' Data'!$AK$4:$AM$6,3,FALSE)=0,"Spatial Data Missing ⚠",VLOOKUP(I197,'G-7 WaterC'' Data'!$AK$4:$AM$6,3,FALSE)))</f>
        <v/>
      </c>
      <c r="L197" s="281" t="str">
        <f>IFERROR(INDEX('G-7 WaterC'' Data'!$O$3:$O$7,MATCH(G197,'G-7 WaterC'' Data'!$N$3:$N$7,0)),"")</f>
        <v/>
      </c>
      <c r="M197" s="58"/>
      <c r="N197" s="137"/>
      <c r="O197" s="289" t="str">
        <f t="shared" si="12"/>
        <v/>
      </c>
      <c r="P197" s="302" t="str">
        <f t="shared" si="13"/>
        <v/>
      </c>
      <c r="Q197" s="340" t="str">
        <f>IFERROR(IF(P197="Check Data ⚠","Check Data ⚠",VLOOKUP(P197,'G-4 Temporal multipliers'!$A$4:$C$37,3,FALSE)),"")</f>
        <v/>
      </c>
      <c r="R197" s="281" t="str">
        <f>IF(C197="","",VLOOKUP(C197,'G-7 WaterC'' Data'!$B$4:$G$8,4,FALSE))</f>
        <v/>
      </c>
      <c r="S197" s="289" t="str">
        <f t="shared" si="14"/>
        <v/>
      </c>
      <c r="T197" s="320" t="str">
        <f t="shared" si="15"/>
        <v/>
      </c>
      <c r="U197" s="282" t="str">
        <f>IF(C197="","",VLOOKUP(T197,'G-3 Multipliers'!$P$2:$Q$6,2,FALSE))</f>
        <v/>
      </c>
      <c r="V197" s="106"/>
      <c r="W197" s="282" t="str">
        <f>IF(V197="","",IF(AND(V197="N/A - Culvert",C197&lt;&gt;"Culvert"),"Not possible ▲",IF(AND(C197="Culvert",V197&lt;&gt;"N/A - Culvert"),"Not possible ▲",IF(VLOOKUP(V197,'G-7 WaterC'' Data'!$AA$4:$AB$7,2,FALSE)=0,"Spatial Data Missing ⚠",VLOOKUP(V197,'G-7 WaterC'' Data'!$AA$4:$AB$7,2,FALSE)))))</f>
        <v/>
      </c>
      <c r="X197" s="56"/>
      <c r="Y197" s="282" t="str">
        <f>IF(X197="","",IF(AND(X197="N/A - Culvert", C197&lt;&gt;"Culvert"), "Not possible ▲",IF(AND(C197="Culvert",X197&lt;&gt;"N/A - Culvert"),"Not possible ▲",IF(VLOOKUP(X197,'G-7 WaterC'' Data'!$AD$4:$AE$14,2,FALSE)=0,"Enrcoachment Data Missing ⚠",VLOOKUP(X197,'G-7 WaterC'' Data'!$AD$4:$AE$14,2,FALSE)))))</f>
        <v/>
      </c>
      <c r="Z197" s="323" t="str">
        <f t="shared" si="16"/>
        <v/>
      </c>
      <c r="AA197" s="105"/>
      <c r="AB197" s="119"/>
      <c r="AC197" s="108"/>
      <c r="AH197" s="30" t="str">
        <f>IFERROR(INDEX('G-7 WaterC'' Data'!$AZ$3:$AZ$7,MATCH(C197,'G-7 WaterC'' Data'!$AY$3:$AY$7,0)),"")</f>
        <v/>
      </c>
      <c r="AK197" s="30" t="str">
        <f t="shared" si="17"/>
        <v>No</v>
      </c>
    </row>
    <row r="198" spans="2:37" ht="13.8" x14ac:dyDescent="0.25">
      <c r="B198" s="101">
        <v>187</v>
      </c>
      <c r="C198" s="950"/>
      <c r="D198" s="119"/>
      <c r="E198" s="281" t="str">
        <f>IF(C198="","",VLOOKUP(C198,'G-7 WaterC'' Data'!$B$2:$G$8,2,FALSE))</f>
        <v/>
      </c>
      <c r="F198" s="282" t="str">
        <f>IFERROR(VLOOKUP(E198,'G-7 WaterC'' Data'!$C$4:$D$8,2,FALSE),"")</f>
        <v/>
      </c>
      <c r="G198" s="105"/>
      <c r="H198" s="282" t="str">
        <f>IFERROR(INDEX('G-7 WaterC'' Data'!$H$4:$L$8,MATCH(C198,'G-7 WaterC'' Data'!$B$4:$B$8,0),MATCH(G198,'G-7 WaterC'' Data'!$H$3:$L$3,0)),"")</f>
        <v/>
      </c>
      <c r="I198" s="52"/>
      <c r="J198" s="289" t="str">
        <f>IF(I198="","",IF(VLOOKUP(I198,'G-7 WaterC'' Data'!$AK$4:$AM$6,2,FALSE)=0,"Spatial Data Missing ⚠",VLOOKUP(I198,'G-7 WaterC'' Data'!$AK$4:$AM$6,2,FALSE)))</f>
        <v/>
      </c>
      <c r="K198" s="282" t="str">
        <f>IF(I198="","",IF(VLOOKUP(I198,'G-7 WaterC'' Data'!$AK$4:$AM$6,3,FALSE)=0,"Spatial Data Missing ⚠",VLOOKUP(I198,'G-7 WaterC'' Data'!$AK$4:$AM$6,3,FALSE)))</f>
        <v/>
      </c>
      <c r="L198" s="281" t="str">
        <f>IFERROR(INDEX('G-7 WaterC'' Data'!$O$3:$O$7,MATCH(G198,'G-7 WaterC'' Data'!$N$3:$N$7,0)),"")</f>
        <v/>
      </c>
      <c r="M198" s="58"/>
      <c r="N198" s="137"/>
      <c r="O198" s="289" t="str">
        <f t="shared" si="12"/>
        <v/>
      </c>
      <c r="P198" s="302" t="str">
        <f t="shared" si="13"/>
        <v/>
      </c>
      <c r="Q198" s="340" t="str">
        <f>IFERROR(IF(P198="Check Data ⚠","Check Data ⚠",VLOOKUP(P198,'G-4 Temporal multipliers'!$A$4:$C$37,3,FALSE)),"")</f>
        <v/>
      </c>
      <c r="R198" s="281" t="str">
        <f>IF(C198="","",VLOOKUP(C198,'G-7 WaterC'' Data'!$B$4:$G$8,4,FALSE))</f>
        <v/>
      </c>
      <c r="S198" s="289" t="str">
        <f t="shared" si="14"/>
        <v/>
      </c>
      <c r="T198" s="320" t="str">
        <f t="shared" si="15"/>
        <v/>
      </c>
      <c r="U198" s="282" t="str">
        <f>IF(C198="","",VLOOKUP(T198,'G-3 Multipliers'!$P$2:$Q$6,2,FALSE))</f>
        <v/>
      </c>
      <c r="V198" s="106"/>
      <c r="W198" s="282" t="str">
        <f>IF(V198="","",IF(AND(V198="N/A - Culvert",C198&lt;&gt;"Culvert"),"Not possible ▲",IF(AND(C198="Culvert",V198&lt;&gt;"N/A - Culvert"),"Not possible ▲",IF(VLOOKUP(V198,'G-7 WaterC'' Data'!$AA$4:$AB$7,2,FALSE)=0,"Spatial Data Missing ⚠",VLOOKUP(V198,'G-7 WaterC'' Data'!$AA$4:$AB$7,2,FALSE)))))</f>
        <v/>
      </c>
      <c r="X198" s="56"/>
      <c r="Y198" s="282" t="str">
        <f>IF(X198="","",IF(AND(X198="N/A - Culvert", C198&lt;&gt;"Culvert"), "Not possible ▲",IF(AND(C198="Culvert",X198&lt;&gt;"N/A - Culvert"),"Not possible ▲",IF(VLOOKUP(X198,'G-7 WaterC'' Data'!$AD$4:$AE$14,2,FALSE)=0,"Enrcoachment Data Missing ⚠",VLOOKUP(X198,'G-7 WaterC'' Data'!$AD$4:$AE$14,2,FALSE)))))</f>
        <v/>
      </c>
      <c r="Z198" s="323" t="str">
        <f t="shared" si="16"/>
        <v/>
      </c>
      <c r="AA198" s="105"/>
      <c r="AB198" s="119"/>
      <c r="AC198" s="108"/>
      <c r="AH198" s="30" t="str">
        <f>IFERROR(INDEX('G-7 WaterC'' Data'!$AZ$3:$AZ$7,MATCH(C198,'G-7 WaterC'' Data'!$AY$3:$AY$7,0)),"")</f>
        <v/>
      </c>
      <c r="AK198" s="30" t="str">
        <f t="shared" si="17"/>
        <v>No</v>
      </c>
    </row>
    <row r="199" spans="2:37" ht="13.8" x14ac:dyDescent="0.25">
      <c r="B199" s="101">
        <v>188</v>
      </c>
      <c r="C199" s="950"/>
      <c r="D199" s="119"/>
      <c r="E199" s="281" t="str">
        <f>IF(C199="","",VLOOKUP(C199,'G-7 WaterC'' Data'!$B$2:$G$8,2,FALSE))</f>
        <v/>
      </c>
      <c r="F199" s="282" t="str">
        <f>IFERROR(VLOOKUP(E199,'G-7 WaterC'' Data'!$C$4:$D$8,2,FALSE),"")</f>
        <v/>
      </c>
      <c r="G199" s="105"/>
      <c r="H199" s="282" t="str">
        <f>IFERROR(INDEX('G-7 WaterC'' Data'!$H$4:$L$8,MATCH(C199,'G-7 WaterC'' Data'!$B$4:$B$8,0),MATCH(G199,'G-7 WaterC'' Data'!$H$3:$L$3,0)),"")</f>
        <v/>
      </c>
      <c r="I199" s="52"/>
      <c r="J199" s="289" t="str">
        <f>IF(I199="","",IF(VLOOKUP(I199,'G-7 WaterC'' Data'!$AK$4:$AM$6,2,FALSE)=0,"Spatial Data Missing ⚠",VLOOKUP(I199,'G-7 WaterC'' Data'!$AK$4:$AM$6,2,FALSE)))</f>
        <v/>
      </c>
      <c r="K199" s="282" t="str">
        <f>IF(I199="","",IF(VLOOKUP(I199,'G-7 WaterC'' Data'!$AK$4:$AM$6,3,FALSE)=0,"Spatial Data Missing ⚠",VLOOKUP(I199,'G-7 WaterC'' Data'!$AK$4:$AM$6,3,FALSE)))</f>
        <v/>
      </c>
      <c r="L199" s="281" t="str">
        <f>IFERROR(INDEX('G-7 WaterC'' Data'!$O$3:$O$7,MATCH(G199,'G-7 WaterC'' Data'!$N$3:$N$7,0)),"")</f>
        <v/>
      </c>
      <c r="M199" s="58"/>
      <c r="N199" s="137"/>
      <c r="O199" s="289" t="str">
        <f t="shared" si="12"/>
        <v/>
      </c>
      <c r="P199" s="302" t="str">
        <f t="shared" si="13"/>
        <v/>
      </c>
      <c r="Q199" s="340" t="str">
        <f>IFERROR(IF(P199="Check Data ⚠","Check Data ⚠",VLOOKUP(P199,'G-4 Temporal multipliers'!$A$4:$C$37,3,FALSE)),"")</f>
        <v/>
      </c>
      <c r="R199" s="281" t="str">
        <f>IF(C199="","",VLOOKUP(C199,'G-7 WaterC'' Data'!$B$4:$G$8,4,FALSE))</f>
        <v/>
      </c>
      <c r="S199" s="289" t="str">
        <f t="shared" si="14"/>
        <v/>
      </c>
      <c r="T199" s="320" t="str">
        <f t="shared" si="15"/>
        <v/>
      </c>
      <c r="U199" s="282" t="str">
        <f>IF(C199="","",VLOOKUP(T199,'G-3 Multipliers'!$P$2:$Q$6,2,FALSE))</f>
        <v/>
      </c>
      <c r="V199" s="106"/>
      <c r="W199" s="282" t="str">
        <f>IF(V199="","",IF(AND(V199="N/A - Culvert",C199&lt;&gt;"Culvert"),"Not possible ▲",IF(AND(C199="Culvert",V199&lt;&gt;"N/A - Culvert"),"Not possible ▲",IF(VLOOKUP(V199,'G-7 WaterC'' Data'!$AA$4:$AB$7,2,FALSE)=0,"Spatial Data Missing ⚠",VLOOKUP(V199,'G-7 WaterC'' Data'!$AA$4:$AB$7,2,FALSE)))))</f>
        <v/>
      </c>
      <c r="X199" s="56"/>
      <c r="Y199" s="282" t="str">
        <f>IF(X199="","",IF(AND(X199="N/A - Culvert", C199&lt;&gt;"Culvert"), "Not possible ▲",IF(AND(C199="Culvert",X199&lt;&gt;"N/A - Culvert"),"Not possible ▲",IF(VLOOKUP(X199,'G-7 WaterC'' Data'!$AD$4:$AE$14,2,FALSE)=0,"Enrcoachment Data Missing ⚠",VLOOKUP(X199,'G-7 WaterC'' Data'!$AD$4:$AE$14,2,FALSE)))))</f>
        <v/>
      </c>
      <c r="Z199" s="323" t="str">
        <f t="shared" si="16"/>
        <v/>
      </c>
      <c r="AA199" s="105"/>
      <c r="AB199" s="119"/>
      <c r="AC199" s="108"/>
      <c r="AH199" s="30" t="str">
        <f>IFERROR(INDEX('G-7 WaterC'' Data'!$AZ$3:$AZ$7,MATCH(C199,'G-7 WaterC'' Data'!$AY$3:$AY$7,0)),"")</f>
        <v/>
      </c>
      <c r="AK199" s="30" t="str">
        <f t="shared" si="17"/>
        <v>No</v>
      </c>
    </row>
    <row r="200" spans="2:37" ht="13.8" x14ac:dyDescent="0.25">
      <c r="B200" s="101">
        <v>189</v>
      </c>
      <c r="C200" s="950"/>
      <c r="D200" s="119"/>
      <c r="E200" s="281" t="str">
        <f>IF(C200="","",VLOOKUP(C200,'G-7 WaterC'' Data'!$B$2:$G$8,2,FALSE))</f>
        <v/>
      </c>
      <c r="F200" s="282" t="str">
        <f>IFERROR(VLOOKUP(E200,'G-7 WaterC'' Data'!$C$4:$D$8,2,FALSE),"")</f>
        <v/>
      </c>
      <c r="G200" s="105"/>
      <c r="H200" s="282" t="str">
        <f>IFERROR(INDEX('G-7 WaterC'' Data'!$H$4:$L$8,MATCH(C200,'G-7 WaterC'' Data'!$B$4:$B$8,0),MATCH(G200,'G-7 WaterC'' Data'!$H$3:$L$3,0)),"")</f>
        <v/>
      </c>
      <c r="I200" s="52"/>
      <c r="J200" s="289" t="str">
        <f>IF(I200="","",IF(VLOOKUP(I200,'G-7 WaterC'' Data'!$AK$4:$AM$6,2,FALSE)=0,"Spatial Data Missing ⚠",VLOOKUP(I200,'G-7 WaterC'' Data'!$AK$4:$AM$6,2,FALSE)))</f>
        <v/>
      </c>
      <c r="K200" s="282" t="str">
        <f>IF(I200="","",IF(VLOOKUP(I200,'G-7 WaterC'' Data'!$AK$4:$AM$6,3,FALSE)=0,"Spatial Data Missing ⚠",VLOOKUP(I200,'G-7 WaterC'' Data'!$AK$4:$AM$6,3,FALSE)))</f>
        <v/>
      </c>
      <c r="L200" s="281" t="str">
        <f>IFERROR(INDEX('G-7 WaterC'' Data'!$O$3:$O$7,MATCH(G200,'G-7 WaterC'' Data'!$N$3:$N$7,0)),"")</f>
        <v/>
      </c>
      <c r="M200" s="58"/>
      <c r="N200" s="137"/>
      <c r="O200" s="289" t="str">
        <f t="shared" si="12"/>
        <v/>
      </c>
      <c r="P200" s="302" t="str">
        <f t="shared" si="13"/>
        <v/>
      </c>
      <c r="Q200" s="340" t="str">
        <f>IFERROR(IF(P200="Check Data ⚠","Check Data ⚠",VLOOKUP(P200,'G-4 Temporal multipliers'!$A$4:$C$37,3,FALSE)),"")</f>
        <v/>
      </c>
      <c r="R200" s="281" t="str">
        <f>IF(C200="","",VLOOKUP(C200,'G-7 WaterC'' Data'!$B$4:$G$8,4,FALSE))</f>
        <v/>
      </c>
      <c r="S200" s="289" t="str">
        <f t="shared" si="14"/>
        <v/>
      </c>
      <c r="T200" s="320" t="str">
        <f t="shared" si="15"/>
        <v/>
      </c>
      <c r="U200" s="282" t="str">
        <f>IF(C200="","",VLOOKUP(T200,'G-3 Multipliers'!$P$2:$Q$6,2,FALSE))</f>
        <v/>
      </c>
      <c r="V200" s="106"/>
      <c r="W200" s="282" t="str">
        <f>IF(V200="","",IF(AND(V200="N/A - Culvert",C200&lt;&gt;"Culvert"),"Not possible ▲",IF(AND(C200="Culvert",V200&lt;&gt;"N/A - Culvert"),"Not possible ▲",IF(VLOOKUP(V200,'G-7 WaterC'' Data'!$AA$4:$AB$7,2,FALSE)=0,"Spatial Data Missing ⚠",VLOOKUP(V200,'G-7 WaterC'' Data'!$AA$4:$AB$7,2,FALSE)))))</f>
        <v/>
      </c>
      <c r="X200" s="56"/>
      <c r="Y200" s="282" t="str">
        <f>IF(X200="","",IF(AND(X200="N/A - Culvert", C200&lt;&gt;"Culvert"), "Not possible ▲",IF(AND(C200="Culvert",X200&lt;&gt;"N/A - Culvert"),"Not possible ▲",IF(VLOOKUP(X200,'G-7 WaterC'' Data'!$AD$4:$AE$14,2,FALSE)=0,"Enrcoachment Data Missing ⚠",VLOOKUP(X200,'G-7 WaterC'' Data'!$AD$4:$AE$14,2,FALSE)))))</f>
        <v/>
      </c>
      <c r="Z200" s="323" t="str">
        <f t="shared" si="16"/>
        <v/>
      </c>
      <c r="AA200" s="105"/>
      <c r="AB200" s="119"/>
      <c r="AC200" s="108"/>
      <c r="AH200" s="30" t="str">
        <f>IFERROR(INDEX('G-7 WaterC'' Data'!$AZ$3:$AZ$7,MATCH(C200,'G-7 WaterC'' Data'!$AY$3:$AY$7,0)),"")</f>
        <v/>
      </c>
      <c r="AK200" s="30" t="str">
        <f t="shared" si="17"/>
        <v>No</v>
      </c>
    </row>
    <row r="201" spans="2:37" ht="13.8" x14ac:dyDescent="0.25">
      <c r="B201" s="101">
        <v>190</v>
      </c>
      <c r="C201" s="950"/>
      <c r="D201" s="119"/>
      <c r="E201" s="281" t="str">
        <f>IF(C201="","",VLOOKUP(C201,'G-7 WaterC'' Data'!$B$2:$G$8,2,FALSE))</f>
        <v/>
      </c>
      <c r="F201" s="282" t="str">
        <f>IFERROR(VLOOKUP(E201,'G-7 WaterC'' Data'!$C$4:$D$8,2,FALSE),"")</f>
        <v/>
      </c>
      <c r="G201" s="105"/>
      <c r="H201" s="282" t="str">
        <f>IFERROR(INDEX('G-7 WaterC'' Data'!$H$4:$L$8,MATCH(C201,'G-7 WaterC'' Data'!$B$4:$B$8,0),MATCH(G201,'G-7 WaterC'' Data'!$H$3:$L$3,0)),"")</f>
        <v/>
      </c>
      <c r="I201" s="52"/>
      <c r="J201" s="289" t="str">
        <f>IF(I201="","",IF(VLOOKUP(I201,'G-7 WaterC'' Data'!$AK$4:$AM$6,2,FALSE)=0,"Spatial Data Missing ⚠",VLOOKUP(I201,'G-7 WaterC'' Data'!$AK$4:$AM$6,2,FALSE)))</f>
        <v/>
      </c>
      <c r="K201" s="282" t="str">
        <f>IF(I201="","",IF(VLOOKUP(I201,'G-7 WaterC'' Data'!$AK$4:$AM$6,3,FALSE)=0,"Spatial Data Missing ⚠",VLOOKUP(I201,'G-7 WaterC'' Data'!$AK$4:$AM$6,3,FALSE)))</f>
        <v/>
      </c>
      <c r="L201" s="281" t="str">
        <f>IFERROR(INDEX('G-7 WaterC'' Data'!$O$3:$O$7,MATCH(G201,'G-7 WaterC'' Data'!$N$3:$N$7,0)),"")</f>
        <v/>
      </c>
      <c r="M201" s="58"/>
      <c r="N201" s="137"/>
      <c r="O201" s="289" t="str">
        <f t="shared" si="12"/>
        <v/>
      </c>
      <c r="P201" s="302" t="str">
        <f t="shared" si="13"/>
        <v/>
      </c>
      <c r="Q201" s="340" t="str">
        <f>IFERROR(IF(P201="Check Data ⚠","Check Data ⚠",VLOOKUP(P201,'G-4 Temporal multipliers'!$A$4:$C$37,3,FALSE)),"")</f>
        <v/>
      </c>
      <c r="R201" s="281" t="str">
        <f>IF(C201="","",VLOOKUP(C201,'G-7 WaterC'' Data'!$B$4:$G$8,4,FALSE))</f>
        <v/>
      </c>
      <c r="S201" s="289" t="str">
        <f t="shared" si="14"/>
        <v/>
      </c>
      <c r="T201" s="320" t="str">
        <f t="shared" si="15"/>
        <v/>
      </c>
      <c r="U201" s="282" t="str">
        <f>IF(C201="","",VLOOKUP(T201,'G-3 Multipliers'!$P$2:$Q$6,2,FALSE))</f>
        <v/>
      </c>
      <c r="V201" s="106"/>
      <c r="W201" s="282" t="str">
        <f>IF(V201="","",IF(AND(V201="N/A - Culvert",C201&lt;&gt;"Culvert"),"Not possible ▲",IF(AND(C201="Culvert",V201&lt;&gt;"N/A - Culvert"),"Not possible ▲",IF(VLOOKUP(V201,'G-7 WaterC'' Data'!$AA$4:$AB$7,2,FALSE)=0,"Spatial Data Missing ⚠",VLOOKUP(V201,'G-7 WaterC'' Data'!$AA$4:$AB$7,2,FALSE)))))</f>
        <v/>
      </c>
      <c r="X201" s="56"/>
      <c r="Y201" s="282" t="str">
        <f>IF(X201="","",IF(AND(X201="N/A - Culvert", C201&lt;&gt;"Culvert"), "Not possible ▲",IF(AND(C201="Culvert",X201&lt;&gt;"N/A - Culvert"),"Not possible ▲",IF(VLOOKUP(X201,'G-7 WaterC'' Data'!$AD$4:$AE$14,2,FALSE)=0,"Enrcoachment Data Missing ⚠",VLOOKUP(X201,'G-7 WaterC'' Data'!$AD$4:$AE$14,2,FALSE)))))</f>
        <v/>
      </c>
      <c r="Z201" s="323" t="str">
        <f t="shared" si="16"/>
        <v/>
      </c>
      <c r="AA201" s="105"/>
      <c r="AB201" s="119"/>
      <c r="AC201" s="108"/>
      <c r="AH201" s="30" t="str">
        <f>IFERROR(INDEX('G-7 WaterC'' Data'!$AZ$3:$AZ$7,MATCH(C201,'G-7 WaterC'' Data'!$AY$3:$AY$7,0)),"")</f>
        <v/>
      </c>
      <c r="AK201" s="30" t="str">
        <f t="shared" si="17"/>
        <v>No</v>
      </c>
    </row>
    <row r="202" spans="2:37" ht="13.8" x14ac:dyDescent="0.25">
      <c r="B202" s="101">
        <v>191</v>
      </c>
      <c r="C202" s="950"/>
      <c r="D202" s="119"/>
      <c r="E202" s="281" t="str">
        <f>IF(C202="","",VLOOKUP(C202,'G-7 WaterC'' Data'!$B$2:$G$8,2,FALSE))</f>
        <v/>
      </c>
      <c r="F202" s="282" t="str">
        <f>IFERROR(VLOOKUP(E202,'G-7 WaterC'' Data'!$C$4:$D$8,2,FALSE),"")</f>
        <v/>
      </c>
      <c r="G202" s="105"/>
      <c r="H202" s="282" t="str">
        <f>IFERROR(INDEX('G-7 WaterC'' Data'!$H$4:$L$8,MATCH(C202,'G-7 WaterC'' Data'!$B$4:$B$8,0),MATCH(G202,'G-7 WaterC'' Data'!$H$3:$L$3,0)),"")</f>
        <v/>
      </c>
      <c r="I202" s="52"/>
      <c r="J202" s="289" t="str">
        <f>IF(I202="","",IF(VLOOKUP(I202,'G-7 WaterC'' Data'!$AK$4:$AM$6,2,FALSE)=0,"Spatial Data Missing ⚠",VLOOKUP(I202,'G-7 WaterC'' Data'!$AK$4:$AM$6,2,FALSE)))</f>
        <v/>
      </c>
      <c r="K202" s="282" t="str">
        <f>IF(I202="","",IF(VLOOKUP(I202,'G-7 WaterC'' Data'!$AK$4:$AM$6,3,FALSE)=0,"Spatial Data Missing ⚠",VLOOKUP(I202,'G-7 WaterC'' Data'!$AK$4:$AM$6,3,FALSE)))</f>
        <v/>
      </c>
      <c r="L202" s="281" t="str">
        <f>IFERROR(INDEX('G-7 WaterC'' Data'!$O$3:$O$7,MATCH(G202,'G-7 WaterC'' Data'!$N$3:$N$7,0)),"")</f>
        <v/>
      </c>
      <c r="M202" s="58"/>
      <c r="N202" s="137"/>
      <c r="O202" s="289" t="str">
        <f t="shared" si="12"/>
        <v/>
      </c>
      <c r="P202" s="302" t="str">
        <f t="shared" si="13"/>
        <v/>
      </c>
      <c r="Q202" s="340" t="str">
        <f>IFERROR(IF(P202="Check Data ⚠","Check Data ⚠",VLOOKUP(P202,'G-4 Temporal multipliers'!$A$4:$C$37,3,FALSE)),"")</f>
        <v/>
      </c>
      <c r="R202" s="281" t="str">
        <f>IF(C202="","",VLOOKUP(C202,'G-7 WaterC'' Data'!$B$4:$G$8,4,FALSE))</f>
        <v/>
      </c>
      <c r="S202" s="289" t="str">
        <f t="shared" si="14"/>
        <v/>
      </c>
      <c r="T202" s="320" t="str">
        <f t="shared" si="15"/>
        <v/>
      </c>
      <c r="U202" s="282" t="str">
        <f>IF(C202="","",VLOOKUP(T202,'G-3 Multipliers'!$P$2:$Q$6,2,FALSE))</f>
        <v/>
      </c>
      <c r="V202" s="106"/>
      <c r="W202" s="282" t="str">
        <f>IF(V202="","",IF(AND(V202="N/A - Culvert",C202&lt;&gt;"Culvert"),"Not possible ▲",IF(AND(C202="Culvert",V202&lt;&gt;"N/A - Culvert"),"Not possible ▲",IF(VLOOKUP(V202,'G-7 WaterC'' Data'!$AA$4:$AB$7,2,FALSE)=0,"Spatial Data Missing ⚠",VLOOKUP(V202,'G-7 WaterC'' Data'!$AA$4:$AB$7,2,FALSE)))))</f>
        <v/>
      </c>
      <c r="X202" s="56"/>
      <c r="Y202" s="282" t="str">
        <f>IF(X202="","",IF(AND(X202="N/A - Culvert", C202&lt;&gt;"Culvert"), "Not possible ▲",IF(AND(C202="Culvert",X202&lt;&gt;"N/A - Culvert"),"Not possible ▲",IF(VLOOKUP(X202,'G-7 WaterC'' Data'!$AD$4:$AE$14,2,FALSE)=0,"Enrcoachment Data Missing ⚠",VLOOKUP(X202,'G-7 WaterC'' Data'!$AD$4:$AE$14,2,FALSE)))))</f>
        <v/>
      </c>
      <c r="Z202" s="323" t="str">
        <f t="shared" si="16"/>
        <v/>
      </c>
      <c r="AA202" s="105"/>
      <c r="AB202" s="119"/>
      <c r="AC202" s="108"/>
      <c r="AH202" s="30" t="str">
        <f>IFERROR(INDEX('G-7 WaterC'' Data'!$AZ$3:$AZ$7,MATCH(C202,'G-7 WaterC'' Data'!$AY$3:$AY$7,0)),"")</f>
        <v/>
      </c>
      <c r="AK202" s="30" t="str">
        <f t="shared" si="17"/>
        <v>No</v>
      </c>
    </row>
    <row r="203" spans="2:37" ht="13.8" x14ac:dyDescent="0.25">
      <c r="B203" s="101">
        <v>192</v>
      </c>
      <c r="C203" s="950"/>
      <c r="D203" s="119"/>
      <c r="E203" s="281" t="str">
        <f>IF(C203="","",VLOOKUP(C203,'G-7 WaterC'' Data'!$B$2:$G$8,2,FALSE))</f>
        <v/>
      </c>
      <c r="F203" s="282" t="str">
        <f>IFERROR(VLOOKUP(E203,'G-7 WaterC'' Data'!$C$4:$D$8,2,FALSE),"")</f>
        <v/>
      </c>
      <c r="G203" s="105"/>
      <c r="H203" s="282" t="str">
        <f>IFERROR(INDEX('G-7 WaterC'' Data'!$H$4:$L$8,MATCH(C203,'G-7 WaterC'' Data'!$B$4:$B$8,0),MATCH(G203,'G-7 WaterC'' Data'!$H$3:$L$3,0)),"")</f>
        <v/>
      </c>
      <c r="I203" s="52"/>
      <c r="J203" s="289" t="str">
        <f>IF(I203="","",IF(VLOOKUP(I203,'G-7 WaterC'' Data'!$AK$4:$AM$6,2,FALSE)=0,"Spatial Data Missing ⚠",VLOOKUP(I203,'G-7 WaterC'' Data'!$AK$4:$AM$6,2,FALSE)))</f>
        <v/>
      </c>
      <c r="K203" s="282" t="str">
        <f>IF(I203="","",IF(VLOOKUP(I203,'G-7 WaterC'' Data'!$AK$4:$AM$6,3,FALSE)=0,"Spatial Data Missing ⚠",VLOOKUP(I203,'G-7 WaterC'' Data'!$AK$4:$AM$6,3,FALSE)))</f>
        <v/>
      </c>
      <c r="L203" s="281" t="str">
        <f>IFERROR(INDEX('G-7 WaterC'' Data'!$O$3:$O$7,MATCH(G203,'G-7 WaterC'' Data'!$N$3:$N$7,0)),"")</f>
        <v/>
      </c>
      <c r="M203" s="58"/>
      <c r="N203" s="137"/>
      <c r="O203" s="289" t="str">
        <f t="shared" si="12"/>
        <v/>
      </c>
      <c r="P203" s="302" t="str">
        <f t="shared" si="13"/>
        <v/>
      </c>
      <c r="Q203" s="340" t="str">
        <f>IFERROR(IF(P203="Check Data ⚠","Check Data ⚠",VLOOKUP(P203,'G-4 Temporal multipliers'!$A$4:$C$37,3,FALSE)),"")</f>
        <v/>
      </c>
      <c r="R203" s="281" t="str">
        <f>IF(C203="","",VLOOKUP(C203,'G-7 WaterC'' Data'!$B$4:$G$8,4,FALSE))</f>
        <v/>
      </c>
      <c r="S203" s="289" t="str">
        <f t="shared" si="14"/>
        <v/>
      </c>
      <c r="T203" s="320" t="str">
        <f t="shared" si="15"/>
        <v/>
      </c>
      <c r="U203" s="282" t="str">
        <f>IF(C203="","",VLOOKUP(T203,'G-3 Multipliers'!$P$2:$Q$6,2,FALSE))</f>
        <v/>
      </c>
      <c r="V203" s="106"/>
      <c r="W203" s="282" t="str">
        <f>IF(V203="","",IF(AND(V203="N/A - Culvert",C203&lt;&gt;"Culvert"),"Not possible ▲",IF(AND(C203="Culvert",V203&lt;&gt;"N/A - Culvert"),"Not possible ▲",IF(VLOOKUP(V203,'G-7 WaterC'' Data'!$AA$4:$AB$7,2,FALSE)=0,"Spatial Data Missing ⚠",VLOOKUP(V203,'G-7 WaterC'' Data'!$AA$4:$AB$7,2,FALSE)))))</f>
        <v/>
      </c>
      <c r="X203" s="56"/>
      <c r="Y203" s="282" t="str">
        <f>IF(X203="","",IF(AND(X203="N/A - Culvert", C203&lt;&gt;"Culvert"), "Not possible ▲",IF(AND(C203="Culvert",X203&lt;&gt;"N/A - Culvert"),"Not possible ▲",IF(VLOOKUP(X203,'G-7 WaterC'' Data'!$AD$4:$AE$14,2,FALSE)=0,"Enrcoachment Data Missing ⚠",VLOOKUP(X203,'G-7 WaterC'' Data'!$AD$4:$AE$14,2,FALSE)))))</f>
        <v/>
      </c>
      <c r="Z203" s="323" t="str">
        <f t="shared" si="16"/>
        <v/>
      </c>
      <c r="AA203" s="105"/>
      <c r="AB203" s="119"/>
      <c r="AC203" s="108"/>
      <c r="AH203" s="30" t="str">
        <f>IFERROR(INDEX('G-7 WaterC'' Data'!$AZ$3:$AZ$7,MATCH(C203,'G-7 WaterC'' Data'!$AY$3:$AY$7,0)),"")</f>
        <v/>
      </c>
      <c r="AK203" s="30" t="str">
        <f t="shared" si="17"/>
        <v>No</v>
      </c>
    </row>
    <row r="204" spans="2:37" ht="13.8" x14ac:dyDescent="0.25">
      <c r="B204" s="101">
        <v>193</v>
      </c>
      <c r="C204" s="950"/>
      <c r="D204" s="119"/>
      <c r="E204" s="281" t="str">
        <f>IF(C204="","",VLOOKUP(C204,'G-7 WaterC'' Data'!$B$2:$G$8,2,FALSE))</f>
        <v/>
      </c>
      <c r="F204" s="282" t="str">
        <f>IFERROR(VLOOKUP(E204,'G-7 WaterC'' Data'!$C$4:$D$8,2,FALSE),"")</f>
        <v/>
      </c>
      <c r="G204" s="105"/>
      <c r="H204" s="282" t="str">
        <f>IFERROR(INDEX('G-7 WaterC'' Data'!$H$4:$L$8,MATCH(C204,'G-7 WaterC'' Data'!$B$4:$B$8,0),MATCH(G204,'G-7 WaterC'' Data'!$H$3:$L$3,0)),"")</f>
        <v/>
      </c>
      <c r="I204" s="52"/>
      <c r="J204" s="289" t="str">
        <f>IF(I204="","",IF(VLOOKUP(I204,'G-7 WaterC'' Data'!$AK$4:$AM$6,2,FALSE)=0,"Spatial Data Missing ⚠",VLOOKUP(I204,'G-7 WaterC'' Data'!$AK$4:$AM$6,2,FALSE)))</f>
        <v/>
      </c>
      <c r="K204" s="282" t="str">
        <f>IF(I204="","",IF(VLOOKUP(I204,'G-7 WaterC'' Data'!$AK$4:$AM$6,3,FALSE)=0,"Spatial Data Missing ⚠",VLOOKUP(I204,'G-7 WaterC'' Data'!$AK$4:$AM$6,3,FALSE)))</f>
        <v/>
      </c>
      <c r="L204" s="281" t="str">
        <f>IFERROR(INDEX('G-7 WaterC'' Data'!$O$3:$O$7,MATCH(G204,'G-7 WaterC'' Data'!$N$3:$N$7,0)),"")</f>
        <v/>
      </c>
      <c r="M204" s="58"/>
      <c r="N204" s="137"/>
      <c r="O204" s="289" t="str">
        <f t="shared" si="12"/>
        <v/>
      </c>
      <c r="P204" s="302" t="str">
        <f t="shared" si="13"/>
        <v/>
      </c>
      <c r="Q204" s="340" t="str">
        <f>IFERROR(IF(P204="Check Data ⚠","Check Data ⚠",VLOOKUP(P204,'G-4 Temporal multipliers'!$A$4:$C$37,3,FALSE)),"")</f>
        <v/>
      </c>
      <c r="R204" s="281" t="str">
        <f>IF(C204="","",VLOOKUP(C204,'G-7 WaterC'' Data'!$B$4:$G$8,4,FALSE))</f>
        <v/>
      </c>
      <c r="S204" s="289" t="str">
        <f t="shared" si="14"/>
        <v/>
      </c>
      <c r="T204" s="320" t="str">
        <f t="shared" si="15"/>
        <v/>
      </c>
      <c r="U204" s="282" t="str">
        <f>IF(C204="","",VLOOKUP(T204,'G-3 Multipliers'!$P$2:$Q$6,2,FALSE))</f>
        <v/>
      </c>
      <c r="V204" s="106"/>
      <c r="W204" s="282" t="str">
        <f>IF(V204="","",IF(AND(V204="N/A - Culvert",C204&lt;&gt;"Culvert"),"Not possible ▲",IF(AND(C204="Culvert",V204&lt;&gt;"N/A - Culvert"),"Not possible ▲",IF(VLOOKUP(V204,'G-7 WaterC'' Data'!$AA$4:$AB$7,2,FALSE)=0,"Spatial Data Missing ⚠",VLOOKUP(V204,'G-7 WaterC'' Data'!$AA$4:$AB$7,2,FALSE)))))</f>
        <v/>
      </c>
      <c r="X204" s="56"/>
      <c r="Y204" s="282" t="str">
        <f>IF(X204="","",IF(AND(X204="N/A - Culvert", C204&lt;&gt;"Culvert"), "Not possible ▲",IF(AND(C204="Culvert",X204&lt;&gt;"N/A - Culvert"),"Not possible ▲",IF(VLOOKUP(X204,'G-7 WaterC'' Data'!$AD$4:$AE$14,2,FALSE)=0,"Enrcoachment Data Missing ⚠",VLOOKUP(X204,'G-7 WaterC'' Data'!$AD$4:$AE$14,2,FALSE)))))</f>
        <v/>
      </c>
      <c r="Z204" s="323" t="str">
        <f t="shared" si="16"/>
        <v/>
      </c>
      <c r="AA204" s="105"/>
      <c r="AB204" s="119"/>
      <c r="AC204" s="108"/>
      <c r="AH204" s="30" t="str">
        <f>IFERROR(INDEX('G-7 WaterC'' Data'!$AZ$3:$AZ$7,MATCH(C204,'G-7 WaterC'' Data'!$AY$3:$AY$7,0)),"")</f>
        <v/>
      </c>
      <c r="AK204" s="30" t="str">
        <f t="shared" si="17"/>
        <v>No</v>
      </c>
    </row>
    <row r="205" spans="2:37" ht="13.8" x14ac:dyDescent="0.25">
      <c r="B205" s="101">
        <v>194</v>
      </c>
      <c r="C205" s="950"/>
      <c r="D205" s="119"/>
      <c r="E205" s="281" t="str">
        <f>IF(C205="","",VLOOKUP(C205,'G-7 WaterC'' Data'!$B$2:$G$8,2,FALSE))</f>
        <v/>
      </c>
      <c r="F205" s="282" t="str">
        <f>IFERROR(VLOOKUP(E205,'G-7 WaterC'' Data'!$C$4:$D$8,2,FALSE),"")</f>
        <v/>
      </c>
      <c r="G205" s="105"/>
      <c r="H205" s="282" t="str">
        <f>IFERROR(INDEX('G-7 WaterC'' Data'!$H$4:$L$8,MATCH(C205,'G-7 WaterC'' Data'!$B$4:$B$8,0),MATCH(G205,'G-7 WaterC'' Data'!$H$3:$L$3,0)),"")</f>
        <v/>
      </c>
      <c r="I205" s="52"/>
      <c r="J205" s="289" t="str">
        <f>IF(I205="","",IF(VLOOKUP(I205,'G-7 WaterC'' Data'!$AK$4:$AM$6,2,FALSE)=0,"Spatial Data Missing ⚠",VLOOKUP(I205,'G-7 WaterC'' Data'!$AK$4:$AM$6,2,FALSE)))</f>
        <v/>
      </c>
      <c r="K205" s="282" t="str">
        <f>IF(I205="","",IF(VLOOKUP(I205,'G-7 WaterC'' Data'!$AK$4:$AM$6,3,FALSE)=0,"Spatial Data Missing ⚠",VLOOKUP(I205,'G-7 WaterC'' Data'!$AK$4:$AM$6,3,FALSE)))</f>
        <v/>
      </c>
      <c r="L205" s="281" t="str">
        <f>IFERROR(INDEX('G-7 WaterC'' Data'!$O$3:$O$7,MATCH(G205,'G-7 WaterC'' Data'!$N$3:$N$7,0)),"")</f>
        <v/>
      </c>
      <c r="M205" s="58"/>
      <c r="N205" s="137"/>
      <c r="O205" s="289"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02" t="str">
        <f t="shared" ref="P205:P259" si="19">IF(O205="Error -both advance and delayed habitat creation ▲","Check Data ⚠",IF(L205="","",IF(M205="30+",0,IF(N205="30+","30+",IF(L205+N205&gt;30,"30+ ",IF(L205+N205-M205&gt;0,L205+N205-M205,IF(L205-M205&lt;0,0,L205+N205-M205)))))))</f>
        <v/>
      </c>
      <c r="Q205" s="340" t="str">
        <f>IFERROR(IF(P205="Check Data ⚠","Check Data ⚠",VLOOKUP(P205,'G-4 Temporal multipliers'!$A$4:$C$37,3,FALSE)),"")</f>
        <v/>
      </c>
      <c r="R205" s="281" t="str">
        <f>IF(C205="","",VLOOKUP(C205,'G-7 WaterC'' Data'!$B$4:$G$8,4,FALSE))</f>
        <v/>
      </c>
      <c r="S205" s="289" t="str">
        <f t="shared" ref="S205:S259" si="20">IF(C205="","",IF(P205="Check Data ⚠","Check Data ⚠",IF(G205="","",IF($O205="Check details - Is there evidence that habitat has reached target condition? ⚠","Low Difficulty - only applicable if all habitat created before losses ⚠","Standard difficulty applied"))))</f>
        <v/>
      </c>
      <c r="T205" s="320" t="str">
        <f t="shared" ref="T205:T259" si="21">(IF(AND(S205="Standard difficulty applied",L205&gt;M205),R205,IF(AND(S205="Low Difficulty - only applicable if all habitat created before losses ⚠",M205&gt;=L205),"Low",R205)))</f>
        <v/>
      </c>
      <c r="U205" s="282" t="str">
        <f>IF(C205="","",VLOOKUP(T205,'G-3 Multipliers'!$P$2:$Q$6,2,FALSE))</f>
        <v/>
      </c>
      <c r="V205" s="106"/>
      <c r="W205" s="282" t="str">
        <f>IF(V205="","",IF(AND(V205="N/A - Culvert",C205&lt;&gt;"Culvert"),"Not possible ▲",IF(AND(C205="Culvert",V205&lt;&gt;"N/A - Culvert"),"Not possible ▲",IF(VLOOKUP(V205,'G-7 WaterC'' Data'!$AA$4:$AB$7,2,FALSE)=0,"Spatial Data Missing ⚠",VLOOKUP(V205,'G-7 WaterC'' Data'!$AA$4:$AB$7,2,FALSE)))))</f>
        <v/>
      </c>
      <c r="X205" s="56"/>
      <c r="Y205" s="282" t="str">
        <f>IF(X205="","",IF(AND(X205="N/A - Culvert", C205&lt;&gt;"Culvert"), "Not possible ▲",IF(AND(C205="Culvert",X205&lt;&gt;"N/A - Culvert"),"Not possible ▲",IF(VLOOKUP(X205,'G-7 WaterC'' Data'!$AD$4:$AE$14,2,FALSE)=0,"Enrcoachment Data Missing ⚠",VLOOKUP(X205,'G-7 WaterC'' Data'!$AD$4:$AE$14,2,FALSE)))))</f>
        <v/>
      </c>
      <c r="Z205" s="323" t="str">
        <f t="shared" ref="Z205:Z259" si="22">IFERROR(IF(C205="","",D205*F205*H205*K205*Q205*U205*Y205*W205),"")</f>
        <v/>
      </c>
      <c r="AA205" s="105"/>
      <c r="AB205" s="119"/>
      <c r="AC205" s="108"/>
      <c r="AH205" s="30" t="str">
        <f>IFERROR(INDEX('G-7 WaterC'' Data'!$AZ$3:$AZ$7,MATCH(C205,'G-7 WaterC'' Data'!$AY$3:$AY$7,0)),"")</f>
        <v/>
      </c>
      <c r="AK205" s="30" t="str">
        <f t="shared" ref="AK205:AK260" si="23">IF(AND(C205="Ditches",(OR(G205="Fairly Poor",G205="Fairly Good"))), "Yes", "No")</f>
        <v>No</v>
      </c>
    </row>
    <row r="206" spans="2:37" ht="13.8" x14ac:dyDescent="0.25">
      <c r="B206" s="101">
        <v>195</v>
      </c>
      <c r="C206" s="950"/>
      <c r="D206" s="119"/>
      <c r="E206" s="281" t="str">
        <f>IF(C206="","",VLOOKUP(C206,'G-7 WaterC'' Data'!$B$2:$G$8,2,FALSE))</f>
        <v/>
      </c>
      <c r="F206" s="282" t="str">
        <f>IFERROR(VLOOKUP(E206,'G-7 WaterC'' Data'!$C$4:$D$8,2,FALSE),"")</f>
        <v/>
      </c>
      <c r="G206" s="105"/>
      <c r="H206" s="282" t="str">
        <f>IFERROR(INDEX('G-7 WaterC'' Data'!$H$4:$L$8,MATCH(C206,'G-7 WaterC'' Data'!$B$4:$B$8,0),MATCH(G206,'G-7 WaterC'' Data'!$H$3:$L$3,0)),"")</f>
        <v/>
      </c>
      <c r="I206" s="52"/>
      <c r="J206" s="289" t="str">
        <f>IF(I206="","",IF(VLOOKUP(I206,'G-7 WaterC'' Data'!$AK$4:$AM$6,2,FALSE)=0,"Spatial Data Missing ⚠",VLOOKUP(I206,'G-7 WaterC'' Data'!$AK$4:$AM$6,2,FALSE)))</f>
        <v/>
      </c>
      <c r="K206" s="282" t="str">
        <f>IF(I206="","",IF(VLOOKUP(I206,'G-7 WaterC'' Data'!$AK$4:$AM$6,3,FALSE)=0,"Spatial Data Missing ⚠",VLOOKUP(I206,'G-7 WaterC'' Data'!$AK$4:$AM$6,3,FALSE)))</f>
        <v/>
      </c>
      <c r="L206" s="281" t="str">
        <f>IFERROR(INDEX('G-7 WaterC'' Data'!$O$3:$O$7,MATCH(G206,'G-7 WaterC'' Data'!$N$3:$N$7,0)),"")</f>
        <v/>
      </c>
      <c r="M206" s="58"/>
      <c r="N206" s="137"/>
      <c r="O206" s="289" t="str">
        <f t="shared" si="18"/>
        <v/>
      </c>
      <c r="P206" s="302" t="str">
        <f t="shared" si="19"/>
        <v/>
      </c>
      <c r="Q206" s="340" t="str">
        <f>IFERROR(IF(P206="Check Data ⚠","Check Data ⚠",VLOOKUP(P206,'G-4 Temporal multipliers'!$A$4:$C$37,3,FALSE)),"")</f>
        <v/>
      </c>
      <c r="R206" s="281" t="str">
        <f>IF(C206="","",VLOOKUP(C206,'G-7 WaterC'' Data'!$B$4:$G$8,4,FALSE))</f>
        <v/>
      </c>
      <c r="S206" s="289" t="str">
        <f t="shared" si="20"/>
        <v/>
      </c>
      <c r="T206" s="320" t="str">
        <f t="shared" si="21"/>
        <v/>
      </c>
      <c r="U206" s="282" t="str">
        <f>IF(C206="","",VLOOKUP(T206,'G-3 Multipliers'!$P$2:$Q$6,2,FALSE))</f>
        <v/>
      </c>
      <c r="V206" s="106"/>
      <c r="W206" s="282" t="str">
        <f>IF(V206="","",IF(AND(V206="N/A - Culvert",C206&lt;&gt;"Culvert"),"Not possible ▲",IF(AND(C206="Culvert",V206&lt;&gt;"N/A - Culvert"),"Not possible ▲",IF(VLOOKUP(V206,'G-7 WaterC'' Data'!$AA$4:$AB$7,2,FALSE)=0,"Spatial Data Missing ⚠",VLOOKUP(V206,'G-7 WaterC'' Data'!$AA$4:$AB$7,2,FALSE)))))</f>
        <v/>
      </c>
      <c r="X206" s="56"/>
      <c r="Y206" s="282" t="str">
        <f>IF(X206="","",IF(AND(X206="N/A - Culvert", C206&lt;&gt;"Culvert"), "Not possible ▲",IF(AND(C206="Culvert",X206&lt;&gt;"N/A - Culvert"),"Not possible ▲",IF(VLOOKUP(X206,'G-7 WaterC'' Data'!$AD$4:$AE$14,2,FALSE)=0,"Enrcoachment Data Missing ⚠",VLOOKUP(X206,'G-7 WaterC'' Data'!$AD$4:$AE$14,2,FALSE)))))</f>
        <v/>
      </c>
      <c r="Z206" s="323" t="str">
        <f t="shared" si="22"/>
        <v/>
      </c>
      <c r="AA206" s="105"/>
      <c r="AB206" s="119"/>
      <c r="AC206" s="108"/>
      <c r="AH206" s="30" t="str">
        <f>IFERROR(INDEX('G-7 WaterC'' Data'!$AZ$3:$AZ$7,MATCH(C206,'G-7 WaterC'' Data'!$AY$3:$AY$7,0)),"")</f>
        <v/>
      </c>
      <c r="AK206" s="30" t="str">
        <f t="shared" si="23"/>
        <v>No</v>
      </c>
    </row>
    <row r="207" spans="2:37" ht="13.8" x14ac:dyDescent="0.25">
      <c r="B207" s="101">
        <v>196</v>
      </c>
      <c r="C207" s="950"/>
      <c r="D207" s="119"/>
      <c r="E207" s="281" t="str">
        <f>IF(C207="","",VLOOKUP(C207,'G-7 WaterC'' Data'!$B$2:$G$8,2,FALSE))</f>
        <v/>
      </c>
      <c r="F207" s="282" t="str">
        <f>IFERROR(VLOOKUP(E207,'G-7 WaterC'' Data'!$C$4:$D$8,2,FALSE),"")</f>
        <v/>
      </c>
      <c r="G207" s="105"/>
      <c r="H207" s="282" t="str">
        <f>IFERROR(INDEX('G-7 WaterC'' Data'!$H$4:$L$8,MATCH(C207,'G-7 WaterC'' Data'!$B$4:$B$8,0),MATCH(G207,'G-7 WaterC'' Data'!$H$3:$L$3,0)),"")</f>
        <v/>
      </c>
      <c r="I207" s="52"/>
      <c r="J207" s="289" t="str">
        <f>IF(I207="","",IF(VLOOKUP(I207,'G-7 WaterC'' Data'!$AK$4:$AM$6,2,FALSE)=0,"Spatial Data Missing ⚠",VLOOKUP(I207,'G-7 WaterC'' Data'!$AK$4:$AM$6,2,FALSE)))</f>
        <v/>
      </c>
      <c r="K207" s="282" t="str">
        <f>IF(I207="","",IF(VLOOKUP(I207,'G-7 WaterC'' Data'!$AK$4:$AM$6,3,FALSE)=0,"Spatial Data Missing ⚠",VLOOKUP(I207,'G-7 WaterC'' Data'!$AK$4:$AM$6,3,FALSE)))</f>
        <v/>
      </c>
      <c r="L207" s="281" t="str">
        <f>IFERROR(INDEX('G-7 WaterC'' Data'!$O$3:$O$7,MATCH(G207,'G-7 WaterC'' Data'!$N$3:$N$7,0)),"")</f>
        <v/>
      </c>
      <c r="M207" s="58"/>
      <c r="N207" s="137"/>
      <c r="O207" s="289" t="str">
        <f t="shared" si="18"/>
        <v/>
      </c>
      <c r="P207" s="302" t="str">
        <f t="shared" si="19"/>
        <v/>
      </c>
      <c r="Q207" s="340" t="str">
        <f>IFERROR(IF(P207="Check Data ⚠","Check Data ⚠",VLOOKUP(P207,'G-4 Temporal multipliers'!$A$4:$C$37,3,FALSE)),"")</f>
        <v/>
      </c>
      <c r="R207" s="281" t="str">
        <f>IF(C207="","",VLOOKUP(C207,'G-7 WaterC'' Data'!$B$4:$G$8,4,FALSE))</f>
        <v/>
      </c>
      <c r="S207" s="289" t="str">
        <f t="shared" si="20"/>
        <v/>
      </c>
      <c r="T207" s="320" t="str">
        <f t="shared" si="21"/>
        <v/>
      </c>
      <c r="U207" s="282" t="str">
        <f>IF(C207="","",VLOOKUP(T207,'G-3 Multipliers'!$P$2:$Q$6,2,FALSE))</f>
        <v/>
      </c>
      <c r="V207" s="106"/>
      <c r="W207" s="282" t="str">
        <f>IF(V207="","",IF(AND(V207="N/A - Culvert",C207&lt;&gt;"Culvert"),"Not possible ▲",IF(AND(C207="Culvert",V207&lt;&gt;"N/A - Culvert"),"Not possible ▲",IF(VLOOKUP(V207,'G-7 WaterC'' Data'!$AA$4:$AB$7,2,FALSE)=0,"Spatial Data Missing ⚠",VLOOKUP(V207,'G-7 WaterC'' Data'!$AA$4:$AB$7,2,FALSE)))))</f>
        <v/>
      </c>
      <c r="X207" s="56"/>
      <c r="Y207" s="282" t="str">
        <f>IF(X207="","",IF(AND(X207="N/A - Culvert", C207&lt;&gt;"Culvert"), "Not possible ▲",IF(AND(C207="Culvert",X207&lt;&gt;"N/A - Culvert"),"Not possible ▲",IF(VLOOKUP(X207,'G-7 WaterC'' Data'!$AD$4:$AE$14,2,FALSE)=0,"Enrcoachment Data Missing ⚠",VLOOKUP(X207,'G-7 WaterC'' Data'!$AD$4:$AE$14,2,FALSE)))))</f>
        <v/>
      </c>
      <c r="Z207" s="323" t="str">
        <f t="shared" si="22"/>
        <v/>
      </c>
      <c r="AA207" s="105"/>
      <c r="AB207" s="119"/>
      <c r="AC207" s="108"/>
      <c r="AH207" s="30" t="str">
        <f>IFERROR(INDEX('G-7 WaterC'' Data'!$AZ$3:$AZ$7,MATCH(C207,'G-7 WaterC'' Data'!$AY$3:$AY$7,0)),"")</f>
        <v/>
      </c>
      <c r="AK207" s="30" t="str">
        <f t="shared" si="23"/>
        <v>No</v>
      </c>
    </row>
    <row r="208" spans="2:37" ht="13.8" x14ac:dyDescent="0.25">
      <c r="B208" s="101">
        <v>197</v>
      </c>
      <c r="C208" s="950"/>
      <c r="D208" s="119"/>
      <c r="E208" s="281" t="str">
        <f>IF(C208="","",VLOOKUP(C208,'G-7 WaterC'' Data'!$B$2:$G$8,2,FALSE))</f>
        <v/>
      </c>
      <c r="F208" s="282" t="str">
        <f>IFERROR(VLOOKUP(E208,'G-7 WaterC'' Data'!$C$4:$D$8,2,FALSE),"")</f>
        <v/>
      </c>
      <c r="G208" s="105"/>
      <c r="H208" s="282" t="str">
        <f>IFERROR(INDEX('G-7 WaterC'' Data'!$H$4:$L$8,MATCH(C208,'G-7 WaterC'' Data'!$B$4:$B$8,0),MATCH(G208,'G-7 WaterC'' Data'!$H$3:$L$3,0)),"")</f>
        <v/>
      </c>
      <c r="I208" s="52"/>
      <c r="J208" s="289" t="str">
        <f>IF(I208="","",IF(VLOOKUP(I208,'G-7 WaterC'' Data'!$AK$4:$AM$6,2,FALSE)=0,"Spatial Data Missing ⚠",VLOOKUP(I208,'G-7 WaterC'' Data'!$AK$4:$AM$6,2,FALSE)))</f>
        <v/>
      </c>
      <c r="K208" s="282" t="str">
        <f>IF(I208="","",IF(VLOOKUP(I208,'G-7 WaterC'' Data'!$AK$4:$AM$6,3,FALSE)=0,"Spatial Data Missing ⚠",VLOOKUP(I208,'G-7 WaterC'' Data'!$AK$4:$AM$6,3,FALSE)))</f>
        <v/>
      </c>
      <c r="L208" s="281" t="str">
        <f>IFERROR(INDEX('G-7 WaterC'' Data'!$O$3:$O$7,MATCH(G208,'G-7 WaterC'' Data'!$N$3:$N$7,0)),"")</f>
        <v/>
      </c>
      <c r="M208" s="58"/>
      <c r="N208" s="137"/>
      <c r="O208" s="289" t="str">
        <f t="shared" si="18"/>
        <v/>
      </c>
      <c r="P208" s="302" t="str">
        <f t="shared" si="19"/>
        <v/>
      </c>
      <c r="Q208" s="340" t="str">
        <f>IFERROR(IF(P208="Check Data ⚠","Check Data ⚠",VLOOKUP(P208,'G-4 Temporal multipliers'!$A$4:$C$37,3,FALSE)),"")</f>
        <v/>
      </c>
      <c r="R208" s="281" t="str">
        <f>IF(C208="","",VLOOKUP(C208,'G-7 WaterC'' Data'!$B$4:$G$8,4,FALSE))</f>
        <v/>
      </c>
      <c r="S208" s="289" t="str">
        <f t="shared" si="20"/>
        <v/>
      </c>
      <c r="T208" s="320" t="str">
        <f t="shared" si="21"/>
        <v/>
      </c>
      <c r="U208" s="282" t="str">
        <f>IF(C208="","",VLOOKUP(T208,'G-3 Multipliers'!$P$2:$Q$6,2,FALSE))</f>
        <v/>
      </c>
      <c r="V208" s="106"/>
      <c r="W208" s="282" t="str">
        <f>IF(V208="","",IF(AND(V208="N/A - Culvert",C208&lt;&gt;"Culvert"),"Not possible ▲",IF(AND(C208="Culvert",V208&lt;&gt;"N/A - Culvert"),"Not possible ▲",IF(VLOOKUP(V208,'G-7 WaterC'' Data'!$AA$4:$AB$7,2,FALSE)=0,"Spatial Data Missing ⚠",VLOOKUP(V208,'G-7 WaterC'' Data'!$AA$4:$AB$7,2,FALSE)))))</f>
        <v/>
      </c>
      <c r="X208" s="56"/>
      <c r="Y208" s="282" t="str">
        <f>IF(X208="","",IF(AND(X208="N/A - Culvert", C208&lt;&gt;"Culvert"), "Not possible ▲",IF(AND(C208="Culvert",X208&lt;&gt;"N/A - Culvert"),"Not possible ▲",IF(VLOOKUP(X208,'G-7 WaterC'' Data'!$AD$4:$AE$14,2,FALSE)=0,"Enrcoachment Data Missing ⚠",VLOOKUP(X208,'G-7 WaterC'' Data'!$AD$4:$AE$14,2,FALSE)))))</f>
        <v/>
      </c>
      <c r="Z208" s="323" t="str">
        <f t="shared" si="22"/>
        <v/>
      </c>
      <c r="AA208" s="105"/>
      <c r="AB208" s="119"/>
      <c r="AC208" s="108"/>
      <c r="AH208" s="30" t="str">
        <f>IFERROR(INDEX('G-7 WaterC'' Data'!$AZ$3:$AZ$7,MATCH(C208,'G-7 WaterC'' Data'!$AY$3:$AY$7,0)),"")</f>
        <v/>
      </c>
      <c r="AK208" s="30" t="str">
        <f t="shared" si="23"/>
        <v>No</v>
      </c>
    </row>
    <row r="209" spans="2:37" ht="13.8" x14ac:dyDescent="0.25">
      <c r="B209" s="101">
        <v>198</v>
      </c>
      <c r="C209" s="950"/>
      <c r="D209" s="119"/>
      <c r="E209" s="281" t="str">
        <f>IF(C209="","",VLOOKUP(C209,'G-7 WaterC'' Data'!$B$2:$G$8,2,FALSE))</f>
        <v/>
      </c>
      <c r="F209" s="282" t="str">
        <f>IFERROR(VLOOKUP(E209,'G-7 WaterC'' Data'!$C$4:$D$8,2,FALSE),"")</f>
        <v/>
      </c>
      <c r="G209" s="105"/>
      <c r="H209" s="282" t="str">
        <f>IFERROR(INDEX('G-7 WaterC'' Data'!$H$4:$L$8,MATCH(C209,'G-7 WaterC'' Data'!$B$4:$B$8,0),MATCH(G209,'G-7 WaterC'' Data'!$H$3:$L$3,0)),"")</f>
        <v/>
      </c>
      <c r="I209" s="52"/>
      <c r="J209" s="289" t="str">
        <f>IF(I209="","",IF(VLOOKUP(I209,'G-7 WaterC'' Data'!$AK$4:$AM$6,2,FALSE)=0,"Spatial Data Missing ⚠",VLOOKUP(I209,'G-7 WaterC'' Data'!$AK$4:$AM$6,2,FALSE)))</f>
        <v/>
      </c>
      <c r="K209" s="282" t="str">
        <f>IF(I209="","",IF(VLOOKUP(I209,'G-7 WaterC'' Data'!$AK$4:$AM$6,3,FALSE)=0,"Spatial Data Missing ⚠",VLOOKUP(I209,'G-7 WaterC'' Data'!$AK$4:$AM$6,3,FALSE)))</f>
        <v/>
      </c>
      <c r="L209" s="281" t="str">
        <f>IFERROR(INDEX('G-7 WaterC'' Data'!$O$3:$O$7,MATCH(G209,'G-7 WaterC'' Data'!$N$3:$N$7,0)),"")</f>
        <v/>
      </c>
      <c r="M209" s="58"/>
      <c r="N209" s="137"/>
      <c r="O209" s="289" t="str">
        <f t="shared" si="18"/>
        <v/>
      </c>
      <c r="P209" s="302" t="str">
        <f t="shared" si="19"/>
        <v/>
      </c>
      <c r="Q209" s="340" t="str">
        <f>IFERROR(IF(P209="Check Data ⚠","Check Data ⚠",VLOOKUP(P209,'G-4 Temporal multipliers'!$A$4:$C$37,3,FALSE)),"")</f>
        <v/>
      </c>
      <c r="R209" s="281" t="str">
        <f>IF(C209="","",VLOOKUP(C209,'G-7 WaterC'' Data'!$B$4:$G$8,4,FALSE))</f>
        <v/>
      </c>
      <c r="S209" s="289" t="str">
        <f t="shared" si="20"/>
        <v/>
      </c>
      <c r="T209" s="320" t="str">
        <f t="shared" si="21"/>
        <v/>
      </c>
      <c r="U209" s="282" t="str">
        <f>IF(C209="","",VLOOKUP(T209,'G-3 Multipliers'!$P$2:$Q$6,2,FALSE))</f>
        <v/>
      </c>
      <c r="V209" s="106"/>
      <c r="W209" s="282" t="str">
        <f>IF(V209="","",IF(AND(V209="N/A - Culvert",C209&lt;&gt;"Culvert"),"Not possible ▲",IF(AND(C209="Culvert",V209&lt;&gt;"N/A - Culvert"),"Not possible ▲",IF(VLOOKUP(V209,'G-7 WaterC'' Data'!$AA$4:$AB$7,2,FALSE)=0,"Spatial Data Missing ⚠",VLOOKUP(V209,'G-7 WaterC'' Data'!$AA$4:$AB$7,2,FALSE)))))</f>
        <v/>
      </c>
      <c r="X209" s="56"/>
      <c r="Y209" s="282" t="str">
        <f>IF(X209="","",IF(AND(X209="N/A - Culvert", C209&lt;&gt;"Culvert"), "Not possible ▲",IF(AND(C209="Culvert",X209&lt;&gt;"N/A - Culvert"),"Not possible ▲",IF(VLOOKUP(X209,'G-7 WaterC'' Data'!$AD$4:$AE$14,2,FALSE)=0,"Enrcoachment Data Missing ⚠",VLOOKUP(X209,'G-7 WaterC'' Data'!$AD$4:$AE$14,2,FALSE)))))</f>
        <v/>
      </c>
      <c r="Z209" s="323" t="str">
        <f t="shared" si="22"/>
        <v/>
      </c>
      <c r="AA209" s="105"/>
      <c r="AB209" s="119"/>
      <c r="AC209" s="108"/>
      <c r="AH209" s="30" t="str">
        <f>IFERROR(INDEX('G-7 WaterC'' Data'!$AZ$3:$AZ$7,MATCH(C209,'G-7 WaterC'' Data'!$AY$3:$AY$7,0)),"")</f>
        <v/>
      </c>
      <c r="AK209" s="30" t="str">
        <f t="shared" si="23"/>
        <v>No</v>
      </c>
    </row>
    <row r="210" spans="2:37" ht="13.8" x14ac:dyDescent="0.25">
      <c r="B210" s="101">
        <v>199</v>
      </c>
      <c r="C210" s="950"/>
      <c r="D210" s="119"/>
      <c r="E210" s="281" t="str">
        <f>IF(C210="","",VLOOKUP(C210,'G-7 WaterC'' Data'!$B$2:$G$8,2,FALSE))</f>
        <v/>
      </c>
      <c r="F210" s="282" t="str">
        <f>IFERROR(VLOOKUP(E210,'G-7 WaterC'' Data'!$C$4:$D$8,2,FALSE),"")</f>
        <v/>
      </c>
      <c r="G210" s="105"/>
      <c r="H210" s="282" t="str">
        <f>IFERROR(INDEX('G-7 WaterC'' Data'!$H$4:$L$8,MATCH(C210,'G-7 WaterC'' Data'!$B$4:$B$8,0),MATCH(G210,'G-7 WaterC'' Data'!$H$3:$L$3,0)),"")</f>
        <v/>
      </c>
      <c r="I210" s="52"/>
      <c r="J210" s="289" t="str">
        <f>IF(I210="","",IF(VLOOKUP(I210,'G-7 WaterC'' Data'!$AK$4:$AM$6,2,FALSE)=0,"Spatial Data Missing ⚠",VLOOKUP(I210,'G-7 WaterC'' Data'!$AK$4:$AM$6,2,FALSE)))</f>
        <v/>
      </c>
      <c r="K210" s="282" t="str">
        <f>IF(I210="","",IF(VLOOKUP(I210,'G-7 WaterC'' Data'!$AK$4:$AM$6,3,FALSE)=0,"Spatial Data Missing ⚠",VLOOKUP(I210,'G-7 WaterC'' Data'!$AK$4:$AM$6,3,FALSE)))</f>
        <v/>
      </c>
      <c r="L210" s="281" t="str">
        <f>IFERROR(INDEX('G-7 WaterC'' Data'!$O$3:$O$7,MATCH(G210,'G-7 WaterC'' Data'!$N$3:$N$7,0)),"")</f>
        <v/>
      </c>
      <c r="M210" s="58"/>
      <c r="N210" s="137"/>
      <c r="O210" s="289" t="str">
        <f t="shared" si="18"/>
        <v/>
      </c>
      <c r="P210" s="302" t="str">
        <f t="shared" si="19"/>
        <v/>
      </c>
      <c r="Q210" s="340" t="str">
        <f>IFERROR(IF(P210="Check Data ⚠","Check Data ⚠",VLOOKUP(P210,'G-4 Temporal multipliers'!$A$4:$C$37,3,FALSE)),"")</f>
        <v/>
      </c>
      <c r="R210" s="281" t="str">
        <f>IF(C210="","",VLOOKUP(C210,'G-7 WaterC'' Data'!$B$4:$G$8,4,FALSE))</f>
        <v/>
      </c>
      <c r="S210" s="289" t="str">
        <f t="shared" si="20"/>
        <v/>
      </c>
      <c r="T210" s="320" t="str">
        <f t="shared" si="21"/>
        <v/>
      </c>
      <c r="U210" s="282" t="str">
        <f>IF(C210="","",VLOOKUP(T210,'G-3 Multipliers'!$P$2:$Q$6,2,FALSE))</f>
        <v/>
      </c>
      <c r="V210" s="106"/>
      <c r="W210" s="282" t="str">
        <f>IF(V210="","",IF(AND(V210="N/A - Culvert",C210&lt;&gt;"Culvert"),"Not possible ▲",IF(AND(C210="Culvert",V210&lt;&gt;"N/A - Culvert"),"Not possible ▲",IF(VLOOKUP(V210,'G-7 WaterC'' Data'!$AA$4:$AB$7,2,FALSE)=0,"Spatial Data Missing ⚠",VLOOKUP(V210,'G-7 WaterC'' Data'!$AA$4:$AB$7,2,FALSE)))))</f>
        <v/>
      </c>
      <c r="X210" s="56"/>
      <c r="Y210" s="282" t="str">
        <f>IF(X210="","",IF(AND(X210="N/A - Culvert", C210&lt;&gt;"Culvert"), "Not possible ▲",IF(AND(C210="Culvert",X210&lt;&gt;"N/A - Culvert"),"Not possible ▲",IF(VLOOKUP(X210,'G-7 WaterC'' Data'!$AD$4:$AE$14,2,FALSE)=0,"Enrcoachment Data Missing ⚠",VLOOKUP(X210,'G-7 WaterC'' Data'!$AD$4:$AE$14,2,FALSE)))))</f>
        <v/>
      </c>
      <c r="Z210" s="323" t="str">
        <f t="shared" si="22"/>
        <v/>
      </c>
      <c r="AA210" s="105"/>
      <c r="AB210" s="119"/>
      <c r="AC210" s="108"/>
      <c r="AH210" s="30" t="str">
        <f>IFERROR(INDEX('G-7 WaterC'' Data'!$AZ$3:$AZ$7,MATCH(C210,'G-7 WaterC'' Data'!$AY$3:$AY$7,0)),"")</f>
        <v/>
      </c>
      <c r="AK210" s="30" t="str">
        <f t="shared" si="23"/>
        <v>No</v>
      </c>
    </row>
    <row r="211" spans="2:37" ht="13.8" x14ac:dyDescent="0.25">
      <c r="B211" s="101">
        <v>200</v>
      </c>
      <c r="C211" s="950"/>
      <c r="D211" s="119"/>
      <c r="E211" s="281" t="str">
        <f>IF(C211="","",VLOOKUP(C211,'G-7 WaterC'' Data'!$B$2:$G$8,2,FALSE))</f>
        <v/>
      </c>
      <c r="F211" s="282" t="str">
        <f>IFERROR(VLOOKUP(E211,'G-7 WaterC'' Data'!$C$4:$D$8,2,FALSE),"")</f>
        <v/>
      </c>
      <c r="G211" s="105"/>
      <c r="H211" s="282" t="str">
        <f>IFERROR(INDEX('G-7 WaterC'' Data'!$H$4:$L$8,MATCH(C211,'G-7 WaterC'' Data'!$B$4:$B$8,0),MATCH(G211,'G-7 WaterC'' Data'!$H$3:$L$3,0)),"")</f>
        <v/>
      </c>
      <c r="I211" s="52"/>
      <c r="J211" s="289" t="str">
        <f>IF(I211="","",IF(VLOOKUP(I211,'G-7 WaterC'' Data'!$AK$4:$AM$6,2,FALSE)=0,"Spatial Data Missing ⚠",VLOOKUP(I211,'G-7 WaterC'' Data'!$AK$4:$AM$6,2,FALSE)))</f>
        <v/>
      </c>
      <c r="K211" s="282" t="str">
        <f>IF(I211="","",IF(VLOOKUP(I211,'G-7 WaterC'' Data'!$AK$4:$AM$6,3,FALSE)=0,"Spatial Data Missing ⚠",VLOOKUP(I211,'G-7 WaterC'' Data'!$AK$4:$AM$6,3,FALSE)))</f>
        <v/>
      </c>
      <c r="L211" s="281" t="str">
        <f>IFERROR(INDEX('G-7 WaterC'' Data'!$O$3:$O$7,MATCH(G211,'G-7 WaterC'' Data'!$N$3:$N$7,0)),"")</f>
        <v/>
      </c>
      <c r="M211" s="58"/>
      <c r="N211" s="137"/>
      <c r="O211" s="289" t="str">
        <f t="shared" si="18"/>
        <v/>
      </c>
      <c r="P211" s="302" t="str">
        <f t="shared" si="19"/>
        <v/>
      </c>
      <c r="Q211" s="340" t="str">
        <f>IFERROR(IF(P211="Check Data ⚠","Check Data ⚠",VLOOKUP(P211,'G-4 Temporal multipliers'!$A$4:$C$37,3,FALSE)),"")</f>
        <v/>
      </c>
      <c r="R211" s="281" t="str">
        <f>IF(C211="","",VLOOKUP(C211,'G-7 WaterC'' Data'!$B$4:$G$8,4,FALSE))</f>
        <v/>
      </c>
      <c r="S211" s="289" t="str">
        <f t="shared" si="20"/>
        <v/>
      </c>
      <c r="T211" s="320" t="str">
        <f t="shared" si="21"/>
        <v/>
      </c>
      <c r="U211" s="282" t="str">
        <f>IF(C211="","",VLOOKUP(T211,'G-3 Multipliers'!$P$2:$Q$6,2,FALSE))</f>
        <v/>
      </c>
      <c r="V211" s="106"/>
      <c r="W211" s="282" t="str">
        <f>IF(V211="","",IF(AND(V211="N/A - Culvert",C211&lt;&gt;"Culvert"),"Not possible ▲",IF(AND(C211="Culvert",V211&lt;&gt;"N/A - Culvert"),"Not possible ▲",IF(VLOOKUP(V211,'G-7 WaterC'' Data'!$AA$4:$AB$7,2,FALSE)=0,"Spatial Data Missing ⚠",VLOOKUP(V211,'G-7 WaterC'' Data'!$AA$4:$AB$7,2,FALSE)))))</f>
        <v/>
      </c>
      <c r="X211" s="56"/>
      <c r="Y211" s="282" t="str">
        <f>IF(X211="","",IF(AND(X211="N/A - Culvert", C211&lt;&gt;"Culvert"), "Not possible ▲",IF(AND(C211="Culvert",X211&lt;&gt;"N/A - Culvert"),"Not possible ▲",IF(VLOOKUP(X211,'G-7 WaterC'' Data'!$AD$4:$AE$14,2,FALSE)=0,"Enrcoachment Data Missing ⚠",VLOOKUP(X211,'G-7 WaterC'' Data'!$AD$4:$AE$14,2,FALSE)))))</f>
        <v/>
      </c>
      <c r="Z211" s="323" t="str">
        <f t="shared" si="22"/>
        <v/>
      </c>
      <c r="AA211" s="105"/>
      <c r="AB211" s="119"/>
      <c r="AC211" s="108"/>
      <c r="AH211" s="30" t="str">
        <f>IFERROR(INDEX('G-7 WaterC'' Data'!$AZ$3:$AZ$7,MATCH(C211,'G-7 WaterC'' Data'!$AY$3:$AY$7,0)),"")</f>
        <v/>
      </c>
      <c r="AK211" s="30" t="str">
        <f t="shared" si="23"/>
        <v>No</v>
      </c>
    </row>
    <row r="212" spans="2:37" ht="13.8" x14ac:dyDescent="0.25">
      <c r="B212" s="101">
        <v>201</v>
      </c>
      <c r="C212" s="950"/>
      <c r="D212" s="119"/>
      <c r="E212" s="281" t="str">
        <f>IF(C212="","",VLOOKUP(C212,'G-7 WaterC'' Data'!$B$2:$G$8,2,FALSE))</f>
        <v/>
      </c>
      <c r="F212" s="282" t="str">
        <f>IFERROR(VLOOKUP(E212,'G-7 WaterC'' Data'!$C$4:$D$8,2,FALSE),"")</f>
        <v/>
      </c>
      <c r="G212" s="105"/>
      <c r="H212" s="282" t="str">
        <f>IFERROR(INDEX('G-7 WaterC'' Data'!$H$4:$L$8,MATCH(C212,'G-7 WaterC'' Data'!$B$4:$B$8,0),MATCH(G212,'G-7 WaterC'' Data'!$H$3:$L$3,0)),"")</f>
        <v/>
      </c>
      <c r="I212" s="52"/>
      <c r="J212" s="289" t="str">
        <f>IF(I212="","",IF(VLOOKUP(I212,'G-7 WaterC'' Data'!$AK$4:$AM$6,2,FALSE)=0,"Spatial Data Missing ⚠",VLOOKUP(I212,'G-7 WaterC'' Data'!$AK$4:$AM$6,2,FALSE)))</f>
        <v/>
      </c>
      <c r="K212" s="282" t="str">
        <f>IF(I212="","",IF(VLOOKUP(I212,'G-7 WaterC'' Data'!$AK$4:$AM$6,3,FALSE)=0,"Spatial Data Missing ⚠",VLOOKUP(I212,'G-7 WaterC'' Data'!$AK$4:$AM$6,3,FALSE)))</f>
        <v/>
      </c>
      <c r="L212" s="281" t="str">
        <f>IFERROR(INDEX('G-7 WaterC'' Data'!$O$3:$O$7,MATCH(G212,'G-7 WaterC'' Data'!$N$3:$N$7,0)),"")</f>
        <v/>
      </c>
      <c r="M212" s="58"/>
      <c r="N212" s="137"/>
      <c r="O212" s="289" t="str">
        <f t="shared" si="18"/>
        <v/>
      </c>
      <c r="P212" s="302" t="str">
        <f t="shared" si="19"/>
        <v/>
      </c>
      <c r="Q212" s="340" t="str">
        <f>IFERROR(IF(P212="Check Data ⚠","Check Data ⚠",VLOOKUP(P212,'G-4 Temporal multipliers'!$A$4:$C$37,3,FALSE)),"")</f>
        <v/>
      </c>
      <c r="R212" s="281" t="str">
        <f>IF(C212="","",VLOOKUP(C212,'G-7 WaterC'' Data'!$B$4:$G$8,4,FALSE))</f>
        <v/>
      </c>
      <c r="S212" s="289" t="str">
        <f t="shared" si="20"/>
        <v/>
      </c>
      <c r="T212" s="320" t="str">
        <f t="shared" si="21"/>
        <v/>
      </c>
      <c r="U212" s="282" t="str">
        <f>IF(C212="","",VLOOKUP(T212,'G-3 Multipliers'!$P$2:$Q$6,2,FALSE))</f>
        <v/>
      </c>
      <c r="V212" s="106"/>
      <c r="W212" s="282" t="str">
        <f>IF(V212="","",IF(AND(V212="N/A - Culvert",C212&lt;&gt;"Culvert"),"Not possible ▲",IF(AND(C212="Culvert",V212&lt;&gt;"N/A - Culvert"),"Not possible ▲",IF(VLOOKUP(V212,'G-7 WaterC'' Data'!$AA$4:$AB$7,2,FALSE)=0,"Spatial Data Missing ⚠",VLOOKUP(V212,'G-7 WaterC'' Data'!$AA$4:$AB$7,2,FALSE)))))</f>
        <v/>
      </c>
      <c r="X212" s="56"/>
      <c r="Y212" s="282" t="str">
        <f>IF(X212="","",IF(AND(X212="N/A - Culvert", C212&lt;&gt;"Culvert"), "Not possible ▲",IF(AND(C212="Culvert",X212&lt;&gt;"N/A - Culvert"),"Not possible ▲",IF(VLOOKUP(X212,'G-7 WaterC'' Data'!$AD$4:$AE$14,2,FALSE)=0,"Enrcoachment Data Missing ⚠",VLOOKUP(X212,'G-7 WaterC'' Data'!$AD$4:$AE$14,2,FALSE)))))</f>
        <v/>
      </c>
      <c r="Z212" s="323" t="str">
        <f t="shared" si="22"/>
        <v/>
      </c>
      <c r="AA212" s="105"/>
      <c r="AB212" s="119"/>
      <c r="AC212" s="108"/>
      <c r="AH212" s="30" t="str">
        <f>IFERROR(INDEX('G-7 WaterC'' Data'!$AZ$3:$AZ$7,MATCH(C212,'G-7 WaterC'' Data'!$AY$3:$AY$7,0)),"")</f>
        <v/>
      </c>
      <c r="AK212" s="30" t="str">
        <f t="shared" si="23"/>
        <v>No</v>
      </c>
    </row>
    <row r="213" spans="2:37" ht="13.8" x14ac:dyDescent="0.25">
      <c r="B213" s="101">
        <v>202</v>
      </c>
      <c r="C213" s="950"/>
      <c r="D213" s="119"/>
      <c r="E213" s="281" t="str">
        <f>IF(C213="","",VLOOKUP(C213,'G-7 WaterC'' Data'!$B$2:$G$8,2,FALSE))</f>
        <v/>
      </c>
      <c r="F213" s="282" t="str">
        <f>IFERROR(VLOOKUP(E213,'G-7 WaterC'' Data'!$C$4:$D$8,2,FALSE),"")</f>
        <v/>
      </c>
      <c r="G213" s="105"/>
      <c r="H213" s="282" t="str">
        <f>IFERROR(INDEX('G-7 WaterC'' Data'!$H$4:$L$8,MATCH(C213,'G-7 WaterC'' Data'!$B$4:$B$8,0),MATCH(G213,'G-7 WaterC'' Data'!$H$3:$L$3,0)),"")</f>
        <v/>
      </c>
      <c r="I213" s="52"/>
      <c r="J213" s="289" t="str">
        <f>IF(I213="","",IF(VLOOKUP(I213,'G-7 WaterC'' Data'!$AK$4:$AM$6,2,FALSE)=0,"Spatial Data Missing ⚠",VLOOKUP(I213,'G-7 WaterC'' Data'!$AK$4:$AM$6,2,FALSE)))</f>
        <v/>
      </c>
      <c r="K213" s="282" t="str">
        <f>IF(I213="","",IF(VLOOKUP(I213,'G-7 WaterC'' Data'!$AK$4:$AM$6,3,FALSE)=0,"Spatial Data Missing ⚠",VLOOKUP(I213,'G-7 WaterC'' Data'!$AK$4:$AM$6,3,FALSE)))</f>
        <v/>
      </c>
      <c r="L213" s="281" t="str">
        <f>IFERROR(INDEX('G-7 WaterC'' Data'!$O$3:$O$7,MATCH(G213,'G-7 WaterC'' Data'!$N$3:$N$7,0)),"")</f>
        <v/>
      </c>
      <c r="M213" s="58"/>
      <c r="N213" s="137"/>
      <c r="O213" s="289" t="str">
        <f t="shared" si="18"/>
        <v/>
      </c>
      <c r="P213" s="302" t="str">
        <f t="shared" si="19"/>
        <v/>
      </c>
      <c r="Q213" s="340" t="str">
        <f>IFERROR(IF(P213="Check Data ⚠","Check Data ⚠",VLOOKUP(P213,'G-4 Temporal multipliers'!$A$4:$C$37,3,FALSE)),"")</f>
        <v/>
      </c>
      <c r="R213" s="281" t="str">
        <f>IF(C213="","",VLOOKUP(C213,'G-7 WaterC'' Data'!$B$4:$G$8,4,FALSE))</f>
        <v/>
      </c>
      <c r="S213" s="289" t="str">
        <f t="shared" si="20"/>
        <v/>
      </c>
      <c r="T213" s="320" t="str">
        <f t="shared" si="21"/>
        <v/>
      </c>
      <c r="U213" s="282" t="str">
        <f>IF(C213="","",VLOOKUP(T213,'G-3 Multipliers'!$P$2:$Q$6,2,FALSE))</f>
        <v/>
      </c>
      <c r="V213" s="106"/>
      <c r="W213" s="282" t="str">
        <f>IF(V213="","",IF(AND(V213="N/A - Culvert",C213&lt;&gt;"Culvert"),"Not possible ▲",IF(AND(C213="Culvert",V213&lt;&gt;"N/A - Culvert"),"Not possible ▲",IF(VLOOKUP(V213,'G-7 WaterC'' Data'!$AA$4:$AB$7,2,FALSE)=0,"Spatial Data Missing ⚠",VLOOKUP(V213,'G-7 WaterC'' Data'!$AA$4:$AB$7,2,FALSE)))))</f>
        <v/>
      </c>
      <c r="X213" s="56"/>
      <c r="Y213" s="282" t="str">
        <f>IF(X213="","",IF(AND(X213="N/A - Culvert", C213&lt;&gt;"Culvert"), "Not possible ▲",IF(AND(C213="Culvert",X213&lt;&gt;"N/A - Culvert"),"Not possible ▲",IF(VLOOKUP(X213,'G-7 WaterC'' Data'!$AD$4:$AE$14,2,FALSE)=0,"Enrcoachment Data Missing ⚠",VLOOKUP(X213,'G-7 WaterC'' Data'!$AD$4:$AE$14,2,FALSE)))))</f>
        <v/>
      </c>
      <c r="Z213" s="323" t="str">
        <f t="shared" si="22"/>
        <v/>
      </c>
      <c r="AA213" s="105"/>
      <c r="AB213" s="119"/>
      <c r="AC213" s="108"/>
      <c r="AH213" s="30" t="str">
        <f>IFERROR(INDEX('G-7 WaterC'' Data'!$AZ$3:$AZ$7,MATCH(C213,'G-7 WaterC'' Data'!$AY$3:$AY$7,0)),"")</f>
        <v/>
      </c>
      <c r="AK213" s="30" t="str">
        <f t="shared" si="23"/>
        <v>No</v>
      </c>
    </row>
    <row r="214" spans="2:37" ht="13.8" x14ac:dyDescent="0.25">
      <c r="B214" s="101">
        <v>203</v>
      </c>
      <c r="C214" s="950"/>
      <c r="D214" s="119"/>
      <c r="E214" s="281" t="str">
        <f>IF(C214="","",VLOOKUP(C214,'G-7 WaterC'' Data'!$B$2:$G$8,2,FALSE))</f>
        <v/>
      </c>
      <c r="F214" s="282" t="str">
        <f>IFERROR(VLOOKUP(E214,'G-7 WaterC'' Data'!$C$4:$D$8,2,FALSE),"")</f>
        <v/>
      </c>
      <c r="G214" s="105"/>
      <c r="H214" s="282" t="str">
        <f>IFERROR(INDEX('G-7 WaterC'' Data'!$H$4:$L$8,MATCH(C214,'G-7 WaterC'' Data'!$B$4:$B$8,0),MATCH(G214,'G-7 WaterC'' Data'!$H$3:$L$3,0)),"")</f>
        <v/>
      </c>
      <c r="I214" s="52"/>
      <c r="J214" s="289" t="str">
        <f>IF(I214="","",IF(VLOOKUP(I214,'G-7 WaterC'' Data'!$AK$4:$AM$6,2,FALSE)=0,"Spatial Data Missing ⚠",VLOOKUP(I214,'G-7 WaterC'' Data'!$AK$4:$AM$6,2,FALSE)))</f>
        <v/>
      </c>
      <c r="K214" s="282" t="str">
        <f>IF(I214="","",IF(VLOOKUP(I214,'G-7 WaterC'' Data'!$AK$4:$AM$6,3,FALSE)=0,"Spatial Data Missing ⚠",VLOOKUP(I214,'G-7 WaterC'' Data'!$AK$4:$AM$6,3,FALSE)))</f>
        <v/>
      </c>
      <c r="L214" s="281" t="str">
        <f>IFERROR(INDEX('G-7 WaterC'' Data'!$O$3:$O$7,MATCH(G214,'G-7 WaterC'' Data'!$N$3:$N$7,0)),"")</f>
        <v/>
      </c>
      <c r="M214" s="58"/>
      <c r="N214" s="137"/>
      <c r="O214" s="289" t="str">
        <f t="shared" si="18"/>
        <v/>
      </c>
      <c r="P214" s="302" t="str">
        <f t="shared" si="19"/>
        <v/>
      </c>
      <c r="Q214" s="340" t="str">
        <f>IFERROR(IF(P214="Check Data ⚠","Check Data ⚠",VLOOKUP(P214,'G-4 Temporal multipliers'!$A$4:$C$37,3,FALSE)),"")</f>
        <v/>
      </c>
      <c r="R214" s="281" t="str">
        <f>IF(C214="","",VLOOKUP(C214,'G-7 WaterC'' Data'!$B$4:$G$8,4,FALSE))</f>
        <v/>
      </c>
      <c r="S214" s="289" t="str">
        <f t="shared" si="20"/>
        <v/>
      </c>
      <c r="T214" s="320" t="str">
        <f t="shared" si="21"/>
        <v/>
      </c>
      <c r="U214" s="282" t="str">
        <f>IF(C214="","",VLOOKUP(T214,'G-3 Multipliers'!$P$2:$Q$6,2,FALSE))</f>
        <v/>
      </c>
      <c r="V214" s="106"/>
      <c r="W214" s="282" t="str">
        <f>IF(V214="","",IF(AND(V214="N/A - Culvert",C214&lt;&gt;"Culvert"),"Not possible ▲",IF(AND(C214="Culvert",V214&lt;&gt;"N/A - Culvert"),"Not possible ▲",IF(VLOOKUP(V214,'G-7 WaterC'' Data'!$AA$4:$AB$7,2,FALSE)=0,"Spatial Data Missing ⚠",VLOOKUP(V214,'G-7 WaterC'' Data'!$AA$4:$AB$7,2,FALSE)))))</f>
        <v/>
      </c>
      <c r="X214" s="56"/>
      <c r="Y214" s="282" t="str">
        <f>IF(X214="","",IF(AND(X214="N/A - Culvert", C214&lt;&gt;"Culvert"), "Not possible ▲",IF(AND(C214="Culvert",X214&lt;&gt;"N/A - Culvert"),"Not possible ▲",IF(VLOOKUP(X214,'G-7 WaterC'' Data'!$AD$4:$AE$14,2,FALSE)=0,"Enrcoachment Data Missing ⚠",VLOOKUP(X214,'G-7 WaterC'' Data'!$AD$4:$AE$14,2,FALSE)))))</f>
        <v/>
      </c>
      <c r="Z214" s="323" t="str">
        <f t="shared" si="22"/>
        <v/>
      </c>
      <c r="AA214" s="105"/>
      <c r="AB214" s="119"/>
      <c r="AC214" s="108"/>
      <c r="AH214" s="30" t="str">
        <f>IFERROR(INDEX('G-7 WaterC'' Data'!$AZ$3:$AZ$7,MATCH(C214,'G-7 WaterC'' Data'!$AY$3:$AY$7,0)),"")</f>
        <v/>
      </c>
      <c r="AK214" s="30" t="str">
        <f t="shared" si="23"/>
        <v>No</v>
      </c>
    </row>
    <row r="215" spans="2:37" ht="13.8" x14ac:dyDescent="0.25">
      <c r="B215" s="101">
        <v>204</v>
      </c>
      <c r="C215" s="950"/>
      <c r="D215" s="119"/>
      <c r="E215" s="281" t="str">
        <f>IF(C215="","",VLOOKUP(C215,'G-7 WaterC'' Data'!$B$2:$G$8,2,FALSE))</f>
        <v/>
      </c>
      <c r="F215" s="282" t="str">
        <f>IFERROR(VLOOKUP(E215,'G-7 WaterC'' Data'!$C$4:$D$8,2,FALSE),"")</f>
        <v/>
      </c>
      <c r="G215" s="105"/>
      <c r="H215" s="282" t="str">
        <f>IFERROR(INDEX('G-7 WaterC'' Data'!$H$4:$L$8,MATCH(C215,'G-7 WaterC'' Data'!$B$4:$B$8,0),MATCH(G215,'G-7 WaterC'' Data'!$H$3:$L$3,0)),"")</f>
        <v/>
      </c>
      <c r="I215" s="52"/>
      <c r="J215" s="289" t="str">
        <f>IF(I215="","",IF(VLOOKUP(I215,'G-7 WaterC'' Data'!$AK$4:$AM$6,2,FALSE)=0,"Spatial Data Missing ⚠",VLOOKUP(I215,'G-7 WaterC'' Data'!$AK$4:$AM$6,2,FALSE)))</f>
        <v/>
      </c>
      <c r="K215" s="282" t="str">
        <f>IF(I215="","",IF(VLOOKUP(I215,'G-7 WaterC'' Data'!$AK$4:$AM$6,3,FALSE)=0,"Spatial Data Missing ⚠",VLOOKUP(I215,'G-7 WaterC'' Data'!$AK$4:$AM$6,3,FALSE)))</f>
        <v/>
      </c>
      <c r="L215" s="281" t="str">
        <f>IFERROR(INDEX('G-7 WaterC'' Data'!$O$3:$O$7,MATCH(G215,'G-7 WaterC'' Data'!$N$3:$N$7,0)),"")</f>
        <v/>
      </c>
      <c r="M215" s="58"/>
      <c r="N215" s="137"/>
      <c r="O215" s="289" t="str">
        <f t="shared" si="18"/>
        <v/>
      </c>
      <c r="P215" s="302" t="str">
        <f t="shared" si="19"/>
        <v/>
      </c>
      <c r="Q215" s="340" t="str">
        <f>IFERROR(IF(P215="Check Data ⚠","Check Data ⚠",VLOOKUP(P215,'G-4 Temporal multipliers'!$A$4:$C$37,3,FALSE)),"")</f>
        <v/>
      </c>
      <c r="R215" s="281" t="str">
        <f>IF(C215="","",VLOOKUP(C215,'G-7 WaterC'' Data'!$B$4:$G$8,4,FALSE))</f>
        <v/>
      </c>
      <c r="S215" s="289" t="str">
        <f t="shared" si="20"/>
        <v/>
      </c>
      <c r="T215" s="320" t="str">
        <f t="shared" si="21"/>
        <v/>
      </c>
      <c r="U215" s="282" t="str">
        <f>IF(C215="","",VLOOKUP(T215,'G-3 Multipliers'!$P$2:$Q$6,2,FALSE))</f>
        <v/>
      </c>
      <c r="V215" s="106"/>
      <c r="W215" s="282" t="str">
        <f>IF(V215="","",IF(AND(V215="N/A - Culvert",C215&lt;&gt;"Culvert"),"Not possible ▲",IF(AND(C215="Culvert",V215&lt;&gt;"N/A - Culvert"),"Not possible ▲",IF(VLOOKUP(V215,'G-7 WaterC'' Data'!$AA$4:$AB$7,2,FALSE)=0,"Spatial Data Missing ⚠",VLOOKUP(V215,'G-7 WaterC'' Data'!$AA$4:$AB$7,2,FALSE)))))</f>
        <v/>
      </c>
      <c r="X215" s="56"/>
      <c r="Y215" s="282" t="str">
        <f>IF(X215="","",IF(AND(X215="N/A - Culvert", C215&lt;&gt;"Culvert"), "Not possible ▲",IF(AND(C215="Culvert",X215&lt;&gt;"N/A - Culvert"),"Not possible ▲",IF(VLOOKUP(X215,'G-7 WaterC'' Data'!$AD$4:$AE$14,2,FALSE)=0,"Enrcoachment Data Missing ⚠",VLOOKUP(X215,'G-7 WaterC'' Data'!$AD$4:$AE$14,2,FALSE)))))</f>
        <v/>
      </c>
      <c r="Z215" s="323" t="str">
        <f t="shared" si="22"/>
        <v/>
      </c>
      <c r="AA215" s="105"/>
      <c r="AB215" s="119"/>
      <c r="AC215" s="108"/>
      <c r="AH215" s="30" t="str">
        <f>IFERROR(INDEX('G-7 WaterC'' Data'!$AZ$3:$AZ$7,MATCH(C215,'G-7 WaterC'' Data'!$AY$3:$AY$7,0)),"")</f>
        <v/>
      </c>
      <c r="AK215" s="30" t="str">
        <f t="shared" si="23"/>
        <v>No</v>
      </c>
    </row>
    <row r="216" spans="2:37" ht="13.8" x14ac:dyDescent="0.25">
      <c r="B216" s="101">
        <v>205</v>
      </c>
      <c r="C216" s="950"/>
      <c r="D216" s="119"/>
      <c r="E216" s="281" t="str">
        <f>IF(C216="","",VLOOKUP(C216,'G-7 WaterC'' Data'!$B$2:$G$8,2,FALSE))</f>
        <v/>
      </c>
      <c r="F216" s="282" t="str">
        <f>IFERROR(VLOOKUP(E216,'G-7 WaterC'' Data'!$C$4:$D$8,2,FALSE),"")</f>
        <v/>
      </c>
      <c r="G216" s="105"/>
      <c r="H216" s="282" t="str">
        <f>IFERROR(INDEX('G-7 WaterC'' Data'!$H$4:$L$8,MATCH(C216,'G-7 WaterC'' Data'!$B$4:$B$8,0),MATCH(G216,'G-7 WaterC'' Data'!$H$3:$L$3,0)),"")</f>
        <v/>
      </c>
      <c r="I216" s="52"/>
      <c r="J216" s="289" t="str">
        <f>IF(I216="","",IF(VLOOKUP(I216,'G-7 WaterC'' Data'!$AK$4:$AM$6,2,FALSE)=0,"Spatial Data Missing ⚠",VLOOKUP(I216,'G-7 WaterC'' Data'!$AK$4:$AM$6,2,FALSE)))</f>
        <v/>
      </c>
      <c r="K216" s="282" t="str">
        <f>IF(I216="","",IF(VLOOKUP(I216,'G-7 WaterC'' Data'!$AK$4:$AM$6,3,FALSE)=0,"Spatial Data Missing ⚠",VLOOKUP(I216,'G-7 WaterC'' Data'!$AK$4:$AM$6,3,FALSE)))</f>
        <v/>
      </c>
      <c r="L216" s="281" t="str">
        <f>IFERROR(INDEX('G-7 WaterC'' Data'!$O$3:$O$7,MATCH(G216,'G-7 WaterC'' Data'!$N$3:$N$7,0)),"")</f>
        <v/>
      </c>
      <c r="M216" s="58"/>
      <c r="N216" s="137"/>
      <c r="O216" s="289" t="str">
        <f t="shared" si="18"/>
        <v/>
      </c>
      <c r="P216" s="302" t="str">
        <f t="shared" si="19"/>
        <v/>
      </c>
      <c r="Q216" s="340" t="str">
        <f>IFERROR(IF(P216="Check Data ⚠","Check Data ⚠",VLOOKUP(P216,'G-4 Temporal multipliers'!$A$4:$C$37,3,FALSE)),"")</f>
        <v/>
      </c>
      <c r="R216" s="281" t="str">
        <f>IF(C216="","",VLOOKUP(C216,'G-7 WaterC'' Data'!$B$4:$G$8,4,FALSE))</f>
        <v/>
      </c>
      <c r="S216" s="289" t="str">
        <f t="shared" si="20"/>
        <v/>
      </c>
      <c r="T216" s="320" t="str">
        <f t="shared" si="21"/>
        <v/>
      </c>
      <c r="U216" s="282" t="str">
        <f>IF(C216="","",VLOOKUP(T216,'G-3 Multipliers'!$P$2:$Q$6,2,FALSE))</f>
        <v/>
      </c>
      <c r="V216" s="106"/>
      <c r="W216" s="282" t="str">
        <f>IF(V216="","",IF(AND(V216="N/A - Culvert",C216&lt;&gt;"Culvert"),"Not possible ▲",IF(AND(C216="Culvert",V216&lt;&gt;"N/A - Culvert"),"Not possible ▲",IF(VLOOKUP(V216,'G-7 WaterC'' Data'!$AA$4:$AB$7,2,FALSE)=0,"Spatial Data Missing ⚠",VLOOKUP(V216,'G-7 WaterC'' Data'!$AA$4:$AB$7,2,FALSE)))))</f>
        <v/>
      </c>
      <c r="X216" s="56"/>
      <c r="Y216" s="282" t="str">
        <f>IF(X216="","",IF(AND(X216="N/A - Culvert", C216&lt;&gt;"Culvert"), "Not possible ▲",IF(AND(C216="Culvert",X216&lt;&gt;"N/A - Culvert"),"Not possible ▲",IF(VLOOKUP(X216,'G-7 WaterC'' Data'!$AD$4:$AE$14,2,FALSE)=0,"Enrcoachment Data Missing ⚠",VLOOKUP(X216,'G-7 WaterC'' Data'!$AD$4:$AE$14,2,FALSE)))))</f>
        <v/>
      </c>
      <c r="Z216" s="323" t="str">
        <f t="shared" si="22"/>
        <v/>
      </c>
      <c r="AA216" s="105"/>
      <c r="AB216" s="119"/>
      <c r="AC216" s="108"/>
      <c r="AH216" s="30" t="str">
        <f>IFERROR(INDEX('G-7 WaterC'' Data'!$AZ$3:$AZ$7,MATCH(C216,'G-7 WaterC'' Data'!$AY$3:$AY$7,0)),"")</f>
        <v/>
      </c>
      <c r="AK216" s="30" t="str">
        <f t="shared" si="23"/>
        <v>No</v>
      </c>
    </row>
    <row r="217" spans="2:37" ht="13.8" x14ac:dyDescent="0.25">
      <c r="B217" s="101">
        <v>206</v>
      </c>
      <c r="C217" s="950"/>
      <c r="D217" s="119"/>
      <c r="E217" s="281" t="str">
        <f>IF(C217="","",VLOOKUP(C217,'G-7 WaterC'' Data'!$B$2:$G$8,2,FALSE))</f>
        <v/>
      </c>
      <c r="F217" s="282" t="str">
        <f>IFERROR(VLOOKUP(E217,'G-7 WaterC'' Data'!$C$4:$D$8,2,FALSE),"")</f>
        <v/>
      </c>
      <c r="G217" s="105"/>
      <c r="H217" s="282" t="str">
        <f>IFERROR(INDEX('G-7 WaterC'' Data'!$H$4:$L$8,MATCH(C217,'G-7 WaterC'' Data'!$B$4:$B$8,0),MATCH(G217,'G-7 WaterC'' Data'!$H$3:$L$3,0)),"")</f>
        <v/>
      </c>
      <c r="I217" s="52"/>
      <c r="J217" s="289" t="str">
        <f>IF(I217="","",IF(VLOOKUP(I217,'G-7 WaterC'' Data'!$AK$4:$AM$6,2,FALSE)=0,"Spatial Data Missing ⚠",VLOOKUP(I217,'G-7 WaterC'' Data'!$AK$4:$AM$6,2,FALSE)))</f>
        <v/>
      </c>
      <c r="K217" s="282" t="str">
        <f>IF(I217="","",IF(VLOOKUP(I217,'G-7 WaterC'' Data'!$AK$4:$AM$6,3,FALSE)=0,"Spatial Data Missing ⚠",VLOOKUP(I217,'G-7 WaterC'' Data'!$AK$4:$AM$6,3,FALSE)))</f>
        <v/>
      </c>
      <c r="L217" s="281" t="str">
        <f>IFERROR(INDEX('G-7 WaterC'' Data'!$O$3:$O$7,MATCH(G217,'G-7 WaterC'' Data'!$N$3:$N$7,0)),"")</f>
        <v/>
      </c>
      <c r="M217" s="58"/>
      <c r="N217" s="137"/>
      <c r="O217" s="289" t="str">
        <f t="shared" si="18"/>
        <v/>
      </c>
      <c r="P217" s="302" t="str">
        <f t="shared" si="19"/>
        <v/>
      </c>
      <c r="Q217" s="340" t="str">
        <f>IFERROR(IF(P217="Check Data ⚠","Check Data ⚠",VLOOKUP(P217,'G-4 Temporal multipliers'!$A$4:$C$37,3,FALSE)),"")</f>
        <v/>
      </c>
      <c r="R217" s="281" t="str">
        <f>IF(C217="","",VLOOKUP(C217,'G-7 WaterC'' Data'!$B$4:$G$8,4,FALSE))</f>
        <v/>
      </c>
      <c r="S217" s="289" t="str">
        <f t="shared" si="20"/>
        <v/>
      </c>
      <c r="T217" s="320" t="str">
        <f t="shared" si="21"/>
        <v/>
      </c>
      <c r="U217" s="282" t="str">
        <f>IF(C217="","",VLOOKUP(T217,'G-3 Multipliers'!$P$2:$Q$6,2,FALSE))</f>
        <v/>
      </c>
      <c r="V217" s="106"/>
      <c r="W217" s="282" t="str">
        <f>IF(V217="","",IF(AND(V217="N/A - Culvert",C217&lt;&gt;"Culvert"),"Not possible ▲",IF(AND(C217="Culvert",V217&lt;&gt;"N/A - Culvert"),"Not possible ▲",IF(VLOOKUP(V217,'G-7 WaterC'' Data'!$AA$4:$AB$7,2,FALSE)=0,"Spatial Data Missing ⚠",VLOOKUP(V217,'G-7 WaterC'' Data'!$AA$4:$AB$7,2,FALSE)))))</f>
        <v/>
      </c>
      <c r="X217" s="56"/>
      <c r="Y217" s="282" t="str">
        <f>IF(X217="","",IF(AND(X217="N/A - Culvert", C217&lt;&gt;"Culvert"), "Not possible ▲",IF(AND(C217="Culvert",X217&lt;&gt;"N/A - Culvert"),"Not possible ▲",IF(VLOOKUP(X217,'G-7 WaterC'' Data'!$AD$4:$AE$14,2,FALSE)=0,"Enrcoachment Data Missing ⚠",VLOOKUP(X217,'G-7 WaterC'' Data'!$AD$4:$AE$14,2,FALSE)))))</f>
        <v/>
      </c>
      <c r="Z217" s="323" t="str">
        <f t="shared" si="22"/>
        <v/>
      </c>
      <c r="AA217" s="105"/>
      <c r="AB217" s="119"/>
      <c r="AC217" s="108"/>
      <c r="AH217" s="30" t="str">
        <f>IFERROR(INDEX('G-7 WaterC'' Data'!$AZ$3:$AZ$7,MATCH(C217,'G-7 WaterC'' Data'!$AY$3:$AY$7,0)),"")</f>
        <v/>
      </c>
      <c r="AK217" s="30" t="str">
        <f t="shared" si="23"/>
        <v>No</v>
      </c>
    </row>
    <row r="218" spans="2:37" ht="13.8" x14ac:dyDescent="0.25">
      <c r="B218" s="101">
        <v>207</v>
      </c>
      <c r="C218" s="950"/>
      <c r="D218" s="119"/>
      <c r="E218" s="281" t="str">
        <f>IF(C218="","",VLOOKUP(C218,'G-7 WaterC'' Data'!$B$2:$G$8,2,FALSE))</f>
        <v/>
      </c>
      <c r="F218" s="282" t="str">
        <f>IFERROR(VLOOKUP(E218,'G-7 WaterC'' Data'!$C$4:$D$8,2,FALSE),"")</f>
        <v/>
      </c>
      <c r="G218" s="105"/>
      <c r="H218" s="282" t="str">
        <f>IFERROR(INDEX('G-7 WaterC'' Data'!$H$4:$L$8,MATCH(C218,'G-7 WaterC'' Data'!$B$4:$B$8,0),MATCH(G218,'G-7 WaterC'' Data'!$H$3:$L$3,0)),"")</f>
        <v/>
      </c>
      <c r="I218" s="52"/>
      <c r="J218" s="289" t="str">
        <f>IF(I218="","",IF(VLOOKUP(I218,'G-7 WaterC'' Data'!$AK$4:$AM$6,2,FALSE)=0,"Spatial Data Missing ⚠",VLOOKUP(I218,'G-7 WaterC'' Data'!$AK$4:$AM$6,2,FALSE)))</f>
        <v/>
      </c>
      <c r="K218" s="282" t="str">
        <f>IF(I218="","",IF(VLOOKUP(I218,'G-7 WaterC'' Data'!$AK$4:$AM$6,3,FALSE)=0,"Spatial Data Missing ⚠",VLOOKUP(I218,'G-7 WaterC'' Data'!$AK$4:$AM$6,3,FALSE)))</f>
        <v/>
      </c>
      <c r="L218" s="281" t="str">
        <f>IFERROR(INDEX('G-7 WaterC'' Data'!$O$3:$O$7,MATCH(G218,'G-7 WaterC'' Data'!$N$3:$N$7,0)),"")</f>
        <v/>
      </c>
      <c r="M218" s="58"/>
      <c r="N218" s="137"/>
      <c r="O218" s="289" t="str">
        <f t="shared" si="18"/>
        <v/>
      </c>
      <c r="P218" s="302" t="str">
        <f t="shared" si="19"/>
        <v/>
      </c>
      <c r="Q218" s="340" t="str">
        <f>IFERROR(IF(P218="Check Data ⚠","Check Data ⚠",VLOOKUP(P218,'G-4 Temporal multipliers'!$A$4:$C$37,3,FALSE)),"")</f>
        <v/>
      </c>
      <c r="R218" s="281" t="str">
        <f>IF(C218="","",VLOOKUP(C218,'G-7 WaterC'' Data'!$B$4:$G$8,4,FALSE))</f>
        <v/>
      </c>
      <c r="S218" s="289" t="str">
        <f t="shared" si="20"/>
        <v/>
      </c>
      <c r="T218" s="320" t="str">
        <f t="shared" si="21"/>
        <v/>
      </c>
      <c r="U218" s="282" t="str">
        <f>IF(C218="","",VLOOKUP(T218,'G-3 Multipliers'!$P$2:$Q$6,2,FALSE))</f>
        <v/>
      </c>
      <c r="V218" s="106"/>
      <c r="W218" s="282" t="str">
        <f>IF(V218="","",IF(AND(V218="N/A - Culvert",C218&lt;&gt;"Culvert"),"Not possible ▲",IF(AND(C218="Culvert",V218&lt;&gt;"N/A - Culvert"),"Not possible ▲",IF(VLOOKUP(V218,'G-7 WaterC'' Data'!$AA$4:$AB$7,2,FALSE)=0,"Spatial Data Missing ⚠",VLOOKUP(V218,'G-7 WaterC'' Data'!$AA$4:$AB$7,2,FALSE)))))</f>
        <v/>
      </c>
      <c r="X218" s="56"/>
      <c r="Y218" s="282" t="str">
        <f>IF(X218="","",IF(AND(X218="N/A - Culvert", C218&lt;&gt;"Culvert"), "Not possible ▲",IF(AND(C218="Culvert",X218&lt;&gt;"N/A - Culvert"),"Not possible ▲",IF(VLOOKUP(X218,'G-7 WaterC'' Data'!$AD$4:$AE$14,2,FALSE)=0,"Enrcoachment Data Missing ⚠",VLOOKUP(X218,'G-7 WaterC'' Data'!$AD$4:$AE$14,2,FALSE)))))</f>
        <v/>
      </c>
      <c r="Z218" s="323" t="str">
        <f t="shared" si="22"/>
        <v/>
      </c>
      <c r="AA218" s="105"/>
      <c r="AB218" s="119"/>
      <c r="AC218" s="108"/>
      <c r="AH218" s="30" t="str">
        <f>IFERROR(INDEX('G-7 WaterC'' Data'!$AZ$3:$AZ$7,MATCH(C218,'G-7 WaterC'' Data'!$AY$3:$AY$7,0)),"")</f>
        <v/>
      </c>
      <c r="AK218" s="30" t="str">
        <f t="shared" si="23"/>
        <v>No</v>
      </c>
    </row>
    <row r="219" spans="2:37" ht="13.8" x14ac:dyDescent="0.25">
      <c r="B219" s="101">
        <v>208</v>
      </c>
      <c r="C219" s="950"/>
      <c r="D219" s="119"/>
      <c r="E219" s="281" t="str">
        <f>IF(C219="","",VLOOKUP(C219,'G-7 WaterC'' Data'!$B$2:$G$8,2,FALSE))</f>
        <v/>
      </c>
      <c r="F219" s="282" t="str">
        <f>IFERROR(VLOOKUP(E219,'G-7 WaterC'' Data'!$C$4:$D$8,2,FALSE),"")</f>
        <v/>
      </c>
      <c r="G219" s="105"/>
      <c r="H219" s="282" t="str">
        <f>IFERROR(INDEX('G-7 WaterC'' Data'!$H$4:$L$8,MATCH(C219,'G-7 WaterC'' Data'!$B$4:$B$8,0),MATCH(G219,'G-7 WaterC'' Data'!$H$3:$L$3,0)),"")</f>
        <v/>
      </c>
      <c r="I219" s="52"/>
      <c r="J219" s="289" t="str">
        <f>IF(I219="","",IF(VLOOKUP(I219,'G-7 WaterC'' Data'!$AK$4:$AM$6,2,FALSE)=0,"Spatial Data Missing ⚠",VLOOKUP(I219,'G-7 WaterC'' Data'!$AK$4:$AM$6,2,FALSE)))</f>
        <v/>
      </c>
      <c r="K219" s="282" t="str">
        <f>IF(I219="","",IF(VLOOKUP(I219,'G-7 WaterC'' Data'!$AK$4:$AM$6,3,FALSE)=0,"Spatial Data Missing ⚠",VLOOKUP(I219,'G-7 WaterC'' Data'!$AK$4:$AM$6,3,FALSE)))</f>
        <v/>
      </c>
      <c r="L219" s="281" t="str">
        <f>IFERROR(INDEX('G-7 WaterC'' Data'!$O$3:$O$7,MATCH(G219,'G-7 WaterC'' Data'!$N$3:$N$7,0)),"")</f>
        <v/>
      </c>
      <c r="M219" s="58"/>
      <c r="N219" s="137"/>
      <c r="O219" s="289" t="str">
        <f t="shared" si="18"/>
        <v/>
      </c>
      <c r="P219" s="302" t="str">
        <f t="shared" si="19"/>
        <v/>
      </c>
      <c r="Q219" s="340" t="str">
        <f>IFERROR(IF(P219="Check Data ⚠","Check Data ⚠",VLOOKUP(P219,'G-4 Temporal multipliers'!$A$4:$C$37,3,FALSE)),"")</f>
        <v/>
      </c>
      <c r="R219" s="281" t="str">
        <f>IF(C219="","",VLOOKUP(C219,'G-7 WaterC'' Data'!$B$4:$G$8,4,FALSE))</f>
        <v/>
      </c>
      <c r="S219" s="289" t="str">
        <f t="shared" si="20"/>
        <v/>
      </c>
      <c r="T219" s="320" t="str">
        <f t="shared" si="21"/>
        <v/>
      </c>
      <c r="U219" s="282" t="str">
        <f>IF(C219="","",VLOOKUP(T219,'G-3 Multipliers'!$P$2:$Q$6,2,FALSE))</f>
        <v/>
      </c>
      <c r="V219" s="106"/>
      <c r="W219" s="282" t="str">
        <f>IF(V219="","",IF(AND(V219="N/A - Culvert",C219&lt;&gt;"Culvert"),"Not possible ▲",IF(AND(C219="Culvert",V219&lt;&gt;"N/A - Culvert"),"Not possible ▲",IF(VLOOKUP(V219,'G-7 WaterC'' Data'!$AA$4:$AB$7,2,FALSE)=0,"Spatial Data Missing ⚠",VLOOKUP(V219,'G-7 WaterC'' Data'!$AA$4:$AB$7,2,FALSE)))))</f>
        <v/>
      </c>
      <c r="X219" s="56"/>
      <c r="Y219" s="282" t="str">
        <f>IF(X219="","",IF(AND(X219="N/A - Culvert", C219&lt;&gt;"Culvert"), "Not possible ▲",IF(AND(C219="Culvert",X219&lt;&gt;"N/A - Culvert"),"Not possible ▲",IF(VLOOKUP(X219,'G-7 WaterC'' Data'!$AD$4:$AE$14,2,FALSE)=0,"Enrcoachment Data Missing ⚠",VLOOKUP(X219,'G-7 WaterC'' Data'!$AD$4:$AE$14,2,FALSE)))))</f>
        <v/>
      </c>
      <c r="Z219" s="323" t="str">
        <f t="shared" si="22"/>
        <v/>
      </c>
      <c r="AA219" s="105"/>
      <c r="AB219" s="119"/>
      <c r="AC219" s="108"/>
      <c r="AH219" s="30" t="str">
        <f>IFERROR(INDEX('G-7 WaterC'' Data'!$AZ$3:$AZ$7,MATCH(C219,'G-7 WaterC'' Data'!$AY$3:$AY$7,0)),"")</f>
        <v/>
      </c>
      <c r="AK219" s="30" t="str">
        <f t="shared" si="23"/>
        <v>No</v>
      </c>
    </row>
    <row r="220" spans="2:37" ht="13.8" x14ac:dyDescent="0.25">
      <c r="B220" s="101">
        <v>209</v>
      </c>
      <c r="C220" s="950"/>
      <c r="D220" s="119"/>
      <c r="E220" s="281" t="str">
        <f>IF(C220="","",VLOOKUP(C220,'G-7 WaterC'' Data'!$B$2:$G$8,2,FALSE))</f>
        <v/>
      </c>
      <c r="F220" s="282" t="str">
        <f>IFERROR(VLOOKUP(E220,'G-7 WaterC'' Data'!$C$4:$D$8,2,FALSE),"")</f>
        <v/>
      </c>
      <c r="G220" s="105"/>
      <c r="H220" s="282" t="str">
        <f>IFERROR(INDEX('G-7 WaterC'' Data'!$H$4:$L$8,MATCH(C220,'G-7 WaterC'' Data'!$B$4:$B$8,0),MATCH(G220,'G-7 WaterC'' Data'!$H$3:$L$3,0)),"")</f>
        <v/>
      </c>
      <c r="I220" s="52"/>
      <c r="J220" s="289" t="str">
        <f>IF(I220="","",IF(VLOOKUP(I220,'G-7 WaterC'' Data'!$AK$4:$AM$6,2,FALSE)=0,"Spatial Data Missing ⚠",VLOOKUP(I220,'G-7 WaterC'' Data'!$AK$4:$AM$6,2,FALSE)))</f>
        <v/>
      </c>
      <c r="K220" s="282" t="str">
        <f>IF(I220="","",IF(VLOOKUP(I220,'G-7 WaterC'' Data'!$AK$4:$AM$6,3,FALSE)=0,"Spatial Data Missing ⚠",VLOOKUP(I220,'G-7 WaterC'' Data'!$AK$4:$AM$6,3,FALSE)))</f>
        <v/>
      </c>
      <c r="L220" s="281" t="str">
        <f>IFERROR(INDEX('G-7 WaterC'' Data'!$O$3:$O$7,MATCH(G220,'G-7 WaterC'' Data'!$N$3:$N$7,0)),"")</f>
        <v/>
      </c>
      <c r="M220" s="58"/>
      <c r="N220" s="137"/>
      <c r="O220" s="289" t="str">
        <f t="shared" si="18"/>
        <v/>
      </c>
      <c r="P220" s="302" t="str">
        <f t="shared" si="19"/>
        <v/>
      </c>
      <c r="Q220" s="340" t="str">
        <f>IFERROR(IF(P220="Check Data ⚠","Check Data ⚠",VLOOKUP(P220,'G-4 Temporal multipliers'!$A$4:$C$37,3,FALSE)),"")</f>
        <v/>
      </c>
      <c r="R220" s="281" t="str">
        <f>IF(C220="","",VLOOKUP(C220,'G-7 WaterC'' Data'!$B$4:$G$8,4,FALSE))</f>
        <v/>
      </c>
      <c r="S220" s="289" t="str">
        <f t="shared" si="20"/>
        <v/>
      </c>
      <c r="T220" s="320" t="str">
        <f t="shared" si="21"/>
        <v/>
      </c>
      <c r="U220" s="282" t="str">
        <f>IF(C220="","",VLOOKUP(T220,'G-3 Multipliers'!$P$2:$Q$6,2,FALSE))</f>
        <v/>
      </c>
      <c r="V220" s="106"/>
      <c r="W220" s="282" t="str">
        <f>IF(V220="","",IF(AND(V220="N/A - Culvert",C220&lt;&gt;"Culvert"),"Not possible ▲",IF(AND(C220="Culvert",V220&lt;&gt;"N/A - Culvert"),"Not possible ▲",IF(VLOOKUP(V220,'G-7 WaterC'' Data'!$AA$4:$AB$7,2,FALSE)=0,"Spatial Data Missing ⚠",VLOOKUP(V220,'G-7 WaterC'' Data'!$AA$4:$AB$7,2,FALSE)))))</f>
        <v/>
      </c>
      <c r="X220" s="56"/>
      <c r="Y220" s="282" t="str">
        <f>IF(X220="","",IF(AND(X220="N/A - Culvert", C220&lt;&gt;"Culvert"), "Not possible ▲",IF(AND(C220="Culvert",X220&lt;&gt;"N/A - Culvert"),"Not possible ▲",IF(VLOOKUP(X220,'G-7 WaterC'' Data'!$AD$4:$AE$14,2,FALSE)=0,"Enrcoachment Data Missing ⚠",VLOOKUP(X220,'G-7 WaterC'' Data'!$AD$4:$AE$14,2,FALSE)))))</f>
        <v/>
      </c>
      <c r="Z220" s="323" t="str">
        <f t="shared" si="22"/>
        <v/>
      </c>
      <c r="AA220" s="105"/>
      <c r="AB220" s="119"/>
      <c r="AC220" s="108"/>
      <c r="AH220" s="30" t="str">
        <f>IFERROR(INDEX('G-7 WaterC'' Data'!$AZ$3:$AZ$7,MATCH(C220,'G-7 WaterC'' Data'!$AY$3:$AY$7,0)),"")</f>
        <v/>
      </c>
      <c r="AK220" s="30" t="str">
        <f t="shared" si="23"/>
        <v>No</v>
      </c>
    </row>
    <row r="221" spans="2:37" ht="13.8" x14ac:dyDescent="0.25">
      <c r="B221" s="101">
        <v>210</v>
      </c>
      <c r="C221" s="950"/>
      <c r="D221" s="119"/>
      <c r="E221" s="281" t="str">
        <f>IF(C221="","",VLOOKUP(C221,'G-7 WaterC'' Data'!$B$2:$G$8,2,FALSE))</f>
        <v/>
      </c>
      <c r="F221" s="282" t="str">
        <f>IFERROR(VLOOKUP(E221,'G-7 WaterC'' Data'!$C$4:$D$8,2,FALSE),"")</f>
        <v/>
      </c>
      <c r="G221" s="105"/>
      <c r="H221" s="282" t="str">
        <f>IFERROR(INDEX('G-7 WaterC'' Data'!$H$4:$L$8,MATCH(C221,'G-7 WaterC'' Data'!$B$4:$B$8,0),MATCH(G221,'G-7 WaterC'' Data'!$H$3:$L$3,0)),"")</f>
        <v/>
      </c>
      <c r="I221" s="52"/>
      <c r="J221" s="289" t="str">
        <f>IF(I221="","",IF(VLOOKUP(I221,'G-7 WaterC'' Data'!$AK$4:$AM$6,2,FALSE)=0,"Spatial Data Missing ⚠",VLOOKUP(I221,'G-7 WaterC'' Data'!$AK$4:$AM$6,2,FALSE)))</f>
        <v/>
      </c>
      <c r="K221" s="282" t="str">
        <f>IF(I221="","",IF(VLOOKUP(I221,'G-7 WaterC'' Data'!$AK$4:$AM$6,3,FALSE)=0,"Spatial Data Missing ⚠",VLOOKUP(I221,'G-7 WaterC'' Data'!$AK$4:$AM$6,3,FALSE)))</f>
        <v/>
      </c>
      <c r="L221" s="281" t="str">
        <f>IFERROR(INDEX('G-7 WaterC'' Data'!$O$3:$O$7,MATCH(G221,'G-7 WaterC'' Data'!$N$3:$N$7,0)),"")</f>
        <v/>
      </c>
      <c r="M221" s="58"/>
      <c r="N221" s="137"/>
      <c r="O221" s="289" t="str">
        <f t="shared" si="18"/>
        <v/>
      </c>
      <c r="P221" s="302" t="str">
        <f t="shared" si="19"/>
        <v/>
      </c>
      <c r="Q221" s="340" t="str">
        <f>IFERROR(IF(P221="Check Data ⚠","Check Data ⚠",VLOOKUP(P221,'G-4 Temporal multipliers'!$A$4:$C$37,3,FALSE)),"")</f>
        <v/>
      </c>
      <c r="R221" s="281" t="str">
        <f>IF(C221="","",VLOOKUP(C221,'G-7 WaterC'' Data'!$B$4:$G$8,4,FALSE))</f>
        <v/>
      </c>
      <c r="S221" s="289" t="str">
        <f t="shared" si="20"/>
        <v/>
      </c>
      <c r="T221" s="320" t="str">
        <f t="shared" si="21"/>
        <v/>
      </c>
      <c r="U221" s="282" t="str">
        <f>IF(C221="","",VLOOKUP(T221,'G-3 Multipliers'!$P$2:$Q$6,2,FALSE))</f>
        <v/>
      </c>
      <c r="V221" s="106"/>
      <c r="W221" s="282" t="str">
        <f>IF(V221="","",IF(AND(V221="N/A - Culvert",C221&lt;&gt;"Culvert"),"Not possible ▲",IF(AND(C221="Culvert",V221&lt;&gt;"N/A - Culvert"),"Not possible ▲",IF(VLOOKUP(V221,'G-7 WaterC'' Data'!$AA$4:$AB$7,2,FALSE)=0,"Spatial Data Missing ⚠",VLOOKUP(V221,'G-7 WaterC'' Data'!$AA$4:$AB$7,2,FALSE)))))</f>
        <v/>
      </c>
      <c r="X221" s="56"/>
      <c r="Y221" s="282" t="str">
        <f>IF(X221="","",IF(AND(X221="N/A - Culvert", C221&lt;&gt;"Culvert"), "Not possible ▲",IF(AND(C221="Culvert",X221&lt;&gt;"N/A - Culvert"),"Not possible ▲",IF(VLOOKUP(X221,'G-7 WaterC'' Data'!$AD$4:$AE$14,2,FALSE)=0,"Enrcoachment Data Missing ⚠",VLOOKUP(X221,'G-7 WaterC'' Data'!$AD$4:$AE$14,2,FALSE)))))</f>
        <v/>
      </c>
      <c r="Z221" s="323" t="str">
        <f t="shared" si="22"/>
        <v/>
      </c>
      <c r="AA221" s="105"/>
      <c r="AB221" s="119"/>
      <c r="AC221" s="108"/>
      <c r="AH221" s="30" t="str">
        <f>IFERROR(INDEX('G-7 WaterC'' Data'!$AZ$3:$AZ$7,MATCH(C221,'G-7 WaterC'' Data'!$AY$3:$AY$7,0)),"")</f>
        <v/>
      </c>
      <c r="AK221" s="30" t="str">
        <f t="shared" si="23"/>
        <v>No</v>
      </c>
    </row>
    <row r="222" spans="2:37" ht="13.8" x14ac:dyDescent="0.25">
      <c r="B222" s="101">
        <v>211</v>
      </c>
      <c r="C222" s="950"/>
      <c r="D222" s="119"/>
      <c r="E222" s="281" t="str">
        <f>IF(C222="","",VLOOKUP(C222,'G-7 WaterC'' Data'!$B$2:$G$8,2,FALSE))</f>
        <v/>
      </c>
      <c r="F222" s="282" t="str">
        <f>IFERROR(VLOOKUP(E222,'G-7 WaterC'' Data'!$C$4:$D$8,2,FALSE),"")</f>
        <v/>
      </c>
      <c r="G222" s="105"/>
      <c r="H222" s="282" t="str">
        <f>IFERROR(INDEX('G-7 WaterC'' Data'!$H$4:$L$8,MATCH(C222,'G-7 WaterC'' Data'!$B$4:$B$8,0),MATCH(G222,'G-7 WaterC'' Data'!$H$3:$L$3,0)),"")</f>
        <v/>
      </c>
      <c r="I222" s="52"/>
      <c r="J222" s="289" t="str">
        <f>IF(I222="","",IF(VLOOKUP(I222,'G-7 WaterC'' Data'!$AK$4:$AM$6,2,FALSE)=0,"Spatial Data Missing ⚠",VLOOKUP(I222,'G-7 WaterC'' Data'!$AK$4:$AM$6,2,FALSE)))</f>
        <v/>
      </c>
      <c r="K222" s="282" t="str">
        <f>IF(I222="","",IF(VLOOKUP(I222,'G-7 WaterC'' Data'!$AK$4:$AM$6,3,FALSE)=0,"Spatial Data Missing ⚠",VLOOKUP(I222,'G-7 WaterC'' Data'!$AK$4:$AM$6,3,FALSE)))</f>
        <v/>
      </c>
      <c r="L222" s="281" t="str">
        <f>IFERROR(INDEX('G-7 WaterC'' Data'!$O$3:$O$7,MATCH(G222,'G-7 WaterC'' Data'!$N$3:$N$7,0)),"")</f>
        <v/>
      </c>
      <c r="M222" s="58"/>
      <c r="N222" s="137"/>
      <c r="O222" s="289" t="str">
        <f t="shared" si="18"/>
        <v/>
      </c>
      <c r="P222" s="302" t="str">
        <f t="shared" si="19"/>
        <v/>
      </c>
      <c r="Q222" s="340" t="str">
        <f>IFERROR(IF(P222="Check Data ⚠","Check Data ⚠",VLOOKUP(P222,'G-4 Temporal multipliers'!$A$4:$C$37,3,FALSE)),"")</f>
        <v/>
      </c>
      <c r="R222" s="281" t="str">
        <f>IF(C222="","",VLOOKUP(C222,'G-7 WaterC'' Data'!$B$4:$G$8,4,FALSE))</f>
        <v/>
      </c>
      <c r="S222" s="289" t="str">
        <f t="shared" si="20"/>
        <v/>
      </c>
      <c r="T222" s="320" t="str">
        <f t="shared" si="21"/>
        <v/>
      </c>
      <c r="U222" s="282" t="str">
        <f>IF(C222="","",VLOOKUP(T222,'G-3 Multipliers'!$P$2:$Q$6,2,FALSE))</f>
        <v/>
      </c>
      <c r="V222" s="106"/>
      <c r="W222" s="282" t="str">
        <f>IF(V222="","",IF(AND(V222="N/A - Culvert",C222&lt;&gt;"Culvert"),"Not possible ▲",IF(AND(C222="Culvert",V222&lt;&gt;"N/A - Culvert"),"Not possible ▲",IF(VLOOKUP(V222,'G-7 WaterC'' Data'!$AA$4:$AB$7,2,FALSE)=0,"Spatial Data Missing ⚠",VLOOKUP(V222,'G-7 WaterC'' Data'!$AA$4:$AB$7,2,FALSE)))))</f>
        <v/>
      </c>
      <c r="X222" s="56"/>
      <c r="Y222" s="282" t="str">
        <f>IF(X222="","",IF(AND(X222="N/A - Culvert", C222&lt;&gt;"Culvert"), "Not possible ▲",IF(AND(C222="Culvert",X222&lt;&gt;"N/A - Culvert"),"Not possible ▲",IF(VLOOKUP(X222,'G-7 WaterC'' Data'!$AD$4:$AE$14,2,FALSE)=0,"Enrcoachment Data Missing ⚠",VLOOKUP(X222,'G-7 WaterC'' Data'!$AD$4:$AE$14,2,FALSE)))))</f>
        <v/>
      </c>
      <c r="Z222" s="323" t="str">
        <f t="shared" si="22"/>
        <v/>
      </c>
      <c r="AA222" s="105"/>
      <c r="AB222" s="119"/>
      <c r="AC222" s="108"/>
      <c r="AH222" s="30" t="str">
        <f>IFERROR(INDEX('G-7 WaterC'' Data'!$AZ$3:$AZ$7,MATCH(C222,'G-7 WaterC'' Data'!$AY$3:$AY$7,0)),"")</f>
        <v/>
      </c>
      <c r="AK222" s="30" t="str">
        <f t="shared" si="23"/>
        <v>No</v>
      </c>
    </row>
    <row r="223" spans="2:37" ht="13.8" x14ac:dyDescent="0.25">
      <c r="B223" s="101">
        <v>212</v>
      </c>
      <c r="C223" s="950"/>
      <c r="D223" s="119"/>
      <c r="E223" s="281" t="str">
        <f>IF(C223="","",VLOOKUP(C223,'G-7 WaterC'' Data'!$B$2:$G$8,2,FALSE))</f>
        <v/>
      </c>
      <c r="F223" s="282" t="str">
        <f>IFERROR(VLOOKUP(E223,'G-7 WaterC'' Data'!$C$4:$D$8,2,FALSE),"")</f>
        <v/>
      </c>
      <c r="G223" s="105"/>
      <c r="H223" s="282" t="str">
        <f>IFERROR(INDEX('G-7 WaterC'' Data'!$H$4:$L$8,MATCH(C223,'G-7 WaterC'' Data'!$B$4:$B$8,0),MATCH(G223,'G-7 WaterC'' Data'!$H$3:$L$3,0)),"")</f>
        <v/>
      </c>
      <c r="I223" s="52"/>
      <c r="J223" s="289" t="str">
        <f>IF(I223="","",IF(VLOOKUP(I223,'G-7 WaterC'' Data'!$AK$4:$AM$6,2,FALSE)=0,"Spatial Data Missing ⚠",VLOOKUP(I223,'G-7 WaterC'' Data'!$AK$4:$AM$6,2,FALSE)))</f>
        <v/>
      </c>
      <c r="K223" s="282" t="str">
        <f>IF(I223="","",IF(VLOOKUP(I223,'G-7 WaterC'' Data'!$AK$4:$AM$6,3,FALSE)=0,"Spatial Data Missing ⚠",VLOOKUP(I223,'G-7 WaterC'' Data'!$AK$4:$AM$6,3,FALSE)))</f>
        <v/>
      </c>
      <c r="L223" s="281" t="str">
        <f>IFERROR(INDEX('G-7 WaterC'' Data'!$O$3:$O$7,MATCH(G223,'G-7 WaterC'' Data'!$N$3:$N$7,0)),"")</f>
        <v/>
      </c>
      <c r="M223" s="58"/>
      <c r="N223" s="137"/>
      <c r="O223" s="289" t="str">
        <f t="shared" si="18"/>
        <v/>
      </c>
      <c r="P223" s="302" t="str">
        <f t="shared" si="19"/>
        <v/>
      </c>
      <c r="Q223" s="340" t="str">
        <f>IFERROR(IF(P223="Check Data ⚠","Check Data ⚠",VLOOKUP(P223,'G-4 Temporal multipliers'!$A$4:$C$37,3,FALSE)),"")</f>
        <v/>
      </c>
      <c r="R223" s="281" t="str">
        <f>IF(C223="","",VLOOKUP(C223,'G-7 WaterC'' Data'!$B$4:$G$8,4,FALSE))</f>
        <v/>
      </c>
      <c r="S223" s="289" t="str">
        <f t="shared" si="20"/>
        <v/>
      </c>
      <c r="T223" s="320" t="str">
        <f t="shared" si="21"/>
        <v/>
      </c>
      <c r="U223" s="282" t="str">
        <f>IF(C223="","",VLOOKUP(T223,'G-3 Multipliers'!$P$2:$Q$6,2,FALSE))</f>
        <v/>
      </c>
      <c r="V223" s="106"/>
      <c r="W223" s="282" t="str">
        <f>IF(V223="","",IF(AND(V223="N/A - Culvert",C223&lt;&gt;"Culvert"),"Not possible ▲",IF(AND(C223="Culvert",V223&lt;&gt;"N/A - Culvert"),"Not possible ▲",IF(VLOOKUP(V223,'G-7 WaterC'' Data'!$AA$4:$AB$7,2,FALSE)=0,"Spatial Data Missing ⚠",VLOOKUP(V223,'G-7 WaterC'' Data'!$AA$4:$AB$7,2,FALSE)))))</f>
        <v/>
      </c>
      <c r="X223" s="56"/>
      <c r="Y223" s="282" t="str">
        <f>IF(X223="","",IF(AND(X223="N/A - Culvert", C223&lt;&gt;"Culvert"), "Not possible ▲",IF(AND(C223="Culvert",X223&lt;&gt;"N/A - Culvert"),"Not possible ▲",IF(VLOOKUP(X223,'G-7 WaterC'' Data'!$AD$4:$AE$14,2,FALSE)=0,"Enrcoachment Data Missing ⚠",VLOOKUP(X223,'G-7 WaterC'' Data'!$AD$4:$AE$14,2,FALSE)))))</f>
        <v/>
      </c>
      <c r="Z223" s="323" t="str">
        <f t="shared" si="22"/>
        <v/>
      </c>
      <c r="AA223" s="105"/>
      <c r="AB223" s="119"/>
      <c r="AC223" s="108"/>
      <c r="AH223" s="30" t="str">
        <f>IFERROR(INDEX('G-7 WaterC'' Data'!$AZ$3:$AZ$7,MATCH(C223,'G-7 WaterC'' Data'!$AY$3:$AY$7,0)),"")</f>
        <v/>
      </c>
      <c r="AK223" s="30" t="str">
        <f t="shared" si="23"/>
        <v>No</v>
      </c>
    </row>
    <row r="224" spans="2:37" ht="13.8" x14ac:dyDescent="0.25">
      <c r="B224" s="101">
        <v>213</v>
      </c>
      <c r="C224" s="950"/>
      <c r="D224" s="119"/>
      <c r="E224" s="281" t="str">
        <f>IF(C224="","",VLOOKUP(C224,'G-7 WaterC'' Data'!$B$2:$G$8,2,FALSE))</f>
        <v/>
      </c>
      <c r="F224" s="282" t="str">
        <f>IFERROR(VLOOKUP(E224,'G-7 WaterC'' Data'!$C$4:$D$8,2,FALSE),"")</f>
        <v/>
      </c>
      <c r="G224" s="105"/>
      <c r="H224" s="282" t="str">
        <f>IFERROR(INDEX('G-7 WaterC'' Data'!$H$4:$L$8,MATCH(C224,'G-7 WaterC'' Data'!$B$4:$B$8,0),MATCH(G224,'G-7 WaterC'' Data'!$H$3:$L$3,0)),"")</f>
        <v/>
      </c>
      <c r="I224" s="52"/>
      <c r="J224" s="289" t="str">
        <f>IF(I224="","",IF(VLOOKUP(I224,'G-7 WaterC'' Data'!$AK$4:$AM$6,2,FALSE)=0,"Spatial Data Missing ⚠",VLOOKUP(I224,'G-7 WaterC'' Data'!$AK$4:$AM$6,2,FALSE)))</f>
        <v/>
      </c>
      <c r="K224" s="282" t="str">
        <f>IF(I224="","",IF(VLOOKUP(I224,'G-7 WaterC'' Data'!$AK$4:$AM$6,3,FALSE)=0,"Spatial Data Missing ⚠",VLOOKUP(I224,'G-7 WaterC'' Data'!$AK$4:$AM$6,3,FALSE)))</f>
        <v/>
      </c>
      <c r="L224" s="281" t="str">
        <f>IFERROR(INDEX('G-7 WaterC'' Data'!$O$3:$O$7,MATCH(G224,'G-7 WaterC'' Data'!$N$3:$N$7,0)),"")</f>
        <v/>
      </c>
      <c r="M224" s="58"/>
      <c r="N224" s="137"/>
      <c r="O224" s="289" t="str">
        <f t="shared" si="18"/>
        <v/>
      </c>
      <c r="P224" s="302" t="str">
        <f t="shared" si="19"/>
        <v/>
      </c>
      <c r="Q224" s="340" t="str">
        <f>IFERROR(IF(P224="Check Data ⚠","Check Data ⚠",VLOOKUP(P224,'G-4 Temporal multipliers'!$A$4:$C$37,3,FALSE)),"")</f>
        <v/>
      </c>
      <c r="R224" s="281" t="str">
        <f>IF(C224="","",VLOOKUP(C224,'G-7 WaterC'' Data'!$B$4:$G$8,4,FALSE))</f>
        <v/>
      </c>
      <c r="S224" s="289" t="str">
        <f t="shared" si="20"/>
        <v/>
      </c>
      <c r="T224" s="320" t="str">
        <f t="shared" si="21"/>
        <v/>
      </c>
      <c r="U224" s="282" t="str">
        <f>IF(C224="","",VLOOKUP(T224,'G-3 Multipliers'!$P$2:$Q$6,2,FALSE))</f>
        <v/>
      </c>
      <c r="V224" s="106"/>
      <c r="W224" s="282" t="str">
        <f>IF(V224="","",IF(AND(V224="N/A - Culvert",C224&lt;&gt;"Culvert"),"Not possible ▲",IF(AND(C224="Culvert",V224&lt;&gt;"N/A - Culvert"),"Not possible ▲",IF(VLOOKUP(V224,'G-7 WaterC'' Data'!$AA$4:$AB$7,2,FALSE)=0,"Spatial Data Missing ⚠",VLOOKUP(V224,'G-7 WaterC'' Data'!$AA$4:$AB$7,2,FALSE)))))</f>
        <v/>
      </c>
      <c r="X224" s="56"/>
      <c r="Y224" s="282" t="str">
        <f>IF(X224="","",IF(AND(X224="N/A - Culvert", C224&lt;&gt;"Culvert"), "Not possible ▲",IF(AND(C224="Culvert",X224&lt;&gt;"N/A - Culvert"),"Not possible ▲",IF(VLOOKUP(X224,'G-7 WaterC'' Data'!$AD$4:$AE$14,2,FALSE)=0,"Enrcoachment Data Missing ⚠",VLOOKUP(X224,'G-7 WaterC'' Data'!$AD$4:$AE$14,2,FALSE)))))</f>
        <v/>
      </c>
      <c r="Z224" s="323" t="str">
        <f t="shared" si="22"/>
        <v/>
      </c>
      <c r="AA224" s="105"/>
      <c r="AB224" s="119"/>
      <c r="AC224" s="108"/>
      <c r="AH224" s="30" t="str">
        <f>IFERROR(INDEX('G-7 WaterC'' Data'!$AZ$3:$AZ$7,MATCH(C224,'G-7 WaterC'' Data'!$AY$3:$AY$7,0)),"")</f>
        <v/>
      </c>
      <c r="AK224" s="30" t="str">
        <f t="shared" si="23"/>
        <v>No</v>
      </c>
    </row>
    <row r="225" spans="2:37" ht="13.8" x14ac:dyDescent="0.25">
      <c r="B225" s="101">
        <v>214</v>
      </c>
      <c r="C225" s="950"/>
      <c r="D225" s="119"/>
      <c r="E225" s="281" t="str">
        <f>IF(C225="","",VLOOKUP(C225,'G-7 WaterC'' Data'!$B$2:$G$8,2,FALSE))</f>
        <v/>
      </c>
      <c r="F225" s="282" t="str">
        <f>IFERROR(VLOOKUP(E225,'G-7 WaterC'' Data'!$C$4:$D$8,2,FALSE),"")</f>
        <v/>
      </c>
      <c r="G225" s="105"/>
      <c r="H225" s="282" t="str">
        <f>IFERROR(INDEX('G-7 WaterC'' Data'!$H$4:$L$8,MATCH(C225,'G-7 WaterC'' Data'!$B$4:$B$8,0),MATCH(G225,'G-7 WaterC'' Data'!$H$3:$L$3,0)),"")</f>
        <v/>
      </c>
      <c r="I225" s="52"/>
      <c r="J225" s="289" t="str">
        <f>IF(I225="","",IF(VLOOKUP(I225,'G-7 WaterC'' Data'!$AK$4:$AM$6,2,FALSE)=0,"Spatial Data Missing ⚠",VLOOKUP(I225,'G-7 WaterC'' Data'!$AK$4:$AM$6,2,FALSE)))</f>
        <v/>
      </c>
      <c r="K225" s="282" t="str">
        <f>IF(I225="","",IF(VLOOKUP(I225,'G-7 WaterC'' Data'!$AK$4:$AM$6,3,FALSE)=0,"Spatial Data Missing ⚠",VLOOKUP(I225,'G-7 WaterC'' Data'!$AK$4:$AM$6,3,FALSE)))</f>
        <v/>
      </c>
      <c r="L225" s="281" t="str">
        <f>IFERROR(INDEX('G-7 WaterC'' Data'!$O$3:$O$7,MATCH(G225,'G-7 WaterC'' Data'!$N$3:$N$7,0)),"")</f>
        <v/>
      </c>
      <c r="M225" s="58"/>
      <c r="N225" s="137"/>
      <c r="O225" s="289" t="str">
        <f t="shared" si="18"/>
        <v/>
      </c>
      <c r="P225" s="302" t="str">
        <f t="shared" si="19"/>
        <v/>
      </c>
      <c r="Q225" s="340" t="str">
        <f>IFERROR(IF(P225="Check Data ⚠","Check Data ⚠",VLOOKUP(P225,'G-4 Temporal multipliers'!$A$4:$C$37,3,FALSE)),"")</f>
        <v/>
      </c>
      <c r="R225" s="281" t="str">
        <f>IF(C225="","",VLOOKUP(C225,'G-7 WaterC'' Data'!$B$4:$G$8,4,FALSE))</f>
        <v/>
      </c>
      <c r="S225" s="289" t="str">
        <f t="shared" si="20"/>
        <v/>
      </c>
      <c r="T225" s="320" t="str">
        <f t="shared" si="21"/>
        <v/>
      </c>
      <c r="U225" s="282" t="str">
        <f>IF(C225="","",VLOOKUP(T225,'G-3 Multipliers'!$P$2:$Q$6,2,FALSE))</f>
        <v/>
      </c>
      <c r="V225" s="106"/>
      <c r="W225" s="282" t="str">
        <f>IF(V225="","",IF(AND(V225="N/A - Culvert",C225&lt;&gt;"Culvert"),"Not possible ▲",IF(AND(C225="Culvert",V225&lt;&gt;"N/A - Culvert"),"Not possible ▲",IF(VLOOKUP(V225,'G-7 WaterC'' Data'!$AA$4:$AB$7,2,FALSE)=0,"Spatial Data Missing ⚠",VLOOKUP(V225,'G-7 WaterC'' Data'!$AA$4:$AB$7,2,FALSE)))))</f>
        <v/>
      </c>
      <c r="X225" s="56"/>
      <c r="Y225" s="282" t="str">
        <f>IF(X225="","",IF(AND(X225="N/A - Culvert", C225&lt;&gt;"Culvert"), "Not possible ▲",IF(AND(C225="Culvert",X225&lt;&gt;"N/A - Culvert"),"Not possible ▲",IF(VLOOKUP(X225,'G-7 WaterC'' Data'!$AD$4:$AE$14,2,FALSE)=0,"Enrcoachment Data Missing ⚠",VLOOKUP(X225,'G-7 WaterC'' Data'!$AD$4:$AE$14,2,FALSE)))))</f>
        <v/>
      </c>
      <c r="Z225" s="323" t="str">
        <f t="shared" si="22"/>
        <v/>
      </c>
      <c r="AA225" s="105"/>
      <c r="AB225" s="119"/>
      <c r="AC225" s="108"/>
      <c r="AH225" s="30" t="str">
        <f>IFERROR(INDEX('G-7 WaterC'' Data'!$AZ$3:$AZ$7,MATCH(C225,'G-7 WaterC'' Data'!$AY$3:$AY$7,0)),"")</f>
        <v/>
      </c>
      <c r="AK225" s="30" t="str">
        <f t="shared" si="23"/>
        <v>No</v>
      </c>
    </row>
    <row r="226" spans="2:37" ht="13.8" x14ac:dyDescent="0.25">
      <c r="B226" s="101">
        <v>215</v>
      </c>
      <c r="C226" s="950"/>
      <c r="D226" s="119"/>
      <c r="E226" s="281" t="str">
        <f>IF(C226="","",VLOOKUP(C226,'G-7 WaterC'' Data'!$B$2:$G$8,2,FALSE))</f>
        <v/>
      </c>
      <c r="F226" s="282" t="str">
        <f>IFERROR(VLOOKUP(E226,'G-7 WaterC'' Data'!$C$4:$D$8,2,FALSE),"")</f>
        <v/>
      </c>
      <c r="G226" s="105"/>
      <c r="H226" s="282" t="str">
        <f>IFERROR(INDEX('G-7 WaterC'' Data'!$H$4:$L$8,MATCH(C226,'G-7 WaterC'' Data'!$B$4:$B$8,0),MATCH(G226,'G-7 WaterC'' Data'!$H$3:$L$3,0)),"")</f>
        <v/>
      </c>
      <c r="I226" s="52"/>
      <c r="J226" s="289" t="str">
        <f>IF(I226="","",IF(VLOOKUP(I226,'G-7 WaterC'' Data'!$AK$4:$AM$6,2,FALSE)=0,"Spatial Data Missing ⚠",VLOOKUP(I226,'G-7 WaterC'' Data'!$AK$4:$AM$6,2,FALSE)))</f>
        <v/>
      </c>
      <c r="K226" s="282" t="str">
        <f>IF(I226="","",IF(VLOOKUP(I226,'G-7 WaterC'' Data'!$AK$4:$AM$6,3,FALSE)=0,"Spatial Data Missing ⚠",VLOOKUP(I226,'G-7 WaterC'' Data'!$AK$4:$AM$6,3,FALSE)))</f>
        <v/>
      </c>
      <c r="L226" s="281" t="str">
        <f>IFERROR(INDEX('G-7 WaterC'' Data'!$O$3:$O$7,MATCH(G226,'G-7 WaterC'' Data'!$N$3:$N$7,0)),"")</f>
        <v/>
      </c>
      <c r="M226" s="58"/>
      <c r="N226" s="137"/>
      <c r="O226" s="289" t="str">
        <f t="shared" si="18"/>
        <v/>
      </c>
      <c r="P226" s="302" t="str">
        <f t="shared" si="19"/>
        <v/>
      </c>
      <c r="Q226" s="340" t="str">
        <f>IFERROR(IF(P226="Check Data ⚠","Check Data ⚠",VLOOKUP(P226,'G-4 Temporal multipliers'!$A$4:$C$37,3,FALSE)),"")</f>
        <v/>
      </c>
      <c r="R226" s="281" t="str">
        <f>IF(C226="","",VLOOKUP(C226,'G-7 WaterC'' Data'!$B$4:$G$8,4,FALSE))</f>
        <v/>
      </c>
      <c r="S226" s="289" t="str">
        <f t="shared" si="20"/>
        <v/>
      </c>
      <c r="T226" s="320" t="str">
        <f t="shared" si="21"/>
        <v/>
      </c>
      <c r="U226" s="282" t="str">
        <f>IF(C226="","",VLOOKUP(T226,'G-3 Multipliers'!$P$2:$Q$6,2,FALSE))</f>
        <v/>
      </c>
      <c r="V226" s="106"/>
      <c r="W226" s="282" t="str">
        <f>IF(V226="","",IF(AND(V226="N/A - Culvert",C226&lt;&gt;"Culvert"),"Not possible ▲",IF(AND(C226="Culvert",V226&lt;&gt;"N/A - Culvert"),"Not possible ▲",IF(VLOOKUP(V226,'G-7 WaterC'' Data'!$AA$4:$AB$7,2,FALSE)=0,"Spatial Data Missing ⚠",VLOOKUP(V226,'G-7 WaterC'' Data'!$AA$4:$AB$7,2,FALSE)))))</f>
        <v/>
      </c>
      <c r="X226" s="56"/>
      <c r="Y226" s="282" t="str">
        <f>IF(X226="","",IF(AND(X226="N/A - Culvert", C226&lt;&gt;"Culvert"), "Not possible ▲",IF(AND(C226="Culvert",X226&lt;&gt;"N/A - Culvert"),"Not possible ▲",IF(VLOOKUP(X226,'G-7 WaterC'' Data'!$AD$4:$AE$14,2,FALSE)=0,"Enrcoachment Data Missing ⚠",VLOOKUP(X226,'G-7 WaterC'' Data'!$AD$4:$AE$14,2,FALSE)))))</f>
        <v/>
      </c>
      <c r="Z226" s="323" t="str">
        <f t="shared" si="22"/>
        <v/>
      </c>
      <c r="AA226" s="105"/>
      <c r="AB226" s="119"/>
      <c r="AC226" s="108"/>
      <c r="AH226" s="30" t="str">
        <f>IFERROR(INDEX('G-7 WaterC'' Data'!$AZ$3:$AZ$7,MATCH(C226,'G-7 WaterC'' Data'!$AY$3:$AY$7,0)),"")</f>
        <v/>
      </c>
      <c r="AK226" s="30" t="str">
        <f t="shared" si="23"/>
        <v>No</v>
      </c>
    </row>
    <row r="227" spans="2:37" ht="13.8" x14ac:dyDescent="0.25">
      <c r="B227" s="101">
        <v>216</v>
      </c>
      <c r="C227" s="950"/>
      <c r="D227" s="119"/>
      <c r="E227" s="281" t="str">
        <f>IF(C227="","",VLOOKUP(C227,'G-7 WaterC'' Data'!$B$2:$G$8,2,FALSE))</f>
        <v/>
      </c>
      <c r="F227" s="282" t="str">
        <f>IFERROR(VLOOKUP(E227,'G-7 WaterC'' Data'!$C$4:$D$8,2,FALSE),"")</f>
        <v/>
      </c>
      <c r="G227" s="105"/>
      <c r="H227" s="282" t="str">
        <f>IFERROR(INDEX('G-7 WaterC'' Data'!$H$4:$L$8,MATCH(C227,'G-7 WaterC'' Data'!$B$4:$B$8,0),MATCH(G227,'G-7 WaterC'' Data'!$H$3:$L$3,0)),"")</f>
        <v/>
      </c>
      <c r="I227" s="52"/>
      <c r="J227" s="289" t="str">
        <f>IF(I227="","",IF(VLOOKUP(I227,'G-7 WaterC'' Data'!$AK$4:$AM$6,2,FALSE)=0,"Spatial Data Missing ⚠",VLOOKUP(I227,'G-7 WaterC'' Data'!$AK$4:$AM$6,2,FALSE)))</f>
        <v/>
      </c>
      <c r="K227" s="282" t="str">
        <f>IF(I227="","",IF(VLOOKUP(I227,'G-7 WaterC'' Data'!$AK$4:$AM$6,3,FALSE)=0,"Spatial Data Missing ⚠",VLOOKUP(I227,'G-7 WaterC'' Data'!$AK$4:$AM$6,3,FALSE)))</f>
        <v/>
      </c>
      <c r="L227" s="281" t="str">
        <f>IFERROR(INDEX('G-7 WaterC'' Data'!$O$3:$O$7,MATCH(G227,'G-7 WaterC'' Data'!$N$3:$N$7,0)),"")</f>
        <v/>
      </c>
      <c r="M227" s="58"/>
      <c r="N227" s="137"/>
      <c r="O227" s="289" t="str">
        <f t="shared" si="18"/>
        <v/>
      </c>
      <c r="P227" s="302" t="str">
        <f t="shared" si="19"/>
        <v/>
      </c>
      <c r="Q227" s="340" t="str">
        <f>IFERROR(IF(P227="Check Data ⚠","Check Data ⚠",VLOOKUP(P227,'G-4 Temporal multipliers'!$A$4:$C$37,3,FALSE)),"")</f>
        <v/>
      </c>
      <c r="R227" s="281" t="str">
        <f>IF(C227="","",VLOOKUP(C227,'G-7 WaterC'' Data'!$B$4:$G$8,4,FALSE))</f>
        <v/>
      </c>
      <c r="S227" s="289" t="str">
        <f t="shared" si="20"/>
        <v/>
      </c>
      <c r="T227" s="320" t="str">
        <f t="shared" si="21"/>
        <v/>
      </c>
      <c r="U227" s="282" t="str">
        <f>IF(C227="","",VLOOKUP(T227,'G-3 Multipliers'!$P$2:$Q$6,2,FALSE))</f>
        <v/>
      </c>
      <c r="V227" s="106"/>
      <c r="W227" s="282" t="str">
        <f>IF(V227="","",IF(AND(V227="N/A - Culvert",C227&lt;&gt;"Culvert"),"Not possible ▲",IF(AND(C227="Culvert",V227&lt;&gt;"N/A - Culvert"),"Not possible ▲",IF(VLOOKUP(V227,'G-7 WaterC'' Data'!$AA$4:$AB$7,2,FALSE)=0,"Spatial Data Missing ⚠",VLOOKUP(V227,'G-7 WaterC'' Data'!$AA$4:$AB$7,2,FALSE)))))</f>
        <v/>
      </c>
      <c r="X227" s="56"/>
      <c r="Y227" s="282" t="str">
        <f>IF(X227="","",IF(AND(X227="N/A - Culvert", C227&lt;&gt;"Culvert"), "Not possible ▲",IF(AND(C227="Culvert",X227&lt;&gt;"N/A - Culvert"),"Not possible ▲",IF(VLOOKUP(X227,'G-7 WaterC'' Data'!$AD$4:$AE$14,2,FALSE)=0,"Enrcoachment Data Missing ⚠",VLOOKUP(X227,'G-7 WaterC'' Data'!$AD$4:$AE$14,2,FALSE)))))</f>
        <v/>
      </c>
      <c r="Z227" s="323" t="str">
        <f t="shared" si="22"/>
        <v/>
      </c>
      <c r="AA227" s="105"/>
      <c r="AB227" s="119"/>
      <c r="AC227" s="108"/>
      <c r="AH227" s="30" t="str">
        <f>IFERROR(INDEX('G-7 WaterC'' Data'!$AZ$3:$AZ$7,MATCH(C227,'G-7 WaterC'' Data'!$AY$3:$AY$7,0)),"")</f>
        <v/>
      </c>
      <c r="AK227" s="30" t="str">
        <f t="shared" si="23"/>
        <v>No</v>
      </c>
    </row>
    <row r="228" spans="2:37" ht="13.8" x14ac:dyDescent="0.25">
      <c r="B228" s="101">
        <v>217</v>
      </c>
      <c r="C228" s="950"/>
      <c r="D228" s="119"/>
      <c r="E228" s="281" t="str">
        <f>IF(C228="","",VLOOKUP(C228,'G-7 WaterC'' Data'!$B$2:$G$8,2,FALSE))</f>
        <v/>
      </c>
      <c r="F228" s="282" t="str">
        <f>IFERROR(VLOOKUP(E228,'G-7 WaterC'' Data'!$C$4:$D$8,2,FALSE),"")</f>
        <v/>
      </c>
      <c r="G228" s="105"/>
      <c r="H228" s="282" t="str">
        <f>IFERROR(INDEX('G-7 WaterC'' Data'!$H$4:$L$8,MATCH(C228,'G-7 WaterC'' Data'!$B$4:$B$8,0),MATCH(G228,'G-7 WaterC'' Data'!$H$3:$L$3,0)),"")</f>
        <v/>
      </c>
      <c r="I228" s="52"/>
      <c r="J228" s="289" t="str">
        <f>IF(I228="","",IF(VLOOKUP(I228,'G-7 WaterC'' Data'!$AK$4:$AM$6,2,FALSE)=0,"Spatial Data Missing ⚠",VLOOKUP(I228,'G-7 WaterC'' Data'!$AK$4:$AM$6,2,FALSE)))</f>
        <v/>
      </c>
      <c r="K228" s="282" t="str">
        <f>IF(I228="","",IF(VLOOKUP(I228,'G-7 WaterC'' Data'!$AK$4:$AM$6,3,FALSE)=0,"Spatial Data Missing ⚠",VLOOKUP(I228,'G-7 WaterC'' Data'!$AK$4:$AM$6,3,FALSE)))</f>
        <v/>
      </c>
      <c r="L228" s="281" t="str">
        <f>IFERROR(INDEX('G-7 WaterC'' Data'!$O$3:$O$7,MATCH(G228,'G-7 WaterC'' Data'!$N$3:$N$7,0)),"")</f>
        <v/>
      </c>
      <c r="M228" s="58"/>
      <c r="N228" s="137"/>
      <c r="O228" s="289" t="str">
        <f t="shared" si="18"/>
        <v/>
      </c>
      <c r="P228" s="302" t="str">
        <f t="shared" si="19"/>
        <v/>
      </c>
      <c r="Q228" s="340" t="str">
        <f>IFERROR(IF(P228="Check Data ⚠","Check Data ⚠",VLOOKUP(P228,'G-4 Temporal multipliers'!$A$4:$C$37,3,FALSE)),"")</f>
        <v/>
      </c>
      <c r="R228" s="281" t="str">
        <f>IF(C228="","",VLOOKUP(C228,'G-7 WaterC'' Data'!$B$4:$G$8,4,FALSE))</f>
        <v/>
      </c>
      <c r="S228" s="289" t="str">
        <f t="shared" si="20"/>
        <v/>
      </c>
      <c r="T228" s="320" t="str">
        <f t="shared" si="21"/>
        <v/>
      </c>
      <c r="U228" s="282" t="str">
        <f>IF(C228="","",VLOOKUP(T228,'G-3 Multipliers'!$P$2:$Q$6,2,FALSE))</f>
        <v/>
      </c>
      <c r="V228" s="106"/>
      <c r="W228" s="282" t="str">
        <f>IF(V228="","",IF(AND(V228="N/A - Culvert",C228&lt;&gt;"Culvert"),"Not possible ▲",IF(AND(C228="Culvert",V228&lt;&gt;"N/A - Culvert"),"Not possible ▲",IF(VLOOKUP(V228,'G-7 WaterC'' Data'!$AA$4:$AB$7,2,FALSE)=0,"Spatial Data Missing ⚠",VLOOKUP(V228,'G-7 WaterC'' Data'!$AA$4:$AB$7,2,FALSE)))))</f>
        <v/>
      </c>
      <c r="X228" s="56"/>
      <c r="Y228" s="282" t="str">
        <f>IF(X228="","",IF(AND(X228="N/A - Culvert", C228&lt;&gt;"Culvert"), "Not possible ▲",IF(AND(C228="Culvert",X228&lt;&gt;"N/A - Culvert"),"Not possible ▲",IF(VLOOKUP(X228,'G-7 WaterC'' Data'!$AD$4:$AE$14,2,FALSE)=0,"Enrcoachment Data Missing ⚠",VLOOKUP(X228,'G-7 WaterC'' Data'!$AD$4:$AE$14,2,FALSE)))))</f>
        <v/>
      </c>
      <c r="Z228" s="323" t="str">
        <f t="shared" si="22"/>
        <v/>
      </c>
      <c r="AA228" s="105"/>
      <c r="AB228" s="119"/>
      <c r="AC228" s="108"/>
      <c r="AH228" s="30" t="str">
        <f>IFERROR(INDEX('G-7 WaterC'' Data'!$AZ$3:$AZ$7,MATCH(C228,'G-7 WaterC'' Data'!$AY$3:$AY$7,0)),"")</f>
        <v/>
      </c>
      <c r="AK228" s="30" t="str">
        <f t="shared" si="23"/>
        <v>No</v>
      </c>
    </row>
    <row r="229" spans="2:37" ht="13.8" x14ac:dyDescent="0.25">
      <c r="B229" s="101">
        <v>218</v>
      </c>
      <c r="C229" s="950"/>
      <c r="D229" s="119"/>
      <c r="E229" s="281" t="str">
        <f>IF(C229="","",VLOOKUP(C229,'G-7 WaterC'' Data'!$B$2:$G$8,2,FALSE))</f>
        <v/>
      </c>
      <c r="F229" s="282" t="str">
        <f>IFERROR(VLOOKUP(E229,'G-7 WaterC'' Data'!$C$4:$D$8,2,FALSE),"")</f>
        <v/>
      </c>
      <c r="G229" s="105"/>
      <c r="H229" s="282" t="str">
        <f>IFERROR(INDEX('G-7 WaterC'' Data'!$H$4:$L$8,MATCH(C229,'G-7 WaterC'' Data'!$B$4:$B$8,0),MATCH(G229,'G-7 WaterC'' Data'!$H$3:$L$3,0)),"")</f>
        <v/>
      </c>
      <c r="I229" s="52"/>
      <c r="J229" s="289" t="str">
        <f>IF(I229="","",IF(VLOOKUP(I229,'G-7 WaterC'' Data'!$AK$4:$AM$6,2,FALSE)=0,"Spatial Data Missing ⚠",VLOOKUP(I229,'G-7 WaterC'' Data'!$AK$4:$AM$6,2,FALSE)))</f>
        <v/>
      </c>
      <c r="K229" s="282" t="str">
        <f>IF(I229="","",IF(VLOOKUP(I229,'G-7 WaterC'' Data'!$AK$4:$AM$6,3,FALSE)=0,"Spatial Data Missing ⚠",VLOOKUP(I229,'G-7 WaterC'' Data'!$AK$4:$AM$6,3,FALSE)))</f>
        <v/>
      </c>
      <c r="L229" s="281" t="str">
        <f>IFERROR(INDEX('G-7 WaterC'' Data'!$O$3:$O$7,MATCH(G229,'G-7 WaterC'' Data'!$N$3:$N$7,0)),"")</f>
        <v/>
      </c>
      <c r="M229" s="58"/>
      <c r="N229" s="137"/>
      <c r="O229" s="289" t="str">
        <f t="shared" si="18"/>
        <v/>
      </c>
      <c r="P229" s="302" t="str">
        <f t="shared" si="19"/>
        <v/>
      </c>
      <c r="Q229" s="340" t="str">
        <f>IFERROR(IF(P229="Check Data ⚠","Check Data ⚠",VLOOKUP(P229,'G-4 Temporal multipliers'!$A$4:$C$37,3,FALSE)),"")</f>
        <v/>
      </c>
      <c r="R229" s="281" t="str">
        <f>IF(C229="","",VLOOKUP(C229,'G-7 WaterC'' Data'!$B$4:$G$8,4,FALSE))</f>
        <v/>
      </c>
      <c r="S229" s="289" t="str">
        <f t="shared" si="20"/>
        <v/>
      </c>
      <c r="T229" s="320" t="str">
        <f t="shared" si="21"/>
        <v/>
      </c>
      <c r="U229" s="282" t="str">
        <f>IF(C229="","",VLOOKUP(T229,'G-3 Multipliers'!$P$2:$Q$6,2,FALSE))</f>
        <v/>
      </c>
      <c r="V229" s="106"/>
      <c r="W229" s="282" t="str">
        <f>IF(V229="","",IF(AND(V229="N/A - Culvert",C229&lt;&gt;"Culvert"),"Not possible ▲",IF(AND(C229="Culvert",V229&lt;&gt;"N/A - Culvert"),"Not possible ▲",IF(VLOOKUP(V229,'G-7 WaterC'' Data'!$AA$4:$AB$7,2,FALSE)=0,"Spatial Data Missing ⚠",VLOOKUP(V229,'G-7 WaterC'' Data'!$AA$4:$AB$7,2,FALSE)))))</f>
        <v/>
      </c>
      <c r="X229" s="56"/>
      <c r="Y229" s="282" t="str">
        <f>IF(X229="","",IF(AND(X229="N/A - Culvert", C229&lt;&gt;"Culvert"), "Not possible ▲",IF(AND(C229="Culvert",X229&lt;&gt;"N/A - Culvert"),"Not possible ▲",IF(VLOOKUP(X229,'G-7 WaterC'' Data'!$AD$4:$AE$14,2,FALSE)=0,"Enrcoachment Data Missing ⚠",VLOOKUP(X229,'G-7 WaterC'' Data'!$AD$4:$AE$14,2,FALSE)))))</f>
        <v/>
      </c>
      <c r="Z229" s="323" t="str">
        <f t="shared" si="22"/>
        <v/>
      </c>
      <c r="AA229" s="105"/>
      <c r="AB229" s="119"/>
      <c r="AC229" s="108"/>
      <c r="AH229" s="30" t="str">
        <f>IFERROR(INDEX('G-7 WaterC'' Data'!$AZ$3:$AZ$7,MATCH(C229,'G-7 WaterC'' Data'!$AY$3:$AY$7,0)),"")</f>
        <v/>
      </c>
      <c r="AK229" s="30" t="str">
        <f t="shared" si="23"/>
        <v>No</v>
      </c>
    </row>
    <row r="230" spans="2:37" ht="13.8" x14ac:dyDescent="0.25">
      <c r="B230" s="101">
        <v>219</v>
      </c>
      <c r="C230" s="950"/>
      <c r="D230" s="119"/>
      <c r="E230" s="281" t="str">
        <f>IF(C230="","",VLOOKUP(C230,'G-7 WaterC'' Data'!$B$2:$G$8,2,FALSE))</f>
        <v/>
      </c>
      <c r="F230" s="282" t="str">
        <f>IFERROR(VLOOKUP(E230,'G-7 WaterC'' Data'!$C$4:$D$8,2,FALSE),"")</f>
        <v/>
      </c>
      <c r="G230" s="105"/>
      <c r="H230" s="282" t="str">
        <f>IFERROR(INDEX('G-7 WaterC'' Data'!$H$4:$L$8,MATCH(C230,'G-7 WaterC'' Data'!$B$4:$B$8,0),MATCH(G230,'G-7 WaterC'' Data'!$H$3:$L$3,0)),"")</f>
        <v/>
      </c>
      <c r="I230" s="52"/>
      <c r="J230" s="289" t="str">
        <f>IF(I230="","",IF(VLOOKUP(I230,'G-7 WaterC'' Data'!$AK$4:$AM$6,2,FALSE)=0,"Spatial Data Missing ⚠",VLOOKUP(I230,'G-7 WaterC'' Data'!$AK$4:$AM$6,2,FALSE)))</f>
        <v/>
      </c>
      <c r="K230" s="282" t="str">
        <f>IF(I230="","",IF(VLOOKUP(I230,'G-7 WaterC'' Data'!$AK$4:$AM$6,3,FALSE)=0,"Spatial Data Missing ⚠",VLOOKUP(I230,'G-7 WaterC'' Data'!$AK$4:$AM$6,3,FALSE)))</f>
        <v/>
      </c>
      <c r="L230" s="281" t="str">
        <f>IFERROR(INDEX('G-7 WaterC'' Data'!$O$3:$O$7,MATCH(G230,'G-7 WaterC'' Data'!$N$3:$N$7,0)),"")</f>
        <v/>
      </c>
      <c r="M230" s="58"/>
      <c r="N230" s="137"/>
      <c r="O230" s="289" t="str">
        <f t="shared" si="18"/>
        <v/>
      </c>
      <c r="P230" s="302" t="str">
        <f t="shared" si="19"/>
        <v/>
      </c>
      <c r="Q230" s="340" t="str">
        <f>IFERROR(IF(P230="Check Data ⚠","Check Data ⚠",VLOOKUP(P230,'G-4 Temporal multipliers'!$A$4:$C$37,3,FALSE)),"")</f>
        <v/>
      </c>
      <c r="R230" s="281" t="str">
        <f>IF(C230="","",VLOOKUP(C230,'G-7 WaterC'' Data'!$B$4:$G$8,4,FALSE))</f>
        <v/>
      </c>
      <c r="S230" s="289" t="str">
        <f t="shared" si="20"/>
        <v/>
      </c>
      <c r="T230" s="320" t="str">
        <f t="shared" si="21"/>
        <v/>
      </c>
      <c r="U230" s="282" t="str">
        <f>IF(C230="","",VLOOKUP(T230,'G-3 Multipliers'!$P$2:$Q$6,2,FALSE))</f>
        <v/>
      </c>
      <c r="V230" s="106"/>
      <c r="W230" s="282" t="str">
        <f>IF(V230="","",IF(AND(V230="N/A - Culvert",C230&lt;&gt;"Culvert"),"Not possible ▲",IF(AND(C230="Culvert",V230&lt;&gt;"N/A - Culvert"),"Not possible ▲",IF(VLOOKUP(V230,'G-7 WaterC'' Data'!$AA$4:$AB$7,2,FALSE)=0,"Spatial Data Missing ⚠",VLOOKUP(V230,'G-7 WaterC'' Data'!$AA$4:$AB$7,2,FALSE)))))</f>
        <v/>
      </c>
      <c r="X230" s="56"/>
      <c r="Y230" s="282" t="str">
        <f>IF(X230="","",IF(AND(X230="N/A - Culvert", C230&lt;&gt;"Culvert"), "Not possible ▲",IF(AND(C230="Culvert",X230&lt;&gt;"N/A - Culvert"),"Not possible ▲",IF(VLOOKUP(X230,'G-7 WaterC'' Data'!$AD$4:$AE$14,2,FALSE)=0,"Enrcoachment Data Missing ⚠",VLOOKUP(X230,'G-7 WaterC'' Data'!$AD$4:$AE$14,2,FALSE)))))</f>
        <v/>
      </c>
      <c r="Z230" s="323" t="str">
        <f t="shared" si="22"/>
        <v/>
      </c>
      <c r="AA230" s="105"/>
      <c r="AB230" s="119"/>
      <c r="AC230" s="108"/>
      <c r="AH230" s="30" t="str">
        <f>IFERROR(INDEX('G-7 WaterC'' Data'!$AZ$3:$AZ$7,MATCH(C230,'G-7 WaterC'' Data'!$AY$3:$AY$7,0)),"")</f>
        <v/>
      </c>
      <c r="AK230" s="30" t="str">
        <f t="shared" si="23"/>
        <v>No</v>
      </c>
    </row>
    <row r="231" spans="2:37" ht="13.8" x14ac:dyDescent="0.25">
      <c r="B231" s="101">
        <v>220</v>
      </c>
      <c r="C231" s="950"/>
      <c r="D231" s="119"/>
      <c r="E231" s="281" t="str">
        <f>IF(C231="","",VLOOKUP(C231,'G-7 WaterC'' Data'!$B$2:$G$8,2,FALSE))</f>
        <v/>
      </c>
      <c r="F231" s="282" t="str">
        <f>IFERROR(VLOOKUP(E231,'G-7 WaterC'' Data'!$C$4:$D$8,2,FALSE),"")</f>
        <v/>
      </c>
      <c r="G231" s="105"/>
      <c r="H231" s="282" t="str">
        <f>IFERROR(INDEX('G-7 WaterC'' Data'!$H$4:$L$8,MATCH(C231,'G-7 WaterC'' Data'!$B$4:$B$8,0),MATCH(G231,'G-7 WaterC'' Data'!$H$3:$L$3,0)),"")</f>
        <v/>
      </c>
      <c r="I231" s="52"/>
      <c r="J231" s="289" t="str">
        <f>IF(I231="","",IF(VLOOKUP(I231,'G-7 WaterC'' Data'!$AK$4:$AM$6,2,FALSE)=0,"Spatial Data Missing ⚠",VLOOKUP(I231,'G-7 WaterC'' Data'!$AK$4:$AM$6,2,FALSE)))</f>
        <v/>
      </c>
      <c r="K231" s="282" t="str">
        <f>IF(I231="","",IF(VLOOKUP(I231,'G-7 WaterC'' Data'!$AK$4:$AM$6,3,FALSE)=0,"Spatial Data Missing ⚠",VLOOKUP(I231,'G-7 WaterC'' Data'!$AK$4:$AM$6,3,FALSE)))</f>
        <v/>
      </c>
      <c r="L231" s="281" t="str">
        <f>IFERROR(INDEX('G-7 WaterC'' Data'!$O$3:$O$7,MATCH(G231,'G-7 WaterC'' Data'!$N$3:$N$7,0)),"")</f>
        <v/>
      </c>
      <c r="M231" s="58"/>
      <c r="N231" s="137"/>
      <c r="O231" s="289" t="str">
        <f t="shared" si="18"/>
        <v/>
      </c>
      <c r="P231" s="302" t="str">
        <f t="shared" si="19"/>
        <v/>
      </c>
      <c r="Q231" s="340" t="str">
        <f>IFERROR(IF(P231="Check Data ⚠","Check Data ⚠",VLOOKUP(P231,'G-4 Temporal multipliers'!$A$4:$C$37,3,FALSE)),"")</f>
        <v/>
      </c>
      <c r="R231" s="281" t="str">
        <f>IF(C231="","",VLOOKUP(C231,'G-7 WaterC'' Data'!$B$4:$G$8,4,FALSE))</f>
        <v/>
      </c>
      <c r="S231" s="289" t="str">
        <f t="shared" si="20"/>
        <v/>
      </c>
      <c r="T231" s="320" t="str">
        <f t="shared" si="21"/>
        <v/>
      </c>
      <c r="U231" s="282" t="str">
        <f>IF(C231="","",VLOOKUP(T231,'G-3 Multipliers'!$P$2:$Q$6,2,FALSE))</f>
        <v/>
      </c>
      <c r="V231" s="106"/>
      <c r="W231" s="282" t="str">
        <f>IF(V231="","",IF(AND(V231="N/A - Culvert",C231&lt;&gt;"Culvert"),"Not possible ▲",IF(AND(C231="Culvert",V231&lt;&gt;"N/A - Culvert"),"Not possible ▲",IF(VLOOKUP(V231,'G-7 WaterC'' Data'!$AA$4:$AB$7,2,FALSE)=0,"Spatial Data Missing ⚠",VLOOKUP(V231,'G-7 WaterC'' Data'!$AA$4:$AB$7,2,FALSE)))))</f>
        <v/>
      </c>
      <c r="X231" s="56"/>
      <c r="Y231" s="282" t="str">
        <f>IF(X231="","",IF(AND(X231="N/A - Culvert", C231&lt;&gt;"Culvert"), "Not possible ▲",IF(AND(C231="Culvert",X231&lt;&gt;"N/A - Culvert"),"Not possible ▲",IF(VLOOKUP(X231,'G-7 WaterC'' Data'!$AD$4:$AE$14,2,FALSE)=0,"Enrcoachment Data Missing ⚠",VLOOKUP(X231,'G-7 WaterC'' Data'!$AD$4:$AE$14,2,FALSE)))))</f>
        <v/>
      </c>
      <c r="Z231" s="323" t="str">
        <f t="shared" si="22"/>
        <v/>
      </c>
      <c r="AA231" s="105"/>
      <c r="AB231" s="119"/>
      <c r="AC231" s="108"/>
      <c r="AH231" s="30" t="str">
        <f>IFERROR(INDEX('G-7 WaterC'' Data'!$AZ$3:$AZ$7,MATCH(C231,'G-7 WaterC'' Data'!$AY$3:$AY$7,0)),"")</f>
        <v/>
      </c>
      <c r="AK231" s="30" t="str">
        <f t="shared" si="23"/>
        <v>No</v>
      </c>
    </row>
    <row r="232" spans="2:37" ht="13.8" x14ac:dyDescent="0.25">
      <c r="B232" s="101">
        <v>221</v>
      </c>
      <c r="C232" s="950"/>
      <c r="D232" s="119"/>
      <c r="E232" s="281" t="str">
        <f>IF(C232="","",VLOOKUP(C232,'G-7 WaterC'' Data'!$B$2:$G$8,2,FALSE))</f>
        <v/>
      </c>
      <c r="F232" s="282" t="str">
        <f>IFERROR(VLOOKUP(E232,'G-7 WaterC'' Data'!$C$4:$D$8,2,FALSE),"")</f>
        <v/>
      </c>
      <c r="G232" s="105"/>
      <c r="H232" s="282" t="str">
        <f>IFERROR(INDEX('G-7 WaterC'' Data'!$H$4:$L$8,MATCH(C232,'G-7 WaterC'' Data'!$B$4:$B$8,0),MATCH(G232,'G-7 WaterC'' Data'!$H$3:$L$3,0)),"")</f>
        <v/>
      </c>
      <c r="I232" s="52"/>
      <c r="J232" s="289" t="str">
        <f>IF(I232="","",IF(VLOOKUP(I232,'G-7 WaterC'' Data'!$AK$4:$AM$6,2,FALSE)=0,"Spatial Data Missing ⚠",VLOOKUP(I232,'G-7 WaterC'' Data'!$AK$4:$AM$6,2,FALSE)))</f>
        <v/>
      </c>
      <c r="K232" s="282" t="str">
        <f>IF(I232="","",IF(VLOOKUP(I232,'G-7 WaterC'' Data'!$AK$4:$AM$6,3,FALSE)=0,"Spatial Data Missing ⚠",VLOOKUP(I232,'G-7 WaterC'' Data'!$AK$4:$AM$6,3,FALSE)))</f>
        <v/>
      </c>
      <c r="L232" s="281" t="str">
        <f>IFERROR(INDEX('G-7 WaterC'' Data'!$O$3:$O$7,MATCH(G232,'G-7 WaterC'' Data'!$N$3:$N$7,0)),"")</f>
        <v/>
      </c>
      <c r="M232" s="58"/>
      <c r="N232" s="137"/>
      <c r="O232" s="289" t="str">
        <f t="shared" si="18"/>
        <v/>
      </c>
      <c r="P232" s="302" t="str">
        <f t="shared" si="19"/>
        <v/>
      </c>
      <c r="Q232" s="340" t="str">
        <f>IFERROR(IF(P232="Check Data ⚠","Check Data ⚠",VLOOKUP(P232,'G-4 Temporal multipliers'!$A$4:$C$37,3,FALSE)),"")</f>
        <v/>
      </c>
      <c r="R232" s="281" t="str">
        <f>IF(C232="","",VLOOKUP(C232,'G-7 WaterC'' Data'!$B$4:$G$8,4,FALSE))</f>
        <v/>
      </c>
      <c r="S232" s="289" t="str">
        <f t="shared" si="20"/>
        <v/>
      </c>
      <c r="T232" s="320" t="str">
        <f t="shared" si="21"/>
        <v/>
      </c>
      <c r="U232" s="282" t="str">
        <f>IF(C232="","",VLOOKUP(T232,'G-3 Multipliers'!$P$2:$Q$6,2,FALSE))</f>
        <v/>
      </c>
      <c r="V232" s="106"/>
      <c r="W232" s="282" t="str">
        <f>IF(V232="","",IF(AND(V232="N/A - Culvert",C232&lt;&gt;"Culvert"),"Not possible ▲",IF(AND(C232="Culvert",V232&lt;&gt;"N/A - Culvert"),"Not possible ▲",IF(VLOOKUP(V232,'G-7 WaterC'' Data'!$AA$4:$AB$7,2,FALSE)=0,"Spatial Data Missing ⚠",VLOOKUP(V232,'G-7 WaterC'' Data'!$AA$4:$AB$7,2,FALSE)))))</f>
        <v/>
      </c>
      <c r="X232" s="56"/>
      <c r="Y232" s="282" t="str">
        <f>IF(X232="","",IF(AND(X232="N/A - Culvert", C232&lt;&gt;"Culvert"), "Not possible ▲",IF(AND(C232="Culvert",X232&lt;&gt;"N/A - Culvert"),"Not possible ▲",IF(VLOOKUP(X232,'G-7 WaterC'' Data'!$AD$4:$AE$14,2,FALSE)=0,"Enrcoachment Data Missing ⚠",VLOOKUP(X232,'G-7 WaterC'' Data'!$AD$4:$AE$14,2,FALSE)))))</f>
        <v/>
      </c>
      <c r="Z232" s="323" t="str">
        <f t="shared" si="22"/>
        <v/>
      </c>
      <c r="AA232" s="105"/>
      <c r="AB232" s="119"/>
      <c r="AC232" s="108"/>
      <c r="AH232" s="30" t="str">
        <f>IFERROR(INDEX('G-7 WaterC'' Data'!$AZ$3:$AZ$7,MATCH(C232,'G-7 WaterC'' Data'!$AY$3:$AY$7,0)),"")</f>
        <v/>
      </c>
      <c r="AK232" s="30" t="str">
        <f t="shared" si="23"/>
        <v>No</v>
      </c>
    </row>
    <row r="233" spans="2:37" ht="13.8" x14ac:dyDescent="0.25">
      <c r="B233" s="101">
        <v>222</v>
      </c>
      <c r="C233" s="950"/>
      <c r="D233" s="119"/>
      <c r="E233" s="281" t="str">
        <f>IF(C233="","",VLOOKUP(C233,'G-7 WaterC'' Data'!$B$2:$G$8,2,FALSE))</f>
        <v/>
      </c>
      <c r="F233" s="282" t="str">
        <f>IFERROR(VLOOKUP(E233,'G-7 WaterC'' Data'!$C$4:$D$8,2,FALSE),"")</f>
        <v/>
      </c>
      <c r="G233" s="105"/>
      <c r="H233" s="282" t="str">
        <f>IFERROR(INDEX('G-7 WaterC'' Data'!$H$4:$L$8,MATCH(C233,'G-7 WaterC'' Data'!$B$4:$B$8,0),MATCH(G233,'G-7 WaterC'' Data'!$H$3:$L$3,0)),"")</f>
        <v/>
      </c>
      <c r="I233" s="52"/>
      <c r="J233" s="289" t="str">
        <f>IF(I233="","",IF(VLOOKUP(I233,'G-7 WaterC'' Data'!$AK$4:$AM$6,2,FALSE)=0,"Spatial Data Missing ⚠",VLOOKUP(I233,'G-7 WaterC'' Data'!$AK$4:$AM$6,2,FALSE)))</f>
        <v/>
      </c>
      <c r="K233" s="282" t="str">
        <f>IF(I233="","",IF(VLOOKUP(I233,'G-7 WaterC'' Data'!$AK$4:$AM$6,3,FALSE)=0,"Spatial Data Missing ⚠",VLOOKUP(I233,'G-7 WaterC'' Data'!$AK$4:$AM$6,3,FALSE)))</f>
        <v/>
      </c>
      <c r="L233" s="281" t="str">
        <f>IFERROR(INDEX('G-7 WaterC'' Data'!$O$3:$O$7,MATCH(G233,'G-7 WaterC'' Data'!$N$3:$N$7,0)),"")</f>
        <v/>
      </c>
      <c r="M233" s="58"/>
      <c r="N233" s="137"/>
      <c r="O233" s="289" t="str">
        <f t="shared" si="18"/>
        <v/>
      </c>
      <c r="P233" s="302" t="str">
        <f t="shared" si="19"/>
        <v/>
      </c>
      <c r="Q233" s="340" t="str">
        <f>IFERROR(IF(P233="Check Data ⚠","Check Data ⚠",VLOOKUP(P233,'G-4 Temporal multipliers'!$A$4:$C$37,3,FALSE)),"")</f>
        <v/>
      </c>
      <c r="R233" s="281" t="str">
        <f>IF(C233="","",VLOOKUP(C233,'G-7 WaterC'' Data'!$B$4:$G$8,4,FALSE))</f>
        <v/>
      </c>
      <c r="S233" s="289" t="str">
        <f t="shared" si="20"/>
        <v/>
      </c>
      <c r="T233" s="320" t="str">
        <f t="shared" si="21"/>
        <v/>
      </c>
      <c r="U233" s="282" t="str">
        <f>IF(C233="","",VLOOKUP(T233,'G-3 Multipliers'!$P$2:$Q$6,2,FALSE))</f>
        <v/>
      </c>
      <c r="V233" s="106"/>
      <c r="W233" s="282" t="str">
        <f>IF(V233="","",IF(AND(V233="N/A - Culvert",C233&lt;&gt;"Culvert"),"Not possible ▲",IF(AND(C233="Culvert",V233&lt;&gt;"N/A - Culvert"),"Not possible ▲",IF(VLOOKUP(V233,'G-7 WaterC'' Data'!$AA$4:$AB$7,2,FALSE)=0,"Spatial Data Missing ⚠",VLOOKUP(V233,'G-7 WaterC'' Data'!$AA$4:$AB$7,2,FALSE)))))</f>
        <v/>
      </c>
      <c r="X233" s="56"/>
      <c r="Y233" s="282" t="str">
        <f>IF(X233="","",IF(AND(X233="N/A - Culvert", C233&lt;&gt;"Culvert"), "Not possible ▲",IF(AND(C233="Culvert",X233&lt;&gt;"N/A - Culvert"),"Not possible ▲",IF(VLOOKUP(X233,'G-7 WaterC'' Data'!$AD$4:$AE$14,2,FALSE)=0,"Enrcoachment Data Missing ⚠",VLOOKUP(X233,'G-7 WaterC'' Data'!$AD$4:$AE$14,2,FALSE)))))</f>
        <v/>
      </c>
      <c r="Z233" s="323" t="str">
        <f t="shared" si="22"/>
        <v/>
      </c>
      <c r="AA233" s="105"/>
      <c r="AB233" s="119"/>
      <c r="AC233" s="108"/>
      <c r="AH233" s="30" t="str">
        <f>IFERROR(INDEX('G-7 WaterC'' Data'!$AZ$3:$AZ$7,MATCH(C233,'G-7 WaterC'' Data'!$AY$3:$AY$7,0)),"")</f>
        <v/>
      </c>
      <c r="AK233" s="30" t="str">
        <f t="shared" si="23"/>
        <v>No</v>
      </c>
    </row>
    <row r="234" spans="2:37" ht="13.8" x14ac:dyDescent="0.25">
      <c r="B234" s="101">
        <v>223</v>
      </c>
      <c r="C234" s="950"/>
      <c r="D234" s="119"/>
      <c r="E234" s="281" t="str">
        <f>IF(C234="","",VLOOKUP(C234,'G-7 WaterC'' Data'!$B$2:$G$8,2,FALSE))</f>
        <v/>
      </c>
      <c r="F234" s="282" t="str">
        <f>IFERROR(VLOOKUP(E234,'G-7 WaterC'' Data'!$C$4:$D$8,2,FALSE),"")</f>
        <v/>
      </c>
      <c r="G234" s="105"/>
      <c r="H234" s="282" t="str">
        <f>IFERROR(INDEX('G-7 WaterC'' Data'!$H$4:$L$8,MATCH(C234,'G-7 WaterC'' Data'!$B$4:$B$8,0),MATCH(G234,'G-7 WaterC'' Data'!$H$3:$L$3,0)),"")</f>
        <v/>
      </c>
      <c r="I234" s="52"/>
      <c r="J234" s="289" t="str">
        <f>IF(I234="","",IF(VLOOKUP(I234,'G-7 WaterC'' Data'!$AK$4:$AM$6,2,FALSE)=0,"Spatial Data Missing ⚠",VLOOKUP(I234,'G-7 WaterC'' Data'!$AK$4:$AM$6,2,FALSE)))</f>
        <v/>
      </c>
      <c r="K234" s="282" t="str">
        <f>IF(I234="","",IF(VLOOKUP(I234,'G-7 WaterC'' Data'!$AK$4:$AM$6,3,FALSE)=0,"Spatial Data Missing ⚠",VLOOKUP(I234,'G-7 WaterC'' Data'!$AK$4:$AM$6,3,FALSE)))</f>
        <v/>
      </c>
      <c r="L234" s="281" t="str">
        <f>IFERROR(INDEX('G-7 WaterC'' Data'!$O$3:$O$7,MATCH(G234,'G-7 WaterC'' Data'!$N$3:$N$7,0)),"")</f>
        <v/>
      </c>
      <c r="M234" s="58"/>
      <c r="N234" s="137"/>
      <c r="O234" s="289" t="str">
        <f t="shared" si="18"/>
        <v/>
      </c>
      <c r="P234" s="302" t="str">
        <f t="shared" si="19"/>
        <v/>
      </c>
      <c r="Q234" s="340" t="str">
        <f>IFERROR(IF(P234="Check Data ⚠","Check Data ⚠",VLOOKUP(P234,'G-4 Temporal multipliers'!$A$4:$C$37,3,FALSE)),"")</f>
        <v/>
      </c>
      <c r="R234" s="281" t="str">
        <f>IF(C234="","",VLOOKUP(C234,'G-7 WaterC'' Data'!$B$4:$G$8,4,FALSE))</f>
        <v/>
      </c>
      <c r="S234" s="289" t="str">
        <f t="shared" si="20"/>
        <v/>
      </c>
      <c r="T234" s="320" t="str">
        <f t="shared" si="21"/>
        <v/>
      </c>
      <c r="U234" s="282" t="str">
        <f>IF(C234="","",VLOOKUP(T234,'G-3 Multipliers'!$P$2:$Q$6,2,FALSE))</f>
        <v/>
      </c>
      <c r="V234" s="106"/>
      <c r="W234" s="282" t="str">
        <f>IF(V234="","",IF(AND(V234="N/A - Culvert",C234&lt;&gt;"Culvert"),"Not possible ▲",IF(AND(C234="Culvert",V234&lt;&gt;"N/A - Culvert"),"Not possible ▲",IF(VLOOKUP(V234,'G-7 WaterC'' Data'!$AA$4:$AB$7,2,FALSE)=0,"Spatial Data Missing ⚠",VLOOKUP(V234,'G-7 WaterC'' Data'!$AA$4:$AB$7,2,FALSE)))))</f>
        <v/>
      </c>
      <c r="X234" s="56"/>
      <c r="Y234" s="282" t="str">
        <f>IF(X234="","",IF(AND(X234="N/A - Culvert", C234&lt;&gt;"Culvert"), "Not possible ▲",IF(AND(C234="Culvert",X234&lt;&gt;"N/A - Culvert"),"Not possible ▲",IF(VLOOKUP(X234,'G-7 WaterC'' Data'!$AD$4:$AE$14,2,FALSE)=0,"Enrcoachment Data Missing ⚠",VLOOKUP(X234,'G-7 WaterC'' Data'!$AD$4:$AE$14,2,FALSE)))))</f>
        <v/>
      </c>
      <c r="Z234" s="323" t="str">
        <f t="shared" si="22"/>
        <v/>
      </c>
      <c r="AA234" s="105"/>
      <c r="AB234" s="119"/>
      <c r="AC234" s="108"/>
      <c r="AH234" s="30" t="str">
        <f>IFERROR(INDEX('G-7 WaterC'' Data'!$AZ$3:$AZ$7,MATCH(C234,'G-7 WaterC'' Data'!$AY$3:$AY$7,0)),"")</f>
        <v/>
      </c>
      <c r="AK234" s="30" t="str">
        <f t="shared" si="23"/>
        <v>No</v>
      </c>
    </row>
    <row r="235" spans="2:37" ht="13.8" x14ac:dyDescent="0.25">
      <c r="B235" s="101">
        <v>224</v>
      </c>
      <c r="C235" s="950"/>
      <c r="D235" s="119"/>
      <c r="E235" s="281" t="str">
        <f>IF(C235="","",VLOOKUP(C235,'G-7 WaterC'' Data'!$B$2:$G$8,2,FALSE))</f>
        <v/>
      </c>
      <c r="F235" s="282" t="str">
        <f>IFERROR(VLOOKUP(E235,'G-7 WaterC'' Data'!$C$4:$D$8,2,FALSE),"")</f>
        <v/>
      </c>
      <c r="G235" s="105"/>
      <c r="H235" s="282" t="str">
        <f>IFERROR(INDEX('G-7 WaterC'' Data'!$H$4:$L$8,MATCH(C235,'G-7 WaterC'' Data'!$B$4:$B$8,0),MATCH(G235,'G-7 WaterC'' Data'!$H$3:$L$3,0)),"")</f>
        <v/>
      </c>
      <c r="I235" s="52"/>
      <c r="J235" s="289" t="str">
        <f>IF(I235="","",IF(VLOOKUP(I235,'G-7 WaterC'' Data'!$AK$4:$AM$6,2,FALSE)=0,"Spatial Data Missing ⚠",VLOOKUP(I235,'G-7 WaterC'' Data'!$AK$4:$AM$6,2,FALSE)))</f>
        <v/>
      </c>
      <c r="K235" s="282" t="str">
        <f>IF(I235="","",IF(VLOOKUP(I235,'G-7 WaterC'' Data'!$AK$4:$AM$6,3,FALSE)=0,"Spatial Data Missing ⚠",VLOOKUP(I235,'G-7 WaterC'' Data'!$AK$4:$AM$6,3,FALSE)))</f>
        <v/>
      </c>
      <c r="L235" s="281" t="str">
        <f>IFERROR(INDEX('G-7 WaterC'' Data'!$O$3:$O$7,MATCH(G235,'G-7 WaterC'' Data'!$N$3:$N$7,0)),"")</f>
        <v/>
      </c>
      <c r="M235" s="58"/>
      <c r="N235" s="137"/>
      <c r="O235" s="289" t="str">
        <f t="shared" si="18"/>
        <v/>
      </c>
      <c r="P235" s="302" t="str">
        <f t="shared" si="19"/>
        <v/>
      </c>
      <c r="Q235" s="340" t="str">
        <f>IFERROR(IF(P235="Check Data ⚠","Check Data ⚠",VLOOKUP(P235,'G-4 Temporal multipliers'!$A$4:$C$37,3,FALSE)),"")</f>
        <v/>
      </c>
      <c r="R235" s="281" t="str">
        <f>IF(C235="","",VLOOKUP(C235,'G-7 WaterC'' Data'!$B$4:$G$8,4,FALSE))</f>
        <v/>
      </c>
      <c r="S235" s="289" t="str">
        <f t="shared" si="20"/>
        <v/>
      </c>
      <c r="T235" s="320" t="str">
        <f t="shared" si="21"/>
        <v/>
      </c>
      <c r="U235" s="282" t="str">
        <f>IF(C235="","",VLOOKUP(T235,'G-3 Multipliers'!$P$2:$Q$6,2,FALSE))</f>
        <v/>
      </c>
      <c r="V235" s="106"/>
      <c r="W235" s="282" t="str">
        <f>IF(V235="","",IF(AND(V235="N/A - Culvert",C235&lt;&gt;"Culvert"),"Not possible ▲",IF(AND(C235="Culvert",V235&lt;&gt;"N/A - Culvert"),"Not possible ▲",IF(VLOOKUP(V235,'G-7 WaterC'' Data'!$AA$4:$AB$7,2,FALSE)=0,"Spatial Data Missing ⚠",VLOOKUP(V235,'G-7 WaterC'' Data'!$AA$4:$AB$7,2,FALSE)))))</f>
        <v/>
      </c>
      <c r="X235" s="56"/>
      <c r="Y235" s="282" t="str">
        <f>IF(X235="","",IF(AND(X235="N/A - Culvert", C235&lt;&gt;"Culvert"), "Not possible ▲",IF(AND(C235="Culvert",X235&lt;&gt;"N/A - Culvert"),"Not possible ▲",IF(VLOOKUP(X235,'G-7 WaterC'' Data'!$AD$4:$AE$14,2,FALSE)=0,"Enrcoachment Data Missing ⚠",VLOOKUP(X235,'G-7 WaterC'' Data'!$AD$4:$AE$14,2,FALSE)))))</f>
        <v/>
      </c>
      <c r="Z235" s="323" t="str">
        <f t="shared" si="22"/>
        <v/>
      </c>
      <c r="AA235" s="105"/>
      <c r="AB235" s="119"/>
      <c r="AC235" s="108"/>
      <c r="AH235" s="30" t="str">
        <f>IFERROR(INDEX('G-7 WaterC'' Data'!$AZ$3:$AZ$7,MATCH(C235,'G-7 WaterC'' Data'!$AY$3:$AY$7,0)),"")</f>
        <v/>
      </c>
      <c r="AK235" s="30" t="str">
        <f t="shared" si="23"/>
        <v>No</v>
      </c>
    </row>
    <row r="236" spans="2:37" ht="13.8" x14ac:dyDescent="0.25">
      <c r="B236" s="101">
        <v>225</v>
      </c>
      <c r="C236" s="950"/>
      <c r="D236" s="119"/>
      <c r="E236" s="281" t="str">
        <f>IF(C236="","",VLOOKUP(C236,'G-7 WaterC'' Data'!$B$2:$G$8,2,FALSE))</f>
        <v/>
      </c>
      <c r="F236" s="282" t="str">
        <f>IFERROR(VLOOKUP(E236,'G-7 WaterC'' Data'!$C$4:$D$8,2,FALSE),"")</f>
        <v/>
      </c>
      <c r="G236" s="105"/>
      <c r="H236" s="282" t="str">
        <f>IFERROR(INDEX('G-7 WaterC'' Data'!$H$4:$L$8,MATCH(C236,'G-7 WaterC'' Data'!$B$4:$B$8,0),MATCH(G236,'G-7 WaterC'' Data'!$H$3:$L$3,0)),"")</f>
        <v/>
      </c>
      <c r="I236" s="52"/>
      <c r="J236" s="289" t="str">
        <f>IF(I236="","",IF(VLOOKUP(I236,'G-7 WaterC'' Data'!$AK$4:$AM$6,2,FALSE)=0,"Spatial Data Missing ⚠",VLOOKUP(I236,'G-7 WaterC'' Data'!$AK$4:$AM$6,2,FALSE)))</f>
        <v/>
      </c>
      <c r="K236" s="282" t="str">
        <f>IF(I236="","",IF(VLOOKUP(I236,'G-7 WaterC'' Data'!$AK$4:$AM$6,3,FALSE)=0,"Spatial Data Missing ⚠",VLOOKUP(I236,'G-7 WaterC'' Data'!$AK$4:$AM$6,3,FALSE)))</f>
        <v/>
      </c>
      <c r="L236" s="281" t="str">
        <f>IFERROR(INDEX('G-7 WaterC'' Data'!$O$3:$O$7,MATCH(G236,'G-7 WaterC'' Data'!$N$3:$N$7,0)),"")</f>
        <v/>
      </c>
      <c r="M236" s="58"/>
      <c r="N236" s="137"/>
      <c r="O236" s="289" t="str">
        <f t="shared" si="18"/>
        <v/>
      </c>
      <c r="P236" s="302" t="str">
        <f t="shared" si="19"/>
        <v/>
      </c>
      <c r="Q236" s="340" t="str">
        <f>IFERROR(IF(P236="Check Data ⚠","Check Data ⚠",VLOOKUP(P236,'G-4 Temporal multipliers'!$A$4:$C$37,3,FALSE)),"")</f>
        <v/>
      </c>
      <c r="R236" s="281" t="str">
        <f>IF(C236="","",VLOOKUP(C236,'G-7 WaterC'' Data'!$B$4:$G$8,4,FALSE))</f>
        <v/>
      </c>
      <c r="S236" s="289" t="str">
        <f t="shared" si="20"/>
        <v/>
      </c>
      <c r="T236" s="320" t="str">
        <f t="shared" si="21"/>
        <v/>
      </c>
      <c r="U236" s="282" t="str">
        <f>IF(C236="","",VLOOKUP(T236,'G-3 Multipliers'!$P$2:$Q$6,2,FALSE))</f>
        <v/>
      </c>
      <c r="V236" s="106"/>
      <c r="W236" s="282" t="str">
        <f>IF(V236="","",IF(AND(V236="N/A - Culvert",C236&lt;&gt;"Culvert"),"Not possible ▲",IF(AND(C236="Culvert",V236&lt;&gt;"N/A - Culvert"),"Not possible ▲",IF(VLOOKUP(V236,'G-7 WaterC'' Data'!$AA$4:$AB$7,2,FALSE)=0,"Spatial Data Missing ⚠",VLOOKUP(V236,'G-7 WaterC'' Data'!$AA$4:$AB$7,2,FALSE)))))</f>
        <v/>
      </c>
      <c r="X236" s="56"/>
      <c r="Y236" s="282" t="str">
        <f>IF(X236="","",IF(AND(X236="N/A - Culvert", C236&lt;&gt;"Culvert"), "Not possible ▲",IF(AND(C236="Culvert",X236&lt;&gt;"N/A - Culvert"),"Not possible ▲",IF(VLOOKUP(X236,'G-7 WaterC'' Data'!$AD$4:$AE$14,2,FALSE)=0,"Enrcoachment Data Missing ⚠",VLOOKUP(X236,'G-7 WaterC'' Data'!$AD$4:$AE$14,2,FALSE)))))</f>
        <v/>
      </c>
      <c r="Z236" s="323" t="str">
        <f t="shared" si="22"/>
        <v/>
      </c>
      <c r="AA236" s="105"/>
      <c r="AB236" s="119"/>
      <c r="AC236" s="108"/>
      <c r="AH236" s="30" t="str">
        <f>IFERROR(INDEX('G-7 WaterC'' Data'!$AZ$3:$AZ$7,MATCH(C236,'G-7 WaterC'' Data'!$AY$3:$AY$7,0)),"")</f>
        <v/>
      </c>
      <c r="AK236" s="30" t="str">
        <f t="shared" si="23"/>
        <v>No</v>
      </c>
    </row>
    <row r="237" spans="2:37" ht="13.8" x14ac:dyDescent="0.25">
      <c r="B237" s="101">
        <v>226</v>
      </c>
      <c r="C237" s="950"/>
      <c r="D237" s="119"/>
      <c r="E237" s="281" t="str">
        <f>IF(C237="","",VLOOKUP(C237,'G-7 WaterC'' Data'!$B$2:$G$8,2,FALSE))</f>
        <v/>
      </c>
      <c r="F237" s="282" t="str">
        <f>IFERROR(VLOOKUP(E237,'G-7 WaterC'' Data'!$C$4:$D$8,2,FALSE),"")</f>
        <v/>
      </c>
      <c r="G237" s="105"/>
      <c r="H237" s="282" t="str">
        <f>IFERROR(INDEX('G-7 WaterC'' Data'!$H$4:$L$8,MATCH(C237,'G-7 WaterC'' Data'!$B$4:$B$8,0),MATCH(G237,'G-7 WaterC'' Data'!$H$3:$L$3,0)),"")</f>
        <v/>
      </c>
      <c r="I237" s="52"/>
      <c r="J237" s="289" t="str">
        <f>IF(I237="","",IF(VLOOKUP(I237,'G-7 WaterC'' Data'!$AK$4:$AM$6,2,FALSE)=0,"Spatial Data Missing ⚠",VLOOKUP(I237,'G-7 WaterC'' Data'!$AK$4:$AM$6,2,FALSE)))</f>
        <v/>
      </c>
      <c r="K237" s="282" t="str">
        <f>IF(I237="","",IF(VLOOKUP(I237,'G-7 WaterC'' Data'!$AK$4:$AM$6,3,FALSE)=0,"Spatial Data Missing ⚠",VLOOKUP(I237,'G-7 WaterC'' Data'!$AK$4:$AM$6,3,FALSE)))</f>
        <v/>
      </c>
      <c r="L237" s="281" t="str">
        <f>IFERROR(INDEX('G-7 WaterC'' Data'!$O$3:$O$7,MATCH(G237,'G-7 WaterC'' Data'!$N$3:$N$7,0)),"")</f>
        <v/>
      </c>
      <c r="M237" s="58"/>
      <c r="N237" s="137"/>
      <c r="O237" s="289" t="str">
        <f t="shared" si="18"/>
        <v/>
      </c>
      <c r="P237" s="302" t="str">
        <f t="shared" si="19"/>
        <v/>
      </c>
      <c r="Q237" s="340" t="str">
        <f>IFERROR(IF(P237="Check Data ⚠","Check Data ⚠",VLOOKUP(P237,'G-4 Temporal multipliers'!$A$4:$C$37,3,FALSE)),"")</f>
        <v/>
      </c>
      <c r="R237" s="281" t="str">
        <f>IF(C237="","",VLOOKUP(C237,'G-7 WaterC'' Data'!$B$4:$G$8,4,FALSE))</f>
        <v/>
      </c>
      <c r="S237" s="289" t="str">
        <f t="shared" si="20"/>
        <v/>
      </c>
      <c r="T237" s="320" t="str">
        <f t="shared" si="21"/>
        <v/>
      </c>
      <c r="U237" s="282" t="str">
        <f>IF(C237="","",VLOOKUP(T237,'G-3 Multipliers'!$P$2:$Q$6,2,FALSE))</f>
        <v/>
      </c>
      <c r="V237" s="106"/>
      <c r="W237" s="282" t="str">
        <f>IF(V237="","",IF(AND(V237="N/A - Culvert",C237&lt;&gt;"Culvert"),"Not possible ▲",IF(AND(C237="Culvert",V237&lt;&gt;"N/A - Culvert"),"Not possible ▲",IF(VLOOKUP(V237,'G-7 WaterC'' Data'!$AA$4:$AB$7,2,FALSE)=0,"Spatial Data Missing ⚠",VLOOKUP(V237,'G-7 WaterC'' Data'!$AA$4:$AB$7,2,FALSE)))))</f>
        <v/>
      </c>
      <c r="X237" s="56"/>
      <c r="Y237" s="282" t="str">
        <f>IF(X237="","",IF(AND(X237="N/A - Culvert", C237&lt;&gt;"Culvert"), "Not possible ▲",IF(AND(C237="Culvert",X237&lt;&gt;"N/A - Culvert"),"Not possible ▲",IF(VLOOKUP(X237,'G-7 WaterC'' Data'!$AD$4:$AE$14,2,FALSE)=0,"Enrcoachment Data Missing ⚠",VLOOKUP(X237,'G-7 WaterC'' Data'!$AD$4:$AE$14,2,FALSE)))))</f>
        <v/>
      </c>
      <c r="Z237" s="323" t="str">
        <f t="shared" si="22"/>
        <v/>
      </c>
      <c r="AA237" s="105"/>
      <c r="AB237" s="119"/>
      <c r="AC237" s="108"/>
      <c r="AH237" s="30" t="str">
        <f>IFERROR(INDEX('G-7 WaterC'' Data'!$AZ$3:$AZ$7,MATCH(C237,'G-7 WaterC'' Data'!$AY$3:$AY$7,0)),"")</f>
        <v/>
      </c>
      <c r="AK237" s="30" t="str">
        <f t="shared" si="23"/>
        <v>No</v>
      </c>
    </row>
    <row r="238" spans="2:37" ht="13.8" x14ac:dyDescent="0.25">
      <c r="B238" s="101">
        <v>227</v>
      </c>
      <c r="C238" s="950"/>
      <c r="D238" s="119"/>
      <c r="E238" s="281" t="str">
        <f>IF(C238="","",VLOOKUP(C238,'G-7 WaterC'' Data'!$B$2:$G$8,2,FALSE))</f>
        <v/>
      </c>
      <c r="F238" s="282" t="str">
        <f>IFERROR(VLOOKUP(E238,'G-7 WaterC'' Data'!$C$4:$D$8,2,FALSE),"")</f>
        <v/>
      </c>
      <c r="G238" s="105"/>
      <c r="H238" s="282" t="str">
        <f>IFERROR(INDEX('G-7 WaterC'' Data'!$H$4:$L$8,MATCH(C238,'G-7 WaterC'' Data'!$B$4:$B$8,0),MATCH(G238,'G-7 WaterC'' Data'!$H$3:$L$3,0)),"")</f>
        <v/>
      </c>
      <c r="I238" s="52"/>
      <c r="J238" s="289" t="str">
        <f>IF(I238="","",IF(VLOOKUP(I238,'G-7 WaterC'' Data'!$AK$4:$AM$6,2,FALSE)=0,"Spatial Data Missing ⚠",VLOOKUP(I238,'G-7 WaterC'' Data'!$AK$4:$AM$6,2,FALSE)))</f>
        <v/>
      </c>
      <c r="K238" s="282" t="str">
        <f>IF(I238="","",IF(VLOOKUP(I238,'G-7 WaterC'' Data'!$AK$4:$AM$6,3,FALSE)=0,"Spatial Data Missing ⚠",VLOOKUP(I238,'G-7 WaterC'' Data'!$AK$4:$AM$6,3,FALSE)))</f>
        <v/>
      </c>
      <c r="L238" s="281" t="str">
        <f>IFERROR(INDEX('G-7 WaterC'' Data'!$O$3:$O$7,MATCH(G238,'G-7 WaterC'' Data'!$N$3:$N$7,0)),"")</f>
        <v/>
      </c>
      <c r="M238" s="58"/>
      <c r="N238" s="137"/>
      <c r="O238" s="289" t="str">
        <f t="shared" si="18"/>
        <v/>
      </c>
      <c r="P238" s="302" t="str">
        <f t="shared" si="19"/>
        <v/>
      </c>
      <c r="Q238" s="340" t="str">
        <f>IFERROR(IF(P238="Check Data ⚠","Check Data ⚠",VLOOKUP(P238,'G-4 Temporal multipliers'!$A$4:$C$37,3,FALSE)),"")</f>
        <v/>
      </c>
      <c r="R238" s="281" t="str">
        <f>IF(C238="","",VLOOKUP(C238,'G-7 WaterC'' Data'!$B$4:$G$8,4,FALSE))</f>
        <v/>
      </c>
      <c r="S238" s="289" t="str">
        <f t="shared" si="20"/>
        <v/>
      </c>
      <c r="T238" s="320" t="str">
        <f t="shared" si="21"/>
        <v/>
      </c>
      <c r="U238" s="282" t="str">
        <f>IF(C238="","",VLOOKUP(T238,'G-3 Multipliers'!$P$2:$Q$6,2,FALSE))</f>
        <v/>
      </c>
      <c r="V238" s="106"/>
      <c r="W238" s="282" t="str">
        <f>IF(V238="","",IF(AND(V238="N/A - Culvert",C238&lt;&gt;"Culvert"),"Not possible ▲",IF(AND(C238="Culvert",V238&lt;&gt;"N/A - Culvert"),"Not possible ▲",IF(VLOOKUP(V238,'G-7 WaterC'' Data'!$AA$4:$AB$7,2,FALSE)=0,"Spatial Data Missing ⚠",VLOOKUP(V238,'G-7 WaterC'' Data'!$AA$4:$AB$7,2,FALSE)))))</f>
        <v/>
      </c>
      <c r="X238" s="56"/>
      <c r="Y238" s="282" t="str">
        <f>IF(X238="","",IF(AND(X238="N/A - Culvert", C238&lt;&gt;"Culvert"), "Not possible ▲",IF(AND(C238="Culvert",X238&lt;&gt;"N/A - Culvert"),"Not possible ▲",IF(VLOOKUP(X238,'G-7 WaterC'' Data'!$AD$4:$AE$14,2,FALSE)=0,"Enrcoachment Data Missing ⚠",VLOOKUP(X238,'G-7 WaterC'' Data'!$AD$4:$AE$14,2,FALSE)))))</f>
        <v/>
      </c>
      <c r="Z238" s="323" t="str">
        <f t="shared" si="22"/>
        <v/>
      </c>
      <c r="AA238" s="105"/>
      <c r="AB238" s="119"/>
      <c r="AC238" s="108"/>
      <c r="AH238" s="30" t="str">
        <f>IFERROR(INDEX('G-7 WaterC'' Data'!$AZ$3:$AZ$7,MATCH(C238,'G-7 WaterC'' Data'!$AY$3:$AY$7,0)),"")</f>
        <v/>
      </c>
      <c r="AK238" s="30" t="str">
        <f t="shared" si="23"/>
        <v>No</v>
      </c>
    </row>
    <row r="239" spans="2:37" ht="13.8" x14ac:dyDescent="0.25">
      <c r="B239" s="101">
        <v>228</v>
      </c>
      <c r="C239" s="950"/>
      <c r="D239" s="119"/>
      <c r="E239" s="281" t="str">
        <f>IF(C239="","",VLOOKUP(C239,'G-7 WaterC'' Data'!$B$2:$G$8,2,FALSE))</f>
        <v/>
      </c>
      <c r="F239" s="282" t="str">
        <f>IFERROR(VLOOKUP(E239,'G-7 WaterC'' Data'!$C$4:$D$8,2,FALSE),"")</f>
        <v/>
      </c>
      <c r="G239" s="105"/>
      <c r="H239" s="282" t="str">
        <f>IFERROR(INDEX('G-7 WaterC'' Data'!$H$4:$L$8,MATCH(C239,'G-7 WaterC'' Data'!$B$4:$B$8,0),MATCH(G239,'G-7 WaterC'' Data'!$H$3:$L$3,0)),"")</f>
        <v/>
      </c>
      <c r="I239" s="52"/>
      <c r="J239" s="289" t="str">
        <f>IF(I239="","",IF(VLOOKUP(I239,'G-7 WaterC'' Data'!$AK$4:$AM$6,2,FALSE)=0,"Spatial Data Missing ⚠",VLOOKUP(I239,'G-7 WaterC'' Data'!$AK$4:$AM$6,2,FALSE)))</f>
        <v/>
      </c>
      <c r="K239" s="282" t="str">
        <f>IF(I239="","",IF(VLOOKUP(I239,'G-7 WaterC'' Data'!$AK$4:$AM$6,3,FALSE)=0,"Spatial Data Missing ⚠",VLOOKUP(I239,'G-7 WaterC'' Data'!$AK$4:$AM$6,3,FALSE)))</f>
        <v/>
      </c>
      <c r="L239" s="281" t="str">
        <f>IFERROR(INDEX('G-7 WaterC'' Data'!$O$3:$O$7,MATCH(G239,'G-7 WaterC'' Data'!$N$3:$N$7,0)),"")</f>
        <v/>
      </c>
      <c r="M239" s="58"/>
      <c r="N239" s="137"/>
      <c r="O239" s="289" t="str">
        <f t="shared" si="18"/>
        <v/>
      </c>
      <c r="P239" s="302" t="str">
        <f t="shared" si="19"/>
        <v/>
      </c>
      <c r="Q239" s="340" t="str">
        <f>IFERROR(IF(P239="Check Data ⚠","Check Data ⚠",VLOOKUP(P239,'G-4 Temporal multipliers'!$A$4:$C$37,3,FALSE)),"")</f>
        <v/>
      </c>
      <c r="R239" s="281" t="str">
        <f>IF(C239="","",VLOOKUP(C239,'G-7 WaterC'' Data'!$B$4:$G$8,4,FALSE))</f>
        <v/>
      </c>
      <c r="S239" s="289" t="str">
        <f t="shared" si="20"/>
        <v/>
      </c>
      <c r="T239" s="320" t="str">
        <f t="shared" si="21"/>
        <v/>
      </c>
      <c r="U239" s="282" t="str">
        <f>IF(C239="","",VLOOKUP(T239,'G-3 Multipliers'!$P$2:$Q$6,2,FALSE))</f>
        <v/>
      </c>
      <c r="V239" s="106"/>
      <c r="W239" s="282" t="str">
        <f>IF(V239="","",IF(AND(V239="N/A - Culvert",C239&lt;&gt;"Culvert"),"Not possible ▲",IF(AND(C239="Culvert",V239&lt;&gt;"N/A - Culvert"),"Not possible ▲",IF(VLOOKUP(V239,'G-7 WaterC'' Data'!$AA$4:$AB$7,2,FALSE)=0,"Spatial Data Missing ⚠",VLOOKUP(V239,'G-7 WaterC'' Data'!$AA$4:$AB$7,2,FALSE)))))</f>
        <v/>
      </c>
      <c r="X239" s="56"/>
      <c r="Y239" s="282" t="str">
        <f>IF(X239="","",IF(AND(X239="N/A - Culvert", C239&lt;&gt;"Culvert"), "Not possible ▲",IF(AND(C239="Culvert",X239&lt;&gt;"N/A - Culvert"),"Not possible ▲",IF(VLOOKUP(X239,'G-7 WaterC'' Data'!$AD$4:$AE$14,2,FALSE)=0,"Enrcoachment Data Missing ⚠",VLOOKUP(X239,'G-7 WaterC'' Data'!$AD$4:$AE$14,2,FALSE)))))</f>
        <v/>
      </c>
      <c r="Z239" s="323" t="str">
        <f t="shared" si="22"/>
        <v/>
      </c>
      <c r="AA239" s="105"/>
      <c r="AB239" s="119"/>
      <c r="AC239" s="108"/>
      <c r="AH239" s="30" t="str">
        <f>IFERROR(INDEX('G-7 WaterC'' Data'!$AZ$3:$AZ$7,MATCH(C239,'G-7 WaterC'' Data'!$AY$3:$AY$7,0)),"")</f>
        <v/>
      </c>
      <c r="AK239" s="30" t="str">
        <f t="shared" si="23"/>
        <v>No</v>
      </c>
    </row>
    <row r="240" spans="2:37" ht="13.8" x14ac:dyDescent="0.25">
      <c r="B240" s="101">
        <v>229</v>
      </c>
      <c r="C240" s="950"/>
      <c r="D240" s="119"/>
      <c r="E240" s="281" t="str">
        <f>IF(C240="","",VLOOKUP(C240,'G-7 WaterC'' Data'!$B$2:$G$8,2,FALSE))</f>
        <v/>
      </c>
      <c r="F240" s="282" t="str">
        <f>IFERROR(VLOOKUP(E240,'G-7 WaterC'' Data'!$C$4:$D$8,2,FALSE),"")</f>
        <v/>
      </c>
      <c r="G240" s="105"/>
      <c r="H240" s="282" t="str">
        <f>IFERROR(INDEX('G-7 WaterC'' Data'!$H$4:$L$8,MATCH(C240,'G-7 WaterC'' Data'!$B$4:$B$8,0),MATCH(G240,'G-7 WaterC'' Data'!$H$3:$L$3,0)),"")</f>
        <v/>
      </c>
      <c r="I240" s="52"/>
      <c r="J240" s="289" t="str">
        <f>IF(I240="","",IF(VLOOKUP(I240,'G-7 WaterC'' Data'!$AK$4:$AM$6,2,FALSE)=0,"Spatial Data Missing ⚠",VLOOKUP(I240,'G-7 WaterC'' Data'!$AK$4:$AM$6,2,FALSE)))</f>
        <v/>
      </c>
      <c r="K240" s="282" t="str">
        <f>IF(I240="","",IF(VLOOKUP(I240,'G-7 WaterC'' Data'!$AK$4:$AM$6,3,FALSE)=0,"Spatial Data Missing ⚠",VLOOKUP(I240,'G-7 WaterC'' Data'!$AK$4:$AM$6,3,FALSE)))</f>
        <v/>
      </c>
      <c r="L240" s="281" t="str">
        <f>IFERROR(INDEX('G-7 WaterC'' Data'!$O$3:$O$7,MATCH(G240,'G-7 WaterC'' Data'!$N$3:$N$7,0)),"")</f>
        <v/>
      </c>
      <c r="M240" s="58"/>
      <c r="N240" s="137"/>
      <c r="O240" s="289" t="str">
        <f t="shared" si="18"/>
        <v/>
      </c>
      <c r="P240" s="302" t="str">
        <f t="shared" si="19"/>
        <v/>
      </c>
      <c r="Q240" s="340" t="str">
        <f>IFERROR(IF(P240="Check Data ⚠","Check Data ⚠",VLOOKUP(P240,'G-4 Temporal multipliers'!$A$4:$C$37,3,FALSE)),"")</f>
        <v/>
      </c>
      <c r="R240" s="281" t="str">
        <f>IF(C240="","",VLOOKUP(C240,'G-7 WaterC'' Data'!$B$4:$G$8,4,FALSE))</f>
        <v/>
      </c>
      <c r="S240" s="289" t="str">
        <f t="shared" si="20"/>
        <v/>
      </c>
      <c r="T240" s="320" t="str">
        <f t="shared" si="21"/>
        <v/>
      </c>
      <c r="U240" s="282" t="str">
        <f>IF(C240="","",VLOOKUP(T240,'G-3 Multipliers'!$P$2:$Q$6,2,FALSE))</f>
        <v/>
      </c>
      <c r="V240" s="106"/>
      <c r="W240" s="282" t="str">
        <f>IF(V240="","",IF(AND(V240="N/A - Culvert",C240&lt;&gt;"Culvert"),"Not possible ▲",IF(AND(C240="Culvert",V240&lt;&gt;"N/A - Culvert"),"Not possible ▲",IF(VLOOKUP(V240,'G-7 WaterC'' Data'!$AA$4:$AB$7,2,FALSE)=0,"Spatial Data Missing ⚠",VLOOKUP(V240,'G-7 WaterC'' Data'!$AA$4:$AB$7,2,FALSE)))))</f>
        <v/>
      </c>
      <c r="X240" s="56"/>
      <c r="Y240" s="282" t="str">
        <f>IF(X240="","",IF(AND(X240="N/A - Culvert", C240&lt;&gt;"Culvert"), "Not possible ▲",IF(AND(C240="Culvert",X240&lt;&gt;"N/A - Culvert"),"Not possible ▲",IF(VLOOKUP(X240,'G-7 WaterC'' Data'!$AD$4:$AE$14,2,FALSE)=0,"Enrcoachment Data Missing ⚠",VLOOKUP(X240,'G-7 WaterC'' Data'!$AD$4:$AE$14,2,FALSE)))))</f>
        <v/>
      </c>
      <c r="Z240" s="323" t="str">
        <f t="shared" si="22"/>
        <v/>
      </c>
      <c r="AA240" s="105"/>
      <c r="AB240" s="119"/>
      <c r="AC240" s="108"/>
      <c r="AH240" s="30" t="str">
        <f>IFERROR(INDEX('G-7 WaterC'' Data'!$AZ$3:$AZ$7,MATCH(C240,'G-7 WaterC'' Data'!$AY$3:$AY$7,0)),"")</f>
        <v/>
      </c>
      <c r="AK240" s="30" t="str">
        <f t="shared" si="23"/>
        <v>No</v>
      </c>
    </row>
    <row r="241" spans="2:37" ht="13.8" x14ac:dyDescent="0.25">
      <c r="B241" s="101">
        <v>230</v>
      </c>
      <c r="C241" s="950"/>
      <c r="D241" s="119"/>
      <c r="E241" s="281" t="str">
        <f>IF(C241="","",VLOOKUP(C241,'G-7 WaterC'' Data'!$B$2:$G$8,2,FALSE))</f>
        <v/>
      </c>
      <c r="F241" s="282" t="str">
        <f>IFERROR(VLOOKUP(E241,'G-7 WaterC'' Data'!$C$4:$D$8,2,FALSE),"")</f>
        <v/>
      </c>
      <c r="G241" s="105"/>
      <c r="H241" s="282" t="str">
        <f>IFERROR(INDEX('G-7 WaterC'' Data'!$H$4:$L$8,MATCH(C241,'G-7 WaterC'' Data'!$B$4:$B$8,0),MATCH(G241,'G-7 WaterC'' Data'!$H$3:$L$3,0)),"")</f>
        <v/>
      </c>
      <c r="I241" s="52"/>
      <c r="J241" s="289" t="str">
        <f>IF(I241="","",IF(VLOOKUP(I241,'G-7 WaterC'' Data'!$AK$4:$AM$6,2,FALSE)=0,"Spatial Data Missing ⚠",VLOOKUP(I241,'G-7 WaterC'' Data'!$AK$4:$AM$6,2,FALSE)))</f>
        <v/>
      </c>
      <c r="K241" s="282" t="str">
        <f>IF(I241="","",IF(VLOOKUP(I241,'G-7 WaterC'' Data'!$AK$4:$AM$6,3,FALSE)=0,"Spatial Data Missing ⚠",VLOOKUP(I241,'G-7 WaterC'' Data'!$AK$4:$AM$6,3,FALSE)))</f>
        <v/>
      </c>
      <c r="L241" s="281" t="str">
        <f>IFERROR(INDEX('G-7 WaterC'' Data'!$O$3:$O$7,MATCH(G241,'G-7 WaterC'' Data'!$N$3:$N$7,0)),"")</f>
        <v/>
      </c>
      <c r="M241" s="58"/>
      <c r="N241" s="137"/>
      <c r="O241" s="289" t="str">
        <f t="shared" si="18"/>
        <v/>
      </c>
      <c r="P241" s="302" t="str">
        <f t="shared" si="19"/>
        <v/>
      </c>
      <c r="Q241" s="340" t="str">
        <f>IFERROR(IF(P241="Check Data ⚠","Check Data ⚠",VLOOKUP(P241,'G-4 Temporal multipliers'!$A$4:$C$37,3,FALSE)),"")</f>
        <v/>
      </c>
      <c r="R241" s="281" t="str">
        <f>IF(C241="","",VLOOKUP(C241,'G-7 WaterC'' Data'!$B$4:$G$8,4,FALSE))</f>
        <v/>
      </c>
      <c r="S241" s="289" t="str">
        <f t="shared" si="20"/>
        <v/>
      </c>
      <c r="T241" s="320" t="str">
        <f t="shared" si="21"/>
        <v/>
      </c>
      <c r="U241" s="282" t="str">
        <f>IF(C241="","",VLOOKUP(T241,'G-3 Multipliers'!$P$2:$Q$6,2,FALSE))</f>
        <v/>
      </c>
      <c r="V241" s="106"/>
      <c r="W241" s="282" t="str">
        <f>IF(V241="","",IF(AND(V241="N/A - Culvert",C241&lt;&gt;"Culvert"),"Not possible ▲",IF(AND(C241="Culvert",V241&lt;&gt;"N/A - Culvert"),"Not possible ▲",IF(VLOOKUP(V241,'G-7 WaterC'' Data'!$AA$4:$AB$7,2,FALSE)=0,"Spatial Data Missing ⚠",VLOOKUP(V241,'G-7 WaterC'' Data'!$AA$4:$AB$7,2,FALSE)))))</f>
        <v/>
      </c>
      <c r="X241" s="56"/>
      <c r="Y241" s="282" t="str">
        <f>IF(X241="","",IF(AND(X241="N/A - Culvert", C241&lt;&gt;"Culvert"), "Not possible ▲",IF(AND(C241="Culvert",X241&lt;&gt;"N/A - Culvert"),"Not possible ▲",IF(VLOOKUP(X241,'G-7 WaterC'' Data'!$AD$4:$AE$14,2,FALSE)=0,"Enrcoachment Data Missing ⚠",VLOOKUP(X241,'G-7 WaterC'' Data'!$AD$4:$AE$14,2,FALSE)))))</f>
        <v/>
      </c>
      <c r="Z241" s="323" t="str">
        <f t="shared" si="22"/>
        <v/>
      </c>
      <c r="AA241" s="105"/>
      <c r="AB241" s="119"/>
      <c r="AC241" s="108"/>
      <c r="AH241" s="30" t="str">
        <f>IFERROR(INDEX('G-7 WaterC'' Data'!$AZ$3:$AZ$7,MATCH(C241,'G-7 WaterC'' Data'!$AY$3:$AY$7,0)),"")</f>
        <v/>
      </c>
      <c r="AK241" s="30" t="str">
        <f t="shared" si="23"/>
        <v>No</v>
      </c>
    </row>
    <row r="242" spans="2:37" ht="13.8" x14ac:dyDescent="0.25">
      <c r="B242" s="101">
        <v>231</v>
      </c>
      <c r="C242" s="950"/>
      <c r="D242" s="119"/>
      <c r="E242" s="281" t="str">
        <f>IF(C242="","",VLOOKUP(C242,'G-7 WaterC'' Data'!$B$2:$G$8,2,FALSE))</f>
        <v/>
      </c>
      <c r="F242" s="282" t="str">
        <f>IFERROR(VLOOKUP(E242,'G-7 WaterC'' Data'!$C$4:$D$8,2,FALSE),"")</f>
        <v/>
      </c>
      <c r="G242" s="105"/>
      <c r="H242" s="282" t="str">
        <f>IFERROR(INDEX('G-7 WaterC'' Data'!$H$4:$L$8,MATCH(C242,'G-7 WaterC'' Data'!$B$4:$B$8,0),MATCH(G242,'G-7 WaterC'' Data'!$H$3:$L$3,0)),"")</f>
        <v/>
      </c>
      <c r="I242" s="52"/>
      <c r="J242" s="289" t="str">
        <f>IF(I242="","",IF(VLOOKUP(I242,'G-7 WaterC'' Data'!$AK$4:$AM$6,2,FALSE)=0,"Spatial Data Missing ⚠",VLOOKUP(I242,'G-7 WaterC'' Data'!$AK$4:$AM$6,2,FALSE)))</f>
        <v/>
      </c>
      <c r="K242" s="282" t="str">
        <f>IF(I242="","",IF(VLOOKUP(I242,'G-7 WaterC'' Data'!$AK$4:$AM$6,3,FALSE)=0,"Spatial Data Missing ⚠",VLOOKUP(I242,'G-7 WaterC'' Data'!$AK$4:$AM$6,3,FALSE)))</f>
        <v/>
      </c>
      <c r="L242" s="281" t="str">
        <f>IFERROR(INDEX('G-7 WaterC'' Data'!$O$3:$O$7,MATCH(G242,'G-7 WaterC'' Data'!$N$3:$N$7,0)),"")</f>
        <v/>
      </c>
      <c r="M242" s="58"/>
      <c r="N242" s="137"/>
      <c r="O242" s="289" t="str">
        <f t="shared" si="18"/>
        <v/>
      </c>
      <c r="P242" s="302" t="str">
        <f t="shared" si="19"/>
        <v/>
      </c>
      <c r="Q242" s="340" t="str">
        <f>IFERROR(IF(P242="Check Data ⚠","Check Data ⚠",VLOOKUP(P242,'G-4 Temporal multipliers'!$A$4:$C$37,3,FALSE)),"")</f>
        <v/>
      </c>
      <c r="R242" s="281" t="str">
        <f>IF(C242="","",VLOOKUP(C242,'G-7 WaterC'' Data'!$B$4:$G$8,4,FALSE))</f>
        <v/>
      </c>
      <c r="S242" s="289" t="str">
        <f t="shared" si="20"/>
        <v/>
      </c>
      <c r="T242" s="320" t="str">
        <f t="shared" si="21"/>
        <v/>
      </c>
      <c r="U242" s="282" t="str">
        <f>IF(C242="","",VLOOKUP(T242,'G-3 Multipliers'!$P$2:$Q$6,2,FALSE))</f>
        <v/>
      </c>
      <c r="V242" s="106"/>
      <c r="W242" s="282" t="str">
        <f>IF(V242="","",IF(AND(V242="N/A - Culvert",C242&lt;&gt;"Culvert"),"Not possible ▲",IF(AND(C242="Culvert",V242&lt;&gt;"N/A - Culvert"),"Not possible ▲",IF(VLOOKUP(V242,'G-7 WaterC'' Data'!$AA$4:$AB$7,2,FALSE)=0,"Spatial Data Missing ⚠",VLOOKUP(V242,'G-7 WaterC'' Data'!$AA$4:$AB$7,2,FALSE)))))</f>
        <v/>
      </c>
      <c r="X242" s="56"/>
      <c r="Y242" s="282" t="str">
        <f>IF(X242="","",IF(AND(X242="N/A - Culvert", C242&lt;&gt;"Culvert"), "Not possible ▲",IF(AND(C242="Culvert",X242&lt;&gt;"N/A - Culvert"),"Not possible ▲",IF(VLOOKUP(X242,'G-7 WaterC'' Data'!$AD$4:$AE$14,2,FALSE)=0,"Enrcoachment Data Missing ⚠",VLOOKUP(X242,'G-7 WaterC'' Data'!$AD$4:$AE$14,2,FALSE)))))</f>
        <v/>
      </c>
      <c r="Z242" s="323" t="str">
        <f t="shared" si="22"/>
        <v/>
      </c>
      <c r="AA242" s="105"/>
      <c r="AB242" s="119"/>
      <c r="AC242" s="108"/>
      <c r="AH242" s="30" t="str">
        <f>IFERROR(INDEX('G-7 WaterC'' Data'!$AZ$3:$AZ$7,MATCH(C242,'G-7 WaterC'' Data'!$AY$3:$AY$7,0)),"")</f>
        <v/>
      </c>
      <c r="AK242" s="30" t="str">
        <f t="shared" si="23"/>
        <v>No</v>
      </c>
    </row>
    <row r="243" spans="2:37" ht="13.8" x14ac:dyDescent="0.25">
      <c r="B243" s="101">
        <v>232</v>
      </c>
      <c r="C243" s="950"/>
      <c r="D243" s="119"/>
      <c r="E243" s="281" t="str">
        <f>IF(C243="","",VLOOKUP(C243,'G-7 WaterC'' Data'!$B$2:$G$8,2,FALSE))</f>
        <v/>
      </c>
      <c r="F243" s="282" t="str">
        <f>IFERROR(VLOOKUP(E243,'G-7 WaterC'' Data'!$C$4:$D$8,2,FALSE),"")</f>
        <v/>
      </c>
      <c r="G243" s="105"/>
      <c r="H243" s="282" t="str">
        <f>IFERROR(INDEX('G-7 WaterC'' Data'!$H$4:$L$8,MATCH(C243,'G-7 WaterC'' Data'!$B$4:$B$8,0),MATCH(G243,'G-7 WaterC'' Data'!$H$3:$L$3,0)),"")</f>
        <v/>
      </c>
      <c r="I243" s="52"/>
      <c r="J243" s="289" t="str">
        <f>IF(I243="","",IF(VLOOKUP(I243,'G-7 WaterC'' Data'!$AK$4:$AM$6,2,FALSE)=0,"Spatial Data Missing ⚠",VLOOKUP(I243,'G-7 WaterC'' Data'!$AK$4:$AM$6,2,FALSE)))</f>
        <v/>
      </c>
      <c r="K243" s="282" t="str">
        <f>IF(I243="","",IF(VLOOKUP(I243,'G-7 WaterC'' Data'!$AK$4:$AM$6,3,FALSE)=0,"Spatial Data Missing ⚠",VLOOKUP(I243,'G-7 WaterC'' Data'!$AK$4:$AM$6,3,FALSE)))</f>
        <v/>
      </c>
      <c r="L243" s="281" t="str">
        <f>IFERROR(INDEX('G-7 WaterC'' Data'!$O$3:$O$7,MATCH(G243,'G-7 WaterC'' Data'!$N$3:$N$7,0)),"")</f>
        <v/>
      </c>
      <c r="M243" s="58"/>
      <c r="N243" s="137"/>
      <c r="O243" s="289" t="str">
        <f t="shared" si="18"/>
        <v/>
      </c>
      <c r="P243" s="302" t="str">
        <f t="shared" si="19"/>
        <v/>
      </c>
      <c r="Q243" s="340" t="str">
        <f>IFERROR(IF(P243="Check Data ⚠","Check Data ⚠",VLOOKUP(P243,'G-4 Temporal multipliers'!$A$4:$C$37,3,FALSE)),"")</f>
        <v/>
      </c>
      <c r="R243" s="281" t="str">
        <f>IF(C243="","",VLOOKUP(C243,'G-7 WaterC'' Data'!$B$4:$G$8,4,FALSE))</f>
        <v/>
      </c>
      <c r="S243" s="289" t="str">
        <f t="shared" si="20"/>
        <v/>
      </c>
      <c r="T243" s="320" t="str">
        <f t="shared" si="21"/>
        <v/>
      </c>
      <c r="U243" s="282" t="str">
        <f>IF(C243="","",VLOOKUP(T243,'G-3 Multipliers'!$P$2:$Q$6,2,FALSE))</f>
        <v/>
      </c>
      <c r="V243" s="106"/>
      <c r="W243" s="282" t="str">
        <f>IF(V243="","",IF(AND(V243="N/A - Culvert",C243&lt;&gt;"Culvert"),"Not possible ▲",IF(AND(C243="Culvert",V243&lt;&gt;"N/A - Culvert"),"Not possible ▲",IF(VLOOKUP(V243,'G-7 WaterC'' Data'!$AA$4:$AB$7,2,FALSE)=0,"Spatial Data Missing ⚠",VLOOKUP(V243,'G-7 WaterC'' Data'!$AA$4:$AB$7,2,FALSE)))))</f>
        <v/>
      </c>
      <c r="X243" s="56"/>
      <c r="Y243" s="282" t="str">
        <f>IF(X243="","",IF(AND(X243="N/A - Culvert", C243&lt;&gt;"Culvert"), "Not possible ▲",IF(AND(C243="Culvert",X243&lt;&gt;"N/A - Culvert"),"Not possible ▲",IF(VLOOKUP(X243,'G-7 WaterC'' Data'!$AD$4:$AE$14,2,FALSE)=0,"Enrcoachment Data Missing ⚠",VLOOKUP(X243,'G-7 WaterC'' Data'!$AD$4:$AE$14,2,FALSE)))))</f>
        <v/>
      </c>
      <c r="Z243" s="323" t="str">
        <f t="shared" si="22"/>
        <v/>
      </c>
      <c r="AA243" s="105"/>
      <c r="AB243" s="119"/>
      <c r="AC243" s="108"/>
      <c r="AH243" s="30" t="str">
        <f>IFERROR(INDEX('G-7 WaterC'' Data'!$AZ$3:$AZ$7,MATCH(C243,'G-7 WaterC'' Data'!$AY$3:$AY$7,0)),"")</f>
        <v/>
      </c>
      <c r="AK243" s="30" t="str">
        <f t="shared" si="23"/>
        <v>No</v>
      </c>
    </row>
    <row r="244" spans="2:37" ht="13.8" x14ac:dyDescent="0.25">
      <c r="B244" s="101">
        <v>233</v>
      </c>
      <c r="C244" s="950"/>
      <c r="D244" s="119"/>
      <c r="E244" s="281" t="str">
        <f>IF(C244="","",VLOOKUP(C244,'G-7 WaterC'' Data'!$B$2:$G$8,2,FALSE))</f>
        <v/>
      </c>
      <c r="F244" s="282" t="str">
        <f>IFERROR(VLOOKUP(E244,'G-7 WaterC'' Data'!$C$4:$D$8,2,FALSE),"")</f>
        <v/>
      </c>
      <c r="G244" s="105"/>
      <c r="H244" s="282" t="str">
        <f>IFERROR(INDEX('G-7 WaterC'' Data'!$H$4:$L$8,MATCH(C244,'G-7 WaterC'' Data'!$B$4:$B$8,0),MATCH(G244,'G-7 WaterC'' Data'!$H$3:$L$3,0)),"")</f>
        <v/>
      </c>
      <c r="I244" s="52"/>
      <c r="J244" s="289" t="str">
        <f>IF(I244="","",IF(VLOOKUP(I244,'G-7 WaterC'' Data'!$AK$4:$AM$6,2,FALSE)=0,"Spatial Data Missing ⚠",VLOOKUP(I244,'G-7 WaterC'' Data'!$AK$4:$AM$6,2,FALSE)))</f>
        <v/>
      </c>
      <c r="K244" s="282" t="str">
        <f>IF(I244="","",IF(VLOOKUP(I244,'G-7 WaterC'' Data'!$AK$4:$AM$6,3,FALSE)=0,"Spatial Data Missing ⚠",VLOOKUP(I244,'G-7 WaterC'' Data'!$AK$4:$AM$6,3,FALSE)))</f>
        <v/>
      </c>
      <c r="L244" s="281" t="str">
        <f>IFERROR(INDEX('G-7 WaterC'' Data'!$O$3:$O$7,MATCH(G244,'G-7 WaterC'' Data'!$N$3:$N$7,0)),"")</f>
        <v/>
      </c>
      <c r="M244" s="58"/>
      <c r="N244" s="137"/>
      <c r="O244" s="289" t="str">
        <f t="shared" si="18"/>
        <v/>
      </c>
      <c r="P244" s="302" t="str">
        <f t="shared" si="19"/>
        <v/>
      </c>
      <c r="Q244" s="340" t="str">
        <f>IFERROR(IF(P244="Check Data ⚠","Check Data ⚠",VLOOKUP(P244,'G-4 Temporal multipliers'!$A$4:$C$37,3,FALSE)),"")</f>
        <v/>
      </c>
      <c r="R244" s="281" t="str">
        <f>IF(C244="","",VLOOKUP(C244,'G-7 WaterC'' Data'!$B$4:$G$8,4,FALSE))</f>
        <v/>
      </c>
      <c r="S244" s="289" t="str">
        <f t="shared" si="20"/>
        <v/>
      </c>
      <c r="T244" s="320" t="str">
        <f t="shared" si="21"/>
        <v/>
      </c>
      <c r="U244" s="282" t="str">
        <f>IF(C244="","",VLOOKUP(T244,'G-3 Multipliers'!$P$2:$Q$6,2,FALSE))</f>
        <v/>
      </c>
      <c r="V244" s="106"/>
      <c r="W244" s="282" t="str">
        <f>IF(V244="","",IF(AND(V244="N/A - Culvert",C244&lt;&gt;"Culvert"),"Not possible ▲",IF(AND(C244="Culvert",V244&lt;&gt;"N/A - Culvert"),"Not possible ▲",IF(VLOOKUP(V244,'G-7 WaterC'' Data'!$AA$4:$AB$7,2,FALSE)=0,"Spatial Data Missing ⚠",VLOOKUP(V244,'G-7 WaterC'' Data'!$AA$4:$AB$7,2,FALSE)))))</f>
        <v/>
      </c>
      <c r="X244" s="56"/>
      <c r="Y244" s="282" t="str">
        <f>IF(X244="","",IF(AND(X244="N/A - Culvert", C244&lt;&gt;"Culvert"), "Not possible ▲",IF(AND(C244="Culvert",X244&lt;&gt;"N/A - Culvert"),"Not possible ▲",IF(VLOOKUP(X244,'G-7 WaterC'' Data'!$AD$4:$AE$14,2,FALSE)=0,"Enrcoachment Data Missing ⚠",VLOOKUP(X244,'G-7 WaterC'' Data'!$AD$4:$AE$14,2,FALSE)))))</f>
        <v/>
      </c>
      <c r="Z244" s="323" t="str">
        <f t="shared" si="22"/>
        <v/>
      </c>
      <c r="AA244" s="105"/>
      <c r="AB244" s="119"/>
      <c r="AC244" s="108"/>
      <c r="AH244" s="30" t="str">
        <f>IFERROR(INDEX('G-7 WaterC'' Data'!$AZ$3:$AZ$7,MATCH(C244,'G-7 WaterC'' Data'!$AY$3:$AY$7,0)),"")</f>
        <v/>
      </c>
      <c r="AK244" s="30" t="str">
        <f t="shared" si="23"/>
        <v>No</v>
      </c>
    </row>
    <row r="245" spans="2:37" ht="13.8" x14ac:dyDescent="0.25">
      <c r="B245" s="101">
        <v>234</v>
      </c>
      <c r="C245" s="950"/>
      <c r="D245" s="119"/>
      <c r="E245" s="281" t="str">
        <f>IF(C245="","",VLOOKUP(C245,'G-7 WaterC'' Data'!$B$2:$G$8,2,FALSE))</f>
        <v/>
      </c>
      <c r="F245" s="282" t="str">
        <f>IFERROR(VLOOKUP(E245,'G-7 WaterC'' Data'!$C$4:$D$8,2,FALSE),"")</f>
        <v/>
      </c>
      <c r="G245" s="105"/>
      <c r="H245" s="282" t="str">
        <f>IFERROR(INDEX('G-7 WaterC'' Data'!$H$4:$L$8,MATCH(C245,'G-7 WaterC'' Data'!$B$4:$B$8,0),MATCH(G245,'G-7 WaterC'' Data'!$H$3:$L$3,0)),"")</f>
        <v/>
      </c>
      <c r="I245" s="52"/>
      <c r="J245" s="289" t="str">
        <f>IF(I245="","",IF(VLOOKUP(I245,'G-7 WaterC'' Data'!$AK$4:$AM$6,2,FALSE)=0,"Spatial Data Missing ⚠",VLOOKUP(I245,'G-7 WaterC'' Data'!$AK$4:$AM$6,2,FALSE)))</f>
        <v/>
      </c>
      <c r="K245" s="282" t="str">
        <f>IF(I245="","",IF(VLOOKUP(I245,'G-7 WaterC'' Data'!$AK$4:$AM$6,3,FALSE)=0,"Spatial Data Missing ⚠",VLOOKUP(I245,'G-7 WaterC'' Data'!$AK$4:$AM$6,3,FALSE)))</f>
        <v/>
      </c>
      <c r="L245" s="281" t="str">
        <f>IFERROR(INDEX('G-7 WaterC'' Data'!$O$3:$O$7,MATCH(G245,'G-7 WaterC'' Data'!$N$3:$N$7,0)),"")</f>
        <v/>
      </c>
      <c r="M245" s="58"/>
      <c r="N245" s="137"/>
      <c r="O245" s="289" t="str">
        <f t="shared" si="18"/>
        <v/>
      </c>
      <c r="P245" s="302" t="str">
        <f t="shared" si="19"/>
        <v/>
      </c>
      <c r="Q245" s="340" t="str">
        <f>IFERROR(IF(P245="Check Data ⚠","Check Data ⚠",VLOOKUP(P245,'G-4 Temporal multipliers'!$A$4:$C$37,3,FALSE)),"")</f>
        <v/>
      </c>
      <c r="R245" s="281" t="str">
        <f>IF(C245="","",VLOOKUP(C245,'G-7 WaterC'' Data'!$B$4:$G$8,4,FALSE))</f>
        <v/>
      </c>
      <c r="S245" s="289" t="str">
        <f t="shared" si="20"/>
        <v/>
      </c>
      <c r="T245" s="320" t="str">
        <f t="shared" si="21"/>
        <v/>
      </c>
      <c r="U245" s="282" t="str">
        <f>IF(C245="","",VLOOKUP(T245,'G-3 Multipliers'!$P$2:$Q$6,2,FALSE))</f>
        <v/>
      </c>
      <c r="V245" s="106"/>
      <c r="W245" s="282" t="str">
        <f>IF(V245="","",IF(AND(V245="N/A - Culvert",C245&lt;&gt;"Culvert"),"Not possible ▲",IF(AND(C245="Culvert",V245&lt;&gt;"N/A - Culvert"),"Not possible ▲",IF(VLOOKUP(V245,'G-7 WaterC'' Data'!$AA$4:$AB$7,2,FALSE)=0,"Spatial Data Missing ⚠",VLOOKUP(V245,'G-7 WaterC'' Data'!$AA$4:$AB$7,2,FALSE)))))</f>
        <v/>
      </c>
      <c r="X245" s="56"/>
      <c r="Y245" s="282" t="str">
        <f>IF(X245="","",IF(AND(X245="N/A - Culvert", C245&lt;&gt;"Culvert"), "Not possible ▲",IF(AND(C245="Culvert",X245&lt;&gt;"N/A - Culvert"),"Not possible ▲",IF(VLOOKUP(X245,'G-7 WaterC'' Data'!$AD$4:$AE$14,2,FALSE)=0,"Enrcoachment Data Missing ⚠",VLOOKUP(X245,'G-7 WaterC'' Data'!$AD$4:$AE$14,2,FALSE)))))</f>
        <v/>
      </c>
      <c r="Z245" s="323" t="str">
        <f t="shared" si="22"/>
        <v/>
      </c>
      <c r="AA245" s="105"/>
      <c r="AB245" s="119"/>
      <c r="AC245" s="108"/>
      <c r="AH245" s="30" t="str">
        <f>IFERROR(INDEX('G-7 WaterC'' Data'!$AZ$3:$AZ$7,MATCH(C245,'G-7 WaterC'' Data'!$AY$3:$AY$7,0)),"")</f>
        <v/>
      </c>
      <c r="AK245" s="30" t="str">
        <f t="shared" si="23"/>
        <v>No</v>
      </c>
    </row>
    <row r="246" spans="2:37" ht="13.8" x14ac:dyDescent="0.25">
      <c r="B246" s="101">
        <v>235</v>
      </c>
      <c r="C246" s="950"/>
      <c r="D246" s="119"/>
      <c r="E246" s="281" t="str">
        <f>IF(C246="","",VLOOKUP(C246,'G-7 WaterC'' Data'!$B$2:$G$8,2,FALSE))</f>
        <v/>
      </c>
      <c r="F246" s="282" t="str">
        <f>IFERROR(VLOOKUP(E246,'G-7 WaterC'' Data'!$C$4:$D$8,2,FALSE),"")</f>
        <v/>
      </c>
      <c r="G246" s="105"/>
      <c r="H246" s="282" t="str">
        <f>IFERROR(INDEX('G-7 WaterC'' Data'!$H$4:$L$8,MATCH(C246,'G-7 WaterC'' Data'!$B$4:$B$8,0),MATCH(G246,'G-7 WaterC'' Data'!$H$3:$L$3,0)),"")</f>
        <v/>
      </c>
      <c r="I246" s="52"/>
      <c r="J246" s="289" t="str">
        <f>IF(I246="","",IF(VLOOKUP(I246,'G-7 WaterC'' Data'!$AK$4:$AM$6,2,FALSE)=0,"Spatial Data Missing ⚠",VLOOKUP(I246,'G-7 WaterC'' Data'!$AK$4:$AM$6,2,FALSE)))</f>
        <v/>
      </c>
      <c r="K246" s="282" t="str">
        <f>IF(I246="","",IF(VLOOKUP(I246,'G-7 WaterC'' Data'!$AK$4:$AM$6,3,FALSE)=0,"Spatial Data Missing ⚠",VLOOKUP(I246,'G-7 WaterC'' Data'!$AK$4:$AM$6,3,FALSE)))</f>
        <v/>
      </c>
      <c r="L246" s="281" t="str">
        <f>IFERROR(INDEX('G-7 WaterC'' Data'!$O$3:$O$7,MATCH(G246,'G-7 WaterC'' Data'!$N$3:$N$7,0)),"")</f>
        <v/>
      </c>
      <c r="M246" s="58"/>
      <c r="N246" s="137"/>
      <c r="O246" s="289" t="str">
        <f t="shared" si="18"/>
        <v/>
      </c>
      <c r="P246" s="302" t="str">
        <f t="shared" si="19"/>
        <v/>
      </c>
      <c r="Q246" s="340" t="str">
        <f>IFERROR(IF(P246="Check Data ⚠","Check Data ⚠",VLOOKUP(P246,'G-4 Temporal multipliers'!$A$4:$C$37,3,FALSE)),"")</f>
        <v/>
      </c>
      <c r="R246" s="281" t="str">
        <f>IF(C246="","",VLOOKUP(C246,'G-7 WaterC'' Data'!$B$4:$G$8,4,FALSE))</f>
        <v/>
      </c>
      <c r="S246" s="289" t="str">
        <f t="shared" si="20"/>
        <v/>
      </c>
      <c r="T246" s="320" t="str">
        <f t="shared" si="21"/>
        <v/>
      </c>
      <c r="U246" s="282" t="str">
        <f>IF(C246="","",VLOOKUP(T246,'G-3 Multipliers'!$P$2:$Q$6,2,FALSE))</f>
        <v/>
      </c>
      <c r="V246" s="106"/>
      <c r="W246" s="282" t="str">
        <f>IF(V246="","",IF(AND(V246="N/A - Culvert",C246&lt;&gt;"Culvert"),"Not possible ▲",IF(AND(C246="Culvert",V246&lt;&gt;"N/A - Culvert"),"Not possible ▲",IF(VLOOKUP(V246,'G-7 WaterC'' Data'!$AA$4:$AB$7,2,FALSE)=0,"Spatial Data Missing ⚠",VLOOKUP(V246,'G-7 WaterC'' Data'!$AA$4:$AB$7,2,FALSE)))))</f>
        <v/>
      </c>
      <c r="X246" s="56"/>
      <c r="Y246" s="282" t="str">
        <f>IF(X246="","",IF(AND(X246="N/A - Culvert", C246&lt;&gt;"Culvert"), "Not possible ▲",IF(AND(C246="Culvert",X246&lt;&gt;"N/A - Culvert"),"Not possible ▲",IF(VLOOKUP(X246,'G-7 WaterC'' Data'!$AD$4:$AE$14,2,FALSE)=0,"Enrcoachment Data Missing ⚠",VLOOKUP(X246,'G-7 WaterC'' Data'!$AD$4:$AE$14,2,FALSE)))))</f>
        <v/>
      </c>
      <c r="Z246" s="323" t="str">
        <f t="shared" si="22"/>
        <v/>
      </c>
      <c r="AA246" s="105"/>
      <c r="AB246" s="119"/>
      <c r="AC246" s="108"/>
      <c r="AH246" s="30" t="str">
        <f>IFERROR(INDEX('G-7 WaterC'' Data'!$AZ$3:$AZ$7,MATCH(C246,'G-7 WaterC'' Data'!$AY$3:$AY$7,0)),"")</f>
        <v/>
      </c>
      <c r="AK246" s="30" t="str">
        <f t="shared" si="23"/>
        <v>No</v>
      </c>
    </row>
    <row r="247" spans="2:37" ht="13.8" x14ac:dyDescent="0.25">
      <c r="B247" s="101">
        <v>236</v>
      </c>
      <c r="C247" s="950"/>
      <c r="D247" s="119"/>
      <c r="E247" s="281" t="str">
        <f>IF(C247="","",VLOOKUP(C247,'G-7 WaterC'' Data'!$B$2:$G$8,2,FALSE))</f>
        <v/>
      </c>
      <c r="F247" s="282" t="str">
        <f>IFERROR(VLOOKUP(E247,'G-7 WaterC'' Data'!$C$4:$D$8,2,FALSE),"")</f>
        <v/>
      </c>
      <c r="G247" s="105"/>
      <c r="H247" s="282" t="str">
        <f>IFERROR(INDEX('G-7 WaterC'' Data'!$H$4:$L$8,MATCH(C247,'G-7 WaterC'' Data'!$B$4:$B$8,0),MATCH(G247,'G-7 WaterC'' Data'!$H$3:$L$3,0)),"")</f>
        <v/>
      </c>
      <c r="I247" s="52"/>
      <c r="J247" s="289" t="str">
        <f>IF(I247="","",IF(VLOOKUP(I247,'G-7 WaterC'' Data'!$AK$4:$AM$6,2,FALSE)=0,"Spatial Data Missing ⚠",VLOOKUP(I247,'G-7 WaterC'' Data'!$AK$4:$AM$6,2,FALSE)))</f>
        <v/>
      </c>
      <c r="K247" s="282" t="str">
        <f>IF(I247="","",IF(VLOOKUP(I247,'G-7 WaterC'' Data'!$AK$4:$AM$6,3,FALSE)=0,"Spatial Data Missing ⚠",VLOOKUP(I247,'G-7 WaterC'' Data'!$AK$4:$AM$6,3,FALSE)))</f>
        <v/>
      </c>
      <c r="L247" s="281" t="str">
        <f>IFERROR(INDEX('G-7 WaterC'' Data'!$O$3:$O$7,MATCH(G247,'G-7 WaterC'' Data'!$N$3:$N$7,0)),"")</f>
        <v/>
      </c>
      <c r="M247" s="58"/>
      <c r="N247" s="137"/>
      <c r="O247" s="289" t="str">
        <f t="shared" si="18"/>
        <v/>
      </c>
      <c r="P247" s="302" t="str">
        <f t="shared" si="19"/>
        <v/>
      </c>
      <c r="Q247" s="340" t="str">
        <f>IFERROR(IF(P247="Check Data ⚠","Check Data ⚠",VLOOKUP(P247,'G-4 Temporal multipliers'!$A$4:$C$37,3,FALSE)),"")</f>
        <v/>
      </c>
      <c r="R247" s="281" t="str">
        <f>IF(C247="","",VLOOKUP(C247,'G-7 WaterC'' Data'!$B$4:$G$8,4,FALSE))</f>
        <v/>
      </c>
      <c r="S247" s="289" t="str">
        <f t="shared" si="20"/>
        <v/>
      </c>
      <c r="T247" s="320" t="str">
        <f t="shared" si="21"/>
        <v/>
      </c>
      <c r="U247" s="282" t="str">
        <f>IF(C247="","",VLOOKUP(T247,'G-3 Multipliers'!$P$2:$Q$6,2,FALSE))</f>
        <v/>
      </c>
      <c r="V247" s="106"/>
      <c r="W247" s="282" t="str">
        <f>IF(V247="","",IF(AND(V247="N/A - Culvert",C247&lt;&gt;"Culvert"),"Not possible ▲",IF(AND(C247="Culvert",V247&lt;&gt;"N/A - Culvert"),"Not possible ▲",IF(VLOOKUP(V247,'G-7 WaterC'' Data'!$AA$4:$AB$7,2,FALSE)=0,"Spatial Data Missing ⚠",VLOOKUP(V247,'G-7 WaterC'' Data'!$AA$4:$AB$7,2,FALSE)))))</f>
        <v/>
      </c>
      <c r="X247" s="56"/>
      <c r="Y247" s="282" t="str">
        <f>IF(X247="","",IF(AND(X247="N/A - Culvert", C247&lt;&gt;"Culvert"), "Not possible ▲",IF(AND(C247="Culvert",X247&lt;&gt;"N/A - Culvert"),"Not possible ▲",IF(VLOOKUP(X247,'G-7 WaterC'' Data'!$AD$4:$AE$14,2,FALSE)=0,"Enrcoachment Data Missing ⚠",VLOOKUP(X247,'G-7 WaterC'' Data'!$AD$4:$AE$14,2,FALSE)))))</f>
        <v/>
      </c>
      <c r="Z247" s="323" t="str">
        <f t="shared" si="22"/>
        <v/>
      </c>
      <c r="AA247" s="105"/>
      <c r="AB247" s="119"/>
      <c r="AC247" s="108"/>
      <c r="AH247" s="30" t="str">
        <f>IFERROR(INDEX('G-7 WaterC'' Data'!$AZ$3:$AZ$7,MATCH(C247,'G-7 WaterC'' Data'!$AY$3:$AY$7,0)),"")</f>
        <v/>
      </c>
      <c r="AK247" s="30" t="str">
        <f t="shared" si="23"/>
        <v>No</v>
      </c>
    </row>
    <row r="248" spans="2:37" ht="13.8" x14ac:dyDescent="0.25">
      <c r="B248" s="101">
        <v>237</v>
      </c>
      <c r="C248" s="950"/>
      <c r="D248" s="119"/>
      <c r="E248" s="281" t="str">
        <f>IF(C248="","",VLOOKUP(C248,'G-7 WaterC'' Data'!$B$2:$G$8,2,FALSE))</f>
        <v/>
      </c>
      <c r="F248" s="282" t="str">
        <f>IFERROR(VLOOKUP(E248,'G-7 WaterC'' Data'!$C$4:$D$8,2,FALSE),"")</f>
        <v/>
      </c>
      <c r="G248" s="105"/>
      <c r="H248" s="282" t="str">
        <f>IFERROR(INDEX('G-7 WaterC'' Data'!$H$4:$L$8,MATCH(C248,'G-7 WaterC'' Data'!$B$4:$B$8,0),MATCH(G248,'G-7 WaterC'' Data'!$H$3:$L$3,0)),"")</f>
        <v/>
      </c>
      <c r="I248" s="52"/>
      <c r="J248" s="289" t="str">
        <f>IF(I248="","",IF(VLOOKUP(I248,'G-7 WaterC'' Data'!$AK$4:$AM$6,2,FALSE)=0,"Spatial Data Missing ⚠",VLOOKUP(I248,'G-7 WaterC'' Data'!$AK$4:$AM$6,2,FALSE)))</f>
        <v/>
      </c>
      <c r="K248" s="282" t="str">
        <f>IF(I248="","",IF(VLOOKUP(I248,'G-7 WaterC'' Data'!$AK$4:$AM$6,3,FALSE)=0,"Spatial Data Missing ⚠",VLOOKUP(I248,'G-7 WaterC'' Data'!$AK$4:$AM$6,3,FALSE)))</f>
        <v/>
      </c>
      <c r="L248" s="281" t="str">
        <f>IFERROR(INDEX('G-7 WaterC'' Data'!$O$3:$O$7,MATCH(G248,'G-7 WaterC'' Data'!$N$3:$N$7,0)),"")</f>
        <v/>
      </c>
      <c r="M248" s="58"/>
      <c r="N248" s="137"/>
      <c r="O248" s="289" t="str">
        <f t="shared" si="18"/>
        <v/>
      </c>
      <c r="P248" s="302" t="str">
        <f t="shared" si="19"/>
        <v/>
      </c>
      <c r="Q248" s="340" t="str">
        <f>IFERROR(IF(P248="Check Data ⚠","Check Data ⚠",VLOOKUP(P248,'G-4 Temporal multipliers'!$A$4:$C$37,3,FALSE)),"")</f>
        <v/>
      </c>
      <c r="R248" s="281" t="str">
        <f>IF(C248="","",VLOOKUP(C248,'G-7 WaterC'' Data'!$B$4:$G$8,4,FALSE))</f>
        <v/>
      </c>
      <c r="S248" s="289" t="str">
        <f t="shared" si="20"/>
        <v/>
      </c>
      <c r="T248" s="320" t="str">
        <f t="shared" si="21"/>
        <v/>
      </c>
      <c r="U248" s="282" t="str">
        <f>IF(C248="","",VLOOKUP(T248,'G-3 Multipliers'!$P$2:$Q$6,2,FALSE))</f>
        <v/>
      </c>
      <c r="V248" s="106"/>
      <c r="W248" s="282" t="str">
        <f>IF(V248="","",IF(AND(V248="N/A - Culvert",C248&lt;&gt;"Culvert"),"Not possible ▲",IF(AND(C248="Culvert",V248&lt;&gt;"N/A - Culvert"),"Not possible ▲",IF(VLOOKUP(V248,'G-7 WaterC'' Data'!$AA$4:$AB$7,2,FALSE)=0,"Spatial Data Missing ⚠",VLOOKUP(V248,'G-7 WaterC'' Data'!$AA$4:$AB$7,2,FALSE)))))</f>
        <v/>
      </c>
      <c r="X248" s="56"/>
      <c r="Y248" s="282" t="str">
        <f>IF(X248="","",IF(AND(X248="N/A - Culvert", C248&lt;&gt;"Culvert"), "Not possible ▲",IF(AND(C248="Culvert",X248&lt;&gt;"N/A - Culvert"),"Not possible ▲",IF(VLOOKUP(X248,'G-7 WaterC'' Data'!$AD$4:$AE$14,2,FALSE)=0,"Enrcoachment Data Missing ⚠",VLOOKUP(X248,'G-7 WaterC'' Data'!$AD$4:$AE$14,2,FALSE)))))</f>
        <v/>
      </c>
      <c r="Z248" s="323" t="str">
        <f t="shared" si="22"/>
        <v/>
      </c>
      <c r="AA248" s="105"/>
      <c r="AB248" s="119"/>
      <c r="AC248" s="108"/>
      <c r="AH248" s="30" t="str">
        <f>IFERROR(INDEX('G-7 WaterC'' Data'!$AZ$3:$AZ$7,MATCH(C248,'G-7 WaterC'' Data'!$AY$3:$AY$7,0)),"")</f>
        <v/>
      </c>
      <c r="AK248" s="30" t="str">
        <f t="shared" si="23"/>
        <v>No</v>
      </c>
    </row>
    <row r="249" spans="2:37" ht="13.8" x14ac:dyDescent="0.25">
      <c r="B249" s="101">
        <v>238</v>
      </c>
      <c r="C249" s="950"/>
      <c r="D249" s="119"/>
      <c r="E249" s="281" t="str">
        <f>IF(C249="","",VLOOKUP(C249,'G-7 WaterC'' Data'!$B$2:$G$8,2,FALSE))</f>
        <v/>
      </c>
      <c r="F249" s="282" t="str">
        <f>IFERROR(VLOOKUP(E249,'G-7 WaterC'' Data'!$C$4:$D$8,2,FALSE),"")</f>
        <v/>
      </c>
      <c r="G249" s="105"/>
      <c r="H249" s="282" t="str">
        <f>IFERROR(INDEX('G-7 WaterC'' Data'!$H$4:$L$8,MATCH(C249,'G-7 WaterC'' Data'!$B$4:$B$8,0),MATCH(G249,'G-7 WaterC'' Data'!$H$3:$L$3,0)),"")</f>
        <v/>
      </c>
      <c r="I249" s="52"/>
      <c r="J249" s="289" t="str">
        <f>IF(I249="","",IF(VLOOKUP(I249,'G-7 WaterC'' Data'!$AK$4:$AM$6,2,FALSE)=0,"Spatial Data Missing ⚠",VLOOKUP(I249,'G-7 WaterC'' Data'!$AK$4:$AM$6,2,FALSE)))</f>
        <v/>
      </c>
      <c r="K249" s="282" t="str">
        <f>IF(I249="","",IF(VLOOKUP(I249,'G-7 WaterC'' Data'!$AK$4:$AM$6,3,FALSE)=0,"Spatial Data Missing ⚠",VLOOKUP(I249,'G-7 WaterC'' Data'!$AK$4:$AM$6,3,FALSE)))</f>
        <v/>
      </c>
      <c r="L249" s="281" t="str">
        <f>IFERROR(INDEX('G-7 WaterC'' Data'!$O$3:$O$7,MATCH(G249,'G-7 WaterC'' Data'!$N$3:$N$7,0)),"")</f>
        <v/>
      </c>
      <c r="M249" s="58"/>
      <c r="N249" s="137"/>
      <c r="O249" s="289" t="str">
        <f t="shared" si="18"/>
        <v/>
      </c>
      <c r="P249" s="302" t="str">
        <f t="shared" si="19"/>
        <v/>
      </c>
      <c r="Q249" s="340" t="str">
        <f>IFERROR(IF(P249="Check Data ⚠","Check Data ⚠",VLOOKUP(P249,'G-4 Temporal multipliers'!$A$4:$C$37,3,FALSE)),"")</f>
        <v/>
      </c>
      <c r="R249" s="281" t="str">
        <f>IF(C249="","",VLOOKUP(C249,'G-7 WaterC'' Data'!$B$4:$G$8,4,FALSE))</f>
        <v/>
      </c>
      <c r="S249" s="289" t="str">
        <f t="shared" si="20"/>
        <v/>
      </c>
      <c r="T249" s="320" t="str">
        <f t="shared" si="21"/>
        <v/>
      </c>
      <c r="U249" s="282" t="str">
        <f>IF(C249="","",VLOOKUP(T249,'G-3 Multipliers'!$P$2:$Q$6,2,FALSE))</f>
        <v/>
      </c>
      <c r="V249" s="106"/>
      <c r="W249" s="282" t="str">
        <f>IF(V249="","",IF(AND(V249="N/A - Culvert",C249&lt;&gt;"Culvert"),"Not possible ▲",IF(AND(C249="Culvert",V249&lt;&gt;"N/A - Culvert"),"Not possible ▲",IF(VLOOKUP(V249,'G-7 WaterC'' Data'!$AA$4:$AB$7,2,FALSE)=0,"Spatial Data Missing ⚠",VLOOKUP(V249,'G-7 WaterC'' Data'!$AA$4:$AB$7,2,FALSE)))))</f>
        <v/>
      </c>
      <c r="X249" s="56"/>
      <c r="Y249" s="282" t="str">
        <f>IF(X249="","",IF(AND(X249="N/A - Culvert", C249&lt;&gt;"Culvert"), "Not possible ▲",IF(AND(C249="Culvert",X249&lt;&gt;"N/A - Culvert"),"Not possible ▲",IF(VLOOKUP(X249,'G-7 WaterC'' Data'!$AD$4:$AE$14,2,FALSE)=0,"Enrcoachment Data Missing ⚠",VLOOKUP(X249,'G-7 WaterC'' Data'!$AD$4:$AE$14,2,FALSE)))))</f>
        <v/>
      </c>
      <c r="Z249" s="323" t="str">
        <f t="shared" si="22"/>
        <v/>
      </c>
      <c r="AA249" s="105"/>
      <c r="AB249" s="119"/>
      <c r="AC249" s="108"/>
      <c r="AH249" s="30" t="str">
        <f>IFERROR(INDEX('G-7 WaterC'' Data'!$AZ$3:$AZ$7,MATCH(C249,'G-7 WaterC'' Data'!$AY$3:$AY$7,0)),"")</f>
        <v/>
      </c>
      <c r="AK249" s="30" t="str">
        <f t="shared" si="23"/>
        <v>No</v>
      </c>
    </row>
    <row r="250" spans="2:37" ht="13.8" x14ac:dyDescent="0.25">
      <c r="B250" s="101">
        <v>239</v>
      </c>
      <c r="C250" s="950"/>
      <c r="D250" s="119"/>
      <c r="E250" s="281" t="str">
        <f>IF(C250="","",VLOOKUP(C250,'G-7 WaterC'' Data'!$B$2:$G$8,2,FALSE))</f>
        <v/>
      </c>
      <c r="F250" s="282" t="str">
        <f>IFERROR(VLOOKUP(E250,'G-7 WaterC'' Data'!$C$4:$D$8,2,FALSE),"")</f>
        <v/>
      </c>
      <c r="G250" s="105"/>
      <c r="H250" s="282" t="str">
        <f>IFERROR(INDEX('G-7 WaterC'' Data'!$H$4:$L$8,MATCH(C250,'G-7 WaterC'' Data'!$B$4:$B$8,0),MATCH(G250,'G-7 WaterC'' Data'!$H$3:$L$3,0)),"")</f>
        <v/>
      </c>
      <c r="I250" s="52"/>
      <c r="J250" s="289" t="str">
        <f>IF(I250="","",IF(VLOOKUP(I250,'G-7 WaterC'' Data'!$AK$4:$AM$6,2,FALSE)=0,"Spatial Data Missing ⚠",VLOOKUP(I250,'G-7 WaterC'' Data'!$AK$4:$AM$6,2,FALSE)))</f>
        <v/>
      </c>
      <c r="K250" s="282" t="str">
        <f>IF(I250="","",IF(VLOOKUP(I250,'G-7 WaterC'' Data'!$AK$4:$AM$6,3,FALSE)=0,"Spatial Data Missing ⚠",VLOOKUP(I250,'G-7 WaterC'' Data'!$AK$4:$AM$6,3,FALSE)))</f>
        <v/>
      </c>
      <c r="L250" s="281" t="str">
        <f>IFERROR(INDEX('G-7 WaterC'' Data'!$O$3:$O$7,MATCH(G250,'G-7 WaterC'' Data'!$N$3:$N$7,0)),"")</f>
        <v/>
      </c>
      <c r="M250" s="58"/>
      <c r="N250" s="137"/>
      <c r="O250" s="289" t="str">
        <f t="shared" si="18"/>
        <v/>
      </c>
      <c r="P250" s="302" t="str">
        <f t="shared" si="19"/>
        <v/>
      </c>
      <c r="Q250" s="340" t="str">
        <f>IFERROR(IF(P250="Check Data ⚠","Check Data ⚠",VLOOKUP(P250,'G-4 Temporal multipliers'!$A$4:$C$37,3,FALSE)),"")</f>
        <v/>
      </c>
      <c r="R250" s="281" t="str">
        <f>IF(C250="","",VLOOKUP(C250,'G-7 WaterC'' Data'!$B$4:$G$8,4,FALSE))</f>
        <v/>
      </c>
      <c r="S250" s="289" t="str">
        <f t="shared" si="20"/>
        <v/>
      </c>
      <c r="T250" s="320" t="str">
        <f t="shared" si="21"/>
        <v/>
      </c>
      <c r="U250" s="282" t="str">
        <f>IF(C250="","",VLOOKUP(T250,'G-3 Multipliers'!$P$2:$Q$6,2,FALSE))</f>
        <v/>
      </c>
      <c r="V250" s="106"/>
      <c r="W250" s="282" t="str">
        <f>IF(V250="","",IF(AND(V250="N/A - Culvert",C250&lt;&gt;"Culvert"),"Not possible ▲",IF(AND(C250="Culvert",V250&lt;&gt;"N/A - Culvert"),"Not possible ▲",IF(VLOOKUP(V250,'G-7 WaterC'' Data'!$AA$4:$AB$7,2,FALSE)=0,"Spatial Data Missing ⚠",VLOOKUP(V250,'G-7 WaterC'' Data'!$AA$4:$AB$7,2,FALSE)))))</f>
        <v/>
      </c>
      <c r="X250" s="56"/>
      <c r="Y250" s="282" t="str">
        <f>IF(X250="","",IF(AND(X250="N/A - Culvert", C250&lt;&gt;"Culvert"), "Not possible ▲",IF(AND(C250="Culvert",X250&lt;&gt;"N/A - Culvert"),"Not possible ▲",IF(VLOOKUP(X250,'G-7 WaterC'' Data'!$AD$4:$AE$14,2,FALSE)=0,"Enrcoachment Data Missing ⚠",VLOOKUP(X250,'G-7 WaterC'' Data'!$AD$4:$AE$14,2,FALSE)))))</f>
        <v/>
      </c>
      <c r="Z250" s="323" t="str">
        <f t="shared" si="22"/>
        <v/>
      </c>
      <c r="AA250" s="105"/>
      <c r="AB250" s="119"/>
      <c r="AC250" s="108"/>
      <c r="AH250" s="30" t="str">
        <f>IFERROR(INDEX('G-7 WaterC'' Data'!$AZ$3:$AZ$7,MATCH(C250,'G-7 WaterC'' Data'!$AY$3:$AY$7,0)),"")</f>
        <v/>
      </c>
      <c r="AK250" s="30" t="str">
        <f t="shared" si="23"/>
        <v>No</v>
      </c>
    </row>
    <row r="251" spans="2:37" ht="13.8" x14ac:dyDescent="0.25">
      <c r="B251" s="101">
        <v>240</v>
      </c>
      <c r="C251" s="950"/>
      <c r="D251" s="119"/>
      <c r="E251" s="281" t="str">
        <f>IF(C251="","",VLOOKUP(C251,'G-7 WaterC'' Data'!$B$2:$G$8,2,FALSE))</f>
        <v/>
      </c>
      <c r="F251" s="282" t="str">
        <f>IFERROR(VLOOKUP(E251,'G-7 WaterC'' Data'!$C$4:$D$8,2,FALSE),"")</f>
        <v/>
      </c>
      <c r="G251" s="105"/>
      <c r="H251" s="282" t="str">
        <f>IFERROR(INDEX('G-7 WaterC'' Data'!$H$4:$L$8,MATCH(C251,'G-7 WaterC'' Data'!$B$4:$B$8,0),MATCH(G251,'G-7 WaterC'' Data'!$H$3:$L$3,0)),"")</f>
        <v/>
      </c>
      <c r="I251" s="52"/>
      <c r="J251" s="289" t="str">
        <f>IF(I251="","",IF(VLOOKUP(I251,'G-7 WaterC'' Data'!$AK$4:$AM$6,2,FALSE)=0,"Spatial Data Missing ⚠",VLOOKUP(I251,'G-7 WaterC'' Data'!$AK$4:$AM$6,2,FALSE)))</f>
        <v/>
      </c>
      <c r="K251" s="282" t="str">
        <f>IF(I251="","",IF(VLOOKUP(I251,'G-7 WaterC'' Data'!$AK$4:$AM$6,3,FALSE)=0,"Spatial Data Missing ⚠",VLOOKUP(I251,'G-7 WaterC'' Data'!$AK$4:$AM$6,3,FALSE)))</f>
        <v/>
      </c>
      <c r="L251" s="281" t="str">
        <f>IFERROR(INDEX('G-7 WaterC'' Data'!$O$3:$O$7,MATCH(G251,'G-7 WaterC'' Data'!$N$3:$N$7,0)),"")</f>
        <v/>
      </c>
      <c r="M251" s="58"/>
      <c r="N251" s="137"/>
      <c r="O251" s="289" t="str">
        <f t="shared" si="18"/>
        <v/>
      </c>
      <c r="P251" s="302" t="str">
        <f t="shared" si="19"/>
        <v/>
      </c>
      <c r="Q251" s="340" t="str">
        <f>IFERROR(IF(P251="Check Data ⚠","Check Data ⚠",VLOOKUP(P251,'G-4 Temporal multipliers'!$A$4:$C$37,3,FALSE)),"")</f>
        <v/>
      </c>
      <c r="R251" s="281" t="str">
        <f>IF(C251="","",VLOOKUP(C251,'G-7 WaterC'' Data'!$B$4:$G$8,4,FALSE))</f>
        <v/>
      </c>
      <c r="S251" s="289" t="str">
        <f t="shared" si="20"/>
        <v/>
      </c>
      <c r="T251" s="320" t="str">
        <f t="shared" si="21"/>
        <v/>
      </c>
      <c r="U251" s="282" t="str">
        <f>IF(C251="","",VLOOKUP(T251,'G-3 Multipliers'!$P$2:$Q$6,2,FALSE))</f>
        <v/>
      </c>
      <c r="V251" s="106"/>
      <c r="W251" s="282" t="str">
        <f>IF(V251="","",IF(AND(V251="N/A - Culvert",C251&lt;&gt;"Culvert"),"Not possible ▲",IF(AND(C251="Culvert",V251&lt;&gt;"N/A - Culvert"),"Not possible ▲",IF(VLOOKUP(V251,'G-7 WaterC'' Data'!$AA$4:$AB$7,2,FALSE)=0,"Spatial Data Missing ⚠",VLOOKUP(V251,'G-7 WaterC'' Data'!$AA$4:$AB$7,2,FALSE)))))</f>
        <v/>
      </c>
      <c r="X251" s="56"/>
      <c r="Y251" s="282" t="str">
        <f>IF(X251="","",IF(AND(X251="N/A - Culvert", C251&lt;&gt;"Culvert"), "Not possible ▲",IF(AND(C251="Culvert",X251&lt;&gt;"N/A - Culvert"),"Not possible ▲",IF(VLOOKUP(X251,'G-7 WaterC'' Data'!$AD$4:$AE$14,2,FALSE)=0,"Enrcoachment Data Missing ⚠",VLOOKUP(X251,'G-7 WaterC'' Data'!$AD$4:$AE$14,2,FALSE)))))</f>
        <v/>
      </c>
      <c r="Z251" s="323" t="str">
        <f t="shared" si="22"/>
        <v/>
      </c>
      <c r="AA251" s="105"/>
      <c r="AB251" s="119"/>
      <c r="AC251" s="108"/>
      <c r="AH251" s="30" t="str">
        <f>IFERROR(INDEX('G-7 WaterC'' Data'!$AZ$3:$AZ$7,MATCH(C251,'G-7 WaterC'' Data'!$AY$3:$AY$7,0)),"")</f>
        <v/>
      </c>
      <c r="AK251" s="30" t="str">
        <f t="shared" si="23"/>
        <v>No</v>
      </c>
    </row>
    <row r="252" spans="2:37" ht="13.8" x14ac:dyDescent="0.25">
      <c r="B252" s="101">
        <v>241</v>
      </c>
      <c r="C252" s="950"/>
      <c r="D252" s="119"/>
      <c r="E252" s="281" t="str">
        <f>IF(C252="","",VLOOKUP(C252,'G-7 WaterC'' Data'!$B$2:$G$8,2,FALSE))</f>
        <v/>
      </c>
      <c r="F252" s="282" t="str">
        <f>IFERROR(VLOOKUP(E252,'G-7 WaterC'' Data'!$C$4:$D$8,2,FALSE),"")</f>
        <v/>
      </c>
      <c r="G252" s="105"/>
      <c r="H252" s="282" t="str">
        <f>IFERROR(INDEX('G-7 WaterC'' Data'!$H$4:$L$8,MATCH(C252,'G-7 WaterC'' Data'!$B$4:$B$8,0),MATCH(G252,'G-7 WaterC'' Data'!$H$3:$L$3,0)),"")</f>
        <v/>
      </c>
      <c r="I252" s="52"/>
      <c r="J252" s="289" t="str">
        <f>IF(I252="","",IF(VLOOKUP(I252,'G-7 WaterC'' Data'!$AK$4:$AM$6,2,FALSE)=0,"Spatial Data Missing ⚠",VLOOKUP(I252,'G-7 WaterC'' Data'!$AK$4:$AM$6,2,FALSE)))</f>
        <v/>
      </c>
      <c r="K252" s="282" t="str">
        <f>IF(I252="","",IF(VLOOKUP(I252,'G-7 WaterC'' Data'!$AK$4:$AM$6,3,FALSE)=0,"Spatial Data Missing ⚠",VLOOKUP(I252,'G-7 WaterC'' Data'!$AK$4:$AM$6,3,FALSE)))</f>
        <v/>
      </c>
      <c r="L252" s="281" t="str">
        <f>IFERROR(INDEX('G-7 WaterC'' Data'!$O$3:$O$7,MATCH(G252,'G-7 WaterC'' Data'!$N$3:$N$7,0)),"")</f>
        <v/>
      </c>
      <c r="M252" s="58"/>
      <c r="N252" s="137"/>
      <c r="O252" s="289" t="str">
        <f t="shared" si="18"/>
        <v/>
      </c>
      <c r="P252" s="302" t="str">
        <f t="shared" si="19"/>
        <v/>
      </c>
      <c r="Q252" s="340" t="str">
        <f>IFERROR(IF(P252="Check Data ⚠","Check Data ⚠",VLOOKUP(P252,'G-4 Temporal multipliers'!$A$4:$C$37,3,FALSE)),"")</f>
        <v/>
      </c>
      <c r="R252" s="281" t="str">
        <f>IF(C252="","",VLOOKUP(C252,'G-7 WaterC'' Data'!$B$4:$G$8,4,FALSE))</f>
        <v/>
      </c>
      <c r="S252" s="289" t="str">
        <f t="shared" si="20"/>
        <v/>
      </c>
      <c r="T252" s="320" t="str">
        <f t="shared" si="21"/>
        <v/>
      </c>
      <c r="U252" s="282" t="str">
        <f>IF(C252="","",VLOOKUP(T252,'G-3 Multipliers'!$P$2:$Q$6,2,FALSE))</f>
        <v/>
      </c>
      <c r="V252" s="106"/>
      <c r="W252" s="282" t="str">
        <f>IF(V252="","",IF(AND(V252="N/A - Culvert",C252&lt;&gt;"Culvert"),"Not possible ▲",IF(AND(C252="Culvert",V252&lt;&gt;"N/A - Culvert"),"Not possible ▲",IF(VLOOKUP(V252,'G-7 WaterC'' Data'!$AA$4:$AB$7,2,FALSE)=0,"Spatial Data Missing ⚠",VLOOKUP(V252,'G-7 WaterC'' Data'!$AA$4:$AB$7,2,FALSE)))))</f>
        <v/>
      </c>
      <c r="X252" s="56"/>
      <c r="Y252" s="282" t="str">
        <f>IF(X252="","",IF(AND(X252="N/A - Culvert", C252&lt;&gt;"Culvert"), "Not possible ▲",IF(AND(C252="Culvert",X252&lt;&gt;"N/A - Culvert"),"Not possible ▲",IF(VLOOKUP(X252,'G-7 WaterC'' Data'!$AD$4:$AE$14,2,FALSE)=0,"Enrcoachment Data Missing ⚠",VLOOKUP(X252,'G-7 WaterC'' Data'!$AD$4:$AE$14,2,FALSE)))))</f>
        <v/>
      </c>
      <c r="Z252" s="323" t="str">
        <f t="shared" si="22"/>
        <v/>
      </c>
      <c r="AA252" s="105"/>
      <c r="AB252" s="119"/>
      <c r="AC252" s="108"/>
      <c r="AH252" s="30" t="str">
        <f>IFERROR(INDEX('G-7 WaterC'' Data'!$AZ$3:$AZ$7,MATCH(C252,'G-7 WaterC'' Data'!$AY$3:$AY$7,0)),"")</f>
        <v/>
      </c>
      <c r="AK252" s="30" t="str">
        <f t="shared" si="23"/>
        <v>No</v>
      </c>
    </row>
    <row r="253" spans="2:37" ht="13.8" x14ac:dyDescent="0.25">
      <c r="B253" s="101">
        <v>242</v>
      </c>
      <c r="C253" s="950"/>
      <c r="D253" s="119"/>
      <c r="E253" s="281" t="str">
        <f>IF(C253="","",VLOOKUP(C253,'G-7 WaterC'' Data'!$B$2:$G$8,2,FALSE))</f>
        <v/>
      </c>
      <c r="F253" s="282" t="str">
        <f>IFERROR(VLOOKUP(E253,'G-7 WaterC'' Data'!$C$4:$D$8,2,FALSE),"")</f>
        <v/>
      </c>
      <c r="G253" s="105"/>
      <c r="H253" s="282" t="str">
        <f>IFERROR(INDEX('G-7 WaterC'' Data'!$H$4:$L$8,MATCH(C253,'G-7 WaterC'' Data'!$B$4:$B$8,0),MATCH(G253,'G-7 WaterC'' Data'!$H$3:$L$3,0)),"")</f>
        <v/>
      </c>
      <c r="I253" s="52"/>
      <c r="J253" s="289" t="str">
        <f>IF(I253="","",IF(VLOOKUP(I253,'G-7 WaterC'' Data'!$AK$4:$AM$6,2,FALSE)=0,"Spatial Data Missing ⚠",VLOOKUP(I253,'G-7 WaterC'' Data'!$AK$4:$AM$6,2,FALSE)))</f>
        <v/>
      </c>
      <c r="K253" s="282" t="str">
        <f>IF(I253="","",IF(VLOOKUP(I253,'G-7 WaterC'' Data'!$AK$4:$AM$6,3,FALSE)=0,"Spatial Data Missing ⚠",VLOOKUP(I253,'G-7 WaterC'' Data'!$AK$4:$AM$6,3,FALSE)))</f>
        <v/>
      </c>
      <c r="L253" s="281" t="str">
        <f>IFERROR(INDEX('G-7 WaterC'' Data'!$O$3:$O$7,MATCH(G253,'G-7 WaterC'' Data'!$N$3:$N$7,0)),"")</f>
        <v/>
      </c>
      <c r="M253" s="58"/>
      <c r="N253" s="137"/>
      <c r="O253" s="289" t="str">
        <f t="shared" si="18"/>
        <v/>
      </c>
      <c r="P253" s="302" t="str">
        <f t="shared" si="19"/>
        <v/>
      </c>
      <c r="Q253" s="340" t="str">
        <f>IFERROR(IF(P253="Check Data ⚠","Check Data ⚠",VLOOKUP(P253,'G-4 Temporal multipliers'!$A$4:$C$37,3,FALSE)),"")</f>
        <v/>
      </c>
      <c r="R253" s="281" t="str">
        <f>IF(C253="","",VLOOKUP(C253,'G-7 WaterC'' Data'!$B$4:$G$8,4,FALSE))</f>
        <v/>
      </c>
      <c r="S253" s="289" t="str">
        <f t="shared" si="20"/>
        <v/>
      </c>
      <c r="T253" s="320" t="str">
        <f t="shared" si="21"/>
        <v/>
      </c>
      <c r="U253" s="282" t="str">
        <f>IF(C253="","",VLOOKUP(T253,'G-3 Multipliers'!$P$2:$Q$6,2,FALSE))</f>
        <v/>
      </c>
      <c r="V253" s="106"/>
      <c r="W253" s="282" t="str">
        <f>IF(V253="","",IF(AND(V253="N/A - Culvert",C253&lt;&gt;"Culvert"),"Not possible ▲",IF(AND(C253="Culvert",V253&lt;&gt;"N/A - Culvert"),"Not possible ▲",IF(VLOOKUP(V253,'G-7 WaterC'' Data'!$AA$4:$AB$7,2,FALSE)=0,"Spatial Data Missing ⚠",VLOOKUP(V253,'G-7 WaterC'' Data'!$AA$4:$AB$7,2,FALSE)))))</f>
        <v/>
      </c>
      <c r="X253" s="56"/>
      <c r="Y253" s="282" t="str">
        <f>IF(X253="","",IF(AND(X253="N/A - Culvert", C253&lt;&gt;"Culvert"), "Not possible ▲",IF(AND(C253="Culvert",X253&lt;&gt;"N/A - Culvert"),"Not possible ▲",IF(VLOOKUP(X253,'G-7 WaterC'' Data'!$AD$4:$AE$14,2,FALSE)=0,"Enrcoachment Data Missing ⚠",VLOOKUP(X253,'G-7 WaterC'' Data'!$AD$4:$AE$14,2,FALSE)))))</f>
        <v/>
      </c>
      <c r="Z253" s="323" t="str">
        <f t="shared" si="22"/>
        <v/>
      </c>
      <c r="AA253" s="105"/>
      <c r="AB253" s="119"/>
      <c r="AC253" s="108"/>
      <c r="AH253" s="30" t="str">
        <f>IFERROR(INDEX('G-7 WaterC'' Data'!$AZ$3:$AZ$7,MATCH(C253,'G-7 WaterC'' Data'!$AY$3:$AY$7,0)),"")</f>
        <v/>
      </c>
      <c r="AK253" s="30" t="str">
        <f t="shared" si="23"/>
        <v>No</v>
      </c>
    </row>
    <row r="254" spans="2:37" ht="13.8" x14ac:dyDescent="0.25">
      <c r="B254" s="101">
        <v>243</v>
      </c>
      <c r="C254" s="950"/>
      <c r="D254" s="119"/>
      <c r="E254" s="281" t="str">
        <f>IF(C254="","",VLOOKUP(C254,'G-7 WaterC'' Data'!$B$2:$G$8,2,FALSE))</f>
        <v/>
      </c>
      <c r="F254" s="282" t="str">
        <f>IFERROR(VLOOKUP(E254,'G-7 WaterC'' Data'!$C$4:$D$8,2,FALSE),"")</f>
        <v/>
      </c>
      <c r="G254" s="105"/>
      <c r="H254" s="282" t="str">
        <f>IFERROR(INDEX('G-7 WaterC'' Data'!$H$4:$L$8,MATCH(C254,'G-7 WaterC'' Data'!$B$4:$B$8,0),MATCH(G254,'G-7 WaterC'' Data'!$H$3:$L$3,0)),"")</f>
        <v/>
      </c>
      <c r="I254" s="52"/>
      <c r="J254" s="289" t="str">
        <f>IF(I254="","",IF(VLOOKUP(I254,'G-7 WaterC'' Data'!$AK$4:$AM$6,2,FALSE)=0,"Spatial Data Missing ⚠",VLOOKUP(I254,'G-7 WaterC'' Data'!$AK$4:$AM$6,2,FALSE)))</f>
        <v/>
      </c>
      <c r="K254" s="282" t="str">
        <f>IF(I254="","",IF(VLOOKUP(I254,'G-7 WaterC'' Data'!$AK$4:$AM$6,3,FALSE)=0,"Spatial Data Missing ⚠",VLOOKUP(I254,'G-7 WaterC'' Data'!$AK$4:$AM$6,3,FALSE)))</f>
        <v/>
      </c>
      <c r="L254" s="281" t="str">
        <f>IFERROR(INDEX('G-7 WaterC'' Data'!$O$3:$O$7,MATCH(G254,'G-7 WaterC'' Data'!$N$3:$N$7,0)),"")</f>
        <v/>
      </c>
      <c r="M254" s="58"/>
      <c r="N254" s="137"/>
      <c r="O254" s="289" t="str">
        <f t="shared" si="18"/>
        <v/>
      </c>
      <c r="P254" s="302" t="str">
        <f t="shared" si="19"/>
        <v/>
      </c>
      <c r="Q254" s="340" t="str">
        <f>IFERROR(IF(P254="Check Data ⚠","Check Data ⚠",VLOOKUP(P254,'G-4 Temporal multipliers'!$A$4:$C$37,3,FALSE)),"")</f>
        <v/>
      </c>
      <c r="R254" s="281" t="str">
        <f>IF(C254="","",VLOOKUP(C254,'G-7 WaterC'' Data'!$B$4:$G$8,4,FALSE))</f>
        <v/>
      </c>
      <c r="S254" s="289" t="str">
        <f t="shared" si="20"/>
        <v/>
      </c>
      <c r="T254" s="320" t="str">
        <f t="shared" si="21"/>
        <v/>
      </c>
      <c r="U254" s="282" t="str">
        <f>IF(C254="","",VLOOKUP(T254,'G-3 Multipliers'!$P$2:$Q$6,2,FALSE))</f>
        <v/>
      </c>
      <c r="V254" s="106"/>
      <c r="W254" s="282" t="str">
        <f>IF(V254="","",IF(AND(V254="N/A - Culvert",C254&lt;&gt;"Culvert"),"Not possible ▲",IF(AND(C254="Culvert",V254&lt;&gt;"N/A - Culvert"),"Not possible ▲",IF(VLOOKUP(V254,'G-7 WaterC'' Data'!$AA$4:$AB$7,2,FALSE)=0,"Spatial Data Missing ⚠",VLOOKUP(V254,'G-7 WaterC'' Data'!$AA$4:$AB$7,2,FALSE)))))</f>
        <v/>
      </c>
      <c r="X254" s="56"/>
      <c r="Y254" s="282" t="str">
        <f>IF(X254="","",IF(AND(X254="N/A - Culvert", C254&lt;&gt;"Culvert"), "Not possible ▲",IF(AND(C254="Culvert",X254&lt;&gt;"N/A - Culvert"),"Not possible ▲",IF(VLOOKUP(X254,'G-7 WaterC'' Data'!$AD$4:$AE$14,2,FALSE)=0,"Enrcoachment Data Missing ⚠",VLOOKUP(X254,'G-7 WaterC'' Data'!$AD$4:$AE$14,2,FALSE)))))</f>
        <v/>
      </c>
      <c r="Z254" s="323" t="str">
        <f t="shared" si="22"/>
        <v/>
      </c>
      <c r="AA254" s="105"/>
      <c r="AB254" s="119"/>
      <c r="AC254" s="108"/>
      <c r="AH254" s="30" t="str">
        <f>IFERROR(INDEX('G-7 WaterC'' Data'!$AZ$3:$AZ$7,MATCH(C254,'G-7 WaterC'' Data'!$AY$3:$AY$7,0)),"")</f>
        <v/>
      </c>
      <c r="AK254" s="30" t="str">
        <f t="shared" si="23"/>
        <v>No</v>
      </c>
    </row>
    <row r="255" spans="2:37" ht="13.8" x14ac:dyDescent="0.25">
      <c r="B255" s="101">
        <v>244</v>
      </c>
      <c r="C255" s="950"/>
      <c r="D255" s="119"/>
      <c r="E255" s="281" t="str">
        <f>IF(C255="","",VLOOKUP(C255,'G-7 WaterC'' Data'!$B$2:$G$8,2,FALSE))</f>
        <v/>
      </c>
      <c r="F255" s="282" t="str">
        <f>IFERROR(VLOOKUP(E255,'G-7 WaterC'' Data'!$C$4:$D$8,2,FALSE),"")</f>
        <v/>
      </c>
      <c r="G255" s="105"/>
      <c r="H255" s="282" t="str">
        <f>IFERROR(INDEX('G-7 WaterC'' Data'!$H$4:$L$8,MATCH(C255,'G-7 WaterC'' Data'!$B$4:$B$8,0),MATCH(G255,'G-7 WaterC'' Data'!$H$3:$L$3,0)),"")</f>
        <v/>
      </c>
      <c r="I255" s="52"/>
      <c r="J255" s="289" t="str">
        <f>IF(I255="","",IF(VLOOKUP(I255,'G-7 WaterC'' Data'!$AK$4:$AM$6,2,FALSE)=0,"Spatial Data Missing ⚠",VLOOKUP(I255,'G-7 WaterC'' Data'!$AK$4:$AM$6,2,FALSE)))</f>
        <v/>
      </c>
      <c r="K255" s="282" t="str">
        <f>IF(I255="","",IF(VLOOKUP(I255,'G-7 WaterC'' Data'!$AK$4:$AM$6,3,FALSE)=0,"Spatial Data Missing ⚠",VLOOKUP(I255,'G-7 WaterC'' Data'!$AK$4:$AM$6,3,FALSE)))</f>
        <v/>
      </c>
      <c r="L255" s="281" t="str">
        <f>IFERROR(INDEX('G-7 WaterC'' Data'!$O$3:$O$7,MATCH(G255,'G-7 WaterC'' Data'!$N$3:$N$7,0)),"")</f>
        <v/>
      </c>
      <c r="M255" s="58"/>
      <c r="N255" s="137"/>
      <c r="O255" s="289" t="str">
        <f t="shared" si="18"/>
        <v/>
      </c>
      <c r="P255" s="302" t="str">
        <f t="shared" si="19"/>
        <v/>
      </c>
      <c r="Q255" s="340" t="str">
        <f>IFERROR(IF(P255="Check Data ⚠","Check Data ⚠",VLOOKUP(P255,'G-4 Temporal multipliers'!$A$4:$C$37,3,FALSE)),"")</f>
        <v/>
      </c>
      <c r="R255" s="281" t="str">
        <f>IF(C255="","",VLOOKUP(C255,'G-7 WaterC'' Data'!$B$4:$G$8,4,FALSE))</f>
        <v/>
      </c>
      <c r="S255" s="289" t="str">
        <f t="shared" si="20"/>
        <v/>
      </c>
      <c r="T255" s="320" t="str">
        <f t="shared" si="21"/>
        <v/>
      </c>
      <c r="U255" s="282" t="str">
        <f>IF(C255="","",VLOOKUP(T255,'G-3 Multipliers'!$P$2:$Q$6,2,FALSE))</f>
        <v/>
      </c>
      <c r="V255" s="106"/>
      <c r="W255" s="282" t="str">
        <f>IF(V255="","",IF(AND(V255="N/A - Culvert",C255&lt;&gt;"Culvert"),"Not possible ▲",IF(AND(C255="Culvert",V255&lt;&gt;"N/A - Culvert"),"Not possible ▲",IF(VLOOKUP(V255,'G-7 WaterC'' Data'!$AA$4:$AB$7,2,FALSE)=0,"Spatial Data Missing ⚠",VLOOKUP(V255,'G-7 WaterC'' Data'!$AA$4:$AB$7,2,FALSE)))))</f>
        <v/>
      </c>
      <c r="X255" s="56"/>
      <c r="Y255" s="282" t="str">
        <f>IF(X255="","",IF(AND(X255="N/A - Culvert", C255&lt;&gt;"Culvert"), "Not possible ▲",IF(AND(C255="Culvert",X255&lt;&gt;"N/A - Culvert"),"Not possible ▲",IF(VLOOKUP(X255,'G-7 WaterC'' Data'!$AD$4:$AE$14,2,FALSE)=0,"Enrcoachment Data Missing ⚠",VLOOKUP(X255,'G-7 WaterC'' Data'!$AD$4:$AE$14,2,FALSE)))))</f>
        <v/>
      </c>
      <c r="Z255" s="323" t="str">
        <f t="shared" si="22"/>
        <v/>
      </c>
      <c r="AA255" s="105"/>
      <c r="AB255" s="119"/>
      <c r="AC255" s="108"/>
      <c r="AH255" s="30" t="str">
        <f>IFERROR(INDEX('G-7 WaterC'' Data'!$AZ$3:$AZ$7,MATCH(C255,'G-7 WaterC'' Data'!$AY$3:$AY$7,0)),"")</f>
        <v/>
      </c>
      <c r="AK255" s="30" t="str">
        <f t="shared" si="23"/>
        <v>No</v>
      </c>
    </row>
    <row r="256" spans="2:37" ht="13.8" x14ac:dyDescent="0.25">
      <c r="B256" s="101">
        <v>245</v>
      </c>
      <c r="C256" s="950"/>
      <c r="D256" s="119"/>
      <c r="E256" s="281" t="str">
        <f>IF(C256="","",VLOOKUP(C256,'G-7 WaterC'' Data'!$B$2:$G$8,2,FALSE))</f>
        <v/>
      </c>
      <c r="F256" s="282" t="str">
        <f>IFERROR(VLOOKUP(E256,'G-7 WaterC'' Data'!$C$4:$D$8,2,FALSE),"")</f>
        <v/>
      </c>
      <c r="G256" s="105"/>
      <c r="H256" s="282" t="str">
        <f>IFERROR(INDEX('G-7 WaterC'' Data'!$H$4:$L$8,MATCH(C256,'G-7 WaterC'' Data'!$B$4:$B$8,0),MATCH(G256,'G-7 WaterC'' Data'!$H$3:$L$3,0)),"")</f>
        <v/>
      </c>
      <c r="I256" s="52"/>
      <c r="J256" s="289" t="str">
        <f>IF(I256="","",IF(VLOOKUP(I256,'G-7 WaterC'' Data'!$AK$4:$AM$6,2,FALSE)=0,"Spatial Data Missing ⚠",VLOOKUP(I256,'G-7 WaterC'' Data'!$AK$4:$AM$6,2,FALSE)))</f>
        <v/>
      </c>
      <c r="K256" s="282" t="str">
        <f>IF(I256="","",IF(VLOOKUP(I256,'G-7 WaterC'' Data'!$AK$4:$AM$6,3,FALSE)=0,"Spatial Data Missing ⚠",VLOOKUP(I256,'G-7 WaterC'' Data'!$AK$4:$AM$6,3,FALSE)))</f>
        <v/>
      </c>
      <c r="L256" s="281" t="str">
        <f>IFERROR(INDEX('G-7 WaterC'' Data'!$O$3:$O$7,MATCH(G256,'G-7 WaterC'' Data'!$N$3:$N$7,0)),"")</f>
        <v/>
      </c>
      <c r="M256" s="58"/>
      <c r="N256" s="137"/>
      <c r="O256" s="289" t="str">
        <f t="shared" si="18"/>
        <v/>
      </c>
      <c r="P256" s="302" t="str">
        <f t="shared" si="19"/>
        <v/>
      </c>
      <c r="Q256" s="340" t="str">
        <f>IFERROR(IF(P256="Check Data ⚠","Check Data ⚠",VLOOKUP(P256,'G-4 Temporal multipliers'!$A$4:$C$37,3,FALSE)),"")</f>
        <v/>
      </c>
      <c r="R256" s="281" t="str">
        <f>IF(C256="","",VLOOKUP(C256,'G-7 WaterC'' Data'!$B$4:$G$8,4,FALSE))</f>
        <v/>
      </c>
      <c r="S256" s="289" t="str">
        <f t="shared" si="20"/>
        <v/>
      </c>
      <c r="T256" s="320" t="str">
        <f t="shared" si="21"/>
        <v/>
      </c>
      <c r="U256" s="282" t="str">
        <f>IF(C256="","",VLOOKUP(T256,'G-3 Multipliers'!$P$2:$Q$6,2,FALSE))</f>
        <v/>
      </c>
      <c r="V256" s="106"/>
      <c r="W256" s="282" t="str">
        <f>IF(V256="","",IF(AND(V256="N/A - Culvert",C256&lt;&gt;"Culvert"),"Not possible ▲",IF(AND(C256="Culvert",V256&lt;&gt;"N/A - Culvert"),"Not possible ▲",IF(VLOOKUP(V256,'G-7 WaterC'' Data'!$AA$4:$AB$7,2,FALSE)=0,"Spatial Data Missing ⚠",VLOOKUP(V256,'G-7 WaterC'' Data'!$AA$4:$AB$7,2,FALSE)))))</f>
        <v/>
      </c>
      <c r="X256" s="56"/>
      <c r="Y256" s="282" t="str">
        <f>IF(X256="","",IF(AND(X256="N/A - Culvert", C256&lt;&gt;"Culvert"), "Not possible ▲",IF(AND(C256="Culvert",X256&lt;&gt;"N/A - Culvert"),"Not possible ▲",IF(VLOOKUP(X256,'G-7 WaterC'' Data'!$AD$4:$AE$14,2,FALSE)=0,"Enrcoachment Data Missing ⚠",VLOOKUP(X256,'G-7 WaterC'' Data'!$AD$4:$AE$14,2,FALSE)))))</f>
        <v/>
      </c>
      <c r="Z256" s="323" t="str">
        <f t="shared" si="22"/>
        <v/>
      </c>
      <c r="AA256" s="105"/>
      <c r="AB256" s="119"/>
      <c r="AC256" s="108"/>
      <c r="AH256" s="30" t="str">
        <f>IFERROR(INDEX('G-7 WaterC'' Data'!$AZ$3:$AZ$7,MATCH(C256,'G-7 WaterC'' Data'!$AY$3:$AY$7,0)),"")</f>
        <v/>
      </c>
      <c r="AK256" s="30" t="str">
        <f t="shared" si="23"/>
        <v>No</v>
      </c>
    </row>
    <row r="257" spans="2:37" ht="13.8" x14ac:dyDescent="0.25">
      <c r="B257" s="101">
        <v>246</v>
      </c>
      <c r="C257" s="950"/>
      <c r="D257" s="119"/>
      <c r="E257" s="281" t="str">
        <f>IF(C257="","",VLOOKUP(C257,'G-7 WaterC'' Data'!$B$2:$G$8,2,FALSE))</f>
        <v/>
      </c>
      <c r="F257" s="282" t="str">
        <f>IFERROR(VLOOKUP(E257,'G-7 WaterC'' Data'!$C$4:$D$8,2,FALSE),"")</f>
        <v/>
      </c>
      <c r="G257" s="105"/>
      <c r="H257" s="282" t="str">
        <f>IFERROR(INDEX('G-7 WaterC'' Data'!$H$4:$L$8,MATCH(C257,'G-7 WaterC'' Data'!$B$4:$B$8,0),MATCH(G257,'G-7 WaterC'' Data'!$H$3:$L$3,0)),"")</f>
        <v/>
      </c>
      <c r="I257" s="52"/>
      <c r="J257" s="289" t="str">
        <f>IF(I257="","",IF(VLOOKUP(I257,'G-7 WaterC'' Data'!$AK$4:$AM$6,2,FALSE)=0,"Spatial Data Missing ⚠",VLOOKUP(I257,'G-7 WaterC'' Data'!$AK$4:$AM$6,2,FALSE)))</f>
        <v/>
      </c>
      <c r="K257" s="282" t="str">
        <f>IF(I257="","",IF(VLOOKUP(I257,'G-7 WaterC'' Data'!$AK$4:$AM$6,3,FALSE)=0,"Spatial Data Missing ⚠",VLOOKUP(I257,'G-7 WaterC'' Data'!$AK$4:$AM$6,3,FALSE)))</f>
        <v/>
      </c>
      <c r="L257" s="281" t="str">
        <f>IFERROR(INDEX('G-7 WaterC'' Data'!$O$3:$O$7,MATCH(G257,'G-7 WaterC'' Data'!$N$3:$N$7,0)),"")</f>
        <v/>
      </c>
      <c r="M257" s="58"/>
      <c r="N257" s="137"/>
      <c r="O257" s="289" t="str">
        <f t="shared" si="18"/>
        <v/>
      </c>
      <c r="P257" s="302" t="str">
        <f t="shared" si="19"/>
        <v/>
      </c>
      <c r="Q257" s="340" t="str">
        <f>IFERROR(IF(P257="Check Data ⚠","Check Data ⚠",VLOOKUP(P257,'G-4 Temporal multipliers'!$A$4:$C$37,3,FALSE)),"")</f>
        <v/>
      </c>
      <c r="R257" s="281" t="str">
        <f>IF(C257="","",VLOOKUP(C257,'G-7 WaterC'' Data'!$B$4:$G$8,4,FALSE))</f>
        <v/>
      </c>
      <c r="S257" s="289" t="str">
        <f t="shared" si="20"/>
        <v/>
      </c>
      <c r="T257" s="320" t="str">
        <f t="shared" si="21"/>
        <v/>
      </c>
      <c r="U257" s="282" t="str">
        <f>IF(C257="","",VLOOKUP(T257,'G-3 Multipliers'!$P$2:$Q$6,2,FALSE))</f>
        <v/>
      </c>
      <c r="V257" s="106"/>
      <c r="W257" s="282" t="str">
        <f>IF(V257="","",IF(AND(V257="N/A - Culvert",C257&lt;&gt;"Culvert"),"Not possible ▲",IF(AND(C257="Culvert",V257&lt;&gt;"N/A - Culvert"),"Not possible ▲",IF(VLOOKUP(V257,'G-7 WaterC'' Data'!$AA$4:$AB$7,2,FALSE)=0,"Spatial Data Missing ⚠",VLOOKUP(V257,'G-7 WaterC'' Data'!$AA$4:$AB$7,2,FALSE)))))</f>
        <v/>
      </c>
      <c r="X257" s="56"/>
      <c r="Y257" s="282" t="str">
        <f>IF(X257="","",IF(AND(X257="N/A - Culvert", C257&lt;&gt;"Culvert"), "Not possible ▲",IF(AND(C257="Culvert",X257&lt;&gt;"N/A - Culvert"),"Not possible ▲",IF(VLOOKUP(X257,'G-7 WaterC'' Data'!$AD$4:$AE$14,2,FALSE)=0,"Enrcoachment Data Missing ⚠",VLOOKUP(X257,'G-7 WaterC'' Data'!$AD$4:$AE$14,2,FALSE)))))</f>
        <v/>
      </c>
      <c r="Z257" s="323" t="str">
        <f t="shared" si="22"/>
        <v/>
      </c>
      <c r="AA257" s="105"/>
      <c r="AB257" s="119"/>
      <c r="AC257" s="108"/>
      <c r="AH257" s="30" t="str">
        <f>IFERROR(INDEX('G-7 WaterC'' Data'!$AZ$3:$AZ$7,MATCH(C257,'G-7 WaterC'' Data'!$AY$3:$AY$7,0)),"")</f>
        <v/>
      </c>
      <c r="AK257" s="30" t="str">
        <f t="shared" si="23"/>
        <v>No</v>
      </c>
    </row>
    <row r="258" spans="2:37" ht="13.8" x14ac:dyDescent="0.25">
      <c r="B258" s="101">
        <v>247</v>
      </c>
      <c r="C258" s="950"/>
      <c r="D258" s="119"/>
      <c r="E258" s="281" t="str">
        <f>IF(C258="","",VLOOKUP(C258,'G-7 WaterC'' Data'!$B$2:$G$8,2,FALSE))</f>
        <v/>
      </c>
      <c r="F258" s="282" t="str">
        <f>IFERROR(VLOOKUP(E258,'G-7 WaterC'' Data'!$C$4:$D$8,2,FALSE),"")</f>
        <v/>
      </c>
      <c r="G258" s="105"/>
      <c r="H258" s="282" t="str">
        <f>IFERROR(INDEX('G-7 WaterC'' Data'!$H$4:$L$8,MATCH(C258,'G-7 WaterC'' Data'!$B$4:$B$8,0),MATCH(G258,'G-7 WaterC'' Data'!$H$3:$L$3,0)),"")</f>
        <v/>
      </c>
      <c r="I258" s="52"/>
      <c r="J258" s="289" t="str">
        <f>IF(I258="","",IF(VLOOKUP(I258,'G-7 WaterC'' Data'!$AK$4:$AM$6,2,FALSE)=0,"Spatial Data Missing ⚠",VLOOKUP(I258,'G-7 WaterC'' Data'!$AK$4:$AM$6,2,FALSE)))</f>
        <v/>
      </c>
      <c r="K258" s="282" t="str">
        <f>IF(I258="","",IF(VLOOKUP(I258,'G-7 WaterC'' Data'!$AK$4:$AM$6,3,FALSE)=0,"Spatial Data Missing ⚠",VLOOKUP(I258,'G-7 WaterC'' Data'!$AK$4:$AM$6,3,FALSE)))</f>
        <v/>
      </c>
      <c r="L258" s="281" t="str">
        <f>IFERROR(INDEX('G-7 WaterC'' Data'!$O$3:$O$7,MATCH(G258,'G-7 WaterC'' Data'!$N$3:$N$7,0)),"")</f>
        <v/>
      </c>
      <c r="M258" s="58"/>
      <c r="N258" s="137"/>
      <c r="O258" s="289" t="str">
        <f t="shared" si="18"/>
        <v/>
      </c>
      <c r="P258" s="302" t="str">
        <f t="shared" si="19"/>
        <v/>
      </c>
      <c r="Q258" s="340" t="str">
        <f>IFERROR(IF(P258="Check Data ⚠","Check Data ⚠",VLOOKUP(P258,'G-4 Temporal multipliers'!$A$4:$C$37,3,FALSE)),"")</f>
        <v/>
      </c>
      <c r="R258" s="281" t="str">
        <f>IF(C258="","",VLOOKUP(C258,'G-7 WaterC'' Data'!$B$4:$G$8,4,FALSE))</f>
        <v/>
      </c>
      <c r="S258" s="289" t="str">
        <f t="shared" si="20"/>
        <v/>
      </c>
      <c r="T258" s="320" t="str">
        <f t="shared" si="21"/>
        <v/>
      </c>
      <c r="U258" s="282" t="str">
        <f>IF(C258="","",VLOOKUP(T258,'G-3 Multipliers'!$P$2:$Q$6,2,FALSE))</f>
        <v/>
      </c>
      <c r="V258" s="106"/>
      <c r="W258" s="282" t="str">
        <f>IF(V258="","",IF(AND(V258="N/A - Culvert",C258&lt;&gt;"Culvert"),"Not possible ▲",IF(AND(C258="Culvert",V258&lt;&gt;"N/A - Culvert"),"Not possible ▲",IF(VLOOKUP(V258,'G-7 WaterC'' Data'!$AA$4:$AB$7,2,FALSE)=0,"Spatial Data Missing ⚠",VLOOKUP(V258,'G-7 WaterC'' Data'!$AA$4:$AB$7,2,FALSE)))))</f>
        <v/>
      </c>
      <c r="X258" s="56"/>
      <c r="Y258" s="282" t="str">
        <f>IF(X258="","",IF(AND(X258="N/A - Culvert", C258&lt;&gt;"Culvert"), "Not possible ▲",IF(AND(C258="Culvert",X258&lt;&gt;"N/A - Culvert"),"Not possible ▲",IF(VLOOKUP(X258,'G-7 WaterC'' Data'!$AD$4:$AE$14,2,FALSE)=0,"Enrcoachment Data Missing ⚠",VLOOKUP(X258,'G-7 WaterC'' Data'!$AD$4:$AE$14,2,FALSE)))))</f>
        <v/>
      </c>
      <c r="Z258" s="323" t="str">
        <f t="shared" si="22"/>
        <v/>
      </c>
      <c r="AA258" s="105"/>
      <c r="AB258" s="119"/>
      <c r="AC258" s="108"/>
      <c r="AH258" s="30" t="str">
        <f>IFERROR(INDEX('G-7 WaterC'' Data'!$AZ$3:$AZ$7,MATCH(C258,'G-7 WaterC'' Data'!$AY$3:$AY$7,0)),"")</f>
        <v/>
      </c>
      <c r="AK258" s="30" t="str">
        <f t="shared" si="23"/>
        <v>No</v>
      </c>
    </row>
    <row r="259" spans="2:37" ht="14.4" thickBot="1" x14ac:dyDescent="0.3">
      <c r="B259" s="113">
        <v>248</v>
      </c>
      <c r="C259" s="951"/>
      <c r="D259" s="114"/>
      <c r="E259" s="283" t="str">
        <f>IF(C259="","",VLOOKUP(C259,'G-7 WaterC'' Data'!$B$2:$G$8,2,FALSE))</f>
        <v/>
      </c>
      <c r="F259" s="284" t="str">
        <f>IFERROR(VLOOKUP(E259,'G-7 WaterC'' Data'!$C$4:$D$8,2,FALSE),"")</f>
        <v/>
      </c>
      <c r="G259" s="105"/>
      <c r="H259" s="284" t="str">
        <f>IFERROR(INDEX('G-7 WaterC'' Data'!$H$4:$L$8,MATCH(C259,'G-7 WaterC'' Data'!$B$4:$B$8,0),MATCH(G259,'G-7 WaterC'' Data'!$H$3:$L$3,0)),"")</f>
        <v/>
      </c>
      <c r="I259" s="52"/>
      <c r="J259" s="289" t="str">
        <f>IF(I259="","",IF(VLOOKUP(I259,'G-7 WaterC'' Data'!$AK$4:$AM$6,2,FALSE)=0,"Spatial Data Missing ⚠",VLOOKUP(I259,'G-7 WaterC'' Data'!$AK$4:$AM$6,2,FALSE)))</f>
        <v/>
      </c>
      <c r="K259" s="282" t="str">
        <f>IF(I259="","",IF(VLOOKUP(I259,'G-7 WaterC'' Data'!$AK$4:$AM$6,3,FALSE)=0,"Spatial Data Missing ⚠",VLOOKUP(I259,'G-7 WaterC'' Data'!$AK$4:$AM$6,3,FALSE)))</f>
        <v/>
      </c>
      <c r="L259" s="283" t="str">
        <f>IFERROR(INDEX('G-7 WaterC'' Data'!$O$3:$O$7,MATCH(G259,'G-7 WaterC'' Data'!$N$3:$N$7,0)),"")</f>
        <v/>
      </c>
      <c r="M259" s="58"/>
      <c r="N259" s="145"/>
      <c r="O259" s="289" t="str">
        <f t="shared" si="18"/>
        <v/>
      </c>
      <c r="P259" s="302" t="str">
        <f t="shared" si="19"/>
        <v/>
      </c>
      <c r="Q259" s="340" t="str">
        <f>IFERROR(IF(P259="Check Data ⚠","Check Data ⚠",VLOOKUP(P259,'G-4 Temporal multipliers'!$A$4:$C$37,3,FALSE)),"")</f>
        <v/>
      </c>
      <c r="R259" s="283" t="str">
        <f>IF(C259="","",VLOOKUP(C259,'G-7 WaterC'' Data'!$B$4:$G$8,4,FALSE))</f>
        <v/>
      </c>
      <c r="S259" s="289" t="str">
        <f t="shared" si="20"/>
        <v/>
      </c>
      <c r="T259" s="320" t="str">
        <f t="shared" si="21"/>
        <v/>
      </c>
      <c r="U259" s="282" t="str">
        <f>IF(C259="","",VLOOKUP(T259,'G-3 Multipliers'!$P$2:$Q$6,2,FALSE))</f>
        <v/>
      </c>
      <c r="V259" s="106"/>
      <c r="W259" s="282" t="str">
        <f>IF(V259="","",IF(AND(V259="N/A - Culvert",C259&lt;&gt;"Culvert"),"Not possible ▲",IF(AND(C259="Culvert",V259&lt;&gt;"N/A - Culvert"),"Not possible ▲",IF(VLOOKUP(V259,'G-7 WaterC'' Data'!$AA$4:$AB$7,2,FALSE)=0,"Spatial Data Missing ⚠",VLOOKUP(V259,'G-7 WaterC'' Data'!$AA$4:$AB$7,2,FALSE)))))</f>
        <v/>
      </c>
      <c r="X259" s="56"/>
      <c r="Y259" s="282" t="str">
        <f>IF(X259="","",IF(AND(X259="N/A - Culvert", C259&lt;&gt;"Culvert"), "Not possible ▲",IF(AND(C259="Culvert",X259&lt;&gt;"N/A - Culvert"),"Not possible ▲",IF(VLOOKUP(X259,'G-7 WaterC'' Data'!$AD$4:$AE$14,2,FALSE)=0,"Enrcoachment Data Missing ⚠",VLOOKUP(X259,'G-7 WaterC'' Data'!$AD$4:$AE$14,2,FALSE)))))</f>
        <v/>
      </c>
      <c r="Z259" s="324" t="str">
        <f t="shared" si="22"/>
        <v/>
      </c>
      <c r="AA259" s="115"/>
      <c r="AB259" s="114"/>
      <c r="AC259" s="114"/>
      <c r="AH259" s="30" t="str">
        <f>IFERROR(INDEX('G-7 WaterC'' Data'!$AZ$3:$AZ$7,MATCH(C259,'G-7 WaterC'' Data'!$AY$3:$AY$7,0)),"")</f>
        <v/>
      </c>
      <c r="AK259" s="30" t="str">
        <f t="shared" si="23"/>
        <v>No</v>
      </c>
    </row>
    <row r="260" spans="2:37" ht="14.4" thickBot="1" x14ac:dyDescent="0.3">
      <c r="B260" s="34"/>
      <c r="C260" s="182"/>
      <c r="D260" s="285">
        <f>SUM(D12:D259)</f>
        <v>0</v>
      </c>
      <c r="E260" s="34"/>
      <c r="F260" s="34"/>
      <c r="G260" s="34"/>
      <c r="H260" s="34"/>
      <c r="I260" s="34"/>
      <c r="J260" s="34"/>
      <c r="K260" s="34"/>
      <c r="L260" s="34"/>
      <c r="M260" s="34"/>
      <c r="N260" s="34"/>
      <c r="O260" s="34"/>
      <c r="P260" s="34"/>
      <c r="Q260" s="34"/>
      <c r="R260" s="34"/>
      <c r="S260" s="34"/>
      <c r="T260" s="34"/>
      <c r="U260" s="34"/>
      <c r="V260" s="34"/>
      <c r="W260" s="34"/>
      <c r="X260" s="1682"/>
      <c r="Y260" s="1682"/>
      <c r="Z260" s="285">
        <f>SUM(Z12:Z259)</f>
        <v>0</v>
      </c>
      <c r="AA260" s="34"/>
      <c r="AB260" s="34"/>
      <c r="AK260" s="30" t="str">
        <f t="shared" si="23"/>
        <v>No</v>
      </c>
    </row>
    <row r="261" spans="2:37" ht="29.1" customHeight="1" x14ac:dyDescent="0.25"/>
    <row r="262" spans="2:37" ht="27" customHeight="1" x14ac:dyDescent="0.25"/>
    <row r="263" spans="2:37" ht="13.8" x14ac:dyDescent="0.25"/>
    <row r="264" spans="2:37" ht="13.8" x14ac:dyDescent="0.25"/>
    <row r="265" spans="2:37" ht="13.8" hidden="1" x14ac:dyDescent="0.25"/>
    <row r="266" spans="2:37" ht="13.8" hidden="1" x14ac:dyDescent="0.25"/>
    <row r="267" spans="2:37" ht="13.8" hidden="1" x14ac:dyDescent="0.25"/>
  </sheetData>
  <sheetProtection algorithmName="SHA-512" hashValue="dBUeYVxgtY3asN1YM7JXcznu3f8AFET0YbLC6W0b5mwNiKFbuajgoUG/NDKBfOH+DSW0kpcL8q1eh9LQZCu/mQ==" saltValue="kaibtS8eqP/Das0ItgA7g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V2:AA4"/>
    <mergeCell ref="R10:U10"/>
    <mergeCell ref="X260:Y260"/>
    <mergeCell ref="I6:L6"/>
    <mergeCell ref="M6:O6"/>
    <mergeCell ref="AA10:AC10"/>
    <mergeCell ref="V5:Z6"/>
    <mergeCell ref="V10:W10"/>
    <mergeCell ref="X10:Y10"/>
    <mergeCell ref="Z10:Z11"/>
    <mergeCell ref="B2:E2"/>
    <mergeCell ref="B3:E4"/>
    <mergeCell ref="I10:K10"/>
    <mergeCell ref="C10:D10"/>
    <mergeCell ref="E10:F10"/>
    <mergeCell ref="G10:H10"/>
    <mergeCell ref="I4:L4"/>
    <mergeCell ref="I5:L5"/>
    <mergeCell ref="L10:Q10"/>
    <mergeCell ref="M5:O5"/>
    <mergeCell ref="I3:O3"/>
    <mergeCell ref="M4:O4"/>
  </mergeCells>
  <conditionalFormatting sqref="Z12:Z259">
    <cfRule type="containsText" dxfId="288" priority="34" operator="containsText" text="Existing Value Not Required">
      <formula>NOT(ISERROR(SEARCH("Existing Value Not Required",Z12)))</formula>
    </cfRule>
    <cfRule type="containsText" dxfId="287" priority="35" operator="containsText" text="Existing Value Required">
      <formula>NOT(ISERROR(SEARCH("Existing Value Required",Z12)))</formula>
    </cfRule>
  </conditionalFormatting>
  <conditionalFormatting sqref="J12:K259">
    <cfRule type="containsText" dxfId="286" priority="33" operator="containsText" text="Spatial">
      <formula>NOT(ISERROR(SEARCH("Spatial",J12)))</formula>
    </cfRule>
  </conditionalFormatting>
  <conditionalFormatting sqref="O12:Q259">
    <cfRule type="cellIs" dxfId="285" priority="21" operator="equal">
      <formula>"30+ ⚠"</formula>
    </cfRule>
    <cfRule type="containsText" dxfId="284" priority="31" operator="containsText" text="Check">
      <formula>NOT(ISERROR(SEARCH("Check",O12)))</formula>
    </cfRule>
    <cfRule type="containsText" dxfId="283" priority="32" operator="containsText" text="Error">
      <formula>NOT(ISERROR(SEARCH("Error",O12)))</formula>
    </cfRule>
  </conditionalFormatting>
  <conditionalFormatting sqref="S12:Z259">
    <cfRule type="containsText" dxfId="282" priority="27" operator="containsText" text="Error">
      <formula>NOT(ISERROR(SEARCH("Error",S12)))</formula>
    </cfRule>
    <cfRule type="containsText" dxfId="281" priority="28" operator="containsText" text="Check">
      <formula>NOT(ISERROR(SEARCH("Check",S12)))</formula>
    </cfRule>
  </conditionalFormatting>
  <conditionalFormatting sqref="S12:S259">
    <cfRule type="containsText" dxfId="280" priority="1" operator="containsText" text="⚠">
      <formula>NOT(ISERROR(SEARCH("⚠",S12)))</formula>
    </cfRule>
    <cfRule type="beginsWith" dxfId="279" priority="26" operator="beginsWith" text="No - Low Difficulty">
      <formula>LEFT(S12,LEN("No - Low Difficulty"))="No - Low Difficulty"</formula>
    </cfRule>
  </conditionalFormatting>
  <conditionalFormatting sqref="W12:W259">
    <cfRule type="containsText" dxfId="278" priority="25" operator="containsText" text="Spatial">
      <formula>NOT(ISERROR(SEARCH("Spatial",W12)))</formula>
    </cfRule>
  </conditionalFormatting>
  <conditionalFormatting sqref="Y12:Y259">
    <cfRule type="containsText" dxfId="277" priority="24" operator="containsText" text="Missing">
      <formula>NOT(ISERROR(SEARCH("Missing",Y12)))</formula>
    </cfRule>
  </conditionalFormatting>
  <conditionalFormatting sqref="H12:H259">
    <cfRule type="beginsWith" dxfId="276" priority="23" operator="beginsWith" text="Not Possible">
      <formula>LEFT(H12,LEN("Not Possible"))="Not Possible"</formula>
    </cfRule>
  </conditionalFormatting>
  <conditionalFormatting sqref="L7:P7 V2">
    <cfRule type="containsText" dxfId="275" priority="22" operator="containsText" text="Note">
      <formula>NOT(ISERROR(SEARCH("Note",L2)))</formula>
    </cfRule>
  </conditionalFormatting>
  <conditionalFormatting sqref="M4">
    <cfRule type="containsText" dxfId="274" priority="19" operator="containsText" text="Error">
      <formula>NOT(ISERROR(SEARCH("Error",M4)))</formula>
    </cfRule>
    <cfRule type="containsText" dxfId="273" priority="20" operator="containsText" text="Check">
      <formula>NOT(ISERROR(SEARCH("Check",M4)))</formula>
    </cfRule>
  </conditionalFormatting>
  <conditionalFormatting sqref="M5">
    <cfRule type="containsText" dxfId="272" priority="3" operator="containsText" text="Error">
      <formula>NOT(ISERROR(SEARCH("Error",M5)))</formula>
    </cfRule>
    <cfRule type="containsText" dxfId="271" priority="10" operator="containsText" text="Check">
      <formula>NOT(ISERROR(SEARCH("Check",M5)))</formula>
    </cfRule>
  </conditionalFormatting>
  <conditionalFormatting sqref="V2 V5">
    <cfRule type="containsText" dxfId="270" priority="14" operator="containsText" text="Error">
      <formula>NOT(ISERROR(SEARCH("Error",V2)))</formula>
    </cfRule>
  </conditionalFormatting>
  <conditionalFormatting sqref="V5:Z6">
    <cfRule type="containsText" dxfId="269" priority="13" operator="containsText" text="Check">
      <formula>NOT(ISERROR(SEARCH("Check",V5)))</formula>
    </cfRule>
  </conditionalFormatting>
  <conditionalFormatting sqref="M6">
    <cfRule type="containsText" dxfId="268" priority="11" operator="containsText" text="No">
      <formula>NOT(ISERROR(SEARCH("No",M6)))</formula>
    </cfRule>
    <cfRule type="containsText" dxfId="267" priority="12" operator="containsText" text="Yes">
      <formula>NOT(ISERROR(SEARCH("Yes",M6)))</formula>
    </cfRule>
  </conditionalFormatting>
  <conditionalFormatting sqref="M5:O5">
    <cfRule type="cellIs" dxfId="266" priority="9" operator="equal">
      <formula>0</formula>
    </cfRule>
    <cfRule type="cellIs" dxfId="265" priority="451" operator="lessThan">
      <formula>0</formula>
    </cfRule>
  </conditionalFormatting>
  <conditionalFormatting sqref="M4:O6">
    <cfRule type="containsText" dxfId="264" priority="8" operator="containsText" text="N/A">
      <formula>NOT(ISERROR(SEARCH("N/A",M4)))</formula>
    </cfRule>
  </conditionalFormatting>
  <conditionalFormatting sqref="W1:W1048576">
    <cfRule type="containsText" dxfId="263" priority="5" operator="containsText" text="Not possible">
      <formula>NOT(ISERROR(SEARCH("Not possible",W1)))</formula>
    </cfRule>
  </conditionalFormatting>
  <conditionalFormatting sqref="Y1:Y1048576">
    <cfRule type="containsText" dxfId="262" priority="4" operator="containsText" text="Not possible">
      <formula>NOT(ISERROR(SEARCH("Not possible",Y1)))</formula>
    </cfRule>
  </conditionalFormatting>
  <conditionalFormatting sqref="J1:J1048576">
    <cfRule type="containsText" dxfId="261" priority="2" operator="containsText" text="Not possible ">
      <formula>NOT(ISERROR(SEARCH("Not possible ",J1)))</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6" id="{EAEC8804-B75E-4EAA-BCCF-4FCE7525D4D2}">
            <xm:f>'Headline Results'!$H$10:$I$10=0</xm:f>
            <x14:dxf>
              <font>
                <color auto="1"/>
              </font>
              <fill>
                <patternFill>
                  <bgColor rgb="FFE0DCD3"/>
                </patternFill>
              </fill>
            </x14:dxf>
          </x14:cfRule>
          <xm:sqref>M5:O5</xm:sqref>
        </x14:conditionalFormatting>
        <x14:conditionalFormatting xmlns:xm="http://schemas.microsoft.com/office/excel/2006/main">
          <x14:cfRule type="cellIs" priority="7" operator="lessThan" id="{84BACA77-6ED3-4402-B70B-8E87E52B228F}">
            <xm:f>Start!$F$22</xm:f>
            <x14:dxf>
              <font>
                <color rgb="FF383745"/>
              </font>
              <fill>
                <patternFill>
                  <bgColor rgb="FFFFC000"/>
                </patternFill>
              </fill>
            </x14:dxf>
          </x14:cfRule>
          <x14:cfRule type="cellIs" priority="452"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00000000-0002-0000-1900-000006000000}">
          <x14:formula1>
            <xm:f>'G-4 Temporal multipliers'!$A$42:$A$73</xm:f>
          </x14:formula1>
          <xm:sqref>M12:N259</xm:sqref>
        </x14:dataValidation>
        <x14:dataValidation type="list" allowBlank="1" showInputMessage="1" showErrorMessage="1" xr:uid="{6E1AEA2A-0520-4F06-9A47-EDE593EA9C03}">
          <x14:formula1>
            <xm:f>'G-7 WaterC'' Data'!$AK$4:$AK$6</xm:f>
          </x14:formula1>
          <xm:sqref>I12:I259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B1:BD265"/>
  <sheetViews>
    <sheetView zoomScale="80" zoomScaleNormal="80" workbookViewId="0">
      <pane ySplit="11" topLeftCell="A12" activePane="bottomLeft" state="frozen"/>
      <selection pane="bottomLeft"/>
    </sheetView>
  </sheetViews>
  <sheetFormatPr defaultColWidth="12.33203125" defaultRowHeight="34.200000000000003" customHeight="1" zeroHeight="1" x14ac:dyDescent="0.25"/>
  <cols>
    <col min="1" max="1" width="2.6640625" style="30" customWidth="1"/>
    <col min="2" max="2" width="14.33203125" style="30" customWidth="1"/>
    <col min="3" max="3" width="41.33203125" style="30" customWidth="1"/>
    <col min="4" max="4" width="9" style="30" customWidth="1"/>
    <col min="5" max="5" width="18.6640625" style="30" customWidth="1"/>
    <col min="6" max="7" width="18.33203125" style="30" customWidth="1"/>
    <col min="8" max="8" width="19.33203125" style="30" customWidth="1"/>
    <col min="9" max="9" width="28.6640625" style="30" customWidth="1"/>
    <col min="10" max="10" width="28.33203125" style="30" customWidth="1"/>
    <col min="11" max="11" width="19.33203125" style="30" customWidth="1"/>
    <col min="12" max="12" width="29.33203125" style="30" customWidth="1"/>
    <col min="13" max="13" width="19.33203125" style="30" customWidth="1"/>
    <col min="14" max="14" width="45.6640625" style="30" customWidth="1"/>
    <col min="15" max="15" width="34.33203125" style="30" customWidth="1"/>
    <col min="16" max="16" width="46.6640625" style="30" customWidth="1"/>
    <col min="17" max="17" width="10" style="30" customWidth="1"/>
    <col min="18" max="18" width="19.44140625" style="30" customWidth="1"/>
    <col min="19" max="19" width="13.33203125" style="30" customWidth="1"/>
    <col min="20" max="20" width="12.5546875" style="30" bestFit="1" customWidth="1"/>
    <col min="21" max="21" width="12.5546875" style="30" customWidth="1"/>
    <col min="22" max="22" width="33.6640625" style="30" customWidth="1"/>
    <col min="23" max="23" width="15.44140625" style="30" customWidth="1"/>
    <col min="24" max="24" width="15" style="30" customWidth="1"/>
    <col min="25" max="25" width="18.44140625" style="30" customWidth="1"/>
    <col min="26" max="26" width="21" style="30" customWidth="1"/>
    <col min="27" max="27" width="24.44140625" style="30" customWidth="1"/>
    <col min="28" max="28" width="34.44140625" style="30" customWidth="1"/>
    <col min="29" max="29" width="18.44140625" style="30" customWidth="1"/>
    <col min="30" max="30" width="15.33203125" style="30" customWidth="1"/>
    <col min="31" max="31" width="16.5546875" style="30" customWidth="1"/>
    <col min="32" max="32" width="28.33203125" style="30" customWidth="1"/>
    <col min="33" max="33" width="16.33203125" style="30" customWidth="1"/>
    <col min="34" max="34" width="15.33203125" style="30" customWidth="1"/>
    <col min="35" max="35" width="17.5546875" style="30" customWidth="1"/>
    <col min="36" max="36" width="15.33203125" style="30" customWidth="1"/>
    <col min="37" max="37" width="19.5546875" style="30" customWidth="1"/>
    <col min="38" max="38" width="12.6640625" style="30" customWidth="1"/>
    <col min="39" max="39" width="15.33203125" style="30" customWidth="1"/>
    <col min="40" max="41" width="34.6640625" style="30" customWidth="1"/>
    <col min="42" max="42" width="14.33203125" style="30" customWidth="1"/>
    <col min="43" max="43" width="12.33203125" style="30" customWidth="1"/>
    <col min="44" max="44" width="12.33203125" style="30" hidden="1" customWidth="1"/>
    <col min="45" max="16382" width="0" style="30" hidden="1" customWidth="1"/>
    <col min="16383" max="16384" width="12.33203125" style="30"/>
  </cols>
  <sheetData>
    <row r="1" spans="2:56" ht="20.7" customHeight="1" thickBot="1" x14ac:dyDescent="0.3"/>
    <row r="2" spans="2:56" ht="27" customHeight="1" thickBot="1" x14ac:dyDescent="0.3">
      <c r="B2" s="1740" t="str">
        <f>CONCATENATE("Project Name:", " ", Start!F12, "     ", "Map Reference:", " ", Start!K55)</f>
        <v xml:space="preserve">Project Name: Chickenhall Lane     Map Reference: </v>
      </c>
      <c r="C2" s="1741"/>
      <c r="D2" s="1741"/>
      <c r="E2" s="1742"/>
      <c r="O2" s="1591" t="s">
        <v>526</v>
      </c>
      <c r="P2" s="1593"/>
      <c r="Q2" s="399"/>
      <c r="R2" s="93"/>
      <c r="S2" s="1704" t="str" cm="1">
        <f t="array" ref="S2">IF(OR(BD12:BD260="Yes"),"A 'Fairly' Category has been used for ditches - check evidence to ensure this is appropriate ⚠", "")</f>
        <v/>
      </c>
      <c r="T2" s="1704"/>
      <c r="U2" s="1704"/>
      <c r="V2" s="1704"/>
      <c r="W2" s="1704"/>
      <c r="X2" s="1704"/>
      <c r="Y2" s="1653" t="str">
        <f>IF(OR(COUNTIF($Y$12:Y259,"*30+*")&gt;0,COUNTIF($AC$12:AC259,"*30+*")&gt;0),"Note; Habitat selected has a time to target condition greater than 30 years. Non standard agreement may be required. ⚠","")</f>
        <v/>
      </c>
      <c r="Z2" s="1653"/>
      <c r="AA2" s="1653"/>
      <c r="AB2" s="1653"/>
      <c r="AC2" s="1653"/>
      <c r="AD2" s="1653"/>
    </row>
    <row r="3" spans="2:56" ht="18" customHeight="1" thickBot="1" x14ac:dyDescent="0.3">
      <c r="B3" s="1357" t="str">
        <f ca="1">MID(CELL("filename",A1),FIND("]",CELL("filename",A1))+1,256)</f>
        <v>C-3 On-Site WaterC' Enhancement</v>
      </c>
      <c r="C3" s="1358"/>
      <c r="D3" s="1358"/>
      <c r="E3" s="1359"/>
      <c r="O3" s="413" t="s">
        <v>389</v>
      </c>
      <c r="P3" s="400">
        <f>'Headline Results'!H49</f>
        <v>0.26578800000000014</v>
      </c>
      <c r="Q3" s="398"/>
      <c r="S3" s="1704"/>
      <c r="T3" s="1704"/>
      <c r="U3" s="1704"/>
      <c r="V3" s="1704"/>
      <c r="W3" s="1704"/>
      <c r="X3" s="1704"/>
      <c r="Y3" s="1653"/>
      <c r="Z3" s="1653"/>
      <c r="AA3" s="1653"/>
      <c r="AB3" s="1653"/>
      <c r="AC3" s="1653"/>
      <c r="AD3" s="1653"/>
    </row>
    <row r="4" spans="2:56" ht="21" customHeight="1" thickBot="1" x14ac:dyDescent="0.3">
      <c r="B4" s="1357"/>
      <c r="C4" s="1358"/>
      <c r="D4" s="1358"/>
      <c r="E4" s="1359"/>
      <c r="F4" s="1728" t="str" cm="1">
        <f t="array" ref="F4">IF(OR(AS12:AS257="Yes"), "👁 Enhanced irreplaceable habitats highlighted below ", "")</f>
        <v/>
      </c>
      <c r="G4" s="1728"/>
      <c r="H4" s="1728"/>
      <c r="I4" s="1728"/>
      <c r="O4" s="395" t="s">
        <v>391</v>
      </c>
      <c r="P4" s="446" t="str">
        <f>'Headline Results'!H53</f>
        <v>N/A</v>
      </c>
      <c r="Q4" s="398"/>
      <c r="S4" s="1704"/>
      <c r="T4" s="1704"/>
      <c r="U4" s="1704"/>
      <c r="V4" s="1704"/>
      <c r="W4" s="1704"/>
      <c r="X4" s="1704"/>
      <c r="Y4" s="1653"/>
      <c r="Z4" s="1653"/>
      <c r="AA4" s="1653"/>
      <c r="AB4" s="1653"/>
      <c r="AC4" s="1653"/>
      <c r="AD4" s="1653"/>
    </row>
    <row r="5" spans="2:56" ht="15.6" customHeight="1" thickBot="1" x14ac:dyDescent="0.35">
      <c r="F5" s="1728"/>
      <c r="G5" s="1728"/>
      <c r="H5" s="1728"/>
      <c r="I5" s="1728"/>
      <c r="O5" s="414" t="s">
        <v>393</v>
      </c>
      <c r="P5" s="393" t="str" cm="1">
        <f t="array" ref="P5">IF(OR('Trading Summary WaterC''s'!G5:H8="No ▲"), "No - check trading summary ▲", "Yes ✓")</f>
        <v>Yes ✓</v>
      </c>
      <c r="Q5" s="398"/>
      <c r="R5" s="398"/>
      <c r="AH5" s="136"/>
      <c r="AI5" s="136"/>
      <c r="AJ5" s="136"/>
      <c r="AK5" s="136"/>
      <c r="AL5" s="136"/>
    </row>
    <row r="6" spans="2:56" ht="16.350000000000001" customHeight="1" x14ac:dyDescent="0.25">
      <c r="F6" s="92"/>
      <c r="AM6" s="1728" t="str">
        <f>IFERROR(IF(AP6&gt;0, "Error - No enhancement - units less than baseline ▲", " "),"")</f>
        <v xml:space="preserve"> </v>
      </c>
      <c r="AN6" s="1728"/>
      <c r="AO6" s="1728"/>
      <c r="AP6" s="792" cm="1">
        <f t="array" ref="AP6">SUMPRODUCT(--(AM12:AM257&lt;AY12:AY257))</f>
        <v>0</v>
      </c>
    </row>
    <row r="7" spans="2:56" ht="13.8" x14ac:dyDescent="0.25"/>
    <row r="8" spans="2:56" ht="14.4" thickBot="1" x14ac:dyDescent="0.3"/>
    <row r="9" spans="2:56" ht="14.4" thickBot="1" x14ac:dyDescent="0.3">
      <c r="C9" s="92"/>
      <c r="D9" s="92"/>
      <c r="E9" s="92"/>
      <c r="F9" s="92"/>
      <c r="G9" s="92"/>
      <c r="H9" s="92"/>
      <c r="I9" s="92"/>
      <c r="J9" s="92"/>
      <c r="K9" s="92"/>
      <c r="L9" s="92"/>
      <c r="M9" s="92"/>
      <c r="N9" s="1722" t="s">
        <v>437</v>
      </c>
      <c r="O9" s="1723"/>
      <c r="P9" s="1723"/>
      <c r="Q9" s="1723"/>
      <c r="R9" s="1723"/>
      <c r="S9" s="1723"/>
      <c r="T9" s="1723"/>
      <c r="U9" s="1723"/>
      <c r="V9" s="1723"/>
      <c r="W9" s="1723"/>
      <c r="X9" s="1723"/>
      <c r="Y9" s="1723"/>
      <c r="Z9" s="1723"/>
      <c r="AA9" s="1723"/>
      <c r="AB9" s="1723"/>
      <c r="AC9" s="1723"/>
      <c r="AD9" s="1723"/>
      <c r="AE9" s="1723"/>
      <c r="AF9" s="1723"/>
      <c r="AG9" s="1723"/>
      <c r="AH9" s="1723"/>
      <c r="AI9" s="1723"/>
      <c r="AJ9" s="1723"/>
      <c r="AK9" s="1723"/>
      <c r="AL9" s="1724"/>
      <c r="AM9" s="261"/>
    </row>
    <row r="10" spans="2:56" s="33" customFormat="1" ht="27" customHeight="1" thickBot="1" x14ac:dyDescent="0.3">
      <c r="C10" s="1685" t="s">
        <v>457</v>
      </c>
      <c r="D10" s="1685"/>
      <c r="E10" s="1685"/>
      <c r="F10" s="1685"/>
      <c r="G10" s="1685"/>
      <c r="H10" s="1685"/>
      <c r="I10" s="1685"/>
      <c r="J10" s="1685"/>
      <c r="K10" s="1685"/>
      <c r="L10" s="1685"/>
      <c r="M10" s="1685"/>
      <c r="N10" s="1734" t="s">
        <v>544</v>
      </c>
      <c r="O10" s="1687" t="s">
        <v>459</v>
      </c>
      <c r="P10" s="1687"/>
      <c r="Q10" s="1716" t="s">
        <v>505</v>
      </c>
      <c r="R10" s="1716" t="s">
        <v>545</v>
      </c>
      <c r="S10" s="1716"/>
      <c r="T10" s="1716" t="s">
        <v>546</v>
      </c>
      <c r="U10" s="1716"/>
      <c r="V10" s="1734" t="s">
        <v>397</v>
      </c>
      <c r="W10" s="1735"/>
      <c r="X10" s="1736"/>
      <c r="Y10" s="1734" t="s">
        <v>440</v>
      </c>
      <c r="Z10" s="1735"/>
      <c r="AA10" s="1735"/>
      <c r="AB10" s="1735"/>
      <c r="AC10" s="1735"/>
      <c r="AD10" s="1736"/>
      <c r="AE10" s="1734" t="s">
        <v>441</v>
      </c>
      <c r="AF10" s="1735"/>
      <c r="AG10" s="1735"/>
      <c r="AH10" s="1736"/>
      <c r="AI10" s="1716" t="s">
        <v>528</v>
      </c>
      <c r="AJ10" s="1716"/>
      <c r="AK10" s="1734" t="s">
        <v>529</v>
      </c>
      <c r="AL10" s="1736"/>
      <c r="AM10" s="1716" t="s">
        <v>541</v>
      </c>
      <c r="AN10" s="1689" t="s">
        <v>401</v>
      </c>
      <c r="AO10" s="1690"/>
      <c r="AP10" s="1691"/>
    </row>
    <row r="11" spans="2:56" ht="62.25" customHeight="1" thickBot="1" x14ac:dyDescent="0.3">
      <c r="B11" s="522" t="s">
        <v>463</v>
      </c>
      <c r="C11" s="120" t="s">
        <v>464</v>
      </c>
      <c r="D11" s="125" t="s">
        <v>505</v>
      </c>
      <c r="E11" s="125" t="s">
        <v>466</v>
      </c>
      <c r="F11" s="125" t="s">
        <v>467</v>
      </c>
      <c r="G11" s="125" t="s">
        <v>468</v>
      </c>
      <c r="H11" s="125" t="s">
        <v>469</v>
      </c>
      <c r="I11" s="125" t="s">
        <v>470</v>
      </c>
      <c r="J11" s="125" t="s">
        <v>397</v>
      </c>
      <c r="K11" s="125" t="s">
        <v>547</v>
      </c>
      <c r="L11" s="125" t="s">
        <v>398</v>
      </c>
      <c r="M11" s="124" t="s">
        <v>472</v>
      </c>
      <c r="N11" s="1773"/>
      <c r="O11" s="113" t="s">
        <v>518</v>
      </c>
      <c r="P11" s="624" t="s">
        <v>519</v>
      </c>
      <c r="Q11" s="1758"/>
      <c r="R11" s="113" t="s">
        <v>395</v>
      </c>
      <c r="S11" s="624" t="s">
        <v>411</v>
      </c>
      <c r="T11" s="113" t="s">
        <v>396</v>
      </c>
      <c r="U11" s="624" t="s">
        <v>411</v>
      </c>
      <c r="V11" s="113" t="s">
        <v>397</v>
      </c>
      <c r="W11" s="636" t="s">
        <v>397</v>
      </c>
      <c r="X11" s="624" t="s">
        <v>412</v>
      </c>
      <c r="Y11" s="113" t="s">
        <v>515</v>
      </c>
      <c r="Z11" s="636" t="s">
        <v>499</v>
      </c>
      <c r="AA11" s="636" t="s">
        <v>478</v>
      </c>
      <c r="AB11" s="636" t="s">
        <v>446</v>
      </c>
      <c r="AC11" s="636" t="s">
        <v>447</v>
      </c>
      <c r="AD11" s="624" t="s">
        <v>520</v>
      </c>
      <c r="AE11" s="113" t="s">
        <v>521</v>
      </c>
      <c r="AF11" s="636" t="s">
        <v>516</v>
      </c>
      <c r="AG11" s="636" t="s">
        <v>480</v>
      </c>
      <c r="AH11" s="624" t="s">
        <v>452</v>
      </c>
      <c r="AI11" s="113" t="s">
        <v>531</v>
      </c>
      <c r="AJ11" s="624" t="s">
        <v>532</v>
      </c>
      <c r="AK11" s="113" t="s">
        <v>533</v>
      </c>
      <c r="AL11" s="624" t="s">
        <v>532</v>
      </c>
      <c r="AM11" s="1758"/>
      <c r="AN11" s="116" t="s">
        <v>385</v>
      </c>
      <c r="AO11" s="546" t="s">
        <v>362</v>
      </c>
      <c r="AP11" s="633" t="s">
        <v>363</v>
      </c>
      <c r="AS11" s="30" t="s">
        <v>409</v>
      </c>
      <c r="AT11" s="33" t="s">
        <v>548</v>
      </c>
      <c r="AU11" s="33" t="s">
        <v>549</v>
      </c>
      <c r="AV11" s="172" t="s">
        <v>405</v>
      </c>
      <c r="AX11" s="30" t="s">
        <v>550</v>
      </c>
      <c r="AY11" s="33" t="s">
        <v>551</v>
      </c>
      <c r="AZ11" s="33" t="s">
        <v>552</v>
      </c>
      <c r="BA11" s="33" t="s">
        <v>553</v>
      </c>
      <c r="BD11" s="30" t="s">
        <v>554</v>
      </c>
    </row>
    <row r="12" spans="2:56" ht="13.8" x14ac:dyDescent="0.25">
      <c r="B12" s="626" t="str">
        <f>'C-1 On-Site WaterC'' Baseline'!AP10</f>
        <v/>
      </c>
      <c r="C12" s="289" t="str">
        <f>IF(B12="","",VLOOKUP($B12,'C-1 On-Site WaterC'' Baseline'!$C$9:$R$257,2,FALSE))</f>
        <v/>
      </c>
      <c r="D12" s="289" t="str">
        <f>IF(C12="","",VLOOKUP($B12,'C-1 On-Site WaterC'' Baseline'!$C$9:$R$257,3,FALSE))</f>
        <v/>
      </c>
      <c r="E12" s="289" t="str">
        <f>IF(D12="","",VLOOKUP($B12,'C-1 On-Site WaterC'' Baseline'!$C$9:$R$257,4,FALSE))</f>
        <v/>
      </c>
      <c r="F12" s="289" t="str">
        <f>IF(E12="","",VLOOKUP($B12,'C-1 On-Site WaterC'' Baseline'!$C$9:$R$257,5,FALSE))</f>
        <v/>
      </c>
      <c r="G12" s="289" t="str">
        <f>IF(F12="","",VLOOKUP($B12,'C-1 On-Site WaterC'' Baseline'!$C$9:$R$257,6,FALSE))</f>
        <v/>
      </c>
      <c r="H12" s="289" t="str">
        <f>IF(G12="","",VLOOKUP($B12,'C-1 On-Site WaterC'' Baseline'!$C$9:$R$257,7,FALSE))</f>
        <v/>
      </c>
      <c r="I12" s="289" t="str">
        <f>IF(H12="","",VLOOKUP($B12,'C-1 On-Site WaterC'' Baseline'!$C$9:$R$257,8,FALSE))</f>
        <v/>
      </c>
      <c r="J12" s="289" t="str">
        <f>IF(I12="","",VLOOKUP($B12,'C-1 On-Site WaterC'' Baseline'!$C$9:$R$257,9,FALSE))</f>
        <v/>
      </c>
      <c r="K12" s="289" t="str">
        <f>IF(J12="","",VLOOKUP($B12,'C-1 On-Site WaterC'' Baseline'!$C$9:$R$257,10,FALSE))</f>
        <v/>
      </c>
      <c r="L12" s="289" t="str">
        <f>IF(B12="","",VLOOKUP($B12,'C-1 On-Site WaterC'' Baseline'!$C$9:$R$257,15,FALSE))</f>
        <v/>
      </c>
      <c r="M12" s="282" t="str">
        <f>IF(L12="","",VLOOKUP($B12,'C-1 On-Site WaterC'' Baseline'!$C$9:$R$257,16,FALSE))</f>
        <v/>
      </c>
      <c r="N12" s="251"/>
      <c r="O12" s="281" t="str">
        <f>IF(B12="","",IF(S12&lt;F12,"Error Trading Down ▲",E12&amp;" - "&amp;R12))</f>
        <v/>
      </c>
      <c r="P12" s="282" t="str">
        <f>IF(C12="","",IF(AND(N12&lt;&gt;C12,AS12="Yes"),"Error you cannot replace and irreplaceable habitat ▲",IF(AND(LEFT(C12,55)&lt;&gt;LEFT(N12,55),O12="High - High"),"Error - Not like for like ▲",IF(H12&gt;U12,"Error - Can not reduce condition ▲",IF(AND(C12&lt;&gt;N12,F12&lt;S12),"Lower Distinctiveness Habitat"&amp;" - "&amp;T12,G12&amp;" - "&amp;T12)))))</f>
        <v/>
      </c>
      <c r="Q12" s="342" t="str">
        <f>IF(N12="","",VLOOKUP(B12,'C-1 On-Site WaterC'' Baseline'!$C$10:$AC$257,20,FALSE))</f>
        <v/>
      </c>
      <c r="R12" s="281" t="str">
        <f>IF(N12="","",VLOOKUP(N12,'G-7 WaterC'' Data'!$B$2:$G$8,2,FALSE))</f>
        <v/>
      </c>
      <c r="S12" s="282" t="str">
        <f>IFERROR(VLOOKUP(R12,'G-7 WaterC'' Data'!$C$4:$D$8,2,FALSE),"")</f>
        <v/>
      </c>
      <c r="T12" s="607"/>
      <c r="U12" s="560" t="str">
        <f>IFERROR(INDEX('G-7 WaterC'' Data'!$H$4:$L$8,MATCH(N12,'G-7 WaterC'' Data'!$B$4:$B$8,0),MATCH(T12,'G-7 WaterC'' Data'!$H$3:$L$3,0)),"")</f>
        <v/>
      </c>
      <c r="V12" s="607"/>
      <c r="W12" s="289" t="str">
        <f>IF(V12="","",IF(VLOOKUP(V12,'G-7 WaterC'' Data'!$AK$4:$AM$6,2,FALSE)=0,"Spatial Data Missing ⚠",VLOOKUP(V12,'G-7 WaterC'' Data'!$AK$4:$AM$6,2,FALSE)))</f>
        <v/>
      </c>
      <c r="X12" s="560" t="str">
        <f>IF(V12="","",IF(VLOOKUP(V12,'G-7 WaterC'' Data'!$AK$4:$AM$6,3,FALSE)=0,"Spatial Data Missing ⚠",VLOOKUP(V12,'G-7 WaterC'' Data'!$AK$4:$AM$6,3,FALSE)))</f>
        <v/>
      </c>
      <c r="Y12" s="356" t="str">
        <f>IFERROR(IF(OR(LEFT(P12,5)="Error",LEFT(O12,5)="Error"),"Check Data ⚠",IF(F12&lt;S12,'G-7 WaterC'' Data'!$R$3,INDEX('G-7 WaterC'' Data'!$U$5:$Y$9,MATCH(G12,'G-7 WaterC'' Data'!$T$5:$T$9,0),MATCH(T12,'G-7 WaterC'' Data'!$U$4:$Y$4,0)))),"")</f>
        <v/>
      </c>
      <c r="Z12" s="608"/>
      <c r="AA12" s="608"/>
      <c r="AB12" s="28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59" t="str">
        <f>IF(AB12="Error -both advance and delayed habitat creation ▲","Check Data ⚠",IF(AB12="Check Data ⚠","Check Data ⚠",IF(Y12="","",IF(Z12="30+",0,IF(AA12="30+","30+",IF(Y12+AA12&gt;30,"30+",IF(Y12+AA12-Z12&gt;0,Y12+AA12-Z12,IF(Y12-Z12&lt;0,0,Y12+AA12-Z12))))))))</f>
        <v/>
      </c>
      <c r="AD12" s="638" t="str">
        <f>IFERROR(IF(AC12="Check Data ⚠","Check Data ⚠",VLOOKUP(AC12,'G-4 Temporal multipliers'!$A$4:$C$37,3,FALSE)),"")</f>
        <v/>
      </c>
      <c r="AE12" s="356" t="str">
        <f>IF(N12="","",VLOOKUP(N12,'G-7 WaterC'' Data'!$B$4:$G$8,5,FALSE))</f>
        <v/>
      </c>
      <c r="AF12" s="286" t="str">
        <f>IF(N12="","",IF(AC12="Check Data ⚠","Check Data ⚠",IF(T12="","",IF($AB12="Check details - Is there evidence that habitat has reached target condition? ⚠","Low Difficulty - only applicable if all habitat created before losses ⚠","Standard difficulty applied"))))</f>
        <v/>
      </c>
      <c r="AG12" s="612" t="str">
        <f>(IF(AND(AF12="Standard difficulty applied",Y12&gt;Z12),AE12,IF(AND(AF12="Low Difficulty - only applicable if all habitat created before losses ⚠",Z12&gt;=Y12),"Low",AE12)))</f>
        <v/>
      </c>
      <c r="AH12" s="560" t="str">
        <f t="shared" ref="AH12:AH75" si="0">IF(N12="","",VLOOKUP(AG12,Difficulty,2,FALSE))</f>
        <v/>
      </c>
      <c r="AI12" s="607"/>
      <c r="AJ12" s="560" t="str">
        <f>IF(AI12="","",IF(AND(AI12="N/A - Culvert",N12&lt;&gt;"Culvert"),"Not possible ▲",IF(VLOOKUP(AI12,'G-7 WaterC'' Data'!$AA$4:$AB$7,2,FALSE)=0,"Spatial Data Missing ⚠",VLOOKUP(AI12,'G-7 WaterC'' Data'!$AA$4:$AB$7,2,FALSE))))</f>
        <v/>
      </c>
      <c r="AK12" s="639"/>
      <c r="AL12" s="560" t="str">
        <f>IF(AK12="","",IF(AND(AK12="N/A - Culvert",N12&lt;&gt;"Culvert"),"Not possible ▲",IF(VLOOKUP(AK12,'G-7 WaterC'' Data'!$AD$4:$AE$14,2,FALSE)=0,"Spatial Data Missing ⚠",VLOOKUP(AK12,'G-7 WaterC'' Data'!$AD$4:$AE$14,2,FALSE))))</f>
        <v/>
      </c>
      <c r="AM12" s="613" t="str">
        <f>IFERROR(IF(C12="","",IF(AND(N12&lt;&gt;"",M12=""),"Check Data ⚠", IF(Q12&gt;D12,((((Q12*S12*U12)-(D12*F12*H12))*(AH12*AD12))+(D12*F12*H12))*(AL12*X12*AJ12),((((Q12*S12*U12)-(Q12*F12*H12))*(AH12*AD12))+(Q12*F12*H12))*(AL12*X12*AJ12)))),"")</f>
        <v/>
      </c>
      <c r="AN12" s="607"/>
      <c r="AO12" s="623"/>
      <c r="AP12" s="119"/>
      <c r="AS12" s="30" t="str">
        <f>IF(B12="","",IF(ISNA(VLOOKUP($B12,'C-1 On-Site WaterC'' Baseline'!$C$8:$AD$257,17,FALSE)),"",(VLOOKUP($B12,'C-1 On-Site WaterC'' Baseline'!$C$8:$AD$257,17,FALSE))))</f>
        <v/>
      </c>
      <c r="AT12" s="30" t="str">
        <f>IF(B12="","",VLOOKUP($B12,'C-1 On-Site WaterC'' Baseline'!$C$9:$Z$257,12,FALSE))</f>
        <v/>
      </c>
      <c r="AU12" s="30" t="str">
        <f>IF(B12="","",VLOOKUP($B12,'C-1 On-Site WaterC'' Baseline'!$C$9:$Z$257,14,FALSE))</f>
        <v/>
      </c>
      <c r="AV12" s="30" t="str">
        <f>IFERROR(INDEX('G-7 WaterC'' Data'!$AZ$3:$AZ$7,MATCH(N12,'G-7 WaterC'' Data'!$AY$3:$AY$7,0)),"")</f>
        <v/>
      </c>
      <c r="AX12" s="30" t="str">
        <f>IF(B12="","",VLOOKUP($B12,'C-1 On-Site WaterC'' Baseline'!$C$9:$Y$257,22,FALSE))</f>
        <v/>
      </c>
      <c r="AY12" s="30" t="str">
        <f>IF(B12="","", IF(AX12&gt;M12, M12, IF((BA12+Q12)&gt;D12, M12 - AZ12, AX12)))</f>
        <v/>
      </c>
      <c r="AZ12" s="30" t="str">
        <f>IF(B12="","",VLOOKUP($B12,'C-1 On-Site WaterC'' Baseline'!$C$9:$Y$257,21,FALSE))</f>
        <v/>
      </c>
      <c r="BA12" s="30" t="str">
        <f>IF(B12="","",VLOOKUP($B12,'C-1 On-Site WaterC'' Baseline'!$C$9:$Y$257,19,FALSE))</f>
        <v/>
      </c>
      <c r="BD12" s="30" t="str">
        <f>IF(AND(N12="Ditches",(OR(T12="Fairly Poor",T12="Fairly Good"))), "Yes", "No")</f>
        <v>No</v>
      </c>
    </row>
    <row r="13" spans="2:56" ht="13.8" x14ac:dyDescent="0.25">
      <c r="B13" s="311" t="str">
        <f>'C-1 On-Site WaterC'' Baseline'!AP11</f>
        <v/>
      </c>
      <c r="C13" s="301" t="str">
        <f>IF(B13="","",VLOOKUP($B13,'C-1 On-Site WaterC'' Baseline'!$C$9:$R$257,2,FALSE))</f>
        <v/>
      </c>
      <c r="D13" s="301" t="str">
        <f>IF(C13="","",VLOOKUP($B13,'C-1 On-Site WaterC'' Baseline'!$C$9:$R$257,3,FALSE))</f>
        <v/>
      </c>
      <c r="E13" s="301" t="str">
        <f>IF(D13="","",VLOOKUP($B13,'C-1 On-Site WaterC'' Baseline'!$C$9:$R$257,4,FALSE))</f>
        <v/>
      </c>
      <c r="F13" s="301" t="str">
        <f>IF(E13="","",VLOOKUP($B13,'C-1 On-Site WaterC'' Baseline'!$C$9:$R$257,5,FALSE))</f>
        <v/>
      </c>
      <c r="G13" s="301" t="str">
        <f>IF(F13="","",VLOOKUP($B13,'C-1 On-Site WaterC'' Baseline'!$C$9:$R$257,6,FALSE))</f>
        <v/>
      </c>
      <c r="H13" s="301" t="str">
        <f>IF(G13="","",VLOOKUP($B13,'C-1 On-Site WaterC'' Baseline'!$C$9:$R$257,7,FALSE))</f>
        <v/>
      </c>
      <c r="I13" s="301" t="str">
        <f>IF(H13="","",VLOOKUP($B13,'C-1 On-Site WaterC'' Baseline'!$C$9:$R$257,8,FALSE))</f>
        <v/>
      </c>
      <c r="J13" s="301" t="str">
        <f>IF(I13="","",VLOOKUP($B13,'C-1 On-Site WaterC'' Baseline'!$C$9:$R$257,9,FALSE))</f>
        <v/>
      </c>
      <c r="K13" s="301" t="str">
        <f>IF(J13="","",VLOOKUP($B13,'C-1 On-Site WaterC'' Baseline'!$C$9:$R$257,10,FALSE))</f>
        <v/>
      </c>
      <c r="L13" s="301" t="str">
        <f>IF(B13="","",VLOOKUP($B13,'C-1 On-Site WaterC'' Baseline'!$C$9:$R$257,15,FALSE))</f>
        <v/>
      </c>
      <c r="M13" s="305" t="str">
        <f>IF(L13="","",VLOOKUP($B13,'C-1 On-Site WaterC'' Baseline'!$C$9:$R$257,16,FALSE))</f>
        <v/>
      </c>
      <c r="N13" s="251"/>
      <c r="O13" s="281" t="str">
        <f t="shared" ref="O13:O76" si="1">IF(B13="","",IF(S13&lt;F13,"Error Trading Down ▲",E13&amp;" - "&amp;R13))</f>
        <v/>
      </c>
      <c r="P13" s="282" t="str">
        <f t="shared" ref="P13:P76" si="2">IF(C13="","",IF(AND(N13&lt;&gt;C13,AS13="Yes"),"Error you cannot replace and irreplaceable habitat ▲",IF(AND(LEFT(C13,55)&lt;&gt;LEFT(N13,55),O13="High - High"),"Error - Not like for like ▲",IF(H13&gt;U13,"Error - Can not reduce condition ▲",IF(AND(C13&lt;&gt;N13,F13&lt;S13),"Lower Distinctiveness Habitat"&amp;" - "&amp;T13,G13&amp;" - "&amp;T13)))))</f>
        <v/>
      </c>
      <c r="Q13" s="342" t="str">
        <f>IF(N13="","",VLOOKUP(B13,'C-1 On-Site WaterC'' Baseline'!$C$10:$AC$257,20,FALSE))</f>
        <v/>
      </c>
      <c r="R13" s="281" t="str">
        <f>IF(N13="","",VLOOKUP(N13,'G-7 WaterC'' Data'!$B$2:$G$8,2,FALSE))</f>
        <v/>
      </c>
      <c r="S13" s="282" t="str">
        <f>IFERROR(VLOOKUP(R13,'G-7 WaterC'' Data'!$C$4:$D$8,2,FALSE),"")</f>
        <v/>
      </c>
      <c r="T13" s="105"/>
      <c r="U13" s="282" t="str">
        <f>IFERROR(INDEX('G-7 WaterC'' Data'!$H$4:$L$8,MATCH(N13,'G-7 WaterC'' Data'!$B$4:$B$8,0),MATCH(T13,'G-7 WaterC'' Data'!$H$3:$L$3,0)),"")</f>
        <v/>
      </c>
      <c r="V13" s="105"/>
      <c r="W13" s="289" t="str">
        <f>IF(V13="","",IF(VLOOKUP(V13,'G-7 WaterC'' Data'!$AK$4:$AM$6,2,FALSE)=0,"Spatial Data Missing ⚠",VLOOKUP(V13,'G-7 WaterC'' Data'!$AK$4:$AM$6,2,FALSE)))</f>
        <v/>
      </c>
      <c r="X13" s="282" t="str">
        <f>IF(V13="","",IF(VLOOKUP(V13,'G-7 WaterC'' Data'!$AK$4:$AM$6,3,FALSE)=0,"Spatial Data Missing ⚠",VLOOKUP(V13,'G-7 WaterC'' Data'!$AK$4:$AM$6,3,FALSE)))</f>
        <v/>
      </c>
      <c r="Y13" s="281" t="str">
        <f>IFERROR(IF(OR(LEFT(P13,5)="Error",LEFT(O13,5)="Error"),"Check Data ⚠",IF(F13&lt;S13,'G-7 WaterC'' Data'!$R$3,INDEX('G-7 WaterC'' Data'!$U$5:$Y$9,MATCH(G13,'G-7 WaterC'' Data'!$T$5:$T$9,0),MATCH(T13,'G-7 WaterC'' Data'!$U$4:$Y$4,0)))),"")</f>
        <v/>
      </c>
      <c r="Z13" s="137"/>
      <c r="AA13" s="137"/>
      <c r="AB13" s="289"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02" t="str">
        <f t="shared" ref="AC13:AC76" si="4">IF(AB13="Error -both advance and delayed habitat creation ▲","Check Data ⚠",IF(AB13="Check Data ⚠","Check Data ⚠",IF(Y13="","",IF(Z13="30+",0,IF(AA13="30+","30+",IF(Y13+AA13&gt;30,"30+",IF(Y13+AA13-Z13&gt;0,Y13+AA13-Z13,IF(Y13-Z13&lt;0,0,Y13+AA13-Z13))))))))</f>
        <v/>
      </c>
      <c r="AD13" s="340" t="str">
        <f>IFERROR(IF(AC13="Check Data ⚠","Check Data ⚠",VLOOKUP(AC13,'G-4 Temporal multipliers'!$A$4:$C$37,3,FALSE)),"")</f>
        <v/>
      </c>
      <c r="AE13" s="281" t="str">
        <f>IF(N13="","",VLOOKUP(N13,'G-7 WaterC'' Data'!$B$4:$G$8,5,FALSE))</f>
        <v/>
      </c>
      <c r="AF13" s="289" t="str">
        <f t="shared" ref="AF13:AF76" si="5">IF(N13="","",IF(AC13="Check Data ⚠","Check Data ⚠",IF(T13="","",IF($AB13="Check details - Is there evidence that habitat has reached target condition? ⚠","Low Difficulty - only applicable if all habitat created before losses ⚠","Standard difficulty applied"))))</f>
        <v/>
      </c>
      <c r="AG13" s="320" t="str">
        <f t="shared" ref="AG13:AG76" si="6">(IF(AND(AF13="Standard difficulty applied",Y13&gt;Z13),AE13,IF(AND(AF13="Low Difficulty - only applicable if all habitat created before losses ⚠",Z13&gt;=Y13),"Low",AE13)))</f>
        <v/>
      </c>
      <c r="AH13" s="282" t="str">
        <f t="shared" si="0"/>
        <v/>
      </c>
      <c r="AI13" s="109"/>
      <c r="AJ13" s="282" t="str">
        <f>IF(AI13="","",IF(AND(AI13="N/A - Culvert",N13&lt;&gt;"Culvert"),"Not possible ▲",IF(VLOOKUP(AI13,'G-7 WaterC'' Data'!$AA$4:$AB$7,2,FALSE)=0,"Spatial Data Missing ⚠",VLOOKUP(AI13,'G-7 WaterC'' Data'!$AA$4:$AB$7,2,FALSE))))</f>
        <v/>
      </c>
      <c r="AK13" s="110"/>
      <c r="AL13" s="282" t="str">
        <f>IF(AK13="","",IF(AND(AK13="N/A - Culvert",N13&lt;&gt;"Culvert"),"Not possible ▲",IF(VLOOKUP(AK13,'G-7 WaterC'' Data'!$AD$4:$AE$14,2,FALSE)=0,"Spatial Data Missing ⚠",VLOOKUP(AK13,'G-7 WaterC'' Data'!$AD$4:$AE$14,2,FALSE))))</f>
        <v/>
      </c>
      <c r="AM13" s="323" t="str">
        <f t="shared" ref="AM13:AM76" si="7">IFERROR(IF(C13="","",IF(AND(N13&lt;&gt;"",M13=""),"Check Data ⚠",IF(Q13&gt;D13,((((Q13*S13*U13)-(D13*F13*H13))*(AH13*AD13))+(D13*F13*H13))*(AL13*X13*AJ13),((((Q13*S13*U13)-(Q13*F13*H13))*(AH13*AD13))+(Q13*F13*H13))*(AL13*X13*AJ13)))),"")</f>
        <v/>
      </c>
      <c r="AN13" s="105"/>
      <c r="AO13" s="119"/>
      <c r="AP13" s="108"/>
      <c r="AS13" s="30" t="str">
        <f>IF(B13="","",IF(ISNA(VLOOKUP($B13,'C-1 On-Site WaterC'' Baseline'!$C$8:$AD$257,17,FALSE)),"",(VLOOKUP($B13,'C-1 On-Site WaterC'' Baseline'!$C$8:$AD$257,17,FALSE))))</f>
        <v/>
      </c>
      <c r="AT13" s="30" t="str">
        <f>IF(B13="","",VLOOKUP($B13,'C-1 On-Site WaterC'' Baseline'!$C$9:$Z$257,12,FALSE))</f>
        <v/>
      </c>
      <c r="AU13" s="30" t="str">
        <f>IF(B13="","",VLOOKUP($B13,'C-1 On-Site WaterC'' Baseline'!$C$9:$Z$257,14,FALSE))</f>
        <v/>
      </c>
      <c r="AV13" s="30" t="str">
        <f>IFERROR(INDEX('G-7 WaterC'' Data'!$AZ$3:$AZ$7,MATCH(N13,'G-7 WaterC'' Data'!$AY$3:$AY$7,0)),"")</f>
        <v/>
      </c>
      <c r="AX13" s="30" t="str">
        <f>IF(B13="","",VLOOKUP($B13,'C-1 On-Site WaterC'' Baseline'!$C$9:$Y$257,22,FALSE))</f>
        <v/>
      </c>
      <c r="AY13" s="30" t="str">
        <f t="shared" ref="AY13:AY76" si="8">IF(B13="","", IF(AX13&gt;M13, M13, IF((BA13+Q13)&gt;D13, M13 - AZ13, AX13)))</f>
        <v/>
      </c>
      <c r="AZ13" s="30" t="str">
        <f>IF(B13="","",VLOOKUP($B13,'C-1 On-Site WaterC'' Baseline'!$C$9:$Y$257,21,FALSE))</f>
        <v/>
      </c>
      <c r="BA13" s="30" t="str">
        <f>IF(B13="","",VLOOKUP($B13,'C-1 On-Site WaterC'' Baseline'!$C$9:$Y$257,19,FALSE))</f>
        <v/>
      </c>
      <c r="BD13" s="30" t="str">
        <f t="shared" ref="BD13:BD76" si="9">IF(AND(N13="Ditches",(OR(T13="Fairly Poor",T13="Fairly Good"))), "Yes", "No")</f>
        <v>No</v>
      </c>
    </row>
    <row r="14" spans="2:56" ht="13.8" x14ac:dyDescent="0.25">
      <c r="B14" s="311" t="str">
        <f>'C-1 On-Site WaterC'' Baseline'!AP12</f>
        <v/>
      </c>
      <c r="C14" s="301" t="str">
        <f>IF(B14="","",VLOOKUP($B14,'C-1 On-Site WaterC'' Baseline'!$C$9:$R$257,2,FALSE))</f>
        <v/>
      </c>
      <c r="D14" s="301" t="str">
        <f>IF(C14="","",VLOOKUP($B14,'C-1 On-Site WaterC'' Baseline'!$C$9:$R$257,3,FALSE))</f>
        <v/>
      </c>
      <c r="E14" s="301" t="str">
        <f>IF(D14="","",VLOOKUP($B14,'C-1 On-Site WaterC'' Baseline'!$C$9:$R$257,4,FALSE))</f>
        <v/>
      </c>
      <c r="F14" s="301" t="str">
        <f>IF(E14="","",VLOOKUP($B14,'C-1 On-Site WaterC'' Baseline'!$C$9:$R$257,5,FALSE))</f>
        <v/>
      </c>
      <c r="G14" s="301" t="str">
        <f>IF(F14="","",VLOOKUP($B14,'C-1 On-Site WaterC'' Baseline'!$C$9:$R$257,6,FALSE))</f>
        <v/>
      </c>
      <c r="H14" s="301" t="str">
        <f>IF(G14="","",VLOOKUP($B14,'C-1 On-Site WaterC'' Baseline'!$C$9:$R$257,7,FALSE))</f>
        <v/>
      </c>
      <c r="I14" s="301" t="str">
        <f>IF(H14="","",VLOOKUP($B14,'C-1 On-Site WaterC'' Baseline'!$C$9:$R$257,8,FALSE))</f>
        <v/>
      </c>
      <c r="J14" s="301" t="str">
        <f>IF(I14="","",VLOOKUP($B14,'C-1 On-Site WaterC'' Baseline'!$C$9:$R$257,9,FALSE))</f>
        <v/>
      </c>
      <c r="K14" s="301" t="str">
        <f>IF(J14="","",VLOOKUP($B14,'C-1 On-Site WaterC'' Baseline'!$C$9:$R$257,10,FALSE))</f>
        <v/>
      </c>
      <c r="L14" s="301" t="str">
        <f>IF(B14="","",VLOOKUP($B14,'C-1 On-Site WaterC'' Baseline'!$C$9:$R$257,15,FALSE))</f>
        <v/>
      </c>
      <c r="M14" s="305" t="str">
        <f>IF(L14="","",VLOOKUP($B14,'C-1 On-Site WaterC'' Baseline'!$C$9:$R$257,16,FALSE))</f>
        <v/>
      </c>
      <c r="N14" s="251"/>
      <c r="O14" s="281" t="str">
        <f t="shared" si="1"/>
        <v/>
      </c>
      <c r="P14" s="282" t="str">
        <f t="shared" si="2"/>
        <v/>
      </c>
      <c r="Q14" s="342" t="str">
        <f>IF(N14="","",VLOOKUP(B14,'C-1 On-Site WaterC'' Baseline'!$C$10:$AC$257,20,FALSE))</f>
        <v/>
      </c>
      <c r="R14" s="281" t="str">
        <f>IF(N14="","",VLOOKUP(N14,'G-7 WaterC'' Data'!$B$2:$G$8,2,FALSE))</f>
        <v/>
      </c>
      <c r="S14" s="282" t="str">
        <f>IFERROR(VLOOKUP(R14,'G-7 WaterC'' Data'!$C$4:$D$8,2,FALSE),"")</f>
        <v/>
      </c>
      <c r="T14" s="105"/>
      <c r="U14" s="282" t="str">
        <f>IFERROR(INDEX('G-7 WaterC'' Data'!$H$4:$L$8,MATCH(N14,'G-7 WaterC'' Data'!$B$4:$B$8,0),MATCH(T14,'G-7 WaterC'' Data'!$H$3:$L$3,0)),"")</f>
        <v/>
      </c>
      <c r="V14" s="105"/>
      <c r="W14" s="289" t="str">
        <f>IF(V14="","",IF(VLOOKUP(V14,'G-7 WaterC'' Data'!$AK$4:$AM$6,2,FALSE)=0,"Spatial Data Missing ⚠",VLOOKUP(V14,'G-7 WaterC'' Data'!$AK$4:$AM$6,2,FALSE)))</f>
        <v/>
      </c>
      <c r="X14" s="282" t="str">
        <f>IF(V14="","",IF(VLOOKUP(V14,'G-7 WaterC'' Data'!$AK$4:$AM$6,3,FALSE)=0,"Spatial Data Missing ⚠",VLOOKUP(V14,'G-7 WaterC'' Data'!$AK$4:$AM$6,3,FALSE)))</f>
        <v/>
      </c>
      <c r="Y14" s="281" t="str">
        <f>IFERROR(IF(OR(LEFT(P14,5)="Error",LEFT(O14,5)="Error"),"Check Data ⚠",IF(F14&lt;S14,'G-7 WaterC'' Data'!$R$3,INDEX('G-7 WaterC'' Data'!$U$5:$Y$9,MATCH(G14,'G-7 WaterC'' Data'!$T$5:$T$9,0),MATCH(T14,'G-7 WaterC'' Data'!$U$4:$Y$4,0)))),"")</f>
        <v/>
      </c>
      <c r="Z14" s="137"/>
      <c r="AA14" s="137"/>
      <c r="AB14" s="289" t="str">
        <f t="shared" si="3"/>
        <v/>
      </c>
      <c r="AC14" s="302" t="str">
        <f t="shared" si="4"/>
        <v/>
      </c>
      <c r="AD14" s="340" t="str">
        <f>IFERROR(IF(AC14="Check Data ⚠","Check Data ⚠",VLOOKUP(AC14,'G-4 Temporal multipliers'!$A$4:$C$37,3,FALSE)),"")</f>
        <v/>
      </c>
      <c r="AE14" s="281" t="str">
        <f>IF(N14="","",VLOOKUP(N14,'G-7 WaterC'' Data'!$B$4:$G$8,5,FALSE))</f>
        <v/>
      </c>
      <c r="AF14" s="289" t="str">
        <f t="shared" si="5"/>
        <v/>
      </c>
      <c r="AG14" s="320" t="str">
        <f t="shared" si="6"/>
        <v/>
      </c>
      <c r="AH14" s="282" t="str">
        <f t="shared" si="0"/>
        <v/>
      </c>
      <c r="AI14" s="109"/>
      <c r="AJ14" s="282" t="str">
        <f>IF(AI14="","",IF(AND(AI14="N/A - Culvert",N14&lt;&gt;"Culvert"),"Not possible ▲",IF(VLOOKUP(AI14,'G-7 WaterC'' Data'!$AA$4:$AB$7,2,FALSE)=0,"Spatial Data Missing ⚠",VLOOKUP(AI14,'G-7 WaterC'' Data'!$AA$4:$AB$7,2,FALSE))))</f>
        <v/>
      </c>
      <c r="AK14" s="110"/>
      <c r="AL14" s="282" t="str">
        <f>IF(AK14="","",IF(AND(AK14="N/A - Culvert",N14&lt;&gt;"Culvert"),"Not possible ▲",IF(VLOOKUP(AK14,'G-7 WaterC'' Data'!$AD$4:$AE$14,2,FALSE)=0,"Spatial Data Missing ⚠",VLOOKUP(AK14,'G-7 WaterC'' Data'!$AD$4:$AE$14,2,FALSE))))</f>
        <v/>
      </c>
      <c r="AM14" s="323" t="str">
        <f t="shared" si="7"/>
        <v/>
      </c>
      <c r="AN14" s="105"/>
      <c r="AO14" s="119"/>
      <c r="AP14" s="108"/>
      <c r="AS14" s="30" t="str">
        <f>IF(B14="","",IF(ISNA(VLOOKUP($B14,'C-1 On-Site WaterC'' Baseline'!$C$8:$AD$257,17,FALSE)),"",(VLOOKUP($B14,'C-1 On-Site WaterC'' Baseline'!$C$8:$AD$257,17,FALSE))))</f>
        <v/>
      </c>
      <c r="AT14" s="30" t="str">
        <f>IF(B14="","",VLOOKUP($B14,'C-1 On-Site WaterC'' Baseline'!$C$9:$Z$257,12,FALSE))</f>
        <v/>
      </c>
      <c r="AU14" s="30" t="str">
        <f>IF(B14="","",VLOOKUP($B14,'C-1 On-Site WaterC'' Baseline'!$C$9:$Z$257,14,FALSE))</f>
        <v/>
      </c>
      <c r="AV14" s="30" t="str">
        <f>IFERROR(INDEX('G-7 WaterC'' Data'!$AZ$3:$AZ$7,MATCH(N14,'G-7 WaterC'' Data'!$AY$3:$AY$7,0)),"")</f>
        <v/>
      </c>
      <c r="AX14" s="30" t="str">
        <f>IF(B14="","",VLOOKUP($B14,'C-1 On-Site WaterC'' Baseline'!$C$9:$Y$257,22,FALSE))</f>
        <v/>
      </c>
      <c r="AY14" s="30" t="str">
        <f t="shared" si="8"/>
        <v/>
      </c>
      <c r="AZ14" s="30" t="str">
        <f>IF(B14="","",VLOOKUP($B14,'C-1 On-Site WaterC'' Baseline'!$C$9:$Y$257,21,FALSE))</f>
        <v/>
      </c>
      <c r="BA14" s="30" t="str">
        <f>IF(B14="","",VLOOKUP($B14,'C-1 On-Site WaterC'' Baseline'!$C$9:$Y$257,19,FALSE))</f>
        <v/>
      </c>
      <c r="BD14" s="30" t="str">
        <f t="shared" si="9"/>
        <v>No</v>
      </c>
    </row>
    <row r="15" spans="2:56" ht="13.8" x14ac:dyDescent="0.25">
      <c r="B15" s="311" t="str">
        <f>'C-1 On-Site WaterC'' Baseline'!AP13</f>
        <v/>
      </c>
      <c r="C15" s="301" t="str">
        <f>IF(B15="","",VLOOKUP($B15,'C-1 On-Site WaterC'' Baseline'!$C$9:$R$257,2,FALSE))</f>
        <v/>
      </c>
      <c r="D15" s="301" t="str">
        <f>IF(C15="","",VLOOKUP($B15,'C-1 On-Site WaterC'' Baseline'!$C$9:$R$257,3,FALSE))</f>
        <v/>
      </c>
      <c r="E15" s="301" t="str">
        <f>IF(D15="","",VLOOKUP($B15,'C-1 On-Site WaterC'' Baseline'!$C$9:$R$257,4,FALSE))</f>
        <v/>
      </c>
      <c r="F15" s="301" t="str">
        <f>IF(E15="","",VLOOKUP($B15,'C-1 On-Site WaterC'' Baseline'!$C$9:$R$257,5,FALSE))</f>
        <v/>
      </c>
      <c r="G15" s="301" t="str">
        <f>IF(F15="","",VLOOKUP($B15,'C-1 On-Site WaterC'' Baseline'!$C$9:$R$257,6,FALSE))</f>
        <v/>
      </c>
      <c r="H15" s="301" t="str">
        <f>IF(G15="","",VLOOKUP($B15,'C-1 On-Site WaterC'' Baseline'!$C$9:$R$257,7,FALSE))</f>
        <v/>
      </c>
      <c r="I15" s="301" t="str">
        <f>IF(H15="","",VLOOKUP($B15,'C-1 On-Site WaterC'' Baseline'!$C$9:$R$257,8,FALSE))</f>
        <v/>
      </c>
      <c r="J15" s="301" t="str">
        <f>IF(I15="","",VLOOKUP($B15,'C-1 On-Site WaterC'' Baseline'!$C$9:$R$257,9,FALSE))</f>
        <v/>
      </c>
      <c r="K15" s="301" t="str">
        <f>IF(J15="","",VLOOKUP($B15,'C-1 On-Site WaterC'' Baseline'!$C$9:$R$257,10,FALSE))</f>
        <v/>
      </c>
      <c r="L15" s="301" t="str">
        <f>IF(B15="","",VLOOKUP($B15,'C-1 On-Site WaterC'' Baseline'!$C$9:$R$257,15,FALSE))</f>
        <v/>
      </c>
      <c r="M15" s="305" t="str">
        <f>IF(L15="","",VLOOKUP($B15,'C-1 On-Site WaterC'' Baseline'!$C$9:$R$257,16,FALSE))</f>
        <v/>
      </c>
      <c r="N15" s="251"/>
      <c r="O15" s="281" t="str">
        <f t="shared" si="1"/>
        <v/>
      </c>
      <c r="P15" s="282" t="str">
        <f t="shared" si="2"/>
        <v/>
      </c>
      <c r="Q15" s="342" t="str">
        <f>IF(N15="","",VLOOKUP(B15,'C-1 On-Site WaterC'' Baseline'!$C$10:$AC$257,20,FALSE))</f>
        <v/>
      </c>
      <c r="R15" s="281" t="str">
        <f>IF(N15="","",VLOOKUP(N15,'G-7 WaterC'' Data'!$B$2:$G$8,2,FALSE))</f>
        <v/>
      </c>
      <c r="S15" s="282" t="str">
        <f>IFERROR(VLOOKUP(R15,'G-7 WaterC'' Data'!$C$4:$D$8,2,FALSE),"")</f>
        <v/>
      </c>
      <c r="T15" s="105"/>
      <c r="U15" s="282" t="str">
        <f>IFERROR(INDEX('G-7 WaterC'' Data'!$H$4:$L$8,MATCH(N15,'G-7 WaterC'' Data'!$B$4:$B$8,0),MATCH(T15,'G-7 WaterC'' Data'!$H$3:$L$3,0)),"")</f>
        <v/>
      </c>
      <c r="V15" s="105"/>
      <c r="W15" s="289" t="str">
        <f>IF(V15="","",IF(VLOOKUP(V15,'G-7 WaterC'' Data'!$AK$4:$AM$6,2,FALSE)=0,"Spatial Data Missing ⚠",VLOOKUP(V15,'G-7 WaterC'' Data'!$AK$4:$AM$6,2,FALSE)))</f>
        <v/>
      </c>
      <c r="X15" s="282" t="str">
        <f>IF(V15="","",IF(VLOOKUP(V15,'G-7 WaterC'' Data'!$AK$4:$AM$6,3,FALSE)=0,"Spatial Data Missing ⚠",VLOOKUP(V15,'G-7 WaterC'' Data'!$AK$4:$AM$6,3,FALSE)))</f>
        <v/>
      </c>
      <c r="Y15" s="281" t="str">
        <f>IFERROR(IF(OR(LEFT(P15,5)="Error",LEFT(O15,5)="Error"),"Check Data ⚠",IF(F15&lt;S15,'G-7 WaterC'' Data'!$R$3,INDEX('G-7 WaterC'' Data'!$U$5:$Y$9,MATCH(G15,'G-7 WaterC'' Data'!$T$5:$T$9,0),MATCH(T15,'G-7 WaterC'' Data'!$U$4:$Y$4,0)))),"")</f>
        <v/>
      </c>
      <c r="Z15" s="137"/>
      <c r="AA15" s="137"/>
      <c r="AB15" s="289" t="str">
        <f t="shared" si="3"/>
        <v/>
      </c>
      <c r="AC15" s="302" t="str">
        <f t="shared" si="4"/>
        <v/>
      </c>
      <c r="AD15" s="340" t="str">
        <f>IFERROR(IF(AC15="Check Data ⚠","Check Data ⚠",VLOOKUP(AC15,'G-4 Temporal multipliers'!$A$4:$C$37,3,FALSE)),"")</f>
        <v/>
      </c>
      <c r="AE15" s="281" t="str">
        <f>IF(N15="","",VLOOKUP(N15,'G-7 WaterC'' Data'!$B$4:$G$8,5,FALSE))</f>
        <v/>
      </c>
      <c r="AF15" s="289" t="str">
        <f t="shared" si="5"/>
        <v/>
      </c>
      <c r="AG15" s="320" t="str">
        <f t="shared" si="6"/>
        <v/>
      </c>
      <c r="AH15" s="282" t="str">
        <f t="shared" si="0"/>
        <v/>
      </c>
      <c r="AI15" s="109"/>
      <c r="AJ15" s="282" t="str">
        <f>IF(AI15="","",IF(AND(AI15="N/A - Culvert",N15&lt;&gt;"Culvert"),"Not possible ▲",IF(VLOOKUP(AI15,'G-7 WaterC'' Data'!$AA$4:$AB$7,2,FALSE)=0,"Spatial Data Missing ⚠",VLOOKUP(AI15,'G-7 WaterC'' Data'!$AA$4:$AB$7,2,FALSE))))</f>
        <v/>
      </c>
      <c r="AK15" s="110"/>
      <c r="AL15" s="282" t="str">
        <f>IF(AK15="","",IF(AND(AK15="N/A - Culvert",N15&lt;&gt;"Culvert"),"Not possible ▲",IF(VLOOKUP(AK15,'G-7 WaterC'' Data'!$AD$4:$AE$14,2,FALSE)=0,"Spatial Data Missing ⚠",VLOOKUP(AK15,'G-7 WaterC'' Data'!$AD$4:$AE$14,2,FALSE))))</f>
        <v/>
      </c>
      <c r="AM15" s="323" t="str">
        <f t="shared" si="7"/>
        <v/>
      </c>
      <c r="AN15" s="105"/>
      <c r="AO15" s="119"/>
      <c r="AP15" s="108"/>
      <c r="AS15" s="30" t="str">
        <f>IF(B15="","",IF(ISNA(VLOOKUP($B15,'C-1 On-Site WaterC'' Baseline'!$C$8:$AD$257,17,FALSE)),"",(VLOOKUP($B15,'C-1 On-Site WaterC'' Baseline'!$C$8:$AD$257,17,FALSE))))</f>
        <v/>
      </c>
      <c r="AT15" s="30" t="str">
        <f>IF(B15="","",VLOOKUP($B15,'C-1 On-Site WaterC'' Baseline'!$C$9:$Z$257,12,FALSE))</f>
        <v/>
      </c>
      <c r="AU15" s="30" t="str">
        <f>IF(B15="","",VLOOKUP($B15,'C-1 On-Site WaterC'' Baseline'!$C$9:$Z$257,14,FALSE))</f>
        <v/>
      </c>
      <c r="AV15" s="30" t="str">
        <f>IFERROR(INDEX('G-7 WaterC'' Data'!$AZ$3:$AZ$7,MATCH(N15,'G-7 WaterC'' Data'!$AY$3:$AY$7,0)),"")</f>
        <v/>
      </c>
      <c r="AX15" s="30" t="str">
        <f>IF(B15="","",VLOOKUP($B15,'C-1 On-Site WaterC'' Baseline'!$C$9:$Y$257,22,FALSE))</f>
        <v/>
      </c>
      <c r="AY15" s="30" t="str">
        <f t="shared" si="8"/>
        <v/>
      </c>
      <c r="AZ15" s="30" t="str">
        <f>IF(B15="","",VLOOKUP($B15,'C-1 On-Site WaterC'' Baseline'!$C$9:$Y$257,21,FALSE))</f>
        <v/>
      </c>
      <c r="BA15" s="30" t="str">
        <f>IF(B15="","",VLOOKUP($B15,'C-1 On-Site WaterC'' Baseline'!$C$9:$Y$257,19,FALSE))</f>
        <v/>
      </c>
      <c r="BD15" s="30" t="str">
        <f t="shared" si="9"/>
        <v>No</v>
      </c>
    </row>
    <row r="16" spans="2:56" ht="13.8" x14ac:dyDescent="0.25">
      <c r="B16" s="311" t="str">
        <f>'C-1 On-Site WaterC'' Baseline'!AP14</f>
        <v/>
      </c>
      <c r="C16" s="301" t="str">
        <f>IF(B16="","",VLOOKUP($B16,'C-1 On-Site WaterC'' Baseline'!$C$9:$R$257,2,FALSE))</f>
        <v/>
      </c>
      <c r="D16" s="301" t="str">
        <f>IF(C16="","",VLOOKUP($B16,'C-1 On-Site WaterC'' Baseline'!$C$9:$R$257,3,FALSE))</f>
        <v/>
      </c>
      <c r="E16" s="301" t="str">
        <f>IF(D16="","",VLOOKUP($B16,'C-1 On-Site WaterC'' Baseline'!$C$9:$R$257,4,FALSE))</f>
        <v/>
      </c>
      <c r="F16" s="301" t="str">
        <f>IF(E16="","",VLOOKUP($B16,'C-1 On-Site WaterC'' Baseline'!$C$9:$R$257,5,FALSE))</f>
        <v/>
      </c>
      <c r="G16" s="301" t="str">
        <f>IF(F16="","",VLOOKUP($B16,'C-1 On-Site WaterC'' Baseline'!$C$9:$R$257,6,FALSE))</f>
        <v/>
      </c>
      <c r="H16" s="301" t="str">
        <f>IF(G16="","",VLOOKUP($B16,'C-1 On-Site WaterC'' Baseline'!$C$9:$R$257,7,FALSE))</f>
        <v/>
      </c>
      <c r="I16" s="301" t="str">
        <f>IF(H16="","",VLOOKUP($B16,'C-1 On-Site WaterC'' Baseline'!$C$9:$R$257,8,FALSE))</f>
        <v/>
      </c>
      <c r="J16" s="301" t="str">
        <f>IF(I16="","",VLOOKUP($B16,'C-1 On-Site WaterC'' Baseline'!$C$9:$R$257,9,FALSE))</f>
        <v/>
      </c>
      <c r="K16" s="301" t="str">
        <f>IF(J16="","",VLOOKUP($B16,'C-1 On-Site WaterC'' Baseline'!$C$9:$R$257,10,FALSE))</f>
        <v/>
      </c>
      <c r="L16" s="301" t="str">
        <f>IF(B16="","",VLOOKUP($B16,'C-1 On-Site WaterC'' Baseline'!$C$9:$R$257,15,FALSE))</f>
        <v/>
      </c>
      <c r="M16" s="305" t="str">
        <f>IF(L16="","",VLOOKUP($B16,'C-1 On-Site WaterC'' Baseline'!$C$9:$R$257,16,FALSE))</f>
        <v/>
      </c>
      <c r="N16" s="251"/>
      <c r="O16" s="281" t="str">
        <f t="shared" si="1"/>
        <v/>
      </c>
      <c r="P16" s="282" t="str">
        <f t="shared" si="2"/>
        <v/>
      </c>
      <c r="Q16" s="342" t="str">
        <f>IF(N16="","",VLOOKUP(B16,'C-1 On-Site WaterC'' Baseline'!$C$10:$AC$257,20,FALSE))</f>
        <v/>
      </c>
      <c r="R16" s="281" t="str">
        <f>IF(N16="","",VLOOKUP(N16,'G-7 WaterC'' Data'!$B$2:$G$8,2,FALSE))</f>
        <v/>
      </c>
      <c r="S16" s="282" t="str">
        <f>IFERROR(VLOOKUP(R16,'G-7 WaterC'' Data'!$C$4:$D$8,2,FALSE),"")</f>
        <v/>
      </c>
      <c r="T16" s="105"/>
      <c r="U16" s="282" t="str">
        <f>IFERROR(INDEX('G-7 WaterC'' Data'!$H$4:$L$8,MATCH(N16,'G-7 WaterC'' Data'!$B$4:$B$8,0),MATCH(T16,'G-7 WaterC'' Data'!$H$3:$L$3,0)),"")</f>
        <v/>
      </c>
      <c r="V16" s="105"/>
      <c r="W16" s="289" t="str">
        <f>IF(V16="","",IF(VLOOKUP(V16,'G-7 WaterC'' Data'!$AK$4:$AM$6,2,FALSE)=0,"Spatial Data Missing ⚠",VLOOKUP(V16,'G-7 WaterC'' Data'!$AK$4:$AM$6,2,FALSE)))</f>
        <v/>
      </c>
      <c r="X16" s="282" t="str">
        <f>IF(V16="","",IF(VLOOKUP(V16,'G-7 WaterC'' Data'!$AK$4:$AM$6,3,FALSE)=0,"Spatial Data Missing ⚠",VLOOKUP(V16,'G-7 WaterC'' Data'!$AK$4:$AM$6,3,FALSE)))</f>
        <v/>
      </c>
      <c r="Y16" s="281" t="str">
        <f>IFERROR(IF(OR(LEFT(P16,5)="Error",LEFT(O16,5)="Error"),"Check Data ⚠",IF(F16&lt;S16,'G-7 WaterC'' Data'!$R$3,INDEX('G-7 WaterC'' Data'!$U$5:$Y$9,MATCH(G16,'G-7 WaterC'' Data'!$T$5:$T$9,0),MATCH(T16,'G-7 WaterC'' Data'!$U$4:$Y$4,0)))),"")</f>
        <v/>
      </c>
      <c r="Z16" s="137"/>
      <c r="AA16" s="137"/>
      <c r="AB16" s="289" t="str">
        <f t="shared" si="3"/>
        <v/>
      </c>
      <c r="AC16" s="302" t="str">
        <f t="shared" si="4"/>
        <v/>
      </c>
      <c r="AD16" s="340" t="str">
        <f>IFERROR(IF(AC16="Check Data ⚠","Check Data ⚠",VLOOKUP(AC16,'G-4 Temporal multipliers'!$A$4:$C$37,3,FALSE)),"")</f>
        <v/>
      </c>
      <c r="AE16" s="281" t="str">
        <f>IF(N16="","",VLOOKUP(N16,'G-7 WaterC'' Data'!$B$4:$G$8,5,FALSE))</f>
        <v/>
      </c>
      <c r="AF16" s="289" t="str">
        <f t="shared" si="5"/>
        <v/>
      </c>
      <c r="AG16" s="320" t="str">
        <f t="shared" si="6"/>
        <v/>
      </c>
      <c r="AH16" s="282" t="str">
        <f t="shared" si="0"/>
        <v/>
      </c>
      <c r="AI16" s="109"/>
      <c r="AJ16" s="282" t="str">
        <f>IF(AI16="","",IF(AND(AI16="N/A - Culvert",N16&lt;&gt;"Culvert"),"Not possible ▲",IF(VLOOKUP(AI16,'G-7 WaterC'' Data'!$AA$4:$AB$7,2,FALSE)=0,"Spatial Data Missing ⚠",VLOOKUP(AI16,'G-7 WaterC'' Data'!$AA$4:$AB$7,2,FALSE))))</f>
        <v/>
      </c>
      <c r="AK16" s="110"/>
      <c r="AL16" s="282" t="str">
        <f>IF(AK16="","",IF(AND(AK16="N/A - Culvert",N16&lt;&gt;"Culvert"),"Not possible ▲",IF(VLOOKUP(AK16,'G-7 WaterC'' Data'!$AD$4:$AE$14,2,FALSE)=0,"Spatial Data Missing ⚠",VLOOKUP(AK16,'G-7 WaterC'' Data'!$AD$4:$AE$14,2,FALSE))))</f>
        <v/>
      </c>
      <c r="AM16" s="323" t="str">
        <f t="shared" si="7"/>
        <v/>
      </c>
      <c r="AN16" s="105"/>
      <c r="AO16" s="119"/>
      <c r="AP16" s="108"/>
      <c r="AS16" s="30" t="str">
        <f>IF(B16="","",IF(ISNA(VLOOKUP($B16,'C-1 On-Site WaterC'' Baseline'!$C$8:$AD$257,17,FALSE)),"",(VLOOKUP($B16,'C-1 On-Site WaterC'' Baseline'!$C$8:$AD$257,17,FALSE))))</f>
        <v/>
      </c>
      <c r="AT16" s="30" t="str">
        <f>IF(B16="","",VLOOKUP($B16,'C-1 On-Site WaterC'' Baseline'!$C$9:$Z$257,12,FALSE))</f>
        <v/>
      </c>
      <c r="AU16" s="30" t="str">
        <f>IF(B16="","",VLOOKUP($B16,'C-1 On-Site WaterC'' Baseline'!$C$9:$Z$257,14,FALSE))</f>
        <v/>
      </c>
      <c r="AV16" s="30" t="str">
        <f>IFERROR(INDEX('G-7 WaterC'' Data'!$AZ$3:$AZ$7,MATCH(N16,'G-7 WaterC'' Data'!$AY$3:$AY$7,0)),"")</f>
        <v/>
      </c>
      <c r="AX16" s="30" t="str">
        <f>IF(B16="","",VLOOKUP($B16,'C-1 On-Site WaterC'' Baseline'!$C$9:$Y$257,22,FALSE))</f>
        <v/>
      </c>
      <c r="AY16" s="30" t="str">
        <f t="shared" si="8"/>
        <v/>
      </c>
      <c r="AZ16" s="30" t="str">
        <f>IF(B16="","",VLOOKUP($B16,'C-1 On-Site WaterC'' Baseline'!$C$9:$Y$257,21,FALSE))</f>
        <v/>
      </c>
      <c r="BA16" s="30" t="str">
        <f>IF(B16="","",VLOOKUP($B16,'C-1 On-Site WaterC'' Baseline'!$C$9:$Y$257,19,FALSE))</f>
        <v/>
      </c>
      <c r="BD16" s="30" t="str">
        <f t="shared" si="9"/>
        <v>No</v>
      </c>
    </row>
    <row r="17" spans="2:56" ht="13.8" x14ac:dyDescent="0.25">
      <c r="B17" s="311" t="str">
        <f>'C-1 On-Site WaterC'' Baseline'!AP15</f>
        <v/>
      </c>
      <c r="C17" s="301" t="str">
        <f>IF(B17="","",VLOOKUP($B17,'C-1 On-Site WaterC'' Baseline'!$C$9:$R$257,2,FALSE))</f>
        <v/>
      </c>
      <c r="D17" s="301" t="str">
        <f>IF(C17="","",VLOOKUP($B17,'C-1 On-Site WaterC'' Baseline'!$C$9:$R$257,3,FALSE))</f>
        <v/>
      </c>
      <c r="E17" s="301" t="str">
        <f>IF(D17="","",VLOOKUP($B17,'C-1 On-Site WaterC'' Baseline'!$C$9:$R$257,4,FALSE))</f>
        <v/>
      </c>
      <c r="F17" s="301" t="str">
        <f>IF(E17="","",VLOOKUP($B17,'C-1 On-Site WaterC'' Baseline'!$C$9:$R$257,5,FALSE))</f>
        <v/>
      </c>
      <c r="G17" s="301" t="str">
        <f>IF(F17="","",VLOOKUP($B17,'C-1 On-Site WaterC'' Baseline'!$C$9:$R$257,6,FALSE))</f>
        <v/>
      </c>
      <c r="H17" s="301" t="str">
        <f>IF(G17="","",VLOOKUP($B17,'C-1 On-Site WaterC'' Baseline'!$C$9:$R$257,7,FALSE))</f>
        <v/>
      </c>
      <c r="I17" s="301" t="str">
        <f>IF(H17="","",VLOOKUP($B17,'C-1 On-Site WaterC'' Baseline'!$C$9:$R$257,8,FALSE))</f>
        <v/>
      </c>
      <c r="J17" s="301" t="str">
        <f>IF(I17="","",VLOOKUP($B17,'C-1 On-Site WaterC'' Baseline'!$C$9:$R$257,9,FALSE))</f>
        <v/>
      </c>
      <c r="K17" s="301" t="str">
        <f>IF(J17="","",VLOOKUP($B17,'C-1 On-Site WaterC'' Baseline'!$C$9:$R$257,10,FALSE))</f>
        <v/>
      </c>
      <c r="L17" s="301" t="str">
        <f>IF(B17="","",VLOOKUP($B17,'C-1 On-Site WaterC'' Baseline'!$C$9:$R$257,15,FALSE))</f>
        <v/>
      </c>
      <c r="M17" s="305" t="str">
        <f>IF(L17="","",VLOOKUP($B17,'C-1 On-Site WaterC'' Baseline'!$C$9:$R$257,16,FALSE))</f>
        <v/>
      </c>
      <c r="N17" s="251"/>
      <c r="O17" s="281" t="str">
        <f t="shared" si="1"/>
        <v/>
      </c>
      <c r="P17" s="282" t="str">
        <f t="shared" si="2"/>
        <v/>
      </c>
      <c r="Q17" s="342" t="str">
        <f>IF(N17="","",VLOOKUP(B17,'C-1 On-Site WaterC'' Baseline'!$C$10:$AC$257,20,FALSE))</f>
        <v/>
      </c>
      <c r="R17" s="281" t="str">
        <f>IF(N17="","",VLOOKUP(N17,'G-7 WaterC'' Data'!$B$2:$G$8,2,FALSE))</f>
        <v/>
      </c>
      <c r="S17" s="282" t="str">
        <f>IFERROR(VLOOKUP(R17,'G-7 WaterC'' Data'!$C$4:$D$8,2,FALSE),"")</f>
        <v/>
      </c>
      <c r="T17" s="105"/>
      <c r="U17" s="282" t="str">
        <f>IFERROR(INDEX('G-7 WaterC'' Data'!$H$4:$L$8,MATCH(N17,'G-7 WaterC'' Data'!$B$4:$B$8,0),MATCH(T17,'G-7 WaterC'' Data'!$H$3:$L$3,0)),"")</f>
        <v/>
      </c>
      <c r="V17" s="105"/>
      <c r="W17" s="289" t="str">
        <f>IF(V17="","",IF(VLOOKUP(V17,'G-7 WaterC'' Data'!$AK$4:$AM$6,2,FALSE)=0,"Spatial Data Missing ⚠",VLOOKUP(V17,'G-7 WaterC'' Data'!$AK$4:$AM$6,2,FALSE)))</f>
        <v/>
      </c>
      <c r="X17" s="282" t="str">
        <f>IF(V17="","",IF(VLOOKUP(V17,'G-7 WaterC'' Data'!$AK$4:$AM$6,3,FALSE)=0,"Spatial Data Missing ⚠",VLOOKUP(V17,'G-7 WaterC'' Data'!$AK$4:$AM$6,3,FALSE)))</f>
        <v/>
      </c>
      <c r="Y17" s="281" t="str">
        <f>IFERROR(IF(OR(LEFT(P17,5)="Error",LEFT(O17,5)="Error"),"Check Data ⚠",IF(F17&lt;S17,'G-7 WaterC'' Data'!$R$3,INDEX('G-7 WaterC'' Data'!$U$5:$Y$9,MATCH(G17,'G-7 WaterC'' Data'!$T$5:$T$9,0),MATCH(T17,'G-7 WaterC'' Data'!$U$4:$Y$4,0)))),"")</f>
        <v/>
      </c>
      <c r="Z17" s="137"/>
      <c r="AA17" s="137"/>
      <c r="AB17" s="289" t="str">
        <f t="shared" si="3"/>
        <v/>
      </c>
      <c r="AC17" s="302" t="str">
        <f t="shared" si="4"/>
        <v/>
      </c>
      <c r="AD17" s="340" t="str">
        <f>IFERROR(IF(AC17="Check Data ⚠","Check Data ⚠",VLOOKUP(AC17,'G-4 Temporal multipliers'!$A$4:$C$37,3,FALSE)),"")</f>
        <v/>
      </c>
      <c r="AE17" s="281" t="str">
        <f>IF(N17="","",VLOOKUP(N17,'G-7 WaterC'' Data'!$B$4:$G$8,5,FALSE))</f>
        <v/>
      </c>
      <c r="AF17" s="289" t="str">
        <f t="shared" si="5"/>
        <v/>
      </c>
      <c r="AG17" s="320" t="str">
        <f t="shared" si="6"/>
        <v/>
      </c>
      <c r="AH17" s="282" t="str">
        <f t="shared" si="0"/>
        <v/>
      </c>
      <c r="AI17" s="109"/>
      <c r="AJ17" s="282" t="str">
        <f>IF(AI17="","",IF(AND(AI17="N/A - Culvert",N17&lt;&gt;"Culvert"),"Not possible ▲",IF(VLOOKUP(AI17,'G-7 WaterC'' Data'!$AA$4:$AB$7,2,FALSE)=0,"Spatial Data Missing ⚠",VLOOKUP(AI17,'G-7 WaterC'' Data'!$AA$4:$AB$7,2,FALSE))))</f>
        <v/>
      </c>
      <c r="AK17" s="110"/>
      <c r="AL17" s="282" t="str">
        <f>IF(AK17="","",IF(AND(AK17="N/A - Culvert",N17&lt;&gt;"Culvert"),"Not possible ▲",IF(VLOOKUP(AK17,'G-7 WaterC'' Data'!$AD$4:$AE$14,2,FALSE)=0,"Spatial Data Missing ⚠",VLOOKUP(AK17,'G-7 WaterC'' Data'!$AD$4:$AE$14,2,FALSE))))</f>
        <v/>
      </c>
      <c r="AM17" s="323" t="str">
        <f t="shared" si="7"/>
        <v/>
      </c>
      <c r="AN17" s="105"/>
      <c r="AO17" s="119"/>
      <c r="AP17" s="108"/>
      <c r="AS17" s="30" t="str">
        <f>IF(B17="","",IF(ISNA(VLOOKUP($B17,'C-1 On-Site WaterC'' Baseline'!$C$8:$AD$257,17,FALSE)),"",(VLOOKUP($B17,'C-1 On-Site WaterC'' Baseline'!$C$8:$AD$257,17,FALSE))))</f>
        <v/>
      </c>
      <c r="AT17" s="30" t="str">
        <f>IF(B17="","",VLOOKUP($B17,'C-1 On-Site WaterC'' Baseline'!$C$9:$Z$257,12,FALSE))</f>
        <v/>
      </c>
      <c r="AU17" s="30" t="str">
        <f>IF(B17="","",VLOOKUP($B17,'C-1 On-Site WaterC'' Baseline'!$C$9:$Z$257,14,FALSE))</f>
        <v/>
      </c>
      <c r="AV17" s="30" t="str">
        <f>IFERROR(INDEX('G-7 WaterC'' Data'!$AZ$3:$AZ$7,MATCH(N17,'G-7 WaterC'' Data'!$AY$3:$AY$7,0)),"")</f>
        <v/>
      </c>
      <c r="AX17" s="30" t="str">
        <f>IF(B17="","",VLOOKUP($B17,'C-1 On-Site WaterC'' Baseline'!$C$9:$Y$257,22,FALSE))</f>
        <v/>
      </c>
      <c r="AY17" s="30" t="str">
        <f t="shared" si="8"/>
        <v/>
      </c>
      <c r="AZ17" s="30" t="str">
        <f>IF(B17="","",VLOOKUP($B17,'C-1 On-Site WaterC'' Baseline'!$C$9:$Y$257,21,FALSE))</f>
        <v/>
      </c>
      <c r="BA17" s="30" t="str">
        <f>IF(B17="","",VLOOKUP($B17,'C-1 On-Site WaterC'' Baseline'!$C$9:$Y$257,19,FALSE))</f>
        <v/>
      </c>
      <c r="BD17" s="30" t="str">
        <f t="shared" si="9"/>
        <v>No</v>
      </c>
    </row>
    <row r="18" spans="2:56" ht="13.8" x14ac:dyDescent="0.25">
      <c r="B18" s="311" t="str">
        <f>'C-1 On-Site WaterC'' Baseline'!AP16</f>
        <v/>
      </c>
      <c r="C18" s="301" t="str">
        <f>IF(B18="","",VLOOKUP($B18,'C-1 On-Site WaterC'' Baseline'!$C$9:$R$257,2,FALSE))</f>
        <v/>
      </c>
      <c r="D18" s="301" t="str">
        <f>IF(C18="","",VLOOKUP($B18,'C-1 On-Site WaterC'' Baseline'!$C$9:$R$257,3,FALSE))</f>
        <v/>
      </c>
      <c r="E18" s="301" t="str">
        <f>IF(D18="","",VLOOKUP($B18,'C-1 On-Site WaterC'' Baseline'!$C$9:$R$257,4,FALSE))</f>
        <v/>
      </c>
      <c r="F18" s="301" t="str">
        <f>IF(E18="","",VLOOKUP($B18,'C-1 On-Site WaterC'' Baseline'!$C$9:$R$257,5,FALSE))</f>
        <v/>
      </c>
      <c r="G18" s="301" t="str">
        <f>IF(F18="","",VLOOKUP($B18,'C-1 On-Site WaterC'' Baseline'!$C$9:$R$257,6,FALSE))</f>
        <v/>
      </c>
      <c r="H18" s="301" t="str">
        <f>IF(G18="","",VLOOKUP($B18,'C-1 On-Site WaterC'' Baseline'!$C$9:$R$257,7,FALSE))</f>
        <v/>
      </c>
      <c r="I18" s="301" t="str">
        <f>IF(H18="","",VLOOKUP($B18,'C-1 On-Site WaterC'' Baseline'!$C$9:$R$257,8,FALSE))</f>
        <v/>
      </c>
      <c r="J18" s="301" t="str">
        <f>IF(I18="","",VLOOKUP($B18,'C-1 On-Site WaterC'' Baseline'!$C$9:$R$257,9,FALSE))</f>
        <v/>
      </c>
      <c r="K18" s="301" t="str">
        <f>IF(J18="","",VLOOKUP($B18,'C-1 On-Site WaterC'' Baseline'!$C$9:$R$257,10,FALSE))</f>
        <v/>
      </c>
      <c r="L18" s="301" t="str">
        <f>IF(B18="","",VLOOKUP($B18,'C-1 On-Site WaterC'' Baseline'!$C$9:$R$257,15,FALSE))</f>
        <v/>
      </c>
      <c r="M18" s="305" t="str">
        <f>IF(L18="","",VLOOKUP($B18,'C-1 On-Site WaterC'' Baseline'!$C$9:$R$257,16,FALSE))</f>
        <v/>
      </c>
      <c r="N18" s="251"/>
      <c r="O18" s="281" t="str">
        <f t="shared" si="1"/>
        <v/>
      </c>
      <c r="P18" s="282" t="str">
        <f t="shared" si="2"/>
        <v/>
      </c>
      <c r="Q18" s="342" t="str">
        <f>IF(N18="","",VLOOKUP(B18,'C-1 On-Site WaterC'' Baseline'!$C$10:$AC$257,20,FALSE))</f>
        <v/>
      </c>
      <c r="R18" s="281" t="str">
        <f>IF(N18="","",VLOOKUP(N18,'G-7 WaterC'' Data'!$B$2:$G$8,2,FALSE))</f>
        <v/>
      </c>
      <c r="S18" s="282" t="str">
        <f>IFERROR(VLOOKUP(R18,'G-7 WaterC'' Data'!$C$4:$D$8,2,FALSE),"")</f>
        <v/>
      </c>
      <c r="T18" s="105"/>
      <c r="U18" s="282" t="str">
        <f>IFERROR(INDEX('G-7 WaterC'' Data'!$H$4:$L$8,MATCH(N18,'G-7 WaterC'' Data'!$B$4:$B$8,0),MATCH(T18,'G-7 WaterC'' Data'!$H$3:$L$3,0)),"")</f>
        <v/>
      </c>
      <c r="V18" s="105"/>
      <c r="W18" s="289" t="str">
        <f>IF(V18="","",IF(VLOOKUP(V18,'G-7 WaterC'' Data'!$AK$4:$AM$6,2,FALSE)=0,"Spatial Data Missing ⚠",VLOOKUP(V18,'G-7 WaterC'' Data'!$AK$4:$AM$6,2,FALSE)))</f>
        <v/>
      </c>
      <c r="X18" s="282" t="str">
        <f>IF(V18="","",IF(VLOOKUP(V18,'G-7 WaterC'' Data'!$AK$4:$AM$6,3,FALSE)=0,"Spatial Data Missing ⚠",VLOOKUP(V18,'G-7 WaterC'' Data'!$AK$4:$AM$6,3,FALSE)))</f>
        <v/>
      </c>
      <c r="Y18" s="281" t="str">
        <f>IFERROR(IF(OR(LEFT(P18,5)="Error",LEFT(O18,5)="Error"),"Check Data ⚠",IF(F18&lt;S18,'G-7 WaterC'' Data'!$R$3,INDEX('G-7 WaterC'' Data'!$U$5:$Y$9,MATCH(G18,'G-7 WaterC'' Data'!$T$5:$T$9,0),MATCH(T18,'G-7 WaterC'' Data'!$U$4:$Y$4,0)))),"")</f>
        <v/>
      </c>
      <c r="Z18" s="137"/>
      <c r="AA18" s="137"/>
      <c r="AB18" s="289" t="str">
        <f t="shared" si="3"/>
        <v/>
      </c>
      <c r="AC18" s="302" t="str">
        <f t="shared" si="4"/>
        <v/>
      </c>
      <c r="AD18" s="340" t="str">
        <f>IFERROR(IF(AC18="Check Data ⚠","Check Data ⚠",VLOOKUP(AC18,'G-4 Temporal multipliers'!$A$4:$C$37,3,FALSE)),"")</f>
        <v/>
      </c>
      <c r="AE18" s="281" t="str">
        <f>IF(N18="","",VLOOKUP(N18,'G-7 WaterC'' Data'!$B$4:$G$8,5,FALSE))</f>
        <v/>
      </c>
      <c r="AF18" s="289" t="str">
        <f t="shared" si="5"/>
        <v/>
      </c>
      <c r="AG18" s="320" t="str">
        <f t="shared" si="6"/>
        <v/>
      </c>
      <c r="AH18" s="282" t="str">
        <f t="shared" si="0"/>
        <v/>
      </c>
      <c r="AI18" s="109"/>
      <c r="AJ18" s="282" t="str">
        <f>IF(AI18="","",IF(AND(AI18="N/A - Culvert",N18&lt;&gt;"Culvert"),"Not possible ▲",IF(VLOOKUP(AI18,'G-7 WaterC'' Data'!$AA$4:$AB$7,2,FALSE)=0,"Spatial Data Missing ⚠",VLOOKUP(AI18,'G-7 WaterC'' Data'!$AA$4:$AB$7,2,FALSE))))</f>
        <v/>
      </c>
      <c r="AK18" s="110"/>
      <c r="AL18" s="282" t="str">
        <f>IF(AK18="","",IF(AND(AK18="N/A - Culvert",N18&lt;&gt;"Culvert"),"Not possible ▲",IF(VLOOKUP(AK18,'G-7 WaterC'' Data'!$AD$4:$AE$14,2,FALSE)=0,"Spatial Data Missing ⚠",VLOOKUP(AK18,'G-7 WaterC'' Data'!$AD$4:$AE$14,2,FALSE))))</f>
        <v/>
      </c>
      <c r="AM18" s="323" t="str">
        <f t="shared" si="7"/>
        <v/>
      </c>
      <c r="AN18" s="105"/>
      <c r="AO18" s="119"/>
      <c r="AP18" s="108"/>
      <c r="AS18" s="30" t="str">
        <f>IF(B18="","",IF(ISNA(VLOOKUP($B18,'C-1 On-Site WaterC'' Baseline'!$C$8:$AD$257,17,FALSE)),"",(VLOOKUP($B18,'C-1 On-Site WaterC'' Baseline'!$C$8:$AD$257,17,FALSE))))</f>
        <v/>
      </c>
      <c r="AT18" s="30" t="str">
        <f>IF(B18="","",VLOOKUP($B18,'C-1 On-Site WaterC'' Baseline'!$C$9:$Z$257,12,FALSE))</f>
        <v/>
      </c>
      <c r="AU18" s="30" t="str">
        <f>IF(B18="","",VLOOKUP($B18,'C-1 On-Site WaterC'' Baseline'!$C$9:$Z$257,14,FALSE))</f>
        <v/>
      </c>
      <c r="AV18" s="30" t="str">
        <f>IFERROR(INDEX('G-7 WaterC'' Data'!$AZ$3:$AZ$7,MATCH(N18,'G-7 WaterC'' Data'!$AY$3:$AY$7,0)),"")</f>
        <v/>
      </c>
      <c r="AX18" s="30" t="str">
        <f>IF(B18="","",VLOOKUP($B18,'C-1 On-Site WaterC'' Baseline'!$C$9:$Y$257,22,FALSE))</f>
        <v/>
      </c>
      <c r="AY18" s="30" t="str">
        <f t="shared" si="8"/>
        <v/>
      </c>
      <c r="AZ18" s="30" t="str">
        <f>IF(B18="","",VLOOKUP($B18,'C-1 On-Site WaterC'' Baseline'!$C$9:$Y$257,21,FALSE))</f>
        <v/>
      </c>
      <c r="BA18" s="30" t="str">
        <f>IF(B18="","",VLOOKUP($B18,'C-1 On-Site WaterC'' Baseline'!$C$9:$Y$257,19,FALSE))</f>
        <v/>
      </c>
      <c r="BD18" s="30" t="str">
        <f t="shared" si="9"/>
        <v>No</v>
      </c>
    </row>
    <row r="19" spans="2:56" ht="13.8" x14ac:dyDescent="0.25">
      <c r="B19" s="311" t="str">
        <f>'C-1 On-Site WaterC'' Baseline'!AP17</f>
        <v/>
      </c>
      <c r="C19" s="301" t="str">
        <f>IF(B19="","",VLOOKUP($B19,'C-1 On-Site WaterC'' Baseline'!$C$9:$R$257,2,FALSE))</f>
        <v/>
      </c>
      <c r="D19" s="301" t="str">
        <f>IF(C19="","",VLOOKUP($B19,'C-1 On-Site WaterC'' Baseline'!$C$9:$R$257,3,FALSE))</f>
        <v/>
      </c>
      <c r="E19" s="301" t="str">
        <f>IF(D19="","",VLOOKUP($B19,'C-1 On-Site WaterC'' Baseline'!$C$9:$R$257,4,FALSE))</f>
        <v/>
      </c>
      <c r="F19" s="301" t="str">
        <f>IF(E19="","",VLOOKUP($B19,'C-1 On-Site WaterC'' Baseline'!$C$9:$R$257,5,FALSE))</f>
        <v/>
      </c>
      <c r="G19" s="301" t="str">
        <f>IF(F19="","",VLOOKUP($B19,'C-1 On-Site WaterC'' Baseline'!$C$9:$R$257,6,FALSE))</f>
        <v/>
      </c>
      <c r="H19" s="301" t="str">
        <f>IF(G19="","",VLOOKUP($B19,'C-1 On-Site WaterC'' Baseline'!$C$9:$R$257,7,FALSE))</f>
        <v/>
      </c>
      <c r="I19" s="301" t="str">
        <f>IF(H19="","",VLOOKUP($B19,'C-1 On-Site WaterC'' Baseline'!$C$9:$R$257,8,FALSE))</f>
        <v/>
      </c>
      <c r="J19" s="301" t="str">
        <f>IF(I19="","",VLOOKUP($B19,'C-1 On-Site WaterC'' Baseline'!$C$9:$R$257,9,FALSE))</f>
        <v/>
      </c>
      <c r="K19" s="301" t="str">
        <f>IF(J19="","",VLOOKUP($B19,'C-1 On-Site WaterC'' Baseline'!$C$9:$R$257,10,FALSE))</f>
        <v/>
      </c>
      <c r="L19" s="301" t="str">
        <f>IF(B19="","",VLOOKUP($B19,'C-1 On-Site WaterC'' Baseline'!$C$9:$R$257,15,FALSE))</f>
        <v/>
      </c>
      <c r="M19" s="305" t="str">
        <f>IF(L19="","",VLOOKUP($B19,'C-1 On-Site WaterC'' Baseline'!$C$9:$R$257,16,FALSE))</f>
        <v/>
      </c>
      <c r="N19" s="251"/>
      <c r="O19" s="281" t="str">
        <f t="shared" si="1"/>
        <v/>
      </c>
      <c r="P19" s="282" t="str">
        <f t="shared" si="2"/>
        <v/>
      </c>
      <c r="Q19" s="342" t="str">
        <f>IF(N19="","",VLOOKUP(B19,'C-1 On-Site WaterC'' Baseline'!$C$10:$AC$257,20,FALSE))</f>
        <v/>
      </c>
      <c r="R19" s="281" t="str">
        <f>IF(N19="","",VLOOKUP(N19,'G-7 WaterC'' Data'!$B$2:$G$8,2,FALSE))</f>
        <v/>
      </c>
      <c r="S19" s="282" t="str">
        <f>IFERROR(VLOOKUP(R19,'G-7 WaterC'' Data'!$C$4:$D$8,2,FALSE),"")</f>
        <v/>
      </c>
      <c r="T19" s="105"/>
      <c r="U19" s="282" t="str">
        <f>IFERROR(INDEX('G-7 WaterC'' Data'!$H$4:$L$8,MATCH(N19,'G-7 WaterC'' Data'!$B$4:$B$8,0),MATCH(T19,'G-7 WaterC'' Data'!$H$3:$L$3,0)),"")</f>
        <v/>
      </c>
      <c r="V19" s="105"/>
      <c r="W19" s="289" t="str">
        <f>IF(V19="","",IF(VLOOKUP(V19,'G-7 WaterC'' Data'!$AK$4:$AM$6,2,FALSE)=0,"Spatial Data Missing ⚠",VLOOKUP(V19,'G-7 WaterC'' Data'!$AK$4:$AM$6,2,FALSE)))</f>
        <v/>
      </c>
      <c r="X19" s="282" t="str">
        <f>IF(V19="","",IF(VLOOKUP(V19,'G-7 WaterC'' Data'!$AK$4:$AM$6,3,FALSE)=0,"Spatial Data Missing ⚠",VLOOKUP(V19,'G-7 WaterC'' Data'!$AK$4:$AM$6,3,FALSE)))</f>
        <v/>
      </c>
      <c r="Y19" s="281" t="str">
        <f>IFERROR(IF(OR(LEFT(P19,5)="Error",LEFT(O19,5)="Error"),"Check Data ⚠",IF(F19&lt;S19,'G-7 WaterC'' Data'!$R$3,INDEX('G-7 WaterC'' Data'!$U$5:$Y$9,MATCH(G19,'G-7 WaterC'' Data'!$T$5:$T$9,0),MATCH(T19,'G-7 WaterC'' Data'!$U$4:$Y$4,0)))),"")</f>
        <v/>
      </c>
      <c r="Z19" s="137"/>
      <c r="AA19" s="137"/>
      <c r="AB19" s="289" t="str">
        <f t="shared" si="3"/>
        <v/>
      </c>
      <c r="AC19" s="302" t="str">
        <f t="shared" si="4"/>
        <v/>
      </c>
      <c r="AD19" s="340" t="str">
        <f>IFERROR(IF(AC19="Check Data ⚠","Check Data ⚠",VLOOKUP(AC19,'G-4 Temporal multipliers'!$A$4:$C$37,3,FALSE)),"")</f>
        <v/>
      </c>
      <c r="AE19" s="281" t="str">
        <f>IF(N19="","",VLOOKUP(N19,'G-7 WaterC'' Data'!$B$4:$G$8,5,FALSE))</f>
        <v/>
      </c>
      <c r="AF19" s="289" t="str">
        <f t="shared" si="5"/>
        <v/>
      </c>
      <c r="AG19" s="320" t="str">
        <f t="shared" si="6"/>
        <v/>
      </c>
      <c r="AH19" s="282" t="str">
        <f t="shared" si="0"/>
        <v/>
      </c>
      <c r="AI19" s="109"/>
      <c r="AJ19" s="282" t="str">
        <f>IF(AI19="","",IF(AND(AI19="N/A - Culvert",N19&lt;&gt;"Culvert"),"Not possible ▲",IF(VLOOKUP(AI19,'G-7 WaterC'' Data'!$AA$4:$AB$7,2,FALSE)=0,"Spatial Data Missing ⚠",VLOOKUP(AI19,'G-7 WaterC'' Data'!$AA$4:$AB$7,2,FALSE))))</f>
        <v/>
      </c>
      <c r="AK19" s="110"/>
      <c r="AL19" s="282" t="str">
        <f>IF(AK19="","",IF(AND(AK19="N/A - Culvert",N19&lt;&gt;"Culvert"),"Not possible ▲",IF(VLOOKUP(AK19,'G-7 WaterC'' Data'!$AD$4:$AE$14,2,FALSE)=0,"Spatial Data Missing ⚠",VLOOKUP(AK19,'G-7 WaterC'' Data'!$AD$4:$AE$14,2,FALSE))))</f>
        <v/>
      </c>
      <c r="AM19" s="323" t="str">
        <f t="shared" si="7"/>
        <v/>
      </c>
      <c r="AN19" s="105"/>
      <c r="AO19" s="119"/>
      <c r="AP19" s="108"/>
      <c r="AS19" s="30" t="str">
        <f>IF(B19="","",IF(ISNA(VLOOKUP($B19,'C-1 On-Site WaterC'' Baseline'!$C$8:$AD$257,17,FALSE)),"",(VLOOKUP($B19,'C-1 On-Site WaterC'' Baseline'!$C$8:$AD$257,17,FALSE))))</f>
        <v/>
      </c>
      <c r="AT19" s="30" t="str">
        <f>IF(B19="","",VLOOKUP($B19,'C-1 On-Site WaterC'' Baseline'!$C$9:$Z$257,12,FALSE))</f>
        <v/>
      </c>
      <c r="AU19" s="30" t="str">
        <f>IF(B19="","",VLOOKUP($B19,'C-1 On-Site WaterC'' Baseline'!$C$9:$Z$257,14,FALSE))</f>
        <v/>
      </c>
      <c r="AV19" s="30" t="str">
        <f>IFERROR(INDEX('G-7 WaterC'' Data'!$AZ$3:$AZ$7,MATCH(N19,'G-7 WaterC'' Data'!$AY$3:$AY$7,0)),"")</f>
        <v/>
      </c>
      <c r="AX19" s="30" t="str">
        <f>IF(B19="","",VLOOKUP($B19,'C-1 On-Site WaterC'' Baseline'!$C$9:$Y$257,22,FALSE))</f>
        <v/>
      </c>
      <c r="AY19" s="30" t="str">
        <f t="shared" si="8"/>
        <v/>
      </c>
      <c r="AZ19" s="30" t="str">
        <f>IF(B19="","",VLOOKUP($B19,'C-1 On-Site WaterC'' Baseline'!$C$9:$Y$257,21,FALSE))</f>
        <v/>
      </c>
      <c r="BA19" s="30" t="str">
        <f>IF(B19="","",VLOOKUP($B19,'C-1 On-Site WaterC'' Baseline'!$C$9:$Y$257,19,FALSE))</f>
        <v/>
      </c>
      <c r="BD19" s="30" t="str">
        <f t="shared" si="9"/>
        <v>No</v>
      </c>
    </row>
    <row r="20" spans="2:56" ht="13.8" x14ac:dyDescent="0.25">
      <c r="B20" s="311" t="str">
        <f>'C-1 On-Site WaterC'' Baseline'!AP18</f>
        <v/>
      </c>
      <c r="C20" s="301" t="str">
        <f>IF(B20="","",VLOOKUP($B20,'C-1 On-Site WaterC'' Baseline'!$C$9:$R$257,2,FALSE))</f>
        <v/>
      </c>
      <c r="D20" s="301" t="str">
        <f>IF(C20="","",VLOOKUP($B20,'C-1 On-Site WaterC'' Baseline'!$C$9:$R$257,3,FALSE))</f>
        <v/>
      </c>
      <c r="E20" s="301" t="str">
        <f>IF(D20="","",VLOOKUP($B20,'C-1 On-Site WaterC'' Baseline'!$C$9:$R$257,4,FALSE))</f>
        <v/>
      </c>
      <c r="F20" s="301" t="str">
        <f>IF(E20="","",VLOOKUP($B20,'C-1 On-Site WaterC'' Baseline'!$C$9:$R$257,5,FALSE))</f>
        <v/>
      </c>
      <c r="G20" s="301" t="str">
        <f>IF(F20="","",VLOOKUP($B20,'C-1 On-Site WaterC'' Baseline'!$C$9:$R$257,6,FALSE))</f>
        <v/>
      </c>
      <c r="H20" s="301" t="str">
        <f>IF(G20="","",VLOOKUP($B20,'C-1 On-Site WaterC'' Baseline'!$C$9:$R$257,7,FALSE))</f>
        <v/>
      </c>
      <c r="I20" s="301" t="str">
        <f>IF(H20="","",VLOOKUP($B20,'C-1 On-Site WaterC'' Baseline'!$C$9:$R$257,8,FALSE))</f>
        <v/>
      </c>
      <c r="J20" s="301" t="str">
        <f>IF(I20="","",VLOOKUP($B20,'C-1 On-Site WaterC'' Baseline'!$C$9:$R$257,9,FALSE))</f>
        <v/>
      </c>
      <c r="K20" s="301" t="str">
        <f>IF(J20="","",VLOOKUP($B20,'C-1 On-Site WaterC'' Baseline'!$C$9:$R$257,10,FALSE))</f>
        <v/>
      </c>
      <c r="L20" s="301" t="str">
        <f>IF(B20="","",VLOOKUP($B20,'C-1 On-Site WaterC'' Baseline'!$C$9:$R$257,15,FALSE))</f>
        <v/>
      </c>
      <c r="M20" s="305" t="str">
        <f>IF(L20="","",VLOOKUP($B20,'C-1 On-Site WaterC'' Baseline'!$C$9:$R$257,16,FALSE))</f>
        <v/>
      </c>
      <c r="N20" s="251"/>
      <c r="O20" s="281" t="str">
        <f t="shared" si="1"/>
        <v/>
      </c>
      <c r="P20" s="282" t="str">
        <f t="shared" si="2"/>
        <v/>
      </c>
      <c r="Q20" s="342" t="str">
        <f>IF(N20="","",VLOOKUP(B20,'C-1 On-Site WaterC'' Baseline'!$C$10:$AC$257,20,FALSE))</f>
        <v/>
      </c>
      <c r="R20" s="281" t="str">
        <f>IF(N20="","",VLOOKUP(N20,'G-7 WaterC'' Data'!$B$2:$G$8,2,FALSE))</f>
        <v/>
      </c>
      <c r="S20" s="282" t="str">
        <f>IFERROR(VLOOKUP(R20,'G-7 WaterC'' Data'!$C$4:$D$8,2,FALSE),"")</f>
        <v/>
      </c>
      <c r="T20" s="105"/>
      <c r="U20" s="282" t="str">
        <f>IFERROR(INDEX('G-7 WaterC'' Data'!$H$4:$L$8,MATCH(N20,'G-7 WaterC'' Data'!$B$4:$B$8,0),MATCH(T20,'G-7 WaterC'' Data'!$H$3:$L$3,0)),"")</f>
        <v/>
      </c>
      <c r="V20" s="105"/>
      <c r="W20" s="289" t="str">
        <f>IF(V20="","",IF(VLOOKUP(V20,'G-7 WaterC'' Data'!$AK$4:$AM$6,2,FALSE)=0,"Spatial Data Missing ⚠",VLOOKUP(V20,'G-7 WaterC'' Data'!$AK$4:$AM$6,2,FALSE)))</f>
        <v/>
      </c>
      <c r="X20" s="282" t="str">
        <f>IF(V20="","",IF(VLOOKUP(V20,'G-7 WaterC'' Data'!$AK$4:$AM$6,3,FALSE)=0,"Spatial Data Missing ⚠",VLOOKUP(V20,'G-7 WaterC'' Data'!$AK$4:$AM$6,3,FALSE)))</f>
        <v/>
      </c>
      <c r="Y20" s="281" t="str">
        <f>IFERROR(IF(OR(LEFT(P20,5)="Error",LEFT(O20,5)="Error"),"Check Data ⚠",IF(F20&lt;S20,'G-7 WaterC'' Data'!$R$3,INDEX('G-7 WaterC'' Data'!$U$5:$Y$9,MATCH(G20,'G-7 WaterC'' Data'!$T$5:$T$9,0),MATCH(T20,'G-7 WaterC'' Data'!$U$4:$Y$4,0)))),"")</f>
        <v/>
      </c>
      <c r="Z20" s="137"/>
      <c r="AA20" s="137"/>
      <c r="AB20" s="289" t="str">
        <f t="shared" si="3"/>
        <v/>
      </c>
      <c r="AC20" s="302" t="str">
        <f t="shared" si="4"/>
        <v/>
      </c>
      <c r="AD20" s="340" t="str">
        <f>IFERROR(IF(AC20="Check Data ⚠","Check Data ⚠",VLOOKUP(AC20,'G-4 Temporal multipliers'!$A$4:$C$37,3,FALSE)),"")</f>
        <v/>
      </c>
      <c r="AE20" s="281" t="str">
        <f>IF(N20="","",VLOOKUP(N20,'G-7 WaterC'' Data'!$B$4:$G$8,5,FALSE))</f>
        <v/>
      </c>
      <c r="AF20" s="289" t="str">
        <f t="shared" si="5"/>
        <v/>
      </c>
      <c r="AG20" s="320" t="str">
        <f t="shared" si="6"/>
        <v/>
      </c>
      <c r="AH20" s="282" t="str">
        <f t="shared" si="0"/>
        <v/>
      </c>
      <c r="AI20" s="109"/>
      <c r="AJ20" s="282" t="str">
        <f>IF(AI20="","",IF(AND(AI20="N/A - Culvert",N20&lt;&gt;"Culvert"),"Not possible ▲",IF(VLOOKUP(AI20,'G-7 WaterC'' Data'!$AA$4:$AB$7,2,FALSE)=0,"Spatial Data Missing ⚠",VLOOKUP(AI20,'G-7 WaterC'' Data'!$AA$4:$AB$7,2,FALSE))))</f>
        <v/>
      </c>
      <c r="AK20" s="110"/>
      <c r="AL20" s="282" t="str">
        <f>IF(AK20="","",IF(AND(AK20="N/A - Culvert",N20&lt;&gt;"Culvert"),"Not possible ▲",IF(VLOOKUP(AK20,'G-7 WaterC'' Data'!$AD$4:$AE$14,2,FALSE)=0,"Spatial Data Missing ⚠",VLOOKUP(AK20,'G-7 WaterC'' Data'!$AD$4:$AE$14,2,FALSE))))</f>
        <v/>
      </c>
      <c r="AM20" s="323" t="str">
        <f t="shared" si="7"/>
        <v/>
      </c>
      <c r="AN20" s="105"/>
      <c r="AO20" s="119"/>
      <c r="AP20" s="108"/>
      <c r="AS20" s="30" t="str">
        <f>IF(B20="","",IF(ISNA(VLOOKUP($B20,'C-1 On-Site WaterC'' Baseline'!$C$8:$AD$257,17,FALSE)),"",(VLOOKUP($B20,'C-1 On-Site WaterC'' Baseline'!$C$8:$AD$257,17,FALSE))))</f>
        <v/>
      </c>
      <c r="AT20" s="30" t="str">
        <f>IF(B20="","",VLOOKUP($B20,'C-1 On-Site WaterC'' Baseline'!$C$9:$Z$257,12,FALSE))</f>
        <v/>
      </c>
      <c r="AU20" s="30" t="str">
        <f>IF(B20="","",VLOOKUP($B20,'C-1 On-Site WaterC'' Baseline'!$C$9:$Z$257,14,FALSE))</f>
        <v/>
      </c>
      <c r="AV20" s="30" t="str">
        <f>IFERROR(INDEX('G-7 WaterC'' Data'!$AZ$3:$AZ$7,MATCH(N20,'G-7 WaterC'' Data'!$AY$3:$AY$7,0)),"")</f>
        <v/>
      </c>
      <c r="AX20" s="30" t="str">
        <f>IF(B20="","",VLOOKUP($B20,'C-1 On-Site WaterC'' Baseline'!$C$9:$Y$257,22,FALSE))</f>
        <v/>
      </c>
      <c r="AY20" s="30" t="str">
        <f t="shared" si="8"/>
        <v/>
      </c>
      <c r="AZ20" s="30" t="str">
        <f>IF(B20="","",VLOOKUP($B20,'C-1 On-Site WaterC'' Baseline'!$C$9:$Y$257,21,FALSE))</f>
        <v/>
      </c>
      <c r="BA20" s="30" t="str">
        <f>IF(B20="","",VLOOKUP($B20,'C-1 On-Site WaterC'' Baseline'!$C$9:$Y$257,19,FALSE))</f>
        <v/>
      </c>
      <c r="BD20" s="30" t="str">
        <f t="shared" si="9"/>
        <v>No</v>
      </c>
    </row>
    <row r="21" spans="2:56" ht="13.8" x14ac:dyDescent="0.25">
      <c r="B21" s="311" t="str">
        <f>'C-1 On-Site WaterC'' Baseline'!AP19</f>
        <v/>
      </c>
      <c r="C21" s="301" t="str">
        <f>IF(B21="","",VLOOKUP($B21,'C-1 On-Site WaterC'' Baseline'!$C$9:$R$257,2,FALSE))</f>
        <v/>
      </c>
      <c r="D21" s="301" t="str">
        <f>IF(C21="","",VLOOKUP($B21,'C-1 On-Site WaterC'' Baseline'!$C$9:$R$257,3,FALSE))</f>
        <v/>
      </c>
      <c r="E21" s="301" t="str">
        <f>IF(D21="","",VLOOKUP($B21,'C-1 On-Site WaterC'' Baseline'!$C$9:$R$257,4,FALSE))</f>
        <v/>
      </c>
      <c r="F21" s="301" t="str">
        <f>IF(E21="","",VLOOKUP($B21,'C-1 On-Site WaterC'' Baseline'!$C$9:$R$257,5,FALSE))</f>
        <v/>
      </c>
      <c r="G21" s="301" t="str">
        <f>IF(F21="","",VLOOKUP($B21,'C-1 On-Site WaterC'' Baseline'!$C$9:$R$257,6,FALSE))</f>
        <v/>
      </c>
      <c r="H21" s="301" t="str">
        <f>IF(G21="","",VLOOKUP($B21,'C-1 On-Site WaterC'' Baseline'!$C$9:$R$257,7,FALSE))</f>
        <v/>
      </c>
      <c r="I21" s="301" t="str">
        <f>IF(H21="","",VLOOKUP($B21,'C-1 On-Site WaterC'' Baseline'!$C$9:$R$257,8,FALSE))</f>
        <v/>
      </c>
      <c r="J21" s="301" t="str">
        <f>IF(I21="","",VLOOKUP($B21,'C-1 On-Site WaterC'' Baseline'!$C$9:$R$257,9,FALSE))</f>
        <v/>
      </c>
      <c r="K21" s="301" t="str">
        <f>IF(J21="","",VLOOKUP($B21,'C-1 On-Site WaterC'' Baseline'!$C$9:$R$257,10,FALSE))</f>
        <v/>
      </c>
      <c r="L21" s="301" t="str">
        <f>IF(B21="","",VLOOKUP($B21,'C-1 On-Site WaterC'' Baseline'!$C$9:$R$257,15,FALSE))</f>
        <v/>
      </c>
      <c r="M21" s="305" t="str">
        <f>IF(L21="","",VLOOKUP($B21,'C-1 On-Site WaterC'' Baseline'!$C$9:$R$257,16,FALSE))</f>
        <v/>
      </c>
      <c r="N21" s="251"/>
      <c r="O21" s="281" t="str">
        <f t="shared" si="1"/>
        <v/>
      </c>
      <c r="P21" s="282" t="str">
        <f t="shared" si="2"/>
        <v/>
      </c>
      <c r="Q21" s="342" t="str">
        <f>IF(N21="","",VLOOKUP(B21,'C-1 On-Site WaterC'' Baseline'!$C$10:$AC$257,20,FALSE))</f>
        <v/>
      </c>
      <c r="R21" s="281" t="str">
        <f>IF(N21="","",VLOOKUP(N21,'G-7 WaterC'' Data'!$B$2:$G$8,2,FALSE))</f>
        <v/>
      </c>
      <c r="S21" s="282" t="str">
        <f>IFERROR(VLOOKUP(R21,'G-7 WaterC'' Data'!$C$4:$D$8,2,FALSE),"")</f>
        <v/>
      </c>
      <c r="T21" s="105"/>
      <c r="U21" s="282" t="str">
        <f>IFERROR(INDEX('G-7 WaterC'' Data'!$H$4:$L$8,MATCH(N21,'G-7 WaterC'' Data'!$B$4:$B$8,0),MATCH(T21,'G-7 WaterC'' Data'!$H$3:$L$3,0)),"")</f>
        <v/>
      </c>
      <c r="V21" s="105"/>
      <c r="W21" s="289" t="str">
        <f>IF(V21="","",IF(VLOOKUP(V21,'G-7 WaterC'' Data'!$AK$4:$AM$6,2,FALSE)=0,"Spatial Data Missing ⚠",VLOOKUP(V21,'G-7 WaterC'' Data'!$AK$4:$AM$6,2,FALSE)))</f>
        <v/>
      </c>
      <c r="X21" s="282" t="str">
        <f>IF(V21="","",IF(VLOOKUP(V21,'G-7 WaterC'' Data'!$AK$4:$AM$6,3,FALSE)=0,"Spatial Data Missing ⚠",VLOOKUP(V21,'G-7 WaterC'' Data'!$AK$4:$AM$6,3,FALSE)))</f>
        <v/>
      </c>
      <c r="Y21" s="281" t="str">
        <f>IFERROR(IF(OR(LEFT(P21,5)="Error",LEFT(O21,5)="Error"),"Check Data ⚠",IF(F21&lt;S21,'G-7 WaterC'' Data'!$R$3,INDEX('G-7 WaterC'' Data'!$U$5:$Y$9,MATCH(G21,'G-7 WaterC'' Data'!$T$5:$T$9,0),MATCH(T21,'G-7 WaterC'' Data'!$U$4:$Y$4,0)))),"")</f>
        <v/>
      </c>
      <c r="Z21" s="137"/>
      <c r="AA21" s="137"/>
      <c r="AB21" s="289" t="str">
        <f t="shared" si="3"/>
        <v/>
      </c>
      <c r="AC21" s="302" t="str">
        <f t="shared" si="4"/>
        <v/>
      </c>
      <c r="AD21" s="340" t="str">
        <f>IFERROR(IF(AC21="Check Data ⚠","Check Data ⚠",VLOOKUP(AC21,'G-4 Temporal multipliers'!$A$4:$C$37,3,FALSE)),"")</f>
        <v/>
      </c>
      <c r="AE21" s="281" t="str">
        <f>IF(N21="","",VLOOKUP(N21,'G-7 WaterC'' Data'!$B$4:$G$8,5,FALSE))</f>
        <v/>
      </c>
      <c r="AF21" s="289" t="str">
        <f t="shared" si="5"/>
        <v/>
      </c>
      <c r="AG21" s="320" t="str">
        <f t="shared" si="6"/>
        <v/>
      </c>
      <c r="AH21" s="282" t="str">
        <f t="shared" si="0"/>
        <v/>
      </c>
      <c r="AI21" s="109"/>
      <c r="AJ21" s="282" t="str">
        <f>IF(AI21="","",IF(AND(AI21="N/A - Culvert",N21&lt;&gt;"Culvert"),"Not possible ▲",IF(VLOOKUP(AI21,'G-7 WaterC'' Data'!$AA$4:$AB$7,2,FALSE)=0,"Spatial Data Missing ⚠",VLOOKUP(AI21,'G-7 WaterC'' Data'!$AA$4:$AB$7,2,FALSE))))</f>
        <v/>
      </c>
      <c r="AK21" s="110"/>
      <c r="AL21" s="282" t="str">
        <f>IF(AK21="","",IF(AND(AK21="N/A - Culvert",N21&lt;&gt;"Culvert"),"Not possible ▲",IF(VLOOKUP(AK21,'G-7 WaterC'' Data'!$AD$4:$AE$14,2,FALSE)=0,"Spatial Data Missing ⚠",VLOOKUP(AK21,'G-7 WaterC'' Data'!$AD$4:$AE$14,2,FALSE))))</f>
        <v/>
      </c>
      <c r="AM21" s="323" t="str">
        <f t="shared" si="7"/>
        <v/>
      </c>
      <c r="AN21" s="105"/>
      <c r="AO21" s="119"/>
      <c r="AP21" s="108"/>
      <c r="AS21" s="30" t="str">
        <f>IF(B21="","",IF(ISNA(VLOOKUP($B21,'C-1 On-Site WaterC'' Baseline'!$C$8:$AD$257,17,FALSE)),"",(VLOOKUP($B21,'C-1 On-Site WaterC'' Baseline'!$C$8:$AD$257,17,FALSE))))</f>
        <v/>
      </c>
      <c r="AT21" s="30" t="str">
        <f>IF(B21="","",VLOOKUP($B21,'C-1 On-Site WaterC'' Baseline'!$C$9:$Z$257,12,FALSE))</f>
        <v/>
      </c>
      <c r="AU21" s="30" t="str">
        <f>IF(B21="","",VLOOKUP($B21,'C-1 On-Site WaterC'' Baseline'!$C$9:$Z$257,14,FALSE))</f>
        <v/>
      </c>
      <c r="AV21" s="30" t="str">
        <f>IFERROR(INDEX('G-7 WaterC'' Data'!$AZ$3:$AZ$7,MATCH(N21,'G-7 WaterC'' Data'!$AY$3:$AY$7,0)),"")</f>
        <v/>
      </c>
      <c r="AX21" s="30" t="str">
        <f>IF(B21="","",VLOOKUP($B21,'C-1 On-Site WaterC'' Baseline'!$C$9:$Y$257,22,FALSE))</f>
        <v/>
      </c>
      <c r="AY21" s="30" t="str">
        <f t="shared" si="8"/>
        <v/>
      </c>
      <c r="AZ21" s="30" t="str">
        <f>IF(B21="","",VLOOKUP($B21,'C-1 On-Site WaterC'' Baseline'!$C$9:$Y$257,21,FALSE))</f>
        <v/>
      </c>
      <c r="BA21" s="30" t="str">
        <f>IF(B21="","",VLOOKUP($B21,'C-1 On-Site WaterC'' Baseline'!$C$9:$Y$257,19,FALSE))</f>
        <v/>
      </c>
      <c r="BD21" s="30" t="str">
        <f t="shared" si="9"/>
        <v>No</v>
      </c>
    </row>
    <row r="22" spans="2:56" ht="13.8" x14ac:dyDescent="0.25">
      <c r="B22" s="311" t="str">
        <f>'C-1 On-Site WaterC'' Baseline'!AP20</f>
        <v/>
      </c>
      <c r="C22" s="301" t="str">
        <f>IF(B22="","",VLOOKUP($B22,'C-1 On-Site WaterC'' Baseline'!$C$9:$R$257,2,FALSE))</f>
        <v/>
      </c>
      <c r="D22" s="301" t="str">
        <f>IF(C22="","",VLOOKUP($B22,'C-1 On-Site WaterC'' Baseline'!$C$9:$R$257,3,FALSE))</f>
        <v/>
      </c>
      <c r="E22" s="301" t="str">
        <f>IF(D22="","",VLOOKUP($B22,'C-1 On-Site WaterC'' Baseline'!$C$9:$R$257,4,FALSE))</f>
        <v/>
      </c>
      <c r="F22" s="301" t="str">
        <f>IF(E22="","",VLOOKUP($B22,'C-1 On-Site WaterC'' Baseline'!$C$9:$R$257,5,FALSE))</f>
        <v/>
      </c>
      <c r="G22" s="301" t="str">
        <f>IF(F22="","",VLOOKUP($B22,'C-1 On-Site WaterC'' Baseline'!$C$9:$R$257,6,FALSE))</f>
        <v/>
      </c>
      <c r="H22" s="301" t="str">
        <f>IF(G22="","",VLOOKUP($B22,'C-1 On-Site WaterC'' Baseline'!$C$9:$R$257,7,FALSE))</f>
        <v/>
      </c>
      <c r="I22" s="301" t="str">
        <f>IF(H22="","",VLOOKUP($B22,'C-1 On-Site WaterC'' Baseline'!$C$9:$R$257,8,FALSE))</f>
        <v/>
      </c>
      <c r="J22" s="301" t="str">
        <f>IF(I22="","",VLOOKUP($B22,'C-1 On-Site WaterC'' Baseline'!$C$9:$R$257,9,FALSE))</f>
        <v/>
      </c>
      <c r="K22" s="301" t="str">
        <f>IF(J22="","",VLOOKUP($B22,'C-1 On-Site WaterC'' Baseline'!$C$9:$R$257,10,FALSE))</f>
        <v/>
      </c>
      <c r="L22" s="301" t="str">
        <f>IF(B22="","",VLOOKUP($B22,'C-1 On-Site WaterC'' Baseline'!$C$9:$R$257,15,FALSE))</f>
        <v/>
      </c>
      <c r="M22" s="305" t="str">
        <f>IF(L22="","",VLOOKUP($B22,'C-1 On-Site WaterC'' Baseline'!$C$9:$R$257,16,FALSE))</f>
        <v/>
      </c>
      <c r="N22" s="251"/>
      <c r="O22" s="281" t="str">
        <f t="shared" si="1"/>
        <v/>
      </c>
      <c r="P22" s="282" t="str">
        <f t="shared" si="2"/>
        <v/>
      </c>
      <c r="Q22" s="342" t="str">
        <f>IF(N22="","",VLOOKUP(B22,'C-1 On-Site WaterC'' Baseline'!$C$10:$AC$257,20,FALSE))</f>
        <v/>
      </c>
      <c r="R22" s="281" t="str">
        <f>IF(N22="","",VLOOKUP(N22,'G-7 WaterC'' Data'!$B$2:$G$8,2,FALSE))</f>
        <v/>
      </c>
      <c r="S22" s="282" t="str">
        <f>IFERROR(VLOOKUP(R22,'G-7 WaterC'' Data'!$C$4:$D$8,2,FALSE),"")</f>
        <v/>
      </c>
      <c r="T22" s="105"/>
      <c r="U22" s="282" t="str">
        <f>IFERROR(INDEX('G-7 WaterC'' Data'!$H$4:$L$8,MATCH(N22,'G-7 WaterC'' Data'!$B$4:$B$8,0),MATCH(T22,'G-7 WaterC'' Data'!$H$3:$L$3,0)),"")</f>
        <v/>
      </c>
      <c r="V22" s="105"/>
      <c r="W22" s="289" t="str">
        <f>IF(V22="","",IF(VLOOKUP(V22,'G-7 WaterC'' Data'!$AK$4:$AM$6,2,FALSE)=0,"Spatial Data Missing ⚠",VLOOKUP(V22,'G-7 WaterC'' Data'!$AK$4:$AM$6,2,FALSE)))</f>
        <v/>
      </c>
      <c r="X22" s="282" t="str">
        <f>IF(V22="","",IF(VLOOKUP(V22,'G-7 WaterC'' Data'!$AK$4:$AM$6,3,FALSE)=0,"Spatial Data Missing ⚠",VLOOKUP(V22,'G-7 WaterC'' Data'!$AK$4:$AM$6,3,FALSE)))</f>
        <v/>
      </c>
      <c r="Y22" s="281" t="str">
        <f>IFERROR(IF(OR(LEFT(P22,5)="Error",LEFT(O22,5)="Error"),"Check Data ⚠",IF(F22&lt;S22,'G-7 WaterC'' Data'!$R$3,INDEX('G-7 WaterC'' Data'!$U$5:$Y$9,MATCH(G22,'G-7 WaterC'' Data'!$T$5:$T$9,0),MATCH(T22,'G-7 WaterC'' Data'!$U$4:$Y$4,0)))),"")</f>
        <v/>
      </c>
      <c r="Z22" s="137"/>
      <c r="AA22" s="137"/>
      <c r="AB22" s="289" t="str">
        <f t="shared" si="3"/>
        <v/>
      </c>
      <c r="AC22" s="302" t="str">
        <f t="shared" si="4"/>
        <v/>
      </c>
      <c r="AD22" s="340" t="str">
        <f>IFERROR(IF(AC22="Check Data ⚠","Check Data ⚠",VLOOKUP(AC22,'G-4 Temporal multipliers'!$A$4:$C$37,3,FALSE)),"")</f>
        <v/>
      </c>
      <c r="AE22" s="281" t="str">
        <f>IF(N22="","",VLOOKUP(N22,'G-7 WaterC'' Data'!$B$4:$G$8,5,FALSE))</f>
        <v/>
      </c>
      <c r="AF22" s="289" t="str">
        <f t="shared" si="5"/>
        <v/>
      </c>
      <c r="AG22" s="320" t="str">
        <f t="shared" si="6"/>
        <v/>
      </c>
      <c r="AH22" s="282" t="str">
        <f t="shared" si="0"/>
        <v/>
      </c>
      <c r="AI22" s="109"/>
      <c r="AJ22" s="282" t="str">
        <f>IF(AI22="","",IF(AND(AI22="N/A - Culvert",N22&lt;&gt;"Culvert"),"Not possible ▲",IF(VLOOKUP(AI22,'G-7 WaterC'' Data'!$AA$4:$AB$7,2,FALSE)=0,"Spatial Data Missing ⚠",VLOOKUP(AI22,'G-7 WaterC'' Data'!$AA$4:$AB$7,2,FALSE))))</f>
        <v/>
      </c>
      <c r="AK22" s="110"/>
      <c r="AL22" s="282" t="str">
        <f>IF(AK22="","",IF(AND(AK22="N/A - Culvert",N22&lt;&gt;"Culvert"),"Not possible ▲",IF(VLOOKUP(AK22,'G-7 WaterC'' Data'!$AD$4:$AE$14,2,FALSE)=0,"Spatial Data Missing ⚠",VLOOKUP(AK22,'G-7 WaterC'' Data'!$AD$4:$AE$14,2,FALSE))))</f>
        <v/>
      </c>
      <c r="AM22" s="323" t="str">
        <f t="shared" si="7"/>
        <v/>
      </c>
      <c r="AN22" s="105"/>
      <c r="AO22" s="119"/>
      <c r="AP22" s="108"/>
      <c r="AS22" s="30" t="str">
        <f>IF(B22="","",IF(ISNA(VLOOKUP($B22,'C-1 On-Site WaterC'' Baseline'!$C$8:$AD$257,17,FALSE)),"",(VLOOKUP($B22,'C-1 On-Site WaterC'' Baseline'!$C$8:$AD$257,17,FALSE))))</f>
        <v/>
      </c>
      <c r="AT22" s="30" t="str">
        <f>IF(B22="","",VLOOKUP($B22,'C-1 On-Site WaterC'' Baseline'!$C$9:$Z$257,12,FALSE))</f>
        <v/>
      </c>
      <c r="AU22" s="30" t="str">
        <f>IF(B22="","",VLOOKUP($B22,'C-1 On-Site WaterC'' Baseline'!$C$9:$Z$257,14,FALSE))</f>
        <v/>
      </c>
      <c r="AV22" s="30" t="str">
        <f>IFERROR(INDEX('G-7 WaterC'' Data'!$AZ$3:$AZ$7,MATCH(N22,'G-7 WaterC'' Data'!$AY$3:$AY$7,0)),"")</f>
        <v/>
      </c>
      <c r="AX22" s="30" t="str">
        <f>IF(B22="","",VLOOKUP($B22,'C-1 On-Site WaterC'' Baseline'!$C$9:$Y$257,22,FALSE))</f>
        <v/>
      </c>
      <c r="AY22" s="30" t="str">
        <f t="shared" si="8"/>
        <v/>
      </c>
      <c r="AZ22" s="30" t="str">
        <f>IF(B22="","",VLOOKUP($B22,'C-1 On-Site WaterC'' Baseline'!$C$9:$Y$257,21,FALSE))</f>
        <v/>
      </c>
      <c r="BA22" s="30" t="str">
        <f>IF(B22="","",VLOOKUP($B22,'C-1 On-Site WaterC'' Baseline'!$C$9:$Y$257,19,FALSE))</f>
        <v/>
      </c>
      <c r="BD22" s="30" t="str">
        <f t="shared" si="9"/>
        <v>No</v>
      </c>
    </row>
    <row r="23" spans="2:56" ht="13.8" x14ac:dyDescent="0.25">
      <c r="B23" s="311" t="str">
        <f>'C-1 On-Site WaterC'' Baseline'!AP21</f>
        <v/>
      </c>
      <c r="C23" s="301" t="str">
        <f>IF(B23="","",VLOOKUP($B23,'C-1 On-Site WaterC'' Baseline'!$C$9:$R$257,2,FALSE))</f>
        <v/>
      </c>
      <c r="D23" s="301" t="str">
        <f>IF(C23="","",VLOOKUP($B23,'C-1 On-Site WaterC'' Baseline'!$C$9:$R$257,3,FALSE))</f>
        <v/>
      </c>
      <c r="E23" s="301" t="str">
        <f>IF(D23="","",VLOOKUP($B23,'C-1 On-Site WaterC'' Baseline'!$C$9:$R$257,4,FALSE))</f>
        <v/>
      </c>
      <c r="F23" s="301" t="str">
        <f>IF(E23="","",VLOOKUP($B23,'C-1 On-Site WaterC'' Baseline'!$C$9:$R$257,5,FALSE))</f>
        <v/>
      </c>
      <c r="G23" s="301" t="str">
        <f>IF(F23="","",VLOOKUP($B23,'C-1 On-Site WaterC'' Baseline'!$C$9:$R$257,6,FALSE))</f>
        <v/>
      </c>
      <c r="H23" s="301" t="str">
        <f>IF(G23="","",VLOOKUP($B23,'C-1 On-Site WaterC'' Baseline'!$C$9:$R$257,7,FALSE))</f>
        <v/>
      </c>
      <c r="I23" s="301" t="str">
        <f>IF(H23="","",VLOOKUP($B23,'C-1 On-Site WaterC'' Baseline'!$C$9:$R$257,8,FALSE))</f>
        <v/>
      </c>
      <c r="J23" s="301" t="str">
        <f>IF(I23="","",VLOOKUP($B23,'C-1 On-Site WaterC'' Baseline'!$C$9:$R$257,9,FALSE))</f>
        <v/>
      </c>
      <c r="K23" s="301" t="str">
        <f>IF(J23="","",VLOOKUP($B23,'C-1 On-Site WaterC'' Baseline'!$C$9:$R$257,10,FALSE))</f>
        <v/>
      </c>
      <c r="L23" s="301" t="str">
        <f>IF(B23="","",VLOOKUP($B23,'C-1 On-Site WaterC'' Baseline'!$C$9:$R$257,15,FALSE))</f>
        <v/>
      </c>
      <c r="M23" s="305" t="str">
        <f>IF(L23="","",VLOOKUP($B23,'C-1 On-Site WaterC'' Baseline'!$C$9:$R$257,16,FALSE))</f>
        <v/>
      </c>
      <c r="N23" s="251"/>
      <c r="O23" s="281" t="str">
        <f t="shared" si="1"/>
        <v/>
      </c>
      <c r="P23" s="282" t="str">
        <f t="shared" si="2"/>
        <v/>
      </c>
      <c r="Q23" s="342" t="str">
        <f>IF(N23="","",VLOOKUP(B23,'C-1 On-Site WaterC'' Baseline'!$C$10:$AC$257,20,FALSE))</f>
        <v/>
      </c>
      <c r="R23" s="281" t="str">
        <f>IF(N23="","",VLOOKUP(N23,'G-7 WaterC'' Data'!$B$2:$G$8,2,FALSE))</f>
        <v/>
      </c>
      <c r="S23" s="282" t="str">
        <f>IFERROR(VLOOKUP(R23,'G-7 WaterC'' Data'!$C$4:$D$8,2,FALSE),"")</f>
        <v/>
      </c>
      <c r="T23" s="105"/>
      <c r="U23" s="282" t="str">
        <f>IFERROR(INDEX('G-7 WaterC'' Data'!$H$4:$L$8,MATCH(N23,'G-7 WaterC'' Data'!$B$4:$B$8,0),MATCH(T23,'G-7 WaterC'' Data'!$H$3:$L$3,0)),"")</f>
        <v/>
      </c>
      <c r="V23" s="105"/>
      <c r="W23" s="289" t="str">
        <f>IF(V23="","",IF(VLOOKUP(V23,'G-7 WaterC'' Data'!$AK$4:$AM$6,2,FALSE)=0,"Spatial Data Missing ⚠",VLOOKUP(V23,'G-7 WaterC'' Data'!$AK$4:$AM$6,2,FALSE)))</f>
        <v/>
      </c>
      <c r="X23" s="282" t="str">
        <f>IF(V23="","",IF(VLOOKUP(V23,'G-7 WaterC'' Data'!$AK$4:$AM$6,3,FALSE)=0,"Spatial Data Missing ⚠",VLOOKUP(V23,'G-7 WaterC'' Data'!$AK$4:$AM$6,3,FALSE)))</f>
        <v/>
      </c>
      <c r="Y23" s="281" t="str">
        <f>IFERROR(IF(OR(LEFT(P23,5)="Error",LEFT(O23,5)="Error"),"Check Data ⚠",IF(F23&lt;S23,'G-7 WaterC'' Data'!$R$3,INDEX('G-7 WaterC'' Data'!$U$5:$Y$9,MATCH(G23,'G-7 WaterC'' Data'!$T$5:$T$9,0),MATCH(T23,'G-7 WaterC'' Data'!$U$4:$Y$4,0)))),"")</f>
        <v/>
      </c>
      <c r="Z23" s="137"/>
      <c r="AA23" s="137"/>
      <c r="AB23" s="289" t="str">
        <f t="shared" si="3"/>
        <v/>
      </c>
      <c r="AC23" s="302" t="str">
        <f t="shared" si="4"/>
        <v/>
      </c>
      <c r="AD23" s="340" t="str">
        <f>IFERROR(IF(AC23="Check Data ⚠","Check Data ⚠",VLOOKUP(AC23,'G-4 Temporal multipliers'!$A$4:$C$37,3,FALSE)),"")</f>
        <v/>
      </c>
      <c r="AE23" s="281" t="str">
        <f>IF(N23="","",VLOOKUP(N23,'G-7 WaterC'' Data'!$B$4:$G$8,5,FALSE))</f>
        <v/>
      </c>
      <c r="AF23" s="289" t="str">
        <f t="shared" si="5"/>
        <v/>
      </c>
      <c r="AG23" s="320" t="str">
        <f t="shared" si="6"/>
        <v/>
      </c>
      <c r="AH23" s="282" t="str">
        <f t="shared" si="0"/>
        <v/>
      </c>
      <c r="AI23" s="109"/>
      <c r="AJ23" s="282" t="str">
        <f>IF(AI23="","",IF(AND(AI23="N/A - Culvert",N23&lt;&gt;"Culvert"),"Not possible ▲",IF(VLOOKUP(AI23,'G-7 WaterC'' Data'!$AA$4:$AB$7,2,FALSE)=0,"Spatial Data Missing ⚠",VLOOKUP(AI23,'G-7 WaterC'' Data'!$AA$4:$AB$7,2,FALSE))))</f>
        <v/>
      </c>
      <c r="AK23" s="110"/>
      <c r="AL23" s="282" t="str">
        <f>IF(AK23="","",IF(AND(AK23="N/A - Culvert",N23&lt;&gt;"Culvert"),"Not possible ▲",IF(VLOOKUP(AK23,'G-7 WaterC'' Data'!$AD$4:$AE$14,2,FALSE)=0,"Spatial Data Missing ⚠",VLOOKUP(AK23,'G-7 WaterC'' Data'!$AD$4:$AE$14,2,FALSE))))</f>
        <v/>
      </c>
      <c r="AM23" s="323" t="str">
        <f t="shared" si="7"/>
        <v/>
      </c>
      <c r="AN23" s="105"/>
      <c r="AO23" s="119"/>
      <c r="AP23" s="108"/>
      <c r="AS23" s="30" t="str">
        <f>IF(B23="","",IF(ISNA(VLOOKUP($B23,'C-1 On-Site WaterC'' Baseline'!$C$8:$AD$257,17,FALSE)),"",(VLOOKUP($B23,'C-1 On-Site WaterC'' Baseline'!$C$8:$AD$257,17,FALSE))))</f>
        <v/>
      </c>
      <c r="AT23" s="30" t="str">
        <f>IF(B23="","",VLOOKUP($B23,'C-1 On-Site WaterC'' Baseline'!$C$9:$Z$257,12,FALSE))</f>
        <v/>
      </c>
      <c r="AU23" s="30" t="str">
        <f>IF(B23="","",VLOOKUP($B23,'C-1 On-Site WaterC'' Baseline'!$C$9:$Z$257,14,FALSE))</f>
        <v/>
      </c>
      <c r="AV23" s="30" t="str">
        <f>IFERROR(INDEX('G-7 WaterC'' Data'!$AZ$3:$AZ$7,MATCH(N23,'G-7 WaterC'' Data'!$AY$3:$AY$7,0)),"")</f>
        <v/>
      </c>
      <c r="AX23" s="30" t="str">
        <f>IF(B23="","",VLOOKUP($B23,'C-1 On-Site WaterC'' Baseline'!$C$9:$Y$257,22,FALSE))</f>
        <v/>
      </c>
      <c r="AY23" s="30" t="str">
        <f t="shared" si="8"/>
        <v/>
      </c>
      <c r="AZ23" s="30" t="str">
        <f>IF(B23="","",VLOOKUP($B23,'C-1 On-Site WaterC'' Baseline'!$C$9:$Y$257,21,FALSE))</f>
        <v/>
      </c>
      <c r="BA23" s="30" t="str">
        <f>IF(B23="","",VLOOKUP($B23,'C-1 On-Site WaterC'' Baseline'!$C$9:$Y$257,19,FALSE))</f>
        <v/>
      </c>
      <c r="BD23" s="30" t="str">
        <f t="shared" si="9"/>
        <v>No</v>
      </c>
    </row>
    <row r="24" spans="2:56" ht="13.8" x14ac:dyDescent="0.25">
      <c r="B24" s="311" t="str">
        <f>'C-1 On-Site WaterC'' Baseline'!AP22</f>
        <v/>
      </c>
      <c r="C24" s="301" t="str">
        <f>IF(B24="","",VLOOKUP($B24,'C-1 On-Site WaterC'' Baseline'!$C$9:$R$257,2,FALSE))</f>
        <v/>
      </c>
      <c r="D24" s="301" t="str">
        <f>IF(C24="","",VLOOKUP($B24,'C-1 On-Site WaterC'' Baseline'!$C$9:$R$257,3,FALSE))</f>
        <v/>
      </c>
      <c r="E24" s="301" t="str">
        <f>IF(D24="","",VLOOKUP($B24,'C-1 On-Site WaterC'' Baseline'!$C$9:$R$257,4,FALSE))</f>
        <v/>
      </c>
      <c r="F24" s="301" t="str">
        <f>IF(E24="","",VLOOKUP($B24,'C-1 On-Site WaterC'' Baseline'!$C$9:$R$257,5,FALSE))</f>
        <v/>
      </c>
      <c r="G24" s="301" t="str">
        <f>IF(F24="","",VLOOKUP($B24,'C-1 On-Site WaterC'' Baseline'!$C$9:$R$257,6,FALSE))</f>
        <v/>
      </c>
      <c r="H24" s="301" t="str">
        <f>IF(G24="","",VLOOKUP($B24,'C-1 On-Site WaterC'' Baseline'!$C$9:$R$257,7,FALSE))</f>
        <v/>
      </c>
      <c r="I24" s="301" t="str">
        <f>IF(H24="","",VLOOKUP($B24,'C-1 On-Site WaterC'' Baseline'!$C$9:$R$257,8,FALSE))</f>
        <v/>
      </c>
      <c r="J24" s="301" t="str">
        <f>IF(I24="","",VLOOKUP($B24,'C-1 On-Site WaterC'' Baseline'!$C$9:$R$257,9,FALSE))</f>
        <v/>
      </c>
      <c r="K24" s="301" t="str">
        <f>IF(J24="","",VLOOKUP($B24,'C-1 On-Site WaterC'' Baseline'!$C$9:$R$257,10,FALSE))</f>
        <v/>
      </c>
      <c r="L24" s="301" t="str">
        <f>IF(B24="","",VLOOKUP($B24,'C-1 On-Site WaterC'' Baseline'!$C$9:$R$257,15,FALSE))</f>
        <v/>
      </c>
      <c r="M24" s="305" t="str">
        <f>IF(L24="","",VLOOKUP($B24,'C-1 On-Site WaterC'' Baseline'!$C$9:$R$257,16,FALSE))</f>
        <v/>
      </c>
      <c r="N24" s="251"/>
      <c r="O24" s="281" t="str">
        <f t="shared" si="1"/>
        <v/>
      </c>
      <c r="P24" s="282" t="str">
        <f t="shared" si="2"/>
        <v/>
      </c>
      <c r="Q24" s="342" t="str">
        <f>IF(N24="","",VLOOKUP(B24,'C-1 On-Site WaterC'' Baseline'!$C$10:$AC$257,20,FALSE))</f>
        <v/>
      </c>
      <c r="R24" s="281" t="str">
        <f>IF(N24="","",VLOOKUP(N24,'G-7 WaterC'' Data'!$B$2:$G$8,2,FALSE))</f>
        <v/>
      </c>
      <c r="S24" s="282" t="str">
        <f>IFERROR(VLOOKUP(R24,'G-7 WaterC'' Data'!$C$4:$D$8,2,FALSE),"")</f>
        <v/>
      </c>
      <c r="T24" s="105"/>
      <c r="U24" s="282" t="str">
        <f>IFERROR(INDEX('G-7 WaterC'' Data'!$H$4:$L$8,MATCH(N24,'G-7 WaterC'' Data'!$B$4:$B$8,0),MATCH(T24,'G-7 WaterC'' Data'!$H$3:$L$3,0)),"")</f>
        <v/>
      </c>
      <c r="V24" s="105"/>
      <c r="W24" s="289" t="str">
        <f>IF(V24="","",IF(VLOOKUP(V24,'G-7 WaterC'' Data'!$AK$4:$AM$6,2,FALSE)=0,"Spatial Data Missing ⚠",VLOOKUP(V24,'G-7 WaterC'' Data'!$AK$4:$AM$6,2,FALSE)))</f>
        <v/>
      </c>
      <c r="X24" s="282" t="str">
        <f>IF(V24="","",IF(VLOOKUP(V24,'G-7 WaterC'' Data'!$AK$4:$AM$6,3,FALSE)=0,"Spatial Data Missing ⚠",VLOOKUP(V24,'G-7 WaterC'' Data'!$AK$4:$AM$6,3,FALSE)))</f>
        <v/>
      </c>
      <c r="Y24" s="281" t="str">
        <f>IFERROR(IF(OR(LEFT(P24,5)="Error",LEFT(O24,5)="Error"),"Check Data ⚠",IF(F24&lt;S24,'G-7 WaterC'' Data'!$R$3,INDEX('G-7 WaterC'' Data'!$U$5:$Y$9,MATCH(G24,'G-7 WaterC'' Data'!$T$5:$T$9,0),MATCH(T24,'G-7 WaterC'' Data'!$U$4:$Y$4,0)))),"")</f>
        <v/>
      </c>
      <c r="Z24" s="137"/>
      <c r="AA24" s="137"/>
      <c r="AB24" s="289" t="str">
        <f t="shared" si="3"/>
        <v/>
      </c>
      <c r="AC24" s="302" t="str">
        <f t="shared" si="4"/>
        <v/>
      </c>
      <c r="AD24" s="340" t="str">
        <f>IFERROR(IF(AC24="Check Data ⚠","Check Data ⚠",VLOOKUP(AC24,'G-4 Temporal multipliers'!$A$4:$C$37,3,FALSE)),"")</f>
        <v/>
      </c>
      <c r="AE24" s="281" t="str">
        <f>IF(N24="","",VLOOKUP(N24,'G-7 WaterC'' Data'!$B$4:$G$8,5,FALSE))</f>
        <v/>
      </c>
      <c r="AF24" s="289" t="str">
        <f t="shared" si="5"/>
        <v/>
      </c>
      <c r="AG24" s="320" t="str">
        <f t="shared" si="6"/>
        <v/>
      </c>
      <c r="AH24" s="282" t="str">
        <f t="shared" si="0"/>
        <v/>
      </c>
      <c r="AI24" s="109"/>
      <c r="AJ24" s="282" t="str">
        <f>IF(AI24="","",IF(AND(AI24="N/A - Culvert",N24&lt;&gt;"Culvert"),"Not possible ▲",IF(VLOOKUP(AI24,'G-7 WaterC'' Data'!$AA$4:$AB$7,2,FALSE)=0,"Spatial Data Missing ⚠",VLOOKUP(AI24,'G-7 WaterC'' Data'!$AA$4:$AB$7,2,FALSE))))</f>
        <v/>
      </c>
      <c r="AK24" s="110"/>
      <c r="AL24" s="282" t="str">
        <f>IF(AK24="","",IF(AND(AK24="N/A - Culvert",N24&lt;&gt;"Culvert"),"Not possible ▲",IF(VLOOKUP(AK24,'G-7 WaterC'' Data'!$AD$4:$AE$14,2,FALSE)=0,"Spatial Data Missing ⚠",VLOOKUP(AK24,'G-7 WaterC'' Data'!$AD$4:$AE$14,2,FALSE))))</f>
        <v/>
      </c>
      <c r="AM24" s="323" t="str">
        <f t="shared" si="7"/>
        <v/>
      </c>
      <c r="AN24" s="105"/>
      <c r="AO24" s="119"/>
      <c r="AP24" s="108"/>
      <c r="AS24" s="30" t="str">
        <f>IF(B24="","",IF(ISNA(VLOOKUP($B24,'C-1 On-Site WaterC'' Baseline'!$C$8:$AD$257,17,FALSE)),"",(VLOOKUP($B24,'C-1 On-Site WaterC'' Baseline'!$C$8:$AD$257,17,FALSE))))</f>
        <v/>
      </c>
      <c r="AT24" s="30" t="str">
        <f>IF(B24="","",VLOOKUP($B24,'C-1 On-Site WaterC'' Baseline'!$C$9:$Z$257,12,FALSE))</f>
        <v/>
      </c>
      <c r="AU24" s="30" t="str">
        <f>IF(B24="","",VLOOKUP($B24,'C-1 On-Site WaterC'' Baseline'!$C$9:$Z$257,14,FALSE))</f>
        <v/>
      </c>
      <c r="AV24" s="30" t="str">
        <f>IFERROR(INDEX('G-7 WaterC'' Data'!$AZ$3:$AZ$7,MATCH(N24,'G-7 WaterC'' Data'!$AY$3:$AY$7,0)),"")</f>
        <v/>
      </c>
      <c r="AX24" s="30" t="str">
        <f>IF(B24="","",VLOOKUP($B24,'C-1 On-Site WaterC'' Baseline'!$C$9:$Y$257,22,FALSE))</f>
        <v/>
      </c>
      <c r="AY24" s="30" t="str">
        <f t="shared" si="8"/>
        <v/>
      </c>
      <c r="AZ24" s="30" t="str">
        <f>IF(B24="","",VLOOKUP($B24,'C-1 On-Site WaterC'' Baseline'!$C$9:$Y$257,21,FALSE))</f>
        <v/>
      </c>
      <c r="BA24" s="30" t="str">
        <f>IF(B24="","",VLOOKUP($B24,'C-1 On-Site WaterC'' Baseline'!$C$9:$Y$257,19,FALSE))</f>
        <v/>
      </c>
      <c r="BD24" s="30" t="str">
        <f t="shared" si="9"/>
        <v>No</v>
      </c>
    </row>
    <row r="25" spans="2:56" ht="13.8" x14ac:dyDescent="0.25">
      <c r="B25" s="311" t="str">
        <f>'C-1 On-Site WaterC'' Baseline'!AP23</f>
        <v/>
      </c>
      <c r="C25" s="301" t="str">
        <f>IF(B25="","",VLOOKUP($B25,'C-1 On-Site WaterC'' Baseline'!$C$9:$R$257,2,FALSE))</f>
        <v/>
      </c>
      <c r="D25" s="301" t="str">
        <f>IF(C25="","",VLOOKUP($B25,'C-1 On-Site WaterC'' Baseline'!$C$9:$R$257,3,FALSE))</f>
        <v/>
      </c>
      <c r="E25" s="301" t="str">
        <f>IF(D25="","",VLOOKUP($B25,'C-1 On-Site WaterC'' Baseline'!$C$9:$R$257,4,FALSE))</f>
        <v/>
      </c>
      <c r="F25" s="301" t="str">
        <f>IF(E25="","",VLOOKUP($B25,'C-1 On-Site WaterC'' Baseline'!$C$9:$R$257,5,FALSE))</f>
        <v/>
      </c>
      <c r="G25" s="301" t="str">
        <f>IF(F25="","",VLOOKUP($B25,'C-1 On-Site WaterC'' Baseline'!$C$9:$R$257,6,FALSE))</f>
        <v/>
      </c>
      <c r="H25" s="301" t="str">
        <f>IF(G25="","",VLOOKUP($B25,'C-1 On-Site WaterC'' Baseline'!$C$9:$R$257,7,FALSE))</f>
        <v/>
      </c>
      <c r="I25" s="301" t="str">
        <f>IF(H25="","",VLOOKUP($B25,'C-1 On-Site WaterC'' Baseline'!$C$9:$R$257,8,FALSE))</f>
        <v/>
      </c>
      <c r="J25" s="301" t="str">
        <f>IF(I25="","",VLOOKUP($B25,'C-1 On-Site WaterC'' Baseline'!$C$9:$R$257,9,FALSE))</f>
        <v/>
      </c>
      <c r="K25" s="301" t="str">
        <f>IF(J25="","",VLOOKUP($B25,'C-1 On-Site WaterC'' Baseline'!$C$9:$R$257,10,FALSE))</f>
        <v/>
      </c>
      <c r="L25" s="301" t="str">
        <f>IF(B25="","",VLOOKUP($B25,'C-1 On-Site WaterC'' Baseline'!$C$9:$R$257,15,FALSE))</f>
        <v/>
      </c>
      <c r="M25" s="305" t="str">
        <f>IF(L25="","",VLOOKUP($B25,'C-1 On-Site WaterC'' Baseline'!$C$9:$R$257,16,FALSE))</f>
        <v/>
      </c>
      <c r="N25" s="251"/>
      <c r="O25" s="281" t="str">
        <f t="shared" si="1"/>
        <v/>
      </c>
      <c r="P25" s="282" t="str">
        <f t="shared" si="2"/>
        <v/>
      </c>
      <c r="Q25" s="342" t="str">
        <f>IF(N25="","",VLOOKUP(B25,'C-1 On-Site WaterC'' Baseline'!$C$10:$AC$257,20,FALSE))</f>
        <v/>
      </c>
      <c r="R25" s="281" t="str">
        <f>IF(N25="","",VLOOKUP(N25,'G-7 WaterC'' Data'!$B$2:$G$8,2,FALSE))</f>
        <v/>
      </c>
      <c r="S25" s="282" t="str">
        <f>IFERROR(VLOOKUP(R25,'G-7 WaterC'' Data'!$C$4:$D$8,2,FALSE),"")</f>
        <v/>
      </c>
      <c r="T25" s="105"/>
      <c r="U25" s="282" t="str">
        <f>IFERROR(INDEX('G-7 WaterC'' Data'!$H$4:$L$8,MATCH(N25,'G-7 WaterC'' Data'!$B$4:$B$8,0),MATCH(T25,'G-7 WaterC'' Data'!$H$3:$L$3,0)),"")</f>
        <v/>
      </c>
      <c r="V25" s="105"/>
      <c r="W25" s="289" t="str">
        <f>IF(V25="","",IF(VLOOKUP(V25,'G-7 WaterC'' Data'!$AK$4:$AM$6,2,FALSE)=0,"Spatial Data Missing ⚠",VLOOKUP(V25,'G-7 WaterC'' Data'!$AK$4:$AM$6,2,FALSE)))</f>
        <v/>
      </c>
      <c r="X25" s="282" t="str">
        <f>IF(V25="","",IF(VLOOKUP(V25,'G-7 WaterC'' Data'!$AK$4:$AM$6,3,FALSE)=0,"Spatial Data Missing ⚠",VLOOKUP(V25,'G-7 WaterC'' Data'!$AK$4:$AM$6,3,FALSE)))</f>
        <v/>
      </c>
      <c r="Y25" s="281" t="str">
        <f>IFERROR(IF(OR(LEFT(P25,5)="Error",LEFT(O25,5)="Error"),"Check Data ⚠",IF(F25&lt;S25,'G-7 WaterC'' Data'!$R$3,INDEX('G-7 WaterC'' Data'!$U$5:$Y$9,MATCH(G25,'G-7 WaterC'' Data'!$T$5:$T$9,0),MATCH(T25,'G-7 WaterC'' Data'!$U$4:$Y$4,0)))),"")</f>
        <v/>
      </c>
      <c r="Z25" s="137"/>
      <c r="AA25" s="137"/>
      <c r="AB25" s="289" t="str">
        <f t="shared" si="3"/>
        <v/>
      </c>
      <c r="AC25" s="302" t="str">
        <f t="shared" si="4"/>
        <v/>
      </c>
      <c r="AD25" s="340" t="str">
        <f>IFERROR(IF(AC25="Check Data ⚠","Check Data ⚠",VLOOKUP(AC25,'G-4 Temporal multipliers'!$A$4:$C$37,3,FALSE)),"")</f>
        <v/>
      </c>
      <c r="AE25" s="281" t="str">
        <f>IF(N25="","",VLOOKUP(N25,'G-7 WaterC'' Data'!$B$4:$G$8,5,FALSE))</f>
        <v/>
      </c>
      <c r="AF25" s="289" t="str">
        <f t="shared" si="5"/>
        <v/>
      </c>
      <c r="AG25" s="320" t="str">
        <f t="shared" si="6"/>
        <v/>
      </c>
      <c r="AH25" s="282" t="str">
        <f t="shared" si="0"/>
        <v/>
      </c>
      <c r="AI25" s="109"/>
      <c r="AJ25" s="282" t="str">
        <f>IF(AI25="","",IF(AND(AI25="N/A - Culvert",N25&lt;&gt;"Culvert"),"Not possible ▲",IF(VLOOKUP(AI25,'G-7 WaterC'' Data'!$AA$4:$AB$7,2,FALSE)=0,"Spatial Data Missing ⚠",VLOOKUP(AI25,'G-7 WaterC'' Data'!$AA$4:$AB$7,2,FALSE))))</f>
        <v/>
      </c>
      <c r="AK25" s="110"/>
      <c r="AL25" s="282" t="str">
        <f>IF(AK25="","",IF(AND(AK25="N/A - Culvert",N25&lt;&gt;"Culvert"),"Not possible ▲",IF(VLOOKUP(AK25,'G-7 WaterC'' Data'!$AD$4:$AE$14,2,FALSE)=0,"Spatial Data Missing ⚠",VLOOKUP(AK25,'G-7 WaterC'' Data'!$AD$4:$AE$14,2,FALSE))))</f>
        <v/>
      </c>
      <c r="AM25" s="323" t="str">
        <f t="shared" si="7"/>
        <v/>
      </c>
      <c r="AN25" s="105"/>
      <c r="AO25" s="119"/>
      <c r="AP25" s="108"/>
      <c r="AS25" s="30" t="str">
        <f>IF(B25="","",IF(ISNA(VLOOKUP($B25,'C-1 On-Site WaterC'' Baseline'!$C$8:$AD$257,17,FALSE)),"",(VLOOKUP($B25,'C-1 On-Site WaterC'' Baseline'!$C$8:$AD$257,17,FALSE))))</f>
        <v/>
      </c>
      <c r="AT25" s="30" t="str">
        <f>IF(B25="","",VLOOKUP($B25,'C-1 On-Site WaterC'' Baseline'!$C$9:$Z$257,12,FALSE))</f>
        <v/>
      </c>
      <c r="AU25" s="30" t="str">
        <f>IF(B25="","",VLOOKUP($B25,'C-1 On-Site WaterC'' Baseline'!$C$9:$Z$257,14,FALSE))</f>
        <v/>
      </c>
      <c r="AV25" s="30" t="str">
        <f>IFERROR(INDEX('G-7 WaterC'' Data'!$AZ$3:$AZ$7,MATCH(N25,'G-7 WaterC'' Data'!$AY$3:$AY$7,0)),"")</f>
        <v/>
      </c>
      <c r="AX25" s="30" t="str">
        <f>IF(B25="","",VLOOKUP($B25,'C-1 On-Site WaterC'' Baseline'!$C$9:$Y$257,22,FALSE))</f>
        <v/>
      </c>
      <c r="AY25" s="30" t="str">
        <f t="shared" si="8"/>
        <v/>
      </c>
      <c r="AZ25" s="30" t="str">
        <f>IF(B25="","",VLOOKUP($B25,'C-1 On-Site WaterC'' Baseline'!$C$9:$Y$257,21,FALSE))</f>
        <v/>
      </c>
      <c r="BA25" s="30" t="str">
        <f>IF(B25="","",VLOOKUP($B25,'C-1 On-Site WaterC'' Baseline'!$C$9:$Y$257,19,FALSE))</f>
        <v/>
      </c>
      <c r="BD25" s="30" t="str">
        <f t="shared" si="9"/>
        <v>No</v>
      </c>
    </row>
    <row r="26" spans="2:56" ht="13.8" x14ac:dyDescent="0.25">
      <c r="B26" s="311" t="str">
        <f>'C-1 On-Site WaterC'' Baseline'!AP24</f>
        <v/>
      </c>
      <c r="C26" s="301" t="str">
        <f>IF(B26="","",VLOOKUP($B26,'C-1 On-Site WaterC'' Baseline'!$C$9:$R$257,2,FALSE))</f>
        <v/>
      </c>
      <c r="D26" s="301" t="str">
        <f>IF(C26="","",VLOOKUP($B26,'C-1 On-Site WaterC'' Baseline'!$C$9:$R$257,3,FALSE))</f>
        <v/>
      </c>
      <c r="E26" s="301" t="str">
        <f>IF(D26="","",VLOOKUP($B26,'C-1 On-Site WaterC'' Baseline'!$C$9:$R$257,4,FALSE))</f>
        <v/>
      </c>
      <c r="F26" s="301" t="str">
        <f>IF(E26="","",VLOOKUP($B26,'C-1 On-Site WaterC'' Baseline'!$C$9:$R$257,5,FALSE))</f>
        <v/>
      </c>
      <c r="G26" s="301" t="str">
        <f>IF(F26="","",VLOOKUP($B26,'C-1 On-Site WaterC'' Baseline'!$C$9:$R$257,6,FALSE))</f>
        <v/>
      </c>
      <c r="H26" s="301" t="str">
        <f>IF(G26="","",VLOOKUP($B26,'C-1 On-Site WaterC'' Baseline'!$C$9:$R$257,7,FALSE))</f>
        <v/>
      </c>
      <c r="I26" s="301" t="str">
        <f>IF(H26="","",VLOOKUP($B26,'C-1 On-Site WaterC'' Baseline'!$C$9:$R$257,8,FALSE))</f>
        <v/>
      </c>
      <c r="J26" s="301" t="str">
        <f>IF(I26="","",VLOOKUP($B26,'C-1 On-Site WaterC'' Baseline'!$C$9:$R$257,9,FALSE))</f>
        <v/>
      </c>
      <c r="K26" s="301" t="str">
        <f>IF(J26="","",VLOOKUP($B26,'C-1 On-Site WaterC'' Baseline'!$C$9:$R$257,10,FALSE))</f>
        <v/>
      </c>
      <c r="L26" s="301" t="str">
        <f>IF(B26="","",VLOOKUP($B26,'C-1 On-Site WaterC'' Baseline'!$C$9:$R$257,15,FALSE))</f>
        <v/>
      </c>
      <c r="M26" s="305" t="str">
        <f>IF(L26="","",VLOOKUP($B26,'C-1 On-Site WaterC'' Baseline'!$C$9:$R$257,16,FALSE))</f>
        <v/>
      </c>
      <c r="N26" s="251"/>
      <c r="O26" s="281" t="str">
        <f t="shared" si="1"/>
        <v/>
      </c>
      <c r="P26" s="282" t="str">
        <f t="shared" si="2"/>
        <v/>
      </c>
      <c r="Q26" s="342" t="str">
        <f>IF(N26="","",VLOOKUP(B26,'C-1 On-Site WaterC'' Baseline'!$C$10:$AC$257,20,FALSE))</f>
        <v/>
      </c>
      <c r="R26" s="281" t="str">
        <f>IF(N26="","",VLOOKUP(N26,'G-7 WaterC'' Data'!$B$2:$G$8,2,FALSE))</f>
        <v/>
      </c>
      <c r="S26" s="282" t="str">
        <f>IFERROR(VLOOKUP(R26,'G-7 WaterC'' Data'!$C$4:$D$8,2,FALSE),"")</f>
        <v/>
      </c>
      <c r="T26" s="105"/>
      <c r="U26" s="282" t="str">
        <f>IFERROR(INDEX('G-7 WaterC'' Data'!$H$4:$L$8,MATCH(N26,'G-7 WaterC'' Data'!$B$4:$B$8,0),MATCH(T26,'G-7 WaterC'' Data'!$H$3:$L$3,0)),"")</f>
        <v/>
      </c>
      <c r="V26" s="105"/>
      <c r="W26" s="289" t="str">
        <f>IF(V26="","",IF(VLOOKUP(V26,'G-7 WaterC'' Data'!$AK$4:$AM$6,2,FALSE)=0,"Spatial Data Missing ⚠",VLOOKUP(V26,'G-7 WaterC'' Data'!$AK$4:$AM$6,2,FALSE)))</f>
        <v/>
      </c>
      <c r="X26" s="282" t="str">
        <f>IF(V26="","",IF(VLOOKUP(V26,'G-7 WaterC'' Data'!$AK$4:$AM$6,3,FALSE)=0,"Spatial Data Missing ⚠",VLOOKUP(V26,'G-7 WaterC'' Data'!$AK$4:$AM$6,3,FALSE)))</f>
        <v/>
      </c>
      <c r="Y26" s="281" t="str">
        <f>IFERROR(IF(OR(LEFT(P26,5)="Error",LEFT(O26,5)="Error"),"Check Data ⚠",IF(F26&lt;S26,'G-7 WaterC'' Data'!$R$3,INDEX('G-7 WaterC'' Data'!$U$5:$Y$9,MATCH(G26,'G-7 WaterC'' Data'!$T$5:$T$9,0),MATCH(T26,'G-7 WaterC'' Data'!$U$4:$Y$4,0)))),"")</f>
        <v/>
      </c>
      <c r="Z26" s="137"/>
      <c r="AA26" s="137"/>
      <c r="AB26" s="289" t="str">
        <f t="shared" si="3"/>
        <v/>
      </c>
      <c r="AC26" s="302" t="str">
        <f t="shared" si="4"/>
        <v/>
      </c>
      <c r="AD26" s="340" t="str">
        <f>IFERROR(IF(AC26="Check Data ⚠","Check Data ⚠",VLOOKUP(AC26,'G-4 Temporal multipliers'!$A$4:$C$37,3,FALSE)),"")</f>
        <v/>
      </c>
      <c r="AE26" s="281" t="str">
        <f>IF(N26="","",VLOOKUP(N26,'G-7 WaterC'' Data'!$B$4:$G$8,5,FALSE))</f>
        <v/>
      </c>
      <c r="AF26" s="289" t="str">
        <f t="shared" si="5"/>
        <v/>
      </c>
      <c r="AG26" s="320" t="str">
        <f t="shared" si="6"/>
        <v/>
      </c>
      <c r="AH26" s="282" t="str">
        <f t="shared" si="0"/>
        <v/>
      </c>
      <c r="AI26" s="109"/>
      <c r="AJ26" s="282" t="str">
        <f>IF(AI26="","",IF(AND(AI26="N/A - Culvert",N26&lt;&gt;"Culvert"),"Not possible ▲",IF(VLOOKUP(AI26,'G-7 WaterC'' Data'!$AA$4:$AB$7,2,FALSE)=0,"Spatial Data Missing ⚠",VLOOKUP(AI26,'G-7 WaterC'' Data'!$AA$4:$AB$7,2,FALSE))))</f>
        <v/>
      </c>
      <c r="AK26" s="110"/>
      <c r="AL26" s="282" t="str">
        <f>IF(AK26="","",IF(AND(AK26="N/A - Culvert",N26&lt;&gt;"Culvert"),"Not possible ▲",IF(VLOOKUP(AK26,'G-7 WaterC'' Data'!$AD$4:$AE$14,2,FALSE)=0,"Spatial Data Missing ⚠",VLOOKUP(AK26,'G-7 WaterC'' Data'!$AD$4:$AE$14,2,FALSE))))</f>
        <v/>
      </c>
      <c r="AM26" s="323" t="str">
        <f t="shared" si="7"/>
        <v/>
      </c>
      <c r="AN26" s="105"/>
      <c r="AO26" s="119"/>
      <c r="AP26" s="108"/>
      <c r="AS26" s="30" t="str">
        <f>IF(B26="","",IF(ISNA(VLOOKUP($B26,'C-1 On-Site WaterC'' Baseline'!$C$8:$AD$257,17,FALSE)),"",(VLOOKUP($B26,'C-1 On-Site WaterC'' Baseline'!$C$8:$AD$257,17,FALSE))))</f>
        <v/>
      </c>
      <c r="AT26" s="30" t="str">
        <f>IF(B26="","",VLOOKUP($B26,'C-1 On-Site WaterC'' Baseline'!$C$9:$Z$257,12,FALSE))</f>
        <v/>
      </c>
      <c r="AU26" s="30" t="str">
        <f>IF(B26="","",VLOOKUP($B26,'C-1 On-Site WaterC'' Baseline'!$C$9:$Z$257,14,FALSE))</f>
        <v/>
      </c>
      <c r="AV26" s="30" t="str">
        <f>IFERROR(INDEX('G-7 WaterC'' Data'!$AZ$3:$AZ$7,MATCH(N26,'G-7 WaterC'' Data'!$AY$3:$AY$7,0)),"")</f>
        <v/>
      </c>
      <c r="AX26" s="30" t="str">
        <f>IF(B26="","",VLOOKUP($B26,'C-1 On-Site WaterC'' Baseline'!$C$9:$Y$257,22,FALSE))</f>
        <v/>
      </c>
      <c r="AY26" s="30" t="str">
        <f t="shared" si="8"/>
        <v/>
      </c>
      <c r="AZ26" s="30" t="str">
        <f>IF(B26="","",VLOOKUP($B26,'C-1 On-Site WaterC'' Baseline'!$C$9:$Y$257,21,FALSE))</f>
        <v/>
      </c>
      <c r="BA26" s="30" t="str">
        <f>IF(B26="","",VLOOKUP($B26,'C-1 On-Site WaterC'' Baseline'!$C$9:$Y$257,19,FALSE))</f>
        <v/>
      </c>
      <c r="BD26" s="30" t="str">
        <f t="shared" si="9"/>
        <v>No</v>
      </c>
    </row>
    <row r="27" spans="2:56" ht="13.8" x14ac:dyDescent="0.25">
      <c r="B27" s="311" t="str">
        <f>'C-1 On-Site WaterC'' Baseline'!AP25</f>
        <v/>
      </c>
      <c r="C27" s="301" t="str">
        <f>IF(B27="","",VLOOKUP($B27,'C-1 On-Site WaterC'' Baseline'!$C$9:$R$257,2,FALSE))</f>
        <v/>
      </c>
      <c r="D27" s="301" t="str">
        <f>IF(C27="","",VLOOKUP($B27,'C-1 On-Site WaterC'' Baseline'!$C$9:$R$257,3,FALSE))</f>
        <v/>
      </c>
      <c r="E27" s="301" t="str">
        <f>IF(D27="","",VLOOKUP($B27,'C-1 On-Site WaterC'' Baseline'!$C$9:$R$257,4,FALSE))</f>
        <v/>
      </c>
      <c r="F27" s="301" t="str">
        <f>IF(E27="","",VLOOKUP($B27,'C-1 On-Site WaterC'' Baseline'!$C$9:$R$257,5,FALSE))</f>
        <v/>
      </c>
      <c r="G27" s="301" t="str">
        <f>IF(F27="","",VLOOKUP($B27,'C-1 On-Site WaterC'' Baseline'!$C$9:$R$257,6,FALSE))</f>
        <v/>
      </c>
      <c r="H27" s="301" t="str">
        <f>IF(G27="","",VLOOKUP($B27,'C-1 On-Site WaterC'' Baseline'!$C$9:$R$257,7,FALSE))</f>
        <v/>
      </c>
      <c r="I27" s="301" t="str">
        <f>IF(H27="","",VLOOKUP($B27,'C-1 On-Site WaterC'' Baseline'!$C$9:$R$257,8,FALSE))</f>
        <v/>
      </c>
      <c r="J27" s="301" t="str">
        <f>IF(I27="","",VLOOKUP($B27,'C-1 On-Site WaterC'' Baseline'!$C$9:$R$257,9,FALSE))</f>
        <v/>
      </c>
      <c r="K27" s="301" t="str">
        <f>IF(J27="","",VLOOKUP($B27,'C-1 On-Site WaterC'' Baseline'!$C$9:$R$257,10,FALSE))</f>
        <v/>
      </c>
      <c r="L27" s="301" t="str">
        <f>IF(B27="","",VLOOKUP($B27,'C-1 On-Site WaterC'' Baseline'!$C$9:$R$257,15,FALSE))</f>
        <v/>
      </c>
      <c r="M27" s="305" t="str">
        <f>IF(L27="","",VLOOKUP($B27,'C-1 On-Site WaterC'' Baseline'!$C$9:$R$257,16,FALSE))</f>
        <v/>
      </c>
      <c r="N27" s="251"/>
      <c r="O27" s="281" t="str">
        <f t="shared" si="1"/>
        <v/>
      </c>
      <c r="P27" s="282" t="str">
        <f t="shared" si="2"/>
        <v/>
      </c>
      <c r="Q27" s="342" t="str">
        <f>IF(N27="","",VLOOKUP(B27,'C-1 On-Site WaterC'' Baseline'!$C$10:$AC$257,20,FALSE))</f>
        <v/>
      </c>
      <c r="R27" s="281" t="str">
        <f>IF(N27="","",VLOOKUP(N27,'G-7 WaterC'' Data'!$B$2:$G$8,2,FALSE))</f>
        <v/>
      </c>
      <c r="S27" s="282" t="str">
        <f>IFERROR(VLOOKUP(R27,'G-7 WaterC'' Data'!$C$4:$D$8,2,FALSE),"")</f>
        <v/>
      </c>
      <c r="T27" s="105"/>
      <c r="U27" s="282" t="str">
        <f>IFERROR(INDEX('G-7 WaterC'' Data'!$H$4:$L$8,MATCH(N27,'G-7 WaterC'' Data'!$B$4:$B$8,0),MATCH(T27,'G-7 WaterC'' Data'!$H$3:$L$3,0)),"")</f>
        <v/>
      </c>
      <c r="V27" s="105"/>
      <c r="W27" s="289" t="str">
        <f>IF(V27="","",IF(VLOOKUP(V27,'G-7 WaterC'' Data'!$AK$4:$AM$6,2,FALSE)=0,"Spatial Data Missing ⚠",VLOOKUP(V27,'G-7 WaterC'' Data'!$AK$4:$AM$6,2,FALSE)))</f>
        <v/>
      </c>
      <c r="X27" s="282" t="str">
        <f>IF(V27="","",IF(VLOOKUP(V27,'G-7 WaterC'' Data'!$AK$4:$AM$6,3,FALSE)=0,"Spatial Data Missing ⚠",VLOOKUP(V27,'G-7 WaterC'' Data'!$AK$4:$AM$6,3,FALSE)))</f>
        <v/>
      </c>
      <c r="Y27" s="281" t="str">
        <f>IFERROR(IF(OR(LEFT(P27,5)="Error",LEFT(O27,5)="Error"),"Check Data ⚠",IF(F27&lt;S27,'G-7 WaterC'' Data'!$R$3,INDEX('G-7 WaterC'' Data'!$U$5:$Y$9,MATCH(G27,'G-7 WaterC'' Data'!$T$5:$T$9,0),MATCH(T27,'G-7 WaterC'' Data'!$U$4:$Y$4,0)))),"")</f>
        <v/>
      </c>
      <c r="Z27" s="137"/>
      <c r="AA27" s="137"/>
      <c r="AB27" s="289" t="str">
        <f t="shared" si="3"/>
        <v/>
      </c>
      <c r="AC27" s="302" t="str">
        <f t="shared" si="4"/>
        <v/>
      </c>
      <c r="AD27" s="340" t="str">
        <f>IFERROR(IF(AC27="Check Data ⚠","Check Data ⚠",VLOOKUP(AC27,'G-4 Temporal multipliers'!$A$4:$C$37,3,FALSE)),"")</f>
        <v/>
      </c>
      <c r="AE27" s="281" t="str">
        <f>IF(N27="","",VLOOKUP(N27,'G-7 WaterC'' Data'!$B$4:$G$8,5,FALSE))</f>
        <v/>
      </c>
      <c r="AF27" s="289" t="str">
        <f t="shared" si="5"/>
        <v/>
      </c>
      <c r="AG27" s="320" t="str">
        <f t="shared" si="6"/>
        <v/>
      </c>
      <c r="AH27" s="282" t="str">
        <f t="shared" si="0"/>
        <v/>
      </c>
      <c r="AI27" s="109"/>
      <c r="AJ27" s="282" t="str">
        <f>IF(AI27="","",IF(AND(AI27="N/A - Culvert",N27&lt;&gt;"Culvert"),"Not possible ▲",IF(VLOOKUP(AI27,'G-7 WaterC'' Data'!$AA$4:$AB$7,2,FALSE)=0,"Spatial Data Missing ⚠",VLOOKUP(AI27,'G-7 WaterC'' Data'!$AA$4:$AB$7,2,FALSE))))</f>
        <v/>
      </c>
      <c r="AK27" s="110"/>
      <c r="AL27" s="282" t="str">
        <f>IF(AK27="","",IF(AND(AK27="N/A - Culvert",N27&lt;&gt;"Culvert"),"Not possible ▲",IF(VLOOKUP(AK27,'G-7 WaterC'' Data'!$AD$4:$AE$14,2,FALSE)=0,"Spatial Data Missing ⚠",VLOOKUP(AK27,'G-7 WaterC'' Data'!$AD$4:$AE$14,2,FALSE))))</f>
        <v/>
      </c>
      <c r="AM27" s="323" t="str">
        <f t="shared" si="7"/>
        <v/>
      </c>
      <c r="AN27" s="105"/>
      <c r="AO27" s="119"/>
      <c r="AP27" s="108"/>
      <c r="AS27" s="30" t="str">
        <f>IF(B27="","",IF(ISNA(VLOOKUP($B27,'C-1 On-Site WaterC'' Baseline'!$C$8:$AD$257,17,FALSE)),"",(VLOOKUP($B27,'C-1 On-Site WaterC'' Baseline'!$C$8:$AD$257,17,FALSE))))</f>
        <v/>
      </c>
      <c r="AT27" s="30" t="str">
        <f>IF(B27="","",VLOOKUP($B27,'C-1 On-Site WaterC'' Baseline'!$C$9:$Z$257,12,FALSE))</f>
        <v/>
      </c>
      <c r="AU27" s="30" t="str">
        <f>IF(B27="","",VLOOKUP($B27,'C-1 On-Site WaterC'' Baseline'!$C$9:$Z$257,14,FALSE))</f>
        <v/>
      </c>
      <c r="AV27" s="30" t="str">
        <f>IFERROR(INDEX('G-7 WaterC'' Data'!$AZ$3:$AZ$7,MATCH(N27,'G-7 WaterC'' Data'!$AY$3:$AY$7,0)),"")</f>
        <v/>
      </c>
      <c r="AX27" s="30" t="str">
        <f>IF(B27="","",VLOOKUP($B27,'C-1 On-Site WaterC'' Baseline'!$C$9:$Y$257,22,FALSE))</f>
        <v/>
      </c>
      <c r="AY27" s="30" t="str">
        <f t="shared" si="8"/>
        <v/>
      </c>
      <c r="AZ27" s="30" t="str">
        <f>IF(B27="","",VLOOKUP($B27,'C-1 On-Site WaterC'' Baseline'!$C$9:$Y$257,21,FALSE))</f>
        <v/>
      </c>
      <c r="BA27" s="30" t="str">
        <f>IF(B27="","",VLOOKUP($B27,'C-1 On-Site WaterC'' Baseline'!$C$9:$Y$257,19,FALSE))</f>
        <v/>
      </c>
      <c r="BD27" s="30" t="str">
        <f t="shared" si="9"/>
        <v>No</v>
      </c>
    </row>
    <row r="28" spans="2:56" ht="13.8" x14ac:dyDescent="0.25">
      <c r="B28" s="311" t="str">
        <f>'C-1 On-Site WaterC'' Baseline'!AP26</f>
        <v/>
      </c>
      <c r="C28" s="301" t="str">
        <f>IF(B28="","",VLOOKUP($B28,'C-1 On-Site WaterC'' Baseline'!$C$9:$R$257,2,FALSE))</f>
        <v/>
      </c>
      <c r="D28" s="301" t="str">
        <f>IF(C28="","",VLOOKUP($B28,'C-1 On-Site WaterC'' Baseline'!$C$9:$R$257,3,FALSE))</f>
        <v/>
      </c>
      <c r="E28" s="301" t="str">
        <f>IF(D28="","",VLOOKUP($B28,'C-1 On-Site WaterC'' Baseline'!$C$9:$R$257,4,FALSE))</f>
        <v/>
      </c>
      <c r="F28" s="301" t="str">
        <f>IF(E28="","",VLOOKUP($B28,'C-1 On-Site WaterC'' Baseline'!$C$9:$R$257,5,FALSE))</f>
        <v/>
      </c>
      <c r="G28" s="301" t="str">
        <f>IF(F28="","",VLOOKUP($B28,'C-1 On-Site WaterC'' Baseline'!$C$9:$R$257,6,FALSE))</f>
        <v/>
      </c>
      <c r="H28" s="301" t="str">
        <f>IF(G28="","",VLOOKUP($B28,'C-1 On-Site WaterC'' Baseline'!$C$9:$R$257,7,FALSE))</f>
        <v/>
      </c>
      <c r="I28" s="301" t="str">
        <f>IF(H28="","",VLOOKUP($B28,'C-1 On-Site WaterC'' Baseline'!$C$9:$R$257,8,FALSE))</f>
        <v/>
      </c>
      <c r="J28" s="301" t="str">
        <f>IF(I28="","",VLOOKUP($B28,'C-1 On-Site WaterC'' Baseline'!$C$9:$R$257,9,FALSE))</f>
        <v/>
      </c>
      <c r="K28" s="301" t="str">
        <f>IF(J28="","",VLOOKUP($B28,'C-1 On-Site WaterC'' Baseline'!$C$9:$R$257,10,FALSE))</f>
        <v/>
      </c>
      <c r="L28" s="301" t="str">
        <f>IF(B28="","",VLOOKUP($B28,'C-1 On-Site WaterC'' Baseline'!$C$9:$R$257,15,FALSE))</f>
        <v/>
      </c>
      <c r="M28" s="305" t="str">
        <f>IF(L28="","",VLOOKUP($B28,'C-1 On-Site WaterC'' Baseline'!$C$9:$R$257,16,FALSE))</f>
        <v/>
      </c>
      <c r="N28" s="251"/>
      <c r="O28" s="281" t="str">
        <f t="shared" si="1"/>
        <v/>
      </c>
      <c r="P28" s="282" t="str">
        <f t="shared" si="2"/>
        <v/>
      </c>
      <c r="Q28" s="342" t="str">
        <f>IF(N28="","",VLOOKUP(B28,'C-1 On-Site WaterC'' Baseline'!$C$10:$AC$257,20,FALSE))</f>
        <v/>
      </c>
      <c r="R28" s="281" t="str">
        <f>IF(N28="","",VLOOKUP(N28,'G-7 WaterC'' Data'!$B$2:$G$8,2,FALSE))</f>
        <v/>
      </c>
      <c r="S28" s="282" t="str">
        <f>IFERROR(VLOOKUP(R28,'G-7 WaterC'' Data'!$C$4:$D$8,2,FALSE),"")</f>
        <v/>
      </c>
      <c r="T28" s="105"/>
      <c r="U28" s="282" t="str">
        <f>IFERROR(INDEX('G-7 WaterC'' Data'!$H$4:$L$8,MATCH(N28,'G-7 WaterC'' Data'!$B$4:$B$8,0),MATCH(T28,'G-7 WaterC'' Data'!$H$3:$L$3,0)),"")</f>
        <v/>
      </c>
      <c r="V28" s="105"/>
      <c r="W28" s="289" t="str">
        <f>IF(V28="","",IF(VLOOKUP(V28,'G-7 WaterC'' Data'!$AK$4:$AM$6,2,FALSE)=0,"Spatial Data Missing ⚠",VLOOKUP(V28,'G-7 WaterC'' Data'!$AK$4:$AM$6,2,FALSE)))</f>
        <v/>
      </c>
      <c r="X28" s="282" t="str">
        <f>IF(V28="","",IF(VLOOKUP(V28,'G-7 WaterC'' Data'!$AK$4:$AM$6,3,FALSE)=0,"Spatial Data Missing ⚠",VLOOKUP(V28,'G-7 WaterC'' Data'!$AK$4:$AM$6,3,FALSE)))</f>
        <v/>
      </c>
      <c r="Y28" s="281" t="str">
        <f>IFERROR(IF(OR(LEFT(P28,5)="Error",LEFT(O28,5)="Error"),"Check Data ⚠",IF(F28&lt;S28,'G-7 WaterC'' Data'!$R$3,INDEX('G-7 WaterC'' Data'!$U$5:$Y$9,MATCH(G28,'G-7 WaterC'' Data'!$T$5:$T$9,0),MATCH(T28,'G-7 WaterC'' Data'!$U$4:$Y$4,0)))),"")</f>
        <v/>
      </c>
      <c r="Z28" s="137"/>
      <c r="AA28" s="137"/>
      <c r="AB28" s="289" t="str">
        <f t="shared" si="3"/>
        <v/>
      </c>
      <c r="AC28" s="302" t="str">
        <f t="shared" si="4"/>
        <v/>
      </c>
      <c r="AD28" s="340" t="str">
        <f>IFERROR(IF(AC28="Check Data ⚠","Check Data ⚠",VLOOKUP(AC28,'G-4 Temporal multipliers'!$A$4:$C$37,3,FALSE)),"")</f>
        <v/>
      </c>
      <c r="AE28" s="281" t="str">
        <f>IF(N28="","",VLOOKUP(N28,'G-7 WaterC'' Data'!$B$4:$G$8,5,FALSE))</f>
        <v/>
      </c>
      <c r="AF28" s="289" t="str">
        <f t="shared" si="5"/>
        <v/>
      </c>
      <c r="AG28" s="320" t="str">
        <f t="shared" si="6"/>
        <v/>
      </c>
      <c r="AH28" s="282" t="str">
        <f t="shared" si="0"/>
        <v/>
      </c>
      <c r="AI28" s="109"/>
      <c r="AJ28" s="282" t="str">
        <f>IF(AI28="","",IF(AND(AI28="N/A - Culvert",N28&lt;&gt;"Culvert"),"Not possible ▲",IF(VLOOKUP(AI28,'G-7 WaterC'' Data'!$AA$4:$AB$7,2,FALSE)=0,"Spatial Data Missing ⚠",VLOOKUP(AI28,'G-7 WaterC'' Data'!$AA$4:$AB$7,2,FALSE))))</f>
        <v/>
      </c>
      <c r="AK28" s="110"/>
      <c r="AL28" s="282" t="str">
        <f>IF(AK28="","",IF(AND(AK28="N/A - Culvert",N28&lt;&gt;"Culvert"),"Not possible ▲",IF(VLOOKUP(AK28,'G-7 WaterC'' Data'!$AD$4:$AE$14,2,FALSE)=0,"Spatial Data Missing ⚠",VLOOKUP(AK28,'G-7 WaterC'' Data'!$AD$4:$AE$14,2,FALSE))))</f>
        <v/>
      </c>
      <c r="AM28" s="323" t="str">
        <f t="shared" si="7"/>
        <v/>
      </c>
      <c r="AN28" s="105"/>
      <c r="AO28" s="119"/>
      <c r="AP28" s="108"/>
      <c r="AS28" s="30" t="str">
        <f>IF(B28="","",IF(ISNA(VLOOKUP($B28,'C-1 On-Site WaterC'' Baseline'!$C$8:$AD$257,17,FALSE)),"",(VLOOKUP($B28,'C-1 On-Site WaterC'' Baseline'!$C$8:$AD$257,17,FALSE))))</f>
        <v/>
      </c>
      <c r="AT28" s="30" t="str">
        <f>IF(B28="","",VLOOKUP($B28,'C-1 On-Site WaterC'' Baseline'!$C$9:$Z$257,12,FALSE))</f>
        <v/>
      </c>
      <c r="AU28" s="30" t="str">
        <f>IF(B28="","",VLOOKUP($B28,'C-1 On-Site WaterC'' Baseline'!$C$9:$Z$257,14,FALSE))</f>
        <v/>
      </c>
      <c r="AV28" s="30" t="str">
        <f>IFERROR(INDEX('G-7 WaterC'' Data'!$AZ$3:$AZ$7,MATCH(N28,'G-7 WaterC'' Data'!$AY$3:$AY$7,0)),"")</f>
        <v/>
      </c>
      <c r="AX28" s="30" t="str">
        <f>IF(B28="","",VLOOKUP($B28,'C-1 On-Site WaterC'' Baseline'!$C$9:$Y$257,22,FALSE))</f>
        <v/>
      </c>
      <c r="AY28" s="30" t="str">
        <f t="shared" si="8"/>
        <v/>
      </c>
      <c r="AZ28" s="30" t="str">
        <f>IF(B28="","",VLOOKUP($B28,'C-1 On-Site WaterC'' Baseline'!$C$9:$Y$257,21,FALSE))</f>
        <v/>
      </c>
      <c r="BA28" s="30" t="str">
        <f>IF(B28="","",VLOOKUP($B28,'C-1 On-Site WaterC'' Baseline'!$C$9:$Y$257,19,FALSE))</f>
        <v/>
      </c>
      <c r="BD28" s="30" t="str">
        <f t="shared" si="9"/>
        <v>No</v>
      </c>
    </row>
    <row r="29" spans="2:56" ht="13.8" x14ac:dyDescent="0.25">
      <c r="B29" s="311" t="str">
        <f>'C-1 On-Site WaterC'' Baseline'!AP27</f>
        <v/>
      </c>
      <c r="C29" s="301" t="str">
        <f>IF(B29="","",VLOOKUP($B29,'C-1 On-Site WaterC'' Baseline'!$C$9:$R$257,2,FALSE))</f>
        <v/>
      </c>
      <c r="D29" s="301" t="str">
        <f>IF(C29="","",VLOOKUP($B29,'C-1 On-Site WaterC'' Baseline'!$C$9:$R$257,3,FALSE))</f>
        <v/>
      </c>
      <c r="E29" s="301" t="str">
        <f>IF(D29="","",VLOOKUP($B29,'C-1 On-Site WaterC'' Baseline'!$C$9:$R$257,4,FALSE))</f>
        <v/>
      </c>
      <c r="F29" s="301" t="str">
        <f>IF(E29="","",VLOOKUP($B29,'C-1 On-Site WaterC'' Baseline'!$C$9:$R$257,5,FALSE))</f>
        <v/>
      </c>
      <c r="G29" s="301" t="str">
        <f>IF(F29="","",VLOOKUP($B29,'C-1 On-Site WaterC'' Baseline'!$C$9:$R$257,6,FALSE))</f>
        <v/>
      </c>
      <c r="H29" s="301" t="str">
        <f>IF(G29="","",VLOOKUP($B29,'C-1 On-Site WaterC'' Baseline'!$C$9:$R$257,7,FALSE))</f>
        <v/>
      </c>
      <c r="I29" s="301" t="str">
        <f>IF(H29="","",VLOOKUP($B29,'C-1 On-Site WaterC'' Baseline'!$C$9:$R$257,8,FALSE))</f>
        <v/>
      </c>
      <c r="J29" s="301" t="str">
        <f>IF(I29="","",VLOOKUP($B29,'C-1 On-Site WaterC'' Baseline'!$C$9:$R$257,9,FALSE))</f>
        <v/>
      </c>
      <c r="K29" s="301" t="str">
        <f>IF(J29="","",VLOOKUP($B29,'C-1 On-Site WaterC'' Baseline'!$C$9:$R$257,10,FALSE))</f>
        <v/>
      </c>
      <c r="L29" s="301" t="str">
        <f>IF(B29="","",VLOOKUP($B29,'C-1 On-Site WaterC'' Baseline'!$C$9:$R$257,15,FALSE))</f>
        <v/>
      </c>
      <c r="M29" s="305" t="str">
        <f>IF(L29="","",VLOOKUP($B29,'C-1 On-Site WaterC'' Baseline'!$C$9:$R$257,16,FALSE))</f>
        <v/>
      </c>
      <c r="N29" s="251"/>
      <c r="O29" s="281" t="str">
        <f t="shared" si="1"/>
        <v/>
      </c>
      <c r="P29" s="282" t="str">
        <f t="shared" si="2"/>
        <v/>
      </c>
      <c r="Q29" s="342" t="str">
        <f>IF(N29="","",VLOOKUP(B29,'C-1 On-Site WaterC'' Baseline'!$C$10:$AC$257,20,FALSE))</f>
        <v/>
      </c>
      <c r="R29" s="281" t="str">
        <f>IF(N29="","",VLOOKUP(N29,'G-7 WaterC'' Data'!$B$2:$G$8,2,FALSE))</f>
        <v/>
      </c>
      <c r="S29" s="282" t="str">
        <f>IFERROR(VLOOKUP(R29,'G-7 WaterC'' Data'!$C$4:$D$8,2,FALSE),"")</f>
        <v/>
      </c>
      <c r="T29" s="105"/>
      <c r="U29" s="282" t="str">
        <f>IFERROR(INDEX('G-7 WaterC'' Data'!$H$4:$L$8,MATCH(N29,'G-7 WaterC'' Data'!$B$4:$B$8,0),MATCH(T29,'G-7 WaterC'' Data'!$H$3:$L$3,0)),"")</f>
        <v/>
      </c>
      <c r="V29" s="105"/>
      <c r="W29" s="289" t="str">
        <f>IF(V29="","",IF(VLOOKUP(V29,'G-7 WaterC'' Data'!$AK$4:$AM$6,2,FALSE)=0,"Spatial Data Missing ⚠",VLOOKUP(V29,'G-7 WaterC'' Data'!$AK$4:$AM$6,2,FALSE)))</f>
        <v/>
      </c>
      <c r="X29" s="282" t="str">
        <f>IF(V29="","",IF(VLOOKUP(V29,'G-7 WaterC'' Data'!$AK$4:$AM$6,3,FALSE)=0,"Spatial Data Missing ⚠",VLOOKUP(V29,'G-7 WaterC'' Data'!$AK$4:$AM$6,3,FALSE)))</f>
        <v/>
      </c>
      <c r="Y29" s="281" t="str">
        <f>IFERROR(IF(OR(LEFT(P29,5)="Error",LEFT(O29,5)="Error"),"Check Data ⚠",IF(F29&lt;S29,'G-7 WaterC'' Data'!$R$3,INDEX('G-7 WaterC'' Data'!$U$5:$Y$9,MATCH(G29,'G-7 WaterC'' Data'!$T$5:$T$9,0),MATCH(T29,'G-7 WaterC'' Data'!$U$4:$Y$4,0)))),"")</f>
        <v/>
      </c>
      <c r="Z29" s="137"/>
      <c r="AA29" s="137"/>
      <c r="AB29" s="289" t="str">
        <f t="shared" si="3"/>
        <v/>
      </c>
      <c r="AC29" s="302" t="str">
        <f t="shared" si="4"/>
        <v/>
      </c>
      <c r="AD29" s="340" t="str">
        <f>IFERROR(IF(AC29="Check Data ⚠","Check Data ⚠",VLOOKUP(AC29,'G-4 Temporal multipliers'!$A$4:$C$37,3,FALSE)),"")</f>
        <v/>
      </c>
      <c r="AE29" s="281" t="str">
        <f>IF(N29="","",VLOOKUP(N29,'G-7 WaterC'' Data'!$B$4:$G$8,5,FALSE))</f>
        <v/>
      </c>
      <c r="AF29" s="289" t="str">
        <f t="shared" si="5"/>
        <v/>
      </c>
      <c r="AG29" s="320" t="str">
        <f t="shared" si="6"/>
        <v/>
      </c>
      <c r="AH29" s="282" t="str">
        <f t="shared" si="0"/>
        <v/>
      </c>
      <c r="AI29" s="109"/>
      <c r="AJ29" s="282" t="str">
        <f>IF(AI29="","",IF(AND(AI29="N/A - Culvert",N29&lt;&gt;"Culvert"),"Not possible ▲",IF(VLOOKUP(AI29,'G-7 WaterC'' Data'!$AA$4:$AB$7,2,FALSE)=0,"Spatial Data Missing ⚠",VLOOKUP(AI29,'G-7 WaterC'' Data'!$AA$4:$AB$7,2,FALSE))))</f>
        <v/>
      </c>
      <c r="AK29" s="110"/>
      <c r="AL29" s="282" t="str">
        <f>IF(AK29="","",IF(AND(AK29="N/A - Culvert",N29&lt;&gt;"Culvert"),"Not possible ▲",IF(VLOOKUP(AK29,'G-7 WaterC'' Data'!$AD$4:$AE$14,2,FALSE)=0,"Spatial Data Missing ⚠",VLOOKUP(AK29,'G-7 WaterC'' Data'!$AD$4:$AE$14,2,FALSE))))</f>
        <v/>
      </c>
      <c r="AM29" s="323" t="str">
        <f t="shared" si="7"/>
        <v/>
      </c>
      <c r="AN29" s="105"/>
      <c r="AO29" s="119"/>
      <c r="AP29" s="108"/>
      <c r="AS29" s="30" t="str">
        <f>IF(B29="","",IF(ISNA(VLOOKUP($B29,'C-1 On-Site WaterC'' Baseline'!$C$8:$AD$257,17,FALSE)),"",(VLOOKUP($B29,'C-1 On-Site WaterC'' Baseline'!$C$8:$AD$257,17,FALSE))))</f>
        <v/>
      </c>
      <c r="AT29" s="30" t="str">
        <f>IF(B29="","",VLOOKUP($B29,'C-1 On-Site WaterC'' Baseline'!$C$9:$Z$257,12,FALSE))</f>
        <v/>
      </c>
      <c r="AU29" s="30" t="str">
        <f>IF(B29="","",VLOOKUP($B29,'C-1 On-Site WaterC'' Baseline'!$C$9:$Z$257,14,FALSE))</f>
        <v/>
      </c>
      <c r="AV29" s="30" t="str">
        <f>IFERROR(INDEX('G-7 WaterC'' Data'!$AZ$3:$AZ$7,MATCH(N29,'G-7 WaterC'' Data'!$AY$3:$AY$7,0)),"")</f>
        <v/>
      </c>
      <c r="AX29" s="30" t="str">
        <f>IF(B29="","",VLOOKUP($B29,'C-1 On-Site WaterC'' Baseline'!$C$9:$Y$257,22,FALSE))</f>
        <v/>
      </c>
      <c r="AY29" s="30" t="str">
        <f t="shared" si="8"/>
        <v/>
      </c>
      <c r="AZ29" s="30" t="str">
        <f>IF(B29="","",VLOOKUP($B29,'C-1 On-Site WaterC'' Baseline'!$C$9:$Y$257,21,FALSE))</f>
        <v/>
      </c>
      <c r="BA29" s="30" t="str">
        <f>IF(B29="","",VLOOKUP($B29,'C-1 On-Site WaterC'' Baseline'!$C$9:$Y$257,19,FALSE))</f>
        <v/>
      </c>
      <c r="BD29" s="30" t="str">
        <f t="shared" si="9"/>
        <v>No</v>
      </c>
    </row>
    <row r="30" spans="2:56" ht="13.8" x14ac:dyDescent="0.25">
      <c r="B30" s="311" t="str">
        <f>'C-1 On-Site WaterC'' Baseline'!AP28</f>
        <v/>
      </c>
      <c r="C30" s="301" t="str">
        <f>IF(B30="","",VLOOKUP($B30,'C-1 On-Site WaterC'' Baseline'!$C$9:$R$257,2,FALSE))</f>
        <v/>
      </c>
      <c r="D30" s="301" t="str">
        <f>IF(C30="","",VLOOKUP($B30,'C-1 On-Site WaterC'' Baseline'!$C$9:$R$257,3,FALSE))</f>
        <v/>
      </c>
      <c r="E30" s="301" t="str">
        <f>IF(D30="","",VLOOKUP($B30,'C-1 On-Site WaterC'' Baseline'!$C$9:$R$257,4,FALSE))</f>
        <v/>
      </c>
      <c r="F30" s="301" t="str">
        <f>IF(E30="","",VLOOKUP($B30,'C-1 On-Site WaterC'' Baseline'!$C$9:$R$257,5,FALSE))</f>
        <v/>
      </c>
      <c r="G30" s="301" t="str">
        <f>IF(F30="","",VLOOKUP($B30,'C-1 On-Site WaterC'' Baseline'!$C$9:$R$257,6,FALSE))</f>
        <v/>
      </c>
      <c r="H30" s="301" t="str">
        <f>IF(G30="","",VLOOKUP($B30,'C-1 On-Site WaterC'' Baseline'!$C$9:$R$257,7,FALSE))</f>
        <v/>
      </c>
      <c r="I30" s="301" t="str">
        <f>IF(H30="","",VLOOKUP($B30,'C-1 On-Site WaterC'' Baseline'!$C$9:$R$257,8,FALSE))</f>
        <v/>
      </c>
      <c r="J30" s="301" t="str">
        <f>IF(I30="","",VLOOKUP($B30,'C-1 On-Site WaterC'' Baseline'!$C$9:$R$257,9,FALSE))</f>
        <v/>
      </c>
      <c r="K30" s="301" t="str">
        <f>IF(J30="","",VLOOKUP($B30,'C-1 On-Site WaterC'' Baseline'!$C$9:$R$257,10,FALSE))</f>
        <v/>
      </c>
      <c r="L30" s="301" t="str">
        <f>IF(B30="","",VLOOKUP($B30,'C-1 On-Site WaterC'' Baseline'!$C$9:$R$257,15,FALSE))</f>
        <v/>
      </c>
      <c r="M30" s="305" t="str">
        <f>IF(L30="","",VLOOKUP($B30,'C-1 On-Site WaterC'' Baseline'!$C$9:$R$257,16,FALSE))</f>
        <v/>
      </c>
      <c r="N30" s="251"/>
      <c r="O30" s="281" t="str">
        <f t="shared" si="1"/>
        <v/>
      </c>
      <c r="P30" s="282" t="str">
        <f t="shared" si="2"/>
        <v/>
      </c>
      <c r="Q30" s="342" t="str">
        <f>IF(N30="","",VLOOKUP(B30,'C-1 On-Site WaterC'' Baseline'!$C$10:$AC$257,20,FALSE))</f>
        <v/>
      </c>
      <c r="R30" s="281" t="str">
        <f>IF(N30="","",VLOOKUP(N30,'G-7 WaterC'' Data'!$B$2:$G$8,2,FALSE))</f>
        <v/>
      </c>
      <c r="S30" s="282" t="str">
        <f>IFERROR(VLOOKUP(R30,'G-7 WaterC'' Data'!$C$4:$D$8,2,FALSE),"")</f>
        <v/>
      </c>
      <c r="T30" s="105"/>
      <c r="U30" s="282" t="str">
        <f>IFERROR(INDEX('G-7 WaterC'' Data'!$H$4:$L$8,MATCH(N30,'G-7 WaterC'' Data'!$B$4:$B$8,0),MATCH(T30,'G-7 WaterC'' Data'!$H$3:$L$3,0)),"")</f>
        <v/>
      </c>
      <c r="V30" s="105"/>
      <c r="W30" s="289" t="str">
        <f>IF(V30="","",IF(VLOOKUP(V30,'G-7 WaterC'' Data'!$AK$4:$AM$6,2,FALSE)=0,"Spatial Data Missing ⚠",VLOOKUP(V30,'G-7 WaterC'' Data'!$AK$4:$AM$6,2,FALSE)))</f>
        <v/>
      </c>
      <c r="X30" s="282" t="str">
        <f>IF(V30="","",IF(VLOOKUP(V30,'G-7 WaterC'' Data'!$AK$4:$AM$6,3,FALSE)=0,"Spatial Data Missing ⚠",VLOOKUP(V30,'G-7 WaterC'' Data'!$AK$4:$AM$6,3,FALSE)))</f>
        <v/>
      </c>
      <c r="Y30" s="281" t="str">
        <f>IFERROR(IF(OR(LEFT(P30,5)="Error",LEFT(O30,5)="Error"),"Check Data ⚠",IF(F30&lt;S30,'G-7 WaterC'' Data'!$R$3,INDEX('G-7 WaterC'' Data'!$U$5:$Y$9,MATCH(G30,'G-7 WaterC'' Data'!$T$5:$T$9,0),MATCH(T30,'G-7 WaterC'' Data'!$U$4:$Y$4,0)))),"")</f>
        <v/>
      </c>
      <c r="Z30" s="137"/>
      <c r="AA30" s="137"/>
      <c r="AB30" s="289" t="str">
        <f t="shared" si="3"/>
        <v/>
      </c>
      <c r="AC30" s="302" t="str">
        <f t="shared" si="4"/>
        <v/>
      </c>
      <c r="AD30" s="340" t="str">
        <f>IFERROR(IF(AC30="Check Data ⚠","Check Data ⚠",VLOOKUP(AC30,'G-4 Temporal multipliers'!$A$4:$C$37,3,FALSE)),"")</f>
        <v/>
      </c>
      <c r="AE30" s="281" t="str">
        <f>IF(N30="","",VLOOKUP(N30,'G-7 WaterC'' Data'!$B$4:$G$8,5,FALSE))</f>
        <v/>
      </c>
      <c r="AF30" s="289" t="str">
        <f t="shared" si="5"/>
        <v/>
      </c>
      <c r="AG30" s="320" t="str">
        <f t="shared" si="6"/>
        <v/>
      </c>
      <c r="AH30" s="282" t="str">
        <f t="shared" si="0"/>
        <v/>
      </c>
      <c r="AI30" s="109"/>
      <c r="AJ30" s="282" t="str">
        <f>IF(AI30="","",IF(AND(AI30="N/A - Culvert",N30&lt;&gt;"Culvert"),"Not possible ▲",IF(VLOOKUP(AI30,'G-7 WaterC'' Data'!$AA$4:$AB$7,2,FALSE)=0,"Spatial Data Missing ⚠",VLOOKUP(AI30,'G-7 WaterC'' Data'!$AA$4:$AB$7,2,FALSE))))</f>
        <v/>
      </c>
      <c r="AK30" s="110"/>
      <c r="AL30" s="282" t="str">
        <f>IF(AK30="","",IF(AND(AK30="N/A - Culvert",N30&lt;&gt;"Culvert"),"Not possible ▲",IF(VLOOKUP(AK30,'G-7 WaterC'' Data'!$AD$4:$AE$14,2,FALSE)=0,"Spatial Data Missing ⚠",VLOOKUP(AK30,'G-7 WaterC'' Data'!$AD$4:$AE$14,2,FALSE))))</f>
        <v/>
      </c>
      <c r="AM30" s="323" t="str">
        <f t="shared" si="7"/>
        <v/>
      </c>
      <c r="AN30" s="105"/>
      <c r="AO30" s="119"/>
      <c r="AP30" s="108"/>
      <c r="AS30" s="30" t="str">
        <f>IF(B30="","",IF(ISNA(VLOOKUP($B30,'C-1 On-Site WaterC'' Baseline'!$C$8:$AD$257,17,FALSE)),"",(VLOOKUP($B30,'C-1 On-Site WaterC'' Baseline'!$C$8:$AD$257,17,FALSE))))</f>
        <v/>
      </c>
      <c r="AT30" s="30" t="str">
        <f>IF(B30="","",VLOOKUP($B30,'C-1 On-Site WaterC'' Baseline'!$C$9:$Z$257,12,FALSE))</f>
        <v/>
      </c>
      <c r="AU30" s="30" t="str">
        <f>IF(B30="","",VLOOKUP($B30,'C-1 On-Site WaterC'' Baseline'!$C$9:$Z$257,14,FALSE))</f>
        <v/>
      </c>
      <c r="AV30" s="30" t="str">
        <f>IFERROR(INDEX('G-7 WaterC'' Data'!$AZ$3:$AZ$7,MATCH(N30,'G-7 WaterC'' Data'!$AY$3:$AY$7,0)),"")</f>
        <v/>
      </c>
      <c r="AX30" s="30" t="str">
        <f>IF(B30="","",VLOOKUP($B30,'C-1 On-Site WaterC'' Baseline'!$C$9:$Y$257,22,FALSE))</f>
        <v/>
      </c>
      <c r="AY30" s="30" t="str">
        <f t="shared" si="8"/>
        <v/>
      </c>
      <c r="AZ30" s="30" t="str">
        <f>IF(B30="","",VLOOKUP($B30,'C-1 On-Site WaterC'' Baseline'!$C$9:$Y$257,21,FALSE))</f>
        <v/>
      </c>
      <c r="BA30" s="30" t="str">
        <f>IF(B30="","",VLOOKUP($B30,'C-1 On-Site WaterC'' Baseline'!$C$9:$Y$257,19,FALSE))</f>
        <v/>
      </c>
      <c r="BD30" s="30" t="str">
        <f t="shared" si="9"/>
        <v>No</v>
      </c>
    </row>
    <row r="31" spans="2:56" ht="13.8" x14ac:dyDescent="0.25">
      <c r="B31" s="311" t="str">
        <f>'C-1 On-Site WaterC'' Baseline'!AP29</f>
        <v/>
      </c>
      <c r="C31" s="301" t="str">
        <f>IF(B31="","",VLOOKUP($B31,'C-1 On-Site WaterC'' Baseline'!$C$9:$R$257,2,FALSE))</f>
        <v/>
      </c>
      <c r="D31" s="301" t="str">
        <f>IF(C31="","",VLOOKUP($B31,'C-1 On-Site WaterC'' Baseline'!$C$9:$R$257,3,FALSE))</f>
        <v/>
      </c>
      <c r="E31" s="301" t="str">
        <f>IF(D31="","",VLOOKUP($B31,'C-1 On-Site WaterC'' Baseline'!$C$9:$R$257,4,FALSE))</f>
        <v/>
      </c>
      <c r="F31" s="301" t="str">
        <f>IF(E31="","",VLOOKUP($B31,'C-1 On-Site WaterC'' Baseline'!$C$9:$R$257,5,FALSE))</f>
        <v/>
      </c>
      <c r="G31" s="301" t="str">
        <f>IF(F31="","",VLOOKUP($B31,'C-1 On-Site WaterC'' Baseline'!$C$9:$R$257,6,FALSE))</f>
        <v/>
      </c>
      <c r="H31" s="301" t="str">
        <f>IF(G31="","",VLOOKUP($B31,'C-1 On-Site WaterC'' Baseline'!$C$9:$R$257,7,FALSE))</f>
        <v/>
      </c>
      <c r="I31" s="301" t="str">
        <f>IF(H31="","",VLOOKUP($B31,'C-1 On-Site WaterC'' Baseline'!$C$9:$R$257,8,FALSE))</f>
        <v/>
      </c>
      <c r="J31" s="301" t="str">
        <f>IF(I31="","",VLOOKUP($B31,'C-1 On-Site WaterC'' Baseline'!$C$9:$R$257,9,FALSE))</f>
        <v/>
      </c>
      <c r="K31" s="301" t="str">
        <f>IF(J31="","",VLOOKUP($B31,'C-1 On-Site WaterC'' Baseline'!$C$9:$R$257,10,FALSE))</f>
        <v/>
      </c>
      <c r="L31" s="301" t="str">
        <f>IF(B31="","",VLOOKUP($B31,'C-1 On-Site WaterC'' Baseline'!$C$9:$R$257,15,FALSE))</f>
        <v/>
      </c>
      <c r="M31" s="305" t="str">
        <f>IF(L31="","",VLOOKUP($B31,'C-1 On-Site WaterC'' Baseline'!$C$9:$R$257,16,FALSE))</f>
        <v/>
      </c>
      <c r="N31" s="251"/>
      <c r="O31" s="281" t="str">
        <f t="shared" si="1"/>
        <v/>
      </c>
      <c r="P31" s="282" t="str">
        <f t="shared" si="2"/>
        <v/>
      </c>
      <c r="Q31" s="342" t="str">
        <f>IF(N31="","",VLOOKUP(B31,'C-1 On-Site WaterC'' Baseline'!$C$10:$AC$257,20,FALSE))</f>
        <v/>
      </c>
      <c r="R31" s="281" t="str">
        <f>IF(N31="","",VLOOKUP(N31,'G-7 WaterC'' Data'!$B$2:$G$8,2,FALSE))</f>
        <v/>
      </c>
      <c r="S31" s="282" t="str">
        <f>IFERROR(VLOOKUP(R31,'G-7 WaterC'' Data'!$C$4:$D$8,2,FALSE),"")</f>
        <v/>
      </c>
      <c r="T31" s="105"/>
      <c r="U31" s="282" t="str">
        <f>IFERROR(INDEX('G-7 WaterC'' Data'!$H$4:$L$8,MATCH(N31,'G-7 WaterC'' Data'!$B$4:$B$8,0),MATCH(T31,'G-7 WaterC'' Data'!$H$3:$L$3,0)),"")</f>
        <v/>
      </c>
      <c r="V31" s="105"/>
      <c r="W31" s="289" t="str">
        <f>IF(V31="","",IF(VLOOKUP(V31,'G-7 WaterC'' Data'!$AK$4:$AM$6,2,FALSE)=0,"Spatial Data Missing ⚠",VLOOKUP(V31,'G-7 WaterC'' Data'!$AK$4:$AM$6,2,FALSE)))</f>
        <v/>
      </c>
      <c r="X31" s="282" t="str">
        <f>IF(V31="","",IF(VLOOKUP(V31,'G-7 WaterC'' Data'!$AK$4:$AM$6,3,FALSE)=0,"Spatial Data Missing ⚠",VLOOKUP(V31,'G-7 WaterC'' Data'!$AK$4:$AM$6,3,FALSE)))</f>
        <v/>
      </c>
      <c r="Y31" s="281" t="str">
        <f>IFERROR(IF(OR(LEFT(P31,5)="Error",LEFT(O31,5)="Error"),"Check Data ⚠",IF(F31&lt;S31,'G-7 WaterC'' Data'!$R$3,INDEX('G-7 WaterC'' Data'!$U$5:$Y$9,MATCH(G31,'G-7 WaterC'' Data'!$T$5:$T$9,0),MATCH(T31,'G-7 WaterC'' Data'!$U$4:$Y$4,0)))),"")</f>
        <v/>
      </c>
      <c r="Z31" s="137"/>
      <c r="AA31" s="137"/>
      <c r="AB31" s="289" t="str">
        <f t="shared" si="3"/>
        <v/>
      </c>
      <c r="AC31" s="302" t="str">
        <f t="shared" si="4"/>
        <v/>
      </c>
      <c r="AD31" s="340" t="str">
        <f>IFERROR(IF(AC31="Check Data ⚠","Check Data ⚠",VLOOKUP(AC31,'G-4 Temporal multipliers'!$A$4:$C$37,3,FALSE)),"")</f>
        <v/>
      </c>
      <c r="AE31" s="281" t="str">
        <f>IF(N31="","",VLOOKUP(N31,'G-7 WaterC'' Data'!$B$4:$G$8,5,FALSE))</f>
        <v/>
      </c>
      <c r="AF31" s="289" t="str">
        <f t="shared" si="5"/>
        <v/>
      </c>
      <c r="AG31" s="320" t="str">
        <f t="shared" si="6"/>
        <v/>
      </c>
      <c r="AH31" s="282" t="str">
        <f t="shared" si="0"/>
        <v/>
      </c>
      <c r="AI31" s="109"/>
      <c r="AJ31" s="282" t="str">
        <f>IF(AI31="","",IF(AND(AI31="N/A - Culvert",N31&lt;&gt;"Culvert"),"Not possible ▲",IF(VLOOKUP(AI31,'G-7 WaterC'' Data'!$AA$4:$AB$7,2,FALSE)=0,"Spatial Data Missing ⚠",VLOOKUP(AI31,'G-7 WaterC'' Data'!$AA$4:$AB$7,2,FALSE))))</f>
        <v/>
      </c>
      <c r="AK31" s="110"/>
      <c r="AL31" s="282" t="str">
        <f>IF(AK31="","",IF(AND(AK31="N/A - Culvert",N31&lt;&gt;"Culvert"),"Not possible ▲",IF(VLOOKUP(AK31,'G-7 WaterC'' Data'!$AD$4:$AE$14,2,FALSE)=0,"Spatial Data Missing ⚠",VLOOKUP(AK31,'G-7 WaterC'' Data'!$AD$4:$AE$14,2,FALSE))))</f>
        <v/>
      </c>
      <c r="AM31" s="323" t="str">
        <f t="shared" si="7"/>
        <v/>
      </c>
      <c r="AN31" s="105"/>
      <c r="AO31" s="119"/>
      <c r="AP31" s="108"/>
      <c r="AS31" s="30" t="str">
        <f>IF(B31="","",IF(ISNA(VLOOKUP($B31,'C-1 On-Site WaterC'' Baseline'!$C$8:$AD$257,17,FALSE)),"",(VLOOKUP($B31,'C-1 On-Site WaterC'' Baseline'!$C$8:$AD$257,17,FALSE))))</f>
        <v/>
      </c>
      <c r="AT31" s="30" t="str">
        <f>IF(B31="","",VLOOKUP($B31,'C-1 On-Site WaterC'' Baseline'!$C$9:$Z$257,12,FALSE))</f>
        <v/>
      </c>
      <c r="AU31" s="30" t="str">
        <f>IF(B31="","",VLOOKUP($B31,'C-1 On-Site WaterC'' Baseline'!$C$9:$Z$257,14,FALSE))</f>
        <v/>
      </c>
      <c r="AV31" s="30" t="str">
        <f>IFERROR(INDEX('G-7 WaterC'' Data'!$AZ$3:$AZ$7,MATCH(N31,'G-7 WaterC'' Data'!$AY$3:$AY$7,0)),"")</f>
        <v/>
      </c>
      <c r="AX31" s="30" t="str">
        <f>IF(B31="","",VLOOKUP($B31,'C-1 On-Site WaterC'' Baseline'!$C$9:$Y$257,22,FALSE))</f>
        <v/>
      </c>
      <c r="AY31" s="30" t="str">
        <f t="shared" si="8"/>
        <v/>
      </c>
      <c r="AZ31" s="30" t="str">
        <f>IF(B31="","",VLOOKUP($B31,'C-1 On-Site WaterC'' Baseline'!$C$9:$Y$257,21,FALSE))</f>
        <v/>
      </c>
      <c r="BA31" s="30" t="str">
        <f>IF(B31="","",VLOOKUP($B31,'C-1 On-Site WaterC'' Baseline'!$C$9:$Y$257,19,FALSE))</f>
        <v/>
      </c>
      <c r="BD31" s="30" t="str">
        <f t="shared" si="9"/>
        <v>No</v>
      </c>
    </row>
    <row r="32" spans="2:56" ht="13.8" x14ac:dyDescent="0.25">
      <c r="B32" s="311" t="str">
        <f>'C-1 On-Site WaterC'' Baseline'!AP30</f>
        <v/>
      </c>
      <c r="C32" s="301" t="str">
        <f>IF(B32="","",VLOOKUP($B32,'C-1 On-Site WaterC'' Baseline'!$C$9:$R$257,2,FALSE))</f>
        <v/>
      </c>
      <c r="D32" s="301" t="str">
        <f>IF(C32="","",VLOOKUP($B32,'C-1 On-Site WaterC'' Baseline'!$C$9:$R$257,3,FALSE))</f>
        <v/>
      </c>
      <c r="E32" s="301" t="str">
        <f>IF(D32="","",VLOOKUP($B32,'C-1 On-Site WaterC'' Baseline'!$C$9:$R$257,4,FALSE))</f>
        <v/>
      </c>
      <c r="F32" s="301" t="str">
        <f>IF(E32="","",VLOOKUP($B32,'C-1 On-Site WaterC'' Baseline'!$C$9:$R$257,5,FALSE))</f>
        <v/>
      </c>
      <c r="G32" s="301" t="str">
        <f>IF(F32="","",VLOOKUP($B32,'C-1 On-Site WaterC'' Baseline'!$C$9:$R$257,6,FALSE))</f>
        <v/>
      </c>
      <c r="H32" s="301" t="str">
        <f>IF(G32="","",VLOOKUP($B32,'C-1 On-Site WaterC'' Baseline'!$C$9:$R$257,7,FALSE))</f>
        <v/>
      </c>
      <c r="I32" s="301" t="str">
        <f>IF(H32="","",VLOOKUP($B32,'C-1 On-Site WaterC'' Baseline'!$C$9:$R$257,8,FALSE))</f>
        <v/>
      </c>
      <c r="J32" s="301" t="str">
        <f>IF(I32="","",VLOOKUP($B32,'C-1 On-Site WaterC'' Baseline'!$C$9:$R$257,9,FALSE))</f>
        <v/>
      </c>
      <c r="K32" s="301" t="str">
        <f>IF(J32="","",VLOOKUP($B32,'C-1 On-Site WaterC'' Baseline'!$C$9:$R$257,10,FALSE))</f>
        <v/>
      </c>
      <c r="L32" s="301" t="str">
        <f>IF(B32="","",VLOOKUP($B32,'C-1 On-Site WaterC'' Baseline'!$C$9:$R$257,15,FALSE))</f>
        <v/>
      </c>
      <c r="M32" s="305" t="str">
        <f>IF(L32="","",VLOOKUP($B32,'C-1 On-Site WaterC'' Baseline'!$C$9:$R$257,16,FALSE))</f>
        <v/>
      </c>
      <c r="N32" s="251"/>
      <c r="O32" s="281" t="str">
        <f t="shared" si="1"/>
        <v/>
      </c>
      <c r="P32" s="282" t="str">
        <f t="shared" si="2"/>
        <v/>
      </c>
      <c r="Q32" s="342" t="str">
        <f>IF(N32="","",VLOOKUP(B32,'C-1 On-Site WaterC'' Baseline'!$C$10:$AC$257,20,FALSE))</f>
        <v/>
      </c>
      <c r="R32" s="281" t="str">
        <f>IF(N32="","",VLOOKUP(N32,'G-7 WaterC'' Data'!$B$2:$G$8,2,FALSE))</f>
        <v/>
      </c>
      <c r="S32" s="282" t="str">
        <f>IFERROR(VLOOKUP(R32,'G-7 WaterC'' Data'!$C$4:$D$8,2,FALSE),"")</f>
        <v/>
      </c>
      <c r="T32" s="105"/>
      <c r="U32" s="282" t="str">
        <f>IFERROR(INDEX('G-7 WaterC'' Data'!$H$4:$L$8,MATCH(N32,'G-7 WaterC'' Data'!$B$4:$B$8,0),MATCH(T32,'G-7 WaterC'' Data'!$H$3:$L$3,0)),"")</f>
        <v/>
      </c>
      <c r="V32" s="105"/>
      <c r="W32" s="289" t="str">
        <f>IF(V32="","",IF(VLOOKUP(V32,'G-7 WaterC'' Data'!$AK$4:$AM$6,2,FALSE)=0,"Spatial Data Missing ⚠",VLOOKUP(V32,'G-7 WaterC'' Data'!$AK$4:$AM$6,2,FALSE)))</f>
        <v/>
      </c>
      <c r="X32" s="282" t="str">
        <f>IF(V32="","",IF(VLOOKUP(V32,'G-7 WaterC'' Data'!$AK$4:$AM$6,3,FALSE)=0,"Spatial Data Missing ⚠",VLOOKUP(V32,'G-7 WaterC'' Data'!$AK$4:$AM$6,3,FALSE)))</f>
        <v/>
      </c>
      <c r="Y32" s="281" t="str">
        <f>IFERROR(IF(OR(LEFT(P32,5)="Error",LEFT(O32,5)="Error"),"Check Data ⚠",IF(F32&lt;S32,'G-7 WaterC'' Data'!$R$3,INDEX('G-7 WaterC'' Data'!$U$5:$Y$9,MATCH(G32,'G-7 WaterC'' Data'!$T$5:$T$9,0),MATCH(T32,'G-7 WaterC'' Data'!$U$4:$Y$4,0)))),"")</f>
        <v/>
      </c>
      <c r="Z32" s="137"/>
      <c r="AA32" s="137"/>
      <c r="AB32" s="289" t="str">
        <f t="shared" si="3"/>
        <v/>
      </c>
      <c r="AC32" s="302" t="str">
        <f t="shared" si="4"/>
        <v/>
      </c>
      <c r="AD32" s="340" t="str">
        <f>IFERROR(IF(AC32="Check Data ⚠","Check Data ⚠",VLOOKUP(AC32,'G-4 Temporal multipliers'!$A$4:$C$37,3,FALSE)),"")</f>
        <v/>
      </c>
      <c r="AE32" s="281" t="str">
        <f>IF(N32="","",VLOOKUP(N32,'G-7 WaterC'' Data'!$B$4:$G$8,5,FALSE))</f>
        <v/>
      </c>
      <c r="AF32" s="289" t="str">
        <f t="shared" si="5"/>
        <v/>
      </c>
      <c r="AG32" s="320" t="str">
        <f t="shared" si="6"/>
        <v/>
      </c>
      <c r="AH32" s="282" t="str">
        <f t="shared" si="0"/>
        <v/>
      </c>
      <c r="AI32" s="109"/>
      <c r="AJ32" s="282" t="str">
        <f>IF(AI32="","",IF(AND(AI32="N/A - Culvert",N32&lt;&gt;"Culvert"),"Not possible ▲",IF(VLOOKUP(AI32,'G-7 WaterC'' Data'!$AA$4:$AB$7,2,FALSE)=0,"Spatial Data Missing ⚠",VLOOKUP(AI32,'G-7 WaterC'' Data'!$AA$4:$AB$7,2,FALSE))))</f>
        <v/>
      </c>
      <c r="AK32" s="110"/>
      <c r="AL32" s="282" t="str">
        <f>IF(AK32="","",IF(AND(AK32="N/A - Culvert",N32&lt;&gt;"Culvert"),"Not possible ▲",IF(VLOOKUP(AK32,'G-7 WaterC'' Data'!$AD$4:$AE$14,2,FALSE)=0,"Spatial Data Missing ⚠",VLOOKUP(AK32,'G-7 WaterC'' Data'!$AD$4:$AE$14,2,FALSE))))</f>
        <v/>
      </c>
      <c r="AM32" s="323" t="str">
        <f t="shared" si="7"/>
        <v/>
      </c>
      <c r="AN32" s="105"/>
      <c r="AO32" s="119"/>
      <c r="AP32" s="108"/>
      <c r="AS32" s="30" t="str">
        <f>IF(B32="","",IF(ISNA(VLOOKUP($B32,'C-1 On-Site WaterC'' Baseline'!$C$8:$AD$257,17,FALSE)),"",(VLOOKUP($B32,'C-1 On-Site WaterC'' Baseline'!$C$8:$AD$257,17,FALSE))))</f>
        <v/>
      </c>
      <c r="AT32" s="30" t="str">
        <f>IF(B32="","",VLOOKUP($B32,'C-1 On-Site WaterC'' Baseline'!$C$9:$Z$257,12,FALSE))</f>
        <v/>
      </c>
      <c r="AU32" s="30" t="str">
        <f>IF(B32="","",VLOOKUP($B32,'C-1 On-Site WaterC'' Baseline'!$C$9:$Z$257,14,FALSE))</f>
        <v/>
      </c>
      <c r="AV32" s="30" t="str">
        <f>IFERROR(INDEX('G-7 WaterC'' Data'!$AZ$3:$AZ$7,MATCH(N32,'G-7 WaterC'' Data'!$AY$3:$AY$7,0)),"")</f>
        <v/>
      </c>
      <c r="AX32" s="30" t="str">
        <f>IF(B32="","",VLOOKUP($B32,'C-1 On-Site WaterC'' Baseline'!$C$9:$Y$257,22,FALSE))</f>
        <v/>
      </c>
      <c r="AY32" s="30" t="str">
        <f t="shared" si="8"/>
        <v/>
      </c>
      <c r="AZ32" s="30" t="str">
        <f>IF(B32="","",VLOOKUP($B32,'C-1 On-Site WaterC'' Baseline'!$C$9:$Y$257,21,FALSE))</f>
        <v/>
      </c>
      <c r="BA32" s="30" t="str">
        <f>IF(B32="","",VLOOKUP($B32,'C-1 On-Site WaterC'' Baseline'!$C$9:$Y$257,19,FALSE))</f>
        <v/>
      </c>
      <c r="BD32" s="30" t="str">
        <f t="shared" si="9"/>
        <v>No</v>
      </c>
    </row>
    <row r="33" spans="2:56" ht="13.8" x14ac:dyDescent="0.25">
      <c r="B33" s="311" t="str">
        <f>'C-1 On-Site WaterC'' Baseline'!AP31</f>
        <v/>
      </c>
      <c r="C33" s="301" t="str">
        <f>IF(B33="","",VLOOKUP($B33,'C-1 On-Site WaterC'' Baseline'!$C$9:$R$257,2,FALSE))</f>
        <v/>
      </c>
      <c r="D33" s="301" t="str">
        <f>IF(C33="","",VLOOKUP($B33,'C-1 On-Site WaterC'' Baseline'!$C$9:$R$257,3,FALSE))</f>
        <v/>
      </c>
      <c r="E33" s="301" t="str">
        <f>IF(D33="","",VLOOKUP($B33,'C-1 On-Site WaterC'' Baseline'!$C$9:$R$257,4,FALSE))</f>
        <v/>
      </c>
      <c r="F33" s="301" t="str">
        <f>IF(E33="","",VLOOKUP($B33,'C-1 On-Site WaterC'' Baseline'!$C$9:$R$257,5,FALSE))</f>
        <v/>
      </c>
      <c r="G33" s="301" t="str">
        <f>IF(F33="","",VLOOKUP($B33,'C-1 On-Site WaterC'' Baseline'!$C$9:$R$257,6,FALSE))</f>
        <v/>
      </c>
      <c r="H33" s="301" t="str">
        <f>IF(G33="","",VLOOKUP($B33,'C-1 On-Site WaterC'' Baseline'!$C$9:$R$257,7,FALSE))</f>
        <v/>
      </c>
      <c r="I33" s="301" t="str">
        <f>IF(H33="","",VLOOKUP($B33,'C-1 On-Site WaterC'' Baseline'!$C$9:$R$257,8,FALSE))</f>
        <v/>
      </c>
      <c r="J33" s="301" t="str">
        <f>IF(I33="","",VLOOKUP($B33,'C-1 On-Site WaterC'' Baseline'!$C$9:$R$257,9,FALSE))</f>
        <v/>
      </c>
      <c r="K33" s="301" t="str">
        <f>IF(J33="","",VLOOKUP($B33,'C-1 On-Site WaterC'' Baseline'!$C$9:$R$257,10,FALSE))</f>
        <v/>
      </c>
      <c r="L33" s="301" t="str">
        <f>IF(B33="","",VLOOKUP($B33,'C-1 On-Site WaterC'' Baseline'!$C$9:$R$257,15,FALSE))</f>
        <v/>
      </c>
      <c r="M33" s="305" t="str">
        <f>IF(L33="","",VLOOKUP($B33,'C-1 On-Site WaterC'' Baseline'!$C$9:$R$257,16,FALSE))</f>
        <v/>
      </c>
      <c r="N33" s="251"/>
      <c r="O33" s="281" t="str">
        <f t="shared" si="1"/>
        <v/>
      </c>
      <c r="P33" s="282" t="str">
        <f t="shared" si="2"/>
        <v/>
      </c>
      <c r="Q33" s="342" t="str">
        <f>IF(N33="","",VLOOKUP(B33,'C-1 On-Site WaterC'' Baseline'!$C$10:$AC$257,20,FALSE))</f>
        <v/>
      </c>
      <c r="R33" s="281" t="str">
        <f>IF(N33="","",VLOOKUP(N33,'G-7 WaterC'' Data'!$B$2:$G$8,2,FALSE))</f>
        <v/>
      </c>
      <c r="S33" s="282" t="str">
        <f>IFERROR(VLOOKUP(R33,'G-7 WaterC'' Data'!$C$4:$D$8,2,FALSE),"")</f>
        <v/>
      </c>
      <c r="T33" s="105"/>
      <c r="U33" s="282" t="str">
        <f>IFERROR(INDEX('G-7 WaterC'' Data'!$H$4:$L$8,MATCH(N33,'G-7 WaterC'' Data'!$B$4:$B$8,0),MATCH(T33,'G-7 WaterC'' Data'!$H$3:$L$3,0)),"")</f>
        <v/>
      </c>
      <c r="V33" s="105"/>
      <c r="W33" s="289" t="str">
        <f>IF(V33="","",IF(VLOOKUP(V33,'G-7 WaterC'' Data'!$AK$4:$AM$6,2,FALSE)=0,"Spatial Data Missing ⚠",VLOOKUP(V33,'G-7 WaterC'' Data'!$AK$4:$AM$6,2,FALSE)))</f>
        <v/>
      </c>
      <c r="X33" s="282" t="str">
        <f>IF(V33="","",IF(VLOOKUP(V33,'G-7 WaterC'' Data'!$AK$4:$AM$6,3,FALSE)=0,"Spatial Data Missing ⚠",VLOOKUP(V33,'G-7 WaterC'' Data'!$AK$4:$AM$6,3,FALSE)))</f>
        <v/>
      </c>
      <c r="Y33" s="281" t="str">
        <f>IFERROR(IF(OR(LEFT(P33,5)="Error",LEFT(O33,5)="Error"),"Check Data ⚠",IF(F33&lt;S33,'G-7 WaterC'' Data'!$R$3,INDEX('G-7 WaterC'' Data'!$U$5:$Y$9,MATCH(G33,'G-7 WaterC'' Data'!$T$5:$T$9,0),MATCH(T33,'G-7 WaterC'' Data'!$U$4:$Y$4,0)))),"")</f>
        <v/>
      </c>
      <c r="Z33" s="137"/>
      <c r="AA33" s="137"/>
      <c r="AB33" s="289" t="str">
        <f t="shared" si="3"/>
        <v/>
      </c>
      <c r="AC33" s="302" t="str">
        <f t="shared" si="4"/>
        <v/>
      </c>
      <c r="AD33" s="340" t="str">
        <f>IFERROR(IF(AC33="Check Data ⚠","Check Data ⚠",VLOOKUP(AC33,'G-4 Temporal multipliers'!$A$4:$C$37,3,FALSE)),"")</f>
        <v/>
      </c>
      <c r="AE33" s="281" t="str">
        <f>IF(N33="","",VLOOKUP(N33,'G-7 WaterC'' Data'!$B$4:$G$8,5,FALSE))</f>
        <v/>
      </c>
      <c r="AF33" s="289" t="str">
        <f t="shared" si="5"/>
        <v/>
      </c>
      <c r="AG33" s="320" t="str">
        <f t="shared" si="6"/>
        <v/>
      </c>
      <c r="AH33" s="282" t="str">
        <f t="shared" si="0"/>
        <v/>
      </c>
      <c r="AI33" s="109"/>
      <c r="AJ33" s="282" t="str">
        <f>IF(AI33="","",IF(AND(AI33="N/A - Culvert",N33&lt;&gt;"Culvert"),"Not possible ▲",IF(VLOOKUP(AI33,'G-7 WaterC'' Data'!$AA$4:$AB$7,2,FALSE)=0,"Spatial Data Missing ⚠",VLOOKUP(AI33,'G-7 WaterC'' Data'!$AA$4:$AB$7,2,FALSE))))</f>
        <v/>
      </c>
      <c r="AK33" s="110"/>
      <c r="AL33" s="282" t="str">
        <f>IF(AK33="","",IF(AND(AK33="N/A - Culvert",N33&lt;&gt;"Culvert"),"Not possible ▲",IF(VLOOKUP(AK33,'G-7 WaterC'' Data'!$AD$4:$AE$14,2,FALSE)=0,"Spatial Data Missing ⚠",VLOOKUP(AK33,'G-7 WaterC'' Data'!$AD$4:$AE$14,2,FALSE))))</f>
        <v/>
      </c>
      <c r="AM33" s="323" t="str">
        <f t="shared" si="7"/>
        <v/>
      </c>
      <c r="AN33" s="105"/>
      <c r="AO33" s="119"/>
      <c r="AP33" s="108"/>
      <c r="AS33" s="30" t="str">
        <f>IF(B33="","",IF(ISNA(VLOOKUP($B33,'C-1 On-Site WaterC'' Baseline'!$C$8:$AD$257,17,FALSE)),"",(VLOOKUP($B33,'C-1 On-Site WaterC'' Baseline'!$C$8:$AD$257,17,FALSE))))</f>
        <v/>
      </c>
      <c r="AT33" s="30" t="str">
        <f>IF(B33="","",VLOOKUP($B33,'C-1 On-Site WaterC'' Baseline'!$C$9:$Z$257,12,FALSE))</f>
        <v/>
      </c>
      <c r="AU33" s="30" t="str">
        <f>IF(B33="","",VLOOKUP($B33,'C-1 On-Site WaterC'' Baseline'!$C$9:$Z$257,14,FALSE))</f>
        <v/>
      </c>
      <c r="AV33" s="30" t="str">
        <f>IFERROR(INDEX('G-7 WaterC'' Data'!$AZ$3:$AZ$7,MATCH(N33,'G-7 WaterC'' Data'!$AY$3:$AY$7,0)),"")</f>
        <v/>
      </c>
      <c r="AX33" s="30" t="str">
        <f>IF(B33="","",VLOOKUP($B33,'C-1 On-Site WaterC'' Baseline'!$C$9:$Y$257,22,FALSE))</f>
        <v/>
      </c>
      <c r="AY33" s="30" t="str">
        <f t="shared" si="8"/>
        <v/>
      </c>
      <c r="AZ33" s="30" t="str">
        <f>IF(B33="","",VLOOKUP($B33,'C-1 On-Site WaterC'' Baseline'!$C$9:$Y$257,21,FALSE))</f>
        <v/>
      </c>
      <c r="BA33" s="30" t="str">
        <f>IF(B33="","",VLOOKUP($B33,'C-1 On-Site WaterC'' Baseline'!$C$9:$Y$257,19,FALSE))</f>
        <v/>
      </c>
      <c r="BD33" s="30" t="str">
        <f t="shared" si="9"/>
        <v>No</v>
      </c>
    </row>
    <row r="34" spans="2:56" ht="13.8" x14ac:dyDescent="0.25">
      <c r="B34" s="311" t="str">
        <f>'C-1 On-Site WaterC'' Baseline'!AP32</f>
        <v/>
      </c>
      <c r="C34" s="301" t="str">
        <f>IF(B34="","",VLOOKUP($B34,'C-1 On-Site WaterC'' Baseline'!$C$9:$R$257,2,FALSE))</f>
        <v/>
      </c>
      <c r="D34" s="301" t="str">
        <f>IF(C34="","",VLOOKUP($B34,'C-1 On-Site WaterC'' Baseline'!$C$9:$R$257,3,FALSE))</f>
        <v/>
      </c>
      <c r="E34" s="301" t="str">
        <f>IF(D34="","",VLOOKUP($B34,'C-1 On-Site WaterC'' Baseline'!$C$9:$R$257,4,FALSE))</f>
        <v/>
      </c>
      <c r="F34" s="301" t="str">
        <f>IF(E34="","",VLOOKUP($B34,'C-1 On-Site WaterC'' Baseline'!$C$9:$R$257,5,FALSE))</f>
        <v/>
      </c>
      <c r="G34" s="301" t="str">
        <f>IF(F34="","",VLOOKUP($B34,'C-1 On-Site WaterC'' Baseline'!$C$9:$R$257,6,FALSE))</f>
        <v/>
      </c>
      <c r="H34" s="301" t="str">
        <f>IF(G34="","",VLOOKUP($B34,'C-1 On-Site WaterC'' Baseline'!$C$9:$R$257,7,FALSE))</f>
        <v/>
      </c>
      <c r="I34" s="301" t="str">
        <f>IF(H34="","",VLOOKUP($B34,'C-1 On-Site WaterC'' Baseline'!$C$9:$R$257,8,FALSE))</f>
        <v/>
      </c>
      <c r="J34" s="301" t="str">
        <f>IF(I34="","",VLOOKUP($B34,'C-1 On-Site WaterC'' Baseline'!$C$9:$R$257,9,FALSE))</f>
        <v/>
      </c>
      <c r="K34" s="301" t="str">
        <f>IF(J34="","",VLOOKUP($B34,'C-1 On-Site WaterC'' Baseline'!$C$9:$R$257,10,FALSE))</f>
        <v/>
      </c>
      <c r="L34" s="301" t="str">
        <f>IF(B34="","",VLOOKUP($B34,'C-1 On-Site WaterC'' Baseline'!$C$9:$R$257,15,FALSE))</f>
        <v/>
      </c>
      <c r="M34" s="305" t="str">
        <f>IF(L34="","",VLOOKUP($B34,'C-1 On-Site WaterC'' Baseline'!$C$9:$R$257,16,FALSE))</f>
        <v/>
      </c>
      <c r="N34" s="251"/>
      <c r="O34" s="281" t="str">
        <f t="shared" si="1"/>
        <v/>
      </c>
      <c r="P34" s="282" t="str">
        <f t="shared" si="2"/>
        <v/>
      </c>
      <c r="Q34" s="342" t="str">
        <f>IF(N34="","",VLOOKUP(B34,'C-1 On-Site WaterC'' Baseline'!$C$10:$AC$257,20,FALSE))</f>
        <v/>
      </c>
      <c r="R34" s="281" t="str">
        <f>IF(N34="","",VLOOKUP(N34,'G-7 WaterC'' Data'!$B$2:$G$8,2,FALSE))</f>
        <v/>
      </c>
      <c r="S34" s="282" t="str">
        <f>IFERROR(VLOOKUP(R34,'G-7 WaterC'' Data'!$C$4:$D$8,2,FALSE),"")</f>
        <v/>
      </c>
      <c r="T34" s="105"/>
      <c r="U34" s="282" t="str">
        <f>IFERROR(INDEX('G-7 WaterC'' Data'!$H$4:$L$8,MATCH(N34,'G-7 WaterC'' Data'!$B$4:$B$8,0),MATCH(T34,'G-7 WaterC'' Data'!$H$3:$L$3,0)),"")</f>
        <v/>
      </c>
      <c r="V34" s="105"/>
      <c r="W34" s="289" t="str">
        <f>IF(V34="","",IF(VLOOKUP(V34,'G-7 WaterC'' Data'!$AK$4:$AM$6,2,FALSE)=0,"Spatial Data Missing ⚠",VLOOKUP(V34,'G-7 WaterC'' Data'!$AK$4:$AM$6,2,FALSE)))</f>
        <v/>
      </c>
      <c r="X34" s="282" t="str">
        <f>IF(V34="","",IF(VLOOKUP(V34,'G-7 WaterC'' Data'!$AK$4:$AM$6,3,FALSE)=0,"Spatial Data Missing ⚠",VLOOKUP(V34,'G-7 WaterC'' Data'!$AK$4:$AM$6,3,FALSE)))</f>
        <v/>
      </c>
      <c r="Y34" s="281" t="str">
        <f>IFERROR(IF(OR(LEFT(P34,5)="Error",LEFT(O34,5)="Error"),"Check Data ⚠",IF(F34&lt;S34,'G-7 WaterC'' Data'!$R$3,INDEX('G-7 WaterC'' Data'!$U$5:$Y$9,MATCH(G34,'G-7 WaterC'' Data'!$T$5:$T$9,0),MATCH(T34,'G-7 WaterC'' Data'!$U$4:$Y$4,0)))),"")</f>
        <v/>
      </c>
      <c r="Z34" s="137"/>
      <c r="AA34" s="137"/>
      <c r="AB34" s="289" t="str">
        <f t="shared" si="3"/>
        <v/>
      </c>
      <c r="AC34" s="302" t="str">
        <f t="shared" si="4"/>
        <v/>
      </c>
      <c r="AD34" s="340" t="str">
        <f>IFERROR(IF(AC34="Check Data ⚠","Check Data ⚠",VLOOKUP(AC34,'G-4 Temporal multipliers'!$A$4:$C$37,3,FALSE)),"")</f>
        <v/>
      </c>
      <c r="AE34" s="281" t="str">
        <f>IF(N34="","",VLOOKUP(N34,'G-7 WaterC'' Data'!$B$4:$G$8,5,FALSE))</f>
        <v/>
      </c>
      <c r="AF34" s="289" t="str">
        <f t="shared" si="5"/>
        <v/>
      </c>
      <c r="AG34" s="320" t="str">
        <f t="shared" si="6"/>
        <v/>
      </c>
      <c r="AH34" s="282" t="str">
        <f t="shared" si="0"/>
        <v/>
      </c>
      <c r="AI34" s="109"/>
      <c r="AJ34" s="282" t="str">
        <f>IF(AI34="","",IF(AND(AI34="N/A - Culvert",N34&lt;&gt;"Culvert"),"Not possible ▲",IF(VLOOKUP(AI34,'G-7 WaterC'' Data'!$AA$4:$AB$7,2,FALSE)=0,"Spatial Data Missing ⚠",VLOOKUP(AI34,'G-7 WaterC'' Data'!$AA$4:$AB$7,2,FALSE))))</f>
        <v/>
      </c>
      <c r="AK34" s="110"/>
      <c r="AL34" s="282" t="str">
        <f>IF(AK34="","",IF(AND(AK34="N/A - Culvert",N34&lt;&gt;"Culvert"),"Not possible ▲",IF(VLOOKUP(AK34,'G-7 WaterC'' Data'!$AD$4:$AE$14,2,FALSE)=0,"Spatial Data Missing ⚠",VLOOKUP(AK34,'G-7 WaterC'' Data'!$AD$4:$AE$14,2,FALSE))))</f>
        <v/>
      </c>
      <c r="AM34" s="323" t="str">
        <f t="shared" si="7"/>
        <v/>
      </c>
      <c r="AN34" s="105"/>
      <c r="AO34" s="119"/>
      <c r="AP34" s="108"/>
      <c r="AS34" s="30" t="str">
        <f>IF(B34="","",IF(ISNA(VLOOKUP($B34,'C-1 On-Site WaterC'' Baseline'!$C$8:$AD$257,17,FALSE)),"",(VLOOKUP($B34,'C-1 On-Site WaterC'' Baseline'!$C$8:$AD$257,17,FALSE))))</f>
        <v/>
      </c>
      <c r="AT34" s="30" t="str">
        <f>IF(B34="","",VLOOKUP($B34,'C-1 On-Site WaterC'' Baseline'!$C$9:$Z$257,12,FALSE))</f>
        <v/>
      </c>
      <c r="AU34" s="30" t="str">
        <f>IF(B34="","",VLOOKUP($B34,'C-1 On-Site WaterC'' Baseline'!$C$9:$Z$257,14,FALSE))</f>
        <v/>
      </c>
      <c r="AV34" s="30" t="str">
        <f>IFERROR(INDEX('G-7 WaterC'' Data'!$AZ$3:$AZ$7,MATCH(N34,'G-7 WaterC'' Data'!$AY$3:$AY$7,0)),"")</f>
        <v/>
      </c>
      <c r="AX34" s="30" t="str">
        <f>IF(B34="","",VLOOKUP($B34,'C-1 On-Site WaterC'' Baseline'!$C$9:$Y$257,22,FALSE))</f>
        <v/>
      </c>
      <c r="AY34" s="30" t="str">
        <f t="shared" si="8"/>
        <v/>
      </c>
      <c r="AZ34" s="30" t="str">
        <f>IF(B34="","",VLOOKUP($B34,'C-1 On-Site WaterC'' Baseline'!$C$9:$Y$257,21,FALSE))</f>
        <v/>
      </c>
      <c r="BA34" s="30" t="str">
        <f>IF(B34="","",VLOOKUP($B34,'C-1 On-Site WaterC'' Baseline'!$C$9:$Y$257,19,FALSE))</f>
        <v/>
      </c>
      <c r="BD34" s="30" t="str">
        <f t="shared" si="9"/>
        <v>No</v>
      </c>
    </row>
    <row r="35" spans="2:56" ht="13.8" x14ac:dyDescent="0.25">
      <c r="B35" s="311" t="str">
        <f>'C-1 On-Site WaterC'' Baseline'!AP33</f>
        <v/>
      </c>
      <c r="C35" s="301" t="str">
        <f>IF(B35="","",VLOOKUP($B35,'C-1 On-Site WaterC'' Baseline'!$C$9:$R$257,2,FALSE))</f>
        <v/>
      </c>
      <c r="D35" s="301" t="str">
        <f>IF(C35="","",VLOOKUP($B35,'C-1 On-Site WaterC'' Baseline'!$C$9:$R$257,3,FALSE))</f>
        <v/>
      </c>
      <c r="E35" s="301" t="str">
        <f>IF(D35="","",VLOOKUP($B35,'C-1 On-Site WaterC'' Baseline'!$C$9:$R$257,4,FALSE))</f>
        <v/>
      </c>
      <c r="F35" s="301" t="str">
        <f>IF(E35="","",VLOOKUP($B35,'C-1 On-Site WaterC'' Baseline'!$C$9:$R$257,5,FALSE))</f>
        <v/>
      </c>
      <c r="G35" s="301" t="str">
        <f>IF(F35="","",VLOOKUP($B35,'C-1 On-Site WaterC'' Baseline'!$C$9:$R$257,6,FALSE))</f>
        <v/>
      </c>
      <c r="H35" s="301" t="str">
        <f>IF(G35="","",VLOOKUP($B35,'C-1 On-Site WaterC'' Baseline'!$C$9:$R$257,7,FALSE))</f>
        <v/>
      </c>
      <c r="I35" s="301" t="str">
        <f>IF(H35="","",VLOOKUP($B35,'C-1 On-Site WaterC'' Baseline'!$C$9:$R$257,8,FALSE))</f>
        <v/>
      </c>
      <c r="J35" s="301" t="str">
        <f>IF(I35="","",VLOOKUP($B35,'C-1 On-Site WaterC'' Baseline'!$C$9:$R$257,9,FALSE))</f>
        <v/>
      </c>
      <c r="K35" s="301" t="str">
        <f>IF(J35="","",VLOOKUP($B35,'C-1 On-Site WaterC'' Baseline'!$C$9:$R$257,10,FALSE))</f>
        <v/>
      </c>
      <c r="L35" s="301" t="str">
        <f>IF(B35="","",VLOOKUP($B35,'C-1 On-Site WaterC'' Baseline'!$C$9:$R$257,15,FALSE))</f>
        <v/>
      </c>
      <c r="M35" s="305" t="str">
        <f>IF(L35="","",VLOOKUP($B35,'C-1 On-Site WaterC'' Baseline'!$C$9:$R$257,16,FALSE))</f>
        <v/>
      </c>
      <c r="N35" s="251"/>
      <c r="O35" s="281" t="str">
        <f t="shared" si="1"/>
        <v/>
      </c>
      <c r="P35" s="282" t="str">
        <f t="shared" si="2"/>
        <v/>
      </c>
      <c r="Q35" s="342" t="str">
        <f>IF(N35="","",VLOOKUP(B35,'C-1 On-Site WaterC'' Baseline'!$C$10:$AC$257,20,FALSE))</f>
        <v/>
      </c>
      <c r="R35" s="281" t="str">
        <f>IF(N35="","",VLOOKUP(N35,'G-7 WaterC'' Data'!$B$2:$G$8,2,FALSE))</f>
        <v/>
      </c>
      <c r="S35" s="282" t="str">
        <f>IFERROR(VLOOKUP(R35,'G-7 WaterC'' Data'!$C$4:$D$8,2,FALSE),"")</f>
        <v/>
      </c>
      <c r="T35" s="105"/>
      <c r="U35" s="282" t="str">
        <f>IFERROR(INDEX('G-7 WaterC'' Data'!$H$4:$L$8,MATCH(N35,'G-7 WaterC'' Data'!$B$4:$B$8,0),MATCH(T35,'G-7 WaterC'' Data'!$H$3:$L$3,0)),"")</f>
        <v/>
      </c>
      <c r="V35" s="105"/>
      <c r="W35" s="289" t="str">
        <f>IF(V35="","",IF(VLOOKUP(V35,'G-7 WaterC'' Data'!$AK$4:$AM$6,2,FALSE)=0,"Spatial Data Missing ⚠",VLOOKUP(V35,'G-7 WaterC'' Data'!$AK$4:$AM$6,2,FALSE)))</f>
        <v/>
      </c>
      <c r="X35" s="282" t="str">
        <f>IF(V35="","",IF(VLOOKUP(V35,'G-7 WaterC'' Data'!$AK$4:$AM$6,3,FALSE)=0,"Spatial Data Missing ⚠",VLOOKUP(V35,'G-7 WaterC'' Data'!$AK$4:$AM$6,3,FALSE)))</f>
        <v/>
      </c>
      <c r="Y35" s="281" t="str">
        <f>IFERROR(IF(OR(LEFT(P35,5)="Error",LEFT(O35,5)="Error"),"Check Data ⚠",IF(F35&lt;S35,'G-7 WaterC'' Data'!$R$3,INDEX('G-7 WaterC'' Data'!$U$5:$Y$9,MATCH(G35,'G-7 WaterC'' Data'!$T$5:$T$9,0),MATCH(T35,'G-7 WaterC'' Data'!$U$4:$Y$4,0)))),"")</f>
        <v/>
      </c>
      <c r="Z35" s="137"/>
      <c r="AA35" s="137"/>
      <c r="AB35" s="289" t="str">
        <f t="shared" si="3"/>
        <v/>
      </c>
      <c r="AC35" s="302" t="str">
        <f t="shared" si="4"/>
        <v/>
      </c>
      <c r="AD35" s="340" t="str">
        <f>IFERROR(IF(AC35="Check Data ⚠","Check Data ⚠",VLOOKUP(AC35,'G-4 Temporal multipliers'!$A$4:$C$37,3,FALSE)),"")</f>
        <v/>
      </c>
      <c r="AE35" s="281" t="str">
        <f>IF(N35="","",VLOOKUP(N35,'G-7 WaterC'' Data'!$B$4:$G$8,5,FALSE))</f>
        <v/>
      </c>
      <c r="AF35" s="289" t="str">
        <f t="shared" si="5"/>
        <v/>
      </c>
      <c r="AG35" s="320" t="str">
        <f t="shared" si="6"/>
        <v/>
      </c>
      <c r="AH35" s="282" t="str">
        <f t="shared" si="0"/>
        <v/>
      </c>
      <c r="AI35" s="109"/>
      <c r="AJ35" s="282" t="str">
        <f>IF(AI35="","",IF(AND(AI35="N/A - Culvert",N35&lt;&gt;"Culvert"),"Not possible ▲",IF(VLOOKUP(AI35,'G-7 WaterC'' Data'!$AA$4:$AB$7,2,FALSE)=0,"Spatial Data Missing ⚠",VLOOKUP(AI35,'G-7 WaterC'' Data'!$AA$4:$AB$7,2,FALSE))))</f>
        <v/>
      </c>
      <c r="AK35" s="110"/>
      <c r="AL35" s="282" t="str">
        <f>IF(AK35="","",IF(AND(AK35="N/A - Culvert",N35&lt;&gt;"Culvert"),"Not possible ▲",IF(VLOOKUP(AK35,'G-7 WaterC'' Data'!$AD$4:$AE$14,2,FALSE)=0,"Spatial Data Missing ⚠",VLOOKUP(AK35,'G-7 WaterC'' Data'!$AD$4:$AE$14,2,FALSE))))</f>
        <v/>
      </c>
      <c r="AM35" s="323" t="str">
        <f t="shared" si="7"/>
        <v/>
      </c>
      <c r="AN35" s="105"/>
      <c r="AO35" s="119"/>
      <c r="AP35" s="108"/>
      <c r="AS35" s="30" t="str">
        <f>IF(B35="","",IF(ISNA(VLOOKUP($B35,'C-1 On-Site WaterC'' Baseline'!$C$8:$AD$257,17,FALSE)),"",(VLOOKUP($B35,'C-1 On-Site WaterC'' Baseline'!$C$8:$AD$257,17,FALSE))))</f>
        <v/>
      </c>
      <c r="AT35" s="30" t="str">
        <f>IF(B35="","",VLOOKUP($B35,'C-1 On-Site WaterC'' Baseline'!$C$9:$Z$257,12,FALSE))</f>
        <v/>
      </c>
      <c r="AU35" s="30" t="str">
        <f>IF(B35="","",VLOOKUP($B35,'C-1 On-Site WaterC'' Baseline'!$C$9:$Z$257,14,FALSE))</f>
        <v/>
      </c>
      <c r="AV35" s="30" t="str">
        <f>IFERROR(INDEX('G-7 WaterC'' Data'!$AZ$3:$AZ$7,MATCH(N35,'G-7 WaterC'' Data'!$AY$3:$AY$7,0)),"")</f>
        <v/>
      </c>
      <c r="AX35" s="30" t="str">
        <f>IF(B35="","",VLOOKUP($B35,'C-1 On-Site WaterC'' Baseline'!$C$9:$Y$257,22,FALSE))</f>
        <v/>
      </c>
      <c r="AY35" s="30" t="str">
        <f t="shared" si="8"/>
        <v/>
      </c>
      <c r="AZ35" s="30" t="str">
        <f>IF(B35="","",VLOOKUP($B35,'C-1 On-Site WaterC'' Baseline'!$C$9:$Y$257,21,FALSE))</f>
        <v/>
      </c>
      <c r="BA35" s="30" t="str">
        <f>IF(B35="","",VLOOKUP($B35,'C-1 On-Site WaterC'' Baseline'!$C$9:$Y$257,19,FALSE))</f>
        <v/>
      </c>
      <c r="BD35" s="30" t="str">
        <f t="shared" si="9"/>
        <v>No</v>
      </c>
    </row>
    <row r="36" spans="2:56" ht="13.8" x14ac:dyDescent="0.25">
      <c r="B36" s="311" t="str">
        <f>'C-1 On-Site WaterC'' Baseline'!AP34</f>
        <v/>
      </c>
      <c r="C36" s="301" t="str">
        <f>IF(B36="","",VLOOKUP($B36,'C-1 On-Site WaterC'' Baseline'!$C$9:$R$257,2,FALSE))</f>
        <v/>
      </c>
      <c r="D36" s="301" t="str">
        <f>IF(C36="","",VLOOKUP($B36,'C-1 On-Site WaterC'' Baseline'!$C$9:$R$257,3,FALSE))</f>
        <v/>
      </c>
      <c r="E36" s="301" t="str">
        <f>IF(D36="","",VLOOKUP($B36,'C-1 On-Site WaterC'' Baseline'!$C$9:$R$257,4,FALSE))</f>
        <v/>
      </c>
      <c r="F36" s="301" t="str">
        <f>IF(E36="","",VLOOKUP($B36,'C-1 On-Site WaterC'' Baseline'!$C$9:$R$257,5,FALSE))</f>
        <v/>
      </c>
      <c r="G36" s="301" t="str">
        <f>IF(F36="","",VLOOKUP($B36,'C-1 On-Site WaterC'' Baseline'!$C$9:$R$257,6,FALSE))</f>
        <v/>
      </c>
      <c r="H36" s="301" t="str">
        <f>IF(G36="","",VLOOKUP($B36,'C-1 On-Site WaterC'' Baseline'!$C$9:$R$257,7,FALSE))</f>
        <v/>
      </c>
      <c r="I36" s="301" t="str">
        <f>IF(H36="","",VLOOKUP($B36,'C-1 On-Site WaterC'' Baseline'!$C$9:$R$257,8,FALSE))</f>
        <v/>
      </c>
      <c r="J36" s="301" t="str">
        <f>IF(I36="","",VLOOKUP($B36,'C-1 On-Site WaterC'' Baseline'!$C$9:$R$257,9,FALSE))</f>
        <v/>
      </c>
      <c r="K36" s="301" t="str">
        <f>IF(J36="","",VLOOKUP($B36,'C-1 On-Site WaterC'' Baseline'!$C$9:$R$257,10,FALSE))</f>
        <v/>
      </c>
      <c r="L36" s="301" t="str">
        <f>IF(B36="","",VLOOKUP($B36,'C-1 On-Site WaterC'' Baseline'!$C$9:$R$257,15,FALSE))</f>
        <v/>
      </c>
      <c r="M36" s="305" t="str">
        <f>IF(L36="","",VLOOKUP($B36,'C-1 On-Site WaterC'' Baseline'!$C$9:$R$257,16,FALSE))</f>
        <v/>
      </c>
      <c r="N36" s="251"/>
      <c r="O36" s="281" t="str">
        <f t="shared" si="1"/>
        <v/>
      </c>
      <c r="P36" s="282" t="str">
        <f t="shared" si="2"/>
        <v/>
      </c>
      <c r="Q36" s="342" t="str">
        <f>IF(N36="","",VLOOKUP(B36,'C-1 On-Site WaterC'' Baseline'!$C$10:$AC$257,20,FALSE))</f>
        <v/>
      </c>
      <c r="R36" s="281" t="str">
        <f>IF(N36="","",VLOOKUP(N36,'G-7 WaterC'' Data'!$B$2:$G$8,2,FALSE))</f>
        <v/>
      </c>
      <c r="S36" s="282" t="str">
        <f>IFERROR(VLOOKUP(R36,'G-7 WaterC'' Data'!$C$4:$D$8,2,FALSE),"")</f>
        <v/>
      </c>
      <c r="T36" s="105"/>
      <c r="U36" s="282" t="str">
        <f>IFERROR(INDEX('G-7 WaterC'' Data'!$H$4:$L$8,MATCH(N36,'G-7 WaterC'' Data'!$B$4:$B$8,0),MATCH(T36,'G-7 WaterC'' Data'!$H$3:$L$3,0)),"")</f>
        <v/>
      </c>
      <c r="V36" s="105"/>
      <c r="W36" s="289" t="str">
        <f>IF(V36="","",IF(VLOOKUP(V36,'G-7 WaterC'' Data'!$AK$4:$AM$6,2,FALSE)=0,"Spatial Data Missing ⚠",VLOOKUP(V36,'G-7 WaterC'' Data'!$AK$4:$AM$6,2,FALSE)))</f>
        <v/>
      </c>
      <c r="X36" s="282" t="str">
        <f>IF(V36="","",IF(VLOOKUP(V36,'G-7 WaterC'' Data'!$AK$4:$AM$6,3,FALSE)=0,"Spatial Data Missing ⚠",VLOOKUP(V36,'G-7 WaterC'' Data'!$AK$4:$AM$6,3,FALSE)))</f>
        <v/>
      </c>
      <c r="Y36" s="281" t="str">
        <f>IFERROR(IF(OR(LEFT(P36,5)="Error",LEFT(O36,5)="Error"),"Check Data ⚠",IF(F36&lt;S36,'G-7 WaterC'' Data'!$R$3,INDEX('G-7 WaterC'' Data'!$U$5:$Y$9,MATCH(G36,'G-7 WaterC'' Data'!$T$5:$T$9,0),MATCH(T36,'G-7 WaterC'' Data'!$U$4:$Y$4,0)))),"")</f>
        <v/>
      </c>
      <c r="Z36" s="137"/>
      <c r="AA36" s="137"/>
      <c r="AB36" s="289" t="str">
        <f t="shared" si="3"/>
        <v/>
      </c>
      <c r="AC36" s="302" t="str">
        <f t="shared" si="4"/>
        <v/>
      </c>
      <c r="AD36" s="340" t="str">
        <f>IFERROR(IF(AC36="Check Data ⚠","Check Data ⚠",VLOOKUP(AC36,'G-4 Temporal multipliers'!$A$4:$C$37,3,FALSE)),"")</f>
        <v/>
      </c>
      <c r="AE36" s="281" t="str">
        <f>IF(N36="","",VLOOKUP(N36,'G-7 WaterC'' Data'!$B$4:$G$8,5,FALSE))</f>
        <v/>
      </c>
      <c r="AF36" s="289" t="str">
        <f t="shared" si="5"/>
        <v/>
      </c>
      <c r="AG36" s="320" t="str">
        <f t="shared" si="6"/>
        <v/>
      </c>
      <c r="AH36" s="282" t="str">
        <f t="shared" si="0"/>
        <v/>
      </c>
      <c r="AI36" s="109"/>
      <c r="AJ36" s="282" t="str">
        <f>IF(AI36="","",IF(AND(AI36="N/A - Culvert",N36&lt;&gt;"Culvert"),"Not possible ▲",IF(VLOOKUP(AI36,'G-7 WaterC'' Data'!$AA$4:$AB$7,2,FALSE)=0,"Spatial Data Missing ⚠",VLOOKUP(AI36,'G-7 WaterC'' Data'!$AA$4:$AB$7,2,FALSE))))</f>
        <v/>
      </c>
      <c r="AK36" s="110"/>
      <c r="AL36" s="282" t="str">
        <f>IF(AK36="","",IF(AND(AK36="N/A - Culvert",N36&lt;&gt;"Culvert"),"Not possible ▲",IF(VLOOKUP(AK36,'G-7 WaterC'' Data'!$AD$4:$AE$14,2,FALSE)=0,"Spatial Data Missing ⚠",VLOOKUP(AK36,'G-7 WaterC'' Data'!$AD$4:$AE$14,2,FALSE))))</f>
        <v/>
      </c>
      <c r="AM36" s="323" t="str">
        <f t="shared" si="7"/>
        <v/>
      </c>
      <c r="AN36" s="105"/>
      <c r="AO36" s="119"/>
      <c r="AP36" s="108"/>
      <c r="AS36" s="30" t="str">
        <f>IF(B36="","",IF(ISNA(VLOOKUP($B36,'C-1 On-Site WaterC'' Baseline'!$C$8:$AD$257,17,FALSE)),"",(VLOOKUP($B36,'C-1 On-Site WaterC'' Baseline'!$C$8:$AD$257,17,FALSE))))</f>
        <v/>
      </c>
      <c r="AT36" s="30" t="str">
        <f>IF(B36="","",VLOOKUP($B36,'C-1 On-Site WaterC'' Baseline'!$C$9:$Z$257,12,FALSE))</f>
        <v/>
      </c>
      <c r="AU36" s="30" t="str">
        <f>IF(B36="","",VLOOKUP($B36,'C-1 On-Site WaterC'' Baseline'!$C$9:$Z$257,14,FALSE))</f>
        <v/>
      </c>
      <c r="AV36" s="30" t="str">
        <f>IFERROR(INDEX('G-7 WaterC'' Data'!$AZ$3:$AZ$7,MATCH(N36,'G-7 WaterC'' Data'!$AY$3:$AY$7,0)),"")</f>
        <v/>
      </c>
      <c r="AX36" s="30" t="str">
        <f>IF(B36="","",VLOOKUP($B36,'C-1 On-Site WaterC'' Baseline'!$C$9:$Y$257,22,FALSE))</f>
        <v/>
      </c>
      <c r="AY36" s="30" t="str">
        <f t="shared" si="8"/>
        <v/>
      </c>
      <c r="AZ36" s="30" t="str">
        <f>IF(B36="","",VLOOKUP($B36,'C-1 On-Site WaterC'' Baseline'!$C$9:$Y$257,21,FALSE))</f>
        <v/>
      </c>
      <c r="BA36" s="30" t="str">
        <f>IF(B36="","",VLOOKUP($B36,'C-1 On-Site WaterC'' Baseline'!$C$9:$Y$257,19,FALSE))</f>
        <v/>
      </c>
      <c r="BD36" s="30" t="str">
        <f t="shared" si="9"/>
        <v>No</v>
      </c>
    </row>
    <row r="37" spans="2:56" ht="13.8" x14ac:dyDescent="0.25">
      <c r="B37" s="311" t="str">
        <f>'C-1 On-Site WaterC'' Baseline'!AP35</f>
        <v/>
      </c>
      <c r="C37" s="301" t="str">
        <f>IF(B37="","",VLOOKUP($B37,'C-1 On-Site WaterC'' Baseline'!$C$9:$R$257,2,FALSE))</f>
        <v/>
      </c>
      <c r="D37" s="301" t="str">
        <f>IF(C37="","",VLOOKUP($B37,'C-1 On-Site WaterC'' Baseline'!$C$9:$R$257,3,FALSE))</f>
        <v/>
      </c>
      <c r="E37" s="301" t="str">
        <f>IF(D37="","",VLOOKUP($B37,'C-1 On-Site WaterC'' Baseline'!$C$9:$R$257,4,FALSE))</f>
        <v/>
      </c>
      <c r="F37" s="301" t="str">
        <f>IF(E37="","",VLOOKUP($B37,'C-1 On-Site WaterC'' Baseline'!$C$9:$R$257,5,FALSE))</f>
        <v/>
      </c>
      <c r="G37" s="301" t="str">
        <f>IF(F37="","",VLOOKUP($B37,'C-1 On-Site WaterC'' Baseline'!$C$9:$R$257,6,FALSE))</f>
        <v/>
      </c>
      <c r="H37" s="301" t="str">
        <f>IF(G37="","",VLOOKUP($B37,'C-1 On-Site WaterC'' Baseline'!$C$9:$R$257,7,FALSE))</f>
        <v/>
      </c>
      <c r="I37" s="301" t="str">
        <f>IF(H37="","",VLOOKUP($B37,'C-1 On-Site WaterC'' Baseline'!$C$9:$R$257,8,FALSE))</f>
        <v/>
      </c>
      <c r="J37" s="301" t="str">
        <f>IF(I37="","",VLOOKUP($B37,'C-1 On-Site WaterC'' Baseline'!$C$9:$R$257,9,FALSE))</f>
        <v/>
      </c>
      <c r="K37" s="301" t="str">
        <f>IF(J37="","",VLOOKUP($B37,'C-1 On-Site WaterC'' Baseline'!$C$9:$R$257,10,FALSE))</f>
        <v/>
      </c>
      <c r="L37" s="301" t="str">
        <f>IF(B37="","",VLOOKUP($B37,'C-1 On-Site WaterC'' Baseline'!$C$9:$R$257,15,FALSE))</f>
        <v/>
      </c>
      <c r="M37" s="305" t="str">
        <f>IF(L37="","",VLOOKUP($B37,'C-1 On-Site WaterC'' Baseline'!$C$9:$R$257,16,FALSE))</f>
        <v/>
      </c>
      <c r="N37" s="251"/>
      <c r="O37" s="281" t="str">
        <f t="shared" si="1"/>
        <v/>
      </c>
      <c r="P37" s="282" t="str">
        <f t="shared" si="2"/>
        <v/>
      </c>
      <c r="Q37" s="342" t="str">
        <f>IF(N37="","",VLOOKUP(B37,'C-1 On-Site WaterC'' Baseline'!$C$10:$AC$257,20,FALSE))</f>
        <v/>
      </c>
      <c r="R37" s="281" t="str">
        <f>IF(N37="","",VLOOKUP(N37,'G-7 WaterC'' Data'!$B$2:$G$8,2,FALSE))</f>
        <v/>
      </c>
      <c r="S37" s="282" t="str">
        <f>IFERROR(VLOOKUP(R37,'G-7 WaterC'' Data'!$C$4:$D$8,2,FALSE),"")</f>
        <v/>
      </c>
      <c r="T37" s="105"/>
      <c r="U37" s="282" t="str">
        <f>IFERROR(INDEX('G-7 WaterC'' Data'!$H$4:$L$8,MATCH(N37,'G-7 WaterC'' Data'!$B$4:$B$8,0),MATCH(T37,'G-7 WaterC'' Data'!$H$3:$L$3,0)),"")</f>
        <v/>
      </c>
      <c r="V37" s="105"/>
      <c r="W37" s="289" t="str">
        <f>IF(V37="","",IF(VLOOKUP(V37,'G-7 WaterC'' Data'!$AK$4:$AM$6,2,FALSE)=0,"Spatial Data Missing ⚠",VLOOKUP(V37,'G-7 WaterC'' Data'!$AK$4:$AM$6,2,FALSE)))</f>
        <v/>
      </c>
      <c r="X37" s="282" t="str">
        <f>IF(V37="","",IF(VLOOKUP(V37,'G-7 WaterC'' Data'!$AK$4:$AM$6,3,FALSE)=0,"Spatial Data Missing ⚠",VLOOKUP(V37,'G-7 WaterC'' Data'!$AK$4:$AM$6,3,FALSE)))</f>
        <v/>
      </c>
      <c r="Y37" s="281" t="str">
        <f>IFERROR(IF(OR(LEFT(P37,5)="Error",LEFT(O37,5)="Error"),"Check Data ⚠",IF(F37&lt;S37,'G-7 WaterC'' Data'!$R$3,INDEX('G-7 WaterC'' Data'!$U$5:$Y$9,MATCH(G37,'G-7 WaterC'' Data'!$T$5:$T$9,0),MATCH(T37,'G-7 WaterC'' Data'!$U$4:$Y$4,0)))),"")</f>
        <v/>
      </c>
      <c r="Z37" s="137"/>
      <c r="AA37" s="137"/>
      <c r="AB37" s="289" t="str">
        <f t="shared" si="3"/>
        <v/>
      </c>
      <c r="AC37" s="302" t="str">
        <f t="shared" si="4"/>
        <v/>
      </c>
      <c r="AD37" s="340" t="str">
        <f>IFERROR(IF(AC37="Check Data ⚠","Check Data ⚠",VLOOKUP(AC37,'G-4 Temporal multipliers'!$A$4:$C$37,3,FALSE)),"")</f>
        <v/>
      </c>
      <c r="AE37" s="281" t="str">
        <f>IF(N37="","",VLOOKUP(N37,'G-7 WaterC'' Data'!$B$4:$G$8,5,FALSE))</f>
        <v/>
      </c>
      <c r="AF37" s="289" t="str">
        <f t="shared" si="5"/>
        <v/>
      </c>
      <c r="AG37" s="320" t="str">
        <f t="shared" si="6"/>
        <v/>
      </c>
      <c r="AH37" s="282" t="str">
        <f t="shared" si="0"/>
        <v/>
      </c>
      <c r="AI37" s="109"/>
      <c r="AJ37" s="282" t="str">
        <f>IF(AI37="","",IF(AND(AI37="N/A - Culvert",N37&lt;&gt;"Culvert"),"Not possible ▲",IF(VLOOKUP(AI37,'G-7 WaterC'' Data'!$AA$4:$AB$7,2,FALSE)=0,"Spatial Data Missing ⚠",VLOOKUP(AI37,'G-7 WaterC'' Data'!$AA$4:$AB$7,2,FALSE))))</f>
        <v/>
      </c>
      <c r="AK37" s="110"/>
      <c r="AL37" s="282" t="str">
        <f>IF(AK37="","",IF(AND(AK37="N/A - Culvert",N37&lt;&gt;"Culvert"),"Not possible ▲",IF(VLOOKUP(AK37,'G-7 WaterC'' Data'!$AD$4:$AE$14,2,FALSE)=0,"Spatial Data Missing ⚠",VLOOKUP(AK37,'G-7 WaterC'' Data'!$AD$4:$AE$14,2,FALSE))))</f>
        <v/>
      </c>
      <c r="AM37" s="323" t="str">
        <f t="shared" si="7"/>
        <v/>
      </c>
      <c r="AN37" s="105"/>
      <c r="AO37" s="119"/>
      <c r="AP37" s="108"/>
      <c r="AS37" s="30" t="str">
        <f>IF(B37="","",IF(ISNA(VLOOKUP($B37,'C-1 On-Site WaterC'' Baseline'!$C$8:$AD$257,17,FALSE)),"",(VLOOKUP($B37,'C-1 On-Site WaterC'' Baseline'!$C$8:$AD$257,17,FALSE))))</f>
        <v/>
      </c>
      <c r="AT37" s="30" t="str">
        <f>IF(B37="","",VLOOKUP($B37,'C-1 On-Site WaterC'' Baseline'!$C$9:$Z$257,12,FALSE))</f>
        <v/>
      </c>
      <c r="AU37" s="30" t="str">
        <f>IF(B37="","",VLOOKUP($B37,'C-1 On-Site WaterC'' Baseline'!$C$9:$Z$257,14,FALSE))</f>
        <v/>
      </c>
      <c r="AV37" s="30" t="str">
        <f>IFERROR(INDEX('G-7 WaterC'' Data'!$AZ$3:$AZ$7,MATCH(N37,'G-7 WaterC'' Data'!$AY$3:$AY$7,0)),"")</f>
        <v/>
      </c>
      <c r="AX37" s="30" t="str">
        <f>IF(B37="","",VLOOKUP($B37,'C-1 On-Site WaterC'' Baseline'!$C$9:$Y$257,22,FALSE))</f>
        <v/>
      </c>
      <c r="AY37" s="30" t="str">
        <f t="shared" si="8"/>
        <v/>
      </c>
      <c r="AZ37" s="30" t="str">
        <f>IF(B37="","",VLOOKUP($B37,'C-1 On-Site WaterC'' Baseline'!$C$9:$Y$257,21,FALSE))</f>
        <v/>
      </c>
      <c r="BA37" s="30" t="str">
        <f>IF(B37="","",VLOOKUP($B37,'C-1 On-Site WaterC'' Baseline'!$C$9:$Y$257,19,FALSE))</f>
        <v/>
      </c>
      <c r="BD37" s="30" t="str">
        <f t="shared" si="9"/>
        <v>No</v>
      </c>
    </row>
    <row r="38" spans="2:56" ht="13.8" x14ac:dyDescent="0.25">
      <c r="B38" s="311" t="str">
        <f>'C-1 On-Site WaterC'' Baseline'!AP36</f>
        <v/>
      </c>
      <c r="C38" s="301" t="str">
        <f>IF(B38="","",VLOOKUP($B38,'C-1 On-Site WaterC'' Baseline'!$C$9:$R$257,2,FALSE))</f>
        <v/>
      </c>
      <c r="D38" s="301" t="str">
        <f>IF(C38="","",VLOOKUP($B38,'C-1 On-Site WaterC'' Baseline'!$C$9:$R$257,3,FALSE))</f>
        <v/>
      </c>
      <c r="E38" s="301" t="str">
        <f>IF(D38="","",VLOOKUP($B38,'C-1 On-Site WaterC'' Baseline'!$C$9:$R$257,4,FALSE))</f>
        <v/>
      </c>
      <c r="F38" s="301" t="str">
        <f>IF(E38="","",VLOOKUP($B38,'C-1 On-Site WaterC'' Baseline'!$C$9:$R$257,5,FALSE))</f>
        <v/>
      </c>
      <c r="G38" s="301" t="str">
        <f>IF(F38="","",VLOOKUP($B38,'C-1 On-Site WaterC'' Baseline'!$C$9:$R$257,6,FALSE))</f>
        <v/>
      </c>
      <c r="H38" s="301" t="str">
        <f>IF(G38="","",VLOOKUP($B38,'C-1 On-Site WaterC'' Baseline'!$C$9:$R$257,7,FALSE))</f>
        <v/>
      </c>
      <c r="I38" s="301" t="str">
        <f>IF(H38="","",VLOOKUP($B38,'C-1 On-Site WaterC'' Baseline'!$C$9:$R$257,8,FALSE))</f>
        <v/>
      </c>
      <c r="J38" s="301" t="str">
        <f>IF(I38="","",VLOOKUP($B38,'C-1 On-Site WaterC'' Baseline'!$C$9:$R$257,9,FALSE))</f>
        <v/>
      </c>
      <c r="K38" s="301" t="str">
        <f>IF(J38="","",VLOOKUP($B38,'C-1 On-Site WaterC'' Baseline'!$C$9:$R$257,10,FALSE))</f>
        <v/>
      </c>
      <c r="L38" s="301" t="str">
        <f>IF(B38="","",VLOOKUP($B38,'C-1 On-Site WaterC'' Baseline'!$C$9:$R$257,15,FALSE))</f>
        <v/>
      </c>
      <c r="M38" s="305" t="str">
        <f>IF(L38="","",VLOOKUP($B38,'C-1 On-Site WaterC'' Baseline'!$C$9:$R$257,16,FALSE))</f>
        <v/>
      </c>
      <c r="N38" s="251"/>
      <c r="O38" s="281" t="str">
        <f t="shared" si="1"/>
        <v/>
      </c>
      <c r="P38" s="282" t="str">
        <f t="shared" si="2"/>
        <v/>
      </c>
      <c r="Q38" s="342" t="str">
        <f>IF(N38="","",VLOOKUP(B38,'C-1 On-Site WaterC'' Baseline'!$C$10:$AC$257,20,FALSE))</f>
        <v/>
      </c>
      <c r="R38" s="281" t="str">
        <f>IF(N38="","",VLOOKUP(N38,'G-7 WaterC'' Data'!$B$2:$G$8,2,FALSE))</f>
        <v/>
      </c>
      <c r="S38" s="282" t="str">
        <f>IFERROR(VLOOKUP(R38,'G-7 WaterC'' Data'!$C$4:$D$8,2,FALSE),"")</f>
        <v/>
      </c>
      <c r="T38" s="105"/>
      <c r="U38" s="282" t="str">
        <f>IFERROR(INDEX('G-7 WaterC'' Data'!$H$4:$L$8,MATCH(N38,'G-7 WaterC'' Data'!$B$4:$B$8,0),MATCH(T38,'G-7 WaterC'' Data'!$H$3:$L$3,0)),"")</f>
        <v/>
      </c>
      <c r="V38" s="105"/>
      <c r="W38" s="289" t="str">
        <f>IF(V38="","",IF(VLOOKUP(V38,'G-7 WaterC'' Data'!$AK$4:$AM$6,2,FALSE)=0,"Spatial Data Missing ⚠",VLOOKUP(V38,'G-7 WaterC'' Data'!$AK$4:$AM$6,2,FALSE)))</f>
        <v/>
      </c>
      <c r="X38" s="282" t="str">
        <f>IF(V38="","",IF(VLOOKUP(V38,'G-7 WaterC'' Data'!$AK$4:$AM$6,3,FALSE)=0,"Spatial Data Missing ⚠",VLOOKUP(V38,'G-7 WaterC'' Data'!$AK$4:$AM$6,3,FALSE)))</f>
        <v/>
      </c>
      <c r="Y38" s="281" t="str">
        <f>IFERROR(IF(OR(LEFT(P38,5)="Error",LEFT(O38,5)="Error"),"Check Data ⚠",IF(F38&lt;S38,'G-7 WaterC'' Data'!$R$3,INDEX('G-7 WaterC'' Data'!$U$5:$Y$9,MATCH(G38,'G-7 WaterC'' Data'!$T$5:$T$9,0),MATCH(T38,'G-7 WaterC'' Data'!$U$4:$Y$4,0)))),"")</f>
        <v/>
      </c>
      <c r="Z38" s="137"/>
      <c r="AA38" s="137"/>
      <c r="AB38" s="289" t="str">
        <f t="shared" si="3"/>
        <v/>
      </c>
      <c r="AC38" s="302" t="str">
        <f t="shared" si="4"/>
        <v/>
      </c>
      <c r="AD38" s="340" t="str">
        <f>IFERROR(IF(AC38="Check Data ⚠","Check Data ⚠",VLOOKUP(AC38,'G-4 Temporal multipliers'!$A$4:$C$37,3,FALSE)),"")</f>
        <v/>
      </c>
      <c r="AE38" s="281" t="str">
        <f>IF(N38="","",VLOOKUP(N38,'G-7 WaterC'' Data'!$B$4:$G$8,5,FALSE))</f>
        <v/>
      </c>
      <c r="AF38" s="289" t="str">
        <f t="shared" si="5"/>
        <v/>
      </c>
      <c r="AG38" s="320" t="str">
        <f t="shared" si="6"/>
        <v/>
      </c>
      <c r="AH38" s="282" t="str">
        <f t="shared" si="0"/>
        <v/>
      </c>
      <c r="AI38" s="109"/>
      <c r="AJ38" s="282" t="str">
        <f>IF(AI38="","",IF(AND(AI38="N/A - Culvert",N38&lt;&gt;"Culvert"),"Not possible ▲",IF(VLOOKUP(AI38,'G-7 WaterC'' Data'!$AA$4:$AB$7,2,FALSE)=0,"Spatial Data Missing ⚠",VLOOKUP(AI38,'G-7 WaterC'' Data'!$AA$4:$AB$7,2,FALSE))))</f>
        <v/>
      </c>
      <c r="AK38" s="110"/>
      <c r="AL38" s="282" t="str">
        <f>IF(AK38="","",IF(AND(AK38="N/A - Culvert",N38&lt;&gt;"Culvert"),"Not possible ▲",IF(VLOOKUP(AK38,'G-7 WaterC'' Data'!$AD$4:$AE$14,2,FALSE)=0,"Spatial Data Missing ⚠",VLOOKUP(AK38,'G-7 WaterC'' Data'!$AD$4:$AE$14,2,FALSE))))</f>
        <v/>
      </c>
      <c r="AM38" s="323" t="str">
        <f t="shared" si="7"/>
        <v/>
      </c>
      <c r="AN38" s="105"/>
      <c r="AO38" s="119"/>
      <c r="AP38" s="108"/>
      <c r="AS38" s="30" t="str">
        <f>IF(B38="","",IF(ISNA(VLOOKUP($B38,'C-1 On-Site WaterC'' Baseline'!$C$8:$AD$257,17,FALSE)),"",(VLOOKUP($B38,'C-1 On-Site WaterC'' Baseline'!$C$8:$AD$257,17,FALSE))))</f>
        <v/>
      </c>
      <c r="AT38" s="30" t="str">
        <f>IF(B38="","",VLOOKUP($B38,'C-1 On-Site WaterC'' Baseline'!$C$9:$Z$257,12,FALSE))</f>
        <v/>
      </c>
      <c r="AU38" s="30" t="str">
        <f>IF(B38="","",VLOOKUP($B38,'C-1 On-Site WaterC'' Baseline'!$C$9:$Z$257,14,FALSE))</f>
        <v/>
      </c>
      <c r="AV38" s="30" t="str">
        <f>IFERROR(INDEX('G-7 WaterC'' Data'!$AZ$3:$AZ$7,MATCH(N38,'G-7 WaterC'' Data'!$AY$3:$AY$7,0)),"")</f>
        <v/>
      </c>
      <c r="AX38" s="30" t="str">
        <f>IF(B38="","",VLOOKUP($B38,'C-1 On-Site WaterC'' Baseline'!$C$9:$Y$257,22,FALSE))</f>
        <v/>
      </c>
      <c r="AY38" s="30" t="str">
        <f t="shared" si="8"/>
        <v/>
      </c>
      <c r="AZ38" s="30" t="str">
        <f>IF(B38="","",VLOOKUP($B38,'C-1 On-Site WaterC'' Baseline'!$C$9:$Y$257,21,FALSE))</f>
        <v/>
      </c>
      <c r="BA38" s="30" t="str">
        <f>IF(B38="","",VLOOKUP($B38,'C-1 On-Site WaterC'' Baseline'!$C$9:$Y$257,19,FALSE))</f>
        <v/>
      </c>
      <c r="BD38" s="30" t="str">
        <f t="shared" si="9"/>
        <v>No</v>
      </c>
    </row>
    <row r="39" spans="2:56" ht="13.8" x14ac:dyDescent="0.25">
      <c r="B39" s="311" t="str">
        <f>'C-1 On-Site WaterC'' Baseline'!AP37</f>
        <v/>
      </c>
      <c r="C39" s="301" t="str">
        <f>IF(B39="","",VLOOKUP($B39,'C-1 On-Site WaterC'' Baseline'!$C$9:$R$257,2,FALSE))</f>
        <v/>
      </c>
      <c r="D39" s="301" t="str">
        <f>IF(C39="","",VLOOKUP($B39,'C-1 On-Site WaterC'' Baseline'!$C$9:$R$257,3,FALSE))</f>
        <v/>
      </c>
      <c r="E39" s="301" t="str">
        <f>IF(D39="","",VLOOKUP($B39,'C-1 On-Site WaterC'' Baseline'!$C$9:$R$257,4,FALSE))</f>
        <v/>
      </c>
      <c r="F39" s="301" t="str">
        <f>IF(E39="","",VLOOKUP($B39,'C-1 On-Site WaterC'' Baseline'!$C$9:$R$257,5,FALSE))</f>
        <v/>
      </c>
      <c r="G39" s="301" t="str">
        <f>IF(F39="","",VLOOKUP($B39,'C-1 On-Site WaterC'' Baseline'!$C$9:$R$257,6,FALSE))</f>
        <v/>
      </c>
      <c r="H39" s="301" t="str">
        <f>IF(G39="","",VLOOKUP($B39,'C-1 On-Site WaterC'' Baseline'!$C$9:$R$257,7,FALSE))</f>
        <v/>
      </c>
      <c r="I39" s="301" t="str">
        <f>IF(H39="","",VLOOKUP($B39,'C-1 On-Site WaterC'' Baseline'!$C$9:$R$257,8,FALSE))</f>
        <v/>
      </c>
      <c r="J39" s="301" t="str">
        <f>IF(I39="","",VLOOKUP($B39,'C-1 On-Site WaterC'' Baseline'!$C$9:$R$257,9,FALSE))</f>
        <v/>
      </c>
      <c r="K39" s="301" t="str">
        <f>IF(J39="","",VLOOKUP($B39,'C-1 On-Site WaterC'' Baseline'!$C$9:$R$257,10,FALSE))</f>
        <v/>
      </c>
      <c r="L39" s="301" t="str">
        <f>IF(B39="","",VLOOKUP($B39,'C-1 On-Site WaterC'' Baseline'!$C$9:$R$257,15,FALSE))</f>
        <v/>
      </c>
      <c r="M39" s="305" t="str">
        <f>IF(L39="","",VLOOKUP($B39,'C-1 On-Site WaterC'' Baseline'!$C$9:$R$257,16,FALSE))</f>
        <v/>
      </c>
      <c r="N39" s="251"/>
      <c r="O39" s="281" t="str">
        <f t="shared" si="1"/>
        <v/>
      </c>
      <c r="P39" s="282" t="str">
        <f t="shared" si="2"/>
        <v/>
      </c>
      <c r="Q39" s="342" t="str">
        <f>IF(N39="","",VLOOKUP(B39,'C-1 On-Site WaterC'' Baseline'!$C$10:$AC$257,20,FALSE))</f>
        <v/>
      </c>
      <c r="R39" s="281" t="str">
        <f>IF(N39="","",VLOOKUP(N39,'G-7 WaterC'' Data'!$B$2:$G$8,2,FALSE))</f>
        <v/>
      </c>
      <c r="S39" s="282" t="str">
        <f>IFERROR(VLOOKUP(R39,'G-7 WaterC'' Data'!$C$4:$D$8,2,FALSE),"")</f>
        <v/>
      </c>
      <c r="T39" s="105"/>
      <c r="U39" s="282" t="str">
        <f>IFERROR(INDEX('G-7 WaterC'' Data'!$H$4:$L$8,MATCH(N39,'G-7 WaterC'' Data'!$B$4:$B$8,0),MATCH(T39,'G-7 WaterC'' Data'!$H$3:$L$3,0)),"")</f>
        <v/>
      </c>
      <c r="V39" s="105"/>
      <c r="W39" s="289" t="str">
        <f>IF(V39="","",IF(VLOOKUP(V39,'G-7 WaterC'' Data'!$AK$4:$AM$6,2,FALSE)=0,"Spatial Data Missing ⚠",VLOOKUP(V39,'G-7 WaterC'' Data'!$AK$4:$AM$6,2,FALSE)))</f>
        <v/>
      </c>
      <c r="X39" s="282" t="str">
        <f>IF(V39="","",IF(VLOOKUP(V39,'G-7 WaterC'' Data'!$AK$4:$AM$6,3,FALSE)=0,"Spatial Data Missing ⚠",VLOOKUP(V39,'G-7 WaterC'' Data'!$AK$4:$AM$6,3,FALSE)))</f>
        <v/>
      </c>
      <c r="Y39" s="281" t="str">
        <f>IFERROR(IF(OR(LEFT(P39,5)="Error",LEFT(O39,5)="Error"),"Check Data ⚠",IF(F39&lt;S39,'G-7 WaterC'' Data'!$R$3,INDEX('G-7 WaterC'' Data'!$U$5:$Y$9,MATCH(G39,'G-7 WaterC'' Data'!$T$5:$T$9,0),MATCH(T39,'G-7 WaterC'' Data'!$U$4:$Y$4,0)))),"")</f>
        <v/>
      </c>
      <c r="Z39" s="137"/>
      <c r="AA39" s="137"/>
      <c r="AB39" s="289" t="str">
        <f t="shared" si="3"/>
        <v/>
      </c>
      <c r="AC39" s="302" t="str">
        <f t="shared" si="4"/>
        <v/>
      </c>
      <c r="AD39" s="340" t="str">
        <f>IFERROR(IF(AC39="Check Data ⚠","Check Data ⚠",VLOOKUP(AC39,'G-4 Temporal multipliers'!$A$4:$C$37,3,FALSE)),"")</f>
        <v/>
      </c>
      <c r="AE39" s="281" t="str">
        <f>IF(N39="","",VLOOKUP(N39,'G-7 WaterC'' Data'!$B$4:$G$8,5,FALSE))</f>
        <v/>
      </c>
      <c r="AF39" s="289" t="str">
        <f t="shared" si="5"/>
        <v/>
      </c>
      <c r="AG39" s="320" t="str">
        <f t="shared" si="6"/>
        <v/>
      </c>
      <c r="AH39" s="282" t="str">
        <f t="shared" si="0"/>
        <v/>
      </c>
      <c r="AI39" s="109"/>
      <c r="AJ39" s="282" t="str">
        <f>IF(AI39="","",IF(AND(AI39="N/A - Culvert",N39&lt;&gt;"Culvert"),"Not possible ▲",IF(VLOOKUP(AI39,'G-7 WaterC'' Data'!$AA$4:$AB$7,2,FALSE)=0,"Spatial Data Missing ⚠",VLOOKUP(AI39,'G-7 WaterC'' Data'!$AA$4:$AB$7,2,FALSE))))</f>
        <v/>
      </c>
      <c r="AK39" s="110"/>
      <c r="AL39" s="282" t="str">
        <f>IF(AK39="","",IF(AND(AK39="N/A - Culvert",N39&lt;&gt;"Culvert"),"Not possible ▲",IF(VLOOKUP(AK39,'G-7 WaterC'' Data'!$AD$4:$AE$14,2,FALSE)=0,"Spatial Data Missing ⚠",VLOOKUP(AK39,'G-7 WaterC'' Data'!$AD$4:$AE$14,2,FALSE))))</f>
        <v/>
      </c>
      <c r="AM39" s="323" t="str">
        <f t="shared" si="7"/>
        <v/>
      </c>
      <c r="AN39" s="105"/>
      <c r="AO39" s="119"/>
      <c r="AP39" s="108"/>
      <c r="AS39" s="30" t="str">
        <f>IF(B39="","",IF(ISNA(VLOOKUP($B39,'C-1 On-Site WaterC'' Baseline'!$C$8:$AD$257,17,FALSE)),"",(VLOOKUP($B39,'C-1 On-Site WaterC'' Baseline'!$C$8:$AD$257,17,FALSE))))</f>
        <v/>
      </c>
      <c r="AT39" s="30" t="str">
        <f>IF(B39="","",VLOOKUP($B39,'C-1 On-Site WaterC'' Baseline'!$C$9:$Z$257,12,FALSE))</f>
        <v/>
      </c>
      <c r="AU39" s="30" t="str">
        <f>IF(B39="","",VLOOKUP($B39,'C-1 On-Site WaterC'' Baseline'!$C$9:$Z$257,14,FALSE))</f>
        <v/>
      </c>
      <c r="AV39" s="30" t="str">
        <f>IFERROR(INDEX('G-7 WaterC'' Data'!$AZ$3:$AZ$7,MATCH(N39,'G-7 WaterC'' Data'!$AY$3:$AY$7,0)),"")</f>
        <v/>
      </c>
      <c r="AX39" s="30" t="str">
        <f>IF(B39="","",VLOOKUP($B39,'C-1 On-Site WaterC'' Baseline'!$C$9:$Y$257,22,FALSE))</f>
        <v/>
      </c>
      <c r="AY39" s="30" t="str">
        <f t="shared" si="8"/>
        <v/>
      </c>
      <c r="AZ39" s="30" t="str">
        <f>IF(B39="","",VLOOKUP($B39,'C-1 On-Site WaterC'' Baseline'!$C$9:$Y$257,21,FALSE))</f>
        <v/>
      </c>
      <c r="BA39" s="30" t="str">
        <f>IF(B39="","",VLOOKUP($B39,'C-1 On-Site WaterC'' Baseline'!$C$9:$Y$257,19,FALSE))</f>
        <v/>
      </c>
      <c r="BD39" s="30" t="str">
        <f t="shared" si="9"/>
        <v>No</v>
      </c>
    </row>
    <row r="40" spans="2:56" ht="13.8" x14ac:dyDescent="0.25">
      <c r="B40" s="311" t="str">
        <f>'C-1 On-Site WaterC'' Baseline'!AP38</f>
        <v/>
      </c>
      <c r="C40" s="301" t="str">
        <f>IF(B40="","",VLOOKUP($B40,'C-1 On-Site WaterC'' Baseline'!$C$9:$R$257,2,FALSE))</f>
        <v/>
      </c>
      <c r="D40" s="301" t="str">
        <f>IF(C40="","",VLOOKUP($B40,'C-1 On-Site WaterC'' Baseline'!$C$9:$R$257,3,FALSE))</f>
        <v/>
      </c>
      <c r="E40" s="301" t="str">
        <f>IF(D40="","",VLOOKUP($B40,'C-1 On-Site WaterC'' Baseline'!$C$9:$R$257,4,FALSE))</f>
        <v/>
      </c>
      <c r="F40" s="301" t="str">
        <f>IF(E40="","",VLOOKUP($B40,'C-1 On-Site WaterC'' Baseline'!$C$9:$R$257,5,FALSE))</f>
        <v/>
      </c>
      <c r="G40" s="301" t="str">
        <f>IF(F40="","",VLOOKUP($B40,'C-1 On-Site WaterC'' Baseline'!$C$9:$R$257,6,FALSE))</f>
        <v/>
      </c>
      <c r="H40" s="301" t="str">
        <f>IF(G40="","",VLOOKUP($B40,'C-1 On-Site WaterC'' Baseline'!$C$9:$R$257,7,FALSE))</f>
        <v/>
      </c>
      <c r="I40" s="301" t="str">
        <f>IF(H40="","",VLOOKUP($B40,'C-1 On-Site WaterC'' Baseline'!$C$9:$R$257,8,FALSE))</f>
        <v/>
      </c>
      <c r="J40" s="301" t="str">
        <f>IF(I40="","",VLOOKUP($B40,'C-1 On-Site WaterC'' Baseline'!$C$9:$R$257,9,FALSE))</f>
        <v/>
      </c>
      <c r="K40" s="301" t="str">
        <f>IF(J40="","",VLOOKUP($B40,'C-1 On-Site WaterC'' Baseline'!$C$9:$R$257,10,FALSE))</f>
        <v/>
      </c>
      <c r="L40" s="301" t="str">
        <f>IF(B40="","",VLOOKUP($B40,'C-1 On-Site WaterC'' Baseline'!$C$9:$R$257,15,FALSE))</f>
        <v/>
      </c>
      <c r="M40" s="305" t="str">
        <f>IF(L40="","",VLOOKUP($B40,'C-1 On-Site WaterC'' Baseline'!$C$9:$R$257,16,FALSE))</f>
        <v/>
      </c>
      <c r="N40" s="251"/>
      <c r="O40" s="281" t="str">
        <f t="shared" si="1"/>
        <v/>
      </c>
      <c r="P40" s="282" t="str">
        <f t="shared" si="2"/>
        <v/>
      </c>
      <c r="Q40" s="342" t="str">
        <f>IF(N40="","",VLOOKUP(B40,'C-1 On-Site WaterC'' Baseline'!$C$10:$AC$257,20,FALSE))</f>
        <v/>
      </c>
      <c r="R40" s="281" t="str">
        <f>IF(N40="","",VLOOKUP(N40,'G-7 WaterC'' Data'!$B$2:$G$8,2,FALSE))</f>
        <v/>
      </c>
      <c r="S40" s="282" t="str">
        <f>IFERROR(VLOOKUP(R40,'G-7 WaterC'' Data'!$C$4:$D$8,2,FALSE),"")</f>
        <v/>
      </c>
      <c r="T40" s="105"/>
      <c r="U40" s="282" t="str">
        <f>IFERROR(INDEX('G-7 WaterC'' Data'!$H$4:$L$8,MATCH(N40,'G-7 WaterC'' Data'!$B$4:$B$8,0),MATCH(T40,'G-7 WaterC'' Data'!$H$3:$L$3,0)),"")</f>
        <v/>
      </c>
      <c r="V40" s="105"/>
      <c r="W40" s="289" t="str">
        <f>IF(V40="","",IF(VLOOKUP(V40,'G-7 WaterC'' Data'!$AK$4:$AM$6,2,FALSE)=0,"Spatial Data Missing ⚠",VLOOKUP(V40,'G-7 WaterC'' Data'!$AK$4:$AM$6,2,FALSE)))</f>
        <v/>
      </c>
      <c r="X40" s="282" t="str">
        <f>IF(V40="","",IF(VLOOKUP(V40,'G-7 WaterC'' Data'!$AK$4:$AM$6,3,FALSE)=0,"Spatial Data Missing ⚠",VLOOKUP(V40,'G-7 WaterC'' Data'!$AK$4:$AM$6,3,FALSE)))</f>
        <v/>
      </c>
      <c r="Y40" s="281" t="str">
        <f>IFERROR(IF(OR(LEFT(P40,5)="Error",LEFT(O40,5)="Error"),"Check Data ⚠",IF(F40&lt;S40,'G-7 WaterC'' Data'!$R$3,INDEX('G-7 WaterC'' Data'!$U$5:$Y$9,MATCH(G40,'G-7 WaterC'' Data'!$T$5:$T$9,0),MATCH(T40,'G-7 WaterC'' Data'!$U$4:$Y$4,0)))),"")</f>
        <v/>
      </c>
      <c r="Z40" s="137"/>
      <c r="AA40" s="137"/>
      <c r="AB40" s="289" t="str">
        <f t="shared" si="3"/>
        <v/>
      </c>
      <c r="AC40" s="302" t="str">
        <f t="shared" si="4"/>
        <v/>
      </c>
      <c r="AD40" s="340" t="str">
        <f>IFERROR(IF(AC40="Check Data ⚠","Check Data ⚠",VLOOKUP(AC40,'G-4 Temporal multipliers'!$A$4:$C$37,3,FALSE)),"")</f>
        <v/>
      </c>
      <c r="AE40" s="281" t="str">
        <f>IF(N40="","",VLOOKUP(N40,'G-7 WaterC'' Data'!$B$4:$G$8,5,FALSE))</f>
        <v/>
      </c>
      <c r="AF40" s="289" t="str">
        <f t="shared" si="5"/>
        <v/>
      </c>
      <c r="AG40" s="320" t="str">
        <f t="shared" si="6"/>
        <v/>
      </c>
      <c r="AH40" s="282" t="str">
        <f t="shared" si="0"/>
        <v/>
      </c>
      <c r="AI40" s="109"/>
      <c r="AJ40" s="282" t="str">
        <f>IF(AI40="","",IF(AND(AI40="N/A - Culvert",N40&lt;&gt;"Culvert"),"Not possible ▲",IF(VLOOKUP(AI40,'G-7 WaterC'' Data'!$AA$4:$AB$7,2,FALSE)=0,"Spatial Data Missing ⚠",VLOOKUP(AI40,'G-7 WaterC'' Data'!$AA$4:$AB$7,2,FALSE))))</f>
        <v/>
      </c>
      <c r="AK40" s="110"/>
      <c r="AL40" s="282" t="str">
        <f>IF(AK40="","",IF(AND(AK40="N/A - Culvert",N40&lt;&gt;"Culvert"),"Not possible ▲",IF(VLOOKUP(AK40,'G-7 WaterC'' Data'!$AD$4:$AE$14,2,FALSE)=0,"Spatial Data Missing ⚠",VLOOKUP(AK40,'G-7 WaterC'' Data'!$AD$4:$AE$14,2,FALSE))))</f>
        <v/>
      </c>
      <c r="AM40" s="323" t="str">
        <f t="shared" si="7"/>
        <v/>
      </c>
      <c r="AN40" s="105"/>
      <c r="AO40" s="119"/>
      <c r="AP40" s="108"/>
      <c r="AS40" s="30" t="str">
        <f>IF(B40="","",IF(ISNA(VLOOKUP($B40,'C-1 On-Site WaterC'' Baseline'!$C$8:$AD$257,17,FALSE)),"",(VLOOKUP($B40,'C-1 On-Site WaterC'' Baseline'!$C$8:$AD$257,17,FALSE))))</f>
        <v/>
      </c>
      <c r="AT40" s="30" t="str">
        <f>IF(B40="","",VLOOKUP($B40,'C-1 On-Site WaterC'' Baseline'!$C$9:$Z$257,12,FALSE))</f>
        <v/>
      </c>
      <c r="AU40" s="30" t="str">
        <f>IF(B40="","",VLOOKUP($B40,'C-1 On-Site WaterC'' Baseline'!$C$9:$Z$257,14,FALSE))</f>
        <v/>
      </c>
      <c r="AV40" s="30" t="str">
        <f>IFERROR(INDEX('G-7 WaterC'' Data'!$AZ$3:$AZ$7,MATCH(N40,'G-7 WaterC'' Data'!$AY$3:$AY$7,0)),"")</f>
        <v/>
      </c>
      <c r="AX40" s="30" t="str">
        <f>IF(B40="","",VLOOKUP($B40,'C-1 On-Site WaterC'' Baseline'!$C$9:$Y$257,22,FALSE))</f>
        <v/>
      </c>
      <c r="AY40" s="30" t="str">
        <f t="shared" si="8"/>
        <v/>
      </c>
      <c r="AZ40" s="30" t="str">
        <f>IF(B40="","",VLOOKUP($B40,'C-1 On-Site WaterC'' Baseline'!$C$9:$Y$257,21,FALSE))</f>
        <v/>
      </c>
      <c r="BA40" s="30" t="str">
        <f>IF(B40="","",VLOOKUP($B40,'C-1 On-Site WaterC'' Baseline'!$C$9:$Y$257,19,FALSE))</f>
        <v/>
      </c>
      <c r="BD40" s="30" t="str">
        <f t="shared" si="9"/>
        <v>No</v>
      </c>
    </row>
    <row r="41" spans="2:56" ht="13.8" x14ac:dyDescent="0.25">
      <c r="B41" s="311" t="str">
        <f>'C-1 On-Site WaterC'' Baseline'!AP39</f>
        <v/>
      </c>
      <c r="C41" s="301" t="str">
        <f>IF(B41="","",VLOOKUP($B41,'C-1 On-Site WaterC'' Baseline'!$C$9:$R$257,2,FALSE))</f>
        <v/>
      </c>
      <c r="D41" s="301" t="str">
        <f>IF(C41="","",VLOOKUP($B41,'C-1 On-Site WaterC'' Baseline'!$C$9:$R$257,3,FALSE))</f>
        <v/>
      </c>
      <c r="E41" s="301" t="str">
        <f>IF(D41="","",VLOOKUP($B41,'C-1 On-Site WaterC'' Baseline'!$C$9:$R$257,4,FALSE))</f>
        <v/>
      </c>
      <c r="F41" s="301" t="str">
        <f>IF(E41="","",VLOOKUP($B41,'C-1 On-Site WaterC'' Baseline'!$C$9:$R$257,5,FALSE))</f>
        <v/>
      </c>
      <c r="G41" s="301" t="str">
        <f>IF(F41="","",VLOOKUP($B41,'C-1 On-Site WaterC'' Baseline'!$C$9:$R$257,6,FALSE))</f>
        <v/>
      </c>
      <c r="H41" s="301" t="str">
        <f>IF(G41="","",VLOOKUP($B41,'C-1 On-Site WaterC'' Baseline'!$C$9:$R$257,7,FALSE))</f>
        <v/>
      </c>
      <c r="I41" s="301" t="str">
        <f>IF(H41="","",VLOOKUP($B41,'C-1 On-Site WaterC'' Baseline'!$C$9:$R$257,8,FALSE))</f>
        <v/>
      </c>
      <c r="J41" s="301" t="str">
        <f>IF(I41="","",VLOOKUP($B41,'C-1 On-Site WaterC'' Baseline'!$C$9:$R$257,9,FALSE))</f>
        <v/>
      </c>
      <c r="K41" s="301" t="str">
        <f>IF(J41="","",VLOOKUP($B41,'C-1 On-Site WaterC'' Baseline'!$C$9:$R$257,10,FALSE))</f>
        <v/>
      </c>
      <c r="L41" s="301" t="str">
        <f>IF(B41="","",VLOOKUP($B41,'C-1 On-Site WaterC'' Baseline'!$C$9:$R$257,15,FALSE))</f>
        <v/>
      </c>
      <c r="M41" s="305" t="str">
        <f>IF(L41="","",VLOOKUP($B41,'C-1 On-Site WaterC'' Baseline'!$C$9:$R$257,16,FALSE))</f>
        <v/>
      </c>
      <c r="N41" s="251"/>
      <c r="O41" s="281" t="str">
        <f t="shared" si="1"/>
        <v/>
      </c>
      <c r="P41" s="282" t="str">
        <f t="shared" si="2"/>
        <v/>
      </c>
      <c r="Q41" s="342" t="str">
        <f>IF(N41="","",VLOOKUP(B41,'C-1 On-Site WaterC'' Baseline'!$C$10:$AC$257,20,FALSE))</f>
        <v/>
      </c>
      <c r="R41" s="281" t="str">
        <f>IF(N41="","",VLOOKUP(N41,'G-7 WaterC'' Data'!$B$2:$G$8,2,FALSE))</f>
        <v/>
      </c>
      <c r="S41" s="282" t="str">
        <f>IFERROR(VLOOKUP(R41,'G-7 WaterC'' Data'!$C$4:$D$8,2,FALSE),"")</f>
        <v/>
      </c>
      <c r="T41" s="105"/>
      <c r="U41" s="282" t="str">
        <f>IFERROR(INDEX('G-7 WaterC'' Data'!$H$4:$L$8,MATCH(N41,'G-7 WaterC'' Data'!$B$4:$B$8,0),MATCH(T41,'G-7 WaterC'' Data'!$H$3:$L$3,0)),"")</f>
        <v/>
      </c>
      <c r="V41" s="105"/>
      <c r="W41" s="289" t="str">
        <f>IF(V41="","",IF(VLOOKUP(V41,'G-7 WaterC'' Data'!$AK$4:$AM$6,2,FALSE)=0,"Spatial Data Missing ⚠",VLOOKUP(V41,'G-7 WaterC'' Data'!$AK$4:$AM$6,2,FALSE)))</f>
        <v/>
      </c>
      <c r="X41" s="282" t="str">
        <f>IF(V41="","",IF(VLOOKUP(V41,'G-7 WaterC'' Data'!$AK$4:$AM$6,3,FALSE)=0,"Spatial Data Missing ⚠",VLOOKUP(V41,'G-7 WaterC'' Data'!$AK$4:$AM$6,3,FALSE)))</f>
        <v/>
      </c>
      <c r="Y41" s="281" t="str">
        <f>IFERROR(IF(OR(LEFT(P41,5)="Error",LEFT(O41,5)="Error"),"Check Data ⚠",IF(F41&lt;S41,'G-7 WaterC'' Data'!$R$3,INDEX('G-7 WaterC'' Data'!$U$5:$Y$9,MATCH(G41,'G-7 WaterC'' Data'!$T$5:$T$9,0),MATCH(T41,'G-7 WaterC'' Data'!$U$4:$Y$4,0)))),"")</f>
        <v/>
      </c>
      <c r="Z41" s="137"/>
      <c r="AA41" s="137"/>
      <c r="AB41" s="289" t="str">
        <f t="shared" si="3"/>
        <v/>
      </c>
      <c r="AC41" s="302" t="str">
        <f t="shared" si="4"/>
        <v/>
      </c>
      <c r="AD41" s="340" t="str">
        <f>IFERROR(IF(AC41="Check Data ⚠","Check Data ⚠",VLOOKUP(AC41,'G-4 Temporal multipliers'!$A$4:$C$37,3,FALSE)),"")</f>
        <v/>
      </c>
      <c r="AE41" s="281" t="str">
        <f>IF(N41="","",VLOOKUP(N41,'G-7 WaterC'' Data'!$B$4:$G$8,5,FALSE))</f>
        <v/>
      </c>
      <c r="AF41" s="289" t="str">
        <f t="shared" si="5"/>
        <v/>
      </c>
      <c r="AG41" s="320" t="str">
        <f t="shared" si="6"/>
        <v/>
      </c>
      <c r="AH41" s="282" t="str">
        <f t="shared" si="0"/>
        <v/>
      </c>
      <c r="AI41" s="109"/>
      <c r="AJ41" s="282" t="str">
        <f>IF(AI41="","",IF(AND(AI41="N/A - Culvert",N41&lt;&gt;"Culvert"),"Not possible ▲",IF(VLOOKUP(AI41,'G-7 WaterC'' Data'!$AA$4:$AB$7,2,FALSE)=0,"Spatial Data Missing ⚠",VLOOKUP(AI41,'G-7 WaterC'' Data'!$AA$4:$AB$7,2,FALSE))))</f>
        <v/>
      </c>
      <c r="AK41" s="110"/>
      <c r="AL41" s="282" t="str">
        <f>IF(AK41="","",IF(AND(AK41="N/A - Culvert",N41&lt;&gt;"Culvert"),"Not possible ▲",IF(VLOOKUP(AK41,'G-7 WaterC'' Data'!$AD$4:$AE$14,2,FALSE)=0,"Spatial Data Missing ⚠",VLOOKUP(AK41,'G-7 WaterC'' Data'!$AD$4:$AE$14,2,FALSE))))</f>
        <v/>
      </c>
      <c r="AM41" s="323" t="str">
        <f t="shared" si="7"/>
        <v/>
      </c>
      <c r="AN41" s="105"/>
      <c r="AO41" s="119"/>
      <c r="AP41" s="108"/>
      <c r="AS41" s="30" t="str">
        <f>IF(B41="","",IF(ISNA(VLOOKUP($B41,'C-1 On-Site WaterC'' Baseline'!$C$8:$AD$257,17,FALSE)),"",(VLOOKUP($B41,'C-1 On-Site WaterC'' Baseline'!$C$8:$AD$257,17,FALSE))))</f>
        <v/>
      </c>
      <c r="AT41" s="30" t="str">
        <f>IF(B41="","",VLOOKUP($B41,'C-1 On-Site WaterC'' Baseline'!$C$9:$Z$257,12,FALSE))</f>
        <v/>
      </c>
      <c r="AU41" s="30" t="str">
        <f>IF(B41="","",VLOOKUP($B41,'C-1 On-Site WaterC'' Baseline'!$C$9:$Z$257,14,FALSE))</f>
        <v/>
      </c>
      <c r="AV41" s="30" t="str">
        <f>IFERROR(INDEX('G-7 WaterC'' Data'!$AZ$3:$AZ$7,MATCH(N41,'G-7 WaterC'' Data'!$AY$3:$AY$7,0)),"")</f>
        <v/>
      </c>
      <c r="AX41" s="30" t="str">
        <f>IF(B41="","",VLOOKUP($B41,'C-1 On-Site WaterC'' Baseline'!$C$9:$Y$257,22,FALSE))</f>
        <v/>
      </c>
      <c r="AY41" s="30" t="str">
        <f t="shared" si="8"/>
        <v/>
      </c>
      <c r="AZ41" s="30" t="str">
        <f>IF(B41="","",VLOOKUP($B41,'C-1 On-Site WaterC'' Baseline'!$C$9:$Y$257,21,FALSE))</f>
        <v/>
      </c>
      <c r="BA41" s="30" t="str">
        <f>IF(B41="","",VLOOKUP($B41,'C-1 On-Site WaterC'' Baseline'!$C$9:$Y$257,19,FALSE))</f>
        <v/>
      </c>
      <c r="BD41" s="30" t="str">
        <f t="shared" si="9"/>
        <v>No</v>
      </c>
    </row>
    <row r="42" spans="2:56" ht="13.8" x14ac:dyDescent="0.25">
      <c r="B42" s="311" t="str">
        <f>'C-1 On-Site WaterC'' Baseline'!AP40</f>
        <v/>
      </c>
      <c r="C42" s="301" t="str">
        <f>IF(B42="","",VLOOKUP($B42,'C-1 On-Site WaterC'' Baseline'!$C$9:$R$257,2,FALSE))</f>
        <v/>
      </c>
      <c r="D42" s="301" t="str">
        <f>IF(C42="","",VLOOKUP($B42,'C-1 On-Site WaterC'' Baseline'!$C$9:$R$257,3,FALSE))</f>
        <v/>
      </c>
      <c r="E42" s="301" t="str">
        <f>IF(D42="","",VLOOKUP($B42,'C-1 On-Site WaterC'' Baseline'!$C$9:$R$257,4,FALSE))</f>
        <v/>
      </c>
      <c r="F42" s="301" t="str">
        <f>IF(E42="","",VLOOKUP($B42,'C-1 On-Site WaterC'' Baseline'!$C$9:$R$257,5,FALSE))</f>
        <v/>
      </c>
      <c r="G42" s="301" t="str">
        <f>IF(F42="","",VLOOKUP($B42,'C-1 On-Site WaterC'' Baseline'!$C$9:$R$257,6,FALSE))</f>
        <v/>
      </c>
      <c r="H42" s="301" t="str">
        <f>IF(G42="","",VLOOKUP($B42,'C-1 On-Site WaterC'' Baseline'!$C$9:$R$257,7,FALSE))</f>
        <v/>
      </c>
      <c r="I42" s="301" t="str">
        <f>IF(H42="","",VLOOKUP($B42,'C-1 On-Site WaterC'' Baseline'!$C$9:$R$257,8,FALSE))</f>
        <v/>
      </c>
      <c r="J42" s="301" t="str">
        <f>IF(I42="","",VLOOKUP($B42,'C-1 On-Site WaterC'' Baseline'!$C$9:$R$257,9,FALSE))</f>
        <v/>
      </c>
      <c r="K42" s="301" t="str">
        <f>IF(J42="","",VLOOKUP($B42,'C-1 On-Site WaterC'' Baseline'!$C$9:$R$257,10,FALSE))</f>
        <v/>
      </c>
      <c r="L42" s="301" t="str">
        <f>IF(B42="","",VLOOKUP($B42,'C-1 On-Site WaterC'' Baseline'!$C$9:$R$257,15,FALSE))</f>
        <v/>
      </c>
      <c r="M42" s="305" t="str">
        <f>IF(L42="","",VLOOKUP($B42,'C-1 On-Site WaterC'' Baseline'!$C$9:$R$257,16,FALSE))</f>
        <v/>
      </c>
      <c r="N42" s="251"/>
      <c r="O42" s="281" t="str">
        <f t="shared" si="1"/>
        <v/>
      </c>
      <c r="P42" s="282" t="str">
        <f t="shared" si="2"/>
        <v/>
      </c>
      <c r="Q42" s="342" t="str">
        <f>IF(N42="","",VLOOKUP(B42,'C-1 On-Site WaterC'' Baseline'!$C$10:$AC$257,20,FALSE))</f>
        <v/>
      </c>
      <c r="R42" s="281" t="str">
        <f>IF(N42="","",VLOOKUP(N42,'G-7 WaterC'' Data'!$B$2:$G$8,2,FALSE))</f>
        <v/>
      </c>
      <c r="S42" s="282" t="str">
        <f>IFERROR(VLOOKUP(R42,'G-7 WaterC'' Data'!$C$4:$D$8,2,FALSE),"")</f>
        <v/>
      </c>
      <c r="T42" s="105"/>
      <c r="U42" s="282" t="str">
        <f>IFERROR(INDEX('G-7 WaterC'' Data'!$H$4:$L$8,MATCH(N42,'G-7 WaterC'' Data'!$B$4:$B$8,0),MATCH(T42,'G-7 WaterC'' Data'!$H$3:$L$3,0)),"")</f>
        <v/>
      </c>
      <c r="V42" s="105"/>
      <c r="W42" s="289" t="str">
        <f>IF(V42="","",IF(VLOOKUP(V42,'G-7 WaterC'' Data'!$AK$4:$AM$6,2,FALSE)=0,"Spatial Data Missing ⚠",VLOOKUP(V42,'G-7 WaterC'' Data'!$AK$4:$AM$6,2,FALSE)))</f>
        <v/>
      </c>
      <c r="X42" s="282" t="str">
        <f>IF(V42="","",IF(VLOOKUP(V42,'G-7 WaterC'' Data'!$AK$4:$AM$6,3,FALSE)=0,"Spatial Data Missing ⚠",VLOOKUP(V42,'G-7 WaterC'' Data'!$AK$4:$AM$6,3,FALSE)))</f>
        <v/>
      </c>
      <c r="Y42" s="281" t="str">
        <f>IFERROR(IF(OR(LEFT(P42,5)="Error",LEFT(O42,5)="Error"),"Check Data ⚠",IF(F42&lt;S42,'G-7 WaterC'' Data'!$R$3,INDEX('G-7 WaterC'' Data'!$U$5:$Y$9,MATCH(G42,'G-7 WaterC'' Data'!$T$5:$T$9,0),MATCH(T42,'G-7 WaterC'' Data'!$U$4:$Y$4,0)))),"")</f>
        <v/>
      </c>
      <c r="Z42" s="137"/>
      <c r="AA42" s="137"/>
      <c r="AB42" s="289" t="str">
        <f t="shared" si="3"/>
        <v/>
      </c>
      <c r="AC42" s="302" t="str">
        <f t="shared" si="4"/>
        <v/>
      </c>
      <c r="AD42" s="340" t="str">
        <f>IFERROR(IF(AC42="Check Data ⚠","Check Data ⚠",VLOOKUP(AC42,'G-4 Temporal multipliers'!$A$4:$C$37,3,FALSE)),"")</f>
        <v/>
      </c>
      <c r="AE42" s="281" t="str">
        <f>IF(N42="","",VLOOKUP(N42,'G-7 WaterC'' Data'!$B$4:$G$8,5,FALSE))</f>
        <v/>
      </c>
      <c r="AF42" s="289" t="str">
        <f t="shared" si="5"/>
        <v/>
      </c>
      <c r="AG42" s="320" t="str">
        <f t="shared" si="6"/>
        <v/>
      </c>
      <c r="AH42" s="282" t="str">
        <f t="shared" si="0"/>
        <v/>
      </c>
      <c r="AI42" s="109"/>
      <c r="AJ42" s="282" t="str">
        <f>IF(AI42="","",IF(AND(AI42="N/A - Culvert",N42&lt;&gt;"Culvert"),"Not possible ▲",IF(VLOOKUP(AI42,'G-7 WaterC'' Data'!$AA$4:$AB$7,2,FALSE)=0,"Spatial Data Missing ⚠",VLOOKUP(AI42,'G-7 WaterC'' Data'!$AA$4:$AB$7,2,FALSE))))</f>
        <v/>
      </c>
      <c r="AK42" s="110"/>
      <c r="AL42" s="282" t="str">
        <f>IF(AK42="","",IF(AND(AK42="N/A - Culvert",N42&lt;&gt;"Culvert"),"Not possible ▲",IF(VLOOKUP(AK42,'G-7 WaterC'' Data'!$AD$4:$AE$14,2,FALSE)=0,"Spatial Data Missing ⚠",VLOOKUP(AK42,'G-7 WaterC'' Data'!$AD$4:$AE$14,2,FALSE))))</f>
        <v/>
      </c>
      <c r="AM42" s="323" t="str">
        <f t="shared" si="7"/>
        <v/>
      </c>
      <c r="AN42" s="105"/>
      <c r="AO42" s="119"/>
      <c r="AP42" s="108"/>
      <c r="AS42" s="30" t="str">
        <f>IF(B42="","",IF(ISNA(VLOOKUP($B42,'C-1 On-Site WaterC'' Baseline'!$C$8:$AD$257,17,FALSE)),"",(VLOOKUP($B42,'C-1 On-Site WaterC'' Baseline'!$C$8:$AD$257,17,FALSE))))</f>
        <v/>
      </c>
      <c r="AT42" s="30" t="str">
        <f>IF(B42="","",VLOOKUP($B42,'C-1 On-Site WaterC'' Baseline'!$C$9:$Z$257,12,FALSE))</f>
        <v/>
      </c>
      <c r="AU42" s="30" t="str">
        <f>IF(B42="","",VLOOKUP($B42,'C-1 On-Site WaterC'' Baseline'!$C$9:$Z$257,14,FALSE))</f>
        <v/>
      </c>
      <c r="AV42" s="30" t="str">
        <f>IFERROR(INDEX('G-7 WaterC'' Data'!$AZ$3:$AZ$7,MATCH(N42,'G-7 WaterC'' Data'!$AY$3:$AY$7,0)),"")</f>
        <v/>
      </c>
      <c r="AX42" s="30" t="str">
        <f>IF(B42="","",VLOOKUP($B42,'C-1 On-Site WaterC'' Baseline'!$C$9:$Y$257,22,FALSE))</f>
        <v/>
      </c>
      <c r="AY42" s="30" t="str">
        <f t="shared" si="8"/>
        <v/>
      </c>
      <c r="AZ42" s="30" t="str">
        <f>IF(B42="","",VLOOKUP($B42,'C-1 On-Site WaterC'' Baseline'!$C$9:$Y$257,21,FALSE))</f>
        <v/>
      </c>
      <c r="BA42" s="30" t="str">
        <f>IF(B42="","",VLOOKUP($B42,'C-1 On-Site WaterC'' Baseline'!$C$9:$Y$257,19,FALSE))</f>
        <v/>
      </c>
      <c r="BD42" s="30" t="str">
        <f t="shared" si="9"/>
        <v>No</v>
      </c>
    </row>
    <row r="43" spans="2:56" ht="13.8" x14ac:dyDescent="0.25">
      <c r="B43" s="311" t="str">
        <f>'C-1 On-Site WaterC'' Baseline'!AP41</f>
        <v/>
      </c>
      <c r="C43" s="301" t="str">
        <f>IF(B43="","",VLOOKUP($B43,'C-1 On-Site WaterC'' Baseline'!$C$9:$R$257,2,FALSE))</f>
        <v/>
      </c>
      <c r="D43" s="301" t="str">
        <f>IF(C43="","",VLOOKUP($B43,'C-1 On-Site WaterC'' Baseline'!$C$9:$R$257,3,FALSE))</f>
        <v/>
      </c>
      <c r="E43" s="301" t="str">
        <f>IF(D43="","",VLOOKUP($B43,'C-1 On-Site WaterC'' Baseline'!$C$9:$R$257,4,FALSE))</f>
        <v/>
      </c>
      <c r="F43" s="301" t="str">
        <f>IF(E43="","",VLOOKUP($B43,'C-1 On-Site WaterC'' Baseline'!$C$9:$R$257,5,FALSE))</f>
        <v/>
      </c>
      <c r="G43" s="301" t="str">
        <f>IF(F43="","",VLOOKUP($B43,'C-1 On-Site WaterC'' Baseline'!$C$9:$R$257,6,FALSE))</f>
        <v/>
      </c>
      <c r="H43" s="301" t="str">
        <f>IF(G43="","",VLOOKUP($B43,'C-1 On-Site WaterC'' Baseline'!$C$9:$R$257,7,FALSE))</f>
        <v/>
      </c>
      <c r="I43" s="301" t="str">
        <f>IF(H43="","",VLOOKUP($B43,'C-1 On-Site WaterC'' Baseline'!$C$9:$R$257,8,FALSE))</f>
        <v/>
      </c>
      <c r="J43" s="301" t="str">
        <f>IF(I43="","",VLOOKUP($B43,'C-1 On-Site WaterC'' Baseline'!$C$9:$R$257,9,FALSE))</f>
        <v/>
      </c>
      <c r="K43" s="301" t="str">
        <f>IF(J43="","",VLOOKUP($B43,'C-1 On-Site WaterC'' Baseline'!$C$9:$R$257,10,FALSE))</f>
        <v/>
      </c>
      <c r="L43" s="301" t="str">
        <f>IF(B43="","",VLOOKUP($B43,'C-1 On-Site WaterC'' Baseline'!$C$9:$R$257,15,FALSE))</f>
        <v/>
      </c>
      <c r="M43" s="305" t="str">
        <f>IF(L43="","",VLOOKUP($B43,'C-1 On-Site WaterC'' Baseline'!$C$9:$R$257,16,FALSE))</f>
        <v/>
      </c>
      <c r="N43" s="251"/>
      <c r="O43" s="281" t="str">
        <f t="shared" si="1"/>
        <v/>
      </c>
      <c r="P43" s="282" t="str">
        <f t="shared" si="2"/>
        <v/>
      </c>
      <c r="Q43" s="342" t="str">
        <f>IF(N43="","",VLOOKUP(B43,'C-1 On-Site WaterC'' Baseline'!$C$10:$AC$257,20,FALSE))</f>
        <v/>
      </c>
      <c r="R43" s="281" t="str">
        <f>IF(N43="","",VLOOKUP(N43,'G-7 WaterC'' Data'!$B$2:$G$8,2,FALSE))</f>
        <v/>
      </c>
      <c r="S43" s="282" t="str">
        <f>IFERROR(VLOOKUP(R43,'G-7 WaterC'' Data'!$C$4:$D$8,2,FALSE),"")</f>
        <v/>
      </c>
      <c r="T43" s="105"/>
      <c r="U43" s="282" t="str">
        <f>IFERROR(INDEX('G-7 WaterC'' Data'!$H$4:$L$8,MATCH(N43,'G-7 WaterC'' Data'!$B$4:$B$8,0),MATCH(T43,'G-7 WaterC'' Data'!$H$3:$L$3,0)),"")</f>
        <v/>
      </c>
      <c r="V43" s="105"/>
      <c r="W43" s="289" t="str">
        <f>IF(V43="","",IF(VLOOKUP(V43,'G-7 WaterC'' Data'!$AK$4:$AM$6,2,FALSE)=0,"Spatial Data Missing ⚠",VLOOKUP(V43,'G-7 WaterC'' Data'!$AK$4:$AM$6,2,FALSE)))</f>
        <v/>
      </c>
      <c r="X43" s="282" t="str">
        <f>IF(V43="","",IF(VLOOKUP(V43,'G-7 WaterC'' Data'!$AK$4:$AM$6,3,FALSE)=0,"Spatial Data Missing ⚠",VLOOKUP(V43,'G-7 WaterC'' Data'!$AK$4:$AM$6,3,FALSE)))</f>
        <v/>
      </c>
      <c r="Y43" s="281" t="str">
        <f>IFERROR(IF(OR(LEFT(P43,5)="Error",LEFT(O43,5)="Error"),"Check Data ⚠",IF(F43&lt;S43,'G-7 WaterC'' Data'!$R$3,INDEX('G-7 WaterC'' Data'!$U$5:$Y$9,MATCH(G43,'G-7 WaterC'' Data'!$T$5:$T$9,0),MATCH(T43,'G-7 WaterC'' Data'!$U$4:$Y$4,0)))),"")</f>
        <v/>
      </c>
      <c r="Z43" s="137"/>
      <c r="AA43" s="137"/>
      <c r="AB43" s="289" t="str">
        <f t="shared" si="3"/>
        <v/>
      </c>
      <c r="AC43" s="302" t="str">
        <f t="shared" si="4"/>
        <v/>
      </c>
      <c r="AD43" s="340" t="str">
        <f>IFERROR(IF(AC43="Check Data ⚠","Check Data ⚠",VLOOKUP(AC43,'G-4 Temporal multipliers'!$A$4:$C$37,3,FALSE)),"")</f>
        <v/>
      </c>
      <c r="AE43" s="281" t="str">
        <f>IF(N43="","",VLOOKUP(N43,'G-7 WaterC'' Data'!$B$4:$G$8,5,FALSE))</f>
        <v/>
      </c>
      <c r="AF43" s="289" t="str">
        <f t="shared" si="5"/>
        <v/>
      </c>
      <c r="AG43" s="320" t="str">
        <f t="shared" si="6"/>
        <v/>
      </c>
      <c r="AH43" s="282" t="str">
        <f t="shared" si="0"/>
        <v/>
      </c>
      <c r="AI43" s="109"/>
      <c r="AJ43" s="282" t="str">
        <f>IF(AI43="","",IF(AND(AI43="N/A - Culvert",N43&lt;&gt;"Culvert"),"Not possible ▲",IF(VLOOKUP(AI43,'G-7 WaterC'' Data'!$AA$4:$AB$7,2,FALSE)=0,"Spatial Data Missing ⚠",VLOOKUP(AI43,'G-7 WaterC'' Data'!$AA$4:$AB$7,2,FALSE))))</f>
        <v/>
      </c>
      <c r="AK43" s="110"/>
      <c r="AL43" s="282" t="str">
        <f>IF(AK43="","",IF(AND(AK43="N/A - Culvert",N43&lt;&gt;"Culvert"),"Not possible ▲",IF(VLOOKUP(AK43,'G-7 WaterC'' Data'!$AD$4:$AE$14,2,FALSE)=0,"Spatial Data Missing ⚠",VLOOKUP(AK43,'G-7 WaterC'' Data'!$AD$4:$AE$14,2,FALSE))))</f>
        <v/>
      </c>
      <c r="AM43" s="323" t="str">
        <f t="shared" si="7"/>
        <v/>
      </c>
      <c r="AN43" s="105"/>
      <c r="AO43" s="119"/>
      <c r="AP43" s="108"/>
      <c r="AS43" s="30" t="str">
        <f>IF(B43="","",IF(ISNA(VLOOKUP($B43,'C-1 On-Site WaterC'' Baseline'!$C$8:$AD$257,17,FALSE)),"",(VLOOKUP($B43,'C-1 On-Site WaterC'' Baseline'!$C$8:$AD$257,17,FALSE))))</f>
        <v/>
      </c>
      <c r="AT43" s="30" t="str">
        <f>IF(B43="","",VLOOKUP($B43,'C-1 On-Site WaterC'' Baseline'!$C$9:$Z$257,12,FALSE))</f>
        <v/>
      </c>
      <c r="AU43" s="30" t="str">
        <f>IF(B43="","",VLOOKUP($B43,'C-1 On-Site WaterC'' Baseline'!$C$9:$Z$257,14,FALSE))</f>
        <v/>
      </c>
      <c r="AV43" s="30" t="str">
        <f>IFERROR(INDEX('G-7 WaterC'' Data'!$AZ$3:$AZ$7,MATCH(N43,'G-7 WaterC'' Data'!$AY$3:$AY$7,0)),"")</f>
        <v/>
      </c>
      <c r="AX43" s="30" t="str">
        <f>IF(B43="","",VLOOKUP($B43,'C-1 On-Site WaterC'' Baseline'!$C$9:$Y$257,22,FALSE))</f>
        <v/>
      </c>
      <c r="AY43" s="30" t="str">
        <f t="shared" si="8"/>
        <v/>
      </c>
      <c r="AZ43" s="30" t="str">
        <f>IF(B43="","",VLOOKUP($B43,'C-1 On-Site WaterC'' Baseline'!$C$9:$Y$257,21,FALSE))</f>
        <v/>
      </c>
      <c r="BA43" s="30" t="str">
        <f>IF(B43="","",VLOOKUP($B43,'C-1 On-Site WaterC'' Baseline'!$C$9:$Y$257,19,FALSE))</f>
        <v/>
      </c>
      <c r="BD43" s="30" t="str">
        <f t="shared" si="9"/>
        <v>No</v>
      </c>
    </row>
    <row r="44" spans="2:56" ht="13.8" x14ac:dyDescent="0.25">
      <c r="B44" s="311" t="str">
        <f>'C-1 On-Site WaterC'' Baseline'!AP42</f>
        <v/>
      </c>
      <c r="C44" s="301" t="str">
        <f>IF(B44="","",VLOOKUP($B44,'C-1 On-Site WaterC'' Baseline'!$C$9:$R$257,2,FALSE))</f>
        <v/>
      </c>
      <c r="D44" s="301" t="str">
        <f>IF(C44="","",VLOOKUP($B44,'C-1 On-Site WaterC'' Baseline'!$C$9:$R$257,3,FALSE))</f>
        <v/>
      </c>
      <c r="E44" s="301" t="str">
        <f>IF(D44="","",VLOOKUP($B44,'C-1 On-Site WaterC'' Baseline'!$C$9:$R$257,4,FALSE))</f>
        <v/>
      </c>
      <c r="F44" s="301" t="str">
        <f>IF(E44="","",VLOOKUP($B44,'C-1 On-Site WaterC'' Baseline'!$C$9:$R$257,5,FALSE))</f>
        <v/>
      </c>
      <c r="G44" s="301" t="str">
        <f>IF(F44="","",VLOOKUP($B44,'C-1 On-Site WaterC'' Baseline'!$C$9:$R$257,6,FALSE))</f>
        <v/>
      </c>
      <c r="H44" s="301" t="str">
        <f>IF(G44="","",VLOOKUP($B44,'C-1 On-Site WaterC'' Baseline'!$C$9:$R$257,7,FALSE))</f>
        <v/>
      </c>
      <c r="I44" s="301" t="str">
        <f>IF(H44="","",VLOOKUP($B44,'C-1 On-Site WaterC'' Baseline'!$C$9:$R$257,8,FALSE))</f>
        <v/>
      </c>
      <c r="J44" s="301" t="str">
        <f>IF(I44="","",VLOOKUP($B44,'C-1 On-Site WaterC'' Baseline'!$C$9:$R$257,9,FALSE))</f>
        <v/>
      </c>
      <c r="K44" s="301" t="str">
        <f>IF(J44="","",VLOOKUP($B44,'C-1 On-Site WaterC'' Baseline'!$C$9:$R$257,10,FALSE))</f>
        <v/>
      </c>
      <c r="L44" s="301" t="str">
        <f>IF(B44="","",VLOOKUP($B44,'C-1 On-Site WaterC'' Baseline'!$C$9:$R$257,15,FALSE))</f>
        <v/>
      </c>
      <c r="M44" s="305" t="str">
        <f>IF(L44="","",VLOOKUP($B44,'C-1 On-Site WaterC'' Baseline'!$C$9:$R$257,16,FALSE))</f>
        <v/>
      </c>
      <c r="N44" s="251"/>
      <c r="O44" s="281" t="str">
        <f t="shared" si="1"/>
        <v/>
      </c>
      <c r="P44" s="282" t="str">
        <f t="shared" si="2"/>
        <v/>
      </c>
      <c r="Q44" s="342" t="str">
        <f>IF(N44="","",VLOOKUP(B44,'C-1 On-Site WaterC'' Baseline'!$C$10:$AC$257,20,FALSE))</f>
        <v/>
      </c>
      <c r="R44" s="281" t="str">
        <f>IF(N44="","",VLOOKUP(N44,'G-7 WaterC'' Data'!$B$2:$G$8,2,FALSE))</f>
        <v/>
      </c>
      <c r="S44" s="282" t="str">
        <f>IFERROR(VLOOKUP(R44,'G-7 WaterC'' Data'!$C$4:$D$8,2,FALSE),"")</f>
        <v/>
      </c>
      <c r="T44" s="105"/>
      <c r="U44" s="282" t="str">
        <f>IFERROR(INDEX('G-7 WaterC'' Data'!$H$4:$L$8,MATCH(N44,'G-7 WaterC'' Data'!$B$4:$B$8,0),MATCH(T44,'G-7 WaterC'' Data'!$H$3:$L$3,0)),"")</f>
        <v/>
      </c>
      <c r="V44" s="105"/>
      <c r="W44" s="289" t="str">
        <f>IF(V44="","",IF(VLOOKUP(V44,'G-7 WaterC'' Data'!$AK$4:$AM$6,2,FALSE)=0,"Spatial Data Missing ⚠",VLOOKUP(V44,'G-7 WaterC'' Data'!$AK$4:$AM$6,2,FALSE)))</f>
        <v/>
      </c>
      <c r="X44" s="282" t="str">
        <f>IF(V44="","",IF(VLOOKUP(V44,'G-7 WaterC'' Data'!$AK$4:$AM$6,3,FALSE)=0,"Spatial Data Missing ⚠",VLOOKUP(V44,'G-7 WaterC'' Data'!$AK$4:$AM$6,3,FALSE)))</f>
        <v/>
      </c>
      <c r="Y44" s="281" t="str">
        <f>IFERROR(IF(OR(LEFT(P44,5)="Error",LEFT(O44,5)="Error"),"Check Data ⚠",IF(F44&lt;S44,'G-7 WaterC'' Data'!$R$3,INDEX('G-7 WaterC'' Data'!$U$5:$Y$9,MATCH(G44,'G-7 WaterC'' Data'!$T$5:$T$9,0),MATCH(T44,'G-7 WaterC'' Data'!$U$4:$Y$4,0)))),"")</f>
        <v/>
      </c>
      <c r="Z44" s="137"/>
      <c r="AA44" s="137"/>
      <c r="AB44" s="289" t="str">
        <f t="shared" si="3"/>
        <v/>
      </c>
      <c r="AC44" s="302" t="str">
        <f t="shared" si="4"/>
        <v/>
      </c>
      <c r="AD44" s="340" t="str">
        <f>IFERROR(IF(AC44="Check Data ⚠","Check Data ⚠",VLOOKUP(AC44,'G-4 Temporal multipliers'!$A$4:$C$37,3,FALSE)),"")</f>
        <v/>
      </c>
      <c r="AE44" s="281" t="str">
        <f>IF(N44="","",VLOOKUP(N44,'G-7 WaterC'' Data'!$B$4:$G$8,5,FALSE))</f>
        <v/>
      </c>
      <c r="AF44" s="289" t="str">
        <f t="shared" si="5"/>
        <v/>
      </c>
      <c r="AG44" s="320" t="str">
        <f t="shared" si="6"/>
        <v/>
      </c>
      <c r="AH44" s="282" t="str">
        <f t="shared" si="0"/>
        <v/>
      </c>
      <c r="AI44" s="109"/>
      <c r="AJ44" s="282" t="str">
        <f>IF(AI44="","",IF(AND(AI44="N/A - Culvert",N44&lt;&gt;"Culvert"),"Not possible ▲",IF(VLOOKUP(AI44,'G-7 WaterC'' Data'!$AA$4:$AB$7,2,FALSE)=0,"Spatial Data Missing ⚠",VLOOKUP(AI44,'G-7 WaterC'' Data'!$AA$4:$AB$7,2,FALSE))))</f>
        <v/>
      </c>
      <c r="AK44" s="110"/>
      <c r="AL44" s="282" t="str">
        <f>IF(AK44="","",IF(AND(AK44="N/A - Culvert",N44&lt;&gt;"Culvert"),"Not possible ▲",IF(VLOOKUP(AK44,'G-7 WaterC'' Data'!$AD$4:$AE$14,2,FALSE)=0,"Spatial Data Missing ⚠",VLOOKUP(AK44,'G-7 WaterC'' Data'!$AD$4:$AE$14,2,FALSE))))</f>
        <v/>
      </c>
      <c r="AM44" s="323" t="str">
        <f t="shared" si="7"/>
        <v/>
      </c>
      <c r="AN44" s="105"/>
      <c r="AO44" s="119"/>
      <c r="AP44" s="108"/>
      <c r="AS44" s="30" t="str">
        <f>IF(B44="","",IF(ISNA(VLOOKUP($B44,'C-1 On-Site WaterC'' Baseline'!$C$8:$AD$257,17,FALSE)),"",(VLOOKUP($B44,'C-1 On-Site WaterC'' Baseline'!$C$8:$AD$257,17,FALSE))))</f>
        <v/>
      </c>
      <c r="AT44" s="30" t="str">
        <f>IF(B44="","",VLOOKUP($B44,'C-1 On-Site WaterC'' Baseline'!$C$9:$Z$257,12,FALSE))</f>
        <v/>
      </c>
      <c r="AU44" s="30" t="str">
        <f>IF(B44="","",VLOOKUP($B44,'C-1 On-Site WaterC'' Baseline'!$C$9:$Z$257,14,FALSE))</f>
        <v/>
      </c>
      <c r="AV44" s="30" t="str">
        <f>IFERROR(INDEX('G-7 WaterC'' Data'!$AZ$3:$AZ$7,MATCH(N44,'G-7 WaterC'' Data'!$AY$3:$AY$7,0)),"")</f>
        <v/>
      </c>
      <c r="AX44" s="30" t="str">
        <f>IF(B44="","",VLOOKUP($B44,'C-1 On-Site WaterC'' Baseline'!$C$9:$Y$257,22,FALSE))</f>
        <v/>
      </c>
      <c r="AY44" s="30" t="str">
        <f t="shared" si="8"/>
        <v/>
      </c>
      <c r="AZ44" s="30" t="str">
        <f>IF(B44="","",VLOOKUP($B44,'C-1 On-Site WaterC'' Baseline'!$C$9:$Y$257,21,FALSE))</f>
        <v/>
      </c>
      <c r="BA44" s="30" t="str">
        <f>IF(B44="","",VLOOKUP($B44,'C-1 On-Site WaterC'' Baseline'!$C$9:$Y$257,19,FALSE))</f>
        <v/>
      </c>
      <c r="BD44" s="30" t="str">
        <f t="shared" si="9"/>
        <v>No</v>
      </c>
    </row>
    <row r="45" spans="2:56" ht="13.8" x14ac:dyDescent="0.25">
      <c r="B45" s="311" t="str">
        <f>'C-1 On-Site WaterC'' Baseline'!AP43</f>
        <v/>
      </c>
      <c r="C45" s="301" t="str">
        <f>IF(B45="","",VLOOKUP($B45,'C-1 On-Site WaterC'' Baseline'!$C$9:$R$257,2,FALSE))</f>
        <v/>
      </c>
      <c r="D45" s="301" t="str">
        <f>IF(C45="","",VLOOKUP($B45,'C-1 On-Site WaterC'' Baseline'!$C$9:$R$257,3,FALSE))</f>
        <v/>
      </c>
      <c r="E45" s="301" t="str">
        <f>IF(D45="","",VLOOKUP($B45,'C-1 On-Site WaterC'' Baseline'!$C$9:$R$257,4,FALSE))</f>
        <v/>
      </c>
      <c r="F45" s="301" t="str">
        <f>IF(E45="","",VLOOKUP($B45,'C-1 On-Site WaterC'' Baseline'!$C$9:$R$257,5,FALSE))</f>
        <v/>
      </c>
      <c r="G45" s="301" t="str">
        <f>IF(F45="","",VLOOKUP($B45,'C-1 On-Site WaterC'' Baseline'!$C$9:$R$257,6,FALSE))</f>
        <v/>
      </c>
      <c r="H45" s="301" t="str">
        <f>IF(G45="","",VLOOKUP($B45,'C-1 On-Site WaterC'' Baseline'!$C$9:$R$257,7,FALSE))</f>
        <v/>
      </c>
      <c r="I45" s="301" t="str">
        <f>IF(H45="","",VLOOKUP($B45,'C-1 On-Site WaterC'' Baseline'!$C$9:$R$257,8,FALSE))</f>
        <v/>
      </c>
      <c r="J45" s="301" t="str">
        <f>IF(I45="","",VLOOKUP($B45,'C-1 On-Site WaterC'' Baseline'!$C$9:$R$257,9,FALSE))</f>
        <v/>
      </c>
      <c r="K45" s="301" t="str">
        <f>IF(J45="","",VLOOKUP($B45,'C-1 On-Site WaterC'' Baseline'!$C$9:$R$257,10,FALSE))</f>
        <v/>
      </c>
      <c r="L45" s="301" t="str">
        <f>IF(B45="","",VLOOKUP($B45,'C-1 On-Site WaterC'' Baseline'!$C$9:$R$257,15,FALSE))</f>
        <v/>
      </c>
      <c r="M45" s="305" t="str">
        <f>IF(L45="","",VLOOKUP($B45,'C-1 On-Site WaterC'' Baseline'!$C$9:$R$257,16,FALSE))</f>
        <v/>
      </c>
      <c r="N45" s="251"/>
      <c r="O45" s="281" t="str">
        <f t="shared" si="1"/>
        <v/>
      </c>
      <c r="P45" s="282" t="str">
        <f t="shared" si="2"/>
        <v/>
      </c>
      <c r="Q45" s="342" t="str">
        <f>IF(N45="","",VLOOKUP(B45,'C-1 On-Site WaterC'' Baseline'!$C$10:$AC$257,20,FALSE))</f>
        <v/>
      </c>
      <c r="R45" s="281" t="str">
        <f>IF(N45="","",VLOOKUP(N45,'G-7 WaterC'' Data'!$B$2:$G$8,2,FALSE))</f>
        <v/>
      </c>
      <c r="S45" s="282" t="str">
        <f>IFERROR(VLOOKUP(R45,'G-7 WaterC'' Data'!$C$4:$D$8,2,FALSE),"")</f>
        <v/>
      </c>
      <c r="T45" s="105"/>
      <c r="U45" s="282" t="str">
        <f>IFERROR(INDEX('G-7 WaterC'' Data'!$H$4:$L$8,MATCH(N45,'G-7 WaterC'' Data'!$B$4:$B$8,0),MATCH(T45,'G-7 WaterC'' Data'!$H$3:$L$3,0)),"")</f>
        <v/>
      </c>
      <c r="V45" s="105"/>
      <c r="W45" s="289" t="str">
        <f>IF(V45="","",IF(VLOOKUP(V45,'G-7 WaterC'' Data'!$AK$4:$AM$6,2,FALSE)=0,"Spatial Data Missing ⚠",VLOOKUP(V45,'G-7 WaterC'' Data'!$AK$4:$AM$6,2,FALSE)))</f>
        <v/>
      </c>
      <c r="X45" s="282" t="str">
        <f>IF(V45="","",IF(VLOOKUP(V45,'G-7 WaterC'' Data'!$AK$4:$AM$6,3,FALSE)=0,"Spatial Data Missing ⚠",VLOOKUP(V45,'G-7 WaterC'' Data'!$AK$4:$AM$6,3,FALSE)))</f>
        <v/>
      </c>
      <c r="Y45" s="281" t="str">
        <f>IFERROR(IF(OR(LEFT(P45,5)="Error",LEFT(O45,5)="Error"),"Check Data ⚠",IF(F45&lt;S45,'G-7 WaterC'' Data'!$R$3,INDEX('G-7 WaterC'' Data'!$U$5:$Y$9,MATCH(G45,'G-7 WaterC'' Data'!$T$5:$T$9,0),MATCH(T45,'G-7 WaterC'' Data'!$U$4:$Y$4,0)))),"")</f>
        <v/>
      </c>
      <c r="Z45" s="137"/>
      <c r="AA45" s="137"/>
      <c r="AB45" s="289" t="str">
        <f t="shared" si="3"/>
        <v/>
      </c>
      <c r="AC45" s="302" t="str">
        <f t="shared" si="4"/>
        <v/>
      </c>
      <c r="AD45" s="340" t="str">
        <f>IFERROR(IF(AC45="Check Data ⚠","Check Data ⚠",VLOOKUP(AC45,'G-4 Temporal multipliers'!$A$4:$C$37,3,FALSE)),"")</f>
        <v/>
      </c>
      <c r="AE45" s="281" t="str">
        <f>IF(N45="","",VLOOKUP(N45,'G-7 WaterC'' Data'!$B$4:$G$8,5,FALSE))</f>
        <v/>
      </c>
      <c r="AF45" s="289" t="str">
        <f t="shared" si="5"/>
        <v/>
      </c>
      <c r="AG45" s="320" t="str">
        <f t="shared" si="6"/>
        <v/>
      </c>
      <c r="AH45" s="282" t="str">
        <f t="shared" si="0"/>
        <v/>
      </c>
      <c r="AI45" s="109"/>
      <c r="AJ45" s="282" t="str">
        <f>IF(AI45="","",IF(AND(AI45="N/A - Culvert",N45&lt;&gt;"Culvert"),"Not possible ▲",IF(VLOOKUP(AI45,'G-7 WaterC'' Data'!$AA$4:$AB$7,2,FALSE)=0,"Spatial Data Missing ⚠",VLOOKUP(AI45,'G-7 WaterC'' Data'!$AA$4:$AB$7,2,FALSE))))</f>
        <v/>
      </c>
      <c r="AK45" s="110"/>
      <c r="AL45" s="282" t="str">
        <f>IF(AK45="","",IF(AND(AK45="N/A - Culvert",N45&lt;&gt;"Culvert"),"Not possible ▲",IF(VLOOKUP(AK45,'G-7 WaterC'' Data'!$AD$4:$AE$14,2,FALSE)=0,"Spatial Data Missing ⚠",VLOOKUP(AK45,'G-7 WaterC'' Data'!$AD$4:$AE$14,2,FALSE))))</f>
        <v/>
      </c>
      <c r="AM45" s="323" t="str">
        <f t="shared" si="7"/>
        <v/>
      </c>
      <c r="AN45" s="105"/>
      <c r="AO45" s="119"/>
      <c r="AP45" s="108"/>
      <c r="AS45" s="30" t="str">
        <f>IF(B45="","",IF(ISNA(VLOOKUP($B45,'C-1 On-Site WaterC'' Baseline'!$C$8:$AD$257,17,FALSE)),"",(VLOOKUP($B45,'C-1 On-Site WaterC'' Baseline'!$C$8:$AD$257,17,FALSE))))</f>
        <v/>
      </c>
      <c r="AT45" s="30" t="str">
        <f>IF(B45="","",VLOOKUP($B45,'C-1 On-Site WaterC'' Baseline'!$C$9:$Z$257,12,FALSE))</f>
        <v/>
      </c>
      <c r="AU45" s="30" t="str">
        <f>IF(B45="","",VLOOKUP($B45,'C-1 On-Site WaterC'' Baseline'!$C$9:$Z$257,14,FALSE))</f>
        <v/>
      </c>
      <c r="AV45" s="30" t="str">
        <f>IFERROR(INDEX('G-7 WaterC'' Data'!$AZ$3:$AZ$7,MATCH(N45,'G-7 WaterC'' Data'!$AY$3:$AY$7,0)),"")</f>
        <v/>
      </c>
      <c r="AX45" s="30" t="str">
        <f>IF(B45="","",VLOOKUP($B45,'C-1 On-Site WaterC'' Baseline'!$C$9:$Y$257,22,FALSE))</f>
        <v/>
      </c>
      <c r="AY45" s="30" t="str">
        <f t="shared" si="8"/>
        <v/>
      </c>
      <c r="AZ45" s="30" t="str">
        <f>IF(B45="","",VLOOKUP($B45,'C-1 On-Site WaterC'' Baseline'!$C$9:$Y$257,21,FALSE))</f>
        <v/>
      </c>
      <c r="BA45" s="30" t="str">
        <f>IF(B45="","",VLOOKUP($B45,'C-1 On-Site WaterC'' Baseline'!$C$9:$Y$257,19,FALSE))</f>
        <v/>
      </c>
      <c r="BD45" s="30" t="str">
        <f t="shared" si="9"/>
        <v>No</v>
      </c>
    </row>
    <row r="46" spans="2:56" ht="13.8" x14ac:dyDescent="0.25">
      <c r="B46" s="311" t="str">
        <f>'C-1 On-Site WaterC'' Baseline'!AP44</f>
        <v/>
      </c>
      <c r="C46" s="301" t="str">
        <f>IF(B46="","",VLOOKUP($B46,'C-1 On-Site WaterC'' Baseline'!$C$9:$R$257,2,FALSE))</f>
        <v/>
      </c>
      <c r="D46" s="301" t="str">
        <f>IF(C46="","",VLOOKUP($B46,'C-1 On-Site WaterC'' Baseline'!$C$9:$R$257,3,FALSE))</f>
        <v/>
      </c>
      <c r="E46" s="301" t="str">
        <f>IF(D46="","",VLOOKUP($B46,'C-1 On-Site WaterC'' Baseline'!$C$9:$R$257,4,FALSE))</f>
        <v/>
      </c>
      <c r="F46" s="301" t="str">
        <f>IF(E46="","",VLOOKUP($B46,'C-1 On-Site WaterC'' Baseline'!$C$9:$R$257,5,FALSE))</f>
        <v/>
      </c>
      <c r="G46" s="301" t="str">
        <f>IF(F46="","",VLOOKUP($B46,'C-1 On-Site WaterC'' Baseline'!$C$9:$R$257,6,FALSE))</f>
        <v/>
      </c>
      <c r="H46" s="301" t="str">
        <f>IF(G46="","",VLOOKUP($B46,'C-1 On-Site WaterC'' Baseline'!$C$9:$R$257,7,FALSE))</f>
        <v/>
      </c>
      <c r="I46" s="301" t="str">
        <f>IF(H46="","",VLOOKUP($B46,'C-1 On-Site WaterC'' Baseline'!$C$9:$R$257,8,FALSE))</f>
        <v/>
      </c>
      <c r="J46" s="301" t="str">
        <f>IF(I46="","",VLOOKUP($B46,'C-1 On-Site WaterC'' Baseline'!$C$9:$R$257,9,FALSE))</f>
        <v/>
      </c>
      <c r="K46" s="301" t="str">
        <f>IF(J46="","",VLOOKUP($B46,'C-1 On-Site WaterC'' Baseline'!$C$9:$R$257,10,FALSE))</f>
        <v/>
      </c>
      <c r="L46" s="301" t="str">
        <f>IF(B46="","",VLOOKUP($B46,'C-1 On-Site WaterC'' Baseline'!$C$9:$R$257,15,FALSE))</f>
        <v/>
      </c>
      <c r="M46" s="305" t="str">
        <f>IF(L46="","",VLOOKUP($B46,'C-1 On-Site WaterC'' Baseline'!$C$9:$R$257,16,FALSE))</f>
        <v/>
      </c>
      <c r="N46" s="251"/>
      <c r="O46" s="281" t="str">
        <f t="shared" si="1"/>
        <v/>
      </c>
      <c r="P46" s="282" t="str">
        <f t="shared" si="2"/>
        <v/>
      </c>
      <c r="Q46" s="342" t="str">
        <f>IF(N46="","",VLOOKUP(B46,'C-1 On-Site WaterC'' Baseline'!$C$10:$AC$257,20,FALSE))</f>
        <v/>
      </c>
      <c r="R46" s="281" t="str">
        <f>IF(N46="","",VLOOKUP(N46,'G-7 WaterC'' Data'!$B$2:$G$8,2,FALSE))</f>
        <v/>
      </c>
      <c r="S46" s="282" t="str">
        <f>IFERROR(VLOOKUP(R46,'G-7 WaterC'' Data'!$C$4:$D$8,2,FALSE),"")</f>
        <v/>
      </c>
      <c r="T46" s="105"/>
      <c r="U46" s="282" t="str">
        <f>IFERROR(INDEX('G-7 WaterC'' Data'!$H$4:$L$8,MATCH(N46,'G-7 WaterC'' Data'!$B$4:$B$8,0),MATCH(T46,'G-7 WaterC'' Data'!$H$3:$L$3,0)),"")</f>
        <v/>
      </c>
      <c r="V46" s="105"/>
      <c r="W46" s="289" t="str">
        <f>IF(V46="","",IF(VLOOKUP(V46,'G-7 WaterC'' Data'!$AK$4:$AM$6,2,FALSE)=0,"Spatial Data Missing ⚠",VLOOKUP(V46,'G-7 WaterC'' Data'!$AK$4:$AM$6,2,FALSE)))</f>
        <v/>
      </c>
      <c r="X46" s="282" t="str">
        <f>IF(V46="","",IF(VLOOKUP(V46,'G-7 WaterC'' Data'!$AK$4:$AM$6,3,FALSE)=0,"Spatial Data Missing ⚠",VLOOKUP(V46,'G-7 WaterC'' Data'!$AK$4:$AM$6,3,FALSE)))</f>
        <v/>
      </c>
      <c r="Y46" s="281" t="str">
        <f>IFERROR(IF(OR(LEFT(P46,5)="Error",LEFT(O46,5)="Error"),"Check Data ⚠",IF(F46&lt;S46,'G-7 WaterC'' Data'!$R$3,INDEX('G-7 WaterC'' Data'!$U$5:$Y$9,MATCH(G46,'G-7 WaterC'' Data'!$T$5:$T$9,0),MATCH(T46,'G-7 WaterC'' Data'!$U$4:$Y$4,0)))),"")</f>
        <v/>
      </c>
      <c r="Z46" s="137"/>
      <c r="AA46" s="137"/>
      <c r="AB46" s="289" t="str">
        <f t="shared" si="3"/>
        <v/>
      </c>
      <c r="AC46" s="302" t="str">
        <f t="shared" si="4"/>
        <v/>
      </c>
      <c r="AD46" s="340" t="str">
        <f>IFERROR(IF(AC46="Check Data ⚠","Check Data ⚠",VLOOKUP(AC46,'G-4 Temporal multipliers'!$A$4:$C$37,3,FALSE)),"")</f>
        <v/>
      </c>
      <c r="AE46" s="281" t="str">
        <f>IF(N46="","",VLOOKUP(N46,'G-7 WaterC'' Data'!$B$4:$G$8,5,FALSE))</f>
        <v/>
      </c>
      <c r="AF46" s="289" t="str">
        <f t="shared" si="5"/>
        <v/>
      </c>
      <c r="AG46" s="320" t="str">
        <f t="shared" si="6"/>
        <v/>
      </c>
      <c r="AH46" s="282" t="str">
        <f t="shared" si="0"/>
        <v/>
      </c>
      <c r="AI46" s="109"/>
      <c r="AJ46" s="282" t="str">
        <f>IF(AI46="","",IF(AND(AI46="N/A - Culvert",N46&lt;&gt;"Culvert"),"Not possible ▲",IF(VLOOKUP(AI46,'G-7 WaterC'' Data'!$AA$4:$AB$7,2,FALSE)=0,"Spatial Data Missing ⚠",VLOOKUP(AI46,'G-7 WaterC'' Data'!$AA$4:$AB$7,2,FALSE))))</f>
        <v/>
      </c>
      <c r="AK46" s="110"/>
      <c r="AL46" s="282" t="str">
        <f>IF(AK46="","",IF(AND(AK46="N/A - Culvert",N46&lt;&gt;"Culvert"),"Not possible ▲",IF(VLOOKUP(AK46,'G-7 WaterC'' Data'!$AD$4:$AE$14,2,FALSE)=0,"Spatial Data Missing ⚠",VLOOKUP(AK46,'G-7 WaterC'' Data'!$AD$4:$AE$14,2,FALSE))))</f>
        <v/>
      </c>
      <c r="AM46" s="323" t="str">
        <f t="shared" si="7"/>
        <v/>
      </c>
      <c r="AN46" s="105"/>
      <c r="AO46" s="119"/>
      <c r="AP46" s="108"/>
      <c r="AS46" s="30" t="str">
        <f>IF(B46="","",IF(ISNA(VLOOKUP($B46,'C-1 On-Site WaterC'' Baseline'!$C$8:$AD$257,17,FALSE)),"",(VLOOKUP($B46,'C-1 On-Site WaterC'' Baseline'!$C$8:$AD$257,17,FALSE))))</f>
        <v/>
      </c>
      <c r="AT46" s="30" t="str">
        <f>IF(B46="","",VLOOKUP($B46,'C-1 On-Site WaterC'' Baseline'!$C$9:$Z$257,12,FALSE))</f>
        <v/>
      </c>
      <c r="AU46" s="30" t="str">
        <f>IF(B46="","",VLOOKUP($B46,'C-1 On-Site WaterC'' Baseline'!$C$9:$Z$257,14,FALSE))</f>
        <v/>
      </c>
      <c r="AV46" s="30" t="str">
        <f>IFERROR(INDEX('G-7 WaterC'' Data'!$AZ$3:$AZ$7,MATCH(N46,'G-7 WaterC'' Data'!$AY$3:$AY$7,0)),"")</f>
        <v/>
      </c>
      <c r="AX46" s="30" t="str">
        <f>IF(B46="","",VLOOKUP($B46,'C-1 On-Site WaterC'' Baseline'!$C$9:$Y$257,22,FALSE))</f>
        <v/>
      </c>
      <c r="AY46" s="30" t="str">
        <f t="shared" si="8"/>
        <v/>
      </c>
      <c r="AZ46" s="30" t="str">
        <f>IF(B46="","",VLOOKUP($B46,'C-1 On-Site WaterC'' Baseline'!$C$9:$Y$257,21,FALSE))</f>
        <v/>
      </c>
      <c r="BA46" s="30" t="str">
        <f>IF(B46="","",VLOOKUP($B46,'C-1 On-Site WaterC'' Baseline'!$C$9:$Y$257,19,FALSE))</f>
        <v/>
      </c>
      <c r="BD46" s="30" t="str">
        <f t="shared" si="9"/>
        <v>No</v>
      </c>
    </row>
    <row r="47" spans="2:56" ht="13.8" x14ac:dyDescent="0.25">
      <c r="B47" s="311" t="str">
        <f>'C-1 On-Site WaterC'' Baseline'!AP45</f>
        <v/>
      </c>
      <c r="C47" s="301" t="str">
        <f>IF(B47="","",VLOOKUP($B47,'C-1 On-Site WaterC'' Baseline'!$C$9:$R$257,2,FALSE))</f>
        <v/>
      </c>
      <c r="D47" s="301" t="str">
        <f>IF(C47="","",VLOOKUP($B47,'C-1 On-Site WaterC'' Baseline'!$C$9:$R$257,3,FALSE))</f>
        <v/>
      </c>
      <c r="E47" s="301" t="str">
        <f>IF(D47="","",VLOOKUP($B47,'C-1 On-Site WaterC'' Baseline'!$C$9:$R$257,4,FALSE))</f>
        <v/>
      </c>
      <c r="F47" s="301" t="str">
        <f>IF(E47="","",VLOOKUP($B47,'C-1 On-Site WaterC'' Baseline'!$C$9:$R$257,5,FALSE))</f>
        <v/>
      </c>
      <c r="G47" s="301" t="str">
        <f>IF(F47="","",VLOOKUP($B47,'C-1 On-Site WaterC'' Baseline'!$C$9:$R$257,6,FALSE))</f>
        <v/>
      </c>
      <c r="H47" s="301" t="str">
        <f>IF(G47="","",VLOOKUP($B47,'C-1 On-Site WaterC'' Baseline'!$C$9:$R$257,7,FALSE))</f>
        <v/>
      </c>
      <c r="I47" s="301" t="str">
        <f>IF(H47="","",VLOOKUP($B47,'C-1 On-Site WaterC'' Baseline'!$C$9:$R$257,8,FALSE))</f>
        <v/>
      </c>
      <c r="J47" s="301" t="str">
        <f>IF(I47="","",VLOOKUP($B47,'C-1 On-Site WaterC'' Baseline'!$C$9:$R$257,9,FALSE))</f>
        <v/>
      </c>
      <c r="K47" s="301" t="str">
        <f>IF(J47="","",VLOOKUP($B47,'C-1 On-Site WaterC'' Baseline'!$C$9:$R$257,10,FALSE))</f>
        <v/>
      </c>
      <c r="L47" s="301" t="str">
        <f>IF(B47="","",VLOOKUP($B47,'C-1 On-Site WaterC'' Baseline'!$C$9:$R$257,15,FALSE))</f>
        <v/>
      </c>
      <c r="M47" s="305" t="str">
        <f>IF(L47="","",VLOOKUP($B47,'C-1 On-Site WaterC'' Baseline'!$C$9:$R$257,16,FALSE))</f>
        <v/>
      </c>
      <c r="N47" s="251"/>
      <c r="O47" s="281" t="str">
        <f t="shared" si="1"/>
        <v/>
      </c>
      <c r="P47" s="282" t="str">
        <f t="shared" si="2"/>
        <v/>
      </c>
      <c r="Q47" s="342" t="str">
        <f>IF(N47="","",VLOOKUP(B47,'C-1 On-Site WaterC'' Baseline'!$C$10:$AC$257,20,FALSE))</f>
        <v/>
      </c>
      <c r="R47" s="281" t="str">
        <f>IF(N47="","",VLOOKUP(N47,'G-7 WaterC'' Data'!$B$2:$G$8,2,FALSE))</f>
        <v/>
      </c>
      <c r="S47" s="282" t="str">
        <f>IFERROR(VLOOKUP(R47,'G-7 WaterC'' Data'!$C$4:$D$8,2,FALSE),"")</f>
        <v/>
      </c>
      <c r="T47" s="105"/>
      <c r="U47" s="282" t="str">
        <f>IFERROR(INDEX('G-7 WaterC'' Data'!$H$4:$L$8,MATCH(N47,'G-7 WaterC'' Data'!$B$4:$B$8,0),MATCH(T47,'G-7 WaterC'' Data'!$H$3:$L$3,0)),"")</f>
        <v/>
      </c>
      <c r="V47" s="105"/>
      <c r="W47" s="289" t="str">
        <f>IF(V47="","",IF(VLOOKUP(V47,'G-7 WaterC'' Data'!$AK$4:$AM$6,2,FALSE)=0,"Spatial Data Missing ⚠",VLOOKUP(V47,'G-7 WaterC'' Data'!$AK$4:$AM$6,2,FALSE)))</f>
        <v/>
      </c>
      <c r="X47" s="282" t="str">
        <f>IF(V47="","",IF(VLOOKUP(V47,'G-7 WaterC'' Data'!$AK$4:$AM$6,3,FALSE)=0,"Spatial Data Missing ⚠",VLOOKUP(V47,'G-7 WaterC'' Data'!$AK$4:$AM$6,3,FALSE)))</f>
        <v/>
      </c>
      <c r="Y47" s="281" t="str">
        <f>IFERROR(IF(OR(LEFT(P47,5)="Error",LEFT(O47,5)="Error"),"Check Data ⚠",IF(F47&lt;S47,'G-7 WaterC'' Data'!$R$3,INDEX('G-7 WaterC'' Data'!$U$5:$Y$9,MATCH(G47,'G-7 WaterC'' Data'!$T$5:$T$9,0),MATCH(T47,'G-7 WaterC'' Data'!$U$4:$Y$4,0)))),"")</f>
        <v/>
      </c>
      <c r="Z47" s="137"/>
      <c r="AA47" s="137"/>
      <c r="AB47" s="289" t="str">
        <f t="shared" si="3"/>
        <v/>
      </c>
      <c r="AC47" s="302" t="str">
        <f t="shared" si="4"/>
        <v/>
      </c>
      <c r="AD47" s="340" t="str">
        <f>IFERROR(IF(AC47="Check Data ⚠","Check Data ⚠",VLOOKUP(AC47,'G-4 Temporal multipliers'!$A$4:$C$37,3,FALSE)),"")</f>
        <v/>
      </c>
      <c r="AE47" s="281" t="str">
        <f>IF(N47="","",VLOOKUP(N47,'G-7 WaterC'' Data'!$B$4:$G$8,5,FALSE))</f>
        <v/>
      </c>
      <c r="AF47" s="289" t="str">
        <f t="shared" si="5"/>
        <v/>
      </c>
      <c r="AG47" s="320" t="str">
        <f t="shared" si="6"/>
        <v/>
      </c>
      <c r="AH47" s="282" t="str">
        <f t="shared" si="0"/>
        <v/>
      </c>
      <c r="AI47" s="109"/>
      <c r="AJ47" s="282" t="str">
        <f>IF(AI47="","",IF(AND(AI47="N/A - Culvert",N47&lt;&gt;"Culvert"),"Not possible ▲",IF(VLOOKUP(AI47,'G-7 WaterC'' Data'!$AA$4:$AB$7,2,FALSE)=0,"Spatial Data Missing ⚠",VLOOKUP(AI47,'G-7 WaterC'' Data'!$AA$4:$AB$7,2,FALSE))))</f>
        <v/>
      </c>
      <c r="AK47" s="110"/>
      <c r="AL47" s="282" t="str">
        <f>IF(AK47="","",IF(AND(AK47="N/A - Culvert",N47&lt;&gt;"Culvert"),"Not possible ▲",IF(VLOOKUP(AK47,'G-7 WaterC'' Data'!$AD$4:$AE$14,2,FALSE)=0,"Spatial Data Missing ⚠",VLOOKUP(AK47,'G-7 WaterC'' Data'!$AD$4:$AE$14,2,FALSE))))</f>
        <v/>
      </c>
      <c r="AM47" s="323" t="str">
        <f t="shared" si="7"/>
        <v/>
      </c>
      <c r="AN47" s="105"/>
      <c r="AO47" s="119"/>
      <c r="AP47" s="108"/>
      <c r="AS47" s="30" t="str">
        <f>IF(B47="","",IF(ISNA(VLOOKUP($B47,'C-1 On-Site WaterC'' Baseline'!$C$8:$AD$257,17,FALSE)),"",(VLOOKUP($B47,'C-1 On-Site WaterC'' Baseline'!$C$8:$AD$257,17,FALSE))))</f>
        <v/>
      </c>
      <c r="AT47" s="30" t="str">
        <f>IF(B47="","",VLOOKUP($B47,'C-1 On-Site WaterC'' Baseline'!$C$9:$Z$257,12,FALSE))</f>
        <v/>
      </c>
      <c r="AU47" s="30" t="str">
        <f>IF(B47="","",VLOOKUP($B47,'C-1 On-Site WaterC'' Baseline'!$C$9:$Z$257,14,FALSE))</f>
        <v/>
      </c>
      <c r="AV47" s="30" t="str">
        <f>IFERROR(INDEX('G-7 WaterC'' Data'!$AZ$3:$AZ$7,MATCH(N47,'G-7 WaterC'' Data'!$AY$3:$AY$7,0)),"")</f>
        <v/>
      </c>
      <c r="AX47" s="30" t="str">
        <f>IF(B47="","",VLOOKUP($B47,'C-1 On-Site WaterC'' Baseline'!$C$9:$Y$257,22,FALSE))</f>
        <v/>
      </c>
      <c r="AY47" s="30" t="str">
        <f t="shared" si="8"/>
        <v/>
      </c>
      <c r="AZ47" s="30" t="str">
        <f>IF(B47="","",VLOOKUP($B47,'C-1 On-Site WaterC'' Baseline'!$C$9:$Y$257,21,FALSE))</f>
        <v/>
      </c>
      <c r="BA47" s="30" t="str">
        <f>IF(B47="","",VLOOKUP($B47,'C-1 On-Site WaterC'' Baseline'!$C$9:$Y$257,19,FALSE))</f>
        <v/>
      </c>
      <c r="BD47" s="30" t="str">
        <f t="shared" si="9"/>
        <v>No</v>
      </c>
    </row>
    <row r="48" spans="2:56" ht="13.8" x14ac:dyDescent="0.25">
      <c r="B48" s="311" t="str">
        <f>'C-1 On-Site WaterC'' Baseline'!AP46</f>
        <v/>
      </c>
      <c r="C48" s="301" t="str">
        <f>IF(B48="","",VLOOKUP($B48,'C-1 On-Site WaterC'' Baseline'!$C$9:$R$257,2,FALSE))</f>
        <v/>
      </c>
      <c r="D48" s="301" t="str">
        <f>IF(C48="","",VLOOKUP($B48,'C-1 On-Site WaterC'' Baseline'!$C$9:$R$257,3,FALSE))</f>
        <v/>
      </c>
      <c r="E48" s="301" t="str">
        <f>IF(D48="","",VLOOKUP($B48,'C-1 On-Site WaterC'' Baseline'!$C$9:$R$257,4,FALSE))</f>
        <v/>
      </c>
      <c r="F48" s="301" t="str">
        <f>IF(E48="","",VLOOKUP($B48,'C-1 On-Site WaterC'' Baseline'!$C$9:$R$257,5,FALSE))</f>
        <v/>
      </c>
      <c r="G48" s="301" t="str">
        <f>IF(F48="","",VLOOKUP($B48,'C-1 On-Site WaterC'' Baseline'!$C$9:$R$257,6,FALSE))</f>
        <v/>
      </c>
      <c r="H48" s="301" t="str">
        <f>IF(G48="","",VLOOKUP($B48,'C-1 On-Site WaterC'' Baseline'!$C$9:$R$257,7,FALSE))</f>
        <v/>
      </c>
      <c r="I48" s="301" t="str">
        <f>IF(H48="","",VLOOKUP($B48,'C-1 On-Site WaterC'' Baseline'!$C$9:$R$257,8,FALSE))</f>
        <v/>
      </c>
      <c r="J48" s="301" t="str">
        <f>IF(I48="","",VLOOKUP($B48,'C-1 On-Site WaterC'' Baseline'!$C$9:$R$257,9,FALSE))</f>
        <v/>
      </c>
      <c r="K48" s="301" t="str">
        <f>IF(J48="","",VLOOKUP($B48,'C-1 On-Site WaterC'' Baseline'!$C$9:$R$257,10,FALSE))</f>
        <v/>
      </c>
      <c r="L48" s="301" t="str">
        <f>IF(B48="","",VLOOKUP($B48,'C-1 On-Site WaterC'' Baseline'!$C$9:$R$257,15,FALSE))</f>
        <v/>
      </c>
      <c r="M48" s="305" t="str">
        <f>IF(L48="","",VLOOKUP($B48,'C-1 On-Site WaterC'' Baseline'!$C$9:$R$257,16,FALSE))</f>
        <v/>
      </c>
      <c r="N48" s="251"/>
      <c r="O48" s="281" t="str">
        <f t="shared" si="1"/>
        <v/>
      </c>
      <c r="P48" s="282" t="str">
        <f t="shared" si="2"/>
        <v/>
      </c>
      <c r="Q48" s="342" t="str">
        <f>IF(N48="","",VLOOKUP(B48,'C-1 On-Site WaterC'' Baseline'!$C$10:$AC$257,20,FALSE))</f>
        <v/>
      </c>
      <c r="R48" s="281" t="str">
        <f>IF(N48="","",VLOOKUP(N48,'G-7 WaterC'' Data'!$B$2:$G$8,2,FALSE))</f>
        <v/>
      </c>
      <c r="S48" s="282" t="str">
        <f>IFERROR(VLOOKUP(R48,'G-7 WaterC'' Data'!$C$4:$D$8,2,FALSE),"")</f>
        <v/>
      </c>
      <c r="T48" s="105"/>
      <c r="U48" s="282" t="str">
        <f>IFERROR(INDEX('G-7 WaterC'' Data'!$H$4:$L$8,MATCH(N48,'G-7 WaterC'' Data'!$B$4:$B$8,0),MATCH(T48,'G-7 WaterC'' Data'!$H$3:$L$3,0)),"")</f>
        <v/>
      </c>
      <c r="V48" s="105"/>
      <c r="W48" s="289" t="str">
        <f>IF(V48="","",IF(VLOOKUP(V48,'G-7 WaterC'' Data'!$AK$4:$AM$6,2,FALSE)=0,"Spatial Data Missing ⚠",VLOOKUP(V48,'G-7 WaterC'' Data'!$AK$4:$AM$6,2,FALSE)))</f>
        <v/>
      </c>
      <c r="X48" s="282" t="str">
        <f>IF(V48="","",IF(VLOOKUP(V48,'G-7 WaterC'' Data'!$AK$4:$AM$6,3,FALSE)=0,"Spatial Data Missing ⚠",VLOOKUP(V48,'G-7 WaterC'' Data'!$AK$4:$AM$6,3,FALSE)))</f>
        <v/>
      </c>
      <c r="Y48" s="281" t="str">
        <f>IFERROR(IF(OR(LEFT(P48,5)="Error",LEFT(O48,5)="Error"),"Check Data ⚠",IF(F48&lt;S48,'G-7 WaterC'' Data'!$R$3,INDEX('G-7 WaterC'' Data'!$U$5:$Y$9,MATCH(G48,'G-7 WaterC'' Data'!$T$5:$T$9,0),MATCH(T48,'G-7 WaterC'' Data'!$U$4:$Y$4,0)))),"")</f>
        <v/>
      </c>
      <c r="Z48" s="137"/>
      <c r="AA48" s="137"/>
      <c r="AB48" s="289" t="str">
        <f t="shared" si="3"/>
        <v/>
      </c>
      <c r="AC48" s="302" t="str">
        <f t="shared" si="4"/>
        <v/>
      </c>
      <c r="AD48" s="340" t="str">
        <f>IFERROR(IF(AC48="Check Data ⚠","Check Data ⚠",VLOOKUP(AC48,'G-4 Temporal multipliers'!$A$4:$C$37,3,FALSE)),"")</f>
        <v/>
      </c>
      <c r="AE48" s="281" t="str">
        <f>IF(N48="","",VLOOKUP(N48,'G-7 WaterC'' Data'!$B$4:$G$8,5,FALSE))</f>
        <v/>
      </c>
      <c r="AF48" s="289" t="str">
        <f t="shared" si="5"/>
        <v/>
      </c>
      <c r="AG48" s="320" t="str">
        <f t="shared" si="6"/>
        <v/>
      </c>
      <c r="AH48" s="282" t="str">
        <f t="shared" si="0"/>
        <v/>
      </c>
      <c r="AI48" s="109"/>
      <c r="AJ48" s="282" t="str">
        <f>IF(AI48="","",IF(AND(AI48="N/A - Culvert",N48&lt;&gt;"Culvert"),"Not possible ▲",IF(VLOOKUP(AI48,'G-7 WaterC'' Data'!$AA$4:$AB$7,2,FALSE)=0,"Spatial Data Missing ⚠",VLOOKUP(AI48,'G-7 WaterC'' Data'!$AA$4:$AB$7,2,FALSE))))</f>
        <v/>
      </c>
      <c r="AK48" s="110"/>
      <c r="AL48" s="282" t="str">
        <f>IF(AK48="","",IF(AND(AK48="N/A - Culvert",N48&lt;&gt;"Culvert"),"Not possible ▲",IF(VLOOKUP(AK48,'G-7 WaterC'' Data'!$AD$4:$AE$14,2,FALSE)=0,"Spatial Data Missing ⚠",VLOOKUP(AK48,'G-7 WaterC'' Data'!$AD$4:$AE$14,2,FALSE))))</f>
        <v/>
      </c>
      <c r="AM48" s="323" t="str">
        <f t="shared" si="7"/>
        <v/>
      </c>
      <c r="AN48" s="105"/>
      <c r="AO48" s="119"/>
      <c r="AP48" s="108"/>
      <c r="AS48" s="30" t="str">
        <f>IF(B48="","",IF(ISNA(VLOOKUP($B48,'C-1 On-Site WaterC'' Baseline'!$C$8:$AD$257,17,FALSE)),"",(VLOOKUP($B48,'C-1 On-Site WaterC'' Baseline'!$C$8:$AD$257,17,FALSE))))</f>
        <v/>
      </c>
      <c r="AT48" s="30" t="str">
        <f>IF(B48="","",VLOOKUP($B48,'C-1 On-Site WaterC'' Baseline'!$C$9:$Z$257,12,FALSE))</f>
        <v/>
      </c>
      <c r="AU48" s="30" t="str">
        <f>IF(B48="","",VLOOKUP($B48,'C-1 On-Site WaterC'' Baseline'!$C$9:$Z$257,14,FALSE))</f>
        <v/>
      </c>
      <c r="AV48" s="30" t="str">
        <f>IFERROR(INDEX('G-7 WaterC'' Data'!$AZ$3:$AZ$7,MATCH(N48,'G-7 WaterC'' Data'!$AY$3:$AY$7,0)),"")</f>
        <v/>
      </c>
      <c r="AX48" s="30" t="str">
        <f>IF(B48="","",VLOOKUP($B48,'C-1 On-Site WaterC'' Baseline'!$C$9:$Y$257,22,FALSE))</f>
        <v/>
      </c>
      <c r="AY48" s="30" t="str">
        <f t="shared" si="8"/>
        <v/>
      </c>
      <c r="AZ48" s="30" t="str">
        <f>IF(B48="","",VLOOKUP($B48,'C-1 On-Site WaterC'' Baseline'!$C$9:$Y$257,21,FALSE))</f>
        <v/>
      </c>
      <c r="BA48" s="30" t="str">
        <f>IF(B48="","",VLOOKUP($B48,'C-1 On-Site WaterC'' Baseline'!$C$9:$Y$257,19,FALSE))</f>
        <v/>
      </c>
      <c r="BD48" s="30" t="str">
        <f t="shared" si="9"/>
        <v>No</v>
      </c>
    </row>
    <row r="49" spans="2:56" ht="13.8" x14ac:dyDescent="0.25">
      <c r="B49" s="311" t="str">
        <f>'C-1 On-Site WaterC'' Baseline'!AP47</f>
        <v/>
      </c>
      <c r="C49" s="301" t="str">
        <f>IF(B49="","",VLOOKUP($B49,'C-1 On-Site WaterC'' Baseline'!$C$9:$R$257,2,FALSE))</f>
        <v/>
      </c>
      <c r="D49" s="301" t="str">
        <f>IF(C49="","",VLOOKUP($B49,'C-1 On-Site WaterC'' Baseline'!$C$9:$R$257,3,FALSE))</f>
        <v/>
      </c>
      <c r="E49" s="301" t="str">
        <f>IF(D49="","",VLOOKUP($B49,'C-1 On-Site WaterC'' Baseline'!$C$9:$R$257,4,FALSE))</f>
        <v/>
      </c>
      <c r="F49" s="301" t="str">
        <f>IF(E49="","",VLOOKUP($B49,'C-1 On-Site WaterC'' Baseline'!$C$9:$R$257,5,FALSE))</f>
        <v/>
      </c>
      <c r="G49" s="301" t="str">
        <f>IF(F49="","",VLOOKUP($B49,'C-1 On-Site WaterC'' Baseline'!$C$9:$R$257,6,FALSE))</f>
        <v/>
      </c>
      <c r="H49" s="301" t="str">
        <f>IF(G49="","",VLOOKUP($B49,'C-1 On-Site WaterC'' Baseline'!$C$9:$R$257,7,FALSE))</f>
        <v/>
      </c>
      <c r="I49" s="301" t="str">
        <f>IF(H49="","",VLOOKUP($B49,'C-1 On-Site WaterC'' Baseline'!$C$9:$R$257,8,FALSE))</f>
        <v/>
      </c>
      <c r="J49" s="301" t="str">
        <f>IF(I49="","",VLOOKUP($B49,'C-1 On-Site WaterC'' Baseline'!$C$9:$R$257,9,FALSE))</f>
        <v/>
      </c>
      <c r="K49" s="301" t="str">
        <f>IF(J49="","",VLOOKUP($B49,'C-1 On-Site WaterC'' Baseline'!$C$9:$R$257,10,FALSE))</f>
        <v/>
      </c>
      <c r="L49" s="301" t="str">
        <f>IF(B49="","",VLOOKUP($B49,'C-1 On-Site WaterC'' Baseline'!$C$9:$R$257,15,FALSE))</f>
        <v/>
      </c>
      <c r="M49" s="305" t="str">
        <f>IF(L49="","",VLOOKUP($B49,'C-1 On-Site WaterC'' Baseline'!$C$9:$R$257,16,FALSE))</f>
        <v/>
      </c>
      <c r="N49" s="251"/>
      <c r="O49" s="281" t="str">
        <f t="shared" si="1"/>
        <v/>
      </c>
      <c r="P49" s="282" t="str">
        <f t="shared" si="2"/>
        <v/>
      </c>
      <c r="Q49" s="342" t="str">
        <f>IF(N49="","",VLOOKUP(B49,'C-1 On-Site WaterC'' Baseline'!$C$10:$AC$257,20,FALSE))</f>
        <v/>
      </c>
      <c r="R49" s="281" t="str">
        <f>IF(N49="","",VLOOKUP(N49,'G-7 WaterC'' Data'!$B$2:$G$8,2,FALSE))</f>
        <v/>
      </c>
      <c r="S49" s="282" t="str">
        <f>IFERROR(VLOOKUP(R49,'G-7 WaterC'' Data'!$C$4:$D$8,2,FALSE),"")</f>
        <v/>
      </c>
      <c r="T49" s="105"/>
      <c r="U49" s="282" t="str">
        <f>IFERROR(INDEX('G-7 WaterC'' Data'!$H$4:$L$8,MATCH(N49,'G-7 WaterC'' Data'!$B$4:$B$8,0),MATCH(T49,'G-7 WaterC'' Data'!$H$3:$L$3,0)),"")</f>
        <v/>
      </c>
      <c r="V49" s="105"/>
      <c r="W49" s="289" t="str">
        <f>IF(V49="","",IF(VLOOKUP(V49,'G-7 WaterC'' Data'!$AK$4:$AM$6,2,FALSE)=0,"Spatial Data Missing ⚠",VLOOKUP(V49,'G-7 WaterC'' Data'!$AK$4:$AM$6,2,FALSE)))</f>
        <v/>
      </c>
      <c r="X49" s="282" t="str">
        <f>IF(V49="","",IF(VLOOKUP(V49,'G-7 WaterC'' Data'!$AK$4:$AM$6,3,FALSE)=0,"Spatial Data Missing ⚠",VLOOKUP(V49,'G-7 WaterC'' Data'!$AK$4:$AM$6,3,FALSE)))</f>
        <v/>
      </c>
      <c r="Y49" s="281" t="str">
        <f>IFERROR(IF(OR(LEFT(P49,5)="Error",LEFT(O49,5)="Error"),"Check Data ⚠",IF(F49&lt;S49,'G-7 WaterC'' Data'!$R$3,INDEX('G-7 WaterC'' Data'!$U$5:$Y$9,MATCH(G49,'G-7 WaterC'' Data'!$T$5:$T$9,0),MATCH(T49,'G-7 WaterC'' Data'!$U$4:$Y$4,0)))),"")</f>
        <v/>
      </c>
      <c r="Z49" s="137"/>
      <c r="AA49" s="137"/>
      <c r="AB49" s="289" t="str">
        <f t="shared" si="3"/>
        <v/>
      </c>
      <c r="AC49" s="302" t="str">
        <f t="shared" si="4"/>
        <v/>
      </c>
      <c r="AD49" s="340" t="str">
        <f>IFERROR(IF(AC49="Check Data ⚠","Check Data ⚠",VLOOKUP(AC49,'G-4 Temporal multipliers'!$A$4:$C$37,3,FALSE)),"")</f>
        <v/>
      </c>
      <c r="AE49" s="281" t="str">
        <f>IF(N49="","",VLOOKUP(N49,'G-7 WaterC'' Data'!$B$4:$G$8,5,FALSE))</f>
        <v/>
      </c>
      <c r="AF49" s="289" t="str">
        <f t="shared" si="5"/>
        <v/>
      </c>
      <c r="AG49" s="320" t="str">
        <f t="shared" si="6"/>
        <v/>
      </c>
      <c r="AH49" s="282" t="str">
        <f t="shared" si="0"/>
        <v/>
      </c>
      <c r="AI49" s="109"/>
      <c r="AJ49" s="282" t="str">
        <f>IF(AI49="","",IF(AND(AI49="N/A - Culvert",N49&lt;&gt;"Culvert"),"Not possible ▲",IF(VLOOKUP(AI49,'G-7 WaterC'' Data'!$AA$4:$AB$7,2,FALSE)=0,"Spatial Data Missing ⚠",VLOOKUP(AI49,'G-7 WaterC'' Data'!$AA$4:$AB$7,2,FALSE))))</f>
        <v/>
      </c>
      <c r="AK49" s="110"/>
      <c r="AL49" s="282" t="str">
        <f>IF(AK49="","",IF(AND(AK49="N/A - Culvert",N49&lt;&gt;"Culvert"),"Not possible ▲",IF(VLOOKUP(AK49,'G-7 WaterC'' Data'!$AD$4:$AE$14,2,FALSE)=0,"Spatial Data Missing ⚠",VLOOKUP(AK49,'G-7 WaterC'' Data'!$AD$4:$AE$14,2,FALSE))))</f>
        <v/>
      </c>
      <c r="AM49" s="323" t="str">
        <f t="shared" si="7"/>
        <v/>
      </c>
      <c r="AN49" s="105"/>
      <c r="AO49" s="119"/>
      <c r="AP49" s="108"/>
      <c r="AS49" s="30" t="str">
        <f>IF(B49="","",IF(ISNA(VLOOKUP($B49,'C-1 On-Site WaterC'' Baseline'!$C$8:$AD$257,17,FALSE)),"",(VLOOKUP($B49,'C-1 On-Site WaterC'' Baseline'!$C$8:$AD$257,17,FALSE))))</f>
        <v/>
      </c>
      <c r="AT49" s="30" t="str">
        <f>IF(B49="","",VLOOKUP($B49,'C-1 On-Site WaterC'' Baseline'!$C$9:$Z$257,12,FALSE))</f>
        <v/>
      </c>
      <c r="AU49" s="30" t="str">
        <f>IF(B49="","",VLOOKUP($B49,'C-1 On-Site WaterC'' Baseline'!$C$9:$Z$257,14,FALSE))</f>
        <v/>
      </c>
      <c r="AV49" s="30" t="str">
        <f>IFERROR(INDEX('G-7 WaterC'' Data'!$AZ$3:$AZ$7,MATCH(N49,'G-7 WaterC'' Data'!$AY$3:$AY$7,0)),"")</f>
        <v/>
      </c>
      <c r="AX49" s="30" t="str">
        <f>IF(B49="","",VLOOKUP($B49,'C-1 On-Site WaterC'' Baseline'!$C$9:$Y$257,22,FALSE))</f>
        <v/>
      </c>
      <c r="AY49" s="30" t="str">
        <f t="shared" si="8"/>
        <v/>
      </c>
      <c r="AZ49" s="30" t="str">
        <f>IF(B49="","",VLOOKUP($B49,'C-1 On-Site WaterC'' Baseline'!$C$9:$Y$257,21,FALSE))</f>
        <v/>
      </c>
      <c r="BA49" s="30" t="str">
        <f>IF(B49="","",VLOOKUP($B49,'C-1 On-Site WaterC'' Baseline'!$C$9:$Y$257,19,FALSE))</f>
        <v/>
      </c>
      <c r="BD49" s="30" t="str">
        <f t="shared" si="9"/>
        <v>No</v>
      </c>
    </row>
    <row r="50" spans="2:56" ht="13.8" x14ac:dyDescent="0.25">
      <c r="B50" s="311" t="str">
        <f>'C-1 On-Site WaterC'' Baseline'!AP48</f>
        <v/>
      </c>
      <c r="C50" s="301" t="str">
        <f>IF(B50="","",VLOOKUP($B50,'C-1 On-Site WaterC'' Baseline'!$C$9:$R$257,2,FALSE))</f>
        <v/>
      </c>
      <c r="D50" s="301" t="str">
        <f>IF(C50="","",VLOOKUP($B50,'C-1 On-Site WaterC'' Baseline'!$C$9:$R$257,3,FALSE))</f>
        <v/>
      </c>
      <c r="E50" s="301" t="str">
        <f>IF(D50="","",VLOOKUP($B50,'C-1 On-Site WaterC'' Baseline'!$C$9:$R$257,4,FALSE))</f>
        <v/>
      </c>
      <c r="F50" s="301" t="str">
        <f>IF(E50="","",VLOOKUP($B50,'C-1 On-Site WaterC'' Baseline'!$C$9:$R$257,5,FALSE))</f>
        <v/>
      </c>
      <c r="G50" s="301" t="str">
        <f>IF(F50="","",VLOOKUP($B50,'C-1 On-Site WaterC'' Baseline'!$C$9:$R$257,6,FALSE))</f>
        <v/>
      </c>
      <c r="H50" s="301" t="str">
        <f>IF(G50="","",VLOOKUP($B50,'C-1 On-Site WaterC'' Baseline'!$C$9:$R$257,7,FALSE))</f>
        <v/>
      </c>
      <c r="I50" s="301" t="str">
        <f>IF(H50="","",VLOOKUP($B50,'C-1 On-Site WaterC'' Baseline'!$C$9:$R$257,8,FALSE))</f>
        <v/>
      </c>
      <c r="J50" s="301" t="str">
        <f>IF(I50="","",VLOOKUP($B50,'C-1 On-Site WaterC'' Baseline'!$C$9:$R$257,9,FALSE))</f>
        <v/>
      </c>
      <c r="K50" s="301" t="str">
        <f>IF(J50="","",VLOOKUP($B50,'C-1 On-Site WaterC'' Baseline'!$C$9:$R$257,10,FALSE))</f>
        <v/>
      </c>
      <c r="L50" s="301" t="str">
        <f>IF(B50="","",VLOOKUP($B50,'C-1 On-Site WaterC'' Baseline'!$C$9:$R$257,15,FALSE))</f>
        <v/>
      </c>
      <c r="M50" s="305" t="str">
        <f>IF(L50="","",VLOOKUP($B50,'C-1 On-Site WaterC'' Baseline'!$C$9:$R$257,16,FALSE))</f>
        <v/>
      </c>
      <c r="N50" s="251"/>
      <c r="O50" s="281" t="str">
        <f t="shared" si="1"/>
        <v/>
      </c>
      <c r="P50" s="282" t="str">
        <f t="shared" si="2"/>
        <v/>
      </c>
      <c r="Q50" s="342" t="str">
        <f>IF(N50="","",VLOOKUP(B50,'C-1 On-Site WaterC'' Baseline'!$C$10:$AC$257,20,FALSE))</f>
        <v/>
      </c>
      <c r="R50" s="281" t="str">
        <f>IF(N50="","",VLOOKUP(N50,'G-7 WaterC'' Data'!$B$2:$G$8,2,FALSE))</f>
        <v/>
      </c>
      <c r="S50" s="282" t="str">
        <f>IFERROR(VLOOKUP(R50,'G-7 WaterC'' Data'!$C$4:$D$8,2,FALSE),"")</f>
        <v/>
      </c>
      <c r="T50" s="105"/>
      <c r="U50" s="282" t="str">
        <f>IFERROR(INDEX('G-7 WaterC'' Data'!$H$4:$L$8,MATCH(N50,'G-7 WaterC'' Data'!$B$4:$B$8,0),MATCH(T50,'G-7 WaterC'' Data'!$H$3:$L$3,0)),"")</f>
        <v/>
      </c>
      <c r="V50" s="105"/>
      <c r="W50" s="289" t="str">
        <f>IF(V50="","",IF(VLOOKUP(V50,'G-7 WaterC'' Data'!$AK$4:$AM$6,2,FALSE)=0,"Spatial Data Missing ⚠",VLOOKUP(V50,'G-7 WaterC'' Data'!$AK$4:$AM$6,2,FALSE)))</f>
        <v/>
      </c>
      <c r="X50" s="282" t="str">
        <f>IF(V50="","",IF(VLOOKUP(V50,'G-7 WaterC'' Data'!$AK$4:$AM$6,3,FALSE)=0,"Spatial Data Missing ⚠",VLOOKUP(V50,'G-7 WaterC'' Data'!$AK$4:$AM$6,3,FALSE)))</f>
        <v/>
      </c>
      <c r="Y50" s="281" t="str">
        <f>IFERROR(IF(OR(LEFT(P50,5)="Error",LEFT(O50,5)="Error"),"Check Data ⚠",IF(F50&lt;S50,'G-7 WaterC'' Data'!$R$3,INDEX('G-7 WaterC'' Data'!$U$5:$Y$9,MATCH(G50,'G-7 WaterC'' Data'!$T$5:$T$9,0),MATCH(T50,'G-7 WaterC'' Data'!$U$4:$Y$4,0)))),"")</f>
        <v/>
      </c>
      <c r="Z50" s="137"/>
      <c r="AA50" s="137"/>
      <c r="AB50" s="289" t="str">
        <f t="shared" si="3"/>
        <v/>
      </c>
      <c r="AC50" s="302" t="str">
        <f t="shared" si="4"/>
        <v/>
      </c>
      <c r="AD50" s="340" t="str">
        <f>IFERROR(IF(AC50="Check Data ⚠","Check Data ⚠",VLOOKUP(AC50,'G-4 Temporal multipliers'!$A$4:$C$37,3,FALSE)),"")</f>
        <v/>
      </c>
      <c r="AE50" s="281" t="str">
        <f>IF(N50="","",VLOOKUP(N50,'G-7 WaterC'' Data'!$B$4:$G$8,5,FALSE))</f>
        <v/>
      </c>
      <c r="AF50" s="289" t="str">
        <f t="shared" si="5"/>
        <v/>
      </c>
      <c r="AG50" s="320" t="str">
        <f t="shared" si="6"/>
        <v/>
      </c>
      <c r="AH50" s="282" t="str">
        <f t="shared" si="0"/>
        <v/>
      </c>
      <c r="AI50" s="109"/>
      <c r="AJ50" s="282" t="str">
        <f>IF(AI50="","",IF(AND(AI50="N/A - Culvert",N50&lt;&gt;"Culvert"),"Not possible ▲",IF(VLOOKUP(AI50,'G-7 WaterC'' Data'!$AA$4:$AB$7,2,FALSE)=0,"Spatial Data Missing ⚠",VLOOKUP(AI50,'G-7 WaterC'' Data'!$AA$4:$AB$7,2,FALSE))))</f>
        <v/>
      </c>
      <c r="AK50" s="110"/>
      <c r="AL50" s="282" t="str">
        <f>IF(AK50="","",IF(AND(AK50="N/A - Culvert",N50&lt;&gt;"Culvert"),"Not possible ▲",IF(VLOOKUP(AK50,'G-7 WaterC'' Data'!$AD$4:$AE$14,2,FALSE)=0,"Spatial Data Missing ⚠",VLOOKUP(AK50,'G-7 WaterC'' Data'!$AD$4:$AE$14,2,FALSE))))</f>
        <v/>
      </c>
      <c r="AM50" s="323" t="str">
        <f t="shared" si="7"/>
        <v/>
      </c>
      <c r="AN50" s="105"/>
      <c r="AO50" s="119"/>
      <c r="AP50" s="108"/>
      <c r="AS50" s="30" t="str">
        <f>IF(B50="","",IF(ISNA(VLOOKUP($B50,'C-1 On-Site WaterC'' Baseline'!$C$8:$AD$257,17,FALSE)),"",(VLOOKUP($B50,'C-1 On-Site WaterC'' Baseline'!$C$8:$AD$257,17,FALSE))))</f>
        <v/>
      </c>
      <c r="AT50" s="30" t="str">
        <f>IF(B50="","",VLOOKUP($B50,'C-1 On-Site WaterC'' Baseline'!$C$9:$Z$257,12,FALSE))</f>
        <v/>
      </c>
      <c r="AU50" s="30" t="str">
        <f>IF(B50="","",VLOOKUP($B50,'C-1 On-Site WaterC'' Baseline'!$C$9:$Z$257,14,FALSE))</f>
        <v/>
      </c>
      <c r="AV50" s="30" t="str">
        <f>IFERROR(INDEX('G-7 WaterC'' Data'!$AZ$3:$AZ$7,MATCH(N50,'G-7 WaterC'' Data'!$AY$3:$AY$7,0)),"")</f>
        <v/>
      </c>
      <c r="AX50" s="30" t="str">
        <f>IF(B50="","",VLOOKUP($B50,'C-1 On-Site WaterC'' Baseline'!$C$9:$Y$257,22,FALSE))</f>
        <v/>
      </c>
      <c r="AY50" s="30" t="str">
        <f t="shared" si="8"/>
        <v/>
      </c>
      <c r="AZ50" s="30" t="str">
        <f>IF(B50="","",VLOOKUP($B50,'C-1 On-Site WaterC'' Baseline'!$C$9:$Y$257,21,FALSE))</f>
        <v/>
      </c>
      <c r="BA50" s="30" t="str">
        <f>IF(B50="","",VLOOKUP($B50,'C-1 On-Site WaterC'' Baseline'!$C$9:$Y$257,19,FALSE))</f>
        <v/>
      </c>
      <c r="BD50" s="30" t="str">
        <f t="shared" si="9"/>
        <v>No</v>
      </c>
    </row>
    <row r="51" spans="2:56" ht="13.8" x14ac:dyDescent="0.25">
      <c r="B51" s="311" t="str">
        <f>'C-1 On-Site WaterC'' Baseline'!AP49</f>
        <v/>
      </c>
      <c r="C51" s="301" t="str">
        <f>IF(B51="","",VLOOKUP($B51,'C-1 On-Site WaterC'' Baseline'!$C$9:$R$257,2,FALSE))</f>
        <v/>
      </c>
      <c r="D51" s="301" t="str">
        <f>IF(C51="","",VLOOKUP($B51,'C-1 On-Site WaterC'' Baseline'!$C$9:$R$257,3,FALSE))</f>
        <v/>
      </c>
      <c r="E51" s="301" t="str">
        <f>IF(D51="","",VLOOKUP($B51,'C-1 On-Site WaterC'' Baseline'!$C$9:$R$257,4,FALSE))</f>
        <v/>
      </c>
      <c r="F51" s="301" t="str">
        <f>IF(E51="","",VLOOKUP($B51,'C-1 On-Site WaterC'' Baseline'!$C$9:$R$257,5,FALSE))</f>
        <v/>
      </c>
      <c r="G51" s="301" t="str">
        <f>IF(F51="","",VLOOKUP($B51,'C-1 On-Site WaterC'' Baseline'!$C$9:$R$257,6,FALSE))</f>
        <v/>
      </c>
      <c r="H51" s="301" t="str">
        <f>IF(G51="","",VLOOKUP($B51,'C-1 On-Site WaterC'' Baseline'!$C$9:$R$257,7,FALSE))</f>
        <v/>
      </c>
      <c r="I51" s="301" t="str">
        <f>IF(H51="","",VLOOKUP($B51,'C-1 On-Site WaterC'' Baseline'!$C$9:$R$257,8,FALSE))</f>
        <v/>
      </c>
      <c r="J51" s="301" t="str">
        <f>IF(I51="","",VLOOKUP($B51,'C-1 On-Site WaterC'' Baseline'!$C$9:$R$257,9,FALSE))</f>
        <v/>
      </c>
      <c r="K51" s="301" t="str">
        <f>IF(J51="","",VLOOKUP($B51,'C-1 On-Site WaterC'' Baseline'!$C$9:$R$257,10,FALSE))</f>
        <v/>
      </c>
      <c r="L51" s="301" t="str">
        <f>IF(B51="","",VLOOKUP($B51,'C-1 On-Site WaterC'' Baseline'!$C$9:$R$257,15,FALSE))</f>
        <v/>
      </c>
      <c r="M51" s="305" t="str">
        <f>IF(L51="","",VLOOKUP($B51,'C-1 On-Site WaterC'' Baseline'!$C$9:$R$257,16,FALSE))</f>
        <v/>
      </c>
      <c r="N51" s="251"/>
      <c r="O51" s="281" t="str">
        <f t="shared" si="1"/>
        <v/>
      </c>
      <c r="P51" s="282" t="str">
        <f t="shared" si="2"/>
        <v/>
      </c>
      <c r="Q51" s="342" t="str">
        <f>IF(N51="","",VLOOKUP(B51,'C-1 On-Site WaterC'' Baseline'!$C$10:$AC$257,20,FALSE))</f>
        <v/>
      </c>
      <c r="R51" s="281" t="str">
        <f>IF(N51="","",VLOOKUP(N51,'G-7 WaterC'' Data'!$B$2:$G$8,2,FALSE))</f>
        <v/>
      </c>
      <c r="S51" s="282" t="str">
        <f>IFERROR(VLOOKUP(R51,'G-7 WaterC'' Data'!$C$4:$D$8,2,FALSE),"")</f>
        <v/>
      </c>
      <c r="T51" s="105"/>
      <c r="U51" s="282" t="str">
        <f>IFERROR(INDEX('G-7 WaterC'' Data'!$H$4:$L$8,MATCH(N51,'G-7 WaterC'' Data'!$B$4:$B$8,0),MATCH(T51,'G-7 WaterC'' Data'!$H$3:$L$3,0)),"")</f>
        <v/>
      </c>
      <c r="V51" s="105"/>
      <c r="W51" s="289" t="str">
        <f>IF(V51="","",IF(VLOOKUP(V51,'G-7 WaterC'' Data'!$AK$4:$AM$6,2,FALSE)=0,"Spatial Data Missing ⚠",VLOOKUP(V51,'G-7 WaterC'' Data'!$AK$4:$AM$6,2,FALSE)))</f>
        <v/>
      </c>
      <c r="X51" s="282" t="str">
        <f>IF(V51="","",IF(VLOOKUP(V51,'G-7 WaterC'' Data'!$AK$4:$AM$6,3,FALSE)=0,"Spatial Data Missing ⚠",VLOOKUP(V51,'G-7 WaterC'' Data'!$AK$4:$AM$6,3,FALSE)))</f>
        <v/>
      </c>
      <c r="Y51" s="281" t="str">
        <f>IFERROR(IF(OR(LEFT(P51,5)="Error",LEFT(O51,5)="Error"),"Check Data ⚠",IF(F51&lt;S51,'G-7 WaterC'' Data'!$R$3,INDEX('G-7 WaterC'' Data'!$U$5:$Y$9,MATCH(G51,'G-7 WaterC'' Data'!$T$5:$T$9,0),MATCH(T51,'G-7 WaterC'' Data'!$U$4:$Y$4,0)))),"")</f>
        <v/>
      </c>
      <c r="Z51" s="137"/>
      <c r="AA51" s="137"/>
      <c r="AB51" s="289" t="str">
        <f t="shared" si="3"/>
        <v/>
      </c>
      <c r="AC51" s="302" t="str">
        <f t="shared" si="4"/>
        <v/>
      </c>
      <c r="AD51" s="340" t="str">
        <f>IFERROR(IF(AC51="Check Data ⚠","Check Data ⚠",VLOOKUP(AC51,'G-4 Temporal multipliers'!$A$4:$C$37,3,FALSE)),"")</f>
        <v/>
      </c>
      <c r="AE51" s="281" t="str">
        <f>IF(N51="","",VLOOKUP(N51,'G-7 WaterC'' Data'!$B$4:$G$8,5,FALSE))</f>
        <v/>
      </c>
      <c r="AF51" s="289" t="str">
        <f t="shared" si="5"/>
        <v/>
      </c>
      <c r="AG51" s="320" t="str">
        <f t="shared" si="6"/>
        <v/>
      </c>
      <c r="AH51" s="282" t="str">
        <f t="shared" si="0"/>
        <v/>
      </c>
      <c r="AI51" s="109"/>
      <c r="AJ51" s="282" t="str">
        <f>IF(AI51="","",IF(AND(AI51="N/A - Culvert",N51&lt;&gt;"Culvert"),"Not possible ▲",IF(VLOOKUP(AI51,'G-7 WaterC'' Data'!$AA$4:$AB$7,2,FALSE)=0,"Spatial Data Missing ⚠",VLOOKUP(AI51,'G-7 WaterC'' Data'!$AA$4:$AB$7,2,FALSE))))</f>
        <v/>
      </c>
      <c r="AK51" s="110"/>
      <c r="AL51" s="282" t="str">
        <f>IF(AK51="","",IF(AND(AK51="N/A - Culvert",N51&lt;&gt;"Culvert"),"Not possible ▲",IF(VLOOKUP(AK51,'G-7 WaterC'' Data'!$AD$4:$AE$14,2,FALSE)=0,"Spatial Data Missing ⚠",VLOOKUP(AK51,'G-7 WaterC'' Data'!$AD$4:$AE$14,2,FALSE))))</f>
        <v/>
      </c>
      <c r="AM51" s="323" t="str">
        <f t="shared" si="7"/>
        <v/>
      </c>
      <c r="AN51" s="105"/>
      <c r="AO51" s="119"/>
      <c r="AP51" s="108"/>
      <c r="AS51" s="30" t="str">
        <f>IF(B51="","",IF(ISNA(VLOOKUP($B51,'C-1 On-Site WaterC'' Baseline'!$C$8:$AD$257,17,FALSE)),"",(VLOOKUP($B51,'C-1 On-Site WaterC'' Baseline'!$C$8:$AD$257,17,FALSE))))</f>
        <v/>
      </c>
      <c r="AT51" s="30" t="str">
        <f>IF(B51="","",VLOOKUP($B51,'C-1 On-Site WaterC'' Baseline'!$C$9:$Z$257,12,FALSE))</f>
        <v/>
      </c>
      <c r="AU51" s="30" t="str">
        <f>IF(B51="","",VLOOKUP($B51,'C-1 On-Site WaterC'' Baseline'!$C$9:$Z$257,14,FALSE))</f>
        <v/>
      </c>
      <c r="AV51" s="30" t="str">
        <f>IFERROR(INDEX('G-7 WaterC'' Data'!$AZ$3:$AZ$7,MATCH(N51,'G-7 WaterC'' Data'!$AY$3:$AY$7,0)),"")</f>
        <v/>
      </c>
      <c r="AX51" s="30" t="str">
        <f>IF(B51="","",VLOOKUP($B51,'C-1 On-Site WaterC'' Baseline'!$C$9:$Y$257,22,FALSE))</f>
        <v/>
      </c>
      <c r="AY51" s="30" t="str">
        <f t="shared" si="8"/>
        <v/>
      </c>
      <c r="AZ51" s="30" t="str">
        <f>IF(B51="","",VLOOKUP($B51,'C-1 On-Site WaterC'' Baseline'!$C$9:$Y$257,21,FALSE))</f>
        <v/>
      </c>
      <c r="BA51" s="30" t="str">
        <f>IF(B51="","",VLOOKUP($B51,'C-1 On-Site WaterC'' Baseline'!$C$9:$Y$257,19,FALSE))</f>
        <v/>
      </c>
      <c r="BD51" s="30" t="str">
        <f t="shared" si="9"/>
        <v>No</v>
      </c>
    </row>
    <row r="52" spans="2:56" ht="13.8" x14ac:dyDescent="0.25">
      <c r="B52" s="311" t="str">
        <f>'C-1 On-Site WaterC'' Baseline'!AP50</f>
        <v/>
      </c>
      <c r="C52" s="301" t="str">
        <f>IF(B52="","",VLOOKUP($B52,'C-1 On-Site WaterC'' Baseline'!$C$9:$R$257,2,FALSE))</f>
        <v/>
      </c>
      <c r="D52" s="301" t="str">
        <f>IF(C52="","",VLOOKUP($B52,'C-1 On-Site WaterC'' Baseline'!$C$9:$R$257,3,FALSE))</f>
        <v/>
      </c>
      <c r="E52" s="301" t="str">
        <f>IF(D52="","",VLOOKUP($B52,'C-1 On-Site WaterC'' Baseline'!$C$9:$R$257,4,FALSE))</f>
        <v/>
      </c>
      <c r="F52" s="301" t="str">
        <f>IF(E52="","",VLOOKUP($B52,'C-1 On-Site WaterC'' Baseline'!$C$9:$R$257,5,FALSE))</f>
        <v/>
      </c>
      <c r="G52" s="301" t="str">
        <f>IF(F52="","",VLOOKUP($B52,'C-1 On-Site WaterC'' Baseline'!$C$9:$R$257,6,FALSE))</f>
        <v/>
      </c>
      <c r="H52" s="301" t="str">
        <f>IF(G52="","",VLOOKUP($B52,'C-1 On-Site WaterC'' Baseline'!$C$9:$R$257,7,FALSE))</f>
        <v/>
      </c>
      <c r="I52" s="301" t="str">
        <f>IF(H52="","",VLOOKUP($B52,'C-1 On-Site WaterC'' Baseline'!$C$9:$R$257,8,FALSE))</f>
        <v/>
      </c>
      <c r="J52" s="301" t="str">
        <f>IF(I52="","",VLOOKUP($B52,'C-1 On-Site WaterC'' Baseline'!$C$9:$R$257,9,FALSE))</f>
        <v/>
      </c>
      <c r="K52" s="301" t="str">
        <f>IF(J52="","",VLOOKUP($B52,'C-1 On-Site WaterC'' Baseline'!$C$9:$R$257,10,FALSE))</f>
        <v/>
      </c>
      <c r="L52" s="301" t="str">
        <f>IF(B52="","",VLOOKUP($B52,'C-1 On-Site WaterC'' Baseline'!$C$9:$R$257,15,FALSE))</f>
        <v/>
      </c>
      <c r="M52" s="305" t="str">
        <f>IF(L52="","",VLOOKUP($B52,'C-1 On-Site WaterC'' Baseline'!$C$9:$R$257,16,FALSE))</f>
        <v/>
      </c>
      <c r="N52" s="251"/>
      <c r="O52" s="281" t="str">
        <f t="shared" si="1"/>
        <v/>
      </c>
      <c r="P52" s="282" t="str">
        <f t="shared" si="2"/>
        <v/>
      </c>
      <c r="Q52" s="342" t="str">
        <f>IF(N52="","",VLOOKUP(B52,'C-1 On-Site WaterC'' Baseline'!$C$10:$AC$257,20,FALSE))</f>
        <v/>
      </c>
      <c r="R52" s="281" t="str">
        <f>IF(N52="","",VLOOKUP(N52,'G-7 WaterC'' Data'!$B$2:$G$8,2,FALSE))</f>
        <v/>
      </c>
      <c r="S52" s="282" t="str">
        <f>IFERROR(VLOOKUP(R52,'G-7 WaterC'' Data'!$C$4:$D$8,2,FALSE),"")</f>
        <v/>
      </c>
      <c r="T52" s="105"/>
      <c r="U52" s="282" t="str">
        <f>IFERROR(INDEX('G-7 WaterC'' Data'!$H$4:$L$8,MATCH(N52,'G-7 WaterC'' Data'!$B$4:$B$8,0),MATCH(T52,'G-7 WaterC'' Data'!$H$3:$L$3,0)),"")</f>
        <v/>
      </c>
      <c r="V52" s="105"/>
      <c r="W52" s="289" t="str">
        <f>IF(V52="","",IF(VLOOKUP(V52,'G-7 WaterC'' Data'!$AK$4:$AM$6,2,FALSE)=0,"Spatial Data Missing ⚠",VLOOKUP(V52,'G-7 WaterC'' Data'!$AK$4:$AM$6,2,FALSE)))</f>
        <v/>
      </c>
      <c r="X52" s="282" t="str">
        <f>IF(V52="","",IF(VLOOKUP(V52,'G-7 WaterC'' Data'!$AK$4:$AM$6,3,FALSE)=0,"Spatial Data Missing ⚠",VLOOKUP(V52,'G-7 WaterC'' Data'!$AK$4:$AM$6,3,FALSE)))</f>
        <v/>
      </c>
      <c r="Y52" s="281" t="str">
        <f>IFERROR(IF(OR(LEFT(P52,5)="Error",LEFT(O52,5)="Error"),"Check Data ⚠",IF(F52&lt;S52,'G-7 WaterC'' Data'!$R$3,INDEX('G-7 WaterC'' Data'!$U$5:$Y$9,MATCH(G52,'G-7 WaterC'' Data'!$T$5:$T$9,0),MATCH(T52,'G-7 WaterC'' Data'!$U$4:$Y$4,0)))),"")</f>
        <v/>
      </c>
      <c r="Z52" s="137"/>
      <c r="AA52" s="137"/>
      <c r="AB52" s="289" t="str">
        <f t="shared" si="3"/>
        <v/>
      </c>
      <c r="AC52" s="302" t="str">
        <f t="shared" si="4"/>
        <v/>
      </c>
      <c r="AD52" s="340" t="str">
        <f>IFERROR(IF(AC52="Check Data ⚠","Check Data ⚠",VLOOKUP(AC52,'G-4 Temporal multipliers'!$A$4:$C$37,3,FALSE)),"")</f>
        <v/>
      </c>
      <c r="AE52" s="281" t="str">
        <f>IF(N52="","",VLOOKUP(N52,'G-7 WaterC'' Data'!$B$4:$G$8,5,FALSE))</f>
        <v/>
      </c>
      <c r="AF52" s="289" t="str">
        <f t="shared" si="5"/>
        <v/>
      </c>
      <c r="AG52" s="320" t="str">
        <f t="shared" si="6"/>
        <v/>
      </c>
      <c r="AH52" s="282" t="str">
        <f t="shared" si="0"/>
        <v/>
      </c>
      <c r="AI52" s="109"/>
      <c r="AJ52" s="282" t="str">
        <f>IF(AI52="","",IF(AND(AI52="N/A - Culvert",N52&lt;&gt;"Culvert"),"Not possible ▲",IF(VLOOKUP(AI52,'G-7 WaterC'' Data'!$AA$4:$AB$7,2,FALSE)=0,"Spatial Data Missing ⚠",VLOOKUP(AI52,'G-7 WaterC'' Data'!$AA$4:$AB$7,2,FALSE))))</f>
        <v/>
      </c>
      <c r="AK52" s="110"/>
      <c r="AL52" s="282" t="str">
        <f>IF(AK52="","",IF(AND(AK52="N/A - Culvert",N52&lt;&gt;"Culvert"),"Not possible ▲",IF(VLOOKUP(AK52,'G-7 WaterC'' Data'!$AD$4:$AE$14,2,FALSE)=0,"Spatial Data Missing ⚠",VLOOKUP(AK52,'G-7 WaterC'' Data'!$AD$4:$AE$14,2,FALSE))))</f>
        <v/>
      </c>
      <c r="AM52" s="323" t="str">
        <f t="shared" si="7"/>
        <v/>
      </c>
      <c r="AN52" s="105"/>
      <c r="AO52" s="119"/>
      <c r="AP52" s="108"/>
      <c r="AS52" s="30" t="str">
        <f>IF(B52="","",IF(ISNA(VLOOKUP($B52,'C-1 On-Site WaterC'' Baseline'!$C$8:$AD$257,17,FALSE)),"",(VLOOKUP($B52,'C-1 On-Site WaterC'' Baseline'!$C$8:$AD$257,17,FALSE))))</f>
        <v/>
      </c>
      <c r="AT52" s="30" t="str">
        <f>IF(B52="","",VLOOKUP($B52,'C-1 On-Site WaterC'' Baseline'!$C$9:$Z$257,12,FALSE))</f>
        <v/>
      </c>
      <c r="AU52" s="30" t="str">
        <f>IF(B52="","",VLOOKUP($B52,'C-1 On-Site WaterC'' Baseline'!$C$9:$Z$257,14,FALSE))</f>
        <v/>
      </c>
      <c r="AV52" s="30" t="str">
        <f>IFERROR(INDEX('G-7 WaterC'' Data'!$AZ$3:$AZ$7,MATCH(N52,'G-7 WaterC'' Data'!$AY$3:$AY$7,0)),"")</f>
        <v/>
      </c>
      <c r="AX52" s="30" t="str">
        <f>IF(B52="","",VLOOKUP($B52,'C-1 On-Site WaterC'' Baseline'!$C$9:$Y$257,22,FALSE))</f>
        <v/>
      </c>
      <c r="AY52" s="30" t="str">
        <f t="shared" si="8"/>
        <v/>
      </c>
      <c r="AZ52" s="30" t="str">
        <f>IF(B52="","",VLOOKUP($B52,'C-1 On-Site WaterC'' Baseline'!$C$9:$Y$257,21,FALSE))</f>
        <v/>
      </c>
      <c r="BA52" s="30" t="str">
        <f>IF(B52="","",VLOOKUP($B52,'C-1 On-Site WaterC'' Baseline'!$C$9:$Y$257,19,FALSE))</f>
        <v/>
      </c>
      <c r="BD52" s="30" t="str">
        <f t="shared" si="9"/>
        <v>No</v>
      </c>
    </row>
    <row r="53" spans="2:56" ht="13.8" x14ac:dyDescent="0.25">
      <c r="B53" s="311" t="str">
        <f>'C-1 On-Site WaterC'' Baseline'!AP51</f>
        <v/>
      </c>
      <c r="C53" s="301" t="str">
        <f>IF(B53="","",VLOOKUP($B53,'C-1 On-Site WaterC'' Baseline'!$C$9:$R$257,2,FALSE))</f>
        <v/>
      </c>
      <c r="D53" s="301" t="str">
        <f>IF(C53="","",VLOOKUP($B53,'C-1 On-Site WaterC'' Baseline'!$C$9:$R$257,3,FALSE))</f>
        <v/>
      </c>
      <c r="E53" s="301" t="str">
        <f>IF(D53="","",VLOOKUP($B53,'C-1 On-Site WaterC'' Baseline'!$C$9:$R$257,4,FALSE))</f>
        <v/>
      </c>
      <c r="F53" s="301" t="str">
        <f>IF(E53="","",VLOOKUP($B53,'C-1 On-Site WaterC'' Baseline'!$C$9:$R$257,5,FALSE))</f>
        <v/>
      </c>
      <c r="G53" s="301" t="str">
        <f>IF(F53="","",VLOOKUP($B53,'C-1 On-Site WaterC'' Baseline'!$C$9:$R$257,6,FALSE))</f>
        <v/>
      </c>
      <c r="H53" s="301" t="str">
        <f>IF(G53="","",VLOOKUP($B53,'C-1 On-Site WaterC'' Baseline'!$C$9:$R$257,7,FALSE))</f>
        <v/>
      </c>
      <c r="I53" s="301" t="str">
        <f>IF(H53="","",VLOOKUP($B53,'C-1 On-Site WaterC'' Baseline'!$C$9:$R$257,8,FALSE))</f>
        <v/>
      </c>
      <c r="J53" s="301" t="str">
        <f>IF(I53="","",VLOOKUP($B53,'C-1 On-Site WaterC'' Baseline'!$C$9:$R$257,9,FALSE))</f>
        <v/>
      </c>
      <c r="K53" s="301" t="str">
        <f>IF(J53="","",VLOOKUP($B53,'C-1 On-Site WaterC'' Baseline'!$C$9:$R$257,10,FALSE))</f>
        <v/>
      </c>
      <c r="L53" s="301" t="str">
        <f>IF(B53="","",VLOOKUP($B53,'C-1 On-Site WaterC'' Baseline'!$C$9:$R$257,15,FALSE))</f>
        <v/>
      </c>
      <c r="M53" s="305" t="str">
        <f>IF(L53="","",VLOOKUP($B53,'C-1 On-Site WaterC'' Baseline'!$C$9:$R$257,16,FALSE))</f>
        <v/>
      </c>
      <c r="N53" s="251"/>
      <c r="O53" s="281" t="str">
        <f t="shared" si="1"/>
        <v/>
      </c>
      <c r="P53" s="282" t="str">
        <f t="shared" si="2"/>
        <v/>
      </c>
      <c r="Q53" s="342" t="str">
        <f>IF(N53="","",VLOOKUP(B53,'C-1 On-Site WaterC'' Baseline'!$C$10:$AC$257,20,FALSE))</f>
        <v/>
      </c>
      <c r="R53" s="281" t="str">
        <f>IF(N53="","",VLOOKUP(N53,'G-7 WaterC'' Data'!$B$2:$G$8,2,FALSE))</f>
        <v/>
      </c>
      <c r="S53" s="282" t="str">
        <f>IFERROR(VLOOKUP(R53,'G-7 WaterC'' Data'!$C$4:$D$8,2,FALSE),"")</f>
        <v/>
      </c>
      <c r="T53" s="105"/>
      <c r="U53" s="282" t="str">
        <f>IFERROR(INDEX('G-7 WaterC'' Data'!$H$4:$L$8,MATCH(N53,'G-7 WaterC'' Data'!$B$4:$B$8,0),MATCH(T53,'G-7 WaterC'' Data'!$H$3:$L$3,0)),"")</f>
        <v/>
      </c>
      <c r="V53" s="105"/>
      <c r="W53" s="289" t="str">
        <f>IF(V53="","",IF(VLOOKUP(V53,'G-7 WaterC'' Data'!$AK$4:$AM$6,2,FALSE)=0,"Spatial Data Missing ⚠",VLOOKUP(V53,'G-7 WaterC'' Data'!$AK$4:$AM$6,2,FALSE)))</f>
        <v/>
      </c>
      <c r="X53" s="282" t="str">
        <f>IF(V53="","",IF(VLOOKUP(V53,'G-7 WaterC'' Data'!$AK$4:$AM$6,3,FALSE)=0,"Spatial Data Missing ⚠",VLOOKUP(V53,'G-7 WaterC'' Data'!$AK$4:$AM$6,3,FALSE)))</f>
        <v/>
      </c>
      <c r="Y53" s="281" t="str">
        <f>IFERROR(IF(OR(LEFT(P53,5)="Error",LEFT(O53,5)="Error"),"Check Data ⚠",IF(F53&lt;S53,'G-7 WaterC'' Data'!$R$3,INDEX('G-7 WaterC'' Data'!$U$5:$Y$9,MATCH(G53,'G-7 WaterC'' Data'!$T$5:$T$9,0),MATCH(T53,'G-7 WaterC'' Data'!$U$4:$Y$4,0)))),"")</f>
        <v/>
      </c>
      <c r="Z53" s="137"/>
      <c r="AA53" s="137"/>
      <c r="AB53" s="289" t="str">
        <f t="shared" si="3"/>
        <v/>
      </c>
      <c r="AC53" s="302" t="str">
        <f t="shared" si="4"/>
        <v/>
      </c>
      <c r="AD53" s="340" t="str">
        <f>IFERROR(IF(AC53="Check Data ⚠","Check Data ⚠",VLOOKUP(AC53,'G-4 Temporal multipliers'!$A$4:$C$37,3,FALSE)),"")</f>
        <v/>
      </c>
      <c r="AE53" s="281" t="str">
        <f>IF(N53="","",VLOOKUP(N53,'G-7 WaterC'' Data'!$B$4:$G$8,5,FALSE))</f>
        <v/>
      </c>
      <c r="AF53" s="289" t="str">
        <f t="shared" si="5"/>
        <v/>
      </c>
      <c r="AG53" s="320" t="str">
        <f t="shared" si="6"/>
        <v/>
      </c>
      <c r="AH53" s="282" t="str">
        <f t="shared" si="0"/>
        <v/>
      </c>
      <c r="AI53" s="109"/>
      <c r="AJ53" s="282" t="str">
        <f>IF(AI53="","",IF(AND(AI53="N/A - Culvert",N53&lt;&gt;"Culvert"),"Not possible ▲",IF(VLOOKUP(AI53,'G-7 WaterC'' Data'!$AA$4:$AB$7,2,FALSE)=0,"Spatial Data Missing ⚠",VLOOKUP(AI53,'G-7 WaterC'' Data'!$AA$4:$AB$7,2,FALSE))))</f>
        <v/>
      </c>
      <c r="AK53" s="110"/>
      <c r="AL53" s="282" t="str">
        <f>IF(AK53="","",IF(AND(AK53="N/A - Culvert",N53&lt;&gt;"Culvert"),"Not possible ▲",IF(VLOOKUP(AK53,'G-7 WaterC'' Data'!$AD$4:$AE$14,2,FALSE)=0,"Spatial Data Missing ⚠",VLOOKUP(AK53,'G-7 WaterC'' Data'!$AD$4:$AE$14,2,FALSE))))</f>
        <v/>
      </c>
      <c r="AM53" s="323" t="str">
        <f t="shared" si="7"/>
        <v/>
      </c>
      <c r="AN53" s="105"/>
      <c r="AO53" s="119"/>
      <c r="AP53" s="108"/>
      <c r="AS53" s="30" t="str">
        <f>IF(B53="","",IF(ISNA(VLOOKUP($B53,'C-1 On-Site WaterC'' Baseline'!$C$8:$AD$257,17,FALSE)),"",(VLOOKUP($B53,'C-1 On-Site WaterC'' Baseline'!$C$8:$AD$257,17,FALSE))))</f>
        <v/>
      </c>
      <c r="AT53" s="30" t="str">
        <f>IF(B53="","",VLOOKUP($B53,'C-1 On-Site WaterC'' Baseline'!$C$9:$Z$257,12,FALSE))</f>
        <v/>
      </c>
      <c r="AU53" s="30" t="str">
        <f>IF(B53="","",VLOOKUP($B53,'C-1 On-Site WaterC'' Baseline'!$C$9:$Z$257,14,FALSE))</f>
        <v/>
      </c>
      <c r="AV53" s="30" t="str">
        <f>IFERROR(INDEX('G-7 WaterC'' Data'!$AZ$3:$AZ$7,MATCH(N53,'G-7 WaterC'' Data'!$AY$3:$AY$7,0)),"")</f>
        <v/>
      </c>
      <c r="AX53" s="30" t="str">
        <f>IF(B53="","",VLOOKUP($B53,'C-1 On-Site WaterC'' Baseline'!$C$9:$Y$257,22,FALSE))</f>
        <v/>
      </c>
      <c r="AY53" s="30" t="str">
        <f t="shared" si="8"/>
        <v/>
      </c>
      <c r="AZ53" s="30" t="str">
        <f>IF(B53="","",VLOOKUP($B53,'C-1 On-Site WaterC'' Baseline'!$C$9:$Y$257,21,FALSE))</f>
        <v/>
      </c>
      <c r="BA53" s="30" t="str">
        <f>IF(B53="","",VLOOKUP($B53,'C-1 On-Site WaterC'' Baseline'!$C$9:$Y$257,19,FALSE))</f>
        <v/>
      </c>
      <c r="BD53" s="30" t="str">
        <f t="shared" si="9"/>
        <v>No</v>
      </c>
    </row>
    <row r="54" spans="2:56" ht="13.8" x14ac:dyDescent="0.25">
      <c r="B54" s="311" t="str">
        <f>'C-1 On-Site WaterC'' Baseline'!AP52</f>
        <v/>
      </c>
      <c r="C54" s="301" t="str">
        <f>IF(B54="","",VLOOKUP($B54,'C-1 On-Site WaterC'' Baseline'!$C$9:$R$257,2,FALSE))</f>
        <v/>
      </c>
      <c r="D54" s="301" t="str">
        <f>IF(C54="","",VLOOKUP($B54,'C-1 On-Site WaterC'' Baseline'!$C$9:$R$257,3,FALSE))</f>
        <v/>
      </c>
      <c r="E54" s="301" t="str">
        <f>IF(D54="","",VLOOKUP($B54,'C-1 On-Site WaterC'' Baseline'!$C$9:$R$257,4,FALSE))</f>
        <v/>
      </c>
      <c r="F54" s="301" t="str">
        <f>IF(E54="","",VLOOKUP($B54,'C-1 On-Site WaterC'' Baseline'!$C$9:$R$257,5,FALSE))</f>
        <v/>
      </c>
      <c r="G54" s="301" t="str">
        <f>IF(F54="","",VLOOKUP($B54,'C-1 On-Site WaterC'' Baseline'!$C$9:$R$257,6,FALSE))</f>
        <v/>
      </c>
      <c r="H54" s="301" t="str">
        <f>IF(G54="","",VLOOKUP($B54,'C-1 On-Site WaterC'' Baseline'!$C$9:$R$257,7,FALSE))</f>
        <v/>
      </c>
      <c r="I54" s="301" t="str">
        <f>IF(H54="","",VLOOKUP($B54,'C-1 On-Site WaterC'' Baseline'!$C$9:$R$257,8,FALSE))</f>
        <v/>
      </c>
      <c r="J54" s="301" t="str">
        <f>IF(I54="","",VLOOKUP($B54,'C-1 On-Site WaterC'' Baseline'!$C$9:$R$257,9,FALSE))</f>
        <v/>
      </c>
      <c r="K54" s="301" t="str">
        <f>IF(J54="","",VLOOKUP($B54,'C-1 On-Site WaterC'' Baseline'!$C$9:$R$257,10,FALSE))</f>
        <v/>
      </c>
      <c r="L54" s="301" t="str">
        <f>IF(B54="","",VLOOKUP($B54,'C-1 On-Site WaterC'' Baseline'!$C$9:$R$257,15,FALSE))</f>
        <v/>
      </c>
      <c r="M54" s="305" t="str">
        <f>IF(L54="","",VLOOKUP($B54,'C-1 On-Site WaterC'' Baseline'!$C$9:$R$257,16,FALSE))</f>
        <v/>
      </c>
      <c r="N54" s="251"/>
      <c r="O54" s="281" t="str">
        <f t="shared" si="1"/>
        <v/>
      </c>
      <c r="P54" s="282" t="str">
        <f t="shared" si="2"/>
        <v/>
      </c>
      <c r="Q54" s="342" t="str">
        <f>IF(N54="","",VLOOKUP(B54,'C-1 On-Site WaterC'' Baseline'!$C$10:$AC$257,20,FALSE))</f>
        <v/>
      </c>
      <c r="R54" s="281" t="str">
        <f>IF(N54="","",VLOOKUP(N54,'G-7 WaterC'' Data'!$B$2:$G$8,2,FALSE))</f>
        <v/>
      </c>
      <c r="S54" s="282" t="str">
        <f>IFERROR(VLOOKUP(R54,'G-7 WaterC'' Data'!$C$4:$D$8,2,FALSE),"")</f>
        <v/>
      </c>
      <c r="T54" s="105"/>
      <c r="U54" s="282" t="str">
        <f>IFERROR(INDEX('G-7 WaterC'' Data'!$H$4:$L$8,MATCH(N54,'G-7 WaterC'' Data'!$B$4:$B$8,0),MATCH(T54,'G-7 WaterC'' Data'!$H$3:$L$3,0)),"")</f>
        <v/>
      </c>
      <c r="V54" s="105"/>
      <c r="W54" s="289" t="str">
        <f>IF(V54="","",IF(VLOOKUP(V54,'G-7 WaterC'' Data'!$AK$4:$AM$6,2,FALSE)=0,"Spatial Data Missing ⚠",VLOOKUP(V54,'G-7 WaterC'' Data'!$AK$4:$AM$6,2,FALSE)))</f>
        <v/>
      </c>
      <c r="X54" s="282" t="str">
        <f>IF(V54="","",IF(VLOOKUP(V54,'G-7 WaterC'' Data'!$AK$4:$AM$6,3,FALSE)=0,"Spatial Data Missing ⚠",VLOOKUP(V54,'G-7 WaterC'' Data'!$AK$4:$AM$6,3,FALSE)))</f>
        <v/>
      </c>
      <c r="Y54" s="281" t="str">
        <f>IFERROR(IF(OR(LEFT(P54,5)="Error",LEFT(O54,5)="Error"),"Check Data ⚠",IF(F54&lt;S54,'G-7 WaterC'' Data'!$R$3,INDEX('G-7 WaterC'' Data'!$U$5:$Y$9,MATCH(G54,'G-7 WaterC'' Data'!$T$5:$T$9,0),MATCH(T54,'G-7 WaterC'' Data'!$U$4:$Y$4,0)))),"")</f>
        <v/>
      </c>
      <c r="Z54" s="137"/>
      <c r="AA54" s="137"/>
      <c r="AB54" s="289" t="str">
        <f t="shared" si="3"/>
        <v/>
      </c>
      <c r="AC54" s="302" t="str">
        <f t="shared" si="4"/>
        <v/>
      </c>
      <c r="AD54" s="340" t="str">
        <f>IFERROR(IF(AC54="Check Data ⚠","Check Data ⚠",VLOOKUP(AC54,'G-4 Temporal multipliers'!$A$4:$C$37,3,FALSE)),"")</f>
        <v/>
      </c>
      <c r="AE54" s="281" t="str">
        <f>IF(N54="","",VLOOKUP(N54,'G-7 WaterC'' Data'!$B$4:$G$8,5,FALSE))</f>
        <v/>
      </c>
      <c r="AF54" s="289" t="str">
        <f t="shared" si="5"/>
        <v/>
      </c>
      <c r="AG54" s="320" t="str">
        <f t="shared" si="6"/>
        <v/>
      </c>
      <c r="AH54" s="282" t="str">
        <f t="shared" si="0"/>
        <v/>
      </c>
      <c r="AI54" s="109"/>
      <c r="AJ54" s="282" t="str">
        <f>IF(AI54="","",IF(AND(AI54="N/A - Culvert",N54&lt;&gt;"Culvert"),"Not possible ▲",IF(VLOOKUP(AI54,'G-7 WaterC'' Data'!$AA$4:$AB$7,2,FALSE)=0,"Spatial Data Missing ⚠",VLOOKUP(AI54,'G-7 WaterC'' Data'!$AA$4:$AB$7,2,FALSE))))</f>
        <v/>
      </c>
      <c r="AK54" s="110"/>
      <c r="AL54" s="282" t="str">
        <f>IF(AK54="","",IF(AND(AK54="N/A - Culvert",N54&lt;&gt;"Culvert"),"Not possible ▲",IF(VLOOKUP(AK54,'G-7 WaterC'' Data'!$AD$4:$AE$14,2,FALSE)=0,"Spatial Data Missing ⚠",VLOOKUP(AK54,'G-7 WaterC'' Data'!$AD$4:$AE$14,2,FALSE))))</f>
        <v/>
      </c>
      <c r="AM54" s="323" t="str">
        <f t="shared" si="7"/>
        <v/>
      </c>
      <c r="AN54" s="105"/>
      <c r="AO54" s="119"/>
      <c r="AP54" s="108"/>
      <c r="AS54" s="30" t="str">
        <f>IF(B54="","",IF(ISNA(VLOOKUP($B54,'C-1 On-Site WaterC'' Baseline'!$C$8:$AD$257,17,FALSE)),"",(VLOOKUP($B54,'C-1 On-Site WaterC'' Baseline'!$C$8:$AD$257,17,FALSE))))</f>
        <v/>
      </c>
      <c r="AT54" s="30" t="str">
        <f>IF(B54="","",VLOOKUP($B54,'C-1 On-Site WaterC'' Baseline'!$C$9:$Z$257,12,FALSE))</f>
        <v/>
      </c>
      <c r="AU54" s="30" t="str">
        <f>IF(B54="","",VLOOKUP($B54,'C-1 On-Site WaterC'' Baseline'!$C$9:$Z$257,14,FALSE))</f>
        <v/>
      </c>
      <c r="AV54" s="30" t="str">
        <f>IFERROR(INDEX('G-7 WaterC'' Data'!$AZ$3:$AZ$7,MATCH(N54,'G-7 WaterC'' Data'!$AY$3:$AY$7,0)),"")</f>
        <v/>
      </c>
      <c r="AX54" s="30" t="str">
        <f>IF(B54="","",VLOOKUP($B54,'C-1 On-Site WaterC'' Baseline'!$C$9:$Y$257,22,FALSE))</f>
        <v/>
      </c>
      <c r="AY54" s="30" t="str">
        <f t="shared" si="8"/>
        <v/>
      </c>
      <c r="AZ54" s="30" t="str">
        <f>IF(B54="","",VLOOKUP($B54,'C-1 On-Site WaterC'' Baseline'!$C$9:$Y$257,21,FALSE))</f>
        <v/>
      </c>
      <c r="BA54" s="30" t="str">
        <f>IF(B54="","",VLOOKUP($B54,'C-1 On-Site WaterC'' Baseline'!$C$9:$Y$257,19,FALSE))</f>
        <v/>
      </c>
      <c r="BD54" s="30" t="str">
        <f t="shared" si="9"/>
        <v>No</v>
      </c>
    </row>
    <row r="55" spans="2:56" ht="13.8" x14ac:dyDescent="0.25">
      <c r="B55" s="311" t="str">
        <f>'C-1 On-Site WaterC'' Baseline'!AP53</f>
        <v/>
      </c>
      <c r="C55" s="301" t="str">
        <f>IF(B55="","",VLOOKUP($B55,'C-1 On-Site WaterC'' Baseline'!$C$9:$R$257,2,FALSE))</f>
        <v/>
      </c>
      <c r="D55" s="301" t="str">
        <f>IF(C55="","",VLOOKUP($B55,'C-1 On-Site WaterC'' Baseline'!$C$9:$R$257,3,FALSE))</f>
        <v/>
      </c>
      <c r="E55" s="301" t="str">
        <f>IF(D55="","",VLOOKUP($B55,'C-1 On-Site WaterC'' Baseline'!$C$9:$R$257,4,FALSE))</f>
        <v/>
      </c>
      <c r="F55" s="301" t="str">
        <f>IF(E55="","",VLOOKUP($B55,'C-1 On-Site WaterC'' Baseline'!$C$9:$R$257,5,FALSE))</f>
        <v/>
      </c>
      <c r="G55" s="301" t="str">
        <f>IF(F55="","",VLOOKUP($B55,'C-1 On-Site WaterC'' Baseline'!$C$9:$R$257,6,FALSE))</f>
        <v/>
      </c>
      <c r="H55" s="301" t="str">
        <f>IF(G55="","",VLOOKUP($B55,'C-1 On-Site WaterC'' Baseline'!$C$9:$R$257,7,FALSE))</f>
        <v/>
      </c>
      <c r="I55" s="301" t="str">
        <f>IF(H55="","",VLOOKUP($B55,'C-1 On-Site WaterC'' Baseline'!$C$9:$R$257,8,FALSE))</f>
        <v/>
      </c>
      <c r="J55" s="301" t="str">
        <f>IF(I55="","",VLOOKUP($B55,'C-1 On-Site WaterC'' Baseline'!$C$9:$R$257,9,FALSE))</f>
        <v/>
      </c>
      <c r="K55" s="301" t="str">
        <f>IF(J55="","",VLOOKUP($B55,'C-1 On-Site WaterC'' Baseline'!$C$9:$R$257,10,FALSE))</f>
        <v/>
      </c>
      <c r="L55" s="301" t="str">
        <f>IF(B55="","",VLOOKUP($B55,'C-1 On-Site WaterC'' Baseline'!$C$9:$R$257,15,FALSE))</f>
        <v/>
      </c>
      <c r="M55" s="305" t="str">
        <f>IF(L55="","",VLOOKUP($B55,'C-1 On-Site WaterC'' Baseline'!$C$9:$R$257,16,FALSE))</f>
        <v/>
      </c>
      <c r="N55" s="251"/>
      <c r="O55" s="281" t="str">
        <f t="shared" si="1"/>
        <v/>
      </c>
      <c r="P55" s="282" t="str">
        <f t="shared" si="2"/>
        <v/>
      </c>
      <c r="Q55" s="342" t="str">
        <f>IF(N55="","",VLOOKUP(B55,'C-1 On-Site WaterC'' Baseline'!$C$10:$AC$257,20,FALSE))</f>
        <v/>
      </c>
      <c r="R55" s="281" t="str">
        <f>IF(N55="","",VLOOKUP(N55,'G-7 WaterC'' Data'!$B$2:$G$8,2,FALSE))</f>
        <v/>
      </c>
      <c r="S55" s="282" t="str">
        <f>IFERROR(VLOOKUP(R55,'G-7 WaterC'' Data'!$C$4:$D$8,2,FALSE),"")</f>
        <v/>
      </c>
      <c r="T55" s="105"/>
      <c r="U55" s="282" t="str">
        <f>IFERROR(INDEX('G-7 WaterC'' Data'!$H$4:$L$8,MATCH(N55,'G-7 WaterC'' Data'!$B$4:$B$8,0),MATCH(T55,'G-7 WaterC'' Data'!$H$3:$L$3,0)),"")</f>
        <v/>
      </c>
      <c r="V55" s="105"/>
      <c r="W55" s="289" t="str">
        <f>IF(V55="","",IF(VLOOKUP(V55,'G-7 WaterC'' Data'!$AK$4:$AM$6,2,FALSE)=0,"Spatial Data Missing ⚠",VLOOKUP(V55,'G-7 WaterC'' Data'!$AK$4:$AM$6,2,FALSE)))</f>
        <v/>
      </c>
      <c r="X55" s="282" t="str">
        <f>IF(V55="","",IF(VLOOKUP(V55,'G-7 WaterC'' Data'!$AK$4:$AM$6,3,FALSE)=0,"Spatial Data Missing ⚠",VLOOKUP(V55,'G-7 WaterC'' Data'!$AK$4:$AM$6,3,FALSE)))</f>
        <v/>
      </c>
      <c r="Y55" s="281" t="str">
        <f>IFERROR(IF(OR(LEFT(P55,5)="Error",LEFT(O55,5)="Error"),"Check Data ⚠",IF(F55&lt;S55,'G-7 WaterC'' Data'!$R$3,INDEX('G-7 WaterC'' Data'!$U$5:$Y$9,MATCH(G55,'G-7 WaterC'' Data'!$T$5:$T$9,0),MATCH(T55,'G-7 WaterC'' Data'!$U$4:$Y$4,0)))),"")</f>
        <v/>
      </c>
      <c r="Z55" s="137"/>
      <c r="AA55" s="137"/>
      <c r="AB55" s="289" t="str">
        <f t="shared" si="3"/>
        <v/>
      </c>
      <c r="AC55" s="302" t="str">
        <f t="shared" si="4"/>
        <v/>
      </c>
      <c r="AD55" s="340" t="str">
        <f>IFERROR(IF(AC55="Check Data ⚠","Check Data ⚠",VLOOKUP(AC55,'G-4 Temporal multipliers'!$A$4:$C$37,3,FALSE)),"")</f>
        <v/>
      </c>
      <c r="AE55" s="281" t="str">
        <f>IF(N55="","",VLOOKUP(N55,'G-7 WaterC'' Data'!$B$4:$G$8,5,FALSE))</f>
        <v/>
      </c>
      <c r="AF55" s="289" t="str">
        <f t="shared" si="5"/>
        <v/>
      </c>
      <c r="AG55" s="320" t="str">
        <f t="shared" si="6"/>
        <v/>
      </c>
      <c r="AH55" s="282" t="str">
        <f t="shared" si="0"/>
        <v/>
      </c>
      <c r="AI55" s="109"/>
      <c r="AJ55" s="282" t="str">
        <f>IF(AI55="","",IF(AND(AI55="N/A - Culvert",N55&lt;&gt;"Culvert"),"Not possible ▲",IF(VLOOKUP(AI55,'G-7 WaterC'' Data'!$AA$4:$AB$7,2,FALSE)=0,"Spatial Data Missing ⚠",VLOOKUP(AI55,'G-7 WaterC'' Data'!$AA$4:$AB$7,2,FALSE))))</f>
        <v/>
      </c>
      <c r="AK55" s="110"/>
      <c r="AL55" s="282" t="str">
        <f>IF(AK55="","",IF(AND(AK55="N/A - Culvert",N55&lt;&gt;"Culvert"),"Not possible ▲",IF(VLOOKUP(AK55,'G-7 WaterC'' Data'!$AD$4:$AE$14,2,FALSE)=0,"Spatial Data Missing ⚠",VLOOKUP(AK55,'G-7 WaterC'' Data'!$AD$4:$AE$14,2,FALSE))))</f>
        <v/>
      </c>
      <c r="AM55" s="323" t="str">
        <f t="shared" si="7"/>
        <v/>
      </c>
      <c r="AN55" s="105"/>
      <c r="AO55" s="119"/>
      <c r="AP55" s="108"/>
      <c r="AS55" s="30" t="str">
        <f>IF(B55="","",IF(ISNA(VLOOKUP($B55,'C-1 On-Site WaterC'' Baseline'!$C$8:$AD$257,17,FALSE)),"",(VLOOKUP($B55,'C-1 On-Site WaterC'' Baseline'!$C$8:$AD$257,17,FALSE))))</f>
        <v/>
      </c>
      <c r="AT55" s="30" t="str">
        <f>IF(B55="","",VLOOKUP($B55,'C-1 On-Site WaterC'' Baseline'!$C$9:$Z$257,12,FALSE))</f>
        <v/>
      </c>
      <c r="AU55" s="30" t="str">
        <f>IF(B55="","",VLOOKUP($B55,'C-1 On-Site WaterC'' Baseline'!$C$9:$Z$257,14,FALSE))</f>
        <v/>
      </c>
      <c r="AV55" s="30" t="str">
        <f>IFERROR(INDEX('G-7 WaterC'' Data'!$AZ$3:$AZ$7,MATCH(N55,'G-7 WaterC'' Data'!$AY$3:$AY$7,0)),"")</f>
        <v/>
      </c>
      <c r="AX55" s="30" t="str">
        <f>IF(B55="","",VLOOKUP($B55,'C-1 On-Site WaterC'' Baseline'!$C$9:$Y$257,22,FALSE))</f>
        <v/>
      </c>
      <c r="AY55" s="30" t="str">
        <f t="shared" si="8"/>
        <v/>
      </c>
      <c r="AZ55" s="30" t="str">
        <f>IF(B55="","",VLOOKUP($B55,'C-1 On-Site WaterC'' Baseline'!$C$9:$Y$257,21,FALSE))</f>
        <v/>
      </c>
      <c r="BA55" s="30" t="str">
        <f>IF(B55="","",VLOOKUP($B55,'C-1 On-Site WaterC'' Baseline'!$C$9:$Y$257,19,FALSE))</f>
        <v/>
      </c>
      <c r="BD55" s="30" t="str">
        <f t="shared" si="9"/>
        <v>No</v>
      </c>
    </row>
    <row r="56" spans="2:56" ht="13.8" x14ac:dyDescent="0.25">
      <c r="B56" s="311" t="str">
        <f>'C-1 On-Site WaterC'' Baseline'!AP54</f>
        <v/>
      </c>
      <c r="C56" s="301" t="str">
        <f>IF(B56="","",VLOOKUP($B56,'C-1 On-Site WaterC'' Baseline'!$C$9:$R$257,2,FALSE))</f>
        <v/>
      </c>
      <c r="D56" s="301" t="str">
        <f>IF(C56="","",VLOOKUP($B56,'C-1 On-Site WaterC'' Baseline'!$C$9:$R$257,3,FALSE))</f>
        <v/>
      </c>
      <c r="E56" s="301" t="str">
        <f>IF(D56="","",VLOOKUP($B56,'C-1 On-Site WaterC'' Baseline'!$C$9:$R$257,4,FALSE))</f>
        <v/>
      </c>
      <c r="F56" s="301" t="str">
        <f>IF(E56="","",VLOOKUP($B56,'C-1 On-Site WaterC'' Baseline'!$C$9:$R$257,5,FALSE))</f>
        <v/>
      </c>
      <c r="G56" s="301" t="str">
        <f>IF(F56="","",VLOOKUP($B56,'C-1 On-Site WaterC'' Baseline'!$C$9:$R$257,6,FALSE))</f>
        <v/>
      </c>
      <c r="H56" s="301" t="str">
        <f>IF(G56="","",VLOOKUP($B56,'C-1 On-Site WaterC'' Baseline'!$C$9:$R$257,7,FALSE))</f>
        <v/>
      </c>
      <c r="I56" s="301" t="str">
        <f>IF(H56="","",VLOOKUP($B56,'C-1 On-Site WaterC'' Baseline'!$C$9:$R$257,8,FALSE))</f>
        <v/>
      </c>
      <c r="J56" s="301" t="str">
        <f>IF(I56="","",VLOOKUP($B56,'C-1 On-Site WaterC'' Baseline'!$C$9:$R$257,9,FALSE))</f>
        <v/>
      </c>
      <c r="K56" s="301" t="str">
        <f>IF(J56="","",VLOOKUP($B56,'C-1 On-Site WaterC'' Baseline'!$C$9:$R$257,10,FALSE))</f>
        <v/>
      </c>
      <c r="L56" s="301" t="str">
        <f>IF(B56="","",VLOOKUP($B56,'C-1 On-Site WaterC'' Baseline'!$C$9:$R$257,15,FALSE))</f>
        <v/>
      </c>
      <c r="M56" s="305" t="str">
        <f>IF(L56="","",VLOOKUP($B56,'C-1 On-Site WaterC'' Baseline'!$C$9:$R$257,16,FALSE))</f>
        <v/>
      </c>
      <c r="N56" s="251"/>
      <c r="O56" s="281" t="str">
        <f t="shared" si="1"/>
        <v/>
      </c>
      <c r="P56" s="282" t="str">
        <f t="shared" si="2"/>
        <v/>
      </c>
      <c r="Q56" s="342" t="str">
        <f>IF(N56="","",VLOOKUP(B56,'C-1 On-Site WaterC'' Baseline'!$C$10:$AC$257,20,FALSE))</f>
        <v/>
      </c>
      <c r="R56" s="281" t="str">
        <f>IF(N56="","",VLOOKUP(N56,'G-7 WaterC'' Data'!$B$2:$G$8,2,FALSE))</f>
        <v/>
      </c>
      <c r="S56" s="282" t="str">
        <f>IFERROR(VLOOKUP(R56,'G-7 WaterC'' Data'!$C$4:$D$8,2,FALSE),"")</f>
        <v/>
      </c>
      <c r="T56" s="105"/>
      <c r="U56" s="282" t="str">
        <f>IFERROR(INDEX('G-7 WaterC'' Data'!$H$4:$L$8,MATCH(N56,'G-7 WaterC'' Data'!$B$4:$B$8,0),MATCH(T56,'G-7 WaterC'' Data'!$H$3:$L$3,0)),"")</f>
        <v/>
      </c>
      <c r="V56" s="105"/>
      <c r="W56" s="289" t="str">
        <f>IF(V56="","",IF(VLOOKUP(V56,'G-7 WaterC'' Data'!$AK$4:$AM$6,2,FALSE)=0,"Spatial Data Missing ⚠",VLOOKUP(V56,'G-7 WaterC'' Data'!$AK$4:$AM$6,2,FALSE)))</f>
        <v/>
      </c>
      <c r="X56" s="282" t="str">
        <f>IF(V56="","",IF(VLOOKUP(V56,'G-7 WaterC'' Data'!$AK$4:$AM$6,3,FALSE)=0,"Spatial Data Missing ⚠",VLOOKUP(V56,'G-7 WaterC'' Data'!$AK$4:$AM$6,3,FALSE)))</f>
        <v/>
      </c>
      <c r="Y56" s="281" t="str">
        <f>IFERROR(IF(OR(LEFT(P56,5)="Error",LEFT(O56,5)="Error"),"Check Data ⚠",IF(F56&lt;S56,'G-7 WaterC'' Data'!$R$3,INDEX('G-7 WaterC'' Data'!$U$5:$Y$9,MATCH(G56,'G-7 WaterC'' Data'!$T$5:$T$9,0),MATCH(T56,'G-7 WaterC'' Data'!$U$4:$Y$4,0)))),"")</f>
        <v/>
      </c>
      <c r="Z56" s="137"/>
      <c r="AA56" s="137"/>
      <c r="AB56" s="289" t="str">
        <f t="shared" si="3"/>
        <v/>
      </c>
      <c r="AC56" s="302" t="str">
        <f t="shared" si="4"/>
        <v/>
      </c>
      <c r="AD56" s="340" t="str">
        <f>IFERROR(IF(AC56="Check Data ⚠","Check Data ⚠",VLOOKUP(AC56,'G-4 Temporal multipliers'!$A$4:$C$37,3,FALSE)),"")</f>
        <v/>
      </c>
      <c r="AE56" s="281" t="str">
        <f>IF(N56="","",VLOOKUP(N56,'G-7 WaterC'' Data'!$B$4:$G$8,5,FALSE))</f>
        <v/>
      </c>
      <c r="AF56" s="289" t="str">
        <f t="shared" si="5"/>
        <v/>
      </c>
      <c r="AG56" s="320" t="str">
        <f t="shared" si="6"/>
        <v/>
      </c>
      <c r="AH56" s="282" t="str">
        <f t="shared" si="0"/>
        <v/>
      </c>
      <c r="AI56" s="109"/>
      <c r="AJ56" s="282" t="str">
        <f>IF(AI56="","",IF(AND(AI56="N/A - Culvert",N56&lt;&gt;"Culvert"),"Not possible ▲",IF(VLOOKUP(AI56,'G-7 WaterC'' Data'!$AA$4:$AB$7,2,FALSE)=0,"Spatial Data Missing ⚠",VLOOKUP(AI56,'G-7 WaterC'' Data'!$AA$4:$AB$7,2,FALSE))))</f>
        <v/>
      </c>
      <c r="AK56" s="110"/>
      <c r="AL56" s="282" t="str">
        <f>IF(AK56="","",IF(AND(AK56="N/A - Culvert",N56&lt;&gt;"Culvert"),"Not possible ▲",IF(VLOOKUP(AK56,'G-7 WaterC'' Data'!$AD$4:$AE$14,2,FALSE)=0,"Spatial Data Missing ⚠",VLOOKUP(AK56,'G-7 WaterC'' Data'!$AD$4:$AE$14,2,FALSE))))</f>
        <v/>
      </c>
      <c r="AM56" s="323" t="str">
        <f t="shared" si="7"/>
        <v/>
      </c>
      <c r="AN56" s="105"/>
      <c r="AO56" s="119"/>
      <c r="AP56" s="108"/>
      <c r="AS56" s="30" t="str">
        <f>IF(B56="","",IF(ISNA(VLOOKUP($B56,'C-1 On-Site WaterC'' Baseline'!$C$8:$AD$257,17,FALSE)),"",(VLOOKUP($B56,'C-1 On-Site WaterC'' Baseline'!$C$8:$AD$257,17,FALSE))))</f>
        <v/>
      </c>
      <c r="AT56" s="30" t="str">
        <f>IF(B56="","",VLOOKUP($B56,'C-1 On-Site WaterC'' Baseline'!$C$9:$Z$257,12,FALSE))</f>
        <v/>
      </c>
      <c r="AU56" s="30" t="str">
        <f>IF(B56="","",VLOOKUP($B56,'C-1 On-Site WaterC'' Baseline'!$C$9:$Z$257,14,FALSE))</f>
        <v/>
      </c>
      <c r="AV56" s="30" t="str">
        <f>IFERROR(INDEX('G-7 WaterC'' Data'!$AZ$3:$AZ$7,MATCH(N56,'G-7 WaterC'' Data'!$AY$3:$AY$7,0)),"")</f>
        <v/>
      </c>
      <c r="AX56" s="30" t="str">
        <f>IF(B56="","",VLOOKUP($B56,'C-1 On-Site WaterC'' Baseline'!$C$9:$Y$257,22,FALSE))</f>
        <v/>
      </c>
      <c r="AY56" s="30" t="str">
        <f t="shared" si="8"/>
        <v/>
      </c>
      <c r="AZ56" s="30" t="str">
        <f>IF(B56="","",VLOOKUP($B56,'C-1 On-Site WaterC'' Baseline'!$C$9:$Y$257,21,FALSE))</f>
        <v/>
      </c>
      <c r="BA56" s="30" t="str">
        <f>IF(B56="","",VLOOKUP($B56,'C-1 On-Site WaterC'' Baseline'!$C$9:$Y$257,19,FALSE))</f>
        <v/>
      </c>
      <c r="BD56" s="30" t="str">
        <f t="shared" si="9"/>
        <v>No</v>
      </c>
    </row>
    <row r="57" spans="2:56" ht="13.8" x14ac:dyDescent="0.25">
      <c r="B57" s="311" t="str">
        <f>'C-1 On-Site WaterC'' Baseline'!AP55</f>
        <v/>
      </c>
      <c r="C57" s="301" t="str">
        <f>IF(B57="","",VLOOKUP($B57,'C-1 On-Site WaterC'' Baseline'!$C$9:$R$257,2,FALSE))</f>
        <v/>
      </c>
      <c r="D57" s="301" t="str">
        <f>IF(C57="","",VLOOKUP($B57,'C-1 On-Site WaterC'' Baseline'!$C$9:$R$257,3,FALSE))</f>
        <v/>
      </c>
      <c r="E57" s="301" t="str">
        <f>IF(D57="","",VLOOKUP($B57,'C-1 On-Site WaterC'' Baseline'!$C$9:$R$257,4,FALSE))</f>
        <v/>
      </c>
      <c r="F57" s="301" t="str">
        <f>IF(E57="","",VLOOKUP($B57,'C-1 On-Site WaterC'' Baseline'!$C$9:$R$257,5,FALSE))</f>
        <v/>
      </c>
      <c r="G57" s="301" t="str">
        <f>IF(F57="","",VLOOKUP($B57,'C-1 On-Site WaterC'' Baseline'!$C$9:$R$257,6,FALSE))</f>
        <v/>
      </c>
      <c r="H57" s="301" t="str">
        <f>IF(G57="","",VLOOKUP($B57,'C-1 On-Site WaterC'' Baseline'!$C$9:$R$257,7,FALSE))</f>
        <v/>
      </c>
      <c r="I57" s="301" t="str">
        <f>IF(H57="","",VLOOKUP($B57,'C-1 On-Site WaterC'' Baseline'!$C$9:$R$257,8,FALSE))</f>
        <v/>
      </c>
      <c r="J57" s="301" t="str">
        <f>IF(I57="","",VLOOKUP($B57,'C-1 On-Site WaterC'' Baseline'!$C$9:$R$257,9,FALSE))</f>
        <v/>
      </c>
      <c r="K57" s="301" t="str">
        <f>IF(J57="","",VLOOKUP($B57,'C-1 On-Site WaterC'' Baseline'!$C$9:$R$257,10,FALSE))</f>
        <v/>
      </c>
      <c r="L57" s="301" t="str">
        <f>IF(B57="","",VLOOKUP($B57,'C-1 On-Site WaterC'' Baseline'!$C$9:$R$257,15,FALSE))</f>
        <v/>
      </c>
      <c r="M57" s="305" t="str">
        <f>IF(L57="","",VLOOKUP($B57,'C-1 On-Site WaterC'' Baseline'!$C$9:$R$257,16,FALSE))</f>
        <v/>
      </c>
      <c r="N57" s="251"/>
      <c r="O57" s="281" t="str">
        <f t="shared" si="1"/>
        <v/>
      </c>
      <c r="P57" s="282" t="str">
        <f t="shared" si="2"/>
        <v/>
      </c>
      <c r="Q57" s="342" t="str">
        <f>IF(N57="","",VLOOKUP(B57,'C-1 On-Site WaterC'' Baseline'!$C$10:$AC$257,20,FALSE))</f>
        <v/>
      </c>
      <c r="R57" s="281" t="str">
        <f>IF(N57="","",VLOOKUP(N57,'G-7 WaterC'' Data'!$B$2:$G$8,2,FALSE))</f>
        <v/>
      </c>
      <c r="S57" s="282" t="str">
        <f>IFERROR(VLOOKUP(R57,'G-7 WaterC'' Data'!$C$4:$D$8,2,FALSE),"")</f>
        <v/>
      </c>
      <c r="T57" s="105"/>
      <c r="U57" s="282" t="str">
        <f>IFERROR(INDEX('G-7 WaterC'' Data'!$H$4:$L$8,MATCH(N57,'G-7 WaterC'' Data'!$B$4:$B$8,0),MATCH(T57,'G-7 WaterC'' Data'!$H$3:$L$3,0)),"")</f>
        <v/>
      </c>
      <c r="V57" s="105"/>
      <c r="W57" s="289" t="str">
        <f>IF(V57="","",IF(VLOOKUP(V57,'G-7 WaterC'' Data'!$AK$4:$AM$6,2,FALSE)=0,"Spatial Data Missing ⚠",VLOOKUP(V57,'G-7 WaterC'' Data'!$AK$4:$AM$6,2,FALSE)))</f>
        <v/>
      </c>
      <c r="X57" s="282" t="str">
        <f>IF(V57="","",IF(VLOOKUP(V57,'G-7 WaterC'' Data'!$AK$4:$AM$6,3,FALSE)=0,"Spatial Data Missing ⚠",VLOOKUP(V57,'G-7 WaterC'' Data'!$AK$4:$AM$6,3,FALSE)))</f>
        <v/>
      </c>
      <c r="Y57" s="281" t="str">
        <f>IFERROR(IF(OR(LEFT(P57,5)="Error",LEFT(O57,5)="Error"),"Check Data ⚠",IF(F57&lt;S57,'G-7 WaterC'' Data'!$R$3,INDEX('G-7 WaterC'' Data'!$U$5:$Y$9,MATCH(G57,'G-7 WaterC'' Data'!$T$5:$T$9,0),MATCH(T57,'G-7 WaterC'' Data'!$U$4:$Y$4,0)))),"")</f>
        <v/>
      </c>
      <c r="Z57" s="137"/>
      <c r="AA57" s="137"/>
      <c r="AB57" s="289" t="str">
        <f t="shared" si="3"/>
        <v/>
      </c>
      <c r="AC57" s="302" t="str">
        <f t="shared" si="4"/>
        <v/>
      </c>
      <c r="AD57" s="340" t="str">
        <f>IFERROR(IF(AC57="Check Data ⚠","Check Data ⚠",VLOOKUP(AC57,'G-4 Temporal multipliers'!$A$4:$C$37,3,FALSE)),"")</f>
        <v/>
      </c>
      <c r="AE57" s="281" t="str">
        <f>IF(N57="","",VLOOKUP(N57,'G-7 WaterC'' Data'!$B$4:$G$8,5,FALSE))</f>
        <v/>
      </c>
      <c r="AF57" s="289" t="str">
        <f t="shared" si="5"/>
        <v/>
      </c>
      <c r="AG57" s="320" t="str">
        <f t="shared" si="6"/>
        <v/>
      </c>
      <c r="AH57" s="282" t="str">
        <f t="shared" si="0"/>
        <v/>
      </c>
      <c r="AI57" s="109"/>
      <c r="AJ57" s="282" t="str">
        <f>IF(AI57="","",IF(AND(AI57="N/A - Culvert",N57&lt;&gt;"Culvert"),"Not possible ▲",IF(VLOOKUP(AI57,'G-7 WaterC'' Data'!$AA$4:$AB$7,2,FALSE)=0,"Spatial Data Missing ⚠",VLOOKUP(AI57,'G-7 WaterC'' Data'!$AA$4:$AB$7,2,FALSE))))</f>
        <v/>
      </c>
      <c r="AK57" s="110"/>
      <c r="AL57" s="282" t="str">
        <f>IF(AK57="","",IF(AND(AK57="N/A - Culvert",N57&lt;&gt;"Culvert"),"Not possible ▲",IF(VLOOKUP(AK57,'G-7 WaterC'' Data'!$AD$4:$AE$14,2,FALSE)=0,"Spatial Data Missing ⚠",VLOOKUP(AK57,'G-7 WaterC'' Data'!$AD$4:$AE$14,2,FALSE))))</f>
        <v/>
      </c>
      <c r="AM57" s="323" t="str">
        <f t="shared" si="7"/>
        <v/>
      </c>
      <c r="AN57" s="105"/>
      <c r="AO57" s="119"/>
      <c r="AP57" s="108"/>
      <c r="AS57" s="30" t="str">
        <f>IF(B57="","",IF(ISNA(VLOOKUP($B57,'C-1 On-Site WaterC'' Baseline'!$C$8:$AD$257,17,FALSE)),"",(VLOOKUP($B57,'C-1 On-Site WaterC'' Baseline'!$C$8:$AD$257,17,FALSE))))</f>
        <v/>
      </c>
      <c r="AT57" s="30" t="str">
        <f>IF(B57="","",VLOOKUP($B57,'C-1 On-Site WaterC'' Baseline'!$C$9:$Z$257,12,FALSE))</f>
        <v/>
      </c>
      <c r="AU57" s="30" t="str">
        <f>IF(B57="","",VLOOKUP($B57,'C-1 On-Site WaterC'' Baseline'!$C$9:$Z$257,14,FALSE))</f>
        <v/>
      </c>
      <c r="AV57" s="30" t="str">
        <f>IFERROR(INDEX('G-7 WaterC'' Data'!$AZ$3:$AZ$7,MATCH(N57,'G-7 WaterC'' Data'!$AY$3:$AY$7,0)),"")</f>
        <v/>
      </c>
      <c r="AX57" s="30" t="str">
        <f>IF(B57="","",VLOOKUP($B57,'C-1 On-Site WaterC'' Baseline'!$C$9:$Y$257,22,FALSE))</f>
        <v/>
      </c>
      <c r="AY57" s="30" t="str">
        <f t="shared" si="8"/>
        <v/>
      </c>
      <c r="AZ57" s="30" t="str">
        <f>IF(B57="","",VLOOKUP($B57,'C-1 On-Site WaterC'' Baseline'!$C$9:$Y$257,21,FALSE))</f>
        <v/>
      </c>
      <c r="BA57" s="30" t="str">
        <f>IF(B57="","",VLOOKUP($B57,'C-1 On-Site WaterC'' Baseline'!$C$9:$Y$257,19,FALSE))</f>
        <v/>
      </c>
      <c r="BD57" s="30" t="str">
        <f t="shared" si="9"/>
        <v>No</v>
      </c>
    </row>
    <row r="58" spans="2:56" ht="13.8" x14ac:dyDescent="0.25">
      <c r="B58" s="311" t="str">
        <f>'C-1 On-Site WaterC'' Baseline'!AP56</f>
        <v/>
      </c>
      <c r="C58" s="301" t="str">
        <f>IF(B58="","",VLOOKUP($B58,'C-1 On-Site WaterC'' Baseline'!$C$9:$R$257,2,FALSE))</f>
        <v/>
      </c>
      <c r="D58" s="301" t="str">
        <f>IF(C58="","",VLOOKUP($B58,'C-1 On-Site WaterC'' Baseline'!$C$9:$R$257,3,FALSE))</f>
        <v/>
      </c>
      <c r="E58" s="301" t="str">
        <f>IF(D58="","",VLOOKUP($B58,'C-1 On-Site WaterC'' Baseline'!$C$9:$R$257,4,FALSE))</f>
        <v/>
      </c>
      <c r="F58" s="301" t="str">
        <f>IF(E58="","",VLOOKUP($B58,'C-1 On-Site WaterC'' Baseline'!$C$9:$R$257,5,FALSE))</f>
        <v/>
      </c>
      <c r="G58" s="301" t="str">
        <f>IF(F58="","",VLOOKUP($B58,'C-1 On-Site WaterC'' Baseline'!$C$9:$R$257,6,FALSE))</f>
        <v/>
      </c>
      <c r="H58" s="301" t="str">
        <f>IF(G58="","",VLOOKUP($B58,'C-1 On-Site WaterC'' Baseline'!$C$9:$R$257,7,FALSE))</f>
        <v/>
      </c>
      <c r="I58" s="301" t="str">
        <f>IF(H58="","",VLOOKUP($B58,'C-1 On-Site WaterC'' Baseline'!$C$9:$R$257,8,FALSE))</f>
        <v/>
      </c>
      <c r="J58" s="301" t="str">
        <f>IF(I58="","",VLOOKUP($B58,'C-1 On-Site WaterC'' Baseline'!$C$9:$R$257,9,FALSE))</f>
        <v/>
      </c>
      <c r="K58" s="301" t="str">
        <f>IF(J58="","",VLOOKUP($B58,'C-1 On-Site WaterC'' Baseline'!$C$9:$R$257,10,FALSE))</f>
        <v/>
      </c>
      <c r="L58" s="301" t="str">
        <f>IF(B58="","",VLOOKUP($B58,'C-1 On-Site WaterC'' Baseline'!$C$9:$R$257,15,FALSE))</f>
        <v/>
      </c>
      <c r="M58" s="305" t="str">
        <f>IF(L58="","",VLOOKUP($B58,'C-1 On-Site WaterC'' Baseline'!$C$9:$R$257,16,FALSE))</f>
        <v/>
      </c>
      <c r="N58" s="251"/>
      <c r="O58" s="281" t="str">
        <f t="shared" si="1"/>
        <v/>
      </c>
      <c r="P58" s="282" t="str">
        <f t="shared" si="2"/>
        <v/>
      </c>
      <c r="Q58" s="342" t="str">
        <f>IF(N58="","",VLOOKUP(B58,'C-1 On-Site WaterC'' Baseline'!$C$10:$AC$257,20,FALSE))</f>
        <v/>
      </c>
      <c r="R58" s="281" t="str">
        <f>IF(N58="","",VLOOKUP(N58,'G-7 WaterC'' Data'!$B$2:$G$8,2,FALSE))</f>
        <v/>
      </c>
      <c r="S58" s="282" t="str">
        <f>IFERROR(VLOOKUP(R58,'G-7 WaterC'' Data'!$C$4:$D$8,2,FALSE),"")</f>
        <v/>
      </c>
      <c r="T58" s="105"/>
      <c r="U58" s="282" t="str">
        <f>IFERROR(INDEX('G-7 WaterC'' Data'!$H$4:$L$8,MATCH(N58,'G-7 WaterC'' Data'!$B$4:$B$8,0),MATCH(T58,'G-7 WaterC'' Data'!$H$3:$L$3,0)),"")</f>
        <v/>
      </c>
      <c r="V58" s="105"/>
      <c r="W58" s="289" t="str">
        <f>IF(V58="","",IF(VLOOKUP(V58,'G-7 WaterC'' Data'!$AK$4:$AM$6,2,FALSE)=0,"Spatial Data Missing ⚠",VLOOKUP(V58,'G-7 WaterC'' Data'!$AK$4:$AM$6,2,FALSE)))</f>
        <v/>
      </c>
      <c r="X58" s="282" t="str">
        <f>IF(V58="","",IF(VLOOKUP(V58,'G-7 WaterC'' Data'!$AK$4:$AM$6,3,FALSE)=0,"Spatial Data Missing ⚠",VLOOKUP(V58,'G-7 WaterC'' Data'!$AK$4:$AM$6,3,FALSE)))</f>
        <v/>
      </c>
      <c r="Y58" s="281" t="str">
        <f>IFERROR(IF(OR(LEFT(P58,5)="Error",LEFT(O58,5)="Error"),"Check Data ⚠",IF(F58&lt;S58,'G-7 WaterC'' Data'!$R$3,INDEX('G-7 WaterC'' Data'!$U$5:$Y$9,MATCH(G58,'G-7 WaterC'' Data'!$T$5:$T$9,0),MATCH(T58,'G-7 WaterC'' Data'!$U$4:$Y$4,0)))),"")</f>
        <v/>
      </c>
      <c r="Z58" s="137"/>
      <c r="AA58" s="137"/>
      <c r="AB58" s="289" t="str">
        <f t="shared" si="3"/>
        <v/>
      </c>
      <c r="AC58" s="302" t="str">
        <f t="shared" si="4"/>
        <v/>
      </c>
      <c r="AD58" s="340" t="str">
        <f>IFERROR(IF(AC58="Check Data ⚠","Check Data ⚠",VLOOKUP(AC58,'G-4 Temporal multipliers'!$A$4:$C$37,3,FALSE)),"")</f>
        <v/>
      </c>
      <c r="AE58" s="281" t="str">
        <f>IF(N58="","",VLOOKUP(N58,'G-7 WaterC'' Data'!$B$4:$G$8,5,FALSE))</f>
        <v/>
      </c>
      <c r="AF58" s="289" t="str">
        <f t="shared" si="5"/>
        <v/>
      </c>
      <c r="AG58" s="320" t="str">
        <f t="shared" si="6"/>
        <v/>
      </c>
      <c r="AH58" s="282" t="str">
        <f t="shared" si="0"/>
        <v/>
      </c>
      <c r="AI58" s="109"/>
      <c r="AJ58" s="282" t="str">
        <f>IF(AI58="","",IF(AND(AI58="N/A - Culvert",N58&lt;&gt;"Culvert"),"Not possible ▲",IF(VLOOKUP(AI58,'G-7 WaterC'' Data'!$AA$4:$AB$7,2,FALSE)=0,"Spatial Data Missing ⚠",VLOOKUP(AI58,'G-7 WaterC'' Data'!$AA$4:$AB$7,2,FALSE))))</f>
        <v/>
      </c>
      <c r="AK58" s="110"/>
      <c r="AL58" s="282" t="str">
        <f>IF(AK58="","",IF(AND(AK58="N/A - Culvert",N58&lt;&gt;"Culvert"),"Not possible ▲",IF(VLOOKUP(AK58,'G-7 WaterC'' Data'!$AD$4:$AE$14,2,FALSE)=0,"Spatial Data Missing ⚠",VLOOKUP(AK58,'G-7 WaterC'' Data'!$AD$4:$AE$14,2,FALSE))))</f>
        <v/>
      </c>
      <c r="AM58" s="323" t="str">
        <f t="shared" si="7"/>
        <v/>
      </c>
      <c r="AN58" s="105"/>
      <c r="AO58" s="119"/>
      <c r="AP58" s="108"/>
      <c r="AS58" s="30" t="str">
        <f>IF(B58="","",IF(ISNA(VLOOKUP($B58,'C-1 On-Site WaterC'' Baseline'!$C$8:$AD$257,17,FALSE)),"",(VLOOKUP($B58,'C-1 On-Site WaterC'' Baseline'!$C$8:$AD$257,17,FALSE))))</f>
        <v/>
      </c>
      <c r="AT58" s="30" t="str">
        <f>IF(B58="","",VLOOKUP($B58,'C-1 On-Site WaterC'' Baseline'!$C$9:$Z$257,12,FALSE))</f>
        <v/>
      </c>
      <c r="AU58" s="30" t="str">
        <f>IF(B58="","",VLOOKUP($B58,'C-1 On-Site WaterC'' Baseline'!$C$9:$Z$257,14,FALSE))</f>
        <v/>
      </c>
      <c r="AV58" s="30" t="str">
        <f>IFERROR(INDEX('G-7 WaterC'' Data'!$AZ$3:$AZ$7,MATCH(N58,'G-7 WaterC'' Data'!$AY$3:$AY$7,0)),"")</f>
        <v/>
      </c>
      <c r="AX58" s="30" t="str">
        <f>IF(B58="","",VLOOKUP($B58,'C-1 On-Site WaterC'' Baseline'!$C$9:$Y$257,22,FALSE))</f>
        <v/>
      </c>
      <c r="AY58" s="30" t="str">
        <f t="shared" si="8"/>
        <v/>
      </c>
      <c r="AZ58" s="30" t="str">
        <f>IF(B58="","",VLOOKUP($B58,'C-1 On-Site WaterC'' Baseline'!$C$9:$Y$257,21,FALSE))</f>
        <v/>
      </c>
      <c r="BA58" s="30" t="str">
        <f>IF(B58="","",VLOOKUP($B58,'C-1 On-Site WaterC'' Baseline'!$C$9:$Y$257,19,FALSE))</f>
        <v/>
      </c>
      <c r="BD58" s="30" t="str">
        <f t="shared" si="9"/>
        <v>No</v>
      </c>
    </row>
    <row r="59" spans="2:56" ht="13.8" x14ac:dyDescent="0.25">
      <c r="B59" s="311" t="str">
        <f>'C-1 On-Site WaterC'' Baseline'!AP57</f>
        <v/>
      </c>
      <c r="C59" s="301" t="str">
        <f>IF(B59="","",VLOOKUP($B59,'C-1 On-Site WaterC'' Baseline'!$C$9:$R$257,2,FALSE))</f>
        <v/>
      </c>
      <c r="D59" s="301" t="str">
        <f>IF(C59="","",VLOOKUP($B59,'C-1 On-Site WaterC'' Baseline'!$C$9:$R$257,3,FALSE))</f>
        <v/>
      </c>
      <c r="E59" s="301" t="str">
        <f>IF(D59="","",VLOOKUP($B59,'C-1 On-Site WaterC'' Baseline'!$C$9:$R$257,4,FALSE))</f>
        <v/>
      </c>
      <c r="F59" s="301" t="str">
        <f>IF(E59="","",VLOOKUP($B59,'C-1 On-Site WaterC'' Baseline'!$C$9:$R$257,5,FALSE))</f>
        <v/>
      </c>
      <c r="G59" s="301" t="str">
        <f>IF(F59="","",VLOOKUP($B59,'C-1 On-Site WaterC'' Baseline'!$C$9:$R$257,6,FALSE))</f>
        <v/>
      </c>
      <c r="H59" s="301" t="str">
        <f>IF(G59="","",VLOOKUP($B59,'C-1 On-Site WaterC'' Baseline'!$C$9:$R$257,7,FALSE))</f>
        <v/>
      </c>
      <c r="I59" s="301" t="str">
        <f>IF(H59="","",VLOOKUP($B59,'C-1 On-Site WaterC'' Baseline'!$C$9:$R$257,8,FALSE))</f>
        <v/>
      </c>
      <c r="J59" s="301" t="str">
        <f>IF(I59="","",VLOOKUP($B59,'C-1 On-Site WaterC'' Baseline'!$C$9:$R$257,9,FALSE))</f>
        <v/>
      </c>
      <c r="K59" s="301" t="str">
        <f>IF(J59="","",VLOOKUP($B59,'C-1 On-Site WaterC'' Baseline'!$C$9:$R$257,10,FALSE))</f>
        <v/>
      </c>
      <c r="L59" s="301" t="str">
        <f>IF(B59="","",VLOOKUP($B59,'C-1 On-Site WaterC'' Baseline'!$C$9:$R$257,15,FALSE))</f>
        <v/>
      </c>
      <c r="M59" s="305" t="str">
        <f>IF(L59="","",VLOOKUP($B59,'C-1 On-Site WaterC'' Baseline'!$C$9:$R$257,16,FALSE))</f>
        <v/>
      </c>
      <c r="N59" s="251"/>
      <c r="O59" s="281" t="str">
        <f t="shared" si="1"/>
        <v/>
      </c>
      <c r="P59" s="282" t="str">
        <f t="shared" si="2"/>
        <v/>
      </c>
      <c r="Q59" s="342" t="str">
        <f>IF(N59="","",VLOOKUP(B59,'C-1 On-Site WaterC'' Baseline'!$C$10:$AC$257,20,FALSE))</f>
        <v/>
      </c>
      <c r="R59" s="281" t="str">
        <f>IF(N59="","",VLOOKUP(N59,'G-7 WaterC'' Data'!$B$2:$G$8,2,FALSE))</f>
        <v/>
      </c>
      <c r="S59" s="282" t="str">
        <f>IFERROR(VLOOKUP(R59,'G-7 WaterC'' Data'!$C$4:$D$8,2,FALSE),"")</f>
        <v/>
      </c>
      <c r="T59" s="105"/>
      <c r="U59" s="282" t="str">
        <f>IFERROR(INDEX('G-7 WaterC'' Data'!$H$4:$L$8,MATCH(N59,'G-7 WaterC'' Data'!$B$4:$B$8,0),MATCH(T59,'G-7 WaterC'' Data'!$H$3:$L$3,0)),"")</f>
        <v/>
      </c>
      <c r="V59" s="105"/>
      <c r="W59" s="289" t="str">
        <f>IF(V59="","",IF(VLOOKUP(V59,'G-7 WaterC'' Data'!$AK$4:$AM$6,2,FALSE)=0,"Spatial Data Missing ⚠",VLOOKUP(V59,'G-7 WaterC'' Data'!$AK$4:$AM$6,2,FALSE)))</f>
        <v/>
      </c>
      <c r="X59" s="282" t="str">
        <f>IF(V59="","",IF(VLOOKUP(V59,'G-7 WaterC'' Data'!$AK$4:$AM$6,3,FALSE)=0,"Spatial Data Missing ⚠",VLOOKUP(V59,'G-7 WaterC'' Data'!$AK$4:$AM$6,3,FALSE)))</f>
        <v/>
      </c>
      <c r="Y59" s="281" t="str">
        <f>IFERROR(IF(OR(LEFT(P59,5)="Error",LEFT(O59,5)="Error"),"Check Data ⚠",IF(F59&lt;S59,'G-7 WaterC'' Data'!$R$3,INDEX('G-7 WaterC'' Data'!$U$5:$Y$9,MATCH(G59,'G-7 WaterC'' Data'!$T$5:$T$9,0),MATCH(T59,'G-7 WaterC'' Data'!$U$4:$Y$4,0)))),"")</f>
        <v/>
      </c>
      <c r="Z59" s="137"/>
      <c r="AA59" s="137"/>
      <c r="AB59" s="289" t="str">
        <f t="shared" si="3"/>
        <v/>
      </c>
      <c r="AC59" s="302" t="str">
        <f t="shared" si="4"/>
        <v/>
      </c>
      <c r="AD59" s="340" t="str">
        <f>IFERROR(IF(AC59="Check Data ⚠","Check Data ⚠",VLOOKUP(AC59,'G-4 Temporal multipliers'!$A$4:$C$37,3,FALSE)),"")</f>
        <v/>
      </c>
      <c r="AE59" s="281" t="str">
        <f>IF(N59="","",VLOOKUP(N59,'G-7 WaterC'' Data'!$B$4:$G$8,5,FALSE))</f>
        <v/>
      </c>
      <c r="AF59" s="289" t="str">
        <f t="shared" si="5"/>
        <v/>
      </c>
      <c r="AG59" s="320" t="str">
        <f t="shared" si="6"/>
        <v/>
      </c>
      <c r="AH59" s="282" t="str">
        <f t="shared" si="0"/>
        <v/>
      </c>
      <c r="AI59" s="109"/>
      <c r="AJ59" s="282" t="str">
        <f>IF(AI59="","",IF(AND(AI59="N/A - Culvert",N59&lt;&gt;"Culvert"),"Not possible ▲",IF(VLOOKUP(AI59,'G-7 WaterC'' Data'!$AA$4:$AB$7,2,FALSE)=0,"Spatial Data Missing ⚠",VLOOKUP(AI59,'G-7 WaterC'' Data'!$AA$4:$AB$7,2,FALSE))))</f>
        <v/>
      </c>
      <c r="AK59" s="110"/>
      <c r="AL59" s="282" t="str">
        <f>IF(AK59="","",IF(AND(AK59="N/A - Culvert",N59&lt;&gt;"Culvert"),"Not possible ▲",IF(VLOOKUP(AK59,'G-7 WaterC'' Data'!$AD$4:$AE$14,2,FALSE)=0,"Spatial Data Missing ⚠",VLOOKUP(AK59,'G-7 WaterC'' Data'!$AD$4:$AE$14,2,FALSE))))</f>
        <v/>
      </c>
      <c r="AM59" s="323" t="str">
        <f t="shared" si="7"/>
        <v/>
      </c>
      <c r="AN59" s="105"/>
      <c r="AO59" s="119"/>
      <c r="AP59" s="108"/>
      <c r="AS59" s="30" t="str">
        <f>IF(B59="","",IF(ISNA(VLOOKUP($B59,'C-1 On-Site WaterC'' Baseline'!$C$8:$AD$257,17,FALSE)),"",(VLOOKUP($B59,'C-1 On-Site WaterC'' Baseline'!$C$8:$AD$257,17,FALSE))))</f>
        <v/>
      </c>
      <c r="AT59" s="30" t="str">
        <f>IF(B59="","",VLOOKUP($B59,'C-1 On-Site WaterC'' Baseline'!$C$9:$Z$257,12,FALSE))</f>
        <v/>
      </c>
      <c r="AU59" s="30" t="str">
        <f>IF(B59="","",VLOOKUP($B59,'C-1 On-Site WaterC'' Baseline'!$C$9:$Z$257,14,FALSE))</f>
        <v/>
      </c>
      <c r="AV59" s="30" t="str">
        <f>IFERROR(INDEX('G-7 WaterC'' Data'!$AZ$3:$AZ$7,MATCH(N59,'G-7 WaterC'' Data'!$AY$3:$AY$7,0)),"")</f>
        <v/>
      </c>
      <c r="AX59" s="30" t="str">
        <f>IF(B59="","",VLOOKUP($B59,'C-1 On-Site WaterC'' Baseline'!$C$9:$Y$257,22,FALSE))</f>
        <v/>
      </c>
      <c r="AY59" s="30" t="str">
        <f t="shared" si="8"/>
        <v/>
      </c>
      <c r="AZ59" s="30" t="str">
        <f>IF(B59="","",VLOOKUP($B59,'C-1 On-Site WaterC'' Baseline'!$C$9:$Y$257,21,FALSE))</f>
        <v/>
      </c>
      <c r="BA59" s="30" t="str">
        <f>IF(B59="","",VLOOKUP($B59,'C-1 On-Site WaterC'' Baseline'!$C$9:$Y$257,19,FALSE))</f>
        <v/>
      </c>
      <c r="BD59" s="30" t="str">
        <f t="shared" si="9"/>
        <v>No</v>
      </c>
    </row>
    <row r="60" spans="2:56" ht="13.8" x14ac:dyDescent="0.25">
      <c r="B60" s="311" t="str">
        <f>'C-1 On-Site WaterC'' Baseline'!AP58</f>
        <v/>
      </c>
      <c r="C60" s="301" t="str">
        <f>IF(B60="","",VLOOKUP($B60,'C-1 On-Site WaterC'' Baseline'!$C$9:$R$257,2,FALSE))</f>
        <v/>
      </c>
      <c r="D60" s="301" t="str">
        <f>IF(C60="","",VLOOKUP($B60,'C-1 On-Site WaterC'' Baseline'!$C$9:$R$257,3,FALSE))</f>
        <v/>
      </c>
      <c r="E60" s="301" t="str">
        <f>IF(D60="","",VLOOKUP($B60,'C-1 On-Site WaterC'' Baseline'!$C$9:$R$257,4,FALSE))</f>
        <v/>
      </c>
      <c r="F60" s="301" t="str">
        <f>IF(E60="","",VLOOKUP($B60,'C-1 On-Site WaterC'' Baseline'!$C$9:$R$257,5,FALSE))</f>
        <v/>
      </c>
      <c r="G60" s="301" t="str">
        <f>IF(F60="","",VLOOKUP($B60,'C-1 On-Site WaterC'' Baseline'!$C$9:$R$257,6,FALSE))</f>
        <v/>
      </c>
      <c r="H60" s="301" t="str">
        <f>IF(G60="","",VLOOKUP($B60,'C-1 On-Site WaterC'' Baseline'!$C$9:$R$257,7,FALSE))</f>
        <v/>
      </c>
      <c r="I60" s="301" t="str">
        <f>IF(H60="","",VLOOKUP($B60,'C-1 On-Site WaterC'' Baseline'!$C$9:$R$257,8,FALSE))</f>
        <v/>
      </c>
      <c r="J60" s="301" t="str">
        <f>IF(I60="","",VLOOKUP($B60,'C-1 On-Site WaterC'' Baseline'!$C$9:$R$257,9,FALSE))</f>
        <v/>
      </c>
      <c r="K60" s="301" t="str">
        <f>IF(J60="","",VLOOKUP($B60,'C-1 On-Site WaterC'' Baseline'!$C$9:$R$257,10,FALSE))</f>
        <v/>
      </c>
      <c r="L60" s="301" t="str">
        <f>IF(B60="","",VLOOKUP($B60,'C-1 On-Site WaterC'' Baseline'!$C$9:$R$257,15,FALSE))</f>
        <v/>
      </c>
      <c r="M60" s="305" t="str">
        <f>IF(L60="","",VLOOKUP($B60,'C-1 On-Site WaterC'' Baseline'!$C$9:$R$257,16,FALSE))</f>
        <v/>
      </c>
      <c r="N60" s="251"/>
      <c r="O60" s="281" t="str">
        <f t="shared" si="1"/>
        <v/>
      </c>
      <c r="P60" s="282" t="str">
        <f t="shared" si="2"/>
        <v/>
      </c>
      <c r="Q60" s="342" t="str">
        <f>IF(N60="","",VLOOKUP(B60,'C-1 On-Site WaterC'' Baseline'!$C$10:$AC$257,20,FALSE))</f>
        <v/>
      </c>
      <c r="R60" s="281" t="str">
        <f>IF(N60="","",VLOOKUP(N60,'G-7 WaterC'' Data'!$B$2:$G$8,2,FALSE))</f>
        <v/>
      </c>
      <c r="S60" s="282" t="str">
        <f>IFERROR(VLOOKUP(R60,'G-7 WaterC'' Data'!$C$4:$D$8,2,FALSE),"")</f>
        <v/>
      </c>
      <c r="T60" s="105"/>
      <c r="U60" s="282" t="str">
        <f>IFERROR(INDEX('G-7 WaterC'' Data'!$H$4:$L$8,MATCH(N60,'G-7 WaterC'' Data'!$B$4:$B$8,0),MATCH(T60,'G-7 WaterC'' Data'!$H$3:$L$3,0)),"")</f>
        <v/>
      </c>
      <c r="V60" s="105"/>
      <c r="W60" s="289" t="str">
        <f>IF(V60="","",IF(VLOOKUP(V60,'G-7 WaterC'' Data'!$AK$4:$AM$6,2,FALSE)=0,"Spatial Data Missing ⚠",VLOOKUP(V60,'G-7 WaterC'' Data'!$AK$4:$AM$6,2,FALSE)))</f>
        <v/>
      </c>
      <c r="X60" s="282" t="str">
        <f>IF(V60="","",IF(VLOOKUP(V60,'G-7 WaterC'' Data'!$AK$4:$AM$6,3,FALSE)=0,"Spatial Data Missing ⚠",VLOOKUP(V60,'G-7 WaterC'' Data'!$AK$4:$AM$6,3,FALSE)))</f>
        <v/>
      </c>
      <c r="Y60" s="281" t="str">
        <f>IFERROR(IF(OR(LEFT(P60,5)="Error",LEFT(O60,5)="Error"),"Check Data ⚠",IF(F60&lt;S60,'G-7 WaterC'' Data'!$R$3,INDEX('G-7 WaterC'' Data'!$U$5:$Y$9,MATCH(G60,'G-7 WaterC'' Data'!$T$5:$T$9,0),MATCH(T60,'G-7 WaterC'' Data'!$U$4:$Y$4,0)))),"")</f>
        <v/>
      </c>
      <c r="Z60" s="137"/>
      <c r="AA60" s="137"/>
      <c r="AB60" s="289" t="str">
        <f t="shared" si="3"/>
        <v/>
      </c>
      <c r="AC60" s="302" t="str">
        <f t="shared" si="4"/>
        <v/>
      </c>
      <c r="AD60" s="340" t="str">
        <f>IFERROR(IF(AC60="Check Data ⚠","Check Data ⚠",VLOOKUP(AC60,'G-4 Temporal multipliers'!$A$4:$C$37,3,FALSE)),"")</f>
        <v/>
      </c>
      <c r="AE60" s="281" t="str">
        <f>IF(N60="","",VLOOKUP(N60,'G-7 WaterC'' Data'!$B$4:$G$8,5,FALSE))</f>
        <v/>
      </c>
      <c r="AF60" s="289" t="str">
        <f t="shared" si="5"/>
        <v/>
      </c>
      <c r="AG60" s="320" t="str">
        <f t="shared" si="6"/>
        <v/>
      </c>
      <c r="AH60" s="282" t="str">
        <f t="shared" si="0"/>
        <v/>
      </c>
      <c r="AI60" s="109"/>
      <c r="AJ60" s="282" t="str">
        <f>IF(AI60="","",IF(AND(AI60="N/A - Culvert",N60&lt;&gt;"Culvert"),"Not possible ▲",IF(VLOOKUP(AI60,'G-7 WaterC'' Data'!$AA$4:$AB$7,2,FALSE)=0,"Spatial Data Missing ⚠",VLOOKUP(AI60,'G-7 WaterC'' Data'!$AA$4:$AB$7,2,FALSE))))</f>
        <v/>
      </c>
      <c r="AK60" s="110"/>
      <c r="AL60" s="282" t="str">
        <f>IF(AK60="","",IF(AND(AK60="N/A - Culvert",N60&lt;&gt;"Culvert"),"Not possible ▲",IF(VLOOKUP(AK60,'G-7 WaterC'' Data'!$AD$4:$AE$14,2,FALSE)=0,"Spatial Data Missing ⚠",VLOOKUP(AK60,'G-7 WaterC'' Data'!$AD$4:$AE$14,2,FALSE))))</f>
        <v/>
      </c>
      <c r="AM60" s="323" t="str">
        <f t="shared" si="7"/>
        <v/>
      </c>
      <c r="AN60" s="105"/>
      <c r="AO60" s="119"/>
      <c r="AP60" s="108"/>
      <c r="AS60" s="30" t="str">
        <f>IF(B60="","",IF(ISNA(VLOOKUP($B60,'C-1 On-Site WaterC'' Baseline'!$C$8:$AD$257,17,FALSE)),"",(VLOOKUP($B60,'C-1 On-Site WaterC'' Baseline'!$C$8:$AD$257,17,FALSE))))</f>
        <v/>
      </c>
      <c r="AT60" s="30" t="str">
        <f>IF(B60="","",VLOOKUP($B60,'C-1 On-Site WaterC'' Baseline'!$C$9:$Z$257,12,FALSE))</f>
        <v/>
      </c>
      <c r="AU60" s="30" t="str">
        <f>IF(B60="","",VLOOKUP($B60,'C-1 On-Site WaterC'' Baseline'!$C$9:$Z$257,14,FALSE))</f>
        <v/>
      </c>
      <c r="AV60" s="30" t="str">
        <f>IFERROR(INDEX('G-7 WaterC'' Data'!$AZ$3:$AZ$7,MATCH(N60,'G-7 WaterC'' Data'!$AY$3:$AY$7,0)),"")</f>
        <v/>
      </c>
      <c r="AX60" s="30" t="str">
        <f>IF(B60="","",VLOOKUP($B60,'C-1 On-Site WaterC'' Baseline'!$C$9:$Y$257,22,FALSE))</f>
        <v/>
      </c>
      <c r="AY60" s="30" t="str">
        <f t="shared" si="8"/>
        <v/>
      </c>
      <c r="AZ60" s="30" t="str">
        <f>IF(B60="","",VLOOKUP($B60,'C-1 On-Site WaterC'' Baseline'!$C$9:$Y$257,21,FALSE))</f>
        <v/>
      </c>
      <c r="BA60" s="30" t="str">
        <f>IF(B60="","",VLOOKUP($B60,'C-1 On-Site WaterC'' Baseline'!$C$9:$Y$257,19,FALSE))</f>
        <v/>
      </c>
      <c r="BD60" s="30" t="str">
        <f t="shared" si="9"/>
        <v>No</v>
      </c>
    </row>
    <row r="61" spans="2:56" ht="13.8" x14ac:dyDescent="0.25">
      <c r="B61" s="311" t="str">
        <f>'C-1 On-Site WaterC'' Baseline'!AP59</f>
        <v/>
      </c>
      <c r="C61" s="301" t="str">
        <f>IF(B61="","",VLOOKUP($B61,'C-1 On-Site WaterC'' Baseline'!$C$9:$R$257,2,FALSE))</f>
        <v/>
      </c>
      <c r="D61" s="301" t="str">
        <f>IF(C61="","",VLOOKUP($B61,'C-1 On-Site WaterC'' Baseline'!$C$9:$R$257,3,FALSE))</f>
        <v/>
      </c>
      <c r="E61" s="301" t="str">
        <f>IF(D61="","",VLOOKUP($B61,'C-1 On-Site WaterC'' Baseline'!$C$9:$R$257,4,FALSE))</f>
        <v/>
      </c>
      <c r="F61" s="301" t="str">
        <f>IF(E61="","",VLOOKUP($B61,'C-1 On-Site WaterC'' Baseline'!$C$9:$R$257,5,FALSE))</f>
        <v/>
      </c>
      <c r="G61" s="301" t="str">
        <f>IF(F61="","",VLOOKUP($B61,'C-1 On-Site WaterC'' Baseline'!$C$9:$R$257,6,FALSE))</f>
        <v/>
      </c>
      <c r="H61" s="301" t="str">
        <f>IF(G61="","",VLOOKUP($B61,'C-1 On-Site WaterC'' Baseline'!$C$9:$R$257,7,FALSE))</f>
        <v/>
      </c>
      <c r="I61" s="301" t="str">
        <f>IF(H61="","",VLOOKUP($B61,'C-1 On-Site WaterC'' Baseline'!$C$9:$R$257,8,FALSE))</f>
        <v/>
      </c>
      <c r="J61" s="301" t="str">
        <f>IF(I61="","",VLOOKUP($B61,'C-1 On-Site WaterC'' Baseline'!$C$9:$R$257,9,FALSE))</f>
        <v/>
      </c>
      <c r="K61" s="301" t="str">
        <f>IF(J61="","",VLOOKUP($B61,'C-1 On-Site WaterC'' Baseline'!$C$9:$R$257,10,FALSE))</f>
        <v/>
      </c>
      <c r="L61" s="301" t="str">
        <f>IF(B61="","",VLOOKUP($B61,'C-1 On-Site WaterC'' Baseline'!$C$9:$R$257,15,FALSE))</f>
        <v/>
      </c>
      <c r="M61" s="305" t="str">
        <f>IF(L61="","",VLOOKUP($B61,'C-1 On-Site WaterC'' Baseline'!$C$9:$R$257,16,FALSE))</f>
        <v/>
      </c>
      <c r="N61" s="251"/>
      <c r="O61" s="281" t="str">
        <f t="shared" si="1"/>
        <v/>
      </c>
      <c r="P61" s="282" t="str">
        <f t="shared" si="2"/>
        <v/>
      </c>
      <c r="Q61" s="342" t="str">
        <f>IF(N61="","",VLOOKUP(B61,'C-1 On-Site WaterC'' Baseline'!$C$10:$AC$257,20,FALSE))</f>
        <v/>
      </c>
      <c r="R61" s="281" t="str">
        <f>IF(N61="","",VLOOKUP(N61,'G-7 WaterC'' Data'!$B$2:$G$8,2,FALSE))</f>
        <v/>
      </c>
      <c r="S61" s="282" t="str">
        <f>IFERROR(VLOOKUP(R61,'G-7 WaterC'' Data'!$C$4:$D$8,2,FALSE),"")</f>
        <v/>
      </c>
      <c r="T61" s="105"/>
      <c r="U61" s="282" t="str">
        <f>IFERROR(INDEX('G-7 WaterC'' Data'!$H$4:$L$8,MATCH(N61,'G-7 WaterC'' Data'!$B$4:$B$8,0),MATCH(T61,'G-7 WaterC'' Data'!$H$3:$L$3,0)),"")</f>
        <v/>
      </c>
      <c r="V61" s="105"/>
      <c r="W61" s="289" t="str">
        <f>IF(V61="","",IF(VLOOKUP(V61,'G-7 WaterC'' Data'!$AK$4:$AM$6,2,FALSE)=0,"Spatial Data Missing ⚠",VLOOKUP(V61,'G-7 WaterC'' Data'!$AK$4:$AM$6,2,FALSE)))</f>
        <v/>
      </c>
      <c r="X61" s="282" t="str">
        <f>IF(V61="","",IF(VLOOKUP(V61,'G-7 WaterC'' Data'!$AK$4:$AM$6,3,FALSE)=0,"Spatial Data Missing ⚠",VLOOKUP(V61,'G-7 WaterC'' Data'!$AK$4:$AM$6,3,FALSE)))</f>
        <v/>
      </c>
      <c r="Y61" s="281" t="str">
        <f>IFERROR(IF(OR(LEFT(P61,5)="Error",LEFT(O61,5)="Error"),"Check Data ⚠",IF(F61&lt;S61,'G-7 WaterC'' Data'!$R$3,INDEX('G-7 WaterC'' Data'!$U$5:$Y$9,MATCH(G61,'G-7 WaterC'' Data'!$T$5:$T$9,0),MATCH(T61,'G-7 WaterC'' Data'!$U$4:$Y$4,0)))),"")</f>
        <v/>
      </c>
      <c r="Z61" s="137"/>
      <c r="AA61" s="137"/>
      <c r="AB61" s="289" t="str">
        <f t="shared" si="3"/>
        <v/>
      </c>
      <c r="AC61" s="302" t="str">
        <f t="shared" si="4"/>
        <v/>
      </c>
      <c r="AD61" s="340" t="str">
        <f>IFERROR(IF(AC61="Check Data ⚠","Check Data ⚠",VLOOKUP(AC61,'G-4 Temporal multipliers'!$A$4:$C$37,3,FALSE)),"")</f>
        <v/>
      </c>
      <c r="AE61" s="281" t="str">
        <f>IF(N61="","",VLOOKUP(N61,'G-7 WaterC'' Data'!$B$4:$G$8,5,FALSE))</f>
        <v/>
      </c>
      <c r="AF61" s="289" t="str">
        <f t="shared" si="5"/>
        <v/>
      </c>
      <c r="AG61" s="320" t="str">
        <f t="shared" si="6"/>
        <v/>
      </c>
      <c r="AH61" s="282" t="str">
        <f t="shared" si="0"/>
        <v/>
      </c>
      <c r="AI61" s="109"/>
      <c r="AJ61" s="282" t="str">
        <f>IF(AI61="","",IF(AND(AI61="N/A - Culvert",N61&lt;&gt;"Culvert"),"Not possible ▲",IF(VLOOKUP(AI61,'G-7 WaterC'' Data'!$AA$4:$AB$7,2,FALSE)=0,"Spatial Data Missing ⚠",VLOOKUP(AI61,'G-7 WaterC'' Data'!$AA$4:$AB$7,2,FALSE))))</f>
        <v/>
      </c>
      <c r="AK61" s="110"/>
      <c r="AL61" s="282" t="str">
        <f>IF(AK61="","",IF(AND(AK61="N/A - Culvert",N61&lt;&gt;"Culvert"),"Not possible ▲",IF(VLOOKUP(AK61,'G-7 WaterC'' Data'!$AD$4:$AE$14,2,FALSE)=0,"Spatial Data Missing ⚠",VLOOKUP(AK61,'G-7 WaterC'' Data'!$AD$4:$AE$14,2,FALSE))))</f>
        <v/>
      </c>
      <c r="AM61" s="323" t="str">
        <f t="shared" si="7"/>
        <v/>
      </c>
      <c r="AN61" s="105"/>
      <c r="AO61" s="119"/>
      <c r="AP61" s="108"/>
      <c r="AS61" s="30" t="str">
        <f>IF(B61="","",IF(ISNA(VLOOKUP($B61,'C-1 On-Site WaterC'' Baseline'!$C$8:$AD$257,17,FALSE)),"",(VLOOKUP($B61,'C-1 On-Site WaterC'' Baseline'!$C$8:$AD$257,17,FALSE))))</f>
        <v/>
      </c>
      <c r="AT61" s="30" t="str">
        <f>IF(B61="","",VLOOKUP($B61,'C-1 On-Site WaterC'' Baseline'!$C$9:$Z$257,12,FALSE))</f>
        <v/>
      </c>
      <c r="AU61" s="30" t="str">
        <f>IF(B61="","",VLOOKUP($B61,'C-1 On-Site WaterC'' Baseline'!$C$9:$Z$257,14,FALSE))</f>
        <v/>
      </c>
      <c r="AV61" s="30" t="str">
        <f>IFERROR(INDEX('G-7 WaterC'' Data'!$AZ$3:$AZ$7,MATCH(N61,'G-7 WaterC'' Data'!$AY$3:$AY$7,0)),"")</f>
        <v/>
      </c>
      <c r="AX61" s="30" t="str">
        <f>IF(B61="","",VLOOKUP($B61,'C-1 On-Site WaterC'' Baseline'!$C$9:$Y$257,22,FALSE))</f>
        <v/>
      </c>
      <c r="AY61" s="30" t="str">
        <f t="shared" si="8"/>
        <v/>
      </c>
      <c r="AZ61" s="30" t="str">
        <f>IF(B61="","",VLOOKUP($B61,'C-1 On-Site WaterC'' Baseline'!$C$9:$Y$257,21,FALSE))</f>
        <v/>
      </c>
      <c r="BA61" s="30" t="str">
        <f>IF(B61="","",VLOOKUP($B61,'C-1 On-Site WaterC'' Baseline'!$C$9:$Y$257,19,FALSE))</f>
        <v/>
      </c>
      <c r="BD61" s="30" t="str">
        <f t="shared" si="9"/>
        <v>No</v>
      </c>
    </row>
    <row r="62" spans="2:56" ht="13.8" x14ac:dyDescent="0.25">
      <c r="B62" s="311" t="str">
        <f>'C-1 On-Site WaterC'' Baseline'!AP60</f>
        <v/>
      </c>
      <c r="C62" s="301" t="str">
        <f>IF(B62="","",VLOOKUP($B62,'C-1 On-Site WaterC'' Baseline'!$C$9:$R$257,2,FALSE))</f>
        <v/>
      </c>
      <c r="D62" s="301" t="str">
        <f>IF(C62="","",VLOOKUP($B62,'C-1 On-Site WaterC'' Baseline'!$C$9:$R$257,3,FALSE))</f>
        <v/>
      </c>
      <c r="E62" s="301" t="str">
        <f>IF(D62="","",VLOOKUP($B62,'C-1 On-Site WaterC'' Baseline'!$C$9:$R$257,4,FALSE))</f>
        <v/>
      </c>
      <c r="F62" s="301" t="str">
        <f>IF(E62="","",VLOOKUP($B62,'C-1 On-Site WaterC'' Baseline'!$C$9:$R$257,5,FALSE))</f>
        <v/>
      </c>
      <c r="G62" s="301" t="str">
        <f>IF(F62="","",VLOOKUP($B62,'C-1 On-Site WaterC'' Baseline'!$C$9:$R$257,6,FALSE))</f>
        <v/>
      </c>
      <c r="H62" s="301" t="str">
        <f>IF(G62="","",VLOOKUP($B62,'C-1 On-Site WaterC'' Baseline'!$C$9:$R$257,7,FALSE))</f>
        <v/>
      </c>
      <c r="I62" s="301" t="str">
        <f>IF(H62="","",VLOOKUP($B62,'C-1 On-Site WaterC'' Baseline'!$C$9:$R$257,8,FALSE))</f>
        <v/>
      </c>
      <c r="J62" s="301" t="str">
        <f>IF(I62="","",VLOOKUP($B62,'C-1 On-Site WaterC'' Baseline'!$C$9:$R$257,9,FALSE))</f>
        <v/>
      </c>
      <c r="K62" s="301" t="str">
        <f>IF(J62="","",VLOOKUP($B62,'C-1 On-Site WaterC'' Baseline'!$C$9:$R$257,10,FALSE))</f>
        <v/>
      </c>
      <c r="L62" s="301" t="str">
        <f>IF(B62="","",VLOOKUP($B62,'C-1 On-Site WaterC'' Baseline'!$C$9:$R$257,15,FALSE))</f>
        <v/>
      </c>
      <c r="M62" s="305" t="str">
        <f>IF(L62="","",VLOOKUP($B62,'C-1 On-Site WaterC'' Baseline'!$C$9:$R$257,16,FALSE))</f>
        <v/>
      </c>
      <c r="N62" s="251"/>
      <c r="O62" s="281" t="str">
        <f t="shared" si="1"/>
        <v/>
      </c>
      <c r="P62" s="282" t="str">
        <f t="shared" si="2"/>
        <v/>
      </c>
      <c r="Q62" s="342" t="str">
        <f>IF(N62="","",VLOOKUP(B62,'C-1 On-Site WaterC'' Baseline'!$C$10:$AC$257,20,FALSE))</f>
        <v/>
      </c>
      <c r="R62" s="281" t="str">
        <f>IF(N62="","",VLOOKUP(N62,'G-7 WaterC'' Data'!$B$2:$G$8,2,FALSE))</f>
        <v/>
      </c>
      <c r="S62" s="282" t="str">
        <f>IFERROR(VLOOKUP(R62,'G-7 WaterC'' Data'!$C$4:$D$8,2,FALSE),"")</f>
        <v/>
      </c>
      <c r="T62" s="105"/>
      <c r="U62" s="282" t="str">
        <f>IFERROR(INDEX('G-7 WaterC'' Data'!$H$4:$L$8,MATCH(N62,'G-7 WaterC'' Data'!$B$4:$B$8,0),MATCH(T62,'G-7 WaterC'' Data'!$H$3:$L$3,0)),"")</f>
        <v/>
      </c>
      <c r="V62" s="105"/>
      <c r="W62" s="289" t="str">
        <f>IF(V62="","",IF(VLOOKUP(V62,'G-7 WaterC'' Data'!$AK$4:$AM$6,2,FALSE)=0,"Spatial Data Missing ⚠",VLOOKUP(V62,'G-7 WaterC'' Data'!$AK$4:$AM$6,2,FALSE)))</f>
        <v/>
      </c>
      <c r="X62" s="282" t="str">
        <f>IF(V62="","",IF(VLOOKUP(V62,'G-7 WaterC'' Data'!$AK$4:$AM$6,3,FALSE)=0,"Spatial Data Missing ⚠",VLOOKUP(V62,'G-7 WaterC'' Data'!$AK$4:$AM$6,3,FALSE)))</f>
        <v/>
      </c>
      <c r="Y62" s="281" t="str">
        <f>IFERROR(IF(OR(LEFT(P62,5)="Error",LEFT(O62,5)="Error"),"Check Data ⚠",IF(F62&lt;S62,'G-7 WaterC'' Data'!$R$3,INDEX('G-7 WaterC'' Data'!$U$5:$Y$9,MATCH(G62,'G-7 WaterC'' Data'!$T$5:$T$9,0),MATCH(T62,'G-7 WaterC'' Data'!$U$4:$Y$4,0)))),"")</f>
        <v/>
      </c>
      <c r="Z62" s="137"/>
      <c r="AA62" s="137"/>
      <c r="AB62" s="289" t="str">
        <f t="shared" si="3"/>
        <v/>
      </c>
      <c r="AC62" s="302" t="str">
        <f t="shared" si="4"/>
        <v/>
      </c>
      <c r="AD62" s="340" t="str">
        <f>IFERROR(IF(AC62="Check Data ⚠","Check Data ⚠",VLOOKUP(AC62,'G-4 Temporal multipliers'!$A$4:$C$37,3,FALSE)),"")</f>
        <v/>
      </c>
      <c r="AE62" s="281" t="str">
        <f>IF(N62="","",VLOOKUP(N62,'G-7 WaterC'' Data'!$B$4:$G$8,5,FALSE))</f>
        <v/>
      </c>
      <c r="AF62" s="289" t="str">
        <f t="shared" si="5"/>
        <v/>
      </c>
      <c r="AG62" s="320" t="str">
        <f t="shared" si="6"/>
        <v/>
      </c>
      <c r="AH62" s="282" t="str">
        <f t="shared" si="0"/>
        <v/>
      </c>
      <c r="AI62" s="109"/>
      <c r="AJ62" s="282" t="str">
        <f>IF(AI62="","",IF(AND(AI62="N/A - Culvert",N62&lt;&gt;"Culvert"),"Not possible ▲",IF(VLOOKUP(AI62,'G-7 WaterC'' Data'!$AA$4:$AB$7,2,FALSE)=0,"Spatial Data Missing ⚠",VLOOKUP(AI62,'G-7 WaterC'' Data'!$AA$4:$AB$7,2,FALSE))))</f>
        <v/>
      </c>
      <c r="AK62" s="110"/>
      <c r="AL62" s="282" t="str">
        <f>IF(AK62="","",IF(AND(AK62="N/A - Culvert",N62&lt;&gt;"Culvert"),"Not possible ▲",IF(VLOOKUP(AK62,'G-7 WaterC'' Data'!$AD$4:$AE$14,2,FALSE)=0,"Spatial Data Missing ⚠",VLOOKUP(AK62,'G-7 WaterC'' Data'!$AD$4:$AE$14,2,FALSE))))</f>
        <v/>
      </c>
      <c r="AM62" s="323" t="str">
        <f t="shared" si="7"/>
        <v/>
      </c>
      <c r="AN62" s="105"/>
      <c r="AO62" s="119"/>
      <c r="AP62" s="108"/>
      <c r="AS62" s="30" t="str">
        <f>IF(B62="","",IF(ISNA(VLOOKUP($B62,'C-1 On-Site WaterC'' Baseline'!$C$8:$AD$257,17,FALSE)),"",(VLOOKUP($B62,'C-1 On-Site WaterC'' Baseline'!$C$8:$AD$257,17,FALSE))))</f>
        <v/>
      </c>
      <c r="AT62" s="30" t="str">
        <f>IF(B62="","",VLOOKUP($B62,'C-1 On-Site WaterC'' Baseline'!$C$9:$Z$257,12,FALSE))</f>
        <v/>
      </c>
      <c r="AU62" s="30" t="str">
        <f>IF(B62="","",VLOOKUP($B62,'C-1 On-Site WaterC'' Baseline'!$C$9:$Z$257,14,FALSE))</f>
        <v/>
      </c>
      <c r="AV62" s="30" t="str">
        <f>IFERROR(INDEX('G-7 WaterC'' Data'!$AZ$3:$AZ$7,MATCH(N62,'G-7 WaterC'' Data'!$AY$3:$AY$7,0)),"")</f>
        <v/>
      </c>
      <c r="AX62" s="30" t="str">
        <f>IF(B62="","",VLOOKUP($B62,'C-1 On-Site WaterC'' Baseline'!$C$9:$Y$257,22,FALSE))</f>
        <v/>
      </c>
      <c r="AY62" s="30" t="str">
        <f t="shared" si="8"/>
        <v/>
      </c>
      <c r="AZ62" s="30" t="str">
        <f>IF(B62="","",VLOOKUP($B62,'C-1 On-Site WaterC'' Baseline'!$C$9:$Y$257,21,FALSE))</f>
        <v/>
      </c>
      <c r="BA62" s="30" t="str">
        <f>IF(B62="","",VLOOKUP($B62,'C-1 On-Site WaterC'' Baseline'!$C$9:$Y$257,19,FALSE))</f>
        <v/>
      </c>
      <c r="BD62" s="30" t="str">
        <f t="shared" si="9"/>
        <v>No</v>
      </c>
    </row>
    <row r="63" spans="2:56" ht="13.8" x14ac:dyDescent="0.25">
      <c r="B63" s="311" t="str">
        <f>'C-1 On-Site WaterC'' Baseline'!AP61</f>
        <v/>
      </c>
      <c r="C63" s="301" t="str">
        <f>IF(B63="","",VLOOKUP($B63,'C-1 On-Site WaterC'' Baseline'!$C$9:$R$257,2,FALSE))</f>
        <v/>
      </c>
      <c r="D63" s="301" t="str">
        <f>IF(C63="","",VLOOKUP($B63,'C-1 On-Site WaterC'' Baseline'!$C$9:$R$257,3,FALSE))</f>
        <v/>
      </c>
      <c r="E63" s="301" t="str">
        <f>IF(D63="","",VLOOKUP($B63,'C-1 On-Site WaterC'' Baseline'!$C$9:$R$257,4,FALSE))</f>
        <v/>
      </c>
      <c r="F63" s="301" t="str">
        <f>IF(E63="","",VLOOKUP($B63,'C-1 On-Site WaterC'' Baseline'!$C$9:$R$257,5,FALSE))</f>
        <v/>
      </c>
      <c r="G63" s="301" t="str">
        <f>IF(F63="","",VLOOKUP($B63,'C-1 On-Site WaterC'' Baseline'!$C$9:$R$257,6,FALSE))</f>
        <v/>
      </c>
      <c r="H63" s="301" t="str">
        <f>IF(G63="","",VLOOKUP($B63,'C-1 On-Site WaterC'' Baseline'!$C$9:$R$257,7,FALSE))</f>
        <v/>
      </c>
      <c r="I63" s="301" t="str">
        <f>IF(H63="","",VLOOKUP($B63,'C-1 On-Site WaterC'' Baseline'!$C$9:$R$257,8,FALSE))</f>
        <v/>
      </c>
      <c r="J63" s="301" t="str">
        <f>IF(I63="","",VLOOKUP($B63,'C-1 On-Site WaterC'' Baseline'!$C$9:$R$257,9,FALSE))</f>
        <v/>
      </c>
      <c r="K63" s="301" t="str">
        <f>IF(J63="","",VLOOKUP($B63,'C-1 On-Site WaterC'' Baseline'!$C$9:$R$257,10,FALSE))</f>
        <v/>
      </c>
      <c r="L63" s="301" t="str">
        <f>IF(B63="","",VLOOKUP($B63,'C-1 On-Site WaterC'' Baseline'!$C$9:$R$257,15,FALSE))</f>
        <v/>
      </c>
      <c r="M63" s="305" t="str">
        <f>IF(L63="","",VLOOKUP($B63,'C-1 On-Site WaterC'' Baseline'!$C$9:$R$257,16,FALSE))</f>
        <v/>
      </c>
      <c r="N63" s="251"/>
      <c r="O63" s="281" t="str">
        <f t="shared" si="1"/>
        <v/>
      </c>
      <c r="P63" s="282" t="str">
        <f t="shared" si="2"/>
        <v/>
      </c>
      <c r="Q63" s="342" t="str">
        <f>IF(N63="","",VLOOKUP(B63,'C-1 On-Site WaterC'' Baseline'!$C$10:$AC$257,20,FALSE))</f>
        <v/>
      </c>
      <c r="R63" s="281" t="str">
        <f>IF(N63="","",VLOOKUP(N63,'G-7 WaterC'' Data'!$B$2:$G$8,2,FALSE))</f>
        <v/>
      </c>
      <c r="S63" s="282" t="str">
        <f>IFERROR(VLOOKUP(R63,'G-7 WaterC'' Data'!$C$4:$D$8,2,FALSE),"")</f>
        <v/>
      </c>
      <c r="T63" s="105"/>
      <c r="U63" s="282" t="str">
        <f>IFERROR(INDEX('G-7 WaterC'' Data'!$H$4:$L$8,MATCH(N63,'G-7 WaterC'' Data'!$B$4:$B$8,0),MATCH(T63,'G-7 WaterC'' Data'!$H$3:$L$3,0)),"")</f>
        <v/>
      </c>
      <c r="V63" s="105"/>
      <c r="W63" s="289" t="str">
        <f>IF(V63="","",IF(VLOOKUP(V63,'G-7 WaterC'' Data'!$AK$4:$AM$6,2,FALSE)=0,"Spatial Data Missing ⚠",VLOOKUP(V63,'G-7 WaterC'' Data'!$AK$4:$AM$6,2,FALSE)))</f>
        <v/>
      </c>
      <c r="X63" s="282" t="str">
        <f>IF(V63="","",IF(VLOOKUP(V63,'G-7 WaterC'' Data'!$AK$4:$AM$6,3,FALSE)=0,"Spatial Data Missing ⚠",VLOOKUP(V63,'G-7 WaterC'' Data'!$AK$4:$AM$6,3,FALSE)))</f>
        <v/>
      </c>
      <c r="Y63" s="281" t="str">
        <f>IFERROR(IF(OR(LEFT(P63,5)="Error",LEFT(O63,5)="Error"),"Check Data ⚠",IF(F63&lt;S63,'G-7 WaterC'' Data'!$R$3,INDEX('G-7 WaterC'' Data'!$U$5:$Y$9,MATCH(G63,'G-7 WaterC'' Data'!$T$5:$T$9,0),MATCH(T63,'G-7 WaterC'' Data'!$U$4:$Y$4,0)))),"")</f>
        <v/>
      </c>
      <c r="Z63" s="137"/>
      <c r="AA63" s="137"/>
      <c r="AB63" s="289" t="str">
        <f t="shared" si="3"/>
        <v/>
      </c>
      <c r="AC63" s="302" t="str">
        <f t="shared" si="4"/>
        <v/>
      </c>
      <c r="AD63" s="340" t="str">
        <f>IFERROR(IF(AC63="Check Data ⚠","Check Data ⚠",VLOOKUP(AC63,'G-4 Temporal multipliers'!$A$4:$C$37,3,FALSE)),"")</f>
        <v/>
      </c>
      <c r="AE63" s="281" t="str">
        <f>IF(N63="","",VLOOKUP(N63,'G-7 WaterC'' Data'!$B$4:$G$8,5,FALSE))</f>
        <v/>
      </c>
      <c r="AF63" s="289" t="str">
        <f t="shared" si="5"/>
        <v/>
      </c>
      <c r="AG63" s="320" t="str">
        <f t="shared" si="6"/>
        <v/>
      </c>
      <c r="AH63" s="282" t="str">
        <f t="shared" si="0"/>
        <v/>
      </c>
      <c r="AI63" s="109"/>
      <c r="AJ63" s="282" t="str">
        <f>IF(AI63="","",IF(AND(AI63="N/A - Culvert",N63&lt;&gt;"Culvert"),"Not possible ▲",IF(VLOOKUP(AI63,'G-7 WaterC'' Data'!$AA$4:$AB$7,2,FALSE)=0,"Spatial Data Missing ⚠",VLOOKUP(AI63,'G-7 WaterC'' Data'!$AA$4:$AB$7,2,FALSE))))</f>
        <v/>
      </c>
      <c r="AK63" s="110"/>
      <c r="AL63" s="282" t="str">
        <f>IF(AK63="","",IF(AND(AK63="N/A - Culvert",N63&lt;&gt;"Culvert"),"Not possible ▲",IF(VLOOKUP(AK63,'G-7 WaterC'' Data'!$AD$4:$AE$14,2,FALSE)=0,"Spatial Data Missing ⚠",VLOOKUP(AK63,'G-7 WaterC'' Data'!$AD$4:$AE$14,2,FALSE))))</f>
        <v/>
      </c>
      <c r="AM63" s="323" t="str">
        <f t="shared" si="7"/>
        <v/>
      </c>
      <c r="AN63" s="105"/>
      <c r="AO63" s="119"/>
      <c r="AP63" s="108"/>
      <c r="AS63" s="30" t="str">
        <f>IF(B63="","",IF(ISNA(VLOOKUP($B63,'C-1 On-Site WaterC'' Baseline'!$C$8:$AD$257,17,FALSE)),"",(VLOOKUP($B63,'C-1 On-Site WaterC'' Baseline'!$C$8:$AD$257,17,FALSE))))</f>
        <v/>
      </c>
      <c r="AT63" s="30" t="str">
        <f>IF(B63="","",VLOOKUP($B63,'C-1 On-Site WaterC'' Baseline'!$C$9:$Z$257,12,FALSE))</f>
        <v/>
      </c>
      <c r="AU63" s="30" t="str">
        <f>IF(B63="","",VLOOKUP($B63,'C-1 On-Site WaterC'' Baseline'!$C$9:$Z$257,14,FALSE))</f>
        <v/>
      </c>
      <c r="AV63" s="30" t="str">
        <f>IFERROR(INDEX('G-7 WaterC'' Data'!$AZ$3:$AZ$7,MATCH(N63,'G-7 WaterC'' Data'!$AY$3:$AY$7,0)),"")</f>
        <v/>
      </c>
      <c r="AX63" s="30" t="str">
        <f>IF(B63="","",VLOOKUP($B63,'C-1 On-Site WaterC'' Baseline'!$C$9:$Y$257,22,FALSE))</f>
        <v/>
      </c>
      <c r="AY63" s="30" t="str">
        <f t="shared" si="8"/>
        <v/>
      </c>
      <c r="AZ63" s="30" t="str">
        <f>IF(B63="","",VLOOKUP($B63,'C-1 On-Site WaterC'' Baseline'!$C$9:$Y$257,21,FALSE))</f>
        <v/>
      </c>
      <c r="BA63" s="30" t="str">
        <f>IF(B63="","",VLOOKUP($B63,'C-1 On-Site WaterC'' Baseline'!$C$9:$Y$257,19,FALSE))</f>
        <v/>
      </c>
      <c r="BD63" s="30" t="str">
        <f t="shared" si="9"/>
        <v>No</v>
      </c>
    </row>
    <row r="64" spans="2:56" ht="13.8" x14ac:dyDescent="0.25">
      <c r="B64" s="311" t="str">
        <f>'C-1 On-Site WaterC'' Baseline'!AP62</f>
        <v/>
      </c>
      <c r="C64" s="301" t="str">
        <f>IF(B64="","",VLOOKUP($B64,'C-1 On-Site WaterC'' Baseline'!$C$9:$R$257,2,FALSE))</f>
        <v/>
      </c>
      <c r="D64" s="301" t="str">
        <f>IF(C64="","",VLOOKUP($B64,'C-1 On-Site WaterC'' Baseline'!$C$9:$R$257,3,FALSE))</f>
        <v/>
      </c>
      <c r="E64" s="301" t="str">
        <f>IF(D64="","",VLOOKUP($B64,'C-1 On-Site WaterC'' Baseline'!$C$9:$R$257,4,FALSE))</f>
        <v/>
      </c>
      <c r="F64" s="301" t="str">
        <f>IF(E64="","",VLOOKUP($B64,'C-1 On-Site WaterC'' Baseline'!$C$9:$R$257,5,FALSE))</f>
        <v/>
      </c>
      <c r="G64" s="301" t="str">
        <f>IF(F64="","",VLOOKUP($B64,'C-1 On-Site WaterC'' Baseline'!$C$9:$R$257,6,FALSE))</f>
        <v/>
      </c>
      <c r="H64" s="301" t="str">
        <f>IF(G64="","",VLOOKUP($B64,'C-1 On-Site WaterC'' Baseline'!$C$9:$R$257,7,FALSE))</f>
        <v/>
      </c>
      <c r="I64" s="301" t="str">
        <f>IF(H64="","",VLOOKUP($B64,'C-1 On-Site WaterC'' Baseline'!$C$9:$R$257,8,FALSE))</f>
        <v/>
      </c>
      <c r="J64" s="301" t="str">
        <f>IF(I64="","",VLOOKUP($B64,'C-1 On-Site WaterC'' Baseline'!$C$9:$R$257,9,FALSE))</f>
        <v/>
      </c>
      <c r="K64" s="301" t="str">
        <f>IF(J64="","",VLOOKUP($B64,'C-1 On-Site WaterC'' Baseline'!$C$9:$R$257,10,FALSE))</f>
        <v/>
      </c>
      <c r="L64" s="301" t="str">
        <f>IF(B64="","",VLOOKUP($B64,'C-1 On-Site WaterC'' Baseline'!$C$9:$R$257,15,FALSE))</f>
        <v/>
      </c>
      <c r="M64" s="305" t="str">
        <f>IF(L64="","",VLOOKUP($B64,'C-1 On-Site WaterC'' Baseline'!$C$9:$R$257,16,FALSE))</f>
        <v/>
      </c>
      <c r="N64" s="251"/>
      <c r="O64" s="281" t="str">
        <f t="shared" si="1"/>
        <v/>
      </c>
      <c r="P64" s="282" t="str">
        <f t="shared" si="2"/>
        <v/>
      </c>
      <c r="Q64" s="342" t="str">
        <f>IF(N64="","",VLOOKUP(B64,'C-1 On-Site WaterC'' Baseline'!$C$10:$AC$257,20,FALSE))</f>
        <v/>
      </c>
      <c r="R64" s="281" t="str">
        <f>IF(N64="","",VLOOKUP(N64,'G-7 WaterC'' Data'!$B$2:$G$8,2,FALSE))</f>
        <v/>
      </c>
      <c r="S64" s="282" t="str">
        <f>IFERROR(VLOOKUP(R64,'G-7 WaterC'' Data'!$C$4:$D$8,2,FALSE),"")</f>
        <v/>
      </c>
      <c r="T64" s="105"/>
      <c r="U64" s="282" t="str">
        <f>IFERROR(INDEX('G-7 WaterC'' Data'!$H$4:$L$8,MATCH(N64,'G-7 WaterC'' Data'!$B$4:$B$8,0),MATCH(T64,'G-7 WaterC'' Data'!$H$3:$L$3,0)),"")</f>
        <v/>
      </c>
      <c r="V64" s="105"/>
      <c r="W64" s="289" t="str">
        <f>IF(V64="","",IF(VLOOKUP(V64,'G-7 WaterC'' Data'!$AK$4:$AM$6,2,FALSE)=0,"Spatial Data Missing ⚠",VLOOKUP(V64,'G-7 WaterC'' Data'!$AK$4:$AM$6,2,FALSE)))</f>
        <v/>
      </c>
      <c r="X64" s="282" t="str">
        <f>IF(V64="","",IF(VLOOKUP(V64,'G-7 WaterC'' Data'!$AK$4:$AM$6,3,FALSE)=0,"Spatial Data Missing ⚠",VLOOKUP(V64,'G-7 WaterC'' Data'!$AK$4:$AM$6,3,FALSE)))</f>
        <v/>
      </c>
      <c r="Y64" s="281" t="str">
        <f>IFERROR(IF(OR(LEFT(P64,5)="Error",LEFT(O64,5)="Error"),"Check Data ⚠",IF(F64&lt;S64,'G-7 WaterC'' Data'!$R$3,INDEX('G-7 WaterC'' Data'!$U$5:$Y$9,MATCH(G64,'G-7 WaterC'' Data'!$T$5:$T$9,0),MATCH(T64,'G-7 WaterC'' Data'!$U$4:$Y$4,0)))),"")</f>
        <v/>
      </c>
      <c r="Z64" s="137"/>
      <c r="AA64" s="137"/>
      <c r="AB64" s="289" t="str">
        <f t="shared" si="3"/>
        <v/>
      </c>
      <c r="AC64" s="302" t="str">
        <f t="shared" si="4"/>
        <v/>
      </c>
      <c r="AD64" s="340" t="str">
        <f>IFERROR(IF(AC64="Check Data ⚠","Check Data ⚠",VLOOKUP(AC64,'G-4 Temporal multipliers'!$A$4:$C$37,3,FALSE)),"")</f>
        <v/>
      </c>
      <c r="AE64" s="281" t="str">
        <f>IF(N64="","",VLOOKUP(N64,'G-7 WaterC'' Data'!$B$4:$G$8,5,FALSE))</f>
        <v/>
      </c>
      <c r="AF64" s="289" t="str">
        <f t="shared" si="5"/>
        <v/>
      </c>
      <c r="AG64" s="320" t="str">
        <f t="shared" si="6"/>
        <v/>
      </c>
      <c r="AH64" s="282" t="str">
        <f t="shared" si="0"/>
        <v/>
      </c>
      <c r="AI64" s="109"/>
      <c r="AJ64" s="282" t="str">
        <f>IF(AI64="","",IF(AND(AI64="N/A - Culvert",N64&lt;&gt;"Culvert"),"Not possible ▲",IF(VLOOKUP(AI64,'G-7 WaterC'' Data'!$AA$4:$AB$7,2,FALSE)=0,"Spatial Data Missing ⚠",VLOOKUP(AI64,'G-7 WaterC'' Data'!$AA$4:$AB$7,2,FALSE))))</f>
        <v/>
      </c>
      <c r="AK64" s="110"/>
      <c r="AL64" s="282" t="str">
        <f>IF(AK64="","",IF(AND(AK64="N/A - Culvert",N64&lt;&gt;"Culvert"),"Not possible ▲",IF(VLOOKUP(AK64,'G-7 WaterC'' Data'!$AD$4:$AE$14,2,FALSE)=0,"Spatial Data Missing ⚠",VLOOKUP(AK64,'G-7 WaterC'' Data'!$AD$4:$AE$14,2,FALSE))))</f>
        <v/>
      </c>
      <c r="AM64" s="323" t="str">
        <f t="shared" si="7"/>
        <v/>
      </c>
      <c r="AN64" s="105"/>
      <c r="AO64" s="119"/>
      <c r="AP64" s="108"/>
      <c r="AS64" s="30" t="str">
        <f>IF(B64="","",IF(ISNA(VLOOKUP($B64,'C-1 On-Site WaterC'' Baseline'!$C$8:$AD$257,17,FALSE)),"",(VLOOKUP($B64,'C-1 On-Site WaterC'' Baseline'!$C$8:$AD$257,17,FALSE))))</f>
        <v/>
      </c>
      <c r="AT64" s="30" t="str">
        <f>IF(B64="","",VLOOKUP($B64,'C-1 On-Site WaterC'' Baseline'!$C$9:$Z$257,12,FALSE))</f>
        <v/>
      </c>
      <c r="AU64" s="30" t="str">
        <f>IF(B64="","",VLOOKUP($B64,'C-1 On-Site WaterC'' Baseline'!$C$9:$Z$257,14,FALSE))</f>
        <v/>
      </c>
      <c r="AV64" s="30" t="str">
        <f>IFERROR(INDEX('G-7 WaterC'' Data'!$AZ$3:$AZ$7,MATCH(N64,'G-7 WaterC'' Data'!$AY$3:$AY$7,0)),"")</f>
        <v/>
      </c>
      <c r="AX64" s="30" t="str">
        <f>IF(B64="","",VLOOKUP($B64,'C-1 On-Site WaterC'' Baseline'!$C$9:$Y$257,22,FALSE))</f>
        <v/>
      </c>
      <c r="AY64" s="30" t="str">
        <f t="shared" si="8"/>
        <v/>
      </c>
      <c r="AZ64" s="30" t="str">
        <f>IF(B64="","",VLOOKUP($B64,'C-1 On-Site WaterC'' Baseline'!$C$9:$Y$257,21,FALSE))</f>
        <v/>
      </c>
      <c r="BA64" s="30" t="str">
        <f>IF(B64="","",VLOOKUP($B64,'C-1 On-Site WaterC'' Baseline'!$C$9:$Y$257,19,FALSE))</f>
        <v/>
      </c>
      <c r="BD64" s="30" t="str">
        <f t="shared" si="9"/>
        <v>No</v>
      </c>
    </row>
    <row r="65" spans="2:56" ht="13.8" x14ac:dyDescent="0.25">
      <c r="B65" s="311" t="str">
        <f>'C-1 On-Site WaterC'' Baseline'!AP63</f>
        <v/>
      </c>
      <c r="C65" s="301" t="str">
        <f>IF(B65="","",VLOOKUP($B65,'C-1 On-Site WaterC'' Baseline'!$C$9:$R$257,2,FALSE))</f>
        <v/>
      </c>
      <c r="D65" s="301" t="str">
        <f>IF(C65="","",VLOOKUP($B65,'C-1 On-Site WaterC'' Baseline'!$C$9:$R$257,3,FALSE))</f>
        <v/>
      </c>
      <c r="E65" s="301" t="str">
        <f>IF(D65="","",VLOOKUP($B65,'C-1 On-Site WaterC'' Baseline'!$C$9:$R$257,4,FALSE))</f>
        <v/>
      </c>
      <c r="F65" s="301" t="str">
        <f>IF(E65="","",VLOOKUP($B65,'C-1 On-Site WaterC'' Baseline'!$C$9:$R$257,5,FALSE))</f>
        <v/>
      </c>
      <c r="G65" s="301" t="str">
        <f>IF(F65="","",VLOOKUP($B65,'C-1 On-Site WaterC'' Baseline'!$C$9:$R$257,6,FALSE))</f>
        <v/>
      </c>
      <c r="H65" s="301" t="str">
        <f>IF(G65="","",VLOOKUP($B65,'C-1 On-Site WaterC'' Baseline'!$C$9:$R$257,7,FALSE))</f>
        <v/>
      </c>
      <c r="I65" s="301" t="str">
        <f>IF(H65="","",VLOOKUP($B65,'C-1 On-Site WaterC'' Baseline'!$C$9:$R$257,8,FALSE))</f>
        <v/>
      </c>
      <c r="J65" s="301" t="str">
        <f>IF(I65="","",VLOOKUP($B65,'C-1 On-Site WaterC'' Baseline'!$C$9:$R$257,9,FALSE))</f>
        <v/>
      </c>
      <c r="K65" s="301" t="str">
        <f>IF(J65="","",VLOOKUP($B65,'C-1 On-Site WaterC'' Baseline'!$C$9:$R$257,10,FALSE))</f>
        <v/>
      </c>
      <c r="L65" s="301" t="str">
        <f>IF(B65="","",VLOOKUP($B65,'C-1 On-Site WaterC'' Baseline'!$C$9:$R$257,15,FALSE))</f>
        <v/>
      </c>
      <c r="M65" s="305" t="str">
        <f>IF(L65="","",VLOOKUP($B65,'C-1 On-Site WaterC'' Baseline'!$C$9:$R$257,16,FALSE))</f>
        <v/>
      </c>
      <c r="N65" s="251"/>
      <c r="O65" s="281" t="str">
        <f t="shared" si="1"/>
        <v/>
      </c>
      <c r="P65" s="282" t="str">
        <f t="shared" si="2"/>
        <v/>
      </c>
      <c r="Q65" s="342" t="str">
        <f>IF(N65="","",VLOOKUP(B65,'C-1 On-Site WaterC'' Baseline'!$C$10:$AC$257,20,FALSE))</f>
        <v/>
      </c>
      <c r="R65" s="281" t="str">
        <f>IF(N65="","",VLOOKUP(N65,'G-7 WaterC'' Data'!$B$2:$G$8,2,FALSE))</f>
        <v/>
      </c>
      <c r="S65" s="282" t="str">
        <f>IFERROR(VLOOKUP(R65,'G-7 WaterC'' Data'!$C$4:$D$8,2,FALSE),"")</f>
        <v/>
      </c>
      <c r="T65" s="105"/>
      <c r="U65" s="282" t="str">
        <f>IFERROR(INDEX('G-7 WaterC'' Data'!$H$4:$L$8,MATCH(N65,'G-7 WaterC'' Data'!$B$4:$B$8,0),MATCH(T65,'G-7 WaterC'' Data'!$H$3:$L$3,0)),"")</f>
        <v/>
      </c>
      <c r="V65" s="105"/>
      <c r="W65" s="289" t="str">
        <f>IF(V65="","",IF(VLOOKUP(V65,'G-7 WaterC'' Data'!$AK$4:$AM$6,2,FALSE)=0,"Spatial Data Missing ⚠",VLOOKUP(V65,'G-7 WaterC'' Data'!$AK$4:$AM$6,2,FALSE)))</f>
        <v/>
      </c>
      <c r="X65" s="282" t="str">
        <f>IF(V65="","",IF(VLOOKUP(V65,'G-7 WaterC'' Data'!$AK$4:$AM$6,3,FALSE)=0,"Spatial Data Missing ⚠",VLOOKUP(V65,'G-7 WaterC'' Data'!$AK$4:$AM$6,3,FALSE)))</f>
        <v/>
      </c>
      <c r="Y65" s="281" t="str">
        <f>IFERROR(IF(OR(LEFT(P65,5)="Error",LEFT(O65,5)="Error"),"Check Data ⚠",IF(F65&lt;S65,'G-7 WaterC'' Data'!$R$3,INDEX('G-7 WaterC'' Data'!$U$5:$Y$9,MATCH(G65,'G-7 WaterC'' Data'!$T$5:$T$9,0),MATCH(T65,'G-7 WaterC'' Data'!$U$4:$Y$4,0)))),"")</f>
        <v/>
      </c>
      <c r="Z65" s="137"/>
      <c r="AA65" s="137"/>
      <c r="AB65" s="289" t="str">
        <f t="shared" si="3"/>
        <v/>
      </c>
      <c r="AC65" s="302" t="str">
        <f t="shared" si="4"/>
        <v/>
      </c>
      <c r="AD65" s="340" t="str">
        <f>IFERROR(IF(AC65="Check Data ⚠","Check Data ⚠",VLOOKUP(AC65,'G-4 Temporal multipliers'!$A$4:$C$37,3,FALSE)),"")</f>
        <v/>
      </c>
      <c r="AE65" s="281" t="str">
        <f>IF(N65="","",VLOOKUP(N65,'G-7 WaterC'' Data'!$B$4:$G$8,5,FALSE))</f>
        <v/>
      </c>
      <c r="AF65" s="289" t="str">
        <f t="shared" si="5"/>
        <v/>
      </c>
      <c r="AG65" s="320" t="str">
        <f t="shared" si="6"/>
        <v/>
      </c>
      <c r="AH65" s="282" t="str">
        <f t="shared" si="0"/>
        <v/>
      </c>
      <c r="AI65" s="109"/>
      <c r="AJ65" s="282" t="str">
        <f>IF(AI65="","",IF(AND(AI65="N/A - Culvert",N65&lt;&gt;"Culvert"),"Not possible ▲",IF(VLOOKUP(AI65,'G-7 WaterC'' Data'!$AA$4:$AB$7,2,FALSE)=0,"Spatial Data Missing ⚠",VLOOKUP(AI65,'G-7 WaterC'' Data'!$AA$4:$AB$7,2,FALSE))))</f>
        <v/>
      </c>
      <c r="AK65" s="110"/>
      <c r="AL65" s="282" t="str">
        <f>IF(AK65="","",IF(AND(AK65="N/A - Culvert",N65&lt;&gt;"Culvert"),"Not possible ▲",IF(VLOOKUP(AK65,'G-7 WaterC'' Data'!$AD$4:$AE$14,2,FALSE)=0,"Spatial Data Missing ⚠",VLOOKUP(AK65,'G-7 WaterC'' Data'!$AD$4:$AE$14,2,FALSE))))</f>
        <v/>
      </c>
      <c r="AM65" s="323" t="str">
        <f t="shared" si="7"/>
        <v/>
      </c>
      <c r="AN65" s="105"/>
      <c r="AO65" s="119"/>
      <c r="AP65" s="108"/>
      <c r="AS65" s="30" t="str">
        <f>IF(B65="","",IF(ISNA(VLOOKUP($B65,'C-1 On-Site WaterC'' Baseline'!$C$8:$AD$257,17,FALSE)),"",(VLOOKUP($B65,'C-1 On-Site WaterC'' Baseline'!$C$8:$AD$257,17,FALSE))))</f>
        <v/>
      </c>
      <c r="AT65" s="30" t="str">
        <f>IF(B65="","",VLOOKUP($B65,'C-1 On-Site WaterC'' Baseline'!$C$9:$Z$257,12,FALSE))</f>
        <v/>
      </c>
      <c r="AU65" s="30" t="str">
        <f>IF(B65="","",VLOOKUP($B65,'C-1 On-Site WaterC'' Baseline'!$C$9:$Z$257,14,FALSE))</f>
        <v/>
      </c>
      <c r="AV65" s="30" t="str">
        <f>IFERROR(INDEX('G-7 WaterC'' Data'!$AZ$3:$AZ$7,MATCH(N65,'G-7 WaterC'' Data'!$AY$3:$AY$7,0)),"")</f>
        <v/>
      </c>
      <c r="AX65" s="30" t="str">
        <f>IF(B65="","",VLOOKUP($B65,'C-1 On-Site WaterC'' Baseline'!$C$9:$Y$257,22,FALSE))</f>
        <v/>
      </c>
      <c r="AY65" s="30" t="str">
        <f t="shared" si="8"/>
        <v/>
      </c>
      <c r="AZ65" s="30" t="str">
        <f>IF(B65="","",VLOOKUP($B65,'C-1 On-Site WaterC'' Baseline'!$C$9:$Y$257,21,FALSE))</f>
        <v/>
      </c>
      <c r="BA65" s="30" t="str">
        <f>IF(B65="","",VLOOKUP($B65,'C-1 On-Site WaterC'' Baseline'!$C$9:$Y$257,19,FALSE))</f>
        <v/>
      </c>
      <c r="BD65" s="30" t="str">
        <f t="shared" si="9"/>
        <v>No</v>
      </c>
    </row>
    <row r="66" spans="2:56" ht="13.8" x14ac:dyDescent="0.25">
      <c r="B66" s="311" t="str">
        <f>'C-1 On-Site WaterC'' Baseline'!AP64</f>
        <v/>
      </c>
      <c r="C66" s="301" t="str">
        <f>IF(B66="","",VLOOKUP($B66,'C-1 On-Site WaterC'' Baseline'!$C$9:$R$257,2,FALSE))</f>
        <v/>
      </c>
      <c r="D66" s="301" t="str">
        <f>IF(C66="","",VLOOKUP($B66,'C-1 On-Site WaterC'' Baseline'!$C$9:$R$257,3,FALSE))</f>
        <v/>
      </c>
      <c r="E66" s="301" t="str">
        <f>IF(D66="","",VLOOKUP($B66,'C-1 On-Site WaterC'' Baseline'!$C$9:$R$257,4,FALSE))</f>
        <v/>
      </c>
      <c r="F66" s="301" t="str">
        <f>IF(E66="","",VLOOKUP($B66,'C-1 On-Site WaterC'' Baseline'!$C$9:$R$257,5,FALSE))</f>
        <v/>
      </c>
      <c r="G66" s="301" t="str">
        <f>IF(F66="","",VLOOKUP($B66,'C-1 On-Site WaterC'' Baseline'!$C$9:$R$257,6,FALSE))</f>
        <v/>
      </c>
      <c r="H66" s="301" t="str">
        <f>IF(G66="","",VLOOKUP($B66,'C-1 On-Site WaterC'' Baseline'!$C$9:$R$257,7,FALSE))</f>
        <v/>
      </c>
      <c r="I66" s="301" t="str">
        <f>IF(H66="","",VLOOKUP($B66,'C-1 On-Site WaterC'' Baseline'!$C$9:$R$257,8,FALSE))</f>
        <v/>
      </c>
      <c r="J66" s="301" t="str">
        <f>IF(I66="","",VLOOKUP($B66,'C-1 On-Site WaterC'' Baseline'!$C$9:$R$257,9,FALSE))</f>
        <v/>
      </c>
      <c r="K66" s="301" t="str">
        <f>IF(J66="","",VLOOKUP($B66,'C-1 On-Site WaterC'' Baseline'!$C$9:$R$257,10,FALSE))</f>
        <v/>
      </c>
      <c r="L66" s="301" t="str">
        <f>IF(B66="","",VLOOKUP($B66,'C-1 On-Site WaterC'' Baseline'!$C$9:$R$257,15,FALSE))</f>
        <v/>
      </c>
      <c r="M66" s="305" t="str">
        <f>IF(L66="","",VLOOKUP($B66,'C-1 On-Site WaterC'' Baseline'!$C$9:$R$257,16,FALSE))</f>
        <v/>
      </c>
      <c r="N66" s="251"/>
      <c r="O66" s="281" t="str">
        <f t="shared" si="1"/>
        <v/>
      </c>
      <c r="P66" s="282" t="str">
        <f t="shared" si="2"/>
        <v/>
      </c>
      <c r="Q66" s="342" t="str">
        <f>IF(N66="","",VLOOKUP(B66,'C-1 On-Site WaterC'' Baseline'!$C$10:$AC$257,20,FALSE))</f>
        <v/>
      </c>
      <c r="R66" s="281" t="str">
        <f>IF(N66="","",VLOOKUP(N66,'G-7 WaterC'' Data'!$B$2:$G$8,2,FALSE))</f>
        <v/>
      </c>
      <c r="S66" s="282" t="str">
        <f>IFERROR(VLOOKUP(R66,'G-7 WaterC'' Data'!$C$4:$D$8,2,FALSE),"")</f>
        <v/>
      </c>
      <c r="T66" s="105"/>
      <c r="U66" s="282" t="str">
        <f>IFERROR(INDEX('G-7 WaterC'' Data'!$H$4:$L$8,MATCH(N66,'G-7 WaterC'' Data'!$B$4:$B$8,0),MATCH(T66,'G-7 WaterC'' Data'!$H$3:$L$3,0)),"")</f>
        <v/>
      </c>
      <c r="V66" s="105"/>
      <c r="W66" s="289" t="str">
        <f>IF(V66="","",IF(VLOOKUP(V66,'G-7 WaterC'' Data'!$AK$4:$AM$6,2,FALSE)=0,"Spatial Data Missing ⚠",VLOOKUP(V66,'G-7 WaterC'' Data'!$AK$4:$AM$6,2,FALSE)))</f>
        <v/>
      </c>
      <c r="X66" s="282" t="str">
        <f>IF(V66="","",IF(VLOOKUP(V66,'G-7 WaterC'' Data'!$AK$4:$AM$6,3,FALSE)=0,"Spatial Data Missing ⚠",VLOOKUP(V66,'G-7 WaterC'' Data'!$AK$4:$AM$6,3,FALSE)))</f>
        <v/>
      </c>
      <c r="Y66" s="281" t="str">
        <f>IFERROR(IF(OR(LEFT(P66,5)="Error",LEFT(O66,5)="Error"),"Check Data ⚠",IF(F66&lt;S66,'G-7 WaterC'' Data'!$R$3,INDEX('G-7 WaterC'' Data'!$U$5:$Y$9,MATCH(G66,'G-7 WaterC'' Data'!$T$5:$T$9,0),MATCH(T66,'G-7 WaterC'' Data'!$U$4:$Y$4,0)))),"")</f>
        <v/>
      </c>
      <c r="Z66" s="137"/>
      <c r="AA66" s="137"/>
      <c r="AB66" s="289" t="str">
        <f t="shared" si="3"/>
        <v/>
      </c>
      <c r="AC66" s="302" t="str">
        <f t="shared" si="4"/>
        <v/>
      </c>
      <c r="AD66" s="340" t="str">
        <f>IFERROR(IF(AC66="Check Data ⚠","Check Data ⚠",VLOOKUP(AC66,'G-4 Temporal multipliers'!$A$4:$C$37,3,FALSE)),"")</f>
        <v/>
      </c>
      <c r="AE66" s="281" t="str">
        <f>IF(N66="","",VLOOKUP(N66,'G-7 WaterC'' Data'!$B$4:$G$8,5,FALSE))</f>
        <v/>
      </c>
      <c r="AF66" s="289" t="str">
        <f t="shared" si="5"/>
        <v/>
      </c>
      <c r="AG66" s="320" t="str">
        <f t="shared" si="6"/>
        <v/>
      </c>
      <c r="AH66" s="282" t="str">
        <f t="shared" si="0"/>
        <v/>
      </c>
      <c r="AI66" s="109"/>
      <c r="AJ66" s="282" t="str">
        <f>IF(AI66="","",IF(AND(AI66="N/A - Culvert",N66&lt;&gt;"Culvert"),"Not possible ▲",IF(VLOOKUP(AI66,'G-7 WaterC'' Data'!$AA$4:$AB$7,2,FALSE)=0,"Spatial Data Missing ⚠",VLOOKUP(AI66,'G-7 WaterC'' Data'!$AA$4:$AB$7,2,FALSE))))</f>
        <v/>
      </c>
      <c r="AK66" s="110"/>
      <c r="AL66" s="282" t="str">
        <f>IF(AK66="","",IF(AND(AK66="N/A - Culvert",N66&lt;&gt;"Culvert"),"Not possible ▲",IF(VLOOKUP(AK66,'G-7 WaterC'' Data'!$AD$4:$AE$14,2,FALSE)=0,"Spatial Data Missing ⚠",VLOOKUP(AK66,'G-7 WaterC'' Data'!$AD$4:$AE$14,2,FALSE))))</f>
        <v/>
      </c>
      <c r="AM66" s="323" t="str">
        <f t="shared" si="7"/>
        <v/>
      </c>
      <c r="AN66" s="105"/>
      <c r="AO66" s="119"/>
      <c r="AP66" s="108"/>
      <c r="AS66" s="30" t="str">
        <f>IF(B66="","",IF(ISNA(VLOOKUP($B66,'C-1 On-Site WaterC'' Baseline'!$C$8:$AD$257,17,FALSE)),"",(VLOOKUP($B66,'C-1 On-Site WaterC'' Baseline'!$C$8:$AD$257,17,FALSE))))</f>
        <v/>
      </c>
      <c r="AT66" s="30" t="str">
        <f>IF(B66="","",VLOOKUP($B66,'C-1 On-Site WaterC'' Baseline'!$C$9:$Z$257,12,FALSE))</f>
        <v/>
      </c>
      <c r="AU66" s="30" t="str">
        <f>IF(B66="","",VLOOKUP($B66,'C-1 On-Site WaterC'' Baseline'!$C$9:$Z$257,14,FALSE))</f>
        <v/>
      </c>
      <c r="AV66" s="30" t="str">
        <f>IFERROR(INDEX('G-7 WaterC'' Data'!$AZ$3:$AZ$7,MATCH(N66,'G-7 WaterC'' Data'!$AY$3:$AY$7,0)),"")</f>
        <v/>
      </c>
      <c r="AX66" s="30" t="str">
        <f>IF(B66="","",VLOOKUP($B66,'C-1 On-Site WaterC'' Baseline'!$C$9:$Y$257,22,FALSE))</f>
        <v/>
      </c>
      <c r="AY66" s="30" t="str">
        <f t="shared" si="8"/>
        <v/>
      </c>
      <c r="AZ66" s="30" t="str">
        <f>IF(B66="","",VLOOKUP($B66,'C-1 On-Site WaterC'' Baseline'!$C$9:$Y$257,21,FALSE))</f>
        <v/>
      </c>
      <c r="BA66" s="30" t="str">
        <f>IF(B66="","",VLOOKUP($B66,'C-1 On-Site WaterC'' Baseline'!$C$9:$Y$257,19,FALSE))</f>
        <v/>
      </c>
      <c r="BD66" s="30" t="str">
        <f t="shared" si="9"/>
        <v>No</v>
      </c>
    </row>
    <row r="67" spans="2:56" ht="13.8" x14ac:dyDescent="0.25">
      <c r="B67" s="311" t="str">
        <f>'C-1 On-Site WaterC'' Baseline'!AP65</f>
        <v/>
      </c>
      <c r="C67" s="301" t="str">
        <f>IF(B67="","",VLOOKUP($B67,'C-1 On-Site WaterC'' Baseline'!$C$9:$R$257,2,FALSE))</f>
        <v/>
      </c>
      <c r="D67" s="301" t="str">
        <f>IF(C67="","",VLOOKUP($B67,'C-1 On-Site WaterC'' Baseline'!$C$9:$R$257,3,FALSE))</f>
        <v/>
      </c>
      <c r="E67" s="301" t="str">
        <f>IF(D67="","",VLOOKUP($B67,'C-1 On-Site WaterC'' Baseline'!$C$9:$R$257,4,FALSE))</f>
        <v/>
      </c>
      <c r="F67" s="301" t="str">
        <f>IF(E67="","",VLOOKUP($B67,'C-1 On-Site WaterC'' Baseline'!$C$9:$R$257,5,FALSE))</f>
        <v/>
      </c>
      <c r="G67" s="301" t="str">
        <f>IF(F67="","",VLOOKUP($B67,'C-1 On-Site WaterC'' Baseline'!$C$9:$R$257,6,FALSE))</f>
        <v/>
      </c>
      <c r="H67" s="301" t="str">
        <f>IF(G67="","",VLOOKUP($B67,'C-1 On-Site WaterC'' Baseline'!$C$9:$R$257,7,FALSE))</f>
        <v/>
      </c>
      <c r="I67" s="301" t="str">
        <f>IF(H67="","",VLOOKUP($B67,'C-1 On-Site WaterC'' Baseline'!$C$9:$R$257,8,FALSE))</f>
        <v/>
      </c>
      <c r="J67" s="301" t="str">
        <f>IF(I67="","",VLOOKUP($B67,'C-1 On-Site WaterC'' Baseline'!$C$9:$R$257,9,FALSE))</f>
        <v/>
      </c>
      <c r="K67" s="301" t="str">
        <f>IF(J67="","",VLOOKUP($B67,'C-1 On-Site WaterC'' Baseline'!$C$9:$R$257,10,FALSE))</f>
        <v/>
      </c>
      <c r="L67" s="301" t="str">
        <f>IF(B67="","",VLOOKUP($B67,'C-1 On-Site WaterC'' Baseline'!$C$9:$R$257,15,FALSE))</f>
        <v/>
      </c>
      <c r="M67" s="305" t="str">
        <f>IF(L67="","",VLOOKUP($B67,'C-1 On-Site WaterC'' Baseline'!$C$9:$R$257,16,FALSE))</f>
        <v/>
      </c>
      <c r="N67" s="251"/>
      <c r="O67" s="281" t="str">
        <f t="shared" si="1"/>
        <v/>
      </c>
      <c r="P67" s="282" t="str">
        <f t="shared" si="2"/>
        <v/>
      </c>
      <c r="Q67" s="342" t="str">
        <f>IF(N67="","",VLOOKUP(B67,'C-1 On-Site WaterC'' Baseline'!$C$10:$AC$257,20,FALSE))</f>
        <v/>
      </c>
      <c r="R67" s="281" t="str">
        <f>IF(N67="","",VLOOKUP(N67,'G-7 WaterC'' Data'!$B$2:$G$8,2,FALSE))</f>
        <v/>
      </c>
      <c r="S67" s="282" t="str">
        <f>IFERROR(VLOOKUP(R67,'G-7 WaterC'' Data'!$C$4:$D$8,2,FALSE),"")</f>
        <v/>
      </c>
      <c r="T67" s="105"/>
      <c r="U67" s="282" t="str">
        <f>IFERROR(INDEX('G-7 WaterC'' Data'!$H$4:$L$8,MATCH(N67,'G-7 WaterC'' Data'!$B$4:$B$8,0),MATCH(T67,'G-7 WaterC'' Data'!$H$3:$L$3,0)),"")</f>
        <v/>
      </c>
      <c r="V67" s="105"/>
      <c r="W67" s="289" t="str">
        <f>IF(V67="","",IF(VLOOKUP(V67,'G-7 WaterC'' Data'!$AK$4:$AM$6,2,FALSE)=0,"Spatial Data Missing ⚠",VLOOKUP(V67,'G-7 WaterC'' Data'!$AK$4:$AM$6,2,FALSE)))</f>
        <v/>
      </c>
      <c r="X67" s="282" t="str">
        <f>IF(V67="","",IF(VLOOKUP(V67,'G-7 WaterC'' Data'!$AK$4:$AM$6,3,FALSE)=0,"Spatial Data Missing ⚠",VLOOKUP(V67,'G-7 WaterC'' Data'!$AK$4:$AM$6,3,FALSE)))</f>
        <v/>
      </c>
      <c r="Y67" s="281" t="str">
        <f>IFERROR(IF(OR(LEFT(P67,5)="Error",LEFT(O67,5)="Error"),"Check Data ⚠",IF(F67&lt;S67,'G-7 WaterC'' Data'!$R$3,INDEX('G-7 WaterC'' Data'!$U$5:$Y$9,MATCH(G67,'G-7 WaterC'' Data'!$T$5:$T$9,0),MATCH(T67,'G-7 WaterC'' Data'!$U$4:$Y$4,0)))),"")</f>
        <v/>
      </c>
      <c r="Z67" s="137"/>
      <c r="AA67" s="137"/>
      <c r="AB67" s="289" t="str">
        <f t="shared" si="3"/>
        <v/>
      </c>
      <c r="AC67" s="302" t="str">
        <f t="shared" si="4"/>
        <v/>
      </c>
      <c r="AD67" s="340" t="str">
        <f>IFERROR(IF(AC67="Check Data ⚠","Check Data ⚠",VLOOKUP(AC67,'G-4 Temporal multipliers'!$A$4:$C$37,3,FALSE)),"")</f>
        <v/>
      </c>
      <c r="AE67" s="281" t="str">
        <f>IF(N67="","",VLOOKUP(N67,'G-7 WaterC'' Data'!$B$4:$G$8,5,FALSE))</f>
        <v/>
      </c>
      <c r="AF67" s="289" t="str">
        <f t="shared" si="5"/>
        <v/>
      </c>
      <c r="AG67" s="320" t="str">
        <f t="shared" si="6"/>
        <v/>
      </c>
      <c r="AH67" s="282" t="str">
        <f t="shared" si="0"/>
        <v/>
      </c>
      <c r="AI67" s="109"/>
      <c r="AJ67" s="282" t="str">
        <f>IF(AI67="","",IF(AND(AI67="N/A - Culvert",N67&lt;&gt;"Culvert"),"Not possible ▲",IF(VLOOKUP(AI67,'G-7 WaterC'' Data'!$AA$4:$AB$7,2,FALSE)=0,"Spatial Data Missing ⚠",VLOOKUP(AI67,'G-7 WaterC'' Data'!$AA$4:$AB$7,2,FALSE))))</f>
        <v/>
      </c>
      <c r="AK67" s="110"/>
      <c r="AL67" s="282" t="str">
        <f>IF(AK67="","",IF(AND(AK67="N/A - Culvert",N67&lt;&gt;"Culvert"),"Not possible ▲",IF(VLOOKUP(AK67,'G-7 WaterC'' Data'!$AD$4:$AE$14,2,FALSE)=0,"Spatial Data Missing ⚠",VLOOKUP(AK67,'G-7 WaterC'' Data'!$AD$4:$AE$14,2,FALSE))))</f>
        <v/>
      </c>
      <c r="AM67" s="323" t="str">
        <f t="shared" si="7"/>
        <v/>
      </c>
      <c r="AN67" s="105"/>
      <c r="AO67" s="119"/>
      <c r="AP67" s="108"/>
      <c r="AS67" s="30" t="str">
        <f>IF(B67="","",IF(ISNA(VLOOKUP($B67,'C-1 On-Site WaterC'' Baseline'!$C$8:$AD$257,17,FALSE)),"",(VLOOKUP($B67,'C-1 On-Site WaterC'' Baseline'!$C$8:$AD$257,17,FALSE))))</f>
        <v/>
      </c>
      <c r="AT67" s="30" t="str">
        <f>IF(B67="","",VLOOKUP($B67,'C-1 On-Site WaterC'' Baseline'!$C$9:$Z$257,12,FALSE))</f>
        <v/>
      </c>
      <c r="AU67" s="30" t="str">
        <f>IF(B67="","",VLOOKUP($B67,'C-1 On-Site WaterC'' Baseline'!$C$9:$Z$257,14,FALSE))</f>
        <v/>
      </c>
      <c r="AV67" s="30" t="str">
        <f>IFERROR(INDEX('G-7 WaterC'' Data'!$AZ$3:$AZ$7,MATCH(N67,'G-7 WaterC'' Data'!$AY$3:$AY$7,0)),"")</f>
        <v/>
      </c>
      <c r="AX67" s="30" t="str">
        <f>IF(B67="","",VLOOKUP($B67,'C-1 On-Site WaterC'' Baseline'!$C$9:$Y$257,22,FALSE))</f>
        <v/>
      </c>
      <c r="AY67" s="30" t="str">
        <f t="shared" si="8"/>
        <v/>
      </c>
      <c r="AZ67" s="30" t="str">
        <f>IF(B67="","",VLOOKUP($B67,'C-1 On-Site WaterC'' Baseline'!$C$9:$Y$257,21,FALSE))</f>
        <v/>
      </c>
      <c r="BA67" s="30" t="str">
        <f>IF(B67="","",VLOOKUP($B67,'C-1 On-Site WaterC'' Baseline'!$C$9:$Y$257,19,FALSE))</f>
        <v/>
      </c>
      <c r="BD67" s="30" t="str">
        <f t="shared" si="9"/>
        <v>No</v>
      </c>
    </row>
    <row r="68" spans="2:56" ht="13.8" x14ac:dyDescent="0.25">
      <c r="B68" s="311" t="str">
        <f>'C-1 On-Site WaterC'' Baseline'!AP66</f>
        <v/>
      </c>
      <c r="C68" s="301" t="str">
        <f>IF(B68="","",VLOOKUP($B68,'C-1 On-Site WaterC'' Baseline'!$C$9:$R$257,2,FALSE))</f>
        <v/>
      </c>
      <c r="D68" s="301" t="str">
        <f>IF(C68="","",VLOOKUP($B68,'C-1 On-Site WaterC'' Baseline'!$C$9:$R$257,3,FALSE))</f>
        <v/>
      </c>
      <c r="E68" s="301" t="str">
        <f>IF(D68="","",VLOOKUP($B68,'C-1 On-Site WaterC'' Baseline'!$C$9:$R$257,4,FALSE))</f>
        <v/>
      </c>
      <c r="F68" s="301" t="str">
        <f>IF(E68="","",VLOOKUP($B68,'C-1 On-Site WaterC'' Baseline'!$C$9:$R$257,5,FALSE))</f>
        <v/>
      </c>
      <c r="G68" s="301" t="str">
        <f>IF(F68="","",VLOOKUP($B68,'C-1 On-Site WaterC'' Baseline'!$C$9:$R$257,6,FALSE))</f>
        <v/>
      </c>
      <c r="H68" s="301" t="str">
        <f>IF(G68="","",VLOOKUP($B68,'C-1 On-Site WaterC'' Baseline'!$C$9:$R$257,7,FALSE))</f>
        <v/>
      </c>
      <c r="I68" s="301" t="str">
        <f>IF(H68="","",VLOOKUP($B68,'C-1 On-Site WaterC'' Baseline'!$C$9:$R$257,8,FALSE))</f>
        <v/>
      </c>
      <c r="J68" s="301" t="str">
        <f>IF(I68="","",VLOOKUP($B68,'C-1 On-Site WaterC'' Baseline'!$C$9:$R$257,9,FALSE))</f>
        <v/>
      </c>
      <c r="K68" s="301" t="str">
        <f>IF(J68="","",VLOOKUP($B68,'C-1 On-Site WaterC'' Baseline'!$C$9:$R$257,10,FALSE))</f>
        <v/>
      </c>
      <c r="L68" s="301" t="str">
        <f>IF(B68="","",VLOOKUP($B68,'C-1 On-Site WaterC'' Baseline'!$C$9:$R$257,15,FALSE))</f>
        <v/>
      </c>
      <c r="M68" s="305" t="str">
        <f>IF(L68="","",VLOOKUP($B68,'C-1 On-Site WaterC'' Baseline'!$C$9:$R$257,16,FALSE))</f>
        <v/>
      </c>
      <c r="N68" s="251"/>
      <c r="O68" s="281" t="str">
        <f t="shared" si="1"/>
        <v/>
      </c>
      <c r="P68" s="282" t="str">
        <f t="shared" si="2"/>
        <v/>
      </c>
      <c r="Q68" s="342" t="str">
        <f>IF(N68="","",VLOOKUP(B68,'C-1 On-Site WaterC'' Baseline'!$C$10:$AC$257,20,FALSE))</f>
        <v/>
      </c>
      <c r="R68" s="281" t="str">
        <f>IF(N68="","",VLOOKUP(N68,'G-7 WaterC'' Data'!$B$2:$G$8,2,FALSE))</f>
        <v/>
      </c>
      <c r="S68" s="282" t="str">
        <f>IFERROR(VLOOKUP(R68,'G-7 WaterC'' Data'!$C$4:$D$8,2,FALSE),"")</f>
        <v/>
      </c>
      <c r="T68" s="105"/>
      <c r="U68" s="282" t="str">
        <f>IFERROR(INDEX('G-7 WaterC'' Data'!$H$4:$L$8,MATCH(N68,'G-7 WaterC'' Data'!$B$4:$B$8,0),MATCH(T68,'G-7 WaterC'' Data'!$H$3:$L$3,0)),"")</f>
        <v/>
      </c>
      <c r="V68" s="105"/>
      <c r="W68" s="289" t="str">
        <f>IF(V68="","",IF(VLOOKUP(V68,'G-7 WaterC'' Data'!$AK$4:$AM$6,2,FALSE)=0,"Spatial Data Missing ⚠",VLOOKUP(V68,'G-7 WaterC'' Data'!$AK$4:$AM$6,2,FALSE)))</f>
        <v/>
      </c>
      <c r="X68" s="282" t="str">
        <f>IF(V68="","",IF(VLOOKUP(V68,'G-7 WaterC'' Data'!$AK$4:$AM$6,3,FALSE)=0,"Spatial Data Missing ⚠",VLOOKUP(V68,'G-7 WaterC'' Data'!$AK$4:$AM$6,3,FALSE)))</f>
        <v/>
      </c>
      <c r="Y68" s="281" t="str">
        <f>IFERROR(IF(OR(LEFT(P68,5)="Error",LEFT(O68,5)="Error"),"Check Data ⚠",IF(F68&lt;S68,'G-7 WaterC'' Data'!$R$3,INDEX('G-7 WaterC'' Data'!$U$5:$Y$9,MATCH(G68,'G-7 WaterC'' Data'!$T$5:$T$9,0),MATCH(T68,'G-7 WaterC'' Data'!$U$4:$Y$4,0)))),"")</f>
        <v/>
      </c>
      <c r="Z68" s="137"/>
      <c r="AA68" s="137"/>
      <c r="AB68" s="289" t="str">
        <f t="shared" si="3"/>
        <v/>
      </c>
      <c r="AC68" s="302" t="str">
        <f t="shared" si="4"/>
        <v/>
      </c>
      <c r="AD68" s="340" t="str">
        <f>IFERROR(IF(AC68="Check Data ⚠","Check Data ⚠",VLOOKUP(AC68,'G-4 Temporal multipliers'!$A$4:$C$37,3,FALSE)),"")</f>
        <v/>
      </c>
      <c r="AE68" s="281" t="str">
        <f>IF(N68="","",VLOOKUP(N68,'G-7 WaterC'' Data'!$B$4:$G$8,5,FALSE))</f>
        <v/>
      </c>
      <c r="AF68" s="289" t="str">
        <f t="shared" si="5"/>
        <v/>
      </c>
      <c r="AG68" s="320" t="str">
        <f t="shared" si="6"/>
        <v/>
      </c>
      <c r="AH68" s="282" t="str">
        <f t="shared" si="0"/>
        <v/>
      </c>
      <c r="AI68" s="109"/>
      <c r="AJ68" s="282" t="str">
        <f>IF(AI68="","",IF(AND(AI68="N/A - Culvert",N68&lt;&gt;"Culvert"),"Not possible ▲",IF(VLOOKUP(AI68,'G-7 WaterC'' Data'!$AA$4:$AB$7,2,FALSE)=0,"Spatial Data Missing ⚠",VLOOKUP(AI68,'G-7 WaterC'' Data'!$AA$4:$AB$7,2,FALSE))))</f>
        <v/>
      </c>
      <c r="AK68" s="110"/>
      <c r="AL68" s="282" t="str">
        <f>IF(AK68="","",IF(AND(AK68="N/A - Culvert",N68&lt;&gt;"Culvert"),"Not possible ▲",IF(VLOOKUP(AK68,'G-7 WaterC'' Data'!$AD$4:$AE$14,2,FALSE)=0,"Spatial Data Missing ⚠",VLOOKUP(AK68,'G-7 WaterC'' Data'!$AD$4:$AE$14,2,FALSE))))</f>
        <v/>
      </c>
      <c r="AM68" s="323" t="str">
        <f t="shared" si="7"/>
        <v/>
      </c>
      <c r="AN68" s="105"/>
      <c r="AO68" s="119"/>
      <c r="AP68" s="108"/>
      <c r="AS68" s="30" t="str">
        <f>IF(B68="","",IF(ISNA(VLOOKUP($B68,'C-1 On-Site WaterC'' Baseline'!$C$8:$AD$257,17,FALSE)),"",(VLOOKUP($B68,'C-1 On-Site WaterC'' Baseline'!$C$8:$AD$257,17,FALSE))))</f>
        <v/>
      </c>
      <c r="AT68" s="30" t="str">
        <f>IF(B68="","",VLOOKUP($B68,'C-1 On-Site WaterC'' Baseline'!$C$9:$Z$257,12,FALSE))</f>
        <v/>
      </c>
      <c r="AU68" s="30" t="str">
        <f>IF(B68="","",VLOOKUP($B68,'C-1 On-Site WaterC'' Baseline'!$C$9:$Z$257,14,FALSE))</f>
        <v/>
      </c>
      <c r="AV68" s="30" t="str">
        <f>IFERROR(INDEX('G-7 WaterC'' Data'!$AZ$3:$AZ$7,MATCH(N68,'G-7 WaterC'' Data'!$AY$3:$AY$7,0)),"")</f>
        <v/>
      </c>
      <c r="AX68" s="30" t="str">
        <f>IF(B68="","",VLOOKUP($B68,'C-1 On-Site WaterC'' Baseline'!$C$9:$Y$257,22,FALSE))</f>
        <v/>
      </c>
      <c r="AY68" s="30" t="str">
        <f t="shared" si="8"/>
        <v/>
      </c>
      <c r="AZ68" s="30" t="str">
        <f>IF(B68="","",VLOOKUP($B68,'C-1 On-Site WaterC'' Baseline'!$C$9:$Y$257,21,FALSE))</f>
        <v/>
      </c>
      <c r="BA68" s="30" t="str">
        <f>IF(B68="","",VLOOKUP($B68,'C-1 On-Site WaterC'' Baseline'!$C$9:$Y$257,19,FALSE))</f>
        <v/>
      </c>
      <c r="BD68" s="30" t="str">
        <f t="shared" si="9"/>
        <v>No</v>
      </c>
    </row>
    <row r="69" spans="2:56" ht="13.8" x14ac:dyDescent="0.25">
      <c r="B69" s="311" t="str">
        <f>'C-1 On-Site WaterC'' Baseline'!AP67</f>
        <v/>
      </c>
      <c r="C69" s="301" t="str">
        <f>IF(B69="","",VLOOKUP($B69,'C-1 On-Site WaterC'' Baseline'!$C$9:$R$257,2,FALSE))</f>
        <v/>
      </c>
      <c r="D69" s="301" t="str">
        <f>IF(C69="","",VLOOKUP($B69,'C-1 On-Site WaterC'' Baseline'!$C$9:$R$257,3,FALSE))</f>
        <v/>
      </c>
      <c r="E69" s="301" t="str">
        <f>IF(D69="","",VLOOKUP($B69,'C-1 On-Site WaterC'' Baseline'!$C$9:$R$257,4,FALSE))</f>
        <v/>
      </c>
      <c r="F69" s="301" t="str">
        <f>IF(E69="","",VLOOKUP($B69,'C-1 On-Site WaterC'' Baseline'!$C$9:$R$257,5,FALSE))</f>
        <v/>
      </c>
      <c r="G69" s="301" t="str">
        <f>IF(F69="","",VLOOKUP($B69,'C-1 On-Site WaterC'' Baseline'!$C$9:$R$257,6,FALSE))</f>
        <v/>
      </c>
      <c r="H69" s="301" t="str">
        <f>IF(G69="","",VLOOKUP($B69,'C-1 On-Site WaterC'' Baseline'!$C$9:$R$257,7,FALSE))</f>
        <v/>
      </c>
      <c r="I69" s="301" t="str">
        <f>IF(H69="","",VLOOKUP($B69,'C-1 On-Site WaterC'' Baseline'!$C$9:$R$257,8,FALSE))</f>
        <v/>
      </c>
      <c r="J69" s="301" t="str">
        <f>IF(I69="","",VLOOKUP($B69,'C-1 On-Site WaterC'' Baseline'!$C$9:$R$257,9,FALSE))</f>
        <v/>
      </c>
      <c r="K69" s="301" t="str">
        <f>IF(J69="","",VLOOKUP($B69,'C-1 On-Site WaterC'' Baseline'!$C$9:$R$257,10,FALSE))</f>
        <v/>
      </c>
      <c r="L69" s="301" t="str">
        <f>IF(B69="","",VLOOKUP($B69,'C-1 On-Site WaterC'' Baseline'!$C$9:$R$257,15,FALSE))</f>
        <v/>
      </c>
      <c r="M69" s="305" t="str">
        <f>IF(L69="","",VLOOKUP($B69,'C-1 On-Site WaterC'' Baseline'!$C$9:$R$257,16,FALSE))</f>
        <v/>
      </c>
      <c r="N69" s="251"/>
      <c r="O69" s="281" t="str">
        <f t="shared" si="1"/>
        <v/>
      </c>
      <c r="P69" s="282" t="str">
        <f t="shared" si="2"/>
        <v/>
      </c>
      <c r="Q69" s="342" t="str">
        <f>IF(N69="","",VLOOKUP(B69,'C-1 On-Site WaterC'' Baseline'!$C$10:$AC$257,20,FALSE))</f>
        <v/>
      </c>
      <c r="R69" s="281" t="str">
        <f>IF(N69="","",VLOOKUP(N69,'G-7 WaterC'' Data'!$B$2:$G$8,2,FALSE))</f>
        <v/>
      </c>
      <c r="S69" s="282" t="str">
        <f>IFERROR(VLOOKUP(R69,'G-7 WaterC'' Data'!$C$4:$D$8,2,FALSE),"")</f>
        <v/>
      </c>
      <c r="T69" s="105"/>
      <c r="U69" s="282" t="str">
        <f>IFERROR(INDEX('G-7 WaterC'' Data'!$H$4:$L$8,MATCH(N69,'G-7 WaterC'' Data'!$B$4:$B$8,0),MATCH(T69,'G-7 WaterC'' Data'!$H$3:$L$3,0)),"")</f>
        <v/>
      </c>
      <c r="V69" s="105"/>
      <c r="W69" s="289" t="str">
        <f>IF(V69="","",IF(VLOOKUP(V69,'G-7 WaterC'' Data'!$AK$4:$AM$6,2,FALSE)=0,"Spatial Data Missing ⚠",VLOOKUP(V69,'G-7 WaterC'' Data'!$AK$4:$AM$6,2,FALSE)))</f>
        <v/>
      </c>
      <c r="X69" s="282" t="str">
        <f>IF(V69="","",IF(VLOOKUP(V69,'G-7 WaterC'' Data'!$AK$4:$AM$6,3,FALSE)=0,"Spatial Data Missing ⚠",VLOOKUP(V69,'G-7 WaterC'' Data'!$AK$4:$AM$6,3,FALSE)))</f>
        <v/>
      </c>
      <c r="Y69" s="281" t="str">
        <f>IFERROR(IF(OR(LEFT(P69,5)="Error",LEFT(O69,5)="Error"),"Check Data ⚠",IF(F69&lt;S69,'G-7 WaterC'' Data'!$R$3,INDEX('G-7 WaterC'' Data'!$U$5:$Y$9,MATCH(G69,'G-7 WaterC'' Data'!$T$5:$T$9,0),MATCH(T69,'G-7 WaterC'' Data'!$U$4:$Y$4,0)))),"")</f>
        <v/>
      </c>
      <c r="Z69" s="137"/>
      <c r="AA69" s="137"/>
      <c r="AB69" s="289" t="str">
        <f t="shared" si="3"/>
        <v/>
      </c>
      <c r="AC69" s="302" t="str">
        <f t="shared" si="4"/>
        <v/>
      </c>
      <c r="AD69" s="340" t="str">
        <f>IFERROR(IF(AC69="Check Data ⚠","Check Data ⚠",VLOOKUP(AC69,'G-4 Temporal multipliers'!$A$4:$C$37,3,FALSE)),"")</f>
        <v/>
      </c>
      <c r="AE69" s="281" t="str">
        <f>IF(N69="","",VLOOKUP(N69,'G-7 WaterC'' Data'!$B$4:$G$8,5,FALSE))</f>
        <v/>
      </c>
      <c r="AF69" s="289" t="str">
        <f t="shared" si="5"/>
        <v/>
      </c>
      <c r="AG69" s="320" t="str">
        <f t="shared" si="6"/>
        <v/>
      </c>
      <c r="AH69" s="282" t="str">
        <f t="shared" si="0"/>
        <v/>
      </c>
      <c r="AI69" s="109"/>
      <c r="AJ69" s="282" t="str">
        <f>IF(AI69="","",IF(AND(AI69="N/A - Culvert",N69&lt;&gt;"Culvert"),"Not possible ▲",IF(VLOOKUP(AI69,'G-7 WaterC'' Data'!$AA$4:$AB$7,2,FALSE)=0,"Spatial Data Missing ⚠",VLOOKUP(AI69,'G-7 WaterC'' Data'!$AA$4:$AB$7,2,FALSE))))</f>
        <v/>
      </c>
      <c r="AK69" s="110"/>
      <c r="AL69" s="282" t="str">
        <f>IF(AK69="","",IF(AND(AK69="N/A - Culvert",N69&lt;&gt;"Culvert"),"Not possible ▲",IF(VLOOKUP(AK69,'G-7 WaterC'' Data'!$AD$4:$AE$14,2,FALSE)=0,"Spatial Data Missing ⚠",VLOOKUP(AK69,'G-7 WaterC'' Data'!$AD$4:$AE$14,2,FALSE))))</f>
        <v/>
      </c>
      <c r="AM69" s="323" t="str">
        <f t="shared" si="7"/>
        <v/>
      </c>
      <c r="AN69" s="105"/>
      <c r="AO69" s="119"/>
      <c r="AP69" s="108"/>
      <c r="AS69" s="30" t="str">
        <f>IF(B69="","",IF(ISNA(VLOOKUP($B69,'C-1 On-Site WaterC'' Baseline'!$C$8:$AD$257,17,FALSE)),"",(VLOOKUP($B69,'C-1 On-Site WaterC'' Baseline'!$C$8:$AD$257,17,FALSE))))</f>
        <v/>
      </c>
      <c r="AT69" s="30" t="str">
        <f>IF(B69="","",VLOOKUP($B69,'C-1 On-Site WaterC'' Baseline'!$C$9:$Z$257,12,FALSE))</f>
        <v/>
      </c>
      <c r="AU69" s="30" t="str">
        <f>IF(B69="","",VLOOKUP($B69,'C-1 On-Site WaterC'' Baseline'!$C$9:$Z$257,14,FALSE))</f>
        <v/>
      </c>
      <c r="AV69" s="30" t="str">
        <f>IFERROR(INDEX('G-7 WaterC'' Data'!$AZ$3:$AZ$7,MATCH(N69,'G-7 WaterC'' Data'!$AY$3:$AY$7,0)),"")</f>
        <v/>
      </c>
      <c r="AX69" s="30" t="str">
        <f>IF(B69="","",VLOOKUP($B69,'C-1 On-Site WaterC'' Baseline'!$C$9:$Y$257,22,FALSE))</f>
        <v/>
      </c>
      <c r="AY69" s="30" t="str">
        <f t="shared" si="8"/>
        <v/>
      </c>
      <c r="AZ69" s="30" t="str">
        <f>IF(B69="","",VLOOKUP($B69,'C-1 On-Site WaterC'' Baseline'!$C$9:$Y$257,21,FALSE))</f>
        <v/>
      </c>
      <c r="BA69" s="30" t="str">
        <f>IF(B69="","",VLOOKUP($B69,'C-1 On-Site WaterC'' Baseline'!$C$9:$Y$257,19,FALSE))</f>
        <v/>
      </c>
      <c r="BD69" s="30" t="str">
        <f t="shared" si="9"/>
        <v>No</v>
      </c>
    </row>
    <row r="70" spans="2:56" ht="13.8" x14ac:dyDescent="0.25">
      <c r="B70" s="311" t="str">
        <f>'C-1 On-Site WaterC'' Baseline'!AP68</f>
        <v/>
      </c>
      <c r="C70" s="301" t="str">
        <f>IF(B70="","",VLOOKUP($B70,'C-1 On-Site WaterC'' Baseline'!$C$9:$R$257,2,FALSE))</f>
        <v/>
      </c>
      <c r="D70" s="301" t="str">
        <f>IF(C70="","",VLOOKUP($B70,'C-1 On-Site WaterC'' Baseline'!$C$9:$R$257,3,FALSE))</f>
        <v/>
      </c>
      <c r="E70" s="301" t="str">
        <f>IF(D70="","",VLOOKUP($B70,'C-1 On-Site WaterC'' Baseline'!$C$9:$R$257,4,FALSE))</f>
        <v/>
      </c>
      <c r="F70" s="301" t="str">
        <f>IF(E70="","",VLOOKUP($B70,'C-1 On-Site WaterC'' Baseline'!$C$9:$R$257,5,FALSE))</f>
        <v/>
      </c>
      <c r="G70" s="301" t="str">
        <f>IF(F70="","",VLOOKUP($B70,'C-1 On-Site WaterC'' Baseline'!$C$9:$R$257,6,FALSE))</f>
        <v/>
      </c>
      <c r="H70" s="301" t="str">
        <f>IF(G70="","",VLOOKUP($B70,'C-1 On-Site WaterC'' Baseline'!$C$9:$R$257,7,FALSE))</f>
        <v/>
      </c>
      <c r="I70" s="301" t="str">
        <f>IF(H70="","",VLOOKUP($B70,'C-1 On-Site WaterC'' Baseline'!$C$9:$R$257,8,FALSE))</f>
        <v/>
      </c>
      <c r="J70" s="301" t="str">
        <f>IF(I70="","",VLOOKUP($B70,'C-1 On-Site WaterC'' Baseline'!$C$9:$R$257,9,FALSE))</f>
        <v/>
      </c>
      <c r="K70" s="301" t="str">
        <f>IF(J70="","",VLOOKUP($B70,'C-1 On-Site WaterC'' Baseline'!$C$9:$R$257,10,FALSE))</f>
        <v/>
      </c>
      <c r="L70" s="301" t="str">
        <f>IF(B70="","",VLOOKUP($B70,'C-1 On-Site WaterC'' Baseline'!$C$9:$R$257,15,FALSE))</f>
        <v/>
      </c>
      <c r="M70" s="305" t="str">
        <f>IF(L70="","",VLOOKUP($B70,'C-1 On-Site WaterC'' Baseline'!$C$9:$R$257,16,FALSE))</f>
        <v/>
      </c>
      <c r="N70" s="251"/>
      <c r="O70" s="281" t="str">
        <f t="shared" si="1"/>
        <v/>
      </c>
      <c r="P70" s="282" t="str">
        <f t="shared" si="2"/>
        <v/>
      </c>
      <c r="Q70" s="342" t="str">
        <f>IF(N70="","",VLOOKUP(B70,'C-1 On-Site WaterC'' Baseline'!$C$10:$AC$257,20,FALSE))</f>
        <v/>
      </c>
      <c r="R70" s="281" t="str">
        <f>IF(N70="","",VLOOKUP(N70,'G-7 WaterC'' Data'!$B$2:$G$8,2,FALSE))</f>
        <v/>
      </c>
      <c r="S70" s="282" t="str">
        <f>IFERROR(VLOOKUP(R70,'G-7 WaterC'' Data'!$C$4:$D$8,2,FALSE),"")</f>
        <v/>
      </c>
      <c r="T70" s="105"/>
      <c r="U70" s="282" t="str">
        <f>IFERROR(INDEX('G-7 WaterC'' Data'!$H$4:$L$8,MATCH(N70,'G-7 WaterC'' Data'!$B$4:$B$8,0),MATCH(T70,'G-7 WaterC'' Data'!$H$3:$L$3,0)),"")</f>
        <v/>
      </c>
      <c r="V70" s="105"/>
      <c r="W70" s="289" t="str">
        <f>IF(V70="","",IF(VLOOKUP(V70,'G-7 WaterC'' Data'!$AK$4:$AM$6,2,FALSE)=0,"Spatial Data Missing ⚠",VLOOKUP(V70,'G-7 WaterC'' Data'!$AK$4:$AM$6,2,FALSE)))</f>
        <v/>
      </c>
      <c r="X70" s="282" t="str">
        <f>IF(V70="","",IF(VLOOKUP(V70,'G-7 WaterC'' Data'!$AK$4:$AM$6,3,FALSE)=0,"Spatial Data Missing ⚠",VLOOKUP(V70,'G-7 WaterC'' Data'!$AK$4:$AM$6,3,FALSE)))</f>
        <v/>
      </c>
      <c r="Y70" s="281" t="str">
        <f>IFERROR(IF(OR(LEFT(P70,5)="Error",LEFT(O70,5)="Error"),"Check Data ⚠",IF(F70&lt;S70,'G-7 WaterC'' Data'!$R$3,INDEX('G-7 WaterC'' Data'!$U$5:$Y$9,MATCH(G70,'G-7 WaterC'' Data'!$T$5:$T$9,0),MATCH(T70,'G-7 WaterC'' Data'!$U$4:$Y$4,0)))),"")</f>
        <v/>
      </c>
      <c r="Z70" s="137"/>
      <c r="AA70" s="137"/>
      <c r="AB70" s="289" t="str">
        <f t="shared" si="3"/>
        <v/>
      </c>
      <c r="AC70" s="302" t="str">
        <f t="shared" si="4"/>
        <v/>
      </c>
      <c r="AD70" s="340" t="str">
        <f>IFERROR(IF(AC70="Check Data ⚠","Check Data ⚠",VLOOKUP(AC70,'G-4 Temporal multipliers'!$A$4:$C$37,3,FALSE)),"")</f>
        <v/>
      </c>
      <c r="AE70" s="281" t="str">
        <f>IF(N70="","",VLOOKUP(N70,'G-7 WaterC'' Data'!$B$4:$G$8,5,FALSE))</f>
        <v/>
      </c>
      <c r="AF70" s="289" t="str">
        <f t="shared" si="5"/>
        <v/>
      </c>
      <c r="AG70" s="320" t="str">
        <f t="shared" si="6"/>
        <v/>
      </c>
      <c r="AH70" s="282" t="str">
        <f t="shared" si="0"/>
        <v/>
      </c>
      <c r="AI70" s="109"/>
      <c r="AJ70" s="282" t="str">
        <f>IF(AI70="","",IF(AND(AI70="N/A - Culvert",N70&lt;&gt;"Culvert"),"Not possible ▲",IF(VLOOKUP(AI70,'G-7 WaterC'' Data'!$AA$4:$AB$7,2,FALSE)=0,"Spatial Data Missing ⚠",VLOOKUP(AI70,'G-7 WaterC'' Data'!$AA$4:$AB$7,2,FALSE))))</f>
        <v/>
      </c>
      <c r="AK70" s="110"/>
      <c r="AL70" s="282" t="str">
        <f>IF(AK70="","",IF(AND(AK70="N/A - Culvert",N70&lt;&gt;"Culvert"),"Not possible ▲",IF(VLOOKUP(AK70,'G-7 WaterC'' Data'!$AD$4:$AE$14,2,FALSE)=0,"Spatial Data Missing ⚠",VLOOKUP(AK70,'G-7 WaterC'' Data'!$AD$4:$AE$14,2,FALSE))))</f>
        <v/>
      </c>
      <c r="AM70" s="323" t="str">
        <f t="shared" si="7"/>
        <v/>
      </c>
      <c r="AN70" s="105"/>
      <c r="AO70" s="119"/>
      <c r="AP70" s="108"/>
      <c r="AS70" s="30" t="str">
        <f>IF(B70="","",IF(ISNA(VLOOKUP($B70,'C-1 On-Site WaterC'' Baseline'!$C$8:$AD$257,17,FALSE)),"",(VLOOKUP($B70,'C-1 On-Site WaterC'' Baseline'!$C$8:$AD$257,17,FALSE))))</f>
        <v/>
      </c>
      <c r="AT70" s="30" t="str">
        <f>IF(B70="","",VLOOKUP($B70,'C-1 On-Site WaterC'' Baseline'!$C$9:$Z$257,12,FALSE))</f>
        <v/>
      </c>
      <c r="AU70" s="30" t="str">
        <f>IF(B70="","",VLOOKUP($B70,'C-1 On-Site WaterC'' Baseline'!$C$9:$Z$257,14,FALSE))</f>
        <v/>
      </c>
      <c r="AV70" s="30" t="str">
        <f>IFERROR(INDEX('G-7 WaterC'' Data'!$AZ$3:$AZ$7,MATCH(N70,'G-7 WaterC'' Data'!$AY$3:$AY$7,0)),"")</f>
        <v/>
      </c>
      <c r="AX70" s="30" t="str">
        <f>IF(B70="","",VLOOKUP($B70,'C-1 On-Site WaterC'' Baseline'!$C$9:$Y$257,22,FALSE))</f>
        <v/>
      </c>
      <c r="AY70" s="30" t="str">
        <f t="shared" si="8"/>
        <v/>
      </c>
      <c r="AZ70" s="30" t="str">
        <f>IF(B70="","",VLOOKUP($B70,'C-1 On-Site WaterC'' Baseline'!$C$9:$Y$257,21,FALSE))</f>
        <v/>
      </c>
      <c r="BA70" s="30" t="str">
        <f>IF(B70="","",VLOOKUP($B70,'C-1 On-Site WaterC'' Baseline'!$C$9:$Y$257,19,FALSE))</f>
        <v/>
      </c>
      <c r="BD70" s="30" t="str">
        <f t="shared" si="9"/>
        <v>No</v>
      </c>
    </row>
    <row r="71" spans="2:56" ht="13.8" x14ac:dyDescent="0.25">
      <c r="B71" s="311" t="str">
        <f>'C-1 On-Site WaterC'' Baseline'!AP69</f>
        <v/>
      </c>
      <c r="C71" s="301" t="str">
        <f>IF(B71="","",VLOOKUP($B71,'C-1 On-Site WaterC'' Baseline'!$C$9:$R$257,2,FALSE))</f>
        <v/>
      </c>
      <c r="D71" s="301" t="str">
        <f>IF(C71="","",VLOOKUP($B71,'C-1 On-Site WaterC'' Baseline'!$C$9:$R$257,3,FALSE))</f>
        <v/>
      </c>
      <c r="E71" s="301" t="str">
        <f>IF(D71="","",VLOOKUP($B71,'C-1 On-Site WaterC'' Baseline'!$C$9:$R$257,4,FALSE))</f>
        <v/>
      </c>
      <c r="F71" s="301" t="str">
        <f>IF(E71="","",VLOOKUP($B71,'C-1 On-Site WaterC'' Baseline'!$C$9:$R$257,5,FALSE))</f>
        <v/>
      </c>
      <c r="G71" s="301" t="str">
        <f>IF(F71="","",VLOOKUP($B71,'C-1 On-Site WaterC'' Baseline'!$C$9:$R$257,6,FALSE))</f>
        <v/>
      </c>
      <c r="H71" s="301" t="str">
        <f>IF(G71="","",VLOOKUP($B71,'C-1 On-Site WaterC'' Baseline'!$C$9:$R$257,7,FALSE))</f>
        <v/>
      </c>
      <c r="I71" s="301" t="str">
        <f>IF(H71="","",VLOOKUP($B71,'C-1 On-Site WaterC'' Baseline'!$C$9:$R$257,8,FALSE))</f>
        <v/>
      </c>
      <c r="J71" s="301" t="str">
        <f>IF(I71="","",VLOOKUP($B71,'C-1 On-Site WaterC'' Baseline'!$C$9:$R$257,9,FALSE))</f>
        <v/>
      </c>
      <c r="K71" s="301" t="str">
        <f>IF(J71="","",VLOOKUP($B71,'C-1 On-Site WaterC'' Baseline'!$C$9:$R$257,10,FALSE))</f>
        <v/>
      </c>
      <c r="L71" s="301" t="str">
        <f>IF(B71="","",VLOOKUP($B71,'C-1 On-Site WaterC'' Baseline'!$C$9:$R$257,15,FALSE))</f>
        <v/>
      </c>
      <c r="M71" s="305" t="str">
        <f>IF(L71="","",VLOOKUP($B71,'C-1 On-Site WaterC'' Baseline'!$C$9:$R$257,16,FALSE))</f>
        <v/>
      </c>
      <c r="N71" s="251"/>
      <c r="O71" s="281" t="str">
        <f t="shared" si="1"/>
        <v/>
      </c>
      <c r="P71" s="282" t="str">
        <f t="shared" si="2"/>
        <v/>
      </c>
      <c r="Q71" s="342" t="str">
        <f>IF(N71="","",VLOOKUP(B71,'C-1 On-Site WaterC'' Baseline'!$C$10:$AC$257,20,FALSE))</f>
        <v/>
      </c>
      <c r="R71" s="281" t="str">
        <f>IF(N71="","",VLOOKUP(N71,'G-7 WaterC'' Data'!$B$2:$G$8,2,FALSE))</f>
        <v/>
      </c>
      <c r="S71" s="282" t="str">
        <f>IFERROR(VLOOKUP(R71,'G-7 WaterC'' Data'!$C$4:$D$8,2,FALSE),"")</f>
        <v/>
      </c>
      <c r="T71" s="105"/>
      <c r="U71" s="282" t="str">
        <f>IFERROR(INDEX('G-7 WaterC'' Data'!$H$4:$L$8,MATCH(N71,'G-7 WaterC'' Data'!$B$4:$B$8,0),MATCH(T71,'G-7 WaterC'' Data'!$H$3:$L$3,0)),"")</f>
        <v/>
      </c>
      <c r="V71" s="105"/>
      <c r="W71" s="289" t="str">
        <f>IF(V71="","",IF(VLOOKUP(V71,'G-7 WaterC'' Data'!$AK$4:$AM$6,2,FALSE)=0,"Spatial Data Missing ⚠",VLOOKUP(V71,'G-7 WaterC'' Data'!$AK$4:$AM$6,2,FALSE)))</f>
        <v/>
      </c>
      <c r="X71" s="282" t="str">
        <f>IF(V71="","",IF(VLOOKUP(V71,'G-7 WaterC'' Data'!$AK$4:$AM$6,3,FALSE)=0,"Spatial Data Missing ⚠",VLOOKUP(V71,'G-7 WaterC'' Data'!$AK$4:$AM$6,3,FALSE)))</f>
        <v/>
      </c>
      <c r="Y71" s="281" t="str">
        <f>IFERROR(IF(OR(LEFT(P71,5)="Error",LEFT(O71,5)="Error"),"Check Data ⚠",IF(F71&lt;S71,'G-7 WaterC'' Data'!$R$3,INDEX('G-7 WaterC'' Data'!$U$5:$Y$9,MATCH(G71,'G-7 WaterC'' Data'!$T$5:$T$9,0),MATCH(T71,'G-7 WaterC'' Data'!$U$4:$Y$4,0)))),"")</f>
        <v/>
      </c>
      <c r="Z71" s="137"/>
      <c r="AA71" s="137"/>
      <c r="AB71" s="289" t="str">
        <f t="shared" si="3"/>
        <v/>
      </c>
      <c r="AC71" s="302" t="str">
        <f t="shared" si="4"/>
        <v/>
      </c>
      <c r="AD71" s="340" t="str">
        <f>IFERROR(IF(AC71="Check Data ⚠","Check Data ⚠",VLOOKUP(AC71,'G-4 Temporal multipliers'!$A$4:$C$37,3,FALSE)),"")</f>
        <v/>
      </c>
      <c r="AE71" s="281" t="str">
        <f>IF(N71="","",VLOOKUP(N71,'G-7 WaterC'' Data'!$B$4:$G$8,5,FALSE))</f>
        <v/>
      </c>
      <c r="AF71" s="289" t="str">
        <f t="shared" si="5"/>
        <v/>
      </c>
      <c r="AG71" s="320" t="str">
        <f t="shared" si="6"/>
        <v/>
      </c>
      <c r="AH71" s="282" t="str">
        <f t="shared" si="0"/>
        <v/>
      </c>
      <c r="AI71" s="109"/>
      <c r="AJ71" s="282" t="str">
        <f>IF(AI71="","",IF(AND(AI71="N/A - Culvert",N71&lt;&gt;"Culvert"),"Not possible ▲",IF(VLOOKUP(AI71,'G-7 WaterC'' Data'!$AA$4:$AB$7,2,FALSE)=0,"Spatial Data Missing ⚠",VLOOKUP(AI71,'G-7 WaterC'' Data'!$AA$4:$AB$7,2,FALSE))))</f>
        <v/>
      </c>
      <c r="AK71" s="110"/>
      <c r="AL71" s="282" t="str">
        <f>IF(AK71="","",IF(AND(AK71="N/A - Culvert",N71&lt;&gt;"Culvert"),"Not possible ▲",IF(VLOOKUP(AK71,'G-7 WaterC'' Data'!$AD$4:$AE$14,2,FALSE)=0,"Spatial Data Missing ⚠",VLOOKUP(AK71,'G-7 WaterC'' Data'!$AD$4:$AE$14,2,FALSE))))</f>
        <v/>
      </c>
      <c r="AM71" s="323" t="str">
        <f t="shared" si="7"/>
        <v/>
      </c>
      <c r="AN71" s="105"/>
      <c r="AO71" s="119"/>
      <c r="AP71" s="108"/>
      <c r="AS71" s="30" t="str">
        <f>IF(B71="","",IF(ISNA(VLOOKUP($B71,'C-1 On-Site WaterC'' Baseline'!$C$8:$AD$257,17,FALSE)),"",(VLOOKUP($B71,'C-1 On-Site WaterC'' Baseline'!$C$8:$AD$257,17,FALSE))))</f>
        <v/>
      </c>
      <c r="AT71" s="30" t="str">
        <f>IF(B71="","",VLOOKUP($B71,'C-1 On-Site WaterC'' Baseline'!$C$9:$Z$257,12,FALSE))</f>
        <v/>
      </c>
      <c r="AU71" s="30" t="str">
        <f>IF(B71="","",VLOOKUP($B71,'C-1 On-Site WaterC'' Baseline'!$C$9:$Z$257,14,FALSE))</f>
        <v/>
      </c>
      <c r="AV71" s="30" t="str">
        <f>IFERROR(INDEX('G-7 WaterC'' Data'!$AZ$3:$AZ$7,MATCH(N71,'G-7 WaterC'' Data'!$AY$3:$AY$7,0)),"")</f>
        <v/>
      </c>
      <c r="AX71" s="30" t="str">
        <f>IF(B71="","",VLOOKUP($B71,'C-1 On-Site WaterC'' Baseline'!$C$9:$Y$257,22,FALSE))</f>
        <v/>
      </c>
      <c r="AY71" s="30" t="str">
        <f t="shared" si="8"/>
        <v/>
      </c>
      <c r="AZ71" s="30" t="str">
        <f>IF(B71="","",VLOOKUP($B71,'C-1 On-Site WaterC'' Baseline'!$C$9:$Y$257,21,FALSE))</f>
        <v/>
      </c>
      <c r="BA71" s="30" t="str">
        <f>IF(B71="","",VLOOKUP($B71,'C-1 On-Site WaterC'' Baseline'!$C$9:$Y$257,19,FALSE))</f>
        <v/>
      </c>
      <c r="BD71" s="30" t="str">
        <f t="shared" si="9"/>
        <v>No</v>
      </c>
    </row>
    <row r="72" spans="2:56" ht="13.8" x14ac:dyDescent="0.25">
      <c r="B72" s="311" t="str">
        <f>'C-1 On-Site WaterC'' Baseline'!AP70</f>
        <v/>
      </c>
      <c r="C72" s="301" t="str">
        <f>IF(B72="","",VLOOKUP($B72,'C-1 On-Site WaterC'' Baseline'!$C$9:$R$257,2,FALSE))</f>
        <v/>
      </c>
      <c r="D72" s="301" t="str">
        <f>IF(C72="","",VLOOKUP($B72,'C-1 On-Site WaterC'' Baseline'!$C$9:$R$257,3,FALSE))</f>
        <v/>
      </c>
      <c r="E72" s="301" t="str">
        <f>IF(D72="","",VLOOKUP($B72,'C-1 On-Site WaterC'' Baseline'!$C$9:$R$257,4,FALSE))</f>
        <v/>
      </c>
      <c r="F72" s="301" t="str">
        <f>IF(E72="","",VLOOKUP($B72,'C-1 On-Site WaterC'' Baseline'!$C$9:$R$257,5,FALSE))</f>
        <v/>
      </c>
      <c r="G72" s="301" t="str">
        <f>IF(F72="","",VLOOKUP($B72,'C-1 On-Site WaterC'' Baseline'!$C$9:$R$257,6,FALSE))</f>
        <v/>
      </c>
      <c r="H72" s="301" t="str">
        <f>IF(G72="","",VLOOKUP($B72,'C-1 On-Site WaterC'' Baseline'!$C$9:$R$257,7,FALSE))</f>
        <v/>
      </c>
      <c r="I72" s="301" t="str">
        <f>IF(H72="","",VLOOKUP($B72,'C-1 On-Site WaterC'' Baseline'!$C$9:$R$257,8,FALSE))</f>
        <v/>
      </c>
      <c r="J72" s="301" t="str">
        <f>IF(I72="","",VLOOKUP($B72,'C-1 On-Site WaterC'' Baseline'!$C$9:$R$257,9,FALSE))</f>
        <v/>
      </c>
      <c r="K72" s="301" t="str">
        <f>IF(J72="","",VLOOKUP($B72,'C-1 On-Site WaterC'' Baseline'!$C$9:$R$257,10,FALSE))</f>
        <v/>
      </c>
      <c r="L72" s="301" t="str">
        <f>IF(B72="","",VLOOKUP($B72,'C-1 On-Site WaterC'' Baseline'!$C$9:$R$257,15,FALSE))</f>
        <v/>
      </c>
      <c r="M72" s="305" t="str">
        <f>IF(L72="","",VLOOKUP($B72,'C-1 On-Site WaterC'' Baseline'!$C$9:$R$257,16,FALSE))</f>
        <v/>
      </c>
      <c r="N72" s="251"/>
      <c r="O72" s="281" t="str">
        <f t="shared" si="1"/>
        <v/>
      </c>
      <c r="P72" s="282" t="str">
        <f t="shared" si="2"/>
        <v/>
      </c>
      <c r="Q72" s="342" t="str">
        <f>IF(N72="","",VLOOKUP(B72,'C-1 On-Site WaterC'' Baseline'!$C$10:$AC$257,20,FALSE))</f>
        <v/>
      </c>
      <c r="R72" s="281" t="str">
        <f>IF(N72="","",VLOOKUP(N72,'G-7 WaterC'' Data'!$B$2:$G$8,2,FALSE))</f>
        <v/>
      </c>
      <c r="S72" s="282" t="str">
        <f>IFERROR(VLOOKUP(R72,'G-7 WaterC'' Data'!$C$4:$D$8,2,FALSE),"")</f>
        <v/>
      </c>
      <c r="T72" s="105"/>
      <c r="U72" s="282" t="str">
        <f>IFERROR(INDEX('G-7 WaterC'' Data'!$H$4:$L$8,MATCH(N72,'G-7 WaterC'' Data'!$B$4:$B$8,0),MATCH(T72,'G-7 WaterC'' Data'!$H$3:$L$3,0)),"")</f>
        <v/>
      </c>
      <c r="V72" s="105"/>
      <c r="W72" s="289" t="str">
        <f>IF(V72="","",IF(VLOOKUP(V72,'G-7 WaterC'' Data'!$AK$4:$AM$6,2,FALSE)=0,"Spatial Data Missing ⚠",VLOOKUP(V72,'G-7 WaterC'' Data'!$AK$4:$AM$6,2,FALSE)))</f>
        <v/>
      </c>
      <c r="X72" s="282" t="str">
        <f>IF(V72="","",IF(VLOOKUP(V72,'G-7 WaterC'' Data'!$AK$4:$AM$6,3,FALSE)=0,"Spatial Data Missing ⚠",VLOOKUP(V72,'G-7 WaterC'' Data'!$AK$4:$AM$6,3,FALSE)))</f>
        <v/>
      </c>
      <c r="Y72" s="281" t="str">
        <f>IFERROR(IF(OR(LEFT(P72,5)="Error",LEFT(O72,5)="Error"),"Check Data ⚠",IF(F72&lt;S72,'G-7 WaterC'' Data'!$R$3,INDEX('G-7 WaterC'' Data'!$U$5:$Y$9,MATCH(G72,'G-7 WaterC'' Data'!$T$5:$T$9,0),MATCH(T72,'G-7 WaterC'' Data'!$U$4:$Y$4,0)))),"")</f>
        <v/>
      </c>
      <c r="Z72" s="137"/>
      <c r="AA72" s="137"/>
      <c r="AB72" s="289" t="str">
        <f t="shared" si="3"/>
        <v/>
      </c>
      <c r="AC72" s="302" t="str">
        <f t="shared" si="4"/>
        <v/>
      </c>
      <c r="AD72" s="340" t="str">
        <f>IFERROR(IF(AC72="Check Data ⚠","Check Data ⚠",VLOOKUP(AC72,'G-4 Temporal multipliers'!$A$4:$C$37,3,FALSE)),"")</f>
        <v/>
      </c>
      <c r="AE72" s="281" t="str">
        <f>IF(N72="","",VLOOKUP(N72,'G-7 WaterC'' Data'!$B$4:$G$8,5,FALSE))</f>
        <v/>
      </c>
      <c r="AF72" s="289" t="str">
        <f t="shared" si="5"/>
        <v/>
      </c>
      <c r="AG72" s="320" t="str">
        <f t="shared" si="6"/>
        <v/>
      </c>
      <c r="AH72" s="282" t="str">
        <f t="shared" si="0"/>
        <v/>
      </c>
      <c r="AI72" s="109"/>
      <c r="AJ72" s="282" t="str">
        <f>IF(AI72="","",IF(AND(AI72="N/A - Culvert",N72&lt;&gt;"Culvert"),"Not possible ▲",IF(VLOOKUP(AI72,'G-7 WaterC'' Data'!$AA$4:$AB$7,2,FALSE)=0,"Spatial Data Missing ⚠",VLOOKUP(AI72,'G-7 WaterC'' Data'!$AA$4:$AB$7,2,FALSE))))</f>
        <v/>
      </c>
      <c r="AK72" s="110"/>
      <c r="AL72" s="282" t="str">
        <f>IF(AK72="","",IF(AND(AK72="N/A - Culvert",N72&lt;&gt;"Culvert"),"Not possible ▲",IF(VLOOKUP(AK72,'G-7 WaterC'' Data'!$AD$4:$AE$14,2,FALSE)=0,"Spatial Data Missing ⚠",VLOOKUP(AK72,'G-7 WaterC'' Data'!$AD$4:$AE$14,2,FALSE))))</f>
        <v/>
      </c>
      <c r="AM72" s="323" t="str">
        <f t="shared" si="7"/>
        <v/>
      </c>
      <c r="AN72" s="105"/>
      <c r="AO72" s="119"/>
      <c r="AP72" s="108"/>
      <c r="AS72" s="30" t="str">
        <f>IF(B72="","",IF(ISNA(VLOOKUP($B72,'C-1 On-Site WaterC'' Baseline'!$C$8:$AD$257,17,FALSE)),"",(VLOOKUP($B72,'C-1 On-Site WaterC'' Baseline'!$C$8:$AD$257,17,FALSE))))</f>
        <v/>
      </c>
      <c r="AT72" s="30" t="str">
        <f>IF(B72="","",VLOOKUP($B72,'C-1 On-Site WaterC'' Baseline'!$C$9:$Z$257,12,FALSE))</f>
        <v/>
      </c>
      <c r="AU72" s="30" t="str">
        <f>IF(B72="","",VLOOKUP($B72,'C-1 On-Site WaterC'' Baseline'!$C$9:$Z$257,14,FALSE))</f>
        <v/>
      </c>
      <c r="AV72" s="30" t="str">
        <f>IFERROR(INDEX('G-7 WaterC'' Data'!$AZ$3:$AZ$7,MATCH(N72,'G-7 WaterC'' Data'!$AY$3:$AY$7,0)),"")</f>
        <v/>
      </c>
      <c r="AX72" s="30" t="str">
        <f>IF(B72="","",VLOOKUP($B72,'C-1 On-Site WaterC'' Baseline'!$C$9:$Y$257,22,FALSE))</f>
        <v/>
      </c>
      <c r="AY72" s="30" t="str">
        <f t="shared" si="8"/>
        <v/>
      </c>
      <c r="AZ72" s="30" t="str">
        <f>IF(B72="","",VLOOKUP($B72,'C-1 On-Site WaterC'' Baseline'!$C$9:$Y$257,21,FALSE))</f>
        <v/>
      </c>
      <c r="BA72" s="30" t="str">
        <f>IF(B72="","",VLOOKUP($B72,'C-1 On-Site WaterC'' Baseline'!$C$9:$Y$257,19,FALSE))</f>
        <v/>
      </c>
      <c r="BD72" s="30" t="str">
        <f t="shared" si="9"/>
        <v>No</v>
      </c>
    </row>
    <row r="73" spans="2:56" ht="13.8" x14ac:dyDescent="0.25">
      <c r="B73" s="311" t="str">
        <f>'C-1 On-Site WaterC'' Baseline'!AP71</f>
        <v/>
      </c>
      <c r="C73" s="301" t="str">
        <f>IF(B73="","",VLOOKUP($B73,'C-1 On-Site WaterC'' Baseline'!$C$9:$R$257,2,FALSE))</f>
        <v/>
      </c>
      <c r="D73" s="301" t="str">
        <f>IF(C73="","",VLOOKUP($B73,'C-1 On-Site WaterC'' Baseline'!$C$9:$R$257,3,FALSE))</f>
        <v/>
      </c>
      <c r="E73" s="301" t="str">
        <f>IF(D73="","",VLOOKUP($B73,'C-1 On-Site WaterC'' Baseline'!$C$9:$R$257,4,FALSE))</f>
        <v/>
      </c>
      <c r="F73" s="301" t="str">
        <f>IF(E73="","",VLOOKUP($B73,'C-1 On-Site WaterC'' Baseline'!$C$9:$R$257,5,FALSE))</f>
        <v/>
      </c>
      <c r="G73" s="301" t="str">
        <f>IF(F73="","",VLOOKUP($B73,'C-1 On-Site WaterC'' Baseline'!$C$9:$R$257,6,FALSE))</f>
        <v/>
      </c>
      <c r="H73" s="301" t="str">
        <f>IF(G73="","",VLOOKUP($B73,'C-1 On-Site WaterC'' Baseline'!$C$9:$R$257,7,FALSE))</f>
        <v/>
      </c>
      <c r="I73" s="301" t="str">
        <f>IF(H73="","",VLOOKUP($B73,'C-1 On-Site WaterC'' Baseline'!$C$9:$R$257,8,FALSE))</f>
        <v/>
      </c>
      <c r="J73" s="301" t="str">
        <f>IF(I73="","",VLOOKUP($B73,'C-1 On-Site WaterC'' Baseline'!$C$9:$R$257,9,FALSE))</f>
        <v/>
      </c>
      <c r="K73" s="301" t="str">
        <f>IF(J73="","",VLOOKUP($B73,'C-1 On-Site WaterC'' Baseline'!$C$9:$R$257,10,FALSE))</f>
        <v/>
      </c>
      <c r="L73" s="301" t="str">
        <f>IF(B73="","",VLOOKUP($B73,'C-1 On-Site WaterC'' Baseline'!$C$9:$R$257,15,FALSE))</f>
        <v/>
      </c>
      <c r="M73" s="305" t="str">
        <f>IF(L73="","",VLOOKUP($B73,'C-1 On-Site WaterC'' Baseline'!$C$9:$R$257,16,FALSE))</f>
        <v/>
      </c>
      <c r="N73" s="251"/>
      <c r="O73" s="281" t="str">
        <f t="shared" si="1"/>
        <v/>
      </c>
      <c r="P73" s="282" t="str">
        <f t="shared" si="2"/>
        <v/>
      </c>
      <c r="Q73" s="342" t="str">
        <f>IF(N73="","",VLOOKUP(B73,'C-1 On-Site WaterC'' Baseline'!$C$10:$AC$257,20,FALSE))</f>
        <v/>
      </c>
      <c r="R73" s="281" t="str">
        <f>IF(N73="","",VLOOKUP(N73,'G-7 WaterC'' Data'!$B$2:$G$8,2,FALSE))</f>
        <v/>
      </c>
      <c r="S73" s="282" t="str">
        <f>IFERROR(VLOOKUP(R73,'G-7 WaterC'' Data'!$C$4:$D$8,2,FALSE),"")</f>
        <v/>
      </c>
      <c r="T73" s="105"/>
      <c r="U73" s="282" t="str">
        <f>IFERROR(INDEX('G-7 WaterC'' Data'!$H$4:$L$8,MATCH(N73,'G-7 WaterC'' Data'!$B$4:$B$8,0),MATCH(T73,'G-7 WaterC'' Data'!$H$3:$L$3,0)),"")</f>
        <v/>
      </c>
      <c r="V73" s="105"/>
      <c r="W73" s="289" t="str">
        <f>IF(V73="","",IF(VLOOKUP(V73,'G-7 WaterC'' Data'!$AK$4:$AM$6,2,FALSE)=0,"Spatial Data Missing ⚠",VLOOKUP(V73,'G-7 WaterC'' Data'!$AK$4:$AM$6,2,FALSE)))</f>
        <v/>
      </c>
      <c r="X73" s="282" t="str">
        <f>IF(V73="","",IF(VLOOKUP(V73,'G-7 WaterC'' Data'!$AK$4:$AM$6,3,FALSE)=0,"Spatial Data Missing ⚠",VLOOKUP(V73,'G-7 WaterC'' Data'!$AK$4:$AM$6,3,FALSE)))</f>
        <v/>
      </c>
      <c r="Y73" s="281" t="str">
        <f>IFERROR(IF(OR(LEFT(P73,5)="Error",LEFT(O73,5)="Error"),"Check Data ⚠",IF(F73&lt;S73,'G-7 WaterC'' Data'!$R$3,INDEX('G-7 WaterC'' Data'!$U$5:$Y$9,MATCH(G73,'G-7 WaterC'' Data'!$T$5:$T$9,0),MATCH(T73,'G-7 WaterC'' Data'!$U$4:$Y$4,0)))),"")</f>
        <v/>
      </c>
      <c r="Z73" s="137"/>
      <c r="AA73" s="137"/>
      <c r="AB73" s="289" t="str">
        <f t="shared" si="3"/>
        <v/>
      </c>
      <c r="AC73" s="302" t="str">
        <f t="shared" si="4"/>
        <v/>
      </c>
      <c r="AD73" s="340" t="str">
        <f>IFERROR(IF(AC73="Check Data ⚠","Check Data ⚠",VLOOKUP(AC73,'G-4 Temporal multipliers'!$A$4:$C$37,3,FALSE)),"")</f>
        <v/>
      </c>
      <c r="AE73" s="281" t="str">
        <f>IF(N73="","",VLOOKUP(N73,'G-7 WaterC'' Data'!$B$4:$G$8,5,FALSE))</f>
        <v/>
      </c>
      <c r="AF73" s="289" t="str">
        <f t="shared" si="5"/>
        <v/>
      </c>
      <c r="AG73" s="320" t="str">
        <f t="shared" si="6"/>
        <v/>
      </c>
      <c r="AH73" s="282" t="str">
        <f t="shared" si="0"/>
        <v/>
      </c>
      <c r="AI73" s="109"/>
      <c r="AJ73" s="282" t="str">
        <f>IF(AI73="","",IF(AND(AI73="N/A - Culvert",N73&lt;&gt;"Culvert"),"Not possible ▲",IF(VLOOKUP(AI73,'G-7 WaterC'' Data'!$AA$4:$AB$7,2,FALSE)=0,"Spatial Data Missing ⚠",VLOOKUP(AI73,'G-7 WaterC'' Data'!$AA$4:$AB$7,2,FALSE))))</f>
        <v/>
      </c>
      <c r="AK73" s="110"/>
      <c r="AL73" s="282" t="str">
        <f>IF(AK73="","",IF(AND(AK73="N/A - Culvert",N73&lt;&gt;"Culvert"),"Not possible ▲",IF(VLOOKUP(AK73,'G-7 WaterC'' Data'!$AD$4:$AE$14,2,FALSE)=0,"Spatial Data Missing ⚠",VLOOKUP(AK73,'G-7 WaterC'' Data'!$AD$4:$AE$14,2,FALSE))))</f>
        <v/>
      </c>
      <c r="AM73" s="323" t="str">
        <f t="shared" si="7"/>
        <v/>
      </c>
      <c r="AN73" s="105"/>
      <c r="AO73" s="119"/>
      <c r="AP73" s="108"/>
      <c r="AS73" s="30" t="str">
        <f>IF(B73="","",IF(ISNA(VLOOKUP($B73,'C-1 On-Site WaterC'' Baseline'!$C$8:$AD$257,17,FALSE)),"",(VLOOKUP($B73,'C-1 On-Site WaterC'' Baseline'!$C$8:$AD$257,17,FALSE))))</f>
        <v/>
      </c>
      <c r="AT73" s="30" t="str">
        <f>IF(B73="","",VLOOKUP($B73,'C-1 On-Site WaterC'' Baseline'!$C$9:$Z$257,12,FALSE))</f>
        <v/>
      </c>
      <c r="AU73" s="30" t="str">
        <f>IF(B73="","",VLOOKUP($B73,'C-1 On-Site WaterC'' Baseline'!$C$9:$Z$257,14,FALSE))</f>
        <v/>
      </c>
      <c r="AV73" s="30" t="str">
        <f>IFERROR(INDEX('G-7 WaterC'' Data'!$AZ$3:$AZ$7,MATCH(N73,'G-7 WaterC'' Data'!$AY$3:$AY$7,0)),"")</f>
        <v/>
      </c>
      <c r="AX73" s="30" t="str">
        <f>IF(B73="","",VLOOKUP($B73,'C-1 On-Site WaterC'' Baseline'!$C$9:$Y$257,22,FALSE))</f>
        <v/>
      </c>
      <c r="AY73" s="30" t="str">
        <f t="shared" si="8"/>
        <v/>
      </c>
      <c r="AZ73" s="30" t="str">
        <f>IF(B73="","",VLOOKUP($B73,'C-1 On-Site WaterC'' Baseline'!$C$9:$Y$257,21,FALSE))</f>
        <v/>
      </c>
      <c r="BA73" s="30" t="str">
        <f>IF(B73="","",VLOOKUP($B73,'C-1 On-Site WaterC'' Baseline'!$C$9:$Y$257,19,FALSE))</f>
        <v/>
      </c>
      <c r="BD73" s="30" t="str">
        <f t="shared" si="9"/>
        <v>No</v>
      </c>
    </row>
    <row r="74" spans="2:56" ht="13.8" x14ac:dyDescent="0.25">
      <c r="B74" s="311" t="str">
        <f>'C-1 On-Site WaterC'' Baseline'!AP72</f>
        <v/>
      </c>
      <c r="C74" s="301" t="str">
        <f>IF(B74="","",VLOOKUP($B74,'C-1 On-Site WaterC'' Baseline'!$C$9:$R$257,2,FALSE))</f>
        <v/>
      </c>
      <c r="D74" s="301" t="str">
        <f>IF(C74="","",VLOOKUP($B74,'C-1 On-Site WaterC'' Baseline'!$C$9:$R$257,3,FALSE))</f>
        <v/>
      </c>
      <c r="E74" s="301" t="str">
        <f>IF(D74="","",VLOOKUP($B74,'C-1 On-Site WaterC'' Baseline'!$C$9:$R$257,4,FALSE))</f>
        <v/>
      </c>
      <c r="F74" s="301" t="str">
        <f>IF(E74="","",VLOOKUP($B74,'C-1 On-Site WaterC'' Baseline'!$C$9:$R$257,5,FALSE))</f>
        <v/>
      </c>
      <c r="G74" s="301" t="str">
        <f>IF(F74="","",VLOOKUP($B74,'C-1 On-Site WaterC'' Baseline'!$C$9:$R$257,6,FALSE))</f>
        <v/>
      </c>
      <c r="H74" s="301" t="str">
        <f>IF(G74="","",VLOOKUP($B74,'C-1 On-Site WaterC'' Baseline'!$C$9:$R$257,7,FALSE))</f>
        <v/>
      </c>
      <c r="I74" s="301" t="str">
        <f>IF(H74="","",VLOOKUP($B74,'C-1 On-Site WaterC'' Baseline'!$C$9:$R$257,8,FALSE))</f>
        <v/>
      </c>
      <c r="J74" s="301" t="str">
        <f>IF(I74="","",VLOOKUP($B74,'C-1 On-Site WaterC'' Baseline'!$C$9:$R$257,9,FALSE))</f>
        <v/>
      </c>
      <c r="K74" s="301" t="str">
        <f>IF(J74="","",VLOOKUP($B74,'C-1 On-Site WaterC'' Baseline'!$C$9:$R$257,10,FALSE))</f>
        <v/>
      </c>
      <c r="L74" s="301" t="str">
        <f>IF(B74="","",VLOOKUP($B74,'C-1 On-Site WaterC'' Baseline'!$C$9:$R$257,15,FALSE))</f>
        <v/>
      </c>
      <c r="M74" s="305" t="str">
        <f>IF(L74="","",VLOOKUP($B74,'C-1 On-Site WaterC'' Baseline'!$C$9:$R$257,16,FALSE))</f>
        <v/>
      </c>
      <c r="N74" s="251"/>
      <c r="O74" s="281" t="str">
        <f t="shared" si="1"/>
        <v/>
      </c>
      <c r="P74" s="282" t="str">
        <f t="shared" si="2"/>
        <v/>
      </c>
      <c r="Q74" s="342" t="str">
        <f>IF(N74="","",VLOOKUP(B74,'C-1 On-Site WaterC'' Baseline'!$C$10:$AC$257,20,FALSE))</f>
        <v/>
      </c>
      <c r="R74" s="281" t="str">
        <f>IF(N74="","",VLOOKUP(N74,'G-7 WaterC'' Data'!$B$2:$G$8,2,FALSE))</f>
        <v/>
      </c>
      <c r="S74" s="282" t="str">
        <f>IFERROR(VLOOKUP(R74,'G-7 WaterC'' Data'!$C$4:$D$8,2,FALSE),"")</f>
        <v/>
      </c>
      <c r="T74" s="105"/>
      <c r="U74" s="282" t="str">
        <f>IFERROR(INDEX('G-7 WaterC'' Data'!$H$4:$L$8,MATCH(N74,'G-7 WaterC'' Data'!$B$4:$B$8,0),MATCH(T74,'G-7 WaterC'' Data'!$H$3:$L$3,0)),"")</f>
        <v/>
      </c>
      <c r="V74" s="105"/>
      <c r="W74" s="289" t="str">
        <f>IF(V74="","",IF(VLOOKUP(V74,'G-7 WaterC'' Data'!$AK$4:$AM$6,2,FALSE)=0,"Spatial Data Missing ⚠",VLOOKUP(V74,'G-7 WaterC'' Data'!$AK$4:$AM$6,2,FALSE)))</f>
        <v/>
      </c>
      <c r="X74" s="282" t="str">
        <f>IF(V74="","",IF(VLOOKUP(V74,'G-7 WaterC'' Data'!$AK$4:$AM$6,3,FALSE)=0,"Spatial Data Missing ⚠",VLOOKUP(V74,'G-7 WaterC'' Data'!$AK$4:$AM$6,3,FALSE)))</f>
        <v/>
      </c>
      <c r="Y74" s="281" t="str">
        <f>IFERROR(IF(OR(LEFT(P74,5)="Error",LEFT(O74,5)="Error"),"Check Data ⚠",IF(F74&lt;S74,'G-7 WaterC'' Data'!$R$3,INDEX('G-7 WaterC'' Data'!$U$5:$Y$9,MATCH(G74,'G-7 WaterC'' Data'!$T$5:$T$9,0),MATCH(T74,'G-7 WaterC'' Data'!$U$4:$Y$4,0)))),"")</f>
        <v/>
      </c>
      <c r="Z74" s="137"/>
      <c r="AA74" s="137"/>
      <c r="AB74" s="289" t="str">
        <f t="shared" si="3"/>
        <v/>
      </c>
      <c r="AC74" s="302" t="str">
        <f t="shared" si="4"/>
        <v/>
      </c>
      <c r="AD74" s="340" t="str">
        <f>IFERROR(IF(AC74="Check Data ⚠","Check Data ⚠",VLOOKUP(AC74,'G-4 Temporal multipliers'!$A$4:$C$37,3,FALSE)),"")</f>
        <v/>
      </c>
      <c r="AE74" s="281" t="str">
        <f>IF(N74="","",VLOOKUP(N74,'G-7 WaterC'' Data'!$B$4:$G$8,5,FALSE))</f>
        <v/>
      </c>
      <c r="AF74" s="289" t="str">
        <f t="shared" si="5"/>
        <v/>
      </c>
      <c r="AG74" s="320" t="str">
        <f t="shared" si="6"/>
        <v/>
      </c>
      <c r="AH74" s="282" t="str">
        <f t="shared" si="0"/>
        <v/>
      </c>
      <c r="AI74" s="109"/>
      <c r="AJ74" s="282" t="str">
        <f>IF(AI74="","",IF(AND(AI74="N/A - Culvert",N74&lt;&gt;"Culvert"),"Not possible ▲",IF(VLOOKUP(AI74,'G-7 WaterC'' Data'!$AA$4:$AB$7,2,FALSE)=0,"Spatial Data Missing ⚠",VLOOKUP(AI74,'G-7 WaterC'' Data'!$AA$4:$AB$7,2,FALSE))))</f>
        <v/>
      </c>
      <c r="AK74" s="110"/>
      <c r="AL74" s="282" t="str">
        <f>IF(AK74="","",IF(AND(AK74="N/A - Culvert",N74&lt;&gt;"Culvert"),"Not possible ▲",IF(VLOOKUP(AK74,'G-7 WaterC'' Data'!$AD$4:$AE$14,2,FALSE)=0,"Spatial Data Missing ⚠",VLOOKUP(AK74,'G-7 WaterC'' Data'!$AD$4:$AE$14,2,FALSE))))</f>
        <v/>
      </c>
      <c r="AM74" s="323" t="str">
        <f t="shared" si="7"/>
        <v/>
      </c>
      <c r="AN74" s="105"/>
      <c r="AO74" s="119"/>
      <c r="AP74" s="108"/>
      <c r="AS74" s="30" t="str">
        <f>IF(B74="","",IF(ISNA(VLOOKUP($B74,'C-1 On-Site WaterC'' Baseline'!$C$8:$AD$257,17,FALSE)),"",(VLOOKUP($B74,'C-1 On-Site WaterC'' Baseline'!$C$8:$AD$257,17,FALSE))))</f>
        <v/>
      </c>
      <c r="AT74" s="30" t="str">
        <f>IF(B74="","",VLOOKUP($B74,'C-1 On-Site WaterC'' Baseline'!$C$9:$Z$257,12,FALSE))</f>
        <v/>
      </c>
      <c r="AU74" s="30" t="str">
        <f>IF(B74="","",VLOOKUP($B74,'C-1 On-Site WaterC'' Baseline'!$C$9:$Z$257,14,FALSE))</f>
        <v/>
      </c>
      <c r="AV74" s="30" t="str">
        <f>IFERROR(INDEX('G-7 WaterC'' Data'!$AZ$3:$AZ$7,MATCH(N74,'G-7 WaterC'' Data'!$AY$3:$AY$7,0)),"")</f>
        <v/>
      </c>
      <c r="AX74" s="30" t="str">
        <f>IF(B74="","",VLOOKUP($B74,'C-1 On-Site WaterC'' Baseline'!$C$9:$Y$257,22,FALSE))</f>
        <v/>
      </c>
      <c r="AY74" s="30" t="str">
        <f t="shared" si="8"/>
        <v/>
      </c>
      <c r="AZ74" s="30" t="str">
        <f>IF(B74="","",VLOOKUP($B74,'C-1 On-Site WaterC'' Baseline'!$C$9:$Y$257,21,FALSE))</f>
        <v/>
      </c>
      <c r="BA74" s="30" t="str">
        <f>IF(B74="","",VLOOKUP($B74,'C-1 On-Site WaterC'' Baseline'!$C$9:$Y$257,19,FALSE))</f>
        <v/>
      </c>
      <c r="BD74" s="30" t="str">
        <f t="shared" si="9"/>
        <v>No</v>
      </c>
    </row>
    <row r="75" spans="2:56" ht="13.8" x14ac:dyDescent="0.25">
      <c r="B75" s="311" t="str">
        <f>'C-1 On-Site WaterC'' Baseline'!AP73</f>
        <v/>
      </c>
      <c r="C75" s="301" t="str">
        <f>IF(B75="","",VLOOKUP($B75,'C-1 On-Site WaterC'' Baseline'!$C$9:$R$257,2,FALSE))</f>
        <v/>
      </c>
      <c r="D75" s="301" t="str">
        <f>IF(C75="","",VLOOKUP($B75,'C-1 On-Site WaterC'' Baseline'!$C$9:$R$257,3,FALSE))</f>
        <v/>
      </c>
      <c r="E75" s="301" t="str">
        <f>IF(D75="","",VLOOKUP($B75,'C-1 On-Site WaterC'' Baseline'!$C$9:$R$257,4,FALSE))</f>
        <v/>
      </c>
      <c r="F75" s="301" t="str">
        <f>IF(E75="","",VLOOKUP($B75,'C-1 On-Site WaterC'' Baseline'!$C$9:$R$257,5,FALSE))</f>
        <v/>
      </c>
      <c r="G75" s="301" t="str">
        <f>IF(F75="","",VLOOKUP($B75,'C-1 On-Site WaterC'' Baseline'!$C$9:$R$257,6,FALSE))</f>
        <v/>
      </c>
      <c r="H75" s="301" t="str">
        <f>IF(G75="","",VLOOKUP($B75,'C-1 On-Site WaterC'' Baseline'!$C$9:$R$257,7,FALSE))</f>
        <v/>
      </c>
      <c r="I75" s="301" t="str">
        <f>IF(H75="","",VLOOKUP($B75,'C-1 On-Site WaterC'' Baseline'!$C$9:$R$257,8,FALSE))</f>
        <v/>
      </c>
      <c r="J75" s="301" t="str">
        <f>IF(I75="","",VLOOKUP($B75,'C-1 On-Site WaterC'' Baseline'!$C$9:$R$257,9,FALSE))</f>
        <v/>
      </c>
      <c r="K75" s="301" t="str">
        <f>IF(J75="","",VLOOKUP($B75,'C-1 On-Site WaterC'' Baseline'!$C$9:$R$257,10,FALSE))</f>
        <v/>
      </c>
      <c r="L75" s="301" t="str">
        <f>IF(B75="","",VLOOKUP($B75,'C-1 On-Site WaterC'' Baseline'!$C$9:$R$257,15,FALSE))</f>
        <v/>
      </c>
      <c r="M75" s="305" t="str">
        <f>IF(L75="","",VLOOKUP($B75,'C-1 On-Site WaterC'' Baseline'!$C$9:$R$257,16,FALSE))</f>
        <v/>
      </c>
      <c r="N75" s="251"/>
      <c r="O75" s="281" t="str">
        <f t="shared" si="1"/>
        <v/>
      </c>
      <c r="P75" s="282" t="str">
        <f t="shared" si="2"/>
        <v/>
      </c>
      <c r="Q75" s="342" t="str">
        <f>IF(N75="","",VLOOKUP(B75,'C-1 On-Site WaterC'' Baseline'!$C$10:$AC$257,20,FALSE))</f>
        <v/>
      </c>
      <c r="R75" s="281" t="str">
        <f>IF(N75="","",VLOOKUP(N75,'G-7 WaterC'' Data'!$B$2:$G$8,2,FALSE))</f>
        <v/>
      </c>
      <c r="S75" s="282" t="str">
        <f>IFERROR(VLOOKUP(R75,'G-7 WaterC'' Data'!$C$4:$D$8,2,FALSE),"")</f>
        <v/>
      </c>
      <c r="T75" s="105"/>
      <c r="U75" s="282" t="str">
        <f>IFERROR(INDEX('G-7 WaterC'' Data'!$H$4:$L$8,MATCH(N75,'G-7 WaterC'' Data'!$B$4:$B$8,0),MATCH(T75,'G-7 WaterC'' Data'!$H$3:$L$3,0)),"")</f>
        <v/>
      </c>
      <c r="V75" s="105"/>
      <c r="W75" s="289" t="str">
        <f>IF(V75="","",IF(VLOOKUP(V75,'G-7 WaterC'' Data'!$AK$4:$AM$6,2,FALSE)=0,"Spatial Data Missing ⚠",VLOOKUP(V75,'G-7 WaterC'' Data'!$AK$4:$AM$6,2,FALSE)))</f>
        <v/>
      </c>
      <c r="X75" s="282" t="str">
        <f>IF(V75="","",IF(VLOOKUP(V75,'G-7 WaterC'' Data'!$AK$4:$AM$6,3,FALSE)=0,"Spatial Data Missing ⚠",VLOOKUP(V75,'G-7 WaterC'' Data'!$AK$4:$AM$6,3,FALSE)))</f>
        <v/>
      </c>
      <c r="Y75" s="281" t="str">
        <f>IFERROR(IF(OR(LEFT(P75,5)="Error",LEFT(O75,5)="Error"),"Check Data ⚠",IF(F75&lt;S75,'G-7 WaterC'' Data'!$R$3,INDEX('G-7 WaterC'' Data'!$U$5:$Y$9,MATCH(G75,'G-7 WaterC'' Data'!$T$5:$T$9,0),MATCH(T75,'G-7 WaterC'' Data'!$U$4:$Y$4,0)))),"")</f>
        <v/>
      </c>
      <c r="Z75" s="137"/>
      <c r="AA75" s="137"/>
      <c r="AB75" s="289" t="str">
        <f t="shared" si="3"/>
        <v/>
      </c>
      <c r="AC75" s="302" t="str">
        <f t="shared" si="4"/>
        <v/>
      </c>
      <c r="AD75" s="340" t="str">
        <f>IFERROR(IF(AC75="Check Data ⚠","Check Data ⚠",VLOOKUP(AC75,'G-4 Temporal multipliers'!$A$4:$C$37,3,FALSE)),"")</f>
        <v/>
      </c>
      <c r="AE75" s="281" t="str">
        <f>IF(N75="","",VLOOKUP(N75,'G-7 WaterC'' Data'!$B$4:$G$8,5,FALSE))</f>
        <v/>
      </c>
      <c r="AF75" s="289" t="str">
        <f t="shared" si="5"/>
        <v/>
      </c>
      <c r="AG75" s="320" t="str">
        <f t="shared" si="6"/>
        <v/>
      </c>
      <c r="AH75" s="282" t="str">
        <f t="shared" si="0"/>
        <v/>
      </c>
      <c r="AI75" s="109"/>
      <c r="AJ75" s="282" t="str">
        <f>IF(AI75="","",IF(AND(AI75="N/A - Culvert",N75&lt;&gt;"Culvert"),"Not possible ▲",IF(VLOOKUP(AI75,'G-7 WaterC'' Data'!$AA$4:$AB$7,2,FALSE)=0,"Spatial Data Missing ⚠",VLOOKUP(AI75,'G-7 WaterC'' Data'!$AA$4:$AB$7,2,FALSE))))</f>
        <v/>
      </c>
      <c r="AK75" s="110"/>
      <c r="AL75" s="282" t="str">
        <f>IF(AK75="","",IF(AND(AK75="N/A - Culvert",N75&lt;&gt;"Culvert"),"Not possible ▲",IF(VLOOKUP(AK75,'G-7 WaterC'' Data'!$AD$4:$AE$14,2,FALSE)=0,"Spatial Data Missing ⚠",VLOOKUP(AK75,'G-7 WaterC'' Data'!$AD$4:$AE$14,2,FALSE))))</f>
        <v/>
      </c>
      <c r="AM75" s="323" t="str">
        <f t="shared" si="7"/>
        <v/>
      </c>
      <c r="AN75" s="105"/>
      <c r="AO75" s="119"/>
      <c r="AP75" s="108"/>
      <c r="AS75" s="30" t="str">
        <f>IF(B75="","",IF(ISNA(VLOOKUP($B75,'C-1 On-Site WaterC'' Baseline'!$C$8:$AD$257,17,FALSE)),"",(VLOOKUP($B75,'C-1 On-Site WaterC'' Baseline'!$C$8:$AD$257,17,FALSE))))</f>
        <v/>
      </c>
      <c r="AT75" s="30" t="str">
        <f>IF(B75="","",VLOOKUP($B75,'C-1 On-Site WaterC'' Baseline'!$C$9:$Z$257,12,FALSE))</f>
        <v/>
      </c>
      <c r="AU75" s="30" t="str">
        <f>IF(B75="","",VLOOKUP($B75,'C-1 On-Site WaterC'' Baseline'!$C$9:$Z$257,14,FALSE))</f>
        <v/>
      </c>
      <c r="AV75" s="30" t="str">
        <f>IFERROR(INDEX('G-7 WaterC'' Data'!$AZ$3:$AZ$7,MATCH(N75,'G-7 WaterC'' Data'!$AY$3:$AY$7,0)),"")</f>
        <v/>
      </c>
      <c r="AX75" s="30" t="str">
        <f>IF(B75="","",VLOOKUP($B75,'C-1 On-Site WaterC'' Baseline'!$C$9:$Y$257,22,FALSE))</f>
        <v/>
      </c>
      <c r="AY75" s="30" t="str">
        <f t="shared" si="8"/>
        <v/>
      </c>
      <c r="AZ75" s="30" t="str">
        <f>IF(B75="","",VLOOKUP($B75,'C-1 On-Site WaterC'' Baseline'!$C$9:$Y$257,21,FALSE))</f>
        <v/>
      </c>
      <c r="BA75" s="30" t="str">
        <f>IF(B75="","",VLOOKUP($B75,'C-1 On-Site WaterC'' Baseline'!$C$9:$Y$257,19,FALSE))</f>
        <v/>
      </c>
      <c r="BD75" s="30" t="str">
        <f t="shared" si="9"/>
        <v>No</v>
      </c>
    </row>
    <row r="76" spans="2:56" ht="13.8" x14ac:dyDescent="0.25">
      <c r="B76" s="311" t="str">
        <f>'C-1 On-Site WaterC'' Baseline'!AP74</f>
        <v/>
      </c>
      <c r="C76" s="301" t="str">
        <f>IF(B76="","",VLOOKUP($B76,'C-1 On-Site WaterC'' Baseline'!$C$9:$R$257,2,FALSE))</f>
        <v/>
      </c>
      <c r="D76" s="301" t="str">
        <f>IF(C76="","",VLOOKUP($B76,'C-1 On-Site WaterC'' Baseline'!$C$9:$R$257,3,FALSE))</f>
        <v/>
      </c>
      <c r="E76" s="301" t="str">
        <f>IF(D76="","",VLOOKUP($B76,'C-1 On-Site WaterC'' Baseline'!$C$9:$R$257,4,FALSE))</f>
        <v/>
      </c>
      <c r="F76" s="301" t="str">
        <f>IF(E76="","",VLOOKUP($B76,'C-1 On-Site WaterC'' Baseline'!$C$9:$R$257,5,FALSE))</f>
        <v/>
      </c>
      <c r="G76" s="301" t="str">
        <f>IF(F76="","",VLOOKUP($B76,'C-1 On-Site WaterC'' Baseline'!$C$9:$R$257,6,FALSE))</f>
        <v/>
      </c>
      <c r="H76" s="301" t="str">
        <f>IF(G76="","",VLOOKUP($B76,'C-1 On-Site WaterC'' Baseline'!$C$9:$R$257,7,FALSE))</f>
        <v/>
      </c>
      <c r="I76" s="301" t="str">
        <f>IF(H76="","",VLOOKUP($B76,'C-1 On-Site WaterC'' Baseline'!$C$9:$R$257,8,FALSE))</f>
        <v/>
      </c>
      <c r="J76" s="301" t="str">
        <f>IF(I76="","",VLOOKUP($B76,'C-1 On-Site WaterC'' Baseline'!$C$9:$R$257,9,FALSE))</f>
        <v/>
      </c>
      <c r="K76" s="301" t="str">
        <f>IF(J76="","",VLOOKUP($B76,'C-1 On-Site WaterC'' Baseline'!$C$9:$R$257,10,FALSE))</f>
        <v/>
      </c>
      <c r="L76" s="301" t="str">
        <f>IF(B76="","",VLOOKUP($B76,'C-1 On-Site WaterC'' Baseline'!$C$9:$R$257,15,FALSE))</f>
        <v/>
      </c>
      <c r="M76" s="305" t="str">
        <f>IF(L76="","",VLOOKUP($B76,'C-1 On-Site WaterC'' Baseline'!$C$9:$R$257,16,FALSE))</f>
        <v/>
      </c>
      <c r="N76" s="251"/>
      <c r="O76" s="281" t="str">
        <f t="shared" si="1"/>
        <v/>
      </c>
      <c r="P76" s="282" t="str">
        <f t="shared" si="2"/>
        <v/>
      </c>
      <c r="Q76" s="342" t="str">
        <f>IF(N76="","",VLOOKUP(B76,'C-1 On-Site WaterC'' Baseline'!$C$10:$AC$257,20,FALSE))</f>
        <v/>
      </c>
      <c r="R76" s="281" t="str">
        <f>IF(N76="","",VLOOKUP(N76,'G-7 WaterC'' Data'!$B$2:$G$8,2,FALSE))</f>
        <v/>
      </c>
      <c r="S76" s="282" t="str">
        <f>IFERROR(VLOOKUP(R76,'G-7 WaterC'' Data'!$C$4:$D$8,2,FALSE),"")</f>
        <v/>
      </c>
      <c r="T76" s="105"/>
      <c r="U76" s="282" t="str">
        <f>IFERROR(INDEX('G-7 WaterC'' Data'!$H$4:$L$8,MATCH(N76,'G-7 WaterC'' Data'!$B$4:$B$8,0),MATCH(T76,'G-7 WaterC'' Data'!$H$3:$L$3,0)),"")</f>
        <v/>
      </c>
      <c r="V76" s="105"/>
      <c r="W76" s="289" t="str">
        <f>IF(V76="","",IF(VLOOKUP(V76,'G-7 WaterC'' Data'!$AK$4:$AM$6,2,FALSE)=0,"Spatial Data Missing ⚠",VLOOKUP(V76,'G-7 WaterC'' Data'!$AK$4:$AM$6,2,FALSE)))</f>
        <v/>
      </c>
      <c r="X76" s="282" t="str">
        <f>IF(V76="","",IF(VLOOKUP(V76,'G-7 WaterC'' Data'!$AK$4:$AM$6,3,FALSE)=0,"Spatial Data Missing ⚠",VLOOKUP(V76,'G-7 WaterC'' Data'!$AK$4:$AM$6,3,FALSE)))</f>
        <v/>
      </c>
      <c r="Y76" s="281" t="str">
        <f>IFERROR(IF(OR(LEFT(P76,5)="Error",LEFT(O76,5)="Error"),"Check Data ⚠",IF(F76&lt;S76,'G-7 WaterC'' Data'!$R$3,INDEX('G-7 WaterC'' Data'!$U$5:$Y$9,MATCH(G76,'G-7 WaterC'' Data'!$T$5:$T$9,0),MATCH(T76,'G-7 WaterC'' Data'!$U$4:$Y$4,0)))),"")</f>
        <v/>
      </c>
      <c r="Z76" s="137"/>
      <c r="AA76" s="137"/>
      <c r="AB76" s="289" t="str">
        <f t="shared" si="3"/>
        <v/>
      </c>
      <c r="AC76" s="302" t="str">
        <f t="shared" si="4"/>
        <v/>
      </c>
      <c r="AD76" s="340" t="str">
        <f>IFERROR(IF(AC76="Check Data ⚠","Check Data ⚠",VLOOKUP(AC76,'G-4 Temporal multipliers'!$A$4:$C$37,3,FALSE)),"")</f>
        <v/>
      </c>
      <c r="AE76" s="281" t="str">
        <f>IF(N76="","",VLOOKUP(N76,'G-7 WaterC'' Data'!$B$4:$G$8,5,FALSE))</f>
        <v/>
      </c>
      <c r="AF76" s="289" t="str">
        <f t="shared" si="5"/>
        <v/>
      </c>
      <c r="AG76" s="320" t="str">
        <f t="shared" si="6"/>
        <v/>
      </c>
      <c r="AH76" s="282" t="str">
        <f t="shared" ref="AH76:AH139" si="10">IF(N76="","",VLOOKUP(AG76,Difficulty,2,FALSE))</f>
        <v/>
      </c>
      <c r="AI76" s="109"/>
      <c r="AJ76" s="282" t="str">
        <f>IF(AI76="","",IF(AND(AI76="N/A - Culvert",N76&lt;&gt;"Culvert"),"Not possible ▲",IF(VLOOKUP(AI76,'G-7 WaterC'' Data'!$AA$4:$AB$7,2,FALSE)=0,"Spatial Data Missing ⚠",VLOOKUP(AI76,'G-7 WaterC'' Data'!$AA$4:$AB$7,2,FALSE))))</f>
        <v/>
      </c>
      <c r="AK76" s="110"/>
      <c r="AL76" s="282" t="str">
        <f>IF(AK76="","",IF(AND(AK76="N/A - Culvert",N76&lt;&gt;"Culvert"),"Not possible ▲",IF(VLOOKUP(AK76,'G-7 WaterC'' Data'!$AD$4:$AE$14,2,FALSE)=0,"Spatial Data Missing ⚠",VLOOKUP(AK76,'G-7 WaterC'' Data'!$AD$4:$AE$14,2,FALSE))))</f>
        <v/>
      </c>
      <c r="AM76" s="323" t="str">
        <f t="shared" si="7"/>
        <v/>
      </c>
      <c r="AN76" s="105"/>
      <c r="AO76" s="119"/>
      <c r="AP76" s="108"/>
      <c r="AS76" s="30" t="str">
        <f>IF(B76="","",IF(ISNA(VLOOKUP($B76,'C-1 On-Site WaterC'' Baseline'!$C$8:$AD$257,17,FALSE)),"",(VLOOKUP($B76,'C-1 On-Site WaterC'' Baseline'!$C$8:$AD$257,17,FALSE))))</f>
        <v/>
      </c>
      <c r="AT76" s="30" t="str">
        <f>IF(B76="","",VLOOKUP($B76,'C-1 On-Site WaterC'' Baseline'!$C$9:$Z$257,12,FALSE))</f>
        <v/>
      </c>
      <c r="AU76" s="30" t="str">
        <f>IF(B76="","",VLOOKUP($B76,'C-1 On-Site WaterC'' Baseline'!$C$9:$Z$257,14,FALSE))</f>
        <v/>
      </c>
      <c r="AV76" s="30" t="str">
        <f>IFERROR(INDEX('G-7 WaterC'' Data'!$AZ$3:$AZ$7,MATCH(N76,'G-7 WaterC'' Data'!$AY$3:$AY$7,0)),"")</f>
        <v/>
      </c>
      <c r="AX76" s="30" t="str">
        <f>IF(B76="","",VLOOKUP($B76,'C-1 On-Site WaterC'' Baseline'!$C$9:$Y$257,22,FALSE))</f>
        <v/>
      </c>
      <c r="AY76" s="30" t="str">
        <f t="shared" si="8"/>
        <v/>
      </c>
      <c r="AZ76" s="30" t="str">
        <f>IF(B76="","",VLOOKUP($B76,'C-1 On-Site WaterC'' Baseline'!$C$9:$Y$257,21,FALSE))</f>
        <v/>
      </c>
      <c r="BA76" s="30" t="str">
        <f>IF(B76="","",VLOOKUP($B76,'C-1 On-Site WaterC'' Baseline'!$C$9:$Y$257,19,FALSE))</f>
        <v/>
      </c>
      <c r="BD76" s="30" t="str">
        <f t="shared" si="9"/>
        <v>No</v>
      </c>
    </row>
    <row r="77" spans="2:56" ht="13.8" x14ac:dyDescent="0.25">
      <c r="B77" s="311" t="str">
        <f>'C-1 On-Site WaterC'' Baseline'!AP75</f>
        <v/>
      </c>
      <c r="C77" s="301" t="str">
        <f>IF(B77="","",VLOOKUP($B77,'C-1 On-Site WaterC'' Baseline'!$C$9:$R$257,2,FALSE))</f>
        <v/>
      </c>
      <c r="D77" s="301" t="str">
        <f>IF(C77="","",VLOOKUP($B77,'C-1 On-Site WaterC'' Baseline'!$C$9:$R$257,3,FALSE))</f>
        <v/>
      </c>
      <c r="E77" s="301" t="str">
        <f>IF(D77="","",VLOOKUP($B77,'C-1 On-Site WaterC'' Baseline'!$C$9:$R$257,4,FALSE))</f>
        <v/>
      </c>
      <c r="F77" s="301" t="str">
        <f>IF(E77="","",VLOOKUP($B77,'C-1 On-Site WaterC'' Baseline'!$C$9:$R$257,5,FALSE))</f>
        <v/>
      </c>
      <c r="G77" s="301" t="str">
        <f>IF(F77="","",VLOOKUP($B77,'C-1 On-Site WaterC'' Baseline'!$C$9:$R$257,6,FALSE))</f>
        <v/>
      </c>
      <c r="H77" s="301" t="str">
        <f>IF(G77="","",VLOOKUP($B77,'C-1 On-Site WaterC'' Baseline'!$C$9:$R$257,7,FALSE))</f>
        <v/>
      </c>
      <c r="I77" s="301" t="str">
        <f>IF(H77="","",VLOOKUP($B77,'C-1 On-Site WaterC'' Baseline'!$C$9:$R$257,8,FALSE))</f>
        <v/>
      </c>
      <c r="J77" s="301" t="str">
        <f>IF(I77="","",VLOOKUP($B77,'C-1 On-Site WaterC'' Baseline'!$C$9:$R$257,9,FALSE))</f>
        <v/>
      </c>
      <c r="K77" s="301" t="str">
        <f>IF(J77="","",VLOOKUP($B77,'C-1 On-Site WaterC'' Baseline'!$C$9:$R$257,10,FALSE))</f>
        <v/>
      </c>
      <c r="L77" s="301" t="str">
        <f>IF(B77="","",VLOOKUP($B77,'C-1 On-Site WaterC'' Baseline'!$C$9:$R$257,15,FALSE))</f>
        <v/>
      </c>
      <c r="M77" s="305" t="str">
        <f>IF(L77="","",VLOOKUP($B77,'C-1 On-Site WaterC'' Baseline'!$C$9:$R$257,16,FALSE))</f>
        <v/>
      </c>
      <c r="N77" s="251"/>
      <c r="O77" s="281" t="str">
        <f t="shared" ref="O77:O140" si="11">IF(B77="","",IF(S77&lt;F77,"Error Trading Down ▲",E77&amp;" - "&amp;R77))</f>
        <v/>
      </c>
      <c r="P77" s="282" t="str">
        <f t="shared" ref="P77:P140" si="12">IF(C77="","",IF(AND(N77&lt;&gt;C77,AS77="Yes"),"Error you cannot replace and irreplaceable habitat ▲",IF(AND(LEFT(C77,55)&lt;&gt;LEFT(N77,55),O77="High - High"),"Error - Not like for like ▲",IF(H77&gt;U77,"Error - Can not reduce condition ▲",IF(AND(C77&lt;&gt;N77,F77&lt;S77),"Lower Distinctiveness Habitat"&amp;" - "&amp;T77,G77&amp;" - "&amp;T77)))))</f>
        <v/>
      </c>
      <c r="Q77" s="342" t="str">
        <f>IF(N77="","",VLOOKUP(B77,'C-1 On-Site WaterC'' Baseline'!$C$10:$AC$257,20,FALSE))</f>
        <v/>
      </c>
      <c r="R77" s="281" t="str">
        <f>IF(N77="","",VLOOKUP(N77,'G-7 WaterC'' Data'!$B$2:$G$8,2,FALSE))</f>
        <v/>
      </c>
      <c r="S77" s="282" t="str">
        <f>IFERROR(VLOOKUP(R77,'G-7 WaterC'' Data'!$C$4:$D$8,2,FALSE),"")</f>
        <v/>
      </c>
      <c r="T77" s="105"/>
      <c r="U77" s="282" t="str">
        <f>IFERROR(INDEX('G-7 WaterC'' Data'!$H$4:$L$8,MATCH(N77,'G-7 WaterC'' Data'!$B$4:$B$8,0),MATCH(T77,'G-7 WaterC'' Data'!$H$3:$L$3,0)),"")</f>
        <v/>
      </c>
      <c r="V77" s="105"/>
      <c r="W77" s="289" t="str">
        <f>IF(V77="","",IF(VLOOKUP(V77,'G-7 WaterC'' Data'!$AK$4:$AM$6,2,FALSE)=0,"Spatial Data Missing ⚠",VLOOKUP(V77,'G-7 WaterC'' Data'!$AK$4:$AM$6,2,FALSE)))</f>
        <v/>
      </c>
      <c r="X77" s="282" t="str">
        <f>IF(V77="","",IF(VLOOKUP(V77,'G-7 WaterC'' Data'!$AK$4:$AM$6,3,FALSE)=0,"Spatial Data Missing ⚠",VLOOKUP(V77,'G-7 WaterC'' Data'!$AK$4:$AM$6,3,FALSE)))</f>
        <v/>
      </c>
      <c r="Y77" s="281" t="str">
        <f>IFERROR(IF(OR(LEFT(P77,5)="Error",LEFT(O77,5)="Error"),"Check Data ⚠",IF(F77&lt;S77,'G-7 WaterC'' Data'!$R$3,INDEX('G-7 WaterC'' Data'!$U$5:$Y$9,MATCH(G77,'G-7 WaterC'' Data'!$T$5:$T$9,0),MATCH(T77,'G-7 WaterC'' Data'!$U$4:$Y$4,0)))),"")</f>
        <v/>
      </c>
      <c r="Z77" s="137"/>
      <c r="AA77" s="137"/>
      <c r="AB77" s="289" t="str">
        <f t="shared" ref="AB77:AB140" si="13">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02" t="str">
        <f t="shared" ref="AC77:AC140" si="14">IF(AB77="Error -both advance and delayed habitat creation ▲","Check Data ⚠",IF(AB77="Check Data ⚠","Check Data ⚠",IF(Y77="","",IF(Z77="30+",0,IF(AA77="30+","30+",IF(Y77+AA77&gt;30,"30+",IF(Y77+AA77-Z77&gt;0,Y77+AA77-Z77,IF(Y77-Z77&lt;0,0,Y77+AA77-Z77))))))))</f>
        <v/>
      </c>
      <c r="AD77" s="340" t="str">
        <f>IFERROR(IF(AC77="Check Data ⚠","Check Data ⚠",VLOOKUP(AC77,'G-4 Temporal multipliers'!$A$4:$C$37,3,FALSE)),"")</f>
        <v/>
      </c>
      <c r="AE77" s="281" t="str">
        <f>IF(N77="","",VLOOKUP(N77,'G-7 WaterC'' Data'!$B$4:$G$8,5,FALSE))</f>
        <v/>
      </c>
      <c r="AF77" s="289" t="str">
        <f t="shared" ref="AF77:AF140" si="15">IF(N77="","",IF(AC77="Check Data ⚠","Check Data ⚠",IF(T77="","",IF($AB77="Check details - Is there evidence that habitat has reached target condition? ⚠","Low Difficulty - only applicable if all habitat created before losses ⚠","Standard difficulty applied"))))</f>
        <v/>
      </c>
      <c r="AG77" s="320" t="str">
        <f t="shared" ref="AG77:AG140" si="16">(IF(AND(AF77="Standard difficulty applied",Y77&gt;Z77),AE77,IF(AND(AF77="Low Difficulty - only applicable if all habitat created before losses ⚠",Z77&gt;=Y77),"Low",AE77)))</f>
        <v/>
      </c>
      <c r="AH77" s="282" t="str">
        <f t="shared" si="10"/>
        <v/>
      </c>
      <c r="AI77" s="109"/>
      <c r="AJ77" s="282" t="str">
        <f>IF(AI77="","",IF(AND(AI77="N/A - Culvert",N77&lt;&gt;"Culvert"),"Not possible ▲",IF(VLOOKUP(AI77,'G-7 WaterC'' Data'!$AA$4:$AB$7,2,FALSE)=0,"Spatial Data Missing ⚠",VLOOKUP(AI77,'G-7 WaterC'' Data'!$AA$4:$AB$7,2,FALSE))))</f>
        <v/>
      </c>
      <c r="AK77" s="110"/>
      <c r="AL77" s="282" t="str">
        <f>IF(AK77="","",IF(AND(AK77="N/A - Culvert",N77&lt;&gt;"Culvert"),"Not possible ▲",IF(VLOOKUP(AK77,'G-7 WaterC'' Data'!$AD$4:$AE$14,2,FALSE)=0,"Spatial Data Missing ⚠",VLOOKUP(AK77,'G-7 WaterC'' Data'!$AD$4:$AE$14,2,FALSE))))</f>
        <v/>
      </c>
      <c r="AM77" s="323" t="str">
        <f t="shared" ref="AM77:AM140" si="17">IFERROR(IF(C77="","",IF(AND(N77&lt;&gt;"",M77=""),"Check Data ⚠",IF(Q77&gt;D77,((((Q77*S77*U77)-(D77*F77*H77))*(AH77*AD77))+(D77*F77*H77))*(AL77*X77*AJ77),((((Q77*S77*U77)-(Q77*F77*H77))*(AH77*AD77))+(Q77*F77*H77))*(AL77*X77*AJ77)))),"")</f>
        <v/>
      </c>
      <c r="AN77" s="105"/>
      <c r="AO77" s="119"/>
      <c r="AP77" s="108"/>
      <c r="AS77" s="30" t="str">
        <f>IF(B77="","",IF(ISNA(VLOOKUP($B77,'C-1 On-Site WaterC'' Baseline'!$C$8:$AD$257,17,FALSE)),"",(VLOOKUP($B77,'C-1 On-Site WaterC'' Baseline'!$C$8:$AD$257,17,FALSE))))</f>
        <v/>
      </c>
      <c r="AT77" s="30" t="str">
        <f>IF(B77="","",VLOOKUP($B77,'C-1 On-Site WaterC'' Baseline'!$C$9:$Z$257,12,FALSE))</f>
        <v/>
      </c>
      <c r="AU77" s="30" t="str">
        <f>IF(B77="","",VLOOKUP($B77,'C-1 On-Site WaterC'' Baseline'!$C$9:$Z$257,14,FALSE))</f>
        <v/>
      </c>
      <c r="AV77" s="30" t="str">
        <f>IFERROR(INDEX('G-7 WaterC'' Data'!$AZ$3:$AZ$7,MATCH(N77,'G-7 WaterC'' Data'!$AY$3:$AY$7,0)),"")</f>
        <v/>
      </c>
      <c r="AX77" s="30" t="str">
        <f>IF(B77="","",VLOOKUP($B77,'C-1 On-Site WaterC'' Baseline'!$C$9:$Y$257,22,FALSE))</f>
        <v/>
      </c>
      <c r="AY77" s="30" t="str">
        <f t="shared" ref="AY77:AY140" si="18">IF(B77="","", IF(AX77&gt;M77, M77, IF((BA77+Q77)&gt;D77, M77 - AZ77, AX77)))</f>
        <v/>
      </c>
      <c r="AZ77" s="30" t="str">
        <f>IF(B77="","",VLOOKUP($B77,'C-1 On-Site WaterC'' Baseline'!$C$9:$Y$257,21,FALSE))</f>
        <v/>
      </c>
      <c r="BA77" s="30" t="str">
        <f>IF(B77="","",VLOOKUP($B77,'C-1 On-Site WaterC'' Baseline'!$C$9:$Y$257,19,FALSE))</f>
        <v/>
      </c>
      <c r="BD77" s="30" t="str">
        <f t="shared" ref="BD77:BD140" si="19">IF(AND(N77="Ditches",(OR(T77="Fairly Poor",T77="Fairly Good"))), "Yes", "No")</f>
        <v>No</v>
      </c>
    </row>
    <row r="78" spans="2:56" ht="13.8" x14ac:dyDescent="0.25">
      <c r="B78" s="311" t="str">
        <f>'C-1 On-Site WaterC'' Baseline'!AP76</f>
        <v/>
      </c>
      <c r="C78" s="301" t="str">
        <f>IF(B78="","",VLOOKUP($B78,'C-1 On-Site WaterC'' Baseline'!$C$9:$R$257,2,FALSE))</f>
        <v/>
      </c>
      <c r="D78" s="301" t="str">
        <f>IF(C78="","",VLOOKUP($B78,'C-1 On-Site WaterC'' Baseline'!$C$9:$R$257,3,FALSE))</f>
        <v/>
      </c>
      <c r="E78" s="301" t="str">
        <f>IF(D78="","",VLOOKUP($B78,'C-1 On-Site WaterC'' Baseline'!$C$9:$R$257,4,FALSE))</f>
        <v/>
      </c>
      <c r="F78" s="301" t="str">
        <f>IF(E78="","",VLOOKUP($B78,'C-1 On-Site WaterC'' Baseline'!$C$9:$R$257,5,FALSE))</f>
        <v/>
      </c>
      <c r="G78" s="301" t="str">
        <f>IF(F78="","",VLOOKUP($B78,'C-1 On-Site WaterC'' Baseline'!$C$9:$R$257,6,FALSE))</f>
        <v/>
      </c>
      <c r="H78" s="301" t="str">
        <f>IF(G78="","",VLOOKUP($B78,'C-1 On-Site WaterC'' Baseline'!$C$9:$R$257,7,FALSE))</f>
        <v/>
      </c>
      <c r="I78" s="301" t="str">
        <f>IF(H78="","",VLOOKUP($B78,'C-1 On-Site WaterC'' Baseline'!$C$9:$R$257,8,FALSE))</f>
        <v/>
      </c>
      <c r="J78" s="301" t="str">
        <f>IF(I78="","",VLOOKUP($B78,'C-1 On-Site WaterC'' Baseline'!$C$9:$R$257,9,FALSE))</f>
        <v/>
      </c>
      <c r="K78" s="301" t="str">
        <f>IF(J78="","",VLOOKUP($B78,'C-1 On-Site WaterC'' Baseline'!$C$9:$R$257,10,FALSE))</f>
        <v/>
      </c>
      <c r="L78" s="301" t="str">
        <f>IF(B78="","",VLOOKUP($B78,'C-1 On-Site WaterC'' Baseline'!$C$9:$R$257,15,FALSE))</f>
        <v/>
      </c>
      <c r="M78" s="305" t="str">
        <f>IF(L78="","",VLOOKUP($B78,'C-1 On-Site WaterC'' Baseline'!$C$9:$R$257,16,FALSE))</f>
        <v/>
      </c>
      <c r="N78" s="251"/>
      <c r="O78" s="281" t="str">
        <f t="shared" si="11"/>
        <v/>
      </c>
      <c r="P78" s="282" t="str">
        <f t="shared" si="12"/>
        <v/>
      </c>
      <c r="Q78" s="342" t="str">
        <f>IF(N78="","",VLOOKUP(B78,'C-1 On-Site WaterC'' Baseline'!$C$10:$AC$257,20,FALSE))</f>
        <v/>
      </c>
      <c r="R78" s="281" t="str">
        <f>IF(N78="","",VLOOKUP(N78,'G-7 WaterC'' Data'!$B$2:$G$8,2,FALSE))</f>
        <v/>
      </c>
      <c r="S78" s="282" t="str">
        <f>IFERROR(VLOOKUP(R78,'G-7 WaterC'' Data'!$C$4:$D$8,2,FALSE),"")</f>
        <v/>
      </c>
      <c r="T78" s="105"/>
      <c r="U78" s="282" t="str">
        <f>IFERROR(INDEX('G-7 WaterC'' Data'!$H$4:$L$8,MATCH(N78,'G-7 WaterC'' Data'!$B$4:$B$8,0),MATCH(T78,'G-7 WaterC'' Data'!$H$3:$L$3,0)),"")</f>
        <v/>
      </c>
      <c r="V78" s="105"/>
      <c r="W78" s="289" t="str">
        <f>IF(V78="","",IF(VLOOKUP(V78,'G-7 WaterC'' Data'!$AK$4:$AM$6,2,FALSE)=0,"Spatial Data Missing ⚠",VLOOKUP(V78,'G-7 WaterC'' Data'!$AK$4:$AM$6,2,FALSE)))</f>
        <v/>
      </c>
      <c r="X78" s="282" t="str">
        <f>IF(V78="","",IF(VLOOKUP(V78,'G-7 WaterC'' Data'!$AK$4:$AM$6,3,FALSE)=0,"Spatial Data Missing ⚠",VLOOKUP(V78,'G-7 WaterC'' Data'!$AK$4:$AM$6,3,FALSE)))</f>
        <v/>
      </c>
      <c r="Y78" s="281" t="str">
        <f>IFERROR(IF(OR(LEFT(P78,5)="Error",LEFT(O78,5)="Error"),"Check Data ⚠",IF(F78&lt;S78,'G-7 WaterC'' Data'!$R$3,INDEX('G-7 WaterC'' Data'!$U$5:$Y$9,MATCH(G78,'G-7 WaterC'' Data'!$T$5:$T$9,0),MATCH(T78,'G-7 WaterC'' Data'!$U$4:$Y$4,0)))),"")</f>
        <v/>
      </c>
      <c r="Z78" s="137"/>
      <c r="AA78" s="137"/>
      <c r="AB78" s="289" t="str">
        <f t="shared" si="13"/>
        <v/>
      </c>
      <c r="AC78" s="302" t="str">
        <f t="shared" si="14"/>
        <v/>
      </c>
      <c r="AD78" s="340" t="str">
        <f>IFERROR(IF(AC78="Check Data ⚠","Check Data ⚠",VLOOKUP(AC78,'G-4 Temporal multipliers'!$A$4:$C$37,3,FALSE)),"")</f>
        <v/>
      </c>
      <c r="AE78" s="281" t="str">
        <f>IF(N78="","",VLOOKUP(N78,'G-7 WaterC'' Data'!$B$4:$G$8,5,FALSE))</f>
        <v/>
      </c>
      <c r="AF78" s="289" t="str">
        <f t="shared" si="15"/>
        <v/>
      </c>
      <c r="AG78" s="320" t="str">
        <f t="shared" si="16"/>
        <v/>
      </c>
      <c r="AH78" s="282" t="str">
        <f t="shared" si="10"/>
        <v/>
      </c>
      <c r="AI78" s="109"/>
      <c r="AJ78" s="282" t="str">
        <f>IF(AI78="","",IF(AND(AI78="N/A - Culvert",N78&lt;&gt;"Culvert"),"Not possible ▲",IF(VLOOKUP(AI78,'G-7 WaterC'' Data'!$AA$4:$AB$7,2,FALSE)=0,"Spatial Data Missing ⚠",VLOOKUP(AI78,'G-7 WaterC'' Data'!$AA$4:$AB$7,2,FALSE))))</f>
        <v/>
      </c>
      <c r="AK78" s="110"/>
      <c r="AL78" s="282" t="str">
        <f>IF(AK78="","",IF(AND(AK78="N/A - Culvert",N78&lt;&gt;"Culvert"),"Not possible ▲",IF(VLOOKUP(AK78,'G-7 WaterC'' Data'!$AD$4:$AE$14,2,FALSE)=0,"Spatial Data Missing ⚠",VLOOKUP(AK78,'G-7 WaterC'' Data'!$AD$4:$AE$14,2,FALSE))))</f>
        <v/>
      </c>
      <c r="AM78" s="323" t="str">
        <f t="shared" si="17"/>
        <v/>
      </c>
      <c r="AN78" s="105"/>
      <c r="AO78" s="119"/>
      <c r="AP78" s="108"/>
      <c r="AS78" s="30" t="str">
        <f>IF(B78="","",IF(ISNA(VLOOKUP($B78,'C-1 On-Site WaterC'' Baseline'!$C$8:$AD$257,17,FALSE)),"",(VLOOKUP($B78,'C-1 On-Site WaterC'' Baseline'!$C$8:$AD$257,17,FALSE))))</f>
        <v/>
      </c>
      <c r="AT78" s="30" t="str">
        <f>IF(B78="","",VLOOKUP($B78,'C-1 On-Site WaterC'' Baseline'!$C$9:$Z$257,12,FALSE))</f>
        <v/>
      </c>
      <c r="AU78" s="30" t="str">
        <f>IF(B78="","",VLOOKUP($B78,'C-1 On-Site WaterC'' Baseline'!$C$9:$Z$257,14,FALSE))</f>
        <v/>
      </c>
      <c r="AV78" s="30" t="str">
        <f>IFERROR(INDEX('G-7 WaterC'' Data'!$AZ$3:$AZ$7,MATCH(N78,'G-7 WaterC'' Data'!$AY$3:$AY$7,0)),"")</f>
        <v/>
      </c>
      <c r="AX78" s="30" t="str">
        <f>IF(B78="","",VLOOKUP($B78,'C-1 On-Site WaterC'' Baseline'!$C$9:$Y$257,22,FALSE))</f>
        <v/>
      </c>
      <c r="AY78" s="30" t="str">
        <f t="shared" si="18"/>
        <v/>
      </c>
      <c r="AZ78" s="30" t="str">
        <f>IF(B78="","",VLOOKUP($B78,'C-1 On-Site WaterC'' Baseline'!$C$9:$Y$257,21,FALSE))</f>
        <v/>
      </c>
      <c r="BA78" s="30" t="str">
        <f>IF(B78="","",VLOOKUP($B78,'C-1 On-Site WaterC'' Baseline'!$C$9:$Y$257,19,FALSE))</f>
        <v/>
      </c>
      <c r="BD78" s="30" t="str">
        <f t="shared" si="19"/>
        <v>No</v>
      </c>
    </row>
    <row r="79" spans="2:56" ht="13.8" x14ac:dyDescent="0.25">
      <c r="B79" s="311" t="str">
        <f>'C-1 On-Site WaterC'' Baseline'!AP77</f>
        <v/>
      </c>
      <c r="C79" s="301" t="str">
        <f>IF(B79="","",VLOOKUP($B79,'C-1 On-Site WaterC'' Baseline'!$C$9:$R$257,2,FALSE))</f>
        <v/>
      </c>
      <c r="D79" s="301" t="str">
        <f>IF(C79="","",VLOOKUP($B79,'C-1 On-Site WaterC'' Baseline'!$C$9:$R$257,3,FALSE))</f>
        <v/>
      </c>
      <c r="E79" s="301" t="str">
        <f>IF(D79="","",VLOOKUP($B79,'C-1 On-Site WaterC'' Baseline'!$C$9:$R$257,4,FALSE))</f>
        <v/>
      </c>
      <c r="F79" s="301" t="str">
        <f>IF(E79="","",VLOOKUP($B79,'C-1 On-Site WaterC'' Baseline'!$C$9:$R$257,5,FALSE))</f>
        <v/>
      </c>
      <c r="G79" s="301" t="str">
        <f>IF(F79="","",VLOOKUP($B79,'C-1 On-Site WaterC'' Baseline'!$C$9:$R$257,6,FALSE))</f>
        <v/>
      </c>
      <c r="H79" s="301" t="str">
        <f>IF(G79="","",VLOOKUP($B79,'C-1 On-Site WaterC'' Baseline'!$C$9:$R$257,7,FALSE))</f>
        <v/>
      </c>
      <c r="I79" s="301" t="str">
        <f>IF(H79="","",VLOOKUP($B79,'C-1 On-Site WaterC'' Baseline'!$C$9:$R$257,8,FALSE))</f>
        <v/>
      </c>
      <c r="J79" s="301" t="str">
        <f>IF(I79="","",VLOOKUP($B79,'C-1 On-Site WaterC'' Baseline'!$C$9:$R$257,9,FALSE))</f>
        <v/>
      </c>
      <c r="K79" s="301" t="str">
        <f>IF(J79="","",VLOOKUP($B79,'C-1 On-Site WaterC'' Baseline'!$C$9:$R$257,10,FALSE))</f>
        <v/>
      </c>
      <c r="L79" s="301" t="str">
        <f>IF(B79="","",VLOOKUP($B79,'C-1 On-Site WaterC'' Baseline'!$C$9:$R$257,15,FALSE))</f>
        <v/>
      </c>
      <c r="M79" s="305" t="str">
        <f>IF(L79="","",VLOOKUP($B79,'C-1 On-Site WaterC'' Baseline'!$C$9:$R$257,16,FALSE))</f>
        <v/>
      </c>
      <c r="N79" s="251"/>
      <c r="O79" s="281" t="str">
        <f t="shared" si="11"/>
        <v/>
      </c>
      <c r="P79" s="282" t="str">
        <f t="shared" si="12"/>
        <v/>
      </c>
      <c r="Q79" s="342" t="str">
        <f>IF(N79="","",VLOOKUP(B79,'C-1 On-Site WaterC'' Baseline'!$C$10:$AC$257,20,FALSE))</f>
        <v/>
      </c>
      <c r="R79" s="281" t="str">
        <f>IF(N79="","",VLOOKUP(N79,'G-7 WaterC'' Data'!$B$2:$G$8,2,FALSE))</f>
        <v/>
      </c>
      <c r="S79" s="282" t="str">
        <f>IFERROR(VLOOKUP(R79,'G-7 WaterC'' Data'!$C$4:$D$8,2,FALSE),"")</f>
        <v/>
      </c>
      <c r="T79" s="105"/>
      <c r="U79" s="282" t="str">
        <f>IFERROR(INDEX('G-7 WaterC'' Data'!$H$4:$L$8,MATCH(N79,'G-7 WaterC'' Data'!$B$4:$B$8,0),MATCH(T79,'G-7 WaterC'' Data'!$H$3:$L$3,0)),"")</f>
        <v/>
      </c>
      <c r="V79" s="105"/>
      <c r="W79" s="289" t="str">
        <f>IF(V79="","",IF(VLOOKUP(V79,'G-7 WaterC'' Data'!$AK$4:$AM$6,2,FALSE)=0,"Spatial Data Missing ⚠",VLOOKUP(V79,'G-7 WaterC'' Data'!$AK$4:$AM$6,2,FALSE)))</f>
        <v/>
      </c>
      <c r="X79" s="282" t="str">
        <f>IF(V79="","",IF(VLOOKUP(V79,'G-7 WaterC'' Data'!$AK$4:$AM$6,3,FALSE)=0,"Spatial Data Missing ⚠",VLOOKUP(V79,'G-7 WaterC'' Data'!$AK$4:$AM$6,3,FALSE)))</f>
        <v/>
      </c>
      <c r="Y79" s="281" t="str">
        <f>IFERROR(IF(OR(LEFT(P79,5)="Error",LEFT(O79,5)="Error"),"Check Data ⚠",IF(F79&lt;S79,'G-7 WaterC'' Data'!$R$3,INDEX('G-7 WaterC'' Data'!$U$5:$Y$9,MATCH(G79,'G-7 WaterC'' Data'!$T$5:$T$9,0),MATCH(T79,'G-7 WaterC'' Data'!$U$4:$Y$4,0)))),"")</f>
        <v/>
      </c>
      <c r="Z79" s="137"/>
      <c r="AA79" s="137"/>
      <c r="AB79" s="289" t="str">
        <f t="shared" si="13"/>
        <v/>
      </c>
      <c r="AC79" s="302" t="str">
        <f t="shared" si="14"/>
        <v/>
      </c>
      <c r="AD79" s="340" t="str">
        <f>IFERROR(IF(AC79="Check Data ⚠","Check Data ⚠",VLOOKUP(AC79,'G-4 Temporal multipliers'!$A$4:$C$37,3,FALSE)),"")</f>
        <v/>
      </c>
      <c r="AE79" s="281" t="str">
        <f>IF(N79="","",VLOOKUP(N79,'G-7 WaterC'' Data'!$B$4:$G$8,5,FALSE))</f>
        <v/>
      </c>
      <c r="AF79" s="289" t="str">
        <f t="shared" si="15"/>
        <v/>
      </c>
      <c r="AG79" s="320" t="str">
        <f t="shared" si="16"/>
        <v/>
      </c>
      <c r="AH79" s="282" t="str">
        <f t="shared" si="10"/>
        <v/>
      </c>
      <c r="AI79" s="109"/>
      <c r="AJ79" s="282" t="str">
        <f>IF(AI79="","",IF(AND(AI79="N/A - Culvert",N79&lt;&gt;"Culvert"),"Not possible ▲",IF(VLOOKUP(AI79,'G-7 WaterC'' Data'!$AA$4:$AB$7,2,FALSE)=0,"Spatial Data Missing ⚠",VLOOKUP(AI79,'G-7 WaterC'' Data'!$AA$4:$AB$7,2,FALSE))))</f>
        <v/>
      </c>
      <c r="AK79" s="110"/>
      <c r="AL79" s="282" t="str">
        <f>IF(AK79="","",IF(AND(AK79="N/A - Culvert",N79&lt;&gt;"Culvert"),"Not possible ▲",IF(VLOOKUP(AK79,'G-7 WaterC'' Data'!$AD$4:$AE$14,2,FALSE)=0,"Spatial Data Missing ⚠",VLOOKUP(AK79,'G-7 WaterC'' Data'!$AD$4:$AE$14,2,FALSE))))</f>
        <v/>
      </c>
      <c r="AM79" s="323" t="str">
        <f t="shared" si="17"/>
        <v/>
      </c>
      <c r="AN79" s="105"/>
      <c r="AO79" s="119"/>
      <c r="AP79" s="108"/>
      <c r="AS79" s="30" t="str">
        <f>IF(B79="","",IF(ISNA(VLOOKUP($B79,'C-1 On-Site WaterC'' Baseline'!$C$8:$AD$257,17,FALSE)),"",(VLOOKUP($B79,'C-1 On-Site WaterC'' Baseline'!$C$8:$AD$257,17,FALSE))))</f>
        <v/>
      </c>
      <c r="AT79" s="30" t="str">
        <f>IF(B79="","",VLOOKUP($B79,'C-1 On-Site WaterC'' Baseline'!$C$9:$Z$257,12,FALSE))</f>
        <v/>
      </c>
      <c r="AU79" s="30" t="str">
        <f>IF(B79="","",VLOOKUP($B79,'C-1 On-Site WaterC'' Baseline'!$C$9:$Z$257,14,FALSE))</f>
        <v/>
      </c>
      <c r="AV79" s="30" t="str">
        <f>IFERROR(INDEX('G-7 WaterC'' Data'!$AZ$3:$AZ$7,MATCH(N79,'G-7 WaterC'' Data'!$AY$3:$AY$7,0)),"")</f>
        <v/>
      </c>
      <c r="AX79" s="30" t="str">
        <f>IF(B79="","",VLOOKUP($B79,'C-1 On-Site WaterC'' Baseline'!$C$9:$Y$257,22,FALSE))</f>
        <v/>
      </c>
      <c r="AY79" s="30" t="str">
        <f t="shared" si="18"/>
        <v/>
      </c>
      <c r="AZ79" s="30" t="str">
        <f>IF(B79="","",VLOOKUP($B79,'C-1 On-Site WaterC'' Baseline'!$C$9:$Y$257,21,FALSE))</f>
        <v/>
      </c>
      <c r="BA79" s="30" t="str">
        <f>IF(B79="","",VLOOKUP($B79,'C-1 On-Site WaterC'' Baseline'!$C$9:$Y$257,19,FALSE))</f>
        <v/>
      </c>
      <c r="BD79" s="30" t="str">
        <f t="shared" si="19"/>
        <v>No</v>
      </c>
    </row>
    <row r="80" spans="2:56" ht="13.8" x14ac:dyDescent="0.25">
      <c r="B80" s="311" t="str">
        <f>'C-1 On-Site WaterC'' Baseline'!AP78</f>
        <v/>
      </c>
      <c r="C80" s="301" t="str">
        <f>IF(B80="","",VLOOKUP($B80,'C-1 On-Site WaterC'' Baseline'!$C$9:$R$257,2,FALSE))</f>
        <v/>
      </c>
      <c r="D80" s="301" t="str">
        <f>IF(C80="","",VLOOKUP($B80,'C-1 On-Site WaterC'' Baseline'!$C$9:$R$257,3,FALSE))</f>
        <v/>
      </c>
      <c r="E80" s="301" t="str">
        <f>IF(D80="","",VLOOKUP($B80,'C-1 On-Site WaterC'' Baseline'!$C$9:$R$257,4,FALSE))</f>
        <v/>
      </c>
      <c r="F80" s="301" t="str">
        <f>IF(E80="","",VLOOKUP($B80,'C-1 On-Site WaterC'' Baseline'!$C$9:$R$257,5,FALSE))</f>
        <v/>
      </c>
      <c r="G80" s="301" t="str">
        <f>IF(F80="","",VLOOKUP($B80,'C-1 On-Site WaterC'' Baseline'!$C$9:$R$257,6,FALSE))</f>
        <v/>
      </c>
      <c r="H80" s="301" t="str">
        <f>IF(G80="","",VLOOKUP($B80,'C-1 On-Site WaterC'' Baseline'!$C$9:$R$257,7,FALSE))</f>
        <v/>
      </c>
      <c r="I80" s="301" t="str">
        <f>IF(H80="","",VLOOKUP($B80,'C-1 On-Site WaterC'' Baseline'!$C$9:$R$257,8,FALSE))</f>
        <v/>
      </c>
      <c r="J80" s="301" t="str">
        <f>IF(I80="","",VLOOKUP($B80,'C-1 On-Site WaterC'' Baseline'!$C$9:$R$257,9,FALSE))</f>
        <v/>
      </c>
      <c r="K80" s="301" t="str">
        <f>IF(J80="","",VLOOKUP($B80,'C-1 On-Site WaterC'' Baseline'!$C$9:$R$257,10,FALSE))</f>
        <v/>
      </c>
      <c r="L80" s="301" t="str">
        <f>IF(B80="","",VLOOKUP($B80,'C-1 On-Site WaterC'' Baseline'!$C$9:$R$257,15,FALSE))</f>
        <v/>
      </c>
      <c r="M80" s="305" t="str">
        <f>IF(L80="","",VLOOKUP($B80,'C-1 On-Site WaterC'' Baseline'!$C$9:$R$257,16,FALSE))</f>
        <v/>
      </c>
      <c r="N80" s="251"/>
      <c r="O80" s="281" t="str">
        <f t="shared" si="11"/>
        <v/>
      </c>
      <c r="P80" s="282" t="str">
        <f t="shared" si="12"/>
        <v/>
      </c>
      <c r="Q80" s="342" t="str">
        <f>IF(N80="","",VLOOKUP(B80,'C-1 On-Site WaterC'' Baseline'!$C$10:$AC$257,20,FALSE))</f>
        <v/>
      </c>
      <c r="R80" s="281" t="str">
        <f>IF(N80="","",VLOOKUP(N80,'G-7 WaterC'' Data'!$B$2:$G$8,2,FALSE))</f>
        <v/>
      </c>
      <c r="S80" s="282" t="str">
        <f>IFERROR(VLOOKUP(R80,'G-7 WaterC'' Data'!$C$4:$D$8,2,FALSE),"")</f>
        <v/>
      </c>
      <c r="T80" s="105"/>
      <c r="U80" s="282" t="str">
        <f>IFERROR(INDEX('G-7 WaterC'' Data'!$H$4:$L$8,MATCH(N80,'G-7 WaterC'' Data'!$B$4:$B$8,0),MATCH(T80,'G-7 WaterC'' Data'!$H$3:$L$3,0)),"")</f>
        <v/>
      </c>
      <c r="V80" s="105"/>
      <c r="W80" s="289" t="str">
        <f>IF(V80="","",IF(VLOOKUP(V80,'G-7 WaterC'' Data'!$AK$4:$AM$6,2,FALSE)=0,"Spatial Data Missing ⚠",VLOOKUP(V80,'G-7 WaterC'' Data'!$AK$4:$AM$6,2,FALSE)))</f>
        <v/>
      </c>
      <c r="X80" s="282" t="str">
        <f>IF(V80="","",IF(VLOOKUP(V80,'G-7 WaterC'' Data'!$AK$4:$AM$6,3,FALSE)=0,"Spatial Data Missing ⚠",VLOOKUP(V80,'G-7 WaterC'' Data'!$AK$4:$AM$6,3,FALSE)))</f>
        <v/>
      </c>
      <c r="Y80" s="281" t="str">
        <f>IFERROR(IF(OR(LEFT(P80,5)="Error",LEFT(O80,5)="Error"),"Check Data ⚠",IF(F80&lt;S80,'G-7 WaterC'' Data'!$R$3,INDEX('G-7 WaterC'' Data'!$U$5:$Y$9,MATCH(G80,'G-7 WaterC'' Data'!$T$5:$T$9,0),MATCH(T80,'G-7 WaterC'' Data'!$U$4:$Y$4,0)))),"")</f>
        <v/>
      </c>
      <c r="Z80" s="137"/>
      <c r="AA80" s="137"/>
      <c r="AB80" s="289" t="str">
        <f t="shared" si="13"/>
        <v/>
      </c>
      <c r="AC80" s="302" t="str">
        <f t="shared" si="14"/>
        <v/>
      </c>
      <c r="AD80" s="340" t="str">
        <f>IFERROR(IF(AC80="Check Data ⚠","Check Data ⚠",VLOOKUP(AC80,'G-4 Temporal multipliers'!$A$4:$C$37,3,FALSE)),"")</f>
        <v/>
      </c>
      <c r="AE80" s="281" t="str">
        <f>IF(N80="","",VLOOKUP(N80,'G-7 WaterC'' Data'!$B$4:$G$8,5,FALSE))</f>
        <v/>
      </c>
      <c r="AF80" s="289" t="str">
        <f t="shared" si="15"/>
        <v/>
      </c>
      <c r="AG80" s="320" t="str">
        <f t="shared" si="16"/>
        <v/>
      </c>
      <c r="AH80" s="282" t="str">
        <f t="shared" si="10"/>
        <v/>
      </c>
      <c r="AI80" s="109"/>
      <c r="AJ80" s="282" t="str">
        <f>IF(AI80="","",IF(AND(AI80="N/A - Culvert",N80&lt;&gt;"Culvert"),"Not possible ▲",IF(VLOOKUP(AI80,'G-7 WaterC'' Data'!$AA$4:$AB$7,2,FALSE)=0,"Spatial Data Missing ⚠",VLOOKUP(AI80,'G-7 WaterC'' Data'!$AA$4:$AB$7,2,FALSE))))</f>
        <v/>
      </c>
      <c r="AK80" s="110"/>
      <c r="AL80" s="282" t="str">
        <f>IF(AK80="","",IF(AND(AK80="N/A - Culvert",N80&lt;&gt;"Culvert"),"Not possible ▲",IF(VLOOKUP(AK80,'G-7 WaterC'' Data'!$AD$4:$AE$14,2,FALSE)=0,"Spatial Data Missing ⚠",VLOOKUP(AK80,'G-7 WaterC'' Data'!$AD$4:$AE$14,2,FALSE))))</f>
        <v/>
      </c>
      <c r="AM80" s="323" t="str">
        <f t="shared" si="17"/>
        <v/>
      </c>
      <c r="AN80" s="105"/>
      <c r="AO80" s="119"/>
      <c r="AP80" s="108"/>
      <c r="AS80" s="30" t="str">
        <f>IF(B80="","",IF(ISNA(VLOOKUP($B80,'C-1 On-Site WaterC'' Baseline'!$C$8:$AD$257,17,FALSE)),"",(VLOOKUP($B80,'C-1 On-Site WaterC'' Baseline'!$C$8:$AD$257,17,FALSE))))</f>
        <v/>
      </c>
      <c r="AT80" s="30" t="str">
        <f>IF(B80="","",VLOOKUP($B80,'C-1 On-Site WaterC'' Baseline'!$C$9:$Z$257,12,FALSE))</f>
        <v/>
      </c>
      <c r="AU80" s="30" t="str">
        <f>IF(B80="","",VLOOKUP($B80,'C-1 On-Site WaterC'' Baseline'!$C$9:$Z$257,14,FALSE))</f>
        <v/>
      </c>
      <c r="AV80" s="30" t="str">
        <f>IFERROR(INDEX('G-7 WaterC'' Data'!$AZ$3:$AZ$7,MATCH(N80,'G-7 WaterC'' Data'!$AY$3:$AY$7,0)),"")</f>
        <v/>
      </c>
      <c r="AX80" s="30" t="str">
        <f>IF(B80="","",VLOOKUP($B80,'C-1 On-Site WaterC'' Baseline'!$C$9:$Y$257,22,FALSE))</f>
        <v/>
      </c>
      <c r="AY80" s="30" t="str">
        <f t="shared" si="18"/>
        <v/>
      </c>
      <c r="AZ80" s="30" t="str">
        <f>IF(B80="","",VLOOKUP($B80,'C-1 On-Site WaterC'' Baseline'!$C$9:$Y$257,21,FALSE))</f>
        <v/>
      </c>
      <c r="BA80" s="30" t="str">
        <f>IF(B80="","",VLOOKUP($B80,'C-1 On-Site WaterC'' Baseline'!$C$9:$Y$257,19,FALSE))</f>
        <v/>
      </c>
      <c r="BD80" s="30" t="str">
        <f t="shared" si="19"/>
        <v>No</v>
      </c>
    </row>
    <row r="81" spans="2:56" ht="13.8" x14ac:dyDescent="0.25">
      <c r="B81" s="311" t="str">
        <f>'C-1 On-Site WaterC'' Baseline'!AP79</f>
        <v/>
      </c>
      <c r="C81" s="301" t="str">
        <f>IF(B81="","",VLOOKUP($B81,'C-1 On-Site WaterC'' Baseline'!$C$9:$R$257,2,FALSE))</f>
        <v/>
      </c>
      <c r="D81" s="301" t="str">
        <f>IF(C81="","",VLOOKUP($B81,'C-1 On-Site WaterC'' Baseline'!$C$9:$R$257,3,FALSE))</f>
        <v/>
      </c>
      <c r="E81" s="301" t="str">
        <f>IF(D81="","",VLOOKUP($B81,'C-1 On-Site WaterC'' Baseline'!$C$9:$R$257,4,FALSE))</f>
        <v/>
      </c>
      <c r="F81" s="301" t="str">
        <f>IF(E81="","",VLOOKUP($B81,'C-1 On-Site WaterC'' Baseline'!$C$9:$R$257,5,FALSE))</f>
        <v/>
      </c>
      <c r="G81" s="301" t="str">
        <f>IF(F81="","",VLOOKUP($B81,'C-1 On-Site WaterC'' Baseline'!$C$9:$R$257,6,FALSE))</f>
        <v/>
      </c>
      <c r="H81" s="301" t="str">
        <f>IF(G81="","",VLOOKUP($B81,'C-1 On-Site WaterC'' Baseline'!$C$9:$R$257,7,FALSE))</f>
        <v/>
      </c>
      <c r="I81" s="301" t="str">
        <f>IF(H81="","",VLOOKUP($B81,'C-1 On-Site WaterC'' Baseline'!$C$9:$R$257,8,FALSE))</f>
        <v/>
      </c>
      <c r="J81" s="301" t="str">
        <f>IF(I81="","",VLOOKUP($B81,'C-1 On-Site WaterC'' Baseline'!$C$9:$R$257,9,FALSE))</f>
        <v/>
      </c>
      <c r="K81" s="301" t="str">
        <f>IF(J81="","",VLOOKUP($B81,'C-1 On-Site WaterC'' Baseline'!$C$9:$R$257,10,FALSE))</f>
        <v/>
      </c>
      <c r="L81" s="301" t="str">
        <f>IF(B81="","",VLOOKUP($B81,'C-1 On-Site WaterC'' Baseline'!$C$9:$R$257,15,FALSE))</f>
        <v/>
      </c>
      <c r="M81" s="305" t="str">
        <f>IF(L81="","",VLOOKUP($B81,'C-1 On-Site WaterC'' Baseline'!$C$9:$R$257,16,FALSE))</f>
        <v/>
      </c>
      <c r="N81" s="251"/>
      <c r="O81" s="281" t="str">
        <f t="shared" si="11"/>
        <v/>
      </c>
      <c r="P81" s="282" t="str">
        <f t="shared" si="12"/>
        <v/>
      </c>
      <c r="Q81" s="342" t="str">
        <f>IF(N81="","",VLOOKUP(B81,'C-1 On-Site WaterC'' Baseline'!$C$10:$AC$257,20,FALSE))</f>
        <v/>
      </c>
      <c r="R81" s="281" t="str">
        <f>IF(N81="","",VLOOKUP(N81,'G-7 WaterC'' Data'!$B$2:$G$8,2,FALSE))</f>
        <v/>
      </c>
      <c r="S81" s="282" t="str">
        <f>IFERROR(VLOOKUP(R81,'G-7 WaterC'' Data'!$C$4:$D$8,2,FALSE),"")</f>
        <v/>
      </c>
      <c r="T81" s="105"/>
      <c r="U81" s="282" t="str">
        <f>IFERROR(INDEX('G-7 WaterC'' Data'!$H$4:$L$8,MATCH(N81,'G-7 WaterC'' Data'!$B$4:$B$8,0),MATCH(T81,'G-7 WaterC'' Data'!$H$3:$L$3,0)),"")</f>
        <v/>
      </c>
      <c r="V81" s="105"/>
      <c r="W81" s="289" t="str">
        <f>IF(V81="","",IF(VLOOKUP(V81,'G-7 WaterC'' Data'!$AK$4:$AM$6,2,FALSE)=0,"Spatial Data Missing ⚠",VLOOKUP(V81,'G-7 WaterC'' Data'!$AK$4:$AM$6,2,FALSE)))</f>
        <v/>
      </c>
      <c r="X81" s="282" t="str">
        <f>IF(V81="","",IF(VLOOKUP(V81,'G-7 WaterC'' Data'!$AK$4:$AM$6,3,FALSE)=0,"Spatial Data Missing ⚠",VLOOKUP(V81,'G-7 WaterC'' Data'!$AK$4:$AM$6,3,FALSE)))</f>
        <v/>
      </c>
      <c r="Y81" s="281" t="str">
        <f>IFERROR(IF(OR(LEFT(P81,5)="Error",LEFT(O81,5)="Error"),"Check Data ⚠",IF(F81&lt;S81,'G-7 WaterC'' Data'!$R$3,INDEX('G-7 WaterC'' Data'!$U$5:$Y$9,MATCH(G81,'G-7 WaterC'' Data'!$T$5:$T$9,0),MATCH(T81,'G-7 WaterC'' Data'!$U$4:$Y$4,0)))),"")</f>
        <v/>
      </c>
      <c r="Z81" s="137"/>
      <c r="AA81" s="137"/>
      <c r="AB81" s="289" t="str">
        <f t="shared" si="13"/>
        <v/>
      </c>
      <c r="AC81" s="302" t="str">
        <f t="shared" si="14"/>
        <v/>
      </c>
      <c r="AD81" s="340" t="str">
        <f>IFERROR(IF(AC81="Check Data ⚠","Check Data ⚠",VLOOKUP(AC81,'G-4 Temporal multipliers'!$A$4:$C$37,3,FALSE)),"")</f>
        <v/>
      </c>
      <c r="AE81" s="281" t="str">
        <f>IF(N81="","",VLOOKUP(N81,'G-7 WaterC'' Data'!$B$4:$G$8,5,FALSE))</f>
        <v/>
      </c>
      <c r="AF81" s="289" t="str">
        <f t="shared" si="15"/>
        <v/>
      </c>
      <c r="AG81" s="320" t="str">
        <f t="shared" si="16"/>
        <v/>
      </c>
      <c r="AH81" s="282" t="str">
        <f t="shared" si="10"/>
        <v/>
      </c>
      <c r="AI81" s="109"/>
      <c r="AJ81" s="282" t="str">
        <f>IF(AI81="","",IF(AND(AI81="N/A - Culvert",N81&lt;&gt;"Culvert"),"Not possible ▲",IF(VLOOKUP(AI81,'G-7 WaterC'' Data'!$AA$4:$AB$7,2,FALSE)=0,"Spatial Data Missing ⚠",VLOOKUP(AI81,'G-7 WaterC'' Data'!$AA$4:$AB$7,2,FALSE))))</f>
        <v/>
      </c>
      <c r="AK81" s="110"/>
      <c r="AL81" s="282" t="str">
        <f>IF(AK81="","",IF(AND(AK81="N/A - Culvert",N81&lt;&gt;"Culvert"),"Not possible ▲",IF(VLOOKUP(AK81,'G-7 WaterC'' Data'!$AD$4:$AE$14,2,FALSE)=0,"Spatial Data Missing ⚠",VLOOKUP(AK81,'G-7 WaterC'' Data'!$AD$4:$AE$14,2,FALSE))))</f>
        <v/>
      </c>
      <c r="AM81" s="323" t="str">
        <f t="shared" si="17"/>
        <v/>
      </c>
      <c r="AN81" s="105"/>
      <c r="AO81" s="119"/>
      <c r="AP81" s="108"/>
      <c r="AS81" s="30" t="str">
        <f>IF(B81="","",IF(ISNA(VLOOKUP($B81,'C-1 On-Site WaterC'' Baseline'!$C$8:$AD$257,17,FALSE)),"",(VLOOKUP($B81,'C-1 On-Site WaterC'' Baseline'!$C$8:$AD$257,17,FALSE))))</f>
        <v/>
      </c>
      <c r="AT81" s="30" t="str">
        <f>IF(B81="","",VLOOKUP($B81,'C-1 On-Site WaterC'' Baseline'!$C$9:$Z$257,12,FALSE))</f>
        <v/>
      </c>
      <c r="AU81" s="30" t="str">
        <f>IF(B81="","",VLOOKUP($B81,'C-1 On-Site WaterC'' Baseline'!$C$9:$Z$257,14,FALSE))</f>
        <v/>
      </c>
      <c r="AV81" s="30" t="str">
        <f>IFERROR(INDEX('G-7 WaterC'' Data'!$AZ$3:$AZ$7,MATCH(N81,'G-7 WaterC'' Data'!$AY$3:$AY$7,0)),"")</f>
        <v/>
      </c>
      <c r="AX81" s="30" t="str">
        <f>IF(B81="","",VLOOKUP($B81,'C-1 On-Site WaterC'' Baseline'!$C$9:$Y$257,22,FALSE))</f>
        <v/>
      </c>
      <c r="AY81" s="30" t="str">
        <f t="shared" si="18"/>
        <v/>
      </c>
      <c r="AZ81" s="30" t="str">
        <f>IF(B81="","",VLOOKUP($B81,'C-1 On-Site WaterC'' Baseline'!$C$9:$Y$257,21,FALSE))</f>
        <v/>
      </c>
      <c r="BA81" s="30" t="str">
        <f>IF(B81="","",VLOOKUP($B81,'C-1 On-Site WaterC'' Baseline'!$C$9:$Y$257,19,FALSE))</f>
        <v/>
      </c>
      <c r="BD81" s="30" t="str">
        <f t="shared" si="19"/>
        <v>No</v>
      </c>
    </row>
    <row r="82" spans="2:56" ht="13.8" x14ac:dyDescent="0.25">
      <c r="B82" s="311" t="str">
        <f>'C-1 On-Site WaterC'' Baseline'!AP80</f>
        <v/>
      </c>
      <c r="C82" s="301" t="str">
        <f>IF(B82="","",VLOOKUP($B82,'C-1 On-Site WaterC'' Baseline'!$C$9:$R$257,2,FALSE))</f>
        <v/>
      </c>
      <c r="D82" s="301" t="str">
        <f>IF(C82="","",VLOOKUP($B82,'C-1 On-Site WaterC'' Baseline'!$C$9:$R$257,3,FALSE))</f>
        <v/>
      </c>
      <c r="E82" s="301" t="str">
        <f>IF(D82="","",VLOOKUP($B82,'C-1 On-Site WaterC'' Baseline'!$C$9:$R$257,4,FALSE))</f>
        <v/>
      </c>
      <c r="F82" s="301" t="str">
        <f>IF(E82="","",VLOOKUP($B82,'C-1 On-Site WaterC'' Baseline'!$C$9:$R$257,5,FALSE))</f>
        <v/>
      </c>
      <c r="G82" s="301" t="str">
        <f>IF(F82="","",VLOOKUP($B82,'C-1 On-Site WaterC'' Baseline'!$C$9:$R$257,6,FALSE))</f>
        <v/>
      </c>
      <c r="H82" s="301" t="str">
        <f>IF(G82="","",VLOOKUP($B82,'C-1 On-Site WaterC'' Baseline'!$C$9:$R$257,7,FALSE))</f>
        <v/>
      </c>
      <c r="I82" s="301" t="str">
        <f>IF(H82="","",VLOOKUP($B82,'C-1 On-Site WaterC'' Baseline'!$C$9:$R$257,8,FALSE))</f>
        <v/>
      </c>
      <c r="J82" s="301" t="str">
        <f>IF(I82="","",VLOOKUP($B82,'C-1 On-Site WaterC'' Baseline'!$C$9:$R$257,9,FALSE))</f>
        <v/>
      </c>
      <c r="K82" s="301" t="str">
        <f>IF(J82="","",VLOOKUP($B82,'C-1 On-Site WaterC'' Baseline'!$C$9:$R$257,10,FALSE))</f>
        <v/>
      </c>
      <c r="L82" s="301" t="str">
        <f>IF(B82="","",VLOOKUP($B82,'C-1 On-Site WaterC'' Baseline'!$C$9:$R$257,15,FALSE))</f>
        <v/>
      </c>
      <c r="M82" s="305" t="str">
        <f>IF(L82="","",VLOOKUP($B82,'C-1 On-Site WaterC'' Baseline'!$C$9:$R$257,16,FALSE))</f>
        <v/>
      </c>
      <c r="N82" s="251"/>
      <c r="O82" s="281" t="str">
        <f t="shared" si="11"/>
        <v/>
      </c>
      <c r="P82" s="282" t="str">
        <f t="shared" si="12"/>
        <v/>
      </c>
      <c r="Q82" s="342" t="str">
        <f>IF(N82="","",VLOOKUP(B82,'C-1 On-Site WaterC'' Baseline'!$C$10:$AC$257,20,FALSE))</f>
        <v/>
      </c>
      <c r="R82" s="281" t="str">
        <f>IF(N82="","",VLOOKUP(N82,'G-7 WaterC'' Data'!$B$2:$G$8,2,FALSE))</f>
        <v/>
      </c>
      <c r="S82" s="282" t="str">
        <f>IFERROR(VLOOKUP(R82,'G-7 WaterC'' Data'!$C$4:$D$8,2,FALSE),"")</f>
        <v/>
      </c>
      <c r="T82" s="105"/>
      <c r="U82" s="282" t="str">
        <f>IFERROR(INDEX('G-7 WaterC'' Data'!$H$4:$L$8,MATCH(N82,'G-7 WaterC'' Data'!$B$4:$B$8,0),MATCH(T82,'G-7 WaterC'' Data'!$H$3:$L$3,0)),"")</f>
        <v/>
      </c>
      <c r="V82" s="105"/>
      <c r="W82" s="289" t="str">
        <f>IF(V82="","",IF(VLOOKUP(V82,'G-7 WaterC'' Data'!$AK$4:$AM$6,2,FALSE)=0,"Spatial Data Missing ⚠",VLOOKUP(V82,'G-7 WaterC'' Data'!$AK$4:$AM$6,2,FALSE)))</f>
        <v/>
      </c>
      <c r="X82" s="282" t="str">
        <f>IF(V82="","",IF(VLOOKUP(V82,'G-7 WaterC'' Data'!$AK$4:$AM$6,3,FALSE)=0,"Spatial Data Missing ⚠",VLOOKUP(V82,'G-7 WaterC'' Data'!$AK$4:$AM$6,3,FALSE)))</f>
        <v/>
      </c>
      <c r="Y82" s="281" t="str">
        <f>IFERROR(IF(OR(LEFT(P82,5)="Error",LEFT(O82,5)="Error"),"Check Data ⚠",IF(F82&lt;S82,'G-7 WaterC'' Data'!$R$3,INDEX('G-7 WaterC'' Data'!$U$5:$Y$9,MATCH(G82,'G-7 WaterC'' Data'!$T$5:$T$9,0),MATCH(T82,'G-7 WaterC'' Data'!$U$4:$Y$4,0)))),"")</f>
        <v/>
      </c>
      <c r="Z82" s="137"/>
      <c r="AA82" s="137"/>
      <c r="AB82" s="289" t="str">
        <f t="shared" si="13"/>
        <v/>
      </c>
      <c r="AC82" s="302" t="str">
        <f t="shared" si="14"/>
        <v/>
      </c>
      <c r="AD82" s="340" t="str">
        <f>IFERROR(IF(AC82="Check Data ⚠","Check Data ⚠",VLOOKUP(AC82,'G-4 Temporal multipliers'!$A$4:$C$37,3,FALSE)),"")</f>
        <v/>
      </c>
      <c r="AE82" s="281" t="str">
        <f>IF(N82="","",VLOOKUP(N82,'G-7 WaterC'' Data'!$B$4:$G$8,5,FALSE))</f>
        <v/>
      </c>
      <c r="AF82" s="289" t="str">
        <f t="shared" si="15"/>
        <v/>
      </c>
      <c r="AG82" s="320" t="str">
        <f t="shared" si="16"/>
        <v/>
      </c>
      <c r="AH82" s="282" t="str">
        <f t="shared" si="10"/>
        <v/>
      </c>
      <c r="AI82" s="109"/>
      <c r="AJ82" s="282" t="str">
        <f>IF(AI82="","",IF(AND(AI82="N/A - Culvert",N82&lt;&gt;"Culvert"),"Not possible ▲",IF(VLOOKUP(AI82,'G-7 WaterC'' Data'!$AA$4:$AB$7,2,FALSE)=0,"Spatial Data Missing ⚠",VLOOKUP(AI82,'G-7 WaterC'' Data'!$AA$4:$AB$7,2,FALSE))))</f>
        <v/>
      </c>
      <c r="AK82" s="110"/>
      <c r="AL82" s="282" t="str">
        <f>IF(AK82="","",IF(AND(AK82="N/A - Culvert",N82&lt;&gt;"Culvert"),"Not possible ▲",IF(VLOOKUP(AK82,'G-7 WaterC'' Data'!$AD$4:$AE$14,2,FALSE)=0,"Spatial Data Missing ⚠",VLOOKUP(AK82,'G-7 WaterC'' Data'!$AD$4:$AE$14,2,FALSE))))</f>
        <v/>
      </c>
      <c r="AM82" s="323" t="str">
        <f t="shared" si="17"/>
        <v/>
      </c>
      <c r="AN82" s="105"/>
      <c r="AO82" s="119"/>
      <c r="AP82" s="108"/>
      <c r="AS82" s="30" t="str">
        <f>IF(B82="","",IF(ISNA(VLOOKUP($B82,'C-1 On-Site WaterC'' Baseline'!$C$8:$AD$257,17,FALSE)),"",(VLOOKUP($B82,'C-1 On-Site WaterC'' Baseline'!$C$8:$AD$257,17,FALSE))))</f>
        <v/>
      </c>
      <c r="AT82" s="30" t="str">
        <f>IF(B82="","",VLOOKUP($B82,'C-1 On-Site WaterC'' Baseline'!$C$9:$Z$257,12,FALSE))</f>
        <v/>
      </c>
      <c r="AU82" s="30" t="str">
        <f>IF(B82="","",VLOOKUP($B82,'C-1 On-Site WaterC'' Baseline'!$C$9:$Z$257,14,FALSE))</f>
        <v/>
      </c>
      <c r="AV82" s="30" t="str">
        <f>IFERROR(INDEX('G-7 WaterC'' Data'!$AZ$3:$AZ$7,MATCH(N82,'G-7 WaterC'' Data'!$AY$3:$AY$7,0)),"")</f>
        <v/>
      </c>
      <c r="AX82" s="30" t="str">
        <f>IF(B82="","",VLOOKUP($B82,'C-1 On-Site WaterC'' Baseline'!$C$9:$Y$257,22,FALSE))</f>
        <v/>
      </c>
      <c r="AY82" s="30" t="str">
        <f t="shared" si="18"/>
        <v/>
      </c>
      <c r="AZ82" s="30" t="str">
        <f>IF(B82="","",VLOOKUP($B82,'C-1 On-Site WaterC'' Baseline'!$C$9:$Y$257,21,FALSE))</f>
        <v/>
      </c>
      <c r="BA82" s="30" t="str">
        <f>IF(B82="","",VLOOKUP($B82,'C-1 On-Site WaterC'' Baseline'!$C$9:$Y$257,19,FALSE))</f>
        <v/>
      </c>
      <c r="BD82" s="30" t="str">
        <f t="shared" si="19"/>
        <v>No</v>
      </c>
    </row>
    <row r="83" spans="2:56" ht="13.8" x14ac:dyDescent="0.25">
      <c r="B83" s="311" t="str">
        <f>'C-1 On-Site WaterC'' Baseline'!AP81</f>
        <v/>
      </c>
      <c r="C83" s="301" t="str">
        <f>IF(B83="","",VLOOKUP($B83,'C-1 On-Site WaterC'' Baseline'!$C$9:$R$257,2,FALSE))</f>
        <v/>
      </c>
      <c r="D83" s="301" t="str">
        <f>IF(C83="","",VLOOKUP($B83,'C-1 On-Site WaterC'' Baseline'!$C$9:$R$257,3,FALSE))</f>
        <v/>
      </c>
      <c r="E83" s="301" t="str">
        <f>IF(D83="","",VLOOKUP($B83,'C-1 On-Site WaterC'' Baseline'!$C$9:$R$257,4,FALSE))</f>
        <v/>
      </c>
      <c r="F83" s="301" t="str">
        <f>IF(E83="","",VLOOKUP($B83,'C-1 On-Site WaterC'' Baseline'!$C$9:$R$257,5,FALSE))</f>
        <v/>
      </c>
      <c r="G83" s="301" t="str">
        <f>IF(F83="","",VLOOKUP($B83,'C-1 On-Site WaterC'' Baseline'!$C$9:$R$257,6,FALSE))</f>
        <v/>
      </c>
      <c r="H83" s="301" t="str">
        <f>IF(G83="","",VLOOKUP($B83,'C-1 On-Site WaterC'' Baseline'!$C$9:$R$257,7,FALSE))</f>
        <v/>
      </c>
      <c r="I83" s="301" t="str">
        <f>IF(H83="","",VLOOKUP($B83,'C-1 On-Site WaterC'' Baseline'!$C$9:$R$257,8,FALSE))</f>
        <v/>
      </c>
      <c r="J83" s="301" t="str">
        <f>IF(I83="","",VLOOKUP($B83,'C-1 On-Site WaterC'' Baseline'!$C$9:$R$257,9,FALSE))</f>
        <v/>
      </c>
      <c r="K83" s="301" t="str">
        <f>IF(J83="","",VLOOKUP($B83,'C-1 On-Site WaterC'' Baseline'!$C$9:$R$257,10,FALSE))</f>
        <v/>
      </c>
      <c r="L83" s="301" t="str">
        <f>IF(B83="","",VLOOKUP($B83,'C-1 On-Site WaterC'' Baseline'!$C$9:$R$257,15,FALSE))</f>
        <v/>
      </c>
      <c r="M83" s="305" t="str">
        <f>IF(L83="","",VLOOKUP($B83,'C-1 On-Site WaterC'' Baseline'!$C$9:$R$257,16,FALSE))</f>
        <v/>
      </c>
      <c r="N83" s="251"/>
      <c r="O83" s="281" t="str">
        <f t="shared" si="11"/>
        <v/>
      </c>
      <c r="P83" s="282" t="str">
        <f t="shared" si="12"/>
        <v/>
      </c>
      <c r="Q83" s="342" t="str">
        <f>IF(N83="","",VLOOKUP(B83,'C-1 On-Site WaterC'' Baseline'!$C$10:$AC$257,20,FALSE))</f>
        <v/>
      </c>
      <c r="R83" s="281" t="str">
        <f>IF(N83="","",VLOOKUP(N83,'G-7 WaterC'' Data'!$B$2:$G$8,2,FALSE))</f>
        <v/>
      </c>
      <c r="S83" s="282" t="str">
        <f>IFERROR(VLOOKUP(R83,'G-7 WaterC'' Data'!$C$4:$D$8,2,FALSE),"")</f>
        <v/>
      </c>
      <c r="T83" s="105"/>
      <c r="U83" s="282" t="str">
        <f>IFERROR(INDEX('G-7 WaterC'' Data'!$H$4:$L$8,MATCH(N83,'G-7 WaterC'' Data'!$B$4:$B$8,0),MATCH(T83,'G-7 WaterC'' Data'!$H$3:$L$3,0)),"")</f>
        <v/>
      </c>
      <c r="V83" s="105"/>
      <c r="W83" s="289" t="str">
        <f>IF(V83="","",IF(VLOOKUP(V83,'G-7 WaterC'' Data'!$AK$4:$AM$6,2,FALSE)=0,"Spatial Data Missing ⚠",VLOOKUP(V83,'G-7 WaterC'' Data'!$AK$4:$AM$6,2,FALSE)))</f>
        <v/>
      </c>
      <c r="X83" s="282" t="str">
        <f>IF(V83="","",IF(VLOOKUP(V83,'G-7 WaterC'' Data'!$AK$4:$AM$6,3,FALSE)=0,"Spatial Data Missing ⚠",VLOOKUP(V83,'G-7 WaterC'' Data'!$AK$4:$AM$6,3,FALSE)))</f>
        <v/>
      </c>
      <c r="Y83" s="281" t="str">
        <f>IFERROR(IF(OR(LEFT(P83,5)="Error",LEFT(O83,5)="Error"),"Check Data ⚠",IF(F83&lt;S83,'G-7 WaterC'' Data'!$R$3,INDEX('G-7 WaterC'' Data'!$U$5:$Y$9,MATCH(G83,'G-7 WaterC'' Data'!$T$5:$T$9,0),MATCH(T83,'G-7 WaterC'' Data'!$U$4:$Y$4,0)))),"")</f>
        <v/>
      </c>
      <c r="Z83" s="137"/>
      <c r="AA83" s="137"/>
      <c r="AB83" s="289" t="str">
        <f t="shared" si="13"/>
        <v/>
      </c>
      <c r="AC83" s="302" t="str">
        <f t="shared" si="14"/>
        <v/>
      </c>
      <c r="AD83" s="340" t="str">
        <f>IFERROR(IF(AC83="Check Data ⚠","Check Data ⚠",VLOOKUP(AC83,'G-4 Temporal multipliers'!$A$4:$C$37,3,FALSE)),"")</f>
        <v/>
      </c>
      <c r="AE83" s="281" t="str">
        <f>IF(N83="","",VLOOKUP(N83,'G-7 WaterC'' Data'!$B$4:$G$8,5,FALSE))</f>
        <v/>
      </c>
      <c r="AF83" s="289" t="str">
        <f t="shared" si="15"/>
        <v/>
      </c>
      <c r="AG83" s="320" t="str">
        <f t="shared" si="16"/>
        <v/>
      </c>
      <c r="AH83" s="282" t="str">
        <f t="shared" si="10"/>
        <v/>
      </c>
      <c r="AI83" s="109"/>
      <c r="AJ83" s="282" t="str">
        <f>IF(AI83="","",IF(AND(AI83="N/A - Culvert",N83&lt;&gt;"Culvert"),"Not possible ▲",IF(VLOOKUP(AI83,'G-7 WaterC'' Data'!$AA$4:$AB$7,2,FALSE)=0,"Spatial Data Missing ⚠",VLOOKUP(AI83,'G-7 WaterC'' Data'!$AA$4:$AB$7,2,FALSE))))</f>
        <v/>
      </c>
      <c r="AK83" s="110"/>
      <c r="AL83" s="282" t="str">
        <f>IF(AK83="","",IF(AND(AK83="N/A - Culvert",N83&lt;&gt;"Culvert"),"Not possible ▲",IF(VLOOKUP(AK83,'G-7 WaterC'' Data'!$AD$4:$AE$14,2,FALSE)=0,"Spatial Data Missing ⚠",VLOOKUP(AK83,'G-7 WaterC'' Data'!$AD$4:$AE$14,2,FALSE))))</f>
        <v/>
      </c>
      <c r="AM83" s="323" t="str">
        <f t="shared" si="17"/>
        <v/>
      </c>
      <c r="AN83" s="105"/>
      <c r="AO83" s="119"/>
      <c r="AP83" s="108"/>
      <c r="AS83" s="30" t="str">
        <f>IF(B83="","",IF(ISNA(VLOOKUP($B83,'C-1 On-Site WaterC'' Baseline'!$C$8:$AD$257,17,FALSE)),"",(VLOOKUP($B83,'C-1 On-Site WaterC'' Baseline'!$C$8:$AD$257,17,FALSE))))</f>
        <v/>
      </c>
      <c r="AT83" s="30" t="str">
        <f>IF(B83="","",VLOOKUP($B83,'C-1 On-Site WaterC'' Baseline'!$C$9:$Z$257,12,FALSE))</f>
        <v/>
      </c>
      <c r="AU83" s="30" t="str">
        <f>IF(B83="","",VLOOKUP($B83,'C-1 On-Site WaterC'' Baseline'!$C$9:$Z$257,14,FALSE))</f>
        <v/>
      </c>
      <c r="AV83" s="30" t="str">
        <f>IFERROR(INDEX('G-7 WaterC'' Data'!$AZ$3:$AZ$7,MATCH(N83,'G-7 WaterC'' Data'!$AY$3:$AY$7,0)),"")</f>
        <v/>
      </c>
      <c r="AX83" s="30" t="str">
        <f>IF(B83="","",VLOOKUP($B83,'C-1 On-Site WaterC'' Baseline'!$C$9:$Y$257,22,FALSE))</f>
        <v/>
      </c>
      <c r="AY83" s="30" t="str">
        <f t="shared" si="18"/>
        <v/>
      </c>
      <c r="AZ83" s="30" t="str">
        <f>IF(B83="","",VLOOKUP($B83,'C-1 On-Site WaterC'' Baseline'!$C$9:$Y$257,21,FALSE))</f>
        <v/>
      </c>
      <c r="BA83" s="30" t="str">
        <f>IF(B83="","",VLOOKUP($B83,'C-1 On-Site WaterC'' Baseline'!$C$9:$Y$257,19,FALSE))</f>
        <v/>
      </c>
      <c r="BD83" s="30" t="str">
        <f t="shared" si="19"/>
        <v>No</v>
      </c>
    </row>
    <row r="84" spans="2:56" ht="13.8" x14ac:dyDescent="0.25">
      <c r="B84" s="311" t="str">
        <f>'C-1 On-Site WaterC'' Baseline'!AP82</f>
        <v/>
      </c>
      <c r="C84" s="301" t="str">
        <f>IF(B84="","",VLOOKUP($B84,'C-1 On-Site WaterC'' Baseline'!$C$9:$R$257,2,FALSE))</f>
        <v/>
      </c>
      <c r="D84" s="301" t="str">
        <f>IF(C84="","",VLOOKUP($B84,'C-1 On-Site WaterC'' Baseline'!$C$9:$R$257,3,FALSE))</f>
        <v/>
      </c>
      <c r="E84" s="301" t="str">
        <f>IF(D84="","",VLOOKUP($B84,'C-1 On-Site WaterC'' Baseline'!$C$9:$R$257,4,FALSE))</f>
        <v/>
      </c>
      <c r="F84" s="301" t="str">
        <f>IF(E84="","",VLOOKUP($B84,'C-1 On-Site WaterC'' Baseline'!$C$9:$R$257,5,FALSE))</f>
        <v/>
      </c>
      <c r="G84" s="301" t="str">
        <f>IF(F84="","",VLOOKUP($B84,'C-1 On-Site WaterC'' Baseline'!$C$9:$R$257,6,FALSE))</f>
        <v/>
      </c>
      <c r="H84" s="301" t="str">
        <f>IF(G84="","",VLOOKUP($B84,'C-1 On-Site WaterC'' Baseline'!$C$9:$R$257,7,FALSE))</f>
        <v/>
      </c>
      <c r="I84" s="301" t="str">
        <f>IF(H84="","",VLOOKUP($B84,'C-1 On-Site WaterC'' Baseline'!$C$9:$R$257,8,FALSE))</f>
        <v/>
      </c>
      <c r="J84" s="301" t="str">
        <f>IF(I84="","",VLOOKUP($B84,'C-1 On-Site WaterC'' Baseline'!$C$9:$R$257,9,FALSE))</f>
        <v/>
      </c>
      <c r="K84" s="301" t="str">
        <f>IF(J84="","",VLOOKUP($B84,'C-1 On-Site WaterC'' Baseline'!$C$9:$R$257,10,FALSE))</f>
        <v/>
      </c>
      <c r="L84" s="301" t="str">
        <f>IF(B84="","",VLOOKUP($B84,'C-1 On-Site WaterC'' Baseline'!$C$9:$R$257,15,FALSE))</f>
        <v/>
      </c>
      <c r="M84" s="305" t="str">
        <f>IF(L84="","",VLOOKUP($B84,'C-1 On-Site WaterC'' Baseline'!$C$9:$R$257,16,FALSE))</f>
        <v/>
      </c>
      <c r="N84" s="251"/>
      <c r="O84" s="281" t="str">
        <f t="shared" si="11"/>
        <v/>
      </c>
      <c r="P84" s="282" t="str">
        <f t="shared" si="12"/>
        <v/>
      </c>
      <c r="Q84" s="342" t="str">
        <f>IF(N84="","",VLOOKUP(B84,'C-1 On-Site WaterC'' Baseline'!$C$10:$AC$257,20,FALSE))</f>
        <v/>
      </c>
      <c r="R84" s="281" t="str">
        <f>IF(N84="","",VLOOKUP(N84,'G-7 WaterC'' Data'!$B$2:$G$8,2,FALSE))</f>
        <v/>
      </c>
      <c r="S84" s="282" t="str">
        <f>IFERROR(VLOOKUP(R84,'G-7 WaterC'' Data'!$C$4:$D$8,2,FALSE),"")</f>
        <v/>
      </c>
      <c r="T84" s="105"/>
      <c r="U84" s="282" t="str">
        <f>IFERROR(INDEX('G-7 WaterC'' Data'!$H$4:$L$8,MATCH(N84,'G-7 WaterC'' Data'!$B$4:$B$8,0),MATCH(T84,'G-7 WaterC'' Data'!$H$3:$L$3,0)),"")</f>
        <v/>
      </c>
      <c r="V84" s="105"/>
      <c r="W84" s="289" t="str">
        <f>IF(V84="","",IF(VLOOKUP(V84,'G-7 WaterC'' Data'!$AK$4:$AM$6,2,FALSE)=0,"Spatial Data Missing ⚠",VLOOKUP(V84,'G-7 WaterC'' Data'!$AK$4:$AM$6,2,FALSE)))</f>
        <v/>
      </c>
      <c r="X84" s="282" t="str">
        <f>IF(V84="","",IF(VLOOKUP(V84,'G-7 WaterC'' Data'!$AK$4:$AM$6,3,FALSE)=0,"Spatial Data Missing ⚠",VLOOKUP(V84,'G-7 WaterC'' Data'!$AK$4:$AM$6,3,FALSE)))</f>
        <v/>
      </c>
      <c r="Y84" s="281" t="str">
        <f>IFERROR(IF(OR(LEFT(P84,5)="Error",LEFT(O84,5)="Error"),"Check Data ⚠",IF(F84&lt;S84,'G-7 WaterC'' Data'!$R$3,INDEX('G-7 WaterC'' Data'!$U$5:$Y$9,MATCH(G84,'G-7 WaterC'' Data'!$T$5:$T$9,0),MATCH(T84,'G-7 WaterC'' Data'!$U$4:$Y$4,0)))),"")</f>
        <v/>
      </c>
      <c r="Z84" s="137"/>
      <c r="AA84" s="137"/>
      <c r="AB84" s="289" t="str">
        <f t="shared" si="13"/>
        <v/>
      </c>
      <c r="AC84" s="302" t="str">
        <f t="shared" si="14"/>
        <v/>
      </c>
      <c r="AD84" s="340" t="str">
        <f>IFERROR(IF(AC84="Check Data ⚠","Check Data ⚠",VLOOKUP(AC84,'G-4 Temporal multipliers'!$A$4:$C$37,3,FALSE)),"")</f>
        <v/>
      </c>
      <c r="AE84" s="281" t="str">
        <f>IF(N84="","",VLOOKUP(N84,'G-7 WaterC'' Data'!$B$4:$G$8,5,FALSE))</f>
        <v/>
      </c>
      <c r="AF84" s="289" t="str">
        <f t="shared" si="15"/>
        <v/>
      </c>
      <c r="AG84" s="320" t="str">
        <f t="shared" si="16"/>
        <v/>
      </c>
      <c r="AH84" s="282" t="str">
        <f t="shared" si="10"/>
        <v/>
      </c>
      <c r="AI84" s="109"/>
      <c r="AJ84" s="282" t="str">
        <f>IF(AI84="","",IF(AND(AI84="N/A - Culvert",N84&lt;&gt;"Culvert"),"Not possible ▲",IF(VLOOKUP(AI84,'G-7 WaterC'' Data'!$AA$4:$AB$7,2,FALSE)=0,"Spatial Data Missing ⚠",VLOOKUP(AI84,'G-7 WaterC'' Data'!$AA$4:$AB$7,2,FALSE))))</f>
        <v/>
      </c>
      <c r="AK84" s="110"/>
      <c r="AL84" s="282" t="str">
        <f>IF(AK84="","",IF(AND(AK84="N/A - Culvert",N84&lt;&gt;"Culvert"),"Not possible ▲",IF(VLOOKUP(AK84,'G-7 WaterC'' Data'!$AD$4:$AE$14,2,FALSE)=0,"Spatial Data Missing ⚠",VLOOKUP(AK84,'G-7 WaterC'' Data'!$AD$4:$AE$14,2,FALSE))))</f>
        <v/>
      </c>
      <c r="AM84" s="323" t="str">
        <f t="shared" si="17"/>
        <v/>
      </c>
      <c r="AN84" s="105"/>
      <c r="AO84" s="119"/>
      <c r="AP84" s="108"/>
      <c r="AS84" s="30" t="str">
        <f>IF(B84="","",IF(ISNA(VLOOKUP($B84,'C-1 On-Site WaterC'' Baseline'!$C$8:$AD$257,17,FALSE)),"",(VLOOKUP($B84,'C-1 On-Site WaterC'' Baseline'!$C$8:$AD$257,17,FALSE))))</f>
        <v/>
      </c>
      <c r="AT84" s="30" t="str">
        <f>IF(B84="","",VLOOKUP($B84,'C-1 On-Site WaterC'' Baseline'!$C$9:$Z$257,12,FALSE))</f>
        <v/>
      </c>
      <c r="AU84" s="30" t="str">
        <f>IF(B84="","",VLOOKUP($B84,'C-1 On-Site WaterC'' Baseline'!$C$9:$Z$257,14,FALSE))</f>
        <v/>
      </c>
      <c r="AV84" s="30" t="str">
        <f>IFERROR(INDEX('G-7 WaterC'' Data'!$AZ$3:$AZ$7,MATCH(N84,'G-7 WaterC'' Data'!$AY$3:$AY$7,0)),"")</f>
        <v/>
      </c>
      <c r="AX84" s="30" t="str">
        <f>IF(B84="","",VLOOKUP($B84,'C-1 On-Site WaterC'' Baseline'!$C$9:$Y$257,22,FALSE))</f>
        <v/>
      </c>
      <c r="AY84" s="30" t="str">
        <f t="shared" si="18"/>
        <v/>
      </c>
      <c r="AZ84" s="30" t="str">
        <f>IF(B84="","",VLOOKUP($B84,'C-1 On-Site WaterC'' Baseline'!$C$9:$Y$257,21,FALSE))</f>
        <v/>
      </c>
      <c r="BA84" s="30" t="str">
        <f>IF(B84="","",VLOOKUP($B84,'C-1 On-Site WaterC'' Baseline'!$C$9:$Y$257,19,FALSE))</f>
        <v/>
      </c>
      <c r="BD84" s="30" t="str">
        <f t="shared" si="19"/>
        <v>No</v>
      </c>
    </row>
    <row r="85" spans="2:56" ht="13.8" x14ac:dyDescent="0.25">
      <c r="B85" s="311" t="str">
        <f>'C-1 On-Site WaterC'' Baseline'!AP83</f>
        <v/>
      </c>
      <c r="C85" s="301" t="str">
        <f>IF(B85="","",VLOOKUP($B85,'C-1 On-Site WaterC'' Baseline'!$C$9:$R$257,2,FALSE))</f>
        <v/>
      </c>
      <c r="D85" s="301" t="str">
        <f>IF(C85="","",VLOOKUP($B85,'C-1 On-Site WaterC'' Baseline'!$C$9:$R$257,3,FALSE))</f>
        <v/>
      </c>
      <c r="E85" s="301" t="str">
        <f>IF(D85="","",VLOOKUP($B85,'C-1 On-Site WaterC'' Baseline'!$C$9:$R$257,4,FALSE))</f>
        <v/>
      </c>
      <c r="F85" s="301" t="str">
        <f>IF(E85="","",VLOOKUP($B85,'C-1 On-Site WaterC'' Baseline'!$C$9:$R$257,5,FALSE))</f>
        <v/>
      </c>
      <c r="G85" s="301" t="str">
        <f>IF(F85="","",VLOOKUP($B85,'C-1 On-Site WaterC'' Baseline'!$C$9:$R$257,6,FALSE))</f>
        <v/>
      </c>
      <c r="H85" s="301" t="str">
        <f>IF(G85="","",VLOOKUP($B85,'C-1 On-Site WaterC'' Baseline'!$C$9:$R$257,7,FALSE))</f>
        <v/>
      </c>
      <c r="I85" s="301" t="str">
        <f>IF(H85="","",VLOOKUP($B85,'C-1 On-Site WaterC'' Baseline'!$C$9:$R$257,8,FALSE))</f>
        <v/>
      </c>
      <c r="J85" s="301" t="str">
        <f>IF(I85="","",VLOOKUP($B85,'C-1 On-Site WaterC'' Baseline'!$C$9:$R$257,9,FALSE))</f>
        <v/>
      </c>
      <c r="K85" s="301" t="str">
        <f>IF(J85="","",VLOOKUP($B85,'C-1 On-Site WaterC'' Baseline'!$C$9:$R$257,10,FALSE))</f>
        <v/>
      </c>
      <c r="L85" s="301" t="str">
        <f>IF(B85="","",VLOOKUP($B85,'C-1 On-Site WaterC'' Baseline'!$C$9:$R$257,15,FALSE))</f>
        <v/>
      </c>
      <c r="M85" s="305" t="str">
        <f>IF(L85="","",VLOOKUP($B85,'C-1 On-Site WaterC'' Baseline'!$C$9:$R$257,16,FALSE))</f>
        <v/>
      </c>
      <c r="N85" s="251"/>
      <c r="O85" s="281" t="str">
        <f t="shared" si="11"/>
        <v/>
      </c>
      <c r="P85" s="282" t="str">
        <f t="shared" si="12"/>
        <v/>
      </c>
      <c r="Q85" s="342" t="str">
        <f>IF(N85="","",VLOOKUP(B85,'C-1 On-Site WaterC'' Baseline'!$C$10:$AC$257,20,FALSE))</f>
        <v/>
      </c>
      <c r="R85" s="281" t="str">
        <f>IF(N85="","",VLOOKUP(N85,'G-7 WaterC'' Data'!$B$2:$G$8,2,FALSE))</f>
        <v/>
      </c>
      <c r="S85" s="282" t="str">
        <f>IFERROR(VLOOKUP(R85,'G-7 WaterC'' Data'!$C$4:$D$8,2,FALSE),"")</f>
        <v/>
      </c>
      <c r="T85" s="105"/>
      <c r="U85" s="282" t="str">
        <f>IFERROR(INDEX('G-7 WaterC'' Data'!$H$4:$L$8,MATCH(N85,'G-7 WaterC'' Data'!$B$4:$B$8,0),MATCH(T85,'G-7 WaterC'' Data'!$H$3:$L$3,0)),"")</f>
        <v/>
      </c>
      <c r="V85" s="105"/>
      <c r="W85" s="289" t="str">
        <f>IF(V85="","",IF(VLOOKUP(V85,'G-7 WaterC'' Data'!$AK$4:$AM$6,2,FALSE)=0,"Spatial Data Missing ⚠",VLOOKUP(V85,'G-7 WaterC'' Data'!$AK$4:$AM$6,2,FALSE)))</f>
        <v/>
      </c>
      <c r="X85" s="282" t="str">
        <f>IF(V85="","",IF(VLOOKUP(V85,'G-7 WaterC'' Data'!$AK$4:$AM$6,3,FALSE)=0,"Spatial Data Missing ⚠",VLOOKUP(V85,'G-7 WaterC'' Data'!$AK$4:$AM$6,3,FALSE)))</f>
        <v/>
      </c>
      <c r="Y85" s="281" t="str">
        <f>IFERROR(IF(OR(LEFT(P85,5)="Error",LEFT(O85,5)="Error"),"Check Data ⚠",IF(F85&lt;S85,'G-7 WaterC'' Data'!$R$3,INDEX('G-7 WaterC'' Data'!$U$5:$Y$9,MATCH(G85,'G-7 WaterC'' Data'!$T$5:$T$9,0),MATCH(T85,'G-7 WaterC'' Data'!$U$4:$Y$4,0)))),"")</f>
        <v/>
      </c>
      <c r="Z85" s="137"/>
      <c r="AA85" s="137"/>
      <c r="AB85" s="289" t="str">
        <f t="shared" si="13"/>
        <v/>
      </c>
      <c r="AC85" s="302" t="str">
        <f t="shared" si="14"/>
        <v/>
      </c>
      <c r="AD85" s="340" t="str">
        <f>IFERROR(IF(AC85="Check Data ⚠","Check Data ⚠",VLOOKUP(AC85,'G-4 Temporal multipliers'!$A$4:$C$37,3,FALSE)),"")</f>
        <v/>
      </c>
      <c r="AE85" s="281" t="str">
        <f>IF(N85="","",VLOOKUP(N85,'G-7 WaterC'' Data'!$B$4:$G$8,5,FALSE))</f>
        <v/>
      </c>
      <c r="AF85" s="289" t="str">
        <f t="shared" si="15"/>
        <v/>
      </c>
      <c r="AG85" s="320" t="str">
        <f t="shared" si="16"/>
        <v/>
      </c>
      <c r="AH85" s="282" t="str">
        <f t="shared" si="10"/>
        <v/>
      </c>
      <c r="AI85" s="109"/>
      <c r="AJ85" s="282" t="str">
        <f>IF(AI85="","",IF(AND(AI85="N/A - Culvert",N85&lt;&gt;"Culvert"),"Not possible ▲",IF(VLOOKUP(AI85,'G-7 WaterC'' Data'!$AA$4:$AB$7,2,FALSE)=0,"Spatial Data Missing ⚠",VLOOKUP(AI85,'G-7 WaterC'' Data'!$AA$4:$AB$7,2,FALSE))))</f>
        <v/>
      </c>
      <c r="AK85" s="110"/>
      <c r="AL85" s="282" t="str">
        <f>IF(AK85="","",IF(AND(AK85="N/A - Culvert",N85&lt;&gt;"Culvert"),"Not possible ▲",IF(VLOOKUP(AK85,'G-7 WaterC'' Data'!$AD$4:$AE$14,2,FALSE)=0,"Spatial Data Missing ⚠",VLOOKUP(AK85,'G-7 WaterC'' Data'!$AD$4:$AE$14,2,FALSE))))</f>
        <v/>
      </c>
      <c r="AM85" s="323" t="str">
        <f t="shared" si="17"/>
        <v/>
      </c>
      <c r="AN85" s="105"/>
      <c r="AO85" s="119"/>
      <c r="AP85" s="108"/>
      <c r="AS85" s="30" t="str">
        <f>IF(B85="","",IF(ISNA(VLOOKUP($B85,'C-1 On-Site WaterC'' Baseline'!$C$8:$AD$257,17,FALSE)),"",(VLOOKUP($B85,'C-1 On-Site WaterC'' Baseline'!$C$8:$AD$257,17,FALSE))))</f>
        <v/>
      </c>
      <c r="AT85" s="30" t="str">
        <f>IF(B85="","",VLOOKUP($B85,'C-1 On-Site WaterC'' Baseline'!$C$9:$Z$257,12,FALSE))</f>
        <v/>
      </c>
      <c r="AU85" s="30" t="str">
        <f>IF(B85="","",VLOOKUP($B85,'C-1 On-Site WaterC'' Baseline'!$C$9:$Z$257,14,FALSE))</f>
        <v/>
      </c>
      <c r="AV85" s="30" t="str">
        <f>IFERROR(INDEX('G-7 WaterC'' Data'!$AZ$3:$AZ$7,MATCH(N85,'G-7 WaterC'' Data'!$AY$3:$AY$7,0)),"")</f>
        <v/>
      </c>
      <c r="AX85" s="30" t="str">
        <f>IF(B85="","",VLOOKUP($B85,'C-1 On-Site WaterC'' Baseline'!$C$9:$Y$257,22,FALSE))</f>
        <v/>
      </c>
      <c r="AY85" s="30" t="str">
        <f t="shared" si="18"/>
        <v/>
      </c>
      <c r="AZ85" s="30" t="str">
        <f>IF(B85="","",VLOOKUP($B85,'C-1 On-Site WaterC'' Baseline'!$C$9:$Y$257,21,FALSE))</f>
        <v/>
      </c>
      <c r="BA85" s="30" t="str">
        <f>IF(B85="","",VLOOKUP($B85,'C-1 On-Site WaterC'' Baseline'!$C$9:$Y$257,19,FALSE))</f>
        <v/>
      </c>
      <c r="BD85" s="30" t="str">
        <f t="shared" si="19"/>
        <v>No</v>
      </c>
    </row>
    <row r="86" spans="2:56" ht="13.8" x14ac:dyDescent="0.25">
      <c r="B86" s="311" t="str">
        <f>'C-1 On-Site WaterC'' Baseline'!AP84</f>
        <v/>
      </c>
      <c r="C86" s="301" t="str">
        <f>IF(B86="","",VLOOKUP($B86,'C-1 On-Site WaterC'' Baseline'!$C$9:$R$257,2,FALSE))</f>
        <v/>
      </c>
      <c r="D86" s="301" t="str">
        <f>IF(C86="","",VLOOKUP($B86,'C-1 On-Site WaterC'' Baseline'!$C$9:$R$257,3,FALSE))</f>
        <v/>
      </c>
      <c r="E86" s="301" t="str">
        <f>IF(D86="","",VLOOKUP($B86,'C-1 On-Site WaterC'' Baseline'!$C$9:$R$257,4,FALSE))</f>
        <v/>
      </c>
      <c r="F86" s="301" t="str">
        <f>IF(E86="","",VLOOKUP($B86,'C-1 On-Site WaterC'' Baseline'!$C$9:$R$257,5,FALSE))</f>
        <v/>
      </c>
      <c r="G86" s="301" t="str">
        <f>IF(F86="","",VLOOKUP($B86,'C-1 On-Site WaterC'' Baseline'!$C$9:$R$257,6,FALSE))</f>
        <v/>
      </c>
      <c r="H86" s="301" t="str">
        <f>IF(G86="","",VLOOKUP($B86,'C-1 On-Site WaterC'' Baseline'!$C$9:$R$257,7,FALSE))</f>
        <v/>
      </c>
      <c r="I86" s="301" t="str">
        <f>IF(H86="","",VLOOKUP($B86,'C-1 On-Site WaterC'' Baseline'!$C$9:$R$257,8,FALSE))</f>
        <v/>
      </c>
      <c r="J86" s="301" t="str">
        <f>IF(I86="","",VLOOKUP($B86,'C-1 On-Site WaterC'' Baseline'!$C$9:$R$257,9,FALSE))</f>
        <v/>
      </c>
      <c r="K86" s="301" t="str">
        <f>IF(J86="","",VLOOKUP($B86,'C-1 On-Site WaterC'' Baseline'!$C$9:$R$257,10,FALSE))</f>
        <v/>
      </c>
      <c r="L86" s="301" t="str">
        <f>IF(B86="","",VLOOKUP($B86,'C-1 On-Site WaterC'' Baseline'!$C$9:$R$257,15,FALSE))</f>
        <v/>
      </c>
      <c r="M86" s="305" t="str">
        <f>IF(L86="","",VLOOKUP($B86,'C-1 On-Site WaterC'' Baseline'!$C$9:$R$257,16,FALSE))</f>
        <v/>
      </c>
      <c r="N86" s="251"/>
      <c r="O86" s="281" t="str">
        <f t="shared" si="11"/>
        <v/>
      </c>
      <c r="P86" s="282" t="str">
        <f t="shared" si="12"/>
        <v/>
      </c>
      <c r="Q86" s="342" t="str">
        <f>IF(N86="","",VLOOKUP(B86,'C-1 On-Site WaterC'' Baseline'!$C$10:$AC$257,20,FALSE))</f>
        <v/>
      </c>
      <c r="R86" s="281" t="str">
        <f>IF(N86="","",VLOOKUP(N86,'G-7 WaterC'' Data'!$B$2:$G$8,2,FALSE))</f>
        <v/>
      </c>
      <c r="S86" s="282" t="str">
        <f>IFERROR(VLOOKUP(R86,'G-7 WaterC'' Data'!$C$4:$D$8,2,FALSE),"")</f>
        <v/>
      </c>
      <c r="T86" s="105"/>
      <c r="U86" s="282" t="str">
        <f>IFERROR(INDEX('G-7 WaterC'' Data'!$H$4:$L$8,MATCH(N86,'G-7 WaterC'' Data'!$B$4:$B$8,0),MATCH(T86,'G-7 WaterC'' Data'!$H$3:$L$3,0)),"")</f>
        <v/>
      </c>
      <c r="V86" s="105"/>
      <c r="W86" s="289" t="str">
        <f>IF(V86="","",IF(VLOOKUP(V86,'G-7 WaterC'' Data'!$AK$4:$AM$6,2,FALSE)=0,"Spatial Data Missing ⚠",VLOOKUP(V86,'G-7 WaterC'' Data'!$AK$4:$AM$6,2,FALSE)))</f>
        <v/>
      </c>
      <c r="X86" s="282" t="str">
        <f>IF(V86="","",IF(VLOOKUP(V86,'G-7 WaterC'' Data'!$AK$4:$AM$6,3,FALSE)=0,"Spatial Data Missing ⚠",VLOOKUP(V86,'G-7 WaterC'' Data'!$AK$4:$AM$6,3,FALSE)))</f>
        <v/>
      </c>
      <c r="Y86" s="281" t="str">
        <f>IFERROR(IF(OR(LEFT(P86,5)="Error",LEFT(O86,5)="Error"),"Check Data ⚠",IF(F86&lt;S86,'G-7 WaterC'' Data'!$R$3,INDEX('G-7 WaterC'' Data'!$U$5:$Y$9,MATCH(G86,'G-7 WaterC'' Data'!$T$5:$T$9,0),MATCH(T86,'G-7 WaterC'' Data'!$U$4:$Y$4,0)))),"")</f>
        <v/>
      </c>
      <c r="Z86" s="137"/>
      <c r="AA86" s="137"/>
      <c r="AB86" s="289" t="str">
        <f t="shared" si="13"/>
        <v/>
      </c>
      <c r="AC86" s="302" t="str">
        <f t="shared" si="14"/>
        <v/>
      </c>
      <c r="AD86" s="340" t="str">
        <f>IFERROR(IF(AC86="Check Data ⚠","Check Data ⚠",VLOOKUP(AC86,'G-4 Temporal multipliers'!$A$4:$C$37,3,FALSE)),"")</f>
        <v/>
      </c>
      <c r="AE86" s="281" t="str">
        <f>IF(N86="","",VLOOKUP(N86,'G-7 WaterC'' Data'!$B$4:$G$8,5,FALSE))</f>
        <v/>
      </c>
      <c r="AF86" s="289" t="str">
        <f t="shared" si="15"/>
        <v/>
      </c>
      <c r="AG86" s="320" t="str">
        <f t="shared" si="16"/>
        <v/>
      </c>
      <c r="AH86" s="282" t="str">
        <f t="shared" si="10"/>
        <v/>
      </c>
      <c r="AI86" s="109"/>
      <c r="AJ86" s="282" t="str">
        <f>IF(AI86="","",IF(AND(AI86="N/A - Culvert",N86&lt;&gt;"Culvert"),"Not possible ▲",IF(VLOOKUP(AI86,'G-7 WaterC'' Data'!$AA$4:$AB$7,2,FALSE)=0,"Spatial Data Missing ⚠",VLOOKUP(AI86,'G-7 WaterC'' Data'!$AA$4:$AB$7,2,FALSE))))</f>
        <v/>
      </c>
      <c r="AK86" s="110"/>
      <c r="AL86" s="282" t="str">
        <f>IF(AK86="","",IF(AND(AK86="N/A - Culvert",N86&lt;&gt;"Culvert"),"Not possible ▲",IF(VLOOKUP(AK86,'G-7 WaterC'' Data'!$AD$4:$AE$14,2,FALSE)=0,"Spatial Data Missing ⚠",VLOOKUP(AK86,'G-7 WaterC'' Data'!$AD$4:$AE$14,2,FALSE))))</f>
        <v/>
      </c>
      <c r="AM86" s="323" t="str">
        <f t="shared" si="17"/>
        <v/>
      </c>
      <c r="AN86" s="105"/>
      <c r="AO86" s="119"/>
      <c r="AP86" s="108"/>
      <c r="AS86" s="30" t="str">
        <f>IF(B86="","",IF(ISNA(VLOOKUP($B86,'C-1 On-Site WaterC'' Baseline'!$C$8:$AD$257,17,FALSE)),"",(VLOOKUP($B86,'C-1 On-Site WaterC'' Baseline'!$C$8:$AD$257,17,FALSE))))</f>
        <v/>
      </c>
      <c r="AT86" s="30" t="str">
        <f>IF(B86="","",VLOOKUP($B86,'C-1 On-Site WaterC'' Baseline'!$C$9:$Z$257,12,FALSE))</f>
        <v/>
      </c>
      <c r="AU86" s="30" t="str">
        <f>IF(B86="","",VLOOKUP($B86,'C-1 On-Site WaterC'' Baseline'!$C$9:$Z$257,14,FALSE))</f>
        <v/>
      </c>
      <c r="AV86" s="30" t="str">
        <f>IFERROR(INDEX('G-7 WaterC'' Data'!$AZ$3:$AZ$7,MATCH(N86,'G-7 WaterC'' Data'!$AY$3:$AY$7,0)),"")</f>
        <v/>
      </c>
      <c r="AX86" s="30" t="str">
        <f>IF(B86="","",VLOOKUP($B86,'C-1 On-Site WaterC'' Baseline'!$C$9:$Y$257,22,FALSE))</f>
        <v/>
      </c>
      <c r="AY86" s="30" t="str">
        <f t="shared" si="18"/>
        <v/>
      </c>
      <c r="AZ86" s="30" t="str">
        <f>IF(B86="","",VLOOKUP($B86,'C-1 On-Site WaterC'' Baseline'!$C$9:$Y$257,21,FALSE))</f>
        <v/>
      </c>
      <c r="BA86" s="30" t="str">
        <f>IF(B86="","",VLOOKUP($B86,'C-1 On-Site WaterC'' Baseline'!$C$9:$Y$257,19,FALSE))</f>
        <v/>
      </c>
      <c r="BD86" s="30" t="str">
        <f t="shared" si="19"/>
        <v>No</v>
      </c>
    </row>
    <row r="87" spans="2:56" ht="13.8" x14ac:dyDescent="0.25">
      <c r="B87" s="311" t="str">
        <f>'C-1 On-Site WaterC'' Baseline'!AP85</f>
        <v/>
      </c>
      <c r="C87" s="301" t="str">
        <f>IF(B87="","",VLOOKUP($B87,'C-1 On-Site WaterC'' Baseline'!$C$9:$R$257,2,FALSE))</f>
        <v/>
      </c>
      <c r="D87" s="301" t="str">
        <f>IF(C87="","",VLOOKUP($B87,'C-1 On-Site WaterC'' Baseline'!$C$9:$R$257,3,FALSE))</f>
        <v/>
      </c>
      <c r="E87" s="301" t="str">
        <f>IF(D87="","",VLOOKUP($B87,'C-1 On-Site WaterC'' Baseline'!$C$9:$R$257,4,FALSE))</f>
        <v/>
      </c>
      <c r="F87" s="301" t="str">
        <f>IF(E87="","",VLOOKUP($B87,'C-1 On-Site WaterC'' Baseline'!$C$9:$R$257,5,FALSE))</f>
        <v/>
      </c>
      <c r="G87" s="301" t="str">
        <f>IF(F87="","",VLOOKUP($B87,'C-1 On-Site WaterC'' Baseline'!$C$9:$R$257,6,FALSE))</f>
        <v/>
      </c>
      <c r="H87" s="301" t="str">
        <f>IF(G87="","",VLOOKUP($B87,'C-1 On-Site WaterC'' Baseline'!$C$9:$R$257,7,FALSE))</f>
        <v/>
      </c>
      <c r="I87" s="301" t="str">
        <f>IF(H87="","",VLOOKUP($B87,'C-1 On-Site WaterC'' Baseline'!$C$9:$R$257,8,FALSE))</f>
        <v/>
      </c>
      <c r="J87" s="301" t="str">
        <f>IF(I87="","",VLOOKUP($B87,'C-1 On-Site WaterC'' Baseline'!$C$9:$R$257,9,FALSE))</f>
        <v/>
      </c>
      <c r="K87" s="301" t="str">
        <f>IF(J87="","",VLOOKUP($B87,'C-1 On-Site WaterC'' Baseline'!$C$9:$R$257,10,FALSE))</f>
        <v/>
      </c>
      <c r="L87" s="301" t="str">
        <f>IF(B87="","",VLOOKUP($B87,'C-1 On-Site WaterC'' Baseline'!$C$9:$R$257,15,FALSE))</f>
        <v/>
      </c>
      <c r="M87" s="305" t="str">
        <f>IF(L87="","",VLOOKUP($B87,'C-1 On-Site WaterC'' Baseline'!$C$9:$R$257,16,FALSE))</f>
        <v/>
      </c>
      <c r="N87" s="251"/>
      <c r="O87" s="281" t="str">
        <f t="shared" si="11"/>
        <v/>
      </c>
      <c r="P87" s="282" t="str">
        <f t="shared" si="12"/>
        <v/>
      </c>
      <c r="Q87" s="342" t="str">
        <f>IF(N87="","",VLOOKUP(B87,'C-1 On-Site WaterC'' Baseline'!$C$10:$AC$257,20,FALSE))</f>
        <v/>
      </c>
      <c r="R87" s="281" t="str">
        <f>IF(N87="","",VLOOKUP(N87,'G-7 WaterC'' Data'!$B$2:$G$8,2,FALSE))</f>
        <v/>
      </c>
      <c r="S87" s="282" t="str">
        <f>IFERROR(VLOOKUP(R87,'G-7 WaterC'' Data'!$C$4:$D$8,2,FALSE),"")</f>
        <v/>
      </c>
      <c r="T87" s="105"/>
      <c r="U87" s="282" t="str">
        <f>IFERROR(INDEX('G-7 WaterC'' Data'!$H$4:$L$8,MATCH(N87,'G-7 WaterC'' Data'!$B$4:$B$8,0),MATCH(T87,'G-7 WaterC'' Data'!$H$3:$L$3,0)),"")</f>
        <v/>
      </c>
      <c r="V87" s="105"/>
      <c r="W87" s="289" t="str">
        <f>IF(V87="","",IF(VLOOKUP(V87,'G-7 WaterC'' Data'!$AK$4:$AM$6,2,FALSE)=0,"Spatial Data Missing ⚠",VLOOKUP(V87,'G-7 WaterC'' Data'!$AK$4:$AM$6,2,FALSE)))</f>
        <v/>
      </c>
      <c r="X87" s="282" t="str">
        <f>IF(V87="","",IF(VLOOKUP(V87,'G-7 WaterC'' Data'!$AK$4:$AM$6,3,FALSE)=0,"Spatial Data Missing ⚠",VLOOKUP(V87,'G-7 WaterC'' Data'!$AK$4:$AM$6,3,FALSE)))</f>
        <v/>
      </c>
      <c r="Y87" s="281" t="str">
        <f>IFERROR(IF(OR(LEFT(P87,5)="Error",LEFT(O87,5)="Error"),"Check Data ⚠",IF(F87&lt;S87,'G-7 WaterC'' Data'!$R$3,INDEX('G-7 WaterC'' Data'!$U$5:$Y$9,MATCH(G87,'G-7 WaterC'' Data'!$T$5:$T$9,0),MATCH(T87,'G-7 WaterC'' Data'!$U$4:$Y$4,0)))),"")</f>
        <v/>
      </c>
      <c r="Z87" s="137"/>
      <c r="AA87" s="137"/>
      <c r="AB87" s="289" t="str">
        <f t="shared" si="13"/>
        <v/>
      </c>
      <c r="AC87" s="302" t="str">
        <f t="shared" si="14"/>
        <v/>
      </c>
      <c r="AD87" s="340" t="str">
        <f>IFERROR(IF(AC87="Check Data ⚠","Check Data ⚠",VLOOKUP(AC87,'G-4 Temporal multipliers'!$A$4:$C$37,3,FALSE)),"")</f>
        <v/>
      </c>
      <c r="AE87" s="281" t="str">
        <f>IF(N87="","",VLOOKUP(N87,'G-7 WaterC'' Data'!$B$4:$G$8,5,FALSE))</f>
        <v/>
      </c>
      <c r="AF87" s="289" t="str">
        <f t="shared" si="15"/>
        <v/>
      </c>
      <c r="AG87" s="320" t="str">
        <f t="shared" si="16"/>
        <v/>
      </c>
      <c r="AH87" s="282" t="str">
        <f t="shared" si="10"/>
        <v/>
      </c>
      <c r="AI87" s="109"/>
      <c r="AJ87" s="282" t="str">
        <f>IF(AI87="","",IF(AND(AI87="N/A - Culvert",N87&lt;&gt;"Culvert"),"Not possible ▲",IF(VLOOKUP(AI87,'G-7 WaterC'' Data'!$AA$4:$AB$7,2,FALSE)=0,"Spatial Data Missing ⚠",VLOOKUP(AI87,'G-7 WaterC'' Data'!$AA$4:$AB$7,2,FALSE))))</f>
        <v/>
      </c>
      <c r="AK87" s="110"/>
      <c r="AL87" s="282" t="str">
        <f>IF(AK87="","",IF(AND(AK87="N/A - Culvert",N87&lt;&gt;"Culvert"),"Not possible ▲",IF(VLOOKUP(AK87,'G-7 WaterC'' Data'!$AD$4:$AE$14,2,FALSE)=0,"Spatial Data Missing ⚠",VLOOKUP(AK87,'G-7 WaterC'' Data'!$AD$4:$AE$14,2,FALSE))))</f>
        <v/>
      </c>
      <c r="AM87" s="323" t="str">
        <f t="shared" si="17"/>
        <v/>
      </c>
      <c r="AN87" s="105"/>
      <c r="AO87" s="119"/>
      <c r="AP87" s="108"/>
      <c r="AS87" s="30" t="str">
        <f>IF(B87="","",IF(ISNA(VLOOKUP($B87,'C-1 On-Site WaterC'' Baseline'!$C$8:$AD$257,17,FALSE)),"",(VLOOKUP($B87,'C-1 On-Site WaterC'' Baseline'!$C$8:$AD$257,17,FALSE))))</f>
        <v/>
      </c>
      <c r="AT87" s="30" t="str">
        <f>IF(B87="","",VLOOKUP($B87,'C-1 On-Site WaterC'' Baseline'!$C$9:$Z$257,12,FALSE))</f>
        <v/>
      </c>
      <c r="AU87" s="30" t="str">
        <f>IF(B87="","",VLOOKUP($B87,'C-1 On-Site WaterC'' Baseline'!$C$9:$Z$257,14,FALSE))</f>
        <v/>
      </c>
      <c r="AV87" s="30" t="str">
        <f>IFERROR(INDEX('G-7 WaterC'' Data'!$AZ$3:$AZ$7,MATCH(N87,'G-7 WaterC'' Data'!$AY$3:$AY$7,0)),"")</f>
        <v/>
      </c>
      <c r="AX87" s="30" t="str">
        <f>IF(B87="","",VLOOKUP($B87,'C-1 On-Site WaterC'' Baseline'!$C$9:$Y$257,22,FALSE))</f>
        <v/>
      </c>
      <c r="AY87" s="30" t="str">
        <f t="shared" si="18"/>
        <v/>
      </c>
      <c r="AZ87" s="30" t="str">
        <f>IF(B87="","",VLOOKUP($B87,'C-1 On-Site WaterC'' Baseline'!$C$9:$Y$257,21,FALSE))</f>
        <v/>
      </c>
      <c r="BA87" s="30" t="str">
        <f>IF(B87="","",VLOOKUP($B87,'C-1 On-Site WaterC'' Baseline'!$C$9:$Y$257,19,FALSE))</f>
        <v/>
      </c>
      <c r="BD87" s="30" t="str">
        <f t="shared" si="19"/>
        <v>No</v>
      </c>
    </row>
    <row r="88" spans="2:56" ht="13.8" x14ac:dyDescent="0.25">
      <c r="B88" s="311" t="str">
        <f>'C-1 On-Site WaterC'' Baseline'!AP86</f>
        <v/>
      </c>
      <c r="C88" s="301" t="str">
        <f>IF(B88="","",VLOOKUP($B88,'C-1 On-Site WaterC'' Baseline'!$C$9:$R$257,2,FALSE))</f>
        <v/>
      </c>
      <c r="D88" s="301" t="str">
        <f>IF(C88="","",VLOOKUP($B88,'C-1 On-Site WaterC'' Baseline'!$C$9:$R$257,3,FALSE))</f>
        <v/>
      </c>
      <c r="E88" s="301" t="str">
        <f>IF(D88="","",VLOOKUP($B88,'C-1 On-Site WaterC'' Baseline'!$C$9:$R$257,4,FALSE))</f>
        <v/>
      </c>
      <c r="F88" s="301" t="str">
        <f>IF(E88="","",VLOOKUP($B88,'C-1 On-Site WaterC'' Baseline'!$C$9:$R$257,5,FALSE))</f>
        <v/>
      </c>
      <c r="G88" s="301" t="str">
        <f>IF(F88="","",VLOOKUP($B88,'C-1 On-Site WaterC'' Baseline'!$C$9:$R$257,6,FALSE))</f>
        <v/>
      </c>
      <c r="H88" s="301" t="str">
        <f>IF(G88="","",VLOOKUP($B88,'C-1 On-Site WaterC'' Baseline'!$C$9:$R$257,7,FALSE))</f>
        <v/>
      </c>
      <c r="I88" s="301" t="str">
        <f>IF(H88="","",VLOOKUP($B88,'C-1 On-Site WaterC'' Baseline'!$C$9:$R$257,8,FALSE))</f>
        <v/>
      </c>
      <c r="J88" s="301" t="str">
        <f>IF(I88="","",VLOOKUP($B88,'C-1 On-Site WaterC'' Baseline'!$C$9:$R$257,9,FALSE))</f>
        <v/>
      </c>
      <c r="K88" s="301" t="str">
        <f>IF(J88="","",VLOOKUP($B88,'C-1 On-Site WaterC'' Baseline'!$C$9:$R$257,10,FALSE))</f>
        <v/>
      </c>
      <c r="L88" s="301" t="str">
        <f>IF(B88="","",VLOOKUP($B88,'C-1 On-Site WaterC'' Baseline'!$C$9:$R$257,15,FALSE))</f>
        <v/>
      </c>
      <c r="M88" s="305" t="str">
        <f>IF(L88="","",VLOOKUP($B88,'C-1 On-Site WaterC'' Baseline'!$C$9:$R$257,16,FALSE))</f>
        <v/>
      </c>
      <c r="N88" s="251"/>
      <c r="O88" s="281" t="str">
        <f t="shared" si="11"/>
        <v/>
      </c>
      <c r="P88" s="282" t="str">
        <f t="shared" si="12"/>
        <v/>
      </c>
      <c r="Q88" s="342" t="str">
        <f>IF(N88="","",VLOOKUP(B88,'C-1 On-Site WaterC'' Baseline'!$C$10:$AC$257,20,FALSE))</f>
        <v/>
      </c>
      <c r="R88" s="281" t="str">
        <f>IF(N88="","",VLOOKUP(N88,'G-7 WaterC'' Data'!$B$2:$G$8,2,FALSE))</f>
        <v/>
      </c>
      <c r="S88" s="282" t="str">
        <f>IFERROR(VLOOKUP(R88,'G-7 WaterC'' Data'!$C$4:$D$8,2,FALSE),"")</f>
        <v/>
      </c>
      <c r="T88" s="105"/>
      <c r="U88" s="282" t="str">
        <f>IFERROR(INDEX('G-7 WaterC'' Data'!$H$4:$L$8,MATCH(N88,'G-7 WaterC'' Data'!$B$4:$B$8,0),MATCH(T88,'G-7 WaterC'' Data'!$H$3:$L$3,0)),"")</f>
        <v/>
      </c>
      <c r="V88" s="105"/>
      <c r="W88" s="289" t="str">
        <f>IF(V88="","",IF(VLOOKUP(V88,'G-7 WaterC'' Data'!$AK$4:$AM$6,2,FALSE)=0,"Spatial Data Missing ⚠",VLOOKUP(V88,'G-7 WaterC'' Data'!$AK$4:$AM$6,2,FALSE)))</f>
        <v/>
      </c>
      <c r="X88" s="282" t="str">
        <f>IF(V88="","",IF(VLOOKUP(V88,'G-7 WaterC'' Data'!$AK$4:$AM$6,3,FALSE)=0,"Spatial Data Missing ⚠",VLOOKUP(V88,'G-7 WaterC'' Data'!$AK$4:$AM$6,3,FALSE)))</f>
        <v/>
      </c>
      <c r="Y88" s="281" t="str">
        <f>IFERROR(IF(OR(LEFT(P88,5)="Error",LEFT(O88,5)="Error"),"Check Data ⚠",IF(F88&lt;S88,'G-7 WaterC'' Data'!$R$3,INDEX('G-7 WaterC'' Data'!$U$5:$Y$9,MATCH(G88,'G-7 WaterC'' Data'!$T$5:$T$9,0),MATCH(T88,'G-7 WaterC'' Data'!$U$4:$Y$4,0)))),"")</f>
        <v/>
      </c>
      <c r="Z88" s="137"/>
      <c r="AA88" s="137"/>
      <c r="AB88" s="289" t="str">
        <f t="shared" si="13"/>
        <v/>
      </c>
      <c r="AC88" s="302" t="str">
        <f t="shared" si="14"/>
        <v/>
      </c>
      <c r="AD88" s="340" t="str">
        <f>IFERROR(IF(AC88="Check Data ⚠","Check Data ⚠",VLOOKUP(AC88,'G-4 Temporal multipliers'!$A$4:$C$37,3,FALSE)),"")</f>
        <v/>
      </c>
      <c r="AE88" s="281" t="str">
        <f>IF(N88="","",VLOOKUP(N88,'G-7 WaterC'' Data'!$B$4:$G$8,5,FALSE))</f>
        <v/>
      </c>
      <c r="AF88" s="289" t="str">
        <f t="shared" si="15"/>
        <v/>
      </c>
      <c r="AG88" s="320" t="str">
        <f t="shared" si="16"/>
        <v/>
      </c>
      <c r="AH88" s="282" t="str">
        <f t="shared" si="10"/>
        <v/>
      </c>
      <c r="AI88" s="109"/>
      <c r="AJ88" s="282" t="str">
        <f>IF(AI88="","",IF(AND(AI88="N/A - Culvert",N88&lt;&gt;"Culvert"),"Not possible ▲",IF(VLOOKUP(AI88,'G-7 WaterC'' Data'!$AA$4:$AB$7,2,FALSE)=0,"Spatial Data Missing ⚠",VLOOKUP(AI88,'G-7 WaterC'' Data'!$AA$4:$AB$7,2,FALSE))))</f>
        <v/>
      </c>
      <c r="AK88" s="110"/>
      <c r="AL88" s="282" t="str">
        <f>IF(AK88="","",IF(AND(AK88="N/A - Culvert",N88&lt;&gt;"Culvert"),"Not possible ▲",IF(VLOOKUP(AK88,'G-7 WaterC'' Data'!$AD$4:$AE$14,2,FALSE)=0,"Spatial Data Missing ⚠",VLOOKUP(AK88,'G-7 WaterC'' Data'!$AD$4:$AE$14,2,FALSE))))</f>
        <v/>
      </c>
      <c r="AM88" s="323" t="str">
        <f t="shared" si="17"/>
        <v/>
      </c>
      <c r="AN88" s="105"/>
      <c r="AO88" s="119"/>
      <c r="AP88" s="108"/>
      <c r="AS88" s="30" t="str">
        <f>IF(B88="","",IF(ISNA(VLOOKUP($B88,'C-1 On-Site WaterC'' Baseline'!$C$8:$AD$257,17,FALSE)),"",(VLOOKUP($B88,'C-1 On-Site WaterC'' Baseline'!$C$8:$AD$257,17,FALSE))))</f>
        <v/>
      </c>
      <c r="AT88" s="30" t="str">
        <f>IF(B88="","",VLOOKUP($B88,'C-1 On-Site WaterC'' Baseline'!$C$9:$Z$257,12,FALSE))</f>
        <v/>
      </c>
      <c r="AU88" s="30" t="str">
        <f>IF(B88="","",VLOOKUP($B88,'C-1 On-Site WaterC'' Baseline'!$C$9:$Z$257,14,FALSE))</f>
        <v/>
      </c>
      <c r="AV88" s="30" t="str">
        <f>IFERROR(INDEX('G-7 WaterC'' Data'!$AZ$3:$AZ$7,MATCH(N88,'G-7 WaterC'' Data'!$AY$3:$AY$7,0)),"")</f>
        <v/>
      </c>
      <c r="AX88" s="30" t="str">
        <f>IF(B88="","",VLOOKUP($B88,'C-1 On-Site WaterC'' Baseline'!$C$9:$Y$257,22,FALSE))</f>
        <v/>
      </c>
      <c r="AY88" s="30" t="str">
        <f t="shared" si="18"/>
        <v/>
      </c>
      <c r="AZ88" s="30" t="str">
        <f>IF(B88="","",VLOOKUP($B88,'C-1 On-Site WaterC'' Baseline'!$C$9:$Y$257,21,FALSE))</f>
        <v/>
      </c>
      <c r="BA88" s="30" t="str">
        <f>IF(B88="","",VLOOKUP($B88,'C-1 On-Site WaterC'' Baseline'!$C$9:$Y$257,19,FALSE))</f>
        <v/>
      </c>
      <c r="BD88" s="30" t="str">
        <f t="shared" si="19"/>
        <v>No</v>
      </c>
    </row>
    <row r="89" spans="2:56" ht="13.8" x14ac:dyDescent="0.25">
      <c r="B89" s="311" t="str">
        <f>'C-1 On-Site WaterC'' Baseline'!AP87</f>
        <v/>
      </c>
      <c r="C89" s="301" t="str">
        <f>IF(B89="","",VLOOKUP($B89,'C-1 On-Site WaterC'' Baseline'!$C$9:$R$257,2,FALSE))</f>
        <v/>
      </c>
      <c r="D89" s="301" t="str">
        <f>IF(C89="","",VLOOKUP($B89,'C-1 On-Site WaterC'' Baseline'!$C$9:$R$257,3,FALSE))</f>
        <v/>
      </c>
      <c r="E89" s="301" t="str">
        <f>IF(D89="","",VLOOKUP($B89,'C-1 On-Site WaterC'' Baseline'!$C$9:$R$257,4,FALSE))</f>
        <v/>
      </c>
      <c r="F89" s="301" t="str">
        <f>IF(E89="","",VLOOKUP($B89,'C-1 On-Site WaterC'' Baseline'!$C$9:$R$257,5,FALSE))</f>
        <v/>
      </c>
      <c r="G89" s="301" t="str">
        <f>IF(F89="","",VLOOKUP($B89,'C-1 On-Site WaterC'' Baseline'!$C$9:$R$257,6,FALSE))</f>
        <v/>
      </c>
      <c r="H89" s="301" t="str">
        <f>IF(G89="","",VLOOKUP($B89,'C-1 On-Site WaterC'' Baseline'!$C$9:$R$257,7,FALSE))</f>
        <v/>
      </c>
      <c r="I89" s="301" t="str">
        <f>IF(H89="","",VLOOKUP($B89,'C-1 On-Site WaterC'' Baseline'!$C$9:$R$257,8,FALSE))</f>
        <v/>
      </c>
      <c r="J89" s="301" t="str">
        <f>IF(I89="","",VLOOKUP($B89,'C-1 On-Site WaterC'' Baseline'!$C$9:$R$257,9,FALSE))</f>
        <v/>
      </c>
      <c r="K89" s="301" t="str">
        <f>IF(J89="","",VLOOKUP($B89,'C-1 On-Site WaterC'' Baseline'!$C$9:$R$257,10,FALSE))</f>
        <v/>
      </c>
      <c r="L89" s="301" t="str">
        <f>IF(B89="","",VLOOKUP($B89,'C-1 On-Site WaterC'' Baseline'!$C$9:$R$257,15,FALSE))</f>
        <v/>
      </c>
      <c r="M89" s="305" t="str">
        <f>IF(L89="","",VLOOKUP($B89,'C-1 On-Site WaterC'' Baseline'!$C$9:$R$257,16,FALSE))</f>
        <v/>
      </c>
      <c r="N89" s="251"/>
      <c r="O89" s="281" t="str">
        <f t="shared" si="11"/>
        <v/>
      </c>
      <c r="P89" s="282" t="str">
        <f t="shared" si="12"/>
        <v/>
      </c>
      <c r="Q89" s="342" t="str">
        <f>IF(N89="","",VLOOKUP(B89,'C-1 On-Site WaterC'' Baseline'!$C$10:$AC$257,20,FALSE))</f>
        <v/>
      </c>
      <c r="R89" s="281" t="str">
        <f>IF(N89="","",VLOOKUP(N89,'G-7 WaterC'' Data'!$B$2:$G$8,2,FALSE))</f>
        <v/>
      </c>
      <c r="S89" s="282" t="str">
        <f>IFERROR(VLOOKUP(R89,'G-7 WaterC'' Data'!$C$4:$D$8,2,FALSE),"")</f>
        <v/>
      </c>
      <c r="T89" s="105"/>
      <c r="U89" s="282" t="str">
        <f>IFERROR(INDEX('G-7 WaterC'' Data'!$H$4:$L$8,MATCH(N89,'G-7 WaterC'' Data'!$B$4:$B$8,0),MATCH(T89,'G-7 WaterC'' Data'!$H$3:$L$3,0)),"")</f>
        <v/>
      </c>
      <c r="V89" s="105"/>
      <c r="W89" s="289" t="str">
        <f>IF(V89="","",IF(VLOOKUP(V89,'G-7 WaterC'' Data'!$AK$4:$AM$6,2,FALSE)=0,"Spatial Data Missing ⚠",VLOOKUP(V89,'G-7 WaterC'' Data'!$AK$4:$AM$6,2,FALSE)))</f>
        <v/>
      </c>
      <c r="X89" s="282" t="str">
        <f>IF(V89="","",IF(VLOOKUP(V89,'G-7 WaterC'' Data'!$AK$4:$AM$6,3,FALSE)=0,"Spatial Data Missing ⚠",VLOOKUP(V89,'G-7 WaterC'' Data'!$AK$4:$AM$6,3,FALSE)))</f>
        <v/>
      </c>
      <c r="Y89" s="281" t="str">
        <f>IFERROR(IF(OR(LEFT(P89,5)="Error",LEFT(O89,5)="Error"),"Check Data ⚠",IF(F89&lt;S89,'G-7 WaterC'' Data'!$R$3,INDEX('G-7 WaterC'' Data'!$U$5:$Y$9,MATCH(G89,'G-7 WaterC'' Data'!$T$5:$T$9,0),MATCH(T89,'G-7 WaterC'' Data'!$U$4:$Y$4,0)))),"")</f>
        <v/>
      </c>
      <c r="Z89" s="137"/>
      <c r="AA89" s="137"/>
      <c r="AB89" s="289" t="str">
        <f t="shared" si="13"/>
        <v/>
      </c>
      <c r="AC89" s="302" t="str">
        <f t="shared" si="14"/>
        <v/>
      </c>
      <c r="AD89" s="340" t="str">
        <f>IFERROR(IF(AC89="Check Data ⚠","Check Data ⚠",VLOOKUP(AC89,'G-4 Temporal multipliers'!$A$4:$C$37,3,FALSE)),"")</f>
        <v/>
      </c>
      <c r="AE89" s="281" t="str">
        <f>IF(N89="","",VLOOKUP(N89,'G-7 WaterC'' Data'!$B$4:$G$8,5,FALSE))</f>
        <v/>
      </c>
      <c r="AF89" s="289" t="str">
        <f t="shared" si="15"/>
        <v/>
      </c>
      <c r="AG89" s="320" t="str">
        <f t="shared" si="16"/>
        <v/>
      </c>
      <c r="AH89" s="282" t="str">
        <f t="shared" si="10"/>
        <v/>
      </c>
      <c r="AI89" s="109"/>
      <c r="AJ89" s="282" t="str">
        <f>IF(AI89="","",IF(AND(AI89="N/A - Culvert",N89&lt;&gt;"Culvert"),"Not possible ▲",IF(VLOOKUP(AI89,'G-7 WaterC'' Data'!$AA$4:$AB$7,2,FALSE)=0,"Spatial Data Missing ⚠",VLOOKUP(AI89,'G-7 WaterC'' Data'!$AA$4:$AB$7,2,FALSE))))</f>
        <v/>
      </c>
      <c r="AK89" s="110"/>
      <c r="AL89" s="282" t="str">
        <f>IF(AK89="","",IF(AND(AK89="N/A - Culvert",N89&lt;&gt;"Culvert"),"Not possible ▲",IF(VLOOKUP(AK89,'G-7 WaterC'' Data'!$AD$4:$AE$14,2,FALSE)=0,"Spatial Data Missing ⚠",VLOOKUP(AK89,'G-7 WaterC'' Data'!$AD$4:$AE$14,2,FALSE))))</f>
        <v/>
      </c>
      <c r="AM89" s="323" t="str">
        <f t="shared" si="17"/>
        <v/>
      </c>
      <c r="AN89" s="105"/>
      <c r="AO89" s="119"/>
      <c r="AP89" s="108"/>
      <c r="AS89" s="30" t="str">
        <f>IF(B89="","",IF(ISNA(VLOOKUP($B89,'C-1 On-Site WaterC'' Baseline'!$C$8:$AD$257,17,FALSE)),"",(VLOOKUP($B89,'C-1 On-Site WaterC'' Baseline'!$C$8:$AD$257,17,FALSE))))</f>
        <v/>
      </c>
      <c r="AT89" s="30" t="str">
        <f>IF(B89="","",VLOOKUP($B89,'C-1 On-Site WaterC'' Baseline'!$C$9:$Z$257,12,FALSE))</f>
        <v/>
      </c>
      <c r="AU89" s="30" t="str">
        <f>IF(B89="","",VLOOKUP($B89,'C-1 On-Site WaterC'' Baseline'!$C$9:$Z$257,14,FALSE))</f>
        <v/>
      </c>
      <c r="AV89" s="30" t="str">
        <f>IFERROR(INDEX('G-7 WaterC'' Data'!$AZ$3:$AZ$7,MATCH(N89,'G-7 WaterC'' Data'!$AY$3:$AY$7,0)),"")</f>
        <v/>
      </c>
      <c r="AX89" s="30" t="str">
        <f>IF(B89="","",VLOOKUP($B89,'C-1 On-Site WaterC'' Baseline'!$C$9:$Y$257,22,FALSE))</f>
        <v/>
      </c>
      <c r="AY89" s="30" t="str">
        <f t="shared" si="18"/>
        <v/>
      </c>
      <c r="AZ89" s="30" t="str">
        <f>IF(B89="","",VLOOKUP($B89,'C-1 On-Site WaterC'' Baseline'!$C$9:$Y$257,21,FALSE))</f>
        <v/>
      </c>
      <c r="BA89" s="30" t="str">
        <f>IF(B89="","",VLOOKUP($B89,'C-1 On-Site WaterC'' Baseline'!$C$9:$Y$257,19,FALSE))</f>
        <v/>
      </c>
      <c r="BD89" s="30" t="str">
        <f t="shared" si="19"/>
        <v>No</v>
      </c>
    </row>
    <row r="90" spans="2:56" ht="13.8" x14ac:dyDescent="0.25">
      <c r="B90" s="311" t="str">
        <f>'C-1 On-Site WaterC'' Baseline'!AP88</f>
        <v/>
      </c>
      <c r="C90" s="301" t="str">
        <f>IF(B90="","",VLOOKUP($B90,'C-1 On-Site WaterC'' Baseline'!$C$9:$R$257,2,FALSE))</f>
        <v/>
      </c>
      <c r="D90" s="301" t="str">
        <f>IF(C90="","",VLOOKUP($B90,'C-1 On-Site WaterC'' Baseline'!$C$9:$R$257,3,FALSE))</f>
        <v/>
      </c>
      <c r="E90" s="301" t="str">
        <f>IF(D90="","",VLOOKUP($B90,'C-1 On-Site WaterC'' Baseline'!$C$9:$R$257,4,FALSE))</f>
        <v/>
      </c>
      <c r="F90" s="301" t="str">
        <f>IF(E90="","",VLOOKUP($B90,'C-1 On-Site WaterC'' Baseline'!$C$9:$R$257,5,FALSE))</f>
        <v/>
      </c>
      <c r="G90" s="301" t="str">
        <f>IF(F90="","",VLOOKUP($B90,'C-1 On-Site WaterC'' Baseline'!$C$9:$R$257,6,FALSE))</f>
        <v/>
      </c>
      <c r="H90" s="301" t="str">
        <f>IF(G90="","",VLOOKUP($B90,'C-1 On-Site WaterC'' Baseline'!$C$9:$R$257,7,FALSE))</f>
        <v/>
      </c>
      <c r="I90" s="301" t="str">
        <f>IF(H90="","",VLOOKUP($B90,'C-1 On-Site WaterC'' Baseline'!$C$9:$R$257,8,FALSE))</f>
        <v/>
      </c>
      <c r="J90" s="301" t="str">
        <f>IF(I90="","",VLOOKUP($B90,'C-1 On-Site WaterC'' Baseline'!$C$9:$R$257,9,FALSE))</f>
        <v/>
      </c>
      <c r="K90" s="301" t="str">
        <f>IF(J90="","",VLOOKUP($B90,'C-1 On-Site WaterC'' Baseline'!$C$9:$R$257,10,FALSE))</f>
        <v/>
      </c>
      <c r="L90" s="301" t="str">
        <f>IF(B90="","",VLOOKUP($B90,'C-1 On-Site WaterC'' Baseline'!$C$9:$R$257,15,FALSE))</f>
        <v/>
      </c>
      <c r="M90" s="305" t="str">
        <f>IF(L90="","",VLOOKUP($B90,'C-1 On-Site WaterC'' Baseline'!$C$9:$R$257,16,FALSE))</f>
        <v/>
      </c>
      <c r="N90" s="251"/>
      <c r="O90" s="281" t="str">
        <f t="shared" si="11"/>
        <v/>
      </c>
      <c r="P90" s="282" t="str">
        <f t="shared" si="12"/>
        <v/>
      </c>
      <c r="Q90" s="342" t="str">
        <f>IF(N90="","",VLOOKUP(B90,'C-1 On-Site WaterC'' Baseline'!$C$10:$AC$257,20,FALSE))</f>
        <v/>
      </c>
      <c r="R90" s="281" t="str">
        <f>IF(N90="","",VLOOKUP(N90,'G-7 WaterC'' Data'!$B$2:$G$8,2,FALSE))</f>
        <v/>
      </c>
      <c r="S90" s="282" t="str">
        <f>IFERROR(VLOOKUP(R90,'G-7 WaterC'' Data'!$C$4:$D$8,2,FALSE),"")</f>
        <v/>
      </c>
      <c r="T90" s="105"/>
      <c r="U90" s="282" t="str">
        <f>IFERROR(INDEX('G-7 WaterC'' Data'!$H$4:$L$8,MATCH(N90,'G-7 WaterC'' Data'!$B$4:$B$8,0),MATCH(T90,'G-7 WaterC'' Data'!$H$3:$L$3,0)),"")</f>
        <v/>
      </c>
      <c r="V90" s="105"/>
      <c r="W90" s="289" t="str">
        <f>IF(V90="","",IF(VLOOKUP(V90,'G-7 WaterC'' Data'!$AK$4:$AM$6,2,FALSE)=0,"Spatial Data Missing ⚠",VLOOKUP(V90,'G-7 WaterC'' Data'!$AK$4:$AM$6,2,FALSE)))</f>
        <v/>
      </c>
      <c r="X90" s="282" t="str">
        <f>IF(V90="","",IF(VLOOKUP(V90,'G-7 WaterC'' Data'!$AK$4:$AM$6,3,FALSE)=0,"Spatial Data Missing ⚠",VLOOKUP(V90,'G-7 WaterC'' Data'!$AK$4:$AM$6,3,FALSE)))</f>
        <v/>
      </c>
      <c r="Y90" s="281" t="str">
        <f>IFERROR(IF(OR(LEFT(P90,5)="Error",LEFT(O90,5)="Error"),"Check Data ⚠",IF(F90&lt;S90,'G-7 WaterC'' Data'!$R$3,INDEX('G-7 WaterC'' Data'!$U$5:$Y$9,MATCH(G90,'G-7 WaterC'' Data'!$T$5:$T$9,0),MATCH(T90,'G-7 WaterC'' Data'!$U$4:$Y$4,0)))),"")</f>
        <v/>
      </c>
      <c r="Z90" s="137"/>
      <c r="AA90" s="137"/>
      <c r="AB90" s="289" t="str">
        <f t="shared" si="13"/>
        <v/>
      </c>
      <c r="AC90" s="302" t="str">
        <f t="shared" si="14"/>
        <v/>
      </c>
      <c r="AD90" s="340" t="str">
        <f>IFERROR(IF(AC90="Check Data ⚠","Check Data ⚠",VLOOKUP(AC90,'G-4 Temporal multipliers'!$A$4:$C$37,3,FALSE)),"")</f>
        <v/>
      </c>
      <c r="AE90" s="281" t="str">
        <f>IF(N90="","",VLOOKUP(N90,'G-7 WaterC'' Data'!$B$4:$G$8,5,FALSE))</f>
        <v/>
      </c>
      <c r="AF90" s="289" t="str">
        <f t="shared" si="15"/>
        <v/>
      </c>
      <c r="AG90" s="320" t="str">
        <f t="shared" si="16"/>
        <v/>
      </c>
      <c r="AH90" s="282" t="str">
        <f t="shared" si="10"/>
        <v/>
      </c>
      <c r="AI90" s="109"/>
      <c r="AJ90" s="282" t="str">
        <f>IF(AI90="","",IF(AND(AI90="N/A - Culvert",N90&lt;&gt;"Culvert"),"Not possible ▲",IF(VLOOKUP(AI90,'G-7 WaterC'' Data'!$AA$4:$AB$7,2,FALSE)=0,"Spatial Data Missing ⚠",VLOOKUP(AI90,'G-7 WaterC'' Data'!$AA$4:$AB$7,2,FALSE))))</f>
        <v/>
      </c>
      <c r="AK90" s="110"/>
      <c r="AL90" s="282" t="str">
        <f>IF(AK90="","",IF(AND(AK90="N/A - Culvert",N90&lt;&gt;"Culvert"),"Not possible ▲",IF(VLOOKUP(AK90,'G-7 WaterC'' Data'!$AD$4:$AE$14,2,FALSE)=0,"Spatial Data Missing ⚠",VLOOKUP(AK90,'G-7 WaterC'' Data'!$AD$4:$AE$14,2,FALSE))))</f>
        <v/>
      </c>
      <c r="AM90" s="323" t="str">
        <f t="shared" si="17"/>
        <v/>
      </c>
      <c r="AN90" s="105"/>
      <c r="AO90" s="119"/>
      <c r="AP90" s="108"/>
      <c r="AS90" s="30" t="str">
        <f>IF(B90="","",IF(ISNA(VLOOKUP($B90,'C-1 On-Site WaterC'' Baseline'!$C$8:$AD$257,17,FALSE)),"",(VLOOKUP($B90,'C-1 On-Site WaterC'' Baseline'!$C$8:$AD$257,17,FALSE))))</f>
        <v/>
      </c>
      <c r="AT90" s="30" t="str">
        <f>IF(B90="","",VLOOKUP($B90,'C-1 On-Site WaterC'' Baseline'!$C$9:$Z$257,12,FALSE))</f>
        <v/>
      </c>
      <c r="AU90" s="30" t="str">
        <f>IF(B90="","",VLOOKUP($B90,'C-1 On-Site WaterC'' Baseline'!$C$9:$Z$257,14,FALSE))</f>
        <v/>
      </c>
      <c r="AV90" s="30" t="str">
        <f>IFERROR(INDEX('G-7 WaterC'' Data'!$AZ$3:$AZ$7,MATCH(N90,'G-7 WaterC'' Data'!$AY$3:$AY$7,0)),"")</f>
        <v/>
      </c>
      <c r="AX90" s="30" t="str">
        <f>IF(B90="","",VLOOKUP($B90,'C-1 On-Site WaterC'' Baseline'!$C$9:$Y$257,22,FALSE))</f>
        <v/>
      </c>
      <c r="AY90" s="30" t="str">
        <f t="shared" si="18"/>
        <v/>
      </c>
      <c r="AZ90" s="30" t="str">
        <f>IF(B90="","",VLOOKUP($B90,'C-1 On-Site WaterC'' Baseline'!$C$9:$Y$257,21,FALSE))</f>
        <v/>
      </c>
      <c r="BA90" s="30" t="str">
        <f>IF(B90="","",VLOOKUP($B90,'C-1 On-Site WaterC'' Baseline'!$C$9:$Y$257,19,FALSE))</f>
        <v/>
      </c>
      <c r="BD90" s="30" t="str">
        <f t="shared" si="19"/>
        <v>No</v>
      </c>
    </row>
    <row r="91" spans="2:56" ht="13.8" x14ac:dyDescent="0.25">
      <c r="B91" s="311" t="str">
        <f>'C-1 On-Site WaterC'' Baseline'!AP89</f>
        <v/>
      </c>
      <c r="C91" s="301" t="str">
        <f>IF(B91="","",VLOOKUP($B91,'C-1 On-Site WaterC'' Baseline'!$C$9:$R$257,2,FALSE))</f>
        <v/>
      </c>
      <c r="D91" s="301" t="str">
        <f>IF(C91="","",VLOOKUP($B91,'C-1 On-Site WaterC'' Baseline'!$C$9:$R$257,3,FALSE))</f>
        <v/>
      </c>
      <c r="E91" s="301" t="str">
        <f>IF(D91="","",VLOOKUP($B91,'C-1 On-Site WaterC'' Baseline'!$C$9:$R$257,4,FALSE))</f>
        <v/>
      </c>
      <c r="F91" s="301" t="str">
        <f>IF(E91="","",VLOOKUP($B91,'C-1 On-Site WaterC'' Baseline'!$C$9:$R$257,5,FALSE))</f>
        <v/>
      </c>
      <c r="G91" s="301" t="str">
        <f>IF(F91="","",VLOOKUP($B91,'C-1 On-Site WaterC'' Baseline'!$C$9:$R$257,6,FALSE))</f>
        <v/>
      </c>
      <c r="H91" s="301" t="str">
        <f>IF(G91="","",VLOOKUP($B91,'C-1 On-Site WaterC'' Baseline'!$C$9:$R$257,7,FALSE))</f>
        <v/>
      </c>
      <c r="I91" s="301" t="str">
        <f>IF(H91="","",VLOOKUP($B91,'C-1 On-Site WaterC'' Baseline'!$C$9:$R$257,8,FALSE))</f>
        <v/>
      </c>
      <c r="J91" s="301" t="str">
        <f>IF(I91="","",VLOOKUP($B91,'C-1 On-Site WaterC'' Baseline'!$C$9:$R$257,9,FALSE))</f>
        <v/>
      </c>
      <c r="K91" s="301" t="str">
        <f>IF(J91="","",VLOOKUP($B91,'C-1 On-Site WaterC'' Baseline'!$C$9:$R$257,10,FALSE))</f>
        <v/>
      </c>
      <c r="L91" s="301" t="str">
        <f>IF(B91="","",VLOOKUP($B91,'C-1 On-Site WaterC'' Baseline'!$C$9:$R$257,15,FALSE))</f>
        <v/>
      </c>
      <c r="M91" s="305" t="str">
        <f>IF(L91="","",VLOOKUP($B91,'C-1 On-Site WaterC'' Baseline'!$C$9:$R$257,16,FALSE))</f>
        <v/>
      </c>
      <c r="N91" s="251"/>
      <c r="O91" s="281" t="str">
        <f t="shared" si="11"/>
        <v/>
      </c>
      <c r="P91" s="282" t="str">
        <f t="shared" si="12"/>
        <v/>
      </c>
      <c r="Q91" s="342" t="str">
        <f>IF(N91="","",VLOOKUP(B91,'C-1 On-Site WaterC'' Baseline'!$C$10:$AC$257,20,FALSE))</f>
        <v/>
      </c>
      <c r="R91" s="281" t="str">
        <f>IF(N91="","",VLOOKUP(N91,'G-7 WaterC'' Data'!$B$2:$G$8,2,FALSE))</f>
        <v/>
      </c>
      <c r="S91" s="282" t="str">
        <f>IFERROR(VLOOKUP(R91,'G-7 WaterC'' Data'!$C$4:$D$8,2,FALSE),"")</f>
        <v/>
      </c>
      <c r="T91" s="105"/>
      <c r="U91" s="282" t="str">
        <f>IFERROR(INDEX('G-7 WaterC'' Data'!$H$4:$L$8,MATCH(N91,'G-7 WaterC'' Data'!$B$4:$B$8,0),MATCH(T91,'G-7 WaterC'' Data'!$H$3:$L$3,0)),"")</f>
        <v/>
      </c>
      <c r="V91" s="105"/>
      <c r="W91" s="289" t="str">
        <f>IF(V91="","",IF(VLOOKUP(V91,'G-7 WaterC'' Data'!$AK$4:$AM$6,2,FALSE)=0,"Spatial Data Missing ⚠",VLOOKUP(V91,'G-7 WaterC'' Data'!$AK$4:$AM$6,2,FALSE)))</f>
        <v/>
      </c>
      <c r="X91" s="282" t="str">
        <f>IF(V91="","",IF(VLOOKUP(V91,'G-7 WaterC'' Data'!$AK$4:$AM$6,3,FALSE)=0,"Spatial Data Missing ⚠",VLOOKUP(V91,'G-7 WaterC'' Data'!$AK$4:$AM$6,3,FALSE)))</f>
        <v/>
      </c>
      <c r="Y91" s="281" t="str">
        <f>IFERROR(IF(OR(LEFT(P91,5)="Error",LEFT(O91,5)="Error"),"Check Data ⚠",IF(F91&lt;S91,'G-7 WaterC'' Data'!$R$3,INDEX('G-7 WaterC'' Data'!$U$5:$Y$9,MATCH(G91,'G-7 WaterC'' Data'!$T$5:$T$9,0),MATCH(T91,'G-7 WaterC'' Data'!$U$4:$Y$4,0)))),"")</f>
        <v/>
      </c>
      <c r="Z91" s="137"/>
      <c r="AA91" s="137"/>
      <c r="AB91" s="289" t="str">
        <f t="shared" si="13"/>
        <v/>
      </c>
      <c r="AC91" s="302" t="str">
        <f t="shared" si="14"/>
        <v/>
      </c>
      <c r="AD91" s="340" t="str">
        <f>IFERROR(IF(AC91="Check Data ⚠","Check Data ⚠",VLOOKUP(AC91,'G-4 Temporal multipliers'!$A$4:$C$37,3,FALSE)),"")</f>
        <v/>
      </c>
      <c r="AE91" s="281" t="str">
        <f>IF(N91="","",VLOOKUP(N91,'G-7 WaterC'' Data'!$B$4:$G$8,5,FALSE))</f>
        <v/>
      </c>
      <c r="AF91" s="289" t="str">
        <f t="shared" si="15"/>
        <v/>
      </c>
      <c r="AG91" s="320" t="str">
        <f t="shared" si="16"/>
        <v/>
      </c>
      <c r="AH91" s="282" t="str">
        <f t="shared" si="10"/>
        <v/>
      </c>
      <c r="AI91" s="109"/>
      <c r="AJ91" s="282" t="str">
        <f>IF(AI91="","",IF(AND(AI91="N/A - Culvert",N91&lt;&gt;"Culvert"),"Not possible ▲",IF(VLOOKUP(AI91,'G-7 WaterC'' Data'!$AA$4:$AB$7,2,FALSE)=0,"Spatial Data Missing ⚠",VLOOKUP(AI91,'G-7 WaterC'' Data'!$AA$4:$AB$7,2,FALSE))))</f>
        <v/>
      </c>
      <c r="AK91" s="110"/>
      <c r="AL91" s="282" t="str">
        <f>IF(AK91="","",IF(AND(AK91="N/A - Culvert",N91&lt;&gt;"Culvert"),"Not possible ▲",IF(VLOOKUP(AK91,'G-7 WaterC'' Data'!$AD$4:$AE$14,2,FALSE)=0,"Spatial Data Missing ⚠",VLOOKUP(AK91,'G-7 WaterC'' Data'!$AD$4:$AE$14,2,FALSE))))</f>
        <v/>
      </c>
      <c r="AM91" s="323" t="str">
        <f t="shared" si="17"/>
        <v/>
      </c>
      <c r="AN91" s="105"/>
      <c r="AO91" s="119"/>
      <c r="AP91" s="108"/>
      <c r="AS91" s="30" t="str">
        <f>IF(B91="","",IF(ISNA(VLOOKUP($B91,'C-1 On-Site WaterC'' Baseline'!$C$8:$AD$257,17,FALSE)),"",(VLOOKUP($B91,'C-1 On-Site WaterC'' Baseline'!$C$8:$AD$257,17,FALSE))))</f>
        <v/>
      </c>
      <c r="AT91" s="30" t="str">
        <f>IF(B91="","",VLOOKUP($B91,'C-1 On-Site WaterC'' Baseline'!$C$9:$Z$257,12,FALSE))</f>
        <v/>
      </c>
      <c r="AU91" s="30" t="str">
        <f>IF(B91="","",VLOOKUP($B91,'C-1 On-Site WaterC'' Baseline'!$C$9:$Z$257,14,FALSE))</f>
        <v/>
      </c>
      <c r="AV91" s="30" t="str">
        <f>IFERROR(INDEX('G-7 WaterC'' Data'!$AZ$3:$AZ$7,MATCH(N91,'G-7 WaterC'' Data'!$AY$3:$AY$7,0)),"")</f>
        <v/>
      </c>
      <c r="AX91" s="30" t="str">
        <f>IF(B91="","",VLOOKUP($B91,'C-1 On-Site WaterC'' Baseline'!$C$9:$Y$257,22,FALSE))</f>
        <v/>
      </c>
      <c r="AY91" s="30" t="str">
        <f t="shared" si="18"/>
        <v/>
      </c>
      <c r="AZ91" s="30" t="str">
        <f>IF(B91="","",VLOOKUP($B91,'C-1 On-Site WaterC'' Baseline'!$C$9:$Y$257,21,FALSE))</f>
        <v/>
      </c>
      <c r="BA91" s="30" t="str">
        <f>IF(B91="","",VLOOKUP($B91,'C-1 On-Site WaterC'' Baseline'!$C$9:$Y$257,19,FALSE))</f>
        <v/>
      </c>
      <c r="BD91" s="30" t="str">
        <f t="shared" si="19"/>
        <v>No</v>
      </c>
    </row>
    <row r="92" spans="2:56" ht="13.8" x14ac:dyDescent="0.25">
      <c r="B92" s="311" t="str">
        <f>'C-1 On-Site WaterC'' Baseline'!AP90</f>
        <v/>
      </c>
      <c r="C92" s="301" t="str">
        <f>IF(B92="","",VLOOKUP($B92,'C-1 On-Site WaterC'' Baseline'!$C$9:$R$257,2,FALSE))</f>
        <v/>
      </c>
      <c r="D92" s="301" t="str">
        <f>IF(C92="","",VLOOKUP($B92,'C-1 On-Site WaterC'' Baseline'!$C$9:$R$257,3,FALSE))</f>
        <v/>
      </c>
      <c r="E92" s="301" t="str">
        <f>IF(D92="","",VLOOKUP($B92,'C-1 On-Site WaterC'' Baseline'!$C$9:$R$257,4,FALSE))</f>
        <v/>
      </c>
      <c r="F92" s="301" t="str">
        <f>IF(E92="","",VLOOKUP($B92,'C-1 On-Site WaterC'' Baseline'!$C$9:$R$257,5,FALSE))</f>
        <v/>
      </c>
      <c r="G92" s="301" t="str">
        <f>IF(F92="","",VLOOKUP($B92,'C-1 On-Site WaterC'' Baseline'!$C$9:$R$257,6,FALSE))</f>
        <v/>
      </c>
      <c r="H92" s="301" t="str">
        <f>IF(G92="","",VLOOKUP($B92,'C-1 On-Site WaterC'' Baseline'!$C$9:$R$257,7,FALSE))</f>
        <v/>
      </c>
      <c r="I92" s="301" t="str">
        <f>IF(H92="","",VLOOKUP($B92,'C-1 On-Site WaterC'' Baseline'!$C$9:$R$257,8,FALSE))</f>
        <v/>
      </c>
      <c r="J92" s="301" t="str">
        <f>IF(I92="","",VLOOKUP($B92,'C-1 On-Site WaterC'' Baseline'!$C$9:$R$257,9,FALSE))</f>
        <v/>
      </c>
      <c r="K92" s="301" t="str">
        <f>IF(J92="","",VLOOKUP($B92,'C-1 On-Site WaterC'' Baseline'!$C$9:$R$257,10,FALSE))</f>
        <v/>
      </c>
      <c r="L92" s="301" t="str">
        <f>IF(B92="","",VLOOKUP($B92,'C-1 On-Site WaterC'' Baseline'!$C$9:$R$257,15,FALSE))</f>
        <v/>
      </c>
      <c r="M92" s="305" t="str">
        <f>IF(L92="","",VLOOKUP($B92,'C-1 On-Site WaterC'' Baseline'!$C$9:$R$257,16,FALSE))</f>
        <v/>
      </c>
      <c r="N92" s="251"/>
      <c r="O92" s="281" t="str">
        <f t="shared" si="11"/>
        <v/>
      </c>
      <c r="P92" s="282" t="str">
        <f t="shared" si="12"/>
        <v/>
      </c>
      <c r="Q92" s="342" t="str">
        <f>IF(N92="","",VLOOKUP(B92,'C-1 On-Site WaterC'' Baseline'!$C$10:$AC$257,20,FALSE))</f>
        <v/>
      </c>
      <c r="R92" s="281" t="str">
        <f>IF(N92="","",VLOOKUP(N92,'G-7 WaterC'' Data'!$B$2:$G$8,2,FALSE))</f>
        <v/>
      </c>
      <c r="S92" s="282" t="str">
        <f>IFERROR(VLOOKUP(R92,'G-7 WaterC'' Data'!$C$4:$D$8,2,FALSE),"")</f>
        <v/>
      </c>
      <c r="T92" s="105"/>
      <c r="U92" s="282" t="str">
        <f>IFERROR(INDEX('G-7 WaterC'' Data'!$H$4:$L$8,MATCH(N92,'G-7 WaterC'' Data'!$B$4:$B$8,0),MATCH(T92,'G-7 WaterC'' Data'!$H$3:$L$3,0)),"")</f>
        <v/>
      </c>
      <c r="V92" s="105"/>
      <c r="W92" s="289" t="str">
        <f>IF(V92="","",IF(VLOOKUP(V92,'G-7 WaterC'' Data'!$AK$4:$AM$6,2,FALSE)=0,"Spatial Data Missing ⚠",VLOOKUP(V92,'G-7 WaterC'' Data'!$AK$4:$AM$6,2,FALSE)))</f>
        <v/>
      </c>
      <c r="X92" s="282" t="str">
        <f>IF(V92="","",IF(VLOOKUP(V92,'G-7 WaterC'' Data'!$AK$4:$AM$6,3,FALSE)=0,"Spatial Data Missing ⚠",VLOOKUP(V92,'G-7 WaterC'' Data'!$AK$4:$AM$6,3,FALSE)))</f>
        <v/>
      </c>
      <c r="Y92" s="281" t="str">
        <f>IFERROR(IF(OR(LEFT(P92,5)="Error",LEFT(O92,5)="Error"),"Check Data ⚠",IF(F92&lt;S92,'G-7 WaterC'' Data'!$R$3,INDEX('G-7 WaterC'' Data'!$U$5:$Y$9,MATCH(G92,'G-7 WaterC'' Data'!$T$5:$T$9,0),MATCH(T92,'G-7 WaterC'' Data'!$U$4:$Y$4,0)))),"")</f>
        <v/>
      </c>
      <c r="Z92" s="137"/>
      <c r="AA92" s="137"/>
      <c r="AB92" s="289" t="str">
        <f t="shared" si="13"/>
        <v/>
      </c>
      <c r="AC92" s="302" t="str">
        <f t="shared" si="14"/>
        <v/>
      </c>
      <c r="AD92" s="340" t="str">
        <f>IFERROR(IF(AC92="Check Data ⚠","Check Data ⚠",VLOOKUP(AC92,'G-4 Temporal multipliers'!$A$4:$C$37,3,FALSE)),"")</f>
        <v/>
      </c>
      <c r="AE92" s="281" t="str">
        <f>IF(N92="","",VLOOKUP(N92,'G-7 WaterC'' Data'!$B$4:$G$8,5,FALSE))</f>
        <v/>
      </c>
      <c r="AF92" s="289" t="str">
        <f t="shared" si="15"/>
        <v/>
      </c>
      <c r="AG92" s="320" t="str">
        <f t="shared" si="16"/>
        <v/>
      </c>
      <c r="AH92" s="282" t="str">
        <f t="shared" si="10"/>
        <v/>
      </c>
      <c r="AI92" s="109"/>
      <c r="AJ92" s="282" t="str">
        <f>IF(AI92="","",IF(AND(AI92="N/A - Culvert",N92&lt;&gt;"Culvert"),"Not possible ▲",IF(VLOOKUP(AI92,'G-7 WaterC'' Data'!$AA$4:$AB$7,2,FALSE)=0,"Spatial Data Missing ⚠",VLOOKUP(AI92,'G-7 WaterC'' Data'!$AA$4:$AB$7,2,FALSE))))</f>
        <v/>
      </c>
      <c r="AK92" s="110"/>
      <c r="AL92" s="282" t="str">
        <f>IF(AK92="","",IF(AND(AK92="N/A - Culvert",N92&lt;&gt;"Culvert"),"Not possible ▲",IF(VLOOKUP(AK92,'G-7 WaterC'' Data'!$AD$4:$AE$14,2,FALSE)=0,"Spatial Data Missing ⚠",VLOOKUP(AK92,'G-7 WaterC'' Data'!$AD$4:$AE$14,2,FALSE))))</f>
        <v/>
      </c>
      <c r="AM92" s="323" t="str">
        <f t="shared" si="17"/>
        <v/>
      </c>
      <c r="AN92" s="105"/>
      <c r="AO92" s="119"/>
      <c r="AP92" s="108"/>
      <c r="AS92" s="30" t="str">
        <f>IF(B92="","",IF(ISNA(VLOOKUP($B92,'C-1 On-Site WaterC'' Baseline'!$C$8:$AD$257,17,FALSE)),"",(VLOOKUP($B92,'C-1 On-Site WaterC'' Baseline'!$C$8:$AD$257,17,FALSE))))</f>
        <v/>
      </c>
      <c r="AT92" s="30" t="str">
        <f>IF(B92="","",VLOOKUP($B92,'C-1 On-Site WaterC'' Baseline'!$C$9:$Z$257,12,FALSE))</f>
        <v/>
      </c>
      <c r="AU92" s="30" t="str">
        <f>IF(B92="","",VLOOKUP($B92,'C-1 On-Site WaterC'' Baseline'!$C$9:$Z$257,14,FALSE))</f>
        <v/>
      </c>
      <c r="AV92" s="30" t="str">
        <f>IFERROR(INDEX('G-7 WaterC'' Data'!$AZ$3:$AZ$7,MATCH(N92,'G-7 WaterC'' Data'!$AY$3:$AY$7,0)),"")</f>
        <v/>
      </c>
      <c r="AX92" s="30" t="str">
        <f>IF(B92="","",VLOOKUP($B92,'C-1 On-Site WaterC'' Baseline'!$C$9:$Y$257,22,FALSE))</f>
        <v/>
      </c>
      <c r="AY92" s="30" t="str">
        <f t="shared" si="18"/>
        <v/>
      </c>
      <c r="AZ92" s="30" t="str">
        <f>IF(B92="","",VLOOKUP($B92,'C-1 On-Site WaterC'' Baseline'!$C$9:$Y$257,21,FALSE))</f>
        <v/>
      </c>
      <c r="BA92" s="30" t="str">
        <f>IF(B92="","",VLOOKUP($B92,'C-1 On-Site WaterC'' Baseline'!$C$9:$Y$257,19,FALSE))</f>
        <v/>
      </c>
      <c r="BD92" s="30" t="str">
        <f t="shared" si="19"/>
        <v>No</v>
      </c>
    </row>
    <row r="93" spans="2:56" ht="13.8" x14ac:dyDescent="0.25">
      <c r="B93" s="311" t="str">
        <f>'C-1 On-Site WaterC'' Baseline'!AP91</f>
        <v/>
      </c>
      <c r="C93" s="301" t="str">
        <f>IF(B93="","",VLOOKUP($B93,'C-1 On-Site WaterC'' Baseline'!$C$9:$R$257,2,FALSE))</f>
        <v/>
      </c>
      <c r="D93" s="301" t="str">
        <f>IF(C93="","",VLOOKUP($B93,'C-1 On-Site WaterC'' Baseline'!$C$9:$R$257,3,FALSE))</f>
        <v/>
      </c>
      <c r="E93" s="301" t="str">
        <f>IF(D93="","",VLOOKUP($B93,'C-1 On-Site WaterC'' Baseline'!$C$9:$R$257,4,FALSE))</f>
        <v/>
      </c>
      <c r="F93" s="301" t="str">
        <f>IF(E93="","",VLOOKUP($B93,'C-1 On-Site WaterC'' Baseline'!$C$9:$R$257,5,FALSE))</f>
        <v/>
      </c>
      <c r="G93" s="301" t="str">
        <f>IF(F93="","",VLOOKUP($B93,'C-1 On-Site WaterC'' Baseline'!$C$9:$R$257,6,FALSE))</f>
        <v/>
      </c>
      <c r="H93" s="301" t="str">
        <f>IF(G93="","",VLOOKUP($B93,'C-1 On-Site WaterC'' Baseline'!$C$9:$R$257,7,FALSE))</f>
        <v/>
      </c>
      <c r="I93" s="301" t="str">
        <f>IF(H93="","",VLOOKUP($B93,'C-1 On-Site WaterC'' Baseline'!$C$9:$R$257,8,FALSE))</f>
        <v/>
      </c>
      <c r="J93" s="301" t="str">
        <f>IF(I93="","",VLOOKUP($B93,'C-1 On-Site WaterC'' Baseline'!$C$9:$R$257,9,FALSE))</f>
        <v/>
      </c>
      <c r="K93" s="301" t="str">
        <f>IF(J93="","",VLOOKUP($B93,'C-1 On-Site WaterC'' Baseline'!$C$9:$R$257,10,FALSE))</f>
        <v/>
      </c>
      <c r="L93" s="301" t="str">
        <f>IF(B93="","",VLOOKUP($B93,'C-1 On-Site WaterC'' Baseline'!$C$9:$R$257,15,FALSE))</f>
        <v/>
      </c>
      <c r="M93" s="305" t="str">
        <f>IF(L93="","",VLOOKUP($B93,'C-1 On-Site WaterC'' Baseline'!$C$9:$R$257,16,FALSE))</f>
        <v/>
      </c>
      <c r="N93" s="251"/>
      <c r="O93" s="281" t="str">
        <f t="shared" si="11"/>
        <v/>
      </c>
      <c r="P93" s="282" t="str">
        <f t="shared" si="12"/>
        <v/>
      </c>
      <c r="Q93" s="342" t="str">
        <f>IF(N93="","",VLOOKUP(B93,'C-1 On-Site WaterC'' Baseline'!$C$10:$AC$257,20,FALSE))</f>
        <v/>
      </c>
      <c r="R93" s="281" t="str">
        <f>IF(N93="","",VLOOKUP(N93,'G-7 WaterC'' Data'!$B$2:$G$8,2,FALSE))</f>
        <v/>
      </c>
      <c r="S93" s="282" t="str">
        <f>IFERROR(VLOOKUP(R93,'G-7 WaterC'' Data'!$C$4:$D$8,2,FALSE),"")</f>
        <v/>
      </c>
      <c r="T93" s="105"/>
      <c r="U93" s="282" t="str">
        <f>IFERROR(INDEX('G-7 WaterC'' Data'!$H$4:$L$8,MATCH(N93,'G-7 WaterC'' Data'!$B$4:$B$8,0),MATCH(T93,'G-7 WaterC'' Data'!$H$3:$L$3,0)),"")</f>
        <v/>
      </c>
      <c r="V93" s="105"/>
      <c r="W93" s="289" t="str">
        <f>IF(V93="","",IF(VLOOKUP(V93,'G-7 WaterC'' Data'!$AK$4:$AM$6,2,FALSE)=0,"Spatial Data Missing ⚠",VLOOKUP(V93,'G-7 WaterC'' Data'!$AK$4:$AM$6,2,FALSE)))</f>
        <v/>
      </c>
      <c r="X93" s="282" t="str">
        <f>IF(V93="","",IF(VLOOKUP(V93,'G-7 WaterC'' Data'!$AK$4:$AM$6,3,FALSE)=0,"Spatial Data Missing ⚠",VLOOKUP(V93,'G-7 WaterC'' Data'!$AK$4:$AM$6,3,FALSE)))</f>
        <v/>
      </c>
      <c r="Y93" s="281" t="str">
        <f>IFERROR(IF(OR(LEFT(P93,5)="Error",LEFT(O93,5)="Error"),"Check Data ⚠",IF(F93&lt;S93,'G-7 WaterC'' Data'!$R$3,INDEX('G-7 WaterC'' Data'!$U$5:$Y$9,MATCH(G93,'G-7 WaterC'' Data'!$T$5:$T$9,0),MATCH(T93,'G-7 WaterC'' Data'!$U$4:$Y$4,0)))),"")</f>
        <v/>
      </c>
      <c r="Z93" s="137"/>
      <c r="AA93" s="137"/>
      <c r="AB93" s="289" t="str">
        <f t="shared" si="13"/>
        <v/>
      </c>
      <c r="AC93" s="302" t="str">
        <f t="shared" si="14"/>
        <v/>
      </c>
      <c r="AD93" s="340" t="str">
        <f>IFERROR(IF(AC93="Check Data ⚠","Check Data ⚠",VLOOKUP(AC93,'G-4 Temporal multipliers'!$A$4:$C$37,3,FALSE)),"")</f>
        <v/>
      </c>
      <c r="AE93" s="281" t="str">
        <f>IF(N93="","",VLOOKUP(N93,'G-7 WaterC'' Data'!$B$4:$G$8,5,FALSE))</f>
        <v/>
      </c>
      <c r="AF93" s="289" t="str">
        <f t="shared" si="15"/>
        <v/>
      </c>
      <c r="AG93" s="320" t="str">
        <f t="shared" si="16"/>
        <v/>
      </c>
      <c r="AH93" s="282" t="str">
        <f t="shared" si="10"/>
        <v/>
      </c>
      <c r="AI93" s="109"/>
      <c r="AJ93" s="282" t="str">
        <f>IF(AI93="","",IF(AND(AI93="N/A - Culvert",N93&lt;&gt;"Culvert"),"Not possible ▲",IF(VLOOKUP(AI93,'G-7 WaterC'' Data'!$AA$4:$AB$7,2,FALSE)=0,"Spatial Data Missing ⚠",VLOOKUP(AI93,'G-7 WaterC'' Data'!$AA$4:$AB$7,2,FALSE))))</f>
        <v/>
      </c>
      <c r="AK93" s="110"/>
      <c r="AL93" s="282" t="str">
        <f>IF(AK93="","",IF(AND(AK93="N/A - Culvert",N93&lt;&gt;"Culvert"),"Not possible ▲",IF(VLOOKUP(AK93,'G-7 WaterC'' Data'!$AD$4:$AE$14,2,FALSE)=0,"Spatial Data Missing ⚠",VLOOKUP(AK93,'G-7 WaterC'' Data'!$AD$4:$AE$14,2,FALSE))))</f>
        <v/>
      </c>
      <c r="AM93" s="323" t="str">
        <f t="shared" si="17"/>
        <v/>
      </c>
      <c r="AN93" s="105"/>
      <c r="AO93" s="119"/>
      <c r="AP93" s="108"/>
      <c r="AS93" s="30" t="str">
        <f>IF(B93="","",IF(ISNA(VLOOKUP($B93,'C-1 On-Site WaterC'' Baseline'!$C$8:$AD$257,17,FALSE)),"",(VLOOKUP($B93,'C-1 On-Site WaterC'' Baseline'!$C$8:$AD$257,17,FALSE))))</f>
        <v/>
      </c>
      <c r="AT93" s="30" t="str">
        <f>IF(B93="","",VLOOKUP($B93,'C-1 On-Site WaterC'' Baseline'!$C$9:$Z$257,12,FALSE))</f>
        <v/>
      </c>
      <c r="AU93" s="30" t="str">
        <f>IF(B93="","",VLOOKUP($B93,'C-1 On-Site WaterC'' Baseline'!$C$9:$Z$257,14,FALSE))</f>
        <v/>
      </c>
      <c r="AV93" s="30" t="str">
        <f>IFERROR(INDEX('G-7 WaterC'' Data'!$AZ$3:$AZ$7,MATCH(N93,'G-7 WaterC'' Data'!$AY$3:$AY$7,0)),"")</f>
        <v/>
      </c>
      <c r="AX93" s="30" t="str">
        <f>IF(B93="","",VLOOKUP($B93,'C-1 On-Site WaterC'' Baseline'!$C$9:$Y$257,22,FALSE))</f>
        <v/>
      </c>
      <c r="AY93" s="30" t="str">
        <f t="shared" si="18"/>
        <v/>
      </c>
      <c r="AZ93" s="30" t="str">
        <f>IF(B93="","",VLOOKUP($B93,'C-1 On-Site WaterC'' Baseline'!$C$9:$Y$257,21,FALSE))</f>
        <v/>
      </c>
      <c r="BA93" s="30" t="str">
        <f>IF(B93="","",VLOOKUP($B93,'C-1 On-Site WaterC'' Baseline'!$C$9:$Y$257,19,FALSE))</f>
        <v/>
      </c>
      <c r="BD93" s="30" t="str">
        <f t="shared" si="19"/>
        <v>No</v>
      </c>
    </row>
    <row r="94" spans="2:56" ht="13.8" x14ac:dyDescent="0.25">
      <c r="B94" s="311" t="str">
        <f>'C-1 On-Site WaterC'' Baseline'!AP92</f>
        <v/>
      </c>
      <c r="C94" s="301" t="str">
        <f>IF(B94="","",VLOOKUP($B94,'C-1 On-Site WaterC'' Baseline'!$C$9:$R$257,2,FALSE))</f>
        <v/>
      </c>
      <c r="D94" s="301" t="str">
        <f>IF(C94="","",VLOOKUP($B94,'C-1 On-Site WaterC'' Baseline'!$C$9:$R$257,3,FALSE))</f>
        <v/>
      </c>
      <c r="E94" s="301" t="str">
        <f>IF(D94="","",VLOOKUP($B94,'C-1 On-Site WaterC'' Baseline'!$C$9:$R$257,4,FALSE))</f>
        <v/>
      </c>
      <c r="F94" s="301" t="str">
        <f>IF(E94="","",VLOOKUP($B94,'C-1 On-Site WaterC'' Baseline'!$C$9:$R$257,5,FALSE))</f>
        <v/>
      </c>
      <c r="G94" s="301" t="str">
        <f>IF(F94="","",VLOOKUP($B94,'C-1 On-Site WaterC'' Baseline'!$C$9:$R$257,6,FALSE))</f>
        <v/>
      </c>
      <c r="H94" s="301" t="str">
        <f>IF(G94="","",VLOOKUP($B94,'C-1 On-Site WaterC'' Baseline'!$C$9:$R$257,7,FALSE))</f>
        <v/>
      </c>
      <c r="I94" s="301" t="str">
        <f>IF(H94="","",VLOOKUP($B94,'C-1 On-Site WaterC'' Baseline'!$C$9:$R$257,8,FALSE))</f>
        <v/>
      </c>
      <c r="J94" s="301" t="str">
        <f>IF(I94="","",VLOOKUP($B94,'C-1 On-Site WaterC'' Baseline'!$C$9:$R$257,9,FALSE))</f>
        <v/>
      </c>
      <c r="K94" s="301" t="str">
        <f>IF(J94="","",VLOOKUP($B94,'C-1 On-Site WaterC'' Baseline'!$C$9:$R$257,10,FALSE))</f>
        <v/>
      </c>
      <c r="L94" s="301" t="str">
        <f>IF(B94="","",VLOOKUP($B94,'C-1 On-Site WaterC'' Baseline'!$C$9:$R$257,15,FALSE))</f>
        <v/>
      </c>
      <c r="M94" s="305" t="str">
        <f>IF(L94="","",VLOOKUP($B94,'C-1 On-Site WaterC'' Baseline'!$C$9:$R$257,16,FALSE))</f>
        <v/>
      </c>
      <c r="N94" s="251"/>
      <c r="O94" s="281" t="str">
        <f t="shared" si="11"/>
        <v/>
      </c>
      <c r="P94" s="282" t="str">
        <f t="shared" si="12"/>
        <v/>
      </c>
      <c r="Q94" s="342" t="str">
        <f>IF(N94="","",VLOOKUP(B94,'C-1 On-Site WaterC'' Baseline'!$C$10:$AC$257,20,FALSE))</f>
        <v/>
      </c>
      <c r="R94" s="281" t="str">
        <f>IF(N94="","",VLOOKUP(N94,'G-7 WaterC'' Data'!$B$2:$G$8,2,FALSE))</f>
        <v/>
      </c>
      <c r="S94" s="282" t="str">
        <f>IFERROR(VLOOKUP(R94,'G-7 WaterC'' Data'!$C$4:$D$8,2,FALSE),"")</f>
        <v/>
      </c>
      <c r="T94" s="105"/>
      <c r="U94" s="282" t="str">
        <f>IFERROR(INDEX('G-7 WaterC'' Data'!$H$4:$L$8,MATCH(N94,'G-7 WaterC'' Data'!$B$4:$B$8,0),MATCH(T94,'G-7 WaterC'' Data'!$H$3:$L$3,0)),"")</f>
        <v/>
      </c>
      <c r="V94" s="105"/>
      <c r="W94" s="289" t="str">
        <f>IF(V94="","",IF(VLOOKUP(V94,'G-7 WaterC'' Data'!$AK$4:$AM$6,2,FALSE)=0,"Spatial Data Missing ⚠",VLOOKUP(V94,'G-7 WaterC'' Data'!$AK$4:$AM$6,2,FALSE)))</f>
        <v/>
      </c>
      <c r="X94" s="282" t="str">
        <f>IF(V94="","",IF(VLOOKUP(V94,'G-7 WaterC'' Data'!$AK$4:$AM$6,3,FALSE)=0,"Spatial Data Missing ⚠",VLOOKUP(V94,'G-7 WaterC'' Data'!$AK$4:$AM$6,3,FALSE)))</f>
        <v/>
      </c>
      <c r="Y94" s="281" t="str">
        <f>IFERROR(IF(OR(LEFT(P94,5)="Error",LEFT(O94,5)="Error"),"Check Data ⚠",IF(F94&lt;S94,'G-7 WaterC'' Data'!$R$3,INDEX('G-7 WaterC'' Data'!$U$5:$Y$9,MATCH(G94,'G-7 WaterC'' Data'!$T$5:$T$9,0),MATCH(T94,'G-7 WaterC'' Data'!$U$4:$Y$4,0)))),"")</f>
        <v/>
      </c>
      <c r="Z94" s="137"/>
      <c r="AA94" s="137"/>
      <c r="AB94" s="289" t="str">
        <f t="shared" si="13"/>
        <v/>
      </c>
      <c r="AC94" s="302" t="str">
        <f t="shared" si="14"/>
        <v/>
      </c>
      <c r="AD94" s="340" t="str">
        <f>IFERROR(IF(AC94="Check Data ⚠","Check Data ⚠",VLOOKUP(AC94,'G-4 Temporal multipliers'!$A$4:$C$37,3,FALSE)),"")</f>
        <v/>
      </c>
      <c r="AE94" s="281" t="str">
        <f>IF(N94="","",VLOOKUP(N94,'G-7 WaterC'' Data'!$B$4:$G$8,5,FALSE))</f>
        <v/>
      </c>
      <c r="AF94" s="289" t="str">
        <f t="shared" si="15"/>
        <v/>
      </c>
      <c r="AG94" s="320" t="str">
        <f t="shared" si="16"/>
        <v/>
      </c>
      <c r="AH94" s="282" t="str">
        <f t="shared" si="10"/>
        <v/>
      </c>
      <c r="AI94" s="109"/>
      <c r="AJ94" s="282" t="str">
        <f>IF(AI94="","",IF(AND(AI94="N/A - Culvert",N94&lt;&gt;"Culvert"),"Not possible ▲",IF(VLOOKUP(AI94,'G-7 WaterC'' Data'!$AA$4:$AB$7,2,FALSE)=0,"Spatial Data Missing ⚠",VLOOKUP(AI94,'G-7 WaterC'' Data'!$AA$4:$AB$7,2,FALSE))))</f>
        <v/>
      </c>
      <c r="AK94" s="110"/>
      <c r="AL94" s="282" t="str">
        <f>IF(AK94="","",IF(AND(AK94="N/A - Culvert",N94&lt;&gt;"Culvert"),"Not possible ▲",IF(VLOOKUP(AK94,'G-7 WaterC'' Data'!$AD$4:$AE$14,2,FALSE)=0,"Spatial Data Missing ⚠",VLOOKUP(AK94,'G-7 WaterC'' Data'!$AD$4:$AE$14,2,FALSE))))</f>
        <v/>
      </c>
      <c r="AM94" s="323" t="str">
        <f t="shared" si="17"/>
        <v/>
      </c>
      <c r="AN94" s="105"/>
      <c r="AO94" s="119"/>
      <c r="AP94" s="108"/>
      <c r="AS94" s="30" t="str">
        <f>IF(B94="","",IF(ISNA(VLOOKUP($B94,'C-1 On-Site WaterC'' Baseline'!$C$8:$AD$257,17,FALSE)),"",(VLOOKUP($B94,'C-1 On-Site WaterC'' Baseline'!$C$8:$AD$257,17,FALSE))))</f>
        <v/>
      </c>
      <c r="AT94" s="30" t="str">
        <f>IF(B94="","",VLOOKUP($B94,'C-1 On-Site WaterC'' Baseline'!$C$9:$Z$257,12,FALSE))</f>
        <v/>
      </c>
      <c r="AU94" s="30" t="str">
        <f>IF(B94="","",VLOOKUP($B94,'C-1 On-Site WaterC'' Baseline'!$C$9:$Z$257,14,FALSE))</f>
        <v/>
      </c>
      <c r="AV94" s="30" t="str">
        <f>IFERROR(INDEX('G-7 WaterC'' Data'!$AZ$3:$AZ$7,MATCH(N94,'G-7 WaterC'' Data'!$AY$3:$AY$7,0)),"")</f>
        <v/>
      </c>
      <c r="AX94" s="30" t="str">
        <f>IF(B94="","",VLOOKUP($B94,'C-1 On-Site WaterC'' Baseline'!$C$9:$Y$257,22,FALSE))</f>
        <v/>
      </c>
      <c r="AY94" s="30" t="str">
        <f t="shared" si="18"/>
        <v/>
      </c>
      <c r="AZ94" s="30" t="str">
        <f>IF(B94="","",VLOOKUP($B94,'C-1 On-Site WaterC'' Baseline'!$C$9:$Y$257,21,FALSE))</f>
        <v/>
      </c>
      <c r="BA94" s="30" t="str">
        <f>IF(B94="","",VLOOKUP($B94,'C-1 On-Site WaterC'' Baseline'!$C$9:$Y$257,19,FALSE))</f>
        <v/>
      </c>
      <c r="BD94" s="30" t="str">
        <f t="shared" si="19"/>
        <v>No</v>
      </c>
    </row>
    <row r="95" spans="2:56" ht="13.8" x14ac:dyDescent="0.25">
      <c r="B95" s="311" t="str">
        <f>'C-1 On-Site WaterC'' Baseline'!AP93</f>
        <v/>
      </c>
      <c r="C95" s="301" t="str">
        <f>IF(B95="","",VLOOKUP($B95,'C-1 On-Site WaterC'' Baseline'!$C$9:$R$257,2,FALSE))</f>
        <v/>
      </c>
      <c r="D95" s="301" t="str">
        <f>IF(C95="","",VLOOKUP($B95,'C-1 On-Site WaterC'' Baseline'!$C$9:$R$257,3,FALSE))</f>
        <v/>
      </c>
      <c r="E95" s="301" t="str">
        <f>IF(D95="","",VLOOKUP($B95,'C-1 On-Site WaterC'' Baseline'!$C$9:$R$257,4,FALSE))</f>
        <v/>
      </c>
      <c r="F95" s="301" t="str">
        <f>IF(E95="","",VLOOKUP($B95,'C-1 On-Site WaterC'' Baseline'!$C$9:$R$257,5,FALSE))</f>
        <v/>
      </c>
      <c r="G95" s="301" t="str">
        <f>IF(F95="","",VLOOKUP($B95,'C-1 On-Site WaterC'' Baseline'!$C$9:$R$257,6,FALSE))</f>
        <v/>
      </c>
      <c r="H95" s="301" t="str">
        <f>IF(G95="","",VLOOKUP($B95,'C-1 On-Site WaterC'' Baseline'!$C$9:$R$257,7,FALSE))</f>
        <v/>
      </c>
      <c r="I95" s="301" t="str">
        <f>IF(H95="","",VLOOKUP($B95,'C-1 On-Site WaterC'' Baseline'!$C$9:$R$257,8,FALSE))</f>
        <v/>
      </c>
      <c r="J95" s="301" t="str">
        <f>IF(I95="","",VLOOKUP($B95,'C-1 On-Site WaterC'' Baseline'!$C$9:$R$257,9,FALSE))</f>
        <v/>
      </c>
      <c r="K95" s="301" t="str">
        <f>IF(J95="","",VLOOKUP($B95,'C-1 On-Site WaterC'' Baseline'!$C$9:$R$257,10,FALSE))</f>
        <v/>
      </c>
      <c r="L95" s="301" t="str">
        <f>IF(B95="","",VLOOKUP($B95,'C-1 On-Site WaterC'' Baseline'!$C$9:$R$257,15,FALSE))</f>
        <v/>
      </c>
      <c r="M95" s="305" t="str">
        <f>IF(L95="","",VLOOKUP($B95,'C-1 On-Site WaterC'' Baseline'!$C$9:$R$257,16,FALSE))</f>
        <v/>
      </c>
      <c r="N95" s="251"/>
      <c r="O95" s="281" t="str">
        <f t="shared" si="11"/>
        <v/>
      </c>
      <c r="P95" s="282" t="str">
        <f t="shared" si="12"/>
        <v/>
      </c>
      <c r="Q95" s="342" t="str">
        <f>IF(N95="","",VLOOKUP(B95,'C-1 On-Site WaterC'' Baseline'!$C$10:$AC$257,20,FALSE))</f>
        <v/>
      </c>
      <c r="R95" s="281" t="str">
        <f>IF(N95="","",VLOOKUP(N95,'G-7 WaterC'' Data'!$B$2:$G$8,2,FALSE))</f>
        <v/>
      </c>
      <c r="S95" s="282" t="str">
        <f>IFERROR(VLOOKUP(R95,'G-7 WaterC'' Data'!$C$4:$D$8,2,FALSE),"")</f>
        <v/>
      </c>
      <c r="T95" s="105"/>
      <c r="U95" s="282" t="str">
        <f>IFERROR(INDEX('G-7 WaterC'' Data'!$H$4:$L$8,MATCH(N95,'G-7 WaterC'' Data'!$B$4:$B$8,0),MATCH(T95,'G-7 WaterC'' Data'!$H$3:$L$3,0)),"")</f>
        <v/>
      </c>
      <c r="V95" s="105"/>
      <c r="W95" s="289" t="str">
        <f>IF(V95="","",IF(VLOOKUP(V95,'G-7 WaterC'' Data'!$AK$4:$AM$6,2,FALSE)=0,"Spatial Data Missing ⚠",VLOOKUP(V95,'G-7 WaterC'' Data'!$AK$4:$AM$6,2,FALSE)))</f>
        <v/>
      </c>
      <c r="X95" s="282" t="str">
        <f>IF(V95="","",IF(VLOOKUP(V95,'G-7 WaterC'' Data'!$AK$4:$AM$6,3,FALSE)=0,"Spatial Data Missing ⚠",VLOOKUP(V95,'G-7 WaterC'' Data'!$AK$4:$AM$6,3,FALSE)))</f>
        <v/>
      </c>
      <c r="Y95" s="281" t="str">
        <f>IFERROR(IF(OR(LEFT(P95,5)="Error",LEFT(O95,5)="Error"),"Check Data ⚠",IF(F95&lt;S95,'G-7 WaterC'' Data'!$R$3,INDEX('G-7 WaterC'' Data'!$U$5:$Y$9,MATCH(G95,'G-7 WaterC'' Data'!$T$5:$T$9,0),MATCH(T95,'G-7 WaterC'' Data'!$U$4:$Y$4,0)))),"")</f>
        <v/>
      </c>
      <c r="Z95" s="137"/>
      <c r="AA95" s="137"/>
      <c r="AB95" s="289" t="str">
        <f t="shared" si="13"/>
        <v/>
      </c>
      <c r="AC95" s="302" t="str">
        <f t="shared" si="14"/>
        <v/>
      </c>
      <c r="AD95" s="340" t="str">
        <f>IFERROR(IF(AC95="Check Data ⚠","Check Data ⚠",VLOOKUP(AC95,'G-4 Temporal multipliers'!$A$4:$C$37,3,FALSE)),"")</f>
        <v/>
      </c>
      <c r="AE95" s="281" t="str">
        <f>IF(N95="","",VLOOKUP(N95,'G-7 WaterC'' Data'!$B$4:$G$8,5,FALSE))</f>
        <v/>
      </c>
      <c r="AF95" s="289" t="str">
        <f t="shared" si="15"/>
        <v/>
      </c>
      <c r="AG95" s="320" t="str">
        <f t="shared" si="16"/>
        <v/>
      </c>
      <c r="AH95" s="282" t="str">
        <f t="shared" si="10"/>
        <v/>
      </c>
      <c r="AI95" s="109"/>
      <c r="AJ95" s="282" t="str">
        <f>IF(AI95="","",IF(AND(AI95="N/A - Culvert",N95&lt;&gt;"Culvert"),"Not possible ▲",IF(VLOOKUP(AI95,'G-7 WaterC'' Data'!$AA$4:$AB$7,2,FALSE)=0,"Spatial Data Missing ⚠",VLOOKUP(AI95,'G-7 WaterC'' Data'!$AA$4:$AB$7,2,FALSE))))</f>
        <v/>
      </c>
      <c r="AK95" s="110"/>
      <c r="AL95" s="282" t="str">
        <f>IF(AK95="","",IF(AND(AK95="N/A - Culvert",N95&lt;&gt;"Culvert"),"Not possible ▲",IF(VLOOKUP(AK95,'G-7 WaterC'' Data'!$AD$4:$AE$14,2,FALSE)=0,"Spatial Data Missing ⚠",VLOOKUP(AK95,'G-7 WaterC'' Data'!$AD$4:$AE$14,2,FALSE))))</f>
        <v/>
      </c>
      <c r="AM95" s="323" t="str">
        <f t="shared" si="17"/>
        <v/>
      </c>
      <c r="AN95" s="105"/>
      <c r="AO95" s="119"/>
      <c r="AP95" s="108"/>
      <c r="AS95" s="30" t="str">
        <f>IF(B95="","",IF(ISNA(VLOOKUP($B95,'C-1 On-Site WaterC'' Baseline'!$C$8:$AD$257,17,FALSE)),"",(VLOOKUP($B95,'C-1 On-Site WaterC'' Baseline'!$C$8:$AD$257,17,FALSE))))</f>
        <v/>
      </c>
      <c r="AT95" s="30" t="str">
        <f>IF(B95="","",VLOOKUP($B95,'C-1 On-Site WaterC'' Baseline'!$C$9:$Z$257,12,FALSE))</f>
        <v/>
      </c>
      <c r="AU95" s="30" t="str">
        <f>IF(B95="","",VLOOKUP($B95,'C-1 On-Site WaterC'' Baseline'!$C$9:$Z$257,14,FALSE))</f>
        <v/>
      </c>
      <c r="AV95" s="30" t="str">
        <f>IFERROR(INDEX('G-7 WaterC'' Data'!$AZ$3:$AZ$7,MATCH(N95,'G-7 WaterC'' Data'!$AY$3:$AY$7,0)),"")</f>
        <v/>
      </c>
      <c r="AX95" s="30" t="str">
        <f>IF(B95="","",VLOOKUP($B95,'C-1 On-Site WaterC'' Baseline'!$C$9:$Y$257,22,FALSE))</f>
        <v/>
      </c>
      <c r="AY95" s="30" t="str">
        <f t="shared" si="18"/>
        <v/>
      </c>
      <c r="AZ95" s="30" t="str">
        <f>IF(B95="","",VLOOKUP($B95,'C-1 On-Site WaterC'' Baseline'!$C$9:$Y$257,21,FALSE))</f>
        <v/>
      </c>
      <c r="BA95" s="30" t="str">
        <f>IF(B95="","",VLOOKUP($B95,'C-1 On-Site WaterC'' Baseline'!$C$9:$Y$257,19,FALSE))</f>
        <v/>
      </c>
      <c r="BD95" s="30" t="str">
        <f t="shared" si="19"/>
        <v>No</v>
      </c>
    </row>
    <row r="96" spans="2:56" ht="13.8" x14ac:dyDescent="0.25">
      <c r="B96" s="311" t="str">
        <f>'C-1 On-Site WaterC'' Baseline'!AP94</f>
        <v/>
      </c>
      <c r="C96" s="301" t="str">
        <f>IF(B96="","",VLOOKUP($B96,'C-1 On-Site WaterC'' Baseline'!$C$9:$R$257,2,FALSE))</f>
        <v/>
      </c>
      <c r="D96" s="301" t="str">
        <f>IF(C96="","",VLOOKUP($B96,'C-1 On-Site WaterC'' Baseline'!$C$9:$R$257,3,FALSE))</f>
        <v/>
      </c>
      <c r="E96" s="301" t="str">
        <f>IF(D96="","",VLOOKUP($B96,'C-1 On-Site WaterC'' Baseline'!$C$9:$R$257,4,FALSE))</f>
        <v/>
      </c>
      <c r="F96" s="301" t="str">
        <f>IF(E96="","",VLOOKUP($B96,'C-1 On-Site WaterC'' Baseline'!$C$9:$R$257,5,FALSE))</f>
        <v/>
      </c>
      <c r="G96" s="301" t="str">
        <f>IF(F96="","",VLOOKUP($B96,'C-1 On-Site WaterC'' Baseline'!$C$9:$R$257,6,FALSE))</f>
        <v/>
      </c>
      <c r="H96" s="301" t="str">
        <f>IF(G96="","",VLOOKUP($B96,'C-1 On-Site WaterC'' Baseline'!$C$9:$R$257,7,FALSE))</f>
        <v/>
      </c>
      <c r="I96" s="301" t="str">
        <f>IF(H96="","",VLOOKUP($B96,'C-1 On-Site WaterC'' Baseline'!$C$9:$R$257,8,FALSE))</f>
        <v/>
      </c>
      <c r="J96" s="301" t="str">
        <f>IF(I96="","",VLOOKUP($B96,'C-1 On-Site WaterC'' Baseline'!$C$9:$R$257,9,FALSE))</f>
        <v/>
      </c>
      <c r="K96" s="301" t="str">
        <f>IF(J96="","",VLOOKUP($B96,'C-1 On-Site WaterC'' Baseline'!$C$9:$R$257,10,FALSE))</f>
        <v/>
      </c>
      <c r="L96" s="301" t="str">
        <f>IF(B96="","",VLOOKUP($B96,'C-1 On-Site WaterC'' Baseline'!$C$9:$R$257,15,FALSE))</f>
        <v/>
      </c>
      <c r="M96" s="305" t="str">
        <f>IF(L96="","",VLOOKUP($B96,'C-1 On-Site WaterC'' Baseline'!$C$9:$R$257,16,FALSE))</f>
        <v/>
      </c>
      <c r="N96" s="251"/>
      <c r="O96" s="281" t="str">
        <f t="shared" si="11"/>
        <v/>
      </c>
      <c r="P96" s="282" t="str">
        <f t="shared" si="12"/>
        <v/>
      </c>
      <c r="Q96" s="342" t="str">
        <f>IF(N96="","",VLOOKUP(B96,'C-1 On-Site WaterC'' Baseline'!$C$10:$AC$257,20,FALSE))</f>
        <v/>
      </c>
      <c r="R96" s="281" t="str">
        <f>IF(N96="","",VLOOKUP(N96,'G-7 WaterC'' Data'!$B$2:$G$8,2,FALSE))</f>
        <v/>
      </c>
      <c r="S96" s="282" t="str">
        <f>IFERROR(VLOOKUP(R96,'G-7 WaterC'' Data'!$C$4:$D$8,2,FALSE),"")</f>
        <v/>
      </c>
      <c r="T96" s="105"/>
      <c r="U96" s="282" t="str">
        <f>IFERROR(INDEX('G-7 WaterC'' Data'!$H$4:$L$8,MATCH(N96,'G-7 WaterC'' Data'!$B$4:$B$8,0),MATCH(T96,'G-7 WaterC'' Data'!$H$3:$L$3,0)),"")</f>
        <v/>
      </c>
      <c r="V96" s="105"/>
      <c r="W96" s="289" t="str">
        <f>IF(V96="","",IF(VLOOKUP(V96,'G-7 WaterC'' Data'!$AK$4:$AM$6,2,FALSE)=0,"Spatial Data Missing ⚠",VLOOKUP(V96,'G-7 WaterC'' Data'!$AK$4:$AM$6,2,FALSE)))</f>
        <v/>
      </c>
      <c r="X96" s="282" t="str">
        <f>IF(V96="","",IF(VLOOKUP(V96,'G-7 WaterC'' Data'!$AK$4:$AM$6,3,FALSE)=0,"Spatial Data Missing ⚠",VLOOKUP(V96,'G-7 WaterC'' Data'!$AK$4:$AM$6,3,FALSE)))</f>
        <v/>
      </c>
      <c r="Y96" s="281" t="str">
        <f>IFERROR(IF(OR(LEFT(P96,5)="Error",LEFT(O96,5)="Error"),"Check Data ⚠",IF(F96&lt;S96,'G-7 WaterC'' Data'!$R$3,INDEX('G-7 WaterC'' Data'!$U$5:$Y$9,MATCH(G96,'G-7 WaterC'' Data'!$T$5:$T$9,0),MATCH(T96,'G-7 WaterC'' Data'!$U$4:$Y$4,0)))),"")</f>
        <v/>
      </c>
      <c r="Z96" s="137"/>
      <c r="AA96" s="137"/>
      <c r="AB96" s="289" t="str">
        <f t="shared" si="13"/>
        <v/>
      </c>
      <c r="AC96" s="302" t="str">
        <f t="shared" si="14"/>
        <v/>
      </c>
      <c r="AD96" s="340" t="str">
        <f>IFERROR(IF(AC96="Check Data ⚠","Check Data ⚠",VLOOKUP(AC96,'G-4 Temporal multipliers'!$A$4:$C$37,3,FALSE)),"")</f>
        <v/>
      </c>
      <c r="AE96" s="281" t="str">
        <f>IF(N96="","",VLOOKUP(N96,'G-7 WaterC'' Data'!$B$4:$G$8,5,FALSE))</f>
        <v/>
      </c>
      <c r="AF96" s="289" t="str">
        <f t="shared" si="15"/>
        <v/>
      </c>
      <c r="AG96" s="320" t="str">
        <f t="shared" si="16"/>
        <v/>
      </c>
      <c r="AH96" s="282" t="str">
        <f t="shared" si="10"/>
        <v/>
      </c>
      <c r="AI96" s="109"/>
      <c r="AJ96" s="282" t="str">
        <f>IF(AI96="","",IF(AND(AI96="N/A - Culvert",N96&lt;&gt;"Culvert"),"Not possible ▲",IF(VLOOKUP(AI96,'G-7 WaterC'' Data'!$AA$4:$AB$7,2,FALSE)=0,"Spatial Data Missing ⚠",VLOOKUP(AI96,'G-7 WaterC'' Data'!$AA$4:$AB$7,2,FALSE))))</f>
        <v/>
      </c>
      <c r="AK96" s="110"/>
      <c r="AL96" s="282" t="str">
        <f>IF(AK96="","",IF(AND(AK96="N/A - Culvert",N96&lt;&gt;"Culvert"),"Not possible ▲",IF(VLOOKUP(AK96,'G-7 WaterC'' Data'!$AD$4:$AE$14,2,FALSE)=0,"Spatial Data Missing ⚠",VLOOKUP(AK96,'G-7 WaterC'' Data'!$AD$4:$AE$14,2,FALSE))))</f>
        <v/>
      </c>
      <c r="AM96" s="323" t="str">
        <f t="shared" si="17"/>
        <v/>
      </c>
      <c r="AN96" s="105"/>
      <c r="AO96" s="119"/>
      <c r="AP96" s="108"/>
      <c r="AS96" s="30" t="str">
        <f>IF(B96="","",IF(ISNA(VLOOKUP($B96,'C-1 On-Site WaterC'' Baseline'!$C$8:$AD$257,17,FALSE)),"",(VLOOKUP($B96,'C-1 On-Site WaterC'' Baseline'!$C$8:$AD$257,17,FALSE))))</f>
        <v/>
      </c>
      <c r="AT96" s="30" t="str">
        <f>IF(B96="","",VLOOKUP($B96,'C-1 On-Site WaterC'' Baseline'!$C$9:$Z$257,12,FALSE))</f>
        <v/>
      </c>
      <c r="AU96" s="30" t="str">
        <f>IF(B96="","",VLOOKUP($B96,'C-1 On-Site WaterC'' Baseline'!$C$9:$Z$257,14,FALSE))</f>
        <v/>
      </c>
      <c r="AV96" s="30" t="str">
        <f>IFERROR(INDEX('G-7 WaterC'' Data'!$AZ$3:$AZ$7,MATCH(N96,'G-7 WaterC'' Data'!$AY$3:$AY$7,0)),"")</f>
        <v/>
      </c>
      <c r="AX96" s="30" t="str">
        <f>IF(B96="","",VLOOKUP($B96,'C-1 On-Site WaterC'' Baseline'!$C$9:$Y$257,22,FALSE))</f>
        <v/>
      </c>
      <c r="AY96" s="30" t="str">
        <f t="shared" si="18"/>
        <v/>
      </c>
      <c r="AZ96" s="30" t="str">
        <f>IF(B96="","",VLOOKUP($B96,'C-1 On-Site WaterC'' Baseline'!$C$9:$Y$257,21,FALSE))</f>
        <v/>
      </c>
      <c r="BA96" s="30" t="str">
        <f>IF(B96="","",VLOOKUP($B96,'C-1 On-Site WaterC'' Baseline'!$C$9:$Y$257,19,FALSE))</f>
        <v/>
      </c>
      <c r="BD96" s="30" t="str">
        <f t="shared" si="19"/>
        <v>No</v>
      </c>
    </row>
    <row r="97" spans="2:56" ht="13.8" x14ac:dyDescent="0.25">
      <c r="B97" s="311" t="str">
        <f>'C-1 On-Site WaterC'' Baseline'!AP95</f>
        <v/>
      </c>
      <c r="C97" s="301" t="str">
        <f>IF(B97="","",VLOOKUP($B97,'C-1 On-Site WaterC'' Baseline'!$C$9:$R$257,2,FALSE))</f>
        <v/>
      </c>
      <c r="D97" s="301" t="str">
        <f>IF(C97="","",VLOOKUP($B97,'C-1 On-Site WaterC'' Baseline'!$C$9:$R$257,3,FALSE))</f>
        <v/>
      </c>
      <c r="E97" s="301" t="str">
        <f>IF(D97="","",VLOOKUP($B97,'C-1 On-Site WaterC'' Baseline'!$C$9:$R$257,4,FALSE))</f>
        <v/>
      </c>
      <c r="F97" s="301" t="str">
        <f>IF(E97="","",VLOOKUP($B97,'C-1 On-Site WaterC'' Baseline'!$C$9:$R$257,5,FALSE))</f>
        <v/>
      </c>
      <c r="G97" s="301" t="str">
        <f>IF(F97="","",VLOOKUP($B97,'C-1 On-Site WaterC'' Baseline'!$C$9:$R$257,6,FALSE))</f>
        <v/>
      </c>
      <c r="H97" s="301" t="str">
        <f>IF(G97="","",VLOOKUP($B97,'C-1 On-Site WaterC'' Baseline'!$C$9:$R$257,7,FALSE))</f>
        <v/>
      </c>
      <c r="I97" s="301" t="str">
        <f>IF(H97="","",VLOOKUP($B97,'C-1 On-Site WaterC'' Baseline'!$C$9:$R$257,8,FALSE))</f>
        <v/>
      </c>
      <c r="J97" s="301" t="str">
        <f>IF(I97="","",VLOOKUP($B97,'C-1 On-Site WaterC'' Baseline'!$C$9:$R$257,9,FALSE))</f>
        <v/>
      </c>
      <c r="K97" s="301" t="str">
        <f>IF(J97="","",VLOOKUP($B97,'C-1 On-Site WaterC'' Baseline'!$C$9:$R$257,10,FALSE))</f>
        <v/>
      </c>
      <c r="L97" s="301" t="str">
        <f>IF(B97="","",VLOOKUP($B97,'C-1 On-Site WaterC'' Baseline'!$C$9:$R$257,15,FALSE))</f>
        <v/>
      </c>
      <c r="M97" s="305" t="str">
        <f>IF(L97="","",VLOOKUP($B97,'C-1 On-Site WaterC'' Baseline'!$C$9:$R$257,16,FALSE))</f>
        <v/>
      </c>
      <c r="N97" s="251"/>
      <c r="O97" s="281" t="str">
        <f t="shared" si="11"/>
        <v/>
      </c>
      <c r="P97" s="282" t="str">
        <f t="shared" si="12"/>
        <v/>
      </c>
      <c r="Q97" s="342" t="str">
        <f>IF(N97="","",VLOOKUP(B97,'C-1 On-Site WaterC'' Baseline'!$C$10:$AC$257,20,FALSE))</f>
        <v/>
      </c>
      <c r="R97" s="281" t="str">
        <f>IF(N97="","",VLOOKUP(N97,'G-7 WaterC'' Data'!$B$2:$G$8,2,FALSE))</f>
        <v/>
      </c>
      <c r="S97" s="282" t="str">
        <f>IFERROR(VLOOKUP(R97,'G-7 WaterC'' Data'!$C$4:$D$8,2,FALSE),"")</f>
        <v/>
      </c>
      <c r="T97" s="105"/>
      <c r="U97" s="282" t="str">
        <f>IFERROR(INDEX('G-7 WaterC'' Data'!$H$4:$L$8,MATCH(N97,'G-7 WaterC'' Data'!$B$4:$B$8,0),MATCH(T97,'G-7 WaterC'' Data'!$H$3:$L$3,0)),"")</f>
        <v/>
      </c>
      <c r="V97" s="105"/>
      <c r="W97" s="289" t="str">
        <f>IF(V97="","",IF(VLOOKUP(V97,'G-7 WaterC'' Data'!$AK$4:$AM$6,2,FALSE)=0,"Spatial Data Missing ⚠",VLOOKUP(V97,'G-7 WaterC'' Data'!$AK$4:$AM$6,2,FALSE)))</f>
        <v/>
      </c>
      <c r="X97" s="282" t="str">
        <f>IF(V97="","",IF(VLOOKUP(V97,'G-7 WaterC'' Data'!$AK$4:$AM$6,3,FALSE)=0,"Spatial Data Missing ⚠",VLOOKUP(V97,'G-7 WaterC'' Data'!$AK$4:$AM$6,3,FALSE)))</f>
        <v/>
      </c>
      <c r="Y97" s="281" t="str">
        <f>IFERROR(IF(OR(LEFT(P97,5)="Error",LEFT(O97,5)="Error"),"Check Data ⚠",IF(F97&lt;S97,'G-7 WaterC'' Data'!$R$3,INDEX('G-7 WaterC'' Data'!$U$5:$Y$9,MATCH(G97,'G-7 WaterC'' Data'!$T$5:$T$9,0),MATCH(T97,'G-7 WaterC'' Data'!$U$4:$Y$4,0)))),"")</f>
        <v/>
      </c>
      <c r="Z97" s="137"/>
      <c r="AA97" s="137"/>
      <c r="AB97" s="289" t="str">
        <f t="shared" si="13"/>
        <v/>
      </c>
      <c r="AC97" s="302" t="str">
        <f t="shared" si="14"/>
        <v/>
      </c>
      <c r="AD97" s="340" t="str">
        <f>IFERROR(IF(AC97="Check Data ⚠","Check Data ⚠",VLOOKUP(AC97,'G-4 Temporal multipliers'!$A$4:$C$37,3,FALSE)),"")</f>
        <v/>
      </c>
      <c r="AE97" s="281" t="str">
        <f>IF(N97="","",VLOOKUP(N97,'G-7 WaterC'' Data'!$B$4:$G$8,5,FALSE))</f>
        <v/>
      </c>
      <c r="AF97" s="289" t="str">
        <f t="shared" si="15"/>
        <v/>
      </c>
      <c r="AG97" s="320" t="str">
        <f t="shared" si="16"/>
        <v/>
      </c>
      <c r="AH97" s="282" t="str">
        <f t="shared" si="10"/>
        <v/>
      </c>
      <c r="AI97" s="109"/>
      <c r="AJ97" s="282" t="str">
        <f>IF(AI97="","",IF(AND(AI97="N/A - Culvert",N97&lt;&gt;"Culvert"),"Not possible ▲",IF(VLOOKUP(AI97,'G-7 WaterC'' Data'!$AA$4:$AB$7,2,FALSE)=0,"Spatial Data Missing ⚠",VLOOKUP(AI97,'G-7 WaterC'' Data'!$AA$4:$AB$7,2,FALSE))))</f>
        <v/>
      </c>
      <c r="AK97" s="110"/>
      <c r="AL97" s="282" t="str">
        <f>IF(AK97="","",IF(AND(AK97="N/A - Culvert",N97&lt;&gt;"Culvert"),"Not possible ▲",IF(VLOOKUP(AK97,'G-7 WaterC'' Data'!$AD$4:$AE$14,2,FALSE)=0,"Spatial Data Missing ⚠",VLOOKUP(AK97,'G-7 WaterC'' Data'!$AD$4:$AE$14,2,FALSE))))</f>
        <v/>
      </c>
      <c r="AM97" s="323" t="str">
        <f t="shared" si="17"/>
        <v/>
      </c>
      <c r="AN97" s="105"/>
      <c r="AO97" s="119"/>
      <c r="AP97" s="108"/>
      <c r="AS97" s="30" t="str">
        <f>IF(B97="","",IF(ISNA(VLOOKUP($B97,'C-1 On-Site WaterC'' Baseline'!$C$8:$AD$257,17,FALSE)),"",(VLOOKUP($B97,'C-1 On-Site WaterC'' Baseline'!$C$8:$AD$257,17,FALSE))))</f>
        <v/>
      </c>
      <c r="AT97" s="30" t="str">
        <f>IF(B97="","",VLOOKUP($B97,'C-1 On-Site WaterC'' Baseline'!$C$9:$Z$257,12,FALSE))</f>
        <v/>
      </c>
      <c r="AU97" s="30" t="str">
        <f>IF(B97="","",VLOOKUP($B97,'C-1 On-Site WaterC'' Baseline'!$C$9:$Z$257,14,FALSE))</f>
        <v/>
      </c>
      <c r="AV97" s="30" t="str">
        <f>IFERROR(INDEX('G-7 WaterC'' Data'!$AZ$3:$AZ$7,MATCH(N97,'G-7 WaterC'' Data'!$AY$3:$AY$7,0)),"")</f>
        <v/>
      </c>
      <c r="AX97" s="30" t="str">
        <f>IF(B97="","",VLOOKUP($B97,'C-1 On-Site WaterC'' Baseline'!$C$9:$Y$257,22,FALSE))</f>
        <v/>
      </c>
      <c r="AY97" s="30" t="str">
        <f t="shared" si="18"/>
        <v/>
      </c>
      <c r="AZ97" s="30" t="str">
        <f>IF(B97="","",VLOOKUP($B97,'C-1 On-Site WaterC'' Baseline'!$C$9:$Y$257,21,FALSE))</f>
        <v/>
      </c>
      <c r="BA97" s="30" t="str">
        <f>IF(B97="","",VLOOKUP($B97,'C-1 On-Site WaterC'' Baseline'!$C$9:$Y$257,19,FALSE))</f>
        <v/>
      </c>
      <c r="BD97" s="30" t="str">
        <f t="shared" si="19"/>
        <v>No</v>
      </c>
    </row>
    <row r="98" spans="2:56" ht="13.8" x14ac:dyDescent="0.25">
      <c r="B98" s="311" t="str">
        <f>'C-1 On-Site WaterC'' Baseline'!AP96</f>
        <v/>
      </c>
      <c r="C98" s="301" t="str">
        <f>IF(B98="","",VLOOKUP($B98,'C-1 On-Site WaterC'' Baseline'!$C$9:$R$257,2,FALSE))</f>
        <v/>
      </c>
      <c r="D98" s="301" t="str">
        <f>IF(C98="","",VLOOKUP($B98,'C-1 On-Site WaterC'' Baseline'!$C$9:$R$257,3,FALSE))</f>
        <v/>
      </c>
      <c r="E98" s="301" t="str">
        <f>IF(D98="","",VLOOKUP($B98,'C-1 On-Site WaterC'' Baseline'!$C$9:$R$257,4,FALSE))</f>
        <v/>
      </c>
      <c r="F98" s="301" t="str">
        <f>IF(E98="","",VLOOKUP($B98,'C-1 On-Site WaterC'' Baseline'!$C$9:$R$257,5,FALSE))</f>
        <v/>
      </c>
      <c r="G98" s="301" t="str">
        <f>IF(F98="","",VLOOKUP($B98,'C-1 On-Site WaterC'' Baseline'!$C$9:$R$257,6,FALSE))</f>
        <v/>
      </c>
      <c r="H98" s="301" t="str">
        <f>IF(G98="","",VLOOKUP($B98,'C-1 On-Site WaterC'' Baseline'!$C$9:$R$257,7,FALSE))</f>
        <v/>
      </c>
      <c r="I98" s="301" t="str">
        <f>IF(H98="","",VLOOKUP($B98,'C-1 On-Site WaterC'' Baseline'!$C$9:$R$257,8,FALSE))</f>
        <v/>
      </c>
      <c r="J98" s="301" t="str">
        <f>IF(I98="","",VLOOKUP($B98,'C-1 On-Site WaterC'' Baseline'!$C$9:$R$257,9,FALSE))</f>
        <v/>
      </c>
      <c r="K98" s="301" t="str">
        <f>IF(J98="","",VLOOKUP($B98,'C-1 On-Site WaterC'' Baseline'!$C$9:$R$257,10,FALSE))</f>
        <v/>
      </c>
      <c r="L98" s="301" t="str">
        <f>IF(B98="","",VLOOKUP($B98,'C-1 On-Site WaterC'' Baseline'!$C$9:$R$257,15,FALSE))</f>
        <v/>
      </c>
      <c r="M98" s="305" t="str">
        <f>IF(L98="","",VLOOKUP($B98,'C-1 On-Site WaterC'' Baseline'!$C$9:$R$257,16,FALSE))</f>
        <v/>
      </c>
      <c r="N98" s="251"/>
      <c r="O98" s="281" t="str">
        <f t="shared" si="11"/>
        <v/>
      </c>
      <c r="P98" s="282" t="str">
        <f t="shared" si="12"/>
        <v/>
      </c>
      <c r="Q98" s="342" t="str">
        <f>IF(N98="","",VLOOKUP(B98,'C-1 On-Site WaterC'' Baseline'!$C$10:$AC$257,20,FALSE))</f>
        <v/>
      </c>
      <c r="R98" s="281" t="str">
        <f>IF(N98="","",VLOOKUP(N98,'G-7 WaterC'' Data'!$B$2:$G$8,2,FALSE))</f>
        <v/>
      </c>
      <c r="S98" s="282" t="str">
        <f>IFERROR(VLOOKUP(R98,'G-7 WaterC'' Data'!$C$4:$D$8,2,FALSE),"")</f>
        <v/>
      </c>
      <c r="T98" s="105"/>
      <c r="U98" s="282" t="str">
        <f>IFERROR(INDEX('G-7 WaterC'' Data'!$H$4:$L$8,MATCH(N98,'G-7 WaterC'' Data'!$B$4:$B$8,0),MATCH(T98,'G-7 WaterC'' Data'!$H$3:$L$3,0)),"")</f>
        <v/>
      </c>
      <c r="V98" s="105"/>
      <c r="W98" s="289" t="str">
        <f>IF(V98="","",IF(VLOOKUP(V98,'G-7 WaterC'' Data'!$AK$4:$AM$6,2,FALSE)=0,"Spatial Data Missing ⚠",VLOOKUP(V98,'G-7 WaterC'' Data'!$AK$4:$AM$6,2,FALSE)))</f>
        <v/>
      </c>
      <c r="X98" s="282" t="str">
        <f>IF(V98="","",IF(VLOOKUP(V98,'G-7 WaterC'' Data'!$AK$4:$AM$6,3,FALSE)=0,"Spatial Data Missing ⚠",VLOOKUP(V98,'G-7 WaterC'' Data'!$AK$4:$AM$6,3,FALSE)))</f>
        <v/>
      </c>
      <c r="Y98" s="281" t="str">
        <f>IFERROR(IF(OR(LEFT(P98,5)="Error",LEFT(O98,5)="Error"),"Check Data ⚠",IF(F98&lt;S98,'G-7 WaterC'' Data'!$R$3,INDEX('G-7 WaterC'' Data'!$U$5:$Y$9,MATCH(G98,'G-7 WaterC'' Data'!$T$5:$T$9,0),MATCH(T98,'G-7 WaterC'' Data'!$U$4:$Y$4,0)))),"")</f>
        <v/>
      </c>
      <c r="Z98" s="137"/>
      <c r="AA98" s="137"/>
      <c r="AB98" s="289" t="str">
        <f t="shared" si="13"/>
        <v/>
      </c>
      <c r="AC98" s="302" t="str">
        <f t="shared" si="14"/>
        <v/>
      </c>
      <c r="AD98" s="340" t="str">
        <f>IFERROR(IF(AC98="Check Data ⚠","Check Data ⚠",VLOOKUP(AC98,'G-4 Temporal multipliers'!$A$4:$C$37,3,FALSE)),"")</f>
        <v/>
      </c>
      <c r="AE98" s="281" t="str">
        <f>IF(N98="","",VLOOKUP(N98,'G-7 WaterC'' Data'!$B$4:$G$8,5,FALSE))</f>
        <v/>
      </c>
      <c r="AF98" s="289" t="str">
        <f t="shared" si="15"/>
        <v/>
      </c>
      <c r="AG98" s="320" t="str">
        <f t="shared" si="16"/>
        <v/>
      </c>
      <c r="AH98" s="282" t="str">
        <f t="shared" si="10"/>
        <v/>
      </c>
      <c r="AI98" s="109"/>
      <c r="AJ98" s="282" t="str">
        <f>IF(AI98="","",IF(AND(AI98="N/A - Culvert",N98&lt;&gt;"Culvert"),"Not possible ▲",IF(VLOOKUP(AI98,'G-7 WaterC'' Data'!$AA$4:$AB$7,2,FALSE)=0,"Spatial Data Missing ⚠",VLOOKUP(AI98,'G-7 WaterC'' Data'!$AA$4:$AB$7,2,FALSE))))</f>
        <v/>
      </c>
      <c r="AK98" s="110"/>
      <c r="AL98" s="282" t="str">
        <f>IF(AK98="","",IF(AND(AK98="N/A - Culvert",N98&lt;&gt;"Culvert"),"Not possible ▲",IF(VLOOKUP(AK98,'G-7 WaterC'' Data'!$AD$4:$AE$14,2,FALSE)=0,"Spatial Data Missing ⚠",VLOOKUP(AK98,'G-7 WaterC'' Data'!$AD$4:$AE$14,2,FALSE))))</f>
        <v/>
      </c>
      <c r="AM98" s="323" t="str">
        <f t="shared" si="17"/>
        <v/>
      </c>
      <c r="AN98" s="105"/>
      <c r="AO98" s="119"/>
      <c r="AP98" s="108"/>
      <c r="AS98" s="30" t="str">
        <f>IF(B98="","",IF(ISNA(VLOOKUP($B98,'C-1 On-Site WaterC'' Baseline'!$C$8:$AD$257,17,FALSE)),"",(VLOOKUP($B98,'C-1 On-Site WaterC'' Baseline'!$C$8:$AD$257,17,FALSE))))</f>
        <v/>
      </c>
      <c r="AT98" s="30" t="str">
        <f>IF(B98="","",VLOOKUP($B98,'C-1 On-Site WaterC'' Baseline'!$C$9:$Z$257,12,FALSE))</f>
        <v/>
      </c>
      <c r="AU98" s="30" t="str">
        <f>IF(B98="","",VLOOKUP($B98,'C-1 On-Site WaterC'' Baseline'!$C$9:$Z$257,14,FALSE))</f>
        <v/>
      </c>
      <c r="AV98" s="30" t="str">
        <f>IFERROR(INDEX('G-7 WaterC'' Data'!$AZ$3:$AZ$7,MATCH(N98,'G-7 WaterC'' Data'!$AY$3:$AY$7,0)),"")</f>
        <v/>
      </c>
      <c r="AX98" s="30" t="str">
        <f>IF(B98="","",VLOOKUP($B98,'C-1 On-Site WaterC'' Baseline'!$C$9:$Y$257,22,FALSE))</f>
        <v/>
      </c>
      <c r="AY98" s="30" t="str">
        <f t="shared" si="18"/>
        <v/>
      </c>
      <c r="AZ98" s="30" t="str">
        <f>IF(B98="","",VLOOKUP($B98,'C-1 On-Site WaterC'' Baseline'!$C$9:$Y$257,21,FALSE))</f>
        <v/>
      </c>
      <c r="BA98" s="30" t="str">
        <f>IF(B98="","",VLOOKUP($B98,'C-1 On-Site WaterC'' Baseline'!$C$9:$Y$257,19,FALSE))</f>
        <v/>
      </c>
      <c r="BD98" s="30" t="str">
        <f t="shared" si="19"/>
        <v>No</v>
      </c>
    </row>
    <row r="99" spans="2:56" ht="13.8" x14ac:dyDescent="0.25">
      <c r="B99" s="311" t="str">
        <f>'C-1 On-Site WaterC'' Baseline'!AP97</f>
        <v/>
      </c>
      <c r="C99" s="301" t="str">
        <f>IF(B99="","",VLOOKUP($B99,'C-1 On-Site WaterC'' Baseline'!$C$9:$R$257,2,FALSE))</f>
        <v/>
      </c>
      <c r="D99" s="301" t="str">
        <f>IF(C99="","",VLOOKUP($B99,'C-1 On-Site WaterC'' Baseline'!$C$9:$R$257,3,FALSE))</f>
        <v/>
      </c>
      <c r="E99" s="301" t="str">
        <f>IF(D99="","",VLOOKUP($B99,'C-1 On-Site WaterC'' Baseline'!$C$9:$R$257,4,FALSE))</f>
        <v/>
      </c>
      <c r="F99" s="301" t="str">
        <f>IF(E99="","",VLOOKUP($B99,'C-1 On-Site WaterC'' Baseline'!$C$9:$R$257,5,FALSE))</f>
        <v/>
      </c>
      <c r="G99" s="301" t="str">
        <f>IF(F99="","",VLOOKUP($B99,'C-1 On-Site WaterC'' Baseline'!$C$9:$R$257,6,FALSE))</f>
        <v/>
      </c>
      <c r="H99" s="301" t="str">
        <f>IF(G99="","",VLOOKUP($B99,'C-1 On-Site WaterC'' Baseline'!$C$9:$R$257,7,FALSE))</f>
        <v/>
      </c>
      <c r="I99" s="301" t="str">
        <f>IF(H99="","",VLOOKUP($B99,'C-1 On-Site WaterC'' Baseline'!$C$9:$R$257,8,FALSE))</f>
        <v/>
      </c>
      <c r="J99" s="301" t="str">
        <f>IF(I99="","",VLOOKUP($B99,'C-1 On-Site WaterC'' Baseline'!$C$9:$R$257,9,FALSE))</f>
        <v/>
      </c>
      <c r="K99" s="301" t="str">
        <f>IF(J99="","",VLOOKUP($B99,'C-1 On-Site WaterC'' Baseline'!$C$9:$R$257,10,FALSE))</f>
        <v/>
      </c>
      <c r="L99" s="301" t="str">
        <f>IF(B99="","",VLOOKUP($B99,'C-1 On-Site WaterC'' Baseline'!$C$9:$R$257,15,FALSE))</f>
        <v/>
      </c>
      <c r="M99" s="305" t="str">
        <f>IF(L99="","",VLOOKUP($B99,'C-1 On-Site WaterC'' Baseline'!$C$9:$R$257,16,FALSE))</f>
        <v/>
      </c>
      <c r="N99" s="251"/>
      <c r="O99" s="281" t="str">
        <f t="shared" si="11"/>
        <v/>
      </c>
      <c r="P99" s="282" t="str">
        <f t="shared" si="12"/>
        <v/>
      </c>
      <c r="Q99" s="342" t="str">
        <f>IF(N99="","",VLOOKUP(B99,'C-1 On-Site WaterC'' Baseline'!$C$10:$AC$257,20,FALSE))</f>
        <v/>
      </c>
      <c r="R99" s="281" t="str">
        <f>IF(N99="","",VLOOKUP(N99,'G-7 WaterC'' Data'!$B$2:$G$8,2,FALSE))</f>
        <v/>
      </c>
      <c r="S99" s="282" t="str">
        <f>IFERROR(VLOOKUP(R99,'G-7 WaterC'' Data'!$C$4:$D$8,2,FALSE),"")</f>
        <v/>
      </c>
      <c r="T99" s="105"/>
      <c r="U99" s="282" t="str">
        <f>IFERROR(INDEX('G-7 WaterC'' Data'!$H$4:$L$8,MATCH(N99,'G-7 WaterC'' Data'!$B$4:$B$8,0),MATCH(T99,'G-7 WaterC'' Data'!$H$3:$L$3,0)),"")</f>
        <v/>
      </c>
      <c r="V99" s="105"/>
      <c r="W99" s="289" t="str">
        <f>IF(V99="","",IF(VLOOKUP(V99,'G-7 WaterC'' Data'!$AK$4:$AM$6,2,FALSE)=0,"Spatial Data Missing ⚠",VLOOKUP(V99,'G-7 WaterC'' Data'!$AK$4:$AM$6,2,FALSE)))</f>
        <v/>
      </c>
      <c r="X99" s="282" t="str">
        <f>IF(V99="","",IF(VLOOKUP(V99,'G-7 WaterC'' Data'!$AK$4:$AM$6,3,FALSE)=0,"Spatial Data Missing ⚠",VLOOKUP(V99,'G-7 WaterC'' Data'!$AK$4:$AM$6,3,FALSE)))</f>
        <v/>
      </c>
      <c r="Y99" s="281" t="str">
        <f>IFERROR(IF(OR(LEFT(P99,5)="Error",LEFT(O99,5)="Error"),"Check Data ⚠",IF(F99&lt;S99,'G-7 WaterC'' Data'!$R$3,INDEX('G-7 WaterC'' Data'!$U$5:$Y$9,MATCH(G99,'G-7 WaterC'' Data'!$T$5:$T$9,0),MATCH(T99,'G-7 WaterC'' Data'!$U$4:$Y$4,0)))),"")</f>
        <v/>
      </c>
      <c r="Z99" s="137"/>
      <c r="AA99" s="137"/>
      <c r="AB99" s="289" t="str">
        <f t="shared" si="13"/>
        <v/>
      </c>
      <c r="AC99" s="302" t="str">
        <f t="shared" si="14"/>
        <v/>
      </c>
      <c r="AD99" s="340" t="str">
        <f>IFERROR(IF(AC99="Check Data ⚠","Check Data ⚠",VLOOKUP(AC99,'G-4 Temporal multipliers'!$A$4:$C$37,3,FALSE)),"")</f>
        <v/>
      </c>
      <c r="AE99" s="281" t="str">
        <f>IF(N99="","",VLOOKUP(N99,'G-7 WaterC'' Data'!$B$4:$G$8,5,FALSE))</f>
        <v/>
      </c>
      <c r="AF99" s="289" t="str">
        <f t="shared" si="15"/>
        <v/>
      </c>
      <c r="AG99" s="320" t="str">
        <f t="shared" si="16"/>
        <v/>
      </c>
      <c r="AH99" s="282" t="str">
        <f t="shared" si="10"/>
        <v/>
      </c>
      <c r="AI99" s="109"/>
      <c r="AJ99" s="282" t="str">
        <f>IF(AI99="","",IF(AND(AI99="N/A - Culvert",N99&lt;&gt;"Culvert"),"Not possible ▲",IF(VLOOKUP(AI99,'G-7 WaterC'' Data'!$AA$4:$AB$7,2,FALSE)=0,"Spatial Data Missing ⚠",VLOOKUP(AI99,'G-7 WaterC'' Data'!$AA$4:$AB$7,2,FALSE))))</f>
        <v/>
      </c>
      <c r="AK99" s="110"/>
      <c r="AL99" s="282" t="str">
        <f>IF(AK99="","",IF(AND(AK99="N/A - Culvert",N99&lt;&gt;"Culvert"),"Not possible ▲",IF(VLOOKUP(AK99,'G-7 WaterC'' Data'!$AD$4:$AE$14,2,FALSE)=0,"Spatial Data Missing ⚠",VLOOKUP(AK99,'G-7 WaterC'' Data'!$AD$4:$AE$14,2,FALSE))))</f>
        <v/>
      </c>
      <c r="AM99" s="323" t="str">
        <f t="shared" si="17"/>
        <v/>
      </c>
      <c r="AN99" s="105"/>
      <c r="AO99" s="119"/>
      <c r="AP99" s="108"/>
      <c r="AS99" s="30" t="str">
        <f>IF(B99="","",IF(ISNA(VLOOKUP($B99,'C-1 On-Site WaterC'' Baseline'!$C$8:$AD$257,17,FALSE)),"",(VLOOKUP($B99,'C-1 On-Site WaterC'' Baseline'!$C$8:$AD$257,17,FALSE))))</f>
        <v/>
      </c>
      <c r="AT99" s="30" t="str">
        <f>IF(B99="","",VLOOKUP($B99,'C-1 On-Site WaterC'' Baseline'!$C$9:$Z$257,12,FALSE))</f>
        <v/>
      </c>
      <c r="AU99" s="30" t="str">
        <f>IF(B99="","",VLOOKUP($B99,'C-1 On-Site WaterC'' Baseline'!$C$9:$Z$257,14,FALSE))</f>
        <v/>
      </c>
      <c r="AV99" s="30" t="str">
        <f>IFERROR(INDEX('G-7 WaterC'' Data'!$AZ$3:$AZ$7,MATCH(N99,'G-7 WaterC'' Data'!$AY$3:$AY$7,0)),"")</f>
        <v/>
      </c>
      <c r="AX99" s="30" t="str">
        <f>IF(B99="","",VLOOKUP($B99,'C-1 On-Site WaterC'' Baseline'!$C$9:$Y$257,22,FALSE))</f>
        <v/>
      </c>
      <c r="AY99" s="30" t="str">
        <f t="shared" si="18"/>
        <v/>
      </c>
      <c r="AZ99" s="30" t="str">
        <f>IF(B99="","",VLOOKUP($B99,'C-1 On-Site WaterC'' Baseline'!$C$9:$Y$257,21,FALSE))</f>
        <v/>
      </c>
      <c r="BA99" s="30" t="str">
        <f>IF(B99="","",VLOOKUP($B99,'C-1 On-Site WaterC'' Baseline'!$C$9:$Y$257,19,FALSE))</f>
        <v/>
      </c>
      <c r="BD99" s="30" t="str">
        <f t="shared" si="19"/>
        <v>No</v>
      </c>
    </row>
    <row r="100" spans="2:56" ht="13.8" x14ac:dyDescent="0.25">
      <c r="B100" s="311" t="str">
        <f>'C-1 On-Site WaterC'' Baseline'!AP98</f>
        <v/>
      </c>
      <c r="C100" s="301" t="str">
        <f>IF(B100="","",VLOOKUP($B100,'C-1 On-Site WaterC'' Baseline'!$C$9:$R$257,2,FALSE))</f>
        <v/>
      </c>
      <c r="D100" s="301" t="str">
        <f>IF(C100="","",VLOOKUP($B100,'C-1 On-Site WaterC'' Baseline'!$C$9:$R$257,3,FALSE))</f>
        <v/>
      </c>
      <c r="E100" s="301" t="str">
        <f>IF(D100="","",VLOOKUP($B100,'C-1 On-Site WaterC'' Baseline'!$C$9:$R$257,4,FALSE))</f>
        <v/>
      </c>
      <c r="F100" s="301" t="str">
        <f>IF(E100="","",VLOOKUP($B100,'C-1 On-Site WaterC'' Baseline'!$C$9:$R$257,5,FALSE))</f>
        <v/>
      </c>
      <c r="G100" s="301" t="str">
        <f>IF(F100="","",VLOOKUP($B100,'C-1 On-Site WaterC'' Baseline'!$C$9:$R$257,6,FALSE))</f>
        <v/>
      </c>
      <c r="H100" s="301" t="str">
        <f>IF(G100="","",VLOOKUP($B100,'C-1 On-Site WaterC'' Baseline'!$C$9:$R$257,7,FALSE))</f>
        <v/>
      </c>
      <c r="I100" s="301" t="str">
        <f>IF(H100="","",VLOOKUP($B100,'C-1 On-Site WaterC'' Baseline'!$C$9:$R$257,8,FALSE))</f>
        <v/>
      </c>
      <c r="J100" s="301" t="str">
        <f>IF(I100="","",VLOOKUP($B100,'C-1 On-Site WaterC'' Baseline'!$C$9:$R$257,9,FALSE))</f>
        <v/>
      </c>
      <c r="K100" s="301" t="str">
        <f>IF(J100="","",VLOOKUP($B100,'C-1 On-Site WaterC'' Baseline'!$C$9:$R$257,10,FALSE))</f>
        <v/>
      </c>
      <c r="L100" s="301" t="str">
        <f>IF(B100="","",VLOOKUP($B100,'C-1 On-Site WaterC'' Baseline'!$C$9:$R$257,15,FALSE))</f>
        <v/>
      </c>
      <c r="M100" s="305" t="str">
        <f>IF(L100="","",VLOOKUP($B100,'C-1 On-Site WaterC'' Baseline'!$C$9:$R$257,16,FALSE))</f>
        <v/>
      </c>
      <c r="N100" s="251"/>
      <c r="O100" s="281" t="str">
        <f t="shared" si="11"/>
        <v/>
      </c>
      <c r="P100" s="282" t="str">
        <f t="shared" si="12"/>
        <v/>
      </c>
      <c r="Q100" s="342" t="str">
        <f>IF(N100="","",VLOOKUP(B100,'C-1 On-Site WaterC'' Baseline'!$C$10:$AC$257,20,FALSE))</f>
        <v/>
      </c>
      <c r="R100" s="281" t="str">
        <f>IF(N100="","",VLOOKUP(N100,'G-7 WaterC'' Data'!$B$2:$G$8,2,FALSE))</f>
        <v/>
      </c>
      <c r="S100" s="282" t="str">
        <f>IFERROR(VLOOKUP(R100,'G-7 WaterC'' Data'!$C$4:$D$8,2,FALSE),"")</f>
        <v/>
      </c>
      <c r="T100" s="105"/>
      <c r="U100" s="282" t="str">
        <f>IFERROR(INDEX('G-7 WaterC'' Data'!$H$4:$L$8,MATCH(N100,'G-7 WaterC'' Data'!$B$4:$B$8,0),MATCH(T100,'G-7 WaterC'' Data'!$H$3:$L$3,0)),"")</f>
        <v/>
      </c>
      <c r="V100" s="105"/>
      <c r="W100" s="289" t="str">
        <f>IF(V100="","",IF(VLOOKUP(V100,'G-7 WaterC'' Data'!$AK$4:$AM$6,2,FALSE)=0,"Spatial Data Missing ⚠",VLOOKUP(V100,'G-7 WaterC'' Data'!$AK$4:$AM$6,2,FALSE)))</f>
        <v/>
      </c>
      <c r="X100" s="282" t="str">
        <f>IF(V100="","",IF(VLOOKUP(V100,'G-7 WaterC'' Data'!$AK$4:$AM$6,3,FALSE)=0,"Spatial Data Missing ⚠",VLOOKUP(V100,'G-7 WaterC'' Data'!$AK$4:$AM$6,3,FALSE)))</f>
        <v/>
      </c>
      <c r="Y100" s="281" t="str">
        <f>IFERROR(IF(OR(LEFT(P100,5)="Error",LEFT(O100,5)="Error"),"Check Data ⚠",IF(F100&lt;S100,'G-7 WaterC'' Data'!$R$3,INDEX('G-7 WaterC'' Data'!$U$5:$Y$9,MATCH(G100,'G-7 WaterC'' Data'!$T$5:$T$9,0),MATCH(T100,'G-7 WaterC'' Data'!$U$4:$Y$4,0)))),"")</f>
        <v/>
      </c>
      <c r="Z100" s="137"/>
      <c r="AA100" s="137"/>
      <c r="AB100" s="289" t="str">
        <f t="shared" si="13"/>
        <v/>
      </c>
      <c r="AC100" s="302" t="str">
        <f t="shared" si="14"/>
        <v/>
      </c>
      <c r="AD100" s="340" t="str">
        <f>IFERROR(IF(AC100="Check Data ⚠","Check Data ⚠",VLOOKUP(AC100,'G-4 Temporal multipliers'!$A$4:$C$37,3,FALSE)),"")</f>
        <v/>
      </c>
      <c r="AE100" s="281" t="str">
        <f>IF(N100="","",VLOOKUP(N100,'G-7 WaterC'' Data'!$B$4:$G$8,5,FALSE))</f>
        <v/>
      </c>
      <c r="AF100" s="289" t="str">
        <f t="shared" si="15"/>
        <v/>
      </c>
      <c r="AG100" s="320" t="str">
        <f t="shared" si="16"/>
        <v/>
      </c>
      <c r="AH100" s="282" t="str">
        <f t="shared" si="10"/>
        <v/>
      </c>
      <c r="AI100" s="109"/>
      <c r="AJ100" s="282" t="str">
        <f>IF(AI100="","",IF(AND(AI100="N/A - Culvert",N100&lt;&gt;"Culvert"),"Not possible ▲",IF(VLOOKUP(AI100,'G-7 WaterC'' Data'!$AA$4:$AB$7,2,FALSE)=0,"Spatial Data Missing ⚠",VLOOKUP(AI100,'G-7 WaterC'' Data'!$AA$4:$AB$7,2,FALSE))))</f>
        <v/>
      </c>
      <c r="AK100" s="110"/>
      <c r="AL100" s="282" t="str">
        <f>IF(AK100="","",IF(AND(AK100="N/A - Culvert",N100&lt;&gt;"Culvert"),"Not possible ▲",IF(VLOOKUP(AK100,'G-7 WaterC'' Data'!$AD$4:$AE$14,2,FALSE)=0,"Spatial Data Missing ⚠",VLOOKUP(AK100,'G-7 WaterC'' Data'!$AD$4:$AE$14,2,FALSE))))</f>
        <v/>
      </c>
      <c r="AM100" s="323" t="str">
        <f t="shared" si="17"/>
        <v/>
      </c>
      <c r="AN100" s="105"/>
      <c r="AO100" s="119"/>
      <c r="AP100" s="108"/>
      <c r="AS100" s="30" t="str">
        <f>IF(B100="","",IF(ISNA(VLOOKUP($B100,'C-1 On-Site WaterC'' Baseline'!$C$8:$AD$257,17,FALSE)),"",(VLOOKUP($B100,'C-1 On-Site WaterC'' Baseline'!$C$8:$AD$257,17,FALSE))))</f>
        <v/>
      </c>
      <c r="AT100" s="30" t="str">
        <f>IF(B100="","",VLOOKUP($B100,'C-1 On-Site WaterC'' Baseline'!$C$9:$Z$257,12,FALSE))</f>
        <v/>
      </c>
      <c r="AU100" s="30" t="str">
        <f>IF(B100="","",VLOOKUP($B100,'C-1 On-Site WaterC'' Baseline'!$C$9:$Z$257,14,FALSE))</f>
        <v/>
      </c>
      <c r="AV100" s="30" t="str">
        <f>IFERROR(INDEX('G-7 WaterC'' Data'!$AZ$3:$AZ$7,MATCH(N100,'G-7 WaterC'' Data'!$AY$3:$AY$7,0)),"")</f>
        <v/>
      </c>
      <c r="AX100" s="30" t="str">
        <f>IF(B100="","",VLOOKUP($B100,'C-1 On-Site WaterC'' Baseline'!$C$9:$Y$257,22,FALSE))</f>
        <v/>
      </c>
      <c r="AY100" s="30" t="str">
        <f t="shared" si="18"/>
        <v/>
      </c>
      <c r="AZ100" s="30" t="str">
        <f>IF(B100="","",VLOOKUP($B100,'C-1 On-Site WaterC'' Baseline'!$C$9:$Y$257,21,FALSE))</f>
        <v/>
      </c>
      <c r="BA100" s="30" t="str">
        <f>IF(B100="","",VLOOKUP($B100,'C-1 On-Site WaterC'' Baseline'!$C$9:$Y$257,19,FALSE))</f>
        <v/>
      </c>
      <c r="BD100" s="30" t="str">
        <f t="shared" si="19"/>
        <v>No</v>
      </c>
    </row>
    <row r="101" spans="2:56" ht="13.8" x14ac:dyDescent="0.25">
      <c r="B101" s="311" t="str">
        <f>'C-1 On-Site WaterC'' Baseline'!AP99</f>
        <v/>
      </c>
      <c r="C101" s="301" t="str">
        <f>IF(B101="","",VLOOKUP($B101,'C-1 On-Site WaterC'' Baseline'!$C$9:$R$257,2,FALSE))</f>
        <v/>
      </c>
      <c r="D101" s="301" t="str">
        <f>IF(C101="","",VLOOKUP($B101,'C-1 On-Site WaterC'' Baseline'!$C$9:$R$257,3,FALSE))</f>
        <v/>
      </c>
      <c r="E101" s="301" t="str">
        <f>IF(D101="","",VLOOKUP($B101,'C-1 On-Site WaterC'' Baseline'!$C$9:$R$257,4,FALSE))</f>
        <v/>
      </c>
      <c r="F101" s="301" t="str">
        <f>IF(E101="","",VLOOKUP($B101,'C-1 On-Site WaterC'' Baseline'!$C$9:$R$257,5,FALSE))</f>
        <v/>
      </c>
      <c r="G101" s="301" t="str">
        <f>IF(F101="","",VLOOKUP($B101,'C-1 On-Site WaterC'' Baseline'!$C$9:$R$257,6,FALSE))</f>
        <v/>
      </c>
      <c r="H101" s="301" t="str">
        <f>IF(G101="","",VLOOKUP($B101,'C-1 On-Site WaterC'' Baseline'!$C$9:$R$257,7,FALSE))</f>
        <v/>
      </c>
      <c r="I101" s="301" t="str">
        <f>IF(H101="","",VLOOKUP($B101,'C-1 On-Site WaterC'' Baseline'!$C$9:$R$257,8,FALSE))</f>
        <v/>
      </c>
      <c r="J101" s="301" t="str">
        <f>IF(I101="","",VLOOKUP($B101,'C-1 On-Site WaterC'' Baseline'!$C$9:$R$257,9,FALSE))</f>
        <v/>
      </c>
      <c r="K101" s="301" t="str">
        <f>IF(J101="","",VLOOKUP($B101,'C-1 On-Site WaterC'' Baseline'!$C$9:$R$257,10,FALSE))</f>
        <v/>
      </c>
      <c r="L101" s="301" t="str">
        <f>IF(B101="","",VLOOKUP($B101,'C-1 On-Site WaterC'' Baseline'!$C$9:$R$257,15,FALSE))</f>
        <v/>
      </c>
      <c r="M101" s="305" t="str">
        <f>IF(L101="","",VLOOKUP($B101,'C-1 On-Site WaterC'' Baseline'!$C$9:$R$257,16,FALSE))</f>
        <v/>
      </c>
      <c r="N101" s="251"/>
      <c r="O101" s="281" t="str">
        <f t="shared" si="11"/>
        <v/>
      </c>
      <c r="P101" s="282" t="str">
        <f t="shared" si="12"/>
        <v/>
      </c>
      <c r="Q101" s="342" t="str">
        <f>IF(N101="","",VLOOKUP(B101,'C-1 On-Site WaterC'' Baseline'!$C$10:$AC$257,20,FALSE))</f>
        <v/>
      </c>
      <c r="R101" s="281" t="str">
        <f>IF(N101="","",VLOOKUP(N101,'G-7 WaterC'' Data'!$B$2:$G$8,2,FALSE))</f>
        <v/>
      </c>
      <c r="S101" s="282" t="str">
        <f>IFERROR(VLOOKUP(R101,'G-7 WaterC'' Data'!$C$4:$D$8,2,FALSE),"")</f>
        <v/>
      </c>
      <c r="T101" s="105"/>
      <c r="U101" s="282" t="str">
        <f>IFERROR(INDEX('G-7 WaterC'' Data'!$H$4:$L$8,MATCH(N101,'G-7 WaterC'' Data'!$B$4:$B$8,0),MATCH(T101,'G-7 WaterC'' Data'!$H$3:$L$3,0)),"")</f>
        <v/>
      </c>
      <c r="V101" s="105"/>
      <c r="W101" s="289" t="str">
        <f>IF(V101="","",IF(VLOOKUP(V101,'G-7 WaterC'' Data'!$AK$4:$AM$6,2,FALSE)=0,"Spatial Data Missing ⚠",VLOOKUP(V101,'G-7 WaterC'' Data'!$AK$4:$AM$6,2,FALSE)))</f>
        <v/>
      </c>
      <c r="X101" s="282" t="str">
        <f>IF(V101="","",IF(VLOOKUP(V101,'G-7 WaterC'' Data'!$AK$4:$AM$6,3,FALSE)=0,"Spatial Data Missing ⚠",VLOOKUP(V101,'G-7 WaterC'' Data'!$AK$4:$AM$6,3,FALSE)))</f>
        <v/>
      </c>
      <c r="Y101" s="281" t="str">
        <f>IFERROR(IF(OR(LEFT(P101,5)="Error",LEFT(O101,5)="Error"),"Check Data ⚠",IF(F101&lt;S101,'G-7 WaterC'' Data'!$R$3,INDEX('G-7 WaterC'' Data'!$U$5:$Y$9,MATCH(G101,'G-7 WaterC'' Data'!$T$5:$T$9,0),MATCH(T101,'G-7 WaterC'' Data'!$U$4:$Y$4,0)))),"")</f>
        <v/>
      </c>
      <c r="Z101" s="137"/>
      <c r="AA101" s="137"/>
      <c r="AB101" s="289" t="str">
        <f t="shared" si="13"/>
        <v/>
      </c>
      <c r="AC101" s="302" t="str">
        <f t="shared" si="14"/>
        <v/>
      </c>
      <c r="AD101" s="340" t="str">
        <f>IFERROR(IF(AC101="Check Data ⚠","Check Data ⚠",VLOOKUP(AC101,'G-4 Temporal multipliers'!$A$4:$C$37,3,FALSE)),"")</f>
        <v/>
      </c>
      <c r="AE101" s="281" t="str">
        <f>IF(N101="","",VLOOKUP(N101,'G-7 WaterC'' Data'!$B$4:$G$8,5,FALSE))</f>
        <v/>
      </c>
      <c r="AF101" s="289" t="str">
        <f t="shared" si="15"/>
        <v/>
      </c>
      <c r="AG101" s="320" t="str">
        <f t="shared" si="16"/>
        <v/>
      </c>
      <c r="AH101" s="282" t="str">
        <f t="shared" si="10"/>
        <v/>
      </c>
      <c r="AI101" s="109"/>
      <c r="AJ101" s="282" t="str">
        <f>IF(AI101="","",IF(AND(AI101="N/A - Culvert",N101&lt;&gt;"Culvert"),"Not possible ▲",IF(VLOOKUP(AI101,'G-7 WaterC'' Data'!$AA$4:$AB$7,2,FALSE)=0,"Spatial Data Missing ⚠",VLOOKUP(AI101,'G-7 WaterC'' Data'!$AA$4:$AB$7,2,FALSE))))</f>
        <v/>
      </c>
      <c r="AK101" s="110"/>
      <c r="AL101" s="282" t="str">
        <f>IF(AK101="","",IF(AND(AK101="N/A - Culvert",N101&lt;&gt;"Culvert"),"Not possible ▲",IF(VLOOKUP(AK101,'G-7 WaterC'' Data'!$AD$4:$AE$14,2,FALSE)=0,"Spatial Data Missing ⚠",VLOOKUP(AK101,'G-7 WaterC'' Data'!$AD$4:$AE$14,2,FALSE))))</f>
        <v/>
      </c>
      <c r="AM101" s="323" t="str">
        <f t="shared" si="17"/>
        <v/>
      </c>
      <c r="AN101" s="105"/>
      <c r="AO101" s="119"/>
      <c r="AP101" s="108"/>
      <c r="AS101" s="30" t="str">
        <f>IF(B101="","",IF(ISNA(VLOOKUP($B101,'C-1 On-Site WaterC'' Baseline'!$C$8:$AD$257,17,FALSE)),"",(VLOOKUP($B101,'C-1 On-Site WaterC'' Baseline'!$C$8:$AD$257,17,FALSE))))</f>
        <v/>
      </c>
      <c r="AT101" s="30" t="str">
        <f>IF(B101="","",VLOOKUP($B101,'C-1 On-Site WaterC'' Baseline'!$C$9:$Z$257,12,FALSE))</f>
        <v/>
      </c>
      <c r="AU101" s="30" t="str">
        <f>IF(B101="","",VLOOKUP($B101,'C-1 On-Site WaterC'' Baseline'!$C$9:$Z$257,14,FALSE))</f>
        <v/>
      </c>
      <c r="AV101" s="30" t="str">
        <f>IFERROR(INDEX('G-7 WaterC'' Data'!$AZ$3:$AZ$7,MATCH(N101,'G-7 WaterC'' Data'!$AY$3:$AY$7,0)),"")</f>
        <v/>
      </c>
      <c r="AX101" s="30" t="str">
        <f>IF(B101="","",VLOOKUP($B101,'C-1 On-Site WaterC'' Baseline'!$C$9:$Y$257,22,FALSE))</f>
        <v/>
      </c>
      <c r="AY101" s="30" t="str">
        <f t="shared" si="18"/>
        <v/>
      </c>
      <c r="AZ101" s="30" t="str">
        <f>IF(B101="","",VLOOKUP($B101,'C-1 On-Site WaterC'' Baseline'!$C$9:$Y$257,21,FALSE))</f>
        <v/>
      </c>
      <c r="BA101" s="30" t="str">
        <f>IF(B101="","",VLOOKUP($B101,'C-1 On-Site WaterC'' Baseline'!$C$9:$Y$257,19,FALSE))</f>
        <v/>
      </c>
      <c r="BD101" s="30" t="str">
        <f t="shared" si="19"/>
        <v>No</v>
      </c>
    </row>
    <row r="102" spans="2:56" ht="13.8" x14ac:dyDescent="0.25">
      <c r="B102" s="311" t="str">
        <f>'C-1 On-Site WaterC'' Baseline'!AP100</f>
        <v/>
      </c>
      <c r="C102" s="301" t="str">
        <f>IF(B102="","",VLOOKUP($B102,'C-1 On-Site WaterC'' Baseline'!$C$9:$R$257,2,FALSE))</f>
        <v/>
      </c>
      <c r="D102" s="301" t="str">
        <f>IF(C102="","",VLOOKUP($B102,'C-1 On-Site WaterC'' Baseline'!$C$9:$R$257,3,FALSE))</f>
        <v/>
      </c>
      <c r="E102" s="301" t="str">
        <f>IF(D102="","",VLOOKUP($B102,'C-1 On-Site WaterC'' Baseline'!$C$9:$R$257,4,FALSE))</f>
        <v/>
      </c>
      <c r="F102" s="301" t="str">
        <f>IF(E102="","",VLOOKUP($B102,'C-1 On-Site WaterC'' Baseline'!$C$9:$R$257,5,FALSE))</f>
        <v/>
      </c>
      <c r="G102" s="301" t="str">
        <f>IF(F102="","",VLOOKUP($B102,'C-1 On-Site WaterC'' Baseline'!$C$9:$R$257,6,FALSE))</f>
        <v/>
      </c>
      <c r="H102" s="301" t="str">
        <f>IF(G102="","",VLOOKUP($B102,'C-1 On-Site WaterC'' Baseline'!$C$9:$R$257,7,FALSE))</f>
        <v/>
      </c>
      <c r="I102" s="301" t="str">
        <f>IF(H102="","",VLOOKUP($B102,'C-1 On-Site WaterC'' Baseline'!$C$9:$R$257,8,FALSE))</f>
        <v/>
      </c>
      <c r="J102" s="301" t="str">
        <f>IF(I102="","",VLOOKUP($B102,'C-1 On-Site WaterC'' Baseline'!$C$9:$R$257,9,FALSE))</f>
        <v/>
      </c>
      <c r="K102" s="301" t="str">
        <f>IF(J102="","",VLOOKUP($B102,'C-1 On-Site WaterC'' Baseline'!$C$9:$R$257,10,FALSE))</f>
        <v/>
      </c>
      <c r="L102" s="301" t="str">
        <f>IF(B102="","",VLOOKUP($B102,'C-1 On-Site WaterC'' Baseline'!$C$9:$R$257,15,FALSE))</f>
        <v/>
      </c>
      <c r="M102" s="305" t="str">
        <f>IF(L102="","",VLOOKUP($B102,'C-1 On-Site WaterC'' Baseline'!$C$9:$R$257,16,FALSE))</f>
        <v/>
      </c>
      <c r="N102" s="251"/>
      <c r="O102" s="281" t="str">
        <f t="shared" si="11"/>
        <v/>
      </c>
      <c r="P102" s="282" t="str">
        <f t="shared" si="12"/>
        <v/>
      </c>
      <c r="Q102" s="342" t="str">
        <f>IF(N102="","",VLOOKUP(B102,'C-1 On-Site WaterC'' Baseline'!$C$10:$AC$257,20,FALSE))</f>
        <v/>
      </c>
      <c r="R102" s="281" t="str">
        <f>IF(N102="","",VLOOKUP(N102,'G-7 WaterC'' Data'!$B$2:$G$8,2,FALSE))</f>
        <v/>
      </c>
      <c r="S102" s="282" t="str">
        <f>IFERROR(VLOOKUP(R102,'G-7 WaterC'' Data'!$C$4:$D$8,2,FALSE),"")</f>
        <v/>
      </c>
      <c r="T102" s="105"/>
      <c r="U102" s="282" t="str">
        <f>IFERROR(INDEX('G-7 WaterC'' Data'!$H$4:$L$8,MATCH(N102,'G-7 WaterC'' Data'!$B$4:$B$8,0),MATCH(T102,'G-7 WaterC'' Data'!$H$3:$L$3,0)),"")</f>
        <v/>
      </c>
      <c r="V102" s="105"/>
      <c r="W102" s="289" t="str">
        <f>IF(V102="","",IF(VLOOKUP(V102,'G-7 WaterC'' Data'!$AK$4:$AM$6,2,FALSE)=0,"Spatial Data Missing ⚠",VLOOKUP(V102,'G-7 WaterC'' Data'!$AK$4:$AM$6,2,FALSE)))</f>
        <v/>
      </c>
      <c r="X102" s="282" t="str">
        <f>IF(V102="","",IF(VLOOKUP(V102,'G-7 WaterC'' Data'!$AK$4:$AM$6,3,FALSE)=0,"Spatial Data Missing ⚠",VLOOKUP(V102,'G-7 WaterC'' Data'!$AK$4:$AM$6,3,FALSE)))</f>
        <v/>
      </c>
      <c r="Y102" s="281" t="str">
        <f>IFERROR(IF(OR(LEFT(P102,5)="Error",LEFT(O102,5)="Error"),"Check Data ⚠",IF(F102&lt;S102,'G-7 WaterC'' Data'!$R$3,INDEX('G-7 WaterC'' Data'!$U$5:$Y$9,MATCH(G102,'G-7 WaterC'' Data'!$T$5:$T$9,0),MATCH(T102,'G-7 WaterC'' Data'!$U$4:$Y$4,0)))),"")</f>
        <v/>
      </c>
      <c r="Z102" s="137"/>
      <c r="AA102" s="137"/>
      <c r="AB102" s="289" t="str">
        <f t="shared" si="13"/>
        <v/>
      </c>
      <c r="AC102" s="302" t="str">
        <f t="shared" si="14"/>
        <v/>
      </c>
      <c r="AD102" s="340" t="str">
        <f>IFERROR(IF(AC102="Check Data ⚠","Check Data ⚠",VLOOKUP(AC102,'G-4 Temporal multipliers'!$A$4:$C$37,3,FALSE)),"")</f>
        <v/>
      </c>
      <c r="AE102" s="281" t="str">
        <f>IF(N102="","",VLOOKUP(N102,'G-7 WaterC'' Data'!$B$4:$G$8,5,FALSE))</f>
        <v/>
      </c>
      <c r="AF102" s="289" t="str">
        <f t="shared" si="15"/>
        <v/>
      </c>
      <c r="AG102" s="320" t="str">
        <f t="shared" si="16"/>
        <v/>
      </c>
      <c r="AH102" s="282" t="str">
        <f t="shared" si="10"/>
        <v/>
      </c>
      <c r="AI102" s="109"/>
      <c r="AJ102" s="282" t="str">
        <f>IF(AI102="","",IF(AND(AI102="N/A - Culvert",N102&lt;&gt;"Culvert"),"Not possible ▲",IF(VLOOKUP(AI102,'G-7 WaterC'' Data'!$AA$4:$AB$7,2,FALSE)=0,"Spatial Data Missing ⚠",VLOOKUP(AI102,'G-7 WaterC'' Data'!$AA$4:$AB$7,2,FALSE))))</f>
        <v/>
      </c>
      <c r="AK102" s="110"/>
      <c r="AL102" s="282" t="str">
        <f>IF(AK102="","",IF(AND(AK102="N/A - Culvert",N102&lt;&gt;"Culvert"),"Not possible ▲",IF(VLOOKUP(AK102,'G-7 WaterC'' Data'!$AD$4:$AE$14,2,FALSE)=0,"Spatial Data Missing ⚠",VLOOKUP(AK102,'G-7 WaterC'' Data'!$AD$4:$AE$14,2,FALSE))))</f>
        <v/>
      </c>
      <c r="AM102" s="323" t="str">
        <f t="shared" si="17"/>
        <v/>
      </c>
      <c r="AN102" s="105"/>
      <c r="AO102" s="119"/>
      <c r="AP102" s="108"/>
      <c r="AS102" s="30" t="str">
        <f>IF(B102="","",IF(ISNA(VLOOKUP($B102,'C-1 On-Site WaterC'' Baseline'!$C$8:$AD$257,17,FALSE)),"",(VLOOKUP($B102,'C-1 On-Site WaterC'' Baseline'!$C$8:$AD$257,17,FALSE))))</f>
        <v/>
      </c>
      <c r="AT102" s="30" t="str">
        <f>IF(B102="","",VLOOKUP($B102,'C-1 On-Site WaterC'' Baseline'!$C$9:$Z$257,12,FALSE))</f>
        <v/>
      </c>
      <c r="AU102" s="30" t="str">
        <f>IF(B102="","",VLOOKUP($B102,'C-1 On-Site WaterC'' Baseline'!$C$9:$Z$257,14,FALSE))</f>
        <v/>
      </c>
      <c r="AV102" s="30" t="str">
        <f>IFERROR(INDEX('G-7 WaterC'' Data'!$AZ$3:$AZ$7,MATCH(N102,'G-7 WaterC'' Data'!$AY$3:$AY$7,0)),"")</f>
        <v/>
      </c>
      <c r="AX102" s="30" t="str">
        <f>IF(B102="","",VLOOKUP($B102,'C-1 On-Site WaterC'' Baseline'!$C$9:$Y$257,22,FALSE))</f>
        <v/>
      </c>
      <c r="AY102" s="30" t="str">
        <f t="shared" si="18"/>
        <v/>
      </c>
      <c r="AZ102" s="30" t="str">
        <f>IF(B102="","",VLOOKUP($B102,'C-1 On-Site WaterC'' Baseline'!$C$9:$Y$257,21,FALSE))</f>
        <v/>
      </c>
      <c r="BA102" s="30" t="str">
        <f>IF(B102="","",VLOOKUP($B102,'C-1 On-Site WaterC'' Baseline'!$C$9:$Y$257,19,FALSE))</f>
        <v/>
      </c>
      <c r="BD102" s="30" t="str">
        <f t="shared" si="19"/>
        <v>No</v>
      </c>
    </row>
    <row r="103" spans="2:56" ht="13.8" x14ac:dyDescent="0.25">
      <c r="B103" s="311" t="str">
        <f>'C-1 On-Site WaterC'' Baseline'!AP101</f>
        <v/>
      </c>
      <c r="C103" s="301" t="str">
        <f>IF(B103="","",VLOOKUP($B103,'C-1 On-Site WaterC'' Baseline'!$C$9:$R$257,2,FALSE))</f>
        <v/>
      </c>
      <c r="D103" s="301" t="str">
        <f>IF(C103="","",VLOOKUP($B103,'C-1 On-Site WaterC'' Baseline'!$C$9:$R$257,3,FALSE))</f>
        <v/>
      </c>
      <c r="E103" s="301" t="str">
        <f>IF(D103="","",VLOOKUP($B103,'C-1 On-Site WaterC'' Baseline'!$C$9:$R$257,4,FALSE))</f>
        <v/>
      </c>
      <c r="F103" s="301" t="str">
        <f>IF(E103="","",VLOOKUP($B103,'C-1 On-Site WaterC'' Baseline'!$C$9:$R$257,5,FALSE))</f>
        <v/>
      </c>
      <c r="G103" s="301" t="str">
        <f>IF(F103="","",VLOOKUP($B103,'C-1 On-Site WaterC'' Baseline'!$C$9:$R$257,6,FALSE))</f>
        <v/>
      </c>
      <c r="H103" s="301" t="str">
        <f>IF(G103="","",VLOOKUP($B103,'C-1 On-Site WaterC'' Baseline'!$C$9:$R$257,7,FALSE))</f>
        <v/>
      </c>
      <c r="I103" s="301" t="str">
        <f>IF(H103="","",VLOOKUP($B103,'C-1 On-Site WaterC'' Baseline'!$C$9:$R$257,8,FALSE))</f>
        <v/>
      </c>
      <c r="J103" s="301" t="str">
        <f>IF(I103="","",VLOOKUP($B103,'C-1 On-Site WaterC'' Baseline'!$C$9:$R$257,9,FALSE))</f>
        <v/>
      </c>
      <c r="K103" s="301" t="str">
        <f>IF(J103="","",VLOOKUP($B103,'C-1 On-Site WaterC'' Baseline'!$C$9:$R$257,10,FALSE))</f>
        <v/>
      </c>
      <c r="L103" s="301" t="str">
        <f>IF(B103="","",VLOOKUP($B103,'C-1 On-Site WaterC'' Baseline'!$C$9:$R$257,15,FALSE))</f>
        <v/>
      </c>
      <c r="M103" s="305" t="str">
        <f>IF(L103="","",VLOOKUP($B103,'C-1 On-Site WaterC'' Baseline'!$C$9:$R$257,16,FALSE))</f>
        <v/>
      </c>
      <c r="N103" s="251"/>
      <c r="O103" s="281" t="str">
        <f t="shared" si="11"/>
        <v/>
      </c>
      <c r="P103" s="282" t="str">
        <f t="shared" si="12"/>
        <v/>
      </c>
      <c r="Q103" s="342" t="str">
        <f>IF(N103="","",VLOOKUP(B103,'C-1 On-Site WaterC'' Baseline'!$C$10:$AC$257,20,FALSE))</f>
        <v/>
      </c>
      <c r="R103" s="281" t="str">
        <f>IF(N103="","",VLOOKUP(N103,'G-7 WaterC'' Data'!$B$2:$G$8,2,FALSE))</f>
        <v/>
      </c>
      <c r="S103" s="282" t="str">
        <f>IFERROR(VLOOKUP(R103,'G-7 WaterC'' Data'!$C$4:$D$8,2,FALSE),"")</f>
        <v/>
      </c>
      <c r="T103" s="105"/>
      <c r="U103" s="282" t="str">
        <f>IFERROR(INDEX('G-7 WaterC'' Data'!$H$4:$L$8,MATCH(N103,'G-7 WaterC'' Data'!$B$4:$B$8,0),MATCH(T103,'G-7 WaterC'' Data'!$H$3:$L$3,0)),"")</f>
        <v/>
      </c>
      <c r="V103" s="105"/>
      <c r="W103" s="289" t="str">
        <f>IF(V103="","",IF(VLOOKUP(V103,'G-7 WaterC'' Data'!$AK$4:$AM$6,2,FALSE)=0,"Spatial Data Missing ⚠",VLOOKUP(V103,'G-7 WaterC'' Data'!$AK$4:$AM$6,2,FALSE)))</f>
        <v/>
      </c>
      <c r="X103" s="282" t="str">
        <f>IF(V103="","",IF(VLOOKUP(V103,'G-7 WaterC'' Data'!$AK$4:$AM$6,3,FALSE)=0,"Spatial Data Missing ⚠",VLOOKUP(V103,'G-7 WaterC'' Data'!$AK$4:$AM$6,3,FALSE)))</f>
        <v/>
      </c>
      <c r="Y103" s="281" t="str">
        <f>IFERROR(IF(OR(LEFT(P103,5)="Error",LEFT(O103,5)="Error"),"Check Data ⚠",IF(F103&lt;S103,'G-7 WaterC'' Data'!$R$3,INDEX('G-7 WaterC'' Data'!$U$5:$Y$9,MATCH(G103,'G-7 WaterC'' Data'!$T$5:$T$9,0),MATCH(T103,'G-7 WaterC'' Data'!$U$4:$Y$4,0)))),"")</f>
        <v/>
      </c>
      <c r="Z103" s="137"/>
      <c r="AA103" s="137"/>
      <c r="AB103" s="289" t="str">
        <f t="shared" si="13"/>
        <v/>
      </c>
      <c r="AC103" s="302" t="str">
        <f t="shared" si="14"/>
        <v/>
      </c>
      <c r="AD103" s="340" t="str">
        <f>IFERROR(IF(AC103="Check Data ⚠","Check Data ⚠",VLOOKUP(AC103,'G-4 Temporal multipliers'!$A$4:$C$37,3,FALSE)),"")</f>
        <v/>
      </c>
      <c r="AE103" s="281" t="str">
        <f>IF(N103="","",VLOOKUP(N103,'G-7 WaterC'' Data'!$B$4:$G$8,5,FALSE))</f>
        <v/>
      </c>
      <c r="AF103" s="289" t="str">
        <f t="shared" si="15"/>
        <v/>
      </c>
      <c r="AG103" s="320" t="str">
        <f t="shared" si="16"/>
        <v/>
      </c>
      <c r="AH103" s="282" t="str">
        <f t="shared" si="10"/>
        <v/>
      </c>
      <c r="AI103" s="109"/>
      <c r="AJ103" s="282" t="str">
        <f>IF(AI103="","",IF(AND(AI103="N/A - Culvert",N103&lt;&gt;"Culvert"),"Not possible ▲",IF(VLOOKUP(AI103,'G-7 WaterC'' Data'!$AA$4:$AB$7,2,FALSE)=0,"Spatial Data Missing ⚠",VLOOKUP(AI103,'G-7 WaterC'' Data'!$AA$4:$AB$7,2,FALSE))))</f>
        <v/>
      </c>
      <c r="AK103" s="110"/>
      <c r="AL103" s="282" t="str">
        <f>IF(AK103="","",IF(AND(AK103="N/A - Culvert",N103&lt;&gt;"Culvert"),"Not possible ▲",IF(VLOOKUP(AK103,'G-7 WaterC'' Data'!$AD$4:$AE$14,2,FALSE)=0,"Spatial Data Missing ⚠",VLOOKUP(AK103,'G-7 WaterC'' Data'!$AD$4:$AE$14,2,FALSE))))</f>
        <v/>
      </c>
      <c r="AM103" s="323" t="str">
        <f t="shared" si="17"/>
        <v/>
      </c>
      <c r="AN103" s="105"/>
      <c r="AO103" s="119"/>
      <c r="AP103" s="108"/>
      <c r="AS103" s="30" t="str">
        <f>IF(B103="","",IF(ISNA(VLOOKUP($B103,'C-1 On-Site WaterC'' Baseline'!$C$8:$AD$257,17,FALSE)),"",(VLOOKUP($B103,'C-1 On-Site WaterC'' Baseline'!$C$8:$AD$257,17,FALSE))))</f>
        <v/>
      </c>
      <c r="AT103" s="30" t="str">
        <f>IF(B103="","",VLOOKUP($B103,'C-1 On-Site WaterC'' Baseline'!$C$9:$Z$257,12,FALSE))</f>
        <v/>
      </c>
      <c r="AU103" s="30" t="str">
        <f>IF(B103="","",VLOOKUP($B103,'C-1 On-Site WaterC'' Baseline'!$C$9:$Z$257,14,FALSE))</f>
        <v/>
      </c>
      <c r="AV103" s="30" t="str">
        <f>IFERROR(INDEX('G-7 WaterC'' Data'!$AZ$3:$AZ$7,MATCH(N103,'G-7 WaterC'' Data'!$AY$3:$AY$7,0)),"")</f>
        <v/>
      </c>
      <c r="AX103" s="30" t="str">
        <f>IF(B103="","",VLOOKUP($B103,'C-1 On-Site WaterC'' Baseline'!$C$9:$Y$257,22,FALSE))</f>
        <v/>
      </c>
      <c r="AY103" s="30" t="str">
        <f t="shared" si="18"/>
        <v/>
      </c>
      <c r="AZ103" s="30" t="str">
        <f>IF(B103="","",VLOOKUP($B103,'C-1 On-Site WaterC'' Baseline'!$C$9:$Y$257,21,FALSE))</f>
        <v/>
      </c>
      <c r="BA103" s="30" t="str">
        <f>IF(B103="","",VLOOKUP($B103,'C-1 On-Site WaterC'' Baseline'!$C$9:$Y$257,19,FALSE))</f>
        <v/>
      </c>
      <c r="BD103" s="30" t="str">
        <f t="shared" si="19"/>
        <v>No</v>
      </c>
    </row>
    <row r="104" spans="2:56" ht="13.8" x14ac:dyDescent="0.25">
      <c r="B104" s="311" t="str">
        <f>'C-1 On-Site WaterC'' Baseline'!AP102</f>
        <v/>
      </c>
      <c r="C104" s="301" t="str">
        <f>IF(B104="","",VLOOKUP($B104,'C-1 On-Site WaterC'' Baseline'!$C$9:$R$257,2,FALSE))</f>
        <v/>
      </c>
      <c r="D104" s="301" t="str">
        <f>IF(C104="","",VLOOKUP($B104,'C-1 On-Site WaterC'' Baseline'!$C$9:$R$257,3,FALSE))</f>
        <v/>
      </c>
      <c r="E104" s="301" t="str">
        <f>IF(D104="","",VLOOKUP($B104,'C-1 On-Site WaterC'' Baseline'!$C$9:$R$257,4,FALSE))</f>
        <v/>
      </c>
      <c r="F104" s="301" t="str">
        <f>IF(E104="","",VLOOKUP($B104,'C-1 On-Site WaterC'' Baseline'!$C$9:$R$257,5,FALSE))</f>
        <v/>
      </c>
      <c r="G104" s="301" t="str">
        <f>IF(F104="","",VLOOKUP($B104,'C-1 On-Site WaterC'' Baseline'!$C$9:$R$257,6,FALSE))</f>
        <v/>
      </c>
      <c r="H104" s="301" t="str">
        <f>IF(G104="","",VLOOKUP($B104,'C-1 On-Site WaterC'' Baseline'!$C$9:$R$257,7,FALSE))</f>
        <v/>
      </c>
      <c r="I104" s="301" t="str">
        <f>IF(H104="","",VLOOKUP($B104,'C-1 On-Site WaterC'' Baseline'!$C$9:$R$257,8,FALSE))</f>
        <v/>
      </c>
      <c r="J104" s="301" t="str">
        <f>IF(I104="","",VLOOKUP($B104,'C-1 On-Site WaterC'' Baseline'!$C$9:$R$257,9,FALSE))</f>
        <v/>
      </c>
      <c r="K104" s="301" t="str">
        <f>IF(J104="","",VLOOKUP($B104,'C-1 On-Site WaterC'' Baseline'!$C$9:$R$257,10,FALSE))</f>
        <v/>
      </c>
      <c r="L104" s="301" t="str">
        <f>IF(B104="","",VLOOKUP($B104,'C-1 On-Site WaterC'' Baseline'!$C$9:$R$257,15,FALSE))</f>
        <v/>
      </c>
      <c r="M104" s="305" t="str">
        <f>IF(L104="","",VLOOKUP($B104,'C-1 On-Site WaterC'' Baseline'!$C$9:$R$257,16,FALSE))</f>
        <v/>
      </c>
      <c r="N104" s="251"/>
      <c r="O104" s="281" t="str">
        <f t="shared" si="11"/>
        <v/>
      </c>
      <c r="P104" s="282" t="str">
        <f t="shared" si="12"/>
        <v/>
      </c>
      <c r="Q104" s="342" t="str">
        <f>IF(N104="","",VLOOKUP(B104,'C-1 On-Site WaterC'' Baseline'!$C$10:$AC$257,20,FALSE))</f>
        <v/>
      </c>
      <c r="R104" s="281" t="str">
        <f>IF(N104="","",VLOOKUP(N104,'G-7 WaterC'' Data'!$B$2:$G$8,2,FALSE))</f>
        <v/>
      </c>
      <c r="S104" s="282" t="str">
        <f>IFERROR(VLOOKUP(R104,'G-7 WaterC'' Data'!$C$4:$D$8,2,FALSE),"")</f>
        <v/>
      </c>
      <c r="T104" s="105"/>
      <c r="U104" s="282" t="str">
        <f>IFERROR(INDEX('G-7 WaterC'' Data'!$H$4:$L$8,MATCH(N104,'G-7 WaterC'' Data'!$B$4:$B$8,0),MATCH(T104,'G-7 WaterC'' Data'!$H$3:$L$3,0)),"")</f>
        <v/>
      </c>
      <c r="V104" s="105"/>
      <c r="W104" s="289" t="str">
        <f>IF(V104="","",IF(VLOOKUP(V104,'G-7 WaterC'' Data'!$AK$4:$AM$6,2,FALSE)=0,"Spatial Data Missing ⚠",VLOOKUP(V104,'G-7 WaterC'' Data'!$AK$4:$AM$6,2,FALSE)))</f>
        <v/>
      </c>
      <c r="X104" s="282" t="str">
        <f>IF(V104="","",IF(VLOOKUP(V104,'G-7 WaterC'' Data'!$AK$4:$AM$6,3,FALSE)=0,"Spatial Data Missing ⚠",VLOOKUP(V104,'G-7 WaterC'' Data'!$AK$4:$AM$6,3,FALSE)))</f>
        <v/>
      </c>
      <c r="Y104" s="281" t="str">
        <f>IFERROR(IF(OR(LEFT(P104,5)="Error",LEFT(O104,5)="Error"),"Check Data ⚠",IF(F104&lt;S104,'G-7 WaterC'' Data'!$R$3,INDEX('G-7 WaterC'' Data'!$U$5:$Y$9,MATCH(G104,'G-7 WaterC'' Data'!$T$5:$T$9,0),MATCH(T104,'G-7 WaterC'' Data'!$U$4:$Y$4,0)))),"")</f>
        <v/>
      </c>
      <c r="Z104" s="137"/>
      <c r="AA104" s="137"/>
      <c r="AB104" s="289" t="str">
        <f t="shared" si="13"/>
        <v/>
      </c>
      <c r="AC104" s="302" t="str">
        <f t="shared" si="14"/>
        <v/>
      </c>
      <c r="AD104" s="340" t="str">
        <f>IFERROR(IF(AC104="Check Data ⚠","Check Data ⚠",VLOOKUP(AC104,'G-4 Temporal multipliers'!$A$4:$C$37,3,FALSE)),"")</f>
        <v/>
      </c>
      <c r="AE104" s="281" t="str">
        <f>IF(N104="","",VLOOKUP(N104,'G-7 WaterC'' Data'!$B$4:$G$8,5,FALSE))</f>
        <v/>
      </c>
      <c r="AF104" s="289" t="str">
        <f t="shared" si="15"/>
        <v/>
      </c>
      <c r="AG104" s="320" t="str">
        <f t="shared" si="16"/>
        <v/>
      </c>
      <c r="AH104" s="282" t="str">
        <f t="shared" si="10"/>
        <v/>
      </c>
      <c r="AI104" s="109"/>
      <c r="AJ104" s="282" t="str">
        <f>IF(AI104="","",IF(AND(AI104="N/A - Culvert",N104&lt;&gt;"Culvert"),"Not possible ▲",IF(VLOOKUP(AI104,'G-7 WaterC'' Data'!$AA$4:$AB$7,2,FALSE)=0,"Spatial Data Missing ⚠",VLOOKUP(AI104,'G-7 WaterC'' Data'!$AA$4:$AB$7,2,FALSE))))</f>
        <v/>
      </c>
      <c r="AK104" s="110"/>
      <c r="AL104" s="282" t="str">
        <f>IF(AK104="","",IF(AND(AK104="N/A - Culvert",N104&lt;&gt;"Culvert"),"Not possible ▲",IF(VLOOKUP(AK104,'G-7 WaterC'' Data'!$AD$4:$AE$14,2,FALSE)=0,"Spatial Data Missing ⚠",VLOOKUP(AK104,'G-7 WaterC'' Data'!$AD$4:$AE$14,2,FALSE))))</f>
        <v/>
      </c>
      <c r="AM104" s="323" t="str">
        <f t="shared" si="17"/>
        <v/>
      </c>
      <c r="AN104" s="105"/>
      <c r="AO104" s="119"/>
      <c r="AP104" s="108"/>
      <c r="AS104" s="30" t="str">
        <f>IF(B104="","",IF(ISNA(VLOOKUP($B104,'C-1 On-Site WaterC'' Baseline'!$C$8:$AD$257,17,FALSE)),"",(VLOOKUP($B104,'C-1 On-Site WaterC'' Baseline'!$C$8:$AD$257,17,FALSE))))</f>
        <v/>
      </c>
      <c r="AT104" s="30" t="str">
        <f>IF(B104="","",VLOOKUP($B104,'C-1 On-Site WaterC'' Baseline'!$C$9:$Z$257,12,FALSE))</f>
        <v/>
      </c>
      <c r="AU104" s="30" t="str">
        <f>IF(B104="","",VLOOKUP($B104,'C-1 On-Site WaterC'' Baseline'!$C$9:$Z$257,14,FALSE))</f>
        <v/>
      </c>
      <c r="AV104" s="30" t="str">
        <f>IFERROR(INDEX('G-7 WaterC'' Data'!$AZ$3:$AZ$7,MATCH(N104,'G-7 WaterC'' Data'!$AY$3:$AY$7,0)),"")</f>
        <v/>
      </c>
      <c r="AX104" s="30" t="str">
        <f>IF(B104="","",VLOOKUP($B104,'C-1 On-Site WaterC'' Baseline'!$C$9:$Y$257,22,FALSE))</f>
        <v/>
      </c>
      <c r="AY104" s="30" t="str">
        <f t="shared" si="18"/>
        <v/>
      </c>
      <c r="AZ104" s="30" t="str">
        <f>IF(B104="","",VLOOKUP($B104,'C-1 On-Site WaterC'' Baseline'!$C$9:$Y$257,21,FALSE))</f>
        <v/>
      </c>
      <c r="BA104" s="30" t="str">
        <f>IF(B104="","",VLOOKUP($B104,'C-1 On-Site WaterC'' Baseline'!$C$9:$Y$257,19,FALSE))</f>
        <v/>
      </c>
      <c r="BD104" s="30" t="str">
        <f t="shared" si="19"/>
        <v>No</v>
      </c>
    </row>
    <row r="105" spans="2:56" ht="13.8" x14ac:dyDescent="0.25">
      <c r="B105" s="311" t="str">
        <f>'C-1 On-Site WaterC'' Baseline'!AP103</f>
        <v/>
      </c>
      <c r="C105" s="301" t="str">
        <f>IF(B105="","",VLOOKUP($B105,'C-1 On-Site WaterC'' Baseline'!$C$9:$R$257,2,FALSE))</f>
        <v/>
      </c>
      <c r="D105" s="301" t="str">
        <f>IF(C105="","",VLOOKUP($B105,'C-1 On-Site WaterC'' Baseline'!$C$9:$R$257,3,FALSE))</f>
        <v/>
      </c>
      <c r="E105" s="301" t="str">
        <f>IF(D105="","",VLOOKUP($B105,'C-1 On-Site WaterC'' Baseline'!$C$9:$R$257,4,FALSE))</f>
        <v/>
      </c>
      <c r="F105" s="301" t="str">
        <f>IF(E105="","",VLOOKUP($B105,'C-1 On-Site WaterC'' Baseline'!$C$9:$R$257,5,FALSE))</f>
        <v/>
      </c>
      <c r="G105" s="301" t="str">
        <f>IF(F105="","",VLOOKUP($B105,'C-1 On-Site WaterC'' Baseline'!$C$9:$R$257,6,FALSE))</f>
        <v/>
      </c>
      <c r="H105" s="301" t="str">
        <f>IF(G105="","",VLOOKUP($B105,'C-1 On-Site WaterC'' Baseline'!$C$9:$R$257,7,FALSE))</f>
        <v/>
      </c>
      <c r="I105" s="301" t="str">
        <f>IF(H105="","",VLOOKUP($B105,'C-1 On-Site WaterC'' Baseline'!$C$9:$R$257,8,FALSE))</f>
        <v/>
      </c>
      <c r="J105" s="301" t="str">
        <f>IF(I105="","",VLOOKUP($B105,'C-1 On-Site WaterC'' Baseline'!$C$9:$R$257,9,FALSE))</f>
        <v/>
      </c>
      <c r="K105" s="301" t="str">
        <f>IF(J105="","",VLOOKUP($B105,'C-1 On-Site WaterC'' Baseline'!$C$9:$R$257,10,FALSE))</f>
        <v/>
      </c>
      <c r="L105" s="301" t="str">
        <f>IF(B105="","",VLOOKUP($B105,'C-1 On-Site WaterC'' Baseline'!$C$9:$R$257,15,FALSE))</f>
        <v/>
      </c>
      <c r="M105" s="305" t="str">
        <f>IF(L105="","",VLOOKUP($B105,'C-1 On-Site WaterC'' Baseline'!$C$9:$R$257,16,FALSE))</f>
        <v/>
      </c>
      <c r="N105" s="251"/>
      <c r="O105" s="281" t="str">
        <f t="shared" si="11"/>
        <v/>
      </c>
      <c r="P105" s="282" t="str">
        <f t="shared" si="12"/>
        <v/>
      </c>
      <c r="Q105" s="342" t="str">
        <f>IF(N105="","",VLOOKUP(B105,'C-1 On-Site WaterC'' Baseline'!$C$10:$AC$257,20,FALSE))</f>
        <v/>
      </c>
      <c r="R105" s="281" t="str">
        <f>IF(N105="","",VLOOKUP(N105,'G-7 WaterC'' Data'!$B$2:$G$8,2,FALSE))</f>
        <v/>
      </c>
      <c r="S105" s="282" t="str">
        <f>IFERROR(VLOOKUP(R105,'G-7 WaterC'' Data'!$C$4:$D$8,2,FALSE),"")</f>
        <v/>
      </c>
      <c r="T105" s="105"/>
      <c r="U105" s="282" t="str">
        <f>IFERROR(INDEX('G-7 WaterC'' Data'!$H$4:$L$8,MATCH(N105,'G-7 WaterC'' Data'!$B$4:$B$8,0),MATCH(T105,'G-7 WaterC'' Data'!$H$3:$L$3,0)),"")</f>
        <v/>
      </c>
      <c r="V105" s="105"/>
      <c r="W105" s="289" t="str">
        <f>IF(V105="","",IF(VLOOKUP(V105,'G-7 WaterC'' Data'!$AK$4:$AM$6,2,FALSE)=0,"Spatial Data Missing ⚠",VLOOKUP(V105,'G-7 WaterC'' Data'!$AK$4:$AM$6,2,FALSE)))</f>
        <v/>
      </c>
      <c r="X105" s="282" t="str">
        <f>IF(V105="","",IF(VLOOKUP(V105,'G-7 WaterC'' Data'!$AK$4:$AM$6,3,FALSE)=0,"Spatial Data Missing ⚠",VLOOKUP(V105,'G-7 WaterC'' Data'!$AK$4:$AM$6,3,FALSE)))</f>
        <v/>
      </c>
      <c r="Y105" s="281" t="str">
        <f>IFERROR(IF(OR(LEFT(P105,5)="Error",LEFT(O105,5)="Error"),"Check Data ⚠",IF(F105&lt;S105,'G-7 WaterC'' Data'!$R$3,INDEX('G-7 WaterC'' Data'!$U$5:$Y$9,MATCH(G105,'G-7 WaterC'' Data'!$T$5:$T$9,0),MATCH(T105,'G-7 WaterC'' Data'!$U$4:$Y$4,0)))),"")</f>
        <v/>
      </c>
      <c r="Z105" s="137"/>
      <c r="AA105" s="137"/>
      <c r="AB105" s="289" t="str">
        <f t="shared" si="13"/>
        <v/>
      </c>
      <c r="AC105" s="302" t="str">
        <f t="shared" si="14"/>
        <v/>
      </c>
      <c r="AD105" s="340" t="str">
        <f>IFERROR(IF(AC105="Check Data ⚠","Check Data ⚠",VLOOKUP(AC105,'G-4 Temporal multipliers'!$A$4:$C$37,3,FALSE)),"")</f>
        <v/>
      </c>
      <c r="AE105" s="281" t="str">
        <f>IF(N105="","",VLOOKUP(N105,'G-7 WaterC'' Data'!$B$4:$G$8,5,FALSE))</f>
        <v/>
      </c>
      <c r="AF105" s="289" t="str">
        <f t="shared" si="15"/>
        <v/>
      </c>
      <c r="AG105" s="320" t="str">
        <f t="shared" si="16"/>
        <v/>
      </c>
      <c r="AH105" s="282" t="str">
        <f t="shared" si="10"/>
        <v/>
      </c>
      <c r="AI105" s="109"/>
      <c r="AJ105" s="282" t="str">
        <f>IF(AI105="","",IF(AND(AI105="N/A - Culvert",N105&lt;&gt;"Culvert"),"Not possible ▲",IF(VLOOKUP(AI105,'G-7 WaterC'' Data'!$AA$4:$AB$7,2,FALSE)=0,"Spatial Data Missing ⚠",VLOOKUP(AI105,'G-7 WaterC'' Data'!$AA$4:$AB$7,2,FALSE))))</f>
        <v/>
      </c>
      <c r="AK105" s="110"/>
      <c r="AL105" s="282" t="str">
        <f>IF(AK105="","",IF(AND(AK105="N/A - Culvert",N105&lt;&gt;"Culvert"),"Not possible ▲",IF(VLOOKUP(AK105,'G-7 WaterC'' Data'!$AD$4:$AE$14,2,FALSE)=0,"Spatial Data Missing ⚠",VLOOKUP(AK105,'G-7 WaterC'' Data'!$AD$4:$AE$14,2,FALSE))))</f>
        <v/>
      </c>
      <c r="AM105" s="323" t="str">
        <f t="shared" si="17"/>
        <v/>
      </c>
      <c r="AN105" s="105"/>
      <c r="AO105" s="119"/>
      <c r="AP105" s="108"/>
      <c r="AS105" s="30" t="str">
        <f>IF(B105="","",IF(ISNA(VLOOKUP($B105,'C-1 On-Site WaterC'' Baseline'!$C$8:$AD$257,17,FALSE)),"",(VLOOKUP($B105,'C-1 On-Site WaterC'' Baseline'!$C$8:$AD$257,17,FALSE))))</f>
        <v/>
      </c>
      <c r="AT105" s="30" t="str">
        <f>IF(B105="","",VLOOKUP($B105,'C-1 On-Site WaterC'' Baseline'!$C$9:$Z$257,12,FALSE))</f>
        <v/>
      </c>
      <c r="AU105" s="30" t="str">
        <f>IF(B105="","",VLOOKUP($B105,'C-1 On-Site WaterC'' Baseline'!$C$9:$Z$257,14,FALSE))</f>
        <v/>
      </c>
      <c r="AV105" s="30" t="str">
        <f>IFERROR(INDEX('G-7 WaterC'' Data'!$AZ$3:$AZ$7,MATCH(N105,'G-7 WaterC'' Data'!$AY$3:$AY$7,0)),"")</f>
        <v/>
      </c>
      <c r="AX105" s="30" t="str">
        <f>IF(B105="","",VLOOKUP($B105,'C-1 On-Site WaterC'' Baseline'!$C$9:$Y$257,22,FALSE))</f>
        <v/>
      </c>
      <c r="AY105" s="30" t="str">
        <f t="shared" si="18"/>
        <v/>
      </c>
      <c r="AZ105" s="30" t="str">
        <f>IF(B105="","",VLOOKUP($B105,'C-1 On-Site WaterC'' Baseline'!$C$9:$Y$257,21,FALSE))</f>
        <v/>
      </c>
      <c r="BA105" s="30" t="str">
        <f>IF(B105="","",VLOOKUP($B105,'C-1 On-Site WaterC'' Baseline'!$C$9:$Y$257,19,FALSE))</f>
        <v/>
      </c>
      <c r="BD105" s="30" t="str">
        <f t="shared" si="19"/>
        <v>No</v>
      </c>
    </row>
    <row r="106" spans="2:56" ht="13.8" x14ac:dyDescent="0.25">
      <c r="B106" s="311" t="str">
        <f>'C-1 On-Site WaterC'' Baseline'!AP104</f>
        <v/>
      </c>
      <c r="C106" s="301" t="str">
        <f>IF(B106="","",VLOOKUP($B106,'C-1 On-Site WaterC'' Baseline'!$C$9:$R$257,2,FALSE))</f>
        <v/>
      </c>
      <c r="D106" s="301" t="str">
        <f>IF(C106="","",VLOOKUP($B106,'C-1 On-Site WaterC'' Baseline'!$C$9:$R$257,3,FALSE))</f>
        <v/>
      </c>
      <c r="E106" s="301" t="str">
        <f>IF(D106="","",VLOOKUP($B106,'C-1 On-Site WaterC'' Baseline'!$C$9:$R$257,4,FALSE))</f>
        <v/>
      </c>
      <c r="F106" s="301" t="str">
        <f>IF(E106="","",VLOOKUP($B106,'C-1 On-Site WaterC'' Baseline'!$C$9:$R$257,5,FALSE))</f>
        <v/>
      </c>
      <c r="G106" s="301" t="str">
        <f>IF(F106="","",VLOOKUP($B106,'C-1 On-Site WaterC'' Baseline'!$C$9:$R$257,6,FALSE))</f>
        <v/>
      </c>
      <c r="H106" s="301" t="str">
        <f>IF(G106="","",VLOOKUP($B106,'C-1 On-Site WaterC'' Baseline'!$C$9:$R$257,7,FALSE))</f>
        <v/>
      </c>
      <c r="I106" s="301" t="str">
        <f>IF(H106="","",VLOOKUP($B106,'C-1 On-Site WaterC'' Baseline'!$C$9:$R$257,8,FALSE))</f>
        <v/>
      </c>
      <c r="J106" s="301" t="str">
        <f>IF(I106="","",VLOOKUP($B106,'C-1 On-Site WaterC'' Baseline'!$C$9:$R$257,9,FALSE))</f>
        <v/>
      </c>
      <c r="K106" s="301" t="str">
        <f>IF(J106="","",VLOOKUP($B106,'C-1 On-Site WaterC'' Baseline'!$C$9:$R$257,10,FALSE))</f>
        <v/>
      </c>
      <c r="L106" s="301" t="str">
        <f>IF(B106="","",VLOOKUP($B106,'C-1 On-Site WaterC'' Baseline'!$C$9:$R$257,15,FALSE))</f>
        <v/>
      </c>
      <c r="M106" s="305" t="str">
        <f>IF(L106="","",VLOOKUP($B106,'C-1 On-Site WaterC'' Baseline'!$C$9:$R$257,16,FALSE))</f>
        <v/>
      </c>
      <c r="N106" s="251"/>
      <c r="O106" s="281" t="str">
        <f t="shared" si="11"/>
        <v/>
      </c>
      <c r="P106" s="282" t="str">
        <f t="shared" si="12"/>
        <v/>
      </c>
      <c r="Q106" s="342" t="str">
        <f>IF(N106="","",VLOOKUP(B106,'C-1 On-Site WaterC'' Baseline'!$C$10:$AC$257,20,FALSE))</f>
        <v/>
      </c>
      <c r="R106" s="281" t="str">
        <f>IF(N106="","",VLOOKUP(N106,'G-7 WaterC'' Data'!$B$2:$G$8,2,FALSE))</f>
        <v/>
      </c>
      <c r="S106" s="282" t="str">
        <f>IFERROR(VLOOKUP(R106,'G-7 WaterC'' Data'!$C$4:$D$8,2,FALSE),"")</f>
        <v/>
      </c>
      <c r="T106" s="105"/>
      <c r="U106" s="282" t="str">
        <f>IFERROR(INDEX('G-7 WaterC'' Data'!$H$4:$L$8,MATCH(N106,'G-7 WaterC'' Data'!$B$4:$B$8,0),MATCH(T106,'G-7 WaterC'' Data'!$H$3:$L$3,0)),"")</f>
        <v/>
      </c>
      <c r="V106" s="105"/>
      <c r="W106" s="289" t="str">
        <f>IF(V106="","",IF(VLOOKUP(V106,'G-7 WaterC'' Data'!$AK$4:$AM$6,2,FALSE)=0,"Spatial Data Missing ⚠",VLOOKUP(V106,'G-7 WaterC'' Data'!$AK$4:$AM$6,2,FALSE)))</f>
        <v/>
      </c>
      <c r="X106" s="282" t="str">
        <f>IF(V106="","",IF(VLOOKUP(V106,'G-7 WaterC'' Data'!$AK$4:$AM$6,3,FALSE)=0,"Spatial Data Missing ⚠",VLOOKUP(V106,'G-7 WaterC'' Data'!$AK$4:$AM$6,3,FALSE)))</f>
        <v/>
      </c>
      <c r="Y106" s="281" t="str">
        <f>IFERROR(IF(OR(LEFT(P106,5)="Error",LEFT(O106,5)="Error"),"Check Data ⚠",IF(F106&lt;S106,'G-7 WaterC'' Data'!$R$3,INDEX('G-7 WaterC'' Data'!$U$5:$Y$9,MATCH(G106,'G-7 WaterC'' Data'!$T$5:$T$9,0),MATCH(T106,'G-7 WaterC'' Data'!$U$4:$Y$4,0)))),"")</f>
        <v/>
      </c>
      <c r="Z106" s="137"/>
      <c r="AA106" s="137"/>
      <c r="AB106" s="289" t="str">
        <f t="shared" si="13"/>
        <v/>
      </c>
      <c r="AC106" s="302" t="str">
        <f t="shared" si="14"/>
        <v/>
      </c>
      <c r="AD106" s="340" t="str">
        <f>IFERROR(IF(AC106="Check Data ⚠","Check Data ⚠",VLOOKUP(AC106,'G-4 Temporal multipliers'!$A$4:$C$37,3,FALSE)),"")</f>
        <v/>
      </c>
      <c r="AE106" s="281" t="str">
        <f>IF(N106="","",VLOOKUP(N106,'G-7 WaterC'' Data'!$B$4:$G$8,5,FALSE))</f>
        <v/>
      </c>
      <c r="AF106" s="289" t="str">
        <f t="shared" si="15"/>
        <v/>
      </c>
      <c r="AG106" s="320" t="str">
        <f t="shared" si="16"/>
        <v/>
      </c>
      <c r="AH106" s="282" t="str">
        <f t="shared" si="10"/>
        <v/>
      </c>
      <c r="AI106" s="109"/>
      <c r="AJ106" s="282" t="str">
        <f>IF(AI106="","",IF(AND(AI106="N/A - Culvert",N106&lt;&gt;"Culvert"),"Not possible ▲",IF(VLOOKUP(AI106,'G-7 WaterC'' Data'!$AA$4:$AB$7,2,FALSE)=0,"Spatial Data Missing ⚠",VLOOKUP(AI106,'G-7 WaterC'' Data'!$AA$4:$AB$7,2,FALSE))))</f>
        <v/>
      </c>
      <c r="AK106" s="110"/>
      <c r="AL106" s="282" t="str">
        <f>IF(AK106="","",IF(AND(AK106="N/A - Culvert",N106&lt;&gt;"Culvert"),"Not possible ▲",IF(VLOOKUP(AK106,'G-7 WaterC'' Data'!$AD$4:$AE$14,2,FALSE)=0,"Spatial Data Missing ⚠",VLOOKUP(AK106,'G-7 WaterC'' Data'!$AD$4:$AE$14,2,FALSE))))</f>
        <v/>
      </c>
      <c r="AM106" s="323" t="str">
        <f t="shared" si="17"/>
        <v/>
      </c>
      <c r="AN106" s="105"/>
      <c r="AO106" s="119"/>
      <c r="AP106" s="108"/>
      <c r="AS106" s="30" t="str">
        <f>IF(B106="","",IF(ISNA(VLOOKUP($B106,'C-1 On-Site WaterC'' Baseline'!$C$8:$AD$257,17,FALSE)),"",(VLOOKUP($B106,'C-1 On-Site WaterC'' Baseline'!$C$8:$AD$257,17,FALSE))))</f>
        <v/>
      </c>
      <c r="AT106" s="30" t="str">
        <f>IF(B106="","",VLOOKUP($B106,'C-1 On-Site WaterC'' Baseline'!$C$9:$Z$257,12,FALSE))</f>
        <v/>
      </c>
      <c r="AU106" s="30" t="str">
        <f>IF(B106="","",VLOOKUP($B106,'C-1 On-Site WaterC'' Baseline'!$C$9:$Z$257,14,FALSE))</f>
        <v/>
      </c>
      <c r="AV106" s="30" t="str">
        <f>IFERROR(INDEX('G-7 WaterC'' Data'!$AZ$3:$AZ$7,MATCH(N106,'G-7 WaterC'' Data'!$AY$3:$AY$7,0)),"")</f>
        <v/>
      </c>
      <c r="AX106" s="30" t="str">
        <f>IF(B106="","",VLOOKUP($B106,'C-1 On-Site WaterC'' Baseline'!$C$9:$Y$257,22,FALSE))</f>
        <v/>
      </c>
      <c r="AY106" s="30" t="str">
        <f t="shared" si="18"/>
        <v/>
      </c>
      <c r="AZ106" s="30" t="str">
        <f>IF(B106="","",VLOOKUP($B106,'C-1 On-Site WaterC'' Baseline'!$C$9:$Y$257,21,FALSE))</f>
        <v/>
      </c>
      <c r="BA106" s="30" t="str">
        <f>IF(B106="","",VLOOKUP($B106,'C-1 On-Site WaterC'' Baseline'!$C$9:$Y$257,19,FALSE))</f>
        <v/>
      </c>
      <c r="BD106" s="30" t="str">
        <f t="shared" si="19"/>
        <v>No</v>
      </c>
    </row>
    <row r="107" spans="2:56" ht="13.8" x14ac:dyDescent="0.25">
      <c r="B107" s="311" t="str">
        <f>'C-1 On-Site WaterC'' Baseline'!AP105</f>
        <v/>
      </c>
      <c r="C107" s="301" t="str">
        <f>IF(B107="","",VLOOKUP($B107,'C-1 On-Site WaterC'' Baseline'!$C$9:$R$257,2,FALSE))</f>
        <v/>
      </c>
      <c r="D107" s="301" t="str">
        <f>IF(C107="","",VLOOKUP($B107,'C-1 On-Site WaterC'' Baseline'!$C$9:$R$257,3,FALSE))</f>
        <v/>
      </c>
      <c r="E107" s="301" t="str">
        <f>IF(D107="","",VLOOKUP($B107,'C-1 On-Site WaterC'' Baseline'!$C$9:$R$257,4,FALSE))</f>
        <v/>
      </c>
      <c r="F107" s="301" t="str">
        <f>IF(E107="","",VLOOKUP($B107,'C-1 On-Site WaterC'' Baseline'!$C$9:$R$257,5,FALSE))</f>
        <v/>
      </c>
      <c r="G107" s="301" t="str">
        <f>IF(F107="","",VLOOKUP($B107,'C-1 On-Site WaterC'' Baseline'!$C$9:$R$257,6,FALSE))</f>
        <v/>
      </c>
      <c r="H107" s="301" t="str">
        <f>IF(G107="","",VLOOKUP($B107,'C-1 On-Site WaterC'' Baseline'!$C$9:$R$257,7,FALSE))</f>
        <v/>
      </c>
      <c r="I107" s="301" t="str">
        <f>IF(H107="","",VLOOKUP($B107,'C-1 On-Site WaterC'' Baseline'!$C$9:$R$257,8,FALSE))</f>
        <v/>
      </c>
      <c r="J107" s="301" t="str">
        <f>IF(I107="","",VLOOKUP($B107,'C-1 On-Site WaterC'' Baseline'!$C$9:$R$257,9,FALSE))</f>
        <v/>
      </c>
      <c r="K107" s="301" t="str">
        <f>IF(J107="","",VLOOKUP($B107,'C-1 On-Site WaterC'' Baseline'!$C$9:$R$257,10,FALSE))</f>
        <v/>
      </c>
      <c r="L107" s="301" t="str">
        <f>IF(B107="","",VLOOKUP($B107,'C-1 On-Site WaterC'' Baseline'!$C$9:$R$257,15,FALSE))</f>
        <v/>
      </c>
      <c r="M107" s="305" t="str">
        <f>IF(L107="","",VLOOKUP($B107,'C-1 On-Site WaterC'' Baseline'!$C$9:$R$257,16,FALSE))</f>
        <v/>
      </c>
      <c r="N107" s="251"/>
      <c r="O107" s="281" t="str">
        <f t="shared" si="11"/>
        <v/>
      </c>
      <c r="P107" s="282" t="str">
        <f t="shared" si="12"/>
        <v/>
      </c>
      <c r="Q107" s="342" t="str">
        <f>IF(N107="","",VLOOKUP(B107,'C-1 On-Site WaterC'' Baseline'!$C$10:$AC$257,20,FALSE))</f>
        <v/>
      </c>
      <c r="R107" s="281" t="str">
        <f>IF(N107="","",VLOOKUP(N107,'G-7 WaterC'' Data'!$B$2:$G$8,2,FALSE))</f>
        <v/>
      </c>
      <c r="S107" s="282" t="str">
        <f>IFERROR(VLOOKUP(R107,'G-7 WaterC'' Data'!$C$4:$D$8,2,FALSE),"")</f>
        <v/>
      </c>
      <c r="T107" s="105"/>
      <c r="U107" s="282" t="str">
        <f>IFERROR(INDEX('G-7 WaterC'' Data'!$H$4:$L$8,MATCH(N107,'G-7 WaterC'' Data'!$B$4:$B$8,0),MATCH(T107,'G-7 WaterC'' Data'!$H$3:$L$3,0)),"")</f>
        <v/>
      </c>
      <c r="V107" s="105"/>
      <c r="W107" s="289" t="str">
        <f>IF(V107="","",IF(VLOOKUP(V107,'G-7 WaterC'' Data'!$AK$4:$AM$6,2,FALSE)=0,"Spatial Data Missing ⚠",VLOOKUP(V107,'G-7 WaterC'' Data'!$AK$4:$AM$6,2,FALSE)))</f>
        <v/>
      </c>
      <c r="X107" s="282" t="str">
        <f>IF(V107="","",IF(VLOOKUP(V107,'G-7 WaterC'' Data'!$AK$4:$AM$6,3,FALSE)=0,"Spatial Data Missing ⚠",VLOOKUP(V107,'G-7 WaterC'' Data'!$AK$4:$AM$6,3,FALSE)))</f>
        <v/>
      </c>
      <c r="Y107" s="281" t="str">
        <f>IFERROR(IF(OR(LEFT(P107,5)="Error",LEFT(O107,5)="Error"),"Check Data ⚠",IF(F107&lt;S107,'G-7 WaterC'' Data'!$R$3,INDEX('G-7 WaterC'' Data'!$U$5:$Y$9,MATCH(G107,'G-7 WaterC'' Data'!$T$5:$T$9,0),MATCH(T107,'G-7 WaterC'' Data'!$U$4:$Y$4,0)))),"")</f>
        <v/>
      </c>
      <c r="Z107" s="137"/>
      <c r="AA107" s="137"/>
      <c r="AB107" s="289" t="str">
        <f t="shared" si="13"/>
        <v/>
      </c>
      <c r="AC107" s="302" t="str">
        <f t="shared" si="14"/>
        <v/>
      </c>
      <c r="AD107" s="340" t="str">
        <f>IFERROR(IF(AC107="Check Data ⚠","Check Data ⚠",VLOOKUP(AC107,'G-4 Temporal multipliers'!$A$4:$C$37,3,FALSE)),"")</f>
        <v/>
      </c>
      <c r="AE107" s="281" t="str">
        <f>IF(N107="","",VLOOKUP(N107,'G-7 WaterC'' Data'!$B$4:$G$8,5,FALSE))</f>
        <v/>
      </c>
      <c r="AF107" s="289" t="str">
        <f t="shared" si="15"/>
        <v/>
      </c>
      <c r="AG107" s="320" t="str">
        <f t="shared" si="16"/>
        <v/>
      </c>
      <c r="AH107" s="282" t="str">
        <f t="shared" si="10"/>
        <v/>
      </c>
      <c r="AI107" s="109"/>
      <c r="AJ107" s="282" t="str">
        <f>IF(AI107="","",IF(AND(AI107="N/A - Culvert",N107&lt;&gt;"Culvert"),"Not possible ▲",IF(VLOOKUP(AI107,'G-7 WaterC'' Data'!$AA$4:$AB$7,2,FALSE)=0,"Spatial Data Missing ⚠",VLOOKUP(AI107,'G-7 WaterC'' Data'!$AA$4:$AB$7,2,FALSE))))</f>
        <v/>
      </c>
      <c r="AK107" s="110"/>
      <c r="AL107" s="282" t="str">
        <f>IF(AK107="","",IF(AND(AK107="N/A - Culvert",N107&lt;&gt;"Culvert"),"Not possible ▲",IF(VLOOKUP(AK107,'G-7 WaterC'' Data'!$AD$4:$AE$14,2,FALSE)=0,"Spatial Data Missing ⚠",VLOOKUP(AK107,'G-7 WaterC'' Data'!$AD$4:$AE$14,2,FALSE))))</f>
        <v/>
      </c>
      <c r="AM107" s="323" t="str">
        <f t="shared" si="17"/>
        <v/>
      </c>
      <c r="AN107" s="105"/>
      <c r="AO107" s="119"/>
      <c r="AP107" s="108"/>
      <c r="AS107" s="30" t="str">
        <f>IF(B107="","",IF(ISNA(VLOOKUP($B107,'C-1 On-Site WaterC'' Baseline'!$C$8:$AD$257,17,FALSE)),"",(VLOOKUP($B107,'C-1 On-Site WaterC'' Baseline'!$C$8:$AD$257,17,FALSE))))</f>
        <v/>
      </c>
      <c r="AT107" s="30" t="str">
        <f>IF(B107="","",VLOOKUP($B107,'C-1 On-Site WaterC'' Baseline'!$C$9:$Z$257,12,FALSE))</f>
        <v/>
      </c>
      <c r="AU107" s="30" t="str">
        <f>IF(B107="","",VLOOKUP($B107,'C-1 On-Site WaterC'' Baseline'!$C$9:$Z$257,14,FALSE))</f>
        <v/>
      </c>
      <c r="AV107" s="30" t="str">
        <f>IFERROR(INDEX('G-7 WaterC'' Data'!$AZ$3:$AZ$7,MATCH(N107,'G-7 WaterC'' Data'!$AY$3:$AY$7,0)),"")</f>
        <v/>
      </c>
      <c r="AX107" s="30" t="str">
        <f>IF(B107="","",VLOOKUP($B107,'C-1 On-Site WaterC'' Baseline'!$C$9:$Y$257,22,FALSE))</f>
        <v/>
      </c>
      <c r="AY107" s="30" t="str">
        <f t="shared" si="18"/>
        <v/>
      </c>
      <c r="AZ107" s="30" t="str">
        <f>IF(B107="","",VLOOKUP($B107,'C-1 On-Site WaterC'' Baseline'!$C$9:$Y$257,21,FALSE))</f>
        <v/>
      </c>
      <c r="BA107" s="30" t="str">
        <f>IF(B107="","",VLOOKUP($B107,'C-1 On-Site WaterC'' Baseline'!$C$9:$Y$257,19,FALSE))</f>
        <v/>
      </c>
      <c r="BD107" s="30" t="str">
        <f t="shared" si="19"/>
        <v>No</v>
      </c>
    </row>
    <row r="108" spans="2:56" ht="13.8" x14ac:dyDescent="0.25">
      <c r="B108" s="311" t="str">
        <f>'C-1 On-Site WaterC'' Baseline'!AP106</f>
        <v/>
      </c>
      <c r="C108" s="301" t="str">
        <f>IF(B108="","",VLOOKUP($B108,'C-1 On-Site WaterC'' Baseline'!$C$9:$R$257,2,FALSE))</f>
        <v/>
      </c>
      <c r="D108" s="301" t="str">
        <f>IF(C108="","",VLOOKUP($B108,'C-1 On-Site WaterC'' Baseline'!$C$9:$R$257,3,FALSE))</f>
        <v/>
      </c>
      <c r="E108" s="301" t="str">
        <f>IF(D108="","",VLOOKUP($B108,'C-1 On-Site WaterC'' Baseline'!$C$9:$R$257,4,FALSE))</f>
        <v/>
      </c>
      <c r="F108" s="301" t="str">
        <f>IF(E108="","",VLOOKUP($B108,'C-1 On-Site WaterC'' Baseline'!$C$9:$R$257,5,FALSE))</f>
        <v/>
      </c>
      <c r="G108" s="301" t="str">
        <f>IF(F108="","",VLOOKUP($B108,'C-1 On-Site WaterC'' Baseline'!$C$9:$R$257,6,FALSE))</f>
        <v/>
      </c>
      <c r="H108" s="301" t="str">
        <f>IF(G108="","",VLOOKUP($B108,'C-1 On-Site WaterC'' Baseline'!$C$9:$R$257,7,FALSE))</f>
        <v/>
      </c>
      <c r="I108" s="301" t="str">
        <f>IF(H108="","",VLOOKUP($B108,'C-1 On-Site WaterC'' Baseline'!$C$9:$R$257,8,FALSE))</f>
        <v/>
      </c>
      <c r="J108" s="301" t="str">
        <f>IF(I108="","",VLOOKUP($B108,'C-1 On-Site WaterC'' Baseline'!$C$9:$R$257,9,FALSE))</f>
        <v/>
      </c>
      <c r="K108" s="301" t="str">
        <f>IF(J108="","",VLOOKUP($B108,'C-1 On-Site WaterC'' Baseline'!$C$9:$R$257,10,FALSE))</f>
        <v/>
      </c>
      <c r="L108" s="301" t="str">
        <f>IF(B108="","",VLOOKUP($B108,'C-1 On-Site WaterC'' Baseline'!$C$9:$R$257,15,FALSE))</f>
        <v/>
      </c>
      <c r="M108" s="305" t="str">
        <f>IF(L108="","",VLOOKUP($B108,'C-1 On-Site WaterC'' Baseline'!$C$9:$R$257,16,FALSE))</f>
        <v/>
      </c>
      <c r="N108" s="251"/>
      <c r="O108" s="281" t="str">
        <f t="shared" si="11"/>
        <v/>
      </c>
      <c r="P108" s="282" t="str">
        <f t="shared" si="12"/>
        <v/>
      </c>
      <c r="Q108" s="342" t="str">
        <f>IF(N108="","",VLOOKUP(B108,'C-1 On-Site WaterC'' Baseline'!$C$10:$AC$257,20,FALSE))</f>
        <v/>
      </c>
      <c r="R108" s="281" t="str">
        <f>IF(N108="","",VLOOKUP(N108,'G-7 WaterC'' Data'!$B$2:$G$8,2,FALSE))</f>
        <v/>
      </c>
      <c r="S108" s="282" t="str">
        <f>IFERROR(VLOOKUP(R108,'G-7 WaterC'' Data'!$C$4:$D$8,2,FALSE),"")</f>
        <v/>
      </c>
      <c r="T108" s="105"/>
      <c r="U108" s="282" t="str">
        <f>IFERROR(INDEX('G-7 WaterC'' Data'!$H$4:$L$8,MATCH(N108,'G-7 WaterC'' Data'!$B$4:$B$8,0),MATCH(T108,'G-7 WaterC'' Data'!$H$3:$L$3,0)),"")</f>
        <v/>
      </c>
      <c r="V108" s="105"/>
      <c r="W108" s="289" t="str">
        <f>IF(V108="","",IF(VLOOKUP(V108,'G-7 WaterC'' Data'!$AK$4:$AM$6,2,FALSE)=0,"Spatial Data Missing ⚠",VLOOKUP(V108,'G-7 WaterC'' Data'!$AK$4:$AM$6,2,FALSE)))</f>
        <v/>
      </c>
      <c r="X108" s="282" t="str">
        <f>IF(V108="","",IF(VLOOKUP(V108,'G-7 WaterC'' Data'!$AK$4:$AM$6,3,FALSE)=0,"Spatial Data Missing ⚠",VLOOKUP(V108,'G-7 WaterC'' Data'!$AK$4:$AM$6,3,FALSE)))</f>
        <v/>
      </c>
      <c r="Y108" s="281" t="str">
        <f>IFERROR(IF(OR(LEFT(P108,5)="Error",LEFT(O108,5)="Error"),"Check Data ⚠",IF(F108&lt;S108,'G-7 WaterC'' Data'!$R$3,INDEX('G-7 WaterC'' Data'!$U$5:$Y$9,MATCH(G108,'G-7 WaterC'' Data'!$T$5:$T$9,0),MATCH(T108,'G-7 WaterC'' Data'!$U$4:$Y$4,0)))),"")</f>
        <v/>
      </c>
      <c r="Z108" s="137"/>
      <c r="AA108" s="137"/>
      <c r="AB108" s="289" t="str">
        <f t="shared" si="13"/>
        <v/>
      </c>
      <c r="AC108" s="302" t="str">
        <f t="shared" si="14"/>
        <v/>
      </c>
      <c r="AD108" s="340" t="str">
        <f>IFERROR(IF(AC108="Check Data ⚠","Check Data ⚠",VLOOKUP(AC108,'G-4 Temporal multipliers'!$A$4:$C$37,3,FALSE)),"")</f>
        <v/>
      </c>
      <c r="AE108" s="281" t="str">
        <f>IF(N108="","",VLOOKUP(N108,'G-7 WaterC'' Data'!$B$4:$G$8,5,FALSE))</f>
        <v/>
      </c>
      <c r="AF108" s="289" t="str">
        <f t="shared" si="15"/>
        <v/>
      </c>
      <c r="AG108" s="320" t="str">
        <f t="shared" si="16"/>
        <v/>
      </c>
      <c r="AH108" s="282" t="str">
        <f t="shared" si="10"/>
        <v/>
      </c>
      <c r="AI108" s="109"/>
      <c r="AJ108" s="282" t="str">
        <f>IF(AI108="","",IF(AND(AI108="N/A - Culvert",N108&lt;&gt;"Culvert"),"Not possible ▲",IF(VLOOKUP(AI108,'G-7 WaterC'' Data'!$AA$4:$AB$7,2,FALSE)=0,"Spatial Data Missing ⚠",VLOOKUP(AI108,'G-7 WaterC'' Data'!$AA$4:$AB$7,2,FALSE))))</f>
        <v/>
      </c>
      <c r="AK108" s="110"/>
      <c r="AL108" s="282" t="str">
        <f>IF(AK108="","",IF(AND(AK108="N/A - Culvert",N108&lt;&gt;"Culvert"),"Not possible ▲",IF(VLOOKUP(AK108,'G-7 WaterC'' Data'!$AD$4:$AE$14,2,FALSE)=0,"Spatial Data Missing ⚠",VLOOKUP(AK108,'G-7 WaterC'' Data'!$AD$4:$AE$14,2,FALSE))))</f>
        <v/>
      </c>
      <c r="AM108" s="323" t="str">
        <f t="shared" si="17"/>
        <v/>
      </c>
      <c r="AN108" s="105"/>
      <c r="AO108" s="119"/>
      <c r="AP108" s="108"/>
      <c r="AS108" s="30" t="str">
        <f>IF(B108="","",IF(ISNA(VLOOKUP($B108,'C-1 On-Site WaterC'' Baseline'!$C$8:$AD$257,17,FALSE)),"",(VLOOKUP($B108,'C-1 On-Site WaterC'' Baseline'!$C$8:$AD$257,17,FALSE))))</f>
        <v/>
      </c>
      <c r="AT108" s="30" t="str">
        <f>IF(B108="","",VLOOKUP($B108,'C-1 On-Site WaterC'' Baseline'!$C$9:$Z$257,12,FALSE))</f>
        <v/>
      </c>
      <c r="AU108" s="30" t="str">
        <f>IF(B108="","",VLOOKUP($B108,'C-1 On-Site WaterC'' Baseline'!$C$9:$Z$257,14,FALSE))</f>
        <v/>
      </c>
      <c r="AV108" s="30" t="str">
        <f>IFERROR(INDEX('G-7 WaterC'' Data'!$AZ$3:$AZ$7,MATCH(N108,'G-7 WaterC'' Data'!$AY$3:$AY$7,0)),"")</f>
        <v/>
      </c>
      <c r="AX108" s="30" t="str">
        <f>IF(B108="","",VLOOKUP($B108,'C-1 On-Site WaterC'' Baseline'!$C$9:$Y$257,22,FALSE))</f>
        <v/>
      </c>
      <c r="AY108" s="30" t="str">
        <f t="shared" si="18"/>
        <v/>
      </c>
      <c r="AZ108" s="30" t="str">
        <f>IF(B108="","",VLOOKUP($B108,'C-1 On-Site WaterC'' Baseline'!$C$9:$Y$257,21,FALSE))</f>
        <v/>
      </c>
      <c r="BA108" s="30" t="str">
        <f>IF(B108="","",VLOOKUP($B108,'C-1 On-Site WaterC'' Baseline'!$C$9:$Y$257,19,FALSE))</f>
        <v/>
      </c>
      <c r="BD108" s="30" t="str">
        <f t="shared" si="19"/>
        <v>No</v>
      </c>
    </row>
    <row r="109" spans="2:56" ht="13.8" x14ac:dyDescent="0.25">
      <c r="B109" s="311" t="str">
        <f>'C-1 On-Site WaterC'' Baseline'!AP107</f>
        <v/>
      </c>
      <c r="C109" s="301" t="str">
        <f>IF(B109="","",VLOOKUP($B109,'C-1 On-Site WaterC'' Baseline'!$C$9:$R$257,2,FALSE))</f>
        <v/>
      </c>
      <c r="D109" s="301" t="str">
        <f>IF(C109="","",VLOOKUP($B109,'C-1 On-Site WaterC'' Baseline'!$C$9:$R$257,3,FALSE))</f>
        <v/>
      </c>
      <c r="E109" s="301" t="str">
        <f>IF(D109="","",VLOOKUP($B109,'C-1 On-Site WaterC'' Baseline'!$C$9:$R$257,4,FALSE))</f>
        <v/>
      </c>
      <c r="F109" s="301" t="str">
        <f>IF(E109="","",VLOOKUP($B109,'C-1 On-Site WaterC'' Baseline'!$C$9:$R$257,5,FALSE))</f>
        <v/>
      </c>
      <c r="G109" s="301" t="str">
        <f>IF(F109="","",VLOOKUP($B109,'C-1 On-Site WaterC'' Baseline'!$C$9:$R$257,6,FALSE))</f>
        <v/>
      </c>
      <c r="H109" s="301" t="str">
        <f>IF(G109="","",VLOOKUP($B109,'C-1 On-Site WaterC'' Baseline'!$C$9:$R$257,7,FALSE))</f>
        <v/>
      </c>
      <c r="I109" s="301" t="str">
        <f>IF(H109="","",VLOOKUP($B109,'C-1 On-Site WaterC'' Baseline'!$C$9:$R$257,8,FALSE))</f>
        <v/>
      </c>
      <c r="J109" s="301" t="str">
        <f>IF(I109="","",VLOOKUP($B109,'C-1 On-Site WaterC'' Baseline'!$C$9:$R$257,9,FALSE))</f>
        <v/>
      </c>
      <c r="K109" s="301" t="str">
        <f>IF(J109="","",VLOOKUP($B109,'C-1 On-Site WaterC'' Baseline'!$C$9:$R$257,10,FALSE))</f>
        <v/>
      </c>
      <c r="L109" s="301" t="str">
        <f>IF(B109="","",VLOOKUP($B109,'C-1 On-Site WaterC'' Baseline'!$C$9:$R$257,15,FALSE))</f>
        <v/>
      </c>
      <c r="M109" s="305" t="str">
        <f>IF(L109="","",VLOOKUP($B109,'C-1 On-Site WaterC'' Baseline'!$C$9:$R$257,16,FALSE))</f>
        <v/>
      </c>
      <c r="N109" s="251"/>
      <c r="O109" s="281" t="str">
        <f t="shared" si="11"/>
        <v/>
      </c>
      <c r="P109" s="282" t="str">
        <f t="shared" si="12"/>
        <v/>
      </c>
      <c r="Q109" s="342" t="str">
        <f>IF(N109="","",VLOOKUP(B109,'C-1 On-Site WaterC'' Baseline'!$C$10:$AC$257,20,FALSE))</f>
        <v/>
      </c>
      <c r="R109" s="281" t="str">
        <f>IF(N109="","",VLOOKUP(N109,'G-7 WaterC'' Data'!$B$2:$G$8,2,FALSE))</f>
        <v/>
      </c>
      <c r="S109" s="282" t="str">
        <f>IFERROR(VLOOKUP(R109,'G-7 WaterC'' Data'!$C$4:$D$8,2,FALSE),"")</f>
        <v/>
      </c>
      <c r="T109" s="105"/>
      <c r="U109" s="282" t="str">
        <f>IFERROR(INDEX('G-7 WaterC'' Data'!$H$4:$L$8,MATCH(N109,'G-7 WaterC'' Data'!$B$4:$B$8,0),MATCH(T109,'G-7 WaterC'' Data'!$H$3:$L$3,0)),"")</f>
        <v/>
      </c>
      <c r="V109" s="105"/>
      <c r="W109" s="289" t="str">
        <f>IF(V109="","",IF(VLOOKUP(V109,'G-7 WaterC'' Data'!$AK$4:$AM$6,2,FALSE)=0,"Spatial Data Missing ⚠",VLOOKUP(V109,'G-7 WaterC'' Data'!$AK$4:$AM$6,2,FALSE)))</f>
        <v/>
      </c>
      <c r="X109" s="282" t="str">
        <f>IF(V109="","",IF(VLOOKUP(V109,'G-7 WaterC'' Data'!$AK$4:$AM$6,3,FALSE)=0,"Spatial Data Missing ⚠",VLOOKUP(V109,'G-7 WaterC'' Data'!$AK$4:$AM$6,3,FALSE)))</f>
        <v/>
      </c>
      <c r="Y109" s="281" t="str">
        <f>IFERROR(IF(OR(LEFT(P109,5)="Error",LEFT(O109,5)="Error"),"Check Data ⚠",IF(F109&lt;S109,'G-7 WaterC'' Data'!$R$3,INDEX('G-7 WaterC'' Data'!$U$5:$Y$9,MATCH(G109,'G-7 WaterC'' Data'!$T$5:$T$9,0),MATCH(T109,'G-7 WaterC'' Data'!$U$4:$Y$4,0)))),"")</f>
        <v/>
      </c>
      <c r="Z109" s="137"/>
      <c r="AA109" s="137"/>
      <c r="AB109" s="289" t="str">
        <f t="shared" si="13"/>
        <v/>
      </c>
      <c r="AC109" s="302" t="str">
        <f t="shared" si="14"/>
        <v/>
      </c>
      <c r="AD109" s="340" t="str">
        <f>IFERROR(IF(AC109="Check Data ⚠","Check Data ⚠",VLOOKUP(AC109,'G-4 Temporal multipliers'!$A$4:$C$37,3,FALSE)),"")</f>
        <v/>
      </c>
      <c r="AE109" s="281" t="str">
        <f>IF(N109="","",VLOOKUP(N109,'G-7 WaterC'' Data'!$B$4:$G$8,5,FALSE))</f>
        <v/>
      </c>
      <c r="AF109" s="289" t="str">
        <f t="shared" si="15"/>
        <v/>
      </c>
      <c r="AG109" s="320" t="str">
        <f t="shared" si="16"/>
        <v/>
      </c>
      <c r="AH109" s="282" t="str">
        <f t="shared" si="10"/>
        <v/>
      </c>
      <c r="AI109" s="109"/>
      <c r="AJ109" s="282" t="str">
        <f>IF(AI109="","",IF(AND(AI109="N/A - Culvert",N109&lt;&gt;"Culvert"),"Not possible ▲",IF(VLOOKUP(AI109,'G-7 WaterC'' Data'!$AA$4:$AB$7,2,FALSE)=0,"Spatial Data Missing ⚠",VLOOKUP(AI109,'G-7 WaterC'' Data'!$AA$4:$AB$7,2,FALSE))))</f>
        <v/>
      </c>
      <c r="AK109" s="110"/>
      <c r="AL109" s="282" t="str">
        <f>IF(AK109="","",IF(AND(AK109="N/A - Culvert",N109&lt;&gt;"Culvert"),"Not possible ▲",IF(VLOOKUP(AK109,'G-7 WaterC'' Data'!$AD$4:$AE$14,2,FALSE)=0,"Spatial Data Missing ⚠",VLOOKUP(AK109,'G-7 WaterC'' Data'!$AD$4:$AE$14,2,FALSE))))</f>
        <v/>
      </c>
      <c r="AM109" s="323" t="str">
        <f t="shared" si="17"/>
        <v/>
      </c>
      <c r="AN109" s="105"/>
      <c r="AO109" s="119"/>
      <c r="AP109" s="108"/>
      <c r="AS109" s="30" t="str">
        <f>IF(B109="","",IF(ISNA(VLOOKUP($B109,'C-1 On-Site WaterC'' Baseline'!$C$8:$AD$257,17,FALSE)),"",(VLOOKUP($B109,'C-1 On-Site WaterC'' Baseline'!$C$8:$AD$257,17,FALSE))))</f>
        <v/>
      </c>
      <c r="AT109" s="30" t="str">
        <f>IF(B109="","",VLOOKUP($B109,'C-1 On-Site WaterC'' Baseline'!$C$9:$Z$257,12,FALSE))</f>
        <v/>
      </c>
      <c r="AU109" s="30" t="str">
        <f>IF(B109="","",VLOOKUP($B109,'C-1 On-Site WaterC'' Baseline'!$C$9:$Z$257,14,FALSE))</f>
        <v/>
      </c>
      <c r="AV109" s="30" t="str">
        <f>IFERROR(INDEX('G-7 WaterC'' Data'!$AZ$3:$AZ$7,MATCH(N109,'G-7 WaterC'' Data'!$AY$3:$AY$7,0)),"")</f>
        <v/>
      </c>
      <c r="AX109" s="30" t="str">
        <f>IF(B109="","",VLOOKUP($B109,'C-1 On-Site WaterC'' Baseline'!$C$9:$Y$257,22,FALSE))</f>
        <v/>
      </c>
      <c r="AY109" s="30" t="str">
        <f t="shared" si="18"/>
        <v/>
      </c>
      <c r="AZ109" s="30" t="str">
        <f>IF(B109="","",VLOOKUP($B109,'C-1 On-Site WaterC'' Baseline'!$C$9:$Y$257,21,FALSE))</f>
        <v/>
      </c>
      <c r="BA109" s="30" t="str">
        <f>IF(B109="","",VLOOKUP($B109,'C-1 On-Site WaterC'' Baseline'!$C$9:$Y$257,19,FALSE))</f>
        <v/>
      </c>
      <c r="BD109" s="30" t="str">
        <f t="shared" si="19"/>
        <v>No</v>
      </c>
    </row>
    <row r="110" spans="2:56" ht="13.8" x14ac:dyDescent="0.25">
      <c r="B110" s="311" t="str">
        <f>'C-1 On-Site WaterC'' Baseline'!AP108</f>
        <v/>
      </c>
      <c r="C110" s="301" t="str">
        <f>IF(B110="","",VLOOKUP($B110,'C-1 On-Site WaterC'' Baseline'!$C$9:$R$257,2,FALSE))</f>
        <v/>
      </c>
      <c r="D110" s="301" t="str">
        <f>IF(C110="","",VLOOKUP($B110,'C-1 On-Site WaterC'' Baseline'!$C$9:$R$257,3,FALSE))</f>
        <v/>
      </c>
      <c r="E110" s="301" t="str">
        <f>IF(D110="","",VLOOKUP($B110,'C-1 On-Site WaterC'' Baseline'!$C$9:$R$257,4,FALSE))</f>
        <v/>
      </c>
      <c r="F110" s="301" t="str">
        <f>IF(E110="","",VLOOKUP($B110,'C-1 On-Site WaterC'' Baseline'!$C$9:$R$257,5,FALSE))</f>
        <v/>
      </c>
      <c r="G110" s="301" t="str">
        <f>IF(F110="","",VLOOKUP($B110,'C-1 On-Site WaterC'' Baseline'!$C$9:$R$257,6,FALSE))</f>
        <v/>
      </c>
      <c r="H110" s="301" t="str">
        <f>IF(G110="","",VLOOKUP($B110,'C-1 On-Site WaterC'' Baseline'!$C$9:$R$257,7,FALSE))</f>
        <v/>
      </c>
      <c r="I110" s="301" t="str">
        <f>IF(H110="","",VLOOKUP($B110,'C-1 On-Site WaterC'' Baseline'!$C$9:$R$257,8,FALSE))</f>
        <v/>
      </c>
      <c r="J110" s="301" t="str">
        <f>IF(I110="","",VLOOKUP($B110,'C-1 On-Site WaterC'' Baseline'!$C$9:$R$257,9,FALSE))</f>
        <v/>
      </c>
      <c r="K110" s="301" t="str">
        <f>IF(J110="","",VLOOKUP($B110,'C-1 On-Site WaterC'' Baseline'!$C$9:$R$257,10,FALSE))</f>
        <v/>
      </c>
      <c r="L110" s="301" t="str">
        <f>IF(B110="","",VLOOKUP($B110,'C-1 On-Site WaterC'' Baseline'!$C$9:$R$257,15,FALSE))</f>
        <v/>
      </c>
      <c r="M110" s="305" t="str">
        <f>IF(L110="","",VLOOKUP($B110,'C-1 On-Site WaterC'' Baseline'!$C$9:$R$257,16,FALSE))</f>
        <v/>
      </c>
      <c r="N110" s="251"/>
      <c r="O110" s="281" t="str">
        <f t="shared" si="11"/>
        <v/>
      </c>
      <c r="P110" s="282" t="str">
        <f t="shared" si="12"/>
        <v/>
      </c>
      <c r="Q110" s="342" t="str">
        <f>IF(N110="","",VLOOKUP(B110,'C-1 On-Site WaterC'' Baseline'!$C$10:$AC$257,20,FALSE))</f>
        <v/>
      </c>
      <c r="R110" s="281" t="str">
        <f>IF(N110="","",VLOOKUP(N110,'G-7 WaterC'' Data'!$B$2:$G$8,2,FALSE))</f>
        <v/>
      </c>
      <c r="S110" s="282" t="str">
        <f>IFERROR(VLOOKUP(R110,'G-7 WaterC'' Data'!$C$4:$D$8,2,FALSE),"")</f>
        <v/>
      </c>
      <c r="T110" s="105"/>
      <c r="U110" s="282" t="str">
        <f>IFERROR(INDEX('G-7 WaterC'' Data'!$H$4:$L$8,MATCH(N110,'G-7 WaterC'' Data'!$B$4:$B$8,0),MATCH(T110,'G-7 WaterC'' Data'!$H$3:$L$3,0)),"")</f>
        <v/>
      </c>
      <c r="V110" s="105"/>
      <c r="W110" s="289" t="str">
        <f>IF(V110="","",IF(VLOOKUP(V110,'G-7 WaterC'' Data'!$AK$4:$AM$6,2,FALSE)=0,"Spatial Data Missing ⚠",VLOOKUP(V110,'G-7 WaterC'' Data'!$AK$4:$AM$6,2,FALSE)))</f>
        <v/>
      </c>
      <c r="X110" s="282" t="str">
        <f>IF(V110="","",IF(VLOOKUP(V110,'G-7 WaterC'' Data'!$AK$4:$AM$6,3,FALSE)=0,"Spatial Data Missing ⚠",VLOOKUP(V110,'G-7 WaterC'' Data'!$AK$4:$AM$6,3,FALSE)))</f>
        <v/>
      </c>
      <c r="Y110" s="281" t="str">
        <f>IFERROR(IF(OR(LEFT(P110,5)="Error",LEFT(O110,5)="Error"),"Check Data ⚠",IF(F110&lt;S110,'G-7 WaterC'' Data'!$R$3,INDEX('G-7 WaterC'' Data'!$U$5:$Y$9,MATCH(G110,'G-7 WaterC'' Data'!$T$5:$T$9,0),MATCH(T110,'G-7 WaterC'' Data'!$U$4:$Y$4,0)))),"")</f>
        <v/>
      </c>
      <c r="Z110" s="137"/>
      <c r="AA110" s="137"/>
      <c r="AB110" s="289" t="str">
        <f t="shared" si="13"/>
        <v/>
      </c>
      <c r="AC110" s="302" t="str">
        <f t="shared" si="14"/>
        <v/>
      </c>
      <c r="AD110" s="340" t="str">
        <f>IFERROR(IF(AC110="Check Data ⚠","Check Data ⚠",VLOOKUP(AC110,'G-4 Temporal multipliers'!$A$4:$C$37,3,FALSE)),"")</f>
        <v/>
      </c>
      <c r="AE110" s="281" t="str">
        <f>IF(N110="","",VLOOKUP(N110,'G-7 WaterC'' Data'!$B$4:$G$8,5,FALSE))</f>
        <v/>
      </c>
      <c r="AF110" s="289" t="str">
        <f t="shared" si="15"/>
        <v/>
      </c>
      <c r="AG110" s="320" t="str">
        <f t="shared" si="16"/>
        <v/>
      </c>
      <c r="AH110" s="282" t="str">
        <f t="shared" si="10"/>
        <v/>
      </c>
      <c r="AI110" s="109"/>
      <c r="AJ110" s="282" t="str">
        <f>IF(AI110="","",IF(AND(AI110="N/A - Culvert",N110&lt;&gt;"Culvert"),"Not possible ▲",IF(VLOOKUP(AI110,'G-7 WaterC'' Data'!$AA$4:$AB$7,2,FALSE)=0,"Spatial Data Missing ⚠",VLOOKUP(AI110,'G-7 WaterC'' Data'!$AA$4:$AB$7,2,FALSE))))</f>
        <v/>
      </c>
      <c r="AK110" s="110"/>
      <c r="AL110" s="282" t="str">
        <f>IF(AK110="","",IF(AND(AK110="N/A - Culvert",N110&lt;&gt;"Culvert"),"Not possible ▲",IF(VLOOKUP(AK110,'G-7 WaterC'' Data'!$AD$4:$AE$14,2,FALSE)=0,"Spatial Data Missing ⚠",VLOOKUP(AK110,'G-7 WaterC'' Data'!$AD$4:$AE$14,2,FALSE))))</f>
        <v/>
      </c>
      <c r="AM110" s="323" t="str">
        <f t="shared" si="17"/>
        <v/>
      </c>
      <c r="AN110" s="105"/>
      <c r="AO110" s="119"/>
      <c r="AP110" s="108"/>
      <c r="AS110" s="30" t="str">
        <f>IF(B110="","",IF(ISNA(VLOOKUP($B110,'C-1 On-Site WaterC'' Baseline'!$C$8:$AD$257,17,FALSE)),"",(VLOOKUP($B110,'C-1 On-Site WaterC'' Baseline'!$C$8:$AD$257,17,FALSE))))</f>
        <v/>
      </c>
      <c r="AT110" s="30" t="str">
        <f>IF(B110="","",VLOOKUP($B110,'C-1 On-Site WaterC'' Baseline'!$C$9:$Z$257,12,FALSE))</f>
        <v/>
      </c>
      <c r="AU110" s="30" t="str">
        <f>IF(B110="","",VLOOKUP($B110,'C-1 On-Site WaterC'' Baseline'!$C$9:$Z$257,14,FALSE))</f>
        <v/>
      </c>
      <c r="AV110" s="30" t="str">
        <f>IFERROR(INDEX('G-7 WaterC'' Data'!$AZ$3:$AZ$7,MATCH(N110,'G-7 WaterC'' Data'!$AY$3:$AY$7,0)),"")</f>
        <v/>
      </c>
      <c r="AX110" s="30" t="str">
        <f>IF(B110="","",VLOOKUP($B110,'C-1 On-Site WaterC'' Baseline'!$C$9:$Y$257,22,FALSE))</f>
        <v/>
      </c>
      <c r="AY110" s="30" t="str">
        <f t="shared" si="18"/>
        <v/>
      </c>
      <c r="AZ110" s="30" t="str">
        <f>IF(B110="","",VLOOKUP($B110,'C-1 On-Site WaterC'' Baseline'!$C$9:$Y$257,21,FALSE))</f>
        <v/>
      </c>
      <c r="BA110" s="30" t="str">
        <f>IF(B110="","",VLOOKUP($B110,'C-1 On-Site WaterC'' Baseline'!$C$9:$Y$257,19,FALSE))</f>
        <v/>
      </c>
      <c r="BD110" s="30" t="str">
        <f t="shared" si="19"/>
        <v>No</v>
      </c>
    </row>
    <row r="111" spans="2:56" ht="13.8" x14ac:dyDescent="0.25">
      <c r="B111" s="311" t="str">
        <f>'C-1 On-Site WaterC'' Baseline'!AP109</f>
        <v/>
      </c>
      <c r="C111" s="301" t="str">
        <f>IF(B111="","",VLOOKUP($B111,'C-1 On-Site WaterC'' Baseline'!$C$9:$R$257,2,FALSE))</f>
        <v/>
      </c>
      <c r="D111" s="301" t="str">
        <f>IF(C111="","",VLOOKUP($B111,'C-1 On-Site WaterC'' Baseline'!$C$9:$R$257,3,FALSE))</f>
        <v/>
      </c>
      <c r="E111" s="301" t="str">
        <f>IF(D111="","",VLOOKUP($B111,'C-1 On-Site WaterC'' Baseline'!$C$9:$R$257,4,FALSE))</f>
        <v/>
      </c>
      <c r="F111" s="301" t="str">
        <f>IF(E111="","",VLOOKUP($B111,'C-1 On-Site WaterC'' Baseline'!$C$9:$R$257,5,FALSE))</f>
        <v/>
      </c>
      <c r="G111" s="301" t="str">
        <f>IF(F111="","",VLOOKUP($B111,'C-1 On-Site WaterC'' Baseline'!$C$9:$R$257,6,FALSE))</f>
        <v/>
      </c>
      <c r="H111" s="301" t="str">
        <f>IF(G111="","",VLOOKUP($B111,'C-1 On-Site WaterC'' Baseline'!$C$9:$R$257,7,FALSE))</f>
        <v/>
      </c>
      <c r="I111" s="301" t="str">
        <f>IF(H111="","",VLOOKUP($B111,'C-1 On-Site WaterC'' Baseline'!$C$9:$R$257,8,FALSE))</f>
        <v/>
      </c>
      <c r="J111" s="301" t="str">
        <f>IF(I111="","",VLOOKUP($B111,'C-1 On-Site WaterC'' Baseline'!$C$9:$R$257,9,FALSE))</f>
        <v/>
      </c>
      <c r="K111" s="301" t="str">
        <f>IF(J111="","",VLOOKUP($B111,'C-1 On-Site WaterC'' Baseline'!$C$9:$R$257,10,FALSE))</f>
        <v/>
      </c>
      <c r="L111" s="301" t="str">
        <f>IF(B111="","",VLOOKUP($B111,'C-1 On-Site WaterC'' Baseline'!$C$9:$R$257,15,FALSE))</f>
        <v/>
      </c>
      <c r="M111" s="305" t="str">
        <f>IF(L111="","",VLOOKUP($B111,'C-1 On-Site WaterC'' Baseline'!$C$9:$R$257,16,FALSE))</f>
        <v/>
      </c>
      <c r="N111" s="251"/>
      <c r="O111" s="281" t="str">
        <f t="shared" si="11"/>
        <v/>
      </c>
      <c r="P111" s="282" t="str">
        <f t="shared" si="12"/>
        <v/>
      </c>
      <c r="Q111" s="342" t="str">
        <f>IF(N111="","",VLOOKUP(B111,'C-1 On-Site WaterC'' Baseline'!$C$10:$AC$257,20,FALSE))</f>
        <v/>
      </c>
      <c r="R111" s="281" t="str">
        <f>IF(N111="","",VLOOKUP(N111,'G-7 WaterC'' Data'!$B$2:$G$8,2,FALSE))</f>
        <v/>
      </c>
      <c r="S111" s="282" t="str">
        <f>IFERROR(VLOOKUP(R111,'G-7 WaterC'' Data'!$C$4:$D$8,2,FALSE),"")</f>
        <v/>
      </c>
      <c r="T111" s="105"/>
      <c r="U111" s="282" t="str">
        <f>IFERROR(INDEX('G-7 WaterC'' Data'!$H$4:$L$8,MATCH(N111,'G-7 WaterC'' Data'!$B$4:$B$8,0),MATCH(T111,'G-7 WaterC'' Data'!$H$3:$L$3,0)),"")</f>
        <v/>
      </c>
      <c r="V111" s="105"/>
      <c r="W111" s="289" t="str">
        <f>IF(V111="","",IF(VLOOKUP(V111,'G-7 WaterC'' Data'!$AK$4:$AM$6,2,FALSE)=0,"Spatial Data Missing ⚠",VLOOKUP(V111,'G-7 WaterC'' Data'!$AK$4:$AM$6,2,FALSE)))</f>
        <v/>
      </c>
      <c r="X111" s="282" t="str">
        <f>IF(V111="","",IF(VLOOKUP(V111,'G-7 WaterC'' Data'!$AK$4:$AM$6,3,FALSE)=0,"Spatial Data Missing ⚠",VLOOKUP(V111,'G-7 WaterC'' Data'!$AK$4:$AM$6,3,FALSE)))</f>
        <v/>
      </c>
      <c r="Y111" s="281" t="str">
        <f>IFERROR(IF(OR(LEFT(P111,5)="Error",LEFT(O111,5)="Error"),"Check Data ⚠",IF(F111&lt;S111,'G-7 WaterC'' Data'!$R$3,INDEX('G-7 WaterC'' Data'!$U$5:$Y$9,MATCH(G111,'G-7 WaterC'' Data'!$T$5:$T$9,0),MATCH(T111,'G-7 WaterC'' Data'!$U$4:$Y$4,0)))),"")</f>
        <v/>
      </c>
      <c r="Z111" s="137"/>
      <c r="AA111" s="137"/>
      <c r="AB111" s="289" t="str">
        <f t="shared" si="13"/>
        <v/>
      </c>
      <c r="AC111" s="302" t="str">
        <f t="shared" si="14"/>
        <v/>
      </c>
      <c r="AD111" s="340" t="str">
        <f>IFERROR(IF(AC111="Check Data ⚠","Check Data ⚠",VLOOKUP(AC111,'G-4 Temporal multipliers'!$A$4:$C$37,3,FALSE)),"")</f>
        <v/>
      </c>
      <c r="AE111" s="281" t="str">
        <f>IF(N111="","",VLOOKUP(N111,'G-7 WaterC'' Data'!$B$4:$G$8,5,FALSE))</f>
        <v/>
      </c>
      <c r="AF111" s="289" t="str">
        <f t="shared" si="15"/>
        <v/>
      </c>
      <c r="AG111" s="320" t="str">
        <f t="shared" si="16"/>
        <v/>
      </c>
      <c r="AH111" s="282" t="str">
        <f t="shared" si="10"/>
        <v/>
      </c>
      <c r="AI111" s="109"/>
      <c r="AJ111" s="282" t="str">
        <f>IF(AI111="","",IF(AND(AI111="N/A - Culvert",N111&lt;&gt;"Culvert"),"Not possible ▲",IF(VLOOKUP(AI111,'G-7 WaterC'' Data'!$AA$4:$AB$7,2,FALSE)=0,"Spatial Data Missing ⚠",VLOOKUP(AI111,'G-7 WaterC'' Data'!$AA$4:$AB$7,2,FALSE))))</f>
        <v/>
      </c>
      <c r="AK111" s="110"/>
      <c r="AL111" s="282" t="str">
        <f>IF(AK111="","",IF(AND(AK111="N/A - Culvert",N111&lt;&gt;"Culvert"),"Not possible ▲",IF(VLOOKUP(AK111,'G-7 WaterC'' Data'!$AD$4:$AE$14,2,FALSE)=0,"Spatial Data Missing ⚠",VLOOKUP(AK111,'G-7 WaterC'' Data'!$AD$4:$AE$14,2,FALSE))))</f>
        <v/>
      </c>
      <c r="AM111" s="323" t="str">
        <f t="shared" si="17"/>
        <v/>
      </c>
      <c r="AN111" s="105"/>
      <c r="AO111" s="119"/>
      <c r="AP111" s="108"/>
      <c r="AS111" s="30" t="str">
        <f>IF(B111="","",IF(ISNA(VLOOKUP($B111,'C-1 On-Site WaterC'' Baseline'!$C$8:$AD$257,17,FALSE)),"",(VLOOKUP($B111,'C-1 On-Site WaterC'' Baseline'!$C$8:$AD$257,17,FALSE))))</f>
        <v/>
      </c>
      <c r="AT111" s="30" t="str">
        <f>IF(B111="","",VLOOKUP($B111,'C-1 On-Site WaterC'' Baseline'!$C$9:$Z$257,12,FALSE))</f>
        <v/>
      </c>
      <c r="AU111" s="30" t="str">
        <f>IF(B111="","",VLOOKUP($B111,'C-1 On-Site WaterC'' Baseline'!$C$9:$Z$257,14,FALSE))</f>
        <v/>
      </c>
      <c r="AV111" s="30" t="str">
        <f>IFERROR(INDEX('G-7 WaterC'' Data'!$AZ$3:$AZ$7,MATCH(N111,'G-7 WaterC'' Data'!$AY$3:$AY$7,0)),"")</f>
        <v/>
      </c>
      <c r="AX111" s="30" t="str">
        <f>IF(B111="","",VLOOKUP($B111,'C-1 On-Site WaterC'' Baseline'!$C$9:$Y$257,22,FALSE))</f>
        <v/>
      </c>
      <c r="AY111" s="30" t="str">
        <f t="shared" si="18"/>
        <v/>
      </c>
      <c r="AZ111" s="30" t="str">
        <f>IF(B111="","",VLOOKUP($B111,'C-1 On-Site WaterC'' Baseline'!$C$9:$Y$257,21,FALSE))</f>
        <v/>
      </c>
      <c r="BA111" s="30" t="str">
        <f>IF(B111="","",VLOOKUP($B111,'C-1 On-Site WaterC'' Baseline'!$C$9:$Y$257,19,FALSE))</f>
        <v/>
      </c>
      <c r="BD111" s="30" t="str">
        <f t="shared" si="19"/>
        <v>No</v>
      </c>
    </row>
    <row r="112" spans="2:56" ht="13.8" x14ac:dyDescent="0.25">
      <c r="B112" s="311" t="str">
        <f>'C-1 On-Site WaterC'' Baseline'!AP110</f>
        <v/>
      </c>
      <c r="C112" s="301" t="str">
        <f>IF(B112="","",VLOOKUP($B112,'C-1 On-Site WaterC'' Baseline'!$C$9:$R$257,2,FALSE))</f>
        <v/>
      </c>
      <c r="D112" s="301" t="str">
        <f>IF(C112="","",VLOOKUP($B112,'C-1 On-Site WaterC'' Baseline'!$C$9:$R$257,3,FALSE))</f>
        <v/>
      </c>
      <c r="E112" s="301" t="str">
        <f>IF(D112="","",VLOOKUP($B112,'C-1 On-Site WaterC'' Baseline'!$C$9:$R$257,4,FALSE))</f>
        <v/>
      </c>
      <c r="F112" s="301" t="str">
        <f>IF(E112="","",VLOOKUP($B112,'C-1 On-Site WaterC'' Baseline'!$C$9:$R$257,5,FALSE))</f>
        <v/>
      </c>
      <c r="G112" s="301" t="str">
        <f>IF(F112="","",VLOOKUP($B112,'C-1 On-Site WaterC'' Baseline'!$C$9:$R$257,6,FALSE))</f>
        <v/>
      </c>
      <c r="H112" s="301" t="str">
        <f>IF(G112="","",VLOOKUP($B112,'C-1 On-Site WaterC'' Baseline'!$C$9:$R$257,7,FALSE))</f>
        <v/>
      </c>
      <c r="I112" s="301" t="str">
        <f>IF(H112="","",VLOOKUP($B112,'C-1 On-Site WaterC'' Baseline'!$C$9:$R$257,8,FALSE))</f>
        <v/>
      </c>
      <c r="J112" s="301" t="str">
        <f>IF(I112="","",VLOOKUP($B112,'C-1 On-Site WaterC'' Baseline'!$C$9:$R$257,9,FALSE))</f>
        <v/>
      </c>
      <c r="K112" s="301" t="str">
        <f>IF(J112="","",VLOOKUP($B112,'C-1 On-Site WaterC'' Baseline'!$C$9:$R$257,10,FALSE))</f>
        <v/>
      </c>
      <c r="L112" s="301" t="str">
        <f>IF(B112="","",VLOOKUP($B112,'C-1 On-Site WaterC'' Baseline'!$C$9:$R$257,15,FALSE))</f>
        <v/>
      </c>
      <c r="M112" s="305" t="str">
        <f>IF(L112="","",VLOOKUP($B112,'C-1 On-Site WaterC'' Baseline'!$C$9:$R$257,16,FALSE))</f>
        <v/>
      </c>
      <c r="N112" s="251"/>
      <c r="O112" s="281" t="str">
        <f t="shared" si="11"/>
        <v/>
      </c>
      <c r="P112" s="282" t="str">
        <f t="shared" si="12"/>
        <v/>
      </c>
      <c r="Q112" s="342" t="str">
        <f>IF(N112="","",VLOOKUP(B112,'C-1 On-Site WaterC'' Baseline'!$C$10:$AC$257,20,FALSE))</f>
        <v/>
      </c>
      <c r="R112" s="281" t="str">
        <f>IF(N112="","",VLOOKUP(N112,'G-7 WaterC'' Data'!$B$2:$G$8,2,FALSE))</f>
        <v/>
      </c>
      <c r="S112" s="282" t="str">
        <f>IFERROR(VLOOKUP(R112,'G-7 WaterC'' Data'!$C$4:$D$8,2,FALSE),"")</f>
        <v/>
      </c>
      <c r="T112" s="105"/>
      <c r="U112" s="282" t="str">
        <f>IFERROR(INDEX('G-7 WaterC'' Data'!$H$4:$L$8,MATCH(N112,'G-7 WaterC'' Data'!$B$4:$B$8,0),MATCH(T112,'G-7 WaterC'' Data'!$H$3:$L$3,0)),"")</f>
        <v/>
      </c>
      <c r="V112" s="105"/>
      <c r="W112" s="289" t="str">
        <f>IF(V112="","",IF(VLOOKUP(V112,'G-7 WaterC'' Data'!$AK$4:$AM$6,2,FALSE)=0,"Spatial Data Missing ⚠",VLOOKUP(V112,'G-7 WaterC'' Data'!$AK$4:$AM$6,2,FALSE)))</f>
        <v/>
      </c>
      <c r="X112" s="282" t="str">
        <f>IF(V112="","",IF(VLOOKUP(V112,'G-7 WaterC'' Data'!$AK$4:$AM$6,3,FALSE)=0,"Spatial Data Missing ⚠",VLOOKUP(V112,'G-7 WaterC'' Data'!$AK$4:$AM$6,3,FALSE)))</f>
        <v/>
      </c>
      <c r="Y112" s="281" t="str">
        <f>IFERROR(IF(OR(LEFT(P112,5)="Error",LEFT(O112,5)="Error"),"Check Data ⚠",IF(F112&lt;S112,'G-7 WaterC'' Data'!$R$3,INDEX('G-7 WaterC'' Data'!$U$5:$Y$9,MATCH(G112,'G-7 WaterC'' Data'!$T$5:$T$9,0),MATCH(T112,'G-7 WaterC'' Data'!$U$4:$Y$4,0)))),"")</f>
        <v/>
      </c>
      <c r="Z112" s="137"/>
      <c r="AA112" s="137"/>
      <c r="AB112" s="289" t="str">
        <f t="shared" si="13"/>
        <v/>
      </c>
      <c r="AC112" s="302" t="str">
        <f t="shared" si="14"/>
        <v/>
      </c>
      <c r="AD112" s="340" t="str">
        <f>IFERROR(IF(AC112="Check Data ⚠","Check Data ⚠",VLOOKUP(AC112,'G-4 Temporal multipliers'!$A$4:$C$37,3,FALSE)),"")</f>
        <v/>
      </c>
      <c r="AE112" s="281" t="str">
        <f>IF(N112="","",VLOOKUP(N112,'G-7 WaterC'' Data'!$B$4:$G$8,5,FALSE))</f>
        <v/>
      </c>
      <c r="AF112" s="289" t="str">
        <f t="shared" si="15"/>
        <v/>
      </c>
      <c r="AG112" s="320" t="str">
        <f t="shared" si="16"/>
        <v/>
      </c>
      <c r="AH112" s="282" t="str">
        <f t="shared" si="10"/>
        <v/>
      </c>
      <c r="AI112" s="109"/>
      <c r="AJ112" s="282" t="str">
        <f>IF(AI112="","",IF(AND(AI112="N/A - Culvert",N112&lt;&gt;"Culvert"),"Not possible ▲",IF(VLOOKUP(AI112,'G-7 WaterC'' Data'!$AA$4:$AB$7,2,FALSE)=0,"Spatial Data Missing ⚠",VLOOKUP(AI112,'G-7 WaterC'' Data'!$AA$4:$AB$7,2,FALSE))))</f>
        <v/>
      </c>
      <c r="AK112" s="110"/>
      <c r="AL112" s="282" t="str">
        <f>IF(AK112="","",IF(AND(AK112="N/A - Culvert",N112&lt;&gt;"Culvert"),"Not possible ▲",IF(VLOOKUP(AK112,'G-7 WaterC'' Data'!$AD$4:$AE$14,2,FALSE)=0,"Spatial Data Missing ⚠",VLOOKUP(AK112,'G-7 WaterC'' Data'!$AD$4:$AE$14,2,FALSE))))</f>
        <v/>
      </c>
      <c r="AM112" s="323" t="str">
        <f t="shared" si="17"/>
        <v/>
      </c>
      <c r="AN112" s="105"/>
      <c r="AO112" s="119"/>
      <c r="AP112" s="108"/>
      <c r="AS112" s="30" t="str">
        <f>IF(B112="","",IF(ISNA(VLOOKUP($B112,'C-1 On-Site WaterC'' Baseline'!$C$8:$AD$257,17,FALSE)),"",(VLOOKUP($B112,'C-1 On-Site WaterC'' Baseline'!$C$8:$AD$257,17,FALSE))))</f>
        <v/>
      </c>
      <c r="AT112" s="30" t="str">
        <f>IF(B112="","",VLOOKUP($B112,'C-1 On-Site WaterC'' Baseline'!$C$9:$Z$257,12,FALSE))</f>
        <v/>
      </c>
      <c r="AU112" s="30" t="str">
        <f>IF(B112="","",VLOOKUP($B112,'C-1 On-Site WaterC'' Baseline'!$C$9:$Z$257,14,FALSE))</f>
        <v/>
      </c>
      <c r="AV112" s="30" t="str">
        <f>IFERROR(INDEX('G-7 WaterC'' Data'!$AZ$3:$AZ$7,MATCH(N112,'G-7 WaterC'' Data'!$AY$3:$AY$7,0)),"")</f>
        <v/>
      </c>
      <c r="AX112" s="30" t="str">
        <f>IF(B112="","",VLOOKUP($B112,'C-1 On-Site WaterC'' Baseline'!$C$9:$Y$257,22,FALSE))</f>
        <v/>
      </c>
      <c r="AY112" s="30" t="str">
        <f t="shared" si="18"/>
        <v/>
      </c>
      <c r="AZ112" s="30" t="str">
        <f>IF(B112="","",VLOOKUP($B112,'C-1 On-Site WaterC'' Baseline'!$C$9:$Y$257,21,FALSE))</f>
        <v/>
      </c>
      <c r="BA112" s="30" t="str">
        <f>IF(B112="","",VLOOKUP($B112,'C-1 On-Site WaterC'' Baseline'!$C$9:$Y$257,19,FALSE))</f>
        <v/>
      </c>
      <c r="BD112" s="30" t="str">
        <f t="shared" si="19"/>
        <v>No</v>
      </c>
    </row>
    <row r="113" spans="2:56" ht="13.8" x14ac:dyDescent="0.25">
      <c r="B113" s="311" t="str">
        <f>'C-1 On-Site WaterC'' Baseline'!AP111</f>
        <v/>
      </c>
      <c r="C113" s="301" t="str">
        <f>IF(B113="","",VLOOKUP($B113,'C-1 On-Site WaterC'' Baseline'!$C$9:$R$257,2,FALSE))</f>
        <v/>
      </c>
      <c r="D113" s="301" t="str">
        <f>IF(C113="","",VLOOKUP($B113,'C-1 On-Site WaterC'' Baseline'!$C$9:$R$257,3,FALSE))</f>
        <v/>
      </c>
      <c r="E113" s="301" t="str">
        <f>IF(D113="","",VLOOKUP($B113,'C-1 On-Site WaterC'' Baseline'!$C$9:$R$257,4,FALSE))</f>
        <v/>
      </c>
      <c r="F113" s="301" t="str">
        <f>IF(E113="","",VLOOKUP($B113,'C-1 On-Site WaterC'' Baseline'!$C$9:$R$257,5,FALSE))</f>
        <v/>
      </c>
      <c r="G113" s="301" t="str">
        <f>IF(F113="","",VLOOKUP($B113,'C-1 On-Site WaterC'' Baseline'!$C$9:$R$257,6,FALSE))</f>
        <v/>
      </c>
      <c r="H113" s="301" t="str">
        <f>IF(G113="","",VLOOKUP($B113,'C-1 On-Site WaterC'' Baseline'!$C$9:$R$257,7,FALSE))</f>
        <v/>
      </c>
      <c r="I113" s="301" t="str">
        <f>IF(H113="","",VLOOKUP($B113,'C-1 On-Site WaterC'' Baseline'!$C$9:$R$257,8,FALSE))</f>
        <v/>
      </c>
      <c r="J113" s="301" t="str">
        <f>IF(I113="","",VLOOKUP($B113,'C-1 On-Site WaterC'' Baseline'!$C$9:$R$257,9,FALSE))</f>
        <v/>
      </c>
      <c r="K113" s="301" t="str">
        <f>IF(J113="","",VLOOKUP($B113,'C-1 On-Site WaterC'' Baseline'!$C$9:$R$257,10,FALSE))</f>
        <v/>
      </c>
      <c r="L113" s="301" t="str">
        <f>IF(B113="","",VLOOKUP($B113,'C-1 On-Site WaterC'' Baseline'!$C$9:$R$257,15,FALSE))</f>
        <v/>
      </c>
      <c r="M113" s="305" t="str">
        <f>IF(L113="","",VLOOKUP($B113,'C-1 On-Site WaterC'' Baseline'!$C$9:$R$257,16,FALSE))</f>
        <v/>
      </c>
      <c r="N113" s="251"/>
      <c r="O113" s="281" t="str">
        <f t="shared" si="11"/>
        <v/>
      </c>
      <c r="P113" s="282" t="str">
        <f t="shared" si="12"/>
        <v/>
      </c>
      <c r="Q113" s="342" t="str">
        <f>IF(N113="","",VLOOKUP(B113,'C-1 On-Site WaterC'' Baseline'!$C$10:$AC$257,20,FALSE))</f>
        <v/>
      </c>
      <c r="R113" s="281" t="str">
        <f>IF(N113="","",VLOOKUP(N113,'G-7 WaterC'' Data'!$B$2:$G$8,2,FALSE))</f>
        <v/>
      </c>
      <c r="S113" s="282" t="str">
        <f>IFERROR(VLOOKUP(R113,'G-7 WaterC'' Data'!$C$4:$D$8,2,FALSE),"")</f>
        <v/>
      </c>
      <c r="T113" s="105"/>
      <c r="U113" s="282" t="str">
        <f>IFERROR(INDEX('G-7 WaterC'' Data'!$H$4:$L$8,MATCH(N113,'G-7 WaterC'' Data'!$B$4:$B$8,0),MATCH(T113,'G-7 WaterC'' Data'!$H$3:$L$3,0)),"")</f>
        <v/>
      </c>
      <c r="V113" s="105"/>
      <c r="W113" s="289" t="str">
        <f>IF(V113="","",IF(VLOOKUP(V113,'G-7 WaterC'' Data'!$AK$4:$AM$6,2,FALSE)=0,"Spatial Data Missing ⚠",VLOOKUP(V113,'G-7 WaterC'' Data'!$AK$4:$AM$6,2,FALSE)))</f>
        <v/>
      </c>
      <c r="X113" s="282" t="str">
        <f>IF(V113="","",IF(VLOOKUP(V113,'G-7 WaterC'' Data'!$AK$4:$AM$6,3,FALSE)=0,"Spatial Data Missing ⚠",VLOOKUP(V113,'G-7 WaterC'' Data'!$AK$4:$AM$6,3,FALSE)))</f>
        <v/>
      </c>
      <c r="Y113" s="281" t="str">
        <f>IFERROR(IF(OR(LEFT(P113,5)="Error",LEFT(O113,5)="Error"),"Check Data ⚠",IF(F113&lt;S113,'G-7 WaterC'' Data'!$R$3,INDEX('G-7 WaterC'' Data'!$U$5:$Y$9,MATCH(G113,'G-7 WaterC'' Data'!$T$5:$T$9,0),MATCH(T113,'G-7 WaterC'' Data'!$U$4:$Y$4,0)))),"")</f>
        <v/>
      </c>
      <c r="Z113" s="137"/>
      <c r="AA113" s="137"/>
      <c r="AB113" s="289" t="str">
        <f t="shared" si="13"/>
        <v/>
      </c>
      <c r="AC113" s="302" t="str">
        <f t="shared" si="14"/>
        <v/>
      </c>
      <c r="AD113" s="340" t="str">
        <f>IFERROR(IF(AC113="Check Data ⚠","Check Data ⚠",VLOOKUP(AC113,'G-4 Temporal multipliers'!$A$4:$C$37,3,FALSE)),"")</f>
        <v/>
      </c>
      <c r="AE113" s="281" t="str">
        <f>IF(N113="","",VLOOKUP(N113,'G-7 WaterC'' Data'!$B$4:$G$8,5,FALSE))</f>
        <v/>
      </c>
      <c r="AF113" s="289" t="str">
        <f t="shared" si="15"/>
        <v/>
      </c>
      <c r="AG113" s="320" t="str">
        <f t="shared" si="16"/>
        <v/>
      </c>
      <c r="AH113" s="282" t="str">
        <f t="shared" si="10"/>
        <v/>
      </c>
      <c r="AI113" s="109"/>
      <c r="AJ113" s="282" t="str">
        <f>IF(AI113="","",IF(AND(AI113="N/A - Culvert",N113&lt;&gt;"Culvert"),"Not possible ▲",IF(VLOOKUP(AI113,'G-7 WaterC'' Data'!$AA$4:$AB$7,2,FALSE)=0,"Spatial Data Missing ⚠",VLOOKUP(AI113,'G-7 WaterC'' Data'!$AA$4:$AB$7,2,FALSE))))</f>
        <v/>
      </c>
      <c r="AK113" s="110"/>
      <c r="AL113" s="282" t="str">
        <f>IF(AK113="","",IF(AND(AK113="N/A - Culvert",N113&lt;&gt;"Culvert"),"Not possible ▲",IF(VLOOKUP(AK113,'G-7 WaterC'' Data'!$AD$4:$AE$14,2,FALSE)=0,"Spatial Data Missing ⚠",VLOOKUP(AK113,'G-7 WaterC'' Data'!$AD$4:$AE$14,2,FALSE))))</f>
        <v/>
      </c>
      <c r="AM113" s="323" t="str">
        <f t="shared" si="17"/>
        <v/>
      </c>
      <c r="AN113" s="105"/>
      <c r="AO113" s="119"/>
      <c r="AP113" s="108"/>
      <c r="AS113" s="30" t="str">
        <f>IF(B113="","",IF(ISNA(VLOOKUP($B113,'C-1 On-Site WaterC'' Baseline'!$C$8:$AD$257,17,FALSE)),"",(VLOOKUP($B113,'C-1 On-Site WaterC'' Baseline'!$C$8:$AD$257,17,FALSE))))</f>
        <v/>
      </c>
      <c r="AT113" s="30" t="str">
        <f>IF(B113="","",VLOOKUP($B113,'C-1 On-Site WaterC'' Baseline'!$C$9:$Z$257,12,FALSE))</f>
        <v/>
      </c>
      <c r="AU113" s="30" t="str">
        <f>IF(B113="","",VLOOKUP($B113,'C-1 On-Site WaterC'' Baseline'!$C$9:$Z$257,14,FALSE))</f>
        <v/>
      </c>
      <c r="AV113" s="30" t="str">
        <f>IFERROR(INDEX('G-7 WaterC'' Data'!$AZ$3:$AZ$7,MATCH(N113,'G-7 WaterC'' Data'!$AY$3:$AY$7,0)),"")</f>
        <v/>
      </c>
      <c r="AX113" s="30" t="str">
        <f>IF(B113="","",VLOOKUP($B113,'C-1 On-Site WaterC'' Baseline'!$C$9:$Y$257,22,FALSE))</f>
        <v/>
      </c>
      <c r="AY113" s="30" t="str">
        <f t="shared" si="18"/>
        <v/>
      </c>
      <c r="AZ113" s="30" t="str">
        <f>IF(B113="","",VLOOKUP($B113,'C-1 On-Site WaterC'' Baseline'!$C$9:$Y$257,21,FALSE))</f>
        <v/>
      </c>
      <c r="BA113" s="30" t="str">
        <f>IF(B113="","",VLOOKUP($B113,'C-1 On-Site WaterC'' Baseline'!$C$9:$Y$257,19,FALSE))</f>
        <v/>
      </c>
      <c r="BD113" s="30" t="str">
        <f t="shared" si="19"/>
        <v>No</v>
      </c>
    </row>
    <row r="114" spans="2:56" ht="13.8" x14ac:dyDescent="0.25">
      <c r="B114" s="311" t="str">
        <f>'C-1 On-Site WaterC'' Baseline'!AP112</f>
        <v/>
      </c>
      <c r="C114" s="301" t="str">
        <f>IF(B114="","",VLOOKUP($B114,'C-1 On-Site WaterC'' Baseline'!$C$9:$R$257,2,FALSE))</f>
        <v/>
      </c>
      <c r="D114" s="301" t="str">
        <f>IF(C114="","",VLOOKUP($B114,'C-1 On-Site WaterC'' Baseline'!$C$9:$R$257,3,FALSE))</f>
        <v/>
      </c>
      <c r="E114" s="301" t="str">
        <f>IF(D114="","",VLOOKUP($B114,'C-1 On-Site WaterC'' Baseline'!$C$9:$R$257,4,FALSE))</f>
        <v/>
      </c>
      <c r="F114" s="301" t="str">
        <f>IF(E114="","",VLOOKUP($B114,'C-1 On-Site WaterC'' Baseline'!$C$9:$R$257,5,FALSE))</f>
        <v/>
      </c>
      <c r="G114" s="301" t="str">
        <f>IF(F114="","",VLOOKUP($B114,'C-1 On-Site WaterC'' Baseline'!$C$9:$R$257,6,FALSE))</f>
        <v/>
      </c>
      <c r="H114" s="301" t="str">
        <f>IF(G114="","",VLOOKUP($B114,'C-1 On-Site WaterC'' Baseline'!$C$9:$R$257,7,FALSE))</f>
        <v/>
      </c>
      <c r="I114" s="301" t="str">
        <f>IF(H114="","",VLOOKUP($B114,'C-1 On-Site WaterC'' Baseline'!$C$9:$R$257,8,FALSE))</f>
        <v/>
      </c>
      <c r="J114" s="301" t="str">
        <f>IF(I114="","",VLOOKUP($B114,'C-1 On-Site WaterC'' Baseline'!$C$9:$R$257,9,FALSE))</f>
        <v/>
      </c>
      <c r="K114" s="301" t="str">
        <f>IF(J114="","",VLOOKUP($B114,'C-1 On-Site WaterC'' Baseline'!$C$9:$R$257,10,FALSE))</f>
        <v/>
      </c>
      <c r="L114" s="301" t="str">
        <f>IF(B114="","",VLOOKUP($B114,'C-1 On-Site WaterC'' Baseline'!$C$9:$R$257,15,FALSE))</f>
        <v/>
      </c>
      <c r="M114" s="305" t="str">
        <f>IF(L114="","",VLOOKUP($B114,'C-1 On-Site WaterC'' Baseline'!$C$9:$R$257,16,FALSE))</f>
        <v/>
      </c>
      <c r="N114" s="251"/>
      <c r="O114" s="281" t="str">
        <f t="shared" si="11"/>
        <v/>
      </c>
      <c r="P114" s="282" t="str">
        <f t="shared" si="12"/>
        <v/>
      </c>
      <c r="Q114" s="342" t="str">
        <f>IF(N114="","",VLOOKUP(B114,'C-1 On-Site WaterC'' Baseline'!$C$10:$AC$257,20,FALSE))</f>
        <v/>
      </c>
      <c r="R114" s="281" t="str">
        <f>IF(N114="","",VLOOKUP(N114,'G-7 WaterC'' Data'!$B$2:$G$8,2,FALSE))</f>
        <v/>
      </c>
      <c r="S114" s="282" t="str">
        <f>IFERROR(VLOOKUP(R114,'G-7 WaterC'' Data'!$C$4:$D$8,2,FALSE),"")</f>
        <v/>
      </c>
      <c r="T114" s="105"/>
      <c r="U114" s="282" t="str">
        <f>IFERROR(INDEX('G-7 WaterC'' Data'!$H$4:$L$8,MATCH(N114,'G-7 WaterC'' Data'!$B$4:$B$8,0),MATCH(T114,'G-7 WaterC'' Data'!$H$3:$L$3,0)),"")</f>
        <v/>
      </c>
      <c r="V114" s="105"/>
      <c r="W114" s="289" t="str">
        <f>IF(V114="","",IF(VLOOKUP(V114,'G-7 WaterC'' Data'!$AK$4:$AM$6,2,FALSE)=0,"Spatial Data Missing ⚠",VLOOKUP(V114,'G-7 WaterC'' Data'!$AK$4:$AM$6,2,FALSE)))</f>
        <v/>
      </c>
      <c r="X114" s="282" t="str">
        <f>IF(V114="","",IF(VLOOKUP(V114,'G-7 WaterC'' Data'!$AK$4:$AM$6,3,FALSE)=0,"Spatial Data Missing ⚠",VLOOKUP(V114,'G-7 WaterC'' Data'!$AK$4:$AM$6,3,FALSE)))</f>
        <v/>
      </c>
      <c r="Y114" s="281" t="str">
        <f>IFERROR(IF(OR(LEFT(P114,5)="Error",LEFT(O114,5)="Error"),"Check Data ⚠",IF(F114&lt;S114,'G-7 WaterC'' Data'!$R$3,INDEX('G-7 WaterC'' Data'!$U$5:$Y$9,MATCH(G114,'G-7 WaterC'' Data'!$T$5:$T$9,0),MATCH(T114,'G-7 WaterC'' Data'!$U$4:$Y$4,0)))),"")</f>
        <v/>
      </c>
      <c r="Z114" s="137"/>
      <c r="AA114" s="137"/>
      <c r="AB114" s="289" t="str">
        <f t="shared" si="13"/>
        <v/>
      </c>
      <c r="AC114" s="302" t="str">
        <f t="shared" si="14"/>
        <v/>
      </c>
      <c r="AD114" s="340" t="str">
        <f>IFERROR(IF(AC114="Check Data ⚠","Check Data ⚠",VLOOKUP(AC114,'G-4 Temporal multipliers'!$A$4:$C$37,3,FALSE)),"")</f>
        <v/>
      </c>
      <c r="AE114" s="281" t="str">
        <f>IF(N114="","",VLOOKUP(N114,'G-7 WaterC'' Data'!$B$4:$G$8,5,FALSE))</f>
        <v/>
      </c>
      <c r="AF114" s="289" t="str">
        <f t="shared" si="15"/>
        <v/>
      </c>
      <c r="AG114" s="320" t="str">
        <f t="shared" si="16"/>
        <v/>
      </c>
      <c r="AH114" s="282" t="str">
        <f t="shared" si="10"/>
        <v/>
      </c>
      <c r="AI114" s="109"/>
      <c r="AJ114" s="282" t="str">
        <f>IF(AI114="","",IF(AND(AI114="N/A - Culvert",N114&lt;&gt;"Culvert"),"Not possible ▲",IF(VLOOKUP(AI114,'G-7 WaterC'' Data'!$AA$4:$AB$7,2,FALSE)=0,"Spatial Data Missing ⚠",VLOOKUP(AI114,'G-7 WaterC'' Data'!$AA$4:$AB$7,2,FALSE))))</f>
        <v/>
      </c>
      <c r="AK114" s="110"/>
      <c r="AL114" s="282" t="str">
        <f>IF(AK114="","",IF(AND(AK114="N/A - Culvert",N114&lt;&gt;"Culvert"),"Not possible ▲",IF(VLOOKUP(AK114,'G-7 WaterC'' Data'!$AD$4:$AE$14,2,FALSE)=0,"Spatial Data Missing ⚠",VLOOKUP(AK114,'G-7 WaterC'' Data'!$AD$4:$AE$14,2,FALSE))))</f>
        <v/>
      </c>
      <c r="AM114" s="323" t="str">
        <f t="shared" si="17"/>
        <v/>
      </c>
      <c r="AN114" s="105"/>
      <c r="AO114" s="119"/>
      <c r="AP114" s="108"/>
      <c r="AS114" s="30" t="str">
        <f>IF(B114="","",IF(ISNA(VLOOKUP($B114,'C-1 On-Site WaterC'' Baseline'!$C$8:$AD$257,17,FALSE)),"",(VLOOKUP($B114,'C-1 On-Site WaterC'' Baseline'!$C$8:$AD$257,17,FALSE))))</f>
        <v/>
      </c>
      <c r="AT114" s="30" t="str">
        <f>IF(B114="","",VLOOKUP($B114,'C-1 On-Site WaterC'' Baseline'!$C$9:$Z$257,12,FALSE))</f>
        <v/>
      </c>
      <c r="AU114" s="30" t="str">
        <f>IF(B114="","",VLOOKUP($B114,'C-1 On-Site WaterC'' Baseline'!$C$9:$Z$257,14,FALSE))</f>
        <v/>
      </c>
      <c r="AV114" s="30" t="str">
        <f>IFERROR(INDEX('G-7 WaterC'' Data'!$AZ$3:$AZ$7,MATCH(N114,'G-7 WaterC'' Data'!$AY$3:$AY$7,0)),"")</f>
        <v/>
      </c>
      <c r="AX114" s="30" t="str">
        <f>IF(B114="","",VLOOKUP($B114,'C-1 On-Site WaterC'' Baseline'!$C$9:$Y$257,22,FALSE))</f>
        <v/>
      </c>
      <c r="AY114" s="30" t="str">
        <f t="shared" si="18"/>
        <v/>
      </c>
      <c r="AZ114" s="30" t="str">
        <f>IF(B114="","",VLOOKUP($B114,'C-1 On-Site WaterC'' Baseline'!$C$9:$Y$257,21,FALSE))</f>
        <v/>
      </c>
      <c r="BA114" s="30" t="str">
        <f>IF(B114="","",VLOOKUP($B114,'C-1 On-Site WaterC'' Baseline'!$C$9:$Y$257,19,FALSE))</f>
        <v/>
      </c>
      <c r="BD114" s="30" t="str">
        <f t="shared" si="19"/>
        <v>No</v>
      </c>
    </row>
    <row r="115" spans="2:56" ht="13.8" x14ac:dyDescent="0.25">
      <c r="B115" s="311" t="str">
        <f>'C-1 On-Site WaterC'' Baseline'!AP113</f>
        <v/>
      </c>
      <c r="C115" s="301" t="str">
        <f>IF(B115="","",VLOOKUP($B115,'C-1 On-Site WaterC'' Baseline'!$C$9:$R$257,2,FALSE))</f>
        <v/>
      </c>
      <c r="D115" s="301" t="str">
        <f>IF(C115="","",VLOOKUP($B115,'C-1 On-Site WaterC'' Baseline'!$C$9:$R$257,3,FALSE))</f>
        <v/>
      </c>
      <c r="E115" s="301" t="str">
        <f>IF(D115="","",VLOOKUP($B115,'C-1 On-Site WaterC'' Baseline'!$C$9:$R$257,4,FALSE))</f>
        <v/>
      </c>
      <c r="F115" s="301" t="str">
        <f>IF(E115="","",VLOOKUP($B115,'C-1 On-Site WaterC'' Baseline'!$C$9:$R$257,5,FALSE))</f>
        <v/>
      </c>
      <c r="G115" s="301" t="str">
        <f>IF(F115="","",VLOOKUP($B115,'C-1 On-Site WaterC'' Baseline'!$C$9:$R$257,6,FALSE))</f>
        <v/>
      </c>
      <c r="H115" s="301" t="str">
        <f>IF(G115="","",VLOOKUP($B115,'C-1 On-Site WaterC'' Baseline'!$C$9:$R$257,7,FALSE))</f>
        <v/>
      </c>
      <c r="I115" s="301" t="str">
        <f>IF(H115="","",VLOOKUP($B115,'C-1 On-Site WaterC'' Baseline'!$C$9:$R$257,8,FALSE))</f>
        <v/>
      </c>
      <c r="J115" s="301" t="str">
        <f>IF(I115="","",VLOOKUP($B115,'C-1 On-Site WaterC'' Baseline'!$C$9:$R$257,9,FALSE))</f>
        <v/>
      </c>
      <c r="K115" s="301" t="str">
        <f>IF(J115="","",VLOOKUP($B115,'C-1 On-Site WaterC'' Baseline'!$C$9:$R$257,10,FALSE))</f>
        <v/>
      </c>
      <c r="L115" s="301" t="str">
        <f>IF(B115="","",VLOOKUP($B115,'C-1 On-Site WaterC'' Baseline'!$C$9:$R$257,15,FALSE))</f>
        <v/>
      </c>
      <c r="M115" s="305" t="str">
        <f>IF(L115="","",VLOOKUP($B115,'C-1 On-Site WaterC'' Baseline'!$C$9:$R$257,16,FALSE))</f>
        <v/>
      </c>
      <c r="N115" s="251"/>
      <c r="O115" s="281" t="str">
        <f t="shared" si="11"/>
        <v/>
      </c>
      <c r="P115" s="282" t="str">
        <f t="shared" si="12"/>
        <v/>
      </c>
      <c r="Q115" s="342" t="str">
        <f>IF(N115="","",VLOOKUP(B115,'C-1 On-Site WaterC'' Baseline'!$C$10:$AC$257,20,FALSE))</f>
        <v/>
      </c>
      <c r="R115" s="281" t="str">
        <f>IF(N115="","",VLOOKUP(N115,'G-7 WaterC'' Data'!$B$2:$G$8,2,FALSE))</f>
        <v/>
      </c>
      <c r="S115" s="282" t="str">
        <f>IFERROR(VLOOKUP(R115,'G-7 WaterC'' Data'!$C$4:$D$8,2,FALSE),"")</f>
        <v/>
      </c>
      <c r="T115" s="105"/>
      <c r="U115" s="282" t="str">
        <f>IFERROR(INDEX('G-7 WaterC'' Data'!$H$4:$L$8,MATCH(N115,'G-7 WaterC'' Data'!$B$4:$B$8,0),MATCH(T115,'G-7 WaterC'' Data'!$H$3:$L$3,0)),"")</f>
        <v/>
      </c>
      <c r="V115" s="105"/>
      <c r="W115" s="289" t="str">
        <f>IF(V115="","",IF(VLOOKUP(V115,'G-7 WaterC'' Data'!$AK$4:$AM$6,2,FALSE)=0,"Spatial Data Missing ⚠",VLOOKUP(V115,'G-7 WaterC'' Data'!$AK$4:$AM$6,2,FALSE)))</f>
        <v/>
      </c>
      <c r="X115" s="282" t="str">
        <f>IF(V115="","",IF(VLOOKUP(V115,'G-7 WaterC'' Data'!$AK$4:$AM$6,3,FALSE)=0,"Spatial Data Missing ⚠",VLOOKUP(V115,'G-7 WaterC'' Data'!$AK$4:$AM$6,3,FALSE)))</f>
        <v/>
      </c>
      <c r="Y115" s="281" t="str">
        <f>IFERROR(IF(OR(LEFT(P115,5)="Error",LEFT(O115,5)="Error"),"Check Data ⚠",IF(F115&lt;S115,'G-7 WaterC'' Data'!$R$3,INDEX('G-7 WaterC'' Data'!$U$5:$Y$9,MATCH(G115,'G-7 WaterC'' Data'!$T$5:$T$9,0),MATCH(T115,'G-7 WaterC'' Data'!$U$4:$Y$4,0)))),"")</f>
        <v/>
      </c>
      <c r="Z115" s="137"/>
      <c r="AA115" s="137"/>
      <c r="AB115" s="289" t="str">
        <f t="shared" si="13"/>
        <v/>
      </c>
      <c r="AC115" s="302" t="str">
        <f t="shared" si="14"/>
        <v/>
      </c>
      <c r="AD115" s="340" t="str">
        <f>IFERROR(IF(AC115="Check Data ⚠","Check Data ⚠",VLOOKUP(AC115,'G-4 Temporal multipliers'!$A$4:$C$37,3,FALSE)),"")</f>
        <v/>
      </c>
      <c r="AE115" s="281" t="str">
        <f>IF(N115="","",VLOOKUP(N115,'G-7 WaterC'' Data'!$B$4:$G$8,5,FALSE))</f>
        <v/>
      </c>
      <c r="AF115" s="289" t="str">
        <f t="shared" si="15"/>
        <v/>
      </c>
      <c r="AG115" s="320" t="str">
        <f t="shared" si="16"/>
        <v/>
      </c>
      <c r="AH115" s="282" t="str">
        <f t="shared" si="10"/>
        <v/>
      </c>
      <c r="AI115" s="109"/>
      <c r="AJ115" s="282" t="str">
        <f>IF(AI115="","",IF(AND(AI115="N/A - Culvert",N115&lt;&gt;"Culvert"),"Not possible ▲",IF(VLOOKUP(AI115,'G-7 WaterC'' Data'!$AA$4:$AB$7,2,FALSE)=0,"Spatial Data Missing ⚠",VLOOKUP(AI115,'G-7 WaterC'' Data'!$AA$4:$AB$7,2,FALSE))))</f>
        <v/>
      </c>
      <c r="AK115" s="110"/>
      <c r="AL115" s="282" t="str">
        <f>IF(AK115="","",IF(AND(AK115="N/A - Culvert",N115&lt;&gt;"Culvert"),"Not possible ▲",IF(VLOOKUP(AK115,'G-7 WaterC'' Data'!$AD$4:$AE$14,2,FALSE)=0,"Spatial Data Missing ⚠",VLOOKUP(AK115,'G-7 WaterC'' Data'!$AD$4:$AE$14,2,FALSE))))</f>
        <v/>
      </c>
      <c r="AM115" s="323" t="str">
        <f t="shared" si="17"/>
        <v/>
      </c>
      <c r="AN115" s="105"/>
      <c r="AO115" s="119"/>
      <c r="AP115" s="108"/>
      <c r="AS115" s="30" t="str">
        <f>IF(B115="","",IF(ISNA(VLOOKUP($B115,'C-1 On-Site WaterC'' Baseline'!$C$8:$AD$257,17,FALSE)),"",(VLOOKUP($B115,'C-1 On-Site WaterC'' Baseline'!$C$8:$AD$257,17,FALSE))))</f>
        <v/>
      </c>
      <c r="AT115" s="30" t="str">
        <f>IF(B115="","",VLOOKUP($B115,'C-1 On-Site WaterC'' Baseline'!$C$9:$Z$257,12,FALSE))</f>
        <v/>
      </c>
      <c r="AU115" s="30" t="str">
        <f>IF(B115="","",VLOOKUP($B115,'C-1 On-Site WaterC'' Baseline'!$C$9:$Z$257,14,FALSE))</f>
        <v/>
      </c>
      <c r="AV115" s="30" t="str">
        <f>IFERROR(INDEX('G-7 WaterC'' Data'!$AZ$3:$AZ$7,MATCH(N115,'G-7 WaterC'' Data'!$AY$3:$AY$7,0)),"")</f>
        <v/>
      </c>
      <c r="AX115" s="30" t="str">
        <f>IF(B115="","",VLOOKUP($B115,'C-1 On-Site WaterC'' Baseline'!$C$9:$Y$257,22,FALSE))</f>
        <v/>
      </c>
      <c r="AY115" s="30" t="str">
        <f t="shared" si="18"/>
        <v/>
      </c>
      <c r="AZ115" s="30" t="str">
        <f>IF(B115="","",VLOOKUP($B115,'C-1 On-Site WaterC'' Baseline'!$C$9:$Y$257,21,FALSE))</f>
        <v/>
      </c>
      <c r="BA115" s="30" t="str">
        <f>IF(B115="","",VLOOKUP($B115,'C-1 On-Site WaterC'' Baseline'!$C$9:$Y$257,19,FALSE))</f>
        <v/>
      </c>
      <c r="BD115" s="30" t="str">
        <f t="shared" si="19"/>
        <v>No</v>
      </c>
    </row>
    <row r="116" spans="2:56" ht="13.8" x14ac:dyDescent="0.25">
      <c r="B116" s="311" t="str">
        <f>'C-1 On-Site WaterC'' Baseline'!AP114</f>
        <v/>
      </c>
      <c r="C116" s="301" t="str">
        <f>IF(B116="","",VLOOKUP($B116,'C-1 On-Site WaterC'' Baseline'!$C$9:$R$257,2,FALSE))</f>
        <v/>
      </c>
      <c r="D116" s="301" t="str">
        <f>IF(C116="","",VLOOKUP($B116,'C-1 On-Site WaterC'' Baseline'!$C$9:$R$257,3,FALSE))</f>
        <v/>
      </c>
      <c r="E116" s="301" t="str">
        <f>IF(D116="","",VLOOKUP($B116,'C-1 On-Site WaterC'' Baseline'!$C$9:$R$257,4,FALSE))</f>
        <v/>
      </c>
      <c r="F116" s="301" t="str">
        <f>IF(E116="","",VLOOKUP($B116,'C-1 On-Site WaterC'' Baseline'!$C$9:$R$257,5,FALSE))</f>
        <v/>
      </c>
      <c r="G116" s="301" t="str">
        <f>IF(F116="","",VLOOKUP($B116,'C-1 On-Site WaterC'' Baseline'!$C$9:$R$257,6,FALSE))</f>
        <v/>
      </c>
      <c r="H116" s="301" t="str">
        <f>IF(G116="","",VLOOKUP($B116,'C-1 On-Site WaterC'' Baseline'!$C$9:$R$257,7,FALSE))</f>
        <v/>
      </c>
      <c r="I116" s="301" t="str">
        <f>IF(H116="","",VLOOKUP($B116,'C-1 On-Site WaterC'' Baseline'!$C$9:$R$257,8,FALSE))</f>
        <v/>
      </c>
      <c r="J116" s="301" t="str">
        <f>IF(I116="","",VLOOKUP($B116,'C-1 On-Site WaterC'' Baseline'!$C$9:$R$257,9,FALSE))</f>
        <v/>
      </c>
      <c r="K116" s="301" t="str">
        <f>IF(J116="","",VLOOKUP($B116,'C-1 On-Site WaterC'' Baseline'!$C$9:$R$257,10,FALSE))</f>
        <v/>
      </c>
      <c r="L116" s="301" t="str">
        <f>IF(B116="","",VLOOKUP($B116,'C-1 On-Site WaterC'' Baseline'!$C$9:$R$257,15,FALSE))</f>
        <v/>
      </c>
      <c r="M116" s="305" t="str">
        <f>IF(L116="","",VLOOKUP($B116,'C-1 On-Site WaterC'' Baseline'!$C$9:$R$257,16,FALSE))</f>
        <v/>
      </c>
      <c r="N116" s="251"/>
      <c r="O116" s="281" t="str">
        <f t="shared" si="11"/>
        <v/>
      </c>
      <c r="P116" s="282" t="str">
        <f t="shared" si="12"/>
        <v/>
      </c>
      <c r="Q116" s="342" t="str">
        <f>IF(N116="","",VLOOKUP(B116,'C-1 On-Site WaterC'' Baseline'!$C$10:$AC$257,20,FALSE))</f>
        <v/>
      </c>
      <c r="R116" s="281" t="str">
        <f>IF(N116="","",VLOOKUP(N116,'G-7 WaterC'' Data'!$B$2:$G$8,2,FALSE))</f>
        <v/>
      </c>
      <c r="S116" s="282" t="str">
        <f>IFERROR(VLOOKUP(R116,'G-7 WaterC'' Data'!$C$4:$D$8,2,FALSE),"")</f>
        <v/>
      </c>
      <c r="T116" s="105"/>
      <c r="U116" s="282" t="str">
        <f>IFERROR(INDEX('G-7 WaterC'' Data'!$H$4:$L$8,MATCH(N116,'G-7 WaterC'' Data'!$B$4:$B$8,0),MATCH(T116,'G-7 WaterC'' Data'!$H$3:$L$3,0)),"")</f>
        <v/>
      </c>
      <c r="V116" s="105"/>
      <c r="W116" s="289" t="str">
        <f>IF(V116="","",IF(VLOOKUP(V116,'G-7 WaterC'' Data'!$AK$4:$AM$6,2,FALSE)=0,"Spatial Data Missing ⚠",VLOOKUP(V116,'G-7 WaterC'' Data'!$AK$4:$AM$6,2,FALSE)))</f>
        <v/>
      </c>
      <c r="X116" s="282" t="str">
        <f>IF(V116="","",IF(VLOOKUP(V116,'G-7 WaterC'' Data'!$AK$4:$AM$6,3,FALSE)=0,"Spatial Data Missing ⚠",VLOOKUP(V116,'G-7 WaterC'' Data'!$AK$4:$AM$6,3,FALSE)))</f>
        <v/>
      </c>
      <c r="Y116" s="281" t="str">
        <f>IFERROR(IF(OR(LEFT(P116,5)="Error",LEFT(O116,5)="Error"),"Check Data ⚠",IF(F116&lt;S116,'G-7 WaterC'' Data'!$R$3,INDEX('G-7 WaterC'' Data'!$U$5:$Y$9,MATCH(G116,'G-7 WaterC'' Data'!$T$5:$T$9,0),MATCH(T116,'G-7 WaterC'' Data'!$U$4:$Y$4,0)))),"")</f>
        <v/>
      </c>
      <c r="Z116" s="137"/>
      <c r="AA116" s="137"/>
      <c r="AB116" s="289" t="str">
        <f t="shared" si="13"/>
        <v/>
      </c>
      <c r="AC116" s="302" t="str">
        <f t="shared" si="14"/>
        <v/>
      </c>
      <c r="AD116" s="340" t="str">
        <f>IFERROR(IF(AC116="Check Data ⚠","Check Data ⚠",VLOOKUP(AC116,'G-4 Temporal multipliers'!$A$4:$C$37,3,FALSE)),"")</f>
        <v/>
      </c>
      <c r="AE116" s="281" t="str">
        <f>IF(N116="","",VLOOKUP(N116,'G-7 WaterC'' Data'!$B$4:$G$8,5,FALSE))</f>
        <v/>
      </c>
      <c r="AF116" s="289" t="str">
        <f t="shared" si="15"/>
        <v/>
      </c>
      <c r="AG116" s="320" t="str">
        <f t="shared" si="16"/>
        <v/>
      </c>
      <c r="AH116" s="282" t="str">
        <f t="shared" si="10"/>
        <v/>
      </c>
      <c r="AI116" s="109"/>
      <c r="AJ116" s="282" t="str">
        <f>IF(AI116="","",IF(AND(AI116="N/A - Culvert",N116&lt;&gt;"Culvert"),"Not possible ▲",IF(VLOOKUP(AI116,'G-7 WaterC'' Data'!$AA$4:$AB$7,2,FALSE)=0,"Spatial Data Missing ⚠",VLOOKUP(AI116,'G-7 WaterC'' Data'!$AA$4:$AB$7,2,FALSE))))</f>
        <v/>
      </c>
      <c r="AK116" s="110"/>
      <c r="AL116" s="282" t="str">
        <f>IF(AK116="","",IF(AND(AK116="N/A - Culvert",N116&lt;&gt;"Culvert"),"Not possible ▲",IF(VLOOKUP(AK116,'G-7 WaterC'' Data'!$AD$4:$AE$14,2,FALSE)=0,"Spatial Data Missing ⚠",VLOOKUP(AK116,'G-7 WaterC'' Data'!$AD$4:$AE$14,2,FALSE))))</f>
        <v/>
      </c>
      <c r="AM116" s="323" t="str">
        <f t="shared" si="17"/>
        <v/>
      </c>
      <c r="AN116" s="105"/>
      <c r="AO116" s="119"/>
      <c r="AP116" s="108"/>
      <c r="AS116" s="30" t="str">
        <f>IF(B116="","",IF(ISNA(VLOOKUP($B116,'C-1 On-Site WaterC'' Baseline'!$C$8:$AD$257,17,FALSE)),"",(VLOOKUP($B116,'C-1 On-Site WaterC'' Baseline'!$C$8:$AD$257,17,FALSE))))</f>
        <v/>
      </c>
      <c r="AT116" s="30" t="str">
        <f>IF(B116="","",VLOOKUP($B116,'C-1 On-Site WaterC'' Baseline'!$C$9:$Z$257,12,FALSE))</f>
        <v/>
      </c>
      <c r="AU116" s="30" t="str">
        <f>IF(B116="","",VLOOKUP($B116,'C-1 On-Site WaterC'' Baseline'!$C$9:$Z$257,14,FALSE))</f>
        <v/>
      </c>
      <c r="AV116" s="30" t="str">
        <f>IFERROR(INDEX('G-7 WaterC'' Data'!$AZ$3:$AZ$7,MATCH(N116,'G-7 WaterC'' Data'!$AY$3:$AY$7,0)),"")</f>
        <v/>
      </c>
      <c r="AX116" s="30" t="str">
        <f>IF(B116="","",VLOOKUP($B116,'C-1 On-Site WaterC'' Baseline'!$C$9:$Y$257,22,FALSE))</f>
        <v/>
      </c>
      <c r="AY116" s="30" t="str">
        <f t="shared" si="18"/>
        <v/>
      </c>
      <c r="AZ116" s="30" t="str">
        <f>IF(B116="","",VLOOKUP($B116,'C-1 On-Site WaterC'' Baseline'!$C$9:$Y$257,21,FALSE))</f>
        <v/>
      </c>
      <c r="BA116" s="30" t="str">
        <f>IF(B116="","",VLOOKUP($B116,'C-1 On-Site WaterC'' Baseline'!$C$9:$Y$257,19,FALSE))</f>
        <v/>
      </c>
      <c r="BD116" s="30" t="str">
        <f t="shared" si="19"/>
        <v>No</v>
      </c>
    </row>
    <row r="117" spans="2:56" ht="13.8" x14ac:dyDescent="0.25">
      <c r="B117" s="311" t="str">
        <f>'C-1 On-Site WaterC'' Baseline'!AP115</f>
        <v/>
      </c>
      <c r="C117" s="301" t="str">
        <f>IF(B117="","",VLOOKUP($B117,'C-1 On-Site WaterC'' Baseline'!$C$9:$R$257,2,FALSE))</f>
        <v/>
      </c>
      <c r="D117" s="301" t="str">
        <f>IF(C117="","",VLOOKUP($B117,'C-1 On-Site WaterC'' Baseline'!$C$9:$R$257,3,FALSE))</f>
        <v/>
      </c>
      <c r="E117" s="301" t="str">
        <f>IF(D117="","",VLOOKUP($B117,'C-1 On-Site WaterC'' Baseline'!$C$9:$R$257,4,FALSE))</f>
        <v/>
      </c>
      <c r="F117" s="301" t="str">
        <f>IF(E117="","",VLOOKUP($B117,'C-1 On-Site WaterC'' Baseline'!$C$9:$R$257,5,FALSE))</f>
        <v/>
      </c>
      <c r="G117" s="301" t="str">
        <f>IF(F117="","",VLOOKUP($B117,'C-1 On-Site WaterC'' Baseline'!$C$9:$R$257,6,FALSE))</f>
        <v/>
      </c>
      <c r="H117" s="301" t="str">
        <f>IF(G117="","",VLOOKUP($B117,'C-1 On-Site WaterC'' Baseline'!$C$9:$R$257,7,FALSE))</f>
        <v/>
      </c>
      <c r="I117" s="301" t="str">
        <f>IF(H117="","",VLOOKUP($B117,'C-1 On-Site WaterC'' Baseline'!$C$9:$R$257,8,FALSE))</f>
        <v/>
      </c>
      <c r="J117" s="301" t="str">
        <f>IF(I117="","",VLOOKUP($B117,'C-1 On-Site WaterC'' Baseline'!$C$9:$R$257,9,FALSE))</f>
        <v/>
      </c>
      <c r="K117" s="301" t="str">
        <f>IF(J117="","",VLOOKUP($B117,'C-1 On-Site WaterC'' Baseline'!$C$9:$R$257,10,FALSE))</f>
        <v/>
      </c>
      <c r="L117" s="301" t="str">
        <f>IF(B117="","",VLOOKUP($B117,'C-1 On-Site WaterC'' Baseline'!$C$9:$R$257,15,FALSE))</f>
        <v/>
      </c>
      <c r="M117" s="305" t="str">
        <f>IF(L117="","",VLOOKUP($B117,'C-1 On-Site WaterC'' Baseline'!$C$9:$R$257,16,FALSE))</f>
        <v/>
      </c>
      <c r="N117" s="251"/>
      <c r="O117" s="281" t="str">
        <f t="shared" si="11"/>
        <v/>
      </c>
      <c r="P117" s="282" t="str">
        <f t="shared" si="12"/>
        <v/>
      </c>
      <c r="Q117" s="342" t="str">
        <f>IF(N117="","",VLOOKUP(B117,'C-1 On-Site WaterC'' Baseline'!$C$10:$AC$257,20,FALSE))</f>
        <v/>
      </c>
      <c r="R117" s="281" t="str">
        <f>IF(N117="","",VLOOKUP(N117,'G-7 WaterC'' Data'!$B$2:$G$8,2,FALSE))</f>
        <v/>
      </c>
      <c r="S117" s="282" t="str">
        <f>IFERROR(VLOOKUP(R117,'G-7 WaterC'' Data'!$C$4:$D$8,2,FALSE),"")</f>
        <v/>
      </c>
      <c r="T117" s="105"/>
      <c r="U117" s="282" t="str">
        <f>IFERROR(INDEX('G-7 WaterC'' Data'!$H$4:$L$8,MATCH(N117,'G-7 WaterC'' Data'!$B$4:$B$8,0),MATCH(T117,'G-7 WaterC'' Data'!$H$3:$L$3,0)),"")</f>
        <v/>
      </c>
      <c r="V117" s="105"/>
      <c r="W117" s="289" t="str">
        <f>IF(V117="","",IF(VLOOKUP(V117,'G-7 WaterC'' Data'!$AK$4:$AM$6,2,FALSE)=0,"Spatial Data Missing ⚠",VLOOKUP(V117,'G-7 WaterC'' Data'!$AK$4:$AM$6,2,FALSE)))</f>
        <v/>
      </c>
      <c r="X117" s="282" t="str">
        <f>IF(V117="","",IF(VLOOKUP(V117,'G-7 WaterC'' Data'!$AK$4:$AM$6,3,FALSE)=0,"Spatial Data Missing ⚠",VLOOKUP(V117,'G-7 WaterC'' Data'!$AK$4:$AM$6,3,FALSE)))</f>
        <v/>
      </c>
      <c r="Y117" s="281" t="str">
        <f>IFERROR(IF(OR(LEFT(P117,5)="Error",LEFT(O117,5)="Error"),"Check Data ⚠",IF(F117&lt;S117,'G-7 WaterC'' Data'!$R$3,INDEX('G-7 WaterC'' Data'!$U$5:$Y$9,MATCH(G117,'G-7 WaterC'' Data'!$T$5:$T$9,0),MATCH(T117,'G-7 WaterC'' Data'!$U$4:$Y$4,0)))),"")</f>
        <v/>
      </c>
      <c r="Z117" s="137"/>
      <c r="AA117" s="137"/>
      <c r="AB117" s="289" t="str">
        <f t="shared" si="13"/>
        <v/>
      </c>
      <c r="AC117" s="302" t="str">
        <f t="shared" si="14"/>
        <v/>
      </c>
      <c r="AD117" s="340" t="str">
        <f>IFERROR(IF(AC117="Check Data ⚠","Check Data ⚠",VLOOKUP(AC117,'G-4 Temporal multipliers'!$A$4:$C$37,3,FALSE)),"")</f>
        <v/>
      </c>
      <c r="AE117" s="281" t="str">
        <f>IF(N117="","",VLOOKUP(N117,'G-7 WaterC'' Data'!$B$4:$G$8,5,FALSE))</f>
        <v/>
      </c>
      <c r="AF117" s="289" t="str">
        <f t="shared" si="15"/>
        <v/>
      </c>
      <c r="AG117" s="320" t="str">
        <f t="shared" si="16"/>
        <v/>
      </c>
      <c r="AH117" s="282" t="str">
        <f t="shared" si="10"/>
        <v/>
      </c>
      <c r="AI117" s="109"/>
      <c r="AJ117" s="282" t="str">
        <f>IF(AI117="","",IF(AND(AI117="N/A - Culvert",N117&lt;&gt;"Culvert"),"Not possible ▲",IF(VLOOKUP(AI117,'G-7 WaterC'' Data'!$AA$4:$AB$7,2,FALSE)=0,"Spatial Data Missing ⚠",VLOOKUP(AI117,'G-7 WaterC'' Data'!$AA$4:$AB$7,2,FALSE))))</f>
        <v/>
      </c>
      <c r="AK117" s="110"/>
      <c r="AL117" s="282" t="str">
        <f>IF(AK117="","",IF(AND(AK117="N/A - Culvert",N117&lt;&gt;"Culvert"),"Not possible ▲",IF(VLOOKUP(AK117,'G-7 WaterC'' Data'!$AD$4:$AE$14,2,FALSE)=0,"Spatial Data Missing ⚠",VLOOKUP(AK117,'G-7 WaterC'' Data'!$AD$4:$AE$14,2,FALSE))))</f>
        <v/>
      </c>
      <c r="AM117" s="323" t="str">
        <f t="shared" si="17"/>
        <v/>
      </c>
      <c r="AN117" s="105"/>
      <c r="AO117" s="119"/>
      <c r="AP117" s="108"/>
      <c r="AS117" s="30" t="str">
        <f>IF(B117="","",IF(ISNA(VLOOKUP($B117,'C-1 On-Site WaterC'' Baseline'!$C$8:$AD$257,17,FALSE)),"",(VLOOKUP($B117,'C-1 On-Site WaterC'' Baseline'!$C$8:$AD$257,17,FALSE))))</f>
        <v/>
      </c>
      <c r="AT117" s="30" t="str">
        <f>IF(B117="","",VLOOKUP($B117,'C-1 On-Site WaterC'' Baseline'!$C$9:$Z$257,12,FALSE))</f>
        <v/>
      </c>
      <c r="AU117" s="30" t="str">
        <f>IF(B117="","",VLOOKUP($B117,'C-1 On-Site WaterC'' Baseline'!$C$9:$Z$257,14,FALSE))</f>
        <v/>
      </c>
      <c r="AV117" s="30" t="str">
        <f>IFERROR(INDEX('G-7 WaterC'' Data'!$AZ$3:$AZ$7,MATCH(N117,'G-7 WaterC'' Data'!$AY$3:$AY$7,0)),"")</f>
        <v/>
      </c>
      <c r="AX117" s="30" t="str">
        <f>IF(B117="","",VLOOKUP($B117,'C-1 On-Site WaterC'' Baseline'!$C$9:$Y$257,22,FALSE))</f>
        <v/>
      </c>
      <c r="AY117" s="30" t="str">
        <f t="shared" si="18"/>
        <v/>
      </c>
      <c r="AZ117" s="30" t="str">
        <f>IF(B117="","",VLOOKUP($B117,'C-1 On-Site WaterC'' Baseline'!$C$9:$Y$257,21,FALSE))</f>
        <v/>
      </c>
      <c r="BA117" s="30" t="str">
        <f>IF(B117="","",VLOOKUP($B117,'C-1 On-Site WaterC'' Baseline'!$C$9:$Y$257,19,FALSE))</f>
        <v/>
      </c>
      <c r="BD117" s="30" t="str">
        <f t="shared" si="19"/>
        <v>No</v>
      </c>
    </row>
    <row r="118" spans="2:56" ht="13.8" x14ac:dyDescent="0.25">
      <c r="B118" s="311" t="str">
        <f>'C-1 On-Site WaterC'' Baseline'!AP116</f>
        <v/>
      </c>
      <c r="C118" s="301" t="str">
        <f>IF(B118="","",VLOOKUP($B118,'C-1 On-Site WaterC'' Baseline'!$C$9:$R$257,2,FALSE))</f>
        <v/>
      </c>
      <c r="D118" s="301" t="str">
        <f>IF(C118="","",VLOOKUP($B118,'C-1 On-Site WaterC'' Baseline'!$C$9:$R$257,3,FALSE))</f>
        <v/>
      </c>
      <c r="E118" s="301" t="str">
        <f>IF(D118="","",VLOOKUP($B118,'C-1 On-Site WaterC'' Baseline'!$C$9:$R$257,4,FALSE))</f>
        <v/>
      </c>
      <c r="F118" s="301" t="str">
        <f>IF(E118="","",VLOOKUP($B118,'C-1 On-Site WaterC'' Baseline'!$C$9:$R$257,5,FALSE))</f>
        <v/>
      </c>
      <c r="G118" s="301" t="str">
        <f>IF(F118="","",VLOOKUP($B118,'C-1 On-Site WaterC'' Baseline'!$C$9:$R$257,6,FALSE))</f>
        <v/>
      </c>
      <c r="H118" s="301" t="str">
        <f>IF(G118="","",VLOOKUP($B118,'C-1 On-Site WaterC'' Baseline'!$C$9:$R$257,7,FALSE))</f>
        <v/>
      </c>
      <c r="I118" s="301" t="str">
        <f>IF(H118="","",VLOOKUP($B118,'C-1 On-Site WaterC'' Baseline'!$C$9:$R$257,8,FALSE))</f>
        <v/>
      </c>
      <c r="J118" s="301" t="str">
        <f>IF(I118="","",VLOOKUP($B118,'C-1 On-Site WaterC'' Baseline'!$C$9:$R$257,9,FALSE))</f>
        <v/>
      </c>
      <c r="K118" s="301" t="str">
        <f>IF(J118="","",VLOOKUP($B118,'C-1 On-Site WaterC'' Baseline'!$C$9:$R$257,10,FALSE))</f>
        <v/>
      </c>
      <c r="L118" s="301" t="str">
        <f>IF(B118="","",VLOOKUP($B118,'C-1 On-Site WaterC'' Baseline'!$C$9:$R$257,15,FALSE))</f>
        <v/>
      </c>
      <c r="M118" s="305" t="str">
        <f>IF(L118="","",VLOOKUP($B118,'C-1 On-Site WaterC'' Baseline'!$C$9:$R$257,16,FALSE))</f>
        <v/>
      </c>
      <c r="N118" s="251"/>
      <c r="O118" s="281" t="str">
        <f t="shared" si="11"/>
        <v/>
      </c>
      <c r="P118" s="282" t="str">
        <f t="shared" si="12"/>
        <v/>
      </c>
      <c r="Q118" s="342" t="str">
        <f>IF(N118="","",VLOOKUP(B118,'C-1 On-Site WaterC'' Baseline'!$C$10:$AC$257,20,FALSE))</f>
        <v/>
      </c>
      <c r="R118" s="281" t="str">
        <f>IF(N118="","",VLOOKUP(N118,'G-7 WaterC'' Data'!$B$2:$G$8,2,FALSE))</f>
        <v/>
      </c>
      <c r="S118" s="282" t="str">
        <f>IFERROR(VLOOKUP(R118,'G-7 WaterC'' Data'!$C$4:$D$8,2,FALSE),"")</f>
        <v/>
      </c>
      <c r="T118" s="105"/>
      <c r="U118" s="282" t="str">
        <f>IFERROR(INDEX('G-7 WaterC'' Data'!$H$4:$L$8,MATCH(N118,'G-7 WaterC'' Data'!$B$4:$B$8,0),MATCH(T118,'G-7 WaterC'' Data'!$H$3:$L$3,0)),"")</f>
        <v/>
      </c>
      <c r="V118" s="105"/>
      <c r="W118" s="289" t="str">
        <f>IF(V118="","",IF(VLOOKUP(V118,'G-7 WaterC'' Data'!$AK$4:$AM$6,2,FALSE)=0,"Spatial Data Missing ⚠",VLOOKUP(V118,'G-7 WaterC'' Data'!$AK$4:$AM$6,2,FALSE)))</f>
        <v/>
      </c>
      <c r="X118" s="282" t="str">
        <f>IF(V118="","",IF(VLOOKUP(V118,'G-7 WaterC'' Data'!$AK$4:$AM$6,3,FALSE)=0,"Spatial Data Missing ⚠",VLOOKUP(V118,'G-7 WaterC'' Data'!$AK$4:$AM$6,3,FALSE)))</f>
        <v/>
      </c>
      <c r="Y118" s="281" t="str">
        <f>IFERROR(IF(OR(LEFT(P118,5)="Error",LEFT(O118,5)="Error"),"Check Data ⚠",IF(F118&lt;S118,'G-7 WaterC'' Data'!$R$3,INDEX('G-7 WaterC'' Data'!$U$5:$Y$9,MATCH(G118,'G-7 WaterC'' Data'!$T$5:$T$9,0),MATCH(T118,'G-7 WaterC'' Data'!$U$4:$Y$4,0)))),"")</f>
        <v/>
      </c>
      <c r="Z118" s="137"/>
      <c r="AA118" s="137"/>
      <c r="AB118" s="289" t="str">
        <f t="shared" si="13"/>
        <v/>
      </c>
      <c r="AC118" s="302" t="str">
        <f t="shared" si="14"/>
        <v/>
      </c>
      <c r="AD118" s="340" t="str">
        <f>IFERROR(IF(AC118="Check Data ⚠","Check Data ⚠",VLOOKUP(AC118,'G-4 Temporal multipliers'!$A$4:$C$37,3,FALSE)),"")</f>
        <v/>
      </c>
      <c r="AE118" s="281" t="str">
        <f>IF(N118="","",VLOOKUP(N118,'G-7 WaterC'' Data'!$B$4:$G$8,5,FALSE))</f>
        <v/>
      </c>
      <c r="AF118" s="289" t="str">
        <f t="shared" si="15"/>
        <v/>
      </c>
      <c r="AG118" s="320" t="str">
        <f t="shared" si="16"/>
        <v/>
      </c>
      <c r="AH118" s="282" t="str">
        <f t="shared" si="10"/>
        <v/>
      </c>
      <c r="AI118" s="109"/>
      <c r="AJ118" s="282" t="str">
        <f>IF(AI118="","",IF(AND(AI118="N/A - Culvert",N118&lt;&gt;"Culvert"),"Not possible ▲",IF(VLOOKUP(AI118,'G-7 WaterC'' Data'!$AA$4:$AB$7,2,FALSE)=0,"Spatial Data Missing ⚠",VLOOKUP(AI118,'G-7 WaterC'' Data'!$AA$4:$AB$7,2,FALSE))))</f>
        <v/>
      </c>
      <c r="AK118" s="110"/>
      <c r="AL118" s="282" t="str">
        <f>IF(AK118="","",IF(AND(AK118="N/A - Culvert",N118&lt;&gt;"Culvert"),"Not possible ▲",IF(VLOOKUP(AK118,'G-7 WaterC'' Data'!$AD$4:$AE$14,2,FALSE)=0,"Spatial Data Missing ⚠",VLOOKUP(AK118,'G-7 WaterC'' Data'!$AD$4:$AE$14,2,FALSE))))</f>
        <v/>
      </c>
      <c r="AM118" s="323" t="str">
        <f t="shared" si="17"/>
        <v/>
      </c>
      <c r="AN118" s="105"/>
      <c r="AO118" s="119"/>
      <c r="AP118" s="108"/>
      <c r="AS118" s="30" t="str">
        <f>IF(B118="","",IF(ISNA(VLOOKUP($B118,'C-1 On-Site WaterC'' Baseline'!$C$8:$AD$257,17,FALSE)),"",(VLOOKUP($B118,'C-1 On-Site WaterC'' Baseline'!$C$8:$AD$257,17,FALSE))))</f>
        <v/>
      </c>
      <c r="AT118" s="30" t="str">
        <f>IF(B118="","",VLOOKUP($B118,'C-1 On-Site WaterC'' Baseline'!$C$9:$Z$257,12,FALSE))</f>
        <v/>
      </c>
      <c r="AU118" s="30" t="str">
        <f>IF(B118="","",VLOOKUP($B118,'C-1 On-Site WaterC'' Baseline'!$C$9:$Z$257,14,FALSE))</f>
        <v/>
      </c>
      <c r="AV118" s="30" t="str">
        <f>IFERROR(INDEX('G-7 WaterC'' Data'!$AZ$3:$AZ$7,MATCH(N118,'G-7 WaterC'' Data'!$AY$3:$AY$7,0)),"")</f>
        <v/>
      </c>
      <c r="AX118" s="30" t="str">
        <f>IF(B118="","",VLOOKUP($B118,'C-1 On-Site WaterC'' Baseline'!$C$9:$Y$257,22,FALSE))</f>
        <v/>
      </c>
      <c r="AY118" s="30" t="str">
        <f t="shared" si="18"/>
        <v/>
      </c>
      <c r="AZ118" s="30" t="str">
        <f>IF(B118="","",VLOOKUP($B118,'C-1 On-Site WaterC'' Baseline'!$C$9:$Y$257,21,FALSE))</f>
        <v/>
      </c>
      <c r="BA118" s="30" t="str">
        <f>IF(B118="","",VLOOKUP($B118,'C-1 On-Site WaterC'' Baseline'!$C$9:$Y$257,19,FALSE))</f>
        <v/>
      </c>
      <c r="BD118" s="30" t="str">
        <f t="shared" si="19"/>
        <v>No</v>
      </c>
    </row>
    <row r="119" spans="2:56" ht="13.8" x14ac:dyDescent="0.25">
      <c r="B119" s="311" t="str">
        <f>'C-1 On-Site WaterC'' Baseline'!AP117</f>
        <v/>
      </c>
      <c r="C119" s="301" t="str">
        <f>IF(B119="","",VLOOKUP($B119,'C-1 On-Site WaterC'' Baseline'!$C$9:$R$257,2,FALSE))</f>
        <v/>
      </c>
      <c r="D119" s="301" t="str">
        <f>IF(C119="","",VLOOKUP($B119,'C-1 On-Site WaterC'' Baseline'!$C$9:$R$257,3,FALSE))</f>
        <v/>
      </c>
      <c r="E119" s="301" t="str">
        <f>IF(D119="","",VLOOKUP($B119,'C-1 On-Site WaterC'' Baseline'!$C$9:$R$257,4,FALSE))</f>
        <v/>
      </c>
      <c r="F119" s="301" t="str">
        <f>IF(E119="","",VLOOKUP($B119,'C-1 On-Site WaterC'' Baseline'!$C$9:$R$257,5,FALSE))</f>
        <v/>
      </c>
      <c r="G119" s="301" t="str">
        <f>IF(F119="","",VLOOKUP($B119,'C-1 On-Site WaterC'' Baseline'!$C$9:$R$257,6,FALSE))</f>
        <v/>
      </c>
      <c r="H119" s="301" t="str">
        <f>IF(G119="","",VLOOKUP($B119,'C-1 On-Site WaterC'' Baseline'!$C$9:$R$257,7,FALSE))</f>
        <v/>
      </c>
      <c r="I119" s="301" t="str">
        <f>IF(H119="","",VLOOKUP($B119,'C-1 On-Site WaterC'' Baseline'!$C$9:$R$257,8,FALSE))</f>
        <v/>
      </c>
      <c r="J119" s="301" t="str">
        <f>IF(I119="","",VLOOKUP($B119,'C-1 On-Site WaterC'' Baseline'!$C$9:$R$257,9,FALSE))</f>
        <v/>
      </c>
      <c r="K119" s="301" t="str">
        <f>IF(J119="","",VLOOKUP($B119,'C-1 On-Site WaterC'' Baseline'!$C$9:$R$257,10,FALSE))</f>
        <v/>
      </c>
      <c r="L119" s="301" t="str">
        <f>IF(B119="","",VLOOKUP($B119,'C-1 On-Site WaterC'' Baseline'!$C$9:$R$257,15,FALSE))</f>
        <v/>
      </c>
      <c r="M119" s="305" t="str">
        <f>IF(L119="","",VLOOKUP($B119,'C-1 On-Site WaterC'' Baseline'!$C$9:$R$257,16,FALSE))</f>
        <v/>
      </c>
      <c r="N119" s="251"/>
      <c r="O119" s="281" t="str">
        <f t="shared" si="11"/>
        <v/>
      </c>
      <c r="P119" s="282" t="str">
        <f t="shared" si="12"/>
        <v/>
      </c>
      <c r="Q119" s="342" t="str">
        <f>IF(N119="","",VLOOKUP(B119,'C-1 On-Site WaterC'' Baseline'!$C$10:$AC$257,20,FALSE))</f>
        <v/>
      </c>
      <c r="R119" s="281" t="str">
        <f>IF(N119="","",VLOOKUP(N119,'G-7 WaterC'' Data'!$B$2:$G$8,2,FALSE))</f>
        <v/>
      </c>
      <c r="S119" s="282" t="str">
        <f>IFERROR(VLOOKUP(R119,'G-7 WaterC'' Data'!$C$4:$D$8,2,FALSE),"")</f>
        <v/>
      </c>
      <c r="T119" s="105"/>
      <c r="U119" s="282" t="str">
        <f>IFERROR(INDEX('G-7 WaterC'' Data'!$H$4:$L$8,MATCH(N119,'G-7 WaterC'' Data'!$B$4:$B$8,0),MATCH(T119,'G-7 WaterC'' Data'!$H$3:$L$3,0)),"")</f>
        <v/>
      </c>
      <c r="V119" s="105"/>
      <c r="W119" s="289" t="str">
        <f>IF(V119="","",IF(VLOOKUP(V119,'G-7 WaterC'' Data'!$AK$4:$AM$6,2,FALSE)=0,"Spatial Data Missing ⚠",VLOOKUP(V119,'G-7 WaterC'' Data'!$AK$4:$AM$6,2,FALSE)))</f>
        <v/>
      </c>
      <c r="X119" s="282" t="str">
        <f>IF(V119="","",IF(VLOOKUP(V119,'G-7 WaterC'' Data'!$AK$4:$AM$6,3,FALSE)=0,"Spatial Data Missing ⚠",VLOOKUP(V119,'G-7 WaterC'' Data'!$AK$4:$AM$6,3,FALSE)))</f>
        <v/>
      </c>
      <c r="Y119" s="281" t="str">
        <f>IFERROR(IF(OR(LEFT(P119,5)="Error",LEFT(O119,5)="Error"),"Check Data ⚠",IF(F119&lt;S119,'G-7 WaterC'' Data'!$R$3,INDEX('G-7 WaterC'' Data'!$U$5:$Y$9,MATCH(G119,'G-7 WaterC'' Data'!$T$5:$T$9,0),MATCH(T119,'G-7 WaterC'' Data'!$U$4:$Y$4,0)))),"")</f>
        <v/>
      </c>
      <c r="Z119" s="137"/>
      <c r="AA119" s="137"/>
      <c r="AB119" s="289" t="str">
        <f t="shared" si="13"/>
        <v/>
      </c>
      <c r="AC119" s="302" t="str">
        <f t="shared" si="14"/>
        <v/>
      </c>
      <c r="AD119" s="340" t="str">
        <f>IFERROR(IF(AC119="Check Data ⚠","Check Data ⚠",VLOOKUP(AC119,'G-4 Temporal multipliers'!$A$4:$C$37,3,FALSE)),"")</f>
        <v/>
      </c>
      <c r="AE119" s="281" t="str">
        <f>IF(N119="","",VLOOKUP(N119,'G-7 WaterC'' Data'!$B$4:$G$8,5,FALSE))</f>
        <v/>
      </c>
      <c r="AF119" s="289" t="str">
        <f t="shared" si="15"/>
        <v/>
      </c>
      <c r="AG119" s="320" t="str">
        <f t="shared" si="16"/>
        <v/>
      </c>
      <c r="AH119" s="282" t="str">
        <f t="shared" si="10"/>
        <v/>
      </c>
      <c r="AI119" s="109"/>
      <c r="AJ119" s="282" t="str">
        <f>IF(AI119="","",IF(AND(AI119="N/A - Culvert",N119&lt;&gt;"Culvert"),"Not possible ▲",IF(VLOOKUP(AI119,'G-7 WaterC'' Data'!$AA$4:$AB$7,2,FALSE)=0,"Spatial Data Missing ⚠",VLOOKUP(AI119,'G-7 WaterC'' Data'!$AA$4:$AB$7,2,FALSE))))</f>
        <v/>
      </c>
      <c r="AK119" s="110"/>
      <c r="AL119" s="282" t="str">
        <f>IF(AK119="","",IF(AND(AK119="N/A - Culvert",N119&lt;&gt;"Culvert"),"Not possible ▲",IF(VLOOKUP(AK119,'G-7 WaterC'' Data'!$AD$4:$AE$14,2,FALSE)=0,"Spatial Data Missing ⚠",VLOOKUP(AK119,'G-7 WaterC'' Data'!$AD$4:$AE$14,2,FALSE))))</f>
        <v/>
      </c>
      <c r="AM119" s="323" t="str">
        <f t="shared" si="17"/>
        <v/>
      </c>
      <c r="AN119" s="105"/>
      <c r="AO119" s="119"/>
      <c r="AP119" s="108"/>
      <c r="AS119" s="30" t="str">
        <f>IF(B119="","",IF(ISNA(VLOOKUP($B119,'C-1 On-Site WaterC'' Baseline'!$C$8:$AD$257,17,FALSE)),"",(VLOOKUP($B119,'C-1 On-Site WaterC'' Baseline'!$C$8:$AD$257,17,FALSE))))</f>
        <v/>
      </c>
      <c r="AT119" s="30" t="str">
        <f>IF(B119="","",VLOOKUP($B119,'C-1 On-Site WaterC'' Baseline'!$C$9:$Z$257,12,FALSE))</f>
        <v/>
      </c>
      <c r="AU119" s="30" t="str">
        <f>IF(B119="","",VLOOKUP($B119,'C-1 On-Site WaterC'' Baseline'!$C$9:$Z$257,14,FALSE))</f>
        <v/>
      </c>
      <c r="AV119" s="30" t="str">
        <f>IFERROR(INDEX('G-7 WaterC'' Data'!$AZ$3:$AZ$7,MATCH(N119,'G-7 WaterC'' Data'!$AY$3:$AY$7,0)),"")</f>
        <v/>
      </c>
      <c r="AX119" s="30" t="str">
        <f>IF(B119="","",VLOOKUP($B119,'C-1 On-Site WaterC'' Baseline'!$C$9:$Y$257,22,FALSE))</f>
        <v/>
      </c>
      <c r="AY119" s="30" t="str">
        <f t="shared" si="18"/>
        <v/>
      </c>
      <c r="AZ119" s="30" t="str">
        <f>IF(B119="","",VLOOKUP($B119,'C-1 On-Site WaterC'' Baseline'!$C$9:$Y$257,21,FALSE))</f>
        <v/>
      </c>
      <c r="BA119" s="30" t="str">
        <f>IF(B119="","",VLOOKUP($B119,'C-1 On-Site WaterC'' Baseline'!$C$9:$Y$257,19,FALSE))</f>
        <v/>
      </c>
      <c r="BD119" s="30" t="str">
        <f t="shared" si="19"/>
        <v>No</v>
      </c>
    </row>
    <row r="120" spans="2:56" ht="13.8" x14ac:dyDescent="0.25">
      <c r="B120" s="311" t="str">
        <f>'C-1 On-Site WaterC'' Baseline'!AP118</f>
        <v/>
      </c>
      <c r="C120" s="301" t="str">
        <f>IF(B120="","",VLOOKUP($B120,'C-1 On-Site WaterC'' Baseline'!$C$9:$R$257,2,FALSE))</f>
        <v/>
      </c>
      <c r="D120" s="301" t="str">
        <f>IF(C120="","",VLOOKUP($B120,'C-1 On-Site WaterC'' Baseline'!$C$9:$R$257,3,FALSE))</f>
        <v/>
      </c>
      <c r="E120" s="301" t="str">
        <f>IF(D120="","",VLOOKUP($B120,'C-1 On-Site WaterC'' Baseline'!$C$9:$R$257,4,FALSE))</f>
        <v/>
      </c>
      <c r="F120" s="301" t="str">
        <f>IF(E120="","",VLOOKUP($B120,'C-1 On-Site WaterC'' Baseline'!$C$9:$R$257,5,FALSE))</f>
        <v/>
      </c>
      <c r="G120" s="301" t="str">
        <f>IF(F120="","",VLOOKUP($B120,'C-1 On-Site WaterC'' Baseline'!$C$9:$R$257,6,FALSE))</f>
        <v/>
      </c>
      <c r="H120" s="301" t="str">
        <f>IF(G120="","",VLOOKUP($B120,'C-1 On-Site WaterC'' Baseline'!$C$9:$R$257,7,FALSE))</f>
        <v/>
      </c>
      <c r="I120" s="301" t="str">
        <f>IF(H120="","",VLOOKUP($B120,'C-1 On-Site WaterC'' Baseline'!$C$9:$R$257,8,FALSE))</f>
        <v/>
      </c>
      <c r="J120" s="301" t="str">
        <f>IF(I120="","",VLOOKUP($B120,'C-1 On-Site WaterC'' Baseline'!$C$9:$R$257,9,FALSE))</f>
        <v/>
      </c>
      <c r="K120" s="301" t="str">
        <f>IF(J120="","",VLOOKUP($B120,'C-1 On-Site WaterC'' Baseline'!$C$9:$R$257,10,FALSE))</f>
        <v/>
      </c>
      <c r="L120" s="301" t="str">
        <f>IF(B120="","",VLOOKUP($B120,'C-1 On-Site WaterC'' Baseline'!$C$9:$R$257,15,FALSE))</f>
        <v/>
      </c>
      <c r="M120" s="305" t="str">
        <f>IF(L120="","",VLOOKUP($B120,'C-1 On-Site WaterC'' Baseline'!$C$9:$R$257,16,FALSE))</f>
        <v/>
      </c>
      <c r="N120" s="251"/>
      <c r="O120" s="281" t="str">
        <f t="shared" si="11"/>
        <v/>
      </c>
      <c r="P120" s="282" t="str">
        <f t="shared" si="12"/>
        <v/>
      </c>
      <c r="Q120" s="342" t="str">
        <f>IF(N120="","",VLOOKUP(B120,'C-1 On-Site WaterC'' Baseline'!$C$10:$AC$257,20,FALSE))</f>
        <v/>
      </c>
      <c r="R120" s="281" t="str">
        <f>IF(N120="","",VLOOKUP(N120,'G-7 WaterC'' Data'!$B$2:$G$8,2,FALSE))</f>
        <v/>
      </c>
      <c r="S120" s="282" t="str">
        <f>IFERROR(VLOOKUP(R120,'G-7 WaterC'' Data'!$C$4:$D$8,2,FALSE),"")</f>
        <v/>
      </c>
      <c r="T120" s="105"/>
      <c r="U120" s="282" t="str">
        <f>IFERROR(INDEX('G-7 WaterC'' Data'!$H$4:$L$8,MATCH(N120,'G-7 WaterC'' Data'!$B$4:$B$8,0),MATCH(T120,'G-7 WaterC'' Data'!$H$3:$L$3,0)),"")</f>
        <v/>
      </c>
      <c r="V120" s="105"/>
      <c r="W120" s="289" t="str">
        <f>IF(V120="","",IF(VLOOKUP(V120,'G-7 WaterC'' Data'!$AK$4:$AM$6,2,FALSE)=0,"Spatial Data Missing ⚠",VLOOKUP(V120,'G-7 WaterC'' Data'!$AK$4:$AM$6,2,FALSE)))</f>
        <v/>
      </c>
      <c r="X120" s="282" t="str">
        <f>IF(V120="","",IF(VLOOKUP(V120,'G-7 WaterC'' Data'!$AK$4:$AM$6,3,FALSE)=0,"Spatial Data Missing ⚠",VLOOKUP(V120,'G-7 WaterC'' Data'!$AK$4:$AM$6,3,FALSE)))</f>
        <v/>
      </c>
      <c r="Y120" s="281" t="str">
        <f>IFERROR(IF(OR(LEFT(P120,5)="Error",LEFT(O120,5)="Error"),"Check Data ⚠",IF(F120&lt;S120,'G-7 WaterC'' Data'!$R$3,INDEX('G-7 WaterC'' Data'!$U$5:$Y$9,MATCH(G120,'G-7 WaterC'' Data'!$T$5:$T$9,0),MATCH(T120,'G-7 WaterC'' Data'!$U$4:$Y$4,0)))),"")</f>
        <v/>
      </c>
      <c r="Z120" s="137"/>
      <c r="AA120" s="137"/>
      <c r="AB120" s="289" t="str">
        <f t="shared" si="13"/>
        <v/>
      </c>
      <c r="AC120" s="302" t="str">
        <f t="shared" si="14"/>
        <v/>
      </c>
      <c r="AD120" s="340" t="str">
        <f>IFERROR(IF(AC120="Check Data ⚠","Check Data ⚠",VLOOKUP(AC120,'G-4 Temporal multipliers'!$A$4:$C$37,3,FALSE)),"")</f>
        <v/>
      </c>
      <c r="AE120" s="281" t="str">
        <f>IF(N120="","",VLOOKUP(N120,'G-7 WaterC'' Data'!$B$4:$G$8,5,FALSE))</f>
        <v/>
      </c>
      <c r="AF120" s="289" t="str">
        <f t="shared" si="15"/>
        <v/>
      </c>
      <c r="AG120" s="320" t="str">
        <f t="shared" si="16"/>
        <v/>
      </c>
      <c r="AH120" s="282" t="str">
        <f t="shared" si="10"/>
        <v/>
      </c>
      <c r="AI120" s="109"/>
      <c r="AJ120" s="282" t="str">
        <f>IF(AI120="","",IF(AND(AI120="N/A - Culvert",N120&lt;&gt;"Culvert"),"Not possible ▲",IF(VLOOKUP(AI120,'G-7 WaterC'' Data'!$AA$4:$AB$7,2,FALSE)=0,"Spatial Data Missing ⚠",VLOOKUP(AI120,'G-7 WaterC'' Data'!$AA$4:$AB$7,2,FALSE))))</f>
        <v/>
      </c>
      <c r="AK120" s="110"/>
      <c r="AL120" s="282" t="str">
        <f>IF(AK120="","",IF(AND(AK120="N/A - Culvert",N120&lt;&gt;"Culvert"),"Not possible ▲",IF(VLOOKUP(AK120,'G-7 WaterC'' Data'!$AD$4:$AE$14,2,FALSE)=0,"Spatial Data Missing ⚠",VLOOKUP(AK120,'G-7 WaterC'' Data'!$AD$4:$AE$14,2,FALSE))))</f>
        <v/>
      </c>
      <c r="AM120" s="323" t="str">
        <f t="shared" si="17"/>
        <v/>
      </c>
      <c r="AN120" s="105"/>
      <c r="AO120" s="119"/>
      <c r="AP120" s="108"/>
      <c r="AS120" s="30" t="str">
        <f>IF(B120="","",IF(ISNA(VLOOKUP($B120,'C-1 On-Site WaterC'' Baseline'!$C$8:$AD$257,17,FALSE)),"",(VLOOKUP($B120,'C-1 On-Site WaterC'' Baseline'!$C$8:$AD$257,17,FALSE))))</f>
        <v/>
      </c>
      <c r="AT120" s="30" t="str">
        <f>IF(B120="","",VLOOKUP($B120,'C-1 On-Site WaterC'' Baseline'!$C$9:$Z$257,12,FALSE))</f>
        <v/>
      </c>
      <c r="AU120" s="30" t="str">
        <f>IF(B120="","",VLOOKUP($B120,'C-1 On-Site WaterC'' Baseline'!$C$9:$Z$257,14,FALSE))</f>
        <v/>
      </c>
      <c r="AV120" s="30" t="str">
        <f>IFERROR(INDEX('G-7 WaterC'' Data'!$AZ$3:$AZ$7,MATCH(N120,'G-7 WaterC'' Data'!$AY$3:$AY$7,0)),"")</f>
        <v/>
      </c>
      <c r="AX120" s="30" t="str">
        <f>IF(B120="","",VLOOKUP($B120,'C-1 On-Site WaterC'' Baseline'!$C$9:$Y$257,22,FALSE))</f>
        <v/>
      </c>
      <c r="AY120" s="30" t="str">
        <f t="shared" si="18"/>
        <v/>
      </c>
      <c r="AZ120" s="30" t="str">
        <f>IF(B120="","",VLOOKUP($B120,'C-1 On-Site WaterC'' Baseline'!$C$9:$Y$257,21,FALSE))</f>
        <v/>
      </c>
      <c r="BA120" s="30" t="str">
        <f>IF(B120="","",VLOOKUP($B120,'C-1 On-Site WaterC'' Baseline'!$C$9:$Y$257,19,FALSE))</f>
        <v/>
      </c>
      <c r="BD120" s="30" t="str">
        <f t="shared" si="19"/>
        <v>No</v>
      </c>
    </row>
    <row r="121" spans="2:56" ht="13.8" x14ac:dyDescent="0.25">
      <c r="B121" s="311" t="str">
        <f>'C-1 On-Site WaterC'' Baseline'!AP119</f>
        <v/>
      </c>
      <c r="C121" s="301" t="str">
        <f>IF(B121="","",VLOOKUP($B121,'C-1 On-Site WaterC'' Baseline'!$C$9:$R$257,2,FALSE))</f>
        <v/>
      </c>
      <c r="D121" s="301" t="str">
        <f>IF(C121="","",VLOOKUP($B121,'C-1 On-Site WaterC'' Baseline'!$C$9:$R$257,3,FALSE))</f>
        <v/>
      </c>
      <c r="E121" s="301" t="str">
        <f>IF(D121="","",VLOOKUP($B121,'C-1 On-Site WaterC'' Baseline'!$C$9:$R$257,4,FALSE))</f>
        <v/>
      </c>
      <c r="F121" s="301" t="str">
        <f>IF(E121="","",VLOOKUP($B121,'C-1 On-Site WaterC'' Baseline'!$C$9:$R$257,5,FALSE))</f>
        <v/>
      </c>
      <c r="G121" s="301" t="str">
        <f>IF(F121="","",VLOOKUP($B121,'C-1 On-Site WaterC'' Baseline'!$C$9:$R$257,6,FALSE))</f>
        <v/>
      </c>
      <c r="H121" s="301" t="str">
        <f>IF(G121="","",VLOOKUP($B121,'C-1 On-Site WaterC'' Baseline'!$C$9:$R$257,7,FALSE))</f>
        <v/>
      </c>
      <c r="I121" s="301" t="str">
        <f>IF(H121="","",VLOOKUP($B121,'C-1 On-Site WaterC'' Baseline'!$C$9:$R$257,8,FALSE))</f>
        <v/>
      </c>
      <c r="J121" s="301" t="str">
        <f>IF(I121="","",VLOOKUP($B121,'C-1 On-Site WaterC'' Baseline'!$C$9:$R$257,9,FALSE))</f>
        <v/>
      </c>
      <c r="K121" s="301" t="str">
        <f>IF(J121="","",VLOOKUP($B121,'C-1 On-Site WaterC'' Baseline'!$C$9:$R$257,10,FALSE))</f>
        <v/>
      </c>
      <c r="L121" s="301" t="str">
        <f>IF(B121="","",VLOOKUP($B121,'C-1 On-Site WaterC'' Baseline'!$C$9:$R$257,15,FALSE))</f>
        <v/>
      </c>
      <c r="M121" s="305" t="str">
        <f>IF(L121="","",VLOOKUP($B121,'C-1 On-Site WaterC'' Baseline'!$C$9:$R$257,16,FALSE))</f>
        <v/>
      </c>
      <c r="N121" s="251"/>
      <c r="O121" s="281" t="str">
        <f t="shared" si="11"/>
        <v/>
      </c>
      <c r="P121" s="282" t="str">
        <f t="shared" si="12"/>
        <v/>
      </c>
      <c r="Q121" s="342" t="str">
        <f>IF(N121="","",VLOOKUP(B121,'C-1 On-Site WaterC'' Baseline'!$C$10:$AC$257,20,FALSE))</f>
        <v/>
      </c>
      <c r="R121" s="281" t="str">
        <f>IF(N121="","",VLOOKUP(N121,'G-7 WaterC'' Data'!$B$2:$G$8,2,FALSE))</f>
        <v/>
      </c>
      <c r="S121" s="282" t="str">
        <f>IFERROR(VLOOKUP(R121,'G-7 WaterC'' Data'!$C$4:$D$8,2,FALSE),"")</f>
        <v/>
      </c>
      <c r="T121" s="105"/>
      <c r="U121" s="282" t="str">
        <f>IFERROR(INDEX('G-7 WaterC'' Data'!$H$4:$L$8,MATCH(N121,'G-7 WaterC'' Data'!$B$4:$B$8,0),MATCH(T121,'G-7 WaterC'' Data'!$H$3:$L$3,0)),"")</f>
        <v/>
      </c>
      <c r="V121" s="105"/>
      <c r="W121" s="289" t="str">
        <f>IF(V121="","",IF(VLOOKUP(V121,'G-7 WaterC'' Data'!$AK$4:$AM$6,2,FALSE)=0,"Spatial Data Missing ⚠",VLOOKUP(V121,'G-7 WaterC'' Data'!$AK$4:$AM$6,2,FALSE)))</f>
        <v/>
      </c>
      <c r="X121" s="282" t="str">
        <f>IF(V121="","",IF(VLOOKUP(V121,'G-7 WaterC'' Data'!$AK$4:$AM$6,3,FALSE)=0,"Spatial Data Missing ⚠",VLOOKUP(V121,'G-7 WaterC'' Data'!$AK$4:$AM$6,3,FALSE)))</f>
        <v/>
      </c>
      <c r="Y121" s="281" t="str">
        <f>IFERROR(IF(OR(LEFT(P121,5)="Error",LEFT(O121,5)="Error"),"Check Data ⚠",IF(F121&lt;S121,'G-7 WaterC'' Data'!$R$3,INDEX('G-7 WaterC'' Data'!$U$5:$Y$9,MATCH(G121,'G-7 WaterC'' Data'!$T$5:$T$9,0),MATCH(T121,'G-7 WaterC'' Data'!$U$4:$Y$4,0)))),"")</f>
        <v/>
      </c>
      <c r="Z121" s="137"/>
      <c r="AA121" s="137"/>
      <c r="AB121" s="289" t="str">
        <f t="shared" si="13"/>
        <v/>
      </c>
      <c r="AC121" s="302" t="str">
        <f t="shared" si="14"/>
        <v/>
      </c>
      <c r="AD121" s="340" t="str">
        <f>IFERROR(IF(AC121="Check Data ⚠","Check Data ⚠",VLOOKUP(AC121,'G-4 Temporal multipliers'!$A$4:$C$37,3,FALSE)),"")</f>
        <v/>
      </c>
      <c r="AE121" s="281" t="str">
        <f>IF(N121="","",VLOOKUP(N121,'G-7 WaterC'' Data'!$B$4:$G$8,5,FALSE))</f>
        <v/>
      </c>
      <c r="AF121" s="289" t="str">
        <f t="shared" si="15"/>
        <v/>
      </c>
      <c r="AG121" s="320" t="str">
        <f t="shared" si="16"/>
        <v/>
      </c>
      <c r="AH121" s="282" t="str">
        <f t="shared" si="10"/>
        <v/>
      </c>
      <c r="AI121" s="109"/>
      <c r="AJ121" s="282" t="str">
        <f>IF(AI121="","",IF(AND(AI121="N/A - Culvert",N121&lt;&gt;"Culvert"),"Not possible ▲",IF(VLOOKUP(AI121,'G-7 WaterC'' Data'!$AA$4:$AB$7,2,FALSE)=0,"Spatial Data Missing ⚠",VLOOKUP(AI121,'G-7 WaterC'' Data'!$AA$4:$AB$7,2,FALSE))))</f>
        <v/>
      </c>
      <c r="AK121" s="110"/>
      <c r="AL121" s="282" t="str">
        <f>IF(AK121="","",IF(AND(AK121="N/A - Culvert",N121&lt;&gt;"Culvert"),"Not possible ▲",IF(VLOOKUP(AK121,'G-7 WaterC'' Data'!$AD$4:$AE$14,2,FALSE)=0,"Spatial Data Missing ⚠",VLOOKUP(AK121,'G-7 WaterC'' Data'!$AD$4:$AE$14,2,FALSE))))</f>
        <v/>
      </c>
      <c r="AM121" s="323" t="str">
        <f t="shared" si="17"/>
        <v/>
      </c>
      <c r="AN121" s="105"/>
      <c r="AO121" s="119"/>
      <c r="AP121" s="108"/>
      <c r="AS121" s="30" t="str">
        <f>IF(B121="","",IF(ISNA(VLOOKUP($B121,'C-1 On-Site WaterC'' Baseline'!$C$8:$AD$257,17,FALSE)),"",(VLOOKUP($B121,'C-1 On-Site WaterC'' Baseline'!$C$8:$AD$257,17,FALSE))))</f>
        <v/>
      </c>
      <c r="AT121" s="30" t="str">
        <f>IF(B121="","",VLOOKUP($B121,'C-1 On-Site WaterC'' Baseline'!$C$9:$Z$257,12,FALSE))</f>
        <v/>
      </c>
      <c r="AU121" s="30" t="str">
        <f>IF(B121="","",VLOOKUP($B121,'C-1 On-Site WaterC'' Baseline'!$C$9:$Z$257,14,FALSE))</f>
        <v/>
      </c>
      <c r="AV121" s="30" t="str">
        <f>IFERROR(INDEX('G-7 WaterC'' Data'!$AZ$3:$AZ$7,MATCH(N121,'G-7 WaterC'' Data'!$AY$3:$AY$7,0)),"")</f>
        <v/>
      </c>
      <c r="AX121" s="30" t="str">
        <f>IF(B121="","",VLOOKUP($B121,'C-1 On-Site WaterC'' Baseline'!$C$9:$Y$257,22,FALSE))</f>
        <v/>
      </c>
      <c r="AY121" s="30" t="str">
        <f t="shared" si="18"/>
        <v/>
      </c>
      <c r="AZ121" s="30" t="str">
        <f>IF(B121="","",VLOOKUP($B121,'C-1 On-Site WaterC'' Baseline'!$C$9:$Y$257,21,FALSE))</f>
        <v/>
      </c>
      <c r="BA121" s="30" t="str">
        <f>IF(B121="","",VLOOKUP($B121,'C-1 On-Site WaterC'' Baseline'!$C$9:$Y$257,19,FALSE))</f>
        <v/>
      </c>
      <c r="BD121" s="30" t="str">
        <f t="shared" si="19"/>
        <v>No</v>
      </c>
    </row>
    <row r="122" spans="2:56" ht="13.8" x14ac:dyDescent="0.25">
      <c r="B122" s="311" t="str">
        <f>'C-1 On-Site WaterC'' Baseline'!AP120</f>
        <v/>
      </c>
      <c r="C122" s="301" t="str">
        <f>IF(B122="","",VLOOKUP($B122,'C-1 On-Site WaterC'' Baseline'!$C$9:$R$257,2,FALSE))</f>
        <v/>
      </c>
      <c r="D122" s="301" t="str">
        <f>IF(C122="","",VLOOKUP($B122,'C-1 On-Site WaterC'' Baseline'!$C$9:$R$257,3,FALSE))</f>
        <v/>
      </c>
      <c r="E122" s="301" t="str">
        <f>IF(D122="","",VLOOKUP($B122,'C-1 On-Site WaterC'' Baseline'!$C$9:$R$257,4,FALSE))</f>
        <v/>
      </c>
      <c r="F122" s="301" t="str">
        <f>IF(E122="","",VLOOKUP($B122,'C-1 On-Site WaterC'' Baseline'!$C$9:$R$257,5,FALSE))</f>
        <v/>
      </c>
      <c r="G122" s="301" t="str">
        <f>IF(F122="","",VLOOKUP($B122,'C-1 On-Site WaterC'' Baseline'!$C$9:$R$257,6,FALSE))</f>
        <v/>
      </c>
      <c r="H122" s="301" t="str">
        <f>IF(G122="","",VLOOKUP($B122,'C-1 On-Site WaterC'' Baseline'!$C$9:$R$257,7,FALSE))</f>
        <v/>
      </c>
      <c r="I122" s="301" t="str">
        <f>IF(H122="","",VLOOKUP($B122,'C-1 On-Site WaterC'' Baseline'!$C$9:$R$257,8,FALSE))</f>
        <v/>
      </c>
      <c r="J122" s="301" t="str">
        <f>IF(I122="","",VLOOKUP($B122,'C-1 On-Site WaterC'' Baseline'!$C$9:$R$257,9,FALSE))</f>
        <v/>
      </c>
      <c r="K122" s="301" t="str">
        <f>IF(J122="","",VLOOKUP($B122,'C-1 On-Site WaterC'' Baseline'!$C$9:$R$257,10,FALSE))</f>
        <v/>
      </c>
      <c r="L122" s="301" t="str">
        <f>IF(B122="","",VLOOKUP($B122,'C-1 On-Site WaterC'' Baseline'!$C$9:$R$257,15,FALSE))</f>
        <v/>
      </c>
      <c r="M122" s="305" t="str">
        <f>IF(L122="","",VLOOKUP($B122,'C-1 On-Site WaterC'' Baseline'!$C$9:$R$257,16,FALSE))</f>
        <v/>
      </c>
      <c r="N122" s="251"/>
      <c r="O122" s="281" t="str">
        <f t="shared" si="11"/>
        <v/>
      </c>
      <c r="P122" s="282" t="str">
        <f t="shared" si="12"/>
        <v/>
      </c>
      <c r="Q122" s="342" t="str">
        <f>IF(N122="","",VLOOKUP(B122,'C-1 On-Site WaterC'' Baseline'!$C$10:$AC$257,20,FALSE))</f>
        <v/>
      </c>
      <c r="R122" s="281" t="str">
        <f>IF(N122="","",VLOOKUP(N122,'G-7 WaterC'' Data'!$B$2:$G$8,2,FALSE))</f>
        <v/>
      </c>
      <c r="S122" s="282" t="str">
        <f>IFERROR(VLOOKUP(R122,'G-7 WaterC'' Data'!$C$4:$D$8,2,FALSE),"")</f>
        <v/>
      </c>
      <c r="T122" s="105"/>
      <c r="U122" s="282" t="str">
        <f>IFERROR(INDEX('G-7 WaterC'' Data'!$H$4:$L$8,MATCH(N122,'G-7 WaterC'' Data'!$B$4:$B$8,0),MATCH(T122,'G-7 WaterC'' Data'!$H$3:$L$3,0)),"")</f>
        <v/>
      </c>
      <c r="V122" s="105"/>
      <c r="W122" s="289" t="str">
        <f>IF(V122="","",IF(VLOOKUP(V122,'G-7 WaterC'' Data'!$AK$4:$AM$6,2,FALSE)=0,"Spatial Data Missing ⚠",VLOOKUP(V122,'G-7 WaterC'' Data'!$AK$4:$AM$6,2,FALSE)))</f>
        <v/>
      </c>
      <c r="X122" s="282" t="str">
        <f>IF(V122="","",IF(VLOOKUP(V122,'G-7 WaterC'' Data'!$AK$4:$AM$6,3,FALSE)=0,"Spatial Data Missing ⚠",VLOOKUP(V122,'G-7 WaterC'' Data'!$AK$4:$AM$6,3,FALSE)))</f>
        <v/>
      </c>
      <c r="Y122" s="281" t="str">
        <f>IFERROR(IF(OR(LEFT(P122,5)="Error",LEFT(O122,5)="Error"),"Check Data ⚠",IF(F122&lt;S122,'G-7 WaterC'' Data'!$R$3,INDEX('G-7 WaterC'' Data'!$U$5:$Y$9,MATCH(G122,'G-7 WaterC'' Data'!$T$5:$T$9,0),MATCH(T122,'G-7 WaterC'' Data'!$U$4:$Y$4,0)))),"")</f>
        <v/>
      </c>
      <c r="Z122" s="137"/>
      <c r="AA122" s="137"/>
      <c r="AB122" s="289" t="str">
        <f t="shared" si="13"/>
        <v/>
      </c>
      <c r="AC122" s="302" t="str">
        <f t="shared" si="14"/>
        <v/>
      </c>
      <c r="AD122" s="340" t="str">
        <f>IFERROR(IF(AC122="Check Data ⚠","Check Data ⚠",VLOOKUP(AC122,'G-4 Temporal multipliers'!$A$4:$C$37,3,FALSE)),"")</f>
        <v/>
      </c>
      <c r="AE122" s="281" t="str">
        <f>IF(N122="","",VLOOKUP(N122,'G-7 WaterC'' Data'!$B$4:$G$8,5,FALSE))</f>
        <v/>
      </c>
      <c r="AF122" s="289" t="str">
        <f t="shared" si="15"/>
        <v/>
      </c>
      <c r="AG122" s="320" t="str">
        <f t="shared" si="16"/>
        <v/>
      </c>
      <c r="AH122" s="282" t="str">
        <f t="shared" si="10"/>
        <v/>
      </c>
      <c r="AI122" s="109"/>
      <c r="AJ122" s="282" t="str">
        <f>IF(AI122="","",IF(AND(AI122="N/A - Culvert",N122&lt;&gt;"Culvert"),"Not possible ▲",IF(VLOOKUP(AI122,'G-7 WaterC'' Data'!$AA$4:$AB$7,2,FALSE)=0,"Spatial Data Missing ⚠",VLOOKUP(AI122,'G-7 WaterC'' Data'!$AA$4:$AB$7,2,FALSE))))</f>
        <v/>
      </c>
      <c r="AK122" s="110"/>
      <c r="AL122" s="282" t="str">
        <f>IF(AK122="","",IF(AND(AK122="N/A - Culvert",N122&lt;&gt;"Culvert"),"Not possible ▲",IF(VLOOKUP(AK122,'G-7 WaterC'' Data'!$AD$4:$AE$14,2,FALSE)=0,"Spatial Data Missing ⚠",VLOOKUP(AK122,'G-7 WaterC'' Data'!$AD$4:$AE$14,2,FALSE))))</f>
        <v/>
      </c>
      <c r="AM122" s="323" t="str">
        <f t="shared" si="17"/>
        <v/>
      </c>
      <c r="AN122" s="105"/>
      <c r="AO122" s="119"/>
      <c r="AP122" s="108"/>
      <c r="AS122" s="30" t="str">
        <f>IF(B122="","",IF(ISNA(VLOOKUP($B122,'C-1 On-Site WaterC'' Baseline'!$C$8:$AD$257,17,FALSE)),"",(VLOOKUP($B122,'C-1 On-Site WaterC'' Baseline'!$C$8:$AD$257,17,FALSE))))</f>
        <v/>
      </c>
      <c r="AT122" s="30" t="str">
        <f>IF(B122="","",VLOOKUP($B122,'C-1 On-Site WaterC'' Baseline'!$C$9:$Z$257,12,FALSE))</f>
        <v/>
      </c>
      <c r="AU122" s="30" t="str">
        <f>IF(B122="","",VLOOKUP($B122,'C-1 On-Site WaterC'' Baseline'!$C$9:$Z$257,14,FALSE))</f>
        <v/>
      </c>
      <c r="AV122" s="30" t="str">
        <f>IFERROR(INDEX('G-7 WaterC'' Data'!$AZ$3:$AZ$7,MATCH(N122,'G-7 WaterC'' Data'!$AY$3:$AY$7,0)),"")</f>
        <v/>
      </c>
      <c r="AX122" s="30" t="str">
        <f>IF(B122="","",VLOOKUP($B122,'C-1 On-Site WaterC'' Baseline'!$C$9:$Y$257,22,FALSE))</f>
        <v/>
      </c>
      <c r="AY122" s="30" t="str">
        <f t="shared" si="18"/>
        <v/>
      </c>
      <c r="AZ122" s="30" t="str">
        <f>IF(B122="","",VLOOKUP($B122,'C-1 On-Site WaterC'' Baseline'!$C$9:$Y$257,21,FALSE))</f>
        <v/>
      </c>
      <c r="BA122" s="30" t="str">
        <f>IF(B122="","",VLOOKUP($B122,'C-1 On-Site WaterC'' Baseline'!$C$9:$Y$257,19,FALSE))</f>
        <v/>
      </c>
      <c r="BD122" s="30" t="str">
        <f t="shared" si="19"/>
        <v>No</v>
      </c>
    </row>
    <row r="123" spans="2:56" ht="13.8" x14ac:dyDescent="0.25">
      <c r="B123" s="311" t="str">
        <f>'C-1 On-Site WaterC'' Baseline'!AP121</f>
        <v/>
      </c>
      <c r="C123" s="301" t="str">
        <f>IF(B123="","",VLOOKUP($B123,'C-1 On-Site WaterC'' Baseline'!$C$9:$R$257,2,FALSE))</f>
        <v/>
      </c>
      <c r="D123" s="301" t="str">
        <f>IF(C123="","",VLOOKUP($B123,'C-1 On-Site WaterC'' Baseline'!$C$9:$R$257,3,FALSE))</f>
        <v/>
      </c>
      <c r="E123" s="301" t="str">
        <f>IF(D123="","",VLOOKUP($B123,'C-1 On-Site WaterC'' Baseline'!$C$9:$R$257,4,FALSE))</f>
        <v/>
      </c>
      <c r="F123" s="301" t="str">
        <f>IF(E123="","",VLOOKUP($B123,'C-1 On-Site WaterC'' Baseline'!$C$9:$R$257,5,FALSE))</f>
        <v/>
      </c>
      <c r="G123" s="301" t="str">
        <f>IF(F123="","",VLOOKUP($B123,'C-1 On-Site WaterC'' Baseline'!$C$9:$R$257,6,FALSE))</f>
        <v/>
      </c>
      <c r="H123" s="301" t="str">
        <f>IF(G123="","",VLOOKUP($B123,'C-1 On-Site WaterC'' Baseline'!$C$9:$R$257,7,FALSE))</f>
        <v/>
      </c>
      <c r="I123" s="301" t="str">
        <f>IF(H123="","",VLOOKUP($B123,'C-1 On-Site WaterC'' Baseline'!$C$9:$R$257,8,FALSE))</f>
        <v/>
      </c>
      <c r="J123" s="301" t="str">
        <f>IF(I123="","",VLOOKUP($B123,'C-1 On-Site WaterC'' Baseline'!$C$9:$R$257,9,FALSE))</f>
        <v/>
      </c>
      <c r="K123" s="301" t="str">
        <f>IF(J123="","",VLOOKUP($B123,'C-1 On-Site WaterC'' Baseline'!$C$9:$R$257,10,FALSE))</f>
        <v/>
      </c>
      <c r="L123" s="301" t="str">
        <f>IF(B123="","",VLOOKUP($B123,'C-1 On-Site WaterC'' Baseline'!$C$9:$R$257,15,FALSE))</f>
        <v/>
      </c>
      <c r="M123" s="305" t="str">
        <f>IF(L123="","",VLOOKUP($B123,'C-1 On-Site WaterC'' Baseline'!$C$9:$R$257,16,FALSE))</f>
        <v/>
      </c>
      <c r="N123" s="251"/>
      <c r="O123" s="281" t="str">
        <f t="shared" si="11"/>
        <v/>
      </c>
      <c r="P123" s="282" t="str">
        <f t="shared" si="12"/>
        <v/>
      </c>
      <c r="Q123" s="342" t="str">
        <f>IF(N123="","",VLOOKUP(B123,'C-1 On-Site WaterC'' Baseline'!$C$10:$AC$257,20,FALSE))</f>
        <v/>
      </c>
      <c r="R123" s="281" t="str">
        <f>IF(N123="","",VLOOKUP(N123,'G-7 WaterC'' Data'!$B$2:$G$8,2,FALSE))</f>
        <v/>
      </c>
      <c r="S123" s="282" t="str">
        <f>IFERROR(VLOOKUP(R123,'G-7 WaterC'' Data'!$C$4:$D$8,2,FALSE),"")</f>
        <v/>
      </c>
      <c r="T123" s="105"/>
      <c r="U123" s="282" t="str">
        <f>IFERROR(INDEX('G-7 WaterC'' Data'!$H$4:$L$8,MATCH(N123,'G-7 WaterC'' Data'!$B$4:$B$8,0),MATCH(T123,'G-7 WaterC'' Data'!$H$3:$L$3,0)),"")</f>
        <v/>
      </c>
      <c r="V123" s="105"/>
      <c r="W123" s="289" t="str">
        <f>IF(V123="","",IF(VLOOKUP(V123,'G-7 WaterC'' Data'!$AK$4:$AM$6,2,FALSE)=0,"Spatial Data Missing ⚠",VLOOKUP(V123,'G-7 WaterC'' Data'!$AK$4:$AM$6,2,FALSE)))</f>
        <v/>
      </c>
      <c r="X123" s="282" t="str">
        <f>IF(V123="","",IF(VLOOKUP(V123,'G-7 WaterC'' Data'!$AK$4:$AM$6,3,FALSE)=0,"Spatial Data Missing ⚠",VLOOKUP(V123,'G-7 WaterC'' Data'!$AK$4:$AM$6,3,FALSE)))</f>
        <v/>
      </c>
      <c r="Y123" s="281" t="str">
        <f>IFERROR(IF(OR(LEFT(P123,5)="Error",LEFT(O123,5)="Error"),"Check Data ⚠",IF(F123&lt;S123,'G-7 WaterC'' Data'!$R$3,INDEX('G-7 WaterC'' Data'!$U$5:$Y$9,MATCH(G123,'G-7 WaterC'' Data'!$T$5:$T$9,0),MATCH(T123,'G-7 WaterC'' Data'!$U$4:$Y$4,0)))),"")</f>
        <v/>
      </c>
      <c r="Z123" s="137"/>
      <c r="AA123" s="137"/>
      <c r="AB123" s="289" t="str">
        <f t="shared" si="13"/>
        <v/>
      </c>
      <c r="AC123" s="302" t="str">
        <f t="shared" si="14"/>
        <v/>
      </c>
      <c r="AD123" s="340" t="str">
        <f>IFERROR(IF(AC123="Check Data ⚠","Check Data ⚠",VLOOKUP(AC123,'G-4 Temporal multipliers'!$A$4:$C$37,3,FALSE)),"")</f>
        <v/>
      </c>
      <c r="AE123" s="281" t="str">
        <f>IF(N123="","",VLOOKUP(N123,'G-7 WaterC'' Data'!$B$4:$G$8,5,FALSE))</f>
        <v/>
      </c>
      <c r="AF123" s="289" t="str">
        <f t="shared" si="15"/>
        <v/>
      </c>
      <c r="AG123" s="320" t="str">
        <f t="shared" si="16"/>
        <v/>
      </c>
      <c r="AH123" s="282" t="str">
        <f t="shared" si="10"/>
        <v/>
      </c>
      <c r="AI123" s="109"/>
      <c r="AJ123" s="282" t="str">
        <f>IF(AI123="","",IF(AND(AI123="N/A - Culvert",N123&lt;&gt;"Culvert"),"Not possible ▲",IF(VLOOKUP(AI123,'G-7 WaterC'' Data'!$AA$4:$AB$7,2,FALSE)=0,"Spatial Data Missing ⚠",VLOOKUP(AI123,'G-7 WaterC'' Data'!$AA$4:$AB$7,2,FALSE))))</f>
        <v/>
      </c>
      <c r="AK123" s="110"/>
      <c r="AL123" s="282" t="str">
        <f>IF(AK123="","",IF(AND(AK123="N/A - Culvert",N123&lt;&gt;"Culvert"),"Not possible ▲",IF(VLOOKUP(AK123,'G-7 WaterC'' Data'!$AD$4:$AE$14,2,FALSE)=0,"Spatial Data Missing ⚠",VLOOKUP(AK123,'G-7 WaterC'' Data'!$AD$4:$AE$14,2,FALSE))))</f>
        <v/>
      </c>
      <c r="AM123" s="323" t="str">
        <f t="shared" si="17"/>
        <v/>
      </c>
      <c r="AN123" s="105"/>
      <c r="AO123" s="119"/>
      <c r="AP123" s="108"/>
      <c r="AS123" s="30" t="str">
        <f>IF(B123="","",IF(ISNA(VLOOKUP($B123,'C-1 On-Site WaterC'' Baseline'!$C$8:$AD$257,17,FALSE)),"",(VLOOKUP($B123,'C-1 On-Site WaterC'' Baseline'!$C$8:$AD$257,17,FALSE))))</f>
        <v/>
      </c>
      <c r="AT123" s="30" t="str">
        <f>IF(B123="","",VLOOKUP($B123,'C-1 On-Site WaterC'' Baseline'!$C$9:$Z$257,12,FALSE))</f>
        <v/>
      </c>
      <c r="AU123" s="30" t="str">
        <f>IF(B123="","",VLOOKUP($B123,'C-1 On-Site WaterC'' Baseline'!$C$9:$Z$257,14,FALSE))</f>
        <v/>
      </c>
      <c r="AV123" s="30" t="str">
        <f>IFERROR(INDEX('G-7 WaterC'' Data'!$AZ$3:$AZ$7,MATCH(N123,'G-7 WaterC'' Data'!$AY$3:$AY$7,0)),"")</f>
        <v/>
      </c>
      <c r="AX123" s="30" t="str">
        <f>IF(B123="","",VLOOKUP($B123,'C-1 On-Site WaterC'' Baseline'!$C$9:$Y$257,22,FALSE))</f>
        <v/>
      </c>
      <c r="AY123" s="30" t="str">
        <f t="shared" si="18"/>
        <v/>
      </c>
      <c r="AZ123" s="30" t="str">
        <f>IF(B123="","",VLOOKUP($B123,'C-1 On-Site WaterC'' Baseline'!$C$9:$Y$257,21,FALSE))</f>
        <v/>
      </c>
      <c r="BA123" s="30" t="str">
        <f>IF(B123="","",VLOOKUP($B123,'C-1 On-Site WaterC'' Baseline'!$C$9:$Y$257,19,FALSE))</f>
        <v/>
      </c>
      <c r="BD123" s="30" t="str">
        <f t="shared" si="19"/>
        <v>No</v>
      </c>
    </row>
    <row r="124" spans="2:56" ht="13.8" x14ac:dyDescent="0.25">
      <c r="B124" s="311" t="str">
        <f>'C-1 On-Site WaterC'' Baseline'!AP122</f>
        <v/>
      </c>
      <c r="C124" s="301" t="str">
        <f>IF(B124="","",VLOOKUP($B124,'C-1 On-Site WaterC'' Baseline'!$C$9:$R$257,2,FALSE))</f>
        <v/>
      </c>
      <c r="D124" s="301" t="str">
        <f>IF(C124="","",VLOOKUP($B124,'C-1 On-Site WaterC'' Baseline'!$C$9:$R$257,3,FALSE))</f>
        <v/>
      </c>
      <c r="E124" s="301" t="str">
        <f>IF(D124="","",VLOOKUP($B124,'C-1 On-Site WaterC'' Baseline'!$C$9:$R$257,4,FALSE))</f>
        <v/>
      </c>
      <c r="F124" s="301" t="str">
        <f>IF(E124="","",VLOOKUP($B124,'C-1 On-Site WaterC'' Baseline'!$C$9:$R$257,5,FALSE))</f>
        <v/>
      </c>
      <c r="G124" s="301" t="str">
        <f>IF(F124="","",VLOOKUP($B124,'C-1 On-Site WaterC'' Baseline'!$C$9:$R$257,6,FALSE))</f>
        <v/>
      </c>
      <c r="H124" s="301" t="str">
        <f>IF(G124="","",VLOOKUP($B124,'C-1 On-Site WaterC'' Baseline'!$C$9:$R$257,7,FALSE))</f>
        <v/>
      </c>
      <c r="I124" s="301" t="str">
        <f>IF(H124="","",VLOOKUP($B124,'C-1 On-Site WaterC'' Baseline'!$C$9:$R$257,8,FALSE))</f>
        <v/>
      </c>
      <c r="J124" s="301" t="str">
        <f>IF(I124="","",VLOOKUP($B124,'C-1 On-Site WaterC'' Baseline'!$C$9:$R$257,9,FALSE))</f>
        <v/>
      </c>
      <c r="K124" s="301" t="str">
        <f>IF(J124="","",VLOOKUP($B124,'C-1 On-Site WaterC'' Baseline'!$C$9:$R$257,10,FALSE))</f>
        <v/>
      </c>
      <c r="L124" s="301" t="str">
        <f>IF(B124="","",VLOOKUP($B124,'C-1 On-Site WaterC'' Baseline'!$C$9:$R$257,15,FALSE))</f>
        <v/>
      </c>
      <c r="M124" s="305" t="str">
        <f>IF(L124="","",VLOOKUP($B124,'C-1 On-Site WaterC'' Baseline'!$C$9:$R$257,16,FALSE))</f>
        <v/>
      </c>
      <c r="N124" s="251"/>
      <c r="O124" s="281" t="str">
        <f t="shared" si="11"/>
        <v/>
      </c>
      <c r="P124" s="282" t="str">
        <f t="shared" si="12"/>
        <v/>
      </c>
      <c r="Q124" s="342" t="str">
        <f>IF(N124="","",VLOOKUP(B124,'C-1 On-Site WaterC'' Baseline'!$C$10:$AC$257,20,FALSE))</f>
        <v/>
      </c>
      <c r="R124" s="281" t="str">
        <f>IF(N124="","",VLOOKUP(N124,'G-7 WaterC'' Data'!$B$2:$G$8,2,FALSE))</f>
        <v/>
      </c>
      <c r="S124" s="282" t="str">
        <f>IFERROR(VLOOKUP(R124,'G-7 WaterC'' Data'!$C$4:$D$8,2,FALSE),"")</f>
        <v/>
      </c>
      <c r="T124" s="105"/>
      <c r="U124" s="282" t="str">
        <f>IFERROR(INDEX('G-7 WaterC'' Data'!$H$4:$L$8,MATCH(N124,'G-7 WaterC'' Data'!$B$4:$B$8,0),MATCH(T124,'G-7 WaterC'' Data'!$H$3:$L$3,0)),"")</f>
        <v/>
      </c>
      <c r="V124" s="105"/>
      <c r="W124" s="289" t="str">
        <f>IF(V124="","",IF(VLOOKUP(V124,'G-7 WaterC'' Data'!$AK$4:$AM$6,2,FALSE)=0,"Spatial Data Missing ⚠",VLOOKUP(V124,'G-7 WaterC'' Data'!$AK$4:$AM$6,2,FALSE)))</f>
        <v/>
      </c>
      <c r="X124" s="282" t="str">
        <f>IF(V124="","",IF(VLOOKUP(V124,'G-7 WaterC'' Data'!$AK$4:$AM$6,3,FALSE)=0,"Spatial Data Missing ⚠",VLOOKUP(V124,'G-7 WaterC'' Data'!$AK$4:$AM$6,3,FALSE)))</f>
        <v/>
      </c>
      <c r="Y124" s="281" t="str">
        <f>IFERROR(IF(OR(LEFT(P124,5)="Error",LEFT(O124,5)="Error"),"Check Data ⚠",IF(F124&lt;S124,'G-7 WaterC'' Data'!$R$3,INDEX('G-7 WaterC'' Data'!$U$5:$Y$9,MATCH(G124,'G-7 WaterC'' Data'!$T$5:$T$9,0),MATCH(T124,'G-7 WaterC'' Data'!$U$4:$Y$4,0)))),"")</f>
        <v/>
      </c>
      <c r="Z124" s="137"/>
      <c r="AA124" s="137"/>
      <c r="AB124" s="289" t="str">
        <f t="shared" si="13"/>
        <v/>
      </c>
      <c r="AC124" s="302" t="str">
        <f t="shared" si="14"/>
        <v/>
      </c>
      <c r="AD124" s="340" t="str">
        <f>IFERROR(IF(AC124="Check Data ⚠","Check Data ⚠",VLOOKUP(AC124,'G-4 Temporal multipliers'!$A$4:$C$37,3,FALSE)),"")</f>
        <v/>
      </c>
      <c r="AE124" s="281" t="str">
        <f>IF(N124="","",VLOOKUP(N124,'G-7 WaterC'' Data'!$B$4:$G$8,5,FALSE))</f>
        <v/>
      </c>
      <c r="AF124" s="289" t="str">
        <f t="shared" si="15"/>
        <v/>
      </c>
      <c r="AG124" s="320" t="str">
        <f t="shared" si="16"/>
        <v/>
      </c>
      <c r="AH124" s="282" t="str">
        <f t="shared" si="10"/>
        <v/>
      </c>
      <c r="AI124" s="109"/>
      <c r="AJ124" s="282" t="str">
        <f>IF(AI124="","",IF(AND(AI124="N/A - Culvert",N124&lt;&gt;"Culvert"),"Not possible ▲",IF(VLOOKUP(AI124,'G-7 WaterC'' Data'!$AA$4:$AB$7,2,FALSE)=0,"Spatial Data Missing ⚠",VLOOKUP(AI124,'G-7 WaterC'' Data'!$AA$4:$AB$7,2,FALSE))))</f>
        <v/>
      </c>
      <c r="AK124" s="110"/>
      <c r="AL124" s="282" t="str">
        <f>IF(AK124="","",IF(AND(AK124="N/A - Culvert",N124&lt;&gt;"Culvert"),"Not possible ▲",IF(VLOOKUP(AK124,'G-7 WaterC'' Data'!$AD$4:$AE$14,2,FALSE)=0,"Spatial Data Missing ⚠",VLOOKUP(AK124,'G-7 WaterC'' Data'!$AD$4:$AE$14,2,FALSE))))</f>
        <v/>
      </c>
      <c r="AM124" s="323" t="str">
        <f t="shared" si="17"/>
        <v/>
      </c>
      <c r="AN124" s="105"/>
      <c r="AO124" s="119"/>
      <c r="AP124" s="108"/>
      <c r="AS124" s="30" t="str">
        <f>IF(B124="","",IF(ISNA(VLOOKUP($B124,'C-1 On-Site WaterC'' Baseline'!$C$8:$AD$257,17,FALSE)),"",(VLOOKUP($B124,'C-1 On-Site WaterC'' Baseline'!$C$8:$AD$257,17,FALSE))))</f>
        <v/>
      </c>
      <c r="AT124" s="30" t="str">
        <f>IF(B124="","",VLOOKUP($B124,'C-1 On-Site WaterC'' Baseline'!$C$9:$Z$257,12,FALSE))</f>
        <v/>
      </c>
      <c r="AU124" s="30" t="str">
        <f>IF(B124="","",VLOOKUP($B124,'C-1 On-Site WaterC'' Baseline'!$C$9:$Z$257,14,FALSE))</f>
        <v/>
      </c>
      <c r="AV124" s="30" t="str">
        <f>IFERROR(INDEX('G-7 WaterC'' Data'!$AZ$3:$AZ$7,MATCH(N124,'G-7 WaterC'' Data'!$AY$3:$AY$7,0)),"")</f>
        <v/>
      </c>
      <c r="AX124" s="30" t="str">
        <f>IF(B124="","",VLOOKUP($B124,'C-1 On-Site WaterC'' Baseline'!$C$9:$Y$257,22,FALSE))</f>
        <v/>
      </c>
      <c r="AY124" s="30" t="str">
        <f t="shared" si="18"/>
        <v/>
      </c>
      <c r="AZ124" s="30" t="str">
        <f>IF(B124="","",VLOOKUP($B124,'C-1 On-Site WaterC'' Baseline'!$C$9:$Y$257,21,FALSE))</f>
        <v/>
      </c>
      <c r="BA124" s="30" t="str">
        <f>IF(B124="","",VLOOKUP($B124,'C-1 On-Site WaterC'' Baseline'!$C$9:$Y$257,19,FALSE))</f>
        <v/>
      </c>
      <c r="BD124" s="30" t="str">
        <f t="shared" si="19"/>
        <v>No</v>
      </c>
    </row>
    <row r="125" spans="2:56" ht="13.8" x14ac:dyDescent="0.25">
      <c r="B125" s="311" t="str">
        <f>'C-1 On-Site WaterC'' Baseline'!AP123</f>
        <v/>
      </c>
      <c r="C125" s="301" t="str">
        <f>IF(B125="","",VLOOKUP($B125,'C-1 On-Site WaterC'' Baseline'!$C$9:$R$257,2,FALSE))</f>
        <v/>
      </c>
      <c r="D125" s="301" t="str">
        <f>IF(C125="","",VLOOKUP($B125,'C-1 On-Site WaterC'' Baseline'!$C$9:$R$257,3,FALSE))</f>
        <v/>
      </c>
      <c r="E125" s="301" t="str">
        <f>IF(D125="","",VLOOKUP($B125,'C-1 On-Site WaterC'' Baseline'!$C$9:$R$257,4,FALSE))</f>
        <v/>
      </c>
      <c r="F125" s="301" t="str">
        <f>IF(E125="","",VLOOKUP($B125,'C-1 On-Site WaterC'' Baseline'!$C$9:$R$257,5,FALSE))</f>
        <v/>
      </c>
      <c r="G125" s="301" t="str">
        <f>IF(F125="","",VLOOKUP($B125,'C-1 On-Site WaterC'' Baseline'!$C$9:$R$257,6,FALSE))</f>
        <v/>
      </c>
      <c r="H125" s="301" t="str">
        <f>IF(G125="","",VLOOKUP($B125,'C-1 On-Site WaterC'' Baseline'!$C$9:$R$257,7,FALSE))</f>
        <v/>
      </c>
      <c r="I125" s="301" t="str">
        <f>IF(H125="","",VLOOKUP($B125,'C-1 On-Site WaterC'' Baseline'!$C$9:$R$257,8,FALSE))</f>
        <v/>
      </c>
      <c r="J125" s="301" t="str">
        <f>IF(I125="","",VLOOKUP($B125,'C-1 On-Site WaterC'' Baseline'!$C$9:$R$257,9,FALSE))</f>
        <v/>
      </c>
      <c r="K125" s="301" t="str">
        <f>IF(J125="","",VLOOKUP($B125,'C-1 On-Site WaterC'' Baseline'!$C$9:$R$257,10,FALSE))</f>
        <v/>
      </c>
      <c r="L125" s="301" t="str">
        <f>IF(B125="","",VLOOKUP($B125,'C-1 On-Site WaterC'' Baseline'!$C$9:$R$257,15,FALSE))</f>
        <v/>
      </c>
      <c r="M125" s="305" t="str">
        <f>IF(L125="","",VLOOKUP($B125,'C-1 On-Site WaterC'' Baseline'!$C$9:$R$257,16,FALSE))</f>
        <v/>
      </c>
      <c r="N125" s="251"/>
      <c r="O125" s="281" t="str">
        <f t="shared" si="11"/>
        <v/>
      </c>
      <c r="P125" s="282" t="str">
        <f t="shared" si="12"/>
        <v/>
      </c>
      <c r="Q125" s="342" t="str">
        <f>IF(N125="","",VLOOKUP(B125,'C-1 On-Site WaterC'' Baseline'!$C$10:$AC$257,20,FALSE))</f>
        <v/>
      </c>
      <c r="R125" s="281" t="str">
        <f>IF(N125="","",VLOOKUP(N125,'G-7 WaterC'' Data'!$B$2:$G$8,2,FALSE))</f>
        <v/>
      </c>
      <c r="S125" s="282" t="str">
        <f>IFERROR(VLOOKUP(R125,'G-7 WaterC'' Data'!$C$4:$D$8,2,FALSE),"")</f>
        <v/>
      </c>
      <c r="T125" s="105"/>
      <c r="U125" s="282" t="str">
        <f>IFERROR(INDEX('G-7 WaterC'' Data'!$H$4:$L$8,MATCH(N125,'G-7 WaterC'' Data'!$B$4:$B$8,0),MATCH(T125,'G-7 WaterC'' Data'!$H$3:$L$3,0)),"")</f>
        <v/>
      </c>
      <c r="V125" s="105"/>
      <c r="W125" s="289" t="str">
        <f>IF(V125="","",IF(VLOOKUP(V125,'G-7 WaterC'' Data'!$AK$4:$AM$6,2,FALSE)=0,"Spatial Data Missing ⚠",VLOOKUP(V125,'G-7 WaterC'' Data'!$AK$4:$AM$6,2,FALSE)))</f>
        <v/>
      </c>
      <c r="X125" s="282" t="str">
        <f>IF(V125="","",IF(VLOOKUP(V125,'G-7 WaterC'' Data'!$AK$4:$AM$6,3,FALSE)=0,"Spatial Data Missing ⚠",VLOOKUP(V125,'G-7 WaterC'' Data'!$AK$4:$AM$6,3,FALSE)))</f>
        <v/>
      </c>
      <c r="Y125" s="281" t="str">
        <f>IFERROR(IF(OR(LEFT(P125,5)="Error",LEFT(O125,5)="Error"),"Check Data ⚠",IF(F125&lt;S125,'G-7 WaterC'' Data'!$R$3,INDEX('G-7 WaterC'' Data'!$U$5:$Y$9,MATCH(G125,'G-7 WaterC'' Data'!$T$5:$T$9,0),MATCH(T125,'G-7 WaterC'' Data'!$U$4:$Y$4,0)))),"")</f>
        <v/>
      </c>
      <c r="Z125" s="137"/>
      <c r="AA125" s="137"/>
      <c r="AB125" s="289" t="str">
        <f t="shared" si="13"/>
        <v/>
      </c>
      <c r="AC125" s="302" t="str">
        <f t="shared" si="14"/>
        <v/>
      </c>
      <c r="AD125" s="340" t="str">
        <f>IFERROR(IF(AC125="Check Data ⚠","Check Data ⚠",VLOOKUP(AC125,'G-4 Temporal multipliers'!$A$4:$C$37,3,FALSE)),"")</f>
        <v/>
      </c>
      <c r="AE125" s="281" t="str">
        <f>IF(N125="","",VLOOKUP(N125,'G-7 WaterC'' Data'!$B$4:$G$8,5,FALSE))</f>
        <v/>
      </c>
      <c r="AF125" s="289" t="str">
        <f t="shared" si="15"/>
        <v/>
      </c>
      <c r="AG125" s="320" t="str">
        <f t="shared" si="16"/>
        <v/>
      </c>
      <c r="AH125" s="282" t="str">
        <f t="shared" si="10"/>
        <v/>
      </c>
      <c r="AI125" s="109"/>
      <c r="AJ125" s="282" t="str">
        <f>IF(AI125="","",IF(AND(AI125="N/A - Culvert",N125&lt;&gt;"Culvert"),"Not possible ▲",IF(VLOOKUP(AI125,'G-7 WaterC'' Data'!$AA$4:$AB$7,2,FALSE)=0,"Spatial Data Missing ⚠",VLOOKUP(AI125,'G-7 WaterC'' Data'!$AA$4:$AB$7,2,FALSE))))</f>
        <v/>
      </c>
      <c r="AK125" s="110"/>
      <c r="AL125" s="282" t="str">
        <f>IF(AK125="","",IF(AND(AK125="N/A - Culvert",N125&lt;&gt;"Culvert"),"Not possible ▲",IF(VLOOKUP(AK125,'G-7 WaterC'' Data'!$AD$4:$AE$14,2,FALSE)=0,"Spatial Data Missing ⚠",VLOOKUP(AK125,'G-7 WaterC'' Data'!$AD$4:$AE$14,2,FALSE))))</f>
        <v/>
      </c>
      <c r="AM125" s="323" t="str">
        <f t="shared" si="17"/>
        <v/>
      </c>
      <c r="AN125" s="105"/>
      <c r="AO125" s="119"/>
      <c r="AP125" s="108"/>
      <c r="AS125" s="30" t="str">
        <f>IF(B125="","",IF(ISNA(VLOOKUP($B125,'C-1 On-Site WaterC'' Baseline'!$C$8:$AD$257,17,FALSE)),"",(VLOOKUP($B125,'C-1 On-Site WaterC'' Baseline'!$C$8:$AD$257,17,FALSE))))</f>
        <v/>
      </c>
      <c r="AT125" s="30" t="str">
        <f>IF(B125="","",VLOOKUP($B125,'C-1 On-Site WaterC'' Baseline'!$C$9:$Z$257,12,FALSE))</f>
        <v/>
      </c>
      <c r="AU125" s="30" t="str">
        <f>IF(B125="","",VLOOKUP($B125,'C-1 On-Site WaterC'' Baseline'!$C$9:$Z$257,14,FALSE))</f>
        <v/>
      </c>
      <c r="AV125" s="30" t="str">
        <f>IFERROR(INDEX('G-7 WaterC'' Data'!$AZ$3:$AZ$7,MATCH(N125,'G-7 WaterC'' Data'!$AY$3:$AY$7,0)),"")</f>
        <v/>
      </c>
      <c r="AX125" s="30" t="str">
        <f>IF(B125="","",VLOOKUP($B125,'C-1 On-Site WaterC'' Baseline'!$C$9:$Y$257,22,FALSE))</f>
        <v/>
      </c>
      <c r="AY125" s="30" t="str">
        <f t="shared" si="18"/>
        <v/>
      </c>
      <c r="AZ125" s="30" t="str">
        <f>IF(B125="","",VLOOKUP($B125,'C-1 On-Site WaterC'' Baseline'!$C$9:$Y$257,21,FALSE))</f>
        <v/>
      </c>
      <c r="BA125" s="30" t="str">
        <f>IF(B125="","",VLOOKUP($B125,'C-1 On-Site WaterC'' Baseline'!$C$9:$Y$257,19,FALSE))</f>
        <v/>
      </c>
      <c r="BD125" s="30" t="str">
        <f t="shared" si="19"/>
        <v>No</v>
      </c>
    </row>
    <row r="126" spans="2:56" ht="13.8" x14ac:dyDescent="0.25">
      <c r="B126" s="311" t="str">
        <f>'C-1 On-Site WaterC'' Baseline'!AP124</f>
        <v/>
      </c>
      <c r="C126" s="301" t="str">
        <f>IF(B126="","",VLOOKUP($B126,'C-1 On-Site WaterC'' Baseline'!$C$9:$R$257,2,FALSE))</f>
        <v/>
      </c>
      <c r="D126" s="301" t="str">
        <f>IF(C126="","",VLOOKUP($B126,'C-1 On-Site WaterC'' Baseline'!$C$9:$R$257,3,FALSE))</f>
        <v/>
      </c>
      <c r="E126" s="301" t="str">
        <f>IF(D126="","",VLOOKUP($B126,'C-1 On-Site WaterC'' Baseline'!$C$9:$R$257,4,FALSE))</f>
        <v/>
      </c>
      <c r="F126" s="301" t="str">
        <f>IF(E126="","",VLOOKUP($B126,'C-1 On-Site WaterC'' Baseline'!$C$9:$R$257,5,FALSE))</f>
        <v/>
      </c>
      <c r="G126" s="301" t="str">
        <f>IF(F126="","",VLOOKUP($B126,'C-1 On-Site WaterC'' Baseline'!$C$9:$R$257,6,FALSE))</f>
        <v/>
      </c>
      <c r="H126" s="301" t="str">
        <f>IF(G126="","",VLOOKUP($B126,'C-1 On-Site WaterC'' Baseline'!$C$9:$R$257,7,FALSE))</f>
        <v/>
      </c>
      <c r="I126" s="301" t="str">
        <f>IF(H126="","",VLOOKUP($B126,'C-1 On-Site WaterC'' Baseline'!$C$9:$R$257,8,FALSE))</f>
        <v/>
      </c>
      <c r="J126" s="301" t="str">
        <f>IF(I126="","",VLOOKUP($B126,'C-1 On-Site WaterC'' Baseline'!$C$9:$R$257,9,FALSE))</f>
        <v/>
      </c>
      <c r="K126" s="301" t="str">
        <f>IF(J126="","",VLOOKUP($B126,'C-1 On-Site WaterC'' Baseline'!$C$9:$R$257,10,FALSE))</f>
        <v/>
      </c>
      <c r="L126" s="301" t="str">
        <f>IF(B126="","",VLOOKUP($B126,'C-1 On-Site WaterC'' Baseline'!$C$9:$R$257,15,FALSE))</f>
        <v/>
      </c>
      <c r="M126" s="305" t="str">
        <f>IF(L126="","",VLOOKUP($B126,'C-1 On-Site WaterC'' Baseline'!$C$9:$R$257,16,FALSE))</f>
        <v/>
      </c>
      <c r="N126" s="251"/>
      <c r="O126" s="281" t="str">
        <f t="shared" si="11"/>
        <v/>
      </c>
      <c r="P126" s="282" t="str">
        <f t="shared" si="12"/>
        <v/>
      </c>
      <c r="Q126" s="342" t="str">
        <f>IF(N126="","",VLOOKUP(B126,'C-1 On-Site WaterC'' Baseline'!$C$10:$AC$257,20,FALSE))</f>
        <v/>
      </c>
      <c r="R126" s="281" t="str">
        <f>IF(N126="","",VLOOKUP(N126,'G-7 WaterC'' Data'!$B$2:$G$8,2,FALSE))</f>
        <v/>
      </c>
      <c r="S126" s="282" t="str">
        <f>IFERROR(VLOOKUP(R126,'G-7 WaterC'' Data'!$C$4:$D$8,2,FALSE),"")</f>
        <v/>
      </c>
      <c r="T126" s="105"/>
      <c r="U126" s="282" t="str">
        <f>IFERROR(INDEX('G-7 WaterC'' Data'!$H$4:$L$8,MATCH(N126,'G-7 WaterC'' Data'!$B$4:$B$8,0),MATCH(T126,'G-7 WaterC'' Data'!$H$3:$L$3,0)),"")</f>
        <v/>
      </c>
      <c r="V126" s="105"/>
      <c r="W126" s="289" t="str">
        <f>IF(V126="","",IF(VLOOKUP(V126,'G-7 WaterC'' Data'!$AK$4:$AM$6,2,FALSE)=0,"Spatial Data Missing ⚠",VLOOKUP(V126,'G-7 WaterC'' Data'!$AK$4:$AM$6,2,FALSE)))</f>
        <v/>
      </c>
      <c r="X126" s="282" t="str">
        <f>IF(V126="","",IF(VLOOKUP(V126,'G-7 WaterC'' Data'!$AK$4:$AM$6,3,FALSE)=0,"Spatial Data Missing ⚠",VLOOKUP(V126,'G-7 WaterC'' Data'!$AK$4:$AM$6,3,FALSE)))</f>
        <v/>
      </c>
      <c r="Y126" s="281" t="str">
        <f>IFERROR(IF(OR(LEFT(P126,5)="Error",LEFT(O126,5)="Error"),"Check Data ⚠",IF(F126&lt;S126,'G-7 WaterC'' Data'!$R$3,INDEX('G-7 WaterC'' Data'!$U$5:$Y$9,MATCH(G126,'G-7 WaterC'' Data'!$T$5:$T$9,0),MATCH(T126,'G-7 WaterC'' Data'!$U$4:$Y$4,0)))),"")</f>
        <v/>
      </c>
      <c r="Z126" s="137"/>
      <c r="AA126" s="137"/>
      <c r="AB126" s="289" t="str">
        <f t="shared" si="13"/>
        <v/>
      </c>
      <c r="AC126" s="302" t="str">
        <f t="shared" si="14"/>
        <v/>
      </c>
      <c r="AD126" s="340" t="str">
        <f>IFERROR(IF(AC126="Check Data ⚠","Check Data ⚠",VLOOKUP(AC126,'G-4 Temporal multipliers'!$A$4:$C$37,3,FALSE)),"")</f>
        <v/>
      </c>
      <c r="AE126" s="281" t="str">
        <f>IF(N126="","",VLOOKUP(N126,'G-7 WaterC'' Data'!$B$4:$G$8,5,FALSE))</f>
        <v/>
      </c>
      <c r="AF126" s="289" t="str">
        <f t="shared" si="15"/>
        <v/>
      </c>
      <c r="AG126" s="320" t="str">
        <f t="shared" si="16"/>
        <v/>
      </c>
      <c r="AH126" s="282" t="str">
        <f t="shared" si="10"/>
        <v/>
      </c>
      <c r="AI126" s="109"/>
      <c r="AJ126" s="282" t="str">
        <f>IF(AI126="","",IF(AND(AI126="N/A - Culvert",N126&lt;&gt;"Culvert"),"Not possible ▲",IF(VLOOKUP(AI126,'G-7 WaterC'' Data'!$AA$4:$AB$7,2,FALSE)=0,"Spatial Data Missing ⚠",VLOOKUP(AI126,'G-7 WaterC'' Data'!$AA$4:$AB$7,2,FALSE))))</f>
        <v/>
      </c>
      <c r="AK126" s="110"/>
      <c r="AL126" s="282" t="str">
        <f>IF(AK126="","",IF(AND(AK126="N/A - Culvert",N126&lt;&gt;"Culvert"),"Not possible ▲",IF(VLOOKUP(AK126,'G-7 WaterC'' Data'!$AD$4:$AE$14,2,FALSE)=0,"Spatial Data Missing ⚠",VLOOKUP(AK126,'G-7 WaterC'' Data'!$AD$4:$AE$14,2,FALSE))))</f>
        <v/>
      </c>
      <c r="AM126" s="323" t="str">
        <f t="shared" si="17"/>
        <v/>
      </c>
      <c r="AN126" s="105"/>
      <c r="AO126" s="119"/>
      <c r="AP126" s="108"/>
      <c r="AS126" s="30" t="str">
        <f>IF(B126="","",IF(ISNA(VLOOKUP($B126,'C-1 On-Site WaterC'' Baseline'!$C$8:$AD$257,17,FALSE)),"",(VLOOKUP($B126,'C-1 On-Site WaterC'' Baseline'!$C$8:$AD$257,17,FALSE))))</f>
        <v/>
      </c>
      <c r="AT126" s="30" t="str">
        <f>IF(B126="","",VLOOKUP($B126,'C-1 On-Site WaterC'' Baseline'!$C$9:$Z$257,12,FALSE))</f>
        <v/>
      </c>
      <c r="AU126" s="30" t="str">
        <f>IF(B126="","",VLOOKUP($B126,'C-1 On-Site WaterC'' Baseline'!$C$9:$Z$257,14,FALSE))</f>
        <v/>
      </c>
      <c r="AV126" s="30" t="str">
        <f>IFERROR(INDEX('G-7 WaterC'' Data'!$AZ$3:$AZ$7,MATCH(N126,'G-7 WaterC'' Data'!$AY$3:$AY$7,0)),"")</f>
        <v/>
      </c>
      <c r="AX126" s="30" t="str">
        <f>IF(B126="","",VLOOKUP($B126,'C-1 On-Site WaterC'' Baseline'!$C$9:$Y$257,22,FALSE))</f>
        <v/>
      </c>
      <c r="AY126" s="30" t="str">
        <f t="shared" si="18"/>
        <v/>
      </c>
      <c r="AZ126" s="30" t="str">
        <f>IF(B126="","",VLOOKUP($B126,'C-1 On-Site WaterC'' Baseline'!$C$9:$Y$257,21,FALSE))</f>
        <v/>
      </c>
      <c r="BA126" s="30" t="str">
        <f>IF(B126="","",VLOOKUP($B126,'C-1 On-Site WaterC'' Baseline'!$C$9:$Y$257,19,FALSE))</f>
        <v/>
      </c>
      <c r="BD126" s="30" t="str">
        <f t="shared" si="19"/>
        <v>No</v>
      </c>
    </row>
    <row r="127" spans="2:56" ht="13.8" x14ac:dyDescent="0.25">
      <c r="B127" s="311" t="str">
        <f>'C-1 On-Site WaterC'' Baseline'!AP125</f>
        <v/>
      </c>
      <c r="C127" s="301" t="str">
        <f>IF(B127="","",VLOOKUP($B127,'C-1 On-Site WaterC'' Baseline'!$C$9:$R$257,2,FALSE))</f>
        <v/>
      </c>
      <c r="D127" s="301" t="str">
        <f>IF(C127="","",VLOOKUP($B127,'C-1 On-Site WaterC'' Baseline'!$C$9:$R$257,3,FALSE))</f>
        <v/>
      </c>
      <c r="E127" s="301" t="str">
        <f>IF(D127="","",VLOOKUP($B127,'C-1 On-Site WaterC'' Baseline'!$C$9:$R$257,4,FALSE))</f>
        <v/>
      </c>
      <c r="F127" s="301" t="str">
        <f>IF(E127="","",VLOOKUP($B127,'C-1 On-Site WaterC'' Baseline'!$C$9:$R$257,5,FALSE))</f>
        <v/>
      </c>
      <c r="G127" s="301" t="str">
        <f>IF(F127="","",VLOOKUP($B127,'C-1 On-Site WaterC'' Baseline'!$C$9:$R$257,6,FALSE))</f>
        <v/>
      </c>
      <c r="H127" s="301" t="str">
        <f>IF(G127="","",VLOOKUP($B127,'C-1 On-Site WaterC'' Baseline'!$C$9:$R$257,7,FALSE))</f>
        <v/>
      </c>
      <c r="I127" s="301" t="str">
        <f>IF(H127="","",VLOOKUP($B127,'C-1 On-Site WaterC'' Baseline'!$C$9:$R$257,8,FALSE))</f>
        <v/>
      </c>
      <c r="J127" s="301" t="str">
        <f>IF(I127="","",VLOOKUP($B127,'C-1 On-Site WaterC'' Baseline'!$C$9:$R$257,9,FALSE))</f>
        <v/>
      </c>
      <c r="K127" s="301" t="str">
        <f>IF(J127="","",VLOOKUP($B127,'C-1 On-Site WaterC'' Baseline'!$C$9:$R$257,10,FALSE))</f>
        <v/>
      </c>
      <c r="L127" s="301" t="str">
        <f>IF(B127="","",VLOOKUP($B127,'C-1 On-Site WaterC'' Baseline'!$C$9:$R$257,15,FALSE))</f>
        <v/>
      </c>
      <c r="M127" s="305" t="str">
        <f>IF(L127="","",VLOOKUP($B127,'C-1 On-Site WaterC'' Baseline'!$C$9:$R$257,16,FALSE))</f>
        <v/>
      </c>
      <c r="N127" s="251"/>
      <c r="O127" s="281" t="str">
        <f t="shared" si="11"/>
        <v/>
      </c>
      <c r="P127" s="282" t="str">
        <f t="shared" si="12"/>
        <v/>
      </c>
      <c r="Q127" s="342" t="str">
        <f>IF(N127="","",VLOOKUP(B127,'C-1 On-Site WaterC'' Baseline'!$C$10:$AC$257,20,FALSE))</f>
        <v/>
      </c>
      <c r="R127" s="281" t="str">
        <f>IF(N127="","",VLOOKUP(N127,'G-7 WaterC'' Data'!$B$2:$G$8,2,FALSE))</f>
        <v/>
      </c>
      <c r="S127" s="282" t="str">
        <f>IFERROR(VLOOKUP(R127,'G-7 WaterC'' Data'!$C$4:$D$8,2,FALSE),"")</f>
        <v/>
      </c>
      <c r="T127" s="105"/>
      <c r="U127" s="282" t="str">
        <f>IFERROR(INDEX('G-7 WaterC'' Data'!$H$4:$L$8,MATCH(N127,'G-7 WaterC'' Data'!$B$4:$B$8,0),MATCH(T127,'G-7 WaterC'' Data'!$H$3:$L$3,0)),"")</f>
        <v/>
      </c>
      <c r="V127" s="105"/>
      <c r="W127" s="289" t="str">
        <f>IF(V127="","",IF(VLOOKUP(V127,'G-7 WaterC'' Data'!$AK$4:$AM$6,2,FALSE)=0,"Spatial Data Missing ⚠",VLOOKUP(V127,'G-7 WaterC'' Data'!$AK$4:$AM$6,2,FALSE)))</f>
        <v/>
      </c>
      <c r="X127" s="282" t="str">
        <f>IF(V127="","",IF(VLOOKUP(V127,'G-7 WaterC'' Data'!$AK$4:$AM$6,3,FALSE)=0,"Spatial Data Missing ⚠",VLOOKUP(V127,'G-7 WaterC'' Data'!$AK$4:$AM$6,3,FALSE)))</f>
        <v/>
      </c>
      <c r="Y127" s="281" t="str">
        <f>IFERROR(IF(OR(LEFT(P127,5)="Error",LEFT(O127,5)="Error"),"Check Data ⚠",IF(F127&lt;S127,'G-7 WaterC'' Data'!$R$3,INDEX('G-7 WaterC'' Data'!$U$5:$Y$9,MATCH(G127,'G-7 WaterC'' Data'!$T$5:$T$9,0),MATCH(T127,'G-7 WaterC'' Data'!$U$4:$Y$4,0)))),"")</f>
        <v/>
      </c>
      <c r="Z127" s="137"/>
      <c r="AA127" s="137"/>
      <c r="AB127" s="289" t="str">
        <f t="shared" si="13"/>
        <v/>
      </c>
      <c r="AC127" s="302" t="str">
        <f t="shared" si="14"/>
        <v/>
      </c>
      <c r="AD127" s="340" t="str">
        <f>IFERROR(IF(AC127="Check Data ⚠","Check Data ⚠",VLOOKUP(AC127,'G-4 Temporal multipliers'!$A$4:$C$37,3,FALSE)),"")</f>
        <v/>
      </c>
      <c r="AE127" s="281" t="str">
        <f>IF(N127="","",VLOOKUP(N127,'G-7 WaterC'' Data'!$B$4:$G$8,5,FALSE))</f>
        <v/>
      </c>
      <c r="AF127" s="289" t="str">
        <f t="shared" si="15"/>
        <v/>
      </c>
      <c r="AG127" s="320" t="str">
        <f t="shared" si="16"/>
        <v/>
      </c>
      <c r="AH127" s="282" t="str">
        <f t="shared" si="10"/>
        <v/>
      </c>
      <c r="AI127" s="109"/>
      <c r="AJ127" s="282" t="str">
        <f>IF(AI127="","",IF(AND(AI127="N/A - Culvert",N127&lt;&gt;"Culvert"),"Not possible ▲",IF(VLOOKUP(AI127,'G-7 WaterC'' Data'!$AA$4:$AB$7,2,FALSE)=0,"Spatial Data Missing ⚠",VLOOKUP(AI127,'G-7 WaterC'' Data'!$AA$4:$AB$7,2,FALSE))))</f>
        <v/>
      </c>
      <c r="AK127" s="110"/>
      <c r="AL127" s="282" t="str">
        <f>IF(AK127="","",IF(AND(AK127="N/A - Culvert",N127&lt;&gt;"Culvert"),"Not possible ▲",IF(VLOOKUP(AK127,'G-7 WaterC'' Data'!$AD$4:$AE$14,2,FALSE)=0,"Spatial Data Missing ⚠",VLOOKUP(AK127,'G-7 WaterC'' Data'!$AD$4:$AE$14,2,FALSE))))</f>
        <v/>
      </c>
      <c r="AM127" s="323" t="str">
        <f t="shared" si="17"/>
        <v/>
      </c>
      <c r="AN127" s="105"/>
      <c r="AO127" s="119"/>
      <c r="AP127" s="108"/>
      <c r="AS127" s="30" t="str">
        <f>IF(B127="","",IF(ISNA(VLOOKUP($B127,'C-1 On-Site WaterC'' Baseline'!$C$8:$AD$257,17,FALSE)),"",(VLOOKUP($B127,'C-1 On-Site WaterC'' Baseline'!$C$8:$AD$257,17,FALSE))))</f>
        <v/>
      </c>
      <c r="AT127" s="30" t="str">
        <f>IF(B127="","",VLOOKUP($B127,'C-1 On-Site WaterC'' Baseline'!$C$9:$Z$257,12,FALSE))</f>
        <v/>
      </c>
      <c r="AU127" s="30" t="str">
        <f>IF(B127="","",VLOOKUP($B127,'C-1 On-Site WaterC'' Baseline'!$C$9:$Z$257,14,FALSE))</f>
        <v/>
      </c>
      <c r="AV127" s="30" t="str">
        <f>IFERROR(INDEX('G-7 WaterC'' Data'!$AZ$3:$AZ$7,MATCH(N127,'G-7 WaterC'' Data'!$AY$3:$AY$7,0)),"")</f>
        <v/>
      </c>
      <c r="AX127" s="30" t="str">
        <f>IF(B127="","",VLOOKUP($B127,'C-1 On-Site WaterC'' Baseline'!$C$9:$Y$257,22,FALSE))</f>
        <v/>
      </c>
      <c r="AY127" s="30" t="str">
        <f t="shared" si="18"/>
        <v/>
      </c>
      <c r="AZ127" s="30" t="str">
        <f>IF(B127="","",VLOOKUP($B127,'C-1 On-Site WaterC'' Baseline'!$C$9:$Y$257,21,FALSE))</f>
        <v/>
      </c>
      <c r="BA127" s="30" t="str">
        <f>IF(B127="","",VLOOKUP($B127,'C-1 On-Site WaterC'' Baseline'!$C$9:$Y$257,19,FALSE))</f>
        <v/>
      </c>
      <c r="BD127" s="30" t="str">
        <f t="shared" si="19"/>
        <v>No</v>
      </c>
    </row>
    <row r="128" spans="2:56" ht="13.8" x14ac:dyDescent="0.25">
      <c r="B128" s="311" t="str">
        <f>'C-1 On-Site WaterC'' Baseline'!AP126</f>
        <v/>
      </c>
      <c r="C128" s="301" t="str">
        <f>IF(B128="","",VLOOKUP($B128,'C-1 On-Site WaterC'' Baseline'!$C$9:$R$257,2,FALSE))</f>
        <v/>
      </c>
      <c r="D128" s="301" t="str">
        <f>IF(C128="","",VLOOKUP($B128,'C-1 On-Site WaterC'' Baseline'!$C$9:$R$257,3,FALSE))</f>
        <v/>
      </c>
      <c r="E128" s="301" t="str">
        <f>IF(D128="","",VLOOKUP($B128,'C-1 On-Site WaterC'' Baseline'!$C$9:$R$257,4,FALSE))</f>
        <v/>
      </c>
      <c r="F128" s="301" t="str">
        <f>IF(E128="","",VLOOKUP($B128,'C-1 On-Site WaterC'' Baseline'!$C$9:$R$257,5,FALSE))</f>
        <v/>
      </c>
      <c r="G128" s="301" t="str">
        <f>IF(F128="","",VLOOKUP($B128,'C-1 On-Site WaterC'' Baseline'!$C$9:$R$257,6,FALSE))</f>
        <v/>
      </c>
      <c r="H128" s="301" t="str">
        <f>IF(G128="","",VLOOKUP($B128,'C-1 On-Site WaterC'' Baseline'!$C$9:$R$257,7,FALSE))</f>
        <v/>
      </c>
      <c r="I128" s="301" t="str">
        <f>IF(H128="","",VLOOKUP($B128,'C-1 On-Site WaterC'' Baseline'!$C$9:$R$257,8,FALSE))</f>
        <v/>
      </c>
      <c r="J128" s="301" t="str">
        <f>IF(I128="","",VLOOKUP($B128,'C-1 On-Site WaterC'' Baseline'!$C$9:$R$257,9,FALSE))</f>
        <v/>
      </c>
      <c r="K128" s="301" t="str">
        <f>IF(J128="","",VLOOKUP($B128,'C-1 On-Site WaterC'' Baseline'!$C$9:$R$257,10,FALSE))</f>
        <v/>
      </c>
      <c r="L128" s="301" t="str">
        <f>IF(B128="","",VLOOKUP($B128,'C-1 On-Site WaterC'' Baseline'!$C$9:$R$257,15,FALSE))</f>
        <v/>
      </c>
      <c r="M128" s="305" t="str">
        <f>IF(L128="","",VLOOKUP($B128,'C-1 On-Site WaterC'' Baseline'!$C$9:$R$257,16,FALSE))</f>
        <v/>
      </c>
      <c r="N128" s="251"/>
      <c r="O128" s="281" t="str">
        <f t="shared" si="11"/>
        <v/>
      </c>
      <c r="P128" s="282" t="str">
        <f t="shared" si="12"/>
        <v/>
      </c>
      <c r="Q128" s="342" t="str">
        <f>IF(N128="","",VLOOKUP(B128,'C-1 On-Site WaterC'' Baseline'!$C$10:$AC$257,20,FALSE))</f>
        <v/>
      </c>
      <c r="R128" s="281" t="str">
        <f>IF(N128="","",VLOOKUP(N128,'G-7 WaterC'' Data'!$B$2:$G$8,2,FALSE))</f>
        <v/>
      </c>
      <c r="S128" s="282" t="str">
        <f>IFERROR(VLOOKUP(R128,'G-7 WaterC'' Data'!$C$4:$D$8,2,FALSE),"")</f>
        <v/>
      </c>
      <c r="T128" s="105"/>
      <c r="U128" s="282" t="str">
        <f>IFERROR(INDEX('G-7 WaterC'' Data'!$H$4:$L$8,MATCH(N128,'G-7 WaterC'' Data'!$B$4:$B$8,0),MATCH(T128,'G-7 WaterC'' Data'!$H$3:$L$3,0)),"")</f>
        <v/>
      </c>
      <c r="V128" s="105"/>
      <c r="W128" s="289" t="str">
        <f>IF(V128="","",IF(VLOOKUP(V128,'G-7 WaterC'' Data'!$AK$4:$AM$6,2,FALSE)=0,"Spatial Data Missing ⚠",VLOOKUP(V128,'G-7 WaterC'' Data'!$AK$4:$AM$6,2,FALSE)))</f>
        <v/>
      </c>
      <c r="X128" s="282" t="str">
        <f>IF(V128="","",IF(VLOOKUP(V128,'G-7 WaterC'' Data'!$AK$4:$AM$6,3,FALSE)=0,"Spatial Data Missing ⚠",VLOOKUP(V128,'G-7 WaterC'' Data'!$AK$4:$AM$6,3,FALSE)))</f>
        <v/>
      </c>
      <c r="Y128" s="281" t="str">
        <f>IFERROR(IF(OR(LEFT(P128,5)="Error",LEFT(O128,5)="Error"),"Check Data ⚠",IF(F128&lt;S128,'G-7 WaterC'' Data'!$R$3,INDEX('G-7 WaterC'' Data'!$U$5:$Y$9,MATCH(G128,'G-7 WaterC'' Data'!$T$5:$T$9,0),MATCH(T128,'G-7 WaterC'' Data'!$U$4:$Y$4,0)))),"")</f>
        <v/>
      </c>
      <c r="Z128" s="137"/>
      <c r="AA128" s="137"/>
      <c r="AB128" s="289" t="str">
        <f t="shared" si="13"/>
        <v/>
      </c>
      <c r="AC128" s="302" t="str">
        <f t="shared" si="14"/>
        <v/>
      </c>
      <c r="AD128" s="340" t="str">
        <f>IFERROR(IF(AC128="Check Data ⚠","Check Data ⚠",VLOOKUP(AC128,'G-4 Temporal multipliers'!$A$4:$C$37,3,FALSE)),"")</f>
        <v/>
      </c>
      <c r="AE128" s="281" t="str">
        <f>IF(N128="","",VLOOKUP(N128,'G-7 WaterC'' Data'!$B$4:$G$8,5,FALSE))</f>
        <v/>
      </c>
      <c r="AF128" s="289" t="str">
        <f t="shared" si="15"/>
        <v/>
      </c>
      <c r="AG128" s="320" t="str">
        <f t="shared" si="16"/>
        <v/>
      </c>
      <c r="AH128" s="282" t="str">
        <f t="shared" si="10"/>
        <v/>
      </c>
      <c r="AI128" s="109"/>
      <c r="AJ128" s="282" t="str">
        <f>IF(AI128="","",IF(AND(AI128="N/A - Culvert",N128&lt;&gt;"Culvert"),"Not possible ▲",IF(VLOOKUP(AI128,'G-7 WaterC'' Data'!$AA$4:$AB$7,2,FALSE)=0,"Spatial Data Missing ⚠",VLOOKUP(AI128,'G-7 WaterC'' Data'!$AA$4:$AB$7,2,FALSE))))</f>
        <v/>
      </c>
      <c r="AK128" s="110"/>
      <c r="AL128" s="282" t="str">
        <f>IF(AK128="","",IF(AND(AK128="N/A - Culvert",N128&lt;&gt;"Culvert"),"Not possible ▲",IF(VLOOKUP(AK128,'G-7 WaterC'' Data'!$AD$4:$AE$14,2,FALSE)=0,"Spatial Data Missing ⚠",VLOOKUP(AK128,'G-7 WaterC'' Data'!$AD$4:$AE$14,2,FALSE))))</f>
        <v/>
      </c>
      <c r="AM128" s="323" t="str">
        <f t="shared" si="17"/>
        <v/>
      </c>
      <c r="AN128" s="105"/>
      <c r="AO128" s="119"/>
      <c r="AP128" s="108"/>
      <c r="AS128" s="30" t="str">
        <f>IF(B128="","",IF(ISNA(VLOOKUP($B128,'C-1 On-Site WaterC'' Baseline'!$C$8:$AD$257,17,FALSE)),"",(VLOOKUP($B128,'C-1 On-Site WaterC'' Baseline'!$C$8:$AD$257,17,FALSE))))</f>
        <v/>
      </c>
      <c r="AT128" s="30" t="str">
        <f>IF(B128="","",VLOOKUP($B128,'C-1 On-Site WaterC'' Baseline'!$C$9:$Z$257,12,FALSE))</f>
        <v/>
      </c>
      <c r="AU128" s="30" t="str">
        <f>IF(B128="","",VLOOKUP($B128,'C-1 On-Site WaterC'' Baseline'!$C$9:$Z$257,14,FALSE))</f>
        <v/>
      </c>
      <c r="AV128" s="30" t="str">
        <f>IFERROR(INDEX('G-7 WaterC'' Data'!$AZ$3:$AZ$7,MATCH(N128,'G-7 WaterC'' Data'!$AY$3:$AY$7,0)),"")</f>
        <v/>
      </c>
      <c r="AX128" s="30" t="str">
        <f>IF(B128="","",VLOOKUP($B128,'C-1 On-Site WaterC'' Baseline'!$C$9:$Y$257,22,FALSE))</f>
        <v/>
      </c>
      <c r="AY128" s="30" t="str">
        <f t="shared" si="18"/>
        <v/>
      </c>
      <c r="AZ128" s="30" t="str">
        <f>IF(B128="","",VLOOKUP($B128,'C-1 On-Site WaterC'' Baseline'!$C$9:$Y$257,21,FALSE))</f>
        <v/>
      </c>
      <c r="BA128" s="30" t="str">
        <f>IF(B128="","",VLOOKUP($B128,'C-1 On-Site WaterC'' Baseline'!$C$9:$Y$257,19,FALSE))</f>
        <v/>
      </c>
      <c r="BD128" s="30" t="str">
        <f t="shared" si="19"/>
        <v>No</v>
      </c>
    </row>
    <row r="129" spans="2:56" ht="13.8" x14ac:dyDescent="0.25">
      <c r="B129" s="311" t="str">
        <f>'C-1 On-Site WaterC'' Baseline'!AP127</f>
        <v/>
      </c>
      <c r="C129" s="301" t="str">
        <f>IF(B129="","",VLOOKUP($B129,'C-1 On-Site WaterC'' Baseline'!$C$9:$R$257,2,FALSE))</f>
        <v/>
      </c>
      <c r="D129" s="301" t="str">
        <f>IF(C129="","",VLOOKUP($B129,'C-1 On-Site WaterC'' Baseline'!$C$9:$R$257,3,FALSE))</f>
        <v/>
      </c>
      <c r="E129" s="301" t="str">
        <f>IF(D129="","",VLOOKUP($B129,'C-1 On-Site WaterC'' Baseline'!$C$9:$R$257,4,FALSE))</f>
        <v/>
      </c>
      <c r="F129" s="301" t="str">
        <f>IF(E129="","",VLOOKUP($B129,'C-1 On-Site WaterC'' Baseline'!$C$9:$R$257,5,FALSE))</f>
        <v/>
      </c>
      <c r="G129" s="301" t="str">
        <f>IF(F129="","",VLOOKUP($B129,'C-1 On-Site WaterC'' Baseline'!$C$9:$R$257,6,FALSE))</f>
        <v/>
      </c>
      <c r="H129" s="301" t="str">
        <f>IF(G129="","",VLOOKUP($B129,'C-1 On-Site WaterC'' Baseline'!$C$9:$R$257,7,FALSE))</f>
        <v/>
      </c>
      <c r="I129" s="301" t="str">
        <f>IF(H129="","",VLOOKUP($B129,'C-1 On-Site WaterC'' Baseline'!$C$9:$R$257,8,FALSE))</f>
        <v/>
      </c>
      <c r="J129" s="301" t="str">
        <f>IF(I129="","",VLOOKUP($B129,'C-1 On-Site WaterC'' Baseline'!$C$9:$R$257,9,FALSE))</f>
        <v/>
      </c>
      <c r="K129" s="301" t="str">
        <f>IF(J129="","",VLOOKUP($B129,'C-1 On-Site WaterC'' Baseline'!$C$9:$R$257,10,FALSE))</f>
        <v/>
      </c>
      <c r="L129" s="301" t="str">
        <f>IF(B129="","",VLOOKUP($B129,'C-1 On-Site WaterC'' Baseline'!$C$9:$R$257,15,FALSE))</f>
        <v/>
      </c>
      <c r="M129" s="305" t="str">
        <f>IF(L129="","",VLOOKUP($B129,'C-1 On-Site WaterC'' Baseline'!$C$9:$R$257,16,FALSE))</f>
        <v/>
      </c>
      <c r="N129" s="251"/>
      <c r="O129" s="281" t="str">
        <f t="shared" si="11"/>
        <v/>
      </c>
      <c r="P129" s="282" t="str">
        <f t="shared" si="12"/>
        <v/>
      </c>
      <c r="Q129" s="342" t="str">
        <f>IF(N129="","",VLOOKUP(B129,'C-1 On-Site WaterC'' Baseline'!$C$10:$AC$257,20,FALSE))</f>
        <v/>
      </c>
      <c r="R129" s="281" t="str">
        <f>IF(N129="","",VLOOKUP(N129,'G-7 WaterC'' Data'!$B$2:$G$8,2,FALSE))</f>
        <v/>
      </c>
      <c r="S129" s="282" t="str">
        <f>IFERROR(VLOOKUP(R129,'G-7 WaterC'' Data'!$C$4:$D$8,2,FALSE),"")</f>
        <v/>
      </c>
      <c r="T129" s="105"/>
      <c r="U129" s="282" t="str">
        <f>IFERROR(INDEX('G-7 WaterC'' Data'!$H$4:$L$8,MATCH(N129,'G-7 WaterC'' Data'!$B$4:$B$8,0),MATCH(T129,'G-7 WaterC'' Data'!$H$3:$L$3,0)),"")</f>
        <v/>
      </c>
      <c r="V129" s="105"/>
      <c r="W129" s="289" t="str">
        <f>IF(V129="","",IF(VLOOKUP(V129,'G-7 WaterC'' Data'!$AK$4:$AM$6,2,FALSE)=0,"Spatial Data Missing ⚠",VLOOKUP(V129,'G-7 WaterC'' Data'!$AK$4:$AM$6,2,FALSE)))</f>
        <v/>
      </c>
      <c r="X129" s="282" t="str">
        <f>IF(V129="","",IF(VLOOKUP(V129,'G-7 WaterC'' Data'!$AK$4:$AM$6,3,FALSE)=0,"Spatial Data Missing ⚠",VLOOKUP(V129,'G-7 WaterC'' Data'!$AK$4:$AM$6,3,FALSE)))</f>
        <v/>
      </c>
      <c r="Y129" s="281" t="str">
        <f>IFERROR(IF(OR(LEFT(P129,5)="Error",LEFT(O129,5)="Error"),"Check Data ⚠",IF(F129&lt;S129,'G-7 WaterC'' Data'!$R$3,INDEX('G-7 WaterC'' Data'!$U$5:$Y$9,MATCH(G129,'G-7 WaterC'' Data'!$T$5:$T$9,0),MATCH(T129,'G-7 WaterC'' Data'!$U$4:$Y$4,0)))),"")</f>
        <v/>
      </c>
      <c r="Z129" s="137"/>
      <c r="AA129" s="137"/>
      <c r="AB129" s="289" t="str">
        <f t="shared" si="13"/>
        <v/>
      </c>
      <c r="AC129" s="302" t="str">
        <f t="shared" si="14"/>
        <v/>
      </c>
      <c r="AD129" s="340" t="str">
        <f>IFERROR(IF(AC129="Check Data ⚠","Check Data ⚠",VLOOKUP(AC129,'G-4 Temporal multipliers'!$A$4:$C$37,3,FALSE)),"")</f>
        <v/>
      </c>
      <c r="AE129" s="281" t="str">
        <f>IF(N129="","",VLOOKUP(N129,'G-7 WaterC'' Data'!$B$4:$G$8,5,FALSE))</f>
        <v/>
      </c>
      <c r="AF129" s="289" t="str">
        <f t="shared" si="15"/>
        <v/>
      </c>
      <c r="AG129" s="320" t="str">
        <f t="shared" si="16"/>
        <v/>
      </c>
      <c r="AH129" s="282" t="str">
        <f t="shared" si="10"/>
        <v/>
      </c>
      <c r="AI129" s="109"/>
      <c r="AJ129" s="282" t="str">
        <f>IF(AI129="","",IF(AND(AI129="N/A - Culvert",N129&lt;&gt;"Culvert"),"Not possible ▲",IF(VLOOKUP(AI129,'G-7 WaterC'' Data'!$AA$4:$AB$7,2,FALSE)=0,"Spatial Data Missing ⚠",VLOOKUP(AI129,'G-7 WaterC'' Data'!$AA$4:$AB$7,2,FALSE))))</f>
        <v/>
      </c>
      <c r="AK129" s="110"/>
      <c r="AL129" s="282" t="str">
        <f>IF(AK129="","",IF(AND(AK129="N/A - Culvert",N129&lt;&gt;"Culvert"),"Not possible ▲",IF(VLOOKUP(AK129,'G-7 WaterC'' Data'!$AD$4:$AE$14,2,FALSE)=0,"Spatial Data Missing ⚠",VLOOKUP(AK129,'G-7 WaterC'' Data'!$AD$4:$AE$14,2,FALSE))))</f>
        <v/>
      </c>
      <c r="AM129" s="323" t="str">
        <f t="shared" si="17"/>
        <v/>
      </c>
      <c r="AN129" s="105"/>
      <c r="AO129" s="119"/>
      <c r="AP129" s="108"/>
      <c r="AS129" s="30" t="str">
        <f>IF(B129="","",IF(ISNA(VLOOKUP($B129,'C-1 On-Site WaterC'' Baseline'!$C$8:$AD$257,17,FALSE)),"",(VLOOKUP($B129,'C-1 On-Site WaterC'' Baseline'!$C$8:$AD$257,17,FALSE))))</f>
        <v/>
      </c>
      <c r="AT129" s="30" t="str">
        <f>IF(B129="","",VLOOKUP($B129,'C-1 On-Site WaterC'' Baseline'!$C$9:$Z$257,12,FALSE))</f>
        <v/>
      </c>
      <c r="AU129" s="30" t="str">
        <f>IF(B129="","",VLOOKUP($B129,'C-1 On-Site WaterC'' Baseline'!$C$9:$Z$257,14,FALSE))</f>
        <v/>
      </c>
      <c r="AV129" s="30" t="str">
        <f>IFERROR(INDEX('G-7 WaterC'' Data'!$AZ$3:$AZ$7,MATCH(N129,'G-7 WaterC'' Data'!$AY$3:$AY$7,0)),"")</f>
        <v/>
      </c>
      <c r="AX129" s="30" t="str">
        <f>IF(B129="","",VLOOKUP($B129,'C-1 On-Site WaterC'' Baseline'!$C$9:$Y$257,22,FALSE))</f>
        <v/>
      </c>
      <c r="AY129" s="30" t="str">
        <f t="shared" si="18"/>
        <v/>
      </c>
      <c r="AZ129" s="30" t="str">
        <f>IF(B129="","",VLOOKUP($B129,'C-1 On-Site WaterC'' Baseline'!$C$9:$Y$257,21,FALSE))</f>
        <v/>
      </c>
      <c r="BA129" s="30" t="str">
        <f>IF(B129="","",VLOOKUP($B129,'C-1 On-Site WaterC'' Baseline'!$C$9:$Y$257,19,FALSE))</f>
        <v/>
      </c>
      <c r="BD129" s="30" t="str">
        <f t="shared" si="19"/>
        <v>No</v>
      </c>
    </row>
    <row r="130" spans="2:56" ht="13.8" x14ac:dyDescent="0.25">
      <c r="B130" s="311" t="str">
        <f>'C-1 On-Site WaterC'' Baseline'!AP128</f>
        <v/>
      </c>
      <c r="C130" s="301" t="str">
        <f>IF(B130="","",VLOOKUP($B130,'C-1 On-Site WaterC'' Baseline'!$C$9:$R$257,2,FALSE))</f>
        <v/>
      </c>
      <c r="D130" s="301" t="str">
        <f>IF(C130="","",VLOOKUP($B130,'C-1 On-Site WaterC'' Baseline'!$C$9:$R$257,3,FALSE))</f>
        <v/>
      </c>
      <c r="E130" s="301" t="str">
        <f>IF(D130="","",VLOOKUP($B130,'C-1 On-Site WaterC'' Baseline'!$C$9:$R$257,4,FALSE))</f>
        <v/>
      </c>
      <c r="F130" s="301" t="str">
        <f>IF(E130="","",VLOOKUP($B130,'C-1 On-Site WaterC'' Baseline'!$C$9:$R$257,5,FALSE))</f>
        <v/>
      </c>
      <c r="G130" s="301" t="str">
        <f>IF(F130="","",VLOOKUP($B130,'C-1 On-Site WaterC'' Baseline'!$C$9:$R$257,6,FALSE))</f>
        <v/>
      </c>
      <c r="H130" s="301" t="str">
        <f>IF(G130="","",VLOOKUP($B130,'C-1 On-Site WaterC'' Baseline'!$C$9:$R$257,7,FALSE))</f>
        <v/>
      </c>
      <c r="I130" s="301" t="str">
        <f>IF(H130="","",VLOOKUP($B130,'C-1 On-Site WaterC'' Baseline'!$C$9:$R$257,8,FALSE))</f>
        <v/>
      </c>
      <c r="J130" s="301" t="str">
        <f>IF(I130="","",VLOOKUP($B130,'C-1 On-Site WaterC'' Baseline'!$C$9:$R$257,9,FALSE))</f>
        <v/>
      </c>
      <c r="K130" s="301" t="str">
        <f>IF(J130="","",VLOOKUP($B130,'C-1 On-Site WaterC'' Baseline'!$C$9:$R$257,10,FALSE))</f>
        <v/>
      </c>
      <c r="L130" s="301" t="str">
        <f>IF(B130="","",VLOOKUP($B130,'C-1 On-Site WaterC'' Baseline'!$C$9:$R$257,15,FALSE))</f>
        <v/>
      </c>
      <c r="M130" s="305" t="str">
        <f>IF(L130="","",VLOOKUP($B130,'C-1 On-Site WaterC'' Baseline'!$C$9:$R$257,16,FALSE))</f>
        <v/>
      </c>
      <c r="N130" s="251"/>
      <c r="O130" s="281" t="str">
        <f t="shared" si="11"/>
        <v/>
      </c>
      <c r="P130" s="282" t="str">
        <f t="shared" si="12"/>
        <v/>
      </c>
      <c r="Q130" s="342" t="str">
        <f>IF(N130="","",VLOOKUP(B130,'C-1 On-Site WaterC'' Baseline'!$C$10:$AC$257,20,FALSE))</f>
        <v/>
      </c>
      <c r="R130" s="281" t="str">
        <f>IF(N130="","",VLOOKUP(N130,'G-7 WaterC'' Data'!$B$2:$G$8,2,FALSE))</f>
        <v/>
      </c>
      <c r="S130" s="282" t="str">
        <f>IFERROR(VLOOKUP(R130,'G-7 WaterC'' Data'!$C$4:$D$8,2,FALSE),"")</f>
        <v/>
      </c>
      <c r="T130" s="105"/>
      <c r="U130" s="282" t="str">
        <f>IFERROR(INDEX('G-7 WaterC'' Data'!$H$4:$L$8,MATCH(N130,'G-7 WaterC'' Data'!$B$4:$B$8,0),MATCH(T130,'G-7 WaterC'' Data'!$H$3:$L$3,0)),"")</f>
        <v/>
      </c>
      <c r="V130" s="105"/>
      <c r="W130" s="289" t="str">
        <f>IF(V130="","",IF(VLOOKUP(V130,'G-7 WaterC'' Data'!$AK$4:$AM$6,2,FALSE)=0,"Spatial Data Missing ⚠",VLOOKUP(V130,'G-7 WaterC'' Data'!$AK$4:$AM$6,2,FALSE)))</f>
        <v/>
      </c>
      <c r="X130" s="282" t="str">
        <f>IF(V130="","",IF(VLOOKUP(V130,'G-7 WaterC'' Data'!$AK$4:$AM$6,3,FALSE)=0,"Spatial Data Missing ⚠",VLOOKUP(V130,'G-7 WaterC'' Data'!$AK$4:$AM$6,3,FALSE)))</f>
        <v/>
      </c>
      <c r="Y130" s="281" t="str">
        <f>IFERROR(IF(OR(LEFT(P130,5)="Error",LEFT(O130,5)="Error"),"Check Data ⚠",IF(F130&lt;S130,'G-7 WaterC'' Data'!$R$3,INDEX('G-7 WaterC'' Data'!$U$5:$Y$9,MATCH(G130,'G-7 WaterC'' Data'!$T$5:$T$9,0),MATCH(T130,'G-7 WaterC'' Data'!$U$4:$Y$4,0)))),"")</f>
        <v/>
      </c>
      <c r="Z130" s="137"/>
      <c r="AA130" s="137"/>
      <c r="AB130" s="289" t="str">
        <f t="shared" si="13"/>
        <v/>
      </c>
      <c r="AC130" s="302" t="str">
        <f t="shared" si="14"/>
        <v/>
      </c>
      <c r="AD130" s="340" t="str">
        <f>IFERROR(IF(AC130="Check Data ⚠","Check Data ⚠",VLOOKUP(AC130,'G-4 Temporal multipliers'!$A$4:$C$37,3,FALSE)),"")</f>
        <v/>
      </c>
      <c r="AE130" s="281" t="str">
        <f>IF(N130="","",VLOOKUP(N130,'G-7 WaterC'' Data'!$B$4:$G$8,5,FALSE))</f>
        <v/>
      </c>
      <c r="AF130" s="289" t="str">
        <f t="shared" si="15"/>
        <v/>
      </c>
      <c r="AG130" s="320" t="str">
        <f t="shared" si="16"/>
        <v/>
      </c>
      <c r="AH130" s="282" t="str">
        <f t="shared" si="10"/>
        <v/>
      </c>
      <c r="AI130" s="109"/>
      <c r="AJ130" s="282" t="str">
        <f>IF(AI130="","",IF(AND(AI130="N/A - Culvert",N130&lt;&gt;"Culvert"),"Not possible ▲",IF(VLOOKUP(AI130,'G-7 WaterC'' Data'!$AA$4:$AB$7,2,FALSE)=0,"Spatial Data Missing ⚠",VLOOKUP(AI130,'G-7 WaterC'' Data'!$AA$4:$AB$7,2,FALSE))))</f>
        <v/>
      </c>
      <c r="AK130" s="110"/>
      <c r="AL130" s="282" t="str">
        <f>IF(AK130="","",IF(AND(AK130="N/A - Culvert",N130&lt;&gt;"Culvert"),"Not possible ▲",IF(VLOOKUP(AK130,'G-7 WaterC'' Data'!$AD$4:$AE$14,2,FALSE)=0,"Spatial Data Missing ⚠",VLOOKUP(AK130,'G-7 WaterC'' Data'!$AD$4:$AE$14,2,FALSE))))</f>
        <v/>
      </c>
      <c r="AM130" s="323" t="str">
        <f t="shared" si="17"/>
        <v/>
      </c>
      <c r="AN130" s="105"/>
      <c r="AO130" s="119"/>
      <c r="AP130" s="108"/>
      <c r="AS130" s="30" t="str">
        <f>IF(B130="","",IF(ISNA(VLOOKUP($B130,'C-1 On-Site WaterC'' Baseline'!$C$8:$AD$257,17,FALSE)),"",(VLOOKUP($B130,'C-1 On-Site WaterC'' Baseline'!$C$8:$AD$257,17,FALSE))))</f>
        <v/>
      </c>
      <c r="AT130" s="30" t="str">
        <f>IF(B130="","",VLOOKUP($B130,'C-1 On-Site WaterC'' Baseline'!$C$9:$Z$257,12,FALSE))</f>
        <v/>
      </c>
      <c r="AU130" s="30" t="str">
        <f>IF(B130="","",VLOOKUP($B130,'C-1 On-Site WaterC'' Baseline'!$C$9:$Z$257,14,FALSE))</f>
        <v/>
      </c>
      <c r="AV130" s="30" t="str">
        <f>IFERROR(INDEX('G-7 WaterC'' Data'!$AZ$3:$AZ$7,MATCH(N130,'G-7 WaterC'' Data'!$AY$3:$AY$7,0)),"")</f>
        <v/>
      </c>
      <c r="AX130" s="30" t="str">
        <f>IF(B130="","",VLOOKUP($B130,'C-1 On-Site WaterC'' Baseline'!$C$9:$Y$257,22,FALSE))</f>
        <v/>
      </c>
      <c r="AY130" s="30" t="str">
        <f t="shared" si="18"/>
        <v/>
      </c>
      <c r="AZ130" s="30" t="str">
        <f>IF(B130="","",VLOOKUP($B130,'C-1 On-Site WaterC'' Baseline'!$C$9:$Y$257,21,FALSE))</f>
        <v/>
      </c>
      <c r="BA130" s="30" t="str">
        <f>IF(B130="","",VLOOKUP($B130,'C-1 On-Site WaterC'' Baseline'!$C$9:$Y$257,19,FALSE))</f>
        <v/>
      </c>
      <c r="BD130" s="30" t="str">
        <f t="shared" si="19"/>
        <v>No</v>
      </c>
    </row>
    <row r="131" spans="2:56" ht="13.8" x14ac:dyDescent="0.25">
      <c r="B131" s="311" t="str">
        <f>'C-1 On-Site WaterC'' Baseline'!AP129</f>
        <v/>
      </c>
      <c r="C131" s="301" t="str">
        <f>IF(B131="","",VLOOKUP($B131,'C-1 On-Site WaterC'' Baseline'!$C$9:$R$257,2,FALSE))</f>
        <v/>
      </c>
      <c r="D131" s="301" t="str">
        <f>IF(C131="","",VLOOKUP($B131,'C-1 On-Site WaterC'' Baseline'!$C$9:$R$257,3,FALSE))</f>
        <v/>
      </c>
      <c r="E131" s="301" t="str">
        <f>IF(D131="","",VLOOKUP($B131,'C-1 On-Site WaterC'' Baseline'!$C$9:$R$257,4,FALSE))</f>
        <v/>
      </c>
      <c r="F131" s="301" t="str">
        <f>IF(E131="","",VLOOKUP($B131,'C-1 On-Site WaterC'' Baseline'!$C$9:$R$257,5,FALSE))</f>
        <v/>
      </c>
      <c r="G131" s="301" t="str">
        <f>IF(F131="","",VLOOKUP($B131,'C-1 On-Site WaterC'' Baseline'!$C$9:$R$257,6,FALSE))</f>
        <v/>
      </c>
      <c r="H131" s="301" t="str">
        <f>IF(G131="","",VLOOKUP($B131,'C-1 On-Site WaterC'' Baseline'!$C$9:$R$257,7,FALSE))</f>
        <v/>
      </c>
      <c r="I131" s="301" t="str">
        <f>IF(H131="","",VLOOKUP($B131,'C-1 On-Site WaterC'' Baseline'!$C$9:$R$257,8,FALSE))</f>
        <v/>
      </c>
      <c r="J131" s="301" t="str">
        <f>IF(I131="","",VLOOKUP($B131,'C-1 On-Site WaterC'' Baseline'!$C$9:$R$257,9,FALSE))</f>
        <v/>
      </c>
      <c r="K131" s="301" t="str">
        <f>IF(J131="","",VLOOKUP($B131,'C-1 On-Site WaterC'' Baseline'!$C$9:$R$257,10,FALSE))</f>
        <v/>
      </c>
      <c r="L131" s="301" t="str">
        <f>IF(B131="","",VLOOKUP($B131,'C-1 On-Site WaterC'' Baseline'!$C$9:$R$257,15,FALSE))</f>
        <v/>
      </c>
      <c r="M131" s="305" t="str">
        <f>IF(L131="","",VLOOKUP($B131,'C-1 On-Site WaterC'' Baseline'!$C$9:$R$257,16,FALSE))</f>
        <v/>
      </c>
      <c r="N131" s="251"/>
      <c r="O131" s="281" t="str">
        <f t="shared" si="11"/>
        <v/>
      </c>
      <c r="P131" s="282" t="str">
        <f t="shared" si="12"/>
        <v/>
      </c>
      <c r="Q131" s="342" t="str">
        <f>IF(N131="","",VLOOKUP(B131,'C-1 On-Site WaterC'' Baseline'!$C$10:$AC$257,20,FALSE))</f>
        <v/>
      </c>
      <c r="R131" s="281" t="str">
        <f>IF(N131="","",VLOOKUP(N131,'G-7 WaterC'' Data'!$B$2:$G$8,2,FALSE))</f>
        <v/>
      </c>
      <c r="S131" s="282" t="str">
        <f>IFERROR(VLOOKUP(R131,'G-7 WaterC'' Data'!$C$4:$D$8,2,FALSE),"")</f>
        <v/>
      </c>
      <c r="T131" s="105"/>
      <c r="U131" s="282" t="str">
        <f>IFERROR(INDEX('G-7 WaterC'' Data'!$H$4:$L$8,MATCH(N131,'G-7 WaterC'' Data'!$B$4:$B$8,0),MATCH(T131,'G-7 WaterC'' Data'!$H$3:$L$3,0)),"")</f>
        <v/>
      </c>
      <c r="V131" s="105"/>
      <c r="W131" s="289" t="str">
        <f>IF(V131="","",IF(VLOOKUP(V131,'G-7 WaterC'' Data'!$AK$4:$AM$6,2,FALSE)=0,"Spatial Data Missing ⚠",VLOOKUP(V131,'G-7 WaterC'' Data'!$AK$4:$AM$6,2,FALSE)))</f>
        <v/>
      </c>
      <c r="X131" s="282" t="str">
        <f>IF(V131="","",IF(VLOOKUP(V131,'G-7 WaterC'' Data'!$AK$4:$AM$6,3,FALSE)=0,"Spatial Data Missing ⚠",VLOOKUP(V131,'G-7 WaterC'' Data'!$AK$4:$AM$6,3,FALSE)))</f>
        <v/>
      </c>
      <c r="Y131" s="281" t="str">
        <f>IFERROR(IF(OR(LEFT(P131,5)="Error",LEFT(O131,5)="Error"),"Check Data ⚠",IF(F131&lt;S131,'G-7 WaterC'' Data'!$R$3,INDEX('G-7 WaterC'' Data'!$U$5:$Y$9,MATCH(G131,'G-7 WaterC'' Data'!$T$5:$T$9,0),MATCH(T131,'G-7 WaterC'' Data'!$U$4:$Y$4,0)))),"")</f>
        <v/>
      </c>
      <c r="Z131" s="137"/>
      <c r="AA131" s="137"/>
      <c r="AB131" s="289" t="str">
        <f t="shared" si="13"/>
        <v/>
      </c>
      <c r="AC131" s="302" t="str">
        <f t="shared" si="14"/>
        <v/>
      </c>
      <c r="AD131" s="340" t="str">
        <f>IFERROR(IF(AC131="Check Data ⚠","Check Data ⚠",VLOOKUP(AC131,'G-4 Temporal multipliers'!$A$4:$C$37,3,FALSE)),"")</f>
        <v/>
      </c>
      <c r="AE131" s="281" t="str">
        <f>IF(N131="","",VLOOKUP(N131,'G-7 WaterC'' Data'!$B$4:$G$8,5,FALSE))</f>
        <v/>
      </c>
      <c r="AF131" s="289" t="str">
        <f t="shared" si="15"/>
        <v/>
      </c>
      <c r="AG131" s="320" t="str">
        <f t="shared" si="16"/>
        <v/>
      </c>
      <c r="AH131" s="282" t="str">
        <f t="shared" si="10"/>
        <v/>
      </c>
      <c r="AI131" s="109"/>
      <c r="AJ131" s="282" t="str">
        <f>IF(AI131="","",IF(AND(AI131="N/A - Culvert",N131&lt;&gt;"Culvert"),"Not possible ▲",IF(VLOOKUP(AI131,'G-7 WaterC'' Data'!$AA$4:$AB$7,2,FALSE)=0,"Spatial Data Missing ⚠",VLOOKUP(AI131,'G-7 WaterC'' Data'!$AA$4:$AB$7,2,FALSE))))</f>
        <v/>
      </c>
      <c r="AK131" s="110"/>
      <c r="AL131" s="282" t="str">
        <f>IF(AK131="","",IF(AND(AK131="N/A - Culvert",N131&lt;&gt;"Culvert"),"Not possible ▲",IF(VLOOKUP(AK131,'G-7 WaterC'' Data'!$AD$4:$AE$14,2,FALSE)=0,"Spatial Data Missing ⚠",VLOOKUP(AK131,'G-7 WaterC'' Data'!$AD$4:$AE$14,2,FALSE))))</f>
        <v/>
      </c>
      <c r="AM131" s="323" t="str">
        <f t="shared" si="17"/>
        <v/>
      </c>
      <c r="AN131" s="105"/>
      <c r="AO131" s="119"/>
      <c r="AP131" s="108"/>
      <c r="AS131" s="30" t="str">
        <f>IF(B131="","",IF(ISNA(VLOOKUP($B131,'C-1 On-Site WaterC'' Baseline'!$C$8:$AD$257,17,FALSE)),"",(VLOOKUP($B131,'C-1 On-Site WaterC'' Baseline'!$C$8:$AD$257,17,FALSE))))</f>
        <v/>
      </c>
      <c r="AT131" s="30" t="str">
        <f>IF(B131="","",VLOOKUP($B131,'C-1 On-Site WaterC'' Baseline'!$C$9:$Z$257,12,FALSE))</f>
        <v/>
      </c>
      <c r="AU131" s="30" t="str">
        <f>IF(B131="","",VLOOKUP($B131,'C-1 On-Site WaterC'' Baseline'!$C$9:$Z$257,14,FALSE))</f>
        <v/>
      </c>
      <c r="AV131" s="30" t="str">
        <f>IFERROR(INDEX('G-7 WaterC'' Data'!$AZ$3:$AZ$7,MATCH(N131,'G-7 WaterC'' Data'!$AY$3:$AY$7,0)),"")</f>
        <v/>
      </c>
      <c r="AX131" s="30" t="str">
        <f>IF(B131="","",VLOOKUP($B131,'C-1 On-Site WaterC'' Baseline'!$C$9:$Y$257,22,FALSE))</f>
        <v/>
      </c>
      <c r="AY131" s="30" t="str">
        <f t="shared" si="18"/>
        <v/>
      </c>
      <c r="AZ131" s="30" t="str">
        <f>IF(B131="","",VLOOKUP($B131,'C-1 On-Site WaterC'' Baseline'!$C$9:$Y$257,21,FALSE))</f>
        <v/>
      </c>
      <c r="BA131" s="30" t="str">
        <f>IF(B131="","",VLOOKUP($B131,'C-1 On-Site WaterC'' Baseline'!$C$9:$Y$257,19,FALSE))</f>
        <v/>
      </c>
      <c r="BD131" s="30" t="str">
        <f t="shared" si="19"/>
        <v>No</v>
      </c>
    </row>
    <row r="132" spans="2:56" ht="13.8" x14ac:dyDescent="0.25">
      <c r="B132" s="311" t="str">
        <f>'C-1 On-Site WaterC'' Baseline'!AP130</f>
        <v/>
      </c>
      <c r="C132" s="301" t="str">
        <f>IF(B132="","",VLOOKUP($B132,'C-1 On-Site WaterC'' Baseline'!$C$9:$R$257,2,FALSE))</f>
        <v/>
      </c>
      <c r="D132" s="301" t="str">
        <f>IF(C132="","",VLOOKUP($B132,'C-1 On-Site WaterC'' Baseline'!$C$9:$R$257,3,FALSE))</f>
        <v/>
      </c>
      <c r="E132" s="301" t="str">
        <f>IF(D132="","",VLOOKUP($B132,'C-1 On-Site WaterC'' Baseline'!$C$9:$R$257,4,FALSE))</f>
        <v/>
      </c>
      <c r="F132" s="301" t="str">
        <f>IF(E132="","",VLOOKUP($B132,'C-1 On-Site WaterC'' Baseline'!$C$9:$R$257,5,FALSE))</f>
        <v/>
      </c>
      <c r="G132" s="301" t="str">
        <f>IF(F132="","",VLOOKUP($B132,'C-1 On-Site WaterC'' Baseline'!$C$9:$R$257,6,FALSE))</f>
        <v/>
      </c>
      <c r="H132" s="301" t="str">
        <f>IF(G132="","",VLOOKUP($B132,'C-1 On-Site WaterC'' Baseline'!$C$9:$R$257,7,FALSE))</f>
        <v/>
      </c>
      <c r="I132" s="301" t="str">
        <f>IF(H132="","",VLOOKUP($B132,'C-1 On-Site WaterC'' Baseline'!$C$9:$R$257,8,FALSE))</f>
        <v/>
      </c>
      <c r="J132" s="301" t="str">
        <f>IF(I132="","",VLOOKUP($B132,'C-1 On-Site WaterC'' Baseline'!$C$9:$R$257,9,FALSE))</f>
        <v/>
      </c>
      <c r="K132" s="301" t="str">
        <f>IF(J132="","",VLOOKUP($B132,'C-1 On-Site WaterC'' Baseline'!$C$9:$R$257,10,FALSE))</f>
        <v/>
      </c>
      <c r="L132" s="301" t="str">
        <f>IF(B132="","",VLOOKUP($B132,'C-1 On-Site WaterC'' Baseline'!$C$9:$R$257,15,FALSE))</f>
        <v/>
      </c>
      <c r="M132" s="305" t="str">
        <f>IF(L132="","",VLOOKUP($B132,'C-1 On-Site WaterC'' Baseline'!$C$9:$R$257,16,FALSE))</f>
        <v/>
      </c>
      <c r="N132" s="251"/>
      <c r="O132" s="281" t="str">
        <f t="shared" si="11"/>
        <v/>
      </c>
      <c r="P132" s="282" t="str">
        <f t="shared" si="12"/>
        <v/>
      </c>
      <c r="Q132" s="342" t="str">
        <f>IF(N132="","",VLOOKUP(B132,'C-1 On-Site WaterC'' Baseline'!$C$10:$AC$257,20,FALSE))</f>
        <v/>
      </c>
      <c r="R132" s="281" t="str">
        <f>IF(N132="","",VLOOKUP(N132,'G-7 WaterC'' Data'!$B$2:$G$8,2,FALSE))</f>
        <v/>
      </c>
      <c r="S132" s="282" t="str">
        <f>IFERROR(VLOOKUP(R132,'G-7 WaterC'' Data'!$C$4:$D$8,2,FALSE),"")</f>
        <v/>
      </c>
      <c r="T132" s="105"/>
      <c r="U132" s="282" t="str">
        <f>IFERROR(INDEX('G-7 WaterC'' Data'!$H$4:$L$8,MATCH(N132,'G-7 WaterC'' Data'!$B$4:$B$8,0),MATCH(T132,'G-7 WaterC'' Data'!$H$3:$L$3,0)),"")</f>
        <v/>
      </c>
      <c r="V132" s="105"/>
      <c r="W132" s="289" t="str">
        <f>IF(V132="","",IF(VLOOKUP(V132,'G-7 WaterC'' Data'!$AK$4:$AM$6,2,FALSE)=0,"Spatial Data Missing ⚠",VLOOKUP(V132,'G-7 WaterC'' Data'!$AK$4:$AM$6,2,FALSE)))</f>
        <v/>
      </c>
      <c r="X132" s="282" t="str">
        <f>IF(V132="","",IF(VLOOKUP(V132,'G-7 WaterC'' Data'!$AK$4:$AM$6,3,FALSE)=0,"Spatial Data Missing ⚠",VLOOKUP(V132,'G-7 WaterC'' Data'!$AK$4:$AM$6,3,FALSE)))</f>
        <v/>
      </c>
      <c r="Y132" s="281" t="str">
        <f>IFERROR(IF(OR(LEFT(P132,5)="Error",LEFT(O132,5)="Error"),"Check Data ⚠",IF(F132&lt;S132,'G-7 WaterC'' Data'!$R$3,INDEX('G-7 WaterC'' Data'!$U$5:$Y$9,MATCH(G132,'G-7 WaterC'' Data'!$T$5:$T$9,0),MATCH(T132,'G-7 WaterC'' Data'!$U$4:$Y$4,0)))),"")</f>
        <v/>
      </c>
      <c r="Z132" s="137"/>
      <c r="AA132" s="137"/>
      <c r="AB132" s="289" t="str">
        <f t="shared" si="13"/>
        <v/>
      </c>
      <c r="AC132" s="302" t="str">
        <f t="shared" si="14"/>
        <v/>
      </c>
      <c r="AD132" s="340" t="str">
        <f>IFERROR(IF(AC132="Check Data ⚠","Check Data ⚠",VLOOKUP(AC132,'G-4 Temporal multipliers'!$A$4:$C$37,3,FALSE)),"")</f>
        <v/>
      </c>
      <c r="AE132" s="281" t="str">
        <f>IF(N132="","",VLOOKUP(N132,'G-7 WaterC'' Data'!$B$4:$G$8,5,FALSE))</f>
        <v/>
      </c>
      <c r="AF132" s="289" t="str">
        <f t="shared" si="15"/>
        <v/>
      </c>
      <c r="AG132" s="320" t="str">
        <f t="shared" si="16"/>
        <v/>
      </c>
      <c r="AH132" s="282" t="str">
        <f t="shared" si="10"/>
        <v/>
      </c>
      <c r="AI132" s="109"/>
      <c r="AJ132" s="282" t="str">
        <f>IF(AI132="","",IF(AND(AI132="N/A - Culvert",N132&lt;&gt;"Culvert"),"Not possible ▲",IF(VLOOKUP(AI132,'G-7 WaterC'' Data'!$AA$4:$AB$7,2,FALSE)=0,"Spatial Data Missing ⚠",VLOOKUP(AI132,'G-7 WaterC'' Data'!$AA$4:$AB$7,2,FALSE))))</f>
        <v/>
      </c>
      <c r="AK132" s="110"/>
      <c r="AL132" s="282" t="str">
        <f>IF(AK132="","",IF(AND(AK132="N/A - Culvert",N132&lt;&gt;"Culvert"),"Not possible ▲",IF(VLOOKUP(AK132,'G-7 WaterC'' Data'!$AD$4:$AE$14,2,FALSE)=0,"Spatial Data Missing ⚠",VLOOKUP(AK132,'G-7 WaterC'' Data'!$AD$4:$AE$14,2,FALSE))))</f>
        <v/>
      </c>
      <c r="AM132" s="323" t="str">
        <f t="shared" si="17"/>
        <v/>
      </c>
      <c r="AN132" s="105"/>
      <c r="AO132" s="119"/>
      <c r="AP132" s="108"/>
      <c r="AS132" s="30" t="str">
        <f>IF(B132="","",IF(ISNA(VLOOKUP($B132,'C-1 On-Site WaterC'' Baseline'!$C$8:$AD$257,17,FALSE)),"",(VLOOKUP($B132,'C-1 On-Site WaterC'' Baseline'!$C$8:$AD$257,17,FALSE))))</f>
        <v/>
      </c>
      <c r="AT132" s="30" t="str">
        <f>IF(B132="","",VLOOKUP($B132,'C-1 On-Site WaterC'' Baseline'!$C$9:$Z$257,12,FALSE))</f>
        <v/>
      </c>
      <c r="AU132" s="30" t="str">
        <f>IF(B132="","",VLOOKUP($B132,'C-1 On-Site WaterC'' Baseline'!$C$9:$Z$257,14,FALSE))</f>
        <v/>
      </c>
      <c r="AV132" s="30" t="str">
        <f>IFERROR(INDEX('G-7 WaterC'' Data'!$AZ$3:$AZ$7,MATCH(N132,'G-7 WaterC'' Data'!$AY$3:$AY$7,0)),"")</f>
        <v/>
      </c>
      <c r="AX132" s="30" t="str">
        <f>IF(B132="","",VLOOKUP($B132,'C-1 On-Site WaterC'' Baseline'!$C$9:$Y$257,22,FALSE))</f>
        <v/>
      </c>
      <c r="AY132" s="30" t="str">
        <f t="shared" si="18"/>
        <v/>
      </c>
      <c r="AZ132" s="30" t="str">
        <f>IF(B132="","",VLOOKUP($B132,'C-1 On-Site WaterC'' Baseline'!$C$9:$Y$257,21,FALSE))</f>
        <v/>
      </c>
      <c r="BA132" s="30" t="str">
        <f>IF(B132="","",VLOOKUP($B132,'C-1 On-Site WaterC'' Baseline'!$C$9:$Y$257,19,FALSE))</f>
        <v/>
      </c>
      <c r="BD132" s="30" t="str">
        <f t="shared" si="19"/>
        <v>No</v>
      </c>
    </row>
    <row r="133" spans="2:56" ht="13.8" x14ac:dyDescent="0.25">
      <c r="B133" s="311" t="str">
        <f>'C-1 On-Site WaterC'' Baseline'!AP131</f>
        <v/>
      </c>
      <c r="C133" s="301" t="str">
        <f>IF(B133="","",VLOOKUP($B133,'C-1 On-Site WaterC'' Baseline'!$C$9:$R$257,2,FALSE))</f>
        <v/>
      </c>
      <c r="D133" s="301" t="str">
        <f>IF(C133="","",VLOOKUP($B133,'C-1 On-Site WaterC'' Baseline'!$C$9:$R$257,3,FALSE))</f>
        <v/>
      </c>
      <c r="E133" s="301" t="str">
        <f>IF(D133="","",VLOOKUP($B133,'C-1 On-Site WaterC'' Baseline'!$C$9:$R$257,4,FALSE))</f>
        <v/>
      </c>
      <c r="F133" s="301" t="str">
        <f>IF(E133="","",VLOOKUP($B133,'C-1 On-Site WaterC'' Baseline'!$C$9:$R$257,5,FALSE))</f>
        <v/>
      </c>
      <c r="G133" s="301" t="str">
        <f>IF(F133="","",VLOOKUP($B133,'C-1 On-Site WaterC'' Baseline'!$C$9:$R$257,6,FALSE))</f>
        <v/>
      </c>
      <c r="H133" s="301" t="str">
        <f>IF(G133="","",VLOOKUP($B133,'C-1 On-Site WaterC'' Baseline'!$C$9:$R$257,7,FALSE))</f>
        <v/>
      </c>
      <c r="I133" s="301" t="str">
        <f>IF(H133="","",VLOOKUP($B133,'C-1 On-Site WaterC'' Baseline'!$C$9:$R$257,8,FALSE))</f>
        <v/>
      </c>
      <c r="J133" s="301" t="str">
        <f>IF(I133="","",VLOOKUP($B133,'C-1 On-Site WaterC'' Baseline'!$C$9:$R$257,9,FALSE))</f>
        <v/>
      </c>
      <c r="K133" s="301" t="str">
        <f>IF(J133="","",VLOOKUP($B133,'C-1 On-Site WaterC'' Baseline'!$C$9:$R$257,10,FALSE))</f>
        <v/>
      </c>
      <c r="L133" s="301" t="str">
        <f>IF(B133="","",VLOOKUP($B133,'C-1 On-Site WaterC'' Baseline'!$C$9:$R$257,15,FALSE))</f>
        <v/>
      </c>
      <c r="M133" s="305" t="str">
        <f>IF(L133="","",VLOOKUP($B133,'C-1 On-Site WaterC'' Baseline'!$C$9:$R$257,16,FALSE))</f>
        <v/>
      </c>
      <c r="N133" s="251"/>
      <c r="O133" s="281" t="str">
        <f t="shared" si="11"/>
        <v/>
      </c>
      <c r="P133" s="282" t="str">
        <f t="shared" si="12"/>
        <v/>
      </c>
      <c r="Q133" s="342" t="str">
        <f>IF(N133="","",VLOOKUP(B133,'C-1 On-Site WaterC'' Baseline'!$C$10:$AC$257,20,FALSE))</f>
        <v/>
      </c>
      <c r="R133" s="281" t="str">
        <f>IF(N133="","",VLOOKUP(N133,'G-7 WaterC'' Data'!$B$2:$G$8,2,FALSE))</f>
        <v/>
      </c>
      <c r="S133" s="282" t="str">
        <f>IFERROR(VLOOKUP(R133,'G-7 WaterC'' Data'!$C$4:$D$8,2,FALSE),"")</f>
        <v/>
      </c>
      <c r="T133" s="105"/>
      <c r="U133" s="282" t="str">
        <f>IFERROR(INDEX('G-7 WaterC'' Data'!$H$4:$L$8,MATCH(N133,'G-7 WaterC'' Data'!$B$4:$B$8,0),MATCH(T133,'G-7 WaterC'' Data'!$H$3:$L$3,0)),"")</f>
        <v/>
      </c>
      <c r="V133" s="105"/>
      <c r="W133" s="289" t="str">
        <f>IF(V133="","",IF(VLOOKUP(V133,'G-7 WaterC'' Data'!$AK$4:$AM$6,2,FALSE)=0,"Spatial Data Missing ⚠",VLOOKUP(V133,'G-7 WaterC'' Data'!$AK$4:$AM$6,2,FALSE)))</f>
        <v/>
      </c>
      <c r="X133" s="282" t="str">
        <f>IF(V133="","",IF(VLOOKUP(V133,'G-7 WaterC'' Data'!$AK$4:$AM$6,3,FALSE)=0,"Spatial Data Missing ⚠",VLOOKUP(V133,'G-7 WaterC'' Data'!$AK$4:$AM$6,3,FALSE)))</f>
        <v/>
      </c>
      <c r="Y133" s="281" t="str">
        <f>IFERROR(IF(OR(LEFT(P133,5)="Error",LEFT(O133,5)="Error"),"Check Data ⚠",IF(F133&lt;S133,'G-7 WaterC'' Data'!$R$3,INDEX('G-7 WaterC'' Data'!$U$5:$Y$9,MATCH(G133,'G-7 WaterC'' Data'!$T$5:$T$9,0),MATCH(T133,'G-7 WaterC'' Data'!$U$4:$Y$4,0)))),"")</f>
        <v/>
      </c>
      <c r="Z133" s="137"/>
      <c r="AA133" s="137"/>
      <c r="AB133" s="289" t="str">
        <f t="shared" si="13"/>
        <v/>
      </c>
      <c r="AC133" s="302" t="str">
        <f t="shared" si="14"/>
        <v/>
      </c>
      <c r="AD133" s="340" t="str">
        <f>IFERROR(IF(AC133="Check Data ⚠","Check Data ⚠",VLOOKUP(AC133,'G-4 Temporal multipliers'!$A$4:$C$37,3,FALSE)),"")</f>
        <v/>
      </c>
      <c r="AE133" s="281" t="str">
        <f>IF(N133="","",VLOOKUP(N133,'G-7 WaterC'' Data'!$B$4:$G$8,5,FALSE))</f>
        <v/>
      </c>
      <c r="AF133" s="289" t="str">
        <f t="shared" si="15"/>
        <v/>
      </c>
      <c r="AG133" s="320" t="str">
        <f t="shared" si="16"/>
        <v/>
      </c>
      <c r="AH133" s="282" t="str">
        <f t="shared" si="10"/>
        <v/>
      </c>
      <c r="AI133" s="109"/>
      <c r="AJ133" s="282" t="str">
        <f>IF(AI133="","",IF(AND(AI133="N/A - Culvert",N133&lt;&gt;"Culvert"),"Not possible ▲",IF(VLOOKUP(AI133,'G-7 WaterC'' Data'!$AA$4:$AB$7,2,FALSE)=0,"Spatial Data Missing ⚠",VLOOKUP(AI133,'G-7 WaterC'' Data'!$AA$4:$AB$7,2,FALSE))))</f>
        <v/>
      </c>
      <c r="AK133" s="110"/>
      <c r="AL133" s="282" t="str">
        <f>IF(AK133="","",IF(AND(AK133="N/A - Culvert",N133&lt;&gt;"Culvert"),"Not possible ▲",IF(VLOOKUP(AK133,'G-7 WaterC'' Data'!$AD$4:$AE$14,2,FALSE)=0,"Spatial Data Missing ⚠",VLOOKUP(AK133,'G-7 WaterC'' Data'!$AD$4:$AE$14,2,FALSE))))</f>
        <v/>
      </c>
      <c r="AM133" s="323" t="str">
        <f t="shared" si="17"/>
        <v/>
      </c>
      <c r="AN133" s="105"/>
      <c r="AO133" s="119"/>
      <c r="AP133" s="108"/>
      <c r="AS133" s="30" t="str">
        <f>IF(B133="","",IF(ISNA(VLOOKUP($B133,'C-1 On-Site WaterC'' Baseline'!$C$8:$AD$257,17,FALSE)),"",(VLOOKUP($B133,'C-1 On-Site WaterC'' Baseline'!$C$8:$AD$257,17,FALSE))))</f>
        <v/>
      </c>
      <c r="AT133" s="30" t="str">
        <f>IF(B133="","",VLOOKUP($B133,'C-1 On-Site WaterC'' Baseline'!$C$9:$Z$257,12,FALSE))</f>
        <v/>
      </c>
      <c r="AU133" s="30" t="str">
        <f>IF(B133="","",VLOOKUP($B133,'C-1 On-Site WaterC'' Baseline'!$C$9:$Z$257,14,FALSE))</f>
        <v/>
      </c>
      <c r="AV133" s="30" t="str">
        <f>IFERROR(INDEX('G-7 WaterC'' Data'!$AZ$3:$AZ$7,MATCH(N133,'G-7 WaterC'' Data'!$AY$3:$AY$7,0)),"")</f>
        <v/>
      </c>
      <c r="AX133" s="30" t="str">
        <f>IF(B133="","",VLOOKUP($B133,'C-1 On-Site WaterC'' Baseline'!$C$9:$Y$257,22,FALSE))</f>
        <v/>
      </c>
      <c r="AY133" s="30" t="str">
        <f t="shared" si="18"/>
        <v/>
      </c>
      <c r="AZ133" s="30" t="str">
        <f>IF(B133="","",VLOOKUP($B133,'C-1 On-Site WaterC'' Baseline'!$C$9:$Y$257,21,FALSE))</f>
        <v/>
      </c>
      <c r="BA133" s="30" t="str">
        <f>IF(B133="","",VLOOKUP($B133,'C-1 On-Site WaterC'' Baseline'!$C$9:$Y$257,19,FALSE))</f>
        <v/>
      </c>
      <c r="BD133" s="30" t="str">
        <f t="shared" si="19"/>
        <v>No</v>
      </c>
    </row>
    <row r="134" spans="2:56" ht="13.8" x14ac:dyDescent="0.25">
      <c r="B134" s="311" t="str">
        <f>'C-1 On-Site WaterC'' Baseline'!AP132</f>
        <v/>
      </c>
      <c r="C134" s="301" t="str">
        <f>IF(B134="","",VLOOKUP($B134,'C-1 On-Site WaterC'' Baseline'!$C$9:$R$257,2,FALSE))</f>
        <v/>
      </c>
      <c r="D134" s="301" t="str">
        <f>IF(C134="","",VLOOKUP($B134,'C-1 On-Site WaterC'' Baseline'!$C$9:$R$257,3,FALSE))</f>
        <v/>
      </c>
      <c r="E134" s="301" t="str">
        <f>IF(D134="","",VLOOKUP($B134,'C-1 On-Site WaterC'' Baseline'!$C$9:$R$257,4,FALSE))</f>
        <v/>
      </c>
      <c r="F134" s="301" t="str">
        <f>IF(E134="","",VLOOKUP($B134,'C-1 On-Site WaterC'' Baseline'!$C$9:$R$257,5,FALSE))</f>
        <v/>
      </c>
      <c r="G134" s="301" t="str">
        <f>IF(F134="","",VLOOKUP($B134,'C-1 On-Site WaterC'' Baseline'!$C$9:$R$257,6,FALSE))</f>
        <v/>
      </c>
      <c r="H134" s="301" t="str">
        <f>IF(G134="","",VLOOKUP($B134,'C-1 On-Site WaterC'' Baseline'!$C$9:$R$257,7,FALSE))</f>
        <v/>
      </c>
      <c r="I134" s="301" t="str">
        <f>IF(H134="","",VLOOKUP($B134,'C-1 On-Site WaterC'' Baseline'!$C$9:$R$257,8,FALSE))</f>
        <v/>
      </c>
      <c r="J134" s="301" t="str">
        <f>IF(I134="","",VLOOKUP($B134,'C-1 On-Site WaterC'' Baseline'!$C$9:$R$257,9,FALSE))</f>
        <v/>
      </c>
      <c r="K134" s="301" t="str">
        <f>IF(J134="","",VLOOKUP($B134,'C-1 On-Site WaterC'' Baseline'!$C$9:$R$257,10,FALSE))</f>
        <v/>
      </c>
      <c r="L134" s="301" t="str">
        <f>IF(B134="","",VLOOKUP($B134,'C-1 On-Site WaterC'' Baseline'!$C$9:$R$257,15,FALSE))</f>
        <v/>
      </c>
      <c r="M134" s="305" t="str">
        <f>IF(L134="","",VLOOKUP($B134,'C-1 On-Site WaterC'' Baseline'!$C$9:$R$257,16,FALSE))</f>
        <v/>
      </c>
      <c r="N134" s="251"/>
      <c r="O134" s="281" t="str">
        <f t="shared" si="11"/>
        <v/>
      </c>
      <c r="P134" s="282" t="str">
        <f t="shared" si="12"/>
        <v/>
      </c>
      <c r="Q134" s="342" t="str">
        <f>IF(N134="","",VLOOKUP(B134,'C-1 On-Site WaterC'' Baseline'!$C$10:$AC$257,20,FALSE))</f>
        <v/>
      </c>
      <c r="R134" s="281" t="str">
        <f>IF(N134="","",VLOOKUP(N134,'G-7 WaterC'' Data'!$B$2:$G$8,2,FALSE))</f>
        <v/>
      </c>
      <c r="S134" s="282" t="str">
        <f>IFERROR(VLOOKUP(R134,'G-7 WaterC'' Data'!$C$4:$D$8,2,FALSE),"")</f>
        <v/>
      </c>
      <c r="T134" s="105"/>
      <c r="U134" s="282" t="str">
        <f>IFERROR(INDEX('G-7 WaterC'' Data'!$H$4:$L$8,MATCH(N134,'G-7 WaterC'' Data'!$B$4:$B$8,0),MATCH(T134,'G-7 WaterC'' Data'!$H$3:$L$3,0)),"")</f>
        <v/>
      </c>
      <c r="V134" s="105"/>
      <c r="W134" s="289" t="str">
        <f>IF(V134="","",IF(VLOOKUP(V134,'G-7 WaterC'' Data'!$AK$4:$AM$6,2,FALSE)=0,"Spatial Data Missing ⚠",VLOOKUP(V134,'G-7 WaterC'' Data'!$AK$4:$AM$6,2,FALSE)))</f>
        <v/>
      </c>
      <c r="X134" s="282" t="str">
        <f>IF(V134="","",IF(VLOOKUP(V134,'G-7 WaterC'' Data'!$AK$4:$AM$6,3,FALSE)=0,"Spatial Data Missing ⚠",VLOOKUP(V134,'G-7 WaterC'' Data'!$AK$4:$AM$6,3,FALSE)))</f>
        <v/>
      </c>
      <c r="Y134" s="281" t="str">
        <f>IFERROR(IF(OR(LEFT(P134,5)="Error",LEFT(O134,5)="Error"),"Check Data ⚠",IF(F134&lt;S134,'G-7 WaterC'' Data'!$R$3,INDEX('G-7 WaterC'' Data'!$U$5:$Y$9,MATCH(G134,'G-7 WaterC'' Data'!$T$5:$T$9,0),MATCH(T134,'G-7 WaterC'' Data'!$U$4:$Y$4,0)))),"")</f>
        <v/>
      </c>
      <c r="Z134" s="137"/>
      <c r="AA134" s="137"/>
      <c r="AB134" s="289" t="str">
        <f t="shared" si="13"/>
        <v/>
      </c>
      <c r="AC134" s="302" t="str">
        <f t="shared" si="14"/>
        <v/>
      </c>
      <c r="AD134" s="340" t="str">
        <f>IFERROR(IF(AC134="Check Data ⚠","Check Data ⚠",VLOOKUP(AC134,'G-4 Temporal multipliers'!$A$4:$C$37,3,FALSE)),"")</f>
        <v/>
      </c>
      <c r="AE134" s="281" t="str">
        <f>IF(N134="","",VLOOKUP(N134,'G-7 WaterC'' Data'!$B$4:$G$8,5,FALSE))</f>
        <v/>
      </c>
      <c r="AF134" s="289" t="str">
        <f t="shared" si="15"/>
        <v/>
      </c>
      <c r="AG134" s="320" t="str">
        <f t="shared" si="16"/>
        <v/>
      </c>
      <c r="AH134" s="282" t="str">
        <f t="shared" si="10"/>
        <v/>
      </c>
      <c r="AI134" s="109"/>
      <c r="AJ134" s="282" t="str">
        <f>IF(AI134="","",IF(AND(AI134="N/A - Culvert",N134&lt;&gt;"Culvert"),"Not possible ▲",IF(VLOOKUP(AI134,'G-7 WaterC'' Data'!$AA$4:$AB$7,2,FALSE)=0,"Spatial Data Missing ⚠",VLOOKUP(AI134,'G-7 WaterC'' Data'!$AA$4:$AB$7,2,FALSE))))</f>
        <v/>
      </c>
      <c r="AK134" s="110"/>
      <c r="AL134" s="282" t="str">
        <f>IF(AK134="","",IF(AND(AK134="N/A - Culvert",N134&lt;&gt;"Culvert"),"Not possible ▲",IF(VLOOKUP(AK134,'G-7 WaterC'' Data'!$AD$4:$AE$14,2,FALSE)=0,"Spatial Data Missing ⚠",VLOOKUP(AK134,'G-7 WaterC'' Data'!$AD$4:$AE$14,2,FALSE))))</f>
        <v/>
      </c>
      <c r="AM134" s="323" t="str">
        <f t="shared" si="17"/>
        <v/>
      </c>
      <c r="AN134" s="105"/>
      <c r="AO134" s="119"/>
      <c r="AP134" s="108"/>
      <c r="AS134" s="30" t="str">
        <f>IF(B134="","",IF(ISNA(VLOOKUP($B134,'C-1 On-Site WaterC'' Baseline'!$C$8:$AD$257,17,FALSE)),"",(VLOOKUP($B134,'C-1 On-Site WaterC'' Baseline'!$C$8:$AD$257,17,FALSE))))</f>
        <v/>
      </c>
      <c r="AT134" s="30" t="str">
        <f>IF(B134="","",VLOOKUP($B134,'C-1 On-Site WaterC'' Baseline'!$C$9:$Z$257,12,FALSE))</f>
        <v/>
      </c>
      <c r="AU134" s="30" t="str">
        <f>IF(B134="","",VLOOKUP($B134,'C-1 On-Site WaterC'' Baseline'!$C$9:$Z$257,14,FALSE))</f>
        <v/>
      </c>
      <c r="AV134" s="30" t="str">
        <f>IFERROR(INDEX('G-7 WaterC'' Data'!$AZ$3:$AZ$7,MATCH(N134,'G-7 WaterC'' Data'!$AY$3:$AY$7,0)),"")</f>
        <v/>
      </c>
      <c r="AX134" s="30" t="str">
        <f>IF(B134="","",VLOOKUP($B134,'C-1 On-Site WaterC'' Baseline'!$C$9:$Y$257,22,FALSE))</f>
        <v/>
      </c>
      <c r="AY134" s="30" t="str">
        <f t="shared" si="18"/>
        <v/>
      </c>
      <c r="AZ134" s="30" t="str">
        <f>IF(B134="","",VLOOKUP($B134,'C-1 On-Site WaterC'' Baseline'!$C$9:$Y$257,21,FALSE))</f>
        <v/>
      </c>
      <c r="BA134" s="30" t="str">
        <f>IF(B134="","",VLOOKUP($B134,'C-1 On-Site WaterC'' Baseline'!$C$9:$Y$257,19,FALSE))</f>
        <v/>
      </c>
      <c r="BD134" s="30" t="str">
        <f t="shared" si="19"/>
        <v>No</v>
      </c>
    </row>
    <row r="135" spans="2:56" ht="13.8" x14ac:dyDescent="0.25">
      <c r="B135" s="311" t="str">
        <f>'C-1 On-Site WaterC'' Baseline'!AP133</f>
        <v/>
      </c>
      <c r="C135" s="301" t="str">
        <f>IF(B135="","",VLOOKUP($B135,'C-1 On-Site WaterC'' Baseline'!$C$9:$R$257,2,FALSE))</f>
        <v/>
      </c>
      <c r="D135" s="301" t="str">
        <f>IF(C135="","",VLOOKUP($B135,'C-1 On-Site WaterC'' Baseline'!$C$9:$R$257,3,FALSE))</f>
        <v/>
      </c>
      <c r="E135" s="301" t="str">
        <f>IF(D135="","",VLOOKUP($B135,'C-1 On-Site WaterC'' Baseline'!$C$9:$R$257,4,FALSE))</f>
        <v/>
      </c>
      <c r="F135" s="301" t="str">
        <f>IF(E135="","",VLOOKUP($B135,'C-1 On-Site WaterC'' Baseline'!$C$9:$R$257,5,FALSE))</f>
        <v/>
      </c>
      <c r="G135" s="301" t="str">
        <f>IF(F135="","",VLOOKUP($B135,'C-1 On-Site WaterC'' Baseline'!$C$9:$R$257,6,FALSE))</f>
        <v/>
      </c>
      <c r="H135" s="301" t="str">
        <f>IF(G135="","",VLOOKUP($B135,'C-1 On-Site WaterC'' Baseline'!$C$9:$R$257,7,FALSE))</f>
        <v/>
      </c>
      <c r="I135" s="301" t="str">
        <f>IF(H135="","",VLOOKUP($B135,'C-1 On-Site WaterC'' Baseline'!$C$9:$R$257,8,FALSE))</f>
        <v/>
      </c>
      <c r="J135" s="301" t="str">
        <f>IF(I135="","",VLOOKUP($B135,'C-1 On-Site WaterC'' Baseline'!$C$9:$R$257,9,FALSE))</f>
        <v/>
      </c>
      <c r="K135" s="301" t="str">
        <f>IF(J135="","",VLOOKUP($B135,'C-1 On-Site WaterC'' Baseline'!$C$9:$R$257,10,FALSE))</f>
        <v/>
      </c>
      <c r="L135" s="301" t="str">
        <f>IF(B135="","",VLOOKUP($B135,'C-1 On-Site WaterC'' Baseline'!$C$9:$R$257,15,FALSE))</f>
        <v/>
      </c>
      <c r="M135" s="305" t="str">
        <f>IF(L135="","",VLOOKUP($B135,'C-1 On-Site WaterC'' Baseline'!$C$9:$R$257,16,FALSE))</f>
        <v/>
      </c>
      <c r="N135" s="251"/>
      <c r="O135" s="281" t="str">
        <f t="shared" si="11"/>
        <v/>
      </c>
      <c r="P135" s="282" t="str">
        <f t="shared" si="12"/>
        <v/>
      </c>
      <c r="Q135" s="342" t="str">
        <f>IF(N135="","",VLOOKUP(B135,'C-1 On-Site WaterC'' Baseline'!$C$10:$AC$257,20,FALSE))</f>
        <v/>
      </c>
      <c r="R135" s="281" t="str">
        <f>IF(N135="","",VLOOKUP(N135,'G-7 WaterC'' Data'!$B$2:$G$8,2,FALSE))</f>
        <v/>
      </c>
      <c r="S135" s="282" t="str">
        <f>IFERROR(VLOOKUP(R135,'G-7 WaterC'' Data'!$C$4:$D$8,2,FALSE),"")</f>
        <v/>
      </c>
      <c r="T135" s="105"/>
      <c r="U135" s="282" t="str">
        <f>IFERROR(INDEX('G-7 WaterC'' Data'!$H$4:$L$8,MATCH(N135,'G-7 WaterC'' Data'!$B$4:$B$8,0),MATCH(T135,'G-7 WaterC'' Data'!$H$3:$L$3,0)),"")</f>
        <v/>
      </c>
      <c r="V135" s="105"/>
      <c r="W135" s="289" t="str">
        <f>IF(V135="","",IF(VLOOKUP(V135,'G-7 WaterC'' Data'!$AK$4:$AM$6,2,FALSE)=0,"Spatial Data Missing ⚠",VLOOKUP(V135,'G-7 WaterC'' Data'!$AK$4:$AM$6,2,FALSE)))</f>
        <v/>
      </c>
      <c r="X135" s="282" t="str">
        <f>IF(V135="","",IF(VLOOKUP(V135,'G-7 WaterC'' Data'!$AK$4:$AM$6,3,FALSE)=0,"Spatial Data Missing ⚠",VLOOKUP(V135,'G-7 WaterC'' Data'!$AK$4:$AM$6,3,FALSE)))</f>
        <v/>
      </c>
      <c r="Y135" s="281" t="str">
        <f>IFERROR(IF(OR(LEFT(P135,5)="Error",LEFT(O135,5)="Error"),"Check Data ⚠",IF(F135&lt;S135,'G-7 WaterC'' Data'!$R$3,INDEX('G-7 WaterC'' Data'!$U$5:$Y$9,MATCH(G135,'G-7 WaterC'' Data'!$T$5:$T$9,0),MATCH(T135,'G-7 WaterC'' Data'!$U$4:$Y$4,0)))),"")</f>
        <v/>
      </c>
      <c r="Z135" s="137"/>
      <c r="AA135" s="137"/>
      <c r="AB135" s="289" t="str">
        <f t="shared" si="13"/>
        <v/>
      </c>
      <c r="AC135" s="302" t="str">
        <f t="shared" si="14"/>
        <v/>
      </c>
      <c r="AD135" s="340" t="str">
        <f>IFERROR(IF(AC135="Check Data ⚠","Check Data ⚠",VLOOKUP(AC135,'G-4 Temporal multipliers'!$A$4:$C$37,3,FALSE)),"")</f>
        <v/>
      </c>
      <c r="AE135" s="281" t="str">
        <f>IF(N135="","",VLOOKUP(N135,'G-7 WaterC'' Data'!$B$4:$G$8,5,FALSE))</f>
        <v/>
      </c>
      <c r="AF135" s="289" t="str">
        <f t="shared" si="15"/>
        <v/>
      </c>
      <c r="AG135" s="320" t="str">
        <f t="shared" si="16"/>
        <v/>
      </c>
      <c r="AH135" s="282" t="str">
        <f t="shared" si="10"/>
        <v/>
      </c>
      <c r="AI135" s="109"/>
      <c r="AJ135" s="282" t="str">
        <f>IF(AI135="","",IF(AND(AI135="N/A - Culvert",N135&lt;&gt;"Culvert"),"Not possible ▲",IF(VLOOKUP(AI135,'G-7 WaterC'' Data'!$AA$4:$AB$7,2,FALSE)=0,"Spatial Data Missing ⚠",VLOOKUP(AI135,'G-7 WaterC'' Data'!$AA$4:$AB$7,2,FALSE))))</f>
        <v/>
      </c>
      <c r="AK135" s="110"/>
      <c r="AL135" s="282" t="str">
        <f>IF(AK135="","",IF(AND(AK135="N/A - Culvert",N135&lt;&gt;"Culvert"),"Not possible ▲",IF(VLOOKUP(AK135,'G-7 WaterC'' Data'!$AD$4:$AE$14,2,FALSE)=0,"Spatial Data Missing ⚠",VLOOKUP(AK135,'G-7 WaterC'' Data'!$AD$4:$AE$14,2,FALSE))))</f>
        <v/>
      </c>
      <c r="AM135" s="323" t="str">
        <f t="shared" si="17"/>
        <v/>
      </c>
      <c r="AN135" s="105"/>
      <c r="AO135" s="119"/>
      <c r="AP135" s="108"/>
      <c r="AS135" s="30" t="str">
        <f>IF(B135="","",IF(ISNA(VLOOKUP($B135,'C-1 On-Site WaterC'' Baseline'!$C$8:$AD$257,17,FALSE)),"",(VLOOKUP($B135,'C-1 On-Site WaterC'' Baseline'!$C$8:$AD$257,17,FALSE))))</f>
        <v/>
      </c>
      <c r="AT135" s="30" t="str">
        <f>IF(B135="","",VLOOKUP($B135,'C-1 On-Site WaterC'' Baseline'!$C$9:$Z$257,12,FALSE))</f>
        <v/>
      </c>
      <c r="AU135" s="30" t="str">
        <f>IF(B135="","",VLOOKUP($B135,'C-1 On-Site WaterC'' Baseline'!$C$9:$Z$257,14,FALSE))</f>
        <v/>
      </c>
      <c r="AV135" s="30" t="str">
        <f>IFERROR(INDEX('G-7 WaterC'' Data'!$AZ$3:$AZ$7,MATCH(N135,'G-7 WaterC'' Data'!$AY$3:$AY$7,0)),"")</f>
        <v/>
      </c>
      <c r="AX135" s="30" t="str">
        <f>IF(B135="","",VLOOKUP($B135,'C-1 On-Site WaterC'' Baseline'!$C$9:$Y$257,22,FALSE))</f>
        <v/>
      </c>
      <c r="AY135" s="30" t="str">
        <f t="shared" si="18"/>
        <v/>
      </c>
      <c r="AZ135" s="30" t="str">
        <f>IF(B135="","",VLOOKUP($B135,'C-1 On-Site WaterC'' Baseline'!$C$9:$Y$257,21,FALSE))</f>
        <v/>
      </c>
      <c r="BA135" s="30" t="str">
        <f>IF(B135="","",VLOOKUP($B135,'C-1 On-Site WaterC'' Baseline'!$C$9:$Y$257,19,FALSE))</f>
        <v/>
      </c>
      <c r="BD135" s="30" t="str">
        <f t="shared" si="19"/>
        <v>No</v>
      </c>
    </row>
    <row r="136" spans="2:56" ht="13.8" x14ac:dyDescent="0.25">
      <c r="B136" s="311" t="str">
        <f>'C-1 On-Site WaterC'' Baseline'!AP134</f>
        <v/>
      </c>
      <c r="C136" s="301" t="str">
        <f>IF(B136="","",VLOOKUP($B136,'C-1 On-Site WaterC'' Baseline'!$C$9:$R$257,2,FALSE))</f>
        <v/>
      </c>
      <c r="D136" s="301" t="str">
        <f>IF(C136="","",VLOOKUP($B136,'C-1 On-Site WaterC'' Baseline'!$C$9:$R$257,3,FALSE))</f>
        <v/>
      </c>
      <c r="E136" s="301" t="str">
        <f>IF(D136="","",VLOOKUP($B136,'C-1 On-Site WaterC'' Baseline'!$C$9:$R$257,4,FALSE))</f>
        <v/>
      </c>
      <c r="F136" s="301" t="str">
        <f>IF(E136="","",VLOOKUP($B136,'C-1 On-Site WaterC'' Baseline'!$C$9:$R$257,5,FALSE))</f>
        <v/>
      </c>
      <c r="G136" s="301" t="str">
        <f>IF(F136="","",VLOOKUP($B136,'C-1 On-Site WaterC'' Baseline'!$C$9:$R$257,6,FALSE))</f>
        <v/>
      </c>
      <c r="H136" s="301" t="str">
        <f>IF(G136="","",VLOOKUP($B136,'C-1 On-Site WaterC'' Baseline'!$C$9:$R$257,7,FALSE))</f>
        <v/>
      </c>
      <c r="I136" s="301" t="str">
        <f>IF(H136="","",VLOOKUP($B136,'C-1 On-Site WaterC'' Baseline'!$C$9:$R$257,8,FALSE))</f>
        <v/>
      </c>
      <c r="J136" s="301" t="str">
        <f>IF(I136="","",VLOOKUP($B136,'C-1 On-Site WaterC'' Baseline'!$C$9:$R$257,9,FALSE))</f>
        <v/>
      </c>
      <c r="K136" s="301" t="str">
        <f>IF(J136="","",VLOOKUP($B136,'C-1 On-Site WaterC'' Baseline'!$C$9:$R$257,10,FALSE))</f>
        <v/>
      </c>
      <c r="L136" s="301" t="str">
        <f>IF(B136="","",VLOOKUP($B136,'C-1 On-Site WaterC'' Baseline'!$C$9:$R$257,15,FALSE))</f>
        <v/>
      </c>
      <c r="M136" s="305" t="str">
        <f>IF(L136="","",VLOOKUP($B136,'C-1 On-Site WaterC'' Baseline'!$C$9:$R$257,16,FALSE))</f>
        <v/>
      </c>
      <c r="N136" s="251"/>
      <c r="O136" s="281" t="str">
        <f t="shared" si="11"/>
        <v/>
      </c>
      <c r="P136" s="282" t="str">
        <f t="shared" si="12"/>
        <v/>
      </c>
      <c r="Q136" s="342" t="str">
        <f>IF(N136="","",VLOOKUP(B136,'C-1 On-Site WaterC'' Baseline'!$C$10:$AC$257,20,FALSE))</f>
        <v/>
      </c>
      <c r="R136" s="281" t="str">
        <f>IF(N136="","",VLOOKUP(N136,'G-7 WaterC'' Data'!$B$2:$G$8,2,FALSE))</f>
        <v/>
      </c>
      <c r="S136" s="282" t="str">
        <f>IFERROR(VLOOKUP(R136,'G-7 WaterC'' Data'!$C$4:$D$8,2,FALSE),"")</f>
        <v/>
      </c>
      <c r="T136" s="105"/>
      <c r="U136" s="282" t="str">
        <f>IFERROR(INDEX('G-7 WaterC'' Data'!$H$4:$L$8,MATCH(N136,'G-7 WaterC'' Data'!$B$4:$B$8,0),MATCH(T136,'G-7 WaterC'' Data'!$H$3:$L$3,0)),"")</f>
        <v/>
      </c>
      <c r="V136" s="105"/>
      <c r="W136" s="289" t="str">
        <f>IF(V136="","",IF(VLOOKUP(V136,'G-7 WaterC'' Data'!$AK$4:$AM$6,2,FALSE)=0,"Spatial Data Missing ⚠",VLOOKUP(V136,'G-7 WaterC'' Data'!$AK$4:$AM$6,2,FALSE)))</f>
        <v/>
      </c>
      <c r="X136" s="282" t="str">
        <f>IF(V136="","",IF(VLOOKUP(V136,'G-7 WaterC'' Data'!$AK$4:$AM$6,3,FALSE)=0,"Spatial Data Missing ⚠",VLOOKUP(V136,'G-7 WaterC'' Data'!$AK$4:$AM$6,3,FALSE)))</f>
        <v/>
      </c>
      <c r="Y136" s="281" t="str">
        <f>IFERROR(IF(OR(LEFT(P136,5)="Error",LEFT(O136,5)="Error"),"Check Data ⚠",IF(F136&lt;S136,'G-7 WaterC'' Data'!$R$3,INDEX('G-7 WaterC'' Data'!$U$5:$Y$9,MATCH(G136,'G-7 WaterC'' Data'!$T$5:$T$9,0),MATCH(T136,'G-7 WaterC'' Data'!$U$4:$Y$4,0)))),"")</f>
        <v/>
      </c>
      <c r="Z136" s="137"/>
      <c r="AA136" s="137"/>
      <c r="AB136" s="289" t="str">
        <f t="shared" si="13"/>
        <v/>
      </c>
      <c r="AC136" s="302" t="str">
        <f t="shared" si="14"/>
        <v/>
      </c>
      <c r="AD136" s="340" t="str">
        <f>IFERROR(IF(AC136="Check Data ⚠","Check Data ⚠",VLOOKUP(AC136,'G-4 Temporal multipliers'!$A$4:$C$37,3,FALSE)),"")</f>
        <v/>
      </c>
      <c r="AE136" s="281" t="str">
        <f>IF(N136="","",VLOOKUP(N136,'G-7 WaterC'' Data'!$B$4:$G$8,5,FALSE))</f>
        <v/>
      </c>
      <c r="AF136" s="289" t="str">
        <f t="shared" si="15"/>
        <v/>
      </c>
      <c r="AG136" s="320" t="str">
        <f t="shared" si="16"/>
        <v/>
      </c>
      <c r="AH136" s="282" t="str">
        <f t="shared" si="10"/>
        <v/>
      </c>
      <c r="AI136" s="109"/>
      <c r="AJ136" s="282" t="str">
        <f>IF(AI136="","",IF(AND(AI136="N/A - Culvert",N136&lt;&gt;"Culvert"),"Not possible ▲",IF(VLOOKUP(AI136,'G-7 WaterC'' Data'!$AA$4:$AB$7,2,FALSE)=0,"Spatial Data Missing ⚠",VLOOKUP(AI136,'G-7 WaterC'' Data'!$AA$4:$AB$7,2,FALSE))))</f>
        <v/>
      </c>
      <c r="AK136" s="110"/>
      <c r="AL136" s="282" t="str">
        <f>IF(AK136="","",IF(AND(AK136="N/A - Culvert",N136&lt;&gt;"Culvert"),"Not possible ▲",IF(VLOOKUP(AK136,'G-7 WaterC'' Data'!$AD$4:$AE$14,2,FALSE)=0,"Spatial Data Missing ⚠",VLOOKUP(AK136,'G-7 WaterC'' Data'!$AD$4:$AE$14,2,FALSE))))</f>
        <v/>
      </c>
      <c r="AM136" s="323" t="str">
        <f t="shared" si="17"/>
        <v/>
      </c>
      <c r="AN136" s="105"/>
      <c r="AO136" s="119"/>
      <c r="AP136" s="108"/>
      <c r="AS136" s="30" t="str">
        <f>IF(B136="","",IF(ISNA(VLOOKUP($B136,'C-1 On-Site WaterC'' Baseline'!$C$8:$AD$257,17,FALSE)),"",(VLOOKUP($B136,'C-1 On-Site WaterC'' Baseline'!$C$8:$AD$257,17,FALSE))))</f>
        <v/>
      </c>
      <c r="AT136" s="30" t="str">
        <f>IF(B136="","",VLOOKUP($B136,'C-1 On-Site WaterC'' Baseline'!$C$9:$Z$257,12,FALSE))</f>
        <v/>
      </c>
      <c r="AU136" s="30" t="str">
        <f>IF(B136="","",VLOOKUP($B136,'C-1 On-Site WaterC'' Baseline'!$C$9:$Z$257,14,FALSE))</f>
        <v/>
      </c>
      <c r="AV136" s="30" t="str">
        <f>IFERROR(INDEX('G-7 WaterC'' Data'!$AZ$3:$AZ$7,MATCH(N136,'G-7 WaterC'' Data'!$AY$3:$AY$7,0)),"")</f>
        <v/>
      </c>
      <c r="AX136" s="30" t="str">
        <f>IF(B136="","",VLOOKUP($B136,'C-1 On-Site WaterC'' Baseline'!$C$9:$Y$257,22,FALSE))</f>
        <v/>
      </c>
      <c r="AY136" s="30" t="str">
        <f t="shared" si="18"/>
        <v/>
      </c>
      <c r="AZ136" s="30" t="str">
        <f>IF(B136="","",VLOOKUP($B136,'C-1 On-Site WaterC'' Baseline'!$C$9:$Y$257,21,FALSE))</f>
        <v/>
      </c>
      <c r="BA136" s="30" t="str">
        <f>IF(B136="","",VLOOKUP($B136,'C-1 On-Site WaterC'' Baseline'!$C$9:$Y$257,19,FALSE))</f>
        <v/>
      </c>
      <c r="BD136" s="30" t="str">
        <f t="shared" si="19"/>
        <v>No</v>
      </c>
    </row>
    <row r="137" spans="2:56" ht="13.8" x14ac:dyDescent="0.25">
      <c r="B137" s="311" t="str">
        <f>'C-1 On-Site WaterC'' Baseline'!AP135</f>
        <v/>
      </c>
      <c r="C137" s="301" t="str">
        <f>IF(B137="","",VLOOKUP($B137,'C-1 On-Site WaterC'' Baseline'!$C$9:$R$257,2,FALSE))</f>
        <v/>
      </c>
      <c r="D137" s="301" t="str">
        <f>IF(C137="","",VLOOKUP($B137,'C-1 On-Site WaterC'' Baseline'!$C$9:$R$257,3,FALSE))</f>
        <v/>
      </c>
      <c r="E137" s="301" t="str">
        <f>IF(D137="","",VLOOKUP($B137,'C-1 On-Site WaterC'' Baseline'!$C$9:$R$257,4,FALSE))</f>
        <v/>
      </c>
      <c r="F137" s="301" t="str">
        <f>IF(E137="","",VLOOKUP($B137,'C-1 On-Site WaterC'' Baseline'!$C$9:$R$257,5,FALSE))</f>
        <v/>
      </c>
      <c r="G137" s="301" t="str">
        <f>IF(F137="","",VLOOKUP($B137,'C-1 On-Site WaterC'' Baseline'!$C$9:$R$257,6,FALSE))</f>
        <v/>
      </c>
      <c r="H137" s="301" t="str">
        <f>IF(G137="","",VLOOKUP($B137,'C-1 On-Site WaterC'' Baseline'!$C$9:$R$257,7,FALSE))</f>
        <v/>
      </c>
      <c r="I137" s="301" t="str">
        <f>IF(H137="","",VLOOKUP($B137,'C-1 On-Site WaterC'' Baseline'!$C$9:$R$257,8,FALSE))</f>
        <v/>
      </c>
      <c r="J137" s="301" t="str">
        <f>IF(I137="","",VLOOKUP($B137,'C-1 On-Site WaterC'' Baseline'!$C$9:$R$257,9,FALSE))</f>
        <v/>
      </c>
      <c r="K137" s="301" t="str">
        <f>IF(J137="","",VLOOKUP($B137,'C-1 On-Site WaterC'' Baseline'!$C$9:$R$257,10,FALSE))</f>
        <v/>
      </c>
      <c r="L137" s="301" t="str">
        <f>IF(B137="","",VLOOKUP($B137,'C-1 On-Site WaterC'' Baseline'!$C$9:$R$257,15,FALSE))</f>
        <v/>
      </c>
      <c r="M137" s="305" t="str">
        <f>IF(L137="","",VLOOKUP($B137,'C-1 On-Site WaterC'' Baseline'!$C$9:$R$257,16,FALSE))</f>
        <v/>
      </c>
      <c r="N137" s="251"/>
      <c r="O137" s="281" t="str">
        <f t="shared" si="11"/>
        <v/>
      </c>
      <c r="P137" s="282" t="str">
        <f t="shared" si="12"/>
        <v/>
      </c>
      <c r="Q137" s="342" t="str">
        <f>IF(N137="","",VLOOKUP(B137,'C-1 On-Site WaterC'' Baseline'!$C$10:$AC$257,20,FALSE))</f>
        <v/>
      </c>
      <c r="R137" s="281" t="str">
        <f>IF(N137="","",VLOOKUP(N137,'G-7 WaterC'' Data'!$B$2:$G$8,2,FALSE))</f>
        <v/>
      </c>
      <c r="S137" s="282" t="str">
        <f>IFERROR(VLOOKUP(R137,'G-7 WaterC'' Data'!$C$4:$D$8,2,FALSE),"")</f>
        <v/>
      </c>
      <c r="T137" s="105"/>
      <c r="U137" s="282" t="str">
        <f>IFERROR(INDEX('G-7 WaterC'' Data'!$H$4:$L$8,MATCH(N137,'G-7 WaterC'' Data'!$B$4:$B$8,0),MATCH(T137,'G-7 WaterC'' Data'!$H$3:$L$3,0)),"")</f>
        <v/>
      </c>
      <c r="V137" s="105"/>
      <c r="W137" s="289" t="str">
        <f>IF(V137="","",IF(VLOOKUP(V137,'G-7 WaterC'' Data'!$AK$4:$AM$6,2,FALSE)=0,"Spatial Data Missing ⚠",VLOOKUP(V137,'G-7 WaterC'' Data'!$AK$4:$AM$6,2,FALSE)))</f>
        <v/>
      </c>
      <c r="X137" s="282" t="str">
        <f>IF(V137="","",IF(VLOOKUP(V137,'G-7 WaterC'' Data'!$AK$4:$AM$6,3,FALSE)=0,"Spatial Data Missing ⚠",VLOOKUP(V137,'G-7 WaterC'' Data'!$AK$4:$AM$6,3,FALSE)))</f>
        <v/>
      </c>
      <c r="Y137" s="281" t="str">
        <f>IFERROR(IF(OR(LEFT(P137,5)="Error",LEFT(O137,5)="Error"),"Check Data ⚠",IF(F137&lt;S137,'G-7 WaterC'' Data'!$R$3,INDEX('G-7 WaterC'' Data'!$U$5:$Y$9,MATCH(G137,'G-7 WaterC'' Data'!$T$5:$T$9,0),MATCH(T137,'G-7 WaterC'' Data'!$U$4:$Y$4,0)))),"")</f>
        <v/>
      </c>
      <c r="Z137" s="137"/>
      <c r="AA137" s="137"/>
      <c r="AB137" s="289" t="str">
        <f t="shared" si="13"/>
        <v/>
      </c>
      <c r="AC137" s="302" t="str">
        <f t="shared" si="14"/>
        <v/>
      </c>
      <c r="AD137" s="340" t="str">
        <f>IFERROR(IF(AC137="Check Data ⚠","Check Data ⚠",VLOOKUP(AC137,'G-4 Temporal multipliers'!$A$4:$C$37,3,FALSE)),"")</f>
        <v/>
      </c>
      <c r="AE137" s="281" t="str">
        <f>IF(N137="","",VLOOKUP(N137,'G-7 WaterC'' Data'!$B$4:$G$8,5,FALSE))</f>
        <v/>
      </c>
      <c r="AF137" s="289" t="str">
        <f t="shared" si="15"/>
        <v/>
      </c>
      <c r="AG137" s="320" t="str">
        <f t="shared" si="16"/>
        <v/>
      </c>
      <c r="AH137" s="282" t="str">
        <f t="shared" si="10"/>
        <v/>
      </c>
      <c r="AI137" s="109"/>
      <c r="AJ137" s="282" t="str">
        <f>IF(AI137="","",IF(AND(AI137="N/A - Culvert",N137&lt;&gt;"Culvert"),"Not possible ▲",IF(VLOOKUP(AI137,'G-7 WaterC'' Data'!$AA$4:$AB$7,2,FALSE)=0,"Spatial Data Missing ⚠",VLOOKUP(AI137,'G-7 WaterC'' Data'!$AA$4:$AB$7,2,FALSE))))</f>
        <v/>
      </c>
      <c r="AK137" s="110"/>
      <c r="AL137" s="282" t="str">
        <f>IF(AK137="","",IF(AND(AK137="N/A - Culvert",N137&lt;&gt;"Culvert"),"Not possible ▲",IF(VLOOKUP(AK137,'G-7 WaterC'' Data'!$AD$4:$AE$14,2,FALSE)=0,"Spatial Data Missing ⚠",VLOOKUP(AK137,'G-7 WaterC'' Data'!$AD$4:$AE$14,2,FALSE))))</f>
        <v/>
      </c>
      <c r="AM137" s="323" t="str">
        <f t="shared" si="17"/>
        <v/>
      </c>
      <c r="AN137" s="105"/>
      <c r="AO137" s="119"/>
      <c r="AP137" s="108"/>
      <c r="AS137" s="30" t="str">
        <f>IF(B137="","",IF(ISNA(VLOOKUP($B137,'C-1 On-Site WaterC'' Baseline'!$C$8:$AD$257,17,FALSE)),"",(VLOOKUP($B137,'C-1 On-Site WaterC'' Baseline'!$C$8:$AD$257,17,FALSE))))</f>
        <v/>
      </c>
      <c r="AT137" s="30" t="str">
        <f>IF(B137="","",VLOOKUP($B137,'C-1 On-Site WaterC'' Baseline'!$C$9:$Z$257,12,FALSE))</f>
        <v/>
      </c>
      <c r="AU137" s="30" t="str">
        <f>IF(B137="","",VLOOKUP($B137,'C-1 On-Site WaterC'' Baseline'!$C$9:$Z$257,14,FALSE))</f>
        <v/>
      </c>
      <c r="AV137" s="30" t="str">
        <f>IFERROR(INDEX('G-7 WaterC'' Data'!$AZ$3:$AZ$7,MATCH(N137,'G-7 WaterC'' Data'!$AY$3:$AY$7,0)),"")</f>
        <v/>
      </c>
      <c r="AX137" s="30" t="str">
        <f>IF(B137="","",VLOOKUP($B137,'C-1 On-Site WaterC'' Baseline'!$C$9:$Y$257,22,FALSE))</f>
        <v/>
      </c>
      <c r="AY137" s="30" t="str">
        <f t="shared" si="18"/>
        <v/>
      </c>
      <c r="AZ137" s="30" t="str">
        <f>IF(B137="","",VLOOKUP($B137,'C-1 On-Site WaterC'' Baseline'!$C$9:$Y$257,21,FALSE))</f>
        <v/>
      </c>
      <c r="BA137" s="30" t="str">
        <f>IF(B137="","",VLOOKUP($B137,'C-1 On-Site WaterC'' Baseline'!$C$9:$Y$257,19,FALSE))</f>
        <v/>
      </c>
      <c r="BD137" s="30" t="str">
        <f t="shared" si="19"/>
        <v>No</v>
      </c>
    </row>
    <row r="138" spans="2:56" ht="13.8" x14ac:dyDescent="0.25">
      <c r="B138" s="311" t="str">
        <f>'C-1 On-Site WaterC'' Baseline'!AP136</f>
        <v/>
      </c>
      <c r="C138" s="301" t="str">
        <f>IF(B138="","",VLOOKUP($B138,'C-1 On-Site WaterC'' Baseline'!$C$9:$R$257,2,FALSE))</f>
        <v/>
      </c>
      <c r="D138" s="301" t="str">
        <f>IF(C138="","",VLOOKUP($B138,'C-1 On-Site WaterC'' Baseline'!$C$9:$R$257,3,FALSE))</f>
        <v/>
      </c>
      <c r="E138" s="301" t="str">
        <f>IF(D138="","",VLOOKUP($B138,'C-1 On-Site WaterC'' Baseline'!$C$9:$R$257,4,FALSE))</f>
        <v/>
      </c>
      <c r="F138" s="301" t="str">
        <f>IF(E138="","",VLOOKUP($B138,'C-1 On-Site WaterC'' Baseline'!$C$9:$R$257,5,FALSE))</f>
        <v/>
      </c>
      <c r="G138" s="301" t="str">
        <f>IF(F138="","",VLOOKUP($B138,'C-1 On-Site WaterC'' Baseline'!$C$9:$R$257,6,FALSE))</f>
        <v/>
      </c>
      <c r="H138" s="301" t="str">
        <f>IF(G138="","",VLOOKUP($B138,'C-1 On-Site WaterC'' Baseline'!$C$9:$R$257,7,FALSE))</f>
        <v/>
      </c>
      <c r="I138" s="301" t="str">
        <f>IF(H138="","",VLOOKUP($B138,'C-1 On-Site WaterC'' Baseline'!$C$9:$R$257,8,FALSE))</f>
        <v/>
      </c>
      <c r="J138" s="301" t="str">
        <f>IF(I138="","",VLOOKUP($B138,'C-1 On-Site WaterC'' Baseline'!$C$9:$R$257,9,FALSE))</f>
        <v/>
      </c>
      <c r="K138" s="301" t="str">
        <f>IF(J138="","",VLOOKUP($B138,'C-1 On-Site WaterC'' Baseline'!$C$9:$R$257,10,FALSE))</f>
        <v/>
      </c>
      <c r="L138" s="301" t="str">
        <f>IF(B138="","",VLOOKUP($B138,'C-1 On-Site WaterC'' Baseline'!$C$9:$R$257,15,FALSE))</f>
        <v/>
      </c>
      <c r="M138" s="305" t="str">
        <f>IF(L138="","",VLOOKUP($B138,'C-1 On-Site WaterC'' Baseline'!$C$9:$R$257,16,FALSE))</f>
        <v/>
      </c>
      <c r="N138" s="251"/>
      <c r="O138" s="281" t="str">
        <f t="shared" si="11"/>
        <v/>
      </c>
      <c r="P138" s="282" t="str">
        <f t="shared" si="12"/>
        <v/>
      </c>
      <c r="Q138" s="342" t="str">
        <f>IF(N138="","",VLOOKUP(B138,'C-1 On-Site WaterC'' Baseline'!$C$10:$AC$257,20,FALSE))</f>
        <v/>
      </c>
      <c r="R138" s="281" t="str">
        <f>IF(N138="","",VLOOKUP(N138,'G-7 WaterC'' Data'!$B$2:$G$8,2,FALSE))</f>
        <v/>
      </c>
      <c r="S138" s="282" t="str">
        <f>IFERROR(VLOOKUP(R138,'G-7 WaterC'' Data'!$C$4:$D$8,2,FALSE),"")</f>
        <v/>
      </c>
      <c r="T138" s="105"/>
      <c r="U138" s="282" t="str">
        <f>IFERROR(INDEX('G-7 WaterC'' Data'!$H$4:$L$8,MATCH(N138,'G-7 WaterC'' Data'!$B$4:$B$8,0),MATCH(T138,'G-7 WaterC'' Data'!$H$3:$L$3,0)),"")</f>
        <v/>
      </c>
      <c r="V138" s="105"/>
      <c r="W138" s="289" t="str">
        <f>IF(V138="","",IF(VLOOKUP(V138,'G-7 WaterC'' Data'!$AK$4:$AM$6,2,FALSE)=0,"Spatial Data Missing ⚠",VLOOKUP(V138,'G-7 WaterC'' Data'!$AK$4:$AM$6,2,FALSE)))</f>
        <v/>
      </c>
      <c r="X138" s="282" t="str">
        <f>IF(V138="","",IF(VLOOKUP(V138,'G-7 WaterC'' Data'!$AK$4:$AM$6,3,FALSE)=0,"Spatial Data Missing ⚠",VLOOKUP(V138,'G-7 WaterC'' Data'!$AK$4:$AM$6,3,FALSE)))</f>
        <v/>
      </c>
      <c r="Y138" s="281" t="str">
        <f>IFERROR(IF(OR(LEFT(P138,5)="Error",LEFT(O138,5)="Error"),"Check Data ⚠",IF(F138&lt;S138,'G-7 WaterC'' Data'!$R$3,INDEX('G-7 WaterC'' Data'!$U$5:$Y$9,MATCH(G138,'G-7 WaterC'' Data'!$T$5:$T$9,0),MATCH(T138,'G-7 WaterC'' Data'!$U$4:$Y$4,0)))),"")</f>
        <v/>
      </c>
      <c r="Z138" s="137"/>
      <c r="AA138" s="137"/>
      <c r="AB138" s="289" t="str">
        <f t="shared" si="13"/>
        <v/>
      </c>
      <c r="AC138" s="302" t="str">
        <f t="shared" si="14"/>
        <v/>
      </c>
      <c r="AD138" s="340" t="str">
        <f>IFERROR(IF(AC138="Check Data ⚠","Check Data ⚠",VLOOKUP(AC138,'G-4 Temporal multipliers'!$A$4:$C$37,3,FALSE)),"")</f>
        <v/>
      </c>
      <c r="AE138" s="281" t="str">
        <f>IF(N138="","",VLOOKUP(N138,'G-7 WaterC'' Data'!$B$4:$G$8,5,FALSE))</f>
        <v/>
      </c>
      <c r="AF138" s="289" t="str">
        <f t="shared" si="15"/>
        <v/>
      </c>
      <c r="AG138" s="320" t="str">
        <f t="shared" si="16"/>
        <v/>
      </c>
      <c r="AH138" s="282" t="str">
        <f t="shared" si="10"/>
        <v/>
      </c>
      <c r="AI138" s="109"/>
      <c r="AJ138" s="282" t="str">
        <f>IF(AI138="","",IF(AND(AI138="N/A - Culvert",N138&lt;&gt;"Culvert"),"Not possible ▲",IF(VLOOKUP(AI138,'G-7 WaterC'' Data'!$AA$4:$AB$7,2,FALSE)=0,"Spatial Data Missing ⚠",VLOOKUP(AI138,'G-7 WaterC'' Data'!$AA$4:$AB$7,2,FALSE))))</f>
        <v/>
      </c>
      <c r="AK138" s="110"/>
      <c r="AL138" s="282" t="str">
        <f>IF(AK138="","",IF(AND(AK138="N/A - Culvert",N138&lt;&gt;"Culvert"),"Not possible ▲",IF(VLOOKUP(AK138,'G-7 WaterC'' Data'!$AD$4:$AE$14,2,FALSE)=0,"Spatial Data Missing ⚠",VLOOKUP(AK138,'G-7 WaterC'' Data'!$AD$4:$AE$14,2,FALSE))))</f>
        <v/>
      </c>
      <c r="AM138" s="323" t="str">
        <f t="shared" si="17"/>
        <v/>
      </c>
      <c r="AN138" s="105"/>
      <c r="AO138" s="119"/>
      <c r="AP138" s="108"/>
      <c r="AS138" s="30" t="str">
        <f>IF(B138="","",IF(ISNA(VLOOKUP($B138,'C-1 On-Site WaterC'' Baseline'!$C$8:$AD$257,17,FALSE)),"",(VLOOKUP($B138,'C-1 On-Site WaterC'' Baseline'!$C$8:$AD$257,17,FALSE))))</f>
        <v/>
      </c>
      <c r="AT138" s="30" t="str">
        <f>IF(B138="","",VLOOKUP($B138,'C-1 On-Site WaterC'' Baseline'!$C$9:$Z$257,12,FALSE))</f>
        <v/>
      </c>
      <c r="AU138" s="30" t="str">
        <f>IF(B138="","",VLOOKUP($B138,'C-1 On-Site WaterC'' Baseline'!$C$9:$Z$257,14,FALSE))</f>
        <v/>
      </c>
      <c r="AV138" s="30" t="str">
        <f>IFERROR(INDEX('G-7 WaterC'' Data'!$AZ$3:$AZ$7,MATCH(N138,'G-7 WaterC'' Data'!$AY$3:$AY$7,0)),"")</f>
        <v/>
      </c>
      <c r="AX138" s="30" t="str">
        <f>IF(B138="","",VLOOKUP($B138,'C-1 On-Site WaterC'' Baseline'!$C$9:$Y$257,22,FALSE))</f>
        <v/>
      </c>
      <c r="AY138" s="30" t="str">
        <f t="shared" si="18"/>
        <v/>
      </c>
      <c r="AZ138" s="30" t="str">
        <f>IF(B138="","",VLOOKUP($B138,'C-1 On-Site WaterC'' Baseline'!$C$9:$Y$257,21,FALSE))</f>
        <v/>
      </c>
      <c r="BA138" s="30" t="str">
        <f>IF(B138="","",VLOOKUP($B138,'C-1 On-Site WaterC'' Baseline'!$C$9:$Y$257,19,FALSE))</f>
        <v/>
      </c>
      <c r="BD138" s="30" t="str">
        <f t="shared" si="19"/>
        <v>No</v>
      </c>
    </row>
    <row r="139" spans="2:56" ht="13.8" x14ac:dyDescent="0.25">
      <c r="B139" s="311" t="str">
        <f>'C-1 On-Site WaterC'' Baseline'!AP137</f>
        <v/>
      </c>
      <c r="C139" s="301" t="str">
        <f>IF(B139="","",VLOOKUP($B139,'C-1 On-Site WaterC'' Baseline'!$C$9:$R$257,2,FALSE))</f>
        <v/>
      </c>
      <c r="D139" s="301" t="str">
        <f>IF(C139="","",VLOOKUP($B139,'C-1 On-Site WaterC'' Baseline'!$C$9:$R$257,3,FALSE))</f>
        <v/>
      </c>
      <c r="E139" s="301" t="str">
        <f>IF(D139="","",VLOOKUP($B139,'C-1 On-Site WaterC'' Baseline'!$C$9:$R$257,4,FALSE))</f>
        <v/>
      </c>
      <c r="F139" s="301" t="str">
        <f>IF(E139="","",VLOOKUP($B139,'C-1 On-Site WaterC'' Baseline'!$C$9:$R$257,5,FALSE))</f>
        <v/>
      </c>
      <c r="G139" s="301" t="str">
        <f>IF(F139="","",VLOOKUP($B139,'C-1 On-Site WaterC'' Baseline'!$C$9:$R$257,6,FALSE))</f>
        <v/>
      </c>
      <c r="H139" s="301" t="str">
        <f>IF(G139="","",VLOOKUP($B139,'C-1 On-Site WaterC'' Baseline'!$C$9:$R$257,7,FALSE))</f>
        <v/>
      </c>
      <c r="I139" s="301" t="str">
        <f>IF(H139="","",VLOOKUP($B139,'C-1 On-Site WaterC'' Baseline'!$C$9:$R$257,8,FALSE))</f>
        <v/>
      </c>
      <c r="J139" s="301" t="str">
        <f>IF(I139="","",VLOOKUP($B139,'C-1 On-Site WaterC'' Baseline'!$C$9:$R$257,9,FALSE))</f>
        <v/>
      </c>
      <c r="K139" s="301" t="str">
        <f>IF(J139="","",VLOOKUP($B139,'C-1 On-Site WaterC'' Baseline'!$C$9:$R$257,10,FALSE))</f>
        <v/>
      </c>
      <c r="L139" s="301" t="str">
        <f>IF(B139="","",VLOOKUP($B139,'C-1 On-Site WaterC'' Baseline'!$C$9:$R$257,15,FALSE))</f>
        <v/>
      </c>
      <c r="M139" s="305" t="str">
        <f>IF(L139="","",VLOOKUP($B139,'C-1 On-Site WaterC'' Baseline'!$C$9:$R$257,16,FALSE))</f>
        <v/>
      </c>
      <c r="N139" s="251"/>
      <c r="O139" s="281" t="str">
        <f t="shared" si="11"/>
        <v/>
      </c>
      <c r="P139" s="282" t="str">
        <f t="shared" si="12"/>
        <v/>
      </c>
      <c r="Q139" s="342" t="str">
        <f>IF(N139="","",VLOOKUP(B139,'C-1 On-Site WaterC'' Baseline'!$C$10:$AC$257,20,FALSE))</f>
        <v/>
      </c>
      <c r="R139" s="281" t="str">
        <f>IF(N139="","",VLOOKUP(N139,'G-7 WaterC'' Data'!$B$2:$G$8,2,FALSE))</f>
        <v/>
      </c>
      <c r="S139" s="282" t="str">
        <f>IFERROR(VLOOKUP(R139,'G-7 WaterC'' Data'!$C$4:$D$8,2,FALSE),"")</f>
        <v/>
      </c>
      <c r="T139" s="105"/>
      <c r="U139" s="282" t="str">
        <f>IFERROR(INDEX('G-7 WaterC'' Data'!$H$4:$L$8,MATCH(N139,'G-7 WaterC'' Data'!$B$4:$B$8,0),MATCH(T139,'G-7 WaterC'' Data'!$H$3:$L$3,0)),"")</f>
        <v/>
      </c>
      <c r="V139" s="105"/>
      <c r="W139" s="289" t="str">
        <f>IF(V139="","",IF(VLOOKUP(V139,'G-7 WaterC'' Data'!$AK$4:$AM$6,2,FALSE)=0,"Spatial Data Missing ⚠",VLOOKUP(V139,'G-7 WaterC'' Data'!$AK$4:$AM$6,2,FALSE)))</f>
        <v/>
      </c>
      <c r="X139" s="282" t="str">
        <f>IF(V139="","",IF(VLOOKUP(V139,'G-7 WaterC'' Data'!$AK$4:$AM$6,3,FALSE)=0,"Spatial Data Missing ⚠",VLOOKUP(V139,'G-7 WaterC'' Data'!$AK$4:$AM$6,3,FALSE)))</f>
        <v/>
      </c>
      <c r="Y139" s="281" t="str">
        <f>IFERROR(IF(OR(LEFT(P139,5)="Error",LEFT(O139,5)="Error"),"Check Data ⚠",IF(F139&lt;S139,'G-7 WaterC'' Data'!$R$3,INDEX('G-7 WaterC'' Data'!$U$5:$Y$9,MATCH(G139,'G-7 WaterC'' Data'!$T$5:$T$9,0),MATCH(T139,'G-7 WaterC'' Data'!$U$4:$Y$4,0)))),"")</f>
        <v/>
      </c>
      <c r="Z139" s="137"/>
      <c r="AA139" s="137"/>
      <c r="AB139" s="289" t="str">
        <f t="shared" si="13"/>
        <v/>
      </c>
      <c r="AC139" s="302" t="str">
        <f t="shared" si="14"/>
        <v/>
      </c>
      <c r="AD139" s="340" t="str">
        <f>IFERROR(IF(AC139="Check Data ⚠","Check Data ⚠",VLOOKUP(AC139,'G-4 Temporal multipliers'!$A$4:$C$37,3,FALSE)),"")</f>
        <v/>
      </c>
      <c r="AE139" s="281" t="str">
        <f>IF(N139="","",VLOOKUP(N139,'G-7 WaterC'' Data'!$B$4:$G$8,5,FALSE))</f>
        <v/>
      </c>
      <c r="AF139" s="289" t="str">
        <f t="shared" si="15"/>
        <v/>
      </c>
      <c r="AG139" s="320" t="str">
        <f t="shared" si="16"/>
        <v/>
      </c>
      <c r="AH139" s="282" t="str">
        <f t="shared" si="10"/>
        <v/>
      </c>
      <c r="AI139" s="109"/>
      <c r="AJ139" s="282" t="str">
        <f>IF(AI139="","",IF(AND(AI139="N/A - Culvert",N139&lt;&gt;"Culvert"),"Not possible ▲",IF(VLOOKUP(AI139,'G-7 WaterC'' Data'!$AA$4:$AB$7,2,FALSE)=0,"Spatial Data Missing ⚠",VLOOKUP(AI139,'G-7 WaterC'' Data'!$AA$4:$AB$7,2,FALSE))))</f>
        <v/>
      </c>
      <c r="AK139" s="110"/>
      <c r="AL139" s="282" t="str">
        <f>IF(AK139="","",IF(AND(AK139="N/A - Culvert",N139&lt;&gt;"Culvert"),"Not possible ▲",IF(VLOOKUP(AK139,'G-7 WaterC'' Data'!$AD$4:$AE$14,2,FALSE)=0,"Spatial Data Missing ⚠",VLOOKUP(AK139,'G-7 WaterC'' Data'!$AD$4:$AE$14,2,FALSE))))</f>
        <v/>
      </c>
      <c r="AM139" s="323" t="str">
        <f t="shared" si="17"/>
        <v/>
      </c>
      <c r="AN139" s="105"/>
      <c r="AO139" s="119"/>
      <c r="AP139" s="108"/>
      <c r="AS139" s="30" t="str">
        <f>IF(B139="","",IF(ISNA(VLOOKUP($B139,'C-1 On-Site WaterC'' Baseline'!$C$8:$AD$257,17,FALSE)),"",(VLOOKUP($B139,'C-1 On-Site WaterC'' Baseline'!$C$8:$AD$257,17,FALSE))))</f>
        <v/>
      </c>
      <c r="AT139" s="30" t="str">
        <f>IF(B139="","",VLOOKUP($B139,'C-1 On-Site WaterC'' Baseline'!$C$9:$Z$257,12,FALSE))</f>
        <v/>
      </c>
      <c r="AU139" s="30" t="str">
        <f>IF(B139="","",VLOOKUP($B139,'C-1 On-Site WaterC'' Baseline'!$C$9:$Z$257,14,FALSE))</f>
        <v/>
      </c>
      <c r="AV139" s="30" t="str">
        <f>IFERROR(INDEX('G-7 WaterC'' Data'!$AZ$3:$AZ$7,MATCH(N139,'G-7 WaterC'' Data'!$AY$3:$AY$7,0)),"")</f>
        <v/>
      </c>
      <c r="AX139" s="30" t="str">
        <f>IF(B139="","",VLOOKUP($B139,'C-1 On-Site WaterC'' Baseline'!$C$9:$Y$257,22,FALSE))</f>
        <v/>
      </c>
      <c r="AY139" s="30" t="str">
        <f t="shared" si="18"/>
        <v/>
      </c>
      <c r="AZ139" s="30" t="str">
        <f>IF(B139="","",VLOOKUP($B139,'C-1 On-Site WaterC'' Baseline'!$C$9:$Y$257,21,FALSE))</f>
        <v/>
      </c>
      <c r="BA139" s="30" t="str">
        <f>IF(B139="","",VLOOKUP($B139,'C-1 On-Site WaterC'' Baseline'!$C$9:$Y$257,19,FALSE))</f>
        <v/>
      </c>
      <c r="BD139" s="30" t="str">
        <f t="shared" si="19"/>
        <v>No</v>
      </c>
    </row>
    <row r="140" spans="2:56" ht="13.8" x14ac:dyDescent="0.25">
      <c r="B140" s="311" t="str">
        <f>'C-1 On-Site WaterC'' Baseline'!AP138</f>
        <v/>
      </c>
      <c r="C140" s="301" t="str">
        <f>IF(B140="","",VLOOKUP($B140,'C-1 On-Site WaterC'' Baseline'!$C$9:$R$257,2,FALSE))</f>
        <v/>
      </c>
      <c r="D140" s="301" t="str">
        <f>IF(C140="","",VLOOKUP($B140,'C-1 On-Site WaterC'' Baseline'!$C$9:$R$257,3,FALSE))</f>
        <v/>
      </c>
      <c r="E140" s="301" t="str">
        <f>IF(D140="","",VLOOKUP($B140,'C-1 On-Site WaterC'' Baseline'!$C$9:$R$257,4,FALSE))</f>
        <v/>
      </c>
      <c r="F140" s="301" t="str">
        <f>IF(E140="","",VLOOKUP($B140,'C-1 On-Site WaterC'' Baseline'!$C$9:$R$257,5,FALSE))</f>
        <v/>
      </c>
      <c r="G140" s="301" t="str">
        <f>IF(F140="","",VLOOKUP($B140,'C-1 On-Site WaterC'' Baseline'!$C$9:$R$257,6,FALSE))</f>
        <v/>
      </c>
      <c r="H140" s="301" t="str">
        <f>IF(G140="","",VLOOKUP($B140,'C-1 On-Site WaterC'' Baseline'!$C$9:$R$257,7,FALSE))</f>
        <v/>
      </c>
      <c r="I140" s="301" t="str">
        <f>IF(H140="","",VLOOKUP($B140,'C-1 On-Site WaterC'' Baseline'!$C$9:$R$257,8,FALSE))</f>
        <v/>
      </c>
      <c r="J140" s="301" t="str">
        <f>IF(I140="","",VLOOKUP($B140,'C-1 On-Site WaterC'' Baseline'!$C$9:$R$257,9,FALSE))</f>
        <v/>
      </c>
      <c r="K140" s="301" t="str">
        <f>IF(J140="","",VLOOKUP($B140,'C-1 On-Site WaterC'' Baseline'!$C$9:$R$257,10,FALSE))</f>
        <v/>
      </c>
      <c r="L140" s="301" t="str">
        <f>IF(B140="","",VLOOKUP($B140,'C-1 On-Site WaterC'' Baseline'!$C$9:$R$257,15,FALSE))</f>
        <v/>
      </c>
      <c r="M140" s="305" t="str">
        <f>IF(L140="","",VLOOKUP($B140,'C-1 On-Site WaterC'' Baseline'!$C$9:$R$257,16,FALSE))</f>
        <v/>
      </c>
      <c r="N140" s="251"/>
      <c r="O140" s="281" t="str">
        <f t="shared" si="11"/>
        <v/>
      </c>
      <c r="P140" s="282" t="str">
        <f t="shared" si="12"/>
        <v/>
      </c>
      <c r="Q140" s="342" t="str">
        <f>IF(N140="","",VLOOKUP(B140,'C-1 On-Site WaterC'' Baseline'!$C$10:$AC$257,20,FALSE))</f>
        <v/>
      </c>
      <c r="R140" s="281" t="str">
        <f>IF(N140="","",VLOOKUP(N140,'G-7 WaterC'' Data'!$B$2:$G$8,2,FALSE))</f>
        <v/>
      </c>
      <c r="S140" s="282" t="str">
        <f>IFERROR(VLOOKUP(R140,'G-7 WaterC'' Data'!$C$4:$D$8,2,FALSE),"")</f>
        <v/>
      </c>
      <c r="T140" s="105"/>
      <c r="U140" s="282" t="str">
        <f>IFERROR(INDEX('G-7 WaterC'' Data'!$H$4:$L$8,MATCH(N140,'G-7 WaterC'' Data'!$B$4:$B$8,0),MATCH(T140,'G-7 WaterC'' Data'!$H$3:$L$3,0)),"")</f>
        <v/>
      </c>
      <c r="V140" s="105"/>
      <c r="W140" s="289" t="str">
        <f>IF(V140="","",IF(VLOOKUP(V140,'G-7 WaterC'' Data'!$AK$4:$AM$6,2,FALSE)=0,"Spatial Data Missing ⚠",VLOOKUP(V140,'G-7 WaterC'' Data'!$AK$4:$AM$6,2,FALSE)))</f>
        <v/>
      </c>
      <c r="X140" s="282" t="str">
        <f>IF(V140="","",IF(VLOOKUP(V140,'G-7 WaterC'' Data'!$AK$4:$AM$6,3,FALSE)=0,"Spatial Data Missing ⚠",VLOOKUP(V140,'G-7 WaterC'' Data'!$AK$4:$AM$6,3,FALSE)))</f>
        <v/>
      </c>
      <c r="Y140" s="281" t="str">
        <f>IFERROR(IF(OR(LEFT(P140,5)="Error",LEFT(O140,5)="Error"),"Check Data ⚠",IF(F140&lt;S140,'G-7 WaterC'' Data'!$R$3,INDEX('G-7 WaterC'' Data'!$U$5:$Y$9,MATCH(G140,'G-7 WaterC'' Data'!$T$5:$T$9,0),MATCH(T140,'G-7 WaterC'' Data'!$U$4:$Y$4,0)))),"")</f>
        <v/>
      </c>
      <c r="Z140" s="137"/>
      <c r="AA140" s="137"/>
      <c r="AB140" s="289" t="str">
        <f t="shared" si="13"/>
        <v/>
      </c>
      <c r="AC140" s="302" t="str">
        <f t="shared" si="14"/>
        <v/>
      </c>
      <c r="AD140" s="340" t="str">
        <f>IFERROR(IF(AC140="Check Data ⚠","Check Data ⚠",VLOOKUP(AC140,'G-4 Temporal multipliers'!$A$4:$C$37,3,FALSE)),"")</f>
        <v/>
      </c>
      <c r="AE140" s="281" t="str">
        <f>IF(N140="","",VLOOKUP(N140,'G-7 WaterC'' Data'!$B$4:$G$8,5,FALSE))</f>
        <v/>
      </c>
      <c r="AF140" s="289" t="str">
        <f t="shared" si="15"/>
        <v/>
      </c>
      <c r="AG140" s="320" t="str">
        <f t="shared" si="16"/>
        <v/>
      </c>
      <c r="AH140" s="282" t="str">
        <f t="shared" ref="AH140:AH203" si="20">IF(N140="","",VLOOKUP(AG140,Difficulty,2,FALSE))</f>
        <v/>
      </c>
      <c r="AI140" s="109"/>
      <c r="AJ140" s="282" t="str">
        <f>IF(AI140="","",IF(AND(AI140="N/A - Culvert",N140&lt;&gt;"Culvert"),"Not possible ▲",IF(VLOOKUP(AI140,'G-7 WaterC'' Data'!$AA$4:$AB$7,2,FALSE)=0,"Spatial Data Missing ⚠",VLOOKUP(AI140,'G-7 WaterC'' Data'!$AA$4:$AB$7,2,FALSE))))</f>
        <v/>
      </c>
      <c r="AK140" s="110"/>
      <c r="AL140" s="282" t="str">
        <f>IF(AK140="","",IF(AND(AK140="N/A - Culvert",N140&lt;&gt;"Culvert"),"Not possible ▲",IF(VLOOKUP(AK140,'G-7 WaterC'' Data'!$AD$4:$AE$14,2,FALSE)=0,"Spatial Data Missing ⚠",VLOOKUP(AK140,'G-7 WaterC'' Data'!$AD$4:$AE$14,2,FALSE))))</f>
        <v/>
      </c>
      <c r="AM140" s="323" t="str">
        <f t="shared" si="17"/>
        <v/>
      </c>
      <c r="AN140" s="105"/>
      <c r="AO140" s="119"/>
      <c r="AP140" s="108"/>
      <c r="AS140" s="30" t="str">
        <f>IF(B140="","",IF(ISNA(VLOOKUP($B140,'C-1 On-Site WaterC'' Baseline'!$C$8:$AD$257,17,FALSE)),"",(VLOOKUP($B140,'C-1 On-Site WaterC'' Baseline'!$C$8:$AD$257,17,FALSE))))</f>
        <v/>
      </c>
      <c r="AT140" s="30" t="str">
        <f>IF(B140="","",VLOOKUP($B140,'C-1 On-Site WaterC'' Baseline'!$C$9:$Z$257,12,FALSE))</f>
        <v/>
      </c>
      <c r="AU140" s="30" t="str">
        <f>IF(B140="","",VLOOKUP($B140,'C-1 On-Site WaterC'' Baseline'!$C$9:$Z$257,14,FALSE))</f>
        <v/>
      </c>
      <c r="AV140" s="30" t="str">
        <f>IFERROR(INDEX('G-7 WaterC'' Data'!$AZ$3:$AZ$7,MATCH(N140,'G-7 WaterC'' Data'!$AY$3:$AY$7,0)),"")</f>
        <v/>
      </c>
      <c r="AX140" s="30" t="str">
        <f>IF(B140="","",VLOOKUP($B140,'C-1 On-Site WaterC'' Baseline'!$C$9:$Y$257,22,FALSE))</f>
        <v/>
      </c>
      <c r="AY140" s="30" t="str">
        <f t="shared" si="18"/>
        <v/>
      </c>
      <c r="AZ140" s="30" t="str">
        <f>IF(B140="","",VLOOKUP($B140,'C-1 On-Site WaterC'' Baseline'!$C$9:$Y$257,21,FALSE))</f>
        <v/>
      </c>
      <c r="BA140" s="30" t="str">
        <f>IF(B140="","",VLOOKUP($B140,'C-1 On-Site WaterC'' Baseline'!$C$9:$Y$257,19,FALSE))</f>
        <v/>
      </c>
      <c r="BD140" s="30" t="str">
        <f t="shared" si="19"/>
        <v>No</v>
      </c>
    </row>
    <row r="141" spans="2:56" ht="13.8" x14ac:dyDescent="0.25">
      <c r="B141" s="311" t="str">
        <f>'C-1 On-Site WaterC'' Baseline'!AP139</f>
        <v/>
      </c>
      <c r="C141" s="301" t="str">
        <f>IF(B141="","",VLOOKUP($B141,'C-1 On-Site WaterC'' Baseline'!$C$9:$R$257,2,FALSE))</f>
        <v/>
      </c>
      <c r="D141" s="301" t="str">
        <f>IF(C141="","",VLOOKUP($B141,'C-1 On-Site WaterC'' Baseline'!$C$9:$R$257,3,FALSE))</f>
        <v/>
      </c>
      <c r="E141" s="301" t="str">
        <f>IF(D141="","",VLOOKUP($B141,'C-1 On-Site WaterC'' Baseline'!$C$9:$R$257,4,FALSE))</f>
        <v/>
      </c>
      <c r="F141" s="301" t="str">
        <f>IF(E141="","",VLOOKUP($B141,'C-1 On-Site WaterC'' Baseline'!$C$9:$R$257,5,FALSE))</f>
        <v/>
      </c>
      <c r="G141" s="301" t="str">
        <f>IF(F141="","",VLOOKUP($B141,'C-1 On-Site WaterC'' Baseline'!$C$9:$R$257,6,FALSE))</f>
        <v/>
      </c>
      <c r="H141" s="301" t="str">
        <f>IF(G141="","",VLOOKUP($B141,'C-1 On-Site WaterC'' Baseline'!$C$9:$R$257,7,FALSE))</f>
        <v/>
      </c>
      <c r="I141" s="301" t="str">
        <f>IF(H141="","",VLOOKUP($B141,'C-1 On-Site WaterC'' Baseline'!$C$9:$R$257,8,FALSE))</f>
        <v/>
      </c>
      <c r="J141" s="301" t="str">
        <f>IF(I141="","",VLOOKUP($B141,'C-1 On-Site WaterC'' Baseline'!$C$9:$R$257,9,FALSE))</f>
        <v/>
      </c>
      <c r="K141" s="301" t="str">
        <f>IF(J141="","",VLOOKUP($B141,'C-1 On-Site WaterC'' Baseline'!$C$9:$R$257,10,FALSE))</f>
        <v/>
      </c>
      <c r="L141" s="301" t="str">
        <f>IF(B141="","",VLOOKUP($B141,'C-1 On-Site WaterC'' Baseline'!$C$9:$R$257,15,FALSE))</f>
        <v/>
      </c>
      <c r="M141" s="305" t="str">
        <f>IF(L141="","",VLOOKUP($B141,'C-1 On-Site WaterC'' Baseline'!$C$9:$R$257,16,FALSE))</f>
        <v/>
      </c>
      <c r="N141" s="251"/>
      <c r="O141" s="281" t="str">
        <f t="shared" ref="O141:O204" si="21">IF(B141="","",IF(S141&lt;F141,"Error Trading Down ▲",E141&amp;" - "&amp;R141))</f>
        <v/>
      </c>
      <c r="P141" s="282" t="str">
        <f t="shared" ref="P141:P204" si="22">IF(C141="","",IF(AND(N141&lt;&gt;C141,AS141="Yes"),"Error you cannot replace and irreplaceable habitat ▲",IF(AND(LEFT(C141,55)&lt;&gt;LEFT(N141,55),O141="High - High"),"Error - Not like for like ▲",IF(H141&gt;U141,"Error - Can not reduce condition ▲",IF(AND(C141&lt;&gt;N141,F141&lt;S141),"Lower Distinctiveness Habitat"&amp;" - "&amp;T141,G141&amp;" - "&amp;T141)))))</f>
        <v/>
      </c>
      <c r="Q141" s="342" t="str">
        <f>IF(N141="","",VLOOKUP(B141,'C-1 On-Site WaterC'' Baseline'!$C$10:$AC$257,20,FALSE))</f>
        <v/>
      </c>
      <c r="R141" s="281" t="str">
        <f>IF(N141="","",VLOOKUP(N141,'G-7 WaterC'' Data'!$B$2:$G$8,2,FALSE))</f>
        <v/>
      </c>
      <c r="S141" s="282" t="str">
        <f>IFERROR(VLOOKUP(R141,'G-7 WaterC'' Data'!$C$4:$D$8,2,FALSE),"")</f>
        <v/>
      </c>
      <c r="T141" s="105"/>
      <c r="U141" s="282" t="str">
        <f>IFERROR(INDEX('G-7 WaterC'' Data'!$H$4:$L$8,MATCH(N141,'G-7 WaterC'' Data'!$B$4:$B$8,0),MATCH(T141,'G-7 WaterC'' Data'!$H$3:$L$3,0)),"")</f>
        <v/>
      </c>
      <c r="V141" s="105"/>
      <c r="W141" s="289" t="str">
        <f>IF(V141="","",IF(VLOOKUP(V141,'G-7 WaterC'' Data'!$AK$4:$AM$6,2,FALSE)=0,"Spatial Data Missing ⚠",VLOOKUP(V141,'G-7 WaterC'' Data'!$AK$4:$AM$6,2,FALSE)))</f>
        <v/>
      </c>
      <c r="X141" s="282" t="str">
        <f>IF(V141="","",IF(VLOOKUP(V141,'G-7 WaterC'' Data'!$AK$4:$AM$6,3,FALSE)=0,"Spatial Data Missing ⚠",VLOOKUP(V141,'G-7 WaterC'' Data'!$AK$4:$AM$6,3,FALSE)))</f>
        <v/>
      </c>
      <c r="Y141" s="281" t="str">
        <f>IFERROR(IF(OR(LEFT(P141,5)="Error",LEFT(O141,5)="Error"),"Check Data ⚠",IF(F141&lt;S141,'G-7 WaterC'' Data'!$R$3,INDEX('G-7 WaterC'' Data'!$U$5:$Y$9,MATCH(G141,'G-7 WaterC'' Data'!$T$5:$T$9,0),MATCH(T141,'G-7 WaterC'' Data'!$U$4:$Y$4,0)))),"")</f>
        <v/>
      </c>
      <c r="Z141" s="137"/>
      <c r="AA141" s="137"/>
      <c r="AB141" s="289" t="str">
        <f t="shared" ref="AB141:AB204" si="23">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02" t="str">
        <f t="shared" ref="AC141:AC204" si="24">IF(AB141="Error -both advance and delayed habitat creation ▲","Check Data ⚠",IF(AB141="Check Data ⚠","Check Data ⚠",IF(Y141="","",IF(Z141="30+",0,IF(AA141="30+","30+",IF(Y141+AA141&gt;30,"30+",IF(Y141+AA141-Z141&gt;0,Y141+AA141-Z141,IF(Y141-Z141&lt;0,0,Y141+AA141-Z141))))))))</f>
        <v/>
      </c>
      <c r="AD141" s="340" t="str">
        <f>IFERROR(IF(AC141="Check Data ⚠","Check Data ⚠",VLOOKUP(AC141,'G-4 Temporal multipliers'!$A$4:$C$37,3,FALSE)),"")</f>
        <v/>
      </c>
      <c r="AE141" s="281" t="str">
        <f>IF(N141="","",VLOOKUP(N141,'G-7 WaterC'' Data'!$B$4:$G$8,5,FALSE))</f>
        <v/>
      </c>
      <c r="AF141" s="289" t="str">
        <f t="shared" ref="AF141:AF204" si="25">IF(N141="","",IF(AC141="Check Data ⚠","Check Data ⚠",IF(T141="","",IF($AB141="Check details - Is there evidence that habitat has reached target condition? ⚠","Low Difficulty - only applicable if all habitat created before losses ⚠","Standard difficulty applied"))))</f>
        <v/>
      </c>
      <c r="AG141" s="320" t="str">
        <f t="shared" ref="AG141:AG204" si="26">(IF(AND(AF141="Standard difficulty applied",Y141&gt;Z141),AE141,IF(AND(AF141="Low Difficulty - only applicable if all habitat created before losses ⚠",Z141&gt;=Y141),"Low",AE141)))</f>
        <v/>
      </c>
      <c r="AH141" s="282" t="str">
        <f t="shared" si="20"/>
        <v/>
      </c>
      <c r="AI141" s="109"/>
      <c r="AJ141" s="282" t="str">
        <f>IF(AI141="","",IF(AND(AI141="N/A - Culvert",N141&lt;&gt;"Culvert"),"Not possible ▲",IF(VLOOKUP(AI141,'G-7 WaterC'' Data'!$AA$4:$AB$7,2,FALSE)=0,"Spatial Data Missing ⚠",VLOOKUP(AI141,'G-7 WaterC'' Data'!$AA$4:$AB$7,2,FALSE))))</f>
        <v/>
      </c>
      <c r="AK141" s="110"/>
      <c r="AL141" s="282" t="str">
        <f>IF(AK141="","",IF(AND(AK141="N/A - Culvert",N141&lt;&gt;"Culvert"),"Not possible ▲",IF(VLOOKUP(AK141,'G-7 WaterC'' Data'!$AD$4:$AE$14,2,FALSE)=0,"Spatial Data Missing ⚠",VLOOKUP(AK141,'G-7 WaterC'' Data'!$AD$4:$AE$14,2,FALSE))))</f>
        <v/>
      </c>
      <c r="AM141" s="323" t="str">
        <f t="shared" ref="AM141:AM204" si="27">IFERROR(IF(C141="","",IF(AND(N141&lt;&gt;"",M141=""),"Check Data ⚠",IF(Q141&gt;D141,((((Q141*S141*U141)-(D141*F141*H141))*(AH141*AD141))+(D141*F141*H141))*(AL141*X141*AJ141),((((Q141*S141*U141)-(Q141*F141*H141))*(AH141*AD141))+(Q141*F141*H141))*(AL141*X141*AJ141)))),"")</f>
        <v/>
      </c>
      <c r="AN141" s="105"/>
      <c r="AO141" s="119"/>
      <c r="AP141" s="108"/>
      <c r="AS141" s="30" t="str">
        <f>IF(B141="","",IF(ISNA(VLOOKUP($B141,'C-1 On-Site WaterC'' Baseline'!$C$8:$AD$257,17,FALSE)),"",(VLOOKUP($B141,'C-1 On-Site WaterC'' Baseline'!$C$8:$AD$257,17,FALSE))))</f>
        <v/>
      </c>
      <c r="AT141" s="30" t="str">
        <f>IF(B141="","",VLOOKUP($B141,'C-1 On-Site WaterC'' Baseline'!$C$9:$Z$257,12,FALSE))</f>
        <v/>
      </c>
      <c r="AU141" s="30" t="str">
        <f>IF(B141="","",VLOOKUP($B141,'C-1 On-Site WaterC'' Baseline'!$C$9:$Z$257,14,FALSE))</f>
        <v/>
      </c>
      <c r="AV141" s="30" t="str">
        <f>IFERROR(INDEX('G-7 WaterC'' Data'!$AZ$3:$AZ$7,MATCH(N141,'G-7 WaterC'' Data'!$AY$3:$AY$7,0)),"")</f>
        <v/>
      </c>
      <c r="AX141" s="30" t="str">
        <f>IF(B141="","",VLOOKUP($B141,'C-1 On-Site WaterC'' Baseline'!$C$9:$Y$257,22,FALSE))</f>
        <v/>
      </c>
      <c r="AY141" s="30" t="str">
        <f t="shared" ref="AY141:AY204" si="28">IF(B141="","", IF(AX141&gt;M141, M141, IF((BA141+Q141)&gt;D141, M141 - AZ141, AX141)))</f>
        <v/>
      </c>
      <c r="AZ141" s="30" t="str">
        <f>IF(B141="","",VLOOKUP($B141,'C-1 On-Site WaterC'' Baseline'!$C$9:$Y$257,21,FALSE))</f>
        <v/>
      </c>
      <c r="BA141" s="30" t="str">
        <f>IF(B141="","",VLOOKUP($B141,'C-1 On-Site WaterC'' Baseline'!$C$9:$Y$257,19,FALSE))</f>
        <v/>
      </c>
      <c r="BD141" s="30" t="str">
        <f t="shared" ref="BD141:BD204" si="29">IF(AND(N141="Ditches",(OR(T141="Fairly Poor",T141="Fairly Good"))), "Yes", "No")</f>
        <v>No</v>
      </c>
    </row>
    <row r="142" spans="2:56" ht="13.8" x14ac:dyDescent="0.25">
      <c r="B142" s="311" t="str">
        <f>'C-1 On-Site WaterC'' Baseline'!AP140</f>
        <v/>
      </c>
      <c r="C142" s="301" t="str">
        <f>IF(B142="","",VLOOKUP($B142,'C-1 On-Site WaterC'' Baseline'!$C$9:$R$257,2,FALSE))</f>
        <v/>
      </c>
      <c r="D142" s="301" t="str">
        <f>IF(C142="","",VLOOKUP($B142,'C-1 On-Site WaterC'' Baseline'!$C$9:$R$257,3,FALSE))</f>
        <v/>
      </c>
      <c r="E142" s="301" t="str">
        <f>IF(D142="","",VLOOKUP($B142,'C-1 On-Site WaterC'' Baseline'!$C$9:$R$257,4,FALSE))</f>
        <v/>
      </c>
      <c r="F142" s="301" t="str">
        <f>IF(E142="","",VLOOKUP($B142,'C-1 On-Site WaterC'' Baseline'!$C$9:$R$257,5,FALSE))</f>
        <v/>
      </c>
      <c r="G142" s="301" t="str">
        <f>IF(F142="","",VLOOKUP($B142,'C-1 On-Site WaterC'' Baseline'!$C$9:$R$257,6,FALSE))</f>
        <v/>
      </c>
      <c r="H142" s="301" t="str">
        <f>IF(G142="","",VLOOKUP($B142,'C-1 On-Site WaterC'' Baseline'!$C$9:$R$257,7,FALSE))</f>
        <v/>
      </c>
      <c r="I142" s="301" t="str">
        <f>IF(H142="","",VLOOKUP($B142,'C-1 On-Site WaterC'' Baseline'!$C$9:$R$257,8,FALSE))</f>
        <v/>
      </c>
      <c r="J142" s="301" t="str">
        <f>IF(I142="","",VLOOKUP($B142,'C-1 On-Site WaterC'' Baseline'!$C$9:$R$257,9,FALSE))</f>
        <v/>
      </c>
      <c r="K142" s="301" t="str">
        <f>IF(J142="","",VLOOKUP($B142,'C-1 On-Site WaterC'' Baseline'!$C$9:$R$257,10,FALSE))</f>
        <v/>
      </c>
      <c r="L142" s="301" t="str">
        <f>IF(B142="","",VLOOKUP($B142,'C-1 On-Site WaterC'' Baseline'!$C$9:$R$257,15,FALSE))</f>
        <v/>
      </c>
      <c r="M142" s="305" t="str">
        <f>IF(L142="","",VLOOKUP($B142,'C-1 On-Site WaterC'' Baseline'!$C$9:$R$257,16,FALSE))</f>
        <v/>
      </c>
      <c r="N142" s="251"/>
      <c r="O142" s="281" t="str">
        <f t="shared" si="21"/>
        <v/>
      </c>
      <c r="P142" s="282" t="str">
        <f t="shared" si="22"/>
        <v/>
      </c>
      <c r="Q142" s="342" t="str">
        <f>IF(N142="","",VLOOKUP(B142,'C-1 On-Site WaterC'' Baseline'!$C$10:$AC$257,20,FALSE))</f>
        <v/>
      </c>
      <c r="R142" s="281" t="str">
        <f>IF(N142="","",VLOOKUP(N142,'G-7 WaterC'' Data'!$B$2:$G$8,2,FALSE))</f>
        <v/>
      </c>
      <c r="S142" s="282" t="str">
        <f>IFERROR(VLOOKUP(R142,'G-7 WaterC'' Data'!$C$4:$D$8,2,FALSE),"")</f>
        <v/>
      </c>
      <c r="T142" s="105"/>
      <c r="U142" s="282" t="str">
        <f>IFERROR(INDEX('G-7 WaterC'' Data'!$H$4:$L$8,MATCH(N142,'G-7 WaterC'' Data'!$B$4:$B$8,0),MATCH(T142,'G-7 WaterC'' Data'!$H$3:$L$3,0)),"")</f>
        <v/>
      </c>
      <c r="V142" s="105"/>
      <c r="W142" s="289" t="str">
        <f>IF(V142="","",IF(VLOOKUP(V142,'G-7 WaterC'' Data'!$AK$4:$AM$6,2,FALSE)=0,"Spatial Data Missing ⚠",VLOOKUP(V142,'G-7 WaterC'' Data'!$AK$4:$AM$6,2,FALSE)))</f>
        <v/>
      </c>
      <c r="X142" s="282" t="str">
        <f>IF(V142="","",IF(VLOOKUP(V142,'G-7 WaterC'' Data'!$AK$4:$AM$6,3,FALSE)=0,"Spatial Data Missing ⚠",VLOOKUP(V142,'G-7 WaterC'' Data'!$AK$4:$AM$6,3,FALSE)))</f>
        <v/>
      </c>
      <c r="Y142" s="281" t="str">
        <f>IFERROR(IF(OR(LEFT(P142,5)="Error",LEFT(O142,5)="Error"),"Check Data ⚠",IF(F142&lt;S142,'G-7 WaterC'' Data'!$R$3,INDEX('G-7 WaterC'' Data'!$U$5:$Y$9,MATCH(G142,'G-7 WaterC'' Data'!$T$5:$T$9,0),MATCH(T142,'G-7 WaterC'' Data'!$U$4:$Y$4,0)))),"")</f>
        <v/>
      </c>
      <c r="Z142" s="137"/>
      <c r="AA142" s="137"/>
      <c r="AB142" s="289" t="str">
        <f t="shared" si="23"/>
        <v/>
      </c>
      <c r="AC142" s="302" t="str">
        <f t="shared" si="24"/>
        <v/>
      </c>
      <c r="AD142" s="340" t="str">
        <f>IFERROR(IF(AC142="Check Data ⚠","Check Data ⚠",VLOOKUP(AC142,'G-4 Temporal multipliers'!$A$4:$C$37,3,FALSE)),"")</f>
        <v/>
      </c>
      <c r="AE142" s="281" t="str">
        <f>IF(N142="","",VLOOKUP(N142,'G-7 WaterC'' Data'!$B$4:$G$8,5,FALSE))</f>
        <v/>
      </c>
      <c r="AF142" s="289" t="str">
        <f t="shared" si="25"/>
        <v/>
      </c>
      <c r="AG142" s="320" t="str">
        <f t="shared" si="26"/>
        <v/>
      </c>
      <c r="AH142" s="282" t="str">
        <f t="shared" si="20"/>
        <v/>
      </c>
      <c r="AI142" s="109"/>
      <c r="AJ142" s="282" t="str">
        <f>IF(AI142="","",IF(AND(AI142="N/A - Culvert",N142&lt;&gt;"Culvert"),"Not possible ▲",IF(VLOOKUP(AI142,'G-7 WaterC'' Data'!$AA$4:$AB$7,2,FALSE)=0,"Spatial Data Missing ⚠",VLOOKUP(AI142,'G-7 WaterC'' Data'!$AA$4:$AB$7,2,FALSE))))</f>
        <v/>
      </c>
      <c r="AK142" s="110"/>
      <c r="AL142" s="282" t="str">
        <f>IF(AK142="","",IF(AND(AK142="N/A - Culvert",N142&lt;&gt;"Culvert"),"Not possible ▲",IF(VLOOKUP(AK142,'G-7 WaterC'' Data'!$AD$4:$AE$14,2,FALSE)=0,"Spatial Data Missing ⚠",VLOOKUP(AK142,'G-7 WaterC'' Data'!$AD$4:$AE$14,2,FALSE))))</f>
        <v/>
      </c>
      <c r="AM142" s="323" t="str">
        <f t="shared" si="27"/>
        <v/>
      </c>
      <c r="AN142" s="105"/>
      <c r="AO142" s="119"/>
      <c r="AP142" s="108"/>
      <c r="AS142" s="30" t="str">
        <f>IF(B142="","",IF(ISNA(VLOOKUP($B142,'C-1 On-Site WaterC'' Baseline'!$C$8:$AD$257,17,FALSE)),"",(VLOOKUP($B142,'C-1 On-Site WaterC'' Baseline'!$C$8:$AD$257,17,FALSE))))</f>
        <v/>
      </c>
      <c r="AT142" s="30" t="str">
        <f>IF(B142="","",VLOOKUP($B142,'C-1 On-Site WaterC'' Baseline'!$C$9:$Z$257,12,FALSE))</f>
        <v/>
      </c>
      <c r="AU142" s="30" t="str">
        <f>IF(B142="","",VLOOKUP($B142,'C-1 On-Site WaterC'' Baseline'!$C$9:$Z$257,14,FALSE))</f>
        <v/>
      </c>
      <c r="AV142" s="30" t="str">
        <f>IFERROR(INDEX('G-7 WaterC'' Data'!$AZ$3:$AZ$7,MATCH(N142,'G-7 WaterC'' Data'!$AY$3:$AY$7,0)),"")</f>
        <v/>
      </c>
      <c r="AX142" s="30" t="str">
        <f>IF(B142="","",VLOOKUP($B142,'C-1 On-Site WaterC'' Baseline'!$C$9:$Y$257,22,FALSE))</f>
        <v/>
      </c>
      <c r="AY142" s="30" t="str">
        <f t="shared" si="28"/>
        <v/>
      </c>
      <c r="AZ142" s="30" t="str">
        <f>IF(B142="","",VLOOKUP($B142,'C-1 On-Site WaterC'' Baseline'!$C$9:$Y$257,21,FALSE))</f>
        <v/>
      </c>
      <c r="BA142" s="30" t="str">
        <f>IF(B142="","",VLOOKUP($B142,'C-1 On-Site WaterC'' Baseline'!$C$9:$Y$257,19,FALSE))</f>
        <v/>
      </c>
      <c r="BD142" s="30" t="str">
        <f t="shared" si="29"/>
        <v>No</v>
      </c>
    </row>
    <row r="143" spans="2:56" ht="13.8" x14ac:dyDescent="0.25">
      <c r="B143" s="311" t="str">
        <f>'C-1 On-Site WaterC'' Baseline'!AP141</f>
        <v/>
      </c>
      <c r="C143" s="301" t="str">
        <f>IF(B143="","",VLOOKUP($B143,'C-1 On-Site WaterC'' Baseline'!$C$9:$R$257,2,FALSE))</f>
        <v/>
      </c>
      <c r="D143" s="301" t="str">
        <f>IF(C143="","",VLOOKUP($B143,'C-1 On-Site WaterC'' Baseline'!$C$9:$R$257,3,FALSE))</f>
        <v/>
      </c>
      <c r="E143" s="301" t="str">
        <f>IF(D143="","",VLOOKUP($B143,'C-1 On-Site WaterC'' Baseline'!$C$9:$R$257,4,FALSE))</f>
        <v/>
      </c>
      <c r="F143" s="301" t="str">
        <f>IF(E143="","",VLOOKUP($B143,'C-1 On-Site WaterC'' Baseline'!$C$9:$R$257,5,FALSE))</f>
        <v/>
      </c>
      <c r="G143" s="301" t="str">
        <f>IF(F143="","",VLOOKUP($B143,'C-1 On-Site WaterC'' Baseline'!$C$9:$R$257,6,FALSE))</f>
        <v/>
      </c>
      <c r="H143" s="301" t="str">
        <f>IF(G143="","",VLOOKUP($B143,'C-1 On-Site WaterC'' Baseline'!$C$9:$R$257,7,FALSE))</f>
        <v/>
      </c>
      <c r="I143" s="301" t="str">
        <f>IF(H143="","",VLOOKUP($B143,'C-1 On-Site WaterC'' Baseline'!$C$9:$R$257,8,FALSE))</f>
        <v/>
      </c>
      <c r="J143" s="301" t="str">
        <f>IF(I143="","",VLOOKUP($B143,'C-1 On-Site WaterC'' Baseline'!$C$9:$R$257,9,FALSE))</f>
        <v/>
      </c>
      <c r="K143" s="301" t="str">
        <f>IF(J143="","",VLOOKUP($B143,'C-1 On-Site WaterC'' Baseline'!$C$9:$R$257,10,FALSE))</f>
        <v/>
      </c>
      <c r="L143" s="301" t="str">
        <f>IF(B143="","",VLOOKUP($B143,'C-1 On-Site WaterC'' Baseline'!$C$9:$R$257,15,FALSE))</f>
        <v/>
      </c>
      <c r="M143" s="305" t="str">
        <f>IF(L143="","",VLOOKUP($B143,'C-1 On-Site WaterC'' Baseline'!$C$9:$R$257,16,FALSE))</f>
        <v/>
      </c>
      <c r="N143" s="251"/>
      <c r="O143" s="281" t="str">
        <f t="shared" si="21"/>
        <v/>
      </c>
      <c r="P143" s="282" t="str">
        <f t="shared" si="22"/>
        <v/>
      </c>
      <c r="Q143" s="342" t="str">
        <f>IF(N143="","",VLOOKUP(B143,'C-1 On-Site WaterC'' Baseline'!$C$10:$AC$257,20,FALSE))</f>
        <v/>
      </c>
      <c r="R143" s="281" t="str">
        <f>IF(N143="","",VLOOKUP(N143,'G-7 WaterC'' Data'!$B$2:$G$8,2,FALSE))</f>
        <v/>
      </c>
      <c r="S143" s="282" t="str">
        <f>IFERROR(VLOOKUP(R143,'G-7 WaterC'' Data'!$C$4:$D$8,2,FALSE),"")</f>
        <v/>
      </c>
      <c r="T143" s="105"/>
      <c r="U143" s="282" t="str">
        <f>IFERROR(INDEX('G-7 WaterC'' Data'!$H$4:$L$8,MATCH(N143,'G-7 WaterC'' Data'!$B$4:$B$8,0),MATCH(T143,'G-7 WaterC'' Data'!$H$3:$L$3,0)),"")</f>
        <v/>
      </c>
      <c r="V143" s="105"/>
      <c r="W143" s="289" t="str">
        <f>IF(V143="","",IF(VLOOKUP(V143,'G-7 WaterC'' Data'!$AK$4:$AM$6,2,FALSE)=0,"Spatial Data Missing ⚠",VLOOKUP(V143,'G-7 WaterC'' Data'!$AK$4:$AM$6,2,FALSE)))</f>
        <v/>
      </c>
      <c r="X143" s="282" t="str">
        <f>IF(V143="","",IF(VLOOKUP(V143,'G-7 WaterC'' Data'!$AK$4:$AM$6,3,FALSE)=0,"Spatial Data Missing ⚠",VLOOKUP(V143,'G-7 WaterC'' Data'!$AK$4:$AM$6,3,FALSE)))</f>
        <v/>
      </c>
      <c r="Y143" s="281" t="str">
        <f>IFERROR(IF(OR(LEFT(P143,5)="Error",LEFT(O143,5)="Error"),"Check Data ⚠",IF(F143&lt;S143,'G-7 WaterC'' Data'!$R$3,INDEX('G-7 WaterC'' Data'!$U$5:$Y$9,MATCH(G143,'G-7 WaterC'' Data'!$T$5:$T$9,0),MATCH(T143,'G-7 WaterC'' Data'!$U$4:$Y$4,0)))),"")</f>
        <v/>
      </c>
      <c r="Z143" s="137"/>
      <c r="AA143" s="137"/>
      <c r="AB143" s="289" t="str">
        <f t="shared" si="23"/>
        <v/>
      </c>
      <c r="AC143" s="302" t="str">
        <f t="shared" si="24"/>
        <v/>
      </c>
      <c r="AD143" s="340" t="str">
        <f>IFERROR(IF(AC143="Check Data ⚠","Check Data ⚠",VLOOKUP(AC143,'G-4 Temporal multipliers'!$A$4:$C$37,3,FALSE)),"")</f>
        <v/>
      </c>
      <c r="AE143" s="281" t="str">
        <f>IF(N143="","",VLOOKUP(N143,'G-7 WaterC'' Data'!$B$4:$G$8,5,FALSE))</f>
        <v/>
      </c>
      <c r="AF143" s="289" t="str">
        <f t="shared" si="25"/>
        <v/>
      </c>
      <c r="AG143" s="320" t="str">
        <f t="shared" si="26"/>
        <v/>
      </c>
      <c r="AH143" s="282" t="str">
        <f t="shared" si="20"/>
        <v/>
      </c>
      <c r="AI143" s="109"/>
      <c r="AJ143" s="282" t="str">
        <f>IF(AI143="","",IF(AND(AI143="N/A - Culvert",N143&lt;&gt;"Culvert"),"Not possible ▲",IF(VLOOKUP(AI143,'G-7 WaterC'' Data'!$AA$4:$AB$7,2,FALSE)=0,"Spatial Data Missing ⚠",VLOOKUP(AI143,'G-7 WaterC'' Data'!$AA$4:$AB$7,2,FALSE))))</f>
        <v/>
      </c>
      <c r="AK143" s="110"/>
      <c r="AL143" s="282" t="str">
        <f>IF(AK143="","",IF(AND(AK143="N/A - Culvert",N143&lt;&gt;"Culvert"),"Not possible ▲",IF(VLOOKUP(AK143,'G-7 WaterC'' Data'!$AD$4:$AE$14,2,FALSE)=0,"Spatial Data Missing ⚠",VLOOKUP(AK143,'G-7 WaterC'' Data'!$AD$4:$AE$14,2,FALSE))))</f>
        <v/>
      </c>
      <c r="AM143" s="323" t="str">
        <f t="shared" si="27"/>
        <v/>
      </c>
      <c r="AN143" s="105"/>
      <c r="AO143" s="119"/>
      <c r="AP143" s="108"/>
      <c r="AS143" s="30" t="str">
        <f>IF(B143="","",IF(ISNA(VLOOKUP($B143,'C-1 On-Site WaterC'' Baseline'!$C$8:$AD$257,17,FALSE)),"",(VLOOKUP($B143,'C-1 On-Site WaterC'' Baseline'!$C$8:$AD$257,17,FALSE))))</f>
        <v/>
      </c>
      <c r="AT143" s="30" t="str">
        <f>IF(B143="","",VLOOKUP($B143,'C-1 On-Site WaterC'' Baseline'!$C$9:$Z$257,12,FALSE))</f>
        <v/>
      </c>
      <c r="AU143" s="30" t="str">
        <f>IF(B143="","",VLOOKUP($B143,'C-1 On-Site WaterC'' Baseline'!$C$9:$Z$257,14,FALSE))</f>
        <v/>
      </c>
      <c r="AV143" s="30" t="str">
        <f>IFERROR(INDEX('G-7 WaterC'' Data'!$AZ$3:$AZ$7,MATCH(N143,'G-7 WaterC'' Data'!$AY$3:$AY$7,0)),"")</f>
        <v/>
      </c>
      <c r="AX143" s="30" t="str">
        <f>IF(B143="","",VLOOKUP($B143,'C-1 On-Site WaterC'' Baseline'!$C$9:$Y$257,22,FALSE))</f>
        <v/>
      </c>
      <c r="AY143" s="30" t="str">
        <f t="shared" si="28"/>
        <v/>
      </c>
      <c r="AZ143" s="30" t="str">
        <f>IF(B143="","",VLOOKUP($B143,'C-1 On-Site WaterC'' Baseline'!$C$9:$Y$257,21,FALSE))</f>
        <v/>
      </c>
      <c r="BA143" s="30" t="str">
        <f>IF(B143="","",VLOOKUP($B143,'C-1 On-Site WaterC'' Baseline'!$C$9:$Y$257,19,FALSE))</f>
        <v/>
      </c>
      <c r="BD143" s="30" t="str">
        <f t="shared" si="29"/>
        <v>No</v>
      </c>
    </row>
    <row r="144" spans="2:56" ht="13.8" x14ac:dyDescent="0.25">
      <c r="B144" s="311" t="str">
        <f>'C-1 On-Site WaterC'' Baseline'!AP142</f>
        <v/>
      </c>
      <c r="C144" s="301" t="str">
        <f>IF(B144="","",VLOOKUP($B144,'C-1 On-Site WaterC'' Baseline'!$C$9:$R$257,2,FALSE))</f>
        <v/>
      </c>
      <c r="D144" s="301" t="str">
        <f>IF(C144="","",VLOOKUP($B144,'C-1 On-Site WaterC'' Baseline'!$C$9:$R$257,3,FALSE))</f>
        <v/>
      </c>
      <c r="E144" s="301" t="str">
        <f>IF(D144="","",VLOOKUP($B144,'C-1 On-Site WaterC'' Baseline'!$C$9:$R$257,4,FALSE))</f>
        <v/>
      </c>
      <c r="F144" s="301" t="str">
        <f>IF(E144="","",VLOOKUP($B144,'C-1 On-Site WaterC'' Baseline'!$C$9:$R$257,5,FALSE))</f>
        <v/>
      </c>
      <c r="G144" s="301" t="str">
        <f>IF(F144="","",VLOOKUP($B144,'C-1 On-Site WaterC'' Baseline'!$C$9:$R$257,6,FALSE))</f>
        <v/>
      </c>
      <c r="H144" s="301" t="str">
        <f>IF(G144="","",VLOOKUP($B144,'C-1 On-Site WaterC'' Baseline'!$C$9:$R$257,7,FALSE))</f>
        <v/>
      </c>
      <c r="I144" s="301" t="str">
        <f>IF(H144="","",VLOOKUP($B144,'C-1 On-Site WaterC'' Baseline'!$C$9:$R$257,8,FALSE))</f>
        <v/>
      </c>
      <c r="J144" s="301" t="str">
        <f>IF(I144="","",VLOOKUP($B144,'C-1 On-Site WaterC'' Baseline'!$C$9:$R$257,9,FALSE))</f>
        <v/>
      </c>
      <c r="K144" s="301" t="str">
        <f>IF(J144="","",VLOOKUP($B144,'C-1 On-Site WaterC'' Baseline'!$C$9:$R$257,10,FALSE))</f>
        <v/>
      </c>
      <c r="L144" s="301" t="str">
        <f>IF(B144="","",VLOOKUP($B144,'C-1 On-Site WaterC'' Baseline'!$C$9:$R$257,15,FALSE))</f>
        <v/>
      </c>
      <c r="M144" s="305" t="str">
        <f>IF(L144="","",VLOOKUP($B144,'C-1 On-Site WaterC'' Baseline'!$C$9:$R$257,16,FALSE))</f>
        <v/>
      </c>
      <c r="N144" s="251"/>
      <c r="O144" s="281" t="str">
        <f t="shared" si="21"/>
        <v/>
      </c>
      <c r="P144" s="282" t="str">
        <f t="shared" si="22"/>
        <v/>
      </c>
      <c r="Q144" s="342" t="str">
        <f>IF(N144="","",VLOOKUP(B144,'C-1 On-Site WaterC'' Baseline'!$C$10:$AC$257,20,FALSE))</f>
        <v/>
      </c>
      <c r="R144" s="281" t="str">
        <f>IF(N144="","",VLOOKUP(N144,'G-7 WaterC'' Data'!$B$2:$G$8,2,FALSE))</f>
        <v/>
      </c>
      <c r="S144" s="282" t="str">
        <f>IFERROR(VLOOKUP(R144,'G-7 WaterC'' Data'!$C$4:$D$8,2,FALSE),"")</f>
        <v/>
      </c>
      <c r="T144" s="105"/>
      <c r="U144" s="282" t="str">
        <f>IFERROR(INDEX('G-7 WaterC'' Data'!$H$4:$L$8,MATCH(N144,'G-7 WaterC'' Data'!$B$4:$B$8,0),MATCH(T144,'G-7 WaterC'' Data'!$H$3:$L$3,0)),"")</f>
        <v/>
      </c>
      <c r="V144" s="105"/>
      <c r="W144" s="289" t="str">
        <f>IF(V144="","",IF(VLOOKUP(V144,'G-7 WaterC'' Data'!$AK$4:$AM$6,2,FALSE)=0,"Spatial Data Missing ⚠",VLOOKUP(V144,'G-7 WaterC'' Data'!$AK$4:$AM$6,2,FALSE)))</f>
        <v/>
      </c>
      <c r="X144" s="282" t="str">
        <f>IF(V144="","",IF(VLOOKUP(V144,'G-7 WaterC'' Data'!$AK$4:$AM$6,3,FALSE)=0,"Spatial Data Missing ⚠",VLOOKUP(V144,'G-7 WaterC'' Data'!$AK$4:$AM$6,3,FALSE)))</f>
        <v/>
      </c>
      <c r="Y144" s="281" t="str">
        <f>IFERROR(IF(OR(LEFT(P144,5)="Error",LEFT(O144,5)="Error"),"Check Data ⚠",IF(F144&lt;S144,'G-7 WaterC'' Data'!$R$3,INDEX('G-7 WaterC'' Data'!$U$5:$Y$9,MATCH(G144,'G-7 WaterC'' Data'!$T$5:$T$9,0),MATCH(T144,'G-7 WaterC'' Data'!$U$4:$Y$4,0)))),"")</f>
        <v/>
      </c>
      <c r="Z144" s="137"/>
      <c r="AA144" s="137"/>
      <c r="AB144" s="289" t="str">
        <f t="shared" si="23"/>
        <v/>
      </c>
      <c r="AC144" s="302" t="str">
        <f t="shared" si="24"/>
        <v/>
      </c>
      <c r="AD144" s="340" t="str">
        <f>IFERROR(IF(AC144="Check Data ⚠","Check Data ⚠",VLOOKUP(AC144,'G-4 Temporal multipliers'!$A$4:$C$37,3,FALSE)),"")</f>
        <v/>
      </c>
      <c r="AE144" s="281" t="str">
        <f>IF(N144="","",VLOOKUP(N144,'G-7 WaterC'' Data'!$B$4:$G$8,5,FALSE))</f>
        <v/>
      </c>
      <c r="AF144" s="289" t="str">
        <f t="shared" si="25"/>
        <v/>
      </c>
      <c r="AG144" s="320" t="str">
        <f t="shared" si="26"/>
        <v/>
      </c>
      <c r="AH144" s="282" t="str">
        <f t="shared" si="20"/>
        <v/>
      </c>
      <c r="AI144" s="109"/>
      <c r="AJ144" s="282" t="str">
        <f>IF(AI144="","",IF(AND(AI144="N/A - Culvert",N144&lt;&gt;"Culvert"),"Not possible ▲",IF(VLOOKUP(AI144,'G-7 WaterC'' Data'!$AA$4:$AB$7,2,FALSE)=0,"Spatial Data Missing ⚠",VLOOKUP(AI144,'G-7 WaterC'' Data'!$AA$4:$AB$7,2,FALSE))))</f>
        <v/>
      </c>
      <c r="AK144" s="110"/>
      <c r="AL144" s="282" t="str">
        <f>IF(AK144="","",IF(AND(AK144="N/A - Culvert",N144&lt;&gt;"Culvert"),"Not possible ▲",IF(VLOOKUP(AK144,'G-7 WaterC'' Data'!$AD$4:$AE$14,2,FALSE)=0,"Spatial Data Missing ⚠",VLOOKUP(AK144,'G-7 WaterC'' Data'!$AD$4:$AE$14,2,FALSE))))</f>
        <v/>
      </c>
      <c r="AM144" s="323" t="str">
        <f t="shared" si="27"/>
        <v/>
      </c>
      <c r="AN144" s="105"/>
      <c r="AO144" s="119"/>
      <c r="AP144" s="108"/>
      <c r="AS144" s="30" t="str">
        <f>IF(B144="","",IF(ISNA(VLOOKUP($B144,'C-1 On-Site WaterC'' Baseline'!$C$8:$AD$257,17,FALSE)),"",(VLOOKUP($B144,'C-1 On-Site WaterC'' Baseline'!$C$8:$AD$257,17,FALSE))))</f>
        <v/>
      </c>
      <c r="AT144" s="30" t="str">
        <f>IF(B144="","",VLOOKUP($B144,'C-1 On-Site WaterC'' Baseline'!$C$9:$Z$257,12,FALSE))</f>
        <v/>
      </c>
      <c r="AU144" s="30" t="str">
        <f>IF(B144="","",VLOOKUP($B144,'C-1 On-Site WaterC'' Baseline'!$C$9:$Z$257,14,FALSE))</f>
        <v/>
      </c>
      <c r="AV144" s="30" t="str">
        <f>IFERROR(INDEX('G-7 WaterC'' Data'!$AZ$3:$AZ$7,MATCH(N144,'G-7 WaterC'' Data'!$AY$3:$AY$7,0)),"")</f>
        <v/>
      </c>
      <c r="AX144" s="30" t="str">
        <f>IF(B144="","",VLOOKUP($B144,'C-1 On-Site WaterC'' Baseline'!$C$9:$Y$257,22,FALSE))</f>
        <v/>
      </c>
      <c r="AY144" s="30" t="str">
        <f t="shared" si="28"/>
        <v/>
      </c>
      <c r="AZ144" s="30" t="str">
        <f>IF(B144="","",VLOOKUP($B144,'C-1 On-Site WaterC'' Baseline'!$C$9:$Y$257,21,FALSE))</f>
        <v/>
      </c>
      <c r="BA144" s="30" t="str">
        <f>IF(B144="","",VLOOKUP($B144,'C-1 On-Site WaterC'' Baseline'!$C$9:$Y$257,19,FALSE))</f>
        <v/>
      </c>
      <c r="BD144" s="30" t="str">
        <f t="shared" si="29"/>
        <v>No</v>
      </c>
    </row>
    <row r="145" spans="2:56" ht="13.8" x14ac:dyDescent="0.25">
      <c r="B145" s="311" t="str">
        <f>'C-1 On-Site WaterC'' Baseline'!AP143</f>
        <v/>
      </c>
      <c r="C145" s="301" t="str">
        <f>IF(B145="","",VLOOKUP($B145,'C-1 On-Site WaterC'' Baseline'!$C$9:$R$257,2,FALSE))</f>
        <v/>
      </c>
      <c r="D145" s="301" t="str">
        <f>IF(C145="","",VLOOKUP($B145,'C-1 On-Site WaterC'' Baseline'!$C$9:$R$257,3,FALSE))</f>
        <v/>
      </c>
      <c r="E145" s="301" t="str">
        <f>IF(D145="","",VLOOKUP($B145,'C-1 On-Site WaterC'' Baseline'!$C$9:$R$257,4,FALSE))</f>
        <v/>
      </c>
      <c r="F145" s="301" t="str">
        <f>IF(E145="","",VLOOKUP($B145,'C-1 On-Site WaterC'' Baseline'!$C$9:$R$257,5,FALSE))</f>
        <v/>
      </c>
      <c r="G145" s="301" t="str">
        <f>IF(F145="","",VLOOKUP($B145,'C-1 On-Site WaterC'' Baseline'!$C$9:$R$257,6,FALSE))</f>
        <v/>
      </c>
      <c r="H145" s="301" t="str">
        <f>IF(G145="","",VLOOKUP($B145,'C-1 On-Site WaterC'' Baseline'!$C$9:$R$257,7,FALSE))</f>
        <v/>
      </c>
      <c r="I145" s="301" t="str">
        <f>IF(H145="","",VLOOKUP($B145,'C-1 On-Site WaterC'' Baseline'!$C$9:$R$257,8,FALSE))</f>
        <v/>
      </c>
      <c r="J145" s="301" t="str">
        <f>IF(I145="","",VLOOKUP($B145,'C-1 On-Site WaterC'' Baseline'!$C$9:$R$257,9,FALSE))</f>
        <v/>
      </c>
      <c r="K145" s="301" t="str">
        <f>IF(J145="","",VLOOKUP($B145,'C-1 On-Site WaterC'' Baseline'!$C$9:$R$257,10,FALSE))</f>
        <v/>
      </c>
      <c r="L145" s="301" t="str">
        <f>IF(B145="","",VLOOKUP($B145,'C-1 On-Site WaterC'' Baseline'!$C$9:$R$257,15,FALSE))</f>
        <v/>
      </c>
      <c r="M145" s="305" t="str">
        <f>IF(L145="","",VLOOKUP($B145,'C-1 On-Site WaterC'' Baseline'!$C$9:$R$257,16,FALSE))</f>
        <v/>
      </c>
      <c r="N145" s="251"/>
      <c r="O145" s="281" t="str">
        <f t="shared" si="21"/>
        <v/>
      </c>
      <c r="P145" s="282" t="str">
        <f t="shared" si="22"/>
        <v/>
      </c>
      <c r="Q145" s="342" t="str">
        <f>IF(N145="","",VLOOKUP(B145,'C-1 On-Site WaterC'' Baseline'!$C$10:$AC$257,20,FALSE))</f>
        <v/>
      </c>
      <c r="R145" s="281" t="str">
        <f>IF(N145="","",VLOOKUP(N145,'G-7 WaterC'' Data'!$B$2:$G$8,2,FALSE))</f>
        <v/>
      </c>
      <c r="S145" s="282" t="str">
        <f>IFERROR(VLOOKUP(R145,'G-7 WaterC'' Data'!$C$4:$D$8,2,FALSE),"")</f>
        <v/>
      </c>
      <c r="T145" s="105"/>
      <c r="U145" s="282" t="str">
        <f>IFERROR(INDEX('G-7 WaterC'' Data'!$H$4:$L$8,MATCH(N145,'G-7 WaterC'' Data'!$B$4:$B$8,0),MATCH(T145,'G-7 WaterC'' Data'!$H$3:$L$3,0)),"")</f>
        <v/>
      </c>
      <c r="V145" s="105"/>
      <c r="W145" s="289" t="str">
        <f>IF(V145="","",IF(VLOOKUP(V145,'G-7 WaterC'' Data'!$AK$4:$AM$6,2,FALSE)=0,"Spatial Data Missing ⚠",VLOOKUP(V145,'G-7 WaterC'' Data'!$AK$4:$AM$6,2,FALSE)))</f>
        <v/>
      </c>
      <c r="X145" s="282" t="str">
        <f>IF(V145="","",IF(VLOOKUP(V145,'G-7 WaterC'' Data'!$AK$4:$AM$6,3,FALSE)=0,"Spatial Data Missing ⚠",VLOOKUP(V145,'G-7 WaterC'' Data'!$AK$4:$AM$6,3,FALSE)))</f>
        <v/>
      </c>
      <c r="Y145" s="281" t="str">
        <f>IFERROR(IF(OR(LEFT(P145,5)="Error",LEFT(O145,5)="Error"),"Check Data ⚠",IF(F145&lt;S145,'G-7 WaterC'' Data'!$R$3,INDEX('G-7 WaterC'' Data'!$U$5:$Y$9,MATCH(G145,'G-7 WaterC'' Data'!$T$5:$T$9,0),MATCH(T145,'G-7 WaterC'' Data'!$U$4:$Y$4,0)))),"")</f>
        <v/>
      </c>
      <c r="Z145" s="137"/>
      <c r="AA145" s="137"/>
      <c r="AB145" s="289" t="str">
        <f t="shared" si="23"/>
        <v/>
      </c>
      <c r="AC145" s="302" t="str">
        <f t="shared" si="24"/>
        <v/>
      </c>
      <c r="AD145" s="340" t="str">
        <f>IFERROR(IF(AC145="Check Data ⚠","Check Data ⚠",VLOOKUP(AC145,'G-4 Temporal multipliers'!$A$4:$C$37,3,FALSE)),"")</f>
        <v/>
      </c>
      <c r="AE145" s="281" t="str">
        <f>IF(N145="","",VLOOKUP(N145,'G-7 WaterC'' Data'!$B$4:$G$8,5,FALSE))</f>
        <v/>
      </c>
      <c r="AF145" s="289" t="str">
        <f t="shared" si="25"/>
        <v/>
      </c>
      <c r="AG145" s="320" t="str">
        <f t="shared" si="26"/>
        <v/>
      </c>
      <c r="AH145" s="282" t="str">
        <f t="shared" si="20"/>
        <v/>
      </c>
      <c r="AI145" s="109"/>
      <c r="AJ145" s="282" t="str">
        <f>IF(AI145="","",IF(AND(AI145="N/A - Culvert",N145&lt;&gt;"Culvert"),"Not possible ▲",IF(VLOOKUP(AI145,'G-7 WaterC'' Data'!$AA$4:$AB$7,2,FALSE)=0,"Spatial Data Missing ⚠",VLOOKUP(AI145,'G-7 WaterC'' Data'!$AA$4:$AB$7,2,FALSE))))</f>
        <v/>
      </c>
      <c r="AK145" s="110"/>
      <c r="AL145" s="282" t="str">
        <f>IF(AK145="","",IF(AND(AK145="N/A - Culvert",N145&lt;&gt;"Culvert"),"Not possible ▲",IF(VLOOKUP(AK145,'G-7 WaterC'' Data'!$AD$4:$AE$14,2,FALSE)=0,"Spatial Data Missing ⚠",VLOOKUP(AK145,'G-7 WaterC'' Data'!$AD$4:$AE$14,2,FALSE))))</f>
        <v/>
      </c>
      <c r="AM145" s="323" t="str">
        <f t="shared" si="27"/>
        <v/>
      </c>
      <c r="AN145" s="105"/>
      <c r="AO145" s="119"/>
      <c r="AP145" s="108"/>
      <c r="AS145" s="30" t="str">
        <f>IF(B145="","",IF(ISNA(VLOOKUP($B145,'C-1 On-Site WaterC'' Baseline'!$C$8:$AD$257,17,FALSE)),"",(VLOOKUP($B145,'C-1 On-Site WaterC'' Baseline'!$C$8:$AD$257,17,FALSE))))</f>
        <v/>
      </c>
      <c r="AT145" s="30" t="str">
        <f>IF(B145="","",VLOOKUP($B145,'C-1 On-Site WaterC'' Baseline'!$C$9:$Z$257,12,FALSE))</f>
        <v/>
      </c>
      <c r="AU145" s="30" t="str">
        <f>IF(B145="","",VLOOKUP($B145,'C-1 On-Site WaterC'' Baseline'!$C$9:$Z$257,14,FALSE))</f>
        <v/>
      </c>
      <c r="AV145" s="30" t="str">
        <f>IFERROR(INDEX('G-7 WaterC'' Data'!$AZ$3:$AZ$7,MATCH(N145,'G-7 WaterC'' Data'!$AY$3:$AY$7,0)),"")</f>
        <v/>
      </c>
      <c r="AX145" s="30" t="str">
        <f>IF(B145="","",VLOOKUP($B145,'C-1 On-Site WaterC'' Baseline'!$C$9:$Y$257,22,FALSE))</f>
        <v/>
      </c>
      <c r="AY145" s="30" t="str">
        <f t="shared" si="28"/>
        <v/>
      </c>
      <c r="AZ145" s="30" t="str">
        <f>IF(B145="","",VLOOKUP($B145,'C-1 On-Site WaterC'' Baseline'!$C$9:$Y$257,21,FALSE))</f>
        <v/>
      </c>
      <c r="BA145" s="30" t="str">
        <f>IF(B145="","",VLOOKUP($B145,'C-1 On-Site WaterC'' Baseline'!$C$9:$Y$257,19,FALSE))</f>
        <v/>
      </c>
      <c r="BD145" s="30" t="str">
        <f t="shared" si="29"/>
        <v>No</v>
      </c>
    </row>
    <row r="146" spans="2:56" ht="13.8" x14ac:dyDescent="0.25">
      <c r="B146" s="311" t="str">
        <f>'C-1 On-Site WaterC'' Baseline'!AP144</f>
        <v/>
      </c>
      <c r="C146" s="301" t="str">
        <f>IF(B146="","",VLOOKUP($B146,'C-1 On-Site WaterC'' Baseline'!$C$9:$R$257,2,FALSE))</f>
        <v/>
      </c>
      <c r="D146" s="301" t="str">
        <f>IF(C146="","",VLOOKUP($B146,'C-1 On-Site WaterC'' Baseline'!$C$9:$R$257,3,FALSE))</f>
        <v/>
      </c>
      <c r="E146" s="301" t="str">
        <f>IF(D146="","",VLOOKUP($B146,'C-1 On-Site WaterC'' Baseline'!$C$9:$R$257,4,FALSE))</f>
        <v/>
      </c>
      <c r="F146" s="301" t="str">
        <f>IF(E146="","",VLOOKUP($B146,'C-1 On-Site WaterC'' Baseline'!$C$9:$R$257,5,FALSE))</f>
        <v/>
      </c>
      <c r="G146" s="301" t="str">
        <f>IF(F146="","",VLOOKUP($B146,'C-1 On-Site WaterC'' Baseline'!$C$9:$R$257,6,FALSE))</f>
        <v/>
      </c>
      <c r="H146" s="301" t="str">
        <f>IF(G146="","",VLOOKUP($B146,'C-1 On-Site WaterC'' Baseline'!$C$9:$R$257,7,FALSE))</f>
        <v/>
      </c>
      <c r="I146" s="301" t="str">
        <f>IF(H146="","",VLOOKUP($B146,'C-1 On-Site WaterC'' Baseline'!$C$9:$R$257,8,FALSE))</f>
        <v/>
      </c>
      <c r="J146" s="301" t="str">
        <f>IF(I146="","",VLOOKUP($B146,'C-1 On-Site WaterC'' Baseline'!$C$9:$R$257,9,FALSE))</f>
        <v/>
      </c>
      <c r="K146" s="301" t="str">
        <f>IF(J146="","",VLOOKUP($B146,'C-1 On-Site WaterC'' Baseline'!$C$9:$R$257,10,FALSE))</f>
        <v/>
      </c>
      <c r="L146" s="301" t="str">
        <f>IF(B146="","",VLOOKUP($B146,'C-1 On-Site WaterC'' Baseline'!$C$9:$R$257,15,FALSE))</f>
        <v/>
      </c>
      <c r="M146" s="305" t="str">
        <f>IF(L146="","",VLOOKUP($B146,'C-1 On-Site WaterC'' Baseline'!$C$9:$R$257,16,FALSE))</f>
        <v/>
      </c>
      <c r="N146" s="251"/>
      <c r="O146" s="281" t="str">
        <f t="shared" si="21"/>
        <v/>
      </c>
      <c r="P146" s="282" t="str">
        <f t="shared" si="22"/>
        <v/>
      </c>
      <c r="Q146" s="342" t="str">
        <f>IF(N146="","",VLOOKUP(B146,'C-1 On-Site WaterC'' Baseline'!$C$10:$AC$257,20,FALSE))</f>
        <v/>
      </c>
      <c r="R146" s="281" t="str">
        <f>IF(N146="","",VLOOKUP(N146,'G-7 WaterC'' Data'!$B$2:$G$8,2,FALSE))</f>
        <v/>
      </c>
      <c r="S146" s="282" t="str">
        <f>IFERROR(VLOOKUP(R146,'G-7 WaterC'' Data'!$C$4:$D$8,2,FALSE),"")</f>
        <v/>
      </c>
      <c r="T146" s="105"/>
      <c r="U146" s="282" t="str">
        <f>IFERROR(INDEX('G-7 WaterC'' Data'!$H$4:$L$8,MATCH(N146,'G-7 WaterC'' Data'!$B$4:$B$8,0),MATCH(T146,'G-7 WaterC'' Data'!$H$3:$L$3,0)),"")</f>
        <v/>
      </c>
      <c r="V146" s="105"/>
      <c r="W146" s="289" t="str">
        <f>IF(V146="","",IF(VLOOKUP(V146,'G-7 WaterC'' Data'!$AK$4:$AM$6,2,FALSE)=0,"Spatial Data Missing ⚠",VLOOKUP(V146,'G-7 WaterC'' Data'!$AK$4:$AM$6,2,FALSE)))</f>
        <v/>
      </c>
      <c r="X146" s="282" t="str">
        <f>IF(V146="","",IF(VLOOKUP(V146,'G-7 WaterC'' Data'!$AK$4:$AM$6,3,FALSE)=0,"Spatial Data Missing ⚠",VLOOKUP(V146,'G-7 WaterC'' Data'!$AK$4:$AM$6,3,FALSE)))</f>
        <v/>
      </c>
      <c r="Y146" s="281" t="str">
        <f>IFERROR(IF(OR(LEFT(P146,5)="Error",LEFT(O146,5)="Error"),"Check Data ⚠",IF(F146&lt;S146,'G-7 WaterC'' Data'!$R$3,INDEX('G-7 WaterC'' Data'!$U$5:$Y$9,MATCH(G146,'G-7 WaterC'' Data'!$T$5:$T$9,0),MATCH(T146,'G-7 WaterC'' Data'!$U$4:$Y$4,0)))),"")</f>
        <v/>
      </c>
      <c r="Z146" s="137"/>
      <c r="AA146" s="137"/>
      <c r="AB146" s="289" t="str">
        <f t="shared" si="23"/>
        <v/>
      </c>
      <c r="AC146" s="302" t="str">
        <f t="shared" si="24"/>
        <v/>
      </c>
      <c r="AD146" s="340" t="str">
        <f>IFERROR(IF(AC146="Check Data ⚠","Check Data ⚠",VLOOKUP(AC146,'G-4 Temporal multipliers'!$A$4:$C$37,3,FALSE)),"")</f>
        <v/>
      </c>
      <c r="AE146" s="281" t="str">
        <f>IF(N146="","",VLOOKUP(N146,'G-7 WaterC'' Data'!$B$4:$G$8,5,FALSE))</f>
        <v/>
      </c>
      <c r="AF146" s="289" t="str">
        <f t="shared" si="25"/>
        <v/>
      </c>
      <c r="AG146" s="320" t="str">
        <f t="shared" si="26"/>
        <v/>
      </c>
      <c r="AH146" s="282" t="str">
        <f t="shared" si="20"/>
        <v/>
      </c>
      <c r="AI146" s="109"/>
      <c r="AJ146" s="282" t="str">
        <f>IF(AI146="","",IF(AND(AI146="N/A - Culvert",N146&lt;&gt;"Culvert"),"Not possible ▲",IF(VLOOKUP(AI146,'G-7 WaterC'' Data'!$AA$4:$AB$7,2,FALSE)=0,"Spatial Data Missing ⚠",VLOOKUP(AI146,'G-7 WaterC'' Data'!$AA$4:$AB$7,2,FALSE))))</f>
        <v/>
      </c>
      <c r="AK146" s="110"/>
      <c r="AL146" s="282" t="str">
        <f>IF(AK146="","",IF(AND(AK146="N/A - Culvert",N146&lt;&gt;"Culvert"),"Not possible ▲",IF(VLOOKUP(AK146,'G-7 WaterC'' Data'!$AD$4:$AE$14,2,FALSE)=0,"Spatial Data Missing ⚠",VLOOKUP(AK146,'G-7 WaterC'' Data'!$AD$4:$AE$14,2,FALSE))))</f>
        <v/>
      </c>
      <c r="AM146" s="323" t="str">
        <f t="shared" si="27"/>
        <v/>
      </c>
      <c r="AN146" s="105"/>
      <c r="AO146" s="119"/>
      <c r="AP146" s="108"/>
      <c r="AS146" s="30" t="str">
        <f>IF(B146="","",IF(ISNA(VLOOKUP($B146,'C-1 On-Site WaterC'' Baseline'!$C$8:$AD$257,17,FALSE)),"",(VLOOKUP($B146,'C-1 On-Site WaterC'' Baseline'!$C$8:$AD$257,17,FALSE))))</f>
        <v/>
      </c>
      <c r="AT146" s="30" t="str">
        <f>IF(B146="","",VLOOKUP($B146,'C-1 On-Site WaterC'' Baseline'!$C$9:$Z$257,12,FALSE))</f>
        <v/>
      </c>
      <c r="AU146" s="30" t="str">
        <f>IF(B146="","",VLOOKUP($B146,'C-1 On-Site WaterC'' Baseline'!$C$9:$Z$257,14,FALSE))</f>
        <v/>
      </c>
      <c r="AV146" s="30" t="str">
        <f>IFERROR(INDEX('G-7 WaterC'' Data'!$AZ$3:$AZ$7,MATCH(N146,'G-7 WaterC'' Data'!$AY$3:$AY$7,0)),"")</f>
        <v/>
      </c>
      <c r="AX146" s="30" t="str">
        <f>IF(B146="","",VLOOKUP($B146,'C-1 On-Site WaterC'' Baseline'!$C$9:$Y$257,22,FALSE))</f>
        <v/>
      </c>
      <c r="AY146" s="30" t="str">
        <f t="shared" si="28"/>
        <v/>
      </c>
      <c r="AZ146" s="30" t="str">
        <f>IF(B146="","",VLOOKUP($B146,'C-1 On-Site WaterC'' Baseline'!$C$9:$Y$257,21,FALSE))</f>
        <v/>
      </c>
      <c r="BA146" s="30" t="str">
        <f>IF(B146="","",VLOOKUP($B146,'C-1 On-Site WaterC'' Baseline'!$C$9:$Y$257,19,FALSE))</f>
        <v/>
      </c>
      <c r="BD146" s="30" t="str">
        <f t="shared" si="29"/>
        <v>No</v>
      </c>
    </row>
    <row r="147" spans="2:56" ht="13.8" x14ac:dyDescent="0.25">
      <c r="B147" s="311" t="str">
        <f>'C-1 On-Site WaterC'' Baseline'!AP145</f>
        <v/>
      </c>
      <c r="C147" s="301" t="str">
        <f>IF(B147="","",VLOOKUP($B147,'C-1 On-Site WaterC'' Baseline'!$C$9:$R$257,2,FALSE))</f>
        <v/>
      </c>
      <c r="D147" s="301" t="str">
        <f>IF(C147="","",VLOOKUP($B147,'C-1 On-Site WaterC'' Baseline'!$C$9:$R$257,3,FALSE))</f>
        <v/>
      </c>
      <c r="E147" s="301" t="str">
        <f>IF(D147="","",VLOOKUP($B147,'C-1 On-Site WaterC'' Baseline'!$C$9:$R$257,4,FALSE))</f>
        <v/>
      </c>
      <c r="F147" s="301" t="str">
        <f>IF(E147="","",VLOOKUP($B147,'C-1 On-Site WaterC'' Baseline'!$C$9:$R$257,5,FALSE))</f>
        <v/>
      </c>
      <c r="G147" s="301" t="str">
        <f>IF(F147="","",VLOOKUP($B147,'C-1 On-Site WaterC'' Baseline'!$C$9:$R$257,6,FALSE))</f>
        <v/>
      </c>
      <c r="H147" s="301" t="str">
        <f>IF(G147="","",VLOOKUP($B147,'C-1 On-Site WaterC'' Baseline'!$C$9:$R$257,7,FALSE))</f>
        <v/>
      </c>
      <c r="I147" s="301" t="str">
        <f>IF(H147="","",VLOOKUP($B147,'C-1 On-Site WaterC'' Baseline'!$C$9:$R$257,8,FALSE))</f>
        <v/>
      </c>
      <c r="J147" s="301" t="str">
        <f>IF(I147="","",VLOOKUP($B147,'C-1 On-Site WaterC'' Baseline'!$C$9:$R$257,9,FALSE))</f>
        <v/>
      </c>
      <c r="K147" s="301" t="str">
        <f>IF(J147="","",VLOOKUP($B147,'C-1 On-Site WaterC'' Baseline'!$C$9:$R$257,10,FALSE))</f>
        <v/>
      </c>
      <c r="L147" s="301" t="str">
        <f>IF(B147="","",VLOOKUP($B147,'C-1 On-Site WaterC'' Baseline'!$C$9:$R$257,15,FALSE))</f>
        <v/>
      </c>
      <c r="M147" s="305" t="str">
        <f>IF(L147="","",VLOOKUP($B147,'C-1 On-Site WaterC'' Baseline'!$C$9:$R$257,16,FALSE))</f>
        <v/>
      </c>
      <c r="N147" s="251"/>
      <c r="O147" s="281" t="str">
        <f t="shared" si="21"/>
        <v/>
      </c>
      <c r="P147" s="282" t="str">
        <f t="shared" si="22"/>
        <v/>
      </c>
      <c r="Q147" s="342" t="str">
        <f>IF(N147="","",VLOOKUP(B147,'C-1 On-Site WaterC'' Baseline'!$C$10:$AC$257,20,FALSE))</f>
        <v/>
      </c>
      <c r="R147" s="281" t="str">
        <f>IF(N147="","",VLOOKUP(N147,'G-7 WaterC'' Data'!$B$2:$G$8,2,FALSE))</f>
        <v/>
      </c>
      <c r="S147" s="282" t="str">
        <f>IFERROR(VLOOKUP(R147,'G-7 WaterC'' Data'!$C$4:$D$8,2,FALSE),"")</f>
        <v/>
      </c>
      <c r="T147" s="105"/>
      <c r="U147" s="282" t="str">
        <f>IFERROR(INDEX('G-7 WaterC'' Data'!$H$4:$L$8,MATCH(N147,'G-7 WaterC'' Data'!$B$4:$B$8,0),MATCH(T147,'G-7 WaterC'' Data'!$H$3:$L$3,0)),"")</f>
        <v/>
      </c>
      <c r="V147" s="105"/>
      <c r="W147" s="289" t="str">
        <f>IF(V147="","",IF(VLOOKUP(V147,'G-7 WaterC'' Data'!$AK$4:$AM$6,2,FALSE)=0,"Spatial Data Missing ⚠",VLOOKUP(V147,'G-7 WaterC'' Data'!$AK$4:$AM$6,2,FALSE)))</f>
        <v/>
      </c>
      <c r="X147" s="282" t="str">
        <f>IF(V147="","",IF(VLOOKUP(V147,'G-7 WaterC'' Data'!$AK$4:$AM$6,3,FALSE)=0,"Spatial Data Missing ⚠",VLOOKUP(V147,'G-7 WaterC'' Data'!$AK$4:$AM$6,3,FALSE)))</f>
        <v/>
      </c>
      <c r="Y147" s="281" t="str">
        <f>IFERROR(IF(OR(LEFT(P147,5)="Error",LEFT(O147,5)="Error"),"Check Data ⚠",IF(F147&lt;S147,'G-7 WaterC'' Data'!$R$3,INDEX('G-7 WaterC'' Data'!$U$5:$Y$9,MATCH(G147,'G-7 WaterC'' Data'!$T$5:$T$9,0),MATCH(T147,'G-7 WaterC'' Data'!$U$4:$Y$4,0)))),"")</f>
        <v/>
      </c>
      <c r="Z147" s="137"/>
      <c r="AA147" s="137"/>
      <c r="AB147" s="289" t="str">
        <f t="shared" si="23"/>
        <v/>
      </c>
      <c r="AC147" s="302" t="str">
        <f t="shared" si="24"/>
        <v/>
      </c>
      <c r="AD147" s="340" t="str">
        <f>IFERROR(IF(AC147="Check Data ⚠","Check Data ⚠",VLOOKUP(AC147,'G-4 Temporal multipliers'!$A$4:$C$37,3,FALSE)),"")</f>
        <v/>
      </c>
      <c r="AE147" s="281" t="str">
        <f>IF(N147="","",VLOOKUP(N147,'G-7 WaterC'' Data'!$B$4:$G$8,5,FALSE))</f>
        <v/>
      </c>
      <c r="AF147" s="289" t="str">
        <f t="shared" si="25"/>
        <v/>
      </c>
      <c r="AG147" s="320" t="str">
        <f t="shared" si="26"/>
        <v/>
      </c>
      <c r="AH147" s="282" t="str">
        <f t="shared" si="20"/>
        <v/>
      </c>
      <c r="AI147" s="109"/>
      <c r="AJ147" s="282" t="str">
        <f>IF(AI147="","",IF(AND(AI147="N/A - Culvert",N147&lt;&gt;"Culvert"),"Not possible ▲",IF(VLOOKUP(AI147,'G-7 WaterC'' Data'!$AA$4:$AB$7,2,FALSE)=0,"Spatial Data Missing ⚠",VLOOKUP(AI147,'G-7 WaterC'' Data'!$AA$4:$AB$7,2,FALSE))))</f>
        <v/>
      </c>
      <c r="AK147" s="110"/>
      <c r="AL147" s="282" t="str">
        <f>IF(AK147="","",IF(AND(AK147="N/A - Culvert",N147&lt;&gt;"Culvert"),"Not possible ▲",IF(VLOOKUP(AK147,'G-7 WaterC'' Data'!$AD$4:$AE$14,2,FALSE)=0,"Spatial Data Missing ⚠",VLOOKUP(AK147,'G-7 WaterC'' Data'!$AD$4:$AE$14,2,FALSE))))</f>
        <v/>
      </c>
      <c r="AM147" s="323" t="str">
        <f t="shared" si="27"/>
        <v/>
      </c>
      <c r="AN147" s="105"/>
      <c r="AO147" s="119"/>
      <c r="AP147" s="108"/>
      <c r="AS147" s="30" t="str">
        <f>IF(B147="","",IF(ISNA(VLOOKUP($B147,'C-1 On-Site WaterC'' Baseline'!$C$8:$AD$257,17,FALSE)),"",(VLOOKUP($B147,'C-1 On-Site WaterC'' Baseline'!$C$8:$AD$257,17,FALSE))))</f>
        <v/>
      </c>
      <c r="AT147" s="30" t="str">
        <f>IF(B147="","",VLOOKUP($B147,'C-1 On-Site WaterC'' Baseline'!$C$9:$Z$257,12,FALSE))</f>
        <v/>
      </c>
      <c r="AU147" s="30" t="str">
        <f>IF(B147="","",VLOOKUP($B147,'C-1 On-Site WaterC'' Baseline'!$C$9:$Z$257,14,FALSE))</f>
        <v/>
      </c>
      <c r="AV147" s="30" t="str">
        <f>IFERROR(INDEX('G-7 WaterC'' Data'!$AZ$3:$AZ$7,MATCH(N147,'G-7 WaterC'' Data'!$AY$3:$AY$7,0)),"")</f>
        <v/>
      </c>
      <c r="AX147" s="30" t="str">
        <f>IF(B147="","",VLOOKUP($B147,'C-1 On-Site WaterC'' Baseline'!$C$9:$Y$257,22,FALSE))</f>
        <v/>
      </c>
      <c r="AY147" s="30" t="str">
        <f t="shared" si="28"/>
        <v/>
      </c>
      <c r="AZ147" s="30" t="str">
        <f>IF(B147="","",VLOOKUP($B147,'C-1 On-Site WaterC'' Baseline'!$C$9:$Y$257,21,FALSE))</f>
        <v/>
      </c>
      <c r="BA147" s="30" t="str">
        <f>IF(B147="","",VLOOKUP($B147,'C-1 On-Site WaterC'' Baseline'!$C$9:$Y$257,19,FALSE))</f>
        <v/>
      </c>
      <c r="BD147" s="30" t="str">
        <f t="shared" si="29"/>
        <v>No</v>
      </c>
    </row>
    <row r="148" spans="2:56" ht="13.8" x14ac:dyDescent="0.25">
      <c r="B148" s="311" t="str">
        <f>'C-1 On-Site WaterC'' Baseline'!AP146</f>
        <v/>
      </c>
      <c r="C148" s="301" t="str">
        <f>IF(B148="","",VLOOKUP($B148,'C-1 On-Site WaterC'' Baseline'!$C$9:$R$257,2,FALSE))</f>
        <v/>
      </c>
      <c r="D148" s="301" t="str">
        <f>IF(C148="","",VLOOKUP($B148,'C-1 On-Site WaterC'' Baseline'!$C$9:$R$257,3,FALSE))</f>
        <v/>
      </c>
      <c r="E148" s="301" t="str">
        <f>IF(D148="","",VLOOKUP($B148,'C-1 On-Site WaterC'' Baseline'!$C$9:$R$257,4,FALSE))</f>
        <v/>
      </c>
      <c r="F148" s="301" t="str">
        <f>IF(E148="","",VLOOKUP($B148,'C-1 On-Site WaterC'' Baseline'!$C$9:$R$257,5,FALSE))</f>
        <v/>
      </c>
      <c r="G148" s="301" t="str">
        <f>IF(F148="","",VLOOKUP($B148,'C-1 On-Site WaterC'' Baseline'!$C$9:$R$257,6,FALSE))</f>
        <v/>
      </c>
      <c r="H148" s="301" t="str">
        <f>IF(G148="","",VLOOKUP($B148,'C-1 On-Site WaterC'' Baseline'!$C$9:$R$257,7,FALSE))</f>
        <v/>
      </c>
      <c r="I148" s="301" t="str">
        <f>IF(H148="","",VLOOKUP($B148,'C-1 On-Site WaterC'' Baseline'!$C$9:$R$257,8,FALSE))</f>
        <v/>
      </c>
      <c r="J148" s="301" t="str">
        <f>IF(I148="","",VLOOKUP($B148,'C-1 On-Site WaterC'' Baseline'!$C$9:$R$257,9,FALSE))</f>
        <v/>
      </c>
      <c r="K148" s="301" t="str">
        <f>IF(J148="","",VLOOKUP($B148,'C-1 On-Site WaterC'' Baseline'!$C$9:$R$257,10,FALSE))</f>
        <v/>
      </c>
      <c r="L148" s="301" t="str">
        <f>IF(B148="","",VLOOKUP($B148,'C-1 On-Site WaterC'' Baseline'!$C$9:$R$257,15,FALSE))</f>
        <v/>
      </c>
      <c r="M148" s="305" t="str">
        <f>IF(L148="","",VLOOKUP($B148,'C-1 On-Site WaterC'' Baseline'!$C$9:$R$257,16,FALSE))</f>
        <v/>
      </c>
      <c r="N148" s="251"/>
      <c r="O148" s="281" t="str">
        <f t="shared" si="21"/>
        <v/>
      </c>
      <c r="P148" s="282" t="str">
        <f t="shared" si="22"/>
        <v/>
      </c>
      <c r="Q148" s="342" t="str">
        <f>IF(N148="","",VLOOKUP(B148,'C-1 On-Site WaterC'' Baseline'!$C$10:$AC$257,20,FALSE))</f>
        <v/>
      </c>
      <c r="R148" s="281" t="str">
        <f>IF(N148="","",VLOOKUP(N148,'G-7 WaterC'' Data'!$B$2:$G$8,2,FALSE))</f>
        <v/>
      </c>
      <c r="S148" s="282" t="str">
        <f>IFERROR(VLOOKUP(R148,'G-7 WaterC'' Data'!$C$4:$D$8,2,FALSE),"")</f>
        <v/>
      </c>
      <c r="T148" s="105"/>
      <c r="U148" s="282" t="str">
        <f>IFERROR(INDEX('G-7 WaterC'' Data'!$H$4:$L$8,MATCH(N148,'G-7 WaterC'' Data'!$B$4:$B$8,0),MATCH(T148,'G-7 WaterC'' Data'!$H$3:$L$3,0)),"")</f>
        <v/>
      </c>
      <c r="V148" s="105"/>
      <c r="W148" s="289" t="str">
        <f>IF(V148="","",IF(VLOOKUP(V148,'G-7 WaterC'' Data'!$AK$4:$AM$6,2,FALSE)=0,"Spatial Data Missing ⚠",VLOOKUP(V148,'G-7 WaterC'' Data'!$AK$4:$AM$6,2,FALSE)))</f>
        <v/>
      </c>
      <c r="X148" s="282" t="str">
        <f>IF(V148="","",IF(VLOOKUP(V148,'G-7 WaterC'' Data'!$AK$4:$AM$6,3,FALSE)=0,"Spatial Data Missing ⚠",VLOOKUP(V148,'G-7 WaterC'' Data'!$AK$4:$AM$6,3,FALSE)))</f>
        <v/>
      </c>
      <c r="Y148" s="281" t="str">
        <f>IFERROR(IF(OR(LEFT(P148,5)="Error",LEFT(O148,5)="Error"),"Check Data ⚠",IF(F148&lt;S148,'G-7 WaterC'' Data'!$R$3,INDEX('G-7 WaterC'' Data'!$U$5:$Y$9,MATCH(G148,'G-7 WaterC'' Data'!$T$5:$T$9,0),MATCH(T148,'G-7 WaterC'' Data'!$U$4:$Y$4,0)))),"")</f>
        <v/>
      </c>
      <c r="Z148" s="137"/>
      <c r="AA148" s="137"/>
      <c r="AB148" s="289" t="str">
        <f t="shared" si="23"/>
        <v/>
      </c>
      <c r="AC148" s="302" t="str">
        <f t="shared" si="24"/>
        <v/>
      </c>
      <c r="AD148" s="340" t="str">
        <f>IFERROR(IF(AC148="Check Data ⚠","Check Data ⚠",VLOOKUP(AC148,'G-4 Temporal multipliers'!$A$4:$C$37,3,FALSE)),"")</f>
        <v/>
      </c>
      <c r="AE148" s="281" t="str">
        <f>IF(N148="","",VLOOKUP(N148,'G-7 WaterC'' Data'!$B$4:$G$8,5,FALSE))</f>
        <v/>
      </c>
      <c r="AF148" s="289" t="str">
        <f t="shared" si="25"/>
        <v/>
      </c>
      <c r="AG148" s="320" t="str">
        <f t="shared" si="26"/>
        <v/>
      </c>
      <c r="AH148" s="282" t="str">
        <f t="shared" si="20"/>
        <v/>
      </c>
      <c r="AI148" s="109"/>
      <c r="AJ148" s="282" t="str">
        <f>IF(AI148="","",IF(AND(AI148="N/A - Culvert",N148&lt;&gt;"Culvert"),"Not possible ▲",IF(VLOOKUP(AI148,'G-7 WaterC'' Data'!$AA$4:$AB$7,2,FALSE)=0,"Spatial Data Missing ⚠",VLOOKUP(AI148,'G-7 WaterC'' Data'!$AA$4:$AB$7,2,FALSE))))</f>
        <v/>
      </c>
      <c r="AK148" s="110"/>
      <c r="AL148" s="282" t="str">
        <f>IF(AK148="","",IF(AND(AK148="N/A - Culvert",N148&lt;&gt;"Culvert"),"Not possible ▲",IF(VLOOKUP(AK148,'G-7 WaterC'' Data'!$AD$4:$AE$14,2,FALSE)=0,"Spatial Data Missing ⚠",VLOOKUP(AK148,'G-7 WaterC'' Data'!$AD$4:$AE$14,2,FALSE))))</f>
        <v/>
      </c>
      <c r="AM148" s="323" t="str">
        <f t="shared" si="27"/>
        <v/>
      </c>
      <c r="AN148" s="105"/>
      <c r="AO148" s="119"/>
      <c r="AP148" s="108"/>
      <c r="AS148" s="30" t="str">
        <f>IF(B148="","",IF(ISNA(VLOOKUP($B148,'C-1 On-Site WaterC'' Baseline'!$C$8:$AD$257,17,FALSE)),"",(VLOOKUP($B148,'C-1 On-Site WaterC'' Baseline'!$C$8:$AD$257,17,FALSE))))</f>
        <v/>
      </c>
      <c r="AT148" s="30" t="str">
        <f>IF(B148="","",VLOOKUP($B148,'C-1 On-Site WaterC'' Baseline'!$C$9:$Z$257,12,FALSE))</f>
        <v/>
      </c>
      <c r="AU148" s="30" t="str">
        <f>IF(B148="","",VLOOKUP($B148,'C-1 On-Site WaterC'' Baseline'!$C$9:$Z$257,14,FALSE))</f>
        <v/>
      </c>
      <c r="AV148" s="30" t="str">
        <f>IFERROR(INDEX('G-7 WaterC'' Data'!$AZ$3:$AZ$7,MATCH(N148,'G-7 WaterC'' Data'!$AY$3:$AY$7,0)),"")</f>
        <v/>
      </c>
      <c r="AX148" s="30" t="str">
        <f>IF(B148="","",VLOOKUP($B148,'C-1 On-Site WaterC'' Baseline'!$C$9:$Y$257,22,FALSE))</f>
        <v/>
      </c>
      <c r="AY148" s="30" t="str">
        <f t="shared" si="28"/>
        <v/>
      </c>
      <c r="AZ148" s="30" t="str">
        <f>IF(B148="","",VLOOKUP($B148,'C-1 On-Site WaterC'' Baseline'!$C$9:$Y$257,21,FALSE))</f>
        <v/>
      </c>
      <c r="BA148" s="30" t="str">
        <f>IF(B148="","",VLOOKUP($B148,'C-1 On-Site WaterC'' Baseline'!$C$9:$Y$257,19,FALSE))</f>
        <v/>
      </c>
      <c r="BD148" s="30" t="str">
        <f t="shared" si="29"/>
        <v>No</v>
      </c>
    </row>
    <row r="149" spans="2:56" ht="13.8" x14ac:dyDescent="0.25">
      <c r="B149" s="311" t="str">
        <f>'C-1 On-Site WaterC'' Baseline'!AP147</f>
        <v/>
      </c>
      <c r="C149" s="301" t="str">
        <f>IF(B149="","",VLOOKUP($B149,'C-1 On-Site WaterC'' Baseline'!$C$9:$R$257,2,FALSE))</f>
        <v/>
      </c>
      <c r="D149" s="301" t="str">
        <f>IF(C149="","",VLOOKUP($B149,'C-1 On-Site WaterC'' Baseline'!$C$9:$R$257,3,FALSE))</f>
        <v/>
      </c>
      <c r="E149" s="301" t="str">
        <f>IF(D149="","",VLOOKUP($B149,'C-1 On-Site WaterC'' Baseline'!$C$9:$R$257,4,FALSE))</f>
        <v/>
      </c>
      <c r="F149" s="301" t="str">
        <f>IF(E149="","",VLOOKUP($B149,'C-1 On-Site WaterC'' Baseline'!$C$9:$R$257,5,FALSE))</f>
        <v/>
      </c>
      <c r="G149" s="301" t="str">
        <f>IF(F149="","",VLOOKUP($B149,'C-1 On-Site WaterC'' Baseline'!$C$9:$R$257,6,FALSE))</f>
        <v/>
      </c>
      <c r="H149" s="301" t="str">
        <f>IF(G149="","",VLOOKUP($B149,'C-1 On-Site WaterC'' Baseline'!$C$9:$R$257,7,FALSE))</f>
        <v/>
      </c>
      <c r="I149" s="301" t="str">
        <f>IF(H149="","",VLOOKUP($B149,'C-1 On-Site WaterC'' Baseline'!$C$9:$R$257,8,FALSE))</f>
        <v/>
      </c>
      <c r="J149" s="301" t="str">
        <f>IF(I149="","",VLOOKUP($B149,'C-1 On-Site WaterC'' Baseline'!$C$9:$R$257,9,FALSE))</f>
        <v/>
      </c>
      <c r="K149" s="301" t="str">
        <f>IF(J149="","",VLOOKUP($B149,'C-1 On-Site WaterC'' Baseline'!$C$9:$R$257,10,FALSE))</f>
        <v/>
      </c>
      <c r="L149" s="301" t="str">
        <f>IF(B149="","",VLOOKUP($B149,'C-1 On-Site WaterC'' Baseline'!$C$9:$R$257,15,FALSE))</f>
        <v/>
      </c>
      <c r="M149" s="305" t="str">
        <f>IF(L149="","",VLOOKUP($B149,'C-1 On-Site WaterC'' Baseline'!$C$9:$R$257,16,FALSE))</f>
        <v/>
      </c>
      <c r="N149" s="251"/>
      <c r="O149" s="281" t="str">
        <f t="shared" si="21"/>
        <v/>
      </c>
      <c r="P149" s="282" t="str">
        <f t="shared" si="22"/>
        <v/>
      </c>
      <c r="Q149" s="342" t="str">
        <f>IF(N149="","",VLOOKUP(B149,'C-1 On-Site WaterC'' Baseline'!$C$10:$AC$257,20,FALSE))</f>
        <v/>
      </c>
      <c r="R149" s="281" t="str">
        <f>IF(N149="","",VLOOKUP(N149,'G-7 WaterC'' Data'!$B$2:$G$8,2,FALSE))</f>
        <v/>
      </c>
      <c r="S149" s="282" t="str">
        <f>IFERROR(VLOOKUP(R149,'G-7 WaterC'' Data'!$C$4:$D$8,2,FALSE),"")</f>
        <v/>
      </c>
      <c r="T149" s="105"/>
      <c r="U149" s="282" t="str">
        <f>IFERROR(INDEX('G-7 WaterC'' Data'!$H$4:$L$8,MATCH(N149,'G-7 WaterC'' Data'!$B$4:$B$8,0),MATCH(T149,'G-7 WaterC'' Data'!$H$3:$L$3,0)),"")</f>
        <v/>
      </c>
      <c r="V149" s="105"/>
      <c r="W149" s="289" t="str">
        <f>IF(V149="","",IF(VLOOKUP(V149,'G-7 WaterC'' Data'!$AK$4:$AM$6,2,FALSE)=0,"Spatial Data Missing ⚠",VLOOKUP(V149,'G-7 WaterC'' Data'!$AK$4:$AM$6,2,FALSE)))</f>
        <v/>
      </c>
      <c r="X149" s="282" t="str">
        <f>IF(V149="","",IF(VLOOKUP(V149,'G-7 WaterC'' Data'!$AK$4:$AM$6,3,FALSE)=0,"Spatial Data Missing ⚠",VLOOKUP(V149,'G-7 WaterC'' Data'!$AK$4:$AM$6,3,FALSE)))</f>
        <v/>
      </c>
      <c r="Y149" s="281" t="str">
        <f>IFERROR(IF(OR(LEFT(P149,5)="Error",LEFT(O149,5)="Error"),"Check Data ⚠",IF(F149&lt;S149,'G-7 WaterC'' Data'!$R$3,INDEX('G-7 WaterC'' Data'!$U$5:$Y$9,MATCH(G149,'G-7 WaterC'' Data'!$T$5:$T$9,0),MATCH(T149,'G-7 WaterC'' Data'!$U$4:$Y$4,0)))),"")</f>
        <v/>
      </c>
      <c r="Z149" s="137"/>
      <c r="AA149" s="137"/>
      <c r="AB149" s="289" t="str">
        <f t="shared" si="23"/>
        <v/>
      </c>
      <c r="AC149" s="302" t="str">
        <f t="shared" si="24"/>
        <v/>
      </c>
      <c r="AD149" s="340" t="str">
        <f>IFERROR(IF(AC149="Check Data ⚠","Check Data ⚠",VLOOKUP(AC149,'G-4 Temporal multipliers'!$A$4:$C$37,3,FALSE)),"")</f>
        <v/>
      </c>
      <c r="AE149" s="281" t="str">
        <f>IF(N149="","",VLOOKUP(N149,'G-7 WaterC'' Data'!$B$4:$G$8,5,FALSE))</f>
        <v/>
      </c>
      <c r="AF149" s="289" t="str">
        <f t="shared" si="25"/>
        <v/>
      </c>
      <c r="AG149" s="320" t="str">
        <f t="shared" si="26"/>
        <v/>
      </c>
      <c r="AH149" s="282" t="str">
        <f t="shared" si="20"/>
        <v/>
      </c>
      <c r="AI149" s="109"/>
      <c r="AJ149" s="282" t="str">
        <f>IF(AI149="","",IF(AND(AI149="N/A - Culvert",N149&lt;&gt;"Culvert"),"Not possible ▲",IF(VLOOKUP(AI149,'G-7 WaterC'' Data'!$AA$4:$AB$7,2,FALSE)=0,"Spatial Data Missing ⚠",VLOOKUP(AI149,'G-7 WaterC'' Data'!$AA$4:$AB$7,2,FALSE))))</f>
        <v/>
      </c>
      <c r="AK149" s="110"/>
      <c r="AL149" s="282" t="str">
        <f>IF(AK149="","",IF(AND(AK149="N/A - Culvert",N149&lt;&gt;"Culvert"),"Not possible ▲",IF(VLOOKUP(AK149,'G-7 WaterC'' Data'!$AD$4:$AE$14,2,FALSE)=0,"Spatial Data Missing ⚠",VLOOKUP(AK149,'G-7 WaterC'' Data'!$AD$4:$AE$14,2,FALSE))))</f>
        <v/>
      </c>
      <c r="AM149" s="323" t="str">
        <f t="shared" si="27"/>
        <v/>
      </c>
      <c r="AN149" s="105"/>
      <c r="AO149" s="119"/>
      <c r="AP149" s="108"/>
      <c r="AS149" s="30" t="str">
        <f>IF(B149="","",IF(ISNA(VLOOKUP($B149,'C-1 On-Site WaterC'' Baseline'!$C$8:$AD$257,17,FALSE)),"",(VLOOKUP($B149,'C-1 On-Site WaterC'' Baseline'!$C$8:$AD$257,17,FALSE))))</f>
        <v/>
      </c>
      <c r="AT149" s="30" t="str">
        <f>IF(B149="","",VLOOKUP($B149,'C-1 On-Site WaterC'' Baseline'!$C$9:$Z$257,12,FALSE))</f>
        <v/>
      </c>
      <c r="AU149" s="30" t="str">
        <f>IF(B149="","",VLOOKUP($B149,'C-1 On-Site WaterC'' Baseline'!$C$9:$Z$257,14,FALSE))</f>
        <v/>
      </c>
      <c r="AV149" s="30" t="str">
        <f>IFERROR(INDEX('G-7 WaterC'' Data'!$AZ$3:$AZ$7,MATCH(N149,'G-7 WaterC'' Data'!$AY$3:$AY$7,0)),"")</f>
        <v/>
      </c>
      <c r="AX149" s="30" t="str">
        <f>IF(B149="","",VLOOKUP($B149,'C-1 On-Site WaterC'' Baseline'!$C$9:$Y$257,22,FALSE))</f>
        <v/>
      </c>
      <c r="AY149" s="30" t="str">
        <f t="shared" si="28"/>
        <v/>
      </c>
      <c r="AZ149" s="30" t="str">
        <f>IF(B149="","",VLOOKUP($B149,'C-1 On-Site WaterC'' Baseline'!$C$9:$Y$257,21,FALSE))</f>
        <v/>
      </c>
      <c r="BA149" s="30" t="str">
        <f>IF(B149="","",VLOOKUP($B149,'C-1 On-Site WaterC'' Baseline'!$C$9:$Y$257,19,FALSE))</f>
        <v/>
      </c>
      <c r="BD149" s="30" t="str">
        <f t="shared" si="29"/>
        <v>No</v>
      </c>
    </row>
    <row r="150" spans="2:56" ht="13.8" x14ac:dyDescent="0.25">
      <c r="B150" s="311" t="str">
        <f>'C-1 On-Site WaterC'' Baseline'!AP148</f>
        <v/>
      </c>
      <c r="C150" s="301" t="str">
        <f>IF(B150="","",VLOOKUP($B150,'C-1 On-Site WaterC'' Baseline'!$C$9:$R$257,2,FALSE))</f>
        <v/>
      </c>
      <c r="D150" s="301" t="str">
        <f>IF(C150="","",VLOOKUP($B150,'C-1 On-Site WaterC'' Baseline'!$C$9:$R$257,3,FALSE))</f>
        <v/>
      </c>
      <c r="E150" s="301" t="str">
        <f>IF(D150="","",VLOOKUP($B150,'C-1 On-Site WaterC'' Baseline'!$C$9:$R$257,4,FALSE))</f>
        <v/>
      </c>
      <c r="F150" s="301" t="str">
        <f>IF(E150="","",VLOOKUP($B150,'C-1 On-Site WaterC'' Baseline'!$C$9:$R$257,5,FALSE))</f>
        <v/>
      </c>
      <c r="G150" s="301" t="str">
        <f>IF(F150="","",VLOOKUP($B150,'C-1 On-Site WaterC'' Baseline'!$C$9:$R$257,6,FALSE))</f>
        <v/>
      </c>
      <c r="H150" s="301" t="str">
        <f>IF(G150="","",VLOOKUP($B150,'C-1 On-Site WaterC'' Baseline'!$C$9:$R$257,7,FALSE))</f>
        <v/>
      </c>
      <c r="I150" s="301" t="str">
        <f>IF(H150="","",VLOOKUP($B150,'C-1 On-Site WaterC'' Baseline'!$C$9:$R$257,8,FALSE))</f>
        <v/>
      </c>
      <c r="J150" s="301" t="str">
        <f>IF(I150="","",VLOOKUP($B150,'C-1 On-Site WaterC'' Baseline'!$C$9:$R$257,9,FALSE))</f>
        <v/>
      </c>
      <c r="K150" s="301" t="str">
        <f>IF(J150="","",VLOOKUP($B150,'C-1 On-Site WaterC'' Baseline'!$C$9:$R$257,10,FALSE))</f>
        <v/>
      </c>
      <c r="L150" s="301" t="str">
        <f>IF(B150="","",VLOOKUP($B150,'C-1 On-Site WaterC'' Baseline'!$C$9:$R$257,15,FALSE))</f>
        <v/>
      </c>
      <c r="M150" s="305" t="str">
        <f>IF(L150="","",VLOOKUP($B150,'C-1 On-Site WaterC'' Baseline'!$C$9:$R$257,16,FALSE))</f>
        <v/>
      </c>
      <c r="N150" s="251"/>
      <c r="O150" s="281" t="str">
        <f t="shared" si="21"/>
        <v/>
      </c>
      <c r="P150" s="282" t="str">
        <f t="shared" si="22"/>
        <v/>
      </c>
      <c r="Q150" s="342" t="str">
        <f>IF(N150="","",VLOOKUP(B150,'C-1 On-Site WaterC'' Baseline'!$C$10:$AC$257,20,FALSE))</f>
        <v/>
      </c>
      <c r="R150" s="281" t="str">
        <f>IF(N150="","",VLOOKUP(N150,'G-7 WaterC'' Data'!$B$2:$G$8,2,FALSE))</f>
        <v/>
      </c>
      <c r="S150" s="282" t="str">
        <f>IFERROR(VLOOKUP(R150,'G-7 WaterC'' Data'!$C$4:$D$8,2,FALSE),"")</f>
        <v/>
      </c>
      <c r="T150" s="105"/>
      <c r="U150" s="282" t="str">
        <f>IFERROR(INDEX('G-7 WaterC'' Data'!$H$4:$L$8,MATCH(N150,'G-7 WaterC'' Data'!$B$4:$B$8,0),MATCH(T150,'G-7 WaterC'' Data'!$H$3:$L$3,0)),"")</f>
        <v/>
      </c>
      <c r="V150" s="105"/>
      <c r="W150" s="289" t="str">
        <f>IF(V150="","",IF(VLOOKUP(V150,'G-7 WaterC'' Data'!$AK$4:$AM$6,2,FALSE)=0,"Spatial Data Missing ⚠",VLOOKUP(V150,'G-7 WaterC'' Data'!$AK$4:$AM$6,2,FALSE)))</f>
        <v/>
      </c>
      <c r="X150" s="282" t="str">
        <f>IF(V150="","",IF(VLOOKUP(V150,'G-7 WaterC'' Data'!$AK$4:$AM$6,3,FALSE)=0,"Spatial Data Missing ⚠",VLOOKUP(V150,'G-7 WaterC'' Data'!$AK$4:$AM$6,3,FALSE)))</f>
        <v/>
      </c>
      <c r="Y150" s="281" t="str">
        <f>IFERROR(IF(OR(LEFT(P150,5)="Error",LEFT(O150,5)="Error"),"Check Data ⚠",IF(F150&lt;S150,'G-7 WaterC'' Data'!$R$3,INDEX('G-7 WaterC'' Data'!$U$5:$Y$9,MATCH(G150,'G-7 WaterC'' Data'!$T$5:$T$9,0),MATCH(T150,'G-7 WaterC'' Data'!$U$4:$Y$4,0)))),"")</f>
        <v/>
      </c>
      <c r="Z150" s="137"/>
      <c r="AA150" s="137"/>
      <c r="AB150" s="289" t="str">
        <f t="shared" si="23"/>
        <v/>
      </c>
      <c r="AC150" s="302" t="str">
        <f t="shared" si="24"/>
        <v/>
      </c>
      <c r="AD150" s="340" t="str">
        <f>IFERROR(IF(AC150="Check Data ⚠","Check Data ⚠",VLOOKUP(AC150,'G-4 Temporal multipliers'!$A$4:$C$37,3,FALSE)),"")</f>
        <v/>
      </c>
      <c r="AE150" s="281" t="str">
        <f>IF(N150="","",VLOOKUP(N150,'G-7 WaterC'' Data'!$B$4:$G$8,5,FALSE))</f>
        <v/>
      </c>
      <c r="AF150" s="289" t="str">
        <f t="shared" si="25"/>
        <v/>
      </c>
      <c r="AG150" s="320" t="str">
        <f t="shared" si="26"/>
        <v/>
      </c>
      <c r="AH150" s="282" t="str">
        <f t="shared" si="20"/>
        <v/>
      </c>
      <c r="AI150" s="109"/>
      <c r="AJ150" s="282" t="str">
        <f>IF(AI150="","",IF(AND(AI150="N/A - Culvert",N150&lt;&gt;"Culvert"),"Not possible ▲",IF(VLOOKUP(AI150,'G-7 WaterC'' Data'!$AA$4:$AB$7,2,FALSE)=0,"Spatial Data Missing ⚠",VLOOKUP(AI150,'G-7 WaterC'' Data'!$AA$4:$AB$7,2,FALSE))))</f>
        <v/>
      </c>
      <c r="AK150" s="110"/>
      <c r="AL150" s="282" t="str">
        <f>IF(AK150="","",IF(AND(AK150="N/A - Culvert",N150&lt;&gt;"Culvert"),"Not possible ▲",IF(VLOOKUP(AK150,'G-7 WaterC'' Data'!$AD$4:$AE$14,2,FALSE)=0,"Spatial Data Missing ⚠",VLOOKUP(AK150,'G-7 WaterC'' Data'!$AD$4:$AE$14,2,FALSE))))</f>
        <v/>
      </c>
      <c r="AM150" s="323" t="str">
        <f t="shared" si="27"/>
        <v/>
      </c>
      <c r="AN150" s="105"/>
      <c r="AO150" s="119"/>
      <c r="AP150" s="108"/>
      <c r="AS150" s="30" t="str">
        <f>IF(B150="","",IF(ISNA(VLOOKUP($B150,'C-1 On-Site WaterC'' Baseline'!$C$8:$AD$257,17,FALSE)),"",(VLOOKUP($B150,'C-1 On-Site WaterC'' Baseline'!$C$8:$AD$257,17,FALSE))))</f>
        <v/>
      </c>
      <c r="AT150" s="30" t="str">
        <f>IF(B150="","",VLOOKUP($B150,'C-1 On-Site WaterC'' Baseline'!$C$9:$Z$257,12,FALSE))</f>
        <v/>
      </c>
      <c r="AU150" s="30" t="str">
        <f>IF(B150="","",VLOOKUP($B150,'C-1 On-Site WaterC'' Baseline'!$C$9:$Z$257,14,FALSE))</f>
        <v/>
      </c>
      <c r="AV150" s="30" t="str">
        <f>IFERROR(INDEX('G-7 WaterC'' Data'!$AZ$3:$AZ$7,MATCH(N150,'G-7 WaterC'' Data'!$AY$3:$AY$7,0)),"")</f>
        <v/>
      </c>
      <c r="AX150" s="30" t="str">
        <f>IF(B150="","",VLOOKUP($B150,'C-1 On-Site WaterC'' Baseline'!$C$9:$Y$257,22,FALSE))</f>
        <v/>
      </c>
      <c r="AY150" s="30" t="str">
        <f t="shared" si="28"/>
        <v/>
      </c>
      <c r="AZ150" s="30" t="str">
        <f>IF(B150="","",VLOOKUP($B150,'C-1 On-Site WaterC'' Baseline'!$C$9:$Y$257,21,FALSE))</f>
        <v/>
      </c>
      <c r="BA150" s="30" t="str">
        <f>IF(B150="","",VLOOKUP($B150,'C-1 On-Site WaterC'' Baseline'!$C$9:$Y$257,19,FALSE))</f>
        <v/>
      </c>
      <c r="BD150" s="30" t="str">
        <f t="shared" si="29"/>
        <v>No</v>
      </c>
    </row>
    <row r="151" spans="2:56" ht="13.8" x14ac:dyDescent="0.25">
      <c r="B151" s="311" t="str">
        <f>'C-1 On-Site WaterC'' Baseline'!AP149</f>
        <v/>
      </c>
      <c r="C151" s="301" t="str">
        <f>IF(B151="","",VLOOKUP($B151,'C-1 On-Site WaterC'' Baseline'!$C$9:$R$257,2,FALSE))</f>
        <v/>
      </c>
      <c r="D151" s="301" t="str">
        <f>IF(C151="","",VLOOKUP($B151,'C-1 On-Site WaterC'' Baseline'!$C$9:$R$257,3,FALSE))</f>
        <v/>
      </c>
      <c r="E151" s="301" t="str">
        <f>IF(D151="","",VLOOKUP($B151,'C-1 On-Site WaterC'' Baseline'!$C$9:$R$257,4,FALSE))</f>
        <v/>
      </c>
      <c r="F151" s="301" t="str">
        <f>IF(E151="","",VLOOKUP($B151,'C-1 On-Site WaterC'' Baseline'!$C$9:$R$257,5,FALSE))</f>
        <v/>
      </c>
      <c r="G151" s="301" t="str">
        <f>IF(F151="","",VLOOKUP($B151,'C-1 On-Site WaterC'' Baseline'!$C$9:$R$257,6,FALSE))</f>
        <v/>
      </c>
      <c r="H151" s="301" t="str">
        <f>IF(G151="","",VLOOKUP($B151,'C-1 On-Site WaterC'' Baseline'!$C$9:$R$257,7,FALSE))</f>
        <v/>
      </c>
      <c r="I151" s="301" t="str">
        <f>IF(H151="","",VLOOKUP($B151,'C-1 On-Site WaterC'' Baseline'!$C$9:$R$257,8,FALSE))</f>
        <v/>
      </c>
      <c r="J151" s="301" t="str">
        <f>IF(I151="","",VLOOKUP($B151,'C-1 On-Site WaterC'' Baseline'!$C$9:$R$257,9,FALSE))</f>
        <v/>
      </c>
      <c r="K151" s="301" t="str">
        <f>IF(J151="","",VLOOKUP($B151,'C-1 On-Site WaterC'' Baseline'!$C$9:$R$257,10,FALSE))</f>
        <v/>
      </c>
      <c r="L151" s="301" t="str">
        <f>IF(B151="","",VLOOKUP($B151,'C-1 On-Site WaterC'' Baseline'!$C$9:$R$257,15,FALSE))</f>
        <v/>
      </c>
      <c r="M151" s="305" t="str">
        <f>IF(L151="","",VLOOKUP($B151,'C-1 On-Site WaterC'' Baseline'!$C$9:$R$257,16,FALSE))</f>
        <v/>
      </c>
      <c r="N151" s="251"/>
      <c r="O151" s="281" t="str">
        <f t="shared" si="21"/>
        <v/>
      </c>
      <c r="P151" s="282" t="str">
        <f t="shared" si="22"/>
        <v/>
      </c>
      <c r="Q151" s="342" t="str">
        <f>IF(N151="","",VLOOKUP(B151,'C-1 On-Site WaterC'' Baseline'!$C$10:$AC$257,20,FALSE))</f>
        <v/>
      </c>
      <c r="R151" s="281" t="str">
        <f>IF(N151="","",VLOOKUP(N151,'G-7 WaterC'' Data'!$B$2:$G$8,2,FALSE))</f>
        <v/>
      </c>
      <c r="S151" s="282" t="str">
        <f>IFERROR(VLOOKUP(R151,'G-7 WaterC'' Data'!$C$4:$D$8,2,FALSE),"")</f>
        <v/>
      </c>
      <c r="T151" s="105"/>
      <c r="U151" s="282" t="str">
        <f>IFERROR(INDEX('G-7 WaterC'' Data'!$H$4:$L$8,MATCH(N151,'G-7 WaterC'' Data'!$B$4:$B$8,0),MATCH(T151,'G-7 WaterC'' Data'!$H$3:$L$3,0)),"")</f>
        <v/>
      </c>
      <c r="V151" s="105"/>
      <c r="W151" s="289" t="str">
        <f>IF(V151="","",IF(VLOOKUP(V151,'G-7 WaterC'' Data'!$AK$4:$AM$6,2,FALSE)=0,"Spatial Data Missing ⚠",VLOOKUP(V151,'G-7 WaterC'' Data'!$AK$4:$AM$6,2,FALSE)))</f>
        <v/>
      </c>
      <c r="X151" s="282" t="str">
        <f>IF(V151="","",IF(VLOOKUP(V151,'G-7 WaterC'' Data'!$AK$4:$AM$6,3,FALSE)=0,"Spatial Data Missing ⚠",VLOOKUP(V151,'G-7 WaterC'' Data'!$AK$4:$AM$6,3,FALSE)))</f>
        <v/>
      </c>
      <c r="Y151" s="281" t="str">
        <f>IFERROR(IF(OR(LEFT(P151,5)="Error",LEFT(O151,5)="Error"),"Check Data ⚠",IF(F151&lt;S151,'G-7 WaterC'' Data'!$R$3,INDEX('G-7 WaterC'' Data'!$U$5:$Y$9,MATCH(G151,'G-7 WaterC'' Data'!$T$5:$T$9,0),MATCH(T151,'G-7 WaterC'' Data'!$U$4:$Y$4,0)))),"")</f>
        <v/>
      </c>
      <c r="Z151" s="137"/>
      <c r="AA151" s="137"/>
      <c r="AB151" s="289" t="str">
        <f t="shared" si="23"/>
        <v/>
      </c>
      <c r="AC151" s="302" t="str">
        <f t="shared" si="24"/>
        <v/>
      </c>
      <c r="AD151" s="340" t="str">
        <f>IFERROR(IF(AC151="Check Data ⚠","Check Data ⚠",VLOOKUP(AC151,'G-4 Temporal multipliers'!$A$4:$C$37,3,FALSE)),"")</f>
        <v/>
      </c>
      <c r="AE151" s="281" t="str">
        <f>IF(N151="","",VLOOKUP(N151,'G-7 WaterC'' Data'!$B$4:$G$8,5,FALSE))</f>
        <v/>
      </c>
      <c r="AF151" s="289" t="str">
        <f t="shared" si="25"/>
        <v/>
      </c>
      <c r="AG151" s="320" t="str">
        <f t="shared" si="26"/>
        <v/>
      </c>
      <c r="AH151" s="282" t="str">
        <f t="shared" si="20"/>
        <v/>
      </c>
      <c r="AI151" s="109"/>
      <c r="AJ151" s="282" t="str">
        <f>IF(AI151="","",IF(AND(AI151="N/A - Culvert",N151&lt;&gt;"Culvert"),"Not possible ▲",IF(VLOOKUP(AI151,'G-7 WaterC'' Data'!$AA$4:$AB$7,2,FALSE)=0,"Spatial Data Missing ⚠",VLOOKUP(AI151,'G-7 WaterC'' Data'!$AA$4:$AB$7,2,FALSE))))</f>
        <v/>
      </c>
      <c r="AK151" s="110"/>
      <c r="AL151" s="282" t="str">
        <f>IF(AK151="","",IF(AND(AK151="N/A - Culvert",N151&lt;&gt;"Culvert"),"Not possible ▲",IF(VLOOKUP(AK151,'G-7 WaterC'' Data'!$AD$4:$AE$14,2,FALSE)=0,"Spatial Data Missing ⚠",VLOOKUP(AK151,'G-7 WaterC'' Data'!$AD$4:$AE$14,2,FALSE))))</f>
        <v/>
      </c>
      <c r="AM151" s="323" t="str">
        <f t="shared" si="27"/>
        <v/>
      </c>
      <c r="AN151" s="105"/>
      <c r="AO151" s="119"/>
      <c r="AP151" s="108"/>
      <c r="AS151" s="30" t="str">
        <f>IF(B151="","",IF(ISNA(VLOOKUP($B151,'C-1 On-Site WaterC'' Baseline'!$C$8:$AD$257,17,FALSE)),"",(VLOOKUP($B151,'C-1 On-Site WaterC'' Baseline'!$C$8:$AD$257,17,FALSE))))</f>
        <v/>
      </c>
      <c r="AT151" s="30" t="str">
        <f>IF(B151="","",VLOOKUP($B151,'C-1 On-Site WaterC'' Baseline'!$C$9:$Z$257,12,FALSE))</f>
        <v/>
      </c>
      <c r="AU151" s="30" t="str">
        <f>IF(B151="","",VLOOKUP($B151,'C-1 On-Site WaterC'' Baseline'!$C$9:$Z$257,14,FALSE))</f>
        <v/>
      </c>
      <c r="AV151" s="30" t="str">
        <f>IFERROR(INDEX('G-7 WaterC'' Data'!$AZ$3:$AZ$7,MATCH(N151,'G-7 WaterC'' Data'!$AY$3:$AY$7,0)),"")</f>
        <v/>
      </c>
      <c r="AX151" s="30" t="str">
        <f>IF(B151="","",VLOOKUP($B151,'C-1 On-Site WaterC'' Baseline'!$C$9:$Y$257,22,FALSE))</f>
        <v/>
      </c>
      <c r="AY151" s="30" t="str">
        <f t="shared" si="28"/>
        <v/>
      </c>
      <c r="AZ151" s="30" t="str">
        <f>IF(B151="","",VLOOKUP($B151,'C-1 On-Site WaterC'' Baseline'!$C$9:$Y$257,21,FALSE))</f>
        <v/>
      </c>
      <c r="BA151" s="30" t="str">
        <f>IF(B151="","",VLOOKUP($B151,'C-1 On-Site WaterC'' Baseline'!$C$9:$Y$257,19,FALSE))</f>
        <v/>
      </c>
      <c r="BD151" s="30" t="str">
        <f t="shared" si="29"/>
        <v>No</v>
      </c>
    </row>
    <row r="152" spans="2:56" ht="13.8" x14ac:dyDescent="0.25">
      <c r="B152" s="311" t="str">
        <f>'C-1 On-Site WaterC'' Baseline'!AP150</f>
        <v/>
      </c>
      <c r="C152" s="301" t="str">
        <f>IF(B152="","",VLOOKUP($B152,'C-1 On-Site WaterC'' Baseline'!$C$9:$R$257,2,FALSE))</f>
        <v/>
      </c>
      <c r="D152" s="301" t="str">
        <f>IF(C152="","",VLOOKUP($B152,'C-1 On-Site WaterC'' Baseline'!$C$9:$R$257,3,FALSE))</f>
        <v/>
      </c>
      <c r="E152" s="301" t="str">
        <f>IF(D152="","",VLOOKUP($B152,'C-1 On-Site WaterC'' Baseline'!$C$9:$R$257,4,FALSE))</f>
        <v/>
      </c>
      <c r="F152" s="301" t="str">
        <f>IF(E152="","",VLOOKUP($B152,'C-1 On-Site WaterC'' Baseline'!$C$9:$R$257,5,FALSE))</f>
        <v/>
      </c>
      <c r="G152" s="301" t="str">
        <f>IF(F152="","",VLOOKUP($B152,'C-1 On-Site WaterC'' Baseline'!$C$9:$R$257,6,FALSE))</f>
        <v/>
      </c>
      <c r="H152" s="301" t="str">
        <f>IF(G152="","",VLOOKUP($B152,'C-1 On-Site WaterC'' Baseline'!$C$9:$R$257,7,FALSE))</f>
        <v/>
      </c>
      <c r="I152" s="301" t="str">
        <f>IF(H152="","",VLOOKUP($B152,'C-1 On-Site WaterC'' Baseline'!$C$9:$R$257,8,FALSE))</f>
        <v/>
      </c>
      <c r="J152" s="301" t="str">
        <f>IF(I152="","",VLOOKUP($B152,'C-1 On-Site WaterC'' Baseline'!$C$9:$R$257,9,FALSE))</f>
        <v/>
      </c>
      <c r="K152" s="301" t="str">
        <f>IF(J152="","",VLOOKUP($B152,'C-1 On-Site WaterC'' Baseline'!$C$9:$R$257,10,FALSE))</f>
        <v/>
      </c>
      <c r="L152" s="301" t="str">
        <f>IF(B152="","",VLOOKUP($B152,'C-1 On-Site WaterC'' Baseline'!$C$9:$R$257,15,FALSE))</f>
        <v/>
      </c>
      <c r="M152" s="305" t="str">
        <f>IF(L152="","",VLOOKUP($B152,'C-1 On-Site WaterC'' Baseline'!$C$9:$R$257,16,FALSE))</f>
        <v/>
      </c>
      <c r="N152" s="251"/>
      <c r="O152" s="281" t="str">
        <f t="shared" si="21"/>
        <v/>
      </c>
      <c r="P152" s="282" t="str">
        <f t="shared" si="22"/>
        <v/>
      </c>
      <c r="Q152" s="342" t="str">
        <f>IF(N152="","",VLOOKUP(B152,'C-1 On-Site WaterC'' Baseline'!$C$10:$AC$257,20,FALSE))</f>
        <v/>
      </c>
      <c r="R152" s="281" t="str">
        <f>IF(N152="","",VLOOKUP(N152,'G-7 WaterC'' Data'!$B$2:$G$8,2,FALSE))</f>
        <v/>
      </c>
      <c r="S152" s="282" t="str">
        <f>IFERROR(VLOOKUP(R152,'G-7 WaterC'' Data'!$C$4:$D$8,2,FALSE),"")</f>
        <v/>
      </c>
      <c r="T152" s="105"/>
      <c r="U152" s="282" t="str">
        <f>IFERROR(INDEX('G-7 WaterC'' Data'!$H$4:$L$8,MATCH(N152,'G-7 WaterC'' Data'!$B$4:$B$8,0),MATCH(T152,'G-7 WaterC'' Data'!$H$3:$L$3,0)),"")</f>
        <v/>
      </c>
      <c r="V152" s="105"/>
      <c r="W152" s="289" t="str">
        <f>IF(V152="","",IF(VLOOKUP(V152,'G-7 WaterC'' Data'!$AK$4:$AM$6,2,FALSE)=0,"Spatial Data Missing ⚠",VLOOKUP(V152,'G-7 WaterC'' Data'!$AK$4:$AM$6,2,FALSE)))</f>
        <v/>
      </c>
      <c r="X152" s="282" t="str">
        <f>IF(V152="","",IF(VLOOKUP(V152,'G-7 WaterC'' Data'!$AK$4:$AM$6,3,FALSE)=0,"Spatial Data Missing ⚠",VLOOKUP(V152,'G-7 WaterC'' Data'!$AK$4:$AM$6,3,FALSE)))</f>
        <v/>
      </c>
      <c r="Y152" s="281" t="str">
        <f>IFERROR(IF(OR(LEFT(P152,5)="Error",LEFT(O152,5)="Error"),"Check Data ⚠",IF(F152&lt;S152,'G-7 WaterC'' Data'!$R$3,INDEX('G-7 WaterC'' Data'!$U$5:$Y$9,MATCH(G152,'G-7 WaterC'' Data'!$T$5:$T$9,0),MATCH(T152,'G-7 WaterC'' Data'!$U$4:$Y$4,0)))),"")</f>
        <v/>
      </c>
      <c r="Z152" s="137"/>
      <c r="AA152" s="137"/>
      <c r="AB152" s="289" t="str">
        <f t="shared" si="23"/>
        <v/>
      </c>
      <c r="AC152" s="302" t="str">
        <f t="shared" si="24"/>
        <v/>
      </c>
      <c r="AD152" s="340" t="str">
        <f>IFERROR(IF(AC152="Check Data ⚠","Check Data ⚠",VLOOKUP(AC152,'G-4 Temporal multipliers'!$A$4:$C$37,3,FALSE)),"")</f>
        <v/>
      </c>
      <c r="AE152" s="281" t="str">
        <f>IF(N152="","",VLOOKUP(N152,'G-7 WaterC'' Data'!$B$4:$G$8,5,FALSE))</f>
        <v/>
      </c>
      <c r="AF152" s="289" t="str">
        <f t="shared" si="25"/>
        <v/>
      </c>
      <c r="AG152" s="320" t="str">
        <f t="shared" si="26"/>
        <v/>
      </c>
      <c r="AH152" s="282" t="str">
        <f t="shared" si="20"/>
        <v/>
      </c>
      <c r="AI152" s="109"/>
      <c r="AJ152" s="282" t="str">
        <f>IF(AI152="","",IF(AND(AI152="N/A - Culvert",N152&lt;&gt;"Culvert"),"Not possible ▲",IF(VLOOKUP(AI152,'G-7 WaterC'' Data'!$AA$4:$AB$7,2,FALSE)=0,"Spatial Data Missing ⚠",VLOOKUP(AI152,'G-7 WaterC'' Data'!$AA$4:$AB$7,2,FALSE))))</f>
        <v/>
      </c>
      <c r="AK152" s="110"/>
      <c r="AL152" s="282" t="str">
        <f>IF(AK152="","",IF(AND(AK152="N/A - Culvert",N152&lt;&gt;"Culvert"),"Not possible ▲",IF(VLOOKUP(AK152,'G-7 WaterC'' Data'!$AD$4:$AE$14,2,FALSE)=0,"Spatial Data Missing ⚠",VLOOKUP(AK152,'G-7 WaterC'' Data'!$AD$4:$AE$14,2,FALSE))))</f>
        <v/>
      </c>
      <c r="AM152" s="323" t="str">
        <f t="shared" si="27"/>
        <v/>
      </c>
      <c r="AN152" s="105"/>
      <c r="AO152" s="119"/>
      <c r="AP152" s="108"/>
      <c r="AS152" s="30" t="str">
        <f>IF(B152="","",IF(ISNA(VLOOKUP($B152,'C-1 On-Site WaterC'' Baseline'!$C$8:$AD$257,17,FALSE)),"",(VLOOKUP($B152,'C-1 On-Site WaterC'' Baseline'!$C$8:$AD$257,17,FALSE))))</f>
        <v/>
      </c>
      <c r="AT152" s="30" t="str">
        <f>IF(B152="","",VLOOKUP($B152,'C-1 On-Site WaterC'' Baseline'!$C$9:$Z$257,12,FALSE))</f>
        <v/>
      </c>
      <c r="AU152" s="30" t="str">
        <f>IF(B152="","",VLOOKUP($B152,'C-1 On-Site WaterC'' Baseline'!$C$9:$Z$257,14,FALSE))</f>
        <v/>
      </c>
      <c r="AV152" s="30" t="str">
        <f>IFERROR(INDEX('G-7 WaterC'' Data'!$AZ$3:$AZ$7,MATCH(N152,'G-7 WaterC'' Data'!$AY$3:$AY$7,0)),"")</f>
        <v/>
      </c>
      <c r="AX152" s="30" t="str">
        <f>IF(B152="","",VLOOKUP($B152,'C-1 On-Site WaterC'' Baseline'!$C$9:$Y$257,22,FALSE))</f>
        <v/>
      </c>
      <c r="AY152" s="30" t="str">
        <f t="shared" si="28"/>
        <v/>
      </c>
      <c r="AZ152" s="30" t="str">
        <f>IF(B152="","",VLOOKUP($B152,'C-1 On-Site WaterC'' Baseline'!$C$9:$Y$257,21,FALSE))</f>
        <v/>
      </c>
      <c r="BA152" s="30" t="str">
        <f>IF(B152="","",VLOOKUP($B152,'C-1 On-Site WaterC'' Baseline'!$C$9:$Y$257,19,FALSE))</f>
        <v/>
      </c>
      <c r="BD152" s="30" t="str">
        <f t="shared" si="29"/>
        <v>No</v>
      </c>
    </row>
    <row r="153" spans="2:56" ht="13.8" x14ac:dyDescent="0.25">
      <c r="B153" s="311" t="str">
        <f>'C-1 On-Site WaterC'' Baseline'!AP151</f>
        <v/>
      </c>
      <c r="C153" s="301" t="str">
        <f>IF(B153="","",VLOOKUP($B153,'C-1 On-Site WaterC'' Baseline'!$C$9:$R$257,2,FALSE))</f>
        <v/>
      </c>
      <c r="D153" s="301" t="str">
        <f>IF(C153="","",VLOOKUP($B153,'C-1 On-Site WaterC'' Baseline'!$C$9:$R$257,3,FALSE))</f>
        <v/>
      </c>
      <c r="E153" s="301" t="str">
        <f>IF(D153="","",VLOOKUP($B153,'C-1 On-Site WaterC'' Baseline'!$C$9:$R$257,4,FALSE))</f>
        <v/>
      </c>
      <c r="F153" s="301" t="str">
        <f>IF(E153="","",VLOOKUP($B153,'C-1 On-Site WaterC'' Baseline'!$C$9:$R$257,5,FALSE))</f>
        <v/>
      </c>
      <c r="G153" s="301" t="str">
        <f>IF(F153="","",VLOOKUP($B153,'C-1 On-Site WaterC'' Baseline'!$C$9:$R$257,6,FALSE))</f>
        <v/>
      </c>
      <c r="H153" s="301" t="str">
        <f>IF(G153="","",VLOOKUP($B153,'C-1 On-Site WaterC'' Baseline'!$C$9:$R$257,7,FALSE))</f>
        <v/>
      </c>
      <c r="I153" s="301" t="str">
        <f>IF(H153="","",VLOOKUP($B153,'C-1 On-Site WaterC'' Baseline'!$C$9:$R$257,8,FALSE))</f>
        <v/>
      </c>
      <c r="J153" s="301" t="str">
        <f>IF(I153="","",VLOOKUP($B153,'C-1 On-Site WaterC'' Baseline'!$C$9:$R$257,9,FALSE))</f>
        <v/>
      </c>
      <c r="K153" s="301" t="str">
        <f>IF(J153="","",VLOOKUP($B153,'C-1 On-Site WaterC'' Baseline'!$C$9:$R$257,10,FALSE))</f>
        <v/>
      </c>
      <c r="L153" s="301" t="str">
        <f>IF(B153="","",VLOOKUP($B153,'C-1 On-Site WaterC'' Baseline'!$C$9:$R$257,15,FALSE))</f>
        <v/>
      </c>
      <c r="M153" s="305" t="str">
        <f>IF(L153="","",VLOOKUP($B153,'C-1 On-Site WaterC'' Baseline'!$C$9:$R$257,16,FALSE))</f>
        <v/>
      </c>
      <c r="N153" s="251"/>
      <c r="O153" s="281" t="str">
        <f t="shared" si="21"/>
        <v/>
      </c>
      <c r="P153" s="282" t="str">
        <f t="shared" si="22"/>
        <v/>
      </c>
      <c r="Q153" s="342" t="str">
        <f>IF(N153="","",VLOOKUP(B153,'C-1 On-Site WaterC'' Baseline'!$C$10:$AC$257,20,FALSE))</f>
        <v/>
      </c>
      <c r="R153" s="281" t="str">
        <f>IF(N153="","",VLOOKUP(N153,'G-7 WaterC'' Data'!$B$2:$G$8,2,FALSE))</f>
        <v/>
      </c>
      <c r="S153" s="282" t="str">
        <f>IFERROR(VLOOKUP(R153,'G-7 WaterC'' Data'!$C$4:$D$8,2,FALSE),"")</f>
        <v/>
      </c>
      <c r="T153" s="105"/>
      <c r="U153" s="282" t="str">
        <f>IFERROR(INDEX('G-7 WaterC'' Data'!$H$4:$L$8,MATCH(N153,'G-7 WaterC'' Data'!$B$4:$B$8,0),MATCH(T153,'G-7 WaterC'' Data'!$H$3:$L$3,0)),"")</f>
        <v/>
      </c>
      <c r="V153" s="105"/>
      <c r="W153" s="289" t="str">
        <f>IF(V153="","",IF(VLOOKUP(V153,'G-7 WaterC'' Data'!$AK$4:$AM$6,2,FALSE)=0,"Spatial Data Missing ⚠",VLOOKUP(V153,'G-7 WaterC'' Data'!$AK$4:$AM$6,2,FALSE)))</f>
        <v/>
      </c>
      <c r="X153" s="282" t="str">
        <f>IF(V153="","",IF(VLOOKUP(V153,'G-7 WaterC'' Data'!$AK$4:$AM$6,3,FALSE)=0,"Spatial Data Missing ⚠",VLOOKUP(V153,'G-7 WaterC'' Data'!$AK$4:$AM$6,3,FALSE)))</f>
        <v/>
      </c>
      <c r="Y153" s="281" t="str">
        <f>IFERROR(IF(OR(LEFT(P153,5)="Error",LEFT(O153,5)="Error"),"Check Data ⚠",IF(F153&lt;S153,'G-7 WaterC'' Data'!$R$3,INDEX('G-7 WaterC'' Data'!$U$5:$Y$9,MATCH(G153,'G-7 WaterC'' Data'!$T$5:$T$9,0),MATCH(T153,'G-7 WaterC'' Data'!$U$4:$Y$4,0)))),"")</f>
        <v/>
      </c>
      <c r="Z153" s="137"/>
      <c r="AA153" s="137"/>
      <c r="AB153" s="289" t="str">
        <f t="shared" si="23"/>
        <v/>
      </c>
      <c r="AC153" s="302" t="str">
        <f t="shared" si="24"/>
        <v/>
      </c>
      <c r="AD153" s="340" t="str">
        <f>IFERROR(IF(AC153="Check Data ⚠","Check Data ⚠",VLOOKUP(AC153,'G-4 Temporal multipliers'!$A$4:$C$37,3,FALSE)),"")</f>
        <v/>
      </c>
      <c r="AE153" s="281" t="str">
        <f>IF(N153="","",VLOOKUP(N153,'G-7 WaterC'' Data'!$B$4:$G$8,5,FALSE))</f>
        <v/>
      </c>
      <c r="AF153" s="289" t="str">
        <f t="shared" si="25"/>
        <v/>
      </c>
      <c r="AG153" s="320" t="str">
        <f t="shared" si="26"/>
        <v/>
      </c>
      <c r="AH153" s="282" t="str">
        <f t="shared" si="20"/>
        <v/>
      </c>
      <c r="AI153" s="109"/>
      <c r="AJ153" s="282" t="str">
        <f>IF(AI153="","",IF(AND(AI153="N/A - Culvert",N153&lt;&gt;"Culvert"),"Not possible ▲",IF(VLOOKUP(AI153,'G-7 WaterC'' Data'!$AA$4:$AB$7,2,FALSE)=0,"Spatial Data Missing ⚠",VLOOKUP(AI153,'G-7 WaterC'' Data'!$AA$4:$AB$7,2,FALSE))))</f>
        <v/>
      </c>
      <c r="AK153" s="110"/>
      <c r="AL153" s="282" t="str">
        <f>IF(AK153="","",IF(AND(AK153="N/A - Culvert",N153&lt;&gt;"Culvert"),"Not possible ▲",IF(VLOOKUP(AK153,'G-7 WaterC'' Data'!$AD$4:$AE$14,2,FALSE)=0,"Spatial Data Missing ⚠",VLOOKUP(AK153,'G-7 WaterC'' Data'!$AD$4:$AE$14,2,FALSE))))</f>
        <v/>
      </c>
      <c r="AM153" s="323" t="str">
        <f t="shared" si="27"/>
        <v/>
      </c>
      <c r="AN153" s="105"/>
      <c r="AO153" s="119"/>
      <c r="AP153" s="108"/>
      <c r="AS153" s="30" t="str">
        <f>IF(B153="","",IF(ISNA(VLOOKUP($B153,'C-1 On-Site WaterC'' Baseline'!$C$8:$AD$257,17,FALSE)),"",(VLOOKUP($B153,'C-1 On-Site WaterC'' Baseline'!$C$8:$AD$257,17,FALSE))))</f>
        <v/>
      </c>
      <c r="AT153" s="30" t="str">
        <f>IF(B153="","",VLOOKUP($B153,'C-1 On-Site WaterC'' Baseline'!$C$9:$Z$257,12,FALSE))</f>
        <v/>
      </c>
      <c r="AU153" s="30" t="str">
        <f>IF(B153="","",VLOOKUP($B153,'C-1 On-Site WaterC'' Baseline'!$C$9:$Z$257,14,FALSE))</f>
        <v/>
      </c>
      <c r="AV153" s="30" t="str">
        <f>IFERROR(INDEX('G-7 WaterC'' Data'!$AZ$3:$AZ$7,MATCH(N153,'G-7 WaterC'' Data'!$AY$3:$AY$7,0)),"")</f>
        <v/>
      </c>
      <c r="AX153" s="30" t="str">
        <f>IF(B153="","",VLOOKUP($B153,'C-1 On-Site WaterC'' Baseline'!$C$9:$Y$257,22,FALSE))</f>
        <v/>
      </c>
      <c r="AY153" s="30" t="str">
        <f t="shared" si="28"/>
        <v/>
      </c>
      <c r="AZ153" s="30" t="str">
        <f>IF(B153="","",VLOOKUP($B153,'C-1 On-Site WaterC'' Baseline'!$C$9:$Y$257,21,FALSE))</f>
        <v/>
      </c>
      <c r="BA153" s="30" t="str">
        <f>IF(B153="","",VLOOKUP($B153,'C-1 On-Site WaterC'' Baseline'!$C$9:$Y$257,19,FALSE))</f>
        <v/>
      </c>
      <c r="BD153" s="30" t="str">
        <f t="shared" si="29"/>
        <v>No</v>
      </c>
    </row>
    <row r="154" spans="2:56" ht="13.8" x14ac:dyDescent="0.25">
      <c r="B154" s="311" t="str">
        <f>'C-1 On-Site WaterC'' Baseline'!AP152</f>
        <v/>
      </c>
      <c r="C154" s="301" t="str">
        <f>IF(B154="","",VLOOKUP($B154,'C-1 On-Site WaterC'' Baseline'!$C$9:$R$257,2,FALSE))</f>
        <v/>
      </c>
      <c r="D154" s="301" t="str">
        <f>IF(C154="","",VLOOKUP($B154,'C-1 On-Site WaterC'' Baseline'!$C$9:$R$257,3,FALSE))</f>
        <v/>
      </c>
      <c r="E154" s="301" t="str">
        <f>IF(D154="","",VLOOKUP($B154,'C-1 On-Site WaterC'' Baseline'!$C$9:$R$257,4,FALSE))</f>
        <v/>
      </c>
      <c r="F154" s="301" t="str">
        <f>IF(E154="","",VLOOKUP($B154,'C-1 On-Site WaterC'' Baseline'!$C$9:$R$257,5,FALSE))</f>
        <v/>
      </c>
      <c r="G154" s="301" t="str">
        <f>IF(F154="","",VLOOKUP($B154,'C-1 On-Site WaterC'' Baseline'!$C$9:$R$257,6,FALSE))</f>
        <v/>
      </c>
      <c r="H154" s="301" t="str">
        <f>IF(G154="","",VLOOKUP($B154,'C-1 On-Site WaterC'' Baseline'!$C$9:$R$257,7,FALSE))</f>
        <v/>
      </c>
      <c r="I154" s="301" t="str">
        <f>IF(H154="","",VLOOKUP($B154,'C-1 On-Site WaterC'' Baseline'!$C$9:$R$257,8,FALSE))</f>
        <v/>
      </c>
      <c r="J154" s="301" t="str">
        <f>IF(I154="","",VLOOKUP($B154,'C-1 On-Site WaterC'' Baseline'!$C$9:$R$257,9,FALSE))</f>
        <v/>
      </c>
      <c r="K154" s="301" t="str">
        <f>IF(J154="","",VLOOKUP($B154,'C-1 On-Site WaterC'' Baseline'!$C$9:$R$257,10,FALSE))</f>
        <v/>
      </c>
      <c r="L154" s="301" t="str">
        <f>IF(B154="","",VLOOKUP($B154,'C-1 On-Site WaterC'' Baseline'!$C$9:$R$257,15,FALSE))</f>
        <v/>
      </c>
      <c r="M154" s="305" t="str">
        <f>IF(L154="","",VLOOKUP($B154,'C-1 On-Site WaterC'' Baseline'!$C$9:$R$257,16,FALSE))</f>
        <v/>
      </c>
      <c r="N154" s="251"/>
      <c r="O154" s="281" t="str">
        <f t="shared" si="21"/>
        <v/>
      </c>
      <c r="P154" s="282" t="str">
        <f t="shared" si="22"/>
        <v/>
      </c>
      <c r="Q154" s="342" t="str">
        <f>IF(N154="","",VLOOKUP(B154,'C-1 On-Site WaterC'' Baseline'!$C$10:$AC$257,20,FALSE))</f>
        <v/>
      </c>
      <c r="R154" s="281" t="str">
        <f>IF(N154="","",VLOOKUP(N154,'G-7 WaterC'' Data'!$B$2:$G$8,2,FALSE))</f>
        <v/>
      </c>
      <c r="S154" s="282" t="str">
        <f>IFERROR(VLOOKUP(R154,'G-7 WaterC'' Data'!$C$4:$D$8,2,FALSE),"")</f>
        <v/>
      </c>
      <c r="T154" s="105"/>
      <c r="U154" s="282" t="str">
        <f>IFERROR(INDEX('G-7 WaterC'' Data'!$H$4:$L$8,MATCH(N154,'G-7 WaterC'' Data'!$B$4:$B$8,0),MATCH(T154,'G-7 WaterC'' Data'!$H$3:$L$3,0)),"")</f>
        <v/>
      </c>
      <c r="V154" s="105"/>
      <c r="W154" s="289" t="str">
        <f>IF(V154="","",IF(VLOOKUP(V154,'G-7 WaterC'' Data'!$AK$4:$AM$6,2,FALSE)=0,"Spatial Data Missing ⚠",VLOOKUP(V154,'G-7 WaterC'' Data'!$AK$4:$AM$6,2,FALSE)))</f>
        <v/>
      </c>
      <c r="X154" s="282" t="str">
        <f>IF(V154="","",IF(VLOOKUP(V154,'G-7 WaterC'' Data'!$AK$4:$AM$6,3,FALSE)=0,"Spatial Data Missing ⚠",VLOOKUP(V154,'G-7 WaterC'' Data'!$AK$4:$AM$6,3,FALSE)))</f>
        <v/>
      </c>
      <c r="Y154" s="281" t="str">
        <f>IFERROR(IF(OR(LEFT(P154,5)="Error",LEFT(O154,5)="Error"),"Check Data ⚠",IF(F154&lt;S154,'G-7 WaterC'' Data'!$R$3,INDEX('G-7 WaterC'' Data'!$U$5:$Y$9,MATCH(G154,'G-7 WaterC'' Data'!$T$5:$T$9,0),MATCH(T154,'G-7 WaterC'' Data'!$U$4:$Y$4,0)))),"")</f>
        <v/>
      </c>
      <c r="Z154" s="137"/>
      <c r="AA154" s="137"/>
      <c r="AB154" s="289" t="str">
        <f t="shared" si="23"/>
        <v/>
      </c>
      <c r="AC154" s="302" t="str">
        <f t="shared" si="24"/>
        <v/>
      </c>
      <c r="AD154" s="340" t="str">
        <f>IFERROR(IF(AC154="Check Data ⚠","Check Data ⚠",VLOOKUP(AC154,'G-4 Temporal multipliers'!$A$4:$C$37,3,FALSE)),"")</f>
        <v/>
      </c>
      <c r="AE154" s="281" t="str">
        <f>IF(N154="","",VLOOKUP(N154,'G-7 WaterC'' Data'!$B$4:$G$8,5,FALSE))</f>
        <v/>
      </c>
      <c r="AF154" s="289" t="str">
        <f t="shared" si="25"/>
        <v/>
      </c>
      <c r="AG154" s="320" t="str">
        <f t="shared" si="26"/>
        <v/>
      </c>
      <c r="AH154" s="282" t="str">
        <f t="shared" si="20"/>
        <v/>
      </c>
      <c r="AI154" s="109"/>
      <c r="AJ154" s="282" t="str">
        <f>IF(AI154="","",IF(AND(AI154="N/A - Culvert",N154&lt;&gt;"Culvert"),"Not possible ▲",IF(VLOOKUP(AI154,'G-7 WaterC'' Data'!$AA$4:$AB$7,2,FALSE)=0,"Spatial Data Missing ⚠",VLOOKUP(AI154,'G-7 WaterC'' Data'!$AA$4:$AB$7,2,FALSE))))</f>
        <v/>
      </c>
      <c r="AK154" s="110"/>
      <c r="AL154" s="282" t="str">
        <f>IF(AK154="","",IF(AND(AK154="N/A - Culvert",N154&lt;&gt;"Culvert"),"Not possible ▲",IF(VLOOKUP(AK154,'G-7 WaterC'' Data'!$AD$4:$AE$14,2,FALSE)=0,"Spatial Data Missing ⚠",VLOOKUP(AK154,'G-7 WaterC'' Data'!$AD$4:$AE$14,2,FALSE))))</f>
        <v/>
      </c>
      <c r="AM154" s="323" t="str">
        <f t="shared" si="27"/>
        <v/>
      </c>
      <c r="AN154" s="105"/>
      <c r="AO154" s="119"/>
      <c r="AP154" s="108"/>
      <c r="AS154" s="30" t="str">
        <f>IF(B154="","",IF(ISNA(VLOOKUP($B154,'C-1 On-Site WaterC'' Baseline'!$C$8:$AD$257,17,FALSE)),"",(VLOOKUP($B154,'C-1 On-Site WaterC'' Baseline'!$C$8:$AD$257,17,FALSE))))</f>
        <v/>
      </c>
      <c r="AT154" s="30" t="str">
        <f>IF(B154="","",VLOOKUP($B154,'C-1 On-Site WaterC'' Baseline'!$C$9:$Z$257,12,FALSE))</f>
        <v/>
      </c>
      <c r="AU154" s="30" t="str">
        <f>IF(B154="","",VLOOKUP($B154,'C-1 On-Site WaterC'' Baseline'!$C$9:$Z$257,14,FALSE))</f>
        <v/>
      </c>
      <c r="AV154" s="30" t="str">
        <f>IFERROR(INDEX('G-7 WaterC'' Data'!$AZ$3:$AZ$7,MATCH(N154,'G-7 WaterC'' Data'!$AY$3:$AY$7,0)),"")</f>
        <v/>
      </c>
      <c r="AX154" s="30" t="str">
        <f>IF(B154="","",VLOOKUP($B154,'C-1 On-Site WaterC'' Baseline'!$C$9:$Y$257,22,FALSE))</f>
        <v/>
      </c>
      <c r="AY154" s="30" t="str">
        <f t="shared" si="28"/>
        <v/>
      </c>
      <c r="AZ154" s="30" t="str">
        <f>IF(B154="","",VLOOKUP($B154,'C-1 On-Site WaterC'' Baseline'!$C$9:$Y$257,21,FALSE))</f>
        <v/>
      </c>
      <c r="BA154" s="30" t="str">
        <f>IF(B154="","",VLOOKUP($B154,'C-1 On-Site WaterC'' Baseline'!$C$9:$Y$257,19,FALSE))</f>
        <v/>
      </c>
      <c r="BD154" s="30" t="str">
        <f t="shared" si="29"/>
        <v>No</v>
      </c>
    </row>
    <row r="155" spans="2:56" ht="13.8" x14ac:dyDescent="0.25">
      <c r="B155" s="311" t="str">
        <f>'C-1 On-Site WaterC'' Baseline'!AP153</f>
        <v/>
      </c>
      <c r="C155" s="301" t="str">
        <f>IF(B155="","",VLOOKUP($B155,'C-1 On-Site WaterC'' Baseline'!$C$9:$R$257,2,FALSE))</f>
        <v/>
      </c>
      <c r="D155" s="301" t="str">
        <f>IF(C155="","",VLOOKUP($B155,'C-1 On-Site WaterC'' Baseline'!$C$9:$R$257,3,FALSE))</f>
        <v/>
      </c>
      <c r="E155" s="301" t="str">
        <f>IF(D155="","",VLOOKUP($B155,'C-1 On-Site WaterC'' Baseline'!$C$9:$R$257,4,FALSE))</f>
        <v/>
      </c>
      <c r="F155" s="301" t="str">
        <f>IF(E155="","",VLOOKUP($B155,'C-1 On-Site WaterC'' Baseline'!$C$9:$R$257,5,FALSE))</f>
        <v/>
      </c>
      <c r="G155" s="301" t="str">
        <f>IF(F155="","",VLOOKUP($B155,'C-1 On-Site WaterC'' Baseline'!$C$9:$R$257,6,FALSE))</f>
        <v/>
      </c>
      <c r="H155" s="301" t="str">
        <f>IF(G155="","",VLOOKUP($B155,'C-1 On-Site WaterC'' Baseline'!$C$9:$R$257,7,FALSE))</f>
        <v/>
      </c>
      <c r="I155" s="301" t="str">
        <f>IF(H155="","",VLOOKUP($B155,'C-1 On-Site WaterC'' Baseline'!$C$9:$R$257,8,FALSE))</f>
        <v/>
      </c>
      <c r="J155" s="301" t="str">
        <f>IF(I155="","",VLOOKUP($B155,'C-1 On-Site WaterC'' Baseline'!$C$9:$R$257,9,FALSE))</f>
        <v/>
      </c>
      <c r="K155" s="301" t="str">
        <f>IF(J155="","",VLOOKUP($B155,'C-1 On-Site WaterC'' Baseline'!$C$9:$R$257,10,FALSE))</f>
        <v/>
      </c>
      <c r="L155" s="301" t="str">
        <f>IF(B155="","",VLOOKUP($B155,'C-1 On-Site WaterC'' Baseline'!$C$9:$R$257,15,FALSE))</f>
        <v/>
      </c>
      <c r="M155" s="305" t="str">
        <f>IF(L155="","",VLOOKUP($B155,'C-1 On-Site WaterC'' Baseline'!$C$9:$R$257,16,FALSE))</f>
        <v/>
      </c>
      <c r="N155" s="251"/>
      <c r="O155" s="281" t="str">
        <f t="shared" si="21"/>
        <v/>
      </c>
      <c r="P155" s="282" t="str">
        <f t="shared" si="22"/>
        <v/>
      </c>
      <c r="Q155" s="342" t="str">
        <f>IF(N155="","",VLOOKUP(B155,'C-1 On-Site WaterC'' Baseline'!$C$10:$AC$257,20,FALSE))</f>
        <v/>
      </c>
      <c r="R155" s="281" t="str">
        <f>IF(N155="","",VLOOKUP(N155,'G-7 WaterC'' Data'!$B$2:$G$8,2,FALSE))</f>
        <v/>
      </c>
      <c r="S155" s="282" t="str">
        <f>IFERROR(VLOOKUP(R155,'G-7 WaterC'' Data'!$C$4:$D$8,2,FALSE),"")</f>
        <v/>
      </c>
      <c r="T155" s="105"/>
      <c r="U155" s="282" t="str">
        <f>IFERROR(INDEX('G-7 WaterC'' Data'!$H$4:$L$8,MATCH(N155,'G-7 WaterC'' Data'!$B$4:$B$8,0),MATCH(T155,'G-7 WaterC'' Data'!$H$3:$L$3,0)),"")</f>
        <v/>
      </c>
      <c r="V155" s="105"/>
      <c r="W155" s="289" t="str">
        <f>IF(V155="","",IF(VLOOKUP(V155,'G-7 WaterC'' Data'!$AK$4:$AM$6,2,FALSE)=0,"Spatial Data Missing ⚠",VLOOKUP(V155,'G-7 WaterC'' Data'!$AK$4:$AM$6,2,FALSE)))</f>
        <v/>
      </c>
      <c r="X155" s="282" t="str">
        <f>IF(V155="","",IF(VLOOKUP(V155,'G-7 WaterC'' Data'!$AK$4:$AM$6,3,FALSE)=0,"Spatial Data Missing ⚠",VLOOKUP(V155,'G-7 WaterC'' Data'!$AK$4:$AM$6,3,FALSE)))</f>
        <v/>
      </c>
      <c r="Y155" s="281" t="str">
        <f>IFERROR(IF(OR(LEFT(P155,5)="Error",LEFT(O155,5)="Error"),"Check Data ⚠",IF(F155&lt;S155,'G-7 WaterC'' Data'!$R$3,INDEX('G-7 WaterC'' Data'!$U$5:$Y$9,MATCH(G155,'G-7 WaterC'' Data'!$T$5:$T$9,0),MATCH(T155,'G-7 WaterC'' Data'!$U$4:$Y$4,0)))),"")</f>
        <v/>
      </c>
      <c r="Z155" s="137"/>
      <c r="AA155" s="137"/>
      <c r="AB155" s="289" t="str">
        <f t="shared" si="23"/>
        <v/>
      </c>
      <c r="AC155" s="302" t="str">
        <f t="shared" si="24"/>
        <v/>
      </c>
      <c r="AD155" s="340" t="str">
        <f>IFERROR(IF(AC155="Check Data ⚠","Check Data ⚠",VLOOKUP(AC155,'G-4 Temporal multipliers'!$A$4:$C$37,3,FALSE)),"")</f>
        <v/>
      </c>
      <c r="AE155" s="281" t="str">
        <f>IF(N155="","",VLOOKUP(N155,'G-7 WaterC'' Data'!$B$4:$G$8,5,FALSE))</f>
        <v/>
      </c>
      <c r="AF155" s="289" t="str">
        <f t="shared" si="25"/>
        <v/>
      </c>
      <c r="AG155" s="320" t="str">
        <f t="shared" si="26"/>
        <v/>
      </c>
      <c r="AH155" s="282" t="str">
        <f t="shared" si="20"/>
        <v/>
      </c>
      <c r="AI155" s="109"/>
      <c r="AJ155" s="282" t="str">
        <f>IF(AI155="","",IF(AND(AI155="N/A - Culvert",N155&lt;&gt;"Culvert"),"Not possible ▲",IF(VLOOKUP(AI155,'G-7 WaterC'' Data'!$AA$4:$AB$7,2,FALSE)=0,"Spatial Data Missing ⚠",VLOOKUP(AI155,'G-7 WaterC'' Data'!$AA$4:$AB$7,2,FALSE))))</f>
        <v/>
      </c>
      <c r="AK155" s="110"/>
      <c r="AL155" s="282" t="str">
        <f>IF(AK155="","",IF(AND(AK155="N/A - Culvert",N155&lt;&gt;"Culvert"),"Not possible ▲",IF(VLOOKUP(AK155,'G-7 WaterC'' Data'!$AD$4:$AE$14,2,FALSE)=0,"Spatial Data Missing ⚠",VLOOKUP(AK155,'G-7 WaterC'' Data'!$AD$4:$AE$14,2,FALSE))))</f>
        <v/>
      </c>
      <c r="AM155" s="323" t="str">
        <f t="shared" si="27"/>
        <v/>
      </c>
      <c r="AN155" s="105"/>
      <c r="AO155" s="119"/>
      <c r="AP155" s="108"/>
      <c r="AS155" s="30" t="str">
        <f>IF(B155="","",IF(ISNA(VLOOKUP($B155,'C-1 On-Site WaterC'' Baseline'!$C$8:$AD$257,17,FALSE)),"",(VLOOKUP($B155,'C-1 On-Site WaterC'' Baseline'!$C$8:$AD$257,17,FALSE))))</f>
        <v/>
      </c>
      <c r="AT155" s="30" t="str">
        <f>IF(B155="","",VLOOKUP($B155,'C-1 On-Site WaterC'' Baseline'!$C$9:$Z$257,12,FALSE))</f>
        <v/>
      </c>
      <c r="AU155" s="30" t="str">
        <f>IF(B155="","",VLOOKUP($B155,'C-1 On-Site WaterC'' Baseline'!$C$9:$Z$257,14,FALSE))</f>
        <v/>
      </c>
      <c r="AV155" s="30" t="str">
        <f>IFERROR(INDEX('G-7 WaterC'' Data'!$AZ$3:$AZ$7,MATCH(N155,'G-7 WaterC'' Data'!$AY$3:$AY$7,0)),"")</f>
        <v/>
      </c>
      <c r="AX155" s="30" t="str">
        <f>IF(B155="","",VLOOKUP($B155,'C-1 On-Site WaterC'' Baseline'!$C$9:$Y$257,22,FALSE))</f>
        <v/>
      </c>
      <c r="AY155" s="30" t="str">
        <f t="shared" si="28"/>
        <v/>
      </c>
      <c r="AZ155" s="30" t="str">
        <f>IF(B155="","",VLOOKUP($B155,'C-1 On-Site WaterC'' Baseline'!$C$9:$Y$257,21,FALSE))</f>
        <v/>
      </c>
      <c r="BA155" s="30" t="str">
        <f>IF(B155="","",VLOOKUP($B155,'C-1 On-Site WaterC'' Baseline'!$C$9:$Y$257,19,FALSE))</f>
        <v/>
      </c>
      <c r="BD155" s="30" t="str">
        <f t="shared" si="29"/>
        <v>No</v>
      </c>
    </row>
    <row r="156" spans="2:56" ht="13.8" x14ac:dyDescent="0.25">
      <c r="B156" s="311" t="str">
        <f>'C-1 On-Site WaterC'' Baseline'!AP154</f>
        <v/>
      </c>
      <c r="C156" s="301" t="str">
        <f>IF(B156="","",VLOOKUP($B156,'C-1 On-Site WaterC'' Baseline'!$C$9:$R$257,2,FALSE))</f>
        <v/>
      </c>
      <c r="D156" s="301" t="str">
        <f>IF(C156="","",VLOOKUP($B156,'C-1 On-Site WaterC'' Baseline'!$C$9:$R$257,3,FALSE))</f>
        <v/>
      </c>
      <c r="E156" s="301" t="str">
        <f>IF(D156="","",VLOOKUP($B156,'C-1 On-Site WaterC'' Baseline'!$C$9:$R$257,4,FALSE))</f>
        <v/>
      </c>
      <c r="F156" s="301" t="str">
        <f>IF(E156="","",VLOOKUP($B156,'C-1 On-Site WaterC'' Baseline'!$C$9:$R$257,5,FALSE))</f>
        <v/>
      </c>
      <c r="G156" s="301" t="str">
        <f>IF(F156="","",VLOOKUP($B156,'C-1 On-Site WaterC'' Baseline'!$C$9:$R$257,6,FALSE))</f>
        <v/>
      </c>
      <c r="H156" s="301" t="str">
        <f>IF(G156="","",VLOOKUP($B156,'C-1 On-Site WaterC'' Baseline'!$C$9:$R$257,7,FALSE))</f>
        <v/>
      </c>
      <c r="I156" s="301" t="str">
        <f>IF(H156="","",VLOOKUP($B156,'C-1 On-Site WaterC'' Baseline'!$C$9:$R$257,8,FALSE))</f>
        <v/>
      </c>
      <c r="J156" s="301" t="str">
        <f>IF(I156="","",VLOOKUP($B156,'C-1 On-Site WaterC'' Baseline'!$C$9:$R$257,9,FALSE))</f>
        <v/>
      </c>
      <c r="K156" s="301" t="str">
        <f>IF(J156="","",VLOOKUP($B156,'C-1 On-Site WaterC'' Baseline'!$C$9:$R$257,10,FALSE))</f>
        <v/>
      </c>
      <c r="L156" s="301" t="str">
        <f>IF(B156="","",VLOOKUP($B156,'C-1 On-Site WaterC'' Baseline'!$C$9:$R$257,15,FALSE))</f>
        <v/>
      </c>
      <c r="M156" s="305" t="str">
        <f>IF(L156="","",VLOOKUP($B156,'C-1 On-Site WaterC'' Baseline'!$C$9:$R$257,16,FALSE))</f>
        <v/>
      </c>
      <c r="N156" s="251"/>
      <c r="O156" s="281" t="str">
        <f t="shared" si="21"/>
        <v/>
      </c>
      <c r="P156" s="282" t="str">
        <f t="shared" si="22"/>
        <v/>
      </c>
      <c r="Q156" s="342" t="str">
        <f>IF(N156="","",VLOOKUP(B156,'C-1 On-Site WaterC'' Baseline'!$C$10:$AC$257,20,FALSE))</f>
        <v/>
      </c>
      <c r="R156" s="281" t="str">
        <f>IF(N156="","",VLOOKUP(N156,'G-7 WaterC'' Data'!$B$2:$G$8,2,FALSE))</f>
        <v/>
      </c>
      <c r="S156" s="282" t="str">
        <f>IFERROR(VLOOKUP(R156,'G-7 WaterC'' Data'!$C$4:$D$8,2,FALSE),"")</f>
        <v/>
      </c>
      <c r="T156" s="105"/>
      <c r="U156" s="282" t="str">
        <f>IFERROR(INDEX('G-7 WaterC'' Data'!$H$4:$L$8,MATCH(N156,'G-7 WaterC'' Data'!$B$4:$B$8,0),MATCH(T156,'G-7 WaterC'' Data'!$H$3:$L$3,0)),"")</f>
        <v/>
      </c>
      <c r="V156" s="105"/>
      <c r="W156" s="289" t="str">
        <f>IF(V156="","",IF(VLOOKUP(V156,'G-7 WaterC'' Data'!$AK$4:$AM$6,2,FALSE)=0,"Spatial Data Missing ⚠",VLOOKUP(V156,'G-7 WaterC'' Data'!$AK$4:$AM$6,2,FALSE)))</f>
        <v/>
      </c>
      <c r="X156" s="282" t="str">
        <f>IF(V156="","",IF(VLOOKUP(V156,'G-7 WaterC'' Data'!$AK$4:$AM$6,3,FALSE)=0,"Spatial Data Missing ⚠",VLOOKUP(V156,'G-7 WaterC'' Data'!$AK$4:$AM$6,3,FALSE)))</f>
        <v/>
      </c>
      <c r="Y156" s="281" t="str">
        <f>IFERROR(IF(OR(LEFT(P156,5)="Error",LEFT(O156,5)="Error"),"Check Data ⚠",IF(F156&lt;S156,'G-7 WaterC'' Data'!$R$3,INDEX('G-7 WaterC'' Data'!$U$5:$Y$9,MATCH(G156,'G-7 WaterC'' Data'!$T$5:$T$9,0),MATCH(T156,'G-7 WaterC'' Data'!$U$4:$Y$4,0)))),"")</f>
        <v/>
      </c>
      <c r="Z156" s="137"/>
      <c r="AA156" s="137"/>
      <c r="AB156" s="289" t="str">
        <f t="shared" si="23"/>
        <v/>
      </c>
      <c r="AC156" s="302" t="str">
        <f t="shared" si="24"/>
        <v/>
      </c>
      <c r="AD156" s="340" t="str">
        <f>IFERROR(IF(AC156="Check Data ⚠","Check Data ⚠",VLOOKUP(AC156,'G-4 Temporal multipliers'!$A$4:$C$37,3,FALSE)),"")</f>
        <v/>
      </c>
      <c r="AE156" s="281" t="str">
        <f>IF(N156="","",VLOOKUP(N156,'G-7 WaterC'' Data'!$B$4:$G$8,5,FALSE))</f>
        <v/>
      </c>
      <c r="AF156" s="289" t="str">
        <f t="shared" si="25"/>
        <v/>
      </c>
      <c r="AG156" s="320" t="str">
        <f t="shared" si="26"/>
        <v/>
      </c>
      <c r="AH156" s="282" t="str">
        <f t="shared" si="20"/>
        <v/>
      </c>
      <c r="AI156" s="109"/>
      <c r="AJ156" s="282" t="str">
        <f>IF(AI156="","",IF(AND(AI156="N/A - Culvert",N156&lt;&gt;"Culvert"),"Not possible ▲",IF(VLOOKUP(AI156,'G-7 WaterC'' Data'!$AA$4:$AB$7,2,FALSE)=0,"Spatial Data Missing ⚠",VLOOKUP(AI156,'G-7 WaterC'' Data'!$AA$4:$AB$7,2,FALSE))))</f>
        <v/>
      </c>
      <c r="AK156" s="110"/>
      <c r="AL156" s="282" t="str">
        <f>IF(AK156="","",IF(AND(AK156="N/A - Culvert",N156&lt;&gt;"Culvert"),"Not possible ▲",IF(VLOOKUP(AK156,'G-7 WaterC'' Data'!$AD$4:$AE$14,2,FALSE)=0,"Spatial Data Missing ⚠",VLOOKUP(AK156,'G-7 WaterC'' Data'!$AD$4:$AE$14,2,FALSE))))</f>
        <v/>
      </c>
      <c r="AM156" s="323" t="str">
        <f t="shared" si="27"/>
        <v/>
      </c>
      <c r="AN156" s="105"/>
      <c r="AO156" s="119"/>
      <c r="AP156" s="108"/>
      <c r="AS156" s="30" t="str">
        <f>IF(B156="","",IF(ISNA(VLOOKUP($B156,'C-1 On-Site WaterC'' Baseline'!$C$8:$AD$257,17,FALSE)),"",(VLOOKUP($B156,'C-1 On-Site WaterC'' Baseline'!$C$8:$AD$257,17,FALSE))))</f>
        <v/>
      </c>
      <c r="AT156" s="30" t="str">
        <f>IF(B156="","",VLOOKUP($B156,'C-1 On-Site WaterC'' Baseline'!$C$9:$Z$257,12,FALSE))</f>
        <v/>
      </c>
      <c r="AU156" s="30" t="str">
        <f>IF(B156="","",VLOOKUP($B156,'C-1 On-Site WaterC'' Baseline'!$C$9:$Z$257,14,FALSE))</f>
        <v/>
      </c>
      <c r="AV156" s="30" t="str">
        <f>IFERROR(INDEX('G-7 WaterC'' Data'!$AZ$3:$AZ$7,MATCH(N156,'G-7 WaterC'' Data'!$AY$3:$AY$7,0)),"")</f>
        <v/>
      </c>
      <c r="AX156" s="30" t="str">
        <f>IF(B156="","",VLOOKUP($B156,'C-1 On-Site WaterC'' Baseline'!$C$9:$Y$257,22,FALSE))</f>
        <v/>
      </c>
      <c r="AY156" s="30" t="str">
        <f t="shared" si="28"/>
        <v/>
      </c>
      <c r="AZ156" s="30" t="str">
        <f>IF(B156="","",VLOOKUP($B156,'C-1 On-Site WaterC'' Baseline'!$C$9:$Y$257,21,FALSE))</f>
        <v/>
      </c>
      <c r="BA156" s="30" t="str">
        <f>IF(B156="","",VLOOKUP($B156,'C-1 On-Site WaterC'' Baseline'!$C$9:$Y$257,19,FALSE))</f>
        <v/>
      </c>
      <c r="BD156" s="30" t="str">
        <f t="shared" si="29"/>
        <v>No</v>
      </c>
    </row>
    <row r="157" spans="2:56" ht="13.8" x14ac:dyDescent="0.25">
      <c r="B157" s="311" t="str">
        <f>'C-1 On-Site WaterC'' Baseline'!AP155</f>
        <v/>
      </c>
      <c r="C157" s="301" t="str">
        <f>IF(B157="","",VLOOKUP($B157,'C-1 On-Site WaterC'' Baseline'!$C$9:$R$257,2,FALSE))</f>
        <v/>
      </c>
      <c r="D157" s="301" t="str">
        <f>IF(C157="","",VLOOKUP($B157,'C-1 On-Site WaterC'' Baseline'!$C$9:$R$257,3,FALSE))</f>
        <v/>
      </c>
      <c r="E157" s="301" t="str">
        <f>IF(D157="","",VLOOKUP($B157,'C-1 On-Site WaterC'' Baseline'!$C$9:$R$257,4,FALSE))</f>
        <v/>
      </c>
      <c r="F157" s="301" t="str">
        <f>IF(E157="","",VLOOKUP($B157,'C-1 On-Site WaterC'' Baseline'!$C$9:$R$257,5,FALSE))</f>
        <v/>
      </c>
      <c r="G157" s="301" t="str">
        <f>IF(F157="","",VLOOKUP($B157,'C-1 On-Site WaterC'' Baseline'!$C$9:$R$257,6,FALSE))</f>
        <v/>
      </c>
      <c r="H157" s="301" t="str">
        <f>IF(G157="","",VLOOKUP($B157,'C-1 On-Site WaterC'' Baseline'!$C$9:$R$257,7,FALSE))</f>
        <v/>
      </c>
      <c r="I157" s="301" t="str">
        <f>IF(H157="","",VLOOKUP($B157,'C-1 On-Site WaterC'' Baseline'!$C$9:$R$257,8,FALSE))</f>
        <v/>
      </c>
      <c r="J157" s="301" t="str">
        <f>IF(I157="","",VLOOKUP($B157,'C-1 On-Site WaterC'' Baseline'!$C$9:$R$257,9,FALSE))</f>
        <v/>
      </c>
      <c r="K157" s="301" t="str">
        <f>IF(J157="","",VLOOKUP($B157,'C-1 On-Site WaterC'' Baseline'!$C$9:$R$257,10,FALSE))</f>
        <v/>
      </c>
      <c r="L157" s="301" t="str">
        <f>IF(B157="","",VLOOKUP($B157,'C-1 On-Site WaterC'' Baseline'!$C$9:$R$257,15,FALSE))</f>
        <v/>
      </c>
      <c r="M157" s="305" t="str">
        <f>IF(L157="","",VLOOKUP($B157,'C-1 On-Site WaterC'' Baseline'!$C$9:$R$257,16,FALSE))</f>
        <v/>
      </c>
      <c r="N157" s="251"/>
      <c r="O157" s="281" t="str">
        <f t="shared" si="21"/>
        <v/>
      </c>
      <c r="P157" s="282" t="str">
        <f t="shared" si="22"/>
        <v/>
      </c>
      <c r="Q157" s="342" t="str">
        <f>IF(N157="","",VLOOKUP(B157,'C-1 On-Site WaterC'' Baseline'!$C$10:$AC$257,20,FALSE))</f>
        <v/>
      </c>
      <c r="R157" s="281" t="str">
        <f>IF(N157="","",VLOOKUP(N157,'G-7 WaterC'' Data'!$B$2:$G$8,2,FALSE))</f>
        <v/>
      </c>
      <c r="S157" s="282" t="str">
        <f>IFERROR(VLOOKUP(R157,'G-7 WaterC'' Data'!$C$4:$D$8,2,FALSE),"")</f>
        <v/>
      </c>
      <c r="T157" s="105"/>
      <c r="U157" s="282" t="str">
        <f>IFERROR(INDEX('G-7 WaterC'' Data'!$H$4:$L$8,MATCH(N157,'G-7 WaterC'' Data'!$B$4:$B$8,0),MATCH(T157,'G-7 WaterC'' Data'!$H$3:$L$3,0)),"")</f>
        <v/>
      </c>
      <c r="V157" s="105"/>
      <c r="W157" s="289" t="str">
        <f>IF(V157="","",IF(VLOOKUP(V157,'G-7 WaterC'' Data'!$AK$4:$AM$6,2,FALSE)=0,"Spatial Data Missing ⚠",VLOOKUP(V157,'G-7 WaterC'' Data'!$AK$4:$AM$6,2,FALSE)))</f>
        <v/>
      </c>
      <c r="X157" s="282" t="str">
        <f>IF(V157="","",IF(VLOOKUP(V157,'G-7 WaterC'' Data'!$AK$4:$AM$6,3,FALSE)=0,"Spatial Data Missing ⚠",VLOOKUP(V157,'G-7 WaterC'' Data'!$AK$4:$AM$6,3,FALSE)))</f>
        <v/>
      </c>
      <c r="Y157" s="281" t="str">
        <f>IFERROR(IF(OR(LEFT(P157,5)="Error",LEFT(O157,5)="Error"),"Check Data ⚠",IF(F157&lt;S157,'G-7 WaterC'' Data'!$R$3,INDEX('G-7 WaterC'' Data'!$U$5:$Y$9,MATCH(G157,'G-7 WaterC'' Data'!$T$5:$T$9,0),MATCH(T157,'G-7 WaterC'' Data'!$U$4:$Y$4,0)))),"")</f>
        <v/>
      </c>
      <c r="Z157" s="137"/>
      <c r="AA157" s="137"/>
      <c r="AB157" s="289" t="str">
        <f t="shared" si="23"/>
        <v/>
      </c>
      <c r="AC157" s="302" t="str">
        <f t="shared" si="24"/>
        <v/>
      </c>
      <c r="AD157" s="340" t="str">
        <f>IFERROR(IF(AC157="Check Data ⚠","Check Data ⚠",VLOOKUP(AC157,'G-4 Temporal multipliers'!$A$4:$C$37,3,FALSE)),"")</f>
        <v/>
      </c>
      <c r="AE157" s="281" t="str">
        <f>IF(N157="","",VLOOKUP(N157,'G-7 WaterC'' Data'!$B$4:$G$8,5,FALSE))</f>
        <v/>
      </c>
      <c r="AF157" s="289" t="str">
        <f t="shared" si="25"/>
        <v/>
      </c>
      <c r="AG157" s="320" t="str">
        <f t="shared" si="26"/>
        <v/>
      </c>
      <c r="AH157" s="282" t="str">
        <f t="shared" si="20"/>
        <v/>
      </c>
      <c r="AI157" s="109"/>
      <c r="AJ157" s="282" t="str">
        <f>IF(AI157="","",IF(AND(AI157="N/A - Culvert",N157&lt;&gt;"Culvert"),"Not possible ▲",IF(VLOOKUP(AI157,'G-7 WaterC'' Data'!$AA$4:$AB$7,2,FALSE)=0,"Spatial Data Missing ⚠",VLOOKUP(AI157,'G-7 WaterC'' Data'!$AA$4:$AB$7,2,FALSE))))</f>
        <v/>
      </c>
      <c r="AK157" s="110"/>
      <c r="AL157" s="282" t="str">
        <f>IF(AK157="","",IF(AND(AK157="N/A - Culvert",N157&lt;&gt;"Culvert"),"Not possible ▲",IF(VLOOKUP(AK157,'G-7 WaterC'' Data'!$AD$4:$AE$14,2,FALSE)=0,"Spatial Data Missing ⚠",VLOOKUP(AK157,'G-7 WaterC'' Data'!$AD$4:$AE$14,2,FALSE))))</f>
        <v/>
      </c>
      <c r="AM157" s="323" t="str">
        <f t="shared" si="27"/>
        <v/>
      </c>
      <c r="AN157" s="105"/>
      <c r="AO157" s="119"/>
      <c r="AP157" s="108"/>
      <c r="AS157" s="30" t="str">
        <f>IF(B157="","",IF(ISNA(VLOOKUP($B157,'C-1 On-Site WaterC'' Baseline'!$C$8:$AD$257,17,FALSE)),"",(VLOOKUP($B157,'C-1 On-Site WaterC'' Baseline'!$C$8:$AD$257,17,FALSE))))</f>
        <v/>
      </c>
      <c r="AT157" s="30" t="str">
        <f>IF(B157="","",VLOOKUP($B157,'C-1 On-Site WaterC'' Baseline'!$C$9:$Z$257,12,FALSE))</f>
        <v/>
      </c>
      <c r="AU157" s="30" t="str">
        <f>IF(B157="","",VLOOKUP($B157,'C-1 On-Site WaterC'' Baseline'!$C$9:$Z$257,14,FALSE))</f>
        <v/>
      </c>
      <c r="AV157" s="30" t="str">
        <f>IFERROR(INDEX('G-7 WaterC'' Data'!$AZ$3:$AZ$7,MATCH(N157,'G-7 WaterC'' Data'!$AY$3:$AY$7,0)),"")</f>
        <v/>
      </c>
      <c r="AX157" s="30" t="str">
        <f>IF(B157="","",VLOOKUP($B157,'C-1 On-Site WaterC'' Baseline'!$C$9:$Y$257,22,FALSE))</f>
        <v/>
      </c>
      <c r="AY157" s="30" t="str">
        <f t="shared" si="28"/>
        <v/>
      </c>
      <c r="AZ157" s="30" t="str">
        <f>IF(B157="","",VLOOKUP($B157,'C-1 On-Site WaterC'' Baseline'!$C$9:$Y$257,21,FALSE))</f>
        <v/>
      </c>
      <c r="BA157" s="30" t="str">
        <f>IF(B157="","",VLOOKUP($B157,'C-1 On-Site WaterC'' Baseline'!$C$9:$Y$257,19,FALSE))</f>
        <v/>
      </c>
      <c r="BD157" s="30" t="str">
        <f t="shared" si="29"/>
        <v>No</v>
      </c>
    </row>
    <row r="158" spans="2:56" ht="13.8" x14ac:dyDescent="0.25">
      <c r="B158" s="311" t="str">
        <f>'C-1 On-Site WaterC'' Baseline'!AP156</f>
        <v/>
      </c>
      <c r="C158" s="301" t="str">
        <f>IF(B158="","",VLOOKUP($B158,'C-1 On-Site WaterC'' Baseline'!$C$9:$R$257,2,FALSE))</f>
        <v/>
      </c>
      <c r="D158" s="301" t="str">
        <f>IF(C158="","",VLOOKUP($B158,'C-1 On-Site WaterC'' Baseline'!$C$9:$R$257,3,FALSE))</f>
        <v/>
      </c>
      <c r="E158" s="301" t="str">
        <f>IF(D158="","",VLOOKUP($B158,'C-1 On-Site WaterC'' Baseline'!$C$9:$R$257,4,FALSE))</f>
        <v/>
      </c>
      <c r="F158" s="301" t="str">
        <f>IF(E158="","",VLOOKUP($B158,'C-1 On-Site WaterC'' Baseline'!$C$9:$R$257,5,FALSE))</f>
        <v/>
      </c>
      <c r="G158" s="301" t="str">
        <f>IF(F158="","",VLOOKUP($B158,'C-1 On-Site WaterC'' Baseline'!$C$9:$R$257,6,FALSE))</f>
        <v/>
      </c>
      <c r="H158" s="301" t="str">
        <f>IF(G158="","",VLOOKUP($B158,'C-1 On-Site WaterC'' Baseline'!$C$9:$R$257,7,FALSE))</f>
        <v/>
      </c>
      <c r="I158" s="301" t="str">
        <f>IF(H158="","",VLOOKUP($B158,'C-1 On-Site WaterC'' Baseline'!$C$9:$R$257,8,FALSE))</f>
        <v/>
      </c>
      <c r="J158" s="301" t="str">
        <f>IF(I158="","",VLOOKUP($B158,'C-1 On-Site WaterC'' Baseline'!$C$9:$R$257,9,FALSE))</f>
        <v/>
      </c>
      <c r="K158" s="301" t="str">
        <f>IF(J158="","",VLOOKUP($B158,'C-1 On-Site WaterC'' Baseline'!$C$9:$R$257,10,FALSE))</f>
        <v/>
      </c>
      <c r="L158" s="301" t="str">
        <f>IF(B158="","",VLOOKUP($B158,'C-1 On-Site WaterC'' Baseline'!$C$9:$R$257,15,FALSE))</f>
        <v/>
      </c>
      <c r="M158" s="305" t="str">
        <f>IF(L158="","",VLOOKUP($B158,'C-1 On-Site WaterC'' Baseline'!$C$9:$R$257,16,FALSE))</f>
        <v/>
      </c>
      <c r="N158" s="251"/>
      <c r="O158" s="281" t="str">
        <f t="shared" si="21"/>
        <v/>
      </c>
      <c r="P158" s="282" t="str">
        <f t="shared" si="22"/>
        <v/>
      </c>
      <c r="Q158" s="342" t="str">
        <f>IF(N158="","",VLOOKUP(B158,'C-1 On-Site WaterC'' Baseline'!$C$10:$AC$257,20,FALSE))</f>
        <v/>
      </c>
      <c r="R158" s="281" t="str">
        <f>IF(N158="","",VLOOKUP(N158,'G-7 WaterC'' Data'!$B$2:$G$8,2,FALSE))</f>
        <v/>
      </c>
      <c r="S158" s="282" t="str">
        <f>IFERROR(VLOOKUP(R158,'G-7 WaterC'' Data'!$C$4:$D$8,2,FALSE),"")</f>
        <v/>
      </c>
      <c r="T158" s="105"/>
      <c r="U158" s="282" t="str">
        <f>IFERROR(INDEX('G-7 WaterC'' Data'!$H$4:$L$8,MATCH(N158,'G-7 WaterC'' Data'!$B$4:$B$8,0),MATCH(T158,'G-7 WaterC'' Data'!$H$3:$L$3,0)),"")</f>
        <v/>
      </c>
      <c r="V158" s="105"/>
      <c r="W158" s="289" t="str">
        <f>IF(V158="","",IF(VLOOKUP(V158,'G-7 WaterC'' Data'!$AK$4:$AM$6,2,FALSE)=0,"Spatial Data Missing ⚠",VLOOKUP(V158,'G-7 WaterC'' Data'!$AK$4:$AM$6,2,FALSE)))</f>
        <v/>
      </c>
      <c r="X158" s="282" t="str">
        <f>IF(V158="","",IF(VLOOKUP(V158,'G-7 WaterC'' Data'!$AK$4:$AM$6,3,FALSE)=0,"Spatial Data Missing ⚠",VLOOKUP(V158,'G-7 WaterC'' Data'!$AK$4:$AM$6,3,FALSE)))</f>
        <v/>
      </c>
      <c r="Y158" s="281" t="str">
        <f>IFERROR(IF(OR(LEFT(P158,5)="Error",LEFT(O158,5)="Error"),"Check Data ⚠",IF(F158&lt;S158,'G-7 WaterC'' Data'!$R$3,INDEX('G-7 WaterC'' Data'!$U$5:$Y$9,MATCH(G158,'G-7 WaterC'' Data'!$T$5:$T$9,0),MATCH(T158,'G-7 WaterC'' Data'!$U$4:$Y$4,0)))),"")</f>
        <v/>
      </c>
      <c r="Z158" s="137"/>
      <c r="AA158" s="137"/>
      <c r="AB158" s="289" t="str">
        <f t="shared" si="23"/>
        <v/>
      </c>
      <c r="AC158" s="302" t="str">
        <f t="shared" si="24"/>
        <v/>
      </c>
      <c r="AD158" s="340" t="str">
        <f>IFERROR(IF(AC158="Check Data ⚠","Check Data ⚠",VLOOKUP(AC158,'G-4 Temporal multipliers'!$A$4:$C$37,3,FALSE)),"")</f>
        <v/>
      </c>
      <c r="AE158" s="281" t="str">
        <f>IF(N158="","",VLOOKUP(N158,'G-7 WaterC'' Data'!$B$4:$G$8,5,FALSE))</f>
        <v/>
      </c>
      <c r="AF158" s="289" t="str">
        <f t="shared" si="25"/>
        <v/>
      </c>
      <c r="AG158" s="320" t="str">
        <f t="shared" si="26"/>
        <v/>
      </c>
      <c r="AH158" s="282" t="str">
        <f t="shared" si="20"/>
        <v/>
      </c>
      <c r="AI158" s="109"/>
      <c r="AJ158" s="282" t="str">
        <f>IF(AI158="","",IF(AND(AI158="N/A - Culvert",N158&lt;&gt;"Culvert"),"Not possible ▲",IF(VLOOKUP(AI158,'G-7 WaterC'' Data'!$AA$4:$AB$7,2,FALSE)=0,"Spatial Data Missing ⚠",VLOOKUP(AI158,'G-7 WaterC'' Data'!$AA$4:$AB$7,2,FALSE))))</f>
        <v/>
      </c>
      <c r="AK158" s="110"/>
      <c r="AL158" s="282" t="str">
        <f>IF(AK158="","",IF(AND(AK158="N/A - Culvert",N158&lt;&gt;"Culvert"),"Not possible ▲",IF(VLOOKUP(AK158,'G-7 WaterC'' Data'!$AD$4:$AE$14,2,FALSE)=0,"Spatial Data Missing ⚠",VLOOKUP(AK158,'G-7 WaterC'' Data'!$AD$4:$AE$14,2,FALSE))))</f>
        <v/>
      </c>
      <c r="AM158" s="323" t="str">
        <f t="shared" si="27"/>
        <v/>
      </c>
      <c r="AN158" s="105"/>
      <c r="AO158" s="119"/>
      <c r="AP158" s="108"/>
      <c r="AS158" s="30" t="str">
        <f>IF(B158="","",IF(ISNA(VLOOKUP($B158,'C-1 On-Site WaterC'' Baseline'!$C$8:$AD$257,17,FALSE)),"",(VLOOKUP($B158,'C-1 On-Site WaterC'' Baseline'!$C$8:$AD$257,17,FALSE))))</f>
        <v/>
      </c>
      <c r="AT158" s="30" t="str">
        <f>IF(B158="","",VLOOKUP($B158,'C-1 On-Site WaterC'' Baseline'!$C$9:$Z$257,12,FALSE))</f>
        <v/>
      </c>
      <c r="AU158" s="30" t="str">
        <f>IF(B158="","",VLOOKUP($B158,'C-1 On-Site WaterC'' Baseline'!$C$9:$Z$257,14,FALSE))</f>
        <v/>
      </c>
      <c r="AV158" s="30" t="str">
        <f>IFERROR(INDEX('G-7 WaterC'' Data'!$AZ$3:$AZ$7,MATCH(N158,'G-7 WaterC'' Data'!$AY$3:$AY$7,0)),"")</f>
        <v/>
      </c>
      <c r="AX158" s="30" t="str">
        <f>IF(B158="","",VLOOKUP($B158,'C-1 On-Site WaterC'' Baseline'!$C$9:$Y$257,22,FALSE))</f>
        <v/>
      </c>
      <c r="AY158" s="30" t="str">
        <f t="shared" si="28"/>
        <v/>
      </c>
      <c r="AZ158" s="30" t="str">
        <f>IF(B158="","",VLOOKUP($B158,'C-1 On-Site WaterC'' Baseline'!$C$9:$Y$257,21,FALSE))</f>
        <v/>
      </c>
      <c r="BA158" s="30" t="str">
        <f>IF(B158="","",VLOOKUP($B158,'C-1 On-Site WaterC'' Baseline'!$C$9:$Y$257,19,FALSE))</f>
        <v/>
      </c>
      <c r="BD158" s="30" t="str">
        <f t="shared" si="29"/>
        <v>No</v>
      </c>
    </row>
    <row r="159" spans="2:56" ht="13.8" x14ac:dyDescent="0.25">
      <c r="B159" s="311" t="str">
        <f>'C-1 On-Site WaterC'' Baseline'!AP157</f>
        <v/>
      </c>
      <c r="C159" s="301" t="str">
        <f>IF(B159="","",VLOOKUP($B159,'C-1 On-Site WaterC'' Baseline'!$C$9:$R$257,2,FALSE))</f>
        <v/>
      </c>
      <c r="D159" s="301" t="str">
        <f>IF(C159="","",VLOOKUP($B159,'C-1 On-Site WaterC'' Baseline'!$C$9:$R$257,3,FALSE))</f>
        <v/>
      </c>
      <c r="E159" s="301" t="str">
        <f>IF(D159="","",VLOOKUP($B159,'C-1 On-Site WaterC'' Baseline'!$C$9:$R$257,4,FALSE))</f>
        <v/>
      </c>
      <c r="F159" s="301" t="str">
        <f>IF(E159="","",VLOOKUP($B159,'C-1 On-Site WaterC'' Baseline'!$C$9:$R$257,5,FALSE))</f>
        <v/>
      </c>
      <c r="G159" s="301" t="str">
        <f>IF(F159="","",VLOOKUP($B159,'C-1 On-Site WaterC'' Baseline'!$C$9:$R$257,6,FALSE))</f>
        <v/>
      </c>
      <c r="H159" s="301" t="str">
        <f>IF(G159="","",VLOOKUP($B159,'C-1 On-Site WaterC'' Baseline'!$C$9:$R$257,7,FALSE))</f>
        <v/>
      </c>
      <c r="I159" s="301" t="str">
        <f>IF(H159="","",VLOOKUP($B159,'C-1 On-Site WaterC'' Baseline'!$C$9:$R$257,8,FALSE))</f>
        <v/>
      </c>
      <c r="J159" s="301" t="str">
        <f>IF(I159="","",VLOOKUP($B159,'C-1 On-Site WaterC'' Baseline'!$C$9:$R$257,9,FALSE))</f>
        <v/>
      </c>
      <c r="K159" s="301" t="str">
        <f>IF(J159="","",VLOOKUP($B159,'C-1 On-Site WaterC'' Baseline'!$C$9:$R$257,10,FALSE))</f>
        <v/>
      </c>
      <c r="L159" s="301" t="str">
        <f>IF(B159="","",VLOOKUP($B159,'C-1 On-Site WaterC'' Baseline'!$C$9:$R$257,15,FALSE))</f>
        <v/>
      </c>
      <c r="M159" s="305" t="str">
        <f>IF(L159="","",VLOOKUP($B159,'C-1 On-Site WaterC'' Baseline'!$C$9:$R$257,16,FALSE))</f>
        <v/>
      </c>
      <c r="N159" s="251"/>
      <c r="O159" s="281" t="str">
        <f t="shared" si="21"/>
        <v/>
      </c>
      <c r="P159" s="282" t="str">
        <f t="shared" si="22"/>
        <v/>
      </c>
      <c r="Q159" s="342" t="str">
        <f>IF(N159="","",VLOOKUP(B159,'C-1 On-Site WaterC'' Baseline'!$C$10:$AC$257,20,FALSE))</f>
        <v/>
      </c>
      <c r="R159" s="281" t="str">
        <f>IF(N159="","",VLOOKUP(N159,'G-7 WaterC'' Data'!$B$2:$G$8,2,FALSE))</f>
        <v/>
      </c>
      <c r="S159" s="282" t="str">
        <f>IFERROR(VLOOKUP(R159,'G-7 WaterC'' Data'!$C$4:$D$8,2,FALSE),"")</f>
        <v/>
      </c>
      <c r="T159" s="105"/>
      <c r="U159" s="282" t="str">
        <f>IFERROR(INDEX('G-7 WaterC'' Data'!$H$4:$L$8,MATCH(N159,'G-7 WaterC'' Data'!$B$4:$B$8,0),MATCH(T159,'G-7 WaterC'' Data'!$H$3:$L$3,0)),"")</f>
        <v/>
      </c>
      <c r="V159" s="105"/>
      <c r="W159" s="289" t="str">
        <f>IF(V159="","",IF(VLOOKUP(V159,'G-7 WaterC'' Data'!$AK$4:$AM$6,2,FALSE)=0,"Spatial Data Missing ⚠",VLOOKUP(V159,'G-7 WaterC'' Data'!$AK$4:$AM$6,2,FALSE)))</f>
        <v/>
      </c>
      <c r="X159" s="282" t="str">
        <f>IF(V159="","",IF(VLOOKUP(V159,'G-7 WaterC'' Data'!$AK$4:$AM$6,3,FALSE)=0,"Spatial Data Missing ⚠",VLOOKUP(V159,'G-7 WaterC'' Data'!$AK$4:$AM$6,3,FALSE)))</f>
        <v/>
      </c>
      <c r="Y159" s="281" t="str">
        <f>IFERROR(IF(OR(LEFT(P159,5)="Error",LEFT(O159,5)="Error"),"Check Data ⚠",IF(F159&lt;S159,'G-7 WaterC'' Data'!$R$3,INDEX('G-7 WaterC'' Data'!$U$5:$Y$9,MATCH(G159,'G-7 WaterC'' Data'!$T$5:$T$9,0),MATCH(T159,'G-7 WaterC'' Data'!$U$4:$Y$4,0)))),"")</f>
        <v/>
      </c>
      <c r="Z159" s="137"/>
      <c r="AA159" s="137"/>
      <c r="AB159" s="289" t="str">
        <f t="shared" si="23"/>
        <v/>
      </c>
      <c r="AC159" s="302" t="str">
        <f t="shared" si="24"/>
        <v/>
      </c>
      <c r="AD159" s="340" t="str">
        <f>IFERROR(IF(AC159="Check Data ⚠","Check Data ⚠",VLOOKUP(AC159,'G-4 Temporal multipliers'!$A$4:$C$37,3,FALSE)),"")</f>
        <v/>
      </c>
      <c r="AE159" s="281" t="str">
        <f>IF(N159="","",VLOOKUP(N159,'G-7 WaterC'' Data'!$B$4:$G$8,5,FALSE))</f>
        <v/>
      </c>
      <c r="AF159" s="289" t="str">
        <f t="shared" si="25"/>
        <v/>
      </c>
      <c r="AG159" s="320" t="str">
        <f t="shared" si="26"/>
        <v/>
      </c>
      <c r="AH159" s="282" t="str">
        <f t="shared" si="20"/>
        <v/>
      </c>
      <c r="AI159" s="109"/>
      <c r="AJ159" s="282" t="str">
        <f>IF(AI159="","",IF(AND(AI159="N/A - Culvert",N159&lt;&gt;"Culvert"),"Not possible ▲",IF(VLOOKUP(AI159,'G-7 WaterC'' Data'!$AA$4:$AB$7,2,FALSE)=0,"Spatial Data Missing ⚠",VLOOKUP(AI159,'G-7 WaterC'' Data'!$AA$4:$AB$7,2,FALSE))))</f>
        <v/>
      </c>
      <c r="AK159" s="110"/>
      <c r="AL159" s="282" t="str">
        <f>IF(AK159="","",IF(AND(AK159="N/A - Culvert",N159&lt;&gt;"Culvert"),"Not possible ▲",IF(VLOOKUP(AK159,'G-7 WaterC'' Data'!$AD$4:$AE$14,2,FALSE)=0,"Spatial Data Missing ⚠",VLOOKUP(AK159,'G-7 WaterC'' Data'!$AD$4:$AE$14,2,FALSE))))</f>
        <v/>
      </c>
      <c r="AM159" s="323" t="str">
        <f t="shared" si="27"/>
        <v/>
      </c>
      <c r="AN159" s="105"/>
      <c r="AO159" s="119"/>
      <c r="AP159" s="108"/>
      <c r="AS159" s="30" t="str">
        <f>IF(B159="","",IF(ISNA(VLOOKUP($B159,'C-1 On-Site WaterC'' Baseline'!$C$8:$AD$257,17,FALSE)),"",(VLOOKUP($B159,'C-1 On-Site WaterC'' Baseline'!$C$8:$AD$257,17,FALSE))))</f>
        <v/>
      </c>
      <c r="AT159" s="30" t="str">
        <f>IF(B159="","",VLOOKUP($B159,'C-1 On-Site WaterC'' Baseline'!$C$9:$Z$257,12,FALSE))</f>
        <v/>
      </c>
      <c r="AU159" s="30" t="str">
        <f>IF(B159="","",VLOOKUP($B159,'C-1 On-Site WaterC'' Baseline'!$C$9:$Z$257,14,FALSE))</f>
        <v/>
      </c>
      <c r="AV159" s="30" t="str">
        <f>IFERROR(INDEX('G-7 WaterC'' Data'!$AZ$3:$AZ$7,MATCH(N159,'G-7 WaterC'' Data'!$AY$3:$AY$7,0)),"")</f>
        <v/>
      </c>
      <c r="AX159" s="30" t="str">
        <f>IF(B159="","",VLOOKUP($B159,'C-1 On-Site WaterC'' Baseline'!$C$9:$Y$257,22,FALSE))</f>
        <v/>
      </c>
      <c r="AY159" s="30" t="str">
        <f t="shared" si="28"/>
        <v/>
      </c>
      <c r="AZ159" s="30" t="str">
        <f>IF(B159="","",VLOOKUP($B159,'C-1 On-Site WaterC'' Baseline'!$C$9:$Y$257,21,FALSE))</f>
        <v/>
      </c>
      <c r="BA159" s="30" t="str">
        <f>IF(B159="","",VLOOKUP($B159,'C-1 On-Site WaterC'' Baseline'!$C$9:$Y$257,19,FALSE))</f>
        <v/>
      </c>
      <c r="BD159" s="30" t="str">
        <f t="shared" si="29"/>
        <v>No</v>
      </c>
    </row>
    <row r="160" spans="2:56" ht="13.8" x14ac:dyDescent="0.25">
      <c r="B160" s="311" t="str">
        <f>'C-1 On-Site WaterC'' Baseline'!AP158</f>
        <v/>
      </c>
      <c r="C160" s="301" t="str">
        <f>IF(B160="","",VLOOKUP($B160,'C-1 On-Site WaterC'' Baseline'!$C$9:$R$257,2,FALSE))</f>
        <v/>
      </c>
      <c r="D160" s="301" t="str">
        <f>IF(C160="","",VLOOKUP($B160,'C-1 On-Site WaterC'' Baseline'!$C$9:$R$257,3,FALSE))</f>
        <v/>
      </c>
      <c r="E160" s="301" t="str">
        <f>IF(D160="","",VLOOKUP($B160,'C-1 On-Site WaterC'' Baseline'!$C$9:$R$257,4,FALSE))</f>
        <v/>
      </c>
      <c r="F160" s="301" t="str">
        <f>IF(E160="","",VLOOKUP($B160,'C-1 On-Site WaterC'' Baseline'!$C$9:$R$257,5,FALSE))</f>
        <v/>
      </c>
      <c r="G160" s="301" t="str">
        <f>IF(F160="","",VLOOKUP($B160,'C-1 On-Site WaterC'' Baseline'!$C$9:$R$257,6,FALSE))</f>
        <v/>
      </c>
      <c r="H160" s="301" t="str">
        <f>IF(G160="","",VLOOKUP($B160,'C-1 On-Site WaterC'' Baseline'!$C$9:$R$257,7,FALSE))</f>
        <v/>
      </c>
      <c r="I160" s="301" t="str">
        <f>IF(H160="","",VLOOKUP($B160,'C-1 On-Site WaterC'' Baseline'!$C$9:$R$257,8,FALSE))</f>
        <v/>
      </c>
      <c r="J160" s="301" t="str">
        <f>IF(I160="","",VLOOKUP($B160,'C-1 On-Site WaterC'' Baseline'!$C$9:$R$257,9,FALSE))</f>
        <v/>
      </c>
      <c r="K160" s="301" t="str">
        <f>IF(J160="","",VLOOKUP($B160,'C-1 On-Site WaterC'' Baseline'!$C$9:$R$257,10,FALSE))</f>
        <v/>
      </c>
      <c r="L160" s="301" t="str">
        <f>IF(B160="","",VLOOKUP($B160,'C-1 On-Site WaterC'' Baseline'!$C$9:$R$257,15,FALSE))</f>
        <v/>
      </c>
      <c r="M160" s="305" t="str">
        <f>IF(L160="","",VLOOKUP($B160,'C-1 On-Site WaterC'' Baseline'!$C$9:$R$257,16,FALSE))</f>
        <v/>
      </c>
      <c r="N160" s="251"/>
      <c r="O160" s="281" t="str">
        <f t="shared" si="21"/>
        <v/>
      </c>
      <c r="P160" s="282" t="str">
        <f t="shared" si="22"/>
        <v/>
      </c>
      <c r="Q160" s="342" t="str">
        <f>IF(N160="","",VLOOKUP(B160,'C-1 On-Site WaterC'' Baseline'!$C$10:$AC$257,20,FALSE))</f>
        <v/>
      </c>
      <c r="R160" s="281" t="str">
        <f>IF(N160="","",VLOOKUP(N160,'G-7 WaterC'' Data'!$B$2:$G$8,2,FALSE))</f>
        <v/>
      </c>
      <c r="S160" s="282" t="str">
        <f>IFERROR(VLOOKUP(R160,'G-7 WaterC'' Data'!$C$4:$D$8,2,FALSE),"")</f>
        <v/>
      </c>
      <c r="T160" s="105"/>
      <c r="U160" s="282" t="str">
        <f>IFERROR(INDEX('G-7 WaterC'' Data'!$H$4:$L$8,MATCH(N160,'G-7 WaterC'' Data'!$B$4:$B$8,0),MATCH(T160,'G-7 WaterC'' Data'!$H$3:$L$3,0)),"")</f>
        <v/>
      </c>
      <c r="V160" s="105"/>
      <c r="W160" s="289" t="str">
        <f>IF(V160="","",IF(VLOOKUP(V160,'G-7 WaterC'' Data'!$AK$4:$AM$6,2,FALSE)=0,"Spatial Data Missing ⚠",VLOOKUP(V160,'G-7 WaterC'' Data'!$AK$4:$AM$6,2,FALSE)))</f>
        <v/>
      </c>
      <c r="X160" s="282" t="str">
        <f>IF(V160="","",IF(VLOOKUP(V160,'G-7 WaterC'' Data'!$AK$4:$AM$6,3,FALSE)=0,"Spatial Data Missing ⚠",VLOOKUP(V160,'G-7 WaterC'' Data'!$AK$4:$AM$6,3,FALSE)))</f>
        <v/>
      </c>
      <c r="Y160" s="281" t="str">
        <f>IFERROR(IF(OR(LEFT(P160,5)="Error",LEFT(O160,5)="Error"),"Check Data ⚠",IF(F160&lt;S160,'G-7 WaterC'' Data'!$R$3,INDEX('G-7 WaterC'' Data'!$U$5:$Y$9,MATCH(G160,'G-7 WaterC'' Data'!$T$5:$T$9,0),MATCH(T160,'G-7 WaterC'' Data'!$U$4:$Y$4,0)))),"")</f>
        <v/>
      </c>
      <c r="Z160" s="137"/>
      <c r="AA160" s="137"/>
      <c r="AB160" s="289" t="str">
        <f t="shared" si="23"/>
        <v/>
      </c>
      <c r="AC160" s="302" t="str">
        <f t="shared" si="24"/>
        <v/>
      </c>
      <c r="AD160" s="340" t="str">
        <f>IFERROR(IF(AC160="Check Data ⚠","Check Data ⚠",VLOOKUP(AC160,'G-4 Temporal multipliers'!$A$4:$C$37,3,FALSE)),"")</f>
        <v/>
      </c>
      <c r="AE160" s="281" t="str">
        <f>IF(N160="","",VLOOKUP(N160,'G-7 WaterC'' Data'!$B$4:$G$8,5,FALSE))</f>
        <v/>
      </c>
      <c r="AF160" s="289" t="str">
        <f t="shared" si="25"/>
        <v/>
      </c>
      <c r="AG160" s="320" t="str">
        <f t="shared" si="26"/>
        <v/>
      </c>
      <c r="AH160" s="282" t="str">
        <f t="shared" si="20"/>
        <v/>
      </c>
      <c r="AI160" s="109"/>
      <c r="AJ160" s="282" t="str">
        <f>IF(AI160="","",IF(AND(AI160="N/A - Culvert",N160&lt;&gt;"Culvert"),"Not possible ▲",IF(VLOOKUP(AI160,'G-7 WaterC'' Data'!$AA$4:$AB$7,2,FALSE)=0,"Spatial Data Missing ⚠",VLOOKUP(AI160,'G-7 WaterC'' Data'!$AA$4:$AB$7,2,FALSE))))</f>
        <v/>
      </c>
      <c r="AK160" s="110"/>
      <c r="AL160" s="282" t="str">
        <f>IF(AK160="","",IF(AND(AK160="N/A - Culvert",N160&lt;&gt;"Culvert"),"Not possible ▲",IF(VLOOKUP(AK160,'G-7 WaterC'' Data'!$AD$4:$AE$14,2,FALSE)=0,"Spatial Data Missing ⚠",VLOOKUP(AK160,'G-7 WaterC'' Data'!$AD$4:$AE$14,2,FALSE))))</f>
        <v/>
      </c>
      <c r="AM160" s="323" t="str">
        <f t="shared" si="27"/>
        <v/>
      </c>
      <c r="AN160" s="105"/>
      <c r="AO160" s="119"/>
      <c r="AP160" s="108"/>
      <c r="AS160" s="30" t="str">
        <f>IF(B160="","",IF(ISNA(VLOOKUP($B160,'C-1 On-Site WaterC'' Baseline'!$C$8:$AD$257,17,FALSE)),"",(VLOOKUP($B160,'C-1 On-Site WaterC'' Baseline'!$C$8:$AD$257,17,FALSE))))</f>
        <v/>
      </c>
      <c r="AT160" s="30" t="str">
        <f>IF(B160="","",VLOOKUP($B160,'C-1 On-Site WaterC'' Baseline'!$C$9:$Z$257,12,FALSE))</f>
        <v/>
      </c>
      <c r="AU160" s="30" t="str">
        <f>IF(B160="","",VLOOKUP($B160,'C-1 On-Site WaterC'' Baseline'!$C$9:$Z$257,14,FALSE))</f>
        <v/>
      </c>
      <c r="AV160" s="30" t="str">
        <f>IFERROR(INDEX('G-7 WaterC'' Data'!$AZ$3:$AZ$7,MATCH(N160,'G-7 WaterC'' Data'!$AY$3:$AY$7,0)),"")</f>
        <v/>
      </c>
      <c r="AX160" s="30" t="str">
        <f>IF(B160="","",VLOOKUP($B160,'C-1 On-Site WaterC'' Baseline'!$C$9:$Y$257,22,FALSE))</f>
        <v/>
      </c>
      <c r="AY160" s="30" t="str">
        <f t="shared" si="28"/>
        <v/>
      </c>
      <c r="AZ160" s="30" t="str">
        <f>IF(B160="","",VLOOKUP($B160,'C-1 On-Site WaterC'' Baseline'!$C$9:$Y$257,21,FALSE))</f>
        <v/>
      </c>
      <c r="BA160" s="30" t="str">
        <f>IF(B160="","",VLOOKUP($B160,'C-1 On-Site WaterC'' Baseline'!$C$9:$Y$257,19,FALSE))</f>
        <v/>
      </c>
      <c r="BD160" s="30" t="str">
        <f t="shared" si="29"/>
        <v>No</v>
      </c>
    </row>
    <row r="161" spans="2:56" ht="13.8" x14ac:dyDescent="0.25">
      <c r="B161" s="311" t="str">
        <f>'C-1 On-Site WaterC'' Baseline'!AP159</f>
        <v/>
      </c>
      <c r="C161" s="301" t="str">
        <f>IF(B161="","",VLOOKUP($B161,'C-1 On-Site WaterC'' Baseline'!$C$9:$R$257,2,FALSE))</f>
        <v/>
      </c>
      <c r="D161" s="301" t="str">
        <f>IF(C161="","",VLOOKUP($B161,'C-1 On-Site WaterC'' Baseline'!$C$9:$R$257,3,FALSE))</f>
        <v/>
      </c>
      <c r="E161" s="301" t="str">
        <f>IF(D161="","",VLOOKUP($B161,'C-1 On-Site WaterC'' Baseline'!$C$9:$R$257,4,FALSE))</f>
        <v/>
      </c>
      <c r="F161" s="301" t="str">
        <f>IF(E161="","",VLOOKUP($B161,'C-1 On-Site WaterC'' Baseline'!$C$9:$R$257,5,FALSE))</f>
        <v/>
      </c>
      <c r="G161" s="301" t="str">
        <f>IF(F161="","",VLOOKUP($B161,'C-1 On-Site WaterC'' Baseline'!$C$9:$R$257,6,FALSE))</f>
        <v/>
      </c>
      <c r="H161" s="301" t="str">
        <f>IF(G161="","",VLOOKUP($B161,'C-1 On-Site WaterC'' Baseline'!$C$9:$R$257,7,FALSE))</f>
        <v/>
      </c>
      <c r="I161" s="301" t="str">
        <f>IF(H161="","",VLOOKUP($B161,'C-1 On-Site WaterC'' Baseline'!$C$9:$R$257,8,FALSE))</f>
        <v/>
      </c>
      <c r="J161" s="301" t="str">
        <f>IF(I161="","",VLOOKUP($B161,'C-1 On-Site WaterC'' Baseline'!$C$9:$R$257,9,FALSE))</f>
        <v/>
      </c>
      <c r="K161" s="301" t="str">
        <f>IF(J161="","",VLOOKUP($B161,'C-1 On-Site WaterC'' Baseline'!$C$9:$R$257,10,FALSE))</f>
        <v/>
      </c>
      <c r="L161" s="301" t="str">
        <f>IF(B161="","",VLOOKUP($B161,'C-1 On-Site WaterC'' Baseline'!$C$9:$R$257,15,FALSE))</f>
        <v/>
      </c>
      <c r="M161" s="305" t="str">
        <f>IF(L161="","",VLOOKUP($B161,'C-1 On-Site WaterC'' Baseline'!$C$9:$R$257,16,FALSE))</f>
        <v/>
      </c>
      <c r="N161" s="251"/>
      <c r="O161" s="281" t="str">
        <f t="shared" si="21"/>
        <v/>
      </c>
      <c r="P161" s="282" t="str">
        <f t="shared" si="22"/>
        <v/>
      </c>
      <c r="Q161" s="342" t="str">
        <f>IF(N161="","",VLOOKUP(B161,'C-1 On-Site WaterC'' Baseline'!$C$10:$AC$257,20,FALSE))</f>
        <v/>
      </c>
      <c r="R161" s="281" t="str">
        <f>IF(N161="","",VLOOKUP(N161,'G-7 WaterC'' Data'!$B$2:$G$8,2,FALSE))</f>
        <v/>
      </c>
      <c r="S161" s="282" t="str">
        <f>IFERROR(VLOOKUP(R161,'G-7 WaterC'' Data'!$C$4:$D$8,2,FALSE),"")</f>
        <v/>
      </c>
      <c r="T161" s="105"/>
      <c r="U161" s="282" t="str">
        <f>IFERROR(INDEX('G-7 WaterC'' Data'!$H$4:$L$8,MATCH(N161,'G-7 WaterC'' Data'!$B$4:$B$8,0),MATCH(T161,'G-7 WaterC'' Data'!$H$3:$L$3,0)),"")</f>
        <v/>
      </c>
      <c r="V161" s="105"/>
      <c r="W161" s="289" t="str">
        <f>IF(V161="","",IF(VLOOKUP(V161,'G-7 WaterC'' Data'!$AK$4:$AM$6,2,FALSE)=0,"Spatial Data Missing ⚠",VLOOKUP(V161,'G-7 WaterC'' Data'!$AK$4:$AM$6,2,FALSE)))</f>
        <v/>
      </c>
      <c r="X161" s="282" t="str">
        <f>IF(V161="","",IF(VLOOKUP(V161,'G-7 WaterC'' Data'!$AK$4:$AM$6,3,FALSE)=0,"Spatial Data Missing ⚠",VLOOKUP(V161,'G-7 WaterC'' Data'!$AK$4:$AM$6,3,FALSE)))</f>
        <v/>
      </c>
      <c r="Y161" s="281" t="str">
        <f>IFERROR(IF(OR(LEFT(P161,5)="Error",LEFT(O161,5)="Error"),"Check Data ⚠",IF(F161&lt;S161,'G-7 WaterC'' Data'!$R$3,INDEX('G-7 WaterC'' Data'!$U$5:$Y$9,MATCH(G161,'G-7 WaterC'' Data'!$T$5:$T$9,0),MATCH(T161,'G-7 WaterC'' Data'!$U$4:$Y$4,0)))),"")</f>
        <v/>
      </c>
      <c r="Z161" s="137"/>
      <c r="AA161" s="137"/>
      <c r="AB161" s="289" t="str">
        <f t="shared" si="23"/>
        <v/>
      </c>
      <c r="AC161" s="302" t="str">
        <f t="shared" si="24"/>
        <v/>
      </c>
      <c r="AD161" s="340" t="str">
        <f>IFERROR(IF(AC161="Check Data ⚠","Check Data ⚠",VLOOKUP(AC161,'G-4 Temporal multipliers'!$A$4:$C$37,3,FALSE)),"")</f>
        <v/>
      </c>
      <c r="AE161" s="281" t="str">
        <f>IF(N161="","",VLOOKUP(N161,'G-7 WaterC'' Data'!$B$4:$G$8,5,FALSE))</f>
        <v/>
      </c>
      <c r="AF161" s="289" t="str">
        <f t="shared" si="25"/>
        <v/>
      </c>
      <c r="AG161" s="320" t="str">
        <f t="shared" si="26"/>
        <v/>
      </c>
      <c r="AH161" s="282" t="str">
        <f t="shared" si="20"/>
        <v/>
      </c>
      <c r="AI161" s="109"/>
      <c r="AJ161" s="282" t="str">
        <f>IF(AI161="","",IF(AND(AI161="N/A - Culvert",N161&lt;&gt;"Culvert"),"Not possible ▲",IF(VLOOKUP(AI161,'G-7 WaterC'' Data'!$AA$4:$AB$7,2,FALSE)=0,"Spatial Data Missing ⚠",VLOOKUP(AI161,'G-7 WaterC'' Data'!$AA$4:$AB$7,2,FALSE))))</f>
        <v/>
      </c>
      <c r="AK161" s="110"/>
      <c r="AL161" s="282" t="str">
        <f>IF(AK161="","",IF(AND(AK161="N/A - Culvert",N161&lt;&gt;"Culvert"),"Not possible ▲",IF(VLOOKUP(AK161,'G-7 WaterC'' Data'!$AD$4:$AE$14,2,FALSE)=0,"Spatial Data Missing ⚠",VLOOKUP(AK161,'G-7 WaterC'' Data'!$AD$4:$AE$14,2,FALSE))))</f>
        <v/>
      </c>
      <c r="AM161" s="323" t="str">
        <f t="shared" si="27"/>
        <v/>
      </c>
      <c r="AN161" s="105"/>
      <c r="AO161" s="119"/>
      <c r="AP161" s="108"/>
      <c r="AS161" s="30" t="str">
        <f>IF(B161="","",IF(ISNA(VLOOKUP($B161,'C-1 On-Site WaterC'' Baseline'!$C$8:$AD$257,17,FALSE)),"",(VLOOKUP($B161,'C-1 On-Site WaterC'' Baseline'!$C$8:$AD$257,17,FALSE))))</f>
        <v/>
      </c>
      <c r="AT161" s="30" t="str">
        <f>IF(B161="","",VLOOKUP($B161,'C-1 On-Site WaterC'' Baseline'!$C$9:$Z$257,12,FALSE))</f>
        <v/>
      </c>
      <c r="AU161" s="30" t="str">
        <f>IF(B161="","",VLOOKUP($B161,'C-1 On-Site WaterC'' Baseline'!$C$9:$Z$257,14,FALSE))</f>
        <v/>
      </c>
      <c r="AV161" s="30" t="str">
        <f>IFERROR(INDEX('G-7 WaterC'' Data'!$AZ$3:$AZ$7,MATCH(N161,'G-7 WaterC'' Data'!$AY$3:$AY$7,0)),"")</f>
        <v/>
      </c>
      <c r="AX161" s="30" t="str">
        <f>IF(B161="","",VLOOKUP($B161,'C-1 On-Site WaterC'' Baseline'!$C$9:$Y$257,22,FALSE))</f>
        <v/>
      </c>
      <c r="AY161" s="30" t="str">
        <f t="shared" si="28"/>
        <v/>
      </c>
      <c r="AZ161" s="30" t="str">
        <f>IF(B161="","",VLOOKUP($B161,'C-1 On-Site WaterC'' Baseline'!$C$9:$Y$257,21,FALSE))</f>
        <v/>
      </c>
      <c r="BA161" s="30" t="str">
        <f>IF(B161="","",VLOOKUP($B161,'C-1 On-Site WaterC'' Baseline'!$C$9:$Y$257,19,FALSE))</f>
        <v/>
      </c>
      <c r="BD161" s="30" t="str">
        <f t="shared" si="29"/>
        <v>No</v>
      </c>
    </row>
    <row r="162" spans="2:56" ht="13.8" x14ac:dyDescent="0.25">
      <c r="B162" s="311" t="str">
        <f>'C-1 On-Site WaterC'' Baseline'!AP160</f>
        <v/>
      </c>
      <c r="C162" s="301" t="str">
        <f>IF(B162="","",VLOOKUP($B162,'C-1 On-Site WaterC'' Baseline'!$C$9:$R$257,2,FALSE))</f>
        <v/>
      </c>
      <c r="D162" s="301" t="str">
        <f>IF(C162="","",VLOOKUP($B162,'C-1 On-Site WaterC'' Baseline'!$C$9:$R$257,3,FALSE))</f>
        <v/>
      </c>
      <c r="E162" s="301" t="str">
        <f>IF(D162="","",VLOOKUP($B162,'C-1 On-Site WaterC'' Baseline'!$C$9:$R$257,4,FALSE))</f>
        <v/>
      </c>
      <c r="F162" s="301" t="str">
        <f>IF(E162="","",VLOOKUP($B162,'C-1 On-Site WaterC'' Baseline'!$C$9:$R$257,5,FALSE))</f>
        <v/>
      </c>
      <c r="G162" s="301" t="str">
        <f>IF(F162="","",VLOOKUP($B162,'C-1 On-Site WaterC'' Baseline'!$C$9:$R$257,6,FALSE))</f>
        <v/>
      </c>
      <c r="H162" s="301" t="str">
        <f>IF(G162="","",VLOOKUP($B162,'C-1 On-Site WaterC'' Baseline'!$C$9:$R$257,7,FALSE))</f>
        <v/>
      </c>
      <c r="I162" s="301" t="str">
        <f>IF(H162="","",VLOOKUP($B162,'C-1 On-Site WaterC'' Baseline'!$C$9:$R$257,8,FALSE))</f>
        <v/>
      </c>
      <c r="J162" s="301" t="str">
        <f>IF(I162="","",VLOOKUP($B162,'C-1 On-Site WaterC'' Baseline'!$C$9:$R$257,9,FALSE))</f>
        <v/>
      </c>
      <c r="K162" s="301" t="str">
        <f>IF(J162="","",VLOOKUP($B162,'C-1 On-Site WaterC'' Baseline'!$C$9:$R$257,10,FALSE))</f>
        <v/>
      </c>
      <c r="L162" s="301" t="str">
        <f>IF(B162="","",VLOOKUP($B162,'C-1 On-Site WaterC'' Baseline'!$C$9:$R$257,15,FALSE))</f>
        <v/>
      </c>
      <c r="M162" s="305" t="str">
        <f>IF(L162="","",VLOOKUP($B162,'C-1 On-Site WaterC'' Baseline'!$C$9:$R$257,16,FALSE))</f>
        <v/>
      </c>
      <c r="N162" s="251"/>
      <c r="O162" s="281" t="str">
        <f t="shared" si="21"/>
        <v/>
      </c>
      <c r="P162" s="282" t="str">
        <f t="shared" si="22"/>
        <v/>
      </c>
      <c r="Q162" s="342" t="str">
        <f>IF(N162="","",VLOOKUP(B162,'C-1 On-Site WaterC'' Baseline'!$C$10:$AC$257,20,FALSE))</f>
        <v/>
      </c>
      <c r="R162" s="281" t="str">
        <f>IF(N162="","",VLOOKUP(N162,'G-7 WaterC'' Data'!$B$2:$G$8,2,FALSE))</f>
        <v/>
      </c>
      <c r="S162" s="282" t="str">
        <f>IFERROR(VLOOKUP(R162,'G-7 WaterC'' Data'!$C$4:$D$8,2,FALSE),"")</f>
        <v/>
      </c>
      <c r="T162" s="105"/>
      <c r="U162" s="282" t="str">
        <f>IFERROR(INDEX('G-7 WaterC'' Data'!$H$4:$L$8,MATCH(N162,'G-7 WaterC'' Data'!$B$4:$B$8,0),MATCH(T162,'G-7 WaterC'' Data'!$H$3:$L$3,0)),"")</f>
        <v/>
      </c>
      <c r="V162" s="105"/>
      <c r="W162" s="289" t="str">
        <f>IF(V162="","",IF(VLOOKUP(V162,'G-7 WaterC'' Data'!$AK$4:$AM$6,2,FALSE)=0,"Spatial Data Missing ⚠",VLOOKUP(V162,'G-7 WaterC'' Data'!$AK$4:$AM$6,2,FALSE)))</f>
        <v/>
      </c>
      <c r="X162" s="282" t="str">
        <f>IF(V162="","",IF(VLOOKUP(V162,'G-7 WaterC'' Data'!$AK$4:$AM$6,3,FALSE)=0,"Spatial Data Missing ⚠",VLOOKUP(V162,'G-7 WaterC'' Data'!$AK$4:$AM$6,3,FALSE)))</f>
        <v/>
      </c>
      <c r="Y162" s="281" t="str">
        <f>IFERROR(IF(OR(LEFT(P162,5)="Error",LEFT(O162,5)="Error"),"Check Data ⚠",IF(F162&lt;S162,'G-7 WaterC'' Data'!$R$3,INDEX('G-7 WaterC'' Data'!$U$5:$Y$9,MATCH(G162,'G-7 WaterC'' Data'!$T$5:$T$9,0),MATCH(T162,'G-7 WaterC'' Data'!$U$4:$Y$4,0)))),"")</f>
        <v/>
      </c>
      <c r="Z162" s="137"/>
      <c r="AA162" s="137"/>
      <c r="AB162" s="289" t="str">
        <f t="shared" si="23"/>
        <v/>
      </c>
      <c r="AC162" s="302" t="str">
        <f t="shared" si="24"/>
        <v/>
      </c>
      <c r="AD162" s="340" t="str">
        <f>IFERROR(IF(AC162="Check Data ⚠","Check Data ⚠",VLOOKUP(AC162,'G-4 Temporal multipliers'!$A$4:$C$37,3,FALSE)),"")</f>
        <v/>
      </c>
      <c r="AE162" s="281" t="str">
        <f>IF(N162="","",VLOOKUP(N162,'G-7 WaterC'' Data'!$B$4:$G$8,5,FALSE))</f>
        <v/>
      </c>
      <c r="AF162" s="289" t="str">
        <f t="shared" si="25"/>
        <v/>
      </c>
      <c r="AG162" s="320" t="str">
        <f t="shared" si="26"/>
        <v/>
      </c>
      <c r="AH162" s="282" t="str">
        <f t="shared" si="20"/>
        <v/>
      </c>
      <c r="AI162" s="109"/>
      <c r="AJ162" s="282" t="str">
        <f>IF(AI162="","",IF(AND(AI162="N/A - Culvert",N162&lt;&gt;"Culvert"),"Not possible ▲",IF(VLOOKUP(AI162,'G-7 WaterC'' Data'!$AA$4:$AB$7,2,FALSE)=0,"Spatial Data Missing ⚠",VLOOKUP(AI162,'G-7 WaterC'' Data'!$AA$4:$AB$7,2,FALSE))))</f>
        <v/>
      </c>
      <c r="AK162" s="110"/>
      <c r="AL162" s="282" t="str">
        <f>IF(AK162="","",IF(AND(AK162="N/A - Culvert",N162&lt;&gt;"Culvert"),"Not possible ▲",IF(VLOOKUP(AK162,'G-7 WaterC'' Data'!$AD$4:$AE$14,2,FALSE)=0,"Spatial Data Missing ⚠",VLOOKUP(AK162,'G-7 WaterC'' Data'!$AD$4:$AE$14,2,FALSE))))</f>
        <v/>
      </c>
      <c r="AM162" s="323" t="str">
        <f t="shared" si="27"/>
        <v/>
      </c>
      <c r="AN162" s="105"/>
      <c r="AO162" s="119"/>
      <c r="AP162" s="108"/>
      <c r="AS162" s="30" t="str">
        <f>IF(B162="","",IF(ISNA(VLOOKUP($B162,'C-1 On-Site WaterC'' Baseline'!$C$8:$AD$257,17,FALSE)),"",(VLOOKUP($B162,'C-1 On-Site WaterC'' Baseline'!$C$8:$AD$257,17,FALSE))))</f>
        <v/>
      </c>
      <c r="AT162" s="30" t="str">
        <f>IF(B162="","",VLOOKUP($B162,'C-1 On-Site WaterC'' Baseline'!$C$9:$Z$257,12,FALSE))</f>
        <v/>
      </c>
      <c r="AU162" s="30" t="str">
        <f>IF(B162="","",VLOOKUP($B162,'C-1 On-Site WaterC'' Baseline'!$C$9:$Z$257,14,FALSE))</f>
        <v/>
      </c>
      <c r="AV162" s="30" t="str">
        <f>IFERROR(INDEX('G-7 WaterC'' Data'!$AZ$3:$AZ$7,MATCH(N162,'G-7 WaterC'' Data'!$AY$3:$AY$7,0)),"")</f>
        <v/>
      </c>
      <c r="AX162" s="30" t="str">
        <f>IF(B162="","",VLOOKUP($B162,'C-1 On-Site WaterC'' Baseline'!$C$9:$Y$257,22,FALSE))</f>
        <v/>
      </c>
      <c r="AY162" s="30" t="str">
        <f t="shared" si="28"/>
        <v/>
      </c>
      <c r="AZ162" s="30" t="str">
        <f>IF(B162="","",VLOOKUP($B162,'C-1 On-Site WaterC'' Baseline'!$C$9:$Y$257,21,FALSE))</f>
        <v/>
      </c>
      <c r="BA162" s="30" t="str">
        <f>IF(B162="","",VLOOKUP($B162,'C-1 On-Site WaterC'' Baseline'!$C$9:$Y$257,19,FALSE))</f>
        <v/>
      </c>
      <c r="BD162" s="30" t="str">
        <f t="shared" si="29"/>
        <v>No</v>
      </c>
    </row>
    <row r="163" spans="2:56" ht="13.8" x14ac:dyDescent="0.25">
      <c r="B163" s="311" t="str">
        <f>'C-1 On-Site WaterC'' Baseline'!AP161</f>
        <v/>
      </c>
      <c r="C163" s="301" t="str">
        <f>IF(B163="","",VLOOKUP($B163,'C-1 On-Site WaterC'' Baseline'!$C$9:$R$257,2,FALSE))</f>
        <v/>
      </c>
      <c r="D163" s="301" t="str">
        <f>IF(C163="","",VLOOKUP($B163,'C-1 On-Site WaterC'' Baseline'!$C$9:$R$257,3,FALSE))</f>
        <v/>
      </c>
      <c r="E163" s="301" t="str">
        <f>IF(D163="","",VLOOKUP($B163,'C-1 On-Site WaterC'' Baseline'!$C$9:$R$257,4,FALSE))</f>
        <v/>
      </c>
      <c r="F163" s="301" t="str">
        <f>IF(E163="","",VLOOKUP($B163,'C-1 On-Site WaterC'' Baseline'!$C$9:$R$257,5,FALSE))</f>
        <v/>
      </c>
      <c r="G163" s="301" t="str">
        <f>IF(F163="","",VLOOKUP($B163,'C-1 On-Site WaterC'' Baseline'!$C$9:$R$257,6,FALSE))</f>
        <v/>
      </c>
      <c r="H163" s="301" t="str">
        <f>IF(G163="","",VLOOKUP($B163,'C-1 On-Site WaterC'' Baseline'!$C$9:$R$257,7,FALSE))</f>
        <v/>
      </c>
      <c r="I163" s="301" t="str">
        <f>IF(H163="","",VLOOKUP($B163,'C-1 On-Site WaterC'' Baseline'!$C$9:$R$257,8,FALSE))</f>
        <v/>
      </c>
      <c r="J163" s="301" t="str">
        <f>IF(I163="","",VLOOKUP($B163,'C-1 On-Site WaterC'' Baseline'!$C$9:$R$257,9,FALSE))</f>
        <v/>
      </c>
      <c r="K163" s="301" t="str">
        <f>IF(J163="","",VLOOKUP($B163,'C-1 On-Site WaterC'' Baseline'!$C$9:$R$257,10,FALSE))</f>
        <v/>
      </c>
      <c r="L163" s="301" t="str">
        <f>IF(B163="","",VLOOKUP($B163,'C-1 On-Site WaterC'' Baseline'!$C$9:$R$257,15,FALSE))</f>
        <v/>
      </c>
      <c r="M163" s="305" t="str">
        <f>IF(L163="","",VLOOKUP($B163,'C-1 On-Site WaterC'' Baseline'!$C$9:$R$257,16,FALSE))</f>
        <v/>
      </c>
      <c r="N163" s="251"/>
      <c r="O163" s="281" t="str">
        <f t="shared" si="21"/>
        <v/>
      </c>
      <c r="P163" s="282" t="str">
        <f t="shared" si="22"/>
        <v/>
      </c>
      <c r="Q163" s="342" t="str">
        <f>IF(N163="","",VLOOKUP(B163,'C-1 On-Site WaterC'' Baseline'!$C$10:$AC$257,20,FALSE))</f>
        <v/>
      </c>
      <c r="R163" s="281" t="str">
        <f>IF(N163="","",VLOOKUP(N163,'G-7 WaterC'' Data'!$B$2:$G$8,2,FALSE))</f>
        <v/>
      </c>
      <c r="S163" s="282" t="str">
        <f>IFERROR(VLOOKUP(R163,'G-7 WaterC'' Data'!$C$4:$D$8,2,FALSE),"")</f>
        <v/>
      </c>
      <c r="T163" s="105"/>
      <c r="U163" s="282" t="str">
        <f>IFERROR(INDEX('G-7 WaterC'' Data'!$H$4:$L$8,MATCH(N163,'G-7 WaterC'' Data'!$B$4:$B$8,0),MATCH(T163,'G-7 WaterC'' Data'!$H$3:$L$3,0)),"")</f>
        <v/>
      </c>
      <c r="V163" s="105"/>
      <c r="W163" s="289" t="str">
        <f>IF(V163="","",IF(VLOOKUP(V163,'G-7 WaterC'' Data'!$AK$4:$AM$6,2,FALSE)=0,"Spatial Data Missing ⚠",VLOOKUP(V163,'G-7 WaterC'' Data'!$AK$4:$AM$6,2,FALSE)))</f>
        <v/>
      </c>
      <c r="X163" s="282" t="str">
        <f>IF(V163="","",IF(VLOOKUP(V163,'G-7 WaterC'' Data'!$AK$4:$AM$6,3,FALSE)=0,"Spatial Data Missing ⚠",VLOOKUP(V163,'G-7 WaterC'' Data'!$AK$4:$AM$6,3,FALSE)))</f>
        <v/>
      </c>
      <c r="Y163" s="281" t="str">
        <f>IFERROR(IF(OR(LEFT(P163,5)="Error",LEFT(O163,5)="Error"),"Check Data ⚠",IF(F163&lt;S163,'G-7 WaterC'' Data'!$R$3,INDEX('G-7 WaterC'' Data'!$U$5:$Y$9,MATCH(G163,'G-7 WaterC'' Data'!$T$5:$T$9,0),MATCH(T163,'G-7 WaterC'' Data'!$U$4:$Y$4,0)))),"")</f>
        <v/>
      </c>
      <c r="Z163" s="137"/>
      <c r="AA163" s="137"/>
      <c r="AB163" s="289" t="str">
        <f t="shared" si="23"/>
        <v/>
      </c>
      <c r="AC163" s="302" t="str">
        <f t="shared" si="24"/>
        <v/>
      </c>
      <c r="AD163" s="340" t="str">
        <f>IFERROR(IF(AC163="Check Data ⚠","Check Data ⚠",VLOOKUP(AC163,'G-4 Temporal multipliers'!$A$4:$C$37,3,FALSE)),"")</f>
        <v/>
      </c>
      <c r="AE163" s="281" t="str">
        <f>IF(N163="","",VLOOKUP(N163,'G-7 WaterC'' Data'!$B$4:$G$8,5,FALSE))</f>
        <v/>
      </c>
      <c r="AF163" s="289" t="str">
        <f t="shared" si="25"/>
        <v/>
      </c>
      <c r="AG163" s="320" t="str">
        <f t="shared" si="26"/>
        <v/>
      </c>
      <c r="AH163" s="282" t="str">
        <f t="shared" si="20"/>
        <v/>
      </c>
      <c r="AI163" s="109"/>
      <c r="AJ163" s="282" t="str">
        <f>IF(AI163="","",IF(AND(AI163="N/A - Culvert",N163&lt;&gt;"Culvert"),"Not possible ▲",IF(VLOOKUP(AI163,'G-7 WaterC'' Data'!$AA$4:$AB$7,2,FALSE)=0,"Spatial Data Missing ⚠",VLOOKUP(AI163,'G-7 WaterC'' Data'!$AA$4:$AB$7,2,FALSE))))</f>
        <v/>
      </c>
      <c r="AK163" s="110"/>
      <c r="AL163" s="282" t="str">
        <f>IF(AK163="","",IF(AND(AK163="N/A - Culvert",N163&lt;&gt;"Culvert"),"Not possible ▲",IF(VLOOKUP(AK163,'G-7 WaterC'' Data'!$AD$4:$AE$14,2,FALSE)=0,"Spatial Data Missing ⚠",VLOOKUP(AK163,'G-7 WaterC'' Data'!$AD$4:$AE$14,2,FALSE))))</f>
        <v/>
      </c>
      <c r="AM163" s="323" t="str">
        <f t="shared" si="27"/>
        <v/>
      </c>
      <c r="AN163" s="105"/>
      <c r="AO163" s="119"/>
      <c r="AP163" s="108"/>
      <c r="AS163" s="30" t="str">
        <f>IF(B163="","",IF(ISNA(VLOOKUP($B163,'C-1 On-Site WaterC'' Baseline'!$C$8:$AD$257,17,FALSE)),"",(VLOOKUP($B163,'C-1 On-Site WaterC'' Baseline'!$C$8:$AD$257,17,FALSE))))</f>
        <v/>
      </c>
      <c r="AT163" s="30" t="str">
        <f>IF(B163="","",VLOOKUP($B163,'C-1 On-Site WaterC'' Baseline'!$C$9:$Z$257,12,FALSE))</f>
        <v/>
      </c>
      <c r="AU163" s="30" t="str">
        <f>IF(B163="","",VLOOKUP($B163,'C-1 On-Site WaterC'' Baseline'!$C$9:$Z$257,14,FALSE))</f>
        <v/>
      </c>
      <c r="AV163" s="30" t="str">
        <f>IFERROR(INDEX('G-7 WaterC'' Data'!$AZ$3:$AZ$7,MATCH(N163,'G-7 WaterC'' Data'!$AY$3:$AY$7,0)),"")</f>
        <v/>
      </c>
      <c r="AX163" s="30" t="str">
        <f>IF(B163="","",VLOOKUP($B163,'C-1 On-Site WaterC'' Baseline'!$C$9:$Y$257,22,FALSE))</f>
        <v/>
      </c>
      <c r="AY163" s="30" t="str">
        <f t="shared" si="28"/>
        <v/>
      </c>
      <c r="AZ163" s="30" t="str">
        <f>IF(B163="","",VLOOKUP($B163,'C-1 On-Site WaterC'' Baseline'!$C$9:$Y$257,21,FALSE))</f>
        <v/>
      </c>
      <c r="BA163" s="30" t="str">
        <f>IF(B163="","",VLOOKUP($B163,'C-1 On-Site WaterC'' Baseline'!$C$9:$Y$257,19,FALSE))</f>
        <v/>
      </c>
      <c r="BD163" s="30" t="str">
        <f t="shared" si="29"/>
        <v>No</v>
      </c>
    </row>
    <row r="164" spans="2:56" ht="13.8" x14ac:dyDescent="0.25">
      <c r="B164" s="311" t="str">
        <f>'C-1 On-Site WaterC'' Baseline'!AP162</f>
        <v/>
      </c>
      <c r="C164" s="301" t="str">
        <f>IF(B164="","",VLOOKUP($B164,'C-1 On-Site WaterC'' Baseline'!$C$9:$R$257,2,FALSE))</f>
        <v/>
      </c>
      <c r="D164" s="301" t="str">
        <f>IF(C164="","",VLOOKUP($B164,'C-1 On-Site WaterC'' Baseline'!$C$9:$R$257,3,FALSE))</f>
        <v/>
      </c>
      <c r="E164" s="301" t="str">
        <f>IF(D164="","",VLOOKUP($B164,'C-1 On-Site WaterC'' Baseline'!$C$9:$R$257,4,FALSE))</f>
        <v/>
      </c>
      <c r="F164" s="301" t="str">
        <f>IF(E164="","",VLOOKUP($B164,'C-1 On-Site WaterC'' Baseline'!$C$9:$R$257,5,FALSE))</f>
        <v/>
      </c>
      <c r="G164" s="301" t="str">
        <f>IF(F164="","",VLOOKUP($B164,'C-1 On-Site WaterC'' Baseline'!$C$9:$R$257,6,FALSE))</f>
        <v/>
      </c>
      <c r="H164" s="301" t="str">
        <f>IF(G164="","",VLOOKUP($B164,'C-1 On-Site WaterC'' Baseline'!$C$9:$R$257,7,FALSE))</f>
        <v/>
      </c>
      <c r="I164" s="301" t="str">
        <f>IF(H164="","",VLOOKUP($B164,'C-1 On-Site WaterC'' Baseline'!$C$9:$R$257,8,FALSE))</f>
        <v/>
      </c>
      <c r="J164" s="301" t="str">
        <f>IF(I164="","",VLOOKUP($B164,'C-1 On-Site WaterC'' Baseline'!$C$9:$R$257,9,FALSE))</f>
        <v/>
      </c>
      <c r="K164" s="301" t="str">
        <f>IF(J164="","",VLOOKUP($B164,'C-1 On-Site WaterC'' Baseline'!$C$9:$R$257,10,FALSE))</f>
        <v/>
      </c>
      <c r="L164" s="301" t="str">
        <f>IF(B164="","",VLOOKUP($B164,'C-1 On-Site WaterC'' Baseline'!$C$9:$R$257,15,FALSE))</f>
        <v/>
      </c>
      <c r="M164" s="305" t="str">
        <f>IF(L164="","",VLOOKUP($B164,'C-1 On-Site WaterC'' Baseline'!$C$9:$R$257,16,FALSE))</f>
        <v/>
      </c>
      <c r="N164" s="251"/>
      <c r="O164" s="281" t="str">
        <f t="shared" si="21"/>
        <v/>
      </c>
      <c r="P164" s="282" t="str">
        <f t="shared" si="22"/>
        <v/>
      </c>
      <c r="Q164" s="342" t="str">
        <f>IF(N164="","",VLOOKUP(B164,'C-1 On-Site WaterC'' Baseline'!$C$10:$AC$257,20,FALSE))</f>
        <v/>
      </c>
      <c r="R164" s="281" t="str">
        <f>IF(N164="","",VLOOKUP(N164,'G-7 WaterC'' Data'!$B$2:$G$8,2,FALSE))</f>
        <v/>
      </c>
      <c r="S164" s="282" t="str">
        <f>IFERROR(VLOOKUP(R164,'G-7 WaterC'' Data'!$C$4:$D$8,2,FALSE),"")</f>
        <v/>
      </c>
      <c r="T164" s="105"/>
      <c r="U164" s="282" t="str">
        <f>IFERROR(INDEX('G-7 WaterC'' Data'!$H$4:$L$8,MATCH(N164,'G-7 WaterC'' Data'!$B$4:$B$8,0),MATCH(T164,'G-7 WaterC'' Data'!$H$3:$L$3,0)),"")</f>
        <v/>
      </c>
      <c r="V164" s="105"/>
      <c r="W164" s="289" t="str">
        <f>IF(V164="","",IF(VLOOKUP(V164,'G-7 WaterC'' Data'!$AK$4:$AM$6,2,FALSE)=0,"Spatial Data Missing ⚠",VLOOKUP(V164,'G-7 WaterC'' Data'!$AK$4:$AM$6,2,FALSE)))</f>
        <v/>
      </c>
      <c r="X164" s="282" t="str">
        <f>IF(V164="","",IF(VLOOKUP(V164,'G-7 WaterC'' Data'!$AK$4:$AM$6,3,FALSE)=0,"Spatial Data Missing ⚠",VLOOKUP(V164,'G-7 WaterC'' Data'!$AK$4:$AM$6,3,FALSE)))</f>
        <v/>
      </c>
      <c r="Y164" s="281" t="str">
        <f>IFERROR(IF(OR(LEFT(P164,5)="Error",LEFT(O164,5)="Error"),"Check Data ⚠",IF(F164&lt;S164,'G-7 WaterC'' Data'!$R$3,INDEX('G-7 WaterC'' Data'!$U$5:$Y$9,MATCH(G164,'G-7 WaterC'' Data'!$T$5:$T$9,0),MATCH(T164,'G-7 WaterC'' Data'!$U$4:$Y$4,0)))),"")</f>
        <v/>
      </c>
      <c r="Z164" s="137"/>
      <c r="AA164" s="137"/>
      <c r="AB164" s="289" t="str">
        <f t="shared" si="23"/>
        <v/>
      </c>
      <c r="AC164" s="302" t="str">
        <f t="shared" si="24"/>
        <v/>
      </c>
      <c r="AD164" s="340" t="str">
        <f>IFERROR(IF(AC164="Check Data ⚠","Check Data ⚠",VLOOKUP(AC164,'G-4 Temporal multipliers'!$A$4:$C$37,3,FALSE)),"")</f>
        <v/>
      </c>
      <c r="AE164" s="281" t="str">
        <f>IF(N164="","",VLOOKUP(N164,'G-7 WaterC'' Data'!$B$4:$G$8,5,FALSE))</f>
        <v/>
      </c>
      <c r="AF164" s="289" t="str">
        <f t="shared" si="25"/>
        <v/>
      </c>
      <c r="AG164" s="320" t="str">
        <f t="shared" si="26"/>
        <v/>
      </c>
      <c r="AH164" s="282" t="str">
        <f t="shared" si="20"/>
        <v/>
      </c>
      <c r="AI164" s="109"/>
      <c r="AJ164" s="282" t="str">
        <f>IF(AI164="","",IF(AND(AI164="N/A - Culvert",N164&lt;&gt;"Culvert"),"Not possible ▲",IF(VLOOKUP(AI164,'G-7 WaterC'' Data'!$AA$4:$AB$7,2,FALSE)=0,"Spatial Data Missing ⚠",VLOOKUP(AI164,'G-7 WaterC'' Data'!$AA$4:$AB$7,2,FALSE))))</f>
        <v/>
      </c>
      <c r="AK164" s="110"/>
      <c r="AL164" s="282" t="str">
        <f>IF(AK164="","",IF(AND(AK164="N/A - Culvert",N164&lt;&gt;"Culvert"),"Not possible ▲",IF(VLOOKUP(AK164,'G-7 WaterC'' Data'!$AD$4:$AE$14,2,FALSE)=0,"Spatial Data Missing ⚠",VLOOKUP(AK164,'G-7 WaterC'' Data'!$AD$4:$AE$14,2,FALSE))))</f>
        <v/>
      </c>
      <c r="AM164" s="323" t="str">
        <f t="shared" si="27"/>
        <v/>
      </c>
      <c r="AN164" s="105"/>
      <c r="AO164" s="119"/>
      <c r="AP164" s="108"/>
      <c r="AS164" s="30" t="str">
        <f>IF(B164="","",IF(ISNA(VLOOKUP($B164,'C-1 On-Site WaterC'' Baseline'!$C$8:$AD$257,17,FALSE)),"",(VLOOKUP($B164,'C-1 On-Site WaterC'' Baseline'!$C$8:$AD$257,17,FALSE))))</f>
        <v/>
      </c>
      <c r="AT164" s="30" t="str">
        <f>IF(B164="","",VLOOKUP($B164,'C-1 On-Site WaterC'' Baseline'!$C$9:$Z$257,12,FALSE))</f>
        <v/>
      </c>
      <c r="AU164" s="30" t="str">
        <f>IF(B164="","",VLOOKUP($B164,'C-1 On-Site WaterC'' Baseline'!$C$9:$Z$257,14,FALSE))</f>
        <v/>
      </c>
      <c r="AV164" s="30" t="str">
        <f>IFERROR(INDEX('G-7 WaterC'' Data'!$AZ$3:$AZ$7,MATCH(N164,'G-7 WaterC'' Data'!$AY$3:$AY$7,0)),"")</f>
        <v/>
      </c>
      <c r="AX164" s="30" t="str">
        <f>IF(B164="","",VLOOKUP($B164,'C-1 On-Site WaterC'' Baseline'!$C$9:$Y$257,22,FALSE))</f>
        <v/>
      </c>
      <c r="AY164" s="30" t="str">
        <f t="shared" si="28"/>
        <v/>
      </c>
      <c r="AZ164" s="30" t="str">
        <f>IF(B164="","",VLOOKUP($B164,'C-1 On-Site WaterC'' Baseline'!$C$9:$Y$257,21,FALSE))</f>
        <v/>
      </c>
      <c r="BA164" s="30" t="str">
        <f>IF(B164="","",VLOOKUP($B164,'C-1 On-Site WaterC'' Baseline'!$C$9:$Y$257,19,FALSE))</f>
        <v/>
      </c>
      <c r="BD164" s="30" t="str">
        <f t="shared" si="29"/>
        <v>No</v>
      </c>
    </row>
    <row r="165" spans="2:56" ht="13.8" x14ac:dyDescent="0.25">
      <c r="B165" s="311" t="str">
        <f>'C-1 On-Site WaterC'' Baseline'!AP163</f>
        <v/>
      </c>
      <c r="C165" s="301" t="str">
        <f>IF(B165="","",VLOOKUP($B165,'C-1 On-Site WaterC'' Baseline'!$C$9:$R$257,2,FALSE))</f>
        <v/>
      </c>
      <c r="D165" s="301" t="str">
        <f>IF(C165="","",VLOOKUP($B165,'C-1 On-Site WaterC'' Baseline'!$C$9:$R$257,3,FALSE))</f>
        <v/>
      </c>
      <c r="E165" s="301" t="str">
        <f>IF(D165="","",VLOOKUP($B165,'C-1 On-Site WaterC'' Baseline'!$C$9:$R$257,4,FALSE))</f>
        <v/>
      </c>
      <c r="F165" s="301" t="str">
        <f>IF(E165="","",VLOOKUP($B165,'C-1 On-Site WaterC'' Baseline'!$C$9:$R$257,5,FALSE))</f>
        <v/>
      </c>
      <c r="G165" s="301" t="str">
        <f>IF(F165="","",VLOOKUP($B165,'C-1 On-Site WaterC'' Baseline'!$C$9:$R$257,6,FALSE))</f>
        <v/>
      </c>
      <c r="H165" s="301" t="str">
        <f>IF(G165="","",VLOOKUP($B165,'C-1 On-Site WaterC'' Baseline'!$C$9:$R$257,7,FALSE))</f>
        <v/>
      </c>
      <c r="I165" s="301" t="str">
        <f>IF(H165="","",VLOOKUP($B165,'C-1 On-Site WaterC'' Baseline'!$C$9:$R$257,8,FALSE))</f>
        <v/>
      </c>
      <c r="J165" s="301" t="str">
        <f>IF(I165="","",VLOOKUP($B165,'C-1 On-Site WaterC'' Baseline'!$C$9:$R$257,9,FALSE))</f>
        <v/>
      </c>
      <c r="K165" s="301" t="str">
        <f>IF(J165="","",VLOOKUP($B165,'C-1 On-Site WaterC'' Baseline'!$C$9:$R$257,10,FALSE))</f>
        <v/>
      </c>
      <c r="L165" s="301" t="str">
        <f>IF(B165="","",VLOOKUP($B165,'C-1 On-Site WaterC'' Baseline'!$C$9:$R$257,15,FALSE))</f>
        <v/>
      </c>
      <c r="M165" s="305" t="str">
        <f>IF(L165="","",VLOOKUP($B165,'C-1 On-Site WaterC'' Baseline'!$C$9:$R$257,16,FALSE))</f>
        <v/>
      </c>
      <c r="N165" s="251"/>
      <c r="O165" s="281" t="str">
        <f t="shared" si="21"/>
        <v/>
      </c>
      <c r="P165" s="282" t="str">
        <f t="shared" si="22"/>
        <v/>
      </c>
      <c r="Q165" s="342" t="str">
        <f>IF(N165="","",VLOOKUP(B165,'C-1 On-Site WaterC'' Baseline'!$C$10:$AC$257,20,FALSE))</f>
        <v/>
      </c>
      <c r="R165" s="281" t="str">
        <f>IF(N165="","",VLOOKUP(N165,'G-7 WaterC'' Data'!$B$2:$G$8,2,FALSE))</f>
        <v/>
      </c>
      <c r="S165" s="282" t="str">
        <f>IFERROR(VLOOKUP(R165,'G-7 WaterC'' Data'!$C$4:$D$8,2,FALSE),"")</f>
        <v/>
      </c>
      <c r="T165" s="105"/>
      <c r="U165" s="282" t="str">
        <f>IFERROR(INDEX('G-7 WaterC'' Data'!$H$4:$L$8,MATCH(N165,'G-7 WaterC'' Data'!$B$4:$B$8,0),MATCH(T165,'G-7 WaterC'' Data'!$H$3:$L$3,0)),"")</f>
        <v/>
      </c>
      <c r="V165" s="105"/>
      <c r="W165" s="289" t="str">
        <f>IF(V165="","",IF(VLOOKUP(V165,'G-7 WaterC'' Data'!$AK$4:$AM$6,2,FALSE)=0,"Spatial Data Missing ⚠",VLOOKUP(V165,'G-7 WaterC'' Data'!$AK$4:$AM$6,2,FALSE)))</f>
        <v/>
      </c>
      <c r="X165" s="282" t="str">
        <f>IF(V165="","",IF(VLOOKUP(V165,'G-7 WaterC'' Data'!$AK$4:$AM$6,3,FALSE)=0,"Spatial Data Missing ⚠",VLOOKUP(V165,'G-7 WaterC'' Data'!$AK$4:$AM$6,3,FALSE)))</f>
        <v/>
      </c>
      <c r="Y165" s="281" t="str">
        <f>IFERROR(IF(OR(LEFT(P165,5)="Error",LEFT(O165,5)="Error"),"Check Data ⚠",IF(F165&lt;S165,'G-7 WaterC'' Data'!$R$3,INDEX('G-7 WaterC'' Data'!$U$5:$Y$9,MATCH(G165,'G-7 WaterC'' Data'!$T$5:$T$9,0),MATCH(T165,'G-7 WaterC'' Data'!$U$4:$Y$4,0)))),"")</f>
        <v/>
      </c>
      <c r="Z165" s="137"/>
      <c r="AA165" s="137"/>
      <c r="AB165" s="289" t="str">
        <f t="shared" si="23"/>
        <v/>
      </c>
      <c r="AC165" s="302" t="str">
        <f t="shared" si="24"/>
        <v/>
      </c>
      <c r="AD165" s="340" t="str">
        <f>IFERROR(IF(AC165="Check Data ⚠","Check Data ⚠",VLOOKUP(AC165,'G-4 Temporal multipliers'!$A$4:$C$37,3,FALSE)),"")</f>
        <v/>
      </c>
      <c r="AE165" s="281" t="str">
        <f>IF(N165="","",VLOOKUP(N165,'G-7 WaterC'' Data'!$B$4:$G$8,5,FALSE))</f>
        <v/>
      </c>
      <c r="AF165" s="289" t="str">
        <f t="shared" si="25"/>
        <v/>
      </c>
      <c r="AG165" s="320" t="str">
        <f t="shared" si="26"/>
        <v/>
      </c>
      <c r="AH165" s="282" t="str">
        <f t="shared" si="20"/>
        <v/>
      </c>
      <c r="AI165" s="109"/>
      <c r="AJ165" s="282" t="str">
        <f>IF(AI165="","",IF(AND(AI165="N/A - Culvert",N165&lt;&gt;"Culvert"),"Not possible ▲",IF(VLOOKUP(AI165,'G-7 WaterC'' Data'!$AA$4:$AB$7,2,FALSE)=0,"Spatial Data Missing ⚠",VLOOKUP(AI165,'G-7 WaterC'' Data'!$AA$4:$AB$7,2,FALSE))))</f>
        <v/>
      </c>
      <c r="AK165" s="110"/>
      <c r="AL165" s="282" t="str">
        <f>IF(AK165="","",IF(AND(AK165="N/A - Culvert",N165&lt;&gt;"Culvert"),"Not possible ▲",IF(VLOOKUP(AK165,'G-7 WaterC'' Data'!$AD$4:$AE$14,2,FALSE)=0,"Spatial Data Missing ⚠",VLOOKUP(AK165,'G-7 WaterC'' Data'!$AD$4:$AE$14,2,FALSE))))</f>
        <v/>
      </c>
      <c r="AM165" s="323" t="str">
        <f t="shared" si="27"/>
        <v/>
      </c>
      <c r="AN165" s="105"/>
      <c r="AO165" s="119"/>
      <c r="AP165" s="108"/>
      <c r="AS165" s="30" t="str">
        <f>IF(B165="","",IF(ISNA(VLOOKUP($B165,'C-1 On-Site WaterC'' Baseline'!$C$8:$AD$257,17,FALSE)),"",(VLOOKUP($B165,'C-1 On-Site WaterC'' Baseline'!$C$8:$AD$257,17,FALSE))))</f>
        <v/>
      </c>
      <c r="AT165" s="30" t="str">
        <f>IF(B165="","",VLOOKUP($B165,'C-1 On-Site WaterC'' Baseline'!$C$9:$Z$257,12,FALSE))</f>
        <v/>
      </c>
      <c r="AU165" s="30" t="str">
        <f>IF(B165="","",VLOOKUP($B165,'C-1 On-Site WaterC'' Baseline'!$C$9:$Z$257,14,FALSE))</f>
        <v/>
      </c>
      <c r="AV165" s="30" t="str">
        <f>IFERROR(INDEX('G-7 WaterC'' Data'!$AZ$3:$AZ$7,MATCH(N165,'G-7 WaterC'' Data'!$AY$3:$AY$7,0)),"")</f>
        <v/>
      </c>
      <c r="AX165" s="30" t="str">
        <f>IF(B165="","",VLOOKUP($B165,'C-1 On-Site WaterC'' Baseline'!$C$9:$Y$257,22,FALSE))</f>
        <v/>
      </c>
      <c r="AY165" s="30" t="str">
        <f t="shared" si="28"/>
        <v/>
      </c>
      <c r="AZ165" s="30" t="str">
        <f>IF(B165="","",VLOOKUP($B165,'C-1 On-Site WaterC'' Baseline'!$C$9:$Y$257,21,FALSE))</f>
        <v/>
      </c>
      <c r="BA165" s="30" t="str">
        <f>IF(B165="","",VLOOKUP($B165,'C-1 On-Site WaterC'' Baseline'!$C$9:$Y$257,19,FALSE))</f>
        <v/>
      </c>
      <c r="BD165" s="30" t="str">
        <f t="shared" si="29"/>
        <v>No</v>
      </c>
    </row>
    <row r="166" spans="2:56" ht="13.8" x14ac:dyDescent="0.25">
      <c r="B166" s="311" t="str">
        <f>'C-1 On-Site WaterC'' Baseline'!AP164</f>
        <v/>
      </c>
      <c r="C166" s="301" t="str">
        <f>IF(B166="","",VLOOKUP($B166,'C-1 On-Site WaterC'' Baseline'!$C$9:$R$257,2,FALSE))</f>
        <v/>
      </c>
      <c r="D166" s="301" t="str">
        <f>IF(C166="","",VLOOKUP($B166,'C-1 On-Site WaterC'' Baseline'!$C$9:$R$257,3,FALSE))</f>
        <v/>
      </c>
      <c r="E166" s="301" t="str">
        <f>IF(D166="","",VLOOKUP($B166,'C-1 On-Site WaterC'' Baseline'!$C$9:$R$257,4,FALSE))</f>
        <v/>
      </c>
      <c r="F166" s="301" t="str">
        <f>IF(E166="","",VLOOKUP($B166,'C-1 On-Site WaterC'' Baseline'!$C$9:$R$257,5,FALSE))</f>
        <v/>
      </c>
      <c r="G166" s="301" t="str">
        <f>IF(F166="","",VLOOKUP($B166,'C-1 On-Site WaterC'' Baseline'!$C$9:$R$257,6,FALSE))</f>
        <v/>
      </c>
      <c r="H166" s="301" t="str">
        <f>IF(G166="","",VLOOKUP($B166,'C-1 On-Site WaterC'' Baseline'!$C$9:$R$257,7,FALSE))</f>
        <v/>
      </c>
      <c r="I166" s="301" t="str">
        <f>IF(H166="","",VLOOKUP($B166,'C-1 On-Site WaterC'' Baseline'!$C$9:$R$257,8,FALSE))</f>
        <v/>
      </c>
      <c r="J166" s="301" t="str">
        <f>IF(I166="","",VLOOKUP($B166,'C-1 On-Site WaterC'' Baseline'!$C$9:$R$257,9,FALSE))</f>
        <v/>
      </c>
      <c r="K166" s="301" t="str">
        <f>IF(J166="","",VLOOKUP($B166,'C-1 On-Site WaterC'' Baseline'!$C$9:$R$257,10,FALSE))</f>
        <v/>
      </c>
      <c r="L166" s="301" t="str">
        <f>IF(B166="","",VLOOKUP($B166,'C-1 On-Site WaterC'' Baseline'!$C$9:$R$257,15,FALSE))</f>
        <v/>
      </c>
      <c r="M166" s="305" t="str">
        <f>IF(L166="","",VLOOKUP($B166,'C-1 On-Site WaterC'' Baseline'!$C$9:$R$257,16,FALSE))</f>
        <v/>
      </c>
      <c r="N166" s="251"/>
      <c r="O166" s="281" t="str">
        <f t="shared" si="21"/>
        <v/>
      </c>
      <c r="P166" s="282" t="str">
        <f t="shared" si="22"/>
        <v/>
      </c>
      <c r="Q166" s="342" t="str">
        <f>IF(N166="","",VLOOKUP(B166,'C-1 On-Site WaterC'' Baseline'!$C$10:$AC$257,20,FALSE))</f>
        <v/>
      </c>
      <c r="R166" s="281" t="str">
        <f>IF(N166="","",VLOOKUP(N166,'G-7 WaterC'' Data'!$B$2:$G$8,2,FALSE))</f>
        <v/>
      </c>
      <c r="S166" s="282" t="str">
        <f>IFERROR(VLOOKUP(R166,'G-7 WaterC'' Data'!$C$4:$D$8,2,FALSE),"")</f>
        <v/>
      </c>
      <c r="T166" s="105"/>
      <c r="U166" s="282" t="str">
        <f>IFERROR(INDEX('G-7 WaterC'' Data'!$H$4:$L$8,MATCH(N166,'G-7 WaterC'' Data'!$B$4:$B$8,0),MATCH(T166,'G-7 WaterC'' Data'!$H$3:$L$3,0)),"")</f>
        <v/>
      </c>
      <c r="V166" s="105"/>
      <c r="W166" s="289" t="str">
        <f>IF(V166="","",IF(VLOOKUP(V166,'G-7 WaterC'' Data'!$AK$4:$AM$6,2,FALSE)=0,"Spatial Data Missing ⚠",VLOOKUP(V166,'G-7 WaterC'' Data'!$AK$4:$AM$6,2,FALSE)))</f>
        <v/>
      </c>
      <c r="X166" s="282" t="str">
        <f>IF(V166="","",IF(VLOOKUP(V166,'G-7 WaterC'' Data'!$AK$4:$AM$6,3,FALSE)=0,"Spatial Data Missing ⚠",VLOOKUP(V166,'G-7 WaterC'' Data'!$AK$4:$AM$6,3,FALSE)))</f>
        <v/>
      </c>
      <c r="Y166" s="281" t="str">
        <f>IFERROR(IF(OR(LEFT(P166,5)="Error",LEFT(O166,5)="Error"),"Check Data ⚠",IF(F166&lt;S166,'G-7 WaterC'' Data'!$R$3,INDEX('G-7 WaterC'' Data'!$U$5:$Y$9,MATCH(G166,'G-7 WaterC'' Data'!$T$5:$T$9,0),MATCH(T166,'G-7 WaterC'' Data'!$U$4:$Y$4,0)))),"")</f>
        <v/>
      </c>
      <c r="Z166" s="137"/>
      <c r="AA166" s="137"/>
      <c r="AB166" s="289" t="str">
        <f t="shared" si="23"/>
        <v/>
      </c>
      <c r="AC166" s="302" t="str">
        <f t="shared" si="24"/>
        <v/>
      </c>
      <c r="AD166" s="340" t="str">
        <f>IFERROR(IF(AC166="Check Data ⚠","Check Data ⚠",VLOOKUP(AC166,'G-4 Temporal multipliers'!$A$4:$C$37,3,FALSE)),"")</f>
        <v/>
      </c>
      <c r="AE166" s="281" t="str">
        <f>IF(N166="","",VLOOKUP(N166,'G-7 WaterC'' Data'!$B$4:$G$8,5,FALSE))</f>
        <v/>
      </c>
      <c r="AF166" s="289" t="str">
        <f t="shared" si="25"/>
        <v/>
      </c>
      <c r="AG166" s="320" t="str">
        <f t="shared" si="26"/>
        <v/>
      </c>
      <c r="AH166" s="282" t="str">
        <f t="shared" si="20"/>
        <v/>
      </c>
      <c r="AI166" s="109"/>
      <c r="AJ166" s="282" t="str">
        <f>IF(AI166="","",IF(AND(AI166="N/A - Culvert",N166&lt;&gt;"Culvert"),"Not possible ▲",IF(VLOOKUP(AI166,'G-7 WaterC'' Data'!$AA$4:$AB$7,2,FALSE)=0,"Spatial Data Missing ⚠",VLOOKUP(AI166,'G-7 WaterC'' Data'!$AA$4:$AB$7,2,FALSE))))</f>
        <v/>
      </c>
      <c r="AK166" s="110"/>
      <c r="AL166" s="282" t="str">
        <f>IF(AK166="","",IF(AND(AK166="N/A - Culvert",N166&lt;&gt;"Culvert"),"Not possible ▲",IF(VLOOKUP(AK166,'G-7 WaterC'' Data'!$AD$4:$AE$14,2,FALSE)=0,"Spatial Data Missing ⚠",VLOOKUP(AK166,'G-7 WaterC'' Data'!$AD$4:$AE$14,2,FALSE))))</f>
        <v/>
      </c>
      <c r="AM166" s="323" t="str">
        <f t="shared" si="27"/>
        <v/>
      </c>
      <c r="AN166" s="105"/>
      <c r="AO166" s="119"/>
      <c r="AP166" s="108"/>
      <c r="AS166" s="30" t="str">
        <f>IF(B166="","",IF(ISNA(VLOOKUP($B166,'C-1 On-Site WaterC'' Baseline'!$C$8:$AD$257,17,FALSE)),"",(VLOOKUP($B166,'C-1 On-Site WaterC'' Baseline'!$C$8:$AD$257,17,FALSE))))</f>
        <v/>
      </c>
      <c r="AT166" s="30" t="str">
        <f>IF(B166="","",VLOOKUP($B166,'C-1 On-Site WaterC'' Baseline'!$C$9:$Z$257,12,FALSE))</f>
        <v/>
      </c>
      <c r="AU166" s="30" t="str">
        <f>IF(B166="","",VLOOKUP($B166,'C-1 On-Site WaterC'' Baseline'!$C$9:$Z$257,14,FALSE))</f>
        <v/>
      </c>
      <c r="AV166" s="30" t="str">
        <f>IFERROR(INDEX('G-7 WaterC'' Data'!$AZ$3:$AZ$7,MATCH(N166,'G-7 WaterC'' Data'!$AY$3:$AY$7,0)),"")</f>
        <v/>
      </c>
      <c r="AX166" s="30" t="str">
        <f>IF(B166="","",VLOOKUP($B166,'C-1 On-Site WaterC'' Baseline'!$C$9:$Y$257,22,FALSE))</f>
        <v/>
      </c>
      <c r="AY166" s="30" t="str">
        <f t="shared" si="28"/>
        <v/>
      </c>
      <c r="AZ166" s="30" t="str">
        <f>IF(B166="","",VLOOKUP($B166,'C-1 On-Site WaterC'' Baseline'!$C$9:$Y$257,21,FALSE))</f>
        <v/>
      </c>
      <c r="BA166" s="30" t="str">
        <f>IF(B166="","",VLOOKUP($B166,'C-1 On-Site WaterC'' Baseline'!$C$9:$Y$257,19,FALSE))</f>
        <v/>
      </c>
      <c r="BD166" s="30" t="str">
        <f t="shared" si="29"/>
        <v>No</v>
      </c>
    </row>
    <row r="167" spans="2:56" ht="13.8" x14ac:dyDescent="0.25">
      <c r="B167" s="311" t="str">
        <f>'C-1 On-Site WaterC'' Baseline'!AP165</f>
        <v/>
      </c>
      <c r="C167" s="301" t="str">
        <f>IF(B167="","",VLOOKUP($B167,'C-1 On-Site WaterC'' Baseline'!$C$9:$R$257,2,FALSE))</f>
        <v/>
      </c>
      <c r="D167" s="301" t="str">
        <f>IF(C167="","",VLOOKUP($B167,'C-1 On-Site WaterC'' Baseline'!$C$9:$R$257,3,FALSE))</f>
        <v/>
      </c>
      <c r="E167" s="301" t="str">
        <f>IF(D167="","",VLOOKUP($B167,'C-1 On-Site WaterC'' Baseline'!$C$9:$R$257,4,FALSE))</f>
        <v/>
      </c>
      <c r="F167" s="301" t="str">
        <f>IF(E167="","",VLOOKUP($B167,'C-1 On-Site WaterC'' Baseline'!$C$9:$R$257,5,FALSE))</f>
        <v/>
      </c>
      <c r="G167" s="301" t="str">
        <f>IF(F167="","",VLOOKUP($B167,'C-1 On-Site WaterC'' Baseline'!$C$9:$R$257,6,FALSE))</f>
        <v/>
      </c>
      <c r="H167" s="301" t="str">
        <f>IF(G167="","",VLOOKUP($B167,'C-1 On-Site WaterC'' Baseline'!$C$9:$R$257,7,FALSE))</f>
        <v/>
      </c>
      <c r="I167" s="301" t="str">
        <f>IF(H167="","",VLOOKUP($B167,'C-1 On-Site WaterC'' Baseline'!$C$9:$R$257,8,FALSE))</f>
        <v/>
      </c>
      <c r="J167" s="301" t="str">
        <f>IF(I167="","",VLOOKUP($B167,'C-1 On-Site WaterC'' Baseline'!$C$9:$R$257,9,FALSE))</f>
        <v/>
      </c>
      <c r="K167" s="301" t="str">
        <f>IF(J167="","",VLOOKUP($B167,'C-1 On-Site WaterC'' Baseline'!$C$9:$R$257,10,FALSE))</f>
        <v/>
      </c>
      <c r="L167" s="301" t="str">
        <f>IF(B167="","",VLOOKUP($B167,'C-1 On-Site WaterC'' Baseline'!$C$9:$R$257,15,FALSE))</f>
        <v/>
      </c>
      <c r="M167" s="305" t="str">
        <f>IF(L167="","",VLOOKUP($B167,'C-1 On-Site WaterC'' Baseline'!$C$9:$R$257,16,FALSE))</f>
        <v/>
      </c>
      <c r="N167" s="251"/>
      <c r="O167" s="281" t="str">
        <f t="shared" si="21"/>
        <v/>
      </c>
      <c r="P167" s="282" t="str">
        <f t="shared" si="22"/>
        <v/>
      </c>
      <c r="Q167" s="342" t="str">
        <f>IF(N167="","",VLOOKUP(B167,'C-1 On-Site WaterC'' Baseline'!$C$10:$AC$257,20,FALSE))</f>
        <v/>
      </c>
      <c r="R167" s="281" t="str">
        <f>IF(N167="","",VLOOKUP(N167,'G-7 WaterC'' Data'!$B$2:$G$8,2,FALSE))</f>
        <v/>
      </c>
      <c r="S167" s="282" t="str">
        <f>IFERROR(VLOOKUP(R167,'G-7 WaterC'' Data'!$C$4:$D$8,2,FALSE),"")</f>
        <v/>
      </c>
      <c r="T167" s="105"/>
      <c r="U167" s="282" t="str">
        <f>IFERROR(INDEX('G-7 WaterC'' Data'!$H$4:$L$8,MATCH(N167,'G-7 WaterC'' Data'!$B$4:$B$8,0),MATCH(T167,'G-7 WaterC'' Data'!$H$3:$L$3,0)),"")</f>
        <v/>
      </c>
      <c r="V167" s="105"/>
      <c r="W167" s="289" t="str">
        <f>IF(V167="","",IF(VLOOKUP(V167,'G-7 WaterC'' Data'!$AK$4:$AM$6,2,FALSE)=0,"Spatial Data Missing ⚠",VLOOKUP(V167,'G-7 WaterC'' Data'!$AK$4:$AM$6,2,FALSE)))</f>
        <v/>
      </c>
      <c r="X167" s="282" t="str">
        <f>IF(V167="","",IF(VLOOKUP(V167,'G-7 WaterC'' Data'!$AK$4:$AM$6,3,FALSE)=0,"Spatial Data Missing ⚠",VLOOKUP(V167,'G-7 WaterC'' Data'!$AK$4:$AM$6,3,FALSE)))</f>
        <v/>
      </c>
      <c r="Y167" s="281" t="str">
        <f>IFERROR(IF(OR(LEFT(P167,5)="Error",LEFT(O167,5)="Error"),"Check Data ⚠",IF(F167&lt;S167,'G-7 WaterC'' Data'!$R$3,INDEX('G-7 WaterC'' Data'!$U$5:$Y$9,MATCH(G167,'G-7 WaterC'' Data'!$T$5:$T$9,0),MATCH(T167,'G-7 WaterC'' Data'!$U$4:$Y$4,0)))),"")</f>
        <v/>
      </c>
      <c r="Z167" s="137"/>
      <c r="AA167" s="137"/>
      <c r="AB167" s="289" t="str">
        <f t="shared" si="23"/>
        <v/>
      </c>
      <c r="AC167" s="302" t="str">
        <f t="shared" si="24"/>
        <v/>
      </c>
      <c r="AD167" s="340" t="str">
        <f>IFERROR(IF(AC167="Check Data ⚠","Check Data ⚠",VLOOKUP(AC167,'G-4 Temporal multipliers'!$A$4:$C$37,3,FALSE)),"")</f>
        <v/>
      </c>
      <c r="AE167" s="281" t="str">
        <f>IF(N167="","",VLOOKUP(N167,'G-7 WaterC'' Data'!$B$4:$G$8,5,FALSE))</f>
        <v/>
      </c>
      <c r="AF167" s="289" t="str">
        <f t="shared" si="25"/>
        <v/>
      </c>
      <c r="AG167" s="320" t="str">
        <f t="shared" si="26"/>
        <v/>
      </c>
      <c r="AH167" s="282" t="str">
        <f t="shared" si="20"/>
        <v/>
      </c>
      <c r="AI167" s="109"/>
      <c r="AJ167" s="282" t="str">
        <f>IF(AI167="","",IF(AND(AI167="N/A - Culvert",N167&lt;&gt;"Culvert"),"Not possible ▲",IF(VLOOKUP(AI167,'G-7 WaterC'' Data'!$AA$4:$AB$7,2,FALSE)=0,"Spatial Data Missing ⚠",VLOOKUP(AI167,'G-7 WaterC'' Data'!$AA$4:$AB$7,2,FALSE))))</f>
        <v/>
      </c>
      <c r="AK167" s="110"/>
      <c r="AL167" s="282" t="str">
        <f>IF(AK167="","",IF(AND(AK167="N/A - Culvert",N167&lt;&gt;"Culvert"),"Not possible ▲",IF(VLOOKUP(AK167,'G-7 WaterC'' Data'!$AD$4:$AE$14,2,FALSE)=0,"Spatial Data Missing ⚠",VLOOKUP(AK167,'G-7 WaterC'' Data'!$AD$4:$AE$14,2,FALSE))))</f>
        <v/>
      </c>
      <c r="AM167" s="323" t="str">
        <f t="shared" si="27"/>
        <v/>
      </c>
      <c r="AN167" s="105"/>
      <c r="AO167" s="119"/>
      <c r="AP167" s="108"/>
      <c r="AS167" s="30" t="str">
        <f>IF(B167="","",IF(ISNA(VLOOKUP($B167,'C-1 On-Site WaterC'' Baseline'!$C$8:$AD$257,17,FALSE)),"",(VLOOKUP($B167,'C-1 On-Site WaterC'' Baseline'!$C$8:$AD$257,17,FALSE))))</f>
        <v/>
      </c>
      <c r="AT167" s="30" t="str">
        <f>IF(B167="","",VLOOKUP($B167,'C-1 On-Site WaterC'' Baseline'!$C$9:$Z$257,12,FALSE))</f>
        <v/>
      </c>
      <c r="AU167" s="30" t="str">
        <f>IF(B167="","",VLOOKUP($B167,'C-1 On-Site WaterC'' Baseline'!$C$9:$Z$257,14,FALSE))</f>
        <v/>
      </c>
      <c r="AV167" s="30" t="str">
        <f>IFERROR(INDEX('G-7 WaterC'' Data'!$AZ$3:$AZ$7,MATCH(N167,'G-7 WaterC'' Data'!$AY$3:$AY$7,0)),"")</f>
        <v/>
      </c>
      <c r="AX167" s="30" t="str">
        <f>IF(B167="","",VLOOKUP($B167,'C-1 On-Site WaterC'' Baseline'!$C$9:$Y$257,22,FALSE))</f>
        <v/>
      </c>
      <c r="AY167" s="30" t="str">
        <f t="shared" si="28"/>
        <v/>
      </c>
      <c r="AZ167" s="30" t="str">
        <f>IF(B167="","",VLOOKUP($B167,'C-1 On-Site WaterC'' Baseline'!$C$9:$Y$257,21,FALSE))</f>
        <v/>
      </c>
      <c r="BA167" s="30" t="str">
        <f>IF(B167="","",VLOOKUP($B167,'C-1 On-Site WaterC'' Baseline'!$C$9:$Y$257,19,FALSE))</f>
        <v/>
      </c>
      <c r="BD167" s="30" t="str">
        <f t="shared" si="29"/>
        <v>No</v>
      </c>
    </row>
    <row r="168" spans="2:56" ht="13.8" x14ac:dyDescent="0.25">
      <c r="B168" s="311" t="str">
        <f>'C-1 On-Site WaterC'' Baseline'!AP166</f>
        <v/>
      </c>
      <c r="C168" s="301" t="str">
        <f>IF(B168="","",VLOOKUP($B168,'C-1 On-Site WaterC'' Baseline'!$C$9:$R$257,2,FALSE))</f>
        <v/>
      </c>
      <c r="D168" s="301" t="str">
        <f>IF(C168="","",VLOOKUP($B168,'C-1 On-Site WaterC'' Baseline'!$C$9:$R$257,3,FALSE))</f>
        <v/>
      </c>
      <c r="E168" s="301" t="str">
        <f>IF(D168="","",VLOOKUP($B168,'C-1 On-Site WaterC'' Baseline'!$C$9:$R$257,4,FALSE))</f>
        <v/>
      </c>
      <c r="F168" s="301" t="str">
        <f>IF(E168="","",VLOOKUP($B168,'C-1 On-Site WaterC'' Baseline'!$C$9:$R$257,5,FALSE))</f>
        <v/>
      </c>
      <c r="G168" s="301" t="str">
        <f>IF(F168="","",VLOOKUP($B168,'C-1 On-Site WaterC'' Baseline'!$C$9:$R$257,6,FALSE))</f>
        <v/>
      </c>
      <c r="H168" s="301" t="str">
        <f>IF(G168="","",VLOOKUP($B168,'C-1 On-Site WaterC'' Baseline'!$C$9:$R$257,7,FALSE))</f>
        <v/>
      </c>
      <c r="I168" s="301" t="str">
        <f>IF(H168="","",VLOOKUP($B168,'C-1 On-Site WaterC'' Baseline'!$C$9:$R$257,8,FALSE))</f>
        <v/>
      </c>
      <c r="J168" s="301" t="str">
        <f>IF(I168="","",VLOOKUP($B168,'C-1 On-Site WaterC'' Baseline'!$C$9:$R$257,9,FALSE))</f>
        <v/>
      </c>
      <c r="K168" s="301" t="str">
        <f>IF(J168="","",VLOOKUP($B168,'C-1 On-Site WaterC'' Baseline'!$C$9:$R$257,10,FALSE))</f>
        <v/>
      </c>
      <c r="L168" s="301" t="str">
        <f>IF(B168="","",VLOOKUP($B168,'C-1 On-Site WaterC'' Baseline'!$C$9:$R$257,15,FALSE))</f>
        <v/>
      </c>
      <c r="M168" s="305" t="str">
        <f>IF(L168="","",VLOOKUP($B168,'C-1 On-Site WaterC'' Baseline'!$C$9:$R$257,16,FALSE))</f>
        <v/>
      </c>
      <c r="N168" s="251"/>
      <c r="O168" s="281" t="str">
        <f t="shared" si="21"/>
        <v/>
      </c>
      <c r="P168" s="282" t="str">
        <f t="shared" si="22"/>
        <v/>
      </c>
      <c r="Q168" s="342" t="str">
        <f>IF(N168="","",VLOOKUP(B168,'C-1 On-Site WaterC'' Baseline'!$C$10:$AC$257,20,FALSE))</f>
        <v/>
      </c>
      <c r="R168" s="281" t="str">
        <f>IF(N168="","",VLOOKUP(N168,'G-7 WaterC'' Data'!$B$2:$G$8,2,FALSE))</f>
        <v/>
      </c>
      <c r="S168" s="282" t="str">
        <f>IFERROR(VLOOKUP(R168,'G-7 WaterC'' Data'!$C$4:$D$8,2,FALSE),"")</f>
        <v/>
      </c>
      <c r="T168" s="105"/>
      <c r="U168" s="282" t="str">
        <f>IFERROR(INDEX('G-7 WaterC'' Data'!$H$4:$L$8,MATCH(N168,'G-7 WaterC'' Data'!$B$4:$B$8,0),MATCH(T168,'G-7 WaterC'' Data'!$H$3:$L$3,0)),"")</f>
        <v/>
      </c>
      <c r="V168" s="105"/>
      <c r="W168" s="289" t="str">
        <f>IF(V168="","",IF(VLOOKUP(V168,'G-7 WaterC'' Data'!$AK$4:$AM$6,2,FALSE)=0,"Spatial Data Missing ⚠",VLOOKUP(V168,'G-7 WaterC'' Data'!$AK$4:$AM$6,2,FALSE)))</f>
        <v/>
      </c>
      <c r="X168" s="282" t="str">
        <f>IF(V168="","",IF(VLOOKUP(V168,'G-7 WaterC'' Data'!$AK$4:$AM$6,3,FALSE)=0,"Spatial Data Missing ⚠",VLOOKUP(V168,'G-7 WaterC'' Data'!$AK$4:$AM$6,3,FALSE)))</f>
        <v/>
      </c>
      <c r="Y168" s="281" t="str">
        <f>IFERROR(IF(OR(LEFT(P168,5)="Error",LEFT(O168,5)="Error"),"Check Data ⚠",IF(F168&lt;S168,'G-7 WaterC'' Data'!$R$3,INDEX('G-7 WaterC'' Data'!$U$5:$Y$9,MATCH(G168,'G-7 WaterC'' Data'!$T$5:$T$9,0),MATCH(T168,'G-7 WaterC'' Data'!$U$4:$Y$4,0)))),"")</f>
        <v/>
      </c>
      <c r="Z168" s="137"/>
      <c r="AA168" s="137"/>
      <c r="AB168" s="289" t="str">
        <f t="shared" si="23"/>
        <v/>
      </c>
      <c r="AC168" s="302" t="str">
        <f t="shared" si="24"/>
        <v/>
      </c>
      <c r="AD168" s="340" t="str">
        <f>IFERROR(IF(AC168="Check Data ⚠","Check Data ⚠",VLOOKUP(AC168,'G-4 Temporal multipliers'!$A$4:$C$37,3,FALSE)),"")</f>
        <v/>
      </c>
      <c r="AE168" s="281" t="str">
        <f>IF(N168="","",VLOOKUP(N168,'G-7 WaterC'' Data'!$B$4:$G$8,5,FALSE))</f>
        <v/>
      </c>
      <c r="AF168" s="289" t="str">
        <f t="shared" si="25"/>
        <v/>
      </c>
      <c r="AG168" s="320" t="str">
        <f t="shared" si="26"/>
        <v/>
      </c>
      <c r="AH168" s="282" t="str">
        <f t="shared" si="20"/>
        <v/>
      </c>
      <c r="AI168" s="109"/>
      <c r="AJ168" s="282" t="str">
        <f>IF(AI168="","",IF(AND(AI168="N/A - Culvert",N168&lt;&gt;"Culvert"),"Not possible ▲",IF(VLOOKUP(AI168,'G-7 WaterC'' Data'!$AA$4:$AB$7,2,FALSE)=0,"Spatial Data Missing ⚠",VLOOKUP(AI168,'G-7 WaterC'' Data'!$AA$4:$AB$7,2,FALSE))))</f>
        <v/>
      </c>
      <c r="AK168" s="110"/>
      <c r="AL168" s="282" t="str">
        <f>IF(AK168="","",IF(AND(AK168="N/A - Culvert",N168&lt;&gt;"Culvert"),"Not possible ▲",IF(VLOOKUP(AK168,'G-7 WaterC'' Data'!$AD$4:$AE$14,2,FALSE)=0,"Spatial Data Missing ⚠",VLOOKUP(AK168,'G-7 WaterC'' Data'!$AD$4:$AE$14,2,FALSE))))</f>
        <v/>
      </c>
      <c r="AM168" s="323" t="str">
        <f t="shared" si="27"/>
        <v/>
      </c>
      <c r="AN168" s="105"/>
      <c r="AO168" s="119"/>
      <c r="AP168" s="108"/>
      <c r="AS168" s="30" t="str">
        <f>IF(B168="","",IF(ISNA(VLOOKUP($B168,'C-1 On-Site WaterC'' Baseline'!$C$8:$AD$257,17,FALSE)),"",(VLOOKUP($B168,'C-1 On-Site WaterC'' Baseline'!$C$8:$AD$257,17,FALSE))))</f>
        <v/>
      </c>
      <c r="AT168" s="30" t="str">
        <f>IF(B168="","",VLOOKUP($B168,'C-1 On-Site WaterC'' Baseline'!$C$9:$Z$257,12,FALSE))</f>
        <v/>
      </c>
      <c r="AU168" s="30" t="str">
        <f>IF(B168="","",VLOOKUP($B168,'C-1 On-Site WaterC'' Baseline'!$C$9:$Z$257,14,FALSE))</f>
        <v/>
      </c>
      <c r="AV168" s="30" t="str">
        <f>IFERROR(INDEX('G-7 WaterC'' Data'!$AZ$3:$AZ$7,MATCH(N168,'G-7 WaterC'' Data'!$AY$3:$AY$7,0)),"")</f>
        <v/>
      </c>
      <c r="AX168" s="30" t="str">
        <f>IF(B168="","",VLOOKUP($B168,'C-1 On-Site WaterC'' Baseline'!$C$9:$Y$257,22,FALSE))</f>
        <v/>
      </c>
      <c r="AY168" s="30" t="str">
        <f t="shared" si="28"/>
        <v/>
      </c>
      <c r="AZ168" s="30" t="str">
        <f>IF(B168="","",VLOOKUP($B168,'C-1 On-Site WaterC'' Baseline'!$C$9:$Y$257,21,FALSE))</f>
        <v/>
      </c>
      <c r="BA168" s="30" t="str">
        <f>IF(B168="","",VLOOKUP($B168,'C-1 On-Site WaterC'' Baseline'!$C$9:$Y$257,19,FALSE))</f>
        <v/>
      </c>
      <c r="BD168" s="30" t="str">
        <f t="shared" si="29"/>
        <v>No</v>
      </c>
    </row>
    <row r="169" spans="2:56" ht="13.8" x14ac:dyDescent="0.25">
      <c r="B169" s="311" t="str">
        <f>'C-1 On-Site WaterC'' Baseline'!AP167</f>
        <v/>
      </c>
      <c r="C169" s="301" t="str">
        <f>IF(B169="","",VLOOKUP($B169,'C-1 On-Site WaterC'' Baseline'!$C$9:$R$257,2,FALSE))</f>
        <v/>
      </c>
      <c r="D169" s="301" t="str">
        <f>IF(C169="","",VLOOKUP($B169,'C-1 On-Site WaterC'' Baseline'!$C$9:$R$257,3,FALSE))</f>
        <v/>
      </c>
      <c r="E169" s="301" t="str">
        <f>IF(D169="","",VLOOKUP($B169,'C-1 On-Site WaterC'' Baseline'!$C$9:$R$257,4,FALSE))</f>
        <v/>
      </c>
      <c r="F169" s="301" t="str">
        <f>IF(E169="","",VLOOKUP($B169,'C-1 On-Site WaterC'' Baseline'!$C$9:$R$257,5,FALSE))</f>
        <v/>
      </c>
      <c r="G169" s="301" t="str">
        <f>IF(F169="","",VLOOKUP($B169,'C-1 On-Site WaterC'' Baseline'!$C$9:$R$257,6,FALSE))</f>
        <v/>
      </c>
      <c r="H169" s="301" t="str">
        <f>IF(G169="","",VLOOKUP($B169,'C-1 On-Site WaterC'' Baseline'!$C$9:$R$257,7,FALSE))</f>
        <v/>
      </c>
      <c r="I169" s="301" t="str">
        <f>IF(H169="","",VLOOKUP($B169,'C-1 On-Site WaterC'' Baseline'!$C$9:$R$257,8,FALSE))</f>
        <v/>
      </c>
      <c r="J169" s="301" t="str">
        <f>IF(I169="","",VLOOKUP($B169,'C-1 On-Site WaterC'' Baseline'!$C$9:$R$257,9,FALSE))</f>
        <v/>
      </c>
      <c r="K169" s="301" t="str">
        <f>IF(J169="","",VLOOKUP($B169,'C-1 On-Site WaterC'' Baseline'!$C$9:$R$257,10,FALSE))</f>
        <v/>
      </c>
      <c r="L169" s="301" t="str">
        <f>IF(B169="","",VLOOKUP($B169,'C-1 On-Site WaterC'' Baseline'!$C$9:$R$257,15,FALSE))</f>
        <v/>
      </c>
      <c r="M169" s="305" t="str">
        <f>IF(L169="","",VLOOKUP($B169,'C-1 On-Site WaterC'' Baseline'!$C$9:$R$257,16,FALSE))</f>
        <v/>
      </c>
      <c r="N169" s="251"/>
      <c r="O169" s="281" t="str">
        <f t="shared" si="21"/>
        <v/>
      </c>
      <c r="P169" s="282" t="str">
        <f t="shared" si="22"/>
        <v/>
      </c>
      <c r="Q169" s="342" t="str">
        <f>IF(N169="","",VLOOKUP(B169,'C-1 On-Site WaterC'' Baseline'!$C$10:$AC$257,20,FALSE))</f>
        <v/>
      </c>
      <c r="R169" s="281" t="str">
        <f>IF(N169="","",VLOOKUP(N169,'G-7 WaterC'' Data'!$B$2:$G$8,2,FALSE))</f>
        <v/>
      </c>
      <c r="S169" s="282" t="str">
        <f>IFERROR(VLOOKUP(R169,'G-7 WaterC'' Data'!$C$4:$D$8,2,FALSE),"")</f>
        <v/>
      </c>
      <c r="T169" s="105"/>
      <c r="U169" s="282" t="str">
        <f>IFERROR(INDEX('G-7 WaterC'' Data'!$H$4:$L$8,MATCH(N169,'G-7 WaterC'' Data'!$B$4:$B$8,0),MATCH(T169,'G-7 WaterC'' Data'!$H$3:$L$3,0)),"")</f>
        <v/>
      </c>
      <c r="V169" s="105"/>
      <c r="W169" s="289" t="str">
        <f>IF(V169="","",IF(VLOOKUP(V169,'G-7 WaterC'' Data'!$AK$4:$AM$6,2,FALSE)=0,"Spatial Data Missing ⚠",VLOOKUP(V169,'G-7 WaterC'' Data'!$AK$4:$AM$6,2,FALSE)))</f>
        <v/>
      </c>
      <c r="X169" s="282" t="str">
        <f>IF(V169="","",IF(VLOOKUP(V169,'G-7 WaterC'' Data'!$AK$4:$AM$6,3,FALSE)=0,"Spatial Data Missing ⚠",VLOOKUP(V169,'G-7 WaterC'' Data'!$AK$4:$AM$6,3,FALSE)))</f>
        <v/>
      </c>
      <c r="Y169" s="281" t="str">
        <f>IFERROR(IF(OR(LEFT(P169,5)="Error",LEFT(O169,5)="Error"),"Check Data ⚠",IF(F169&lt;S169,'G-7 WaterC'' Data'!$R$3,INDEX('G-7 WaterC'' Data'!$U$5:$Y$9,MATCH(G169,'G-7 WaterC'' Data'!$T$5:$T$9,0),MATCH(T169,'G-7 WaterC'' Data'!$U$4:$Y$4,0)))),"")</f>
        <v/>
      </c>
      <c r="Z169" s="137"/>
      <c r="AA169" s="137"/>
      <c r="AB169" s="289" t="str">
        <f t="shared" si="23"/>
        <v/>
      </c>
      <c r="AC169" s="302" t="str">
        <f t="shared" si="24"/>
        <v/>
      </c>
      <c r="AD169" s="340" t="str">
        <f>IFERROR(IF(AC169="Check Data ⚠","Check Data ⚠",VLOOKUP(AC169,'G-4 Temporal multipliers'!$A$4:$C$37,3,FALSE)),"")</f>
        <v/>
      </c>
      <c r="AE169" s="281" t="str">
        <f>IF(N169="","",VLOOKUP(N169,'G-7 WaterC'' Data'!$B$4:$G$8,5,FALSE))</f>
        <v/>
      </c>
      <c r="AF169" s="289" t="str">
        <f t="shared" si="25"/>
        <v/>
      </c>
      <c r="AG169" s="320" t="str">
        <f t="shared" si="26"/>
        <v/>
      </c>
      <c r="AH169" s="282" t="str">
        <f t="shared" si="20"/>
        <v/>
      </c>
      <c r="AI169" s="109"/>
      <c r="AJ169" s="282" t="str">
        <f>IF(AI169="","",IF(AND(AI169="N/A - Culvert",N169&lt;&gt;"Culvert"),"Not possible ▲",IF(VLOOKUP(AI169,'G-7 WaterC'' Data'!$AA$4:$AB$7,2,FALSE)=0,"Spatial Data Missing ⚠",VLOOKUP(AI169,'G-7 WaterC'' Data'!$AA$4:$AB$7,2,FALSE))))</f>
        <v/>
      </c>
      <c r="AK169" s="110"/>
      <c r="AL169" s="282" t="str">
        <f>IF(AK169="","",IF(AND(AK169="N/A - Culvert",N169&lt;&gt;"Culvert"),"Not possible ▲",IF(VLOOKUP(AK169,'G-7 WaterC'' Data'!$AD$4:$AE$14,2,FALSE)=0,"Spatial Data Missing ⚠",VLOOKUP(AK169,'G-7 WaterC'' Data'!$AD$4:$AE$14,2,FALSE))))</f>
        <v/>
      </c>
      <c r="AM169" s="323" t="str">
        <f t="shared" si="27"/>
        <v/>
      </c>
      <c r="AN169" s="105"/>
      <c r="AO169" s="119"/>
      <c r="AP169" s="108"/>
      <c r="AS169" s="30" t="str">
        <f>IF(B169="","",IF(ISNA(VLOOKUP($B169,'C-1 On-Site WaterC'' Baseline'!$C$8:$AD$257,17,FALSE)),"",(VLOOKUP($B169,'C-1 On-Site WaterC'' Baseline'!$C$8:$AD$257,17,FALSE))))</f>
        <v/>
      </c>
      <c r="AT169" s="30" t="str">
        <f>IF(B169="","",VLOOKUP($B169,'C-1 On-Site WaterC'' Baseline'!$C$9:$Z$257,12,FALSE))</f>
        <v/>
      </c>
      <c r="AU169" s="30" t="str">
        <f>IF(B169="","",VLOOKUP($B169,'C-1 On-Site WaterC'' Baseline'!$C$9:$Z$257,14,FALSE))</f>
        <v/>
      </c>
      <c r="AV169" s="30" t="str">
        <f>IFERROR(INDEX('G-7 WaterC'' Data'!$AZ$3:$AZ$7,MATCH(N169,'G-7 WaterC'' Data'!$AY$3:$AY$7,0)),"")</f>
        <v/>
      </c>
      <c r="AX169" s="30" t="str">
        <f>IF(B169="","",VLOOKUP($B169,'C-1 On-Site WaterC'' Baseline'!$C$9:$Y$257,22,FALSE))</f>
        <v/>
      </c>
      <c r="AY169" s="30" t="str">
        <f t="shared" si="28"/>
        <v/>
      </c>
      <c r="AZ169" s="30" t="str">
        <f>IF(B169="","",VLOOKUP($B169,'C-1 On-Site WaterC'' Baseline'!$C$9:$Y$257,21,FALSE))</f>
        <v/>
      </c>
      <c r="BA169" s="30" t="str">
        <f>IF(B169="","",VLOOKUP($B169,'C-1 On-Site WaterC'' Baseline'!$C$9:$Y$257,19,FALSE))</f>
        <v/>
      </c>
      <c r="BD169" s="30" t="str">
        <f t="shared" si="29"/>
        <v>No</v>
      </c>
    </row>
    <row r="170" spans="2:56" ht="13.8" x14ac:dyDescent="0.25">
      <c r="B170" s="311" t="str">
        <f>'C-1 On-Site WaterC'' Baseline'!AP168</f>
        <v/>
      </c>
      <c r="C170" s="301" t="str">
        <f>IF(B170="","",VLOOKUP($B170,'C-1 On-Site WaterC'' Baseline'!$C$9:$R$257,2,FALSE))</f>
        <v/>
      </c>
      <c r="D170" s="301" t="str">
        <f>IF(C170="","",VLOOKUP($B170,'C-1 On-Site WaterC'' Baseline'!$C$9:$R$257,3,FALSE))</f>
        <v/>
      </c>
      <c r="E170" s="301" t="str">
        <f>IF(D170="","",VLOOKUP($B170,'C-1 On-Site WaterC'' Baseline'!$C$9:$R$257,4,FALSE))</f>
        <v/>
      </c>
      <c r="F170" s="301" t="str">
        <f>IF(E170="","",VLOOKUP($B170,'C-1 On-Site WaterC'' Baseline'!$C$9:$R$257,5,FALSE))</f>
        <v/>
      </c>
      <c r="G170" s="301" t="str">
        <f>IF(F170="","",VLOOKUP($B170,'C-1 On-Site WaterC'' Baseline'!$C$9:$R$257,6,FALSE))</f>
        <v/>
      </c>
      <c r="H170" s="301" t="str">
        <f>IF(G170="","",VLOOKUP($B170,'C-1 On-Site WaterC'' Baseline'!$C$9:$R$257,7,FALSE))</f>
        <v/>
      </c>
      <c r="I170" s="301" t="str">
        <f>IF(H170="","",VLOOKUP($B170,'C-1 On-Site WaterC'' Baseline'!$C$9:$R$257,8,FALSE))</f>
        <v/>
      </c>
      <c r="J170" s="301" t="str">
        <f>IF(I170="","",VLOOKUP($B170,'C-1 On-Site WaterC'' Baseline'!$C$9:$R$257,9,FALSE))</f>
        <v/>
      </c>
      <c r="K170" s="301" t="str">
        <f>IF(J170="","",VLOOKUP($B170,'C-1 On-Site WaterC'' Baseline'!$C$9:$R$257,10,FALSE))</f>
        <v/>
      </c>
      <c r="L170" s="301" t="str">
        <f>IF(B170="","",VLOOKUP($B170,'C-1 On-Site WaterC'' Baseline'!$C$9:$R$257,15,FALSE))</f>
        <v/>
      </c>
      <c r="M170" s="305" t="str">
        <f>IF(L170="","",VLOOKUP($B170,'C-1 On-Site WaterC'' Baseline'!$C$9:$R$257,16,FALSE))</f>
        <v/>
      </c>
      <c r="N170" s="251"/>
      <c r="O170" s="281" t="str">
        <f t="shared" si="21"/>
        <v/>
      </c>
      <c r="P170" s="282" t="str">
        <f t="shared" si="22"/>
        <v/>
      </c>
      <c r="Q170" s="342" t="str">
        <f>IF(N170="","",VLOOKUP(B170,'C-1 On-Site WaterC'' Baseline'!$C$10:$AC$257,20,FALSE))</f>
        <v/>
      </c>
      <c r="R170" s="281" t="str">
        <f>IF(N170="","",VLOOKUP(N170,'G-7 WaterC'' Data'!$B$2:$G$8,2,FALSE))</f>
        <v/>
      </c>
      <c r="S170" s="282" t="str">
        <f>IFERROR(VLOOKUP(R170,'G-7 WaterC'' Data'!$C$4:$D$8,2,FALSE),"")</f>
        <v/>
      </c>
      <c r="T170" s="105"/>
      <c r="U170" s="282" t="str">
        <f>IFERROR(INDEX('G-7 WaterC'' Data'!$H$4:$L$8,MATCH(N170,'G-7 WaterC'' Data'!$B$4:$B$8,0),MATCH(T170,'G-7 WaterC'' Data'!$H$3:$L$3,0)),"")</f>
        <v/>
      </c>
      <c r="V170" s="105"/>
      <c r="W170" s="289" t="str">
        <f>IF(V170="","",IF(VLOOKUP(V170,'G-7 WaterC'' Data'!$AK$4:$AM$6,2,FALSE)=0,"Spatial Data Missing ⚠",VLOOKUP(V170,'G-7 WaterC'' Data'!$AK$4:$AM$6,2,FALSE)))</f>
        <v/>
      </c>
      <c r="X170" s="282" t="str">
        <f>IF(V170="","",IF(VLOOKUP(V170,'G-7 WaterC'' Data'!$AK$4:$AM$6,3,FALSE)=0,"Spatial Data Missing ⚠",VLOOKUP(V170,'G-7 WaterC'' Data'!$AK$4:$AM$6,3,FALSE)))</f>
        <v/>
      </c>
      <c r="Y170" s="281" t="str">
        <f>IFERROR(IF(OR(LEFT(P170,5)="Error",LEFT(O170,5)="Error"),"Check Data ⚠",IF(F170&lt;S170,'G-7 WaterC'' Data'!$R$3,INDEX('G-7 WaterC'' Data'!$U$5:$Y$9,MATCH(G170,'G-7 WaterC'' Data'!$T$5:$T$9,0),MATCH(T170,'G-7 WaterC'' Data'!$U$4:$Y$4,0)))),"")</f>
        <v/>
      </c>
      <c r="Z170" s="137"/>
      <c r="AA170" s="137"/>
      <c r="AB170" s="289" t="str">
        <f t="shared" si="23"/>
        <v/>
      </c>
      <c r="AC170" s="302" t="str">
        <f t="shared" si="24"/>
        <v/>
      </c>
      <c r="AD170" s="340" t="str">
        <f>IFERROR(IF(AC170="Check Data ⚠","Check Data ⚠",VLOOKUP(AC170,'G-4 Temporal multipliers'!$A$4:$C$37,3,FALSE)),"")</f>
        <v/>
      </c>
      <c r="AE170" s="281" t="str">
        <f>IF(N170="","",VLOOKUP(N170,'G-7 WaterC'' Data'!$B$4:$G$8,5,FALSE))</f>
        <v/>
      </c>
      <c r="AF170" s="289" t="str">
        <f t="shared" si="25"/>
        <v/>
      </c>
      <c r="AG170" s="320" t="str">
        <f t="shared" si="26"/>
        <v/>
      </c>
      <c r="AH170" s="282" t="str">
        <f t="shared" si="20"/>
        <v/>
      </c>
      <c r="AI170" s="109"/>
      <c r="AJ170" s="282" t="str">
        <f>IF(AI170="","",IF(AND(AI170="N/A - Culvert",N170&lt;&gt;"Culvert"),"Not possible ▲",IF(VLOOKUP(AI170,'G-7 WaterC'' Data'!$AA$4:$AB$7,2,FALSE)=0,"Spatial Data Missing ⚠",VLOOKUP(AI170,'G-7 WaterC'' Data'!$AA$4:$AB$7,2,FALSE))))</f>
        <v/>
      </c>
      <c r="AK170" s="110"/>
      <c r="AL170" s="282" t="str">
        <f>IF(AK170="","",IF(AND(AK170="N/A - Culvert",N170&lt;&gt;"Culvert"),"Not possible ▲",IF(VLOOKUP(AK170,'G-7 WaterC'' Data'!$AD$4:$AE$14,2,FALSE)=0,"Spatial Data Missing ⚠",VLOOKUP(AK170,'G-7 WaterC'' Data'!$AD$4:$AE$14,2,FALSE))))</f>
        <v/>
      </c>
      <c r="AM170" s="323" t="str">
        <f t="shared" si="27"/>
        <v/>
      </c>
      <c r="AN170" s="105"/>
      <c r="AO170" s="119"/>
      <c r="AP170" s="108"/>
      <c r="AS170" s="30" t="str">
        <f>IF(B170="","",IF(ISNA(VLOOKUP($B170,'C-1 On-Site WaterC'' Baseline'!$C$8:$AD$257,17,FALSE)),"",(VLOOKUP($B170,'C-1 On-Site WaterC'' Baseline'!$C$8:$AD$257,17,FALSE))))</f>
        <v/>
      </c>
      <c r="AT170" s="30" t="str">
        <f>IF(B170="","",VLOOKUP($B170,'C-1 On-Site WaterC'' Baseline'!$C$9:$Z$257,12,FALSE))</f>
        <v/>
      </c>
      <c r="AU170" s="30" t="str">
        <f>IF(B170="","",VLOOKUP($B170,'C-1 On-Site WaterC'' Baseline'!$C$9:$Z$257,14,FALSE))</f>
        <v/>
      </c>
      <c r="AV170" s="30" t="str">
        <f>IFERROR(INDEX('G-7 WaterC'' Data'!$AZ$3:$AZ$7,MATCH(N170,'G-7 WaterC'' Data'!$AY$3:$AY$7,0)),"")</f>
        <v/>
      </c>
      <c r="AX170" s="30" t="str">
        <f>IF(B170="","",VLOOKUP($B170,'C-1 On-Site WaterC'' Baseline'!$C$9:$Y$257,22,FALSE))</f>
        <v/>
      </c>
      <c r="AY170" s="30" t="str">
        <f t="shared" si="28"/>
        <v/>
      </c>
      <c r="AZ170" s="30" t="str">
        <f>IF(B170="","",VLOOKUP($B170,'C-1 On-Site WaterC'' Baseline'!$C$9:$Y$257,21,FALSE))</f>
        <v/>
      </c>
      <c r="BA170" s="30" t="str">
        <f>IF(B170="","",VLOOKUP($B170,'C-1 On-Site WaterC'' Baseline'!$C$9:$Y$257,19,FALSE))</f>
        <v/>
      </c>
      <c r="BD170" s="30" t="str">
        <f t="shared" si="29"/>
        <v>No</v>
      </c>
    </row>
    <row r="171" spans="2:56" ht="13.8" x14ac:dyDescent="0.25">
      <c r="B171" s="311" t="str">
        <f>'C-1 On-Site WaterC'' Baseline'!AP169</f>
        <v/>
      </c>
      <c r="C171" s="301" t="str">
        <f>IF(B171="","",VLOOKUP($B171,'C-1 On-Site WaterC'' Baseline'!$C$9:$R$257,2,FALSE))</f>
        <v/>
      </c>
      <c r="D171" s="301" t="str">
        <f>IF(C171="","",VLOOKUP($B171,'C-1 On-Site WaterC'' Baseline'!$C$9:$R$257,3,FALSE))</f>
        <v/>
      </c>
      <c r="E171" s="301" t="str">
        <f>IF(D171="","",VLOOKUP($B171,'C-1 On-Site WaterC'' Baseline'!$C$9:$R$257,4,FALSE))</f>
        <v/>
      </c>
      <c r="F171" s="301" t="str">
        <f>IF(E171="","",VLOOKUP($B171,'C-1 On-Site WaterC'' Baseline'!$C$9:$R$257,5,FALSE))</f>
        <v/>
      </c>
      <c r="G171" s="301" t="str">
        <f>IF(F171="","",VLOOKUP($B171,'C-1 On-Site WaterC'' Baseline'!$C$9:$R$257,6,FALSE))</f>
        <v/>
      </c>
      <c r="H171" s="301" t="str">
        <f>IF(G171="","",VLOOKUP($B171,'C-1 On-Site WaterC'' Baseline'!$C$9:$R$257,7,FALSE))</f>
        <v/>
      </c>
      <c r="I171" s="301" t="str">
        <f>IF(H171="","",VLOOKUP($B171,'C-1 On-Site WaterC'' Baseline'!$C$9:$R$257,8,FALSE))</f>
        <v/>
      </c>
      <c r="J171" s="301" t="str">
        <f>IF(I171="","",VLOOKUP($B171,'C-1 On-Site WaterC'' Baseline'!$C$9:$R$257,9,FALSE))</f>
        <v/>
      </c>
      <c r="K171" s="301" t="str">
        <f>IF(J171="","",VLOOKUP($B171,'C-1 On-Site WaterC'' Baseline'!$C$9:$R$257,10,FALSE))</f>
        <v/>
      </c>
      <c r="L171" s="301" t="str">
        <f>IF(B171="","",VLOOKUP($B171,'C-1 On-Site WaterC'' Baseline'!$C$9:$R$257,15,FALSE))</f>
        <v/>
      </c>
      <c r="M171" s="305" t="str">
        <f>IF(L171="","",VLOOKUP($B171,'C-1 On-Site WaterC'' Baseline'!$C$9:$R$257,16,FALSE))</f>
        <v/>
      </c>
      <c r="N171" s="251"/>
      <c r="O171" s="281" t="str">
        <f t="shared" si="21"/>
        <v/>
      </c>
      <c r="P171" s="282" t="str">
        <f t="shared" si="22"/>
        <v/>
      </c>
      <c r="Q171" s="342" t="str">
        <f>IF(N171="","",VLOOKUP(B171,'C-1 On-Site WaterC'' Baseline'!$C$10:$AC$257,20,FALSE))</f>
        <v/>
      </c>
      <c r="R171" s="281" t="str">
        <f>IF(N171="","",VLOOKUP(N171,'G-7 WaterC'' Data'!$B$2:$G$8,2,FALSE))</f>
        <v/>
      </c>
      <c r="S171" s="282" t="str">
        <f>IFERROR(VLOOKUP(R171,'G-7 WaterC'' Data'!$C$4:$D$8,2,FALSE),"")</f>
        <v/>
      </c>
      <c r="T171" s="105"/>
      <c r="U171" s="282" t="str">
        <f>IFERROR(INDEX('G-7 WaterC'' Data'!$H$4:$L$8,MATCH(N171,'G-7 WaterC'' Data'!$B$4:$B$8,0),MATCH(T171,'G-7 WaterC'' Data'!$H$3:$L$3,0)),"")</f>
        <v/>
      </c>
      <c r="V171" s="105"/>
      <c r="W171" s="289" t="str">
        <f>IF(V171="","",IF(VLOOKUP(V171,'G-7 WaterC'' Data'!$AK$4:$AM$6,2,FALSE)=0,"Spatial Data Missing ⚠",VLOOKUP(V171,'G-7 WaterC'' Data'!$AK$4:$AM$6,2,FALSE)))</f>
        <v/>
      </c>
      <c r="X171" s="282" t="str">
        <f>IF(V171="","",IF(VLOOKUP(V171,'G-7 WaterC'' Data'!$AK$4:$AM$6,3,FALSE)=0,"Spatial Data Missing ⚠",VLOOKUP(V171,'G-7 WaterC'' Data'!$AK$4:$AM$6,3,FALSE)))</f>
        <v/>
      </c>
      <c r="Y171" s="281" t="str">
        <f>IFERROR(IF(OR(LEFT(P171,5)="Error",LEFT(O171,5)="Error"),"Check Data ⚠",IF(F171&lt;S171,'G-7 WaterC'' Data'!$R$3,INDEX('G-7 WaterC'' Data'!$U$5:$Y$9,MATCH(G171,'G-7 WaterC'' Data'!$T$5:$T$9,0),MATCH(T171,'G-7 WaterC'' Data'!$U$4:$Y$4,0)))),"")</f>
        <v/>
      </c>
      <c r="Z171" s="137"/>
      <c r="AA171" s="137"/>
      <c r="AB171" s="289" t="str">
        <f t="shared" si="23"/>
        <v/>
      </c>
      <c r="AC171" s="302" t="str">
        <f t="shared" si="24"/>
        <v/>
      </c>
      <c r="AD171" s="340" t="str">
        <f>IFERROR(IF(AC171="Check Data ⚠","Check Data ⚠",VLOOKUP(AC171,'G-4 Temporal multipliers'!$A$4:$C$37,3,FALSE)),"")</f>
        <v/>
      </c>
      <c r="AE171" s="281" t="str">
        <f>IF(N171="","",VLOOKUP(N171,'G-7 WaterC'' Data'!$B$4:$G$8,5,FALSE))</f>
        <v/>
      </c>
      <c r="AF171" s="289" t="str">
        <f t="shared" si="25"/>
        <v/>
      </c>
      <c r="AG171" s="320" t="str">
        <f t="shared" si="26"/>
        <v/>
      </c>
      <c r="AH171" s="282" t="str">
        <f t="shared" si="20"/>
        <v/>
      </c>
      <c r="AI171" s="109"/>
      <c r="AJ171" s="282" t="str">
        <f>IF(AI171="","",IF(AND(AI171="N/A - Culvert",N171&lt;&gt;"Culvert"),"Not possible ▲",IF(VLOOKUP(AI171,'G-7 WaterC'' Data'!$AA$4:$AB$7,2,FALSE)=0,"Spatial Data Missing ⚠",VLOOKUP(AI171,'G-7 WaterC'' Data'!$AA$4:$AB$7,2,FALSE))))</f>
        <v/>
      </c>
      <c r="AK171" s="110"/>
      <c r="AL171" s="282" t="str">
        <f>IF(AK171="","",IF(AND(AK171="N/A - Culvert",N171&lt;&gt;"Culvert"),"Not possible ▲",IF(VLOOKUP(AK171,'G-7 WaterC'' Data'!$AD$4:$AE$14,2,FALSE)=0,"Spatial Data Missing ⚠",VLOOKUP(AK171,'G-7 WaterC'' Data'!$AD$4:$AE$14,2,FALSE))))</f>
        <v/>
      </c>
      <c r="AM171" s="323" t="str">
        <f t="shared" si="27"/>
        <v/>
      </c>
      <c r="AN171" s="105"/>
      <c r="AO171" s="119"/>
      <c r="AP171" s="108"/>
      <c r="AS171" s="30" t="str">
        <f>IF(B171="","",IF(ISNA(VLOOKUP($B171,'C-1 On-Site WaterC'' Baseline'!$C$8:$AD$257,17,FALSE)),"",(VLOOKUP($B171,'C-1 On-Site WaterC'' Baseline'!$C$8:$AD$257,17,FALSE))))</f>
        <v/>
      </c>
      <c r="AT171" s="30" t="str">
        <f>IF(B171="","",VLOOKUP($B171,'C-1 On-Site WaterC'' Baseline'!$C$9:$Z$257,12,FALSE))</f>
        <v/>
      </c>
      <c r="AU171" s="30" t="str">
        <f>IF(B171="","",VLOOKUP($B171,'C-1 On-Site WaterC'' Baseline'!$C$9:$Z$257,14,FALSE))</f>
        <v/>
      </c>
      <c r="AV171" s="30" t="str">
        <f>IFERROR(INDEX('G-7 WaterC'' Data'!$AZ$3:$AZ$7,MATCH(N171,'G-7 WaterC'' Data'!$AY$3:$AY$7,0)),"")</f>
        <v/>
      </c>
      <c r="AX171" s="30" t="str">
        <f>IF(B171="","",VLOOKUP($B171,'C-1 On-Site WaterC'' Baseline'!$C$9:$Y$257,22,FALSE))</f>
        <v/>
      </c>
      <c r="AY171" s="30" t="str">
        <f t="shared" si="28"/>
        <v/>
      </c>
      <c r="AZ171" s="30" t="str">
        <f>IF(B171="","",VLOOKUP($B171,'C-1 On-Site WaterC'' Baseline'!$C$9:$Y$257,21,FALSE))</f>
        <v/>
      </c>
      <c r="BA171" s="30" t="str">
        <f>IF(B171="","",VLOOKUP($B171,'C-1 On-Site WaterC'' Baseline'!$C$9:$Y$257,19,FALSE))</f>
        <v/>
      </c>
      <c r="BD171" s="30" t="str">
        <f t="shared" si="29"/>
        <v>No</v>
      </c>
    </row>
    <row r="172" spans="2:56" ht="13.8" x14ac:dyDescent="0.25">
      <c r="B172" s="311" t="str">
        <f>'C-1 On-Site WaterC'' Baseline'!AP170</f>
        <v/>
      </c>
      <c r="C172" s="301" t="str">
        <f>IF(B172="","",VLOOKUP($B172,'C-1 On-Site WaterC'' Baseline'!$C$9:$R$257,2,FALSE))</f>
        <v/>
      </c>
      <c r="D172" s="301" t="str">
        <f>IF(C172="","",VLOOKUP($B172,'C-1 On-Site WaterC'' Baseline'!$C$9:$R$257,3,FALSE))</f>
        <v/>
      </c>
      <c r="E172" s="301" t="str">
        <f>IF(D172="","",VLOOKUP($B172,'C-1 On-Site WaterC'' Baseline'!$C$9:$R$257,4,FALSE))</f>
        <v/>
      </c>
      <c r="F172" s="301" t="str">
        <f>IF(E172="","",VLOOKUP($B172,'C-1 On-Site WaterC'' Baseline'!$C$9:$R$257,5,FALSE))</f>
        <v/>
      </c>
      <c r="G172" s="301" t="str">
        <f>IF(F172="","",VLOOKUP($B172,'C-1 On-Site WaterC'' Baseline'!$C$9:$R$257,6,FALSE))</f>
        <v/>
      </c>
      <c r="H172" s="301" t="str">
        <f>IF(G172="","",VLOOKUP($B172,'C-1 On-Site WaterC'' Baseline'!$C$9:$R$257,7,FALSE))</f>
        <v/>
      </c>
      <c r="I172" s="301" t="str">
        <f>IF(H172="","",VLOOKUP($B172,'C-1 On-Site WaterC'' Baseline'!$C$9:$R$257,8,FALSE))</f>
        <v/>
      </c>
      <c r="J172" s="301" t="str">
        <f>IF(I172="","",VLOOKUP($B172,'C-1 On-Site WaterC'' Baseline'!$C$9:$R$257,9,FALSE))</f>
        <v/>
      </c>
      <c r="K172" s="301" t="str">
        <f>IF(J172="","",VLOOKUP($B172,'C-1 On-Site WaterC'' Baseline'!$C$9:$R$257,10,FALSE))</f>
        <v/>
      </c>
      <c r="L172" s="301" t="str">
        <f>IF(B172="","",VLOOKUP($B172,'C-1 On-Site WaterC'' Baseline'!$C$9:$R$257,15,FALSE))</f>
        <v/>
      </c>
      <c r="M172" s="305" t="str">
        <f>IF(L172="","",VLOOKUP($B172,'C-1 On-Site WaterC'' Baseline'!$C$9:$R$257,16,FALSE))</f>
        <v/>
      </c>
      <c r="N172" s="251"/>
      <c r="O172" s="281" t="str">
        <f t="shared" si="21"/>
        <v/>
      </c>
      <c r="P172" s="282" t="str">
        <f t="shared" si="22"/>
        <v/>
      </c>
      <c r="Q172" s="342" t="str">
        <f>IF(N172="","",VLOOKUP(B172,'C-1 On-Site WaterC'' Baseline'!$C$10:$AC$257,20,FALSE))</f>
        <v/>
      </c>
      <c r="R172" s="281" t="str">
        <f>IF(N172="","",VLOOKUP(N172,'G-7 WaterC'' Data'!$B$2:$G$8,2,FALSE))</f>
        <v/>
      </c>
      <c r="S172" s="282" t="str">
        <f>IFERROR(VLOOKUP(R172,'G-7 WaterC'' Data'!$C$4:$D$8,2,FALSE),"")</f>
        <v/>
      </c>
      <c r="T172" s="105"/>
      <c r="U172" s="282" t="str">
        <f>IFERROR(INDEX('G-7 WaterC'' Data'!$H$4:$L$8,MATCH(N172,'G-7 WaterC'' Data'!$B$4:$B$8,0),MATCH(T172,'G-7 WaterC'' Data'!$H$3:$L$3,0)),"")</f>
        <v/>
      </c>
      <c r="V172" s="105"/>
      <c r="W172" s="289" t="str">
        <f>IF(V172="","",IF(VLOOKUP(V172,'G-7 WaterC'' Data'!$AK$4:$AM$6,2,FALSE)=0,"Spatial Data Missing ⚠",VLOOKUP(V172,'G-7 WaterC'' Data'!$AK$4:$AM$6,2,FALSE)))</f>
        <v/>
      </c>
      <c r="X172" s="282" t="str">
        <f>IF(V172="","",IF(VLOOKUP(V172,'G-7 WaterC'' Data'!$AK$4:$AM$6,3,FALSE)=0,"Spatial Data Missing ⚠",VLOOKUP(V172,'G-7 WaterC'' Data'!$AK$4:$AM$6,3,FALSE)))</f>
        <v/>
      </c>
      <c r="Y172" s="281" t="str">
        <f>IFERROR(IF(OR(LEFT(P172,5)="Error",LEFT(O172,5)="Error"),"Check Data ⚠",IF(F172&lt;S172,'G-7 WaterC'' Data'!$R$3,INDEX('G-7 WaterC'' Data'!$U$5:$Y$9,MATCH(G172,'G-7 WaterC'' Data'!$T$5:$T$9,0),MATCH(T172,'G-7 WaterC'' Data'!$U$4:$Y$4,0)))),"")</f>
        <v/>
      </c>
      <c r="Z172" s="137"/>
      <c r="AA172" s="137"/>
      <c r="AB172" s="289" t="str">
        <f t="shared" si="23"/>
        <v/>
      </c>
      <c r="AC172" s="302" t="str">
        <f t="shared" si="24"/>
        <v/>
      </c>
      <c r="AD172" s="340" t="str">
        <f>IFERROR(IF(AC172="Check Data ⚠","Check Data ⚠",VLOOKUP(AC172,'G-4 Temporal multipliers'!$A$4:$C$37,3,FALSE)),"")</f>
        <v/>
      </c>
      <c r="AE172" s="281" t="str">
        <f>IF(N172="","",VLOOKUP(N172,'G-7 WaterC'' Data'!$B$4:$G$8,5,FALSE))</f>
        <v/>
      </c>
      <c r="AF172" s="289" t="str">
        <f t="shared" si="25"/>
        <v/>
      </c>
      <c r="AG172" s="320" t="str">
        <f t="shared" si="26"/>
        <v/>
      </c>
      <c r="AH172" s="282" t="str">
        <f t="shared" si="20"/>
        <v/>
      </c>
      <c r="AI172" s="109"/>
      <c r="AJ172" s="282" t="str">
        <f>IF(AI172="","",IF(AND(AI172="N/A - Culvert",N172&lt;&gt;"Culvert"),"Not possible ▲",IF(VLOOKUP(AI172,'G-7 WaterC'' Data'!$AA$4:$AB$7,2,FALSE)=0,"Spatial Data Missing ⚠",VLOOKUP(AI172,'G-7 WaterC'' Data'!$AA$4:$AB$7,2,FALSE))))</f>
        <v/>
      </c>
      <c r="AK172" s="110"/>
      <c r="AL172" s="282" t="str">
        <f>IF(AK172="","",IF(AND(AK172="N/A - Culvert",N172&lt;&gt;"Culvert"),"Not possible ▲",IF(VLOOKUP(AK172,'G-7 WaterC'' Data'!$AD$4:$AE$14,2,FALSE)=0,"Spatial Data Missing ⚠",VLOOKUP(AK172,'G-7 WaterC'' Data'!$AD$4:$AE$14,2,FALSE))))</f>
        <v/>
      </c>
      <c r="AM172" s="323" t="str">
        <f t="shared" si="27"/>
        <v/>
      </c>
      <c r="AN172" s="105"/>
      <c r="AO172" s="119"/>
      <c r="AP172" s="108"/>
      <c r="AS172" s="30" t="str">
        <f>IF(B172="","",IF(ISNA(VLOOKUP($B172,'C-1 On-Site WaterC'' Baseline'!$C$8:$AD$257,17,FALSE)),"",(VLOOKUP($B172,'C-1 On-Site WaterC'' Baseline'!$C$8:$AD$257,17,FALSE))))</f>
        <v/>
      </c>
      <c r="AT172" s="30" t="str">
        <f>IF(B172="","",VLOOKUP($B172,'C-1 On-Site WaterC'' Baseline'!$C$9:$Z$257,12,FALSE))</f>
        <v/>
      </c>
      <c r="AU172" s="30" t="str">
        <f>IF(B172="","",VLOOKUP($B172,'C-1 On-Site WaterC'' Baseline'!$C$9:$Z$257,14,FALSE))</f>
        <v/>
      </c>
      <c r="AV172" s="30" t="str">
        <f>IFERROR(INDEX('G-7 WaterC'' Data'!$AZ$3:$AZ$7,MATCH(N172,'G-7 WaterC'' Data'!$AY$3:$AY$7,0)),"")</f>
        <v/>
      </c>
      <c r="AX172" s="30" t="str">
        <f>IF(B172="","",VLOOKUP($B172,'C-1 On-Site WaterC'' Baseline'!$C$9:$Y$257,22,FALSE))</f>
        <v/>
      </c>
      <c r="AY172" s="30" t="str">
        <f t="shared" si="28"/>
        <v/>
      </c>
      <c r="AZ172" s="30" t="str">
        <f>IF(B172="","",VLOOKUP($B172,'C-1 On-Site WaterC'' Baseline'!$C$9:$Y$257,21,FALSE))</f>
        <v/>
      </c>
      <c r="BA172" s="30" t="str">
        <f>IF(B172="","",VLOOKUP($B172,'C-1 On-Site WaterC'' Baseline'!$C$9:$Y$257,19,FALSE))</f>
        <v/>
      </c>
      <c r="BD172" s="30" t="str">
        <f t="shared" si="29"/>
        <v>No</v>
      </c>
    </row>
    <row r="173" spans="2:56" ht="13.8" x14ac:dyDescent="0.25">
      <c r="B173" s="311" t="str">
        <f>'C-1 On-Site WaterC'' Baseline'!AP171</f>
        <v/>
      </c>
      <c r="C173" s="301" t="str">
        <f>IF(B173="","",VLOOKUP($B173,'C-1 On-Site WaterC'' Baseline'!$C$9:$R$257,2,FALSE))</f>
        <v/>
      </c>
      <c r="D173" s="301" t="str">
        <f>IF(C173="","",VLOOKUP($B173,'C-1 On-Site WaterC'' Baseline'!$C$9:$R$257,3,FALSE))</f>
        <v/>
      </c>
      <c r="E173" s="301" t="str">
        <f>IF(D173="","",VLOOKUP($B173,'C-1 On-Site WaterC'' Baseline'!$C$9:$R$257,4,FALSE))</f>
        <v/>
      </c>
      <c r="F173" s="301" t="str">
        <f>IF(E173="","",VLOOKUP($B173,'C-1 On-Site WaterC'' Baseline'!$C$9:$R$257,5,FALSE))</f>
        <v/>
      </c>
      <c r="G173" s="301" t="str">
        <f>IF(F173="","",VLOOKUP($B173,'C-1 On-Site WaterC'' Baseline'!$C$9:$R$257,6,FALSE))</f>
        <v/>
      </c>
      <c r="H173" s="301" t="str">
        <f>IF(G173="","",VLOOKUP($B173,'C-1 On-Site WaterC'' Baseline'!$C$9:$R$257,7,FALSE))</f>
        <v/>
      </c>
      <c r="I173" s="301" t="str">
        <f>IF(H173="","",VLOOKUP($B173,'C-1 On-Site WaterC'' Baseline'!$C$9:$R$257,8,FALSE))</f>
        <v/>
      </c>
      <c r="J173" s="301" t="str">
        <f>IF(I173="","",VLOOKUP($B173,'C-1 On-Site WaterC'' Baseline'!$C$9:$R$257,9,FALSE))</f>
        <v/>
      </c>
      <c r="K173" s="301" t="str">
        <f>IF(J173="","",VLOOKUP($B173,'C-1 On-Site WaterC'' Baseline'!$C$9:$R$257,10,FALSE))</f>
        <v/>
      </c>
      <c r="L173" s="301" t="str">
        <f>IF(B173="","",VLOOKUP($B173,'C-1 On-Site WaterC'' Baseline'!$C$9:$R$257,15,FALSE))</f>
        <v/>
      </c>
      <c r="M173" s="305" t="str">
        <f>IF(L173="","",VLOOKUP($B173,'C-1 On-Site WaterC'' Baseline'!$C$9:$R$257,16,FALSE))</f>
        <v/>
      </c>
      <c r="N173" s="251"/>
      <c r="O173" s="281" t="str">
        <f t="shared" si="21"/>
        <v/>
      </c>
      <c r="P173" s="282" t="str">
        <f t="shared" si="22"/>
        <v/>
      </c>
      <c r="Q173" s="342" t="str">
        <f>IF(N173="","",VLOOKUP(B173,'C-1 On-Site WaterC'' Baseline'!$C$10:$AC$257,20,FALSE))</f>
        <v/>
      </c>
      <c r="R173" s="281" t="str">
        <f>IF(N173="","",VLOOKUP(N173,'G-7 WaterC'' Data'!$B$2:$G$8,2,FALSE))</f>
        <v/>
      </c>
      <c r="S173" s="282" t="str">
        <f>IFERROR(VLOOKUP(R173,'G-7 WaterC'' Data'!$C$4:$D$8,2,FALSE),"")</f>
        <v/>
      </c>
      <c r="T173" s="105"/>
      <c r="U173" s="282" t="str">
        <f>IFERROR(INDEX('G-7 WaterC'' Data'!$H$4:$L$8,MATCH(N173,'G-7 WaterC'' Data'!$B$4:$B$8,0),MATCH(T173,'G-7 WaterC'' Data'!$H$3:$L$3,0)),"")</f>
        <v/>
      </c>
      <c r="V173" s="105"/>
      <c r="W173" s="289" t="str">
        <f>IF(V173="","",IF(VLOOKUP(V173,'G-7 WaterC'' Data'!$AK$4:$AM$6,2,FALSE)=0,"Spatial Data Missing ⚠",VLOOKUP(V173,'G-7 WaterC'' Data'!$AK$4:$AM$6,2,FALSE)))</f>
        <v/>
      </c>
      <c r="X173" s="282" t="str">
        <f>IF(V173="","",IF(VLOOKUP(V173,'G-7 WaterC'' Data'!$AK$4:$AM$6,3,FALSE)=0,"Spatial Data Missing ⚠",VLOOKUP(V173,'G-7 WaterC'' Data'!$AK$4:$AM$6,3,FALSE)))</f>
        <v/>
      </c>
      <c r="Y173" s="281" t="str">
        <f>IFERROR(IF(OR(LEFT(P173,5)="Error",LEFT(O173,5)="Error"),"Check Data ⚠",IF(F173&lt;S173,'G-7 WaterC'' Data'!$R$3,INDEX('G-7 WaterC'' Data'!$U$5:$Y$9,MATCH(G173,'G-7 WaterC'' Data'!$T$5:$T$9,0),MATCH(T173,'G-7 WaterC'' Data'!$U$4:$Y$4,0)))),"")</f>
        <v/>
      </c>
      <c r="Z173" s="137"/>
      <c r="AA173" s="137"/>
      <c r="AB173" s="289" t="str">
        <f t="shared" si="23"/>
        <v/>
      </c>
      <c r="AC173" s="302" t="str">
        <f t="shared" si="24"/>
        <v/>
      </c>
      <c r="AD173" s="340" t="str">
        <f>IFERROR(IF(AC173="Check Data ⚠","Check Data ⚠",VLOOKUP(AC173,'G-4 Temporal multipliers'!$A$4:$C$37,3,FALSE)),"")</f>
        <v/>
      </c>
      <c r="AE173" s="281" t="str">
        <f>IF(N173="","",VLOOKUP(N173,'G-7 WaterC'' Data'!$B$4:$G$8,5,FALSE))</f>
        <v/>
      </c>
      <c r="AF173" s="289" t="str">
        <f t="shared" si="25"/>
        <v/>
      </c>
      <c r="AG173" s="320" t="str">
        <f t="shared" si="26"/>
        <v/>
      </c>
      <c r="AH173" s="282" t="str">
        <f t="shared" si="20"/>
        <v/>
      </c>
      <c r="AI173" s="109"/>
      <c r="AJ173" s="282" t="str">
        <f>IF(AI173="","",IF(AND(AI173="N/A - Culvert",N173&lt;&gt;"Culvert"),"Not possible ▲",IF(VLOOKUP(AI173,'G-7 WaterC'' Data'!$AA$4:$AB$7,2,FALSE)=0,"Spatial Data Missing ⚠",VLOOKUP(AI173,'G-7 WaterC'' Data'!$AA$4:$AB$7,2,FALSE))))</f>
        <v/>
      </c>
      <c r="AK173" s="110"/>
      <c r="AL173" s="282" t="str">
        <f>IF(AK173="","",IF(AND(AK173="N/A - Culvert",N173&lt;&gt;"Culvert"),"Not possible ▲",IF(VLOOKUP(AK173,'G-7 WaterC'' Data'!$AD$4:$AE$14,2,FALSE)=0,"Spatial Data Missing ⚠",VLOOKUP(AK173,'G-7 WaterC'' Data'!$AD$4:$AE$14,2,FALSE))))</f>
        <v/>
      </c>
      <c r="AM173" s="323" t="str">
        <f t="shared" si="27"/>
        <v/>
      </c>
      <c r="AN173" s="105"/>
      <c r="AO173" s="119"/>
      <c r="AP173" s="108"/>
      <c r="AS173" s="30" t="str">
        <f>IF(B173="","",IF(ISNA(VLOOKUP($B173,'C-1 On-Site WaterC'' Baseline'!$C$8:$AD$257,17,FALSE)),"",(VLOOKUP($B173,'C-1 On-Site WaterC'' Baseline'!$C$8:$AD$257,17,FALSE))))</f>
        <v/>
      </c>
      <c r="AT173" s="30" t="str">
        <f>IF(B173="","",VLOOKUP($B173,'C-1 On-Site WaterC'' Baseline'!$C$9:$Z$257,12,FALSE))</f>
        <v/>
      </c>
      <c r="AU173" s="30" t="str">
        <f>IF(B173="","",VLOOKUP($B173,'C-1 On-Site WaterC'' Baseline'!$C$9:$Z$257,14,FALSE))</f>
        <v/>
      </c>
      <c r="AV173" s="30" t="str">
        <f>IFERROR(INDEX('G-7 WaterC'' Data'!$AZ$3:$AZ$7,MATCH(N173,'G-7 WaterC'' Data'!$AY$3:$AY$7,0)),"")</f>
        <v/>
      </c>
      <c r="AX173" s="30" t="str">
        <f>IF(B173="","",VLOOKUP($B173,'C-1 On-Site WaterC'' Baseline'!$C$9:$Y$257,22,FALSE))</f>
        <v/>
      </c>
      <c r="AY173" s="30" t="str">
        <f t="shared" si="28"/>
        <v/>
      </c>
      <c r="AZ173" s="30" t="str">
        <f>IF(B173="","",VLOOKUP($B173,'C-1 On-Site WaterC'' Baseline'!$C$9:$Y$257,21,FALSE))</f>
        <v/>
      </c>
      <c r="BA173" s="30" t="str">
        <f>IF(B173="","",VLOOKUP($B173,'C-1 On-Site WaterC'' Baseline'!$C$9:$Y$257,19,FALSE))</f>
        <v/>
      </c>
      <c r="BD173" s="30" t="str">
        <f t="shared" si="29"/>
        <v>No</v>
      </c>
    </row>
    <row r="174" spans="2:56" ht="13.8" x14ac:dyDescent="0.25">
      <c r="B174" s="311" t="str">
        <f>'C-1 On-Site WaterC'' Baseline'!AP172</f>
        <v/>
      </c>
      <c r="C174" s="301" t="str">
        <f>IF(B174="","",VLOOKUP($B174,'C-1 On-Site WaterC'' Baseline'!$C$9:$R$257,2,FALSE))</f>
        <v/>
      </c>
      <c r="D174" s="301" t="str">
        <f>IF(C174="","",VLOOKUP($B174,'C-1 On-Site WaterC'' Baseline'!$C$9:$R$257,3,FALSE))</f>
        <v/>
      </c>
      <c r="E174" s="301" t="str">
        <f>IF(D174="","",VLOOKUP($B174,'C-1 On-Site WaterC'' Baseline'!$C$9:$R$257,4,FALSE))</f>
        <v/>
      </c>
      <c r="F174" s="301" t="str">
        <f>IF(E174="","",VLOOKUP($B174,'C-1 On-Site WaterC'' Baseline'!$C$9:$R$257,5,FALSE))</f>
        <v/>
      </c>
      <c r="G174" s="301" t="str">
        <f>IF(F174="","",VLOOKUP($B174,'C-1 On-Site WaterC'' Baseline'!$C$9:$R$257,6,FALSE))</f>
        <v/>
      </c>
      <c r="H174" s="301" t="str">
        <f>IF(G174="","",VLOOKUP($B174,'C-1 On-Site WaterC'' Baseline'!$C$9:$R$257,7,FALSE))</f>
        <v/>
      </c>
      <c r="I174" s="301" t="str">
        <f>IF(H174="","",VLOOKUP($B174,'C-1 On-Site WaterC'' Baseline'!$C$9:$R$257,8,FALSE))</f>
        <v/>
      </c>
      <c r="J174" s="301" t="str">
        <f>IF(I174="","",VLOOKUP($B174,'C-1 On-Site WaterC'' Baseline'!$C$9:$R$257,9,FALSE))</f>
        <v/>
      </c>
      <c r="K174" s="301" t="str">
        <f>IF(J174="","",VLOOKUP($B174,'C-1 On-Site WaterC'' Baseline'!$C$9:$R$257,10,FALSE))</f>
        <v/>
      </c>
      <c r="L174" s="301" t="str">
        <f>IF(B174="","",VLOOKUP($B174,'C-1 On-Site WaterC'' Baseline'!$C$9:$R$257,15,FALSE))</f>
        <v/>
      </c>
      <c r="M174" s="305" t="str">
        <f>IF(L174="","",VLOOKUP($B174,'C-1 On-Site WaterC'' Baseline'!$C$9:$R$257,16,FALSE))</f>
        <v/>
      </c>
      <c r="N174" s="251"/>
      <c r="O174" s="281" t="str">
        <f t="shared" si="21"/>
        <v/>
      </c>
      <c r="P174" s="282" t="str">
        <f t="shared" si="22"/>
        <v/>
      </c>
      <c r="Q174" s="342" t="str">
        <f>IF(N174="","",VLOOKUP(B174,'C-1 On-Site WaterC'' Baseline'!$C$10:$AC$257,20,FALSE))</f>
        <v/>
      </c>
      <c r="R174" s="281" t="str">
        <f>IF(N174="","",VLOOKUP(N174,'G-7 WaterC'' Data'!$B$2:$G$8,2,FALSE))</f>
        <v/>
      </c>
      <c r="S174" s="282" t="str">
        <f>IFERROR(VLOOKUP(R174,'G-7 WaterC'' Data'!$C$4:$D$8,2,FALSE),"")</f>
        <v/>
      </c>
      <c r="T174" s="105"/>
      <c r="U174" s="282" t="str">
        <f>IFERROR(INDEX('G-7 WaterC'' Data'!$H$4:$L$8,MATCH(N174,'G-7 WaterC'' Data'!$B$4:$B$8,0),MATCH(T174,'G-7 WaterC'' Data'!$H$3:$L$3,0)),"")</f>
        <v/>
      </c>
      <c r="V174" s="105"/>
      <c r="W174" s="289" t="str">
        <f>IF(V174="","",IF(VLOOKUP(V174,'G-7 WaterC'' Data'!$AK$4:$AM$6,2,FALSE)=0,"Spatial Data Missing ⚠",VLOOKUP(V174,'G-7 WaterC'' Data'!$AK$4:$AM$6,2,FALSE)))</f>
        <v/>
      </c>
      <c r="X174" s="282" t="str">
        <f>IF(V174="","",IF(VLOOKUP(V174,'G-7 WaterC'' Data'!$AK$4:$AM$6,3,FALSE)=0,"Spatial Data Missing ⚠",VLOOKUP(V174,'G-7 WaterC'' Data'!$AK$4:$AM$6,3,FALSE)))</f>
        <v/>
      </c>
      <c r="Y174" s="281" t="str">
        <f>IFERROR(IF(OR(LEFT(P174,5)="Error",LEFT(O174,5)="Error"),"Check Data ⚠",IF(F174&lt;S174,'G-7 WaterC'' Data'!$R$3,INDEX('G-7 WaterC'' Data'!$U$5:$Y$9,MATCH(G174,'G-7 WaterC'' Data'!$T$5:$T$9,0),MATCH(T174,'G-7 WaterC'' Data'!$U$4:$Y$4,0)))),"")</f>
        <v/>
      </c>
      <c r="Z174" s="137"/>
      <c r="AA174" s="137"/>
      <c r="AB174" s="289" t="str">
        <f t="shared" si="23"/>
        <v/>
      </c>
      <c r="AC174" s="302" t="str">
        <f t="shared" si="24"/>
        <v/>
      </c>
      <c r="AD174" s="340" t="str">
        <f>IFERROR(IF(AC174="Check Data ⚠","Check Data ⚠",VLOOKUP(AC174,'G-4 Temporal multipliers'!$A$4:$C$37,3,FALSE)),"")</f>
        <v/>
      </c>
      <c r="AE174" s="281" t="str">
        <f>IF(N174="","",VLOOKUP(N174,'G-7 WaterC'' Data'!$B$4:$G$8,5,FALSE))</f>
        <v/>
      </c>
      <c r="AF174" s="289" t="str">
        <f t="shared" si="25"/>
        <v/>
      </c>
      <c r="AG174" s="320" t="str">
        <f t="shared" si="26"/>
        <v/>
      </c>
      <c r="AH174" s="282" t="str">
        <f t="shared" si="20"/>
        <v/>
      </c>
      <c r="AI174" s="109"/>
      <c r="AJ174" s="282" t="str">
        <f>IF(AI174="","",IF(AND(AI174="N/A - Culvert",N174&lt;&gt;"Culvert"),"Not possible ▲",IF(VLOOKUP(AI174,'G-7 WaterC'' Data'!$AA$4:$AB$7,2,FALSE)=0,"Spatial Data Missing ⚠",VLOOKUP(AI174,'G-7 WaterC'' Data'!$AA$4:$AB$7,2,FALSE))))</f>
        <v/>
      </c>
      <c r="AK174" s="110"/>
      <c r="AL174" s="282" t="str">
        <f>IF(AK174="","",IF(AND(AK174="N/A - Culvert",N174&lt;&gt;"Culvert"),"Not possible ▲",IF(VLOOKUP(AK174,'G-7 WaterC'' Data'!$AD$4:$AE$14,2,FALSE)=0,"Spatial Data Missing ⚠",VLOOKUP(AK174,'G-7 WaterC'' Data'!$AD$4:$AE$14,2,FALSE))))</f>
        <v/>
      </c>
      <c r="AM174" s="323" t="str">
        <f t="shared" si="27"/>
        <v/>
      </c>
      <c r="AN174" s="105"/>
      <c r="AO174" s="119"/>
      <c r="AP174" s="108"/>
      <c r="AS174" s="30" t="str">
        <f>IF(B174="","",IF(ISNA(VLOOKUP($B174,'C-1 On-Site WaterC'' Baseline'!$C$8:$AD$257,17,FALSE)),"",(VLOOKUP($B174,'C-1 On-Site WaterC'' Baseline'!$C$8:$AD$257,17,FALSE))))</f>
        <v/>
      </c>
      <c r="AT174" s="30" t="str">
        <f>IF(B174="","",VLOOKUP($B174,'C-1 On-Site WaterC'' Baseline'!$C$9:$Z$257,12,FALSE))</f>
        <v/>
      </c>
      <c r="AU174" s="30" t="str">
        <f>IF(B174="","",VLOOKUP($B174,'C-1 On-Site WaterC'' Baseline'!$C$9:$Z$257,14,FALSE))</f>
        <v/>
      </c>
      <c r="AV174" s="30" t="str">
        <f>IFERROR(INDEX('G-7 WaterC'' Data'!$AZ$3:$AZ$7,MATCH(N174,'G-7 WaterC'' Data'!$AY$3:$AY$7,0)),"")</f>
        <v/>
      </c>
      <c r="AX174" s="30" t="str">
        <f>IF(B174="","",VLOOKUP($B174,'C-1 On-Site WaterC'' Baseline'!$C$9:$Y$257,22,FALSE))</f>
        <v/>
      </c>
      <c r="AY174" s="30" t="str">
        <f t="shared" si="28"/>
        <v/>
      </c>
      <c r="AZ174" s="30" t="str">
        <f>IF(B174="","",VLOOKUP($B174,'C-1 On-Site WaterC'' Baseline'!$C$9:$Y$257,21,FALSE))</f>
        <v/>
      </c>
      <c r="BA174" s="30" t="str">
        <f>IF(B174="","",VLOOKUP($B174,'C-1 On-Site WaterC'' Baseline'!$C$9:$Y$257,19,FALSE))</f>
        <v/>
      </c>
      <c r="BD174" s="30" t="str">
        <f t="shared" si="29"/>
        <v>No</v>
      </c>
    </row>
    <row r="175" spans="2:56" ht="13.8" x14ac:dyDescent="0.25">
      <c r="B175" s="311" t="str">
        <f>'C-1 On-Site WaterC'' Baseline'!AP173</f>
        <v/>
      </c>
      <c r="C175" s="301" t="str">
        <f>IF(B175="","",VLOOKUP($B175,'C-1 On-Site WaterC'' Baseline'!$C$9:$R$257,2,FALSE))</f>
        <v/>
      </c>
      <c r="D175" s="301" t="str">
        <f>IF(C175="","",VLOOKUP($B175,'C-1 On-Site WaterC'' Baseline'!$C$9:$R$257,3,FALSE))</f>
        <v/>
      </c>
      <c r="E175" s="301" t="str">
        <f>IF(D175="","",VLOOKUP($B175,'C-1 On-Site WaterC'' Baseline'!$C$9:$R$257,4,FALSE))</f>
        <v/>
      </c>
      <c r="F175" s="301" t="str">
        <f>IF(E175="","",VLOOKUP($B175,'C-1 On-Site WaterC'' Baseline'!$C$9:$R$257,5,FALSE))</f>
        <v/>
      </c>
      <c r="G175" s="301" t="str">
        <f>IF(F175="","",VLOOKUP($B175,'C-1 On-Site WaterC'' Baseline'!$C$9:$R$257,6,FALSE))</f>
        <v/>
      </c>
      <c r="H175" s="301" t="str">
        <f>IF(G175="","",VLOOKUP($B175,'C-1 On-Site WaterC'' Baseline'!$C$9:$R$257,7,FALSE))</f>
        <v/>
      </c>
      <c r="I175" s="301" t="str">
        <f>IF(H175="","",VLOOKUP($B175,'C-1 On-Site WaterC'' Baseline'!$C$9:$R$257,8,FALSE))</f>
        <v/>
      </c>
      <c r="J175" s="301" t="str">
        <f>IF(I175="","",VLOOKUP($B175,'C-1 On-Site WaterC'' Baseline'!$C$9:$R$257,9,FALSE))</f>
        <v/>
      </c>
      <c r="K175" s="301" t="str">
        <f>IF(J175="","",VLOOKUP($B175,'C-1 On-Site WaterC'' Baseline'!$C$9:$R$257,10,FALSE))</f>
        <v/>
      </c>
      <c r="L175" s="301" t="str">
        <f>IF(B175="","",VLOOKUP($B175,'C-1 On-Site WaterC'' Baseline'!$C$9:$R$257,15,FALSE))</f>
        <v/>
      </c>
      <c r="M175" s="305" t="str">
        <f>IF(L175="","",VLOOKUP($B175,'C-1 On-Site WaterC'' Baseline'!$C$9:$R$257,16,FALSE))</f>
        <v/>
      </c>
      <c r="N175" s="251"/>
      <c r="O175" s="281" t="str">
        <f t="shared" si="21"/>
        <v/>
      </c>
      <c r="P175" s="282" t="str">
        <f t="shared" si="22"/>
        <v/>
      </c>
      <c r="Q175" s="342" t="str">
        <f>IF(N175="","",VLOOKUP(B175,'C-1 On-Site WaterC'' Baseline'!$C$10:$AC$257,20,FALSE))</f>
        <v/>
      </c>
      <c r="R175" s="281" t="str">
        <f>IF(N175="","",VLOOKUP(N175,'G-7 WaterC'' Data'!$B$2:$G$8,2,FALSE))</f>
        <v/>
      </c>
      <c r="S175" s="282" t="str">
        <f>IFERROR(VLOOKUP(R175,'G-7 WaterC'' Data'!$C$4:$D$8,2,FALSE),"")</f>
        <v/>
      </c>
      <c r="T175" s="105"/>
      <c r="U175" s="282" t="str">
        <f>IFERROR(INDEX('G-7 WaterC'' Data'!$H$4:$L$8,MATCH(N175,'G-7 WaterC'' Data'!$B$4:$B$8,0),MATCH(T175,'G-7 WaterC'' Data'!$H$3:$L$3,0)),"")</f>
        <v/>
      </c>
      <c r="V175" s="105"/>
      <c r="W175" s="289" t="str">
        <f>IF(V175="","",IF(VLOOKUP(V175,'G-7 WaterC'' Data'!$AK$4:$AM$6,2,FALSE)=0,"Spatial Data Missing ⚠",VLOOKUP(V175,'G-7 WaterC'' Data'!$AK$4:$AM$6,2,FALSE)))</f>
        <v/>
      </c>
      <c r="X175" s="282" t="str">
        <f>IF(V175="","",IF(VLOOKUP(V175,'G-7 WaterC'' Data'!$AK$4:$AM$6,3,FALSE)=0,"Spatial Data Missing ⚠",VLOOKUP(V175,'G-7 WaterC'' Data'!$AK$4:$AM$6,3,FALSE)))</f>
        <v/>
      </c>
      <c r="Y175" s="281" t="str">
        <f>IFERROR(IF(OR(LEFT(P175,5)="Error",LEFT(O175,5)="Error"),"Check Data ⚠",IF(F175&lt;S175,'G-7 WaterC'' Data'!$R$3,INDEX('G-7 WaterC'' Data'!$U$5:$Y$9,MATCH(G175,'G-7 WaterC'' Data'!$T$5:$T$9,0),MATCH(T175,'G-7 WaterC'' Data'!$U$4:$Y$4,0)))),"")</f>
        <v/>
      </c>
      <c r="Z175" s="137"/>
      <c r="AA175" s="137"/>
      <c r="AB175" s="289" t="str">
        <f t="shared" si="23"/>
        <v/>
      </c>
      <c r="AC175" s="302" t="str">
        <f t="shared" si="24"/>
        <v/>
      </c>
      <c r="AD175" s="340" t="str">
        <f>IFERROR(IF(AC175="Check Data ⚠","Check Data ⚠",VLOOKUP(AC175,'G-4 Temporal multipliers'!$A$4:$C$37,3,FALSE)),"")</f>
        <v/>
      </c>
      <c r="AE175" s="281" t="str">
        <f>IF(N175="","",VLOOKUP(N175,'G-7 WaterC'' Data'!$B$4:$G$8,5,FALSE))</f>
        <v/>
      </c>
      <c r="AF175" s="289" t="str">
        <f t="shared" si="25"/>
        <v/>
      </c>
      <c r="AG175" s="320" t="str">
        <f t="shared" si="26"/>
        <v/>
      </c>
      <c r="AH175" s="282" t="str">
        <f t="shared" si="20"/>
        <v/>
      </c>
      <c r="AI175" s="109"/>
      <c r="AJ175" s="282" t="str">
        <f>IF(AI175="","",IF(AND(AI175="N/A - Culvert",N175&lt;&gt;"Culvert"),"Not possible ▲",IF(VLOOKUP(AI175,'G-7 WaterC'' Data'!$AA$4:$AB$7,2,FALSE)=0,"Spatial Data Missing ⚠",VLOOKUP(AI175,'G-7 WaterC'' Data'!$AA$4:$AB$7,2,FALSE))))</f>
        <v/>
      </c>
      <c r="AK175" s="110"/>
      <c r="AL175" s="282" t="str">
        <f>IF(AK175="","",IF(AND(AK175="N/A - Culvert",N175&lt;&gt;"Culvert"),"Not possible ▲",IF(VLOOKUP(AK175,'G-7 WaterC'' Data'!$AD$4:$AE$14,2,FALSE)=0,"Spatial Data Missing ⚠",VLOOKUP(AK175,'G-7 WaterC'' Data'!$AD$4:$AE$14,2,FALSE))))</f>
        <v/>
      </c>
      <c r="AM175" s="323" t="str">
        <f t="shared" si="27"/>
        <v/>
      </c>
      <c r="AN175" s="105"/>
      <c r="AO175" s="119"/>
      <c r="AP175" s="108"/>
      <c r="AS175" s="30" t="str">
        <f>IF(B175="","",IF(ISNA(VLOOKUP($B175,'C-1 On-Site WaterC'' Baseline'!$C$8:$AD$257,17,FALSE)),"",(VLOOKUP($B175,'C-1 On-Site WaterC'' Baseline'!$C$8:$AD$257,17,FALSE))))</f>
        <v/>
      </c>
      <c r="AT175" s="30" t="str">
        <f>IF(B175="","",VLOOKUP($B175,'C-1 On-Site WaterC'' Baseline'!$C$9:$Z$257,12,FALSE))</f>
        <v/>
      </c>
      <c r="AU175" s="30" t="str">
        <f>IF(B175="","",VLOOKUP($B175,'C-1 On-Site WaterC'' Baseline'!$C$9:$Z$257,14,FALSE))</f>
        <v/>
      </c>
      <c r="AV175" s="30" t="str">
        <f>IFERROR(INDEX('G-7 WaterC'' Data'!$AZ$3:$AZ$7,MATCH(N175,'G-7 WaterC'' Data'!$AY$3:$AY$7,0)),"")</f>
        <v/>
      </c>
      <c r="AX175" s="30" t="str">
        <f>IF(B175="","",VLOOKUP($B175,'C-1 On-Site WaterC'' Baseline'!$C$9:$Y$257,22,FALSE))</f>
        <v/>
      </c>
      <c r="AY175" s="30" t="str">
        <f t="shared" si="28"/>
        <v/>
      </c>
      <c r="AZ175" s="30" t="str">
        <f>IF(B175="","",VLOOKUP($B175,'C-1 On-Site WaterC'' Baseline'!$C$9:$Y$257,21,FALSE))</f>
        <v/>
      </c>
      <c r="BA175" s="30" t="str">
        <f>IF(B175="","",VLOOKUP($B175,'C-1 On-Site WaterC'' Baseline'!$C$9:$Y$257,19,FALSE))</f>
        <v/>
      </c>
      <c r="BD175" s="30" t="str">
        <f t="shared" si="29"/>
        <v>No</v>
      </c>
    </row>
    <row r="176" spans="2:56" ht="13.8" x14ac:dyDescent="0.25">
      <c r="B176" s="311" t="str">
        <f>'C-1 On-Site WaterC'' Baseline'!AP174</f>
        <v/>
      </c>
      <c r="C176" s="301" t="str">
        <f>IF(B176="","",VLOOKUP($B176,'C-1 On-Site WaterC'' Baseline'!$C$9:$R$257,2,FALSE))</f>
        <v/>
      </c>
      <c r="D176" s="301" t="str">
        <f>IF(C176="","",VLOOKUP($B176,'C-1 On-Site WaterC'' Baseline'!$C$9:$R$257,3,FALSE))</f>
        <v/>
      </c>
      <c r="E176" s="301" t="str">
        <f>IF(D176="","",VLOOKUP($B176,'C-1 On-Site WaterC'' Baseline'!$C$9:$R$257,4,FALSE))</f>
        <v/>
      </c>
      <c r="F176" s="301" t="str">
        <f>IF(E176="","",VLOOKUP($B176,'C-1 On-Site WaterC'' Baseline'!$C$9:$R$257,5,FALSE))</f>
        <v/>
      </c>
      <c r="G176" s="301" t="str">
        <f>IF(F176="","",VLOOKUP($B176,'C-1 On-Site WaterC'' Baseline'!$C$9:$R$257,6,FALSE))</f>
        <v/>
      </c>
      <c r="H176" s="301" t="str">
        <f>IF(G176="","",VLOOKUP($B176,'C-1 On-Site WaterC'' Baseline'!$C$9:$R$257,7,FALSE))</f>
        <v/>
      </c>
      <c r="I176" s="301" t="str">
        <f>IF(H176="","",VLOOKUP($B176,'C-1 On-Site WaterC'' Baseline'!$C$9:$R$257,8,FALSE))</f>
        <v/>
      </c>
      <c r="J176" s="301" t="str">
        <f>IF(I176="","",VLOOKUP($B176,'C-1 On-Site WaterC'' Baseline'!$C$9:$R$257,9,FALSE))</f>
        <v/>
      </c>
      <c r="K176" s="301" t="str">
        <f>IF(J176="","",VLOOKUP($B176,'C-1 On-Site WaterC'' Baseline'!$C$9:$R$257,10,FALSE))</f>
        <v/>
      </c>
      <c r="L176" s="301" t="str">
        <f>IF(B176="","",VLOOKUP($B176,'C-1 On-Site WaterC'' Baseline'!$C$9:$R$257,15,FALSE))</f>
        <v/>
      </c>
      <c r="M176" s="305" t="str">
        <f>IF(L176="","",VLOOKUP($B176,'C-1 On-Site WaterC'' Baseline'!$C$9:$R$257,16,FALSE))</f>
        <v/>
      </c>
      <c r="N176" s="251"/>
      <c r="O176" s="281" t="str">
        <f t="shared" si="21"/>
        <v/>
      </c>
      <c r="P176" s="282" t="str">
        <f t="shared" si="22"/>
        <v/>
      </c>
      <c r="Q176" s="342" t="str">
        <f>IF(N176="","",VLOOKUP(B176,'C-1 On-Site WaterC'' Baseline'!$C$10:$AC$257,20,FALSE))</f>
        <v/>
      </c>
      <c r="R176" s="281" t="str">
        <f>IF(N176="","",VLOOKUP(N176,'G-7 WaterC'' Data'!$B$2:$G$8,2,FALSE))</f>
        <v/>
      </c>
      <c r="S176" s="282" t="str">
        <f>IFERROR(VLOOKUP(R176,'G-7 WaterC'' Data'!$C$4:$D$8,2,FALSE),"")</f>
        <v/>
      </c>
      <c r="T176" s="105"/>
      <c r="U176" s="282" t="str">
        <f>IFERROR(INDEX('G-7 WaterC'' Data'!$H$4:$L$8,MATCH(N176,'G-7 WaterC'' Data'!$B$4:$B$8,0),MATCH(T176,'G-7 WaterC'' Data'!$H$3:$L$3,0)),"")</f>
        <v/>
      </c>
      <c r="V176" s="105"/>
      <c r="W176" s="289" t="str">
        <f>IF(V176="","",IF(VLOOKUP(V176,'G-7 WaterC'' Data'!$AK$4:$AM$6,2,FALSE)=0,"Spatial Data Missing ⚠",VLOOKUP(V176,'G-7 WaterC'' Data'!$AK$4:$AM$6,2,FALSE)))</f>
        <v/>
      </c>
      <c r="X176" s="282" t="str">
        <f>IF(V176="","",IF(VLOOKUP(V176,'G-7 WaterC'' Data'!$AK$4:$AM$6,3,FALSE)=0,"Spatial Data Missing ⚠",VLOOKUP(V176,'G-7 WaterC'' Data'!$AK$4:$AM$6,3,FALSE)))</f>
        <v/>
      </c>
      <c r="Y176" s="281" t="str">
        <f>IFERROR(IF(OR(LEFT(P176,5)="Error",LEFT(O176,5)="Error"),"Check Data ⚠",IF(F176&lt;S176,'G-7 WaterC'' Data'!$R$3,INDEX('G-7 WaterC'' Data'!$U$5:$Y$9,MATCH(G176,'G-7 WaterC'' Data'!$T$5:$T$9,0),MATCH(T176,'G-7 WaterC'' Data'!$U$4:$Y$4,0)))),"")</f>
        <v/>
      </c>
      <c r="Z176" s="137"/>
      <c r="AA176" s="137"/>
      <c r="AB176" s="289" t="str">
        <f t="shared" si="23"/>
        <v/>
      </c>
      <c r="AC176" s="302" t="str">
        <f t="shared" si="24"/>
        <v/>
      </c>
      <c r="AD176" s="340" t="str">
        <f>IFERROR(IF(AC176="Check Data ⚠","Check Data ⚠",VLOOKUP(AC176,'G-4 Temporal multipliers'!$A$4:$C$37,3,FALSE)),"")</f>
        <v/>
      </c>
      <c r="AE176" s="281" t="str">
        <f>IF(N176="","",VLOOKUP(N176,'G-7 WaterC'' Data'!$B$4:$G$8,5,FALSE))</f>
        <v/>
      </c>
      <c r="AF176" s="289" t="str">
        <f t="shared" si="25"/>
        <v/>
      </c>
      <c r="AG176" s="320" t="str">
        <f t="shared" si="26"/>
        <v/>
      </c>
      <c r="AH176" s="282" t="str">
        <f t="shared" si="20"/>
        <v/>
      </c>
      <c r="AI176" s="109"/>
      <c r="AJ176" s="282" t="str">
        <f>IF(AI176="","",IF(AND(AI176="N/A - Culvert",N176&lt;&gt;"Culvert"),"Not possible ▲",IF(VLOOKUP(AI176,'G-7 WaterC'' Data'!$AA$4:$AB$7,2,FALSE)=0,"Spatial Data Missing ⚠",VLOOKUP(AI176,'G-7 WaterC'' Data'!$AA$4:$AB$7,2,FALSE))))</f>
        <v/>
      </c>
      <c r="AK176" s="110"/>
      <c r="AL176" s="282" t="str">
        <f>IF(AK176="","",IF(AND(AK176="N/A - Culvert",N176&lt;&gt;"Culvert"),"Not possible ▲",IF(VLOOKUP(AK176,'G-7 WaterC'' Data'!$AD$4:$AE$14,2,FALSE)=0,"Spatial Data Missing ⚠",VLOOKUP(AK176,'G-7 WaterC'' Data'!$AD$4:$AE$14,2,FALSE))))</f>
        <v/>
      </c>
      <c r="AM176" s="323" t="str">
        <f t="shared" si="27"/>
        <v/>
      </c>
      <c r="AN176" s="105"/>
      <c r="AO176" s="119"/>
      <c r="AP176" s="108"/>
      <c r="AS176" s="30" t="str">
        <f>IF(B176="","",IF(ISNA(VLOOKUP($B176,'C-1 On-Site WaterC'' Baseline'!$C$8:$AD$257,17,FALSE)),"",(VLOOKUP($B176,'C-1 On-Site WaterC'' Baseline'!$C$8:$AD$257,17,FALSE))))</f>
        <v/>
      </c>
      <c r="AT176" s="30" t="str">
        <f>IF(B176="","",VLOOKUP($B176,'C-1 On-Site WaterC'' Baseline'!$C$9:$Z$257,12,FALSE))</f>
        <v/>
      </c>
      <c r="AU176" s="30" t="str">
        <f>IF(B176="","",VLOOKUP($B176,'C-1 On-Site WaterC'' Baseline'!$C$9:$Z$257,14,FALSE))</f>
        <v/>
      </c>
      <c r="AV176" s="30" t="str">
        <f>IFERROR(INDEX('G-7 WaterC'' Data'!$AZ$3:$AZ$7,MATCH(N176,'G-7 WaterC'' Data'!$AY$3:$AY$7,0)),"")</f>
        <v/>
      </c>
      <c r="AX176" s="30" t="str">
        <f>IF(B176="","",VLOOKUP($B176,'C-1 On-Site WaterC'' Baseline'!$C$9:$Y$257,22,FALSE))</f>
        <v/>
      </c>
      <c r="AY176" s="30" t="str">
        <f t="shared" si="28"/>
        <v/>
      </c>
      <c r="AZ176" s="30" t="str">
        <f>IF(B176="","",VLOOKUP($B176,'C-1 On-Site WaterC'' Baseline'!$C$9:$Y$257,21,FALSE))</f>
        <v/>
      </c>
      <c r="BA176" s="30" t="str">
        <f>IF(B176="","",VLOOKUP($B176,'C-1 On-Site WaterC'' Baseline'!$C$9:$Y$257,19,FALSE))</f>
        <v/>
      </c>
      <c r="BD176" s="30" t="str">
        <f t="shared" si="29"/>
        <v>No</v>
      </c>
    </row>
    <row r="177" spans="2:56" ht="13.8" x14ac:dyDescent="0.25">
      <c r="B177" s="311" t="str">
        <f>'C-1 On-Site WaterC'' Baseline'!AP175</f>
        <v/>
      </c>
      <c r="C177" s="301" t="str">
        <f>IF(B177="","",VLOOKUP($B177,'C-1 On-Site WaterC'' Baseline'!$C$9:$R$257,2,FALSE))</f>
        <v/>
      </c>
      <c r="D177" s="301" t="str">
        <f>IF(C177="","",VLOOKUP($B177,'C-1 On-Site WaterC'' Baseline'!$C$9:$R$257,3,FALSE))</f>
        <v/>
      </c>
      <c r="E177" s="301" t="str">
        <f>IF(D177="","",VLOOKUP($B177,'C-1 On-Site WaterC'' Baseline'!$C$9:$R$257,4,FALSE))</f>
        <v/>
      </c>
      <c r="F177" s="301" t="str">
        <f>IF(E177="","",VLOOKUP($B177,'C-1 On-Site WaterC'' Baseline'!$C$9:$R$257,5,FALSE))</f>
        <v/>
      </c>
      <c r="G177" s="301" t="str">
        <f>IF(F177="","",VLOOKUP($B177,'C-1 On-Site WaterC'' Baseline'!$C$9:$R$257,6,FALSE))</f>
        <v/>
      </c>
      <c r="H177" s="301" t="str">
        <f>IF(G177="","",VLOOKUP($B177,'C-1 On-Site WaterC'' Baseline'!$C$9:$R$257,7,FALSE))</f>
        <v/>
      </c>
      <c r="I177" s="301" t="str">
        <f>IF(H177="","",VLOOKUP($B177,'C-1 On-Site WaterC'' Baseline'!$C$9:$R$257,8,FALSE))</f>
        <v/>
      </c>
      <c r="J177" s="301" t="str">
        <f>IF(I177="","",VLOOKUP($B177,'C-1 On-Site WaterC'' Baseline'!$C$9:$R$257,9,FALSE))</f>
        <v/>
      </c>
      <c r="K177" s="301" t="str">
        <f>IF(J177="","",VLOOKUP($B177,'C-1 On-Site WaterC'' Baseline'!$C$9:$R$257,10,FALSE))</f>
        <v/>
      </c>
      <c r="L177" s="301" t="str">
        <f>IF(B177="","",VLOOKUP($B177,'C-1 On-Site WaterC'' Baseline'!$C$9:$R$257,15,FALSE))</f>
        <v/>
      </c>
      <c r="M177" s="305" t="str">
        <f>IF(L177="","",VLOOKUP($B177,'C-1 On-Site WaterC'' Baseline'!$C$9:$R$257,16,FALSE))</f>
        <v/>
      </c>
      <c r="N177" s="251"/>
      <c r="O177" s="281" t="str">
        <f t="shared" si="21"/>
        <v/>
      </c>
      <c r="P177" s="282" t="str">
        <f t="shared" si="22"/>
        <v/>
      </c>
      <c r="Q177" s="342" t="str">
        <f>IF(N177="","",VLOOKUP(B177,'C-1 On-Site WaterC'' Baseline'!$C$10:$AC$257,20,FALSE))</f>
        <v/>
      </c>
      <c r="R177" s="281" t="str">
        <f>IF(N177="","",VLOOKUP(N177,'G-7 WaterC'' Data'!$B$2:$G$8,2,FALSE))</f>
        <v/>
      </c>
      <c r="S177" s="282" t="str">
        <f>IFERROR(VLOOKUP(R177,'G-7 WaterC'' Data'!$C$4:$D$8,2,FALSE),"")</f>
        <v/>
      </c>
      <c r="T177" s="105"/>
      <c r="U177" s="282" t="str">
        <f>IFERROR(INDEX('G-7 WaterC'' Data'!$H$4:$L$8,MATCH(N177,'G-7 WaterC'' Data'!$B$4:$B$8,0),MATCH(T177,'G-7 WaterC'' Data'!$H$3:$L$3,0)),"")</f>
        <v/>
      </c>
      <c r="V177" s="105"/>
      <c r="W177" s="289" t="str">
        <f>IF(V177="","",IF(VLOOKUP(V177,'G-7 WaterC'' Data'!$AK$4:$AM$6,2,FALSE)=0,"Spatial Data Missing ⚠",VLOOKUP(V177,'G-7 WaterC'' Data'!$AK$4:$AM$6,2,FALSE)))</f>
        <v/>
      </c>
      <c r="X177" s="282" t="str">
        <f>IF(V177="","",IF(VLOOKUP(V177,'G-7 WaterC'' Data'!$AK$4:$AM$6,3,FALSE)=0,"Spatial Data Missing ⚠",VLOOKUP(V177,'G-7 WaterC'' Data'!$AK$4:$AM$6,3,FALSE)))</f>
        <v/>
      </c>
      <c r="Y177" s="281" t="str">
        <f>IFERROR(IF(OR(LEFT(P177,5)="Error",LEFT(O177,5)="Error"),"Check Data ⚠",IF(F177&lt;S177,'G-7 WaterC'' Data'!$R$3,INDEX('G-7 WaterC'' Data'!$U$5:$Y$9,MATCH(G177,'G-7 WaterC'' Data'!$T$5:$T$9,0),MATCH(T177,'G-7 WaterC'' Data'!$U$4:$Y$4,0)))),"")</f>
        <v/>
      </c>
      <c r="Z177" s="137"/>
      <c r="AA177" s="137"/>
      <c r="AB177" s="289" t="str">
        <f t="shared" si="23"/>
        <v/>
      </c>
      <c r="AC177" s="302" t="str">
        <f t="shared" si="24"/>
        <v/>
      </c>
      <c r="AD177" s="340" t="str">
        <f>IFERROR(IF(AC177="Check Data ⚠","Check Data ⚠",VLOOKUP(AC177,'G-4 Temporal multipliers'!$A$4:$C$37,3,FALSE)),"")</f>
        <v/>
      </c>
      <c r="AE177" s="281" t="str">
        <f>IF(N177="","",VLOOKUP(N177,'G-7 WaterC'' Data'!$B$4:$G$8,5,FALSE))</f>
        <v/>
      </c>
      <c r="AF177" s="289" t="str">
        <f t="shared" si="25"/>
        <v/>
      </c>
      <c r="AG177" s="320" t="str">
        <f t="shared" si="26"/>
        <v/>
      </c>
      <c r="AH177" s="282" t="str">
        <f t="shared" si="20"/>
        <v/>
      </c>
      <c r="AI177" s="109"/>
      <c r="AJ177" s="282" t="str">
        <f>IF(AI177="","",IF(AND(AI177="N/A - Culvert",N177&lt;&gt;"Culvert"),"Not possible ▲",IF(VLOOKUP(AI177,'G-7 WaterC'' Data'!$AA$4:$AB$7,2,FALSE)=0,"Spatial Data Missing ⚠",VLOOKUP(AI177,'G-7 WaterC'' Data'!$AA$4:$AB$7,2,FALSE))))</f>
        <v/>
      </c>
      <c r="AK177" s="110"/>
      <c r="AL177" s="282" t="str">
        <f>IF(AK177="","",IF(AND(AK177="N/A - Culvert",N177&lt;&gt;"Culvert"),"Not possible ▲",IF(VLOOKUP(AK177,'G-7 WaterC'' Data'!$AD$4:$AE$14,2,FALSE)=0,"Spatial Data Missing ⚠",VLOOKUP(AK177,'G-7 WaterC'' Data'!$AD$4:$AE$14,2,FALSE))))</f>
        <v/>
      </c>
      <c r="AM177" s="323" t="str">
        <f t="shared" si="27"/>
        <v/>
      </c>
      <c r="AN177" s="105"/>
      <c r="AO177" s="119"/>
      <c r="AP177" s="108"/>
      <c r="AS177" s="30" t="str">
        <f>IF(B177="","",IF(ISNA(VLOOKUP($B177,'C-1 On-Site WaterC'' Baseline'!$C$8:$AD$257,17,FALSE)),"",(VLOOKUP($B177,'C-1 On-Site WaterC'' Baseline'!$C$8:$AD$257,17,FALSE))))</f>
        <v/>
      </c>
      <c r="AT177" s="30" t="str">
        <f>IF(B177="","",VLOOKUP($B177,'C-1 On-Site WaterC'' Baseline'!$C$9:$Z$257,12,FALSE))</f>
        <v/>
      </c>
      <c r="AU177" s="30" t="str">
        <f>IF(B177="","",VLOOKUP($B177,'C-1 On-Site WaterC'' Baseline'!$C$9:$Z$257,14,FALSE))</f>
        <v/>
      </c>
      <c r="AV177" s="30" t="str">
        <f>IFERROR(INDEX('G-7 WaterC'' Data'!$AZ$3:$AZ$7,MATCH(N177,'G-7 WaterC'' Data'!$AY$3:$AY$7,0)),"")</f>
        <v/>
      </c>
      <c r="AX177" s="30" t="str">
        <f>IF(B177="","",VLOOKUP($B177,'C-1 On-Site WaterC'' Baseline'!$C$9:$Y$257,22,FALSE))</f>
        <v/>
      </c>
      <c r="AY177" s="30" t="str">
        <f t="shared" si="28"/>
        <v/>
      </c>
      <c r="AZ177" s="30" t="str">
        <f>IF(B177="","",VLOOKUP($B177,'C-1 On-Site WaterC'' Baseline'!$C$9:$Y$257,21,FALSE))</f>
        <v/>
      </c>
      <c r="BA177" s="30" t="str">
        <f>IF(B177="","",VLOOKUP($B177,'C-1 On-Site WaterC'' Baseline'!$C$9:$Y$257,19,FALSE))</f>
        <v/>
      </c>
      <c r="BD177" s="30" t="str">
        <f t="shared" si="29"/>
        <v>No</v>
      </c>
    </row>
    <row r="178" spans="2:56" ht="13.8" x14ac:dyDescent="0.25">
      <c r="B178" s="311" t="str">
        <f>'C-1 On-Site WaterC'' Baseline'!AP176</f>
        <v/>
      </c>
      <c r="C178" s="301" t="str">
        <f>IF(B178="","",VLOOKUP($B178,'C-1 On-Site WaterC'' Baseline'!$C$9:$R$257,2,FALSE))</f>
        <v/>
      </c>
      <c r="D178" s="301" t="str">
        <f>IF(C178="","",VLOOKUP($B178,'C-1 On-Site WaterC'' Baseline'!$C$9:$R$257,3,FALSE))</f>
        <v/>
      </c>
      <c r="E178" s="301" t="str">
        <f>IF(D178="","",VLOOKUP($B178,'C-1 On-Site WaterC'' Baseline'!$C$9:$R$257,4,FALSE))</f>
        <v/>
      </c>
      <c r="F178" s="301" t="str">
        <f>IF(E178="","",VLOOKUP($B178,'C-1 On-Site WaterC'' Baseline'!$C$9:$R$257,5,FALSE))</f>
        <v/>
      </c>
      <c r="G178" s="301" t="str">
        <f>IF(F178="","",VLOOKUP($B178,'C-1 On-Site WaterC'' Baseline'!$C$9:$R$257,6,FALSE))</f>
        <v/>
      </c>
      <c r="H178" s="301" t="str">
        <f>IF(G178="","",VLOOKUP($B178,'C-1 On-Site WaterC'' Baseline'!$C$9:$R$257,7,FALSE))</f>
        <v/>
      </c>
      <c r="I178" s="301" t="str">
        <f>IF(H178="","",VLOOKUP($B178,'C-1 On-Site WaterC'' Baseline'!$C$9:$R$257,8,FALSE))</f>
        <v/>
      </c>
      <c r="J178" s="301" t="str">
        <f>IF(I178="","",VLOOKUP($B178,'C-1 On-Site WaterC'' Baseline'!$C$9:$R$257,9,FALSE))</f>
        <v/>
      </c>
      <c r="K178" s="301" t="str">
        <f>IF(J178="","",VLOOKUP($B178,'C-1 On-Site WaterC'' Baseline'!$C$9:$R$257,10,FALSE))</f>
        <v/>
      </c>
      <c r="L178" s="301" t="str">
        <f>IF(B178="","",VLOOKUP($B178,'C-1 On-Site WaterC'' Baseline'!$C$9:$R$257,15,FALSE))</f>
        <v/>
      </c>
      <c r="M178" s="305" t="str">
        <f>IF(L178="","",VLOOKUP($B178,'C-1 On-Site WaterC'' Baseline'!$C$9:$R$257,16,FALSE))</f>
        <v/>
      </c>
      <c r="N178" s="251"/>
      <c r="O178" s="281" t="str">
        <f t="shared" si="21"/>
        <v/>
      </c>
      <c r="P178" s="282" t="str">
        <f t="shared" si="22"/>
        <v/>
      </c>
      <c r="Q178" s="342" t="str">
        <f>IF(N178="","",VLOOKUP(B178,'C-1 On-Site WaterC'' Baseline'!$C$10:$AC$257,20,FALSE))</f>
        <v/>
      </c>
      <c r="R178" s="281" t="str">
        <f>IF(N178="","",VLOOKUP(N178,'G-7 WaterC'' Data'!$B$2:$G$8,2,FALSE))</f>
        <v/>
      </c>
      <c r="S178" s="282" t="str">
        <f>IFERROR(VLOOKUP(R178,'G-7 WaterC'' Data'!$C$4:$D$8,2,FALSE),"")</f>
        <v/>
      </c>
      <c r="T178" s="105"/>
      <c r="U178" s="282" t="str">
        <f>IFERROR(INDEX('G-7 WaterC'' Data'!$H$4:$L$8,MATCH(N178,'G-7 WaterC'' Data'!$B$4:$B$8,0),MATCH(T178,'G-7 WaterC'' Data'!$H$3:$L$3,0)),"")</f>
        <v/>
      </c>
      <c r="V178" s="105"/>
      <c r="W178" s="289" t="str">
        <f>IF(V178="","",IF(VLOOKUP(V178,'G-7 WaterC'' Data'!$AK$4:$AM$6,2,FALSE)=0,"Spatial Data Missing ⚠",VLOOKUP(V178,'G-7 WaterC'' Data'!$AK$4:$AM$6,2,FALSE)))</f>
        <v/>
      </c>
      <c r="X178" s="282" t="str">
        <f>IF(V178="","",IF(VLOOKUP(V178,'G-7 WaterC'' Data'!$AK$4:$AM$6,3,FALSE)=0,"Spatial Data Missing ⚠",VLOOKUP(V178,'G-7 WaterC'' Data'!$AK$4:$AM$6,3,FALSE)))</f>
        <v/>
      </c>
      <c r="Y178" s="281" t="str">
        <f>IFERROR(IF(OR(LEFT(P178,5)="Error",LEFT(O178,5)="Error"),"Check Data ⚠",IF(F178&lt;S178,'G-7 WaterC'' Data'!$R$3,INDEX('G-7 WaterC'' Data'!$U$5:$Y$9,MATCH(G178,'G-7 WaterC'' Data'!$T$5:$T$9,0),MATCH(T178,'G-7 WaterC'' Data'!$U$4:$Y$4,0)))),"")</f>
        <v/>
      </c>
      <c r="Z178" s="137"/>
      <c r="AA178" s="137"/>
      <c r="AB178" s="289" t="str">
        <f t="shared" si="23"/>
        <v/>
      </c>
      <c r="AC178" s="302" t="str">
        <f t="shared" si="24"/>
        <v/>
      </c>
      <c r="AD178" s="340" t="str">
        <f>IFERROR(IF(AC178="Check Data ⚠","Check Data ⚠",VLOOKUP(AC178,'G-4 Temporal multipliers'!$A$4:$C$37,3,FALSE)),"")</f>
        <v/>
      </c>
      <c r="AE178" s="281" t="str">
        <f>IF(N178="","",VLOOKUP(N178,'G-7 WaterC'' Data'!$B$4:$G$8,5,FALSE))</f>
        <v/>
      </c>
      <c r="AF178" s="289" t="str">
        <f t="shared" si="25"/>
        <v/>
      </c>
      <c r="AG178" s="320" t="str">
        <f t="shared" si="26"/>
        <v/>
      </c>
      <c r="AH178" s="282" t="str">
        <f t="shared" si="20"/>
        <v/>
      </c>
      <c r="AI178" s="109"/>
      <c r="AJ178" s="282" t="str">
        <f>IF(AI178="","",IF(AND(AI178="N/A - Culvert",N178&lt;&gt;"Culvert"),"Not possible ▲",IF(VLOOKUP(AI178,'G-7 WaterC'' Data'!$AA$4:$AB$7,2,FALSE)=0,"Spatial Data Missing ⚠",VLOOKUP(AI178,'G-7 WaterC'' Data'!$AA$4:$AB$7,2,FALSE))))</f>
        <v/>
      </c>
      <c r="AK178" s="110"/>
      <c r="AL178" s="282" t="str">
        <f>IF(AK178="","",IF(AND(AK178="N/A - Culvert",N178&lt;&gt;"Culvert"),"Not possible ▲",IF(VLOOKUP(AK178,'G-7 WaterC'' Data'!$AD$4:$AE$14,2,FALSE)=0,"Spatial Data Missing ⚠",VLOOKUP(AK178,'G-7 WaterC'' Data'!$AD$4:$AE$14,2,FALSE))))</f>
        <v/>
      </c>
      <c r="AM178" s="323" t="str">
        <f t="shared" si="27"/>
        <v/>
      </c>
      <c r="AN178" s="105"/>
      <c r="AO178" s="119"/>
      <c r="AP178" s="108"/>
      <c r="AS178" s="30" t="str">
        <f>IF(B178="","",IF(ISNA(VLOOKUP($B178,'C-1 On-Site WaterC'' Baseline'!$C$8:$AD$257,17,FALSE)),"",(VLOOKUP($B178,'C-1 On-Site WaterC'' Baseline'!$C$8:$AD$257,17,FALSE))))</f>
        <v/>
      </c>
      <c r="AT178" s="30" t="str">
        <f>IF(B178="","",VLOOKUP($B178,'C-1 On-Site WaterC'' Baseline'!$C$9:$Z$257,12,FALSE))</f>
        <v/>
      </c>
      <c r="AU178" s="30" t="str">
        <f>IF(B178="","",VLOOKUP($B178,'C-1 On-Site WaterC'' Baseline'!$C$9:$Z$257,14,FALSE))</f>
        <v/>
      </c>
      <c r="AV178" s="30" t="str">
        <f>IFERROR(INDEX('G-7 WaterC'' Data'!$AZ$3:$AZ$7,MATCH(N178,'G-7 WaterC'' Data'!$AY$3:$AY$7,0)),"")</f>
        <v/>
      </c>
      <c r="AX178" s="30" t="str">
        <f>IF(B178="","",VLOOKUP($B178,'C-1 On-Site WaterC'' Baseline'!$C$9:$Y$257,22,FALSE))</f>
        <v/>
      </c>
      <c r="AY178" s="30" t="str">
        <f t="shared" si="28"/>
        <v/>
      </c>
      <c r="AZ178" s="30" t="str">
        <f>IF(B178="","",VLOOKUP($B178,'C-1 On-Site WaterC'' Baseline'!$C$9:$Y$257,21,FALSE))</f>
        <v/>
      </c>
      <c r="BA178" s="30" t="str">
        <f>IF(B178="","",VLOOKUP($B178,'C-1 On-Site WaterC'' Baseline'!$C$9:$Y$257,19,FALSE))</f>
        <v/>
      </c>
      <c r="BD178" s="30" t="str">
        <f t="shared" si="29"/>
        <v>No</v>
      </c>
    </row>
    <row r="179" spans="2:56" ht="13.8" x14ac:dyDescent="0.25">
      <c r="B179" s="311" t="str">
        <f>'C-1 On-Site WaterC'' Baseline'!AP177</f>
        <v/>
      </c>
      <c r="C179" s="301" t="str">
        <f>IF(B179="","",VLOOKUP($B179,'C-1 On-Site WaterC'' Baseline'!$C$9:$R$257,2,FALSE))</f>
        <v/>
      </c>
      <c r="D179" s="301" t="str">
        <f>IF(C179="","",VLOOKUP($B179,'C-1 On-Site WaterC'' Baseline'!$C$9:$R$257,3,FALSE))</f>
        <v/>
      </c>
      <c r="E179" s="301" t="str">
        <f>IF(D179="","",VLOOKUP($B179,'C-1 On-Site WaterC'' Baseline'!$C$9:$R$257,4,FALSE))</f>
        <v/>
      </c>
      <c r="F179" s="301" t="str">
        <f>IF(E179="","",VLOOKUP($B179,'C-1 On-Site WaterC'' Baseline'!$C$9:$R$257,5,FALSE))</f>
        <v/>
      </c>
      <c r="G179" s="301" t="str">
        <f>IF(F179="","",VLOOKUP($B179,'C-1 On-Site WaterC'' Baseline'!$C$9:$R$257,6,FALSE))</f>
        <v/>
      </c>
      <c r="H179" s="301" t="str">
        <f>IF(G179="","",VLOOKUP($B179,'C-1 On-Site WaterC'' Baseline'!$C$9:$R$257,7,FALSE))</f>
        <v/>
      </c>
      <c r="I179" s="301" t="str">
        <f>IF(H179="","",VLOOKUP($B179,'C-1 On-Site WaterC'' Baseline'!$C$9:$R$257,8,FALSE))</f>
        <v/>
      </c>
      <c r="J179" s="301" t="str">
        <f>IF(I179="","",VLOOKUP($B179,'C-1 On-Site WaterC'' Baseline'!$C$9:$R$257,9,FALSE))</f>
        <v/>
      </c>
      <c r="K179" s="301" t="str">
        <f>IF(J179="","",VLOOKUP($B179,'C-1 On-Site WaterC'' Baseline'!$C$9:$R$257,10,FALSE))</f>
        <v/>
      </c>
      <c r="L179" s="301" t="str">
        <f>IF(B179="","",VLOOKUP($B179,'C-1 On-Site WaterC'' Baseline'!$C$9:$R$257,15,FALSE))</f>
        <v/>
      </c>
      <c r="M179" s="305" t="str">
        <f>IF(L179="","",VLOOKUP($B179,'C-1 On-Site WaterC'' Baseline'!$C$9:$R$257,16,FALSE))</f>
        <v/>
      </c>
      <c r="N179" s="251"/>
      <c r="O179" s="281" t="str">
        <f t="shared" si="21"/>
        <v/>
      </c>
      <c r="P179" s="282" t="str">
        <f t="shared" si="22"/>
        <v/>
      </c>
      <c r="Q179" s="342" t="str">
        <f>IF(N179="","",VLOOKUP(B179,'C-1 On-Site WaterC'' Baseline'!$C$10:$AC$257,20,FALSE))</f>
        <v/>
      </c>
      <c r="R179" s="281" t="str">
        <f>IF(N179="","",VLOOKUP(N179,'G-7 WaterC'' Data'!$B$2:$G$8,2,FALSE))</f>
        <v/>
      </c>
      <c r="S179" s="282" t="str">
        <f>IFERROR(VLOOKUP(R179,'G-7 WaterC'' Data'!$C$4:$D$8,2,FALSE),"")</f>
        <v/>
      </c>
      <c r="T179" s="105"/>
      <c r="U179" s="282" t="str">
        <f>IFERROR(INDEX('G-7 WaterC'' Data'!$H$4:$L$8,MATCH(N179,'G-7 WaterC'' Data'!$B$4:$B$8,0),MATCH(T179,'G-7 WaterC'' Data'!$H$3:$L$3,0)),"")</f>
        <v/>
      </c>
      <c r="V179" s="105"/>
      <c r="W179" s="289" t="str">
        <f>IF(V179="","",IF(VLOOKUP(V179,'G-7 WaterC'' Data'!$AK$4:$AM$6,2,FALSE)=0,"Spatial Data Missing ⚠",VLOOKUP(V179,'G-7 WaterC'' Data'!$AK$4:$AM$6,2,FALSE)))</f>
        <v/>
      </c>
      <c r="X179" s="282" t="str">
        <f>IF(V179="","",IF(VLOOKUP(V179,'G-7 WaterC'' Data'!$AK$4:$AM$6,3,FALSE)=0,"Spatial Data Missing ⚠",VLOOKUP(V179,'G-7 WaterC'' Data'!$AK$4:$AM$6,3,FALSE)))</f>
        <v/>
      </c>
      <c r="Y179" s="281" t="str">
        <f>IFERROR(IF(OR(LEFT(P179,5)="Error",LEFT(O179,5)="Error"),"Check Data ⚠",IF(F179&lt;S179,'G-7 WaterC'' Data'!$R$3,INDEX('G-7 WaterC'' Data'!$U$5:$Y$9,MATCH(G179,'G-7 WaterC'' Data'!$T$5:$T$9,0),MATCH(T179,'G-7 WaterC'' Data'!$U$4:$Y$4,0)))),"")</f>
        <v/>
      </c>
      <c r="Z179" s="137"/>
      <c r="AA179" s="137"/>
      <c r="AB179" s="289" t="str">
        <f t="shared" si="23"/>
        <v/>
      </c>
      <c r="AC179" s="302" t="str">
        <f t="shared" si="24"/>
        <v/>
      </c>
      <c r="AD179" s="340" t="str">
        <f>IFERROR(IF(AC179="Check Data ⚠","Check Data ⚠",VLOOKUP(AC179,'G-4 Temporal multipliers'!$A$4:$C$37,3,FALSE)),"")</f>
        <v/>
      </c>
      <c r="AE179" s="281" t="str">
        <f>IF(N179="","",VLOOKUP(N179,'G-7 WaterC'' Data'!$B$4:$G$8,5,FALSE))</f>
        <v/>
      </c>
      <c r="AF179" s="289" t="str">
        <f t="shared" si="25"/>
        <v/>
      </c>
      <c r="AG179" s="320" t="str">
        <f t="shared" si="26"/>
        <v/>
      </c>
      <c r="AH179" s="282" t="str">
        <f t="shared" si="20"/>
        <v/>
      </c>
      <c r="AI179" s="109"/>
      <c r="AJ179" s="282" t="str">
        <f>IF(AI179="","",IF(AND(AI179="N/A - Culvert",N179&lt;&gt;"Culvert"),"Not possible ▲",IF(VLOOKUP(AI179,'G-7 WaterC'' Data'!$AA$4:$AB$7,2,FALSE)=0,"Spatial Data Missing ⚠",VLOOKUP(AI179,'G-7 WaterC'' Data'!$AA$4:$AB$7,2,FALSE))))</f>
        <v/>
      </c>
      <c r="AK179" s="110"/>
      <c r="AL179" s="282" t="str">
        <f>IF(AK179="","",IF(AND(AK179="N/A - Culvert",N179&lt;&gt;"Culvert"),"Not possible ▲",IF(VLOOKUP(AK179,'G-7 WaterC'' Data'!$AD$4:$AE$14,2,FALSE)=0,"Spatial Data Missing ⚠",VLOOKUP(AK179,'G-7 WaterC'' Data'!$AD$4:$AE$14,2,FALSE))))</f>
        <v/>
      </c>
      <c r="AM179" s="323" t="str">
        <f t="shared" si="27"/>
        <v/>
      </c>
      <c r="AN179" s="105"/>
      <c r="AO179" s="119"/>
      <c r="AP179" s="108"/>
      <c r="AS179" s="30" t="str">
        <f>IF(B179="","",IF(ISNA(VLOOKUP($B179,'C-1 On-Site WaterC'' Baseline'!$C$8:$AD$257,17,FALSE)),"",(VLOOKUP($B179,'C-1 On-Site WaterC'' Baseline'!$C$8:$AD$257,17,FALSE))))</f>
        <v/>
      </c>
      <c r="AT179" s="30" t="str">
        <f>IF(B179="","",VLOOKUP($B179,'C-1 On-Site WaterC'' Baseline'!$C$9:$Z$257,12,FALSE))</f>
        <v/>
      </c>
      <c r="AU179" s="30" t="str">
        <f>IF(B179="","",VLOOKUP($B179,'C-1 On-Site WaterC'' Baseline'!$C$9:$Z$257,14,FALSE))</f>
        <v/>
      </c>
      <c r="AV179" s="30" t="str">
        <f>IFERROR(INDEX('G-7 WaterC'' Data'!$AZ$3:$AZ$7,MATCH(N179,'G-7 WaterC'' Data'!$AY$3:$AY$7,0)),"")</f>
        <v/>
      </c>
      <c r="AX179" s="30" t="str">
        <f>IF(B179="","",VLOOKUP($B179,'C-1 On-Site WaterC'' Baseline'!$C$9:$Y$257,22,FALSE))</f>
        <v/>
      </c>
      <c r="AY179" s="30" t="str">
        <f t="shared" si="28"/>
        <v/>
      </c>
      <c r="AZ179" s="30" t="str">
        <f>IF(B179="","",VLOOKUP($B179,'C-1 On-Site WaterC'' Baseline'!$C$9:$Y$257,21,FALSE))</f>
        <v/>
      </c>
      <c r="BA179" s="30" t="str">
        <f>IF(B179="","",VLOOKUP($B179,'C-1 On-Site WaterC'' Baseline'!$C$9:$Y$257,19,FALSE))</f>
        <v/>
      </c>
      <c r="BD179" s="30" t="str">
        <f t="shared" si="29"/>
        <v>No</v>
      </c>
    </row>
    <row r="180" spans="2:56" ht="13.8" x14ac:dyDescent="0.25">
      <c r="B180" s="311" t="str">
        <f>'C-1 On-Site WaterC'' Baseline'!AP178</f>
        <v/>
      </c>
      <c r="C180" s="301" t="str">
        <f>IF(B180="","",VLOOKUP($B180,'C-1 On-Site WaterC'' Baseline'!$C$9:$R$257,2,FALSE))</f>
        <v/>
      </c>
      <c r="D180" s="301" t="str">
        <f>IF(C180="","",VLOOKUP($B180,'C-1 On-Site WaterC'' Baseline'!$C$9:$R$257,3,FALSE))</f>
        <v/>
      </c>
      <c r="E180" s="301" t="str">
        <f>IF(D180="","",VLOOKUP($B180,'C-1 On-Site WaterC'' Baseline'!$C$9:$R$257,4,FALSE))</f>
        <v/>
      </c>
      <c r="F180" s="301" t="str">
        <f>IF(E180="","",VLOOKUP($B180,'C-1 On-Site WaterC'' Baseline'!$C$9:$R$257,5,FALSE))</f>
        <v/>
      </c>
      <c r="G180" s="301" t="str">
        <f>IF(F180="","",VLOOKUP($B180,'C-1 On-Site WaterC'' Baseline'!$C$9:$R$257,6,FALSE))</f>
        <v/>
      </c>
      <c r="H180" s="301" t="str">
        <f>IF(G180="","",VLOOKUP($B180,'C-1 On-Site WaterC'' Baseline'!$C$9:$R$257,7,FALSE))</f>
        <v/>
      </c>
      <c r="I180" s="301" t="str">
        <f>IF(H180="","",VLOOKUP($B180,'C-1 On-Site WaterC'' Baseline'!$C$9:$R$257,8,FALSE))</f>
        <v/>
      </c>
      <c r="J180" s="301" t="str">
        <f>IF(I180="","",VLOOKUP($B180,'C-1 On-Site WaterC'' Baseline'!$C$9:$R$257,9,FALSE))</f>
        <v/>
      </c>
      <c r="K180" s="301" t="str">
        <f>IF(J180="","",VLOOKUP($B180,'C-1 On-Site WaterC'' Baseline'!$C$9:$R$257,10,FALSE))</f>
        <v/>
      </c>
      <c r="L180" s="301" t="str">
        <f>IF(B180="","",VLOOKUP($B180,'C-1 On-Site WaterC'' Baseline'!$C$9:$R$257,15,FALSE))</f>
        <v/>
      </c>
      <c r="M180" s="305" t="str">
        <f>IF(L180="","",VLOOKUP($B180,'C-1 On-Site WaterC'' Baseline'!$C$9:$R$257,16,FALSE))</f>
        <v/>
      </c>
      <c r="N180" s="251"/>
      <c r="O180" s="281" t="str">
        <f t="shared" si="21"/>
        <v/>
      </c>
      <c r="P180" s="282" t="str">
        <f t="shared" si="22"/>
        <v/>
      </c>
      <c r="Q180" s="342" t="str">
        <f>IF(N180="","",VLOOKUP(B180,'C-1 On-Site WaterC'' Baseline'!$C$10:$AC$257,20,FALSE))</f>
        <v/>
      </c>
      <c r="R180" s="281" t="str">
        <f>IF(N180="","",VLOOKUP(N180,'G-7 WaterC'' Data'!$B$2:$G$8,2,FALSE))</f>
        <v/>
      </c>
      <c r="S180" s="282" t="str">
        <f>IFERROR(VLOOKUP(R180,'G-7 WaterC'' Data'!$C$4:$D$8,2,FALSE),"")</f>
        <v/>
      </c>
      <c r="T180" s="105"/>
      <c r="U180" s="282" t="str">
        <f>IFERROR(INDEX('G-7 WaterC'' Data'!$H$4:$L$8,MATCH(N180,'G-7 WaterC'' Data'!$B$4:$B$8,0),MATCH(T180,'G-7 WaterC'' Data'!$H$3:$L$3,0)),"")</f>
        <v/>
      </c>
      <c r="V180" s="105"/>
      <c r="W180" s="289" t="str">
        <f>IF(V180="","",IF(VLOOKUP(V180,'G-7 WaterC'' Data'!$AK$4:$AM$6,2,FALSE)=0,"Spatial Data Missing ⚠",VLOOKUP(V180,'G-7 WaterC'' Data'!$AK$4:$AM$6,2,FALSE)))</f>
        <v/>
      </c>
      <c r="X180" s="282" t="str">
        <f>IF(V180="","",IF(VLOOKUP(V180,'G-7 WaterC'' Data'!$AK$4:$AM$6,3,FALSE)=0,"Spatial Data Missing ⚠",VLOOKUP(V180,'G-7 WaterC'' Data'!$AK$4:$AM$6,3,FALSE)))</f>
        <v/>
      </c>
      <c r="Y180" s="281" t="str">
        <f>IFERROR(IF(OR(LEFT(P180,5)="Error",LEFT(O180,5)="Error"),"Check Data ⚠",IF(F180&lt;S180,'G-7 WaterC'' Data'!$R$3,INDEX('G-7 WaterC'' Data'!$U$5:$Y$9,MATCH(G180,'G-7 WaterC'' Data'!$T$5:$T$9,0),MATCH(T180,'G-7 WaterC'' Data'!$U$4:$Y$4,0)))),"")</f>
        <v/>
      </c>
      <c r="Z180" s="137"/>
      <c r="AA180" s="137"/>
      <c r="AB180" s="289" t="str">
        <f t="shared" si="23"/>
        <v/>
      </c>
      <c r="AC180" s="302" t="str">
        <f t="shared" si="24"/>
        <v/>
      </c>
      <c r="AD180" s="340" t="str">
        <f>IFERROR(IF(AC180="Check Data ⚠","Check Data ⚠",VLOOKUP(AC180,'G-4 Temporal multipliers'!$A$4:$C$37,3,FALSE)),"")</f>
        <v/>
      </c>
      <c r="AE180" s="281" t="str">
        <f>IF(N180="","",VLOOKUP(N180,'G-7 WaterC'' Data'!$B$4:$G$8,5,FALSE))</f>
        <v/>
      </c>
      <c r="AF180" s="289" t="str">
        <f t="shared" si="25"/>
        <v/>
      </c>
      <c r="AG180" s="320" t="str">
        <f t="shared" si="26"/>
        <v/>
      </c>
      <c r="AH180" s="282" t="str">
        <f t="shared" si="20"/>
        <v/>
      </c>
      <c r="AI180" s="109"/>
      <c r="AJ180" s="282" t="str">
        <f>IF(AI180="","",IF(AND(AI180="N/A - Culvert",N180&lt;&gt;"Culvert"),"Not possible ▲",IF(VLOOKUP(AI180,'G-7 WaterC'' Data'!$AA$4:$AB$7,2,FALSE)=0,"Spatial Data Missing ⚠",VLOOKUP(AI180,'G-7 WaterC'' Data'!$AA$4:$AB$7,2,FALSE))))</f>
        <v/>
      </c>
      <c r="AK180" s="110"/>
      <c r="AL180" s="282" t="str">
        <f>IF(AK180="","",IF(AND(AK180="N/A - Culvert",N180&lt;&gt;"Culvert"),"Not possible ▲",IF(VLOOKUP(AK180,'G-7 WaterC'' Data'!$AD$4:$AE$14,2,FALSE)=0,"Spatial Data Missing ⚠",VLOOKUP(AK180,'G-7 WaterC'' Data'!$AD$4:$AE$14,2,FALSE))))</f>
        <v/>
      </c>
      <c r="AM180" s="323" t="str">
        <f t="shared" si="27"/>
        <v/>
      </c>
      <c r="AN180" s="105"/>
      <c r="AO180" s="119"/>
      <c r="AP180" s="108"/>
      <c r="AS180" s="30" t="str">
        <f>IF(B180="","",IF(ISNA(VLOOKUP($B180,'C-1 On-Site WaterC'' Baseline'!$C$8:$AD$257,17,FALSE)),"",(VLOOKUP($B180,'C-1 On-Site WaterC'' Baseline'!$C$8:$AD$257,17,FALSE))))</f>
        <v/>
      </c>
      <c r="AT180" s="30" t="str">
        <f>IF(B180="","",VLOOKUP($B180,'C-1 On-Site WaterC'' Baseline'!$C$9:$Z$257,12,FALSE))</f>
        <v/>
      </c>
      <c r="AU180" s="30" t="str">
        <f>IF(B180="","",VLOOKUP($B180,'C-1 On-Site WaterC'' Baseline'!$C$9:$Z$257,14,FALSE))</f>
        <v/>
      </c>
      <c r="AV180" s="30" t="str">
        <f>IFERROR(INDEX('G-7 WaterC'' Data'!$AZ$3:$AZ$7,MATCH(N180,'G-7 WaterC'' Data'!$AY$3:$AY$7,0)),"")</f>
        <v/>
      </c>
      <c r="AX180" s="30" t="str">
        <f>IF(B180="","",VLOOKUP($B180,'C-1 On-Site WaterC'' Baseline'!$C$9:$Y$257,22,FALSE))</f>
        <v/>
      </c>
      <c r="AY180" s="30" t="str">
        <f t="shared" si="28"/>
        <v/>
      </c>
      <c r="AZ180" s="30" t="str">
        <f>IF(B180="","",VLOOKUP($B180,'C-1 On-Site WaterC'' Baseline'!$C$9:$Y$257,21,FALSE))</f>
        <v/>
      </c>
      <c r="BA180" s="30" t="str">
        <f>IF(B180="","",VLOOKUP($B180,'C-1 On-Site WaterC'' Baseline'!$C$9:$Y$257,19,FALSE))</f>
        <v/>
      </c>
      <c r="BD180" s="30" t="str">
        <f t="shared" si="29"/>
        <v>No</v>
      </c>
    </row>
    <row r="181" spans="2:56" ht="13.8" x14ac:dyDescent="0.25">
      <c r="B181" s="311" t="str">
        <f>'C-1 On-Site WaterC'' Baseline'!AP179</f>
        <v/>
      </c>
      <c r="C181" s="301" t="str">
        <f>IF(B181="","",VLOOKUP($B181,'C-1 On-Site WaterC'' Baseline'!$C$9:$R$257,2,FALSE))</f>
        <v/>
      </c>
      <c r="D181" s="301" t="str">
        <f>IF(C181="","",VLOOKUP($B181,'C-1 On-Site WaterC'' Baseline'!$C$9:$R$257,3,FALSE))</f>
        <v/>
      </c>
      <c r="E181" s="301" t="str">
        <f>IF(D181="","",VLOOKUP($B181,'C-1 On-Site WaterC'' Baseline'!$C$9:$R$257,4,FALSE))</f>
        <v/>
      </c>
      <c r="F181" s="301" t="str">
        <f>IF(E181="","",VLOOKUP($B181,'C-1 On-Site WaterC'' Baseline'!$C$9:$R$257,5,FALSE))</f>
        <v/>
      </c>
      <c r="G181" s="301" t="str">
        <f>IF(F181="","",VLOOKUP($B181,'C-1 On-Site WaterC'' Baseline'!$C$9:$R$257,6,FALSE))</f>
        <v/>
      </c>
      <c r="H181" s="301" t="str">
        <f>IF(G181="","",VLOOKUP($B181,'C-1 On-Site WaterC'' Baseline'!$C$9:$R$257,7,FALSE))</f>
        <v/>
      </c>
      <c r="I181" s="301" t="str">
        <f>IF(H181="","",VLOOKUP($B181,'C-1 On-Site WaterC'' Baseline'!$C$9:$R$257,8,FALSE))</f>
        <v/>
      </c>
      <c r="J181" s="301" t="str">
        <f>IF(I181="","",VLOOKUP($B181,'C-1 On-Site WaterC'' Baseline'!$C$9:$R$257,9,FALSE))</f>
        <v/>
      </c>
      <c r="K181" s="301" t="str">
        <f>IF(J181="","",VLOOKUP($B181,'C-1 On-Site WaterC'' Baseline'!$C$9:$R$257,10,FALSE))</f>
        <v/>
      </c>
      <c r="L181" s="301" t="str">
        <f>IF(B181="","",VLOOKUP($B181,'C-1 On-Site WaterC'' Baseline'!$C$9:$R$257,15,FALSE))</f>
        <v/>
      </c>
      <c r="M181" s="305" t="str">
        <f>IF(L181="","",VLOOKUP($B181,'C-1 On-Site WaterC'' Baseline'!$C$9:$R$257,16,FALSE))</f>
        <v/>
      </c>
      <c r="N181" s="251"/>
      <c r="O181" s="281" t="str">
        <f t="shared" si="21"/>
        <v/>
      </c>
      <c r="P181" s="282" t="str">
        <f t="shared" si="22"/>
        <v/>
      </c>
      <c r="Q181" s="342" t="str">
        <f>IF(N181="","",VLOOKUP(B181,'C-1 On-Site WaterC'' Baseline'!$C$10:$AC$257,20,FALSE))</f>
        <v/>
      </c>
      <c r="R181" s="281" t="str">
        <f>IF(N181="","",VLOOKUP(N181,'G-7 WaterC'' Data'!$B$2:$G$8,2,FALSE))</f>
        <v/>
      </c>
      <c r="S181" s="282" t="str">
        <f>IFERROR(VLOOKUP(R181,'G-7 WaterC'' Data'!$C$4:$D$8,2,FALSE),"")</f>
        <v/>
      </c>
      <c r="T181" s="105"/>
      <c r="U181" s="282" t="str">
        <f>IFERROR(INDEX('G-7 WaterC'' Data'!$H$4:$L$8,MATCH(N181,'G-7 WaterC'' Data'!$B$4:$B$8,0),MATCH(T181,'G-7 WaterC'' Data'!$H$3:$L$3,0)),"")</f>
        <v/>
      </c>
      <c r="V181" s="105"/>
      <c r="W181" s="289" t="str">
        <f>IF(V181="","",IF(VLOOKUP(V181,'G-7 WaterC'' Data'!$AK$4:$AM$6,2,FALSE)=0,"Spatial Data Missing ⚠",VLOOKUP(V181,'G-7 WaterC'' Data'!$AK$4:$AM$6,2,FALSE)))</f>
        <v/>
      </c>
      <c r="X181" s="282" t="str">
        <f>IF(V181="","",IF(VLOOKUP(V181,'G-7 WaterC'' Data'!$AK$4:$AM$6,3,FALSE)=0,"Spatial Data Missing ⚠",VLOOKUP(V181,'G-7 WaterC'' Data'!$AK$4:$AM$6,3,FALSE)))</f>
        <v/>
      </c>
      <c r="Y181" s="281" t="str">
        <f>IFERROR(IF(OR(LEFT(P181,5)="Error",LEFT(O181,5)="Error"),"Check Data ⚠",IF(F181&lt;S181,'G-7 WaterC'' Data'!$R$3,INDEX('G-7 WaterC'' Data'!$U$5:$Y$9,MATCH(G181,'G-7 WaterC'' Data'!$T$5:$T$9,0),MATCH(T181,'G-7 WaterC'' Data'!$U$4:$Y$4,0)))),"")</f>
        <v/>
      </c>
      <c r="Z181" s="137"/>
      <c r="AA181" s="137"/>
      <c r="AB181" s="289" t="str">
        <f t="shared" si="23"/>
        <v/>
      </c>
      <c r="AC181" s="302" t="str">
        <f t="shared" si="24"/>
        <v/>
      </c>
      <c r="AD181" s="340" t="str">
        <f>IFERROR(IF(AC181="Check Data ⚠","Check Data ⚠",VLOOKUP(AC181,'G-4 Temporal multipliers'!$A$4:$C$37,3,FALSE)),"")</f>
        <v/>
      </c>
      <c r="AE181" s="281" t="str">
        <f>IF(N181="","",VLOOKUP(N181,'G-7 WaterC'' Data'!$B$4:$G$8,5,FALSE))</f>
        <v/>
      </c>
      <c r="AF181" s="289" t="str">
        <f t="shared" si="25"/>
        <v/>
      </c>
      <c r="AG181" s="320" t="str">
        <f t="shared" si="26"/>
        <v/>
      </c>
      <c r="AH181" s="282" t="str">
        <f t="shared" si="20"/>
        <v/>
      </c>
      <c r="AI181" s="109"/>
      <c r="AJ181" s="282" t="str">
        <f>IF(AI181="","",IF(AND(AI181="N/A - Culvert",N181&lt;&gt;"Culvert"),"Not possible ▲",IF(VLOOKUP(AI181,'G-7 WaterC'' Data'!$AA$4:$AB$7,2,FALSE)=0,"Spatial Data Missing ⚠",VLOOKUP(AI181,'G-7 WaterC'' Data'!$AA$4:$AB$7,2,FALSE))))</f>
        <v/>
      </c>
      <c r="AK181" s="110"/>
      <c r="AL181" s="282" t="str">
        <f>IF(AK181="","",IF(AND(AK181="N/A - Culvert",N181&lt;&gt;"Culvert"),"Not possible ▲",IF(VLOOKUP(AK181,'G-7 WaterC'' Data'!$AD$4:$AE$14,2,FALSE)=0,"Spatial Data Missing ⚠",VLOOKUP(AK181,'G-7 WaterC'' Data'!$AD$4:$AE$14,2,FALSE))))</f>
        <v/>
      </c>
      <c r="AM181" s="323" t="str">
        <f t="shared" si="27"/>
        <v/>
      </c>
      <c r="AN181" s="105"/>
      <c r="AO181" s="119"/>
      <c r="AP181" s="108"/>
      <c r="AS181" s="30" t="str">
        <f>IF(B181="","",IF(ISNA(VLOOKUP($B181,'C-1 On-Site WaterC'' Baseline'!$C$8:$AD$257,17,FALSE)),"",(VLOOKUP($B181,'C-1 On-Site WaterC'' Baseline'!$C$8:$AD$257,17,FALSE))))</f>
        <v/>
      </c>
      <c r="AT181" s="30" t="str">
        <f>IF(B181="","",VLOOKUP($B181,'C-1 On-Site WaterC'' Baseline'!$C$9:$Z$257,12,FALSE))</f>
        <v/>
      </c>
      <c r="AU181" s="30" t="str">
        <f>IF(B181="","",VLOOKUP($B181,'C-1 On-Site WaterC'' Baseline'!$C$9:$Z$257,14,FALSE))</f>
        <v/>
      </c>
      <c r="AV181" s="30" t="str">
        <f>IFERROR(INDEX('G-7 WaterC'' Data'!$AZ$3:$AZ$7,MATCH(N181,'G-7 WaterC'' Data'!$AY$3:$AY$7,0)),"")</f>
        <v/>
      </c>
      <c r="AX181" s="30" t="str">
        <f>IF(B181="","",VLOOKUP($B181,'C-1 On-Site WaterC'' Baseline'!$C$9:$Y$257,22,FALSE))</f>
        <v/>
      </c>
      <c r="AY181" s="30" t="str">
        <f t="shared" si="28"/>
        <v/>
      </c>
      <c r="AZ181" s="30" t="str">
        <f>IF(B181="","",VLOOKUP($B181,'C-1 On-Site WaterC'' Baseline'!$C$9:$Y$257,21,FALSE))</f>
        <v/>
      </c>
      <c r="BA181" s="30" t="str">
        <f>IF(B181="","",VLOOKUP($B181,'C-1 On-Site WaterC'' Baseline'!$C$9:$Y$257,19,FALSE))</f>
        <v/>
      </c>
      <c r="BD181" s="30" t="str">
        <f t="shared" si="29"/>
        <v>No</v>
      </c>
    </row>
    <row r="182" spans="2:56" ht="13.8" x14ac:dyDescent="0.25">
      <c r="B182" s="311" t="str">
        <f>'C-1 On-Site WaterC'' Baseline'!AP180</f>
        <v/>
      </c>
      <c r="C182" s="301" t="str">
        <f>IF(B182="","",VLOOKUP($B182,'C-1 On-Site WaterC'' Baseline'!$C$9:$R$257,2,FALSE))</f>
        <v/>
      </c>
      <c r="D182" s="301" t="str">
        <f>IF(C182="","",VLOOKUP($B182,'C-1 On-Site WaterC'' Baseline'!$C$9:$R$257,3,FALSE))</f>
        <v/>
      </c>
      <c r="E182" s="301" t="str">
        <f>IF(D182="","",VLOOKUP($B182,'C-1 On-Site WaterC'' Baseline'!$C$9:$R$257,4,FALSE))</f>
        <v/>
      </c>
      <c r="F182" s="301" t="str">
        <f>IF(E182="","",VLOOKUP($B182,'C-1 On-Site WaterC'' Baseline'!$C$9:$R$257,5,FALSE))</f>
        <v/>
      </c>
      <c r="G182" s="301" t="str">
        <f>IF(F182="","",VLOOKUP($B182,'C-1 On-Site WaterC'' Baseline'!$C$9:$R$257,6,FALSE))</f>
        <v/>
      </c>
      <c r="H182" s="301" t="str">
        <f>IF(G182="","",VLOOKUP($B182,'C-1 On-Site WaterC'' Baseline'!$C$9:$R$257,7,FALSE))</f>
        <v/>
      </c>
      <c r="I182" s="301" t="str">
        <f>IF(H182="","",VLOOKUP($B182,'C-1 On-Site WaterC'' Baseline'!$C$9:$R$257,8,FALSE))</f>
        <v/>
      </c>
      <c r="J182" s="301" t="str">
        <f>IF(I182="","",VLOOKUP($B182,'C-1 On-Site WaterC'' Baseline'!$C$9:$R$257,9,FALSE))</f>
        <v/>
      </c>
      <c r="K182" s="301" t="str">
        <f>IF(J182="","",VLOOKUP($B182,'C-1 On-Site WaterC'' Baseline'!$C$9:$R$257,10,FALSE))</f>
        <v/>
      </c>
      <c r="L182" s="301" t="str">
        <f>IF(B182="","",VLOOKUP($B182,'C-1 On-Site WaterC'' Baseline'!$C$9:$R$257,15,FALSE))</f>
        <v/>
      </c>
      <c r="M182" s="305" t="str">
        <f>IF(L182="","",VLOOKUP($B182,'C-1 On-Site WaterC'' Baseline'!$C$9:$R$257,16,FALSE))</f>
        <v/>
      </c>
      <c r="N182" s="251"/>
      <c r="O182" s="281" t="str">
        <f t="shared" si="21"/>
        <v/>
      </c>
      <c r="P182" s="282" t="str">
        <f t="shared" si="22"/>
        <v/>
      </c>
      <c r="Q182" s="342" t="str">
        <f>IF(N182="","",VLOOKUP(B182,'C-1 On-Site WaterC'' Baseline'!$C$10:$AC$257,20,FALSE))</f>
        <v/>
      </c>
      <c r="R182" s="281" t="str">
        <f>IF(N182="","",VLOOKUP(N182,'G-7 WaterC'' Data'!$B$2:$G$8,2,FALSE))</f>
        <v/>
      </c>
      <c r="S182" s="282" t="str">
        <f>IFERROR(VLOOKUP(R182,'G-7 WaterC'' Data'!$C$4:$D$8,2,FALSE),"")</f>
        <v/>
      </c>
      <c r="T182" s="105"/>
      <c r="U182" s="282" t="str">
        <f>IFERROR(INDEX('G-7 WaterC'' Data'!$H$4:$L$8,MATCH(N182,'G-7 WaterC'' Data'!$B$4:$B$8,0),MATCH(T182,'G-7 WaterC'' Data'!$H$3:$L$3,0)),"")</f>
        <v/>
      </c>
      <c r="V182" s="105"/>
      <c r="W182" s="289" t="str">
        <f>IF(V182="","",IF(VLOOKUP(V182,'G-7 WaterC'' Data'!$AK$4:$AM$6,2,FALSE)=0,"Spatial Data Missing ⚠",VLOOKUP(V182,'G-7 WaterC'' Data'!$AK$4:$AM$6,2,FALSE)))</f>
        <v/>
      </c>
      <c r="X182" s="282" t="str">
        <f>IF(V182="","",IF(VLOOKUP(V182,'G-7 WaterC'' Data'!$AK$4:$AM$6,3,FALSE)=0,"Spatial Data Missing ⚠",VLOOKUP(V182,'G-7 WaterC'' Data'!$AK$4:$AM$6,3,FALSE)))</f>
        <v/>
      </c>
      <c r="Y182" s="281" t="str">
        <f>IFERROR(IF(OR(LEFT(P182,5)="Error",LEFT(O182,5)="Error"),"Check Data ⚠",IF(F182&lt;S182,'G-7 WaterC'' Data'!$R$3,INDEX('G-7 WaterC'' Data'!$U$5:$Y$9,MATCH(G182,'G-7 WaterC'' Data'!$T$5:$T$9,0),MATCH(T182,'G-7 WaterC'' Data'!$U$4:$Y$4,0)))),"")</f>
        <v/>
      </c>
      <c r="Z182" s="137"/>
      <c r="AA182" s="137"/>
      <c r="AB182" s="289" t="str">
        <f t="shared" si="23"/>
        <v/>
      </c>
      <c r="AC182" s="302" t="str">
        <f t="shared" si="24"/>
        <v/>
      </c>
      <c r="AD182" s="340" t="str">
        <f>IFERROR(IF(AC182="Check Data ⚠","Check Data ⚠",VLOOKUP(AC182,'G-4 Temporal multipliers'!$A$4:$C$37,3,FALSE)),"")</f>
        <v/>
      </c>
      <c r="AE182" s="281" t="str">
        <f>IF(N182="","",VLOOKUP(N182,'G-7 WaterC'' Data'!$B$4:$G$8,5,FALSE))</f>
        <v/>
      </c>
      <c r="AF182" s="289" t="str">
        <f t="shared" si="25"/>
        <v/>
      </c>
      <c r="AG182" s="320" t="str">
        <f t="shared" si="26"/>
        <v/>
      </c>
      <c r="AH182" s="282" t="str">
        <f t="shared" si="20"/>
        <v/>
      </c>
      <c r="AI182" s="109"/>
      <c r="AJ182" s="282" t="str">
        <f>IF(AI182="","",IF(AND(AI182="N/A - Culvert",N182&lt;&gt;"Culvert"),"Not possible ▲",IF(VLOOKUP(AI182,'G-7 WaterC'' Data'!$AA$4:$AB$7,2,FALSE)=0,"Spatial Data Missing ⚠",VLOOKUP(AI182,'G-7 WaterC'' Data'!$AA$4:$AB$7,2,FALSE))))</f>
        <v/>
      </c>
      <c r="AK182" s="110"/>
      <c r="AL182" s="282" t="str">
        <f>IF(AK182="","",IF(AND(AK182="N/A - Culvert",N182&lt;&gt;"Culvert"),"Not possible ▲",IF(VLOOKUP(AK182,'G-7 WaterC'' Data'!$AD$4:$AE$14,2,FALSE)=0,"Spatial Data Missing ⚠",VLOOKUP(AK182,'G-7 WaterC'' Data'!$AD$4:$AE$14,2,FALSE))))</f>
        <v/>
      </c>
      <c r="AM182" s="323" t="str">
        <f t="shared" si="27"/>
        <v/>
      </c>
      <c r="AN182" s="105"/>
      <c r="AO182" s="119"/>
      <c r="AP182" s="108"/>
      <c r="AS182" s="30" t="str">
        <f>IF(B182="","",IF(ISNA(VLOOKUP($B182,'C-1 On-Site WaterC'' Baseline'!$C$8:$AD$257,17,FALSE)),"",(VLOOKUP($B182,'C-1 On-Site WaterC'' Baseline'!$C$8:$AD$257,17,FALSE))))</f>
        <v/>
      </c>
      <c r="AT182" s="30" t="str">
        <f>IF(B182="","",VLOOKUP($B182,'C-1 On-Site WaterC'' Baseline'!$C$9:$Z$257,12,FALSE))</f>
        <v/>
      </c>
      <c r="AU182" s="30" t="str">
        <f>IF(B182="","",VLOOKUP($B182,'C-1 On-Site WaterC'' Baseline'!$C$9:$Z$257,14,FALSE))</f>
        <v/>
      </c>
      <c r="AV182" s="30" t="str">
        <f>IFERROR(INDEX('G-7 WaterC'' Data'!$AZ$3:$AZ$7,MATCH(N182,'G-7 WaterC'' Data'!$AY$3:$AY$7,0)),"")</f>
        <v/>
      </c>
      <c r="AX182" s="30" t="str">
        <f>IF(B182="","",VLOOKUP($B182,'C-1 On-Site WaterC'' Baseline'!$C$9:$Y$257,22,FALSE))</f>
        <v/>
      </c>
      <c r="AY182" s="30" t="str">
        <f t="shared" si="28"/>
        <v/>
      </c>
      <c r="AZ182" s="30" t="str">
        <f>IF(B182="","",VLOOKUP($B182,'C-1 On-Site WaterC'' Baseline'!$C$9:$Y$257,21,FALSE))</f>
        <v/>
      </c>
      <c r="BA182" s="30" t="str">
        <f>IF(B182="","",VLOOKUP($B182,'C-1 On-Site WaterC'' Baseline'!$C$9:$Y$257,19,FALSE))</f>
        <v/>
      </c>
      <c r="BD182" s="30" t="str">
        <f t="shared" si="29"/>
        <v>No</v>
      </c>
    </row>
    <row r="183" spans="2:56" ht="13.8" x14ac:dyDescent="0.25">
      <c r="B183" s="311" t="str">
        <f>'C-1 On-Site WaterC'' Baseline'!AP181</f>
        <v/>
      </c>
      <c r="C183" s="301" t="str">
        <f>IF(B183="","",VLOOKUP($B183,'C-1 On-Site WaterC'' Baseline'!$C$9:$R$257,2,FALSE))</f>
        <v/>
      </c>
      <c r="D183" s="301" t="str">
        <f>IF(C183="","",VLOOKUP($B183,'C-1 On-Site WaterC'' Baseline'!$C$9:$R$257,3,FALSE))</f>
        <v/>
      </c>
      <c r="E183" s="301" t="str">
        <f>IF(D183="","",VLOOKUP($B183,'C-1 On-Site WaterC'' Baseline'!$C$9:$R$257,4,FALSE))</f>
        <v/>
      </c>
      <c r="F183" s="301" t="str">
        <f>IF(E183="","",VLOOKUP($B183,'C-1 On-Site WaterC'' Baseline'!$C$9:$R$257,5,FALSE))</f>
        <v/>
      </c>
      <c r="G183" s="301" t="str">
        <f>IF(F183="","",VLOOKUP($B183,'C-1 On-Site WaterC'' Baseline'!$C$9:$R$257,6,FALSE))</f>
        <v/>
      </c>
      <c r="H183" s="301" t="str">
        <f>IF(G183="","",VLOOKUP($B183,'C-1 On-Site WaterC'' Baseline'!$C$9:$R$257,7,FALSE))</f>
        <v/>
      </c>
      <c r="I183" s="301" t="str">
        <f>IF(H183="","",VLOOKUP($B183,'C-1 On-Site WaterC'' Baseline'!$C$9:$R$257,8,FALSE))</f>
        <v/>
      </c>
      <c r="J183" s="301" t="str">
        <f>IF(I183="","",VLOOKUP($B183,'C-1 On-Site WaterC'' Baseline'!$C$9:$R$257,9,FALSE))</f>
        <v/>
      </c>
      <c r="K183" s="301" t="str">
        <f>IF(J183="","",VLOOKUP($B183,'C-1 On-Site WaterC'' Baseline'!$C$9:$R$257,10,FALSE))</f>
        <v/>
      </c>
      <c r="L183" s="301" t="str">
        <f>IF(B183="","",VLOOKUP($B183,'C-1 On-Site WaterC'' Baseline'!$C$9:$R$257,15,FALSE))</f>
        <v/>
      </c>
      <c r="M183" s="305" t="str">
        <f>IF(L183="","",VLOOKUP($B183,'C-1 On-Site WaterC'' Baseline'!$C$9:$R$257,16,FALSE))</f>
        <v/>
      </c>
      <c r="N183" s="251"/>
      <c r="O183" s="281" t="str">
        <f t="shared" si="21"/>
        <v/>
      </c>
      <c r="P183" s="282" t="str">
        <f t="shared" si="22"/>
        <v/>
      </c>
      <c r="Q183" s="342" t="str">
        <f>IF(N183="","",VLOOKUP(B183,'C-1 On-Site WaterC'' Baseline'!$C$10:$AC$257,20,FALSE))</f>
        <v/>
      </c>
      <c r="R183" s="281" t="str">
        <f>IF(N183="","",VLOOKUP(N183,'G-7 WaterC'' Data'!$B$2:$G$8,2,FALSE))</f>
        <v/>
      </c>
      <c r="S183" s="282" t="str">
        <f>IFERROR(VLOOKUP(R183,'G-7 WaterC'' Data'!$C$4:$D$8,2,FALSE),"")</f>
        <v/>
      </c>
      <c r="T183" s="105"/>
      <c r="U183" s="282" t="str">
        <f>IFERROR(INDEX('G-7 WaterC'' Data'!$H$4:$L$8,MATCH(N183,'G-7 WaterC'' Data'!$B$4:$B$8,0),MATCH(T183,'G-7 WaterC'' Data'!$H$3:$L$3,0)),"")</f>
        <v/>
      </c>
      <c r="V183" s="105"/>
      <c r="W183" s="289" t="str">
        <f>IF(V183="","",IF(VLOOKUP(V183,'G-7 WaterC'' Data'!$AK$4:$AM$6,2,FALSE)=0,"Spatial Data Missing ⚠",VLOOKUP(V183,'G-7 WaterC'' Data'!$AK$4:$AM$6,2,FALSE)))</f>
        <v/>
      </c>
      <c r="X183" s="282" t="str">
        <f>IF(V183="","",IF(VLOOKUP(V183,'G-7 WaterC'' Data'!$AK$4:$AM$6,3,FALSE)=0,"Spatial Data Missing ⚠",VLOOKUP(V183,'G-7 WaterC'' Data'!$AK$4:$AM$6,3,FALSE)))</f>
        <v/>
      </c>
      <c r="Y183" s="281" t="str">
        <f>IFERROR(IF(OR(LEFT(P183,5)="Error",LEFT(O183,5)="Error"),"Check Data ⚠",IF(F183&lt;S183,'G-7 WaterC'' Data'!$R$3,INDEX('G-7 WaterC'' Data'!$U$5:$Y$9,MATCH(G183,'G-7 WaterC'' Data'!$T$5:$T$9,0),MATCH(T183,'G-7 WaterC'' Data'!$U$4:$Y$4,0)))),"")</f>
        <v/>
      </c>
      <c r="Z183" s="137"/>
      <c r="AA183" s="137"/>
      <c r="AB183" s="289" t="str">
        <f t="shared" si="23"/>
        <v/>
      </c>
      <c r="AC183" s="302" t="str">
        <f t="shared" si="24"/>
        <v/>
      </c>
      <c r="AD183" s="340" t="str">
        <f>IFERROR(IF(AC183="Check Data ⚠","Check Data ⚠",VLOOKUP(AC183,'G-4 Temporal multipliers'!$A$4:$C$37,3,FALSE)),"")</f>
        <v/>
      </c>
      <c r="AE183" s="281" t="str">
        <f>IF(N183="","",VLOOKUP(N183,'G-7 WaterC'' Data'!$B$4:$G$8,5,FALSE))</f>
        <v/>
      </c>
      <c r="AF183" s="289" t="str">
        <f t="shared" si="25"/>
        <v/>
      </c>
      <c r="AG183" s="320" t="str">
        <f t="shared" si="26"/>
        <v/>
      </c>
      <c r="AH183" s="282" t="str">
        <f t="shared" si="20"/>
        <v/>
      </c>
      <c r="AI183" s="109"/>
      <c r="AJ183" s="282" t="str">
        <f>IF(AI183="","",IF(AND(AI183="N/A - Culvert",N183&lt;&gt;"Culvert"),"Not possible ▲",IF(VLOOKUP(AI183,'G-7 WaterC'' Data'!$AA$4:$AB$7,2,FALSE)=0,"Spatial Data Missing ⚠",VLOOKUP(AI183,'G-7 WaterC'' Data'!$AA$4:$AB$7,2,FALSE))))</f>
        <v/>
      </c>
      <c r="AK183" s="110"/>
      <c r="AL183" s="282" t="str">
        <f>IF(AK183="","",IF(AND(AK183="N/A - Culvert",N183&lt;&gt;"Culvert"),"Not possible ▲",IF(VLOOKUP(AK183,'G-7 WaterC'' Data'!$AD$4:$AE$14,2,FALSE)=0,"Spatial Data Missing ⚠",VLOOKUP(AK183,'G-7 WaterC'' Data'!$AD$4:$AE$14,2,FALSE))))</f>
        <v/>
      </c>
      <c r="AM183" s="323" t="str">
        <f t="shared" si="27"/>
        <v/>
      </c>
      <c r="AN183" s="105"/>
      <c r="AO183" s="119"/>
      <c r="AP183" s="108"/>
      <c r="AS183" s="30" t="str">
        <f>IF(B183="","",IF(ISNA(VLOOKUP($B183,'C-1 On-Site WaterC'' Baseline'!$C$8:$AD$257,17,FALSE)),"",(VLOOKUP($B183,'C-1 On-Site WaterC'' Baseline'!$C$8:$AD$257,17,FALSE))))</f>
        <v/>
      </c>
      <c r="AT183" s="30" t="str">
        <f>IF(B183="","",VLOOKUP($B183,'C-1 On-Site WaterC'' Baseline'!$C$9:$Z$257,12,FALSE))</f>
        <v/>
      </c>
      <c r="AU183" s="30" t="str">
        <f>IF(B183="","",VLOOKUP($B183,'C-1 On-Site WaterC'' Baseline'!$C$9:$Z$257,14,FALSE))</f>
        <v/>
      </c>
      <c r="AV183" s="30" t="str">
        <f>IFERROR(INDEX('G-7 WaterC'' Data'!$AZ$3:$AZ$7,MATCH(N183,'G-7 WaterC'' Data'!$AY$3:$AY$7,0)),"")</f>
        <v/>
      </c>
      <c r="AX183" s="30" t="str">
        <f>IF(B183="","",VLOOKUP($B183,'C-1 On-Site WaterC'' Baseline'!$C$9:$Y$257,22,FALSE))</f>
        <v/>
      </c>
      <c r="AY183" s="30" t="str">
        <f t="shared" si="28"/>
        <v/>
      </c>
      <c r="AZ183" s="30" t="str">
        <f>IF(B183="","",VLOOKUP($B183,'C-1 On-Site WaterC'' Baseline'!$C$9:$Y$257,21,FALSE))</f>
        <v/>
      </c>
      <c r="BA183" s="30" t="str">
        <f>IF(B183="","",VLOOKUP($B183,'C-1 On-Site WaterC'' Baseline'!$C$9:$Y$257,19,FALSE))</f>
        <v/>
      </c>
      <c r="BD183" s="30" t="str">
        <f t="shared" si="29"/>
        <v>No</v>
      </c>
    </row>
    <row r="184" spans="2:56" ht="13.8" x14ac:dyDescent="0.25">
      <c r="B184" s="311" t="str">
        <f>'C-1 On-Site WaterC'' Baseline'!AP182</f>
        <v/>
      </c>
      <c r="C184" s="301" t="str">
        <f>IF(B184="","",VLOOKUP($B184,'C-1 On-Site WaterC'' Baseline'!$C$9:$R$257,2,FALSE))</f>
        <v/>
      </c>
      <c r="D184" s="301" t="str">
        <f>IF(C184="","",VLOOKUP($B184,'C-1 On-Site WaterC'' Baseline'!$C$9:$R$257,3,FALSE))</f>
        <v/>
      </c>
      <c r="E184" s="301" t="str">
        <f>IF(D184="","",VLOOKUP($B184,'C-1 On-Site WaterC'' Baseline'!$C$9:$R$257,4,FALSE))</f>
        <v/>
      </c>
      <c r="F184" s="301" t="str">
        <f>IF(E184="","",VLOOKUP($B184,'C-1 On-Site WaterC'' Baseline'!$C$9:$R$257,5,FALSE))</f>
        <v/>
      </c>
      <c r="G184" s="301" t="str">
        <f>IF(F184="","",VLOOKUP($B184,'C-1 On-Site WaterC'' Baseline'!$C$9:$R$257,6,FALSE))</f>
        <v/>
      </c>
      <c r="H184" s="301" t="str">
        <f>IF(G184="","",VLOOKUP($B184,'C-1 On-Site WaterC'' Baseline'!$C$9:$R$257,7,FALSE))</f>
        <v/>
      </c>
      <c r="I184" s="301" t="str">
        <f>IF(H184="","",VLOOKUP($B184,'C-1 On-Site WaterC'' Baseline'!$C$9:$R$257,8,FALSE))</f>
        <v/>
      </c>
      <c r="J184" s="301" t="str">
        <f>IF(I184="","",VLOOKUP($B184,'C-1 On-Site WaterC'' Baseline'!$C$9:$R$257,9,FALSE))</f>
        <v/>
      </c>
      <c r="K184" s="301" t="str">
        <f>IF(J184="","",VLOOKUP($B184,'C-1 On-Site WaterC'' Baseline'!$C$9:$R$257,10,FALSE))</f>
        <v/>
      </c>
      <c r="L184" s="301" t="str">
        <f>IF(B184="","",VLOOKUP($B184,'C-1 On-Site WaterC'' Baseline'!$C$9:$R$257,15,FALSE))</f>
        <v/>
      </c>
      <c r="M184" s="305" t="str">
        <f>IF(L184="","",VLOOKUP($B184,'C-1 On-Site WaterC'' Baseline'!$C$9:$R$257,16,FALSE))</f>
        <v/>
      </c>
      <c r="N184" s="251"/>
      <c r="O184" s="281" t="str">
        <f t="shared" si="21"/>
        <v/>
      </c>
      <c r="P184" s="282" t="str">
        <f t="shared" si="22"/>
        <v/>
      </c>
      <c r="Q184" s="342" t="str">
        <f>IF(N184="","",VLOOKUP(B184,'C-1 On-Site WaterC'' Baseline'!$C$10:$AC$257,20,FALSE))</f>
        <v/>
      </c>
      <c r="R184" s="281" t="str">
        <f>IF(N184="","",VLOOKUP(N184,'G-7 WaterC'' Data'!$B$2:$G$8,2,FALSE))</f>
        <v/>
      </c>
      <c r="S184" s="282" t="str">
        <f>IFERROR(VLOOKUP(R184,'G-7 WaterC'' Data'!$C$4:$D$8,2,FALSE),"")</f>
        <v/>
      </c>
      <c r="T184" s="105"/>
      <c r="U184" s="282" t="str">
        <f>IFERROR(INDEX('G-7 WaterC'' Data'!$H$4:$L$8,MATCH(N184,'G-7 WaterC'' Data'!$B$4:$B$8,0),MATCH(T184,'G-7 WaterC'' Data'!$H$3:$L$3,0)),"")</f>
        <v/>
      </c>
      <c r="V184" s="105"/>
      <c r="W184" s="289" t="str">
        <f>IF(V184="","",IF(VLOOKUP(V184,'G-7 WaterC'' Data'!$AK$4:$AM$6,2,FALSE)=0,"Spatial Data Missing ⚠",VLOOKUP(V184,'G-7 WaterC'' Data'!$AK$4:$AM$6,2,FALSE)))</f>
        <v/>
      </c>
      <c r="X184" s="282" t="str">
        <f>IF(V184="","",IF(VLOOKUP(V184,'G-7 WaterC'' Data'!$AK$4:$AM$6,3,FALSE)=0,"Spatial Data Missing ⚠",VLOOKUP(V184,'G-7 WaterC'' Data'!$AK$4:$AM$6,3,FALSE)))</f>
        <v/>
      </c>
      <c r="Y184" s="281" t="str">
        <f>IFERROR(IF(OR(LEFT(P184,5)="Error",LEFT(O184,5)="Error"),"Check Data ⚠",IF(F184&lt;S184,'G-7 WaterC'' Data'!$R$3,INDEX('G-7 WaterC'' Data'!$U$5:$Y$9,MATCH(G184,'G-7 WaterC'' Data'!$T$5:$T$9,0),MATCH(T184,'G-7 WaterC'' Data'!$U$4:$Y$4,0)))),"")</f>
        <v/>
      </c>
      <c r="Z184" s="137"/>
      <c r="AA184" s="137"/>
      <c r="AB184" s="289" t="str">
        <f t="shared" si="23"/>
        <v/>
      </c>
      <c r="AC184" s="302" t="str">
        <f t="shared" si="24"/>
        <v/>
      </c>
      <c r="AD184" s="340" t="str">
        <f>IFERROR(IF(AC184="Check Data ⚠","Check Data ⚠",VLOOKUP(AC184,'G-4 Temporal multipliers'!$A$4:$C$37,3,FALSE)),"")</f>
        <v/>
      </c>
      <c r="AE184" s="281" t="str">
        <f>IF(N184="","",VLOOKUP(N184,'G-7 WaterC'' Data'!$B$4:$G$8,5,FALSE))</f>
        <v/>
      </c>
      <c r="AF184" s="289" t="str">
        <f t="shared" si="25"/>
        <v/>
      </c>
      <c r="AG184" s="320" t="str">
        <f t="shared" si="26"/>
        <v/>
      </c>
      <c r="AH184" s="282" t="str">
        <f t="shared" si="20"/>
        <v/>
      </c>
      <c r="AI184" s="109"/>
      <c r="AJ184" s="282" t="str">
        <f>IF(AI184="","",IF(AND(AI184="N/A - Culvert",N184&lt;&gt;"Culvert"),"Not possible ▲",IF(VLOOKUP(AI184,'G-7 WaterC'' Data'!$AA$4:$AB$7,2,FALSE)=0,"Spatial Data Missing ⚠",VLOOKUP(AI184,'G-7 WaterC'' Data'!$AA$4:$AB$7,2,FALSE))))</f>
        <v/>
      </c>
      <c r="AK184" s="110"/>
      <c r="AL184" s="282" t="str">
        <f>IF(AK184="","",IF(AND(AK184="N/A - Culvert",N184&lt;&gt;"Culvert"),"Not possible ▲",IF(VLOOKUP(AK184,'G-7 WaterC'' Data'!$AD$4:$AE$14,2,FALSE)=0,"Spatial Data Missing ⚠",VLOOKUP(AK184,'G-7 WaterC'' Data'!$AD$4:$AE$14,2,FALSE))))</f>
        <v/>
      </c>
      <c r="AM184" s="323" t="str">
        <f t="shared" si="27"/>
        <v/>
      </c>
      <c r="AN184" s="105"/>
      <c r="AO184" s="119"/>
      <c r="AP184" s="108"/>
      <c r="AS184" s="30" t="str">
        <f>IF(B184="","",IF(ISNA(VLOOKUP($B184,'C-1 On-Site WaterC'' Baseline'!$C$8:$AD$257,17,FALSE)),"",(VLOOKUP($B184,'C-1 On-Site WaterC'' Baseline'!$C$8:$AD$257,17,FALSE))))</f>
        <v/>
      </c>
      <c r="AT184" s="30" t="str">
        <f>IF(B184="","",VLOOKUP($B184,'C-1 On-Site WaterC'' Baseline'!$C$9:$Z$257,12,FALSE))</f>
        <v/>
      </c>
      <c r="AU184" s="30" t="str">
        <f>IF(B184="","",VLOOKUP($B184,'C-1 On-Site WaterC'' Baseline'!$C$9:$Z$257,14,FALSE))</f>
        <v/>
      </c>
      <c r="AV184" s="30" t="str">
        <f>IFERROR(INDEX('G-7 WaterC'' Data'!$AZ$3:$AZ$7,MATCH(N184,'G-7 WaterC'' Data'!$AY$3:$AY$7,0)),"")</f>
        <v/>
      </c>
      <c r="AX184" s="30" t="str">
        <f>IF(B184="","",VLOOKUP($B184,'C-1 On-Site WaterC'' Baseline'!$C$9:$Y$257,22,FALSE))</f>
        <v/>
      </c>
      <c r="AY184" s="30" t="str">
        <f t="shared" si="28"/>
        <v/>
      </c>
      <c r="AZ184" s="30" t="str">
        <f>IF(B184="","",VLOOKUP($B184,'C-1 On-Site WaterC'' Baseline'!$C$9:$Y$257,21,FALSE))</f>
        <v/>
      </c>
      <c r="BA184" s="30" t="str">
        <f>IF(B184="","",VLOOKUP($B184,'C-1 On-Site WaterC'' Baseline'!$C$9:$Y$257,19,FALSE))</f>
        <v/>
      </c>
      <c r="BD184" s="30" t="str">
        <f t="shared" si="29"/>
        <v>No</v>
      </c>
    </row>
    <row r="185" spans="2:56" ht="13.8" x14ac:dyDescent="0.25">
      <c r="B185" s="311" t="str">
        <f>'C-1 On-Site WaterC'' Baseline'!AP183</f>
        <v/>
      </c>
      <c r="C185" s="301" t="str">
        <f>IF(B185="","",VLOOKUP($B185,'C-1 On-Site WaterC'' Baseline'!$C$9:$R$257,2,FALSE))</f>
        <v/>
      </c>
      <c r="D185" s="301" t="str">
        <f>IF(C185="","",VLOOKUP($B185,'C-1 On-Site WaterC'' Baseline'!$C$9:$R$257,3,FALSE))</f>
        <v/>
      </c>
      <c r="E185" s="301" t="str">
        <f>IF(D185="","",VLOOKUP($B185,'C-1 On-Site WaterC'' Baseline'!$C$9:$R$257,4,FALSE))</f>
        <v/>
      </c>
      <c r="F185" s="301" t="str">
        <f>IF(E185="","",VLOOKUP($B185,'C-1 On-Site WaterC'' Baseline'!$C$9:$R$257,5,FALSE))</f>
        <v/>
      </c>
      <c r="G185" s="301" t="str">
        <f>IF(F185="","",VLOOKUP($B185,'C-1 On-Site WaterC'' Baseline'!$C$9:$R$257,6,FALSE))</f>
        <v/>
      </c>
      <c r="H185" s="301" t="str">
        <f>IF(G185="","",VLOOKUP($B185,'C-1 On-Site WaterC'' Baseline'!$C$9:$R$257,7,FALSE))</f>
        <v/>
      </c>
      <c r="I185" s="301" t="str">
        <f>IF(H185="","",VLOOKUP($B185,'C-1 On-Site WaterC'' Baseline'!$C$9:$R$257,8,FALSE))</f>
        <v/>
      </c>
      <c r="J185" s="301" t="str">
        <f>IF(I185="","",VLOOKUP($B185,'C-1 On-Site WaterC'' Baseline'!$C$9:$R$257,9,FALSE))</f>
        <v/>
      </c>
      <c r="K185" s="301" t="str">
        <f>IF(J185="","",VLOOKUP($B185,'C-1 On-Site WaterC'' Baseline'!$C$9:$R$257,10,FALSE))</f>
        <v/>
      </c>
      <c r="L185" s="301" t="str">
        <f>IF(B185="","",VLOOKUP($B185,'C-1 On-Site WaterC'' Baseline'!$C$9:$R$257,15,FALSE))</f>
        <v/>
      </c>
      <c r="M185" s="305" t="str">
        <f>IF(L185="","",VLOOKUP($B185,'C-1 On-Site WaterC'' Baseline'!$C$9:$R$257,16,FALSE))</f>
        <v/>
      </c>
      <c r="N185" s="251"/>
      <c r="O185" s="281" t="str">
        <f t="shared" si="21"/>
        <v/>
      </c>
      <c r="P185" s="282" t="str">
        <f t="shared" si="22"/>
        <v/>
      </c>
      <c r="Q185" s="342" t="str">
        <f>IF(N185="","",VLOOKUP(B185,'C-1 On-Site WaterC'' Baseline'!$C$10:$AC$257,20,FALSE))</f>
        <v/>
      </c>
      <c r="R185" s="281" t="str">
        <f>IF(N185="","",VLOOKUP(N185,'G-7 WaterC'' Data'!$B$2:$G$8,2,FALSE))</f>
        <v/>
      </c>
      <c r="S185" s="282" t="str">
        <f>IFERROR(VLOOKUP(R185,'G-7 WaterC'' Data'!$C$4:$D$8,2,FALSE),"")</f>
        <v/>
      </c>
      <c r="T185" s="105"/>
      <c r="U185" s="282" t="str">
        <f>IFERROR(INDEX('G-7 WaterC'' Data'!$H$4:$L$8,MATCH(N185,'G-7 WaterC'' Data'!$B$4:$B$8,0),MATCH(T185,'G-7 WaterC'' Data'!$H$3:$L$3,0)),"")</f>
        <v/>
      </c>
      <c r="V185" s="105"/>
      <c r="W185" s="289" t="str">
        <f>IF(V185="","",IF(VLOOKUP(V185,'G-7 WaterC'' Data'!$AK$4:$AM$6,2,FALSE)=0,"Spatial Data Missing ⚠",VLOOKUP(V185,'G-7 WaterC'' Data'!$AK$4:$AM$6,2,FALSE)))</f>
        <v/>
      </c>
      <c r="X185" s="282" t="str">
        <f>IF(V185="","",IF(VLOOKUP(V185,'G-7 WaterC'' Data'!$AK$4:$AM$6,3,FALSE)=0,"Spatial Data Missing ⚠",VLOOKUP(V185,'G-7 WaterC'' Data'!$AK$4:$AM$6,3,FALSE)))</f>
        <v/>
      </c>
      <c r="Y185" s="281" t="str">
        <f>IFERROR(IF(OR(LEFT(P185,5)="Error",LEFT(O185,5)="Error"),"Check Data ⚠",IF(F185&lt;S185,'G-7 WaterC'' Data'!$R$3,INDEX('G-7 WaterC'' Data'!$U$5:$Y$9,MATCH(G185,'G-7 WaterC'' Data'!$T$5:$T$9,0),MATCH(T185,'G-7 WaterC'' Data'!$U$4:$Y$4,0)))),"")</f>
        <v/>
      </c>
      <c r="Z185" s="137"/>
      <c r="AA185" s="137"/>
      <c r="AB185" s="289" t="str">
        <f t="shared" si="23"/>
        <v/>
      </c>
      <c r="AC185" s="302" t="str">
        <f t="shared" si="24"/>
        <v/>
      </c>
      <c r="AD185" s="340" t="str">
        <f>IFERROR(IF(AC185="Check Data ⚠","Check Data ⚠",VLOOKUP(AC185,'G-4 Temporal multipliers'!$A$4:$C$37,3,FALSE)),"")</f>
        <v/>
      </c>
      <c r="AE185" s="281" t="str">
        <f>IF(N185="","",VLOOKUP(N185,'G-7 WaterC'' Data'!$B$4:$G$8,5,FALSE))</f>
        <v/>
      </c>
      <c r="AF185" s="289" t="str">
        <f t="shared" si="25"/>
        <v/>
      </c>
      <c r="AG185" s="320" t="str">
        <f t="shared" si="26"/>
        <v/>
      </c>
      <c r="AH185" s="282" t="str">
        <f t="shared" si="20"/>
        <v/>
      </c>
      <c r="AI185" s="109"/>
      <c r="AJ185" s="282" t="str">
        <f>IF(AI185="","",IF(AND(AI185="N/A - Culvert",N185&lt;&gt;"Culvert"),"Not possible ▲",IF(VLOOKUP(AI185,'G-7 WaterC'' Data'!$AA$4:$AB$7,2,FALSE)=0,"Spatial Data Missing ⚠",VLOOKUP(AI185,'G-7 WaterC'' Data'!$AA$4:$AB$7,2,FALSE))))</f>
        <v/>
      </c>
      <c r="AK185" s="110"/>
      <c r="AL185" s="282" t="str">
        <f>IF(AK185="","",IF(AND(AK185="N/A - Culvert",N185&lt;&gt;"Culvert"),"Not possible ▲",IF(VLOOKUP(AK185,'G-7 WaterC'' Data'!$AD$4:$AE$14,2,FALSE)=0,"Spatial Data Missing ⚠",VLOOKUP(AK185,'G-7 WaterC'' Data'!$AD$4:$AE$14,2,FALSE))))</f>
        <v/>
      </c>
      <c r="AM185" s="323" t="str">
        <f t="shared" si="27"/>
        <v/>
      </c>
      <c r="AN185" s="105"/>
      <c r="AO185" s="119"/>
      <c r="AP185" s="108"/>
      <c r="AS185" s="30" t="str">
        <f>IF(B185="","",IF(ISNA(VLOOKUP($B185,'C-1 On-Site WaterC'' Baseline'!$C$8:$AD$257,17,FALSE)),"",(VLOOKUP($B185,'C-1 On-Site WaterC'' Baseline'!$C$8:$AD$257,17,FALSE))))</f>
        <v/>
      </c>
      <c r="AT185" s="30" t="str">
        <f>IF(B185="","",VLOOKUP($B185,'C-1 On-Site WaterC'' Baseline'!$C$9:$Z$257,12,FALSE))</f>
        <v/>
      </c>
      <c r="AU185" s="30" t="str">
        <f>IF(B185="","",VLOOKUP($B185,'C-1 On-Site WaterC'' Baseline'!$C$9:$Z$257,14,FALSE))</f>
        <v/>
      </c>
      <c r="AV185" s="30" t="str">
        <f>IFERROR(INDEX('G-7 WaterC'' Data'!$AZ$3:$AZ$7,MATCH(N185,'G-7 WaterC'' Data'!$AY$3:$AY$7,0)),"")</f>
        <v/>
      </c>
      <c r="AX185" s="30" t="str">
        <f>IF(B185="","",VLOOKUP($B185,'C-1 On-Site WaterC'' Baseline'!$C$9:$Y$257,22,FALSE))</f>
        <v/>
      </c>
      <c r="AY185" s="30" t="str">
        <f t="shared" si="28"/>
        <v/>
      </c>
      <c r="AZ185" s="30" t="str">
        <f>IF(B185="","",VLOOKUP($B185,'C-1 On-Site WaterC'' Baseline'!$C$9:$Y$257,21,FALSE))</f>
        <v/>
      </c>
      <c r="BA185" s="30" t="str">
        <f>IF(B185="","",VLOOKUP($B185,'C-1 On-Site WaterC'' Baseline'!$C$9:$Y$257,19,FALSE))</f>
        <v/>
      </c>
      <c r="BD185" s="30" t="str">
        <f t="shared" si="29"/>
        <v>No</v>
      </c>
    </row>
    <row r="186" spans="2:56" ht="13.8" x14ac:dyDescent="0.25">
      <c r="B186" s="311" t="str">
        <f>'C-1 On-Site WaterC'' Baseline'!AP184</f>
        <v/>
      </c>
      <c r="C186" s="301" t="str">
        <f>IF(B186="","",VLOOKUP($B186,'C-1 On-Site WaterC'' Baseline'!$C$9:$R$257,2,FALSE))</f>
        <v/>
      </c>
      <c r="D186" s="301" t="str">
        <f>IF(C186="","",VLOOKUP($B186,'C-1 On-Site WaterC'' Baseline'!$C$9:$R$257,3,FALSE))</f>
        <v/>
      </c>
      <c r="E186" s="301" t="str">
        <f>IF(D186="","",VLOOKUP($B186,'C-1 On-Site WaterC'' Baseline'!$C$9:$R$257,4,FALSE))</f>
        <v/>
      </c>
      <c r="F186" s="301" t="str">
        <f>IF(E186="","",VLOOKUP($B186,'C-1 On-Site WaterC'' Baseline'!$C$9:$R$257,5,FALSE))</f>
        <v/>
      </c>
      <c r="G186" s="301" t="str">
        <f>IF(F186="","",VLOOKUP($B186,'C-1 On-Site WaterC'' Baseline'!$C$9:$R$257,6,FALSE))</f>
        <v/>
      </c>
      <c r="H186" s="301" t="str">
        <f>IF(G186="","",VLOOKUP($B186,'C-1 On-Site WaterC'' Baseline'!$C$9:$R$257,7,FALSE))</f>
        <v/>
      </c>
      <c r="I186" s="301" t="str">
        <f>IF(H186="","",VLOOKUP($B186,'C-1 On-Site WaterC'' Baseline'!$C$9:$R$257,8,FALSE))</f>
        <v/>
      </c>
      <c r="J186" s="301" t="str">
        <f>IF(I186="","",VLOOKUP($B186,'C-1 On-Site WaterC'' Baseline'!$C$9:$R$257,9,FALSE))</f>
        <v/>
      </c>
      <c r="K186" s="301" t="str">
        <f>IF(J186="","",VLOOKUP($B186,'C-1 On-Site WaterC'' Baseline'!$C$9:$R$257,10,FALSE))</f>
        <v/>
      </c>
      <c r="L186" s="301" t="str">
        <f>IF(B186="","",VLOOKUP($B186,'C-1 On-Site WaterC'' Baseline'!$C$9:$R$257,15,FALSE))</f>
        <v/>
      </c>
      <c r="M186" s="305" t="str">
        <f>IF(L186="","",VLOOKUP($B186,'C-1 On-Site WaterC'' Baseline'!$C$9:$R$257,16,FALSE))</f>
        <v/>
      </c>
      <c r="N186" s="251"/>
      <c r="O186" s="281" t="str">
        <f t="shared" si="21"/>
        <v/>
      </c>
      <c r="P186" s="282" t="str">
        <f t="shared" si="22"/>
        <v/>
      </c>
      <c r="Q186" s="342" t="str">
        <f>IF(N186="","",VLOOKUP(B186,'C-1 On-Site WaterC'' Baseline'!$C$10:$AC$257,20,FALSE))</f>
        <v/>
      </c>
      <c r="R186" s="281" t="str">
        <f>IF(N186="","",VLOOKUP(N186,'G-7 WaterC'' Data'!$B$2:$G$8,2,FALSE))</f>
        <v/>
      </c>
      <c r="S186" s="282" t="str">
        <f>IFERROR(VLOOKUP(R186,'G-7 WaterC'' Data'!$C$4:$D$8,2,FALSE),"")</f>
        <v/>
      </c>
      <c r="T186" s="105"/>
      <c r="U186" s="282" t="str">
        <f>IFERROR(INDEX('G-7 WaterC'' Data'!$H$4:$L$8,MATCH(N186,'G-7 WaterC'' Data'!$B$4:$B$8,0),MATCH(T186,'G-7 WaterC'' Data'!$H$3:$L$3,0)),"")</f>
        <v/>
      </c>
      <c r="V186" s="105"/>
      <c r="W186" s="289" t="str">
        <f>IF(V186="","",IF(VLOOKUP(V186,'G-7 WaterC'' Data'!$AK$4:$AM$6,2,FALSE)=0,"Spatial Data Missing ⚠",VLOOKUP(V186,'G-7 WaterC'' Data'!$AK$4:$AM$6,2,FALSE)))</f>
        <v/>
      </c>
      <c r="X186" s="282" t="str">
        <f>IF(V186="","",IF(VLOOKUP(V186,'G-7 WaterC'' Data'!$AK$4:$AM$6,3,FALSE)=0,"Spatial Data Missing ⚠",VLOOKUP(V186,'G-7 WaterC'' Data'!$AK$4:$AM$6,3,FALSE)))</f>
        <v/>
      </c>
      <c r="Y186" s="281" t="str">
        <f>IFERROR(IF(OR(LEFT(P186,5)="Error",LEFT(O186,5)="Error"),"Check Data ⚠",IF(F186&lt;S186,'G-7 WaterC'' Data'!$R$3,INDEX('G-7 WaterC'' Data'!$U$5:$Y$9,MATCH(G186,'G-7 WaterC'' Data'!$T$5:$T$9,0),MATCH(T186,'G-7 WaterC'' Data'!$U$4:$Y$4,0)))),"")</f>
        <v/>
      </c>
      <c r="Z186" s="137"/>
      <c r="AA186" s="137"/>
      <c r="AB186" s="289" t="str">
        <f t="shared" si="23"/>
        <v/>
      </c>
      <c r="AC186" s="302" t="str">
        <f t="shared" si="24"/>
        <v/>
      </c>
      <c r="AD186" s="340" t="str">
        <f>IFERROR(IF(AC186="Check Data ⚠","Check Data ⚠",VLOOKUP(AC186,'G-4 Temporal multipliers'!$A$4:$C$37,3,FALSE)),"")</f>
        <v/>
      </c>
      <c r="AE186" s="281" t="str">
        <f>IF(N186="","",VLOOKUP(N186,'G-7 WaterC'' Data'!$B$4:$G$8,5,FALSE))</f>
        <v/>
      </c>
      <c r="AF186" s="289" t="str">
        <f t="shared" si="25"/>
        <v/>
      </c>
      <c r="AG186" s="320" t="str">
        <f t="shared" si="26"/>
        <v/>
      </c>
      <c r="AH186" s="282" t="str">
        <f t="shared" si="20"/>
        <v/>
      </c>
      <c r="AI186" s="109"/>
      <c r="AJ186" s="282" t="str">
        <f>IF(AI186="","",IF(AND(AI186="N/A - Culvert",N186&lt;&gt;"Culvert"),"Not possible ▲",IF(VLOOKUP(AI186,'G-7 WaterC'' Data'!$AA$4:$AB$7,2,FALSE)=0,"Spatial Data Missing ⚠",VLOOKUP(AI186,'G-7 WaterC'' Data'!$AA$4:$AB$7,2,FALSE))))</f>
        <v/>
      </c>
      <c r="AK186" s="110"/>
      <c r="AL186" s="282" t="str">
        <f>IF(AK186="","",IF(AND(AK186="N/A - Culvert",N186&lt;&gt;"Culvert"),"Not possible ▲",IF(VLOOKUP(AK186,'G-7 WaterC'' Data'!$AD$4:$AE$14,2,FALSE)=0,"Spatial Data Missing ⚠",VLOOKUP(AK186,'G-7 WaterC'' Data'!$AD$4:$AE$14,2,FALSE))))</f>
        <v/>
      </c>
      <c r="AM186" s="323" t="str">
        <f t="shared" si="27"/>
        <v/>
      </c>
      <c r="AN186" s="105"/>
      <c r="AO186" s="119"/>
      <c r="AP186" s="108"/>
      <c r="AS186" s="30" t="str">
        <f>IF(B186="","",IF(ISNA(VLOOKUP($B186,'C-1 On-Site WaterC'' Baseline'!$C$8:$AD$257,17,FALSE)),"",(VLOOKUP($B186,'C-1 On-Site WaterC'' Baseline'!$C$8:$AD$257,17,FALSE))))</f>
        <v/>
      </c>
      <c r="AT186" s="30" t="str">
        <f>IF(B186="","",VLOOKUP($B186,'C-1 On-Site WaterC'' Baseline'!$C$9:$Z$257,12,FALSE))</f>
        <v/>
      </c>
      <c r="AU186" s="30" t="str">
        <f>IF(B186="","",VLOOKUP($B186,'C-1 On-Site WaterC'' Baseline'!$C$9:$Z$257,14,FALSE))</f>
        <v/>
      </c>
      <c r="AV186" s="30" t="str">
        <f>IFERROR(INDEX('G-7 WaterC'' Data'!$AZ$3:$AZ$7,MATCH(N186,'G-7 WaterC'' Data'!$AY$3:$AY$7,0)),"")</f>
        <v/>
      </c>
      <c r="AX186" s="30" t="str">
        <f>IF(B186="","",VLOOKUP($B186,'C-1 On-Site WaterC'' Baseline'!$C$9:$Y$257,22,FALSE))</f>
        <v/>
      </c>
      <c r="AY186" s="30" t="str">
        <f t="shared" si="28"/>
        <v/>
      </c>
      <c r="AZ186" s="30" t="str">
        <f>IF(B186="","",VLOOKUP($B186,'C-1 On-Site WaterC'' Baseline'!$C$9:$Y$257,21,FALSE))</f>
        <v/>
      </c>
      <c r="BA186" s="30" t="str">
        <f>IF(B186="","",VLOOKUP($B186,'C-1 On-Site WaterC'' Baseline'!$C$9:$Y$257,19,FALSE))</f>
        <v/>
      </c>
      <c r="BD186" s="30" t="str">
        <f t="shared" si="29"/>
        <v>No</v>
      </c>
    </row>
    <row r="187" spans="2:56" ht="13.8" x14ac:dyDescent="0.25">
      <c r="B187" s="311" t="str">
        <f>'C-1 On-Site WaterC'' Baseline'!AP185</f>
        <v/>
      </c>
      <c r="C187" s="301" t="str">
        <f>IF(B187="","",VLOOKUP($B187,'C-1 On-Site WaterC'' Baseline'!$C$9:$R$257,2,FALSE))</f>
        <v/>
      </c>
      <c r="D187" s="301" t="str">
        <f>IF(C187="","",VLOOKUP($B187,'C-1 On-Site WaterC'' Baseline'!$C$9:$R$257,3,FALSE))</f>
        <v/>
      </c>
      <c r="E187" s="301" t="str">
        <f>IF(D187="","",VLOOKUP($B187,'C-1 On-Site WaterC'' Baseline'!$C$9:$R$257,4,FALSE))</f>
        <v/>
      </c>
      <c r="F187" s="301" t="str">
        <f>IF(E187="","",VLOOKUP($B187,'C-1 On-Site WaterC'' Baseline'!$C$9:$R$257,5,FALSE))</f>
        <v/>
      </c>
      <c r="G187" s="301" t="str">
        <f>IF(F187="","",VLOOKUP($B187,'C-1 On-Site WaterC'' Baseline'!$C$9:$R$257,6,FALSE))</f>
        <v/>
      </c>
      <c r="H187" s="301" t="str">
        <f>IF(G187="","",VLOOKUP($B187,'C-1 On-Site WaterC'' Baseline'!$C$9:$R$257,7,FALSE))</f>
        <v/>
      </c>
      <c r="I187" s="301" t="str">
        <f>IF(H187="","",VLOOKUP($B187,'C-1 On-Site WaterC'' Baseline'!$C$9:$R$257,8,FALSE))</f>
        <v/>
      </c>
      <c r="J187" s="301" t="str">
        <f>IF(I187="","",VLOOKUP($B187,'C-1 On-Site WaterC'' Baseline'!$C$9:$R$257,9,FALSE))</f>
        <v/>
      </c>
      <c r="K187" s="301" t="str">
        <f>IF(J187="","",VLOOKUP($B187,'C-1 On-Site WaterC'' Baseline'!$C$9:$R$257,10,FALSE))</f>
        <v/>
      </c>
      <c r="L187" s="301" t="str">
        <f>IF(B187="","",VLOOKUP($B187,'C-1 On-Site WaterC'' Baseline'!$C$9:$R$257,15,FALSE))</f>
        <v/>
      </c>
      <c r="M187" s="305" t="str">
        <f>IF(L187="","",VLOOKUP($B187,'C-1 On-Site WaterC'' Baseline'!$C$9:$R$257,16,FALSE))</f>
        <v/>
      </c>
      <c r="N187" s="251"/>
      <c r="O187" s="281" t="str">
        <f t="shared" si="21"/>
        <v/>
      </c>
      <c r="P187" s="282" t="str">
        <f t="shared" si="22"/>
        <v/>
      </c>
      <c r="Q187" s="342" t="str">
        <f>IF(N187="","",VLOOKUP(B187,'C-1 On-Site WaterC'' Baseline'!$C$10:$AC$257,20,FALSE))</f>
        <v/>
      </c>
      <c r="R187" s="281" t="str">
        <f>IF(N187="","",VLOOKUP(N187,'G-7 WaterC'' Data'!$B$2:$G$8,2,FALSE))</f>
        <v/>
      </c>
      <c r="S187" s="282" t="str">
        <f>IFERROR(VLOOKUP(R187,'G-7 WaterC'' Data'!$C$4:$D$8,2,FALSE),"")</f>
        <v/>
      </c>
      <c r="T187" s="105"/>
      <c r="U187" s="282" t="str">
        <f>IFERROR(INDEX('G-7 WaterC'' Data'!$H$4:$L$8,MATCH(N187,'G-7 WaterC'' Data'!$B$4:$B$8,0),MATCH(T187,'G-7 WaterC'' Data'!$H$3:$L$3,0)),"")</f>
        <v/>
      </c>
      <c r="V187" s="105"/>
      <c r="W187" s="289" t="str">
        <f>IF(V187="","",IF(VLOOKUP(V187,'G-7 WaterC'' Data'!$AK$4:$AM$6,2,FALSE)=0,"Spatial Data Missing ⚠",VLOOKUP(V187,'G-7 WaterC'' Data'!$AK$4:$AM$6,2,FALSE)))</f>
        <v/>
      </c>
      <c r="X187" s="282" t="str">
        <f>IF(V187="","",IF(VLOOKUP(V187,'G-7 WaterC'' Data'!$AK$4:$AM$6,3,FALSE)=0,"Spatial Data Missing ⚠",VLOOKUP(V187,'G-7 WaterC'' Data'!$AK$4:$AM$6,3,FALSE)))</f>
        <v/>
      </c>
      <c r="Y187" s="281" t="str">
        <f>IFERROR(IF(OR(LEFT(P187,5)="Error",LEFT(O187,5)="Error"),"Check Data ⚠",IF(F187&lt;S187,'G-7 WaterC'' Data'!$R$3,INDEX('G-7 WaterC'' Data'!$U$5:$Y$9,MATCH(G187,'G-7 WaterC'' Data'!$T$5:$T$9,0),MATCH(T187,'G-7 WaterC'' Data'!$U$4:$Y$4,0)))),"")</f>
        <v/>
      </c>
      <c r="Z187" s="137"/>
      <c r="AA187" s="137"/>
      <c r="AB187" s="289" t="str">
        <f t="shared" si="23"/>
        <v/>
      </c>
      <c r="AC187" s="302" t="str">
        <f t="shared" si="24"/>
        <v/>
      </c>
      <c r="AD187" s="340" t="str">
        <f>IFERROR(IF(AC187="Check Data ⚠","Check Data ⚠",VLOOKUP(AC187,'G-4 Temporal multipliers'!$A$4:$C$37,3,FALSE)),"")</f>
        <v/>
      </c>
      <c r="AE187" s="281" t="str">
        <f>IF(N187="","",VLOOKUP(N187,'G-7 WaterC'' Data'!$B$4:$G$8,5,FALSE))</f>
        <v/>
      </c>
      <c r="AF187" s="289" t="str">
        <f t="shared" si="25"/>
        <v/>
      </c>
      <c r="AG187" s="320" t="str">
        <f t="shared" si="26"/>
        <v/>
      </c>
      <c r="AH187" s="282" t="str">
        <f t="shared" si="20"/>
        <v/>
      </c>
      <c r="AI187" s="109"/>
      <c r="AJ187" s="282" t="str">
        <f>IF(AI187="","",IF(AND(AI187="N/A - Culvert",N187&lt;&gt;"Culvert"),"Not possible ▲",IF(VLOOKUP(AI187,'G-7 WaterC'' Data'!$AA$4:$AB$7,2,FALSE)=0,"Spatial Data Missing ⚠",VLOOKUP(AI187,'G-7 WaterC'' Data'!$AA$4:$AB$7,2,FALSE))))</f>
        <v/>
      </c>
      <c r="AK187" s="110"/>
      <c r="AL187" s="282" t="str">
        <f>IF(AK187="","",IF(AND(AK187="N/A - Culvert",N187&lt;&gt;"Culvert"),"Not possible ▲",IF(VLOOKUP(AK187,'G-7 WaterC'' Data'!$AD$4:$AE$14,2,FALSE)=0,"Spatial Data Missing ⚠",VLOOKUP(AK187,'G-7 WaterC'' Data'!$AD$4:$AE$14,2,FALSE))))</f>
        <v/>
      </c>
      <c r="AM187" s="323" t="str">
        <f t="shared" si="27"/>
        <v/>
      </c>
      <c r="AN187" s="105"/>
      <c r="AO187" s="119"/>
      <c r="AP187" s="108"/>
      <c r="AS187" s="30" t="str">
        <f>IF(B187="","",IF(ISNA(VLOOKUP($B187,'C-1 On-Site WaterC'' Baseline'!$C$8:$AD$257,17,FALSE)),"",(VLOOKUP($B187,'C-1 On-Site WaterC'' Baseline'!$C$8:$AD$257,17,FALSE))))</f>
        <v/>
      </c>
      <c r="AT187" s="30" t="str">
        <f>IF(B187="","",VLOOKUP($B187,'C-1 On-Site WaterC'' Baseline'!$C$9:$Z$257,12,FALSE))</f>
        <v/>
      </c>
      <c r="AU187" s="30" t="str">
        <f>IF(B187="","",VLOOKUP($B187,'C-1 On-Site WaterC'' Baseline'!$C$9:$Z$257,14,FALSE))</f>
        <v/>
      </c>
      <c r="AV187" s="30" t="str">
        <f>IFERROR(INDEX('G-7 WaterC'' Data'!$AZ$3:$AZ$7,MATCH(N187,'G-7 WaterC'' Data'!$AY$3:$AY$7,0)),"")</f>
        <v/>
      </c>
      <c r="AX187" s="30" t="str">
        <f>IF(B187="","",VLOOKUP($B187,'C-1 On-Site WaterC'' Baseline'!$C$9:$Y$257,22,FALSE))</f>
        <v/>
      </c>
      <c r="AY187" s="30" t="str">
        <f t="shared" si="28"/>
        <v/>
      </c>
      <c r="AZ187" s="30" t="str">
        <f>IF(B187="","",VLOOKUP($B187,'C-1 On-Site WaterC'' Baseline'!$C$9:$Y$257,21,FALSE))</f>
        <v/>
      </c>
      <c r="BA187" s="30" t="str">
        <f>IF(B187="","",VLOOKUP($B187,'C-1 On-Site WaterC'' Baseline'!$C$9:$Y$257,19,FALSE))</f>
        <v/>
      </c>
      <c r="BD187" s="30" t="str">
        <f t="shared" si="29"/>
        <v>No</v>
      </c>
    </row>
    <row r="188" spans="2:56" ht="13.8" x14ac:dyDescent="0.25">
      <c r="B188" s="311" t="str">
        <f>'C-1 On-Site WaterC'' Baseline'!AP186</f>
        <v/>
      </c>
      <c r="C188" s="301" t="str">
        <f>IF(B188="","",VLOOKUP($B188,'C-1 On-Site WaterC'' Baseline'!$C$9:$R$257,2,FALSE))</f>
        <v/>
      </c>
      <c r="D188" s="301" t="str">
        <f>IF(C188="","",VLOOKUP($B188,'C-1 On-Site WaterC'' Baseline'!$C$9:$R$257,3,FALSE))</f>
        <v/>
      </c>
      <c r="E188" s="301" t="str">
        <f>IF(D188="","",VLOOKUP($B188,'C-1 On-Site WaterC'' Baseline'!$C$9:$R$257,4,FALSE))</f>
        <v/>
      </c>
      <c r="F188" s="301" t="str">
        <f>IF(E188="","",VLOOKUP($B188,'C-1 On-Site WaterC'' Baseline'!$C$9:$R$257,5,FALSE))</f>
        <v/>
      </c>
      <c r="G188" s="301" t="str">
        <f>IF(F188="","",VLOOKUP($B188,'C-1 On-Site WaterC'' Baseline'!$C$9:$R$257,6,FALSE))</f>
        <v/>
      </c>
      <c r="H188" s="301" t="str">
        <f>IF(G188="","",VLOOKUP($B188,'C-1 On-Site WaterC'' Baseline'!$C$9:$R$257,7,FALSE))</f>
        <v/>
      </c>
      <c r="I188" s="301" t="str">
        <f>IF(H188="","",VLOOKUP($B188,'C-1 On-Site WaterC'' Baseline'!$C$9:$R$257,8,FALSE))</f>
        <v/>
      </c>
      <c r="J188" s="301" t="str">
        <f>IF(I188="","",VLOOKUP($B188,'C-1 On-Site WaterC'' Baseline'!$C$9:$R$257,9,FALSE))</f>
        <v/>
      </c>
      <c r="K188" s="301" t="str">
        <f>IF(J188="","",VLOOKUP($B188,'C-1 On-Site WaterC'' Baseline'!$C$9:$R$257,10,FALSE))</f>
        <v/>
      </c>
      <c r="L188" s="301" t="str">
        <f>IF(B188="","",VLOOKUP($B188,'C-1 On-Site WaterC'' Baseline'!$C$9:$R$257,15,FALSE))</f>
        <v/>
      </c>
      <c r="M188" s="305" t="str">
        <f>IF(L188="","",VLOOKUP($B188,'C-1 On-Site WaterC'' Baseline'!$C$9:$R$257,16,FALSE))</f>
        <v/>
      </c>
      <c r="N188" s="251"/>
      <c r="O188" s="281" t="str">
        <f t="shared" si="21"/>
        <v/>
      </c>
      <c r="P188" s="282" t="str">
        <f t="shared" si="22"/>
        <v/>
      </c>
      <c r="Q188" s="342" t="str">
        <f>IF(N188="","",VLOOKUP(B188,'C-1 On-Site WaterC'' Baseline'!$C$10:$AC$257,20,FALSE))</f>
        <v/>
      </c>
      <c r="R188" s="281" t="str">
        <f>IF(N188="","",VLOOKUP(N188,'G-7 WaterC'' Data'!$B$2:$G$8,2,FALSE))</f>
        <v/>
      </c>
      <c r="S188" s="282" t="str">
        <f>IFERROR(VLOOKUP(R188,'G-7 WaterC'' Data'!$C$4:$D$8,2,FALSE),"")</f>
        <v/>
      </c>
      <c r="T188" s="105"/>
      <c r="U188" s="282" t="str">
        <f>IFERROR(INDEX('G-7 WaterC'' Data'!$H$4:$L$8,MATCH(N188,'G-7 WaterC'' Data'!$B$4:$B$8,0),MATCH(T188,'G-7 WaterC'' Data'!$H$3:$L$3,0)),"")</f>
        <v/>
      </c>
      <c r="V188" s="105"/>
      <c r="W188" s="289" t="str">
        <f>IF(V188="","",IF(VLOOKUP(V188,'G-7 WaterC'' Data'!$AK$4:$AM$6,2,FALSE)=0,"Spatial Data Missing ⚠",VLOOKUP(V188,'G-7 WaterC'' Data'!$AK$4:$AM$6,2,FALSE)))</f>
        <v/>
      </c>
      <c r="X188" s="282" t="str">
        <f>IF(V188="","",IF(VLOOKUP(V188,'G-7 WaterC'' Data'!$AK$4:$AM$6,3,FALSE)=0,"Spatial Data Missing ⚠",VLOOKUP(V188,'G-7 WaterC'' Data'!$AK$4:$AM$6,3,FALSE)))</f>
        <v/>
      </c>
      <c r="Y188" s="281" t="str">
        <f>IFERROR(IF(OR(LEFT(P188,5)="Error",LEFT(O188,5)="Error"),"Check Data ⚠",IF(F188&lt;S188,'G-7 WaterC'' Data'!$R$3,INDEX('G-7 WaterC'' Data'!$U$5:$Y$9,MATCH(G188,'G-7 WaterC'' Data'!$T$5:$T$9,0),MATCH(T188,'G-7 WaterC'' Data'!$U$4:$Y$4,0)))),"")</f>
        <v/>
      </c>
      <c r="Z188" s="137"/>
      <c r="AA188" s="137"/>
      <c r="AB188" s="289" t="str">
        <f t="shared" si="23"/>
        <v/>
      </c>
      <c r="AC188" s="302" t="str">
        <f t="shared" si="24"/>
        <v/>
      </c>
      <c r="AD188" s="340" t="str">
        <f>IFERROR(IF(AC188="Check Data ⚠","Check Data ⚠",VLOOKUP(AC188,'G-4 Temporal multipliers'!$A$4:$C$37,3,FALSE)),"")</f>
        <v/>
      </c>
      <c r="AE188" s="281" t="str">
        <f>IF(N188="","",VLOOKUP(N188,'G-7 WaterC'' Data'!$B$4:$G$8,5,FALSE))</f>
        <v/>
      </c>
      <c r="AF188" s="289" t="str">
        <f t="shared" si="25"/>
        <v/>
      </c>
      <c r="AG188" s="320" t="str">
        <f t="shared" si="26"/>
        <v/>
      </c>
      <c r="AH188" s="282" t="str">
        <f t="shared" si="20"/>
        <v/>
      </c>
      <c r="AI188" s="109"/>
      <c r="AJ188" s="282" t="str">
        <f>IF(AI188="","",IF(AND(AI188="N/A - Culvert",N188&lt;&gt;"Culvert"),"Not possible ▲",IF(VLOOKUP(AI188,'G-7 WaterC'' Data'!$AA$4:$AB$7,2,FALSE)=0,"Spatial Data Missing ⚠",VLOOKUP(AI188,'G-7 WaterC'' Data'!$AA$4:$AB$7,2,FALSE))))</f>
        <v/>
      </c>
      <c r="AK188" s="110"/>
      <c r="AL188" s="282" t="str">
        <f>IF(AK188="","",IF(AND(AK188="N/A - Culvert",N188&lt;&gt;"Culvert"),"Not possible ▲",IF(VLOOKUP(AK188,'G-7 WaterC'' Data'!$AD$4:$AE$14,2,FALSE)=0,"Spatial Data Missing ⚠",VLOOKUP(AK188,'G-7 WaterC'' Data'!$AD$4:$AE$14,2,FALSE))))</f>
        <v/>
      </c>
      <c r="AM188" s="323" t="str">
        <f t="shared" si="27"/>
        <v/>
      </c>
      <c r="AN188" s="105"/>
      <c r="AO188" s="119"/>
      <c r="AP188" s="108"/>
      <c r="AS188" s="30" t="str">
        <f>IF(B188="","",IF(ISNA(VLOOKUP($B188,'C-1 On-Site WaterC'' Baseline'!$C$8:$AD$257,17,FALSE)),"",(VLOOKUP($B188,'C-1 On-Site WaterC'' Baseline'!$C$8:$AD$257,17,FALSE))))</f>
        <v/>
      </c>
      <c r="AT188" s="30" t="str">
        <f>IF(B188="","",VLOOKUP($B188,'C-1 On-Site WaterC'' Baseline'!$C$9:$Z$257,12,FALSE))</f>
        <v/>
      </c>
      <c r="AU188" s="30" t="str">
        <f>IF(B188="","",VLOOKUP($B188,'C-1 On-Site WaterC'' Baseline'!$C$9:$Z$257,14,FALSE))</f>
        <v/>
      </c>
      <c r="AV188" s="30" t="str">
        <f>IFERROR(INDEX('G-7 WaterC'' Data'!$AZ$3:$AZ$7,MATCH(N188,'G-7 WaterC'' Data'!$AY$3:$AY$7,0)),"")</f>
        <v/>
      </c>
      <c r="AX188" s="30" t="str">
        <f>IF(B188="","",VLOOKUP($B188,'C-1 On-Site WaterC'' Baseline'!$C$9:$Y$257,22,FALSE))</f>
        <v/>
      </c>
      <c r="AY188" s="30" t="str">
        <f t="shared" si="28"/>
        <v/>
      </c>
      <c r="AZ188" s="30" t="str">
        <f>IF(B188="","",VLOOKUP($B188,'C-1 On-Site WaterC'' Baseline'!$C$9:$Y$257,21,FALSE))</f>
        <v/>
      </c>
      <c r="BA188" s="30" t="str">
        <f>IF(B188="","",VLOOKUP($B188,'C-1 On-Site WaterC'' Baseline'!$C$9:$Y$257,19,FALSE))</f>
        <v/>
      </c>
      <c r="BD188" s="30" t="str">
        <f t="shared" si="29"/>
        <v>No</v>
      </c>
    </row>
    <row r="189" spans="2:56" ht="13.8" x14ac:dyDescent="0.25">
      <c r="B189" s="311" t="str">
        <f>'C-1 On-Site WaterC'' Baseline'!AP187</f>
        <v/>
      </c>
      <c r="C189" s="301" t="str">
        <f>IF(B189="","",VLOOKUP($B189,'C-1 On-Site WaterC'' Baseline'!$C$9:$R$257,2,FALSE))</f>
        <v/>
      </c>
      <c r="D189" s="301" t="str">
        <f>IF(C189="","",VLOOKUP($B189,'C-1 On-Site WaterC'' Baseline'!$C$9:$R$257,3,FALSE))</f>
        <v/>
      </c>
      <c r="E189" s="301" t="str">
        <f>IF(D189="","",VLOOKUP($B189,'C-1 On-Site WaterC'' Baseline'!$C$9:$R$257,4,FALSE))</f>
        <v/>
      </c>
      <c r="F189" s="301" t="str">
        <f>IF(E189="","",VLOOKUP($B189,'C-1 On-Site WaterC'' Baseline'!$C$9:$R$257,5,FALSE))</f>
        <v/>
      </c>
      <c r="G189" s="301" t="str">
        <f>IF(F189="","",VLOOKUP($B189,'C-1 On-Site WaterC'' Baseline'!$C$9:$R$257,6,FALSE))</f>
        <v/>
      </c>
      <c r="H189" s="301" t="str">
        <f>IF(G189="","",VLOOKUP($B189,'C-1 On-Site WaterC'' Baseline'!$C$9:$R$257,7,FALSE))</f>
        <v/>
      </c>
      <c r="I189" s="301" t="str">
        <f>IF(H189="","",VLOOKUP($B189,'C-1 On-Site WaterC'' Baseline'!$C$9:$R$257,8,FALSE))</f>
        <v/>
      </c>
      <c r="J189" s="301" t="str">
        <f>IF(I189="","",VLOOKUP($B189,'C-1 On-Site WaterC'' Baseline'!$C$9:$R$257,9,FALSE))</f>
        <v/>
      </c>
      <c r="K189" s="301" t="str">
        <f>IF(J189="","",VLOOKUP($B189,'C-1 On-Site WaterC'' Baseline'!$C$9:$R$257,10,FALSE))</f>
        <v/>
      </c>
      <c r="L189" s="301" t="str">
        <f>IF(B189="","",VLOOKUP($B189,'C-1 On-Site WaterC'' Baseline'!$C$9:$R$257,15,FALSE))</f>
        <v/>
      </c>
      <c r="M189" s="305" t="str">
        <f>IF(L189="","",VLOOKUP($B189,'C-1 On-Site WaterC'' Baseline'!$C$9:$R$257,16,FALSE))</f>
        <v/>
      </c>
      <c r="N189" s="251"/>
      <c r="O189" s="281" t="str">
        <f t="shared" si="21"/>
        <v/>
      </c>
      <c r="P189" s="282" t="str">
        <f t="shared" si="22"/>
        <v/>
      </c>
      <c r="Q189" s="342" t="str">
        <f>IF(N189="","",VLOOKUP(B189,'C-1 On-Site WaterC'' Baseline'!$C$10:$AC$257,20,FALSE))</f>
        <v/>
      </c>
      <c r="R189" s="281" t="str">
        <f>IF(N189="","",VLOOKUP(N189,'G-7 WaterC'' Data'!$B$2:$G$8,2,FALSE))</f>
        <v/>
      </c>
      <c r="S189" s="282" t="str">
        <f>IFERROR(VLOOKUP(R189,'G-7 WaterC'' Data'!$C$4:$D$8,2,FALSE),"")</f>
        <v/>
      </c>
      <c r="T189" s="105"/>
      <c r="U189" s="282" t="str">
        <f>IFERROR(INDEX('G-7 WaterC'' Data'!$H$4:$L$8,MATCH(N189,'G-7 WaterC'' Data'!$B$4:$B$8,0),MATCH(T189,'G-7 WaterC'' Data'!$H$3:$L$3,0)),"")</f>
        <v/>
      </c>
      <c r="V189" s="105"/>
      <c r="W189" s="289" t="str">
        <f>IF(V189="","",IF(VLOOKUP(V189,'G-7 WaterC'' Data'!$AK$4:$AM$6,2,FALSE)=0,"Spatial Data Missing ⚠",VLOOKUP(V189,'G-7 WaterC'' Data'!$AK$4:$AM$6,2,FALSE)))</f>
        <v/>
      </c>
      <c r="X189" s="282" t="str">
        <f>IF(V189="","",IF(VLOOKUP(V189,'G-7 WaterC'' Data'!$AK$4:$AM$6,3,FALSE)=0,"Spatial Data Missing ⚠",VLOOKUP(V189,'G-7 WaterC'' Data'!$AK$4:$AM$6,3,FALSE)))</f>
        <v/>
      </c>
      <c r="Y189" s="281" t="str">
        <f>IFERROR(IF(OR(LEFT(P189,5)="Error",LEFT(O189,5)="Error"),"Check Data ⚠",IF(F189&lt;S189,'G-7 WaterC'' Data'!$R$3,INDEX('G-7 WaterC'' Data'!$U$5:$Y$9,MATCH(G189,'G-7 WaterC'' Data'!$T$5:$T$9,0),MATCH(T189,'G-7 WaterC'' Data'!$U$4:$Y$4,0)))),"")</f>
        <v/>
      </c>
      <c r="Z189" s="137"/>
      <c r="AA189" s="137"/>
      <c r="AB189" s="289" t="str">
        <f t="shared" si="23"/>
        <v/>
      </c>
      <c r="AC189" s="302" t="str">
        <f t="shared" si="24"/>
        <v/>
      </c>
      <c r="AD189" s="340" t="str">
        <f>IFERROR(IF(AC189="Check Data ⚠","Check Data ⚠",VLOOKUP(AC189,'G-4 Temporal multipliers'!$A$4:$C$37,3,FALSE)),"")</f>
        <v/>
      </c>
      <c r="AE189" s="281" t="str">
        <f>IF(N189="","",VLOOKUP(N189,'G-7 WaterC'' Data'!$B$4:$G$8,5,FALSE))</f>
        <v/>
      </c>
      <c r="AF189" s="289" t="str">
        <f t="shared" si="25"/>
        <v/>
      </c>
      <c r="AG189" s="320" t="str">
        <f t="shared" si="26"/>
        <v/>
      </c>
      <c r="AH189" s="282" t="str">
        <f t="shared" si="20"/>
        <v/>
      </c>
      <c r="AI189" s="109"/>
      <c r="AJ189" s="282" t="str">
        <f>IF(AI189="","",IF(AND(AI189="N/A - Culvert",N189&lt;&gt;"Culvert"),"Not possible ▲",IF(VLOOKUP(AI189,'G-7 WaterC'' Data'!$AA$4:$AB$7,2,FALSE)=0,"Spatial Data Missing ⚠",VLOOKUP(AI189,'G-7 WaterC'' Data'!$AA$4:$AB$7,2,FALSE))))</f>
        <v/>
      </c>
      <c r="AK189" s="110"/>
      <c r="AL189" s="282" t="str">
        <f>IF(AK189="","",IF(AND(AK189="N/A - Culvert",N189&lt;&gt;"Culvert"),"Not possible ▲",IF(VLOOKUP(AK189,'G-7 WaterC'' Data'!$AD$4:$AE$14,2,FALSE)=0,"Spatial Data Missing ⚠",VLOOKUP(AK189,'G-7 WaterC'' Data'!$AD$4:$AE$14,2,FALSE))))</f>
        <v/>
      </c>
      <c r="AM189" s="323" t="str">
        <f t="shared" si="27"/>
        <v/>
      </c>
      <c r="AN189" s="105"/>
      <c r="AO189" s="119"/>
      <c r="AP189" s="108"/>
      <c r="AS189" s="30" t="str">
        <f>IF(B189="","",IF(ISNA(VLOOKUP($B189,'C-1 On-Site WaterC'' Baseline'!$C$8:$AD$257,17,FALSE)),"",(VLOOKUP($B189,'C-1 On-Site WaterC'' Baseline'!$C$8:$AD$257,17,FALSE))))</f>
        <v/>
      </c>
      <c r="AT189" s="30" t="str">
        <f>IF(B189="","",VLOOKUP($B189,'C-1 On-Site WaterC'' Baseline'!$C$9:$Z$257,12,FALSE))</f>
        <v/>
      </c>
      <c r="AU189" s="30" t="str">
        <f>IF(B189="","",VLOOKUP($B189,'C-1 On-Site WaterC'' Baseline'!$C$9:$Z$257,14,FALSE))</f>
        <v/>
      </c>
      <c r="AV189" s="30" t="str">
        <f>IFERROR(INDEX('G-7 WaterC'' Data'!$AZ$3:$AZ$7,MATCH(N189,'G-7 WaterC'' Data'!$AY$3:$AY$7,0)),"")</f>
        <v/>
      </c>
      <c r="AX189" s="30" t="str">
        <f>IF(B189="","",VLOOKUP($B189,'C-1 On-Site WaterC'' Baseline'!$C$9:$Y$257,22,FALSE))</f>
        <v/>
      </c>
      <c r="AY189" s="30" t="str">
        <f t="shared" si="28"/>
        <v/>
      </c>
      <c r="AZ189" s="30" t="str">
        <f>IF(B189="","",VLOOKUP($B189,'C-1 On-Site WaterC'' Baseline'!$C$9:$Y$257,21,FALSE))</f>
        <v/>
      </c>
      <c r="BA189" s="30" t="str">
        <f>IF(B189="","",VLOOKUP($B189,'C-1 On-Site WaterC'' Baseline'!$C$9:$Y$257,19,FALSE))</f>
        <v/>
      </c>
      <c r="BD189" s="30" t="str">
        <f t="shared" si="29"/>
        <v>No</v>
      </c>
    </row>
    <row r="190" spans="2:56" ht="13.8" x14ac:dyDescent="0.25">
      <c r="B190" s="311" t="str">
        <f>'C-1 On-Site WaterC'' Baseline'!AP188</f>
        <v/>
      </c>
      <c r="C190" s="301" t="str">
        <f>IF(B190="","",VLOOKUP($B190,'C-1 On-Site WaterC'' Baseline'!$C$9:$R$257,2,FALSE))</f>
        <v/>
      </c>
      <c r="D190" s="301" t="str">
        <f>IF(C190="","",VLOOKUP($B190,'C-1 On-Site WaterC'' Baseline'!$C$9:$R$257,3,FALSE))</f>
        <v/>
      </c>
      <c r="E190" s="301" t="str">
        <f>IF(D190="","",VLOOKUP($B190,'C-1 On-Site WaterC'' Baseline'!$C$9:$R$257,4,FALSE))</f>
        <v/>
      </c>
      <c r="F190" s="301" t="str">
        <f>IF(E190="","",VLOOKUP($B190,'C-1 On-Site WaterC'' Baseline'!$C$9:$R$257,5,FALSE))</f>
        <v/>
      </c>
      <c r="G190" s="301" t="str">
        <f>IF(F190="","",VLOOKUP($B190,'C-1 On-Site WaterC'' Baseline'!$C$9:$R$257,6,FALSE))</f>
        <v/>
      </c>
      <c r="H190" s="301" t="str">
        <f>IF(G190="","",VLOOKUP($B190,'C-1 On-Site WaterC'' Baseline'!$C$9:$R$257,7,FALSE))</f>
        <v/>
      </c>
      <c r="I190" s="301" t="str">
        <f>IF(H190="","",VLOOKUP($B190,'C-1 On-Site WaterC'' Baseline'!$C$9:$R$257,8,FALSE))</f>
        <v/>
      </c>
      <c r="J190" s="301" t="str">
        <f>IF(I190="","",VLOOKUP($B190,'C-1 On-Site WaterC'' Baseline'!$C$9:$R$257,9,FALSE))</f>
        <v/>
      </c>
      <c r="K190" s="301" t="str">
        <f>IF(J190="","",VLOOKUP($B190,'C-1 On-Site WaterC'' Baseline'!$C$9:$R$257,10,FALSE))</f>
        <v/>
      </c>
      <c r="L190" s="301" t="str">
        <f>IF(B190="","",VLOOKUP($B190,'C-1 On-Site WaterC'' Baseline'!$C$9:$R$257,15,FALSE))</f>
        <v/>
      </c>
      <c r="M190" s="305" t="str">
        <f>IF(L190="","",VLOOKUP($B190,'C-1 On-Site WaterC'' Baseline'!$C$9:$R$257,16,FALSE))</f>
        <v/>
      </c>
      <c r="N190" s="251"/>
      <c r="O190" s="281" t="str">
        <f t="shared" si="21"/>
        <v/>
      </c>
      <c r="P190" s="282" t="str">
        <f t="shared" si="22"/>
        <v/>
      </c>
      <c r="Q190" s="342" t="str">
        <f>IF(N190="","",VLOOKUP(B190,'C-1 On-Site WaterC'' Baseline'!$C$10:$AC$257,20,FALSE))</f>
        <v/>
      </c>
      <c r="R190" s="281" t="str">
        <f>IF(N190="","",VLOOKUP(N190,'G-7 WaterC'' Data'!$B$2:$G$8,2,FALSE))</f>
        <v/>
      </c>
      <c r="S190" s="282" t="str">
        <f>IFERROR(VLOOKUP(R190,'G-7 WaterC'' Data'!$C$4:$D$8,2,FALSE),"")</f>
        <v/>
      </c>
      <c r="T190" s="105"/>
      <c r="U190" s="282" t="str">
        <f>IFERROR(INDEX('G-7 WaterC'' Data'!$H$4:$L$8,MATCH(N190,'G-7 WaterC'' Data'!$B$4:$B$8,0),MATCH(T190,'G-7 WaterC'' Data'!$H$3:$L$3,0)),"")</f>
        <v/>
      </c>
      <c r="V190" s="105"/>
      <c r="W190" s="289" t="str">
        <f>IF(V190="","",IF(VLOOKUP(V190,'G-7 WaterC'' Data'!$AK$4:$AM$6,2,FALSE)=0,"Spatial Data Missing ⚠",VLOOKUP(V190,'G-7 WaterC'' Data'!$AK$4:$AM$6,2,FALSE)))</f>
        <v/>
      </c>
      <c r="X190" s="282" t="str">
        <f>IF(V190="","",IF(VLOOKUP(V190,'G-7 WaterC'' Data'!$AK$4:$AM$6,3,FALSE)=0,"Spatial Data Missing ⚠",VLOOKUP(V190,'G-7 WaterC'' Data'!$AK$4:$AM$6,3,FALSE)))</f>
        <v/>
      </c>
      <c r="Y190" s="281" t="str">
        <f>IFERROR(IF(OR(LEFT(P190,5)="Error",LEFT(O190,5)="Error"),"Check Data ⚠",IF(F190&lt;S190,'G-7 WaterC'' Data'!$R$3,INDEX('G-7 WaterC'' Data'!$U$5:$Y$9,MATCH(G190,'G-7 WaterC'' Data'!$T$5:$T$9,0),MATCH(T190,'G-7 WaterC'' Data'!$U$4:$Y$4,0)))),"")</f>
        <v/>
      </c>
      <c r="Z190" s="137"/>
      <c r="AA190" s="137"/>
      <c r="AB190" s="289" t="str">
        <f t="shared" si="23"/>
        <v/>
      </c>
      <c r="AC190" s="302" t="str">
        <f t="shared" si="24"/>
        <v/>
      </c>
      <c r="AD190" s="340" t="str">
        <f>IFERROR(IF(AC190="Check Data ⚠","Check Data ⚠",VLOOKUP(AC190,'G-4 Temporal multipliers'!$A$4:$C$37,3,FALSE)),"")</f>
        <v/>
      </c>
      <c r="AE190" s="281" t="str">
        <f>IF(N190="","",VLOOKUP(N190,'G-7 WaterC'' Data'!$B$4:$G$8,5,FALSE))</f>
        <v/>
      </c>
      <c r="AF190" s="289" t="str">
        <f t="shared" si="25"/>
        <v/>
      </c>
      <c r="AG190" s="320" t="str">
        <f t="shared" si="26"/>
        <v/>
      </c>
      <c r="AH190" s="282" t="str">
        <f t="shared" si="20"/>
        <v/>
      </c>
      <c r="AI190" s="109"/>
      <c r="AJ190" s="282" t="str">
        <f>IF(AI190="","",IF(AND(AI190="N/A - Culvert",N190&lt;&gt;"Culvert"),"Not possible ▲",IF(VLOOKUP(AI190,'G-7 WaterC'' Data'!$AA$4:$AB$7,2,FALSE)=0,"Spatial Data Missing ⚠",VLOOKUP(AI190,'G-7 WaterC'' Data'!$AA$4:$AB$7,2,FALSE))))</f>
        <v/>
      </c>
      <c r="AK190" s="110"/>
      <c r="AL190" s="282" t="str">
        <f>IF(AK190="","",IF(AND(AK190="N/A - Culvert",N190&lt;&gt;"Culvert"),"Not possible ▲",IF(VLOOKUP(AK190,'G-7 WaterC'' Data'!$AD$4:$AE$14,2,FALSE)=0,"Spatial Data Missing ⚠",VLOOKUP(AK190,'G-7 WaterC'' Data'!$AD$4:$AE$14,2,FALSE))))</f>
        <v/>
      </c>
      <c r="AM190" s="323" t="str">
        <f t="shared" si="27"/>
        <v/>
      </c>
      <c r="AN190" s="105"/>
      <c r="AO190" s="119"/>
      <c r="AP190" s="108"/>
      <c r="AS190" s="30" t="str">
        <f>IF(B190="","",IF(ISNA(VLOOKUP($B190,'C-1 On-Site WaterC'' Baseline'!$C$8:$AD$257,17,FALSE)),"",(VLOOKUP($B190,'C-1 On-Site WaterC'' Baseline'!$C$8:$AD$257,17,FALSE))))</f>
        <v/>
      </c>
      <c r="AT190" s="30" t="str">
        <f>IF(B190="","",VLOOKUP($B190,'C-1 On-Site WaterC'' Baseline'!$C$9:$Z$257,12,FALSE))</f>
        <v/>
      </c>
      <c r="AU190" s="30" t="str">
        <f>IF(B190="","",VLOOKUP($B190,'C-1 On-Site WaterC'' Baseline'!$C$9:$Z$257,14,FALSE))</f>
        <v/>
      </c>
      <c r="AV190" s="30" t="str">
        <f>IFERROR(INDEX('G-7 WaterC'' Data'!$AZ$3:$AZ$7,MATCH(N190,'G-7 WaterC'' Data'!$AY$3:$AY$7,0)),"")</f>
        <v/>
      </c>
      <c r="AX190" s="30" t="str">
        <f>IF(B190="","",VLOOKUP($B190,'C-1 On-Site WaterC'' Baseline'!$C$9:$Y$257,22,FALSE))</f>
        <v/>
      </c>
      <c r="AY190" s="30" t="str">
        <f t="shared" si="28"/>
        <v/>
      </c>
      <c r="AZ190" s="30" t="str">
        <f>IF(B190="","",VLOOKUP($B190,'C-1 On-Site WaterC'' Baseline'!$C$9:$Y$257,21,FALSE))</f>
        <v/>
      </c>
      <c r="BA190" s="30" t="str">
        <f>IF(B190="","",VLOOKUP($B190,'C-1 On-Site WaterC'' Baseline'!$C$9:$Y$257,19,FALSE))</f>
        <v/>
      </c>
      <c r="BD190" s="30" t="str">
        <f t="shared" si="29"/>
        <v>No</v>
      </c>
    </row>
    <row r="191" spans="2:56" ht="13.8" x14ac:dyDescent="0.25">
      <c r="B191" s="311" t="str">
        <f>'C-1 On-Site WaterC'' Baseline'!AP189</f>
        <v/>
      </c>
      <c r="C191" s="301" t="str">
        <f>IF(B191="","",VLOOKUP($B191,'C-1 On-Site WaterC'' Baseline'!$C$9:$R$257,2,FALSE))</f>
        <v/>
      </c>
      <c r="D191" s="301" t="str">
        <f>IF(C191="","",VLOOKUP($B191,'C-1 On-Site WaterC'' Baseline'!$C$9:$R$257,3,FALSE))</f>
        <v/>
      </c>
      <c r="E191" s="301" t="str">
        <f>IF(D191="","",VLOOKUP($B191,'C-1 On-Site WaterC'' Baseline'!$C$9:$R$257,4,FALSE))</f>
        <v/>
      </c>
      <c r="F191" s="301" t="str">
        <f>IF(E191="","",VLOOKUP($B191,'C-1 On-Site WaterC'' Baseline'!$C$9:$R$257,5,FALSE))</f>
        <v/>
      </c>
      <c r="G191" s="301" t="str">
        <f>IF(F191="","",VLOOKUP($B191,'C-1 On-Site WaterC'' Baseline'!$C$9:$R$257,6,FALSE))</f>
        <v/>
      </c>
      <c r="H191" s="301" t="str">
        <f>IF(G191="","",VLOOKUP($B191,'C-1 On-Site WaterC'' Baseline'!$C$9:$R$257,7,FALSE))</f>
        <v/>
      </c>
      <c r="I191" s="301" t="str">
        <f>IF(H191="","",VLOOKUP($B191,'C-1 On-Site WaterC'' Baseline'!$C$9:$R$257,8,FALSE))</f>
        <v/>
      </c>
      <c r="J191" s="301" t="str">
        <f>IF(I191="","",VLOOKUP($B191,'C-1 On-Site WaterC'' Baseline'!$C$9:$R$257,9,FALSE))</f>
        <v/>
      </c>
      <c r="K191" s="301" t="str">
        <f>IF(J191="","",VLOOKUP($B191,'C-1 On-Site WaterC'' Baseline'!$C$9:$R$257,10,FALSE))</f>
        <v/>
      </c>
      <c r="L191" s="301" t="str">
        <f>IF(B191="","",VLOOKUP($B191,'C-1 On-Site WaterC'' Baseline'!$C$9:$R$257,15,FALSE))</f>
        <v/>
      </c>
      <c r="M191" s="305" t="str">
        <f>IF(L191="","",VLOOKUP($B191,'C-1 On-Site WaterC'' Baseline'!$C$9:$R$257,16,FALSE))</f>
        <v/>
      </c>
      <c r="N191" s="251"/>
      <c r="O191" s="281" t="str">
        <f t="shared" si="21"/>
        <v/>
      </c>
      <c r="P191" s="282" t="str">
        <f t="shared" si="22"/>
        <v/>
      </c>
      <c r="Q191" s="342" t="str">
        <f>IF(N191="","",VLOOKUP(B191,'C-1 On-Site WaterC'' Baseline'!$C$10:$AC$257,20,FALSE))</f>
        <v/>
      </c>
      <c r="R191" s="281" t="str">
        <f>IF(N191="","",VLOOKUP(N191,'G-7 WaterC'' Data'!$B$2:$G$8,2,FALSE))</f>
        <v/>
      </c>
      <c r="S191" s="282" t="str">
        <f>IFERROR(VLOOKUP(R191,'G-7 WaterC'' Data'!$C$4:$D$8,2,FALSE),"")</f>
        <v/>
      </c>
      <c r="T191" s="105"/>
      <c r="U191" s="282" t="str">
        <f>IFERROR(INDEX('G-7 WaterC'' Data'!$H$4:$L$8,MATCH(N191,'G-7 WaterC'' Data'!$B$4:$B$8,0),MATCH(T191,'G-7 WaterC'' Data'!$H$3:$L$3,0)),"")</f>
        <v/>
      </c>
      <c r="V191" s="105"/>
      <c r="W191" s="289" t="str">
        <f>IF(V191="","",IF(VLOOKUP(V191,'G-7 WaterC'' Data'!$AK$4:$AM$6,2,FALSE)=0,"Spatial Data Missing ⚠",VLOOKUP(V191,'G-7 WaterC'' Data'!$AK$4:$AM$6,2,FALSE)))</f>
        <v/>
      </c>
      <c r="X191" s="282" t="str">
        <f>IF(V191="","",IF(VLOOKUP(V191,'G-7 WaterC'' Data'!$AK$4:$AM$6,3,FALSE)=0,"Spatial Data Missing ⚠",VLOOKUP(V191,'G-7 WaterC'' Data'!$AK$4:$AM$6,3,FALSE)))</f>
        <v/>
      </c>
      <c r="Y191" s="281" t="str">
        <f>IFERROR(IF(OR(LEFT(P191,5)="Error",LEFT(O191,5)="Error"),"Check Data ⚠",IF(F191&lt;S191,'G-7 WaterC'' Data'!$R$3,INDEX('G-7 WaterC'' Data'!$U$5:$Y$9,MATCH(G191,'G-7 WaterC'' Data'!$T$5:$T$9,0),MATCH(T191,'G-7 WaterC'' Data'!$U$4:$Y$4,0)))),"")</f>
        <v/>
      </c>
      <c r="Z191" s="137"/>
      <c r="AA191" s="137"/>
      <c r="AB191" s="289" t="str">
        <f t="shared" si="23"/>
        <v/>
      </c>
      <c r="AC191" s="302" t="str">
        <f t="shared" si="24"/>
        <v/>
      </c>
      <c r="AD191" s="340" t="str">
        <f>IFERROR(IF(AC191="Check Data ⚠","Check Data ⚠",VLOOKUP(AC191,'G-4 Temporal multipliers'!$A$4:$C$37,3,FALSE)),"")</f>
        <v/>
      </c>
      <c r="AE191" s="281" t="str">
        <f>IF(N191="","",VLOOKUP(N191,'G-7 WaterC'' Data'!$B$4:$G$8,5,FALSE))</f>
        <v/>
      </c>
      <c r="AF191" s="289" t="str">
        <f t="shared" si="25"/>
        <v/>
      </c>
      <c r="AG191" s="320" t="str">
        <f t="shared" si="26"/>
        <v/>
      </c>
      <c r="AH191" s="282" t="str">
        <f t="shared" si="20"/>
        <v/>
      </c>
      <c r="AI191" s="109"/>
      <c r="AJ191" s="282" t="str">
        <f>IF(AI191="","",IF(AND(AI191="N/A - Culvert",N191&lt;&gt;"Culvert"),"Not possible ▲",IF(VLOOKUP(AI191,'G-7 WaterC'' Data'!$AA$4:$AB$7,2,FALSE)=0,"Spatial Data Missing ⚠",VLOOKUP(AI191,'G-7 WaterC'' Data'!$AA$4:$AB$7,2,FALSE))))</f>
        <v/>
      </c>
      <c r="AK191" s="110"/>
      <c r="AL191" s="282" t="str">
        <f>IF(AK191="","",IF(AND(AK191="N/A - Culvert",N191&lt;&gt;"Culvert"),"Not possible ▲",IF(VLOOKUP(AK191,'G-7 WaterC'' Data'!$AD$4:$AE$14,2,FALSE)=0,"Spatial Data Missing ⚠",VLOOKUP(AK191,'G-7 WaterC'' Data'!$AD$4:$AE$14,2,FALSE))))</f>
        <v/>
      </c>
      <c r="AM191" s="323" t="str">
        <f t="shared" si="27"/>
        <v/>
      </c>
      <c r="AN191" s="105"/>
      <c r="AO191" s="119"/>
      <c r="AP191" s="108"/>
      <c r="AS191" s="30" t="str">
        <f>IF(B191="","",IF(ISNA(VLOOKUP($B191,'C-1 On-Site WaterC'' Baseline'!$C$8:$AD$257,17,FALSE)),"",(VLOOKUP($B191,'C-1 On-Site WaterC'' Baseline'!$C$8:$AD$257,17,FALSE))))</f>
        <v/>
      </c>
      <c r="AT191" s="30" t="str">
        <f>IF(B191="","",VLOOKUP($B191,'C-1 On-Site WaterC'' Baseline'!$C$9:$Z$257,12,FALSE))</f>
        <v/>
      </c>
      <c r="AU191" s="30" t="str">
        <f>IF(B191="","",VLOOKUP($B191,'C-1 On-Site WaterC'' Baseline'!$C$9:$Z$257,14,FALSE))</f>
        <v/>
      </c>
      <c r="AV191" s="30" t="str">
        <f>IFERROR(INDEX('G-7 WaterC'' Data'!$AZ$3:$AZ$7,MATCH(N191,'G-7 WaterC'' Data'!$AY$3:$AY$7,0)),"")</f>
        <v/>
      </c>
      <c r="AX191" s="30" t="str">
        <f>IF(B191="","",VLOOKUP($B191,'C-1 On-Site WaterC'' Baseline'!$C$9:$Y$257,22,FALSE))</f>
        <v/>
      </c>
      <c r="AY191" s="30" t="str">
        <f t="shared" si="28"/>
        <v/>
      </c>
      <c r="AZ191" s="30" t="str">
        <f>IF(B191="","",VLOOKUP($B191,'C-1 On-Site WaterC'' Baseline'!$C$9:$Y$257,21,FALSE))</f>
        <v/>
      </c>
      <c r="BA191" s="30" t="str">
        <f>IF(B191="","",VLOOKUP($B191,'C-1 On-Site WaterC'' Baseline'!$C$9:$Y$257,19,FALSE))</f>
        <v/>
      </c>
      <c r="BD191" s="30" t="str">
        <f t="shared" si="29"/>
        <v>No</v>
      </c>
    </row>
    <row r="192" spans="2:56" ht="13.8" x14ac:dyDescent="0.25">
      <c r="B192" s="311" t="str">
        <f>'C-1 On-Site WaterC'' Baseline'!AP190</f>
        <v/>
      </c>
      <c r="C192" s="301" t="str">
        <f>IF(B192="","",VLOOKUP($B192,'C-1 On-Site WaterC'' Baseline'!$C$9:$R$257,2,FALSE))</f>
        <v/>
      </c>
      <c r="D192" s="301" t="str">
        <f>IF(C192="","",VLOOKUP($B192,'C-1 On-Site WaterC'' Baseline'!$C$9:$R$257,3,FALSE))</f>
        <v/>
      </c>
      <c r="E192" s="301" t="str">
        <f>IF(D192="","",VLOOKUP($B192,'C-1 On-Site WaterC'' Baseline'!$C$9:$R$257,4,FALSE))</f>
        <v/>
      </c>
      <c r="F192" s="301" t="str">
        <f>IF(E192="","",VLOOKUP($B192,'C-1 On-Site WaterC'' Baseline'!$C$9:$R$257,5,FALSE))</f>
        <v/>
      </c>
      <c r="G192" s="301" t="str">
        <f>IF(F192="","",VLOOKUP($B192,'C-1 On-Site WaterC'' Baseline'!$C$9:$R$257,6,FALSE))</f>
        <v/>
      </c>
      <c r="H192" s="301" t="str">
        <f>IF(G192="","",VLOOKUP($B192,'C-1 On-Site WaterC'' Baseline'!$C$9:$R$257,7,FALSE))</f>
        <v/>
      </c>
      <c r="I192" s="301" t="str">
        <f>IF(H192="","",VLOOKUP($B192,'C-1 On-Site WaterC'' Baseline'!$C$9:$R$257,8,FALSE))</f>
        <v/>
      </c>
      <c r="J192" s="301" t="str">
        <f>IF(I192="","",VLOOKUP($B192,'C-1 On-Site WaterC'' Baseline'!$C$9:$R$257,9,FALSE))</f>
        <v/>
      </c>
      <c r="K192" s="301" t="str">
        <f>IF(J192="","",VLOOKUP($B192,'C-1 On-Site WaterC'' Baseline'!$C$9:$R$257,10,FALSE))</f>
        <v/>
      </c>
      <c r="L192" s="301" t="str">
        <f>IF(B192="","",VLOOKUP($B192,'C-1 On-Site WaterC'' Baseline'!$C$9:$R$257,15,FALSE))</f>
        <v/>
      </c>
      <c r="M192" s="305" t="str">
        <f>IF(L192="","",VLOOKUP($B192,'C-1 On-Site WaterC'' Baseline'!$C$9:$R$257,16,FALSE))</f>
        <v/>
      </c>
      <c r="N192" s="251"/>
      <c r="O192" s="281" t="str">
        <f t="shared" si="21"/>
        <v/>
      </c>
      <c r="P192" s="282" t="str">
        <f t="shared" si="22"/>
        <v/>
      </c>
      <c r="Q192" s="342" t="str">
        <f>IF(N192="","",VLOOKUP(B192,'C-1 On-Site WaterC'' Baseline'!$C$10:$AC$257,20,FALSE))</f>
        <v/>
      </c>
      <c r="R192" s="281" t="str">
        <f>IF(N192="","",VLOOKUP(N192,'G-7 WaterC'' Data'!$B$2:$G$8,2,FALSE))</f>
        <v/>
      </c>
      <c r="S192" s="282" t="str">
        <f>IFERROR(VLOOKUP(R192,'G-7 WaterC'' Data'!$C$4:$D$8,2,FALSE),"")</f>
        <v/>
      </c>
      <c r="T192" s="105"/>
      <c r="U192" s="282" t="str">
        <f>IFERROR(INDEX('G-7 WaterC'' Data'!$H$4:$L$8,MATCH(N192,'G-7 WaterC'' Data'!$B$4:$B$8,0),MATCH(T192,'G-7 WaterC'' Data'!$H$3:$L$3,0)),"")</f>
        <v/>
      </c>
      <c r="V192" s="105"/>
      <c r="W192" s="289" t="str">
        <f>IF(V192="","",IF(VLOOKUP(V192,'G-7 WaterC'' Data'!$AK$4:$AM$6,2,FALSE)=0,"Spatial Data Missing ⚠",VLOOKUP(V192,'G-7 WaterC'' Data'!$AK$4:$AM$6,2,FALSE)))</f>
        <v/>
      </c>
      <c r="X192" s="282" t="str">
        <f>IF(V192="","",IF(VLOOKUP(V192,'G-7 WaterC'' Data'!$AK$4:$AM$6,3,FALSE)=0,"Spatial Data Missing ⚠",VLOOKUP(V192,'G-7 WaterC'' Data'!$AK$4:$AM$6,3,FALSE)))</f>
        <v/>
      </c>
      <c r="Y192" s="281" t="str">
        <f>IFERROR(IF(OR(LEFT(P192,5)="Error",LEFT(O192,5)="Error"),"Check Data ⚠",IF(F192&lt;S192,'G-7 WaterC'' Data'!$R$3,INDEX('G-7 WaterC'' Data'!$U$5:$Y$9,MATCH(G192,'G-7 WaterC'' Data'!$T$5:$T$9,0),MATCH(T192,'G-7 WaterC'' Data'!$U$4:$Y$4,0)))),"")</f>
        <v/>
      </c>
      <c r="Z192" s="137"/>
      <c r="AA192" s="137"/>
      <c r="AB192" s="289" t="str">
        <f t="shared" si="23"/>
        <v/>
      </c>
      <c r="AC192" s="302" t="str">
        <f t="shared" si="24"/>
        <v/>
      </c>
      <c r="AD192" s="340" t="str">
        <f>IFERROR(IF(AC192="Check Data ⚠","Check Data ⚠",VLOOKUP(AC192,'G-4 Temporal multipliers'!$A$4:$C$37,3,FALSE)),"")</f>
        <v/>
      </c>
      <c r="AE192" s="281" t="str">
        <f>IF(N192="","",VLOOKUP(N192,'G-7 WaterC'' Data'!$B$4:$G$8,5,FALSE))</f>
        <v/>
      </c>
      <c r="AF192" s="289" t="str">
        <f t="shared" si="25"/>
        <v/>
      </c>
      <c r="AG192" s="320" t="str">
        <f t="shared" si="26"/>
        <v/>
      </c>
      <c r="AH192" s="282" t="str">
        <f t="shared" si="20"/>
        <v/>
      </c>
      <c r="AI192" s="109"/>
      <c r="AJ192" s="282" t="str">
        <f>IF(AI192="","",IF(AND(AI192="N/A - Culvert",N192&lt;&gt;"Culvert"),"Not possible ▲",IF(VLOOKUP(AI192,'G-7 WaterC'' Data'!$AA$4:$AB$7,2,FALSE)=0,"Spatial Data Missing ⚠",VLOOKUP(AI192,'G-7 WaterC'' Data'!$AA$4:$AB$7,2,FALSE))))</f>
        <v/>
      </c>
      <c r="AK192" s="110"/>
      <c r="AL192" s="282" t="str">
        <f>IF(AK192="","",IF(AND(AK192="N/A - Culvert",N192&lt;&gt;"Culvert"),"Not possible ▲",IF(VLOOKUP(AK192,'G-7 WaterC'' Data'!$AD$4:$AE$14,2,FALSE)=0,"Spatial Data Missing ⚠",VLOOKUP(AK192,'G-7 WaterC'' Data'!$AD$4:$AE$14,2,FALSE))))</f>
        <v/>
      </c>
      <c r="AM192" s="323" t="str">
        <f t="shared" si="27"/>
        <v/>
      </c>
      <c r="AN192" s="105"/>
      <c r="AO192" s="119"/>
      <c r="AP192" s="108"/>
      <c r="AS192" s="30" t="str">
        <f>IF(B192="","",IF(ISNA(VLOOKUP($B192,'C-1 On-Site WaterC'' Baseline'!$C$8:$AD$257,17,FALSE)),"",(VLOOKUP($B192,'C-1 On-Site WaterC'' Baseline'!$C$8:$AD$257,17,FALSE))))</f>
        <v/>
      </c>
      <c r="AT192" s="30" t="str">
        <f>IF(B192="","",VLOOKUP($B192,'C-1 On-Site WaterC'' Baseline'!$C$9:$Z$257,12,FALSE))</f>
        <v/>
      </c>
      <c r="AU192" s="30" t="str">
        <f>IF(B192="","",VLOOKUP($B192,'C-1 On-Site WaterC'' Baseline'!$C$9:$Z$257,14,FALSE))</f>
        <v/>
      </c>
      <c r="AV192" s="30" t="str">
        <f>IFERROR(INDEX('G-7 WaterC'' Data'!$AZ$3:$AZ$7,MATCH(N192,'G-7 WaterC'' Data'!$AY$3:$AY$7,0)),"")</f>
        <v/>
      </c>
      <c r="AX192" s="30" t="str">
        <f>IF(B192="","",VLOOKUP($B192,'C-1 On-Site WaterC'' Baseline'!$C$9:$Y$257,22,FALSE))</f>
        <v/>
      </c>
      <c r="AY192" s="30" t="str">
        <f t="shared" si="28"/>
        <v/>
      </c>
      <c r="AZ192" s="30" t="str">
        <f>IF(B192="","",VLOOKUP($B192,'C-1 On-Site WaterC'' Baseline'!$C$9:$Y$257,21,FALSE))</f>
        <v/>
      </c>
      <c r="BA192" s="30" t="str">
        <f>IF(B192="","",VLOOKUP($B192,'C-1 On-Site WaterC'' Baseline'!$C$9:$Y$257,19,FALSE))</f>
        <v/>
      </c>
      <c r="BD192" s="30" t="str">
        <f t="shared" si="29"/>
        <v>No</v>
      </c>
    </row>
    <row r="193" spans="2:56" ht="13.8" x14ac:dyDescent="0.25">
      <c r="B193" s="311" t="str">
        <f>'C-1 On-Site WaterC'' Baseline'!AP191</f>
        <v/>
      </c>
      <c r="C193" s="301" t="str">
        <f>IF(B193="","",VLOOKUP($B193,'C-1 On-Site WaterC'' Baseline'!$C$9:$R$257,2,FALSE))</f>
        <v/>
      </c>
      <c r="D193" s="301" t="str">
        <f>IF(C193="","",VLOOKUP($B193,'C-1 On-Site WaterC'' Baseline'!$C$9:$R$257,3,FALSE))</f>
        <v/>
      </c>
      <c r="E193" s="301" t="str">
        <f>IF(D193="","",VLOOKUP($B193,'C-1 On-Site WaterC'' Baseline'!$C$9:$R$257,4,FALSE))</f>
        <v/>
      </c>
      <c r="F193" s="301" t="str">
        <f>IF(E193="","",VLOOKUP($B193,'C-1 On-Site WaterC'' Baseline'!$C$9:$R$257,5,FALSE))</f>
        <v/>
      </c>
      <c r="G193" s="301" t="str">
        <f>IF(F193="","",VLOOKUP($B193,'C-1 On-Site WaterC'' Baseline'!$C$9:$R$257,6,FALSE))</f>
        <v/>
      </c>
      <c r="H193" s="301" t="str">
        <f>IF(G193="","",VLOOKUP($B193,'C-1 On-Site WaterC'' Baseline'!$C$9:$R$257,7,FALSE))</f>
        <v/>
      </c>
      <c r="I193" s="301" t="str">
        <f>IF(H193="","",VLOOKUP($B193,'C-1 On-Site WaterC'' Baseline'!$C$9:$R$257,8,FALSE))</f>
        <v/>
      </c>
      <c r="J193" s="301" t="str">
        <f>IF(I193="","",VLOOKUP($B193,'C-1 On-Site WaterC'' Baseline'!$C$9:$R$257,9,FALSE))</f>
        <v/>
      </c>
      <c r="K193" s="301" t="str">
        <f>IF(J193="","",VLOOKUP($B193,'C-1 On-Site WaterC'' Baseline'!$C$9:$R$257,10,FALSE))</f>
        <v/>
      </c>
      <c r="L193" s="301" t="str">
        <f>IF(B193="","",VLOOKUP($B193,'C-1 On-Site WaterC'' Baseline'!$C$9:$R$257,15,FALSE))</f>
        <v/>
      </c>
      <c r="M193" s="305" t="str">
        <f>IF(L193="","",VLOOKUP($B193,'C-1 On-Site WaterC'' Baseline'!$C$9:$R$257,16,FALSE))</f>
        <v/>
      </c>
      <c r="N193" s="251"/>
      <c r="O193" s="281" t="str">
        <f t="shared" si="21"/>
        <v/>
      </c>
      <c r="P193" s="282" t="str">
        <f t="shared" si="22"/>
        <v/>
      </c>
      <c r="Q193" s="342" t="str">
        <f>IF(N193="","",VLOOKUP(B193,'C-1 On-Site WaterC'' Baseline'!$C$10:$AC$257,20,FALSE))</f>
        <v/>
      </c>
      <c r="R193" s="281" t="str">
        <f>IF(N193="","",VLOOKUP(N193,'G-7 WaterC'' Data'!$B$2:$G$8,2,FALSE))</f>
        <v/>
      </c>
      <c r="S193" s="282" t="str">
        <f>IFERROR(VLOOKUP(R193,'G-7 WaterC'' Data'!$C$4:$D$8,2,FALSE),"")</f>
        <v/>
      </c>
      <c r="T193" s="105"/>
      <c r="U193" s="282" t="str">
        <f>IFERROR(INDEX('G-7 WaterC'' Data'!$H$4:$L$8,MATCH(N193,'G-7 WaterC'' Data'!$B$4:$B$8,0),MATCH(T193,'G-7 WaterC'' Data'!$H$3:$L$3,0)),"")</f>
        <v/>
      </c>
      <c r="V193" s="105"/>
      <c r="W193" s="289" t="str">
        <f>IF(V193="","",IF(VLOOKUP(V193,'G-7 WaterC'' Data'!$AK$4:$AM$6,2,FALSE)=0,"Spatial Data Missing ⚠",VLOOKUP(V193,'G-7 WaterC'' Data'!$AK$4:$AM$6,2,FALSE)))</f>
        <v/>
      </c>
      <c r="X193" s="282" t="str">
        <f>IF(V193="","",IF(VLOOKUP(V193,'G-7 WaterC'' Data'!$AK$4:$AM$6,3,FALSE)=0,"Spatial Data Missing ⚠",VLOOKUP(V193,'G-7 WaterC'' Data'!$AK$4:$AM$6,3,FALSE)))</f>
        <v/>
      </c>
      <c r="Y193" s="281" t="str">
        <f>IFERROR(IF(OR(LEFT(P193,5)="Error",LEFT(O193,5)="Error"),"Check Data ⚠",IF(F193&lt;S193,'G-7 WaterC'' Data'!$R$3,INDEX('G-7 WaterC'' Data'!$U$5:$Y$9,MATCH(G193,'G-7 WaterC'' Data'!$T$5:$T$9,0),MATCH(T193,'G-7 WaterC'' Data'!$U$4:$Y$4,0)))),"")</f>
        <v/>
      </c>
      <c r="Z193" s="137"/>
      <c r="AA193" s="137"/>
      <c r="AB193" s="289" t="str">
        <f t="shared" si="23"/>
        <v/>
      </c>
      <c r="AC193" s="302" t="str">
        <f t="shared" si="24"/>
        <v/>
      </c>
      <c r="AD193" s="340" t="str">
        <f>IFERROR(IF(AC193="Check Data ⚠","Check Data ⚠",VLOOKUP(AC193,'G-4 Temporal multipliers'!$A$4:$C$37,3,FALSE)),"")</f>
        <v/>
      </c>
      <c r="AE193" s="281" t="str">
        <f>IF(N193="","",VLOOKUP(N193,'G-7 WaterC'' Data'!$B$4:$G$8,5,FALSE))</f>
        <v/>
      </c>
      <c r="AF193" s="289" t="str">
        <f t="shared" si="25"/>
        <v/>
      </c>
      <c r="AG193" s="320" t="str">
        <f t="shared" si="26"/>
        <v/>
      </c>
      <c r="AH193" s="282" t="str">
        <f t="shared" si="20"/>
        <v/>
      </c>
      <c r="AI193" s="109"/>
      <c r="AJ193" s="282" t="str">
        <f>IF(AI193="","",IF(AND(AI193="N/A - Culvert",N193&lt;&gt;"Culvert"),"Not possible ▲",IF(VLOOKUP(AI193,'G-7 WaterC'' Data'!$AA$4:$AB$7,2,FALSE)=0,"Spatial Data Missing ⚠",VLOOKUP(AI193,'G-7 WaterC'' Data'!$AA$4:$AB$7,2,FALSE))))</f>
        <v/>
      </c>
      <c r="AK193" s="110"/>
      <c r="AL193" s="282" t="str">
        <f>IF(AK193="","",IF(AND(AK193="N/A - Culvert",N193&lt;&gt;"Culvert"),"Not possible ▲",IF(VLOOKUP(AK193,'G-7 WaterC'' Data'!$AD$4:$AE$14,2,FALSE)=0,"Spatial Data Missing ⚠",VLOOKUP(AK193,'G-7 WaterC'' Data'!$AD$4:$AE$14,2,FALSE))))</f>
        <v/>
      </c>
      <c r="AM193" s="323" t="str">
        <f t="shared" si="27"/>
        <v/>
      </c>
      <c r="AN193" s="105"/>
      <c r="AO193" s="119"/>
      <c r="AP193" s="108"/>
      <c r="AS193" s="30" t="str">
        <f>IF(B193="","",IF(ISNA(VLOOKUP($B193,'C-1 On-Site WaterC'' Baseline'!$C$8:$AD$257,17,FALSE)),"",(VLOOKUP($B193,'C-1 On-Site WaterC'' Baseline'!$C$8:$AD$257,17,FALSE))))</f>
        <v/>
      </c>
      <c r="AT193" s="30" t="str">
        <f>IF(B193="","",VLOOKUP($B193,'C-1 On-Site WaterC'' Baseline'!$C$9:$Z$257,12,FALSE))</f>
        <v/>
      </c>
      <c r="AU193" s="30" t="str">
        <f>IF(B193="","",VLOOKUP($B193,'C-1 On-Site WaterC'' Baseline'!$C$9:$Z$257,14,FALSE))</f>
        <v/>
      </c>
      <c r="AV193" s="30" t="str">
        <f>IFERROR(INDEX('G-7 WaterC'' Data'!$AZ$3:$AZ$7,MATCH(N193,'G-7 WaterC'' Data'!$AY$3:$AY$7,0)),"")</f>
        <v/>
      </c>
      <c r="AX193" s="30" t="str">
        <f>IF(B193="","",VLOOKUP($B193,'C-1 On-Site WaterC'' Baseline'!$C$9:$Y$257,22,FALSE))</f>
        <v/>
      </c>
      <c r="AY193" s="30" t="str">
        <f t="shared" si="28"/>
        <v/>
      </c>
      <c r="AZ193" s="30" t="str">
        <f>IF(B193="","",VLOOKUP($B193,'C-1 On-Site WaterC'' Baseline'!$C$9:$Y$257,21,FALSE))</f>
        <v/>
      </c>
      <c r="BA193" s="30" t="str">
        <f>IF(B193="","",VLOOKUP($B193,'C-1 On-Site WaterC'' Baseline'!$C$9:$Y$257,19,FALSE))</f>
        <v/>
      </c>
      <c r="BD193" s="30" t="str">
        <f t="shared" si="29"/>
        <v>No</v>
      </c>
    </row>
    <row r="194" spans="2:56" ht="13.8" x14ac:dyDescent="0.25">
      <c r="B194" s="311" t="str">
        <f>'C-1 On-Site WaterC'' Baseline'!AP192</f>
        <v/>
      </c>
      <c r="C194" s="301" t="str">
        <f>IF(B194="","",VLOOKUP($B194,'C-1 On-Site WaterC'' Baseline'!$C$9:$R$257,2,FALSE))</f>
        <v/>
      </c>
      <c r="D194" s="301" t="str">
        <f>IF(C194="","",VLOOKUP($B194,'C-1 On-Site WaterC'' Baseline'!$C$9:$R$257,3,FALSE))</f>
        <v/>
      </c>
      <c r="E194" s="301" t="str">
        <f>IF(D194="","",VLOOKUP($B194,'C-1 On-Site WaterC'' Baseline'!$C$9:$R$257,4,FALSE))</f>
        <v/>
      </c>
      <c r="F194" s="301" t="str">
        <f>IF(E194="","",VLOOKUP($B194,'C-1 On-Site WaterC'' Baseline'!$C$9:$R$257,5,FALSE))</f>
        <v/>
      </c>
      <c r="G194" s="301" t="str">
        <f>IF(F194="","",VLOOKUP($B194,'C-1 On-Site WaterC'' Baseline'!$C$9:$R$257,6,FALSE))</f>
        <v/>
      </c>
      <c r="H194" s="301" t="str">
        <f>IF(G194="","",VLOOKUP($B194,'C-1 On-Site WaterC'' Baseline'!$C$9:$R$257,7,FALSE))</f>
        <v/>
      </c>
      <c r="I194" s="301" t="str">
        <f>IF(H194="","",VLOOKUP($B194,'C-1 On-Site WaterC'' Baseline'!$C$9:$R$257,8,FALSE))</f>
        <v/>
      </c>
      <c r="J194" s="301" t="str">
        <f>IF(I194="","",VLOOKUP($B194,'C-1 On-Site WaterC'' Baseline'!$C$9:$R$257,9,FALSE))</f>
        <v/>
      </c>
      <c r="K194" s="301" t="str">
        <f>IF(J194="","",VLOOKUP($B194,'C-1 On-Site WaterC'' Baseline'!$C$9:$R$257,10,FALSE))</f>
        <v/>
      </c>
      <c r="L194" s="301" t="str">
        <f>IF(B194="","",VLOOKUP($B194,'C-1 On-Site WaterC'' Baseline'!$C$9:$R$257,15,FALSE))</f>
        <v/>
      </c>
      <c r="M194" s="305" t="str">
        <f>IF(L194="","",VLOOKUP($B194,'C-1 On-Site WaterC'' Baseline'!$C$9:$R$257,16,FALSE))</f>
        <v/>
      </c>
      <c r="N194" s="251"/>
      <c r="O194" s="281" t="str">
        <f t="shared" si="21"/>
        <v/>
      </c>
      <c r="P194" s="282" t="str">
        <f t="shared" si="22"/>
        <v/>
      </c>
      <c r="Q194" s="342" t="str">
        <f>IF(N194="","",VLOOKUP(B194,'C-1 On-Site WaterC'' Baseline'!$C$10:$AC$257,20,FALSE))</f>
        <v/>
      </c>
      <c r="R194" s="281" t="str">
        <f>IF(N194="","",VLOOKUP(N194,'G-7 WaterC'' Data'!$B$2:$G$8,2,FALSE))</f>
        <v/>
      </c>
      <c r="S194" s="282" t="str">
        <f>IFERROR(VLOOKUP(R194,'G-7 WaterC'' Data'!$C$4:$D$8,2,FALSE),"")</f>
        <v/>
      </c>
      <c r="T194" s="105"/>
      <c r="U194" s="282" t="str">
        <f>IFERROR(INDEX('G-7 WaterC'' Data'!$H$4:$L$8,MATCH(N194,'G-7 WaterC'' Data'!$B$4:$B$8,0),MATCH(T194,'G-7 WaterC'' Data'!$H$3:$L$3,0)),"")</f>
        <v/>
      </c>
      <c r="V194" s="105"/>
      <c r="W194" s="289" t="str">
        <f>IF(V194="","",IF(VLOOKUP(V194,'G-7 WaterC'' Data'!$AK$4:$AM$6,2,FALSE)=0,"Spatial Data Missing ⚠",VLOOKUP(V194,'G-7 WaterC'' Data'!$AK$4:$AM$6,2,FALSE)))</f>
        <v/>
      </c>
      <c r="X194" s="282" t="str">
        <f>IF(V194="","",IF(VLOOKUP(V194,'G-7 WaterC'' Data'!$AK$4:$AM$6,3,FALSE)=0,"Spatial Data Missing ⚠",VLOOKUP(V194,'G-7 WaterC'' Data'!$AK$4:$AM$6,3,FALSE)))</f>
        <v/>
      </c>
      <c r="Y194" s="281" t="str">
        <f>IFERROR(IF(OR(LEFT(P194,5)="Error",LEFT(O194,5)="Error"),"Check Data ⚠",IF(F194&lt;S194,'G-7 WaterC'' Data'!$R$3,INDEX('G-7 WaterC'' Data'!$U$5:$Y$9,MATCH(G194,'G-7 WaterC'' Data'!$T$5:$T$9,0),MATCH(T194,'G-7 WaterC'' Data'!$U$4:$Y$4,0)))),"")</f>
        <v/>
      </c>
      <c r="Z194" s="137"/>
      <c r="AA194" s="137"/>
      <c r="AB194" s="289" t="str">
        <f t="shared" si="23"/>
        <v/>
      </c>
      <c r="AC194" s="302" t="str">
        <f t="shared" si="24"/>
        <v/>
      </c>
      <c r="AD194" s="340" t="str">
        <f>IFERROR(IF(AC194="Check Data ⚠","Check Data ⚠",VLOOKUP(AC194,'G-4 Temporal multipliers'!$A$4:$C$37,3,FALSE)),"")</f>
        <v/>
      </c>
      <c r="AE194" s="281" t="str">
        <f>IF(N194="","",VLOOKUP(N194,'G-7 WaterC'' Data'!$B$4:$G$8,5,FALSE))</f>
        <v/>
      </c>
      <c r="AF194" s="289" t="str">
        <f t="shared" si="25"/>
        <v/>
      </c>
      <c r="AG194" s="320" t="str">
        <f t="shared" si="26"/>
        <v/>
      </c>
      <c r="AH194" s="282" t="str">
        <f t="shared" si="20"/>
        <v/>
      </c>
      <c r="AI194" s="109"/>
      <c r="AJ194" s="282" t="str">
        <f>IF(AI194="","",IF(AND(AI194="N/A - Culvert",N194&lt;&gt;"Culvert"),"Not possible ▲",IF(VLOOKUP(AI194,'G-7 WaterC'' Data'!$AA$4:$AB$7,2,FALSE)=0,"Spatial Data Missing ⚠",VLOOKUP(AI194,'G-7 WaterC'' Data'!$AA$4:$AB$7,2,FALSE))))</f>
        <v/>
      </c>
      <c r="AK194" s="110"/>
      <c r="AL194" s="282" t="str">
        <f>IF(AK194="","",IF(AND(AK194="N/A - Culvert",N194&lt;&gt;"Culvert"),"Not possible ▲",IF(VLOOKUP(AK194,'G-7 WaterC'' Data'!$AD$4:$AE$14,2,FALSE)=0,"Spatial Data Missing ⚠",VLOOKUP(AK194,'G-7 WaterC'' Data'!$AD$4:$AE$14,2,FALSE))))</f>
        <v/>
      </c>
      <c r="AM194" s="323" t="str">
        <f t="shared" si="27"/>
        <v/>
      </c>
      <c r="AN194" s="105"/>
      <c r="AO194" s="119"/>
      <c r="AP194" s="108"/>
      <c r="AS194" s="30" t="str">
        <f>IF(B194="","",IF(ISNA(VLOOKUP($B194,'C-1 On-Site WaterC'' Baseline'!$C$8:$AD$257,17,FALSE)),"",(VLOOKUP($B194,'C-1 On-Site WaterC'' Baseline'!$C$8:$AD$257,17,FALSE))))</f>
        <v/>
      </c>
      <c r="AT194" s="30" t="str">
        <f>IF(B194="","",VLOOKUP($B194,'C-1 On-Site WaterC'' Baseline'!$C$9:$Z$257,12,FALSE))</f>
        <v/>
      </c>
      <c r="AU194" s="30" t="str">
        <f>IF(B194="","",VLOOKUP($B194,'C-1 On-Site WaterC'' Baseline'!$C$9:$Z$257,14,FALSE))</f>
        <v/>
      </c>
      <c r="AV194" s="30" t="str">
        <f>IFERROR(INDEX('G-7 WaterC'' Data'!$AZ$3:$AZ$7,MATCH(N194,'G-7 WaterC'' Data'!$AY$3:$AY$7,0)),"")</f>
        <v/>
      </c>
      <c r="AX194" s="30" t="str">
        <f>IF(B194="","",VLOOKUP($B194,'C-1 On-Site WaterC'' Baseline'!$C$9:$Y$257,22,FALSE))</f>
        <v/>
      </c>
      <c r="AY194" s="30" t="str">
        <f t="shared" si="28"/>
        <v/>
      </c>
      <c r="AZ194" s="30" t="str">
        <f>IF(B194="","",VLOOKUP($B194,'C-1 On-Site WaterC'' Baseline'!$C$9:$Y$257,21,FALSE))</f>
        <v/>
      </c>
      <c r="BA194" s="30" t="str">
        <f>IF(B194="","",VLOOKUP($B194,'C-1 On-Site WaterC'' Baseline'!$C$9:$Y$257,19,FALSE))</f>
        <v/>
      </c>
      <c r="BD194" s="30" t="str">
        <f t="shared" si="29"/>
        <v>No</v>
      </c>
    </row>
    <row r="195" spans="2:56" ht="13.8" x14ac:dyDescent="0.25">
      <c r="B195" s="311" t="str">
        <f>'C-1 On-Site WaterC'' Baseline'!AP193</f>
        <v/>
      </c>
      <c r="C195" s="301" t="str">
        <f>IF(B195="","",VLOOKUP($B195,'C-1 On-Site WaterC'' Baseline'!$C$9:$R$257,2,FALSE))</f>
        <v/>
      </c>
      <c r="D195" s="301" t="str">
        <f>IF(C195="","",VLOOKUP($B195,'C-1 On-Site WaterC'' Baseline'!$C$9:$R$257,3,FALSE))</f>
        <v/>
      </c>
      <c r="E195" s="301" t="str">
        <f>IF(D195="","",VLOOKUP($B195,'C-1 On-Site WaterC'' Baseline'!$C$9:$R$257,4,FALSE))</f>
        <v/>
      </c>
      <c r="F195" s="301" t="str">
        <f>IF(E195="","",VLOOKUP($B195,'C-1 On-Site WaterC'' Baseline'!$C$9:$R$257,5,FALSE))</f>
        <v/>
      </c>
      <c r="G195" s="301" t="str">
        <f>IF(F195="","",VLOOKUP($B195,'C-1 On-Site WaterC'' Baseline'!$C$9:$R$257,6,FALSE))</f>
        <v/>
      </c>
      <c r="H195" s="301" t="str">
        <f>IF(G195="","",VLOOKUP($B195,'C-1 On-Site WaterC'' Baseline'!$C$9:$R$257,7,FALSE))</f>
        <v/>
      </c>
      <c r="I195" s="301" t="str">
        <f>IF(H195="","",VLOOKUP($B195,'C-1 On-Site WaterC'' Baseline'!$C$9:$R$257,8,FALSE))</f>
        <v/>
      </c>
      <c r="J195" s="301" t="str">
        <f>IF(I195="","",VLOOKUP($B195,'C-1 On-Site WaterC'' Baseline'!$C$9:$R$257,9,FALSE))</f>
        <v/>
      </c>
      <c r="K195" s="301" t="str">
        <f>IF(J195="","",VLOOKUP($B195,'C-1 On-Site WaterC'' Baseline'!$C$9:$R$257,10,FALSE))</f>
        <v/>
      </c>
      <c r="L195" s="301" t="str">
        <f>IF(B195="","",VLOOKUP($B195,'C-1 On-Site WaterC'' Baseline'!$C$9:$R$257,15,FALSE))</f>
        <v/>
      </c>
      <c r="M195" s="305" t="str">
        <f>IF(L195="","",VLOOKUP($B195,'C-1 On-Site WaterC'' Baseline'!$C$9:$R$257,16,FALSE))</f>
        <v/>
      </c>
      <c r="N195" s="251"/>
      <c r="O195" s="281" t="str">
        <f t="shared" si="21"/>
        <v/>
      </c>
      <c r="P195" s="282" t="str">
        <f t="shared" si="22"/>
        <v/>
      </c>
      <c r="Q195" s="342" t="str">
        <f>IF(N195="","",VLOOKUP(B195,'C-1 On-Site WaterC'' Baseline'!$C$10:$AC$257,20,FALSE))</f>
        <v/>
      </c>
      <c r="R195" s="281" t="str">
        <f>IF(N195="","",VLOOKUP(N195,'G-7 WaterC'' Data'!$B$2:$G$8,2,FALSE))</f>
        <v/>
      </c>
      <c r="S195" s="282" t="str">
        <f>IFERROR(VLOOKUP(R195,'G-7 WaterC'' Data'!$C$4:$D$8,2,FALSE),"")</f>
        <v/>
      </c>
      <c r="T195" s="105"/>
      <c r="U195" s="282" t="str">
        <f>IFERROR(INDEX('G-7 WaterC'' Data'!$H$4:$L$8,MATCH(N195,'G-7 WaterC'' Data'!$B$4:$B$8,0),MATCH(T195,'G-7 WaterC'' Data'!$H$3:$L$3,0)),"")</f>
        <v/>
      </c>
      <c r="V195" s="105"/>
      <c r="W195" s="289" t="str">
        <f>IF(V195="","",IF(VLOOKUP(V195,'G-7 WaterC'' Data'!$AK$4:$AM$6,2,FALSE)=0,"Spatial Data Missing ⚠",VLOOKUP(V195,'G-7 WaterC'' Data'!$AK$4:$AM$6,2,FALSE)))</f>
        <v/>
      </c>
      <c r="X195" s="282" t="str">
        <f>IF(V195="","",IF(VLOOKUP(V195,'G-7 WaterC'' Data'!$AK$4:$AM$6,3,FALSE)=0,"Spatial Data Missing ⚠",VLOOKUP(V195,'G-7 WaterC'' Data'!$AK$4:$AM$6,3,FALSE)))</f>
        <v/>
      </c>
      <c r="Y195" s="281" t="str">
        <f>IFERROR(IF(OR(LEFT(P195,5)="Error",LEFT(O195,5)="Error"),"Check Data ⚠",IF(F195&lt;S195,'G-7 WaterC'' Data'!$R$3,INDEX('G-7 WaterC'' Data'!$U$5:$Y$9,MATCH(G195,'G-7 WaterC'' Data'!$T$5:$T$9,0),MATCH(T195,'G-7 WaterC'' Data'!$U$4:$Y$4,0)))),"")</f>
        <v/>
      </c>
      <c r="Z195" s="137"/>
      <c r="AA195" s="137"/>
      <c r="AB195" s="289" t="str">
        <f t="shared" si="23"/>
        <v/>
      </c>
      <c r="AC195" s="302" t="str">
        <f t="shared" si="24"/>
        <v/>
      </c>
      <c r="AD195" s="340" t="str">
        <f>IFERROR(IF(AC195="Check Data ⚠","Check Data ⚠",VLOOKUP(AC195,'G-4 Temporal multipliers'!$A$4:$C$37,3,FALSE)),"")</f>
        <v/>
      </c>
      <c r="AE195" s="281" t="str">
        <f>IF(N195="","",VLOOKUP(N195,'G-7 WaterC'' Data'!$B$4:$G$8,5,FALSE))</f>
        <v/>
      </c>
      <c r="AF195" s="289" t="str">
        <f t="shared" si="25"/>
        <v/>
      </c>
      <c r="AG195" s="320" t="str">
        <f t="shared" si="26"/>
        <v/>
      </c>
      <c r="AH195" s="282" t="str">
        <f t="shared" si="20"/>
        <v/>
      </c>
      <c r="AI195" s="109"/>
      <c r="AJ195" s="282" t="str">
        <f>IF(AI195="","",IF(AND(AI195="N/A - Culvert",N195&lt;&gt;"Culvert"),"Not possible ▲",IF(VLOOKUP(AI195,'G-7 WaterC'' Data'!$AA$4:$AB$7,2,FALSE)=0,"Spatial Data Missing ⚠",VLOOKUP(AI195,'G-7 WaterC'' Data'!$AA$4:$AB$7,2,FALSE))))</f>
        <v/>
      </c>
      <c r="AK195" s="110"/>
      <c r="AL195" s="282" t="str">
        <f>IF(AK195="","",IF(AND(AK195="N/A - Culvert",N195&lt;&gt;"Culvert"),"Not possible ▲",IF(VLOOKUP(AK195,'G-7 WaterC'' Data'!$AD$4:$AE$14,2,FALSE)=0,"Spatial Data Missing ⚠",VLOOKUP(AK195,'G-7 WaterC'' Data'!$AD$4:$AE$14,2,FALSE))))</f>
        <v/>
      </c>
      <c r="AM195" s="323" t="str">
        <f t="shared" si="27"/>
        <v/>
      </c>
      <c r="AN195" s="105"/>
      <c r="AO195" s="119"/>
      <c r="AP195" s="108"/>
      <c r="AS195" s="30" t="str">
        <f>IF(B195="","",IF(ISNA(VLOOKUP($B195,'C-1 On-Site WaterC'' Baseline'!$C$8:$AD$257,17,FALSE)),"",(VLOOKUP($B195,'C-1 On-Site WaterC'' Baseline'!$C$8:$AD$257,17,FALSE))))</f>
        <v/>
      </c>
      <c r="AT195" s="30" t="str">
        <f>IF(B195="","",VLOOKUP($B195,'C-1 On-Site WaterC'' Baseline'!$C$9:$Z$257,12,FALSE))</f>
        <v/>
      </c>
      <c r="AU195" s="30" t="str">
        <f>IF(B195="","",VLOOKUP($B195,'C-1 On-Site WaterC'' Baseline'!$C$9:$Z$257,14,FALSE))</f>
        <v/>
      </c>
      <c r="AV195" s="30" t="str">
        <f>IFERROR(INDEX('G-7 WaterC'' Data'!$AZ$3:$AZ$7,MATCH(N195,'G-7 WaterC'' Data'!$AY$3:$AY$7,0)),"")</f>
        <v/>
      </c>
      <c r="AX195" s="30" t="str">
        <f>IF(B195="","",VLOOKUP($B195,'C-1 On-Site WaterC'' Baseline'!$C$9:$Y$257,22,FALSE))</f>
        <v/>
      </c>
      <c r="AY195" s="30" t="str">
        <f t="shared" si="28"/>
        <v/>
      </c>
      <c r="AZ195" s="30" t="str">
        <f>IF(B195="","",VLOOKUP($B195,'C-1 On-Site WaterC'' Baseline'!$C$9:$Y$257,21,FALSE))</f>
        <v/>
      </c>
      <c r="BA195" s="30" t="str">
        <f>IF(B195="","",VLOOKUP($B195,'C-1 On-Site WaterC'' Baseline'!$C$9:$Y$257,19,FALSE))</f>
        <v/>
      </c>
      <c r="BD195" s="30" t="str">
        <f t="shared" si="29"/>
        <v>No</v>
      </c>
    </row>
    <row r="196" spans="2:56" ht="13.8" x14ac:dyDescent="0.25">
      <c r="B196" s="311" t="str">
        <f>'C-1 On-Site WaterC'' Baseline'!AP194</f>
        <v/>
      </c>
      <c r="C196" s="301" t="str">
        <f>IF(B196="","",VLOOKUP($B196,'C-1 On-Site WaterC'' Baseline'!$C$9:$R$257,2,FALSE))</f>
        <v/>
      </c>
      <c r="D196" s="301" t="str">
        <f>IF(C196="","",VLOOKUP($B196,'C-1 On-Site WaterC'' Baseline'!$C$9:$R$257,3,FALSE))</f>
        <v/>
      </c>
      <c r="E196" s="301" t="str">
        <f>IF(D196="","",VLOOKUP($B196,'C-1 On-Site WaterC'' Baseline'!$C$9:$R$257,4,FALSE))</f>
        <v/>
      </c>
      <c r="F196" s="301" t="str">
        <f>IF(E196="","",VLOOKUP($B196,'C-1 On-Site WaterC'' Baseline'!$C$9:$R$257,5,FALSE))</f>
        <v/>
      </c>
      <c r="G196" s="301" t="str">
        <f>IF(F196="","",VLOOKUP($B196,'C-1 On-Site WaterC'' Baseline'!$C$9:$R$257,6,FALSE))</f>
        <v/>
      </c>
      <c r="H196" s="301" t="str">
        <f>IF(G196="","",VLOOKUP($B196,'C-1 On-Site WaterC'' Baseline'!$C$9:$R$257,7,FALSE))</f>
        <v/>
      </c>
      <c r="I196" s="301" t="str">
        <f>IF(H196="","",VLOOKUP($B196,'C-1 On-Site WaterC'' Baseline'!$C$9:$R$257,8,FALSE))</f>
        <v/>
      </c>
      <c r="J196" s="301" t="str">
        <f>IF(I196="","",VLOOKUP($B196,'C-1 On-Site WaterC'' Baseline'!$C$9:$R$257,9,FALSE))</f>
        <v/>
      </c>
      <c r="K196" s="301" t="str">
        <f>IF(J196="","",VLOOKUP($B196,'C-1 On-Site WaterC'' Baseline'!$C$9:$R$257,10,FALSE))</f>
        <v/>
      </c>
      <c r="L196" s="301" t="str">
        <f>IF(B196="","",VLOOKUP($B196,'C-1 On-Site WaterC'' Baseline'!$C$9:$R$257,15,FALSE))</f>
        <v/>
      </c>
      <c r="M196" s="305" t="str">
        <f>IF(L196="","",VLOOKUP($B196,'C-1 On-Site WaterC'' Baseline'!$C$9:$R$257,16,FALSE))</f>
        <v/>
      </c>
      <c r="N196" s="251"/>
      <c r="O196" s="281" t="str">
        <f t="shared" si="21"/>
        <v/>
      </c>
      <c r="P196" s="282" t="str">
        <f t="shared" si="22"/>
        <v/>
      </c>
      <c r="Q196" s="342" t="str">
        <f>IF(N196="","",VLOOKUP(B196,'C-1 On-Site WaterC'' Baseline'!$C$10:$AC$257,20,FALSE))</f>
        <v/>
      </c>
      <c r="R196" s="281" t="str">
        <f>IF(N196="","",VLOOKUP(N196,'G-7 WaterC'' Data'!$B$2:$G$8,2,FALSE))</f>
        <v/>
      </c>
      <c r="S196" s="282" t="str">
        <f>IFERROR(VLOOKUP(R196,'G-7 WaterC'' Data'!$C$4:$D$8,2,FALSE),"")</f>
        <v/>
      </c>
      <c r="T196" s="105"/>
      <c r="U196" s="282" t="str">
        <f>IFERROR(INDEX('G-7 WaterC'' Data'!$H$4:$L$8,MATCH(N196,'G-7 WaterC'' Data'!$B$4:$B$8,0),MATCH(T196,'G-7 WaterC'' Data'!$H$3:$L$3,0)),"")</f>
        <v/>
      </c>
      <c r="V196" s="105"/>
      <c r="W196" s="289" t="str">
        <f>IF(V196="","",IF(VLOOKUP(V196,'G-7 WaterC'' Data'!$AK$4:$AM$6,2,FALSE)=0,"Spatial Data Missing ⚠",VLOOKUP(V196,'G-7 WaterC'' Data'!$AK$4:$AM$6,2,FALSE)))</f>
        <v/>
      </c>
      <c r="X196" s="282" t="str">
        <f>IF(V196="","",IF(VLOOKUP(V196,'G-7 WaterC'' Data'!$AK$4:$AM$6,3,FALSE)=0,"Spatial Data Missing ⚠",VLOOKUP(V196,'G-7 WaterC'' Data'!$AK$4:$AM$6,3,FALSE)))</f>
        <v/>
      </c>
      <c r="Y196" s="281" t="str">
        <f>IFERROR(IF(OR(LEFT(P196,5)="Error",LEFT(O196,5)="Error"),"Check Data ⚠",IF(F196&lt;S196,'G-7 WaterC'' Data'!$R$3,INDEX('G-7 WaterC'' Data'!$U$5:$Y$9,MATCH(G196,'G-7 WaterC'' Data'!$T$5:$T$9,0),MATCH(T196,'G-7 WaterC'' Data'!$U$4:$Y$4,0)))),"")</f>
        <v/>
      </c>
      <c r="Z196" s="137"/>
      <c r="AA196" s="137"/>
      <c r="AB196" s="289" t="str">
        <f t="shared" si="23"/>
        <v/>
      </c>
      <c r="AC196" s="302" t="str">
        <f t="shared" si="24"/>
        <v/>
      </c>
      <c r="AD196" s="340" t="str">
        <f>IFERROR(IF(AC196="Check Data ⚠","Check Data ⚠",VLOOKUP(AC196,'G-4 Temporal multipliers'!$A$4:$C$37,3,FALSE)),"")</f>
        <v/>
      </c>
      <c r="AE196" s="281" t="str">
        <f>IF(N196="","",VLOOKUP(N196,'G-7 WaterC'' Data'!$B$4:$G$8,5,FALSE))</f>
        <v/>
      </c>
      <c r="AF196" s="289" t="str">
        <f t="shared" si="25"/>
        <v/>
      </c>
      <c r="AG196" s="320" t="str">
        <f t="shared" si="26"/>
        <v/>
      </c>
      <c r="AH196" s="282" t="str">
        <f t="shared" si="20"/>
        <v/>
      </c>
      <c r="AI196" s="109"/>
      <c r="AJ196" s="282" t="str">
        <f>IF(AI196="","",IF(AND(AI196="N/A - Culvert",N196&lt;&gt;"Culvert"),"Not possible ▲",IF(VLOOKUP(AI196,'G-7 WaterC'' Data'!$AA$4:$AB$7,2,FALSE)=0,"Spatial Data Missing ⚠",VLOOKUP(AI196,'G-7 WaterC'' Data'!$AA$4:$AB$7,2,FALSE))))</f>
        <v/>
      </c>
      <c r="AK196" s="110"/>
      <c r="AL196" s="282" t="str">
        <f>IF(AK196="","",IF(AND(AK196="N/A - Culvert",N196&lt;&gt;"Culvert"),"Not possible ▲",IF(VLOOKUP(AK196,'G-7 WaterC'' Data'!$AD$4:$AE$14,2,FALSE)=0,"Spatial Data Missing ⚠",VLOOKUP(AK196,'G-7 WaterC'' Data'!$AD$4:$AE$14,2,FALSE))))</f>
        <v/>
      </c>
      <c r="AM196" s="323" t="str">
        <f t="shared" si="27"/>
        <v/>
      </c>
      <c r="AN196" s="105"/>
      <c r="AO196" s="119"/>
      <c r="AP196" s="108"/>
      <c r="AS196" s="30" t="str">
        <f>IF(B196="","",IF(ISNA(VLOOKUP($B196,'C-1 On-Site WaterC'' Baseline'!$C$8:$AD$257,17,FALSE)),"",(VLOOKUP($B196,'C-1 On-Site WaterC'' Baseline'!$C$8:$AD$257,17,FALSE))))</f>
        <v/>
      </c>
      <c r="AT196" s="30" t="str">
        <f>IF(B196="","",VLOOKUP($B196,'C-1 On-Site WaterC'' Baseline'!$C$9:$Z$257,12,FALSE))</f>
        <v/>
      </c>
      <c r="AU196" s="30" t="str">
        <f>IF(B196="","",VLOOKUP($B196,'C-1 On-Site WaterC'' Baseline'!$C$9:$Z$257,14,FALSE))</f>
        <v/>
      </c>
      <c r="AV196" s="30" t="str">
        <f>IFERROR(INDEX('G-7 WaterC'' Data'!$AZ$3:$AZ$7,MATCH(N196,'G-7 WaterC'' Data'!$AY$3:$AY$7,0)),"")</f>
        <v/>
      </c>
      <c r="AX196" s="30" t="str">
        <f>IF(B196="","",VLOOKUP($B196,'C-1 On-Site WaterC'' Baseline'!$C$9:$Y$257,22,FALSE))</f>
        <v/>
      </c>
      <c r="AY196" s="30" t="str">
        <f t="shared" si="28"/>
        <v/>
      </c>
      <c r="AZ196" s="30" t="str">
        <f>IF(B196="","",VLOOKUP($B196,'C-1 On-Site WaterC'' Baseline'!$C$9:$Y$257,21,FALSE))</f>
        <v/>
      </c>
      <c r="BA196" s="30" t="str">
        <f>IF(B196="","",VLOOKUP($B196,'C-1 On-Site WaterC'' Baseline'!$C$9:$Y$257,19,FALSE))</f>
        <v/>
      </c>
      <c r="BD196" s="30" t="str">
        <f t="shared" si="29"/>
        <v>No</v>
      </c>
    </row>
    <row r="197" spans="2:56" ht="13.8" x14ac:dyDescent="0.25">
      <c r="B197" s="311" t="str">
        <f>'C-1 On-Site WaterC'' Baseline'!AP195</f>
        <v/>
      </c>
      <c r="C197" s="301" t="str">
        <f>IF(B197="","",VLOOKUP($B197,'C-1 On-Site WaterC'' Baseline'!$C$9:$R$257,2,FALSE))</f>
        <v/>
      </c>
      <c r="D197" s="301" t="str">
        <f>IF(C197="","",VLOOKUP($B197,'C-1 On-Site WaterC'' Baseline'!$C$9:$R$257,3,FALSE))</f>
        <v/>
      </c>
      <c r="E197" s="301" t="str">
        <f>IF(D197="","",VLOOKUP($B197,'C-1 On-Site WaterC'' Baseline'!$C$9:$R$257,4,FALSE))</f>
        <v/>
      </c>
      <c r="F197" s="301" t="str">
        <f>IF(E197="","",VLOOKUP($B197,'C-1 On-Site WaterC'' Baseline'!$C$9:$R$257,5,FALSE))</f>
        <v/>
      </c>
      <c r="G197" s="301" t="str">
        <f>IF(F197="","",VLOOKUP($B197,'C-1 On-Site WaterC'' Baseline'!$C$9:$R$257,6,FALSE))</f>
        <v/>
      </c>
      <c r="H197" s="301" t="str">
        <f>IF(G197="","",VLOOKUP($B197,'C-1 On-Site WaterC'' Baseline'!$C$9:$R$257,7,FALSE))</f>
        <v/>
      </c>
      <c r="I197" s="301" t="str">
        <f>IF(H197="","",VLOOKUP($B197,'C-1 On-Site WaterC'' Baseline'!$C$9:$R$257,8,FALSE))</f>
        <v/>
      </c>
      <c r="J197" s="301" t="str">
        <f>IF(I197="","",VLOOKUP($B197,'C-1 On-Site WaterC'' Baseline'!$C$9:$R$257,9,FALSE))</f>
        <v/>
      </c>
      <c r="K197" s="301" t="str">
        <f>IF(J197="","",VLOOKUP($B197,'C-1 On-Site WaterC'' Baseline'!$C$9:$R$257,10,FALSE))</f>
        <v/>
      </c>
      <c r="L197" s="301" t="str">
        <f>IF(B197="","",VLOOKUP($B197,'C-1 On-Site WaterC'' Baseline'!$C$9:$R$257,15,FALSE))</f>
        <v/>
      </c>
      <c r="M197" s="305" t="str">
        <f>IF(L197="","",VLOOKUP($B197,'C-1 On-Site WaterC'' Baseline'!$C$9:$R$257,16,FALSE))</f>
        <v/>
      </c>
      <c r="N197" s="251"/>
      <c r="O197" s="281" t="str">
        <f t="shared" si="21"/>
        <v/>
      </c>
      <c r="P197" s="282" t="str">
        <f t="shared" si="22"/>
        <v/>
      </c>
      <c r="Q197" s="342" t="str">
        <f>IF(N197="","",VLOOKUP(B197,'C-1 On-Site WaterC'' Baseline'!$C$10:$AC$257,20,FALSE))</f>
        <v/>
      </c>
      <c r="R197" s="281" t="str">
        <f>IF(N197="","",VLOOKUP(N197,'G-7 WaterC'' Data'!$B$2:$G$8,2,FALSE))</f>
        <v/>
      </c>
      <c r="S197" s="282" t="str">
        <f>IFERROR(VLOOKUP(R197,'G-7 WaterC'' Data'!$C$4:$D$8,2,FALSE),"")</f>
        <v/>
      </c>
      <c r="T197" s="105"/>
      <c r="U197" s="282" t="str">
        <f>IFERROR(INDEX('G-7 WaterC'' Data'!$H$4:$L$8,MATCH(N197,'G-7 WaterC'' Data'!$B$4:$B$8,0),MATCH(T197,'G-7 WaterC'' Data'!$H$3:$L$3,0)),"")</f>
        <v/>
      </c>
      <c r="V197" s="105"/>
      <c r="W197" s="289" t="str">
        <f>IF(V197="","",IF(VLOOKUP(V197,'G-7 WaterC'' Data'!$AK$4:$AM$6,2,FALSE)=0,"Spatial Data Missing ⚠",VLOOKUP(V197,'G-7 WaterC'' Data'!$AK$4:$AM$6,2,FALSE)))</f>
        <v/>
      </c>
      <c r="X197" s="282" t="str">
        <f>IF(V197="","",IF(VLOOKUP(V197,'G-7 WaterC'' Data'!$AK$4:$AM$6,3,FALSE)=0,"Spatial Data Missing ⚠",VLOOKUP(V197,'G-7 WaterC'' Data'!$AK$4:$AM$6,3,FALSE)))</f>
        <v/>
      </c>
      <c r="Y197" s="281" t="str">
        <f>IFERROR(IF(OR(LEFT(P197,5)="Error",LEFT(O197,5)="Error"),"Check Data ⚠",IF(F197&lt;S197,'G-7 WaterC'' Data'!$R$3,INDEX('G-7 WaterC'' Data'!$U$5:$Y$9,MATCH(G197,'G-7 WaterC'' Data'!$T$5:$T$9,0),MATCH(T197,'G-7 WaterC'' Data'!$U$4:$Y$4,0)))),"")</f>
        <v/>
      </c>
      <c r="Z197" s="137"/>
      <c r="AA197" s="137"/>
      <c r="AB197" s="289" t="str">
        <f t="shared" si="23"/>
        <v/>
      </c>
      <c r="AC197" s="302" t="str">
        <f t="shared" si="24"/>
        <v/>
      </c>
      <c r="AD197" s="340" t="str">
        <f>IFERROR(IF(AC197="Check Data ⚠","Check Data ⚠",VLOOKUP(AC197,'G-4 Temporal multipliers'!$A$4:$C$37,3,FALSE)),"")</f>
        <v/>
      </c>
      <c r="AE197" s="281" t="str">
        <f>IF(N197="","",VLOOKUP(N197,'G-7 WaterC'' Data'!$B$4:$G$8,5,FALSE))</f>
        <v/>
      </c>
      <c r="AF197" s="289" t="str">
        <f t="shared" si="25"/>
        <v/>
      </c>
      <c r="AG197" s="320" t="str">
        <f t="shared" si="26"/>
        <v/>
      </c>
      <c r="AH197" s="282" t="str">
        <f t="shared" si="20"/>
        <v/>
      </c>
      <c r="AI197" s="109"/>
      <c r="AJ197" s="282" t="str">
        <f>IF(AI197="","",IF(AND(AI197="N/A - Culvert",N197&lt;&gt;"Culvert"),"Not possible ▲",IF(VLOOKUP(AI197,'G-7 WaterC'' Data'!$AA$4:$AB$7,2,FALSE)=0,"Spatial Data Missing ⚠",VLOOKUP(AI197,'G-7 WaterC'' Data'!$AA$4:$AB$7,2,FALSE))))</f>
        <v/>
      </c>
      <c r="AK197" s="110"/>
      <c r="AL197" s="282" t="str">
        <f>IF(AK197="","",IF(AND(AK197="N/A - Culvert",N197&lt;&gt;"Culvert"),"Not possible ▲",IF(VLOOKUP(AK197,'G-7 WaterC'' Data'!$AD$4:$AE$14,2,FALSE)=0,"Spatial Data Missing ⚠",VLOOKUP(AK197,'G-7 WaterC'' Data'!$AD$4:$AE$14,2,FALSE))))</f>
        <v/>
      </c>
      <c r="AM197" s="323" t="str">
        <f t="shared" si="27"/>
        <v/>
      </c>
      <c r="AN197" s="105"/>
      <c r="AO197" s="119"/>
      <c r="AP197" s="108"/>
      <c r="AS197" s="30" t="str">
        <f>IF(B197="","",IF(ISNA(VLOOKUP($B197,'C-1 On-Site WaterC'' Baseline'!$C$8:$AD$257,17,FALSE)),"",(VLOOKUP($B197,'C-1 On-Site WaterC'' Baseline'!$C$8:$AD$257,17,FALSE))))</f>
        <v/>
      </c>
      <c r="AT197" s="30" t="str">
        <f>IF(B197="","",VLOOKUP($B197,'C-1 On-Site WaterC'' Baseline'!$C$9:$Z$257,12,FALSE))</f>
        <v/>
      </c>
      <c r="AU197" s="30" t="str">
        <f>IF(B197="","",VLOOKUP($B197,'C-1 On-Site WaterC'' Baseline'!$C$9:$Z$257,14,FALSE))</f>
        <v/>
      </c>
      <c r="AV197" s="30" t="str">
        <f>IFERROR(INDEX('G-7 WaterC'' Data'!$AZ$3:$AZ$7,MATCH(N197,'G-7 WaterC'' Data'!$AY$3:$AY$7,0)),"")</f>
        <v/>
      </c>
      <c r="AX197" s="30" t="str">
        <f>IF(B197="","",VLOOKUP($B197,'C-1 On-Site WaterC'' Baseline'!$C$9:$Y$257,22,FALSE))</f>
        <v/>
      </c>
      <c r="AY197" s="30" t="str">
        <f t="shared" si="28"/>
        <v/>
      </c>
      <c r="AZ197" s="30" t="str">
        <f>IF(B197="","",VLOOKUP($B197,'C-1 On-Site WaterC'' Baseline'!$C$9:$Y$257,21,FALSE))</f>
        <v/>
      </c>
      <c r="BA197" s="30" t="str">
        <f>IF(B197="","",VLOOKUP($B197,'C-1 On-Site WaterC'' Baseline'!$C$9:$Y$257,19,FALSE))</f>
        <v/>
      </c>
      <c r="BD197" s="30" t="str">
        <f t="shared" si="29"/>
        <v>No</v>
      </c>
    </row>
    <row r="198" spans="2:56" ht="13.8" x14ac:dyDescent="0.25">
      <c r="B198" s="311" t="str">
        <f>'C-1 On-Site WaterC'' Baseline'!AP196</f>
        <v/>
      </c>
      <c r="C198" s="301" t="str">
        <f>IF(B198="","",VLOOKUP($B198,'C-1 On-Site WaterC'' Baseline'!$C$9:$R$257,2,FALSE))</f>
        <v/>
      </c>
      <c r="D198" s="301" t="str">
        <f>IF(C198="","",VLOOKUP($B198,'C-1 On-Site WaterC'' Baseline'!$C$9:$R$257,3,FALSE))</f>
        <v/>
      </c>
      <c r="E198" s="301" t="str">
        <f>IF(D198="","",VLOOKUP($B198,'C-1 On-Site WaterC'' Baseline'!$C$9:$R$257,4,FALSE))</f>
        <v/>
      </c>
      <c r="F198" s="301" t="str">
        <f>IF(E198="","",VLOOKUP($B198,'C-1 On-Site WaterC'' Baseline'!$C$9:$R$257,5,FALSE))</f>
        <v/>
      </c>
      <c r="G198" s="301" t="str">
        <f>IF(F198="","",VLOOKUP($B198,'C-1 On-Site WaterC'' Baseline'!$C$9:$R$257,6,FALSE))</f>
        <v/>
      </c>
      <c r="H198" s="301" t="str">
        <f>IF(G198="","",VLOOKUP($B198,'C-1 On-Site WaterC'' Baseline'!$C$9:$R$257,7,FALSE))</f>
        <v/>
      </c>
      <c r="I198" s="301" t="str">
        <f>IF(H198="","",VLOOKUP($B198,'C-1 On-Site WaterC'' Baseline'!$C$9:$R$257,8,FALSE))</f>
        <v/>
      </c>
      <c r="J198" s="301" t="str">
        <f>IF(I198="","",VLOOKUP($B198,'C-1 On-Site WaterC'' Baseline'!$C$9:$R$257,9,FALSE))</f>
        <v/>
      </c>
      <c r="K198" s="301" t="str">
        <f>IF(J198="","",VLOOKUP($B198,'C-1 On-Site WaterC'' Baseline'!$C$9:$R$257,10,FALSE))</f>
        <v/>
      </c>
      <c r="L198" s="301" t="str">
        <f>IF(B198="","",VLOOKUP($B198,'C-1 On-Site WaterC'' Baseline'!$C$9:$R$257,15,FALSE))</f>
        <v/>
      </c>
      <c r="M198" s="305" t="str">
        <f>IF(L198="","",VLOOKUP($B198,'C-1 On-Site WaterC'' Baseline'!$C$9:$R$257,16,FALSE))</f>
        <v/>
      </c>
      <c r="N198" s="251"/>
      <c r="O198" s="281" t="str">
        <f t="shared" si="21"/>
        <v/>
      </c>
      <c r="P198" s="282" t="str">
        <f t="shared" si="22"/>
        <v/>
      </c>
      <c r="Q198" s="342" t="str">
        <f>IF(N198="","",VLOOKUP(B198,'C-1 On-Site WaterC'' Baseline'!$C$10:$AC$257,20,FALSE))</f>
        <v/>
      </c>
      <c r="R198" s="281" t="str">
        <f>IF(N198="","",VLOOKUP(N198,'G-7 WaterC'' Data'!$B$2:$G$8,2,FALSE))</f>
        <v/>
      </c>
      <c r="S198" s="282" t="str">
        <f>IFERROR(VLOOKUP(R198,'G-7 WaterC'' Data'!$C$4:$D$8,2,FALSE),"")</f>
        <v/>
      </c>
      <c r="T198" s="105"/>
      <c r="U198" s="282" t="str">
        <f>IFERROR(INDEX('G-7 WaterC'' Data'!$H$4:$L$8,MATCH(N198,'G-7 WaterC'' Data'!$B$4:$B$8,0),MATCH(T198,'G-7 WaterC'' Data'!$H$3:$L$3,0)),"")</f>
        <v/>
      </c>
      <c r="V198" s="105"/>
      <c r="W198" s="289" t="str">
        <f>IF(V198="","",IF(VLOOKUP(V198,'G-7 WaterC'' Data'!$AK$4:$AM$6,2,FALSE)=0,"Spatial Data Missing ⚠",VLOOKUP(V198,'G-7 WaterC'' Data'!$AK$4:$AM$6,2,FALSE)))</f>
        <v/>
      </c>
      <c r="X198" s="282" t="str">
        <f>IF(V198="","",IF(VLOOKUP(V198,'G-7 WaterC'' Data'!$AK$4:$AM$6,3,FALSE)=0,"Spatial Data Missing ⚠",VLOOKUP(V198,'G-7 WaterC'' Data'!$AK$4:$AM$6,3,FALSE)))</f>
        <v/>
      </c>
      <c r="Y198" s="281" t="str">
        <f>IFERROR(IF(OR(LEFT(P198,5)="Error",LEFT(O198,5)="Error"),"Check Data ⚠",IF(F198&lt;S198,'G-7 WaterC'' Data'!$R$3,INDEX('G-7 WaterC'' Data'!$U$5:$Y$9,MATCH(G198,'G-7 WaterC'' Data'!$T$5:$T$9,0),MATCH(T198,'G-7 WaterC'' Data'!$U$4:$Y$4,0)))),"")</f>
        <v/>
      </c>
      <c r="Z198" s="137"/>
      <c r="AA198" s="137"/>
      <c r="AB198" s="289" t="str">
        <f t="shared" si="23"/>
        <v/>
      </c>
      <c r="AC198" s="302" t="str">
        <f t="shared" si="24"/>
        <v/>
      </c>
      <c r="AD198" s="340" t="str">
        <f>IFERROR(IF(AC198="Check Data ⚠","Check Data ⚠",VLOOKUP(AC198,'G-4 Temporal multipliers'!$A$4:$C$37,3,FALSE)),"")</f>
        <v/>
      </c>
      <c r="AE198" s="281" t="str">
        <f>IF(N198="","",VLOOKUP(N198,'G-7 WaterC'' Data'!$B$4:$G$8,5,FALSE))</f>
        <v/>
      </c>
      <c r="AF198" s="289" t="str">
        <f t="shared" si="25"/>
        <v/>
      </c>
      <c r="AG198" s="320" t="str">
        <f t="shared" si="26"/>
        <v/>
      </c>
      <c r="AH198" s="282" t="str">
        <f t="shared" si="20"/>
        <v/>
      </c>
      <c r="AI198" s="109"/>
      <c r="AJ198" s="282" t="str">
        <f>IF(AI198="","",IF(AND(AI198="N/A - Culvert",N198&lt;&gt;"Culvert"),"Not possible ▲",IF(VLOOKUP(AI198,'G-7 WaterC'' Data'!$AA$4:$AB$7,2,FALSE)=0,"Spatial Data Missing ⚠",VLOOKUP(AI198,'G-7 WaterC'' Data'!$AA$4:$AB$7,2,FALSE))))</f>
        <v/>
      </c>
      <c r="AK198" s="110"/>
      <c r="AL198" s="282" t="str">
        <f>IF(AK198="","",IF(AND(AK198="N/A - Culvert",N198&lt;&gt;"Culvert"),"Not possible ▲",IF(VLOOKUP(AK198,'G-7 WaterC'' Data'!$AD$4:$AE$14,2,FALSE)=0,"Spatial Data Missing ⚠",VLOOKUP(AK198,'G-7 WaterC'' Data'!$AD$4:$AE$14,2,FALSE))))</f>
        <v/>
      </c>
      <c r="AM198" s="323" t="str">
        <f t="shared" si="27"/>
        <v/>
      </c>
      <c r="AN198" s="105"/>
      <c r="AO198" s="119"/>
      <c r="AP198" s="108"/>
      <c r="AS198" s="30" t="str">
        <f>IF(B198="","",IF(ISNA(VLOOKUP($B198,'C-1 On-Site WaterC'' Baseline'!$C$8:$AD$257,17,FALSE)),"",(VLOOKUP($B198,'C-1 On-Site WaterC'' Baseline'!$C$8:$AD$257,17,FALSE))))</f>
        <v/>
      </c>
      <c r="AT198" s="30" t="str">
        <f>IF(B198="","",VLOOKUP($B198,'C-1 On-Site WaterC'' Baseline'!$C$9:$Z$257,12,FALSE))</f>
        <v/>
      </c>
      <c r="AU198" s="30" t="str">
        <f>IF(B198="","",VLOOKUP($B198,'C-1 On-Site WaterC'' Baseline'!$C$9:$Z$257,14,FALSE))</f>
        <v/>
      </c>
      <c r="AV198" s="30" t="str">
        <f>IFERROR(INDEX('G-7 WaterC'' Data'!$AZ$3:$AZ$7,MATCH(N198,'G-7 WaterC'' Data'!$AY$3:$AY$7,0)),"")</f>
        <v/>
      </c>
      <c r="AX198" s="30" t="str">
        <f>IF(B198="","",VLOOKUP($B198,'C-1 On-Site WaterC'' Baseline'!$C$9:$Y$257,22,FALSE))</f>
        <v/>
      </c>
      <c r="AY198" s="30" t="str">
        <f t="shared" si="28"/>
        <v/>
      </c>
      <c r="AZ198" s="30" t="str">
        <f>IF(B198="","",VLOOKUP($B198,'C-1 On-Site WaterC'' Baseline'!$C$9:$Y$257,21,FALSE))</f>
        <v/>
      </c>
      <c r="BA198" s="30" t="str">
        <f>IF(B198="","",VLOOKUP($B198,'C-1 On-Site WaterC'' Baseline'!$C$9:$Y$257,19,FALSE))</f>
        <v/>
      </c>
      <c r="BD198" s="30" t="str">
        <f t="shared" si="29"/>
        <v>No</v>
      </c>
    </row>
    <row r="199" spans="2:56" ht="13.8" x14ac:dyDescent="0.25">
      <c r="B199" s="311" t="str">
        <f>'C-1 On-Site WaterC'' Baseline'!AP197</f>
        <v/>
      </c>
      <c r="C199" s="301" t="str">
        <f>IF(B199="","",VLOOKUP($B199,'C-1 On-Site WaterC'' Baseline'!$C$9:$R$257,2,FALSE))</f>
        <v/>
      </c>
      <c r="D199" s="301" t="str">
        <f>IF(C199="","",VLOOKUP($B199,'C-1 On-Site WaterC'' Baseline'!$C$9:$R$257,3,FALSE))</f>
        <v/>
      </c>
      <c r="E199" s="301" t="str">
        <f>IF(D199="","",VLOOKUP($B199,'C-1 On-Site WaterC'' Baseline'!$C$9:$R$257,4,FALSE))</f>
        <v/>
      </c>
      <c r="F199" s="301" t="str">
        <f>IF(E199="","",VLOOKUP($B199,'C-1 On-Site WaterC'' Baseline'!$C$9:$R$257,5,FALSE))</f>
        <v/>
      </c>
      <c r="G199" s="301" t="str">
        <f>IF(F199="","",VLOOKUP($B199,'C-1 On-Site WaterC'' Baseline'!$C$9:$R$257,6,FALSE))</f>
        <v/>
      </c>
      <c r="H199" s="301" t="str">
        <f>IF(G199="","",VLOOKUP($B199,'C-1 On-Site WaterC'' Baseline'!$C$9:$R$257,7,FALSE))</f>
        <v/>
      </c>
      <c r="I199" s="301" t="str">
        <f>IF(H199="","",VLOOKUP($B199,'C-1 On-Site WaterC'' Baseline'!$C$9:$R$257,8,FALSE))</f>
        <v/>
      </c>
      <c r="J199" s="301" t="str">
        <f>IF(I199="","",VLOOKUP($B199,'C-1 On-Site WaterC'' Baseline'!$C$9:$R$257,9,FALSE))</f>
        <v/>
      </c>
      <c r="K199" s="301" t="str">
        <f>IF(J199="","",VLOOKUP($B199,'C-1 On-Site WaterC'' Baseline'!$C$9:$R$257,10,FALSE))</f>
        <v/>
      </c>
      <c r="L199" s="301" t="str">
        <f>IF(B199="","",VLOOKUP($B199,'C-1 On-Site WaterC'' Baseline'!$C$9:$R$257,15,FALSE))</f>
        <v/>
      </c>
      <c r="M199" s="305" t="str">
        <f>IF(L199="","",VLOOKUP($B199,'C-1 On-Site WaterC'' Baseline'!$C$9:$R$257,16,FALSE))</f>
        <v/>
      </c>
      <c r="N199" s="251"/>
      <c r="O199" s="281" t="str">
        <f t="shared" si="21"/>
        <v/>
      </c>
      <c r="P199" s="282" t="str">
        <f t="shared" si="22"/>
        <v/>
      </c>
      <c r="Q199" s="342" t="str">
        <f>IF(N199="","",VLOOKUP(B199,'C-1 On-Site WaterC'' Baseline'!$C$10:$AC$257,20,FALSE))</f>
        <v/>
      </c>
      <c r="R199" s="281" t="str">
        <f>IF(N199="","",VLOOKUP(N199,'G-7 WaterC'' Data'!$B$2:$G$8,2,FALSE))</f>
        <v/>
      </c>
      <c r="S199" s="282" t="str">
        <f>IFERROR(VLOOKUP(R199,'G-7 WaterC'' Data'!$C$4:$D$8,2,FALSE),"")</f>
        <v/>
      </c>
      <c r="T199" s="105"/>
      <c r="U199" s="282" t="str">
        <f>IFERROR(INDEX('G-7 WaterC'' Data'!$H$4:$L$8,MATCH(N199,'G-7 WaterC'' Data'!$B$4:$B$8,0),MATCH(T199,'G-7 WaterC'' Data'!$H$3:$L$3,0)),"")</f>
        <v/>
      </c>
      <c r="V199" s="105"/>
      <c r="W199" s="289" t="str">
        <f>IF(V199="","",IF(VLOOKUP(V199,'G-7 WaterC'' Data'!$AK$4:$AM$6,2,FALSE)=0,"Spatial Data Missing ⚠",VLOOKUP(V199,'G-7 WaterC'' Data'!$AK$4:$AM$6,2,FALSE)))</f>
        <v/>
      </c>
      <c r="X199" s="282" t="str">
        <f>IF(V199="","",IF(VLOOKUP(V199,'G-7 WaterC'' Data'!$AK$4:$AM$6,3,FALSE)=0,"Spatial Data Missing ⚠",VLOOKUP(V199,'G-7 WaterC'' Data'!$AK$4:$AM$6,3,FALSE)))</f>
        <v/>
      </c>
      <c r="Y199" s="281" t="str">
        <f>IFERROR(IF(OR(LEFT(P199,5)="Error",LEFT(O199,5)="Error"),"Check Data ⚠",IF(F199&lt;S199,'G-7 WaterC'' Data'!$R$3,INDEX('G-7 WaterC'' Data'!$U$5:$Y$9,MATCH(G199,'G-7 WaterC'' Data'!$T$5:$T$9,0),MATCH(T199,'G-7 WaterC'' Data'!$U$4:$Y$4,0)))),"")</f>
        <v/>
      </c>
      <c r="Z199" s="137"/>
      <c r="AA199" s="137"/>
      <c r="AB199" s="289" t="str">
        <f t="shared" si="23"/>
        <v/>
      </c>
      <c r="AC199" s="302" t="str">
        <f t="shared" si="24"/>
        <v/>
      </c>
      <c r="AD199" s="340" t="str">
        <f>IFERROR(IF(AC199="Check Data ⚠","Check Data ⚠",VLOOKUP(AC199,'G-4 Temporal multipliers'!$A$4:$C$37,3,FALSE)),"")</f>
        <v/>
      </c>
      <c r="AE199" s="281" t="str">
        <f>IF(N199="","",VLOOKUP(N199,'G-7 WaterC'' Data'!$B$4:$G$8,5,FALSE))</f>
        <v/>
      </c>
      <c r="AF199" s="289" t="str">
        <f t="shared" si="25"/>
        <v/>
      </c>
      <c r="AG199" s="320" t="str">
        <f t="shared" si="26"/>
        <v/>
      </c>
      <c r="AH199" s="282" t="str">
        <f t="shared" si="20"/>
        <v/>
      </c>
      <c r="AI199" s="109"/>
      <c r="AJ199" s="282" t="str">
        <f>IF(AI199="","",IF(AND(AI199="N/A - Culvert",N199&lt;&gt;"Culvert"),"Not possible ▲",IF(VLOOKUP(AI199,'G-7 WaterC'' Data'!$AA$4:$AB$7,2,FALSE)=0,"Spatial Data Missing ⚠",VLOOKUP(AI199,'G-7 WaterC'' Data'!$AA$4:$AB$7,2,FALSE))))</f>
        <v/>
      </c>
      <c r="AK199" s="110"/>
      <c r="AL199" s="282" t="str">
        <f>IF(AK199="","",IF(AND(AK199="N/A - Culvert",N199&lt;&gt;"Culvert"),"Not possible ▲",IF(VLOOKUP(AK199,'G-7 WaterC'' Data'!$AD$4:$AE$14,2,FALSE)=0,"Spatial Data Missing ⚠",VLOOKUP(AK199,'G-7 WaterC'' Data'!$AD$4:$AE$14,2,FALSE))))</f>
        <v/>
      </c>
      <c r="AM199" s="323" t="str">
        <f t="shared" si="27"/>
        <v/>
      </c>
      <c r="AN199" s="105"/>
      <c r="AO199" s="119"/>
      <c r="AP199" s="108"/>
      <c r="AS199" s="30" t="str">
        <f>IF(B199="","",IF(ISNA(VLOOKUP($B199,'C-1 On-Site WaterC'' Baseline'!$C$8:$AD$257,17,FALSE)),"",(VLOOKUP($B199,'C-1 On-Site WaterC'' Baseline'!$C$8:$AD$257,17,FALSE))))</f>
        <v/>
      </c>
      <c r="AT199" s="30" t="str">
        <f>IF(B199="","",VLOOKUP($B199,'C-1 On-Site WaterC'' Baseline'!$C$9:$Z$257,12,FALSE))</f>
        <v/>
      </c>
      <c r="AU199" s="30" t="str">
        <f>IF(B199="","",VLOOKUP($B199,'C-1 On-Site WaterC'' Baseline'!$C$9:$Z$257,14,FALSE))</f>
        <v/>
      </c>
      <c r="AV199" s="30" t="str">
        <f>IFERROR(INDEX('G-7 WaterC'' Data'!$AZ$3:$AZ$7,MATCH(N199,'G-7 WaterC'' Data'!$AY$3:$AY$7,0)),"")</f>
        <v/>
      </c>
      <c r="AX199" s="30" t="str">
        <f>IF(B199="","",VLOOKUP($B199,'C-1 On-Site WaterC'' Baseline'!$C$9:$Y$257,22,FALSE))</f>
        <v/>
      </c>
      <c r="AY199" s="30" t="str">
        <f t="shared" si="28"/>
        <v/>
      </c>
      <c r="AZ199" s="30" t="str">
        <f>IF(B199="","",VLOOKUP($B199,'C-1 On-Site WaterC'' Baseline'!$C$9:$Y$257,21,FALSE))</f>
        <v/>
      </c>
      <c r="BA199" s="30" t="str">
        <f>IF(B199="","",VLOOKUP($B199,'C-1 On-Site WaterC'' Baseline'!$C$9:$Y$257,19,FALSE))</f>
        <v/>
      </c>
      <c r="BD199" s="30" t="str">
        <f t="shared" si="29"/>
        <v>No</v>
      </c>
    </row>
    <row r="200" spans="2:56" ht="13.8" x14ac:dyDescent="0.25">
      <c r="B200" s="311" t="str">
        <f>'C-1 On-Site WaterC'' Baseline'!AP198</f>
        <v/>
      </c>
      <c r="C200" s="301" t="str">
        <f>IF(B200="","",VLOOKUP($B200,'C-1 On-Site WaterC'' Baseline'!$C$9:$R$257,2,FALSE))</f>
        <v/>
      </c>
      <c r="D200" s="301" t="str">
        <f>IF(C200="","",VLOOKUP($B200,'C-1 On-Site WaterC'' Baseline'!$C$9:$R$257,3,FALSE))</f>
        <v/>
      </c>
      <c r="E200" s="301" t="str">
        <f>IF(D200="","",VLOOKUP($B200,'C-1 On-Site WaterC'' Baseline'!$C$9:$R$257,4,FALSE))</f>
        <v/>
      </c>
      <c r="F200" s="301" t="str">
        <f>IF(E200="","",VLOOKUP($B200,'C-1 On-Site WaterC'' Baseline'!$C$9:$R$257,5,FALSE))</f>
        <v/>
      </c>
      <c r="G200" s="301" t="str">
        <f>IF(F200="","",VLOOKUP($B200,'C-1 On-Site WaterC'' Baseline'!$C$9:$R$257,6,FALSE))</f>
        <v/>
      </c>
      <c r="H200" s="301" t="str">
        <f>IF(G200="","",VLOOKUP($B200,'C-1 On-Site WaterC'' Baseline'!$C$9:$R$257,7,FALSE))</f>
        <v/>
      </c>
      <c r="I200" s="301" t="str">
        <f>IF(H200="","",VLOOKUP($B200,'C-1 On-Site WaterC'' Baseline'!$C$9:$R$257,8,FALSE))</f>
        <v/>
      </c>
      <c r="J200" s="301" t="str">
        <f>IF(I200="","",VLOOKUP($B200,'C-1 On-Site WaterC'' Baseline'!$C$9:$R$257,9,FALSE))</f>
        <v/>
      </c>
      <c r="K200" s="301" t="str">
        <f>IF(J200="","",VLOOKUP($B200,'C-1 On-Site WaterC'' Baseline'!$C$9:$R$257,10,FALSE))</f>
        <v/>
      </c>
      <c r="L200" s="301" t="str">
        <f>IF(B200="","",VLOOKUP($B200,'C-1 On-Site WaterC'' Baseline'!$C$9:$R$257,15,FALSE))</f>
        <v/>
      </c>
      <c r="M200" s="305" t="str">
        <f>IF(L200="","",VLOOKUP($B200,'C-1 On-Site WaterC'' Baseline'!$C$9:$R$257,16,FALSE))</f>
        <v/>
      </c>
      <c r="N200" s="251"/>
      <c r="O200" s="281" t="str">
        <f t="shared" si="21"/>
        <v/>
      </c>
      <c r="P200" s="282" t="str">
        <f t="shared" si="22"/>
        <v/>
      </c>
      <c r="Q200" s="342" t="str">
        <f>IF(N200="","",VLOOKUP(B200,'C-1 On-Site WaterC'' Baseline'!$C$10:$AC$257,20,FALSE))</f>
        <v/>
      </c>
      <c r="R200" s="281" t="str">
        <f>IF(N200="","",VLOOKUP(N200,'G-7 WaterC'' Data'!$B$2:$G$8,2,FALSE))</f>
        <v/>
      </c>
      <c r="S200" s="282" t="str">
        <f>IFERROR(VLOOKUP(R200,'G-7 WaterC'' Data'!$C$4:$D$8,2,FALSE),"")</f>
        <v/>
      </c>
      <c r="T200" s="105"/>
      <c r="U200" s="282" t="str">
        <f>IFERROR(INDEX('G-7 WaterC'' Data'!$H$4:$L$8,MATCH(N200,'G-7 WaterC'' Data'!$B$4:$B$8,0),MATCH(T200,'G-7 WaterC'' Data'!$H$3:$L$3,0)),"")</f>
        <v/>
      </c>
      <c r="V200" s="105"/>
      <c r="W200" s="289" t="str">
        <f>IF(V200="","",IF(VLOOKUP(V200,'G-7 WaterC'' Data'!$AK$4:$AM$6,2,FALSE)=0,"Spatial Data Missing ⚠",VLOOKUP(V200,'G-7 WaterC'' Data'!$AK$4:$AM$6,2,FALSE)))</f>
        <v/>
      </c>
      <c r="X200" s="282" t="str">
        <f>IF(V200="","",IF(VLOOKUP(V200,'G-7 WaterC'' Data'!$AK$4:$AM$6,3,FALSE)=0,"Spatial Data Missing ⚠",VLOOKUP(V200,'G-7 WaterC'' Data'!$AK$4:$AM$6,3,FALSE)))</f>
        <v/>
      </c>
      <c r="Y200" s="281" t="str">
        <f>IFERROR(IF(OR(LEFT(P200,5)="Error",LEFT(O200,5)="Error"),"Check Data ⚠",IF(F200&lt;S200,'G-7 WaterC'' Data'!$R$3,INDEX('G-7 WaterC'' Data'!$U$5:$Y$9,MATCH(G200,'G-7 WaterC'' Data'!$T$5:$T$9,0),MATCH(T200,'G-7 WaterC'' Data'!$U$4:$Y$4,0)))),"")</f>
        <v/>
      </c>
      <c r="Z200" s="137"/>
      <c r="AA200" s="137"/>
      <c r="AB200" s="289" t="str">
        <f t="shared" si="23"/>
        <v/>
      </c>
      <c r="AC200" s="302" t="str">
        <f t="shared" si="24"/>
        <v/>
      </c>
      <c r="AD200" s="340" t="str">
        <f>IFERROR(IF(AC200="Check Data ⚠","Check Data ⚠",VLOOKUP(AC200,'G-4 Temporal multipliers'!$A$4:$C$37,3,FALSE)),"")</f>
        <v/>
      </c>
      <c r="AE200" s="281" t="str">
        <f>IF(N200="","",VLOOKUP(N200,'G-7 WaterC'' Data'!$B$4:$G$8,5,FALSE))</f>
        <v/>
      </c>
      <c r="AF200" s="289" t="str">
        <f t="shared" si="25"/>
        <v/>
      </c>
      <c r="AG200" s="320" t="str">
        <f t="shared" si="26"/>
        <v/>
      </c>
      <c r="AH200" s="282" t="str">
        <f t="shared" si="20"/>
        <v/>
      </c>
      <c r="AI200" s="109"/>
      <c r="AJ200" s="282" t="str">
        <f>IF(AI200="","",IF(AND(AI200="N/A - Culvert",N200&lt;&gt;"Culvert"),"Not possible ▲",IF(VLOOKUP(AI200,'G-7 WaterC'' Data'!$AA$4:$AB$7,2,FALSE)=0,"Spatial Data Missing ⚠",VLOOKUP(AI200,'G-7 WaterC'' Data'!$AA$4:$AB$7,2,FALSE))))</f>
        <v/>
      </c>
      <c r="AK200" s="110"/>
      <c r="AL200" s="282" t="str">
        <f>IF(AK200="","",IF(AND(AK200="N/A - Culvert",N200&lt;&gt;"Culvert"),"Not possible ▲",IF(VLOOKUP(AK200,'G-7 WaterC'' Data'!$AD$4:$AE$14,2,FALSE)=0,"Spatial Data Missing ⚠",VLOOKUP(AK200,'G-7 WaterC'' Data'!$AD$4:$AE$14,2,FALSE))))</f>
        <v/>
      </c>
      <c r="AM200" s="323" t="str">
        <f t="shared" si="27"/>
        <v/>
      </c>
      <c r="AN200" s="105"/>
      <c r="AO200" s="119"/>
      <c r="AP200" s="108"/>
      <c r="AS200" s="30" t="str">
        <f>IF(B200="","",IF(ISNA(VLOOKUP($B200,'C-1 On-Site WaterC'' Baseline'!$C$8:$AD$257,17,FALSE)),"",(VLOOKUP($B200,'C-1 On-Site WaterC'' Baseline'!$C$8:$AD$257,17,FALSE))))</f>
        <v/>
      </c>
      <c r="AT200" s="30" t="str">
        <f>IF(B200="","",VLOOKUP($B200,'C-1 On-Site WaterC'' Baseline'!$C$9:$Z$257,12,FALSE))</f>
        <v/>
      </c>
      <c r="AU200" s="30" t="str">
        <f>IF(B200="","",VLOOKUP($B200,'C-1 On-Site WaterC'' Baseline'!$C$9:$Z$257,14,FALSE))</f>
        <v/>
      </c>
      <c r="AV200" s="30" t="str">
        <f>IFERROR(INDEX('G-7 WaterC'' Data'!$AZ$3:$AZ$7,MATCH(N200,'G-7 WaterC'' Data'!$AY$3:$AY$7,0)),"")</f>
        <v/>
      </c>
      <c r="AX200" s="30" t="str">
        <f>IF(B200="","",VLOOKUP($B200,'C-1 On-Site WaterC'' Baseline'!$C$9:$Y$257,22,FALSE))</f>
        <v/>
      </c>
      <c r="AY200" s="30" t="str">
        <f t="shared" si="28"/>
        <v/>
      </c>
      <c r="AZ200" s="30" t="str">
        <f>IF(B200="","",VLOOKUP($B200,'C-1 On-Site WaterC'' Baseline'!$C$9:$Y$257,21,FALSE))</f>
        <v/>
      </c>
      <c r="BA200" s="30" t="str">
        <f>IF(B200="","",VLOOKUP($B200,'C-1 On-Site WaterC'' Baseline'!$C$9:$Y$257,19,FALSE))</f>
        <v/>
      </c>
      <c r="BD200" s="30" t="str">
        <f t="shared" si="29"/>
        <v>No</v>
      </c>
    </row>
    <row r="201" spans="2:56" ht="13.8" x14ac:dyDescent="0.25">
      <c r="B201" s="311" t="str">
        <f>'C-1 On-Site WaterC'' Baseline'!AP199</f>
        <v/>
      </c>
      <c r="C201" s="301" t="str">
        <f>IF(B201="","",VLOOKUP($B201,'C-1 On-Site WaterC'' Baseline'!$C$9:$R$257,2,FALSE))</f>
        <v/>
      </c>
      <c r="D201" s="301" t="str">
        <f>IF(C201="","",VLOOKUP($B201,'C-1 On-Site WaterC'' Baseline'!$C$9:$R$257,3,FALSE))</f>
        <v/>
      </c>
      <c r="E201" s="301" t="str">
        <f>IF(D201="","",VLOOKUP($B201,'C-1 On-Site WaterC'' Baseline'!$C$9:$R$257,4,FALSE))</f>
        <v/>
      </c>
      <c r="F201" s="301" t="str">
        <f>IF(E201="","",VLOOKUP($B201,'C-1 On-Site WaterC'' Baseline'!$C$9:$R$257,5,FALSE))</f>
        <v/>
      </c>
      <c r="G201" s="301" t="str">
        <f>IF(F201="","",VLOOKUP($B201,'C-1 On-Site WaterC'' Baseline'!$C$9:$R$257,6,FALSE))</f>
        <v/>
      </c>
      <c r="H201" s="301" t="str">
        <f>IF(G201="","",VLOOKUP($B201,'C-1 On-Site WaterC'' Baseline'!$C$9:$R$257,7,FALSE))</f>
        <v/>
      </c>
      <c r="I201" s="301" t="str">
        <f>IF(H201="","",VLOOKUP($B201,'C-1 On-Site WaterC'' Baseline'!$C$9:$R$257,8,FALSE))</f>
        <v/>
      </c>
      <c r="J201" s="301" t="str">
        <f>IF(I201="","",VLOOKUP($B201,'C-1 On-Site WaterC'' Baseline'!$C$9:$R$257,9,FALSE))</f>
        <v/>
      </c>
      <c r="K201" s="301" t="str">
        <f>IF(J201="","",VLOOKUP($B201,'C-1 On-Site WaterC'' Baseline'!$C$9:$R$257,10,FALSE))</f>
        <v/>
      </c>
      <c r="L201" s="301" t="str">
        <f>IF(B201="","",VLOOKUP($B201,'C-1 On-Site WaterC'' Baseline'!$C$9:$R$257,15,FALSE))</f>
        <v/>
      </c>
      <c r="M201" s="305" t="str">
        <f>IF(L201="","",VLOOKUP($B201,'C-1 On-Site WaterC'' Baseline'!$C$9:$R$257,16,FALSE))</f>
        <v/>
      </c>
      <c r="N201" s="251"/>
      <c r="O201" s="281" t="str">
        <f t="shared" si="21"/>
        <v/>
      </c>
      <c r="P201" s="282" t="str">
        <f t="shared" si="22"/>
        <v/>
      </c>
      <c r="Q201" s="342" t="str">
        <f>IF(N201="","",VLOOKUP(B201,'C-1 On-Site WaterC'' Baseline'!$C$10:$AC$257,20,FALSE))</f>
        <v/>
      </c>
      <c r="R201" s="281" t="str">
        <f>IF(N201="","",VLOOKUP(N201,'G-7 WaterC'' Data'!$B$2:$G$8,2,FALSE))</f>
        <v/>
      </c>
      <c r="S201" s="282" t="str">
        <f>IFERROR(VLOOKUP(R201,'G-7 WaterC'' Data'!$C$4:$D$8,2,FALSE),"")</f>
        <v/>
      </c>
      <c r="T201" s="105"/>
      <c r="U201" s="282" t="str">
        <f>IFERROR(INDEX('G-7 WaterC'' Data'!$H$4:$L$8,MATCH(N201,'G-7 WaterC'' Data'!$B$4:$B$8,0),MATCH(T201,'G-7 WaterC'' Data'!$H$3:$L$3,0)),"")</f>
        <v/>
      </c>
      <c r="V201" s="105"/>
      <c r="W201" s="289" t="str">
        <f>IF(V201="","",IF(VLOOKUP(V201,'G-7 WaterC'' Data'!$AK$4:$AM$6,2,FALSE)=0,"Spatial Data Missing ⚠",VLOOKUP(V201,'G-7 WaterC'' Data'!$AK$4:$AM$6,2,FALSE)))</f>
        <v/>
      </c>
      <c r="X201" s="282" t="str">
        <f>IF(V201="","",IF(VLOOKUP(V201,'G-7 WaterC'' Data'!$AK$4:$AM$6,3,FALSE)=0,"Spatial Data Missing ⚠",VLOOKUP(V201,'G-7 WaterC'' Data'!$AK$4:$AM$6,3,FALSE)))</f>
        <v/>
      </c>
      <c r="Y201" s="281" t="str">
        <f>IFERROR(IF(OR(LEFT(P201,5)="Error",LEFT(O201,5)="Error"),"Check Data ⚠",IF(F201&lt;S201,'G-7 WaterC'' Data'!$R$3,INDEX('G-7 WaterC'' Data'!$U$5:$Y$9,MATCH(G201,'G-7 WaterC'' Data'!$T$5:$T$9,0),MATCH(T201,'G-7 WaterC'' Data'!$U$4:$Y$4,0)))),"")</f>
        <v/>
      </c>
      <c r="Z201" s="137"/>
      <c r="AA201" s="137"/>
      <c r="AB201" s="289" t="str">
        <f t="shared" si="23"/>
        <v/>
      </c>
      <c r="AC201" s="302" t="str">
        <f t="shared" si="24"/>
        <v/>
      </c>
      <c r="AD201" s="340" t="str">
        <f>IFERROR(IF(AC201="Check Data ⚠","Check Data ⚠",VLOOKUP(AC201,'G-4 Temporal multipliers'!$A$4:$C$37,3,FALSE)),"")</f>
        <v/>
      </c>
      <c r="AE201" s="281" t="str">
        <f>IF(N201="","",VLOOKUP(N201,'G-7 WaterC'' Data'!$B$4:$G$8,5,FALSE))</f>
        <v/>
      </c>
      <c r="AF201" s="289" t="str">
        <f t="shared" si="25"/>
        <v/>
      </c>
      <c r="AG201" s="320" t="str">
        <f t="shared" si="26"/>
        <v/>
      </c>
      <c r="AH201" s="282" t="str">
        <f t="shared" si="20"/>
        <v/>
      </c>
      <c r="AI201" s="109"/>
      <c r="AJ201" s="282" t="str">
        <f>IF(AI201="","",IF(AND(AI201="N/A - Culvert",N201&lt;&gt;"Culvert"),"Not possible ▲",IF(VLOOKUP(AI201,'G-7 WaterC'' Data'!$AA$4:$AB$7,2,FALSE)=0,"Spatial Data Missing ⚠",VLOOKUP(AI201,'G-7 WaterC'' Data'!$AA$4:$AB$7,2,FALSE))))</f>
        <v/>
      </c>
      <c r="AK201" s="110"/>
      <c r="AL201" s="282" t="str">
        <f>IF(AK201="","",IF(AND(AK201="N/A - Culvert",N201&lt;&gt;"Culvert"),"Not possible ▲",IF(VLOOKUP(AK201,'G-7 WaterC'' Data'!$AD$4:$AE$14,2,FALSE)=0,"Spatial Data Missing ⚠",VLOOKUP(AK201,'G-7 WaterC'' Data'!$AD$4:$AE$14,2,FALSE))))</f>
        <v/>
      </c>
      <c r="AM201" s="323" t="str">
        <f t="shared" si="27"/>
        <v/>
      </c>
      <c r="AN201" s="105"/>
      <c r="AO201" s="119"/>
      <c r="AP201" s="108"/>
      <c r="AS201" s="30" t="str">
        <f>IF(B201="","",IF(ISNA(VLOOKUP($B201,'C-1 On-Site WaterC'' Baseline'!$C$8:$AD$257,17,FALSE)),"",(VLOOKUP($B201,'C-1 On-Site WaterC'' Baseline'!$C$8:$AD$257,17,FALSE))))</f>
        <v/>
      </c>
      <c r="AT201" s="30" t="str">
        <f>IF(B201="","",VLOOKUP($B201,'C-1 On-Site WaterC'' Baseline'!$C$9:$Z$257,12,FALSE))</f>
        <v/>
      </c>
      <c r="AU201" s="30" t="str">
        <f>IF(B201="","",VLOOKUP($B201,'C-1 On-Site WaterC'' Baseline'!$C$9:$Z$257,14,FALSE))</f>
        <v/>
      </c>
      <c r="AV201" s="30" t="str">
        <f>IFERROR(INDEX('G-7 WaterC'' Data'!$AZ$3:$AZ$7,MATCH(N201,'G-7 WaterC'' Data'!$AY$3:$AY$7,0)),"")</f>
        <v/>
      </c>
      <c r="AX201" s="30" t="str">
        <f>IF(B201="","",VLOOKUP($B201,'C-1 On-Site WaterC'' Baseline'!$C$9:$Y$257,22,FALSE))</f>
        <v/>
      </c>
      <c r="AY201" s="30" t="str">
        <f t="shared" si="28"/>
        <v/>
      </c>
      <c r="AZ201" s="30" t="str">
        <f>IF(B201="","",VLOOKUP($B201,'C-1 On-Site WaterC'' Baseline'!$C$9:$Y$257,21,FALSE))</f>
        <v/>
      </c>
      <c r="BA201" s="30" t="str">
        <f>IF(B201="","",VLOOKUP($B201,'C-1 On-Site WaterC'' Baseline'!$C$9:$Y$257,19,FALSE))</f>
        <v/>
      </c>
      <c r="BD201" s="30" t="str">
        <f t="shared" si="29"/>
        <v>No</v>
      </c>
    </row>
    <row r="202" spans="2:56" ht="13.8" x14ac:dyDescent="0.25">
      <c r="B202" s="311" t="str">
        <f>'C-1 On-Site WaterC'' Baseline'!AP200</f>
        <v/>
      </c>
      <c r="C202" s="301" t="str">
        <f>IF(B202="","",VLOOKUP($B202,'C-1 On-Site WaterC'' Baseline'!$C$9:$R$257,2,FALSE))</f>
        <v/>
      </c>
      <c r="D202" s="301" t="str">
        <f>IF(C202="","",VLOOKUP($B202,'C-1 On-Site WaterC'' Baseline'!$C$9:$R$257,3,FALSE))</f>
        <v/>
      </c>
      <c r="E202" s="301" t="str">
        <f>IF(D202="","",VLOOKUP($B202,'C-1 On-Site WaterC'' Baseline'!$C$9:$R$257,4,FALSE))</f>
        <v/>
      </c>
      <c r="F202" s="301" t="str">
        <f>IF(E202="","",VLOOKUP($B202,'C-1 On-Site WaterC'' Baseline'!$C$9:$R$257,5,FALSE))</f>
        <v/>
      </c>
      <c r="G202" s="301" t="str">
        <f>IF(F202="","",VLOOKUP($B202,'C-1 On-Site WaterC'' Baseline'!$C$9:$R$257,6,FALSE))</f>
        <v/>
      </c>
      <c r="H202" s="301" t="str">
        <f>IF(G202="","",VLOOKUP($B202,'C-1 On-Site WaterC'' Baseline'!$C$9:$R$257,7,FALSE))</f>
        <v/>
      </c>
      <c r="I202" s="301" t="str">
        <f>IF(H202="","",VLOOKUP($B202,'C-1 On-Site WaterC'' Baseline'!$C$9:$R$257,8,FALSE))</f>
        <v/>
      </c>
      <c r="J202" s="301" t="str">
        <f>IF(I202="","",VLOOKUP($B202,'C-1 On-Site WaterC'' Baseline'!$C$9:$R$257,9,FALSE))</f>
        <v/>
      </c>
      <c r="K202" s="301" t="str">
        <f>IF(J202="","",VLOOKUP($B202,'C-1 On-Site WaterC'' Baseline'!$C$9:$R$257,10,FALSE))</f>
        <v/>
      </c>
      <c r="L202" s="301" t="str">
        <f>IF(B202="","",VLOOKUP($B202,'C-1 On-Site WaterC'' Baseline'!$C$9:$R$257,15,FALSE))</f>
        <v/>
      </c>
      <c r="M202" s="305" t="str">
        <f>IF(L202="","",VLOOKUP($B202,'C-1 On-Site WaterC'' Baseline'!$C$9:$R$257,16,FALSE))</f>
        <v/>
      </c>
      <c r="N202" s="251"/>
      <c r="O202" s="281" t="str">
        <f t="shared" si="21"/>
        <v/>
      </c>
      <c r="P202" s="282" t="str">
        <f t="shared" si="22"/>
        <v/>
      </c>
      <c r="Q202" s="342" t="str">
        <f>IF(N202="","",VLOOKUP(B202,'C-1 On-Site WaterC'' Baseline'!$C$10:$AC$257,20,FALSE))</f>
        <v/>
      </c>
      <c r="R202" s="281" t="str">
        <f>IF(N202="","",VLOOKUP(N202,'G-7 WaterC'' Data'!$B$2:$G$8,2,FALSE))</f>
        <v/>
      </c>
      <c r="S202" s="282" t="str">
        <f>IFERROR(VLOOKUP(R202,'G-7 WaterC'' Data'!$C$4:$D$8,2,FALSE),"")</f>
        <v/>
      </c>
      <c r="T202" s="105"/>
      <c r="U202" s="282" t="str">
        <f>IFERROR(INDEX('G-7 WaterC'' Data'!$H$4:$L$8,MATCH(N202,'G-7 WaterC'' Data'!$B$4:$B$8,0),MATCH(T202,'G-7 WaterC'' Data'!$H$3:$L$3,0)),"")</f>
        <v/>
      </c>
      <c r="V202" s="105"/>
      <c r="W202" s="289" t="str">
        <f>IF(V202="","",IF(VLOOKUP(V202,'G-7 WaterC'' Data'!$AK$4:$AM$6,2,FALSE)=0,"Spatial Data Missing ⚠",VLOOKUP(V202,'G-7 WaterC'' Data'!$AK$4:$AM$6,2,FALSE)))</f>
        <v/>
      </c>
      <c r="X202" s="282" t="str">
        <f>IF(V202="","",IF(VLOOKUP(V202,'G-7 WaterC'' Data'!$AK$4:$AM$6,3,FALSE)=0,"Spatial Data Missing ⚠",VLOOKUP(V202,'G-7 WaterC'' Data'!$AK$4:$AM$6,3,FALSE)))</f>
        <v/>
      </c>
      <c r="Y202" s="281" t="str">
        <f>IFERROR(IF(OR(LEFT(P202,5)="Error",LEFT(O202,5)="Error"),"Check Data ⚠",IF(F202&lt;S202,'G-7 WaterC'' Data'!$R$3,INDEX('G-7 WaterC'' Data'!$U$5:$Y$9,MATCH(G202,'G-7 WaterC'' Data'!$T$5:$T$9,0),MATCH(T202,'G-7 WaterC'' Data'!$U$4:$Y$4,0)))),"")</f>
        <v/>
      </c>
      <c r="Z202" s="137"/>
      <c r="AA202" s="137"/>
      <c r="AB202" s="289" t="str">
        <f t="shared" si="23"/>
        <v/>
      </c>
      <c r="AC202" s="302" t="str">
        <f t="shared" si="24"/>
        <v/>
      </c>
      <c r="AD202" s="340" t="str">
        <f>IFERROR(IF(AC202="Check Data ⚠","Check Data ⚠",VLOOKUP(AC202,'G-4 Temporal multipliers'!$A$4:$C$37,3,FALSE)),"")</f>
        <v/>
      </c>
      <c r="AE202" s="281" t="str">
        <f>IF(N202="","",VLOOKUP(N202,'G-7 WaterC'' Data'!$B$4:$G$8,5,FALSE))</f>
        <v/>
      </c>
      <c r="AF202" s="289" t="str">
        <f t="shared" si="25"/>
        <v/>
      </c>
      <c r="AG202" s="320" t="str">
        <f t="shared" si="26"/>
        <v/>
      </c>
      <c r="AH202" s="282" t="str">
        <f t="shared" si="20"/>
        <v/>
      </c>
      <c r="AI202" s="109"/>
      <c r="AJ202" s="282" t="str">
        <f>IF(AI202="","",IF(AND(AI202="N/A - Culvert",N202&lt;&gt;"Culvert"),"Not possible ▲",IF(VLOOKUP(AI202,'G-7 WaterC'' Data'!$AA$4:$AB$7,2,FALSE)=0,"Spatial Data Missing ⚠",VLOOKUP(AI202,'G-7 WaterC'' Data'!$AA$4:$AB$7,2,FALSE))))</f>
        <v/>
      </c>
      <c r="AK202" s="110"/>
      <c r="AL202" s="282" t="str">
        <f>IF(AK202="","",IF(AND(AK202="N/A - Culvert",N202&lt;&gt;"Culvert"),"Not possible ▲",IF(VLOOKUP(AK202,'G-7 WaterC'' Data'!$AD$4:$AE$14,2,FALSE)=0,"Spatial Data Missing ⚠",VLOOKUP(AK202,'G-7 WaterC'' Data'!$AD$4:$AE$14,2,FALSE))))</f>
        <v/>
      </c>
      <c r="AM202" s="323" t="str">
        <f t="shared" si="27"/>
        <v/>
      </c>
      <c r="AN202" s="105"/>
      <c r="AO202" s="119"/>
      <c r="AP202" s="108"/>
      <c r="AS202" s="30" t="str">
        <f>IF(B202="","",IF(ISNA(VLOOKUP($B202,'C-1 On-Site WaterC'' Baseline'!$C$8:$AD$257,17,FALSE)),"",(VLOOKUP($B202,'C-1 On-Site WaterC'' Baseline'!$C$8:$AD$257,17,FALSE))))</f>
        <v/>
      </c>
      <c r="AT202" s="30" t="str">
        <f>IF(B202="","",VLOOKUP($B202,'C-1 On-Site WaterC'' Baseline'!$C$9:$Z$257,12,FALSE))</f>
        <v/>
      </c>
      <c r="AU202" s="30" t="str">
        <f>IF(B202="","",VLOOKUP($B202,'C-1 On-Site WaterC'' Baseline'!$C$9:$Z$257,14,FALSE))</f>
        <v/>
      </c>
      <c r="AV202" s="30" t="str">
        <f>IFERROR(INDEX('G-7 WaterC'' Data'!$AZ$3:$AZ$7,MATCH(N202,'G-7 WaterC'' Data'!$AY$3:$AY$7,0)),"")</f>
        <v/>
      </c>
      <c r="AX202" s="30" t="str">
        <f>IF(B202="","",VLOOKUP($B202,'C-1 On-Site WaterC'' Baseline'!$C$9:$Y$257,22,FALSE))</f>
        <v/>
      </c>
      <c r="AY202" s="30" t="str">
        <f t="shared" si="28"/>
        <v/>
      </c>
      <c r="AZ202" s="30" t="str">
        <f>IF(B202="","",VLOOKUP($B202,'C-1 On-Site WaterC'' Baseline'!$C$9:$Y$257,21,FALSE))</f>
        <v/>
      </c>
      <c r="BA202" s="30" t="str">
        <f>IF(B202="","",VLOOKUP($B202,'C-1 On-Site WaterC'' Baseline'!$C$9:$Y$257,19,FALSE))</f>
        <v/>
      </c>
      <c r="BD202" s="30" t="str">
        <f t="shared" si="29"/>
        <v>No</v>
      </c>
    </row>
    <row r="203" spans="2:56" ht="13.8" x14ac:dyDescent="0.25">
      <c r="B203" s="311" t="str">
        <f>'C-1 On-Site WaterC'' Baseline'!AP201</f>
        <v/>
      </c>
      <c r="C203" s="301" t="str">
        <f>IF(B203="","",VLOOKUP($B203,'C-1 On-Site WaterC'' Baseline'!$C$9:$R$257,2,FALSE))</f>
        <v/>
      </c>
      <c r="D203" s="301" t="str">
        <f>IF(C203="","",VLOOKUP($B203,'C-1 On-Site WaterC'' Baseline'!$C$9:$R$257,3,FALSE))</f>
        <v/>
      </c>
      <c r="E203" s="301" t="str">
        <f>IF(D203="","",VLOOKUP($B203,'C-1 On-Site WaterC'' Baseline'!$C$9:$R$257,4,FALSE))</f>
        <v/>
      </c>
      <c r="F203" s="301" t="str">
        <f>IF(E203="","",VLOOKUP($B203,'C-1 On-Site WaterC'' Baseline'!$C$9:$R$257,5,FALSE))</f>
        <v/>
      </c>
      <c r="G203" s="301" t="str">
        <f>IF(F203="","",VLOOKUP($B203,'C-1 On-Site WaterC'' Baseline'!$C$9:$R$257,6,FALSE))</f>
        <v/>
      </c>
      <c r="H203" s="301" t="str">
        <f>IF(G203="","",VLOOKUP($B203,'C-1 On-Site WaterC'' Baseline'!$C$9:$R$257,7,FALSE))</f>
        <v/>
      </c>
      <c r="I203" s="301" t="str">
        <f>IF(H203="","",VLOOKUP($B203,'C-1 On-Site WaterC'' Baseline'!$C$9:$R$257,8,FALSE))</f>
        <v/>
      </c>
      <c r="J203" s="301" t="str">
        <f>IF(I203="","",VLOOKUP($B203,'C-1 On-Site WaterC'' Baseline'!$C$9:$R$257,9,FALSE))</f>
        <v/>
      </c>
      <c r="K203" s="301" t="str">
        <f>IF(J203="","",VLOOKUP($B203,'C-1 On-Site WaterC'' Baseline'!$C$9:$R$257,10,FALSE))</f>
        <v/>
      </c>
      <c r="L203" s="301" t="str">
        <f>IF(B203="","",VLOOKUP($B203,'C-1 On-Site WaterC'' Baseline'!$C$9:$R$257,15,FALSE))</f>
        <v/>
      </c>
      <c r="M203" s="305" t="str">
        <f>IF(L203="","",VLOOKUP($B203,'C-1 On-Site WaterC'' Baseline'!$C$9:$R$257,16,FALSE))</f>
        <v/>
      </c>
      <c r="N203" s="251"/>
      <c r="O203" s="281" t="str">
        <f t="shared" si="21"/>
        <v/>
      </c>
      <c r="P203" s="282" t="str">
        <f t="shared" si="22"/>
        <v/>
      </c>
      <c r="Q203" s="342" t="str">
        <f>IF(N203="","",VLOOKUP(B203,'C-1 On-Site WaterC'' Baseline'!$C$10:$AC$257,20,FALSE))</f>
        <v/>
      </c>
      <c r="R203" s="281" t="str">
        <f>IF(N203="","",VLOOKUP(N203,'G-7 WaterC'' Data'!$B$2:$G$8,2,FALSE))</f>
        <v/>
      </c>
      <c r="S203" s="282" t="str">
        <f>IFERROR(VLOOKUP(R203,'G-7 WaterC'' Data'!$C$4:$D$8,2,FALSE),"")</f>
        <v/>
      </c>
      <c r="T203" s="105"/>
      <c r="U203" s="282" t="str">
        <f>IFERROR(INDEX('G-7 WaterC'' Data'!$H$4:$L$8,MATCH(N203,'G-7 WaterC'' Data'!$B$4:$B$8,0),MATCH(T203,'G-7 WaterC'' Data'!$H$3:$L$3,0)),"")</f>
        <v/>
      </c>
      <c r="V203" s="105"/>
      <c r="W203" s="289" t="str">
        <f>IF(V203="","",IF(VLOOKUP(V203,'G-7 WaterC'' Data'!$AK$4:$AM$6,2,FALSE)=0,"Spatial Data Missing ⚠",VLOOKUP(V203,'G-7 WaterC'' Data'!$AK$4:$AM$6,2,FALSE)))</f>
        <v/>
      </c>
      <c r="X203" s="282" t="str">
        <f>IF(V203="","",IF(VLOOKUP(V203,'G-7 WaterC'' Data'!$AK$4:$AM$6,3,FALSE)=0,"Spatial Data Missing ⚠",VLOOKUP(V203,'G-7 WaterC'' Data'!$AK$4:$AM$6,3,FALSE)))</f>
        <v/>
      </c>
      <c r="Y203" s="281" t="str">
        <f>IFERROR(IF(OR(LEFT(P203,5)="Error",LEFT(O203,5)="Error"),"Check Data ⚠",IF(F203&lt;S203,'G-7 WaterC'' Data'!$R$3,INDEX('G-7 WaterC'' Data'!$U$5:$Y$9,MATCH(G203,'G-7 WaterC'' Data'!$T$5:$T$9,0),MATCH(T203,'G-7 WaterC'' Data'!$U$4:$Y$4,0)))),"")</f>
        <v/>
      </c>
      <c r="Z203" s="137"/>
      <c r="AA203" s="137"/>
      <c r="AB203" s="289" t="str">
        <f t="shared" si="23"/>
        <v/>
      </c>
      <c r="AC203" s="302" t="str">
        <f t="shared" si="24"/>
        <v/>
      </c>
      <c r="AD203" s="340" t="str">
        <f>IFERROR(IF(AC203="Check Data ⚠","Check Data ⚠",VLOOKUP(AC203,'G-4 Temporal multipliers'!$A$4:$C$37,3,FALSE)),"")</f>
        <v/>
      </c>
      <c r="AE203" s="281" t="str">
        <f>IF(N203="","",VLOOKUP(N203,'G-7 WaterC'' Data'!$B$4:$G$8,5,FALSE))</f>
        <v/>
      </c>
      <c r="AF203" s="289" t="str">
        <f t="shared" si="25"/>
        <v/>
      </c>
      <c r="AG203" s="320" t="str">
        <f t="shared" si="26"/>
        <v/>
      </c>
      <c r="AH203" s="282" t="str">
        <f t="shared" si="20"/>
        <v/>
      </c>
      <c r="AI203" s="109"/>
      <c r="AJ203" s="282" t="str">
        <f>IF(AI203="","",IF(AND(AI203="N/A - Culvert",N203&lt;&gt;"Culvert"),"Not possible ▲",IF(VLOOKUP(AI203,'G-7 WaterC'' Data'!$AA$4:$AB$7,2,FALSE)=0,"Spatial Data Missing ⚠",VLOOKUP(AI203,'G-7 WaterC'' Data'!$AA$4:$AB$7,2,FALSE))))</f>
        <v/>
      </c>
      <c r="AK203" s="110"/>
      <c r="AL203" s="282" t="str">
        <f>IF(AK203="","",IF(AND(AK203="N/A - Culvert",N203&lt;&gt;"Culvert"),"Not possible ▲",IF(VLOOKUP(AK203,'G-7 WaterC'' Data'!$AD$4:$AE$14,2,FALSE)=0,"Spatial Data Missing ⚠",VLOOKUP(AK203,'G-7 WaterC'' Data'!$AD$4:$AE$14,2,FALSE))))</f>
        <v/>
      </c>
      <c r="AM203" s="323" t="str">
        <f t="shared" si="27"/>
        <v/>
      </c>
      <c r="AN203" s="105"/>
      <c r="AO203" s="119"/>
      <c r="AP203" s="108"/>
      <c r="AS203" s="30" t="str">
        <f>IF(B203="","",IF(ISNA(VLOOKUP($B203,'C-1 On-Site WaterC'' Baseline'!$C$8:$AD$257,17,FALSE)),"",(VLOOKUP($B203,'C-1 On-Site WaterC'' Baseline'!$C$8:$AD$257,17,FALSE))))</f>
        <v/>
      </c>
      <c r="AT203" s="30" t="str">
        <f>IF(B203="","",VLOOKUP($B203,'C-1 On-Site WaterC'' Baseline'!$C$9:$Z$257,12,FALSE))</f>
        <v/>
      </c>
      <c r="AU203" s="30" t="str">
        <f>IF(B203="","",VLOOKUP($B203,'C-1 On-Site WaterC'' Baseline'!$C$9:$Z$257,14,FALSE))</f>
        <v/>
      </c>
      <c r="AV203" s="30" t="str">
        <f>IFERROR(INDEX('G-7 WaterC'' Data'!$AZ$3:$AZ$7,MATCH(N203,'G-7 WaterC'' Data'!$AY$3:$AY$7,0)),"")</f>
        <v/>
      </c>
      <c r="AX203" s="30" t="str">
        <f>IF(B203="","",VLOOKUP($B203,'C-1 On-Site WaterC'' Baseline'!$C$9:$Y$257,22,FALSE))</f>
        <v/>
      </c>
      <c r="AY203" s="30" t="str">
        <f t="shared" si="28"/>
        <v/>
      </c>
      <c r="AZ203" s="30" t="str">
        <f>IF(B203="","",VLOOKUP($B203,'C-1 On-Site WaterC'' Baseline'!$C$9:$Y$257,21,FALSE))</f>
        <v/>
      </c>
      <c r="BA203" s="30" t="str">
        <f>IF(B203="","",VLOOKUP($B203,'C-1 On-Site WaterC'' Baseline'!$C$9:$Y$257,19,FALSE))</f>
        <v/>
      </c>
      <c r="BD203" s="30" t="str">
        <f t="shared" si="29"/>
        <v>No</v>
      </c>
    </row>
    <row r="204" spans="2:56" ht="13.8" x14ac:dyDescent="0.25">
      <c r="B204" s="311" t="str">
        <f>'C-1 On-Site WaterC'' Baseline'!AP202</f>
        <v/>
      </c>
      <c r="C204" s="301" t="str">
        <f>IF(B204="","",VLOOKUP($B204,'C-1 On-Site WaterC'' Baseline'!$C$9:$R$257,2,FALSE))</f>
        <v/>
      </c>
      <c r="D204" s="301" t="str">
        <f>IF(C204="","",VLOOKUP($B204,'C-1 On-Site WaterC'' Baseline'!$C$9:$R$257,3,FALSE))</f>
        <v/>
      </c>
      <c r="E204" s="301" t="str">
        <f>IF(D204="","",VLOOKUP($B204,'C-1 On-Site WaterC'' Baseline'!$C$9:$R$257,4,FALSE))</f>
        <v/>
      </c>
      <c r="F204" s="301" t="str">
        <f>IF(E204="","",VLOOKUP($B204,'C-1 On-Site WaterC'' Baseline'!$C$9:$R$257,5,FALSE))</f>
        <v/>
      </c>
      <c r="G204" s="301" t="str">
        <f>IF(F204="","",VLOOKUP($B204,'C-1 On-Site WaterC'' Baseline'!$C$9:$R$257,6,FALSE))</f>
        <v/>
      </c>
      <c r="H204" s="301" t="str">
        <f>IF(G204="","",VLOOKUP($B204,'C-1 On-Site WaterC'' Baseline'!$C$9:$R$257,7,FALSE))</f>
        <v/>
      </c>
      <c r="I204" s="301" t="str">
        <f>IF(H204="","",VLOOKUP($B204,'C-1 On-Site WaterC'' Baseline'!$C$9:$R$257,8,FALSE))</f>
        <v/>
      </c>
      <c r="J204" s="301" t="str">
        <f>IF(I204="","",VLOOKUP($B204,'C-1 On-Site WaterC'' Baseline'!$C$9:$R$257,9,FALSE))</f>
        <v/>
      </c>
      <c r="K204" s="301" t="str">
        <f>IF(J204="","",VLOOKUP($B204,'C-1 On-Site WaterC'' Baseline'!$C$9:$R$257,10,FALSE))</f>
        <v/>
      </c>
      <c r="L204" s="301" t="str">
        <f>IF(B204="","",VLOOKUP($B204,'C-1 On-Site WaterC'' Baseline'!$C$9:$R$257,15,FALSE))</f>
        <v/>
      </c>
      <c r="M204" s="305" t="str">
        <f>IF(L204="","",VLOOKUP($B204,'C-1 On-Site WaterC'' Baseline'!$C$9:$R$257,16,FALSE))</f>
        <v/>
      </c>
      <c r="N204" s="251"/>
      <c r="O204" s="281" t="str">
        <f t="shared" si="21"/>
        <v/>
      </c>
      <c r="P204" s="282" t="str">
        <f t="shared" si="22"/>
        <v/>
      </c>
      <c r="Q204" s="342" t="str">
        <f>IF(N204="","",VLOOKUP(B204,'C-1 On-Site WaterC'' Baseline'!$C$10:$AC$257,20,FALSE))</f>
        <v/>
      </c>
      <c r="R204" s="281" t="str">
        <f>IF(N204="","",VLOOKUP(N204,'G-7 WaterC'' Data'!$B$2:$G$8,2,FALSE))</f>
        <v/>
      </c>
      <c r="S204" s="282" t="str">
        <f>IFERROR(VLOOKUP(R204,'G-7 WaterC'' Data'!$C$4:$D$8,2,FALSE),"")</f>
        <v/>
      </c>
      <c r="T204" s="105"/>
      <c r="U204" s="282" t="str">
        <f>IFERROR(INDEX('G-7 WaterC'' Data'!$H$4:$L$8,MATCH(N204,'G-7 WaterC'' Data'!$B$4:$B$8,0),MATCH(T204,'G-7 WaterC'' Data'!$H$3:$L$3,0)),"")</f>
        <v/>
      </c>
      <c r="V204" s="105"/>
      <c r="W204" s="289" t="str">
        <f>IF(V204="","",IF(VLOOKUP(V204,'G-7 WaterC'' Data'!$AK$4:$AM$6,2,FALSE)=0,"Spatial Data Missing ⚠",VLOOKUP(V204,'G-7 WaterC'' Data'!$AK$4:$AM$6,2,FALSE)))</f>
        <v/>
      </c>
      <c r="X204" s="282" t="str">
        <f>IF(V204="","",IF(VLOOKUP(V204,'G-7 WaterC'' Data'!$AK$4:$AM$6,3,FALSE)=0,"Spatial Data Missing ⚠",VLOOKUP(V204,'G-7 WaterC'' Data'!$AK$4:$AM$6,3,FALSE)))</f>
        <v/>
      </c>
      <c r="Y204" s="281" t="str">
        <f>IFERROR(IF(OR(LEFT(P204,5)="Error",LEFT(O204,5)="Error"),"Check Data ⚠",IF(F204&lt;S204,'G-7 WaterC'' Data'!$R$3,INDEX('G-7 WaterC'' Data'!$U$5:$Y$9,MATCH(G204,'G-7 WaterC'' Data'!$T$5:$T$9,0),MATCH(T204,'G-7 WaterC'' Data'!$U$4:$Y$4,0)))),"")</f>
        <v/>
      </c>
      <c r="Z204" s="137"/>
      <c r="AA204" s="137"/>
      <c r="AB204" s="289" t="str">
        <f t="shared" si="23"/>
        <v/>
      </c>
      <c r="AC204" s="302" t="str">
        <f t="shared" si="24"/>
        <v/>
      </c>
      <c r="AD204" s="340" t="str">
        <f>IFERROR(IF(AC204="Check Data ⚠","Check Data ⚠",VLOOKUP(AC204,'G-4 Temporal multipliers'!$A$4:$C$37,3,FALSE)),"")</f>
        <v/>
      </c>
      <c r="AE204" s="281" t="str">
        <f>IF(N204="","",VLOOKUP(N204,'G-7 WaterC'' Data'!$B$4:$G$8,5,FALSE))</f>
        <v/>
      </c>
      <c r="AF204" s="289" t="str">
        <f t="shared" si="25"/>
        <v/>
      </c>
      <c r="AG204" s="320" t="str">
        <f t="shared" si="26"/>
        <v/>
      </c>
      <c r="AH204" s="282" t="str">
        <f t="shared" ref="AH204:AH257" si="30">IF(N204="","",VLOOKUP(AG204,Difficulty,2,FALSE))</f>
        <v/>
      </c>
      <c r="AI204" s="109"/>
      <c r="AJ204" s="282" t="str">
        <f>IF(AI204="","",IF(AND(AI204="N/A - Culvert",N204&lt;&gt;"Culvert"),"Not possible ▲",IF(VLOOKUP(AI204,'G-7 WaterC'' Data'!$AA$4:$AB$7,2,FALSE)=0,"Spatial Data Missing ⚠",VLOOKUP(AI204,'G-7 WaterC'' Data'!$AA$4:$AB$7,2,FALSE))))</f>
        <v/>
      </c>
      <c r="AK204" s="110"/>
      <c r="AL204" s="282" t="str">
        <f>IF(AK204="","",IF(AND(AK204="N/A - Culvert",N204&lt;&gt;"Culvert"),"Not possible ▲",IF(VLOOKUP(AK204,'G-7 WaterC'' Data'!$AD$4:$AE$14,2,FALSE)=0,"Spatial Data Missing ⚠",VLOOKUP(AK204,'G-7 WaterC'' Data'!$AD$4:$AE$14,2,FALSE))))</f>
        <v/>
      </c>
      <c r="AM204" s="323" t="str">
        <f t="shared" si="27"/>
        <v/>
      </c>
      <c r="AN204" s="105"/>
      <c r="AO204" s="119"/>
      <c r="AP204" s="108"/>
      <c r="AS204" s="30" t="str">
        <f>IF(B204="","",IF(ISNA(VLOOKUP($B204,'C-1 On-Site WaterC'' Baseline'!$C$8:$AD$257,17,FALSE)),"",(VLOOKUP($B204,'C-1 On-Site WaterC'' Baseline'!$C$8:$AD$257,17,FALSE))))</f>
        <v/>
      </c>
      <c r="AT204" s="30" t="str">
        <f>IF(B204="","",VLOOKUP($B204,'C-1 On-Site WaterC'' Baseline'!$C$9:$Z$257,12,FALSE))</f>
        <v/>
      </c>
      <c r="AU204" s="30" t="str">
        <f>IF(B204="","",VLOOKUP($B204,'C-1 On-Site WaterC'' Baseline'!$C$9:$Z$257,14,FALSE))</f>
        <v/>
      </c>
      <c r="AV204" s="30" t="str">
        <f>IFERROR(INDEX('G-7 WaterC'' Data'!$AZ$3:$AZ$7,MATCH(N204,'G-7 WaterC'' Data'!$AY$3:$AY$7,0)),"")</f>
        <v/>
      </c>
      <c r="AX204" s="30" t="str">
        <f>IF(B204="","",VLOOKUP($B204,'C-1 On-Site WaterC'' Baseline'!$C$9:$Y$257,22,FALSE))</f>
        <v/>
      </c>
      <c r="AY204" s="30" t="str">
        <f t="shared" si="28"/>
        <v/>
      </c>
      <c r="AZ204" s="30" t="str">
        <f>IF(B204="","",VLOOKUP($B204,'C-1 On-Site WaterC'' Baseline'!$C$9:$Y$257,21,FALSE))</f>
        <v/>
      </c>
      <c r="BA204" s="30" t="str">
        <f>IF(B204="","",VLOOKUP($B204,'C-1 On-Site WaterC'' Baseline'!$C$9:$Y$257,19,FALSE))</f>
        <v/>
      </c>
      <c r="BD204" s="30" t="str">
        <f t="shared" si="29"/>
        <v>No</v>
      </c>
    </row>
    <row r="205" spans="2:56" ht="13.8" x14ac:dyDescent="0.25">
      <c r="B205" s="311" t="str">
        <f>'C-1 On-Site WaterC'' Baseline'!AP203</f>
        <v/>
      </c>
      <c r="C205" s="301" t="str">
        <f>IF(B205="","",VLOOKUP($B205,'C-1 On-Site WaterC'' Baseline'!$C$9:$R$257,2,FALSE))</f>
        <v/>
      </c>
      <c r="D205" s="301" t="str">
        <f>IF(C205="","",VLOOKUP($B205,'C-1 On-Site WaterC'' Baseline'!$C$9:$R$257,3,FALSE))</f>
        <v/>
      </c>
      <c r="E205" s="301" t="str">
        <f>IF(D205="","",VLOOKUP($B205,'C-1 On-Site WaterC'' Baseline'!$C$9:$R$257,4,FALSE))</f>
        <v/>
      </c>
      <c r="F205" s="301" t="str">
        <f>IF(E205="","",VLOOKUP($B205,'C-1 On-Site WaterC'' Baseline'!$C$9:$R$257,5,FALSE))</f>
        <v/>
      </c>
      <c r="G205" s="301" t="str">
        <f>IF(F205="","",VLOOKUP($B205,'C-1 On-Site WaterC'' Baseline'!$C$9:$R$257,6,FALSE))</f>
        <v/>
      </c>
      <c r="H205" s="301" t="str">
        <f>IF(G205="","",VLOOKUP($B205,'C-1 On-Site WaterC'' Baseline'!$C$9:$R$257,7,FALSE))</f>
        <v/>
      </c>
      <c r="I205" s="301" t="str">
        <f>IF(H205="","",VLOOKUP($B205,'C-1 On-Site WaterC'' Baseline'!$C$9:$R$257,8,FALSE))</f>
        <v/>
      </c>
      <c r="J205" s="301" t="str">
        <f>IF(I205="","",VLOOKUP($B205,'C-1 On-Site WaterC'' Baseline'!$C$9:$R$257,9,FALSE))</f>
        <v/>
      </c>
      <c r="K205" s="301" t="str">
        <f>IF(J205="","",VLOOKUP($B205,'C-1 On-Site WaterC'' Baseline'!$C$9:$R$257,10,FALSE))</f>
        <v/>
      </c>
      <c r="L205" s="301" t="str">
        <f>IF(B205="","",VLOOKUP($B205,'C-1 On-Site WaterC'' Baseline'!$C$9:$R$257,15,FALSE))</f>
        <v/>
      </c>
      <c r="M205" s="305" t="str">
        <f>IF(L205="","",VLOOKUP($B205,'C-1 On-Site WaterC'' Baseline'!$C$9:$R$257,16,FALSE))</f>
        <v/>
      </c>
      <c r="N205" s="251"/>
      <c r="O205" s="281" t="str">
        <f t="shared" ref="O205:O257" si="31">IF(B205="","",IF(S205&lt;F205,"Error Trading Down ▲",E205&amp;" - "&amp;R205))</f>
        <v/>
      </c>
      <c r="P205" s="282" t="str">
        <f t="shared" ref="P205:P257" si="32">IF(C205="","",IF(AND(N205&lt;&gt;C205,AS205="Yes"),"Error you cannot replace and irreplaceable habitat ▲",IF(AND(LEFT(C205,55)&lt;&gt;LEFT(N205,55),O205="High - High"),"Error - Not like for like ▲",IF(H205&gt;U205,"Error - Can not reduce condition ▲",IF(AND(C205&lt;&gt;N205,F205&lt;S205),"Lower Distinctiveness Habitat"&amp;" - "&amp;T205,G205&amp;" - "&amp;T205)))))</f>
        <v/>
      </c>
      <c r="Q205" s="342" t="str">
        <f>IF(N205="","",VLOOKUP(B205,'C-1 On-Site WaterC'' Baseline'!$C$10:$AC$257,20,FALSE))</f>
        <v/>
      </c>
      <c r="R205" s="281" t="str">
        <f>IF(N205="","",VLOOKUP(N205,'G-7 WaterC'' Data'!$B$2:$G$8,2,FALSE))</f>
        <v/>
      </c>
      <c r="S205" s="282" t="str">
        <f>IFERROR(VLOOKUP(R205,'G-7 WaterC'' Data'!$C$4:$D$8,2,FALSE),"")</f>
        <v/>
      </c>
      <c r="T205" s="105"/>
      <c r="U205" s="282" t="str">
        <f>IFERROR(INDEX('G-7 WaterC'' Data'!$H$4:$L$8,MATCH(N205,'G-7 WaterC'' Data'!$B$4:$B$8,0),MATCH(T205,'G-7 WaterC'' Data'!$H$3:$L$3,0)),"")</f>
        <v/>
      </c>
      <c r="V205" s="105"/>
      <c r="W205" s="289" t="str">
        <f>IF(V205="","",IF(VLOOKUP(V205,'G-7 WaterC'' Data'!$AK$4:$AM$6,2,FALSE)=0,"Spatial Data Missing ⚠",VLOOKUP(V205,'G-7 WaterC'' Data'!$AK$4:$AM$6,2,FALSE)))</f>
        <v/>
      </c>
      <c r="X205" s="282" t="str">
        <f>IF(V205="","",IF(VLOOKUP(V205,'G-7 WaterC'' Data'!$AK$4:$AM$6,3,FALSE)=0,"Spatial Data Missing ⚠",VLOOKUP(V205,'G-7 WaterC'' Data'!$AK$4:$AM$6,3,FALSE)))</f>
        <v/>
      </c>
      <c r="Y205" s="281" t="str">
        <f>IFERROR(IF(OR(LEFT(P205,5)="Error",LEFT(O205,5)="Error"),"Check Data ⚠",IF(F205&lt;S205,'G-7 WaterC'' Data'!$R$3,INDEX('G-7 WaterC'' Data'!$U$5:$Y$9,MATCH(G205,'G-7 WaterC'' Data'!$T$5:$T$9,0),MATCH(T205,'G-7 WaterC'' Data'!$U$4:$Y$4,0)))),"")</f>
        <v/>
      </c>
      <c r="Z205" s="137"/>
      <c r="AA205" s="137"/>
      <c r="AB205" s="289" t="str">
        <f t="shared" ref="AB205:AB257" si="33">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02" t="str">
        <f t="shared" ref="AC205:AC257" si="34">IF(AB205="Error -both advance and delayed habitat creation ▲","Check Data ⚠",IF(AB205="Check Data ⚠","Check Data ⚠",IF(Y205="","",IF(Z205="30+",0,IF(AA205="30+","30+",IF(Y205+AA205&gt;30,"30+",IF(Y205+AA205-Z205&gt;0,Y205+AA205-Z205,IF(Y205-Z205&lt;0,0,Y205+AA205-Z205))))))))</f>
        <v/>
      </c>
      <c r="AD205" s="340" t="str">
        <f>IFERROR(IF(AC205="Check Data ⚠","Check Data ⚠",VLOOKUP(AC205,'G-4 Temporal multipliers'!$A$4:$C$37,3,FALSE)),"")</f>
        <v/>
      </c>
      <c r="AE205" s="281" t="str">
        <f>IF(N205="","",VLOOKUP(N205,'G-7 WaterC'' Data'!$B$4:$G$8,5,FALSE))</f>
        <v/>
      </c>
      <c r="AF205" s="289" t="str">
        <f t="shared" ref="AF205:AF257" si="35">IF(N205="","",IF(AC205="Check Data ⚠","Check Data ⚠",IF(T205="","",IF($AB205="Check details - Is there evidence that habitat has reached target condition? ⚠","Low Difficulty - only applicable if all habitat created before losses ⚠","Standard difficulty applied"))))</f>
        <v/>
      </c>
      <c r="AG205" s="320" t="str">
        <f t="shared" ref="AG205:AG257" si="36">(IF(AND(AF205="Standard difficulty applied",Y205&gt;Z205),AE205,IF(AND(AF205="Low Difficulty - only applicable if all habitat created before losses ⚠",Z205&gt;=Y205),"Low",AE205)))</f>
        <v/>
      </c>
      <c r="AH205" s="282" t="str">
        <f t="shared" si="30"/>
        <v/>
      </c>
      <c r="AI205" s="109"/>
      <c r="AJ205" s="282" t="str">
        <f>IF(AI205="","",IF(AND(AI205="N/A - Culvert",N205&lt;&gt;"Culvert"),"Not possible ▲",IF(VLOOKUP(AI205,'G-7 WaterC'' Data'!$AA$4:$AB$7,2,FALSE)=0,"Spatial Data Missing ⚠",VLOOKUP(AI205,'G-7 WaterC'' Data'!$AA$4:$AB$7,2,FALSE))))</f>
        <v/>
      </c>
      <c r="AK205" s="110"/>
      <c r="AL205" s="282" t="str">
        <f>IF(AK205="","",IF(AND(AK205="N/A - Culvert",N205&lt;&gt;"Culvert"),"Not possible ▲",IF(VLOOKUP(AK205,'G-7 WaterC'' Data'!$AD$4:$AE$14,2,FALSE)=0,"Spatial Data Missing ⚠",VLOOKUP(AK205,'G-7 WaterC'' Data'!$AD$4:$AE$14,2,FALSE))))</f>
        <v/>
      </c>
      <c r="AM205" s="323" t="str">
        <f t="shared" ref="AM205:AM257" si="37">IFERROR(IF(C205="","",IF(AND(N205&lt;&gt;"",M205=""),"Check Data ⚠",IF(Q205&gt;D205,((((Q205*S205*U205)-(D205*F205*H205))*(AH205*AD205))+(D205*F205*H205))*(AL205*X205*AJ205),((((Q205*S205*U205)-(Q205*F205*H205))*(AH205*AD205))+(Q205*F205*H205))*(AL205*X205*AJ205)))),"")</f>
        <v/>
      </c>
      <c r="AN205" s="105"/>
      <c r="AO205" s="119"/>
      <c r="AP205" s="108"/>
      <c r="AS205" s="30" t="str">
        <f>IF(B205="","",IF(ISNA(VLOOKUP($B205,'C-1 On-Site WaterC'' Baseline'!$C$8:$AD$257,17,FALSE)),"",(VLOOKUP($B205,'C-1 On-Site WaterC'' Baseline'!$C$8:$AD$257,17,FALSE))))</f>
        <v/>
      </c>
      <c r="AT205" s="30" t="str">
        <f>IF(B205="","",VLOOKUP($B205,'C-1 On-Site WaterC'' Baseline'!$C$9:$Z$257,12,FALSE))</f>
        <v/>
      </c>
      <c r="AU205" s="30" t="str">
        <f>IF(B205="","",VLOOKUP($B205,'C-1 On-Site WaterC'' Baseline'!$C$9:$Z$257,14,FALSE))</f>
        <v/>
      </c>
      <c r="AV205" s="30" t="str">
        <f>IFERROR(INDEX('G-7 WaterC'' Data'!$AZ$3:$AZ$7,MATCH(N205,'G-7 WaterC'' Data'!$AY$3:$AY$7,0)),"")</f>
        <v/>
      </c>
      <c r="AX205" s="30" t="str">
        <f>IF(B205="","",VLOOKUP($B205,'C-1 On-Site WaterC'' Baseline'!$C$9:$Y$257,22,FALSE))</f>
        <v/>
      </c>
      <c r="AY205" s="30" t="str">
        <f t="shared" ref="AY205:AY257" si="38">IF(B205="","", IF(AX205&gt;M205, M205, IF((BA205+Q205)&gt;D205, M205 - AZ205, AX205)))</f>
        <v/>
      </c>
      <c r="AZ205" s="30" t="str">
        <f>IF(B205="","",VLOOKUP($B205,'C-1 On-Site WaterC'' Baseline'!$C$9:$Y$257,21,FALSE))</f>
        <v/>
      </c>
      <c r="BA205" s="30" t="str">
        <f>IF(B205="","",VLOOKUP($B205,'C-1 On-Site WaterC'' Baseline'!$C$9:$Y$257,19,FALSE))</f>
        <v/>
      </c>
      <c r="BD205" s="30" t="str">
        <f t="shared" ref="BD205:BD260" si="39">IF(AND(N205="Ditches",(OR(T205="Fairly Poor",T205="Fairly Good"))), "Yes", "No")</f>
        <v>No</v>
      </c>
    </row>
    <row r="206" spans="2:56" ht="13.8" x14ac:dyDescent="0.25">
      <c r="B206" s="311" t="str">
        <f>'C-1 On-Site WaterC'' Baseline'!AP204</f>
        <v/>
      </c>
      <c r="C206" s="301" t="str">
        <f>IF(B206="","",VLOOKUP($B206,'C-1 On-Site WaterC'' Baseline'!$C$9:$R$257,2,FALSE))</f>
        <v/>
      </c>
      <c r="D206" s="301" t="str">
        <f>IF(C206="","",VLOOKUP($B206,'C-1 On-Site WaterC'' Baseline'!$C$9:$R$257,3,FALSE))</f>
        <v/>
      </c>
      <c r="E206" s="301" t="str">
        <f>IF(D206="","",VLOOKUP($B206,'C-1 On-Site WaterC'' Baseline'!$C$9:$R$257,4,FALSE))</f>
        <v/>
      </c>
      <c r="F206" s="301" t="str">
        <f>IF(E206="","",VLOOKUP($B206,'C-1 On-Site WaterC'' Baseline'!$C$9:$R$257,5,FALSE))</f>
        <v/>
      </c>
      <c r="G206" s="301" t="str">
        <f>IF(F206="","",VLOOKUP($B206,'C-1 On-Site WaterC'' Baseline'!$C$9:$R$257,6,FALSE))</f>
        <v/>
      </c>
      <c r="H206" s="301" t="str">
        <f>IF(G206="","",VLOOKUP($B206,'C-1 On-Site WaterC'' Baseline'!$C$9:$R$257,7,FALSE))</f>
        <v/>
      </c>
      <c r="I206" s="301" t="str">
        <f>IF(H206="","",VLOOKUP($B206,'C-1 On-Site WaterC'' Baseline'!$C$9:$R$257,8,FALSE))</f>
        <v/>
      </c>
      <c r="J206" s="301" t="str">
        <f>IF(I206="","",VLOOKUP($B206,'C-1 On-Site WaterC'' Baseline'!$C$9:$R$257,9,FALSE))</f>
        <v/>
      </c>
      <c r="K206" s="301" t="str">
        <f>IF(J206="","",VLOOKUP($B206,'C-1 On-Site WaterC'' Baseline'!$C$9:$R$257,10,FALSE))</f>
        <v/>
      </c>
      <c r="L206" s="301" t="str">
        <f>IF(B206="","",VLOOKUP($B206,'C-1 On-Site WaterC'' Baseline'!$C$9:$R$257,15,FALSE))</f>
        <v/>
      </c>
      <c r="M206" s="305" t="str">
        <f>IF(L206="","",VLOOKUP($B206,'C-1 On-Site WaterC'' Baseline'!$C$9:$R$257,16,FALSE))</f>
        <v/>
      </c>
      <c r="N206" s="251"/>
      <c r="O206" s="281" t="str">
        <f t="shared" si="31"/>
        <v/>
      </c>
      <c r="P206" s="282" t="str">
        <f t="shared" si="32"/>
        <v/>
      </c>
      <c r="Q206" s="342" t="str">
        <f>IF(N206="","",VLOOKUP(B206,'C-1 On-Site WaterC'' Baseline'!$C$10:$AC$257,20,FALSE))</f>
        <v/>
      </c>
      <c r="R206" s="281" t="str">
        <f>IF(N206="","",VLOOKUP(N206,'G-7 WaterC'' Data'!$B$2:$G$8,2,FALSE))</f>
        <v/>
      </c>
      <c r="S206" s="282" t="str">
        <f>IFERROR(VLOOKUP(R206,'G-7 WaterC'' Data'!$C$4:$D$8,2,FALSE),"")</f>
        <v/>
      </c>
      <c r="T206" s="105"/>
      <c r="U206" s="282" t="str">
        <f>IFERROR(INDEX('G-7 WaterC'' Data'!$H$4:$L$8,MATCH(N206,'G-7 WaterC'' Data'!$B$4:$B$8,0),MATCH(T206,'G-7 WaterC'' Data'!$H$3:$L$3,0)),"")</f>
        <v/>
      </c>
      <c r="V206" s="105"/>
      <c r="W206" s="289" t="str">
        <f>IF(V206="","",IF(VLOOKUP(V206,'G-7 WaterC'' Data'!$AK$4:$AM$6,2,FALSE)=0,"Spatial Data Missing ⚠",VLOOKUP(V206,'G-7 WaterC'' Data'!$AK$4:$AM$6,2,FALSE)))</f>
        <v/>
      </c>
      <c r="X206" s="282" t="str">
        <f>IF(V206="","",IF(VLOOKUP(V206,'G-7 WaterC'' Data'!$AK$4:$AM$6,3,FALSE)=0,"Spatial Data Missing ⚠",VLOOKUP(V206,'G-7 WaterC'' Data'!$AK$4:$AM$6,3,FALSE)))</f>
        <v/>
      </c>
      <c r="Y206" s="281" t="str">
        <f>IFERROR(IF(OR(LEFT(P206,5)="Error",LEFT(O206,5)="Error"),"Check Data ⚠",IF(F206&lt;S206,'G-7 WaterC'' Data'!$R$3,INDEX('G-7 WaterC'' Data'!$U$5:$Y$9,MATCH(G206,'G-7 WaterC'' Data'!$T$5:$T$9,0),MATCH(T206,'G-7 WaterC'' Data'!$U$4:$Y$4,0)))),"")</f>
        <v/>
      </c>
      <c r="Z206" s="137"/>
      <c r="AA206" s="137"/>
      <c r="AB206" s="289" t="str">
        <f t="shared" si="33"/>
        <v/>
      </c>
      <c r="AC206" s="302" t="str">
        <f t="shared" si="34"/>
        <v/>
      </c>
      <c r="AD206" s="340" t="str">
        <f>IFERROR(IF(AC206="Check Data ⚠","Check Data ⚠",VLOOKUP(AC206,'G-4 Temporal multipliers'!$A$4:$C$37,3,FALSE)),"")</f>
        <v/>
      </c>
      <c r="AE206" s="281" t="str">
        <f>IF(N206="","",VLOOKUP(N206,'G-7 WaterC'' Data'!$B$4:$G$8,5,FALSE))</f>
        <v/>
      </c>
      <c r="AF206" s="289" t="str">
        <f t="shared" si="35"/>
        <v/>
      </c>
      <c r="AG206" s="320" t="str">
        <f t="shared" si="36"/>
        <v/>
      </c>
      <c r="AH206" s="282" t="str">
        <f t="shared" si="30"/>
        <v/>
      </c>
      <c r="AI206" s="109"/>
      <c r="AJ206" s="282" t="str">
        <f>IF(AI206="","",IF(AND(AI206="N/A - Culvert",N206&lt;&gt;"Culvert"),"Not possible ▲",IF(VLOOKUP(AI206,'G-7 WaterC'' Data'!$AA$4:$AB$7,2,FALSE)=0,"Spatial Data Missing ⚠",VLOOKUP(AI206,'G-7 WaterC'' Data'!$AA$4:$AB$7,2,FALSE))))</f>
        <v/>
      </c>
      <c r="AK206" s="110"/>
      <c r="AL206" s="282" t="str">
        <f>IF(AK206="","",IF(AND(AK206="N/A - Culvert",N206&lt;&gt;"Culvert"),"Not possible ▲",IF(VLOOKUP(AK206,'G-7 WaterC'' Data'!$AD$4:$AE$14,2,FALSE)=0,"Spatial Data Missing ⚠",VLOOKUP(AK206,'G-7 WaterC'' Data'!$AD$4:$AE$14,2,FALSE))))</f>
        <v/>
      </c>
      <c r="AM206" s="323" t="str">
        <f t="shared" si="37"/>
        <v/>
      </c>
      <c r="AN206" s="105"/>
      <c r="AO206" s="119"/>
      <c r="AP206" s="108"/>
      <c r="AS206" s="30" t="str">
        <f>IF(B206="","",IF(ISNA(VLOOKUP($B206,'C-1 On-Site WaterC'' Baseline'!$C$8:$AD$257,17,FALSE)),"",(VLOOKUP($B206,'C-1 On-Site WaterC'' Baseline'!$C$8:$AD$257,17,FALSE))))</f>
        <v/>
      </c>
      <c r="AT206" s="30" t="str">
        <f>IF(B206="","",VLOOKUP($B206,'C-1 On-Site WaterC'' Baseline'!$C$9:$Z$257,12,FALSE))</f>
        <v/>
      </c>
      <c r="AU206" s="30" t="str">
        <f>IF(B206="","",VLOOKUP($B206,'C-1 On-Site WaterC'' Baseline'!$C$9:$Z$257,14,FALSE))</f>
        <v/>
      </c>
      <c r="AV206" s="30" t="str">
        <f>IFERROR(INDEX('G-7 WaterC'' Data'!$AZ$3:$AZ$7,MATCH(N206,'G-7 WaterC'' Data'!$AY$3:$AY$7,0)),"")</f>
        <v/>
      </c>
      <c r="AX206" s="30" t="str">
        <f>IF(B206="","",VLOOKUP($B206,'C-1 On-Site WaterC'' Baseline'!$C$9:$Y$257,22,FALSE))</f>
        <v/>
      </c>
      <c r="AY206" s="30" t="str">
        <f t="shared" si="38"/>
        <v/>
      </c>
      <c r="AZ206" s="30" t="str">
        <f>IF(B206="","",VLOOKUP($B206,'C-1 On-Site WaterC'' Baseline'!$C$9:$Y$257,21,FALSE))</f>
        <v/>
      </c>
      <c r="BA206" s="30" t="str">
        <f>IF(B206="","",VLOOKUP($B206,'C-1 On-Site WaterC'' Baseline'!$C$9:$Y$257,19,FALSE))</f>
        <v/>
      </c>
      <c r="BD206" s="30" t="str">
        <f t="shared" si="39"/>
        <v>No</v>
      </c>
    </row>
    <row r="207" spans="2:56" ht="13.8" x14ac:dyDescent="0.25">
      <c r="B207" s="311" t="str">
        <f>'C-1 On-Site WaterC'' Baseline'!AP205</f>
        <v/>
      </c>
      <c r="C207" s="301" t="str">
        <f>IF(B207="","",VLOOKUP($B207,'C-1 On-Site WaterC'' Baseline'!$C$9:$R$257,2,FALSE))</f>
        <v/>
      </c>
      <c r="D207" s="301" t="str">
        <f>IF(C207="","",VLOOKUP($B207,'C-1 On-Site WaterC'' Baseline'!$C$9:$R$257,3,FALSE))</f>
        <v/>
      </c>
      <c r="E207" s="301" t="str">
        <f>IF(D207="","",VLOOKUP($B207,'C-1 On-Site WaterC'' Baseline'!$C$9:$R$257,4,FALSE))</f>
        <v/>
      </c>
      <c r="F207" s="301" t="str">
        <f>IF(E207="","",VLOOKUP($B207,'C-1 On-Site WaterC'' Baseline'!$C$9:$R$257,5,FALSE))</f>
        <v/>
      </c>
      <c r="G207" s="301" t="str">
        <f>IF(F207="","",VLOOKUP($B207,'C-1 On-Site WaterC'' Baseline'!$C$9:$R$257,6,FALSE))</f>
        <v/>
      </c>
      <c r="H207" s="301" t="str">
        <f>IF(G207="","",VLOOKUP($B207,'C-1 On-Site WaterC'' Baseline'!$C$9:$R$257,7,FALSE))</f>
        <v/>
      </c>
      <c r="I207" s="301" t="str">
        <f>IF(H207="","",VLOOKUP($B207,'C-1 On-Site WaterC'' Baseline'!$C$9:$R$257,8,FALSE))</f>
        <v/>
      </c>
      <c r="J207" s="301" t="str">
        <f>IF(I207="","",VLOOKUP($B207,'C-1 On-Site WaterC'' Baseline'!$C$9:$R$257,9,FALSE))</f>
        <v/>
      </c>
      <c r="K207" s="301" t="str">
        <f>IF(J207="","",VLOOKUP($B207,'C-1 On-Site WaterC'' Baseline'!$C$9:$R$257,10,FALSE))</f>
        <v/>
      </c>
      <c r="L207" s="301" t="str">
        <f>IF(B207="","",VLOOKUP($B207,'C-1 On-Site WaterC'' Baseline'!$C$9:$R$257,15,FALSE))</f>
        <v/>
      </c>
      <c r="M207" s="305" t="str">
        <f>IF(L207="","",VLOOKUP($B207,'C-1 On-Site WaterC'' Baseline'!$C$9:$R$257,16,FALSE))</f>
        <v/>
      </c>
      <c r="N207" s="251"/>
      <c r="O207" s="281" t="str">
        <f t="shared" si="31"/>
        <v/>
      </c>
      <c r="P207" s="282" t="str">
        <f t="shared" si="32"/>
        <v/>
      </c>
      <c r="Q207" s="342" t="str">
        <f>IF(N207="","",VLOOKUP(B207,'C-1 On-Site WaterC'' Baseline'!$C$10:$AC$257,20,FALSE))</f>
        <v/>
      </c>
      <c r="R207" s="281" t="str">
        <f>IF(N207="","",VLOOKUP(N207,'G-7 WaterC'' Data'!$B$2:$G$8,2,FALSE))</f>
        <v/>
      </c>
      <c r="S207" s="282" t="str">
        <f>IFERROR(VLOOKUP(R207,'G-7 WaterC'' Data'!$C$4:$D$8,2,FALSE),"")</f>
        <v/>
      </c>
      <c r="T207" s="105"/>
      <c r="U207" s="282" t="str">
        <f>IFERROR(INDEX('G-7 WaterC'' Data'!$H$4:$L$8,MATCH(N207,'G-7 WaterC'' Data'!$B$4:$B$8,0),MATCH(T207,'G-7 WaterC'' Data'!$H$3:$L$3,0)),"")</f>
        <v/>
      </c>
      <c r="V207" s="105"/>
      <c r="W207" s="289" t="str">
        <f>IF(V207="","",IF(VLOOKUP(V207,'G-7 WaterC'' Data'!$AK$4:$AM$6,2,FALSE)=0,"Spatial Data Missing ⚠",VLOOKUP(V207,'G-7 WaterC'' Data'!$AK$4:$AM$6,2,FALSE)))</f>
        <v/>
      </c>
      <c r="X207" s="282" t="str">
        <f>IF(V207="","",IF(VLOOKUP(V207,'G-7 WaterC'' Data'!$AK$4:$AM$6,3,FALSE)=0,"Spatial Data Missing ⚠",VLOOKUP(V207,'G-7 WaterC'' Data'!$AK$4:$AM$6,3,FALSE)))</f>
        <v/>
      </c>
      <c r="Y207" s="281" t="str">
        <f>IFERROR(IF(OR(LEFT(P207,5)="Error",LEFT(O207,5)="Error"),"Check Data ⚠",IF(F207&lt;S207,'G-7 WaterC'' Data'!$R$3,INDEX('G-7 WaterC'' Data'!$U$5:$Y$9,MATCH(G207,'G-7 WaterC'' Data'!$T$5:$T$9,0),MATCH(T207,'G-7 WaterC'' Data'!$U$4:$Y$4,0)))),"")</f>
        <v/>
      </c>
      <c r="Z207" s="137"/>
      <c r="AA207" s="137"/>
      <c r="AB207" s="289" t="str">
        <f t="shared" si="33"/>
        <v/>
      </c>
      <c r="AC207" s="302" t="str">
        <f t="shared" si="34"/>
        <v/>
      </c>
      <c r="AD207" s="340" t="str">
        <f>IFERROR(IF(AC207="Check Data ⚠","Check Data ⚠",VLOOKUP(AC207,'G-4 Temporal multipliers'!$A$4:$C$37,3,FALSE)),"")</f>
        <v/>
      </c>
      <c r="AE207" s="281" t="str">
        <f>IF(N207="","",VLOOKUP(N207,'G-7 WaterC'' Data'!$B$4:$G$8,5,FALSE))</f>
        <v/>
      </c>
      <c r="AF207" s="289" t="str">
        <f t="shared" si="35"/>
        <v/>
      </c>
      <c r="AG207" s="320" t="str">
        <f t="shared" si="36"/>
        <v/>
      </c>
      <c r="AH207" s="282" t="str">
        <f t="shared" si="30"/>
        <v/>
      </c>
      <c r="AI207" s="109"/>
      <c r="AJ207" s="282" t="str">
        <f>IF(AI207="","",IF(AND(AI207="N/A - Culvert",N207&lt;&gt;"Culvert"),"Not possible ▲",IF(VLOOKUP(AI207,'G-7 WaterC'' Data'!$AA$4:$AB$7,2,FALSE)=0,"Spatial Data Missing ⚠",VLOOKUP(AI207,'G-7 WaterC'' Data'!$AA$4:$AB$7,2,FALSE))))</f>
        <v/>
      </c>
      <c r="AK207" s="110"/>
      <c r="AL207" s="282" t="str">
        <f>IF(AK207="","",IF(AND(AK207="N/A - Culvert",N207&lt;&gt;"Culvert"),"Not possible ▲",IF(VLOOKUP(AK207,'G-7 WaterC'' Data'!$AD$4:$AE$14,2,FALSE)=0,"Spatial Data Missing ⚠",VLOOKUP(AK207,'G-7 WaterC'' Data'!$AD$4:$AE$14,2,FALSE))))</f>
        <v/>
      </c>
      <c r="AM207" s="323" t="str">
        <f t="shared" si="37"/>
        <v/>
      </c>
      <c r="AN207" s="105"/>
      <c r="AO207" s="119"/>
      <c r="AP207" s="108"/>
      <c r="AS207" s="30" t="str">
        <f>IF(B207="","",IF(ISNA(VLOOKUP($B207,'C-1 On-Site WaterC'' Baseline'!$C$8:$AD$257,17,FALSE)),"",(VLOOKUP($B207,'C-1 On-Site WaterC'' Baseline'!$C$8:$AD$257,17,FALSE))))</f>
        <v/>
      </c>
      <c r="AT207" s="30" t="str">
        <f>IF(B207="","",VLOOKUP($B207,'C-1 On-Site WaterC'' Baseline'!$C$9:$Z$257,12,FALSE))</f>
        <v/>
      </c>
      <c r="AU207" s="30" t="str">
        <f>IF(B207="","",VLOOKUP($B207,'C-1 On-Site WaterC'' Baseline'!$C$9:$Z$257,14,FALSE))</f>
        <v/>
      </c>
      <c r="AV207" s="30" t="str">
        <f>IFERROR(INDEX('G-7 WaterC'' Data'!$AZ$3:$AZ$7,MATCH(N207,'G-7 WaterC'' Data'!$AY$3:$AY$7,0)),"")</f>
        <v/>
      </c>
      <c r="AX207" s="30" t="str">
        <f>IF(B207="","",VLOOKUP($B207,'C-1 On-Site WaterC'' Baseline'!$C$9:$Y$257,22,FALSE))</f>
        <v/>
      </c>
      <c r="AY207" s="30" t="str">
        <f t="shared" si="38"/>
        <v/>
      </c>
      <c r="AZ207" s="30" t="str">
        <f>IF(B207="","",VLOOKUP($B207,'C-1 On-Site WaterC'' Baseline'!$C$9:$Y$257,21,FALSE))</f>
        <v/>
      </c>
      <c r="BA207" s="30" t="str">
        <f>IF(B207="","",VLOOKUP($B207,'C-1 On-Site WaterC'' Baseline'!$C$9:$Y$257,19,FALSE))</f>
        <v/>
      </c>
      <c r="BD207" s="30" t="str">
        <f t="shared" si="39"/>
        <v>No</v>
      </c>
    </row>
    <row r="208" spans="2:56" ht="13.8" x14ac:dyDescent="0.25">
      <c r="B208" s="311" t="str">
        <f>'C-1 On-Site WaterC'' Baseline'!AP206</f>
        <v/>
      </c>
      <c r="C208" s="301" t="str">
        <f>IF(B208="","",VLOOKUP($B208,'C-1 On-Site WaterC'' Baseline'!$C$9:$R$257,2,FALSE))</f>
        <v/>
      </c>
      <c r="D208" s="301" t="str">
        <f>IF(C208="","",VLOOKUP($B208,'C-1 On-Site WaterC'' Baseline'!$C$9:$R$257,3,FALSE))</f>
        <v/>
      </c>
      <c r="E208" s="301" t="str">
        <f>IF(D208="","",VLOOKUP($B208,'C-1 On-Site WaterC'' Baseline'!$C$9:$R$257,4,FALSE))</f>
        <v/>
      </c>
      <c r="F208" s="301" t="str">
        <f>IF(E208="","",VLOOKUP($B208,'C-1 On-Site WaterC'' Baseline'!$C$9:$R$257,5,FALSE))</f>
        <v/>
      </c>
      <c r="G208" s="301" t="str">
        <f>IF(F208="","",VLOOKUP($B208,'C-1 On-Site WaterC'' Baseline'!$C$9:$R$257,6,FALSE))</f>
        <v/>
      </c>
      <c r="H208" s="301" t="str">
        <f>IF(G208="","",VLOOKUP($B208,'C-1 On-Site WaterC'' Baseline'!$C$9:$R$257,7,FALSE))</f>
        <v/>
      </c>
      <c r="I208" s="301" t="str">
        <f>IF(H208="","",VLOOKUP($B208,'C-1 On-Site WaterC'' Baseline'!$C$9:$R$257,8,FALSE))</f>
        <v/>
      </c>
      <c r="J208" s="301" t="str">
        <f>IF(I208="","",VLOOKUP($B208,'C-1 On-Site WaterC'' Baseline'!$C$9:$R$257,9,FALSE))</f>
        <v/>
      </c>
      <c r="K208" s="301" t="str">
        <f>IF(J208="","",VLOOKUP($B208,'C-1 On-Site WaterC'' Baseline'!$C$9:$R$257,10,FALSE))</f>
        <v/>
      </c>
      <c r="L208" s="301" t="str">
        <f>IF(B208="","",VLOOKUP($B208,'C-1 On-Site WaterC'' Baseline'!$C$9:$R$257,15,FALSE))</f>
        <v/>
      </c>
      <c r="M208" s="305" t="str">
        <f>IF(L208="","",VLOOKUP($B208,'C-1 On-Site WaterC'' Baseline'!$C$9:$R$257,16,FALSE))</f>
        <v/>
      </c>
      <c r="N208" s="251"/>
      <c r="O208" s="281" t="str">
        <f t="shared" si="31"/>
        <v/>
      </c>
      <c r="P208" s="282" t="str">
        <f t="shared" si="32"/>
        <v/>
      </c>
      <c r="Q208" s="342" t="str">
        <f>IF(N208="","",VLOOKUP(B208,'C-1 On-Site WaterC'' Baseline'!$C$10:$AC$257,20,FALSE))</f>
        <v/>
      </c>
      <c r="R208" s="281" t="str">
        <f>IF(N208="","",VLOOKUP(N208,'G-7 WaterC'' Data'!$B$2:$G$8,2,FALSE))</f>
        <v/>
      </c>
      <c r="S208" s="282" t="str">
        <f>IFERROR(VLOOKUP(R208,'G-7 WaterC'' Data'!$C$4:$D$8,2,FALSE),"")</f>
        <v/>
      </c>
      <c r="T208" s="105"/>
      <c r="U208" s="282" t="str">
        <f>IFERROR(INDEX('G-7 WaterC'' Data'!$H$4:$L$8,MATCH(N208,'G-7 WaterC'' Data'!$B$4:$B$8,0),MATCH(T208,'G-7 WaterC'' Data'!$H$3:$L$3,0)),"")</f>
        <v/>
      </c>
      <c r="V208" s="105"/>
      <c r="W208" s="289" t="str">
        <f>IF(V208="","",IF(VLOOKUP(V208,'G-7 WaterC'' Data'!$AK$4:$AM$6,2,FALSE)=0,"Spatial Data Missing ⚠",VLOOKUP(V208,'G-7 WaterC'' Data'!$AK$4:$AM$6,2,FALSE)))</f>
        <v/>
      </c>
      <c r="X208" s="282" t="str">
        <f>IF(V208="","",IF(VLOOKUP(V208,'G-7 WaterC'' Data'!$AK$4:$AM$6,3,FALSE)=0,"Spatial Data Missing ⚠",VLOOKUP(V208,'G-7 WaterC'' Data'!$AK$4:$AM$6,3,FALSE)))</f>
        <v/>
      </c>
      <c r="Y208" s="281" t="str">
        <f>IFERROR(IF(OR(LEFT(P208,5)="Error",LEFT(O208,5)="Error"),"Check Data ⚠",IF(F208&lt;S208,'G-7 WaterC'' Data'!$R$3,INDEX('G-7 WaterC'' Data'!$U$5:$Y$9,MATCH(G208,'G-7 WaterC'' Data'!$T$5:$T$9,0),MATCH(T208,'G-7 WaterC'' Data'!$U$4:$Y$4,0)))),"")</f>
        <v/>
      </c>
      <c r="Z208" s="137"/>
      <c r="AA208" s="137"/>
      <c r="AB208" s="289" t="str">
        <f t="shared" si="33"/>
        <v/>
      </c>
      <c r="AC208" s="302" t="str">
        <f t="shared" si="34"/>
        <v/>
      </c>
      <c r="AD208" s="340" t="str">
        <f>IFERROR(IF(AC208="Check Data ⚠","Check Data ⚠",VLOOKUP(AC208,'G-4 Temporal multipliers'!$A$4:$C$37,3,FALSE)),"")</f>
        <v/>
      </c>
      <c r="AE208" s="281" t="str">
        <f>IF(N208="","",VLOOKUP(N208,'G-7 WaterC'' Data'!$B$4:$G$8,5,FALSE))</f>
        <v/>
      </c>
      <c r="AF208" s="289" t="str">
        <f t="shared" si="35"/>
        <v/>
      </c>
      <c r="AG208" s="320" t="str">
        <f t="shared" si="36"/>
        <v/>
      </c>
      <c r="AH208" s="282" t="str">
        <f t="shared" si="30"/>
        <v/>
      </c>
      <c r="AI208" s="109"/>
      <c r="AJ208" s="282" t="str">
        <f>IF(AI208="","",IF(AND(AI208="N/A - Culvert",N208&lt;&gt;"Culvert"),"Not possible ▲",IF(VLOOKUP(AI208,'G-7 WaterC'' Data'!$AA$4:$AB$7,2,FALSE)=0,"Spatial Data Missing ⚠",VLOOKUP(AI208,'G-7 WaterC'' Data'!$AA$4:$AB$7,2,FALSE))))</f>
        <v/>
      </c>
      <c r="AK208" s="110"/>
      <c r="AL208" s="282" t="str">
        <f>IF(AK208="","",IF(AND(AK208="N/A - Culvert",N208&lt;&gt;"Culvert"),"Not possible ▲",IF(VLOOKUP(AK208,'G-7 WaterC'' Data'!$AD$4:$AE$14,2,FALSE)=0,"Spatial Data Missing ⚠",VLOOKUP(AK208,'G-7 WaterC'' Data'!$AD$4:$AE$14,2,FALSE))))</f>
        <v/>
      </c>
      <c r="AM208" s="323" t="str">
        <f t="shared" si="37"/>
        <v/>
      </c>
      <c r="AN208" s="105"/>
      <c r="AO208" s="119"/>
      <c r="AP208" s="108"/>
      <c r="AS208" s="30" t="str">
        <f>IF(B208="","",IF(ISNA(VLOOKUP($B208,'C-1 On-Site WaterC'' Baseline'!$C$8:$AD$257,17,FALSE)),"",(VLOOKUP($B208,'C-1 On-Site WaterC'' Baseline'!$C$8:$AD$257,17,FALSE))))</f>
        <v/>
      </c>
      <c r="AT208" s="30" t="str">
        <f>IF(B208="","",VLOOKUP($B208,'C-1 On-Site WaterC'' Baseline'!$C$9:$Z$257,12,FALSE))</f>
        <v/>
      </c>
      <c r="AU208" s="30" t="str">
        <f>IF(B208="","",VLOOKUP($B208,'C-1 On-Site WaterC'' Baseline'!$C$9:$Z$257,14,FALSE))</f>
        <v/>
      </c>
      <c r="AV208" s="30" t="str">
        <f>IFERROR(INDEX('G-7 WaterC'' Data'!$AZ$3:$AZ$7,MATCH(N208,'G-7 WaterC'' Data'!$AY$3:$AY$7,0)),"")</f>
        <v/>
      </c>
      <c r="AX208" s="30" t="str">
        <f>IF(B208="","",VLOOKUP($B208,'C-1 On-Site WaterC'' Baseline'!$C$9:$Y$257,22,FALSE))</f>
        <v/>
      </c>
      <c r="AY208" s="30" t="str">
        <f t="shared" si="38"/>
        <v/>
      </c>
      <c r="AZ208" s="30" t="str">
        <f>IF(B208="","",VLOOKUP($B208,'C-1 On-Site WaterC'' Baseline'!$C$9:$Y$257,21,FALSE))</f>
        <v/>
      </c>
      <c r="BA208" s="30" t="str">
        <f>IF(B208="","",VLOOKUP($B208,'C-1 On-Site WaterC'' Baseline'!$C$9:$Y$257,19,FALSE))</f>
        <v/>
      </c>
      <c r="BD208" s="30" t="str">
        <f t="shared" si="39"/>
        <v>No</v>
      </c>
    </row>
    <row r="209" spans="2:56" ht="13.8" x14ac:dyDescent="0.25">
      <c r="B209" s="311" t="str">
        <f>'C-1 On-Site WaterC'' Baseline'!AP207</f>
        <v/>
      </c>
      <c r="C209" s="301" t="str">
        <f>IF(B209="","",VLOOKUP($B209,'C-1 On-Site WaterC'' Baseline'!$C$9:$R$257,2,FALSE))</f>
        <v/>
      </c>
      <c r="D209" s="301" t="str">
        <f>IF(C209="","",VLOOKUP($B209,'C-1 On-Site WaterC'' Baseline'!$C$9:$R$257,3,FALSE))</f>
        <v/>
      </c>
      <c r="E209" s="301" t="str">
        <f>IF(D209="","",VLOOKUP($B209,'C-1 On-Site WaterC'' Baseline'!$C$9:$R$257,4,FALSE))</f>
        <v/>
      </c>
      <c r="F209" s="301" t="str">
        <f>IF(E209="","",VLOOKUP($B209,'C-1 On-Site WaterC'' Baseline'!$C$9:$R$257,5,FALSE))</f>
        <v/>
      </c>
      <c r="G209" s="301" t="str">
        <f>IF(F209="","",VLOOKUP($B209,'C-1 On-Site WaterC'' Baseline'!$C$9:$R$257,6,FALSE))</f>
        <v/>
      </c>
      <c r="H209" s="301" t="str">
        <f>IF(G209="","",VLOOKUP($B209,'C-1 On-Site WaterC'' Baseline'!$C$9:$R$257,7,FALSE))</f>
        <v/>
      </c>
      <c r="I209" s="301" t="str">
        <f>IF(H209="","",VLOOKUP($B209,'C-1 On-Site WaterC'' Baseline'!$C$9:$R$257,8,FALSE))</f>
        <v/>
      </c>
      <c r="J209" s="301" t="str">
        <f>IF(I209="","",VLOOKUP($B209,'C-1 On-Site WaterC'' Baseline'!$C$9:$R$257,9,FALSE))</f>
        <v/>
      </c>
      <c r="K209" s="301" t="str">
        <f>IF(J209="","",VLOOKUP($B209,'C-1 On-Site WaterC'' Baseline'!$C$9:$R$257,10,FALSE))</f>
        <v/>
      </c>
      <c r="L209" s="301" t="str">
        <f>IF(B209="","",VLOOKUP($B209,'C-1 On-Site WaterC'' Baseline'!$C$9:$R$257,15,FALSE))</f>
        <v/>
      </c>
      <c r="M209" s="305" t="str">
        <f>IF(L209="","",VLOOKUP($B209,'C-1 On-Site WaterC'' Baseline'!$C$9:$R$257,16,FALSE))</f>
        <v/>
      </c>
      <c r="N209" s="251"/>
      <c r="O209" s="281" t="str">
        <f t="shared" si="31"/>
        <v/>
      </c>
      <c r="P209" s="282" t="str">
        <f t="shared" si="32"/>
        <v/>
      </c>
      <c r="Q209" s="342" t="str">
        <f>IF(N209="","",VLOOKUP(B209,'C-1 On-Site WaterC'' Baseline'!$C$10:$AC$257,20,FALSE))</f>
        <v/>
      </c>
      <c r="R209" s="281" t="str">
        <f>IF(N209="","",VLOOKUP(N209,'G-7 WaterC'' Data'!$B$2:$G$8,2,FALSE))</f>
        <v/>
      </c>
      <c r="S209" s="282" t="str">
        <f>IFERROR(VLOOKUP(R209,'G-7 WaterC'' Data'!$C$4:$D$8,2,FALSE),"")</f>
        <v/>
      </c>
      <c r="T209" s="105"/>
      <c r="U209" s="282" t="str">
        <f>IFERROR(INDEX('G-7 WaterC'' Data'!$H$4:$L$8,MATCH(N209,'G-7 WaterC'' Data'!$B$4:$B$8,0),MATCH(T209,'G-7 WaterC'' Data'!$H$3:$L$3,0)),"")</f>
        <v/>
      </c>
      <c r="V209" s="105"/>
      <c r="W209" s="289" t="str">
        <f>IF(V209="","",IF(VLOOKUP(V209,'G-7 WaterC'' Data'!$AK$4:$AM$6,2,FALSE)=0,"Spatial Data Missing ⚠",VLOOKUP(V209,'G-7 WaterC'' Data'!$AK$4:$AM$6,2,FALSE)))</f>
        <v/>
      </c>
      <c r="X209" s="282" t="str">
        <f>IF(V209="","",IF(VLOOKUP(V209,'G-7 WaterC'' Data'!$AK$4:$AM$6,3,FALSE)=0,"Spatial Data Missing ⚠",VLOOKUP(V209,'G-7 WaterC'' Data'!$AK$4:$AM$6,3,FALSE)))</f>
        <v/>
      </c>
      <c r="Y209" s="281" t="str">
        <f>IFERROR(IF(OR(LEFT(P209,5)="Error",LEFT(O209,5)="Error"),"Check Data ⚠",IF(F209&lt;S209,'G-7 WaterC'' Data'!$R$3,INDEX('G-7 WaterC'' Data'!$U$5:$Y$9,MATCH(G209,'G-7 WaterC'' Data'!$T$5:$T$9,0),MATCH(T209,'G-7 WaterC'' Data'!$U$4:$Y$4,0)))),"")</f>
        <v/>
      </c>
      <c r="Z209" s="137"/>
      <c r="AA209" s="137"/>
      <c r="AB209" s="289" t="str">
        <f t="shared" si="33"/>
        <v/>
      </c>
      <c r="AC209" s="302" t="str">
        <f t="shared" si="34"/>
        <v/>
      </c>
      <c r="AD209" s="340" t="str">
        <f>IFERROR(IF(AC209="Check Data ⚠","Check Data ⚠",VLOOKUP(AC209,'G-4 Temporal multipliers'!$A$4:$C$37,3,FALSE)),"")</f>
        <v/>
      </c>
      <c r="AE209" s="281" t="str">
        <f>IF(N209="","",VLOOKUP(N209,'G-7 WaterC'' Data'!$B$4:$G$8,5,FALSE))</f>
        <v/>
      </c>
      <c r="AF209" s="289" t="str">
        <f t="shared" si="35"/>
        <v/>
      </c>
      <c r="AG209" s="320" t="str">
        <f t="shared" si="36"/>
        <v/>
      </c>
      <c r="AH209" s="282" t="str">
        <f t="shared" si="30"/>
        <v/>
      </c>
      <c r="AI209" s="109"/>
      <c r="AJ209" s="282" t="str">
        <f>IF(AI209="","",IF(AND(AI209="N/A - Culvert",N209&lt;&gt;"Culvert"),"Not possible ▲",IF(VLOOKUP(AI209,'G-7 WaterC'' Data'!$AA$4:$AB$7,2,FALSE)=0,"Spatial Data Missing ⚠",VLOOKUP(AI209,'G-7 WaterC'' Data'!$AA$4:$AB$7,2,FALSE))))</f>
        <v/>
      </c>
      <c r="AK209" s="110"/>
      <c r="AL209" s="282" t="str">
        <f>IF(AK209="","",IF(AND(AK209="N/A - Culvert",N209&lt;&gt;"Culvert"),"Not possible ▲",IF(VLOOKUP(AK209,'G-7 WaterC'' Data'!$AD$4:$AE$14,2,FALSE)=0,"Spatial Data Missing ⚠",VLOOKUP(AK209,'G-7 WaterC'' Data'!$AD$4:$AE$14,2,FALSE))))</f>
        <v/>
      </c>
      <c r="AM209" s="323" t="str">
        <f t="shared" si="37"/>
        <v/>
      </c>
      <c r="AN209" s="105"/>
      <c r="AO209" s="119"/>
      <c r="AP209" s="108"/>
      <c r="AS209" s="30" t="str">
        <f>IF(B209="","",IF(ISNA(VLOOKUP($B209,'C-1 On-Site WaterC'' Baseline'!$C$8:$AD$257,17,FALSE)),"",(VLOOKUP($B209,'C-1 On-Site WaterC'' Baseline'!$C$8:$AD$257,17,FALSE))))</f>
        <v/>
      </c>
      <c r="AT209" s="30" t="str">
        <f>IF(B209="","",VLOOKUP($B209,'C-1 On-Site WaterC'' Baseline'!$C$9:$Z$257,12,FALSE))</f>
        <v/>
      </c>
      <c r="AU209" s="30" t="str">
        <f>IF(B209="","",VLOOKUP($B209,'C-1 On-Site WaterC'' Baseline'!$C$9:$Z$257,14,FALSE))</f>
        <v/>
      </c>
      <c r="AV209" s="30" t="str">
        <f>IFERROR(INDEX('G-7 WaterC'' Data'!$AZ$3:$AZ$7,MATCH(N209,'G-7 WaterC'' Data'!$AY$3:$AY$7,0)),"")</f>
        <v/>
      </c>
      <c r="AX209" s="30" t="str">
        <f>IF(B209="","",VLOOKUP($B209,'C-1 On-Site WaterC'' Baseline'!$C$9:$Y$257,22,FALSE))</f>
        <v/>
      </c>
      <c r="AY209" s="30" t="str">
        <f t="shared" si="38"/>
        <v/>
      </c>
      <c r="AZ209" s="30" t="str">
        <f>IF(B209="","",VLOOKUP($B209,'C-1 On-Site WaterC'' Baseline'!$C$9:$Y$257,21,FALSE))</f>
        <v/>
      </c>
      <c r="BA209" s="30" t="str">
        <f>IF(B209="","",VLOOKUP($B209,'C-1 On-Site WaterC'' Baseline'!$C$9:$Y$257,19,FALSE))</f>
        <v/>
      </c>
      <c r="BD209" s="30" t="str">
        <f t="shared" si="39"/>
        <v>No</v>
      </c>
    </row>
    <row r="210" spans="2:56" ht="13.8" x14ac:dyDescent="0.25">
      <c r="B210" s="311" t="str">
        <f>'C-1 On-Site WaterC'' Baseline'!AP208</f>
        <v/>
      </c>
      <c r="C210" s="301" t="str">
        <f>IF(B210="","",VLOOKUP($B210,'C-1 On-Site WaterC'' Baseline'!$C$9:$R$257,2,FALSE))</f>
        <v/>
      </c>
      <c r="D210" s="301" t="str">
        <f>IF(C210="","",VLOOKUP($B210,'C-1 On-Site WaterC'' Baseline'!$C$9:$R$257,3,FALSE))</f>
        <v/>
      </c>
      <c r="E210" s="301" t="str">
        <f>IF(D210="","",VLOOKUP($B210,'C-1 On-Site WaterC'' Baseline'!$C$9:$R$257,4,FALSE))</f>
        <v/>
      </c>
      <c r="F210" s="301" t="str">
        <f>IF(E210="","",VLOOKUP($B210,'C-1 On-Site WaterC'' Baseline'!$C$9:$R$257,5,FALSE))</f>
        <v/>
      </c>
      <c r="G210" s="301" t="str">
        <f>IF(F210="","",VLOOKUP($B210,'C-1 On-Site WaterC'' Baseline'!$C$9:$R$257,6,FALSE))</f>
        <v/>
      </c>
      <c r="H210" s="301" t="str">
        <f>IF(G210="","",VLOOKUP($B210,'C-1 On-Site WaterC'' Baseline'!$C$9:$R$257,7,FALSE))</f>
        <v/>
      </c>
      <c r="I210" s="301" t="str">
        <f>IF(H210="","",VLOOKUP($B210,'C-1 On-Site WaterC'' Baseline'!$C$9:$R$257,8,FALSE))</f>
        <v/>
      </c>
      <c r="J210" s="301" t="str">
        <f>IF(I210="","",VLOOKUP($B210,'C-1 On-Site WaterC'' Baseline'!$C$9:$R$257,9,FALSE))</f>
        <v/>
      </c>
      <c r="K210" s="301" t="str">
        <f>IF(J210="","",VLOOKUP($B210,'C-1 On-Site WaterC'' Baseline'!$C$9:$R$257,10,FALSE))</f>
        <v/>
      </c>
      <c r="L210" s="301" t="str">
        <f>IF(B210="","",VLOOKUP($B210,'C-1 On-Site WaterC'' Baseline'!$C$9:$R$257,15,FALSE))</f>
        <v/>
      </c>
      <c r="M210" s="305" t="str">
        <f>IF(L210="","",VLOOKUP($B210,'C-1 On-Site WaterC'' Baseline'!$C$9:$R$257,16,FALSE))</f>
        <v/>
      </c>
      <c r="N210" s="251"/>
      <c r="O210" s="281" t="str">
        <f t="shared" si="31"/>
        <v/>
      </c>
      <c r="P210" s="282" t="str">
        <f t="shared" si="32"/>
        <v/>
      </c>
      <c r="Q210" s="342" t="str">
        <f>IF(N210="","",VLOOKUP(B210,'C-1 On-Site WaterC'' Baseline'!$C$10:$AC$257,20,FALSE))</f>
        <v/>
      </c>
      <c r="R210" s="281" t="str">
        <f>IF(N210="","",VLOOKUP(N210,'G-7 WaterC'' Data'!$B$2:$G$8,2,FALSE))</f>
        <v/>
      </c>
      <c r="S210" s="282" t="str">
        <f>IFERROR(VLOOKUP(R210,'G-7 WaterC'' Data'!$C$4:$D$8,2,FALSE),"")</f>
        <v/>
      </c>
      <c r="T210" s="105"/>
      <c r="U210" s="282" t="str">
        <f>IFERROR(INDEX('G-7 WaterC'' Data'!$H$4:$L$8,MATCH(N210,'G-7 WaterC'' Data'!$B$4:$B$8,0),MATCH(T210,'G-7 WaterC'' Data'!$H$3:$L$3,0)),"")</f>
        <v/>
      </c>
      <c r="V210" s="105"/>
      <c r="W210" s="289" t="str">
        <f>IF(V210="","",IF(VLOOKUP(V210,'G-7 WaterC'' Data'!$AK$4:$AM$6,2,FALSE)=0,"Spatial Data Missing ⚠",VLOOKUP(V210,'G-7 WaterC'' Data'!$AK$4:$AM$6,2,FALSE)))</f>
        <v/>
      </c>
      <c r="X210" s="282" t="str">
        <f>IF(V210="","",IF(VLOOKUP(V210,'G-7 WaterC'' Data'!$AK$4:$AM$6,3,FALSE)=0,"Spatial Data Missing ⚠",VLOOKUP(V210,'G-7 WaterC'' Data'!$AK$4:$AM$6,3,FALSE)))</f>
        <v/>
      </c>
      <c r="Y210" s="281" t="str">
        <f>IFERROR(IF(OR(LEFT(P210,5)="Error",LEFT(O210,5)="Error"),"Check Data ⚠",IF(F210&lt;S210,'G-7 WaterC'' Data'!$R$3,INDEX('G-7 WaterC'' Data'!$U$5:$Y$9,MATCH(G210,'G-7 WaterC'' Data'!$T$5:$T$9,0),MATCH(T210,'G-7 WaterC'' Data'!$U$4:$Y$4,0)))),"")</f>
        <v/>
      </c>
      <c r="Z210" s="137"/>
      <c r="AA210" s="137"/>
      <c r="AB210" s="289" t="str">
        <f t="shared" si="33"/>
        <v/>
      </c>
      <c r="AC210" s="302" t="str">
        <f t="shared" si="34"/>
        <v/>
      </c>
      <c r="AD210" s="340" t="str">
        <f>IFERROR(IF(AC210="Check Data ⚠","Check Data ⚠",VLOOKUP(AC210,'G-4 Temporal multipliers'!$A$4:$C$37,3,FALSE)),"")</f>
        <v/>
      </c>
      <c r="AE210" s="281" t="str">
        <f>IF(N210="","",VLOOKUP(N210,'G-7 WaterC'' Data'!$B$4:$G$8,5,FALSE))</f>
        <v/>
      </c>
      <c r="AF210" s="289" t="str">
        <f t="shared" si="35"/>
        <v/>
      </c>
      <c r="AG210" s="320" t="str">
        <f t="shared" si="36"/>
        <v/>
      </c>
      <c r="AH210" s="282" t="str">
        <f t="shared" si="30"/>
        <v/>
      </c>
      <c r="AI210" s="109"/>
      <c r="AJ210" s="282" t="str">
        <f>IF(AI210="","",IF(AND(AI210="N/A - Culvert",N210&lt;&gt;"Culvert"),"Not possible ▲",IF(VLOOKUP(AI210,'G-7 WaterC'' Data'!$AA$4:$AB$7,2,FALSE)=0,"Spatial Data Missing ⚠",VLOOKUP(AI210,'G-7 WaterC'' Data'!$AA$4:$AB$7,2,FALSE))))</f>
        <v/>
      </c>
      <c r="AK210" s="110"/>
      <c r="AL210" s="282" t="str">
        <f>IF(AK210="","",IF(AND(AK210="N/A - Culvert",N210&lt;&gt;"Culvert"),"Not possible ▲",IF(VLOOKUP(AK210,'G-7 WaterC'' Data'!$AD$4:$AE$14,2,FALSE)=0,"Spatial Data Missing ⚠",VLOOKUP(AK210,'G-7 WaterC'' Data'!$AD$4:$AE$14,2,FALSE))))</f>
        <v/>
      </c>
      <c r="AM210" s="323" t="str">
        <f t="shared" si="37"/>
        <v/>
      </c>
      <c r="AN210" s="105"/>
      <c r="AO210" s="119"/>
      <c r="AP210" s="108"/>
      <c r="AS210" s="30" t="str">
        <f>IF(B210="","",IF(ISNA(VLOOKUP($B210,'C-1 On-Site WaterC'' Baseline'!$C$8:$AD$257,17,FALSE)),"",(VLOOKUP($B210,'C-1 On-Site WaterC'' Baseline'!$C$8:$AD$257,17,FALSE))))</f>
        <v/>
      </c>
      <c r="AT210" s="30" t="str">
        <f>IF(B210="","",VLOOKUP($B210,'C-1 On-Site WaterC'' Baseline'!$C$9:$Z$257,12,FALSE))</f>
        <v/>
      </c>
      <c r="AU210" s="30" t="str">
        <f>IF(B210="","",VLOOKUP($B210,'C-1 On-Site WaterC'' Baseline'!$C$9:$Z$257,14,FALSE))</f>
        <v/>
      </c>
      <c r="AV210" s="30" t="str">
        <f>IFERROR(INDEX('G-7 WaterC'' Data'!$AZ$3:$AZ$7,MATCH(N210,'G-7 WaterC'' Data'!$AY$3:$AY$7,0)),"")</f>
        <v/>
      </c>
      <c r="AX210" s="30" t="str">
        <f>IF(B210="","",VLOOKUP($B210,'C-1 On-Site WaterC'' Baseline'!$C$9:$Y$257,22,FALSE))</f>
        <v/>
      </c>
      <c r="AY210" s="30" t="str">
        <f t="shared" si="38"/>
        <v/>
      </c>
      <c r="AZ210" s="30" t="str">
        <f>IF(B210="","",VLOOKUP($B210,'C-1 On-Site WaterC'' Baseline'!$C$9:$Y$257,21,FALSE))</f>
        <v/>
      </c>
      <c r="BA210" s="30" t="str">
        <f>IF(B210="","",VLOOKUP($B210,'C-1 On-Site WaterC'' Baseline'!$C$9:$Y$257,19,FALSE))</f>
        <v/>
      </c>
      <c r="BD210" s="30" t="str">
        <f t="shared" si="39"/>
        <v>No</v>
      </c>
    </row>
    <row r="211" spans="2:56" ht="13.8" x14ac:dyDescent="0.25">
      <c r="B211" s="311" t="str">
        <f>'C-1 On-Site WaterC'' Baseline'!AP209</f>
        <v/>
      </c>
      <c r="C211" s="301" t="str">
        <f>IF(B211="","",VLOOKUP($B211,'C-1 On-Site WaterC'' Baseline'!$C$9:$R$257,2,FALSE))</f>
        <v/>
      </c>
      <c r="D211" s="301" t="str">
        <f>IF(C211="","",VLOOKUP($B211,'C-1 On-Site WaterC'' Baseline'!$C$9:$R$257,3,FALSE))</f>
        <v/>
      </c>
      <c r="E211" s="301" t="str">
        <f>IF(D211="","",VLOOKUP($B211,'C-1 On-Site WaterC'' Baseline'!$C$9:$R$257,4,FALSE))</f>
        <v/>
      </c>
      <c r="F211" s="301" t="str">
        <f>IF(E211="","",VLOOKUP($B211,'C-1 On-Site WaterC'' Baseline'!$C$9:$R$257,5,FALSE))</f>
        <v/>
      </c>
      <c r="G211" s="301" t="str">
        <f>IF(F211="","",VLOOKUP($B211,'C-1 On-Site WaterC'' Baseline'!$C$9:$R$257,6,FALSE))</f>
        <v/>
      </c>
      <c r="H211" s="301" t="str">
        <f>IF(G211="","",VLOOKUP($B211,'C-1 On-Site WaterC'' Baseline'!$C$9:$R$257,7,FALSE))</f>
        <v/>
      </c>
      <c r="I211" s="301" t="str">
        <f>IF(H211="","",VLOOKUP($B211,'C-1 On-Site WaterC'' Baseline'!$C$9:$R$257,8,FALSE))</f>
        <v/>
      </c>
      <c r="J211" s="301" t="str">
        <f>IF(I211="","",VLOOKUP($B211,'C-1 On-Site WaterC'' Baseline'!$C$9:$R$257,9,FALSE))</f>
        <v/>
      </c>
      <c r="K211" s="301" t="str">
        <f>IF(J211="","",VLOOKUP($B211,'C-1 On-Site WaterC'' Baseline'!$C$9:$R$257,10,FALSE))</f>
        <v/>
      </c>
      <c r="L211" s="301" t="str">
        <f>IF(B211="","",VLOOKUP($B211,'C-1 On-Site WaterC'' Baseline'!$C$9:$R$257,15,FALSE))</f>
        <v/>
      </c>
      <c r="M211" s="305" t="str">
        <f>IF(L211="","",VLOOKUP($B211,'C-1 On-Site WaterC'' Baseline'!$C$9:$R$257,16,FALSE))</f>
        <v/>
      </c>
      <c r="N211" s="251"/>
      <c r="O211" s="281" t="str">
        <f t="shared" si="31"/>
        <v/>
      </c>
      <c r="P211" s="282" t="str">
        <f t="shared" si="32"/>
        <v/>
      </c>
      <c r="Q211" s="342" t="str">
        <f>IF(N211="","",VLOOKUP(B211,'C-1 On-Site WaterC'' Baseline'!$C$10:$AC$257,20,FALSE))</f>
        <v/>
      </c>
      <c r="R211" s="281" t="str">
        <f>IF(N211="","",VLOOKUP(N211,'G-7 WaterC'' Data'!$B$2:$G$8,2,FALSE))</f>
        <v/>
      </c>
      <c r="S211" s="282" t="str">
        <f>IFERROR(VLOOKUP(R211,'G-7 WaterC'' Data'!$C$4:$D$8,2,FALSE),"")</f>
        <v/>
      </c>
      <c r="T211" s="105"/>
      <c r="U211" s="282" t="str">
        <f>IFERROR(INDEX('G-7 WaterC'' Data'!$H$4:$L$8,MATCH(N211,'G-7 WaterC'' Data'!$B$4:$B$8,0),MATCH(T211,'G-7 WaterC'' Data'!$H$3:$L$3,0)),"")</f>
        <v/>
      </c>
      <c r="V211" s="105"/>
      <c r="W211" s="289" t="str">
        <f>IF(V211="","",IF(VLOOKUP(V211,'G-7 WaterC'' Data'!$AK$4:$AM$6,2,FALSE)=0,"Spatial Data Missing ⚠",VLOOKUP(V211,'G-7 WaterC'' Data'!$AK$4:$AM$6,2,FALSE)))</f>
        <v/>
      </c>
      <c r="X211" s="282" t="str">
        <f>IF(V211="","",IF(VLOOKUP(V211,'G-7 WaterC'' Data'!$AK$4:$AM$6,3,FALSE)=0,"Spatial Data Missing ⚠",VLOOKUP(V211,'G-7 WaterC'' Data'!$AK$4:$AM$6,3,FALSE)))</f>
        <v/>
      </c>
      <c r="Y211" s="281" t="str">
        <f>IFERROR(IF(OR(LEFT(P211,5)="Error",LEFT(O211,5)="Error"),"Check Data ⚠",IF(F211&lt;S211,'G-7 WaterC'' Data'!$R$3,INDEX('G-7 WaterC'' Data'!$U$5:$Y$9,MATCH(G211,'G-7 WaterC'' Data'!$T$5:$T$9,0),MATCH(T211,'G-7 WaterC'' Data'!$U$4:$Y$4,0)))),"")</f>
        <v/>
      </c>
      <c r="Z211" s="137"/>
      <c r="AA211" s="137"/>
      <c r="AB211" s="289" t="str">
        <f t="shared" si="33"/>
        <v/>
      </c>
      <c r="AC211" s="302" t="str">
        <f t="shared" si="34"/>
        <v/>
      </c>
      <c r="AD211" s="340" t="str">
        <f>IFERROR(IF(AC211="Check Data ⚠","Check Data ⚠",VLOOKUP(AC211,'G-4 Temporal multipliers'!$A$4:$C$37,3,FALSE)),"")</f>
        <v/>
      </c>
      <c r="AE211" s="281" t="str">
        <f>IF(N211="","",VLOOKUP(N211,'G-7 WaterC'' Data'!$B$4:$G$8,5,FALSE))</f>
        <v/>
      </c>
      <c r="AF211" s="289" t="str">
        <f t="shared" si="35"/>
        <v/>
      </c>
      <c r="AG211" s="320" t="str">
        <f t="shared" si="36"/>
        <v/>
      </c>
      <c r="AH211" s="282" t="str">
        <f t="shared" si="30"/>
        <v/>
      </c>
      <c r="AI211" s="109"/>
      <c r="AJ211" s="282" t="str">
        <f>IF(AI211="","",IF(AND(AI211="N/A - Culvert",N211&lt;&gt;"Culvert"),"Not possible ▲",IF(VLOOKUP(AI211,'G-7 WaterC'' Data'!$AA$4:$AB$7,2,FALSE)=0,"Spatial Data Missing ⚠",VLOOKUP(AI211,'G-7 WaterC'' Data'!$AA$4:$AB$7,2,FALSE))))</f>
        <v/>
      </c>
      <c r="AK211" s="110"/>
      <c r="AL211" s="282" t="str">
        <f>IF(AK211="","",IF(AND(AK211="N/A - Culvert",N211&lt;&gt;"Culvert"),"Not possible ▲",IF(VLOOKUP(AK211,'G-7 WaterC'' Data'!$AD$4:$AE$14,2,FALSE)=0,"Spatial Data Missing ⚠",VLOOKUP(AK211,'G-7 WaterC'' Data'!$AD$4:$AE$14,2,FALSE))))</f>
        <v/>
      </c>
      <c r="AM211" s="323" t="str">
        <f t="shared" si="37"/>
        <v/>
      </c>
      <c r="AN211" s="105"/>
      <c r="AO211" s="119"/>
      <c r="AP211" s="108"/>
      <c r="AS211" s="30" t="str">
        <f>IF(B211="","",IF(ISNA(VLOOKUP($B211,'C-1 On-Site WaterC'' Baseline'!$C$8:$AD$257,17,FALSE)),"",(VLOOKUP($B211,'C-1 On-Site WaterC'' Baseline'!$C$8:$AD$257,17,FALSE))))</f>
        <v/>
      </c>
      <c r="AT211" s="30" t="str">
        <f>IF(B211="","",VLOOKUP($B211,'C-1 On-Site WaterC'' Baseline'!$C$9:$Z$257,12,FALSE))</f>
        <v/>
      </c>
      <c r="AU211" s="30" t="str">
        <f>IF(B211="","",VLOOKUP($B211,'C-1 On-Site WaterC'' Baseline'!$C$9:$Z$257,14,FALSE))</f>
        <v/>
      </c>
      <c r="AV211" s="30" t="str">
        <f>IFERROR(INDEX('G-7 WaterC'' Data'!$AZ$3:$AZ$7,MATCH(N211,'G-7 WaterC'' Data'!$AY$3:$AY$7,0)),"")</f>
        <v/>
      </c>
      <c r="AX211" s="30" t="str">
        <f>IF(B211="","",VLOOKUP($B211,'C-1 On-Site WaterC'' Baseline'!$C$9:$Y$257,22,FALSE))</f>
        <v/>
      </c>
      <c r="AY211" s="30" t="str">
        <f t="shared" si="38"/>
        <v/>
      </c>
      <c r="AZ211" s="30" t="str">
        <f>IF(B211="","",VLOOKUP($B211,'C-1 On-Site WaterC'' Baseline'!$C$9:$Y$257,21,FALSE))</f>
        <v/>
      </c>
      <c r="BA211" s="30" t="str">
        <f>IF(B211="","",VLOOKUP($B211,'C-1 On-Site WaterC'' Baseline'!$C$9:$Y$257,19,FALSE))</f>
        <v/>
      </c>
      <c r="BD211" s="30" t="str">
        <f t="shared" si="39"/>
        <v>No</v>
      </c>
    </row>
    <row r="212" spans="2:56" ht="13.8" x14ac:dyDescent="0.25">
      <c r="B212" s="311" t="str">
        <f>'C-1 On-Site WaterC'' Baseline'!AP210</f>
        <v/>
      </c>
      <c r="C212" s="301" t="str">
        <f>IF(B212="","",VLOOKUP($B212,'C-1 On-Site WaterC'' Baseline'!$C$9:$R$257,2,FALSE))</f>
        <v/>
      </c>
      <c r="D212" s="301" t="str">
        <f>IF(C212="","",VLOOKUP($B212,'C-1 On-Site WaterC'' Baseline'!$C$9:$R$257,3,FALSE))</f>
        <v/>
      </c>
      <c r="E212" s="301" t="str">
        <f>IF(D212="","",VLOOKUP($B212,'C-1 On-Site WaterC'' Baseline'!$C$9:$R$257,4,FALSE))</f>
        <v/>
      </c>
      <c r="F212" s="301" t="str">
        <f>IF(E212="","",VLOOKUP($B212,'C-1 On-Site WaterC'' Baseline'!$C$9:$R$257,5,FALSE))</f>
        <v/>
      </c>
      <c r="G212" s="301" t="str">
        <f>IF(F212="","",VLOOKUP($B212,'C-1 On-Site WaterC'' Baseline'!$C$9:$R$257,6,FALSE))</f>
        <v/>
      </c>
      <c r="H212" s="301" t="str">
        <f>IF(G212="","",VLOOKUP($B212,'C-1 On-Site WaterC'' Baseline'!$C$9:$R$257,7,FALSE))</f>
        <v/>
      </c>
      <c r="I212" s="301" t="str">
        <f>IF(H212="","",VLOOKUP($B212,'C-1 On-Site WaterC'' Baseline'!$C$9:$R$257,8,FALSE))</f>
        <v/>
      </c>
      <c r="J212" s="301" t="str">
        <f>IF(I212="","",VLOOKUP($B212,'C-1 On-Site WaterC'' Baseline'!$C$9:$R$257,9,FALSE))</f>
        <v/>
      </c>
      <c r="K212" s="301" t="str">
        <f>IF(J212="","",VLOOKUP($B212,'C-1 On-Site WaterC'' Baseline'!$C$9:$R$257,10,FALSE))</f>
        <v/>
      </c>
      <c r="L212" s="301" t="str">
        <f>IF(B212="","",VLOOKUP($B212,'C-1 On-Site WaterC'' Baseline'!$C$9:$R$257,15,FALSE))</f>
        <v/>
      </c>
      <c r="M212" s="305" t="str">
        <f>IF(L212="","",VLOOKUP($B212,'C-1 On-Site WaterC'' Baseline'!$C$9:$R$257,16,FALSE))</f>
        <v/>
      </c>
      <c r="N212" s="251"/>
      <c r="O212" s="281" t="str">
        <f t="shared" si="31"/>
        <v/>
      </c>
      <c r="P212" s="282" t="str">
        <f t="shared" si="32"/>
        <v/>
      </c>
      <c r="Q212" s="342" t="str">
        <f>IF(N212="","",VLOOKUP(B212,'C-1 On-Site WaterC'' Baseline'!$C$10:$AC$257,20,FALSE))</f>
        <v/>
      </c>
      <c r="R212" s="281" t="str">
        <f>IF(N212="","",VLOOKUP(N212,'G-7 WaterC'' Data'!$B$2:$G$8,2,FALSE))</f>
        <v/>
      </c>
      <c r="S212" s="282" t="str">
        <f>IFERROR(VLOOKUP(R212,'G-7 WaterC'' Data'!$C$4:$D$8,2,FALSE),"")</f>
        <v/>
      </c>
      <c r="T212" s="105"/>
      <c r="U212" s="282" t="str">
        <f>IFERROR(INDEX('G-7 WaterC'' Data'!$H$4:$L$8,MATCH(N212,'G-7 WaterC'' Data'!$B$4:$B$8,0),MATCH(T212,'G-7 WaterC'' Data'!$H$3:$L$3,0)),"")</f>
        <v/>
      </c>
      <c r="V212" s="105"/>
      <c r="W212" s="289" t="str">
        <f>IF(V212="","",IF(VLOOKUP(V212,'G-7 WaterC'' Data'!$AK$4:$AM$6,2,FALSE)=0,"Spatial Data Missing ⚠",VLOOKUP(V212,'G-7 WaterC'' Data'!$AK$4:$AM$6,2,FALSE)))</f>
        <v/>
      </c>
      <c r="X212" s="282" t="str">
        <f>IF(V212="","",IF(VLOOKUP(V212,'G-7 WaterC'' Data'!$AK$4:$AM$6,3,FALSE)=0,"Spatial Data Missing ⚠",VLOOKUP(V212,'G-7 WaterC'' Data'!$AK$4:$AM$6,3,FALSE)))</f>
        <v/>
      </c>
      <c r="Y212" s="281" t="str">
        <f>IFERROR(IF(OR(LEFT(P212,5)="Error",LEFT(O212,5)="Error"),"Check Data ⚠",IF(F212&lt;S212,'G-7 WaterC'' Data'!$R$3,INDEX('G-7 WaterC'' Data'!$U$5:$Y$9,MATCH(G212,'G-7 WaterC'' Data'!$T$5:$T$9,0),MATCH(T212,'G-7 WaterC'' Data'!$U$4:$Y$4,0)))),"")</f>
        <v/>
      </c>
      <c r="Z212" s="137"/>
      <c r="AA212" s="137"/>
      <c r="AB212" s="289" t="str">
        <f t="shared" si="33"/>
        <v/>
      </c>
      <c r="AC212" s="302" t="str">
        <f t="shared" si="34"/>
        <v/>
      </c>
      <c r="AD212" s="340" t="str">
        <f>IFERROR(IF(AC212="Check Data ⚠","Check Data ⚠",VLOOKUP(AC212,'G-4 Temporal multipliers'!$A$4:$C$37,3,FALSE)),"")</f>
        <v/>
      </c>
      <c r="AE212" s="281" t="str">
        <f>IF(N212="","",VLOOKUP(N212,'G-7 WaterC'' Data'!$B$4:$G$8,5,FALSE))</f>
        <v/>
      </c>
      <c r="AF212" s="289" t="str">
        <f t="shared" si="35"/>
        <v/>
      </c>
      <c r="AG212" s="320" t="str">
        <f t="shared" si="36"/>
        <v/>
      </c>
      <c r="AH212" s="282" t="str">
        <f t="shared" si="30"/>
        <v/>
      </c>
      <c r="AI212" s="109"/>
      <c r="AJ212" s="282" t="str">
        <f>IF(AI212="","",IF(AND(AI212="N/A - Culvert",N212&lt;&gt;"Culvert"),"Not possible ▲",IF(VLOOKUP(AI212,'G-7 WaterC'' Data'!$AA$4:$AB$7,2,FALSE)=0,"Spatial Data Missing ⚠",VLOOKUP(AI212,'G-7 WaterC'' Data'!$AA$4:$AB$7,2,FALSE))))</f>
        <v/>
      </c>
      <c r="AK212" s="110"/>
      <c r="AL212" s="282" t="str">
        <f>IF(AK212="","",IF(AND(AK212="N/A - Culvert",N212&lt;&gt;"Culvert"),"Not possible ▲",IF(VLOOKUP(AK212,'G-7 WaterC'' Data'!$AD$4:$AE$14,2,FALSE)=0,"Spatial Data Missing ⚠",VLOOKUP(AK212,'G-7 WaterC'' Data'!$AD$4:$AE$14,2,FALSE))))</f>
        <v/>
      </c>
      <c r="AM212" s="323" t="str">
        <f t="shared" si="37"/>
        <v/>
      </c>
      <c r="AN212" s="105"/>
      <c r="AO212" s="119"/>
      <c r="AP212" s="108"/>
      <c r="AS212" s="30" t="str">
        <f>IF(B212="","",IF(ISNA(VLOOKUP($B212,'C-1 On-Site WaterC'' Baseline'!$C$8:$AD$257,17,FALSE)),"",(VLOOKUP($B212,'C-1 On-Site WaterC'' Baseline'!$C$8:$AD$257,17,FALSE))))</f>
        <v/>
      </c>
      <c r="AT212" s="30" t="str">
        <f>IF(B212="","",VLOOKUP($B212,'C-1 On-Site WaterC'' Baseline'!$C$9:$Z$257,12,FALSE))</f>
        <v/>
      </c>
      <c r="AU212" s="30" t="str">
        <f>IF(B212="","",VLOOKUP($B212,'C-1 On-Site WaterC'' Baseline'!$C$9:$Z$257,14,FALSE))</f>
        <v/>
      </c>
      <c r="AV212" s="30" t="str">
        <f>IFERROR(INDEX('G-7 WaterC'' Data'!$AZ$3:$AZ$7,MATCH(N212,'G-7 WaterC'' Data'!$AY$3:$AY$7,0)),"")</f>
        <v/>
      </c>
      <c r="AX212" s="30" t="str">
        <f>IF(B212="","",VLOOKUP($B212,'C-1 On-Site WaterC'' Baseline'!$C$9:$Y$257,22,FALSE))</f>
        <v/>
      </c>
      <c r="AY212" s="30" t="str">
        <f t="shared" si="38"/>
        <v/>
      </c>
      <c r="AZ212" s="30" t="str">
        <f>IF(B212="","",VLOOKUP($B212,'C-1 On-Site WaterC'' Baseline'!$C$9:$Y$257,21,FALSE))</f>
        <v/>
      </c>
      <c r="BA212" s="30" t="str">
        <f>IF(B212="","",VLOOKUP($B212,'C-1 On-Site WaterC'' Baseline'!$C$9:$Y$257,19,FALSE))</f>
        <v/>
      </c>
      <c r="BD212" s="30" t="str">
        <f t="shared" si="39"/>
        <v>No</v>
      </c>
    </row>
    <row r="213" spans="2:56" ht="13.8" x14ac:dyDescent="0.25">
      <c r="B213" s="311" t="str">
        <f>'C-1 On-Site WaterC'' Baseline'!AP211</f>
        <v/>
      </c>
      <c r="C213" s="301" t="str">
        <f>IF(B213="","",VLOOKUP($B213,'C-1 On-Site WaterC'' Baseline'!$C$9:$R$257,2,FALSE))</f>
        <v/>
      </c>
      <c r="D213" s="301" t="str">
        <f>IF(C213="","",VLOOKUP($B213,'C-1 On-Site WaterC'' Baseline'!$C$9:$R$257,3,FALSE))</f>
        <v/>
      </c>
      <c r="E213" s="301" t="str">
        <f>IF(D213="","",VLOOKUP($B213,'C-1 On-Site WaterC'' Baseline'!$C$9:$R$257,4,FALSE))</f>
        <v/>
      </c>
      <c r="F213" s="301" t="str">
        <f>IF(E213="","",VLOOKUP($B213,'C-1 On-Site WaterC'' Baseline'!$C$9:$R$257,5,FALSE))</f>
        <v/>
      </c>
      <c r="G213" s="301" t="str">
        <f>IF(F213="","",VLOOKUP($B213,'C-1 On-Site WaterC'' Baseline'!$C$9:$R$257,6,FALSE))</f>
        <v/>
      </c>
      <c r="H213" s="301" t="str">
        <f>IF(G213="","",VLOOKUP($B213,'C-1 On-Site WaterC'' Baseline'!$C$9:$R$257,7,FALSE))</f>
        <v/>
      </c>
      <c r="I213" s="301" t="str">
        <f>IF(H213="","",VLOOKUP($B213,'C-1 On-Site WaterC'' Baseline'!$C$9:$R$257,8,FALSE))</f>
        <v/>
      </c>
      <c r="J213" s="301" t="str">
        <f>IF(I213="","",VLOOKUP($B213,'C-1 On-Site WaterC'' Baseline'!$C$9:$R$257,9,FALSE))</f>
        <v/>
      </c>
      <c r="K213" s="301" t="str">
        <f>IF(J213="","",VLOOKUP($B213,'C-1 On-Site WaterC'' Baseline'!$C$9:$R$257,10,FALSE))</f>
        <v/>
      </c>
      <c r="L213" s="301" t="str">
        <f>IF(B213="","",VLOOKUP($B213,'C-1 On-Site WaterC'' Baseline'!$C$9:$R$257,15,FALSE))</f>
        <v/>
      </c>
      <c r="M213" s="305" t="str">
        <f>IF(L213="","",VLOOKUP($B213,'C-1 On-Site WaterC'' Baseline'!$C$9:$R$257,16,FALSE))</f>
        <v/>
      </c>
      <c r="N213" s="251"/>
      <c r="O213" s="281" t="str">
        <f t="shared" si="31"/>
        <v/>
      </c>
      <c r="P213" s="282" t="str">
        <f t="shared" si="32"/>
        <v/>
      </c>
      <c r="Q213" s="342" t="str">
        <f>IF(N213="","",VLOOKUP(B213,'C-1 On-Site WaterC'' Baseline'!$C$10:$AC$257,20,FALSE))</f>
        <v/>
      </c>
      <c r="R213" s="281" t="str">
        <f>IF(N213="","",VLOOKUP(N213,'G-7 WaterC'' Data'!$B$2:$G$8,2,FALSE))</f>
        <v/>
      </c>
      <c r="S213" s="282" t="str">
        <f>IFERROR(VLOOKUP(R213,'G-7 WaterC'' Data'!$C$4:$D$8,2,FALSE),"")</f>
        <v/>
      </c>
      <c r="T213" s="105"/>
      <c r="U213" s="282" t="str">
        <f>IFERROR(INDEX('G-7 WaterC'' Data'!$H$4:$L$8,MATCH(N213,'G-7 WaterC'' Data'!$B$4:$B$8,0),MATCH(T213,'G-7 WaterC'' Data'!$H$3:$L$3,0)),"")</f>
        <v/>
      </c>
      <c r="V213" s="105"/>
      <c r="W213" s="289" t="str">
        <f>IF(V213="","",IF(VLOOKUP(V213,'G-7 WaterC'' Data'!$AK$4:$AM$6,2,FALSE)=0,"Spatial Data Missing ⚠",VLOOKUP(V213,'G-7 WaterC'' Data'!$AK$4:$AM$6,2,FALSE)))</f>
        <v/>
      </c>
      <c r="X213" s="282" t="str">
        <f>IF(V213="","",IF(VLOOKUP(V213,'G-7 WaterC'' Data'!$AK$4:$AM$6,3,FALSE)=0,"Spatial Data Missing ⚠",VLOOKUP(V213,'G-7 WaterC'' Data'!$AK$4:$AM$6,3,FALSE)))</f>
        <v/>
      </c>
      <c r="Y213" s="281" t="str">
        <f>IFERROR(IF(OR(LEFT(P213,5)="Error",LEFT(O213,5)="Error"),"Check Data ⚠",IF(F213&lt;S213,'G-7 WaterC'' Data'!$R$3,INDEX('G-7 WaterC'' Data'!$U$5:$Y$9,MATCH(G213,'G-7 WaterC'' Data'!$T$5:$T$9,0),MATCH(T213,'G-7 WaterC'' Data'!$U$4:$Y$4,0)))),"")</f>
        <v/>
      </c>
      <c r="Z213" s="137"/>
      <c r="AA213" s="137"/>
      <c r="AB213" s="289" t="str">
        <f t="shared" si="33"/>
        <v/>
      </c>
      <c r="AC213" s="302" t="str">
        <f t="shared" si="34"/>
        <v/>
      </c>
      <c r="AD213" s="340" t="str">
        <f>IFERROR(IF(AC213="Check Data ⚠","Check Data ⚠",VLOOKUP(AC213,'G-4 Temporal multipliers'!$A$4:$C$37,3,FALSE)),"")</f>
        <v/>
      </c>
      <c r="AE213" s="281" t="str">
        <f>IF(N213="","",VLOOKUP(N213,'G-7 WaterC'' Data'!$B$4:$G$8,5,FALSE))</f>
        <v/>
      </c>
      <c r="AF213" s="289" t="str">
        <f t="shared" si="35"/>
        <v/>
      </c>
      <c r="AG213" s="320" t="str">
        <f t="shared" si="36"/>
        <v/>
      </c>
      <c r="AH213" s="282" t="str">
        <f t="shared" si="30"/>
        <v/>
      </c>
      <c r="AI213" s="109"/>
      <c r="AJ213" s="282" t="str">
        <f>IF(AI213="","",IF(AND(AI213="N/A - Culvert",N213&lt;&gt;"Culvert"),"Not possible ▲",IF(VLOOKUP(AI213,'G-7 WaterC'' Data'!$AA$4:$AB$7,2,FALSE)=0,"Spatial Data Missing ⚠",VLOOKUP(AI213,'G-7 WaterC'' Data'!$AA$4:$AB$7,2,FALSE))))</f>
        <v/>
      </c>
      <c r="AK213" s="110"/>
      <c r="AL213" s="282" t="str">
        <f>IF(AK213="","",IF(AND(AK213="N/A - Culvert",N213&lt;&gt;"Culvert"),"Not possible ▲",IF(VLOOKUP(AK213,'G-7 WaterC'' Data'!$AD$4:$AE$14,2,FALSE)=0,"Spatial Data Missing ⚠",VLOOKUP(AK213,'G-7 WaterC'' Data'!$AD$4:$AE$14,2,FALSE))))</f>
        <v/>
      </c>
      <c r="AM213" s="323" t="str">
        <f t="shared" si="37"/>
        <v/>
      </c>
      <c r="AN213" s="105"/>
      <c r="AO213" s="119"/>
      <c r="AP213" s="108"/>
      <c r="AS213" s="30" t="str">
        <f>IF(B213="","",IF(ISNA(VLOOKUP($B213,'C-1 On-Site WaterC'' Baseline'!$C$8:$AD$257,17,FALSE)),"",(VLOOKUP($B213,'C-1 On-Site WaterC'' Baseline'!$C$8:$AD$257,17,FALSE))))</f>
        <v/>
      </c>
      <c r="AT213" s="30" t="str">
        <f>IF(B213="","",VLOOKUP($B213,'C-1 On-Site WaterC'' Baseline'!$C$9:$Z$257,12,FALSE))</f>
        <v/>
      </c>
      <c r="AU213" s="30" t="str">
        <f>IF(B213="","",VLOOKUP($B213,'C-1 On-Site WaterC'' Baseline'!$C$9:$Z$257,14,FALSE))</f>
        <v/>
      </c>
      <c r="AV213" s="30" t="str">
        <f>IFERROR(INDEX('G-7 WaterC'' Data'!$AZ$3:$AZ$7,MATCH(N213,'G-7 WaterC'' Data'!$AY$3:$AY$7,0)),"")</f>
        <v/>
      </c>
      <c r="AX213" s="30" t="str">
        <f>IF(B213="","",VLOOKUP($B213,'C-1 On-Site WaterC'' Baseline'!$C$9:$Y$257,22,FALSE))</f>
        <v/>
      </c>
      <c r="AY213" s="30" t="str">
        <f t="shared" si="38"/>
        <v/>
      </c>
      <c r="AZ213" s="30" t="str">
        <f>IF(B213="","",VLOOKUP($B213,'C-1 On-Site WaterC'' Baseline'!$C$9:$Y$257,21,FALSE))</f>
        <v/>
      </c>
      <c r="BA213" s="30" t="str">
        <f>IF(B213="","",VLOOKUP($B213,'C-1 On-Site WaterC'' Baseline'!$C$9:$Y$257,19,FALSE))</f>
        <v/>
      </c>
      <c r="BD213" s="30" t="str">
        <f t="shared" si="39"/>
        <v>No</v>
      </c>
    </row>
    <row r="214" spans="2:56" ht="13.8" x14ac:dyDescent="0.25">
      <c r="B214" s="311" t="str">
        <f>'C-1 On-Site WaterC'' Baseline'!AP212</f>
        <v/>
      </c>
      <c r="C214" s="301" t="str">
        <f>IF(B214="","",VLOOKUP($B214,'C-1 On-Site WaterC'' Baseline'!$C$9:$R$257,2,FALSE))</f>
        <v/>
      </c>
      <c r="D214" s="301" t="str">
        <f>IF(C214="","",VLOOKUP($B214,'C-1 On-Site WaterC'' Baseline'!$C$9:$R$257,3,FALSE))</f>
        <v/>
      </c>
      <c r="E214" s="301" t="str">
        <f>IF(D214="","",VLOOKUP($B214,'C-1 On-Site WaterC'' Baseline'!$C$9:$R$257,4,FALSE))</f>
        <v/>
      </c>
      <c r="F214" s="301" t="str">
        <f>IF(E214="","",VLOOKUP($B214,'C-1 On-Site WaterC'' Baseline'!$C$9:$R$257,5,FALSE))</f>
        <v/>
      </c>
      <c r="G214" s="301" t="str">
        <f>IF(F214="","",VLOOKUP($B214,'C-1 On-Site WaterC'' Baseline'!$C$9:$R$257,6,FALSE))</f>
        <v/>
      </c>
      <c r="H214" s="301" t="str">
        <f>IF(G214="","",VLOOKUP($B214,'C-1 On-Site WaterC'' Baseline'!$C$9:$R$257,7,FALSE))</f>
        <v/>
      </c>
      <c r="I214" s="301" t="str">
        <f>IF(H214="","",VLOOKUP($B214,'C-1 On-Site WaterC'' Baseline'!$C$9:$R$257,8,FALSE))</f>
        <v/>
      </c>
      <c r="J214" s="301" t="str">
        <f>IF(I214="","",VLOOKUP($B214,'C-1 On-Site WaterC'' Baseline'!$C$9:$R$257,9,FALSE))</f>
        <v/>
      </c>
      <c r="K214" s="301" t="str">
        <f>IF(J214="","",VLOOKUP($B214,'C-1 On-Site WaterC'' Baseline'!$C$9:$R$257,10,FALSE))</f>
        <v/>
      </c>
      <c r="L214" s="301" t="str">
        <f>IF(B214="","",VLOOKUP($B214,'C-1 On-Site WaterC'' Baseline'!$C$9:$R$257,15,FALSE))</f>
        <v/>
      </c>
      <c r="M214" s="305" t="str">
        <f>IF(L214="","",VLOOKUP($B214,'C-1 On-Site WaterC'' Baseline'!$C$9:$R$257,16,FALSE))</f>
        <v/>
      </c>
      <c r="N214" s="251"/>
      <c r="O214" s="281" t="str">
        <f t="shared" si="31"/>
        <v/>
      </c>
      <c r="P214" s="282" t="str">
        <f t="shared" si="32"/>
        <v/>
      </c>
      <c r="Q214" s="342" t="str">
        <f>IF(N214="","",VLOOKUP(B214,'C-1 On-Site WaterC'' Baseline'!$C$10:$AC$257,20,FALSE))</f>
        <v/>
      </c>
      <c r="R214" s="281" t="str">
        <f>IF(N214="","",VLOOKUP(N214,'G-7 WaterC'' Data'!$B$2:$G$8,2,FALSE))</f>
        <v/>
      </c>
      <c r="S214" s="282" t="str">
        <f>IFERROR(VLOOKUP(R214,'G-7 WaterC'' Data'!$C$4:$D$8,2,FALSE),"")</f>
        <v/>
      </c>
      <c r="T214" s="105"/>
      <c r="U214" s="282" t="str">
        <f>IFERROR(INDEX('G-7 WaterC'' Data'!$H$4:$L$8,MATCH(N214,'G-7 WaterC'' Data'!$B$4:$B$8,0),MATCH(T214,'G-7 WaterC'' Data'!$H$3:$L$3,0)),"")</f>
        <v/>
      </c>
      <c r="V214" s="105"/>
      <c r="W214" s="289" t="str">
        <f>IF(V214="","",IF(VLOOKUP(V214,'G-7 WaterC'' Data'!$AK$4:$AM$6,2,FALSE)=0,"Spatial Data Missing ⚠",VLOOKUP(V214,'G-7 WaterC'' Data'!$AK$4:$AM$6,2,FALSE)))</f>
        <v/>
      </c>
      <c r="X214" s="282" t="str">
        <f>IF(V214="","",IF(VLOOKUP(V214,'G-7 WaterC'' Data'!$AK$4:$AM$6,3,FALSE)=0,"Spatial Data Missing ⚠",VLOOKUP(V214,'G-7 WaterC'' Data'!$AK$4:$AM$6,3,FALSE)))</f>
        <v/>
      </c>
      <c r="Y214" s="281" t="str">
        <f>IFERROR(IF(OR(LEFT(P214,5)="Error",LEFT(O214,5)="Error"),"Check Data ⚠",IF(F214&lt;S214,'G-7 WaterC'' Data'!$R$3,INDEX('G-7 WaterC'' Data'!$U$5:$Y$9,MATCH(G214,'G-7 WaterC'' Data'!$T$5:$T$9,0),MATCH(T214,'G-7 WaterC'' Data'!$U$4:$Y$4,0)))),"")</f>
        <v/>
      </c>
      <c r="Z214" s="137"/>
      <c r="AA214" s="137"/>
      <c r="AB214" s="289" t="str">
        <f t="shared" si="33"/>
        <v/>
      </c>
      <c r="AC214" s="302" t="str">
        <f t="shared" si="34"/>
        <v/>
      </c>
      <c r="AD214" s="340" t="str">
        <f>IFERROR(IF(AC214="Check Data ⚠","Check Data ⚠",VLOOKUP(AC214,'G-4 Temporal multipliers'!$A$4:$C$37,3,FALSE)),"")</f>
        <v/>
      </c>
      <c r="AE214" s="281" t="str">
        <f>IF(N214="","",VLOOKUP(N214,'G-7 WaterC'' Data'!$B$4:$G$8,5,FALSE))</f>
        <v/>
      </c>
      <c r="AF214" s="289" t="str">
        <f t="shared" si="35"/>
        <v/>
      </c>
      <c r="AG214" s="320" t="str">
        <f t="shared" si="36"/>
        <v/>
      </c>
      <c r="AH214" s="282" t="str">
        <f t="shared" si="30"/>
        <v/>
      </c>
      <c r="AI214" s="109"/>
      <c r="AJ214" s="282" t="str">
        <f>IF(AI214="","",IF(AND(AI214="N/A - Culvert",N214&lt;&gt;"Culvert"),"Not possible ▲",IF(VLOOKUP(AI214,'G-7 WaterC'' Data'!$AA$4:$AB$7,2,FALSE)=0,"Spatial Data Missing ⚠",VLOOKUP(AI214,'G-7 WaterC'' Data'!$AA$4:$AB$7,2,FALSE))))</f>
        <v/>
      </c>
      <c r="AK214" s="110"/>
      <c r="AL214" s="282" t="str">
        <f>IF(AK214="","",IF(AND(AK214="N/A - Culvert",N214&lt;&gt;"Culvert"),"Not possible ▲",IF(VLOOKUP(AK214,'G-7 WaterC'' Data'!$AD$4:$AE$14,2,FALSE)=0,"Spatial Data Missing ⚠",VLOOKUP(AK214,'G-7 WaterC'' Data'!$AD$4:$AE$14,2,FALSE))))</f>
        <v/>
      </c>
      <c r="AM214" s="323" t="str">
        <f t="shared" si="37"/>
        <v/>
      </c>
      <c r="AN214" s="105"/>
      <c r="AO214" s="119"/>
      <c r="AP214" s="108"/>
      <c r="AS214" s="30" t="str">
        <f>IF(B214="","",IF(ISNA(VLOOKUP($B214,'C-1 On-Site WaterC'' Baseline'!$C$8:$AD$257,17,FALSE)),"",(VLOOKUP($B214,'C-1 On-Site WaterC'' Baseline'!$C$8:$AD$257,17,FALSE))))</f>
        <v/>
      </c>
      <c r="AT214" s="30" t="str">
        <f>IF(B214="","",VLOOKUP($B214,'C-1 On-Site WaterC'' Baseline'!$C$9:$Z$257,12,FALSE))</f>
        <v/>
      </c>
      <c r="AU214" s="30" t="str">
        <f>IF(B214="","",VLOOKUP($B214,'C-1 On-Site WaterC'' Baseline'!$C$9:$Z$257,14,FALSE))</f>
        <v/>
      </c>
      <c r="AV214" s="30" t="str">
        <f>IFERROR(INDEX('G-7 WaterC'' Data'!$AZ$3:$AZ$7,MATCH(N214,'G-7 WaterC'' Data'!$AY$3:$AY$7,0)),"")</f>
        <v/>
      </c>
      <c r="AX214" s="30" t="str">
        <f>IF(B214="","",VLOOKUP($B214,'C-1 On-Site WaterC'' Baseline'!$C$9:$Y$257,22,FALSE))</f>
        <v/>
      </c>
      <c r="AY214" s="30" t="str">
        <f t="shared" si="38"/>
        <v/>
      </c>
      <c r="AZ214" s="30" t="str">
        <f>IF(B214="","",VLOOKUP($B214,'C-1 On-Site WaterC'' Baseline'!$C$9:$Y$257,21,FALSE))</f>
        <v/>
      </c>
      <c r="BA214" s="30" t="str">
        <f>IF(B214="","",VLOOKUP($B214,'C-1 On-Site WaterC'' Baseline'!$C$9:$Y$257,19,FALSE))</f>
        <v/>
      </c>
      <c r="BD214" s="30" t="str">
        <f t="shared" si="39"/>
        <v>No</v>
      </c>
    </row>
    <row r="215" spans="2:56" ht="13.8" x14ac:dyDescent="0.25">
      <c r="B215" s="311" t="str">
        <f>'C-1 On-Site WaterC'' Baseline'!AP213</f>
        <v/>
      </c>
      <c r="C215" s="301" t="str">
        <f>IF(B215="","",VLOOKUP($B215,'C-1 On-Site WaterC'' Baseline'!$C$9:$R$257,2,FALSE))</f>
        <v/>
      </c>
      <c r="D215" s="301" t="str">
        <f>IF(C215="","",VLOOKUP($B215,'C-1 On-Site WaterC'' Baseline'!$C$9:$R$257,3,FALSE))</f>
        <v/>
      </c>
      <c r="E215" s="301" t="str">
        <f>IF(D215="","",VLOOKUP($B215,'C-1 On-Site WaterC'' Baseline'!$C$9:$R$257,4,FALSE))</f>
        <v/>
      </c>
      <c r="F215" s="301" t="str">
        <f>IF(E215="","",VLOOKUP($B215,'C-1 On-Site WaterC'' Baseline'!$C$9:$R$257,5,FALSE))</f>
        <v/>
      </c>
      <c r="G215" s="301" t="str">
        <f>IF(F215="","",VLOOKUP($B215,'C-1 On-Site WaterC'' Baseline'!$C$9:$R$257,6,FALSE))</f>
        <v/>
      </c>
      <c r="H215" s="301" t="str">
        <f>IF(G215="","",VLOOKUP($B215,'C-1 On-Site WaterC'' Baseline'!$C$9:$R$257,7,FALSE))</f>
        <v/>
      </c>
      <c r="I215" s="301" t="str">
        <f>IF(H215="","",VLOOKUP($B215,'C-1 On-Site WaterC'' Baseline'!$C$9:$R$257,8,FALSE))</f>
        <v/>
      </c>
      <c r="J215" s="301" t="str">
        <f>IF(I215="","",VLOOKUP($B215,'C-1 On-Site WaterC'' Baseline'!$C$9:$R$257,9,FALSE))</f>
        <v/>
      </c>
      <c r="K215" s="301" t="str">
        <f>IF(J215="","",VLOOKUP($B215,'C-1 On-Site WaterC'' Baseline'!$C$9:$R$257,10,FALSE))</f>
        <v/>
      </c>
      <c r="L215" s="301" t="str">
        <f>IF(B215="","",VLOOKUP($B215,'C-1 On-Site WaterC'' Baseline'!$C$9:$R$257,15,FALSE))</f>
        <v/>
      </c>
      <c r="M215" s="305" t="str">
        <f>IF(L215="","",VLOOKUP($B215,'C-1 On-Site WaterC'' Baseline'!$C$9:$R$257,16,FALSE))</f>
        <v/>
      </c>
      <c r="N215" s="251"/>
      <c r="O215" s="281" t="str">
        <f t="shared" si="31"/>
        <v/>
      </c>
      <c r="P215" s="282" t="str">
        <f t="shared" si="32"/>
        <v/>
      </c>
      <c r="Q215" s="342" t="str">
        <f>IF(N215="","",VLOOKUP(B215,'C-1 On-Site WaterC'' Baseline'!$C$10:$AC$257,20,FALSE))</f>
        <v/>
      </c>
      <c r="R215" s="281" t="str">
        <f>IF(N215="","",VLOOKUP(N215,'G-7 WaterC'' Data'!$B$2:$G$8,2,FALSE))</f>
        <v/>
      </c>
      <c r="S215" s="282" t="str">
        <f>IFERROR(VLOOKUP(R215,'G-7 WaterC'' Data'!$C$4:$D$8,2,FALSE),"")</f>
        <v/>
      </c>
      <c r="T215" s="105"/>
      <c r="U215" s="282" t="str">
        <f>IFERROR(INDEX('G-7 WaterC'' Data'!$H$4:$L$8,MATCH(N215,'G-7 WaterC'' Data'!$B$4:$B$8,0),MATCH(T215,'G-7 WaterC'' Data'!$H$3:$L$3,0)),"")</f>
        <v/>
      </c>
      <c r="V215" s="105"/>
      <c r="W215" s="289" t="str">
        <f>IF(V215="","",IF(VLOOKUP(V215,'G-7 WaterC'' Data'!$AK$4:$AM$6,2,FALSE)=0,"Spatial Data Missing ⚠",VLOOKUP(V215,'G-7 WaterC'' Data'!$AK$4:$AM$6,2,FALSE)))</f>
        <v/>
      </c>
      <c r="X215" s="282" t="str">
        <f>IF(V215="","",IF(VLOOKUP(V215,'G-7 WaterC'' Data'!$AK$4:$AM$6,3,FALSE)=0,"Spatial Data Missing ⚠",VLOOKUP(V215,'G-7 WaterC'' Data'!$AK$4:$AM$6,3,FALSE)))</f>
        <v/>
      </c>
      <c r="Y215" s="281" t="str">
        <f>IFERROR(IF(OR(LEFT(P215,5)="Error",LEFT(O215,5)="Error"),"Check Data ⚠",IF(F215&lt;S215,'G-7 WaterC'' Data'!$R$3,INDEX('G-7 WaterC'' Data'!$U$5:$Y$9,MATCH(G215,'G-7 WaterC'' Data'!$T$5:$T$9,0),MATCH(T215,'G-7 WaterC'' Data'!$U$4:$Y$4,0)))),"")</f>
        <v/>
      </c>
      <c r="Z215" s="137"/>
      <c r="AA215" s="137"/>
      <c r="AB215" s="289" t="str">
        <f t="shared" si="33"/>
        <v/>
      </c>
      <c r="AC215" s="302" t="str">
        <f t="shared" si="34"/>
        <v/>
      </c>
      <c r="AD215" s="340" t="str">
        <f>IFERROR(IF(AC215="Check Data ⚠","Check Data ⚠",VLOOKUP(AC215,'G-4 Temporal multipliers'!$A$4:$C$37,3,FALSE)),"")</f>
        <v/>
      </c>
      <c r="AE215" s="281" t="str">
        <f>IF(N215="","",VLOOKUP(N215,'G-7 WaterC'' Data'!$B$4:$G$8,5,FALSE))</f>
        <v/>
      </c>
      <c r="AF215" s="289" t="str">
        <f t="shared" si="35"/>
        <v/>
      </c>
      <c r="AG215" s="320" t="str">
        <f t="shared" si="36"/>
        <v/>
      </c>
      <c r="AH215" s="282" t="str">
        <f t="shared" si="30"/>
        <v/>
      </c>
      <c r="AI215" s="109"/>
      <c r="AJ215" s="282" t="str">
        <f>IF(AI215="","",IF(AND(AI215="N/A - Culvert",N215&lt;&gt;"Culvert"),"Not possible ▲",IF(VLOOKUP(AI215,'G-7 WaterC'' Data'!$AA$4:$AB$7,2,FALSE)=0,"Spatial Data Missing ⚠",VLOOKUP(AI215,'G-7 WaterC'' Data'!$AA$4:$AB$7,2,FALSE))))</f>
        <v/>
      </c>
      <c r="AK215" s="110"/>
      <c r="AL215" s="282" t="str">
        <f>IF(AK215="","",IF(AND(AK215="N/A - Culvert",N215&lt;&gt;"Culvert"),"Not possible ▲",IF(VLOOKUP(AK215,'G-7 WaterC'' Data'!$AD$4:$AE$14,2,FALSE)=0,"Spatial Data Missing ⚠",VLOOKUP(AK215,'G-7 WaterC'' Data'!$AD$4:$AE$14,2,FALSE))))</f>
        <v/>
      </c>
      <c r="AM215" s="323" t="str">
        <f t="shared" si="37"/>
        <v/>
      </c>
      <c r="AN215" s="105"/>
      <c r="AO215" s="119"/>
      <c r="AP215" s="108"/>
      <c r="AS215" s="30" t="str">
        <f>IF(B215="","",IF(ISNA(VLOOKUP($B215,'C-1 On-Site WaterC'' Baseline'!$C$8:$AD$257,17,FALSE)),"",(VLOOKUP($B215,'C-1 On-Site WaterC'' Baseline'!$C$8:$AD$257,17,FALSE))))</f>
        <v/>
      </c>
      <c r="AT215" s="30" t="str">
        <f>IF(B215="","",VLOOKUP($B215,'C-1 On-Site WaterC'' Baseline'!$C$9:$Z$257,12,FALSE))</f>
        <v/>
      </c>
      <c r="AU215" s="30" t="str">
        <f>IF(B215="","",VLOOKUP($B215,'C-1 On-Site WaterC'' Baseline'!$C$9:$Z$257,14,FALSE))</f>
        <v/>
      </c>
      <c r="AV215" s="30" t="str">
        <f>IFERROR(INDEX('G-7 WaterC'' Data'!$AZ$3:$AZ$7,MATCH(N215,'G-7 WaterC'' Data'!$AY$3:$AY$7,0)),"")</f>
        <v/>
      </c>
      <c r="AX215" s="30" t="str">
        <f>IF(B215="","",VLOOKUP($B215,'C-1 On-Site WaterC'' Baseline'!$C$9:$Y$257,22,FALSE))</f>
        <v/>
      </c>
      <c r="AY215" s="30" t="str">
        <f t="shared" si="38"/>
        <v/>
      </c>
      <c r="AZ215" s="30" t="str">
        <f>IF(B215="","",VLOOKUP($B215,'C-1 On-Site WaterC'' Baseline'!$C$9:$Y$257,21,FALSE))</f>
        <v/>
      </c>
      <c r="BA215" s="30" t="str">
        <f>IF(B215="","",VLOOKUP($B215,'C-1 On-Site WaterC'' Baseline'!$C$9:$Y$257,19,FALSE))</f>
        <v/>
      </c>
      <c r="BD215" s="30" t="str">
        <f t="shared" si="39"/>
        <v>No</v>
      </c>
    </row>
    <row r="216" spans="2:56" ht="13.8" x14ac:dyDescent="0.25">
      <c r="B216" s="311" t="str">
        <f>'C-1 On-Site WaterC'' Baseline'!AP214</f>
        <v/>
      </c>
      <c r="C216" s="301" t="str">
        <f>IF(B216="","",VLOOKUP($B216,'C-1 On-Site WaterC'' Baseline'!$C$9:$R$257,2,FALSE))</f>
        <v/>
      </c>
      <c r="D216" s="301" t="str">
        <f>IF(C216="","",VLOOKUP($B216,'C-1 On-Site WaterC'' Baseline'!$C$9:$R$257,3,FALSE))</f>
        <v/>
      </c>
      <c r="E216" s="301" t="str">
        <f>IF(D216="","",VLOOKUP($B216,'C-1 On-Site WaterC'' Baseline'!$C$9:$R$257,4,FALSE))</f>
        <v/>
      </c>
      <c r="F216" s="301" t="str">
        <f>IF(E216="","",VLOOKUP($B216,'C-1 On-Site WaterC'' Baseline'!$C$9:$R$257,5,FALSE))</f>
        <v/>
      </c>
      <c r="G216" s="301" t="str">
        <f>IF(F216="","",VLOOKUP($B216,'C-1 On-Site WaterC'' Baseline'!$C$9:$R$257,6,FALSE))</f>
        <v/>
      </c>
      <c r="H216" s="301" t="str">
        <f>IF(G216="","",VLOOKUP($B216,'C-1 On-Site WaterC'' Baseline'!$C$9:$R$257,7,FALSE))</f>
        <v/>
      </c>
      <c r="I216" s="301" t="str">
        <f>IF(H216="","",VLOOKUP($B216,'C-1 On-Site WaterC'' Baseline'!$C$9:$R$257,8,FALSE))</f>
        <v/>
      </c>
      <c r="J216" s="301" t="str">
        <f>IF(I216="","",VLOOKUP($B216,'C-1 On-Site WaterC'' Baseline'!$C$9:$R$257,9,FALSE))</f>
        <v/>
      </c>
      <c r="K216" s="301" t="str">
        <f>IF(J216="","",VLOOKUP($B216,'C-1 On-Site WaterC'' Baseline'!$C$9:$R$257,10,FALSE))</f>
        <v/>
      </c>
      <c r="L216" s="301" t="str">
        <f>IF(B216="","",VLOOKUP($B216,'C-1 On-Site WaterC'' Baseline'!$C$9:$R$257,15,FALSE))</f>
        <v/>
      </c>
      <c r="M216" s="305" t="str">
        <f>IF(L216="","",VLOOKUP($B216,'C-1 On-Site WaterC'' Baseline'!$C$9:$R$257,16,FALSE))</f>
        <v/>
      </c>
      <c r="N216" s="251"/>
      <c r="O216" s="281" t="str">
        <f t="shared" si="31"/>
        <v/>
      </c>
      <c r="P216" s="282" t="str">
        <f t="shared" si="32"/>
        <v/>
      </c>
      <c r="Q216" s="342" t="str">
        <f>IF(N216="","",VLOOKUP(B216,'C-1 On-Site WaterC'' Baseline'!$C$10:$AC$257,20,FALSE))</f>
        <v/>
      </c>
      <c r="R216" s="281" t="str">
        <f>IF(N216="","",VLOOKUP(N216,'G-7 WaterC'' Data'!$B$2:$G$8,2,FALSE))</f>
        <v/>
      </c>
      <c r="S216" s="282" t="str">
        <f>IFERROR(VLOOKUP(R216,'G-7 WaterC'' Data'!$C$4:$D$8,2,FALSE),"")</f>
        <v/>
      </c>
      <c r="T216" s="105"/>
      <c r="U216" s="282" t="str">
        <f>IFERROR(INDEX('G-7 WaterC'' Data'!$H$4:$L$8,MATCH(N216,'G-7 WaterC'' Data'!$B$4:$B$8,0),MATCH(T216,'G-7 WaterC'' Data'!$H$3:$L$3,0)),"")</f>
        <v/>
      </c>
      <c r="V216" s="105"/>
      <c r="W216" s="289" t="str">
        <f>IF(V216="","",IF(VLOOKUP(V216,'G-7 WaterC'' Data'!$AK$4:$AM$6,2,FALSE)=0,"Spatial Data Missing ⚠",VLOOKUP(V216,'G-7 WaterC'' Data'!$AK$4:$AM$6,2,FALSE)))</f>
        <v/>
      </c>
      <c r="X216" s="282" t="str">
        <f>IF(V216="","",IF(VLOOKUP(V216,'G-7 WaterC'' Data'!$AK$4:$AM$6,3,FALSE)=0,"Spatial Data Missing ⚠",VLOOKUP(V216,'G-7 WaterC'' Data'!$AK$4:$AM$6,3,FALSE)))</f>
        <v/>
      </c>
      <c r="Y216" s="281" t="str">
        <f>IFERROR(IF(OR(LEFT(P216,5)="Error",LEFT(O216,5)="Error"),"Check Data ⚠",IF(F216&lt;S216,'G-7 WaterC'' Data'!$R$3,INDEX('G-7 WaterC'' Data'!$U$5:$Y$9,MATCH(G216,'G-7 WaterC'' Data'!$T$5:$T$9,0),MATCH(T216,'G-7 WaterC'' Data'!$U$4:$Y$4,0)))),"")</f>
        <v/>
      </c>
      <c r="Z216" s="137"/>
      <c r="AA216" s="137"/>
      <c r="AB216" s="289" t="str">
        <f t="shared" si="33"/>
        <v/>
      </c>
      <c r="AC216" s="302" t="str">
        <f t="shared" si="34"/>
        <v/>
      </c>
      <c r="AD216" s="340" t="str">
        <f>IFERROR(IF(AC216="Check Data ⚠","Check Data ⚠",VLOOKUP(AC216,'G-4 Temporal multipliers'!$A$4:$C$37,3,FALSE)),"")</f>
        <v/>
      </c>
      <c r="AE216" s="281" t="str">
        <f>IF(N216="","",VLOOKUP(N216,'G-7 WaterC'' Data'!$B$4:$G$8,5,FALSE))</f>
        <v/>
      </c>
      <c r="AF216" s="289" t="str">
        <f t="shared" si="35"/>
        <v/>
      </c>
      <c r="AG216" s="320" t="str">
        <f t="shared" si="36"/>
        <v/>
      </c>
      <c r="AH216" s="282" t="str">
        <f t="shared" si="30"/>
        <v/>
      </c>
      <c r="AI216" s="109"/>
      <c r="AJ216" s="282" t="str">
        <f>IF(AI216="","",IF(AND(AI216="N/A - Culvert",N216&lt;&gt;"Culvert"),"Not possible ▲",IF(VLOOKUP(AI216,'G-7 WaterC'' Data'!$AA$4:$AB$7,2,FALSE)=0,"Spatial Data Missing ⚠",VLOOKUP(AI216,'G-7 WaterC'' Data'!$AA$4:$AB$7,2,FALSE))))</f>
        <v/>
      </c>
      <c r="AK216" s="110"/>
      <c r="AL216" s="282" t="str">
        <f>IF(AK216="","",IF(AND(AK216="N/A - Culvert",N216&lt;&gt;"Culvert"),"Not possible ▲",IF(VLOOKUP(AK216,'G-7 WaterC'' Data'!$AD$4:$AE$14,2,FALSE)=0,"Spatial Data Missing ⚠",VLOOKUP(AK216,'G-7 WaterC'' Data'!$AD$4:$AE$14,2,FALSE))))</f>
        <v/>
      </c>
      <c r="AM216" s="323" t="str">
        <f t="shared" si="37"/>
        <v/>
      </c>
      <c r="AN216" s="105"/>
      <c r="AO216" s="119"/>
      <c r="AP216" s="108"/>
      <c r="AS216" s="30" t="str">
        <f>IF(B216="","",IF(ISNA(VLOOKUP($B216,'C-1 On-Site WaterC'' Baseline'!$C$8:$AD$257,17,FALSE)),"",(VLOOKUP($B216,'C-1 On-Site WaterC'' Baseline'!$C$8:$AD$257,17,FALSE))))</f>
        <v/>
      </c>
      <c r="AT216" s="30" t="str">
        <f>IF(B216="","",VLOOKUP($B216,'C-1 On-Site WaterC'' Baseline'!$C$9:$Z$257,12,FALSE))</f>
        <v/>
      </c>
      <c r="AU216" s="30" t="str">
        <f>IF(B216="","",VLOOKUP($B216,'C-1 On-Site WaterC'' Baseline'!$C$9:$Z$257,14,FALSE))</f>
        <v/>
      </c>
      <c r="AV216" s="30" t="str">
        <f>IFERROR(INDEX('G-7 WaterC'' Data'!$AZ$3:$AZ$7,MATCH(N216,'G-7 WaterC'' Data'!$AY$3:$AY$7,0)),"")</f>
        <v/>
      </c>
      <c r="AX216" s="30" t="str">
        <f>IF(B216="","",VLOOKUP($B216,'C-1 On-Site WaterC'' Baseline'!$C$9:$Y$257,22,FALSE))</f>
        <v/>
      </c>
      <c r="AY216" s="30" t="str">
        <f t="shared" si="38"/>
        <v/>
      </c>
      <c r="AZ216" s="30" t="str">
        <f>IF(B216="","",VLOOKUP($B216,'C-1 On-Site WaterC'' Baseline'!$C$9:$Y$257,21,FALSE))</f>
        <v/>
      </c>
      <c r="BA216" s="30" t="str">
        <f>IF(B216="","",VLOOKUP($B216,'C-1 On-Site WaterC'' Baseline'!$C$9:$Y$257,19,FALSE))</f>
        <v/>
      </c>
      <c r="BD216" s="30" t="str">
        <f t="shared" si="39"/>
        <v>No</v>
      </c>
    </row>
    <row r="217" spans="2:56" ht="13.8" x14ac:dyDescent="0.25">
      <c r="B217" s="311" t="str">
        <f>'C-1 On-Site WaterC'' Baseline'!AP215</f>
        <v/>
      </c>
      <c r="C217" s="301" t="str">
        <f>IF(B217="","",VLOOKUP($B217,'C-1 On-Site WaterC'' Baseline'!$C$9:$R$257,2,FALSE))</f>
        <v/>
      </c>
      <c r="D217" s="301" t="str">
        <f>IF(C217="","",VLOOKUP($B217,'C-1 On-Site WaterC'' Baseline'!$C$9:$R$257,3,FALSE))</f>
        <v/>
      </c>
      <c r="E217" s="301" t="str">
        <f>IF(D217="","",VLOOKUP($B217,'C-1 On-Site WaterC'' Baseline'!$C$9:$R$257,4,FALSE))</f>
        <v/>
      </c>
      <c r="F217" s="301" t="str">
        <f>IF(E217="","",VLOOKUP($B217,'C-1 On-Site WaterC'' Baseline'!$C$9:$R$257,5,FALSE))</f>
        <v/>
      </c>
      <c r="G217" s="301" t="str">
        <f>IF(F217="","",VLOOKUP($B217,'C-1 On-Site WaterC'' Baseline'!$C$9:$R$257,6,FALSE))</f>
        <v/>
      </c>
      <c r="H217" s="301" t="str">
        <f>IF(G217="","",VLOOKUP($B217,'C-1 On-Site WaterC'' Baseline'!$C$9:$R$257,7,FALSE))</f>
        <v/>
      </c>
      <c r="I217" s="301" t="str">
        <f>IF(H217="","",VLOOKUP($B217,'C-1 On-Site WaterC'' Baseline'!$C$9:$R$257,8,FALSE))</f>
        <v/>
      </c>
      <c r="J217" s="301" t="str">
        <f>IF(I217="","",VLOOKUP($B217,'C-1 On-Site WaterC'' Baseline'!$C$9:$R$257,9,FALSE))</f>
        <v/>
      </c>
      <c r="K217" s="301" t="str">
        <f>IF(J217="","",VLOOKUP($B217,'C-1 On-Site WaterC'' Baseline'!$C$9:$R$257,10,FALSE))</f>
        <v/>
      </c>
      <c r="L217" s="301" t="str">
        <f>IF(B217="","",VLOOKUP($B217,'C-1 On-Site WaterC'' Baseline'!$C$9:$R$257,15,FALSE))</f>
        <v/>
      </c>
      <c r="M217" s="305" t="str">
        <f>IF(L217="","",VLOOKUP($B217,'C-1 On-Site WaterC'' Baseline'!$C$9:$R$257,16,FALSE))</f>
        <v/>
      </c>
      <c r="N217" s="251"/>
      <c r="O217" s="281" t="str">
        <f t="shared" si="31"/>
        <v/>
      </c>
      <c r="P217" s="282" t="str">
        <f t="shared" si="32"/>
        <v/>
      </c>
      <c r="Q217" s="342" t="str">
        <f>IF(N217="","",VLOOKUP(B217,'C-1 On-Site WaterC'' Baseline'!$C$10:$AC$257,20,FALSE))</f>
        <v/>
      </c>
      <c r="R217" s="281" t="str">
        <f>IF(N217="","",VLOOKUP(N217,'G-7 WaterC'' Data'!$B$2:$G$8,2,FALSE))</f>
        <v/>
      </c>
      <c r="S217" s="282" t="str">
        <f>IFERROR(VLOOKUP(R217,'G-7 WaterC'' Data'!$C$4:$D$8,2,FALSE),"")</f>
        <v/>
      </c>
      <c r="T217" s="105"/>
      <c r="U217" s="282" t="str">
        <f>IFERROR(INDEX('G-7 WaterC'' Data'!$H$4:$L$8,MATCH(N217,'G-7 WaterC'' Data'!$B$4:$B$8,0),MATCH(T217,'G-7 WaterC'' Data'!$H$3:$L$3,0)),"")</f>
        <v/>
      </c>
      <c r="V217" s="105"/>
      <c r="W217" s="289" t="str">
        <f>IF(V217="","",IF(VLOOKUP(V217,'G-7 WaterC'' Data'!$AK$4:$AM$6,2,FALSE)=0,"Spatial Data Missing ⚠",VLOOKUP(V217,'G-7 WaterC'' Data'!$AK$4:$AM$6,2,FALSE)))</f>
        <v/>
      </c>
      <c r="X217" s="282" t="str">
        <f>IF(V217="","",IF(VLOOKUP(V217,'G-7 WaterC'' Data'!$AK$4:$AM$6,3,FALSE)=0,"Spatial Data Missing ⚠",VLOOKUP(V217,'G-7 WaterC'' Data'!$AK$4:$AM$6,3,FALSE)))</f>
        <v/>
      </c>
      <c r="Y217" s="281" t="str">
        <f>IFERROR(IF(OR(LEFT(P217,5)="Error",LEFT(O217,5)="Error"),"Check Data ⚠",IF(F217&lt;S217,'G-7 WaterC'' Data'!$R$3,INDEX('G-7 WaterC'' Data'!$U$5:$Y$9,MATCH(G217,'G-7 WaterC'' Data'!$T$5:$T$9,0),MATCH(T217,'G-7 WaterC'' Data'!$U$4:$Y$4,0)))),"")</f>
        <v/>
      </c>
      <c r="Z217" s="137"/>
      <c r="AA217" s="137"/>
      <c r="AB217" s="289" t="str">
        <f t="shared" si="33"/>
        <v/>
      </c>
      <c r="AC217" s="302" t="str">
        <f t="shared" si="34"/>
        <v/>
      </c>
      <c r="AD217" s="340" t="str">
        <f>IFERROR(IF(AC217="Check Data ⚠","Check Data ⚠",VLOOKUP(AC217,'G-4 Temporal multipliers'!$A$4:$C$37,3,FALSE)),"")</f>
        <v/>
      </c>
      <c r="AE217" s="281" t="str">
        <f>IF(N217="","",VLOOKUP(N217,'G-7 WaterC'' Data'!$B$4:$G$8,5,FALSE))</f>
        <v/>
      </c>
      <c r="AF217" s="289" t="str">
        <f t="shared" si="35"/>
        <v/>
      </c>
      <c r="AG217" s="320" t="str">
        <f t="shared" si="36"/>
        <v/>
      </c>
      <c r="AH217" s="282" t="str">
        <f t="shared" si="30"/>
        <v/>
      </c>
      <c r="AI217" s="109"/>
      <c r="AJ217" s="282" t="str">
        <f>IF(AI217="","",IF(AND(AI217="N/A - Culvert",N217&lt;&gt;"Culvert"),"Not possible ▲",IF(VLOOKUP(AI217,'G-7 WaterC'' Data'!$AA$4:$AB$7,2,FALSE)=0,"Spatial Data Missing ⚠",VLOOKUP(AI217,'G-7 WaterC'' Data'!$AA$4:$AB$7,2,FALSE))))</f>
        <v/>
      </c>
      <c r="AK217" s="110"/>
      <c r="AL217" s="282" t="str">
        <f>IF(AK217="","",IF(AND(AK217="N/A - Culvert",N217&lt;&gt;"Culvert"),"Not possible ▲",IF(VLOOKUP(AK217,'G-7 WaterC'' Data'!$AD$4:$AE$14,2,FALSE)=0,"Spatial Data Missing ⚠",VLOOKUP(AK217,'G-7 WaterC'' Data'!$AD$4:$AE$14,2,FALSE))))</f>
        <v/>
      </c>
      <c r="AM217" s="323" t="str">
        <f t="shared" si="37"/>
        <v/>
      </c>
      <c r="AN217" s="105"/>
      <c r="AO217" s="119"/>
      <c r="AP217" s="108"/>
      <c r="AS217" s="30" t="str">
        <f>IF(B217="","",IF(ISNA(VLOOKUP($B217,'C-1 On-Site WaterC'' Baseline'!$C$8:$AD$257,17,FALSE)),"",(VLOOKUP($B217,'C-1 On-Site WaterC'' Baseline'!$C$8:$AD$257,17,FALSE))))</f>
        <v/>
      </c>
      <c r="AT217" s="30" t="str">
        <f>IF(B217="","",VLOOKUP($B217,'C-1 On-Site WaterC'' Baseline'!$C$9:$Z$257,12,FALSE))</f>
        <v/>
      </c>
      <c r="AU217" s="30" t="str">
        <f>IF(B217="","",VLOOKUP($B217,'C-1 On-Site WaterC'' Baseline'!$C$9:$Z$257,14,FALSE))</f>
        <v/>
      </c>
      <c r="AV217" s="30" t="str">
        <f>IFERROR(INDEX('G-7 WaterC'' Data'!$AZ$3:$AZ$7,MATCH(N217,'G-7 WaterC'' Data'!$AY$3:$AY$7,0)),"")</f>
        <v/>
      </c>
      <c r="AX217" s="30" t="str">
        <f>IF(B217="","",VLOOKUP($B217,'C-1 On-Site WaterC'' Baseline'!$C$9:$Y$257,22,FALSE))</f>
        <v/>
      </c>
      <c r="AY217" s="30" t="str">
        <f t="shared" si="38"/>
        <v/>
      </c>
      <c r="AZ217" s="30" t="str">
        <f>IF(B217="","",VLOOKUP($B217,'C-1 On-Site WaterC'' Baseline'!$C$9:$Y$257,21,FALSE))</f>
        <v/>
      </c>
      <c r="BA217" s="30" t="str">
        <f>IF(B217="","",VLOOKUP($B217,'C-1 On-Site WaterC'' Baseline'!$C$9:$Y$257,19,FALSE))</f>
        <v/>
      </c>
      <c r="BD217" s="30" t="str">
        <f t="shared" si="39"/>
        <v>No</v>
      </c>
    </row>
    <row r="218" spans="2:56" ht="13.8" x14ac:dyDescent="0.25">
      <c r="B218" s="311" t="str">
        <f>'C-1 On-Site WaterC'' Baseline'!AP216</f>
        <v/>
      </c>
      <c r="C218" s="301" t="str">
        <f>IF(B218="","",VLOOKUP($B218,'C-1 On-Site WaterC'' Baseline'!$C$9:$R$257,2,FALSE))</f>
        <v/>
      </c>
      <c r="D218" s="301" t="str">
        <f>IF(C218="","",VLOOKUP($B218,'C-1 On-Site WaterC'' Baseline'!$C$9:$R$257,3,FALSE))</f>
        <v/>
      </c>
      <c r="E218" s="301" t="str">
        <f>IF(D218="","",VLOOKUP($B218,'C-1 On-Site WaterC'' Baseline'!$C$9:$R$257,4,FALSE))</f>
        <v/>
      </c>
      <c r="F218" s="301" t="str">
        <f>IF(E218="","",VLOOKUP($B218,'C-1 On-Site WaterC'' Baseline'!$C$9:$R$257,5,FALSE))</f>
        <v/>
      </c>
      <c r="G218" s="301" t="str">
        <f>IF(F218="","",VLOOKUP($B218,'C-1 On-Site WaterC'' Baseline'!$C$9:$R$257,6,FALSE))</f>
        <v/>
      </c>
      <c r="H218" s="301" t="str">
        <f>IF(G218="","",VLOOKUP($B218,'C-1 On-Site WaterC'' Baseline'!$C$9:$R$257,7,FALSE))</f>
        <v/>
      </c>
      <c r="I218" s="301" t="str">
        <f>IF(H218="","",VLOOKUP($B218,'C-1 On-Site WaterC'' Baseline'!$C$9:$R$257,8,FALSE))</f>
        <v/>
      </c>
      <c r="J218" s="301" t="str">
        <f>IF(I218="","",VLOOKUP($B218,'C-1 On-Site WaterC'' Baseline'!$C$9:$R$257,9,FALSE))</f>
        <v/>
      </c>
      <c r="K218" s="301" t="str">
        <f>IF(J218="","",VLOOKUP($B218,'C-1 On-Site WaterC'' Baseline'!$C$9:$R$257,10,FALSE))</f>
        <v/>
      </c>
      <c r="L218" s="301" t="str">
        <f>IF(B218="","",VLOOKUP($B218,'C-1 On-Site WaterC'' Baseline'!$C$9:$R$257,15,FALSE))</f>
        <v/>
      </c>
      <c r="M218" s="305" t="str">
        <f>IF(L218="","",VLOOKUP($B218,'C-1 On-Site WaterC'' Baseline'!$C$9:$R$257,16,FALSE))</f>
        <v/>
      </c>
      <c r="N218" s="251"/>
      <c r="O218" s="281" t="str">
        <f t="shared" si="31"/>
        <v/>
      </c>
      <c r="P218" s="282" t="str">
        <f t="shared" si="32"/>
        <v/>
      </c>
      <c r="Q218" s="342" t="str">
        <f>IF(N218="","",VLOOKUP(B218,'C-1 On-Site WaterC'' Baseline'!$C$10:$AC$257,20,FALSE))</f>
        <v/>
      </c>
      <c r="R218" s="281" t="str">
        <f>IF(N218="","",VLOOKUP(N218,'G-7 WaterC'' Data'!$B$2:$G$8,2,FALSE))</f>
        <v/>
      </c>
      <c r="S218" s="282" t="str">
        <f>IFERROR(VLOOKUP(R218,'G-7 WaterC'' Data'!$C$4:$D$8,2,FALSE),"")</f>
        <v/>
      </c>
      <c r="T218" s="105"/>
      <c r="U218" s="282" t="str">
        <f>IFERROR(INDEX('G-7 WaterC'' Data'!$H$4:$L$8,MATCH(N218,'G-7 WaterC'' Data'!$B$4:$B$8,0),MATCH(T218,'G-7 WaterC'' Data'!$H$3:$L$3,0)),"")</f>
        <v/>
      </c>
      <c r="V218" s="105"/>
      <c r="W218" s="289" t="str">
        <f>IF(V218="","",IF(VLOOKUP(V218,'G-7 WaterC'' Data'!$AK$4:$AM$6,2,FALSE)=0,"Spatial Data Missing ⚠",VLOOKUP(V218,'G-7 WaterC'' Data'!$AK$4:$AM$6,2,FALSE)))</f>
        <v/>
      </c>
      <c r="X218" s="282" t="str">
        <f>IF(V218="","",IF(VLOOKUP(V218,'G-7 WaterC'' Data'!$AK$4:$AM$6,3,FALSE)=0,"Spatial Data Missing ⚠",VLOOKUP(V218,'G-7 WaterC'' Data'!$AK$4:$AM$6,3,FALSE)))</f>
        <v/>
      </c>
      <c r="Y218" s="281" t="str">
        <f>IFERROR(IF(OR(LEFT(P218,5)="Error",LEFT(O218,5)="Error"),"Check Data ⚠",IF(F218&lt;S218,'G-7 WaterC'' Data'!$R$3,INDEX('G-7 WaterC'' Data'!$U$5:$Y$9,MATCH(G218,'G-7 WaterC'' Data'!$T$5:$T$9,0),MATCH(T218,'G-7 WaterC'' Data'!$U$4:$Y$4,0)))),"")</f>
        <v/>
      </c>
      <c r="Z218" s="137"/>
      <c r="AA218" s="137"/>
      <c r="AB218" s="289" t="str">
        <f t="shared" si="33"/>
        <v/>
      </c>
      <c r="AC218" s="302" t="str">
        <f t="shared" si="34"/>
        <v/>
      </c>
      <c r="AD218" s="340" t="str">
        <f>IFERROR(IF(AC218="Check Data ⚠","Check Data ⚠",VLOOKUP(AC218,'G-4 Temporal multipliers'!$A$4:$C$37,3,FALSE)),"")</f>
        <v/>
      </c>
      <c r="AE218" s="281" t="str">
        <f>IF(N218="","",VLOOKUP(N218,'G-7 WaterC'' Data'!$B$4:$G$8,5,FALSE))</f>
        <v/>
      </c>
      <c r="AF218" s="289" t="str">
        <f t="shared" si="35"/>
        <v/>
      </c>
      <c r="AG218" s="320" t="str">
        <f t="shared" si="36"/>
        <v/>
      </c>
      <c r="AH218" s="282" t="str">
        <f t="shared" si="30"/>
        <v/>
      </c>
      <c r="AI218" s="109"/>
      <c r="AJ218" s="282" t="str">
        <f>IF(AI218="","",IF(AND(AI218="N/A - Culvert",N218&lt;&gt;"Culvert"),"Not possible ▲",IF(VLOOKUP(AI218,'G-7 WaterC'' Data'!$AA$4:$AB$7,2,FALSE)=0,"Spatial Data Missing ⚠",VLOOKUP(AI218,'G-7 WaterC'' Data'!$AA$4:$AB$7,2,FALSE))))</f>
        <v/>
      </c>
      <c r="AK218" s="110"/>
      <c r="AL218" s="282" t="str">
        <f>IF(AK218="","",IF(AND(AK218="N/A - Culvert",N218&lt;&gt;"Culvert"),"Not possible ▲",IF(VLOOKUP(AK218,'G-7 WaterC'' Data'!$AD$4:$AE$14,2,FALSE)=0,"Spatial Data Missing ⚠",VLOOKUP(AK218,'G-7 WaterC'' Data'!$AD$4:$AE$14,2,FALSE))))</f>
        <v/>
      </c>
      <c r="AM218" s="323" t="str">
        <f t="shared" si="37"/>
        <v/>
      </c>
      <c r="AN218" s="105"/>
      <c r="AO218" s="119"/>
      <c r="AP218" s="108"/>
      <c r="AS218" s="30" t="str">
        <f>IF(B218="","",IF(ISNA(VLOOKUP($B218,'C-1 On-Site WaterC'' Baseline'!$C$8:$AD$257,17,FALSE)),"",(VLOOKUP($B218,'C-1 On-Site WaterC'' Baseline'!$C$8:$AD$257,17,FALSE))))</f>
        <v/>
      </c>
      <c r="AT218" s="30" t="str">
        <f>IF(B218="","",VLOOKUP($B218,'C-1 On-Site WaterC'' Baseline'!$C$9:$Z$257,12,FALSE))</f>
        <v/>
      </c>
      <c r="AU218" s="30" t="str">
        <f>IF(B218="","",VLOOKUP($B218,'C-1 On-Site WaterC'' Baseline'!$C$9:$Z$257,14,FALSE))</f>
        <v/>
      </c>
      <c r="AV218" s="30" t="str">
        <f>IFERROR(INDEX('G-7 WaterC'' Data'!$AZ$3:$AZ$7,MATCH(N218,'G-7 WaterC'' Data'!$AY$3:$AY$7,0)),"")</f>
        <v/>
      </c>
      <c r="AX218" s="30" t="str">
        <f>IF(B218="","",VLOOKUP($B218,'C-1 On-Site WaterC'' Baseline'!$C$9:$Y$257,22,FALSE))</f>
        <v/>
      </c>
      <c r="AY218" s="30" t="str">
        <f t="shared" si="38"/>
        <v/>
      </c>
      <c r="AZ218" s="30" t="str">
        <f>IF(B218="","",VLOOKUP($B218,'C-1 On-Site WaterC'' Baseline'!$C$9:$Y$257,21,FALSE))</f>
        <v/>
      </c>
      <c r="BA218" s="30" t="str">
        <f>IF(B218="","",VLOOKUP($B218,'C-1 On-Site WaterC'' Baseline'!$C$9:$Y$257,19,FALSE))</f>
        <v/>
      </c>
      <c r="BD218" s="30" t="str">
        <f t="shared" si="39"/>
        <v>No</v>
      </c>
    </row>
    <row r="219" spans="2:56" ht="13.8" x14ac:dyDescent="0.25">
      <c r="B219" s="311" t="str">
        <f>'C-1 On-Site WaterC'' Baseline'!AP217</f>
        <v/>
      </c>
      <c r="C219" s="301" t="str">
        <f>IF(B219="","",VLOOKUP($B219,'C-1 On-Site WaterC'' Baseline'!$C$9:$R$257,2,FALSE))</f>
        <v/>
      </c>
      <c r="D219" s="301" t="str">
        <f>IF(C219="","",VLOOKUP($B219,'C-1 On-Site WaterC'' Baseline'!$C$9:$R$257,3,FALSE))</f>
        <v/>
      </c>
      <c r="E219" s="301" t="str">
        <f>IF(D219="","",VLOOKUP($B219,'C-1 On-Site WaterC'' Baseline'!$C$9:$R$257,4,FALSE))</f>
        <v/>
      </c>
      <c r="F219" s="301" t="str">
        <f>IF(E219="","",VLOOKUP($B219,'C-1 On-Site WaterC'' Baseline'!$C$9:$R$257,5,FALSE))</f>
        <v/>
      </c>
      <c r="G219" s="301" t="str">
        <f>IF(F219="","",VLOOKUP($B219,'C-1 On-Site WaterC'' Baseline'!$C$9:$R$257,6,FALSE))</f>
        <v/>
      </c>
      <c r="H219" s="301" t="str">
        <f>IF(G219="","",VLOOKUP($B219,'C-1 On-Site WaterC'' Baseline'!$C$9:$R$257,7,FALSE))</f>
        <v/>
      </c>
      <c r="I219" s="301" t="str">
        <f>IF(H219="","",VLOOKUP($B219,'C-1 On-Site WaterC'' Baseline'!$C$9:$R$257,8,FALSE))</f>
        <v/>
      </c>
      <c r="J219" s="301" t="str">
        <f>IF(I219="","",VLOOKUP($B219,'C-1 On-Site WaterC'' Baseline'!$C$9:$R$257,9,FALSE))</f>
        <v/>
      </c>
      <c r="K219" s="301" t="str">
        <f>IF(J219="","",VLOOKUP($B219,'C-1 On-Site WaterC'' Baseline'!$C$9:$R$257,10,FALSE))</f>
        <v/>
      </c>
      <c r="L219" s="301" t="str">
        <f>IF(B219="","",VLOOKUP($B219,'C-1 On-Site WaterC'' Baseline'!$C$9:$R$257,15,FALSE))</f>
        <v/>
      </c>
      <c r="M219" s="305" t="str">
        <f>IF(L219="","",VLOOKUP($B219,'C-1 On-Site WaterC'' Baseline'!$C$9:$R$257,16,FALSE))</f>
        <v/>
      </c>
      <c r="N219" s="251"/>
      <c r="O219" s="281" t="str">
        <f t="shared" si="31"/>
        <v/>
      </c>
      <c r="P219" s="282" t="str">
        <f t="shared" si="32"/>
        <v/>
      </c>
      <c r="Q219" s="342" t="str">
        <f>IF(N219="","",VLOOKUP(B219,'C-1 On-Site WaterC'' Baseline'!$C$10:$AC$257,20,FALSE))</f>
        <v/>
      </c>
      <c r="R219" s="281" t="str">
        <f>IF(N219="","",VLOOKUP(N219,'G-7 WaterC'' Data'!$B$2:$G$8,2,FALSE))</f>
        <v/>
      </c>
      <c r="S219" s="282" t="str">
        <f>IFERROR(VLOOKUP(R219,'G-7 WaterC'' Data'!$C$4:$D$8,2,FALSE),"")</f>
        <v/>
      </c>
      <c r="T219" s="105"/>
      <c r="U219" s="282" t="str">
        <f>IFERROR(INDEX('G-7 WaterC'' Data'!$H$4:$L$8,MATCH(N219,'G-7 WaterC'' Data'!$B$4:$B$8,0),MATCH(T219,'G-7 WaterC'' Data'!$H$3:$L$3,0)),"")</f>
        <v/>
      </c>
      <c r="V219" s="105"/>
      <c r="W219" s="289" t="str">
        <f>IF(V219="","",IF(VLOOKUP(V219,'G-7 WaterC'' Data'!$AK$4:$AM$6,2,FALSE)=0,"Spatial Data Missing ⚠",VLOOKUP(V219,'G-7 WaterC'' Data'!$AK$4:$AM$6,2,FALSE)))</f>
        <v/>
      </c>
      <c r="X219" s="282" t="str">
        <f>IF(V219="","",IF(VLOOKUP(V219,'G-7 WaterC'' Data'!$AK$4:$AM$6,3,FALSE)=0,"Spatial Data Missing ⚠",VLOOKUP(V219,'G-7 WaterC'' Data'!$AK$4:$AM$6,3,FALSE)))</f>
        <v/>
      </c>
      <c r="Y219" s="281" t="str">
        <f>IFERROR(IF(OR(LEFT(P219,5)="Error",LEFT(O219,5)="Error"),"Check Data ⚠",IF(F219&lt;S219,'G-7 WaterC'' Data'!$R$3,INDEX('G-7 WaterC'' Data'!$U$5:$Y$9,MATCH(G219,'G-7 WaterC'' Data'!$T$5:$T$9,0),MATCH(T219,'G-7 WaterC'' Data'!$U$4:$Y$4,0)))),"")</f>
        <v/>
      </c>
      <c r="Z219" s="137"/>
      <c r="AA219" s="137"/>
      <c r="AB219" s="289" t="str">
        <f t="shared" si="33"/>
        <v/>
      </c>
      <c r="AC219" s="302" t="str">
        <f t="shared" si="34"/>
        <v/>
      </c>
      <c r="AD219" s="340" t="str">
        <f>IFERROR(IF(AC219="Check Data ⚠","Check Data ⚠",VLOOKUP(AC219,'G-4 Temporal multipliers'!$A$4:$C$37,3,FALSE)),"")</f>
        <v/>
      </c>
      <c r="AE219" s="281" t="str">
        <f>IF(N219="","",VLOOKUP(N219,'G-7 WaterC'' Data'!$B$4:$G$8,5,FALSE))</f>
        <v/>
      </c>
      <c r="AF219" s="289" t="str">
        <f t="shared" si="35"/>
        <v/>
      </c>
      <c r="AG219" s="320" t="str">
        <f t="shared" si="36"/>
        <v/>
      </c>
      <c r="AH219" s="282" t="str">
        <f t="shared" si="30"/>
        <v/>
      </c>
      <c r="AI219" s="109"/>
      <c r="AJ219" s="282" t="str">
        <f>IF(AI219="","",IF(AND(AI219="N/A - Culvert",N219&lt;&gt;"Culvert"),"Not possible ▲",IF(VLOOKUP(AI219,'G-7 WaterC'' Data'!$AA$4:$AB$7,2,FALSE)=0,"Spatial Data Missing ⚠",VLOOKUP(AI219,'G-7 WaterC'' Data'!$AA$4:$AB$7,2,FALSE))))</f>
        <v/>
      </c>
      <c r="AK219" s="110"/>
      <c r="AL219" s="282" t="str">
        <f>IF(AK219="","",IF(AND(AK219="N/A - Culvert",N219&lt;&gt;"Culvert"),"Not possible ▲",IF(VLOOKUP(AK219,'G-7 WaterC'' Data'!$AD$4:$AE$14,2,FALSE)=0,"Spatial Data Missing ⚠",VLOOKUP(AK219,'G-7 WaterC'' Data'!$AD$4:$AE$14,2,FALSE))))</f>
        <v/>
      </c>
      <c r="AM219" s="323" t="str">
        <f t="shared" si="37"/>
        <v/>
      </c>
      <c r="AN219" s="105"/>
      <c r="AO219" s="119"/>
      <c r="AP219" s="108"/>
      <c r="AS219" s="30" t="str">
        <f>IF(B219="","",IF(ISNA(VLOOKUP($B219,'C-1 On-Site WaterC'' Baseline'!$C$8:$AD$257,17,FALSE)),"",(VLOOKUP($B219,'C-1 On-Site WaterC'' Baseline'!$C$8:$AD$257,17,FALSE))))</f>
        <v/>
      </c>
      <c r="AT219" s="30" t="str">
        <f>IF(B219="","",VLOOKUP($B219,'C-1 On-Site WaterC'' Baseline'!$C$9:$Z$257,12,FALSE))</f>
        <v/>
      </c>
      <c r="AU219" s="30" t="str">
        <f>IF(B219="","",VLOOKUP($B219,'C-1 On-Site WaterC'' Baseline'!$C$9:$Z$257,14,FALSE))</f>
        <v/>
      </c>
      <c r="AV219" s="30" t="str">
        <f>IFERROR(INDEX('G-7 WaterC'' Data'!$AZ$3:$AZ$7,MATCH(N219,'G-7 WaterC'' Data'!$AY$3:$AY$7,0)),"")</f>
        <v/>
      </c>
      <c r="AX219" s="30" t="str">
        <f>IF(B219="","",VLOOKUP($B219,'C-1 On-Site WaterC'' Baseline'!$C$9:$Y$257,22,FALSE))</f>
        <v/>
      </c>
      <c r="AY219" s="30" t="str">
        <f t="shared" si="38"/>
        <v/>
      </c>
      <c r="AZ219" s="30" t="str">
        <f>IF(B219="","",VLOOKUP($B219,'C-1 On-Site WaterC'' Baseline'!$C$9:$Y$257,21,FALSE))</f>
        <v/>
      </c>
      <c r="BA219" s="30" t="str">
        <f>IF(B219="","",VLOOKUP($B219,'C-1 On-Site WaterC'' Baseline'!$C$9:$Y$257,19,FALSE))</f>
        <v/>
      </c>
      <c r="BD219" s="30" t="str">
        <f t="shared" si="39"/>
        <v>No</v>
      </c>
    </row>
    <row r="220" spans="2:56" ht="13.8" x14ac:dyDescent="0.25">
      <c r="B220" s="311" t="str">
        <f>'C-1 On-Site WaterC'' Baseline'!AP218</f>
        <v/>
      </c>
      <c r="C220" s="301" t="str">
        <f>IF(B220="","",VLOOKUP($B220,'C-1 On-Site WaterC'' Baseline'!$C$9:$R$257,2,FALSE))</f>
        <v/>
      </c>
      <c r="D220" s="301" t="str">
        <f>IF(C220="","",VLOOKUP($B220,'C-1 On-Site WaterC'' Baseline'!$C$9:$R$257,3,FALSE))</f>
        <v/>
      </c>
      <c r="E220" s="301" t="str">
        <f>IF(D220="","",VLOOKUP($B220,'C-1 On-Site WaterC'' Baseline'!$C$9:$R$257,4,FALSE))</f>
        <v/>
      </c>
      <c r="F220" s="301" t="str">
        <f>IF(E220="","",VLOOKUP($B220,'C-1 On-Site WaterC'' Baseline'!$C$9:$R$257,5,FALSE))</f>
        <v/>
      </c>
      <c r="G220" s="301" t="str">
        <f>IF(F220="","",VLOOKUP($B220,'C-1 On-Site WaterC'' Baseline'!$C$9:$R$257,6,FALSE))</f>
        <v/>
      </c>
      <c r="H220" s="301" t="str">
        <f>IF(G220="","",VLOOKUP($B220,'C-1 On-Site WaterC'' Baseline'!$C$9:$R$257,7,FALSE))</f>
        <v/>
      </c>
      <c r="I220" s="301" t="str">
        <f>IF(H220="","",VLOOKUP($B220,'C-1 On-Site WaterC'' Baseline'!$C$9:$R$257,8,FALSE))</f>
        <v/>
      </c>
      <c r="J220" s="301" t="str">
        <f>IF(I220="","",VLOOKUP($B220,'C-1 On-Site WaterC'' Baseline'!$C$9:$R$257,9,FALSE))</f>
        <v/>
      </c>
      <c r="K220" s="301" t="str">
        <f>IF(J220="","",VLOOKUP($B220,'C-1 On-Site WaterC'' Baseline'!$C$9:$R$257,10,FALSE))</f>
        <v/>
      </c>
      <c r="L220" s="301" t="str">
        <f>IF(B220="","",VLOOKUP($B220,'C-1 On-Site WaterC'' Baseline'!$C$9:$R$257,15,FALSE))</f>
        <v/>
      </c>
      <c r="M220" s="305" t="str">
        <f>IF(L220="","",VLOOKUP($B220,'C-1 On-Site WaterC'' Baseline'!$C$9:$R$257,16,FALSE))</f>
        <v/>
      </c>
      <c r="N220" s="251"/>
      <c r="O220" s="281" t="str">
        <f t="shared" si="31"/>
        <v/>
      </c>
      <c r="P220" s="282" t="str">
        <f t="shared" si="32"/>
        <v/>
      </c>
      <c r="Q220" s="342" t="str">
        <f>IF(N220="","",VLOOKUP(B220,'C-1 On-Site WaterC'' Baseline'!$C$10:$AC$257,20,FALSE))</f>
        <v/>
      </c>
      <c r="R220" s="281" t="str">
        <f>IF(N220="","",VLOOKUP(N220,'G-7 WaterC'' Data'!$B$2:$G$8,2,FALSE))</f>
        <v/>
      </c>
      <c r="S220" s="282" t="str">
        <f>IFERROR(VLOOKUP(R220,'G-7 WaterC'' Data'!$C$4:$D$8,2,FALSE),"")</f>
        <v/>
      </c>
      <c r="T220" s="105"/>
      <c r="U220" s="282" t="str">
        <f>IFERROR(INDEX('G-7 WaterC'' Data'!$H$4:$L$8,MATCH(N220,'G-7 WaterC'' Data'!$B$4:$B$8,0),MATCH(T220,'G-7 WaterC'' Data'!$H$3:$L$3,0)),"")</f>
        <v/>
      </c>
      <c r="V220" s="105"/>
      <c r="W220" s="289" t="str">
        <f>IF(V220="","",IF(VLOOKUP(V220,'G-7 WaterC'' Data'!$AK$4:$AM$6,2,FALSE)=0,"Spatial Data Missing ⚠",VLOOKUP(V220,'G-7 WaterC'' Data'!$AK$4:$AM$6,2,FALSE)))</f>
        <v/>
      </c>
      <c r="X220" s="282" t="str">
        <f>IF(V220="","",IF(VLOOKUP(V220,'G-7 WaterC'' Data'!$AK$4:$AM$6,3,FALSE)=0,"Spatial Data Missing ⚠",VLOOKUP(V220,'G-7 WaterC'' Data'!$AK$4:$AM$6,3,FALSE)))</f>
        <v/>
      </c>
      <c r="Y220" s="281" t="str">
        <f>IFERROR(IF(OR(LEFT(P220,5)="Error",LEFT(O220,5)="Error"),"Check Data ⚠",IF(F220&lt;S220,'G-7 WaterC'' Data'!$R$3,INDEX('G-7 WaterC'' Data'!$U$5:$Y$9,MATCH(G220,'G-7 WaterC'' Data'!$T$5:$T$9,0),MATCH(T220,'G-7 WaterC'' Data'!$U$4:$Y$4,0)))),"")</f>
        <v/>
      </c>
      <c r="Z220" s="137"/>
      <c r="AA220" s="137"/>
      <c r="AB220" s="289" t="str">
        <f t="shared" si="33"/>
        <v/>
      </c>
      <c r="AC220" s="302" t="str">
        <f t="shared" si="34"/>
        <v/>
      </c>
      <c r="AD220" s="340" t="str">
        <f>IFERROR(IF(AC220="Check Data ⚠","Check Data ⚠",VLOOKUP(AC220,'G-4 Temporal multipliers'!$A$4:$C$37,3,FALSE)),"")</f>
        <v/>
      </c>
      <c r="AE220" s="281" t="str">
        <f>IF(N220="","",VLOOKUP(N220,'G-7 WaterC'' Data'!$B$4:$G$8,5,FALSE))</f>
        <v/>
      </c>
      <c r="AF220" s="289" t="str">
        <f t="shared" si="35"/>
        <v/>
      </c>
      <c r="AG220" s="320" t="str">
        <f t="shared" si="36"/>
        <v/>
      </c>
      <c r="AH220" s="282" t="str">
        <f t="shared" si="30"/>
        <v/>
      </c>
      <c r="AI220" s="109"/>
      <c r="AJ220" s="282" t="str">
        <f>IF(AI220="","",IF(AND(AI220="N/A - Culvert",N220&lt;&gt;"Culvert"),"Not possible ▲",IF(VLOOKUP(AI220,'G-7 WaterC'' Data'!$AA$4:$AB$7,2,FALSE)=0,"Spatial Data Missing ⚠",VLOOKUP(AI220,'G-7 WaterC'' Data'!$AA$4:$AB$7,2,FALSE))))</f>
        <v/>
      </c>
      <c r="AK220" s="110"/>
      <c r="AL220" s="282" t="str">
        <f>IF(AK220="","",IF(AND(AK220="N/A - Culvert",N220&lt;&gt;"Culvert"),"Not possible ▲",IF(VLOOKUP(AK220,'G-7 WaterC'' Data'!$AD$4:$AE$14,2,FALSE)=0,"Spatial Data Missing ⚠",VLOOKUP(AK220,'G-7 WaterC'' Data'!$AD$4:$AE$14,2,FALSE))))</f>
        <v/>
      </c>
      <c r="AM220" s="323" t="str">
        <f t="shared" si="37"/>
        <v/>
      </c>
      <c r="AN220" s="105"/>
      <c r="AO220" s="119"/>
      <c r="AP220" s="108"/>
      <c r="AS220" s="30" t="str">
        <f>IF(B220="","",IF(ISNA(VLOOKUP($B220,'C-1 On-Site WaterC'' Baseline'!$C$8:$AD$257,17,FALSE)),"",(VLOOKUP($B220,'C-1 On-Site WaterC'' Baseline'!$C$8:$AD$257,17,FALSE))))</f>
        <v/>
      </c>
      <c r="AT220" s="30" t="str">
        <f>IF(B220="","",VLOOKUP($B220,'C-1 On-Site WaterC'' Baseline'!$C$9:$Z$257,12,FALSE))</f>
        <v/>
      </c>
      <c r="AU220" s="30" t="str">
        <f>IF(B220="","",VLOOKUP($B220,'C-1 On-Site WaterC'' Baseline'!$C$9:$Z$257,14,FALSE))</f>
        <v/>
      </c>
      <c r="AV220" s="30" t="str">
        <f>IFERROR(INDEX('G-7 WaterC'' Data'!$AZ$3:$AZ$7,MATCH(N220,'G-7 WaterC'' Data'!$AY$3:$AY$7,0)),"")</f>
        <v/>
      </c>
      <c r="AX220" s="30" t="str">
        <f>IF(B220="","",VLOOKUP($B220,'C-1 On-Site WaterC'' Baseline'!$C$9:$Y$257,22,FALSE))</f>
        <v/>
      </c>
      <c r="AY220" s="30" t="str">
        <f t="shared" si="38"/>
        <v/>
      </c>
      <c r="AZ220" s="30" t="str">
        <f>IF(B220="","",VLOOKUP($B220,'C-1 On-Site WaterC'' Baseline'!$C$9:$Y$257,21,FALSE))</f>
        <v/>
      </c>
      <c r="BA220" s="30" t="str">
        <f>IF(B220="","",VLOOKUP($B220,'C-1 On-Site WaterC'' Baseline'!$C$9:$Y$257,19,FALSE))</f>
        <v/>
      </c>
      <c r="BD220" s="30" t="str">
        <f t="shared" si="39"/>
        <v>No</v>
      </c>
    </row>
    <row r="221" spans="2:56" ht="13.8" x14ac:dyDescent="0.25">
      <c r="B221" s="311" t="str">
        <f>'C-1 On-Site WaterC'' Baseline'!AP219</f>
        <v/>
      </c>
      <c r="C221" s="301" t="str">
        <f>IF(B221="","",VLOOKUP($B221,'C-1 On-Site WaterC'' Baseline'!$C$9:$R$257,2,FALSE))</f>
        <v/>
      </c>
      <c r="D221" s="301" t="str">
        <f>IF(C221="","",VLOOKUP($B221,'C-1 On-Site WaterC'' Baseline'!$C$9:$R$257,3,FALSE))</f>
        <v/>
      </c>
      <c r="E221" s="301" t="str">
        <f>IF(D221="","",VLOOKUP($B221,'C-1 On-Site WaterC'' Baseline'!$C$9:$R$257,4,FALSE))</f>
        <v/>
      </c>
      <c r="F221" s="301" t="str">
        <f>IF(E221="","",VLOOKUP($B221,'C-1 On-Site WaterC'' Baseline'!$C$9:$R$257,5,FALSE))</f>
        <v/>
      </c>
      <c r="G221" s="301" t="str">
        <f>IF(F221="","",VLOOKUP($B221,'C-1 On-Site WaterC'' Baseline'!$C$9:$R$257,6,FALSE))</f>
        <v/>
      </c>
      <c r="H221" s="301" t="str">
        <f>IF(G221="","",VLOOKUP($B221,'C-1 On-Site WaterC'' Baseline'!$C$9:$R$257,7,FALSE))</f>
        <v/>
      </c>
      <c r="I221" s="301" t="str">
        <f>IF(H221="","",VLOOKUP($B221,'C-1 On-Site WaterC'' Baseline'!$C$9:$R$257,8,FALSE))</f>
        <v/>
      </c>
      <c r="J221" s="301" t="str">
        <f>IF(I221="","",VLOOKUP($B221,'C-1 On-Site WaterC'' Baseline'!$C$9:$R$257,9,FALSE))</f>
        <v/>
      </c>
      <c r="K221" s="301" t="str">
        <f>IF(J221="","",VLOOKUP($B221,'C-1 On-Site WaterC'' Baseline'!$C$9:$R$257,10,FALSE))</f>
        <v/>
      </c>
      <c r="L221" s="301" t="str">
        <f>IF(B221="","",VLOOKUP($B221,'C-1 On-Site WaterC'' Baseline'!$C$9:$R$257,15,FALSE))</f>
        <v/>
      </c>
      <c r="M221" s="305" t="str">
        <f>IF(L221="","",VLOOKUP($B221,'C-1 On-Site WaterC'' Baseline'!$C$9:$R$257,16,FALSE))</f>
        <v/>
      </c>
      <c r="N221" s="251"/>
      <c r="O221" s="281" t="str">
        <f t="shared" si="31"/>
        <v/>
      </c>
      <c r="P221" s="282" t="str">
        <f t="shared" si="32"/>
        <v/>
      </c>
      <c r="Q221" s="342" t="str">
        <f>IF(N221="","",VLOOKUP(B221,'C-1 On-Site WaterC'' Baseline'!$C$10:$AC$257,20,FALSE))</f>
        <v/>
      </c>
      <c r="R221" s="281" t="str">
        <f>IF(N221="","",VLOOKUP(N221,'G-7 WaterC'' Data'!$B$2:$G$8,2,FALSE))</f>
        <v/>
      </c>
      <c r="S221" s="282" t="str">
        <f>IFERROR(VLOOKUP(R221,'G-7 WaterC'' Data'!$C$4:$D$8,2,FALSE),"")</f>
        <v/>
      </c>
      <c r="T221" s="105"/>
      <c r="U221" s="282" t="str">
        <f>IFERROR(INDEX('G-7 WaterC'' Data'!$H$4:$L$8,MATCH(N221,'G-7 WaterC'' Data'!$B$4:$B$8,0),MATCH(T221,'G-7 WaterC'' Data'!$H$3:$L$3,0)),"")</f>
        <v/>
      </c>
      <c r="V221" s="105"/>
      <c r="W221" s="289" t="str">
        <f>IF(V221="","",IF(VLOOKUP(V221,'G-7 WaterC'' Data'!$AK$4:$AM$6,2,FALSE)=0,"Spatial Data Missing ⚠",VLOOKUP(V221,'G-7 WaterC'' Data'!$AK$4:$AM$6,2,FALSE)))</f>
        <v/>
      </c>
      <c r="X221" s="282" t="str">
        <f>IF(V221="","",IF(VLOOKUP(V221,'G-7 WaterC'' Data'!$AK$4:$AM$6,3,FALSE)=0,"Spatial Data Missing ⚠",VLOOKUP(V221,'G-7 WaterC'' Data'!$AK$4:$AM$6,3,FALSE)))</f>
        <v/>
      </c>
      <c r="Y221" s="281" t="str">
        <f>IFERROR(IF(OR(LEFT(P221,5)="Error",LEFT(O221,5)="Error"),"Check Data ⚠",IF(F221&lt;S221,'G-7 WaterC'' Data'!$R$3,INDEX('G-7 WaterC'' Data'!$U$5:$Y$9,MATCH(G221,'G-7 WaterC'' Data'!$T$5:$T$9,0),MATCH(T221,'G-7 WaterC'' Data'!$U$4:$Y$4,0)))),"")</f>
        <v/>
      </c>
      <c r="Z221" s="137"/>
      <c r="AA221" s="137"/>
      <c r="AB221" s="289" t="str">
        <f t="shared" si="33"/>
        <v/>
      </c>
      <c r="AC221" s="302" t="str">
        <f t="shared" si="34"/>
        <v/>
      </c>
      <c r="AD221" s="340" t="str">
        <f>IFERROR(IF(AC221="Check Data ⚠","Check Data ⚠",VLOOKUP(AC221,'G-4 Temporal multipliers'!$A$4:$C$37,3,FALSE)),"")</f>
        <v/>
      </c>
      <c r="AE221" s="281" t="str">
        <f>IF(N221="","",VLOOKUP(N221,'G-7 WaterC'' Data'!$B$4:$G$8,5,FALSE))</f>
        <v/>
      </c>
      <c r="AF221" s="289" t="str">
        <f t="shared" si="35"/>
        <v/>
      </c>
      <c r="AG221" s="320" t="str">
        <f t="shared" si="36"/>
        <v/>
      </c>
      <c r="AH221" s="282" t="str">
        <f t="shared" si="30"/>
        <v/>
      </c>
      <c r="AI221" s="109"/>
      <c r="AJ221" s="282" t="str">
        <f>IF(AI221="","",IF(AND(AI221="N/A - Culvert",N221&lt;&gt;"Culvert"),"Not possible ▲",IF(VLOOKUP(AI221,'G-7 WaterC'' Data'!$AA$4:$AB$7,2,FALSE)=0,"Spatial Data Missing ⚠",VLOOKUP(AI221,'G-7 WaterC'' Data'!$AA$4:$AB$7,2,FALSE))))</f>
        <v/>
      </c>
      <c r="AK221" s="110"/>
      <c r="AL221" s="282" t="str">
        <f>IF(AK221="","",IF(AND(AK221="N/A - Culvert",N221&lt;&gt;"Culvert"),"Not possible ▲",IF(VLOOKUP(AK221,'G-7 WaterC'' Data'!$AD$4:$AE$14,2,FALSE)=0,"Spatial Data Missing ⚠",VLOOKUP(AK221,'G-7 WaterC'' Data'!$AD$4:$AE$14,2,FALSE))))</f>
        <v/>
      </c>
      <c r="AM221" s="323" t="str">
        <f t="shared" si="37"/>
        <v/>
      </c>
      <c r="AN221" s="105"/>
      <c r="AO221" s="119"/>
      <c r="AP221" s="108"/>
      <c r="AS221" s="30" t="str">
        <f>IF(B221="","",IF(ISNA(VLOOKUP($B221,'C-1 On-Site WaterC'' Baseline'!$C$8:$AD$257,17,FALSE)),"",(VLOOKUP($B221,'C-1 On-Site WaterC'' Baseline'!$C$8:$AD$257,17,FALSE))))</f>
        <v/>
      </c>
      <c r="AT221" s="30" t="str">
        <f>IF(B221="","",VLOOKUP($B221,'C-1 On-Site WaterC'' Baseline'!$C$9:$Z$257,12,FALSE))</f>
        <v/>
      </c>
      <c r="AU221" s="30" t="str">
        <f>IF(B221="","",VLOOKUP($B221,'C-1 On-Site WaterC'' Baseline'!$C$9:$Z$257,14,FALSE))</f>
        <v/>
      </c>
      <c r="AV221" s="30" t="str">
        <f>IFERROR(INDEX('G-7 WaterC'' Data'!$AZ$3:$AZ$7,MATCH(N221,'G-7 WaterC'' Data'!$AY$3:$AY$7,0)),"")</f>
        <v/>
      </c>
      <c r="AX221" s="30" t="str">
        <f>IF(B221="","",VLOOKUP($B221,'C-1 On-Site WaterC'' Baseline'!$C$9:$Y$257,22,FALSE))</f>
        <v/>
      </c>
      <c r="AY221" s="30" t="str">
        <f t="shared" si="38"/>
        <v/>
      </c>
      <c r="AZ221" s="30" t="str">
        <f>IF(B221="","",VLOOKUP($B221,'C-1 On-Site WaterC'' Baseline'!$C$9:$Y$257,21,FALSE))</f>
        <v/>
      </c>
      <c r="BA221" s="30" t="str">
        <f>IF(B221="","",VLOOKUP($B221,'C-1 On-Site WaterC'' Baseline'!$C$9:$Y$257,19,FALSE))</f>
        <v/>
      </c>
      <c r="BD221" s="30" t="str">
        <f t="shared" si="39"/>
        <v>No</v>
      </c>
    </row>
    <row r="222" spans="2:56" ht="13.8" x14ac:dyDescent="0.25">
      <c r="B222" s="311" t="str">
        <f>'C-1 On-Site WaterC'' Baseline'!AP220</f>
        <v/>
      </c>
      <c r="C222" s="301" t="str">
        <f>IF(B222="","",VLOOKUP($B222,'C-1 On-Site WaterC'' Baseline'!$C$9:$R$257,2,FALSE))</f>
        <v/>
      </c>
      <c r="D222" s="301" t="str">
        <f>IF(C222="","",VLOOKUP($B222,'C-1 On-Site WaterC'' Baseline'!$C$9:$R$257,3,FALSE))</f>
        <v/>
      </c>
      <c r="E222" s="301" t="str">
        <f>IF(D222="","",VLOOKUP($B222,'C-1 On-Site WaterC'' Baseline'!$C$9:$R$257,4,FALSE))</f>
        <v/>
      </c>
      <c r="F222" s="301" t="str">
        <f>IF(E222="","",VLOOKUP($B222,'C-1 On-Site WaterC'' Baseline'!$C$9:$R$257,5,FALSE))</f>
        <v/>
      </c>
      <c r="G222" s="301" t="str">
        <f>IF(F222="","",VLOOKUP($B222,'C-1 On-Site WaterC'' Baseline'!$C$9:$R$257,6,FALSE))</f>
        <v/>
      </c>
      <c r="H222" s="301" t="str">
        <f>IF(G222="","",VLOOKUP($B222,'C-1 On-Site WaterC'' Baseline'!$C$9:$R$257,7,FALSE))</f>
        <v/>
      </c>
      <c r="I222" s="301" t="str">
        <f>IF(H222="","",VLOOKUP($B222,'C-1 On-Site WaterC'' Baseline'!$C$9:$R$257,8,FALSE))</f>
        <v/>
      </c>
      <c r="J222" s="301" t="str">
        <f>IF(I222="","",VLOOKUP($B222,'C-1 On-Site WaterC'' Baseline'!$C$9:$R$257,9,FALSE))</f>
        <v/>
      </c>
      <c r="K222" s="301" t="str">
        <f>IF(J222="","",VLOOKUP($B222,'C-1 On-Site WaterC'' Baseline'!$C$9:$R$257,10,FALSE))</f>
        <v/>
      </c>
      <c r="L222" s="301" t="str">
        <f>IF(B222="","",VLOOKUP($B222,'C-1 On-Site WaterC'' Baseline'!$C$9:$R$257,15,FALSE))</f>
        <v/>
      </c>
      <c r="M222" s="305" t="str">
        <f>IF(L222="","",VLOOKUP($B222,'C-1 On-Site WaterC'' Baseline'!$C$9:$R$257,16,FALSE))</f>
        <v/>
      </c>
      <c r="N222" s="251"/>
      <c r="O222" s="281" t="str">
        <f t="shared" si="31"/>
        <v/>
      </c>
      <c r="P222" s="282" t="str">
        <f t="shared" si="32"/>
        <v/>
      </c>
      <c r="Q222" s="342" t="str">
        <f>IF(N222="","",VLOOKUP(B222,'C-1 On-Site WaterC'' Baseline'!$C$10:$AC$257,20,FALSE))</f>
        <v/>
      </c>
      <c r="R222" s="281" t="str">
        <f>IF(N222="","",VLOOKUP(N222,'G-7 WaterC'' Data'!$B$2:$G$8,2,FALSE))</f>
        <v/>
      </c>
      <c r="S222" s="282" t="str">
        <f>IFERROR(VLOOKUP(R222,'G-7 WaterC'' Data'!$C$4:$D$8,2,FALSE),"")</f>
        <v/>
      </c>
      <c r="T222" s="105"/>
      <c r="U222" s="282" t="str">
        <f>IFERROR(INDEX('G-7 WaterC'' Data'!$H$4:$L$8,MATCH(N222,'G-7 WaterC'' Data'!$B$4:$B$8,0),MATCH(T222,'G-7 WaterC'' Data'!$H$3:$L$3,0)),"")</f>
        <v/>
      </c>
      <c r="V222" s="105"/>
      <c r="W222" s="289" t="str">
        <f>IF(V222="","",IF(VLOOKUP(V222,'G-7 WaterC'' Data'!$AK$4:$AM$6,2,FALSE)=0,"Spatial Data Missing ⚠",VLOOKUP(V222,'G-7 WaterC'' Data'!$AK$4:$AM$6,2,FALSE)))</f>
        <v/>
      </c>
      <c r="X222" s="282" t="str">
        <f>IF(V222="","",IF(VLOOKUP(V222,'G-7 WaterC'' Data'!$AK$4:$AM$6,3,FALSE)=0,"Spatial Data Missing ⚠",VLOOKUP(V222,'G-7 WaterC'' Data'!$AK$4:$AM$6,3,FALSE)))</f>
        <v/>
      </c>
      <c r="Y222" s="281" t="str">
        <f>IFERROR(IF(OR(LEFT(P222,5)="Error",LEFT(O222,5)="Error"),"Check Data ⚠",IF(F222&lt;S222,'G-7 WaterC'' Data'!$R$3,INDEX('G-7 WaterC'' Data'!$U$5:$Y$9,MATCH(G222,'G-7 WaterC'' Data'!$T$5:$T$9,0),MATCH(T222,'G-7 WaterC'' Data'!$U$4:$Y$4,0)))),"")</f>
        <v/>
      </c>
      <c r="Z222" s="137"/>
      <c r="AA222" s="137"/>
      <c r="AB222" s="289" t="str">
        <f t="shared" si="33"/>
        <v/>
      </c>
      <c r="AC222" s="302" t="str">
        <f t="shared" si="34"/>
        <v/>
      </c>
      <c r="AD222" s="340" t="str">
        <f>IFERROR(IF(AC222="Check Data ⚠","Check Data ⚠",VLOOKUP(AC222,'G-4 Temporal multipliers'!$A$4:$C$37,3,FALSE)),"")</f>
        <v/>
      </c>
      <c r="AE222" s="281" t="str">
        <f>IF(N222="","",VLOOKUP(N222,'G-7 WaterC'' Data'!$B$4:$G$8,5,FALSE))</f>
        <v/>
      </c>
      <c r="AF222" s="289" t="str">
        <f t="shared" si="35"/>
        <v/>
      </c>
      <c r="AG222" s="320" t="str">
        <f t="shared" si="36"/>
        <v/>
      </c>
      <c r="AH222" s="282" t="str">
        <f t="shared" si="30"/>
        <v/>
      </c>
      <c r="AI222" s="109"/>
      <c r="AJ222" s="282" t="str">
        <f>IF(AI222="","",IF(AND(AI222="N/A - Culvert",N222&lt;&gt;"Culvert"),"Not possible ▲",IF(VLOOKUP(AI222,'G-7 WaterC'' Data'!$AA$4:$AB$7,2,FALSE)=0,"Spatial Data Missing ⚠",VLOOKUP(AI222,'G-7 WaterC'' Data'!$AA$4:$AB$7,2,FALSE))))</f>
        <v/>
      </c>
      <c r="AK222" s="110"/>
      <c r="AL222" s="282" t="str">
        <f>IF(AK222="","",IF(AND(AK222="N/A - Culvert",N222&lt;&gt;"Culvert"),"Not possible ▲",IF(VLOOKUP(AK222,'G-7 WaterC'' Data'!$AD$4:$AE$14,2,FALSE)=0,"Spatial Data Missing ⚠",VLOOKUP(AK222,'G-7 WaterC'' Data'!$AD$4:$AE$14,2,FALSE))))</f>
        <v/>
      </c>
      <c r="AM222" s="323" t="str">
        <f t="shared" si="37"/>
        <v/>
      </c>
      <c r="AN222" s="105"/>
      <c r="AO222" s="119"/>
      <c r="AP222" s="108"/>
      <c r="AS222" s="30" t="str">
        <f>IF(B222="","",IF(ISNA(VLOOKUP($B222,'C-1 On-Site WaterC'' Baseline'!$C$8:$AD$257,17,FALSE)),"",(VLOOKUP($B222,'C-1 On-Site WaterC'' Baseline'!$C$8:$AD$257,17,FALSE))))</f>
        <v/>
      </c>
      <c r="AT222" s="30" t="str">
        <f>IF(B222="","",VLOOKUP($B222,'C-1 On-Site WaterC'' Baseline'!$C$9:$Z$257,12,FALSE))</f>
        <v/>
      </c>
      <c r="AU222" s="30" t="str">
        <f>IF(B222="","",VLOOKUP($B222,'C-1 On-Site WaterC'' Baseline'!$C$9:$Z$257,14,FALSE))</f>
        <v/>
      </c>
      <c r="AV222" s="30" t="str">
        <f>IFERROR(INDEX('G-7 WaterC'' Data'!$AZ$3:$AZ$7,MATCH(N222,'G-7 WaterC'' Data'!$AY$3:$AY$7,0)),"")</f>
        <v/>
      </c>
      <c r="AX222" s="30" t="str">
        <f>IF(B222="","",VLOOKUP($B222,'C-1 On-Site WaterC'' Baseline'!$C$9:$Y$257,22,FALSE))</f>
        <v/>
      </c>
      <c r="AY222" s="30" t="str">
        <f t="shared" si="38"/>
        <v/>
      </c>
      <c r="AZ222" s="30" t="str">
        <f>IF(B222="","",VLOOKUP($B222,'C-1 On-Site WaterC'' Baseline'!$C$9:$Y$257,21,FALSE))</f>
        <v/>
      </c>
      <c r="BA222" s="30" t="str">
        <f>IF(B222="","",VLOOKUP($B222,'C-1 On-Site WaterC'' Baseline'!$C$9:$Y$257,19,FALSE))</f>
        <v/>
      </c>
      <c r="BD222" s="30" t="str">
        <f t="shared" si="39"/>
        <v>No</v>
      </c>
    </row>
    <row r="223" spans="2:56" ht="13.8" x14ac:dyDescent="0.25">
      <c r="B223" s="311" t="str">
        <f>'C-1 On-Site WaterC'' Baseline'!AP221</f>
        <v/>
      </c>
      <c r="C223" s="301" t="str">
        <f>IF(B223="","",VLOOKUP($B223,'C-1 On-Site WaterC'' Baseline'!$C$9:$R$257,2,FALSE))</f>
        <v/>
      </c>
      <c r="D223" s="301" t="str">
        <f>IF(C223="","",VLOOKUP($B223,'C-1 On-Site WaterC'' Baseline'!$C$9:$R$257,3,FALSE))</f>
        <v/>
      </c>
      <c r="E223" s="301" t="str">
        <f>IF(D223="","",VLOOKUP($B223,'C-1 On-Site WaterC'' Baseline'!$C$9:$R$257,4,FALSE))</f>
        <v/>
      </c>
      <c r="F223" s="301" t="str">
        <f>IF(E223="","",VLOOKUP($B223,'C-1 On-Site WaterC'' Baseline'!$C$9:$R$257,5,FALSE))</f>
        <v/>
      </c>
      <c r="G223" s="301" t="str">
        <f>IF(F223="","",VLOOKUP($B223,'C-1 On-Site WaterC'' Baseline'!$C$9:$R$257,6,FALSE))</f>
        <v/>
      </c>
      <c r="H223" s="301" t="str">
        <f>IF(G223="","",VLOOKUP($B223,'C-1 On-Site WaterC'' Baseline'!$C$9:$R$257,7,FALSE))</f>
        <v/>
      </c>
      <c r="I223" s="301" t="str">
        <f>IF(H223="","",VLOOKUP($B223,'C-1 On-Site WaterC'' Baseline'!$C$9:$R$257,8,FALSE))</f>
        <v/>
      </c>
      <c r="J223" s="301" t="str">
        <f>IF(I223="","",VLOOKUP($B223,'C-1 On-Site WaterC'' Baseline'!$C$9:$R$257,9,FALSE))</f>
        <v/>
      </c>
      <c r="K223" s="301" t="str">
        <f>IF(J223="","",VLOOKUP($B223,'C-1 On-Site WaterC'' Baseline'!$C$9:$R$257,10,FALSE))</f>
        <v/>
      </c>
      <c r="L223" s="301" t="str">
        <f>IF(B223="","",VLOOKUP($B223,'C-1 On-Site WaterC'' Baseline'!$C$9:$R$257,15,FALSE))</f>
        <v/>
      </c>
      <c r="M223" s="305" t="str">
        <f>IF(L223="","",VLOOKUP($B223,'C-1 On-Site WaterC'' Baseline'!$C$9:$R$257,16,FALSE))</f>
        <v/>
      </c>
      <c r="N223" s="251"/>
      <c r="O223" s="281" t="str">
        <f t="shared" si="31"/>
        <v/>
      </c>
      <c r="P223" s="282" t="str">
        <f t="shared" si="32"/>
        <v/>
      </c>
      <c r="Q223" s="342" t="str">
        <f>IF(N223="","",VLOOKUP(B223,'C-1 On-Site WaterC'' Baseline'!$C$10:$AC$257,20,FALSE))</f>
        <v/>
      </c>
      <c r="R223" s="281" t="str">
        <f>IF(N223="","",VLOOKUP(N223,'G-7 WaterC'' Data'!$B$2:$G$8,2,FALSE))</f>
        <v/>
      </c>
      <c r="S223" s="282" t="str">
        <f>IFERROR(VLOOKUP(R223,'G-7 WaterC'' Data'!$C$4:$D$8,2,FALSE),"")</f>
        <v/>
      </c>
      <c r="T223" s="105"/>
      <c r="U223" s="282" t="str">
        <f>IFERROR(INDEX('G-7 WaterC'' Data'!$H$4:$L$8,MATCH(N223,'G-7 WaterC'' Data'!$B$4:$B$8,0),MATCH(T223,'G-7 WaterC'' Data'!$H$3:$L$3,0)),"")</f>
        <v/>
      </c>
      <c r="V223" s="105"/>
      <c r="W223" s="289" t="str">
        <f>IF(V223="","",IF(VLOOKUP(V223,'G-7 WaterC'' Data'!$AK$4:$AM$6,2,FALSE)=0,"Spatial Data Missing ⚠",VLOOKUP(V223,'G-7 WaterC'' Data'!$AK$4:$AM$6,2,FALSE)))</f>
        <v/>
      </c>
      <c r="X223" s="282" t="str">
        <f>IF(V223="","",IF(VLOOKUP(V223,'G-7 WaterC'' Data'!$AK$4:$AM$6,3,FALSE)=0,"Spatial Data Missing ⚠",VLOOKUP(V223,'G-7 WaterC'' Data'!$AK$4:$AM$6,3,FALSE)))</f>
        <v/>
      </c>
      <c r="Y223" s="281" t="str">
        <f>IFERROR(IF(OR(LEFT(P223,5)="Error",LEFT(O223,5)="Error"),"Check Data ⚠",IF(F223&lt;S223,'G-7 WaterC'' Data'!$R$3,INDEX('G-7 WaterC'' Data'!$U$5:$Y$9,MATCH(G223,'G-7 WaterC'' Data'!$T$5:$T$9,0),MATCH(T223,'G-7 WaterC'' Data'!$U$4:$Y$4,0)))),"")</f>
        <v/>
      </c>
      <c r="Z223" s="137"/>
      <c r="AA223" s="137"/>
      <c r="AB223" s="289" t="str">
        <f t="shared" si="33"/>
        <v/>
      </c>
      <c r="AC223" s="302" t="str">
        <f t="shared" si="34"/>
        <v/>
      </c>
      <c r="AD223" s="340" t="str">
        <f>IFERROR(IF(AC223="Check Data ⚠","Check Data ⚠",VLOOKUP(AC223,'G-4 Temporal multipliers'!$A$4:$C$37,3,FALSE)),"")</f>
        <v/>
      </c>
      <c r="AE223" s="281" t="str">
        <f>IF(N223="","",VLOOKUP(N223,'G-7 WaterC'' Data'!$B$4:$G$8,5,FALSE))</f>
        <v/>
      </c>
      <c r="AF223" s="289" t="str">
        <f t="shared" si="35"/>
        <v/>
      </c>
      <c r="AG223" s="320" t="str">
        <f t="shared" si="36"/>
        <v/>
      </c>
      <c r="AH223" s="282" t="str">
        <f t="shared" si="30"/>
        <v/>
      </c>
      <c r="AI223" s="109"/>
      <c r="AJ223" s="282" t="str">
        <f>IF(AI223="","",IF(AND(AI223="N/A - Culvert",N223&lt;&gt;"Culvert"),"Not possible ▲",IF(VLOOKUP(AI223,'G-7 WaterC'' Data'!$AA$4:$AB$7,2,FALSE)=0,"Spatial Data Missing ⚠",VLOOKUP(AI223,'G-7 WaterC'' Data'!$AA$4:$AB$7,2,FALSE))))</f>
        <v/>
      </c>
      <c r="AK223" s="110"/>
      <c r="AL223" s="282" t="str">
        <f>IF(AK223="","",IF(AND(AK223="N/A - Culvert",N223&lt;&gt;"Culvert"),"Not possible ▲",IF(VLOOKUP(AK223,'G-7 WaterC'' Data'!$AD$4:$AE$14,2,FALSE)=0,"Spatial Data Missing ⚠",VLOOKUP(AK223,'G-7 WaterC'' Data'!$AD$4:$AE$14,2,FALSE))))</f>
        <v/>
      </c>
      <c r="AM223" s="323" t="str">
        <f t="shared" si="37"/>
        <v/>
      </c>
      <c r="AN223" s="105"/>
      <c r="AO223" s="119"/>
      <c r="AP223" s="108"/>
      <c r="AS223" s="30" t="str">
        <f>IF(B223="","",IF(ISNA(VLOOKUP($B223,'C-1 On-Site WaterC'' Baseline'!$C$8:$AD$257,17,FALSE)),"",(VLOOKUP($B223,'C-1 On-Site WaterC'' Baseline'!$C$8:$AD$257,17,FALSE))))</f>
        <v/>
      </c>
      <c r="AT223" s="30" t="str">
        <f>IF(B223="","",VLOOKUP($B223,'C-1 On-Site WaterC'' Baseline'!$C$9:$Z$257,12,FALSE))</f>
        <v/>
      </c>
      <c r="AU223" s="30" t="str">
        <f>IF(B223="","",VLOOKUP($B223,'C-1 On-Site WaterC'' Baseline'!$C$9:$Z$257,14,FALSE))</f>
        <v/>
      </c>
      <c r="AV223" s="30" t="str">
        <f>IFERROR(INDEX('G-7 WaterC'' Data'!$AZ$3:$AZ$7,MATCH(N223,'G-7 WaterC'' Data'!$AY$3:$AY$7,0)),"")</f>
        <v/>
      </c>
      <c r="AX223" s="30" t="str">
        <f>IF(B223="","",VLOOKUP($B223,'C-1 On-Site WaterC'' Baseline'!$C$9:$Y$257,22,FALSE))</f>
        <v/>
      </c>
      <c r="AY223" s="30" t="str">
        <f t="shared" si="38"/>
        <v/>
      </c>
      <c r="AZ223" s="30" t="str">
        <f>IF(B223="","",VLOOKUP($B223,'C-1 On-Site WaterC'' Baseline'!$C$9:$Y$257,21,FALSE))</f>
        <v/>
      </c>
      <c r="BA223" s="30" t="str">
        <f>IF(B223="","",VLOOKUP($B223,'C-1 On-Site WaterC'' Baseline'!$C$9:$Y$257,19,FALSE))</f>
        <v/>
      </c>
      <c r="BD223" s="30" t="str">
        <f t="shared" si="39"/>
        <v>No</v>
      </c>
    </row>
    <row r="224" spans="2:56" ht="13.8" x14ac:dyDescent="0.25">
      <c r="B224" s="311" t="str">
        <f>'C-1 On-Site WaterC'' Baseline'!AP222</f>
        <v/>
      </c>
      <c r="C224" s="301" t="str">
        <f>IF(B224="","",VLOOKUP($B224,'C-1 On-Site WaterC'' Baseline'!$C$9:$R$257,2,FALSE))</f>
        <v/>
      </c>
      <c r="D224" s="301" t="str">
        <f>IF(C224="","",VLOOKUP($B224,'C-1 On-Site WaterC'' Baseline'!$C$9:$R$257,3,FALSE))</f>
        <v/>
      </c>
      <c r="E224" s="301" t="str">
        <f>IF(D224="","",VLOOKUP($B224,'C-1 On-Site WaterC'' Baseline'!$C$9:$R$257,4,FALSE))</f>
        <v/>
      </c>
      <c r="F224" s="301" t="str">
        <f>IF(E224="","",VLOOKUP($B224,'C-1 On-Site WaterC'' Baseline'!$C$9:$R$257,5,FALSE))</f>
        <v/>
      </c>
      <c r="G224" s="301" t="str">
        <f>IF(F224="","",VLOOKUP($B224,'C-1 On-Site WaterC'' Baseline'!$C$9:$R$257,6,FALSE))</f>
        <v/>
      </c>
      <c r="H224" s="301" t="str">
        <f>IF(G224="","",VLOOKUP($B224,'C-1 On-Site WaterC'' Baseline'!$C$9:$R$257,7,FALSE))</f>
        <v/>
      </c>
      <c r="I224" s="301" t="str">
        <f>IF(H224="","",VLOOKUP($B224,'C-1 On-Site WaterC'' Baseline'!$C$9:$R$257,8,FALSE))</f>
        <v/>
      </c>
      <c r="J224" s="301" t="str">
        <f>IF(I224="","",VLOOKUP($B224,'C-1 On-Site WaterC'' Baseline'!$C$9:$R$257,9,FALSE))</f>
        <v/>
      </c>
      <c r="K224" s="301" t="str">
        <f>IF(J224="","",VLOOKUP($B224,'C-1 On-Site WaterC'' Baseline'!$C$9:$R$257,10,FALSE))</f>
        <v/>
      </c>
      <c r="L224" s="301" t="str">
        <f>IF(B224="","",VLOOKUP($B224,'C-1 On-Site WaterC'' Baseline'!$C$9:$R$257,15,FALSE))</f>
        <v/>
      </c>
      <c r="M224" s="305" t="str">
        <f>IF(L224="","",VLOOKUP($B224,'C-1 On-Site WaterC'' Baseline'!$C$9:$R$257,16,FALSE))</f>
        <v/>
      </c>
      <c r="N224" s="251"/>
      <c r="O224" s="281" t="str">
        <f t="shared" si="31"/>
        <v/>
      </c>
      <c r="P224" s="282" t="str">
        <f t="shared" si="32"/>
        <v/>
      </c>
      <c r="Q224" s="342" t="str">
        <f>IF(N224="","",VLOOKUP(B224,'C-1 On-Site WaterC'' Baseline'!$C$10:$AC$257,20,FALSE))</f>
        <v/>
      </c>
      <c r="R224" s="281" t="str">
        <f>IF(N224="","",VLOOKUP(N224,'G-7 WaterC'' Data'!$B$2:$G$8,2,FALSE))</f>
        <v/>
      </c>
      <c r="S224" s="282" t="str">
        <f>IFERROR(VLOOKUP(R224,'G-7 WaterC'' Data'!$C$4:$D$8,2,FALSE),"")</f>
        <v/>
      </c>
      <c r="T224" s="105"/>
      <c r="U224" s="282" t="str">
        <f>IFERROR(INDEX('G-7 WaterC'' Data'!$H$4:$L$8,MATCH(N224,'G-7 WaterC'' Data'!$B$4:$B$8,0),MATCH(T224,'G-7 WaterC'' Data'!$H$3:$L$3,0)),"")</f>
        <v/>
      </c>
      <c r="V224" s="105"/>
      <c r="W224" s="289" t="str">
        <f>IF(V224="","",IF(VLOOKUP(V224,'G-7 WaterC'' Data'!$AK$4:$AM$6,2,FALSE)=0,"Spatial Data Missing ⚠",VLOOKUP(V224,'G-7 WaterC'' Data'!$AK$4:$AM$6,2,FALSE)))</f>
        <v/>
      </c>
      <c r="X224" s="282" t="str">
        <f>IF(V224="","",IF(VLOOKUP(V224,'G-7 WaterC'' Data'!$AK$4:$AM$6,3,FALSE)=0,"Spatial Data Missing ⚠",VLOOKUP(V224,'G-7 WaterC'' Data'!$AK$4:$AM$6,3,FALSE)))</f>
        <v/>
      </c>
      <c r="Y224" s="281" t="str">
        <f>IFERROR(IF(OR(LEFT(P224,5)="Error",LEFT(O224,5)="Error"),"Check Data ⚠",IF(F224&lt;S224,'G-7 WaterC'' Data'!$R$3,INDEX('G-7 WaterC'' Data'!$U$5:$Y$9,MATCH(G224,'G-7 WaterC'' Data'!$T$5:$T$9,0),MATCH(T224,'G-7 WaterC'' Data'!$U$4:$Y$4,0)))),"")</f>
        <v/>
      </c>
      <c r="Z224" s="137"/>
      <c r="AA224" s="137"/>
      <c r="AB224" s="289" t="str">
        <f t="shared" si="33"/>
        <v/>
      </c>
      <c r="AC224" s="302" t="str">
        <f t="shared" si="34"/>
        <v/>
      </c>
      <c r="AD224" s="340" t="str">
        <f>IFERROR(IF(AC224="Check Data ⚠","Check Data ⚠",VLOOKUP(AC224,'G-4 Temporal multipliers'!$A$4:$C$37,3,FALSE)),"")</f>
        <v/>
      </c>
      <c r="AE224" s="281" t="str">
        <f>IF(N224="","",VLOOKUP(N224,'G-7 WaterC'' Data'!$B$4:$G$8,5,FALSE))</f>
        <v/>
      </c>
      <c r="AF224" s="289" t="str">
        <f t="shared" si="35"/>
        <v/>
      </c>
      <c r="AG224" s="320" t="str">
        <f t="shared" si="36"/>
        <v/>
      </c>
      <c r="AH224" s="282" t="str">
        <f t="shared" si="30"/>
        <v/>
      </c>
      <c r="AI224" s="109"/>
      <c r="AJ224" s="282" t="str">
        <f>IF(AI224="","",IF(AND(AI224="N/A - Culvert",N224&lt;&gt;"Culvert"),"Not possible ▲",IF(VLOOKUP(AI224,'G-7 WaterC'' Data'!$AA$4:$AB$7,2,FALSE)=0,"Spatial Data Missing ⚠",VLOOKUP(AI224,'G-7 WaterC'' Data'!$AA$4:$AB$7,2,FALSE))))</f>
        <v/>
      </c>
      <c r="AK224" s="110"/>
      <c r="AL224" s="282" t="str">
        <f>IF(AK224="","",IF(AND(AK224="N/A - Culvert",N224&lt;&gt;"Culvert"),"Not possible ▲",IF(VLOOKUP(AK224,'G-7 WaterC'' Data'!$AD$4:$AE$14,2,FALSE)=0,"Spatial Data Missing ⚠",VLOOKUP(AK224,'G-7 WaterC'' Data'!$AD$4:$AE$14,2,FALSE))))</f>
        <v/>
      </c>
      <c r="AM224" s="323" t="str">
        <f t="shared" si="37"/>
        <v/>
      </c>
      <c r="AN224" s="105"/>
      <c r="AO224" s="119"/>
      <c r="AP224" s="108"/>
      <c r="AS224" s="30" t="str">
        <f>IF(B224="","",IF(ISNA(VLOOKUP($B224,'C-1 On-Site WaterC'' Baseline'!$C$8:$AD$257,17,FALSE)),"",(VLOOKUP($B224,'C-1 On-Site WaterC'' Baseline'!$C$8:$AD$257,17,FALSE))))</f>
        <v/>
      </c>
      <c r="AT224" s="30" t="str">
        <f>IF(B224="","",VLOOKUP($B224,'C-1 On-Site WaterC'' Baseline'!$C$9:$Z$257,12,FALSE))</f>
        <v/>
      </c>
      <c r="AU224" s="30" t="str">
        <f>IF(B224="","",VLOOKUP($B224,'C-1 On-Site WaterC'' Baseline'!$C$9:$Z$257,14,FALSE))</f>
        <v/>
      </c>
      <c r="AV224" s="30" t="str">
        <f>IFERROR(INDEX('G-7 WaterC'' Data'!$AZ$3:$AZ$7,MATCH(N224,'G-7 WaterC'' Data'!$AY$3:$AY$7,0)),"")</f>
        <v/>
      </c>
      <c r="AX224" s="30" t="str">
        <f>IF(B224="","",VLOOKUP($B224,'C-1 On-Site WaterC'' Baseline'!$C$9:$Y$257,22,FALSE))</f>
        <v/>
      </c>
      <c r="AY224" s="30" t="str">
        <f t="shared" si="38"/>
        <v/>
      </c>
      <c r="AZ224" s="30" t="str">
        <f>IF(B224="","",VLOOKUP($B224,'C-1 On-Site WaterC'' Baseline'!$C$9:$Y$257,21,FALSE))</f>
        <v/>
      </c>
      <c r="BA224" s="30" t="str">
        <f>IF(B224="","",VLOOKUP($B224,'C-1 On-Site WaterC'' Baseline'!$C$9:$Y$257,19,FALSE))</f>
        <v/>
      </c>
      <c r="BD224" s="30" t="str">
        <f t="shared" si="39"/>
        <v>No</v>
      </c>
    </row>
    <row r="225" spans="2:56" ht="13.8" x14ac:dyDescent="0.25">
      <c r="B225" s="311" t="str">
        <f>'C-1 On-Site WaterC'' Baseline'!AP223</f>
        <v/>
      </c>
      <c r="C225" s="301" t="str">
        <f>IF(B225="","",VLOOKUP($B225,'C-1 On-Site WaterC'' Baseline'!$C$9:$R$257,2,FALSE))</f>
        <v/>
      </c>
      <c r="D225" s="301" t="str">
        <f>IF(C225="","",VLOOKUP($B225,'C-1 On-Site WaterC'' Baseline'!$C$9:$R$257,3,FALSE))</f>
        <v/>
      </c>
      <c r="E225" s="301" t="str">
        <f>IF(D225="","",VLOOKUP($B225,'C-1 On-Site WaterC'' Baseline'!$C$9:$R$257,4,FALSE))</f>
        <v/>
      </c>
      <c r="F225" s="301" t="str">
        <f>IF(E225="","",VLOOKUP($B225,'C-1 On-Site WaterC'' Baseline'!$C$9:$R$257,5,FALSE))</f>
        <v/>
      </c>
      <c r="G225" s="301" t="str">
        <f>IF(F225="","",VLOOKUP($B225,'C-1 On-Site WaterC'' Baseline'!$C$9:$R$257,6,FALSE))</f>
        <v/>
      </c>
      <c r="H225" s="301" t="str">
        <f>IF(G225="","",VLOOKUP($B225,'C-1 On-Site WaterC'' Baseline'!$C$9:$R$257,7,FALSE))</f>
        <v/>
      </c>
      <c r="I225" s="301" t="str">
        <f>IF(H225="","",VLOOKUP($B225,'C-1 On-Site WaterC'' Baseline'!$C$9:$R$257,8,FALSE))</f>
        <v/>
      </c>
      <c r="J225" s="301" t="str">
        <f>IF(I225="","",VLOOKUP($B225,'C-1 On-Site WaterC'' Baseline'!$C$9:$R$257,9,FALSE))</f>
        <v/>
      </c>
      <c r="K225" s="301" t="str">
        <f>IF(J225="","",VLOOKUP($B225,'C-1 On-Site WaterC'' Baseline'!$C$9:$R$257,10,FALSE))</f>
        <v/>
      </c>
      <c r="L225" s="301" t="str">
        <f>IF(B225="","",VLOOKUP($B225,'C-1 On-Site WaterC'' Baseline'!$C$9:$R$257,15,FALSE))</f>
        <v/>
      </c>
      <c r="M225" s="305" t="str">
        <f>IF(L225="","",VLOOKUP($B225,'C-1 On-Site WaterC'' Baseline'!$C$9:$R$257,16,FALSE))</f>
        <v/>
      </c>
      <c r="N225" s="251"/>
      <c r="O225" s="281" t="str">
        <f t="shared" si="31"/>
        <v/>
      </c>
      <c r="P225" s="282" t="str">
        <f t="shared" si="32"/>
        <v/>
      </c>
      <c r="Q225" s="342" t="str">
        <f>IF(N225="","",VLOOKUP(B225,'C-1 On-Site WaterC'' Baseline'!$C$10:$AC$257,20,FALSE))</f>
        <v/>
      </c>
      <c r="R225" s="281" t="str">
        <f>IF(N225="","",VLOOKUP(N225,'G-7 WaterC'' Data'!$B$2:$G$8,2,FALSE))</f>
        <v/>
      </c>
      <c r="S225" s="282" t="str">
        <f>IFERROR(VLOOKUP(R225,'G-7 WaterC'' Data'!$C$4:$D$8,2,FALSE),"")</f>
        <v/>
      </c>
      <c r="T225" s="105"/>
      <c r="U225" s="282" t="str">
        <f>IFERROR(INDEX('G-7 WaterC'' Data'!$H$4:$L$8,MATCH(N225,'G-7 WaterC'' Data'!$B$4:$B$8,0),MATCH(T225,'G-7 WaterC'' Data'!$H$3:$L$3,0)),"")</f>
        <v/>
      </c>
      <c r="V225" s="105"/>
      <c r="W225" s="289" t="str">
        <f>IF(V225="","",IF(VLOOKUP(V225,'G-7 WaterC'' Data'!$AK$4:$AM$6,2,FALSE)=0,"Spatial Data Missing ⚠",VLOOKUP(V225,'G-7 WaterC'' Data'!$AK$4:$AM$6,2,FALSE)))</f>
        <v/>
      </c>
      <c r="X225" s="282" t="str">
        <f>IF(V225="","",IF(VLOOKUP(V225,'G-7 WaterC'' Data'!$AK$4:$AM$6,3,FALSE)=0,"Spatial Data Missing ⚠",VLOOKUP(V225,'G-7 WaterC'' Data'!$AK$4:$AM$6,3,FALSE)))</f>
        <v/>
      </c>
      <c r="Y225" s="281" t="str">
        <f>IFERROR(IF(OR(LEFT(P225,5)="Error",LEFT(O225,5)="Error"),"Check Data ⚠",IF(F225&lt;S225,'G-7 WaterC'' Data'!$R$3,INDEX('G-7 WaterC'' Data'!$U$5:$Y$9,MATCH(G225,'G-7 WaterC'' Data'!$T$5:$T$9,0),MATCH(T225,'G-7 WaterC'' Data'!$U$4:$Y$4,0)))),"")</f>
        <v/>
      </c>
      <c r="Z225" s="137"/>
      <c r="AA225" s="137"/>
      <c r="AB225" s="289" t="str">
        <f t="shared" si="33"/>
        <v/>
      </c>
      <c r="AC225" s="302" t="str">
        <f t="shared" si="34"/>
        <v/>
      </c>
      <c r="AD225" s="340" t="str">
        <f>IFERROR(IF(AC225="Check Data ⚠","Check Data ⚠",VLOOKUP(AC225,'G-4 Temporal multipliers'!$A$4:$C$37,3,FALSE)),"")</f>
        <v/>
      </c>
      <c r="AE225" s="281" t="str">
        <f>IF(N225="","",VLOOKUP(N225,'G-7 WaterC'' Data'!$B$4:$G$8,5,FALSE))</f>
        <v/>
      </c>
      <c r="AF225" s="289" t="str">
        <f t="shared" si="35"/>
        <v/>
      </c>
      <c r="AG225" s="320" t="str">
        <f t="shared" si="36"/>
        <v/>
      </c>
      <c r="AH225" s="282" t="str">
        <f t="shared" si="30"/>
        <v/>
      </c>
      <c r="AI225" s="109"/>
      <c r="AJ225" s="282" t="str">
        <f>IF(AI225="","",IF(AND(AI225="N/A - Culvert",N225&lt;&gt;"Culvert"),"Not possible ▲",IF(VLOOKUP(AI225,'G-7 WaterC'' Data'!$AA$4:$AB$7,2,FALSE)=0,"Spatial Data Missing ⚠",VLOOKUP(AI225,'G-7 WaterC'' Data'!$AA$4:$AB$7,2,FALSE))))</f>
        <v/>
      </c>
      <c r="AK225" s="110"/>
      <c r="AL225" s="282" t="str">
        <f>IF(AK225="","",IF(AND(AK225="N/A - Culvert",N225&lt;&gt;"Culvert"),"Not possible ▲",IF(VLOOKUP(AK225,'G-7 WaterC'' Data'!$AD$4:$AE$14,2,FALSE)=0,"Spatial Data Missing ⚠",VLOOKUP(AK225,'G-7 WaterC'' Data'!$AD$4:$AE$14,2,FALSE))))</f>
        <v/>
      </c>
      <c r="AM225" s="323" t="str">
        <f t="shared" si="37"/>
        <v/>
      </c>
      <c r="AN225" s="105"/>
      <c r="AO225" s="119"/>
      <c r="AP225" s="108"/>
      <c r="AS225" s="30" t="str">
        <f>IF(B225="","",IF(ISNA(VLOOKUP($B225,'C-1 On-Site WaterC'' Baseline'!$C$8:$AD$257,17,FALSE)),"",(VLOOKUP($B225,'C-1 On-Site WaterC'' Baseline'!$C$8:$AD$257,17,FALSE))))</f>
        <v/>
      </c>
      <c r="AT225" s="30" t="str">
        <f>IF(B225="","",VLOOKUP($B225,'C-1 On-Site WaterC'' Baseline'!$C$9:$Z$257,12,FALSE))</f>
        <v/>
      </c>
      <c r="AU225" s="30" t="str">
        <f>IF(B225="","",VLOOKUP($B225,'C-1 On-Site WaterC'' Baseline'!$C$9:$Z$257,14,FALSE))</f>
        <v/>
      </c>
      <c r="AV225" s="30" t="str">
        <f>IFERROR(INDEX('G-7 WaterC'' Data'!$AZ$3:$AZ$7,MATCH(N225,'G-7 WaterC'' Data'!$AY$3:$AY$7,0)),"")</f>
        <v/>
      </c>
      <c r="AX225" s="30" t="str">
        <f>IF(B225="","",VLOOKUP($B225,'C-1 On-Site WaterC'' Baseline'!$C$9:$Y$257,22,FALSE))</f>
        <v/>
      </c>
      <c r="AY225" s="30" t="str">
        <f t="shared" si="38"/>
        <v/>
      </c>
      <c r="AZ225" s="30" t="str">
        <f>IF(B225="","",VLOOKUP($B225,'C-1 On-Site WaterC'' Baseline'!$C$9:$Y$257,21,FALSE))</f>
        <v/>
      </c>
      <c r="BA225" s="30" t="str">
        <f>IF(B225="","",VLOOKUP($B225,'C-1 On-Site WaterC'' Baseline'!$C$9:$Y$257,19,FALSE))</f>
        <v/>
      </c>
      <c r="BD225" s="30" t="str">
        <f t="shared" si="39"/>
        <v>No</v>
      </c>
    </row>
    <row r="226" spans="2:56" ht="13.8" x14ac:dyDescent="0.25">
      <c r="B226" s="311" t="str">
        <f>'C-1 On-Site WaterC'' Baseline'!AP224</f>
        <v/>
      </c>
      <c r="C226" s="301" t="str">
        <f>IF(B226="","",VLOOKUP($B226,'C-1 On-Site WaterC'' Baseline'!$C$9:$R$257,2,FALSE))</f>
        <v/>
      </c>
      <c r="D226" s="301" t="str">
        <f>IF(C226="","",VLOOKUP($B226,'C-1 On-Site WaterC'' Baseline'!$C$9:$R$257,3,FALSE))</f>
        <v/>
      </c>
      <c r="E226" s="301" t="str">
        <f>IF(D226="","",VLOOKUP($B226,'C-1 On-Site WaterC'' Baseline'!$C$9:$R$257,4,FALSE))</f>
        <v/>
      </c>
      <c r="F226" s="301" t="str">
        <f>IF(E226="","",VLOOKUP($B226,'C-1 On-Site WaterC'' Baseline'!$C$9:$R$257,5,FALSE))</f>
        <v/>
      </c>
      <c r="G226" s="301" t="str">
        <f>IF(F226="","",VLOOKUP($B226,'C-1 On-Site WaterC'' Baseline'!$C$9:$R$257,6,FALSE))</f>
        <v/>
      </c>
      <c r="H226" s="301" t="str">
        <f>IF(G226="","",VLOOKUP($B226,'C-1 On-Site WaterC'' Baseline'!$C$9:$R$257,7,FALSE))</f>
        <v/>
      </c>
      <c r="I226" s="301" t="str">
        <f>IF(H226="","",VLOOKUP($B226,'C-1 On-Site WaterC'' Baseline'!$C$9:$R$257,8,FALSE))</f>
        <v/>
      </c>
      <c r="J226" s="301" t="str">
        <f>IF(I226="","",VLOOKUP($B226,'C-1 On-Site WaterC'' Baseline'!$C$9:$R$257,9,FALSE))</f>
        <v/>
      </c>
      <c r="K226" s="301" t="str">
        <f>IF(J226="","",VLOOKUP($B226,'C-1 On-Site WaterC'' Baseline'!$C$9:$R$257,10,FALSE))</f>
        <v/>
      </c>
      <c r="L226" s="301" t="str">
        <f>IF(B226="","",VLOOKUP($B226,'C-1 On-Site WaterC'' Baseline'!$C$9:$R$257,15,FALSE))</f>
        <v/>
      </c>
      <c r="M226" s="305" t="str">
        <f>IF(L226="","",VLOOKUP($B226,'C-1 On-Site WaterC'' Baseline'!$C$9:$R$257,16,FALSE))</f>
        <v/>
      </c>
      <c r="N226" s="251"/>
      <c r="O226" s="281" t="str">
        <f t="shared" si="31"/>
        <v/>
      </c>
      <c r="P226" s="282" t="str">
        <f t="shared" si="32"/>
        <v/>
      </c>
      <c r="Q226" s="342" t="str">
        <f>IF(N226="","",VLOOKUP(B226,'C-1 On-Site WaterC'' Baseline'!$C$10:$AC$257,20,FALSE))</f>
        <v/>
      </c>
      <c r="R226" s="281" t="str">
        <f>IF(N226="","",VLOOKUP(N226,'G-7 WaterC'' Data'!$B$2:$G$8,2,FALSE))</f>
        <v/>
      </c>
      <c r="S226" s="282" t="str">
        <f>IFERROR(VLOOKUP(R226,'G-7 WaterC'' Data'!$C$4:$D$8,2,FALSE),"")</f>
        <v/>
      </c>
      <c r="T226" s="105"/>
      <c r="U226" s="282" t="str">
        <f>IFERROR(INDEX('G-7 WaterC'' Data'!$H$4:$L$8,MATCH(N226,'G-7 WaterC'' Data'!$B$4:$B$8,0),MATCH(T226,'G-7 WaterC'' Data'!$H$3:$L$3,0)),"")</f>
        <v/>
      </c>
      <c r="V226" s="105"/>
      <c r="W226" s="289" t="str">
        <f>IF(V226="","",IF(VLOOKUP(V226,'G-7 WaterC'' Data'!$AK$4:$AM$6,2,FALSE)=0,"Spatial Data Missing ⚠",VLOOKUP(V226,'G-7 WaterC'' Data'!$AK$4:$AM$6,2,FALSE)))</f>
        <v/>
      </c>
      <c r="X226" s="282" t="str">
        <f>IF(V226="","",IF(VLOOKUP(V226,'G-7 WaterC'' Data'!$AK$4:$AM$6,3,FALSE)=0,"Spatial Data Missing ⚠",VLOOKUP(V226,'G-7 WaterC'' Data'!$AK$4:$AM$6,3,FALSE)))</f>
        <v/>
      </c>
      <c r="Y226" s="281" t="str">
        <f>IFERROR(IF(OR(LEFT(P226,5)="Error",LEFT(O226,5)="Error"),"Check Data ⚠",IF(F226&lt;S226,'G-7 WaterC'' Data'!$R$3,INDEX('G-7 WaterC'' Data'!$U$5:$Y$9,MATCH(G226,'G-7 WaterC'' Data'!$T$5:$T$9,0),MATCH(T226,'G-7 WaterC'' Data'!$U$4:$Y$4,0)))),"")</f>
        <v/>
      </c>
      <c r="Z226" s="137"/>
      <c r="AA226" s="137"/>
      <c r="AB226" s="289" t="str">
        <f t="shared" si="33"/>
        <v/>
      </c>
      <c r="AC226" s="302" t="str">
        <f t="shared" si="34"/>
        <v/>
      </c>
      <c r="AD226" s="340" t="str">
        <f>IFERROR(IF(AC226="Check Data ⚠","Check Data ⚠",VLOOKUP(AC226,'G-4 Temporal multipliers'!$A$4:$C$37,3,FALSE)),"")</f>
        <v/>
      </c>
      <c r="AE226" s="281" t="str">
        <f>IF(N226="","",VLOOKUP(N226,'G-7 WaterC'' Data'!$B$4:$G$8,5,FALSE))</f>
        <v/>
      </c>
      <c r="AF226" s="289" t="str">
        <f t="shared" si="35"/>
        <v/>
      </c>
      <c r="AG226" s="320" t="str">
        <f t="shared" si="36"/>
        <v/>
      </c>
      <c r="AH226" s="282" t="str">
        <f t="shared" si="30"/>
        <v/>
      </c>
      <c r="AI226" s="109"/>
      <c r="AJ226" s="282" t="str">
        <f>IF(AI226="","",IF(AND(AI226="N/A - Culvert",N226&lt;&gt;"Culvert"),"Not possible ▲",IF(VLOOKUP(AI226,'G-7 WaterC'' Data'!$AA$4:$AB$7,2,FALSE)=0,"Spatial Data Missing ⚠",VLOOKUP(AI226,'G-7 WaterC'' Data'!$AA$4:$AB$7,2,FALSE))))</f>
        <v/>
      </c>
      <c r="AK226" s="110"/>
      <c r="AL226" s="282" t="str">
        <f>IF(AK226="","",IF(AND(AK226="N/A - Culvert",N226&lt;&gt;"Culvert"),"Not possible ▲",IF(VLOOKUP(AK226,'G-7 WaterC'' Data'!$AD$4:$AE$14,2,FALSE)=0,"Spatial Data Missing ⚠",VLOOKUP(AK226,'G-7 WaterC'' Data'!$AD$4:$AE$14,2,FALSE))))</f>
        <v/>
      </c>
      <c r="AM226" s="323" t="str">
        <f t="shared" si="37"/>
        <v/>
      </c>
      <c r="AN226" s="105"/>
      <c r="AO226" s="119"/>
      <c r="AP226" s="108"/>
      <c r="AS226" s="30" t="str">
        <f>IF(B226="","",IF(ISNA(VLOOKUP($B226,'C-1 On-Site WaterC'' Baseline'!$C$8:$AD$257,17,FALSE)),"",(VLOOKUP($B226,'C-1 On-Site WaterC'' Baseline'!$C$8:$AD$257,17,FALSE))))</f>
        <v/>
      </c>
      <c r="AT226" s="30" t="str">
        <f>IF(B226="","",VLOOKUP($B226,'C-1 On-Site WaterC'' Baseline'!$C$9:$Z$257,12,FALSE))</f>
        <v/>
      </c>
      <c r="AU226" s="30" t="str">
        <f>IF(B226="","",VLOOKUP($B226,'C-1 On-Site WaterC'' Baseline'!$C$9:$Z$257,14,FALSE))</f>
        <v/>
      </c>
      <c r="AV226" s="30" t="str">
        <f>IFERROR(INDEX('G-7 WaterC'' Data'!$AZ$3:$AZ$7,MATCH(N226,'G-7 WaterC'' Data'!$AY$3:$AY$7,0)),"")</f>
        <v/>
      </c>
      <c r="AX226" s="30" t="str">
        <f>IF(B226="","",VLOOKUP($B226,'C-1 On-Site WaterC'' Baseline'!$C$9:$Y$257,22,FALSE))</f>
        <v/>
      </c>
      <c r="AY226" s="30" t="str">
        <f t="shared" si="38"/>
        <v/>
      </c>
      <c r="AZ226" s="30" t="str">
        <f>IF(B226="","",VLOOKUP($B226,'C-1 On-Site WaterC'' Baseline'!$C$9:$Y$257,21,FALSE))</f>
        <v/>
      </c>
      <c r="BA226" s="30" t="str">
        <f>IF(B226="","",VLOOKUP($B226,'C-1 On-Site WaterC'' Baseline'!$C$9:$Y$257,19,FALSE))</f>
        <v/>
      </c>
      <c r="BD226" s="30" t="str">
        <f t="shared" si="39"/>
        <v>No</v>
      </c>
    </row>
    <row r="227" spans="2:56" ht="13.8" x14ac:dyDescent="0.25">
      <c r="B227" s="311" t="str">
        <f>'C-1 On-Site WaterC'' Baseline'!AP225</f>
        <v/>
      </c>
      <c r="C227" s="301" t="str">
        <f>IF(B227="","",VLOOKUP($B227,'C-1 On-Site WaterC'' Baseline'!$C$9:$R$257,2,FALSE))</f>
        <v/>
      </c>
      <c r="D227" s="301" t="str">
        <f>IF(C227="","",VLOOKUP($B227,'C-1 On-Site WaterC'' Baseline'!$C$9:$R$257,3,FALSE))</f>
        <v/>
      </c>
      <c r="E227" s="301" t="str">
        <f>IF(D227="","",VLOOKUP($B227,'C-1 On-Site WaterC'' Baseline'!$C$9:$R$257,4,FALSE))</f>
        <v/>
      </c>
      <c r="F227" s="301" t="str">
        <f>IF(E227="","",VLOOKUP($B227,'C-1 On-Site WaterC'' Baseline'!$C$9:$R$257,5,FALSE))</f>
        <v/>
      </c>
      <c r="G227" s="301" t="str">
        <f>IF(F227="","",VLOOKUP($B227,'C-1 On-Site WaterC'' Baseline'!$C$9:$R$257,6,FALSE))</f>
        <v/>
      </c>
      <c r="H227" s="301" t="str">
        <f>IF(G227="","",VLOOKUP($B227,'C-1 On-Site WaterC'' Baseline'!$C$9:$R$257,7,FALSE))</f>
        <v/>
      </c>
      <c r="I227" s="301" t="str">
        <f>IF(H227="","",VLOOKUP($B227,'C-1 On-Site WaterC'' Baseline'!$C$9:$R$257,8,FALSE))</f>
        <v/>
      </c>
      <c r="J227" s="301" t="str">
        <f>IF(I227="","",VLOOKUP($B227,'C-1 On-Site WaterC'' Baseline'!$C$9:$R$257,9,FALSE))</f>
        <v/>
      </c>
      <c r="K227" s="301" t="str">
        <f>IF(J227="","",VLOOKUP($B227,'C-1 On-Site WaterC'' Baseline'!$C$9:$R$257,10,FALSE))</f>
        <v/>
      </c>
      <c r="L227" s="301" t="str">
        <f>IF(B227="","",VLOOKUP($B227,'C-1 On-Site WaterC'' Baseline'!$C$9:$R$257,15,FALSE))</f>
        <v/>
      </c>
      <c r="M227" s="305" t="str">
        <f>IF(L227="","",VLOOKUP($B227,'C-1 On-Site WaterC'' Baseline'!$C$9:$R$257,16,FALSE))</f>
        <v/>
      </c>
      <c r="N227" s="251"/>
      <c r="O227" s="281" t="str">
        <f t="shared" si="31"/>
        <v/>
      </c>
      <c r="P227" s="282" t="str">
        <f t="shared" si="32"/>
        <v/>
      </c>
      <c r="Q227" s="342" t="str">
        <f>IF(N227="","",VLOOKUP(B227,'C-1 On-Site WaterC'' Baseline'!$C$10:$AC$257,20,FALSE))</f>
        <v/>
      </c>
      <c r="R227" s="281" t="str">
        <f>IF(N227="","",VLOOKUP(N227,'G-7 WaterC'' Data'!$B$2:$G$8,2,FALSE))</f>
        <v/>
      </c>
      <c r="S227" s="282" t="str">
        <f>IFERROR(VLOOKUP(R227,'G-7 WaterC'' Data'!$C$4:$D$8,2,FALSE),"")</f>
        <v/>
      </c>
      <c r="T227" s="105"/>
      <c r="U227" s="282" t="str">
        <f>IFERROR(INDEX('G-7 WaterC'' Data'!$H$4:$L$8,MATCH(N227,'G-7 WaterC'' Data'!$B$4:$B$8,0),MATCH(T227,'G-7 WaterC'' Data'!$H$3:$L$3,0)),"")</f>
        <v/>
      </c>
      <c r="V227" s="105"/>
      <c r="W227" s="289" t="str">
        <f>IF(V227="","",IF(VLOOKUP(V227,'G-7 WaterC'' Data'!$AK$4:$AM$6,2,FALSE)=0,"Spatial Data Missing ⚠",VLOOKUP(V227,'G-7 WaterC'' Data'!$AK$4:$AM$6,2,FALSE)))</f>
        <v/>
      </c>
      <c r="X227" s="282" t="str">
        <f>IF(V227="","",IF(VLOOKUP(V227,'G-7 WaterC'' Data'!$AK$4:$AM$6,3,FALSE)=0,"Spatial Data Missing ⚠",VLOOKUP(V227,'G-7 WaterC'' Data'!$AK$4:$AM$6,3,FALSE)))</f>
        <v/>
      </c>
      <c r="Y227" s="281" t="str">
        <f>IFERROR(IF(OR(LEFT(P227,5)="Error",LEFT(O227,5)="Error"),"Check Data ⚠",IF(F227&lt;S227,'G-7 WaterC'' Data'!$R$3,INDEX('G-7 WaterC'' Data'!$U$5:$Y$9,MATCH(G227,'G-7 WaterC'' Data'!$T$5:$T$9,0),MATCH(T227,'G-7 WaterC'' Data'!$U$4:$Y$4,0)))),"")</f>
        <v/>
      </c>
      <c r="Z227" s="137"/>
      <c r="AA227" s="137"/>
      <c r="AB227" s="289" t="str">
        <f t="shared" si="33"/>
        <v/>
      </c>
      <c r="AC227" s="302" t="str">
        <f t="shared" si="34"/>
        <v/>
      </c>
      <c r="AD227" s="340" t="str">
        <f>IFERROR(IF(AC227="Check Data ⚠","Check Data ⚠",VLOOKUP(AC227,'G-4 Temporal multipliers'!$A$4:$C$37,3,FALSE)),"")</f>
        <v/>
      </c>
      <c r="AE227" s="281" t="str">
        <f>IF(N227="","",VLOOKUP(N227,'G-7 WaterC'' Data'!$B$4:$G$8,5,FALSE))</f>
        <v/>
      </c>
      <c r="AF227" s="289" t="str">
        <f t="shared" si="35"/>
        <v/>
      </c>
      <c r="AG227" s="320" t="str">
        <f t="shared" si="36"/>
        <v/>
      </c>
      <c r="AH227" s="282" t="str">
        <f t="shared" si="30"/>
        <v/>
      </c>
      <c r="AI227" s="109"/>
      <c r="AJ227" s="282" t="str">
        <f>IF(AI227="","",IF(AND(AI227="N/A - Culvert",N227&lt;&gt;"Culvert"),"Not possible ▲",IF(VLOOKUP(AI227,'G-7 WaterC'' Data'!$AA$4:$AB$7,2,FALSE)=0,"Spatial Data Missing ⚠",VLOOKUP(AI227,'G-7 WaterC'' Data'!$AA$4:$AB$7,2,FALSE))))</f>
        <v/>
      </c>
      <c r="AK227" s="110"/>
      <c r="AL227" s="282" t="str">
        <f>IF(AK227="","",IF(AND(AK227="N/A - Culvert",N227&lt;&gt;"Culvert"),"Not possible ▲",IF(VLOOKUP(AK227,'G-7 WaterC'' Data'!$AD$4:$AE$14,2,FALSE)=0,"Spatial Data Missing ⚠",VLOOKUP(AK227,'G-7 WaterC'' Data'!$AD$4:$AE$14,2,FALSE))))</f>
        <v/>
      </c>
      <c r="AM227" s="323" t="str">
        <f t="shared" si="37"/>
        <v/>
      </c>
      <c r="AN227" s="105"/>
      <c r="AO227" s="119"/>
      <c r="AP227" s="108"/>
      <c r="AS227" s="30" t="str">
        <f>IF(B227="","",IF(ISNA(VLOOKUP($B227,'C-1 On-Site WaterC'' Baseline'!$C$8:$AD$257,17,FALSE)),"",(VLOOKUP($B227,'C-1 On-Site WaterC'' Baseline'!$C$8:$AD$257,17,FALSE))))</f>
        <v/>
      </c>
      <c r="AT227" s="30" t="str">
        <f>IF(B227="","",VLOOKUP($B227,'C-1 On-Site WaterC'' Baseline'!$C$9:$Z$257,12,FALSE))</f>
        <v/>
      </c>
      <c r="AU227" s="30" t="str">
        <f>IF(B227="","",VLOOKUP($B227,'C-1 On-Site WaterC'' Baseline'!$C$9:$Z$257,14,FALSE))</f>
        <v/>
      </c>
      <c r="AV227" s="30" t="str">
        <f>IFERROR(INDEX('G-7 WaterC'' Data'!$AZ$3:$AZ$7,MATCH(N227,'G-7 WaterC'' Data'!$AY$3:$AY$7,0)),"")</f>
        <v/>
      </c>
      <c r="AX227" s="30" t="str">
        <f>IF(B227="","",VLOOKUP($B227,'C-1 On-Site WaterC'' Baseline'!$C$9:$Y$257,22,FALSE))</f>
        <v/>
      </c>
      <c r="AY227" s="30" t="str">
        <f t="shared" si="38"/>
        <v/>
      </c>
      <c r="AZ227" s="30" t="str">
        <f>IF(B227="","",VLOOKUP($B227,'C-1 On-Site WaterC'' Baseline'!$C$9:$Y$257,21,FALSE))</f>
        <v/>
      </c>
      <c r="BA227" s="30" t="str">
        <f>IF(B227="","",VLOOKUP($B227,'C-1 On-Site WaterC'' Baseline'!$C$9:$Y$257,19,FALSE))</f>
        <v/>
      </c>
      <c r="BD227" s="30" t="str">
        <f t="shared" si="39"/>
        <v>No</v>
      </c>
    </row>
    <row r="228" spans="2:56" ht="13.8" x14ac:dyDescent="0.25">
      <c r="B228" s="311" t="str">
        <f>'C-1 On-Site WaterC'' Baseline'!AP226</f>
        <v/>
      </c>
      <c r="C228" s="301" t="str">
        <f>IF(B228="","",VLOOKUP($B228,'C-1 On-Site WaterC'' Baseline'!$C$9:$R$257,2,FALSE))</f>
        <v/>
      </c>
      <c r="D228" s="301" t="str">
        <f>IF(C228="","",VLOOKUP($B228,'C-1 On-Site WaterC'' Baseline'!$C$9:$R$257,3,FALSE))</f>
        <v/>
      </c>
      <c r="E228" s="301" t="str">
        <f>IF(D228="","",VLOOKUP($B228,'C-1 On-Site WaterC'' Baseline'!$C$9:$R$257,4,FALSE))</f>
        <v/>
      </c>
      <c r="F228" s="301" t="str">
        <f>IF(E228="","",VLOOKUP($B228,'C-1 On-Site WaterC'' Baseline'!$C$9:$R$257,5,FALSE))</f>
        <v/>
      </c>
      <c r="G228" s="301" t="str">
        <f>IF(F228="","",VLOOKUP($B228,'C-1 On-Site WaterC'' Baseline'!$C$9:$R$257,6,FALSE))</f>
        <v/>
      </c>
      <c r="H228" s="301" t="str">
        <f>IF(G228="","",VLOOKUP($B228,'C-1 On-Site WaterC'' Baseline'!$C$9:$R$257,7,FALSE))</f>
        <v/>
      </c>
      <c r="I228" s="301" t="str">
        <f>IF(H228="","",VLOOKUP($B228,'C-1 On-Site WaterC'' Baseline'!$C$9:$R$257,8,FALSE))</f>
        <v/>
      </c>
      <c r="J228" s="301" t="str">
        <f>IF(I228="","",VLOOKUP($B228,'C-1 On-Site WaterC'' Baseline'!$C$9:$R$257,9,FALSE))</f>
        <v/>
      </c>
      <c r="K228" s="301" t="str">
        <f>IF(J228="","",VLOOKUP($B228,'C-1 On-Site WaterC'' Baseline'!$C$9:$R$257,10,FALSE))</f>
        <v/>
      </c>
      <c r="L228" s="301" t="str">
        <f>IF(B228="","",VLOOKUP($B228,'C-1 On-Site WaterC'' Baseline'!$C$9:$R$257,15,FALSE))</f>
        <v/>
      </c>
      <c r="M228" s="305" t="str">
        <f>IF(L228="","",VLOOKUP($B228,'C-1 On-Site WaterC'' Baseline'!$C$9:$R$257,16,FALSE))</f>
        <v/>
      </c>
      <c r="N228" s="251"/>
      <c r="O228" s="281" t="str">
        <f t="shared" si="31"/>
        <v/>
      </c>
      <c r="P228" s="282" t="str">
        <f t="shared" si="32"/>
        <v/>
      </c>
      <c r="Q228" s="342" t="str">
        <f>IF(N228="","",VLOOKUP(B228,'C-1 On-Site WaterC'' Baseline'!$C$10:$AC$257,20,FALSE))</f>
        <v/>
      </c>
      <c r="R228" s="281" t="str">
        <f>IF(N228="","",VLOOKUP(N228,'G-7 WaterC'' Data'!$B$2:$G$8,2,FALSE))</f>
        <v/>
      </c>
      <c r="S228" s="282" t="str">
        <f>IFERROR(VLOOKUP(R228,'G-7 WaterC'' Data'!$C$4:$D$8,2,FALSE),"")</f>
        <v/>
      </c>
      <c r="T228" s="105"/>
      <c r="U228" s="282" t="str">
        <f>IFERROR(INDEX('G-7 WaterC'' Data'!$H$4:$L$8,MATCH(N228,'G-7 WaterC'' Data'!$B$4:$B$8,0),MATCH(T228,'G-7 WaterC'' Data'!$H$3:$L$3,0)),"")</f>
        <v/>
      </c>
      <c r="V228" s="105"/>
      <c r="W228" s="289" t="str">
        <f>IF(V228="","",IF(VLOOKUP(V228,'G-7 WaterC'' Data'!$AK$4:$AM$6,2,FALSE)=0,"Spatial Data Missing ⚠",VLOOKUP(V228,'G-7 WaterC'' Data'!$AK$4:$AM$6,2,FALSE)))</f>
        <v/>
      </c>
      <c r="X228" s="282" t="str">
        <f>IF(V228="","",IF(VLOOKUP(V228,'G-7 WaterC'' Data'!$AK$4:$AM$6,3,FALSE)=0,"Spatial Data Missing ⚠",VLOOKUP(V228,'G-7 WaterC'' Data'!$AK$4:$AM$6,3,FALSE)))</f>
        <v/>
      </c>
      <c r="Y228" s="281" t="str">
        <f>IFERROR(IF(OR(LEFT(P228,5)="Error",LEFT(O228,5)="Error"),"Check Data ⚠",IF(F228&lt;S228,'G-7 WaterC'' Data'!$R$3,INDEX('G-7 WaterC'' Data'!$U$5:$Y$9,MATCH(G228,'G-7 WaterC'' Data'!$T$5:$T$9,0),MATCH(T228,'G-7 WaterC'' Data'!$U$4:$Y$4,0)))),"")</f>
        <v/>
      </c>
      <c r="Z228" s="137"/>
      <c r="AA228" s="137"/>
      <c r="AB228" s="289" t="str">
        <f t="shared" si="33"/>
        <v/>
      </c>
      <c r="AC228" s="302" t="str">
        <f t="shared" si="34"/>
        <v/>
      </c>
      <c r="AD228" s="340" t="str">
        <f>IFERROR(IF(AC228="Check Data ⚠","Check Data ⚠",VLOOKUP(AC228,'G-4 Temporal multipliers'!$A$4:$C$37,3,FALSE)),"")</f>
        <v/>
      </c>
      <c r="AE228" s="281" t="str">
        <f>IF(N228="","",VLOOKUP(N228,'G-7 WaterC'' Data'!$B$4:$G$8,5,FALSE))</f>
        <v/>
      </c>
      <c r="AF228" s="289" t="str">
        <f t="shared" si="35"/>
        <v/>
      </c>
      <c r="AG228" s="320" t="str">
        <f t="shared" si="36"/>
        <v/>
      </c>
      <c r="AH228" s="282" t="str">
        <f t="shared" si="30"/>
        <v/>
      </c>
      <c r="AI228" s="109"/>
      <c r="AJ228" s="282" t="str">
        <f>IF(AI228="","",IF(AND(AI228="N/A - Culvert",N228&lt;&gt;"Culvert"),"Not possible ▲",IF(VLOOKUP(AI228,'G-7 WaterC'' Data'!$AA$4:$AB$7,2,FALSE)=0,"Spatial Data Missing ⚠",VLOOKUP(AI228,'G-7 WaterC'' Data'!$AA$4:$AB$7,2,FALSE))))</f>
        <v/>
      </c>
      <c r="AK228" s="110"/>
      <c r="AL228" s="282" t="str">
        <f>IF(AK228="","",IF(AND(AK228="N/A - Culvert",N228&lt;&gt;"Culvert"),"Not possible ▲",IF(VLOOKUP(AK228,'G-7 WaterC'' Data'!$AD$4:$AE$14,2,FALSE)=0,"Spatial Data Missing ⚠",VLOOKUP(AK228,'G-7 WaterC'' Data'!$AD$4:$AE$14,2,FALSE))))</f>
        <v/>
      </c>
      <c r="AM228" s="323" t="str">
        <f t="shared" si="37"/>
        <v/>
      </c>
      <c r="AN228" s="105"/>
      <c r="AO228" s="119"/>
      <c r="AP228" s="108"/>
      <c r="AS228" s="30" t="str">
        <f>IF(B228="","",IF(ISNA(VLOOKUP($B228,'C-1 On-Site WaterC'' Baseline'!$C$8:$AD$257,17,FALSE)),"",(VLOOKUP($B228,'C-1 On-Site WaterC'' Baseline'!$C$8:$AD$257,17,FALSE))))</f>
        <v/>
      </c>
      <c r="AT228" s="30" t="str">
        <f>IF(B228="","",VLOOKUP($B228,'C-1 On-Site WaterC'' Baseline'!$C$9:$Z$257,12,FALSE))</f>
        <v/>
      </c>
      <c r="AU228" s="30" t="str">
        <f>IF(B228="","",VLOOKUP($B228,'C-1 On-Site WaterC'' Baseline'!$C$9:$Z$257,14,FALSE))</f>
        <v/>
      </c>
      <c r="AV228" s="30" t="str">
        <f>IFERROR(INDEX('G-7 WaterC'' Data'!$AZ$3:$AZ$7,MATCH(N228,'G-7 WaterC'' Data'!$AY$3:$AY$7,0)),"")</f>
        <v/>
      </c>
      <c r="AX228" s="30" t="str">
        <f>IF(B228="","",VLOOKUP($B228,'C-1 On-Site WaterC'' Baseline'!$C$9:$Y$257,22,FALSE))</f>
        <v/>
      </c>
      <c r="AY228" s="30" t="str">
        <f t="shared" si="38"/>
        <v/>
      </c>
      <c r="AZ228" s="30" t="str">
        <f>IF(B228="","",VLOOKUP($B228,'C-1 On-Site WaterC'' Baseline'!$C$9:$Y$257,21,FALSE))</f>
        <v/>
      </c>
      <c r="BA228" s="30" t="str">
        <f>IF(B228="","",VLOOKUP($B228,'C-1 On-Site WaterC'' Baseline'!$C$9:$Y$257,19,FALSE))</f>
        <v/>
      </c>
      <c r="BD228" s="30" t="str">
        <f t="shared" si="39"/>
        <v>No</v>
      </c>
    </row>
    <row r="229" spans="2:56" ht="13.8" x14ac:dyDescent="0.25">
      <c r="B229" s="311" t="str">
        <f>'C-1 On-Site WaterC'' Baseline'!AP227</f>
        <v/>
      </c>
      <c r="C229" s="301" t="str">
        <f>IF(B229="","",VLOOKUP($B229,'C-1 On-Site WaterC'' Baseline'!$C$9:$R$257,2,FALSE))</f>
        <v/>
      </c>
      <c r="D229" s="301" t="str">
        <f>IF(C229="","",VLOOKUP($B229,'C-1 On-Site WaterC'' Baseline'!$C$9:$R$257,3,FALSE))</f>
        <v/>
      </c>
      <c r="E229" s="301" t="str">
        <f>IF(D229="","",VLOOKUP($B229,'C-1 On-Site WaterC'' Baseline'!$C$9:$R$257,4,FALSE))</f>
        <v/>
      </c>
      <c r="F229" s="301" t="str">
        <f>IF(E229="","",VLOOKUP($B229,'C-1 On-Site WaterC'' Baseline'!$C$9:$R$257,5,FALSE))</f>
        <v/>
      </c>
      <c r="G229" s="301" t="str">
        <f>IF(F229="","",VLOOKUP($B229,'C-1 On-Site WaterC'' Baseline'!$C$9:$R$257,6,FALSE))</f>
        <v/>
      </c>
      <c r="H229" s="301" t="str">
        <f>IF(G229="","",VLOOKUP($B229,'C-1 On-Site WaterC'' Baseline'!$C$9:$R$257,7,FALSE))</f>
        <v/>
      </c>
      <c r="I229" s="301" t="str">
        <f>IF(H229="","",VLOOKUP($B229,'C-1 On-Site WaterC'' Baseline'!$C$9:$R$257,8,FALSE))</f>
        <v/>
      </c>
      <c r="J229" s="301" t="str">
        <f>IF(I229="","",VLOOKUP($B229,'C-1 On-Site WaterC'' Baseline'!$C$9:$R$257,9,FALSE))</f>
        <v/>
      </c>
      <c r="K229" s="301" t="str">
        <f>IF(J229="","",VLOOKUP($B229,'C-1 On-Site WaterC'' Baseline'!$C$9:$R$257,10,FALSE))</f>
        <v/>
      </c>
      <c r="L229" s="301" t="str">
        <f>IF(B229="","",VLOOKUP($B229,'C-1 On-Site WaterC'' Baseline'!$C$9:$R$257,15,FALSE))</f>
        <v/>
      </c>
      <c r="M229" s="305" t="str">
        <f>IF(L229="","",VLOOKUP($B229,'C-1 On-Site WaterC'' Baseline'!$C$9:$R$257,16,FALSE))</f>
        <v/>
      </c>
      <c r="N229" s="251"/>
      <c r="O229" s="281" t="str">
        <f t="shared" si="31"/>
        <v/>
      </c>
      <c r="P229" s="282" t="str">
        <f t="shared" si="32"/>
        <v/>
      </c>
      <c r="Q229" s="342" t="str">
        <f>IF(N229="","",VLOOKUP(B229,'C-1 On-Site WaterC'' Baseline'!$C$10:$AC$257,20,FALSE))</f>
        <v/>
      </c>
      <c r="R229" s="281" t="str">
        <f>IF(N229="","",VLOOKUP(N229,'G-7 WaterC'' Data'!$B$2:$G$8,2,FALSE))</f>
        <v/>
      </c>
      <c r="S229" s="282" t="str">
        <f>IFERROR(VLOOKUP(R229,'G-7 WaterC'' Data'!$C$4:$D$8,2,FALSE),"")</f>
        <v/>
      </c>
      <c r="T229" s="105"/>
      <c r="U229" s="282" t="str">
        <f>IFERROR(INDEX('G-7 WaterC'' Data'!$H$4:$L$8,MATCH(N229,'G-7 WaterC'' Data'!$B$4:$B$8,0),MATCH(T229,'G-7 WaterC'' Data'!$H$3:$L$3,0)),"")</f>
        <v/>
      </c>
      <c r="V229" s="105"/>
      <c r="W229" s="289" t="str">
        <f>IF(V229="","",IF(VLOOKUP(V229,'G-7 WaterC'' Data'!$AK$4:$AM$6,2,FALSE)=0,"Spatial Data Missing ⚠",VLOOKUP(V229,'G-7 WaterC'' Data'!$AK$4:$AM$6,2,FALSE)))</f>
        <v/>
      </c>
      <c r="X229" s="282" t="str">
        <f>IF(V229="","",IF(VLOOKUP(V229,'G-7 WaterC'' Data'!$AK$4:$AM$6,3,FALSE)=0,"Spatial Data Missing ⚠",VLOOKUP(V229,'G-7 WaterC'' Data'!$AK$4:$AM$6,3,FALSE)))</f>
        <v/>
      </c>
      <c r="Y229" s="281" t="str">
        <f>IFERROR(IF(OR(LEFT(P229,5)="Error",LEFT(O229,5)="Error"),"Check Data ⚠",IF(F229&lt;S229,'G-7 WaterC'' Data'!$R$3,INDEX('G-7 WaterC'' Data'!$U$5:$Y$9,MATCH(G229,'G-7 WaterC'' Data'!$T$5:$T$9,0),MATCH(T229,'G-7 WaterC'' Data'!$U$4:$Y$4,0)))),"")</f>
        <v/>
      </c>
      <c r="Z229" s="137"/>
      <c r="AA229" s="137"/>
      <c r="AB229" s="289" t="str">
        <f t="shared" si="33"/>
        <v/>
      </c>
      <c r="AC229" s="302" t="str">
        <f t="shared" si="34"/>
        <v/>
      </c>
      <c r="AD229" s="340" t="str">
        <f>IFERROR(IF(AC229="Check Data ⚠","Check Data ⚠",VLOOKUP(AC229,'G-4 Temporal multipliers'!$A$4:$C$37,3,FALSE)),"")</f>
        <v/>
      </c>
      <c r="AE229" s="281" t="str">
        <f>IF(N229="","",VLOOKUP(N229,'G-7 WaterC'' Data'!$B$4:$G$8,5,FALSE))</f>
        <v/>
      </c>
      <c r="AF229" s="289" t="str">
        <f t="shared" si="35"/>
        <v/>
      </c>
      <c r="AG229" s="320" t="str">
        <f t="shared" si="36"/>
        <v/>
      </c>
      <c r="AH229" s="282" t="str">
        <f t="shared" si="30"/>
        <v/>
      </c>
      <c r="AI229" s="109"/>
      <c r="AJ229" s="282" t="str">
        <f>IF(AI229="","",IF(AND(AI229="N/A - Culvert",N229&lt;&gt;"Culvert"),"Not possible ▲",IF(VLOOKUP(AI229,'G-7 WaterC'' Data'!$AA$4:$AB$7,2,FALSE)=0,"Spatial Data Missing ⚠",VLOOKUP(AI229,'G-7 WaterC'' Data'!$AA$4:$AB$7,2,FALSE))))</f>
        <v/>
      </c>
      <c r="AK229" s="110"/>
      <c r="AL229" s="282" t="str">
        <f>IF(AK229="","",IF(AND(AK229="N/A - Culvert",N229&lt;&gt;"Culvert"),"Not possible ▲",IF(VLOOKUP(AK229,'G-7 WaterC'' Data'!$AD$4:$AE$14,2,FALSE)=0,"Spatial Data Missing ⚠",VLOOKUP(AK229,'G-7 WaterC'' Data'!$AD$4:$AE$14,2,FALSE))))</f>
        <v/>
      </c>
      <c r="AM229" s="323" t="str">
        <f t="shared" si="37"/>
        <v/>
      </c>
      <c r="AN229" s="105"/>
      <c r="AO229" s="119"/>
      <c r="AP229" s="108"/>
      <c r="AS229" s="30" t="str">
        <f>IF(B229="","",IF(ISNA(VLOOKUP($B229,'C-1 On-Site WaterC'' Baseline'!$C$8:$AD$257,17,FALSE)),"",(VLOOKUP($B229,'C-1 On-Site WaterC'' Baseline'!$C$8:$AD$257,17,FALSE))))</f>
        <v/>
      </c>
      <c r="AT229" s="30" t="str">
        <f>IF(B229="","",VLOOKUP($B229,'C-1 On-Site WaterC'' Baseline'!$C$9:$Z$257,12,FALSE))</f>
        <v/>
      </c>
      <c r="AU229" s="30" t="str">
        <f>IF(B229="","",VLOOKUP($B229,'C-1 On-Site WaterC'' Baseline'!$C$9:$Z$257,14,FALSE))</f>
        <v/>
      </c>
      <c r="AV229" s="30" t="str">
        <f>IFERROR(INDEX('G-7 WaterC'' Data'!$AZ$3:$AZ$7,MATCH(N229,'G-7 WaterC'' Data'!$AY$3:$AY$7,0)),"")</f>
        <v/>
      </c>
      <c r="AX229" s="30" t="str">
        <f>IF(B229="","",VLOOKUP($B229,'C-1 On-Site WaterC'' Baseline'!$C$9:$Y$257,22,FALSE))</f>
        <v/>
      </c>
      <c r="AY229" s="30" t="str">
        <f t="shared" si="38"/>
        <v/>
      </c>
      <c r="AZ229" s="30" t="str">
        <f>IF(B229="","",VLOOKUP($B229,'C-1 On-Site WaterC'' Baseline'!$C$9:$Y$257,21,FALSE))</f>
        <v/>
      </c>
      <c r="BA229" s="30" t="str">
        <f>IF(B229="","",VLOOKUP($B229,'C-1 On-Site WaterC'' Baseline'!$C$9:$Y$257,19,FALSE))</f>
        <v/>
      </c>
      <c r="BD229" s="30" t="str">
        <f t="shared" si="39"/>
        <v>No</v>
      </c>
    </row>
    <row r="230" spans="2:56" ht="13.8" x14ac:dyDescent="0.25">
      <c r="B230" s="311" t="str">
        <f>'C-1 On-Site WaterC'' Baseline'!AP228</f>
        <v/>
      </c>
      <c r="C230" s="301" t="str">
        <f>IF(B230="","",VLOOKUP($B230,'C-1 On-Site WaterC'' Baseline'!$C$9:$R$257,2,FALSE))</f>
        <v/>
      </c>
      <c r="D230" s="301" t="str">
        <f>IF(C230="","",VLOOKUP($B230,'C-1 On-Site WaterC'' Baseline'!$C$9:$R$257,3,FALSE))</f>
        <v/>
      </c>
      <c r="E230" s="301" t="str">
        <f>IF(D230="","",VLOOKUP($B230,'C-1 On-Site WaterC'' Baseline'!$C$9:$R$257,4,FALSE))</f>
        <v/>
      </c>
      <c r="F230" s="301" t="str">
        <f>IF(E230="","",VLOOKUP($B230,'C-1 On-Site WaterC'' Baseline'!$C$9:$R$257,5,FALSE))</f>
        <v/>
      </c>
      <c r="G230" s="301" t="str">
        <f>IF(F230="","",VLOOKUP($B230,'C-1 On-Site WaterC'' Baseline'!$C$9:$R$257,6,FALSE))</f>
        <v/>
      </c>
      <c r="H230" s="301" t="str">
        <f>IF(G230="","",VLOOKUP($B230,'C-1 On-Site WaterC'' Baseline'!$C$9:$R$257,7,FALSE))</f>
        <v/>
      </c>
      <c r="I230" s="301" t="str">
        <f>IF(H230="","",VLOOKUP($B230,'C-1 On-Site WaterC'' Baseline'!$C$9:$R$257,8,FALSE))</f>
        <v/>
      </c>
      <c r="J230" s="301" t="str">
        <f>IF(I230="","",VLOOKUP($B230,'C-1 On-Site WaterC'' Baseline'!$C$9:$R$257,9,FALSE))</f>
        <v/>
      </c>
      <c r="K230" s="301" t="str">
        <f>IF(J230="","",VLOOKUP($B230,'C-1 On-Site WaterC'' Baseline'!$C$9:$R$257,10,FALSE))</f>
        <v/>
      </c>
      <c r="L230" s="301" t="str">
        <f>IF(B230="","",VLOOKUP($B230,'C-1 On-Site WaterC'' Baseline'!$C$9:$R$257,15,FALSE))</f>
        <v/>
      </c>
      <c r="M230" s="305" t="str">
        <f>IF(L230="","",VLOOKUP($B230,'C-1 On-Site WaterC'' Baseline'!$C$9:$R$257,16,FALSE))</f>
        <v/>
      </c>
      <c r="N230" s="251"/>
      <c r="O230" s="281" t="str">
        <f t="shared" si="31"/>
        <v/>
      </c>
      <c r="P230" s="282" t="str">
        <f t="shared" si="32"/>
        <v/>
      </c>
      <c r="Q230" s="342" t="str">
        <f>IF(N230="","",VLOOKUP(B230,'C-1 On-Site WaterC'' Baseline'!$C$10:$AC$257,20,FALSE))</f>
        <v/>
      </c>
      <c r="R230" s="281" t="str">
        <f>IF(N230="","",VLOOKUP(N230,'G-7 WaterC'' Data'!$B$2:$G$8,2,FALSE))</f>
        <v/>
      </c>
      <c r="S230" s="282" t="str">
        <f>IFERROR(VLOOKUP(R230,'G-7 WaterC'' Data'!$C$4:$D$8,2,FALSE),"")</f>
        <v/>
      </c>
      <c r="T230" s="105"/>
      <c r="U230" s="282" t="str">
        <f>IFERROR(INDEX('G-7 WaterC'' Data'!$H$4:$L$8,MATCH(N230,'G-7 WaterC'' Data'!$B$4:$B$8,0),MATCH(T230,'G-7 WaterC'' Data'!$H$3:$L$3,0)),"")</f>
        <v/>
      </c>
      <c r="V230" s="105"/>
      <c r="W230" s="289" t="str">
        <f>IF(V230="","",IF(VLOOKUP(V230,'G-7 WaterC'' Data'!$AK$4:$AM$6,2,FALSE)=0,"Spatial Data Missing ⚠",VLOOKUP(V230,'G-7 WaterC'' Data'!$AK$4:$AM$6,2,FALSE)))</f>
        <v/>
      </c>
      <c r="X230" s="282" t="str">
        <f>IF(V230="","",IF(VLOOKUP(V230,'G-7 WaterC'' Data'!$AK$4:$AM$6,3,FALSE)=0,"Spatial Data Missing ⚠",VLOOKUP(V230,'G-7 WaterC'' Data'!$AK$4:$AM$6,3,FALSE)))</f>
        <v/>
      </c>
      <c r="Y230" s="281" t="str">
        <f>IFERROR(IF(OR(LEFT(P230,5)="Error",LEFT(O230,5)="Error"),"Check Data ⚠",IF(F230&lt;S230,'G-7 WaterC'' Data'!$R$3,INDEX('G-7 WaterC'' Data'!$U$5:$Y$9,MATCH(G230,'G-7 WaterC'' Data'!$T$5:$T$9,0),MATCH(T230,'G-7 WaterC'' Data'!$U$4:$Y$4,0)))),"")</f>
        <v/>
      </c>
      <c r="Z230" s="137"/>
      <c r="AA230" s="137"/>
      <c r="AB230" s="289" t="str">
        <f t="shared" si="33"/>
        <v/>
      </c>
      <c r="AC230" s="302" t="str">
        <f t="shared" si="34"/>
        <v/>
      </c>
      <c r="AD230" s="340" t="str">
        <f>IFERROR(IF(AC230="Check Data ⚠","Check Data ⚠",VLOOKUP(AC230,'G-4 Temporal multipliers'!$A$4:$C$37,3,FALSE)),"")</f>
        <v/>
      </c>
      <c r="AE230" s="281" t="str">
        <f>IF(N230="","",VLOOKUP(N230,'G-7 WaterC'' Data'!$B$4:$G$8,5,FALSE))</f>
        <v/>
      </c>
      <c r="AF230" s="289" t="str">
        <f t="shared" si="35"/>
        <v/>
      </c>
      <c r="AG230" s="320" t="str">
        <f t="shared" si="36"/>
        <v/>
      </c>
      <c r="AH230" s="282" t="str">
        <f t="shared" si="30"/>
        <v/>
      </c>
      <c r="AI230" s="109"/>
      <c r="AJ230" s="282" t="str">
        <f>IF(AI230="","",IF(AND(AI230="N/A - Culvert",N230&lt;&gt;"Culvert"),"Not possible ▲",IF(VLOOKUP(AI230,'G-7 WaterC'' Data'!$AA$4:$AB$7,2,FALSE)=0,"Spatial Data Missing ⚠",VLOOKUP(AI230,'G-7 WaterC'' Data'!$AA$4:$AB$7,2,FALSE))))</f>
        <v/>
      </c>
      <c r="AK230" s="110"/>
      <c r="AL230" s="282" t="str">
        <f>IF(AK230="","",IF(AND(AK230="N/A - Culvert",N230&lt;&gt;"Culvert"),"Not possible ▲",IF(VLOOKUP(AK230,'G-7 WaterC'' Data'!$AD$4:$AE$14,2,FALSE)=0,"Spatial Data Missing ⚠",VLOOKUP(AK230,'G-7 WaterC'' Data'!$AD$4:$AE$14,2,FALSE))))</f>
        <v/>
      </c>
      <c r="AM230" s="323" t="str">
        <f t="shared" si="37"/>
        <v/>
      </c>
      <c r="AN230" s="105"/>
      <c r="AO230" s="119"/>
      <c r="AP230" s="108"/>
      <c r="AS230" s="30" t="str">
        <f>IF(B230="","",IF(ISNA(VLOOKUP($B230,'C-1 On-Site WaterC'' Baseline'!$C$8:$AD$257,17,FALSE)),"",(VLOOKUP($B230,'C-1 On-Site WaterC'' Baseline'!$C$8:$AD$257,17,FALSE))))</f>
        <v/>
      </c>
      <c r="AT230" s="30" t="str">
        <f>IF(B230="","",VLOOKUP($B230,'C-1 On-Site WaterC'' Baseline'!$C$9:$Z$257,12,FALSE))</f>
        <v/>
      </c>
      <c r="AU230" s="30" t="str">
        <f>IF(B230="","",VLOOKUP($B230,'C-1 On-Site WaterC'' Baseline'!$C$9:$Z$257,14,FALSE))</f>
        <v/>
      </c>
      <c r="AV230" s="30" t="str">
        <f>IFERROR(INDEX('G-7 WaterC'' Data'!$AZ$3:$AZ$7,MATCH(N230,'G-7 WaterC'' Data'!$AY$3:$AY$7,0)),"")</f>
        <v/>
      </c>
      <c r="AX230" s="30" t="str">
        <f>IF(B230="","",VLOOKUP($B230,'C-1 On-Site WaterC'' Baseline'!$C$9:$Y$257,22,FALSE))</f>
        <v/>
      </c>
      <c r="AY230" s="30" t="str">
        <f t="shared" si="38"/>
        <v/>
      </c>
      <c r="AZ230" s="30" t="str">
        <f>IF(B230="","",VLOOKUP($B230,'C-1 On-Site WaterC'' Baseline'!$C$9:$Y$257,21,FALSE))</f>
        <v/>
      </c>
      <c r="BA230" s="30" t="str">
        <f>IF(B230="","",VLOOKUP($B230,'C-1 On-Site WaterC'' Baseline'!$C$9:$Y$257,19,FALSE))</f>
        <v/>
      </c>
      <c r="BD230" s="30" t="str">
        <f t="shared" si="39"/>
        <v>No</v>
      </c>
    </row>
    <row r="231" spans="2:56" ht="13.8" x14ac:dyDescent="0.25">
      <c r="B231" s="311" t="str">
        <f>'C-1 On-Site WaterC'' Baseline'!AP229</f>
        <v/>
      </c>
      <c r="C231" s="301" t="str">
        <f>IF(B231="","",VLOOKUP($B231,'C-1 On-Site WaterC'' Baseline'!$C$9:$R$257,2,FALSE))</f>
        <v/>
      </c>
      <c r="D231" s="301" t="str">
        <f>IF(C231="","",VLOOKUP($B231,'C-1 On-Site WaterC'' Baseline'!$C$9:$R$257,3,FALSE))</f>
        <v/>
      </c>
      <c r="E231" s="301" t="str">
        <f>IF(D231="","",VLOOKUP($B231,'C-1 On-Site WaterC'' Baseline'!$C$9:$R$257,4,FALSE))</f>
        <v/>
      </c>
      <c r="F231" s="301" t="str">
        <f>IF(E231="","",VLOOKUP($B231,'C-1 On-Site WaterC'' Baseline'!$C$9:$R$257,5,FALSE))</f>
        <v/>
      </c>
      <c r="G231" s="301" t="str">
        <f>IF(F231="","",VLOOKUP($B231,'C-1 On-Site WaterC'' Baseline'!$C$9:$R$257,6,FALSE))</f>
        <v/>
      </c>
      <c r="H231" s="301" t="str">
        <f>IF(G231="","",VLOOKUP($B231,'C-1 On-Site WaterC'' Baseline'!$C$9:$R$257,7,FALSE))</f>
        <v/>
      </c>
      <c r="I231" s="301" t="str">
        <f>IF(H231="","",VLOOKUP($B231,'C-1 On-Site WaterC'' Baseline'!$C$9:$R$257,8,FALSE))</f>
        <v/>
      </c>
      <c r="J231" s="301" t="str">
        <f>IF(I231="","",VLOOKUP($B231,'C-1 On-Site WaterC'' Baseline'!$C$9:$R$257,9,FALSE))</f>
        <v/>
      </c>
      <c r="K231" s="301" t="str">
        <f>IF(J231="","",VLOOKUP($B231,'C-1 On-Site WaterC'' Baseline'!$C$9:$R$257,10,FALSE))</f>
        <v/>
      </c>
      <c r="L231" s="301" t="str">
        <f>IF(B231="","",VLOOKUP($B231,'C-1 On-Site WaterC'' Baseline'!$C$9:$R$257,15,FALSE))</f>
        <v/>
      </c>
      <c r="M231" s="305" t="str">
        <f>IF(L231="","",VLOOKUP($B231,'C-1 On-Site WaterC'' Baseline'!$C$9:$R$257,16,FALSE))</f>
        <v/>
      </c>
      <c r="N231" s="251"/>
      <c r="O231" s="281" t="str">
        <f t="shared" si="31"/>
        <v/>
      </c>
      <c r="P231" s="282" t="str">
        <f t="shared" si="32"/>
        <v/>
      </c>
      <c r="Q231" s="342" t="str">
        <f>IF(N231="","",VLOOKUP(B231,'C-1 On-Site WaterC'' Baseline'!$C$10:$AC$257,20,FALSE))</f>
        <v/>
      </c>
      <c r="R231" s="281" t="str">
        <f>IF(N231="","",VLOOKUP(N231,'G-7 WaterC'' Data'!$B$2:$G$8,2,FALSE))</f>
        <v/>
      </c>
      <c r="S231" s="282" t="str">
        <f>IFERROR(VLOOKUP(R231,'G-7 WaterC'' Data'!$C$4:$D$8,2,FALSE),"")</f>
        <v/>
      </c>
      <c r="T231" s="105"/>
      <c r="U231" s="282" t="str">
        <f>IFERROR(INDEX('G-7 WaterC'' Data'!$H$4:$L$8,MATCH(N231,'G-7 WaterC'' Data'!$B$4:$B$8,0),MATCH(T231,'G-7 WaterC'' Data'!$H$3:$L$3,0)),"")</f>
        <v/>
      </c>
      <c r="V231" s="105"/>
      <c r="W231" s="289" t="str">
        <f>IF(V231="","",IF(VLOOKUP(V231,'G-7 WaterC'' Data'!$AK$4:$AM$6,2,FALSE)=0,"Spatial Data Missing ⚠",VLOOKUP(V231,'G-7 WaterC'' Data'!$AK$4:$AM$6,2,FALSE)))</f>
        <v/>
      </c>
      <c r="X231" s="282" t="str">
        <f>IF(V231="","",IF(VLOOKUP(V231,'G-7 WaterC'' Data'!$AK$4:$AM$6,3,FALSE)=0,"Spatial Data Missing ⚠",VLOOKUP(V231,'G-7 WaterC'' Data'!$AK$4:$AM$6,3,FALSE)))</f>
        <v/>
      </c>
      <c r="Y231" s="281" t="str">
        <f>IFERROR(IF(OR(LEFT(P231,5)="Error",LEFT(O231,5)="Error"),"Check Data ⚠",IF(F231&lt;S231,'G-7 WaterC'' Data'!$R$3,INDEX('G-7 WaterC'' Data'!$U$5:$Y$9,MATCH(G231,'G-7 WaterC'' Data'!$T$5:$T$9,0),MATCH(T231,'G-7 WaterC'' Data'!$U$4:$Y$4,0)))),"")</f>
        <v/>
      </c>
      <c r="Z231" s="137"/>
      <c r="AA231" s="137"/>
      <c r="AB231" s="289" t="str">
        <f t="shared" si="33"/>
        <v/>
      </c>
      <c r="AC231" s="302" t="str">
        <f t="shared" si="34"/>
        <v/>
      </c>
      <c r="AD231" s="340" t="str">
        <f>IFERROR(IF(AC231="Check Data ⚠","Check Data ⚠",VLOOKUP(AC231,'G-4 Temporal multipliers'!$A$4:$C$37,3,FALSE)),"")</f>
        <v/>
      </c>
      <c r="AE231" s="281" t="str">
        <f>IF(N231="","",VLOOKUP(N231,'G-7 WaterC'' Data'!$B$4:$G$8,5,FALSE))</f>
        <v/>
      </c>
      <c r="AF231" s="289" t="str">
        <f t="shared" si="35"/>
        <v/>
      </c>
      <c r="AG231" s="320" t="str">
        <f t="shared" si="36"/>
        <v/>
      </c>
      <c r="AH231" s="282" t="str">
        <f t="shared" si="30"/>
        <v/>
      </c>
      <c r="AI231" s="109"/>
      <c r="AJ231" s="282" t="str">
        <f>IF(AI231="","",IF(AND(AI231="N/A - Culvert",N231&lt;&gt;"Culvert"),"Not possible ▲",IF(VLOOKUP(AI231,'G-7 WaterC'' Data'!$AA$4:$AB$7,2,FALSE)=0,"Spatial Data Missing ⚠",VLOOKUP(AI231,'G-7 WaterC'' Data'!$AA$4:$AB$7,2,FALSE))))</f>
        <v/>
      </c>
      <c r="AK231" s="110"/>
      <c r="AL231" s="282" t="str">
        <f>IF(AK231="","",IF(AND(AK231="N/A - Culvert",N231&lt;&gt;"Culvert"),"Not possible ▲",IF(VLOOKUP(AK231,'G-7 WaterC'' Data'!$AD$4:$AE$14,2,FALSE)=0,"Spatial Data Missing ⚠",VLOOKUP(AK231,'G-7 WaterC'' Data'!$AD$4:$AE$14,2,FALSE))))</f>
        <v/>
      </c>
      <c r="AM231" s="323" t="str">
        <f t="shared" si="37"/>
        <v/>
      </c>
      <c r="AN231" s="105"/>
      <c r="AO231" s="119"/>
      <c r="AP231" s="108"/>
      <c r="AS231" s="30" t="str">
        <f>IF(B231="","",IF(ISNA(VLOOKUP($B231,'C-1 On-Site WaterC'' Baseline'!$C$8:$AD$257,17,FALSE)),"",(VLOOKUP($B231,'C-1 On-Site WaterC'' Baseline'!$C$8:$AD$257,17,FALSE))))</f>
        <v/>
      </c>
      <c r="AT231" s="30" t="str">
        <f>IF(B231="","",VLOOKUP($B231,'C-1 On-Site WaterC'' Baseline'!$C$9:$Z$257,12,FALSE))</f>
        <v/>
      </c>
      <c r="AU231" s="30" t="str">
        <f>IF(B231="","",VLOOKUP($B231,'C-1 On-Site WaterC'' Baseline'!$C$9:$Z$257,14,FALSE))</f>
        <v/>
      </c>
      <c r="AV231" s="30" t="str">
        <f>IFERROR(INDEX('G-7 WaterC'' Data'!$AZ$3:$AZ$7,MATCH(N231,'G-7 WaterC'' Data'!$AY$3:$AY$7,0)),"")</f>
        <v/>
      </c>
      <c r="AX231" s="30" t="str">
        <f>IF(B231="","",VLOOKUP($B231,'C-1 On-Site WaterC'' Baseline'!$C$9:$Y$257,22,FALSE))</f>
        <v/>
      </c>
      <c r="AY231" s="30" t="str">
        <f t="shared" si="38"/>
        <v/>
      </c>
      <c r="AZ231" s="30" t="str">
        <f>IF(B231="","",VLOOKUP($B231,'C-1 On-Site WaterC'' Baseline'!$C$9:$Y$257,21,FALSE))</f>
        <v/>
      </c>
      <c r="BA231" s="30" t="str">
        <f>IF(B231="","",VLOOKUP($B231,'C-1 On-Site WaterC'' Baseline'!$C$9:$Y$257,19,FALSE))</f>
        <v/>
      </c>
      <c r="BD231" s="30" t="str">
        <f t="shared" si="39"/>
        <v>No</v>
      </c>
    </row>
    <row r="232" spans="2:56" ht="13.8" x14ac:dyDescent="0.25">
      <c r="B232" s="311" t="str">
        <f>'C-1 On-Site WaterC'' Baseline'!AP230</f>
        <v/>
      </c>
      <c r="C232" s="301" t="str">
        <f>IF(B232="","",VLOOKUP($B232,'C-1 On-Site WaterC'' Baseline'!$C$9:$R$257,2,FALSE))</f>
        <v/>
      </c>
      <c r="D232" s="301" t="str">
        <f>IF(C232="","",VLOOKUP($B232,'C-1 On-Site WaterC'' Baseline'!$C$9:$R$257,3,FALSE))</f>
        <v/>
      </c>
      <c r="E232" s="301" t="str">
        <f>IF(D232="","",VLOOKUP($B232,'C-1 On-Site WaterC'' Baseline'!$C$9:$R$257,4,FALSE))</f>
        <v/>
      </c>
      <c r="F232" s="301" t="str">
        <f>IF(E232="","",VLOOKUP($B232,'C-1 On-Site WaterC'' Baseline'!$C$9:$R$257,5,FALSE))</f>
        <v/>
      </c>
      <c r="G232" s="301" t="str">
        <f>IF(F232="","",VLOOKUP($B232,'C-1 On-Site WaterC'' Baseline'!$C$9:$R$257,6,FALSE))</f>
        <v/>
      </c>
      <c r="H232" s="301" t="str">
        <f>IF(G232="","",VLOOKUP($B232,'C-1 On-Site WaterC'' Baseline'!$C$9:$R$257,7,FALSE))</f>
        <v/>
      </c>
      <c r="I232" s="301" t="str">
        <f>IF(H232="","",VLOOKUP($B232,'C-1 On-Site WaterC'' Baseline'!$C$9:$R$257,8,FALSE))</f>
        <v/>
      </c>
      <c r="J232" s="301" t="str">
        <f>IF(I232="","",VLOOKUP($B232,'C-1 On-Site WaterC'' Baseline'!$C$9:$R$257,9,FALSE))</f>
        <v/>
      </c>
      <c r="K232" s="301" t="str">
        <f>IF(J232="","",VLOOKUP($B232,'C-1 On-Site WaterC'' Baseline'!$C$9:$R$257,10,FALSE))</f>
        <v/>
      </c>
      <c r="L232" s="301" t="str">
        <f>IF(B232="","",VLOOKUP($B232,'C-1 On-Site WaterC'' Baseline'!$C$9:$R$257,15,FALSE))</f>
        <v/>
      </c>
      <c r="M232" s="305" t="str">
        <f>IF(L232="","",VLOOKUP($B232,'C-1 On-Site WaterC'' Baseline'!$C$9:$R$257,16,FALSE))</f>
        <v/>
      </c>
      <c r="N232" s="251"/>
      <c r="O232" s="281" t="str">
        <f t="shared" si="31"/>
        <v/>
      </c>
      <c r="P232" s="282" t="str">
        <f t="shared" si="32"/>
        <v/>
      </c>
      <c r="Q232" s="342" t="str">
        <f>IF(N232="","",VLOOKUP(B232,'C-1 On-Site WaterC'' Baseline'!$C$10:$AC$257,20,FALSE))</f>
        <v/>
      </c>
      <c r="R232" s="281" t="str">
        <f>IF(N232="","",VLOOKUP(N232,'G-7 WaterC'' Data'!$B$2:$G$8,2,FALSE))</f>
        <v/>
      </c>
      <c r="S232" s="282" t="str">
        <f>IFERROR(VLOOKUP(R232,'G-7 WaterC'' Data'!$C$4:$D$8,2,FALSE),"")</f>
        <v/>
      </c>
      <c r="T232" s="105"/>
      <c r="U232" s="282" t="str">
        <f>IFERROR(INDEX('G-7 WaterC'' Data'!$H$4:$L$8,MATCH(N232,'G-7 WaterC'' Data'!$B$4:$B$8,0),MATCH(T232,'G-7 WaterC'' Data'!$H$3:$L$3,0)),"")</f>
        <v/>
      </c>
      <c r="V232" s="105"/>
      <c r="W232" s="289" t="str">
        <f>IF(V232="","",IF(VLOOKUP(V232,'G-7 WaterC'' Data'!$AK$4:$AM$6,2,FALSE)=0,"Spatial Data Missing ⚠",VLOOKUP(V232,'G-7 WaterC'' Data'!$AK$4:$AM$6,2,FALSE)))</f>
        <v/>
      </c>
      <c r="X232" s="282" t="str">
        <f>IF(V232="","",IF(VLOOKUP(V232,'G-7 WaterC'' Data'!$AK$4:$AM$6,3,FALSE)=0,"Spatial Data Missing ⚠",VLOOKUP(V232,'G-7 WaterC'' Data'!$AK$4:$AM$6,3,FALSE)))</f>
        <v/>
      </c>
      <c r="Y232" s="281" t="str">
        <f>IFERROR(IF(OR(LEFT(P232,5)="Error",LEFT(O232,5)="Error"),"Check Data ⚠",IF(F232&lt;S232,'G-7 WaterC'' Data'!$R$3,INDEX('G-7 WaterC'' Data'!$U$5:$Y$9,MATCH(G232,'G-7 WaterC'' Data'!$T$5:$T$9,0),MATCH(T232,'G-7 WaterC'' Data'!$U$4:$Y$4,0)))),"")</f>
        <v/>
      </c>
      <c r="Z232" s="137"/>
      <c r="AA232" s="137"/>
      <c r="AB232" s="289" t="str">
        <f t="shared" si="33"/>
        <v/>
      </c>
      <c r="AC232" s="302" t="str">
        <f t="shared" si="34"/>
        <v/>
      </c>
      <c r="AD232" s="340" t="str">
        <f>IFERROR(IF(AC232="Check Data ⚠","Check Data ⚠",VLOOKUP(AC232,'G-4 Temporal multipliers'!$A$4:$C$37,3,FALSE)),"")</f>
        <v/>
      </c>
      <c r="AE232" s="281" t="str">
        <f>IF(N232="","",VLOOKUP(N232,'G-7 WaterC'' Data'!$B$4:$G$8,5,FALSE))</f>
        <v/>
      </c>
      <c r="AF232" s="289" t="str">
        <f t="shared" si="35"/>
        <v/>
      </c>
      <c r="AG232" s="320" t="str">
        <f t="shared" si="36"/>
        <v/>
      </c>
      <c r="AH232" s="282" t="str">
        <f t="shared" si="30"/>
        <v/>
      </c>
      <c r="AI232" s="109"/>
      <c r="AJ232" s="282" t="str">
        <f>IF(AI232="","",IF(AND(AI232="N/A - Culvert",N232&lt;&gt;"Culvert"),"Not possible ▲",IF(VLOOKUP(AI232,'G-7 WaterC'' Data'!$AA$4:$AB$7,2,FALSE)=0,"Spatial Data Missing ⚠",VLOOKUP(AI232,'G-7 WaterC'' Data'!$AA$4:$AB$7,2,FALSE))))</f>
        <v/>
      </c>
      <c r="AK232" s="110"/>
      <c r="AL232" s="282" t="str">
        <f>IF(AK232="","",IF(AND(AK232="N/A - Culvert",N232&lt;&gt;"Culvert"),"Not possible ▲",IF(VLOOKUP(AK232,'G-7 WaterC'' Data'!$AD$4:$AE$14,2,FALSE)=0,"Spatial Data Missing ⚠",VLOOKUP(AK232,'G-7 WaterC'' Data'!$AD$4:$AE$14,2,FALSE))))</f>
        <v/>
      </c>
      <c r="AM232" s="323" t="str">
        <f t="shared" si="37"/>
        <v/>
      </c>
      <c r="AN232" s="105"/>
      <c r="AO232" s="119"/>
      <c r="AP232" s="108"/>
      <c r="AS232" s="30" t="str">
        <f>IF(B232="","",IF(ISNA(VLOOKUP($B232,'C-1 On-Site WaterC'' Baseline'!$C$8:$AD$257,17,FALSE)),"",(VLOOKUP($B232,'C-1 On-Site WaterC'' Baseline'!$C$8:$AD$257,17,FALSE))))</f>
        <v/>
      </c>
      <c r="AT232" s="30" t="str">
        <f>IF(B232="","",VLOOKUP($B232,'C-1 On-Site WaterC'' Baseline'!$C$9:$Z$257,12,FALSE))</f>
        <v/>
      </c>
      <c r="AU232" s="30" t="str">
        <f>IF(B232="","",VLOOKUP($B232,'C-1 On-Site WaterC'' Baseline'!$C$9:$Z$257,14,FALSE))</f>
        <v/>
      </c>
      <c r="AV232" s="30" t="str">
        <f>IFERROR(INDEX('G-7 WaterC'' Data'!$AZ$3:$AZ$7,MATCH(N232,'G-7 WaterC'' Data'!$AY$3:$AY$7,0)),"")</f>
        <v/>
      </c>
      <c r="AX232" s="30" t="str">
        <f>IF(B232="","",VLOOKUP($B232,'C-1 On-Site WaterC'' Baseline'!$C$9:$Y$257,22,FALSE))</f>
        <v/>
      </c>
      <c r="AY232" s="30" t="str">
        <f t="shared" si="38"/>
        <v/>
      </c>
      <c r="AZ232" s="30" t="str">
        <f>IF(B232="","",VLOOKUP($B232,'C-1 On-Site WaterC'' Baseline'!$C$9:$Y$257,21,FALSE))</f>
        <v/>
      </c>
      <c r="BA232" s="30" t="str">
        <f>IF(B232="","",VLOOKUP($B232,'C-1 On-Site WaterC'' Baseline'!$C$9:$Y$257,19,FALSE))</f>
        <v/>
      </c>
      <c r="BD232" s="30" t="str">
        <f t="shared" si="39"/>
        <v>No</v>
      </c>
    </row>
    <row r="233" spans="2:56" ht="13.8" x14ac:dyDescent="0.25">
      <c r="B233" s="311" t="str">
        <f>'C-1 On-Site WaterC'' Baseline'!AP231</f>
        <v/>
      </c>
      <c r="C233" s="301" t="str">
        <f>IF(B233="","",VLOOKUP($B233,'C-1 On-Site WaterC'' Baseline'!$C$9:$R$257,2,FALSE))</f>
        <v/>
      </c>
      <c r="D233" s="301" t="str">
        <f>IF(C233="","",VLOOKUP($B233,'C-1 On-Site WaterC'' Baseline'!$C$9:$R$257,3,FALSE))</f>
        <v/>
      </c>
      <c r="E233" s="301" t="str">
        <f>IF(D233="","",VLOOKUP($B233,'C-1 On-Site WaterC'' Baseline'!$C$9:$R$257,4,FALSE))</f>
        <v/>
      </c>
      <c r="F233" s="301" t="str">
        <f>IF(E233="","",VLOOKUP($B233,'C-1 On-Site WaterC'' Baseline'!$C$9:$R$257,5,FALSE))</f>
        <v/>
      </c>
      <c r="G233" s="301" t="str">
        <f>IF(F233="","",VLOOKUP($B233,'C-1 On-Site WaterC'' Baseline'!$C$9:$R$257,6,FALSE))</f>
        <v/>
      </c>
      <c r="H233" s="301" t="str">
        <f>IF(G233="","",VLOOKUP($B233,'C-1 On-Site WaterC'' Baseline'!$C$9:$R$257,7,FALSE))</f>
        <v/>
      </c>
      <c r="I233" s="301" t="str">
        <f>IF(H233="","",VLOOKUP($B233,'C-1 On-Site WaterC'' Baseline'!$C$9:$R$257,8,FALSE))</f>
        <v/>
      </c>
      <c r="J233" s="301" t="str">
        <f>IF(I233="","",VLOOKUP($B233,'C-1 On-Site WaterC'' Baseline'!$C$9:$R$257,9,FALSE))</f>
        <v/>
      </c>
      <c r="K233" s="301" t="str">
        <f>IF(J233="","",VLOOKUP($B233,'C-1 On-Site WaterC'' Baseline'!$C$9:$R$257,10,FALSE))</f>
        <v/>
      </c>
      <c r="L233" s="301" t="str">
        <f>IF(B233="","",VLOOKUP($B233,'C-1 On-Site WaterC'' Baseline'!$C$9:$R$257,15,FALSE))</f>
        <v/>
      </c>
      <c r="M233" s="305" t="str">
        <f>IF(L233="","",VLOOKUP($B233,'C-1 On-Site WaterC'' Baseline'!$C$9:$R$257,16,FALSE))</f>
        <v/>
      </c>
      <c r="N233" s="251"/>
      <c r="O233" s="281" t="str">
        <f t="shared" si="31"/>
        <v/>
      </c>
      <c r="P233" s="282" t="str">
        <f t="shared" si="32"/>
        <v/>
      </c>
      <c r="Q233" s="342" t="str">
        <f>IF(N233="","",VLOOKUP(B233,'C-1 On-Site WaterC'' Baseline'!$C$10:$AC$257,20,FALSE))</f>
        <v/>
      </c>
      <c r="R233" s="281" t="str">
        <f>IF(N233="","",VLOOKUP(N233,'G-7 WaterC'' Data'!$B$2:$G$8,2,FALSE))</f>
        <v/>
      </c>
      <c r="S233" s="282" t="str">
        <f>IFERROR(VLOOKUP(R233,'G-7 WaterC'' Data'!$C$4:$D$8,2,FALSE),"")</f>
        <v/>
      </c>
      <c r="T233" s="105"/>
      <c r="U233" s="282" t="str">
        <f>IFERROR(INDEX('G-7 WaterC'' Data'!$H$4:$L$8,MATCH(N233,'G-7 WaterC'' Data'!$B$4:$B$8,0),MATCH(T233,'G-7 WaterC'' Data'!$H$3:$L$3,0)),"")</f>
        <v/>
      </c>
      <c r="V233" s="105"/>
      <c r="W233" s="289" t="str">
        <f>IF(V233="","",IF(VLOOKUP(V233,'G-7 WaterC'' Data'!$AK$4:$AM$6,2,FALSE)=0,"Spatial Data Missing ⚠",VLOOKUP(V233,'G-7 WaterC'' Data'!$AK$4:$AM$6,2,FALSE)))</f>
        <v/>
      </c>
      <c r="X233" s="282" t="str">
        <f>IF(V233="","",IF(VLOOKUP(V233,'G-7 WaterC'' Data'!$AK$4:$AM$6,3,FALSE)=0,"Spatial Data Missing ⚠",VLOOKUP(V233,'G-7 WaterC'' Data'!$AK$4:$AM$6,3,FALSE)))</f>
        <v/>
      </c>
      <c r="Y233" s="281" t="str">
        <f>IFERROR(IF(OR(LEFT(P233,5)="Error",LEFT(O233,5)="Error"),"Check Data ⚠",IF(F233&lt;S233,'G-7 WaterC'' Data'!$R$3,INDEX('G-7 WaterC'' Data'!$U$5:$Y$9,MATCH(G233,'G-7 WaterC'' Data'!$T$5:$T$9,0),MATCH(T233,'G-7 WaterC'' Data'!$U$4:$Y$4,0)))),"")</f>
        <v/>
      </c>
      <c r="Z233" s="137"/>
      <c r="AA233" s="137"/>
      <c r="AB233" s="289" t="str">
        <f t="shared" si="33"/>
        <v/>
      </c>
      <c r="AC233" s="302" t="str">
        <f t="shared" si="34"/>
        <v/>
      </c>
      <c r="AD233" s="340" t="str">
        <f>IFERROR(IF(AC233="Check Data ⚠","Check Data ⚠",VLOOKUP(AC233,'G-4 Temporal multipliers'!$A$4:$C$37,3,FALSE)),"")</f>
        <v/>
      </c>
      <c r="AE233" s="281" t="str">
        <f>IF(N233="","",VLOOKUP(N233,'G-7 WaterC'' Data'!$B$4:$G$8,5,FALSE))</f>
        <v/>
      </c>
      <c r="AF233" s="289" t="str">
        <f t="shared" si="35"/>
        <v/>
      </c>
      <c r="AG233" s="320" t="str">
        <f t="shared" si="36"/>
        <v/>
      </c>
      <c r="AH233" s="282" t="str">
        <f t="shared" si="30"/>
        <v/>
      </c>
      <c r="AI233" s="109"/>
      <c r="AJ233" s="282" t="str">
        <f>IF(AI233="","",IF(AND(AI233="N/A - Culvert",N233&lt;&gt;"Culvert"),"Not possible ▲",IF(VLOOKUP(AI233,'G-7 WaterC'' Data'!$AA$4:$AB$7,2,FALSE)=0,"Spatial Data Missing ⚠",VLOOKUP(AI233,'G-7 WaterC'' Data'!$AA$4:$AB$7,2,FALSE))))</f>
        <v/>
      </c>
      <c r="AK233" s="110"/>
      <c r="AL233" s="282" t="str">
        <f>IF(AK233="","",IF(AND(AK233="N/A - Culvert",N233&lt;&gt;"Culvert"),"Not possible ▲",IF(VLOOKUP(AK233,'G-7 WaterC'' Data'!$AD$4:$AE$14,2,FALSE)=0,"Spatial Data Missing ⚠",VLOOKUP(AK233,'G-7 WaterC'' Data'!$AD$4:$AE$14,2,FALSE))))</f>
        <v/>
      </c>
      <c r="AM233" s="323" t="str">
        <f t="shared" si="37"/>
        <v/>
      </c>
      <c r="AN233" s="105"/>
      <c r="AO233" s="119"/>
      <c r="AP233" s="108"/>
      <c r="AS233" s="30" t="str">
        <f>IF(B233="","",IF(ISNA(VLOOKUP($B233,'C-1 On-Site WaterC'' Baseline'!$C$8:$AD$257,17,FALSE)),"",(VLOOKUP($B233,'C-1 On-Site WaterC'' Baseline'!$C$8:$AD$257,17,FALSE))))</f>
        <v/>
      </c>
      <c r="AT233" s="30" t="str">
        <f>IF(B233="","",VLOOKUP($B233,'C-1 On-Site WaterC'' Baseline'!$C$9:$Z$257,12,FALSE))</f>
        <v/>
      </c>
      <c r="AU233" s="30" t="str">
        <f>IF(B233="","",VLOOKUP($B233,'C-1 On-Site WaterC'' Baseline'!$C$9:$Z$257,14,FALSE))</f>
        <v/>
      </c>
      <c r="AV233" s="30" t="str">
        <f>IFERROR(INDEX('G-7 WaterC'' Data'!$AZ$3:$AZ$7,MATCH(N233,'G-7 WaterC'' Data'!$AY$3:$AY$7,0)),"")</f>
        <v/>
      </c>
      <c r="AX233" s="30" t="str">
        <f>IF(B233="","",VLOOKUP($B233,'C-1 On-Site WaterC'' Baseline'!$C$9:$Y$257,22,FALSE))</f>
        <v/>
      </c>
      <c r="AY233" s="30" t="str">
        <f t="shared" si="38"/>
        <v/>
      </c>
      <c r="AZ233" s="30" t="str">
        <f>IF(B233="","",VLOOKUP($B233,'C-1 On-Site WaterC'' Baseline'!$C$9:$Y$257,21,FALSE))</f>
        <v/>
      </c>
      <c r="BA233" s="30" t="str">
        <f>IF(B233="","",VLOOKUP($B233,'C-1 On-Site WaterC'' Baseline'!$C$9:$Y$257,19,FALSE))</f>
        <v/>
      </c>
      <c r="BD233" s="30" t="str">
        <f t="shared" si="39"/>
        <v>No</v>
      </c>
    </row>
    <row r="234" spans="2:56" ht="13.8" x14ac:dyDescent="0.25">
      <c r="B234" s="311" t="str">
        <f>'C-1 On-Site WaterC'' Baseline'!AP232</f>
        <v/>
      </c>
      <c r="C234" s="301" t="str">
        <f>IF(B234="","",VLOOKUP($B234,'C-1 On-Site WaterC'' Baseline'!$C$9:$R$257,2,FALSE))</f>
        <v/>
      </c>
      <c r="D234" s="301" t="str">
        <f>IF(C234="","",VLOOKUP($B234,'C-1 On-Site WaterC'' Baseline'!$C$9:$R$257,3,FALSE))</f>
        <v/>
      </c>
      <c r="E234" s="301" t="str">
        <f>IF(D234="","",VLOOKUP($B234,'C-1 On-Site WaterC'' Baseline'!$C$9:$R$257,4,FALSE))</f>
        <v/>
      </c>
      <c r="F234" s="301" t="str">
        <f>IF(E234="","",VLOOKUP($B234,'C-1 On-Site WaterC'' Baseline'!$C$9:$R$257,5,FALSE))</f>
        <v/>
      </c>
      <c r="G234" s="301" t="str">
        <f>IF(F234="","",VLOOKUP($B234,'C-1 On-Site WaterC'' Baseline'!$C$9:$R$257,6,FALSE))</f>
        <v/>
      </c>
      <c r="H234" s="301" t="str">
        <f>IF(G234="","",VLOOKUP($B234,'C-1 On-Site WaterC'' Baseline'!$C$9:$R$257,7,FALSE))</f>
        <v/>
      </c>
      <c r="I234" s="301" t="str">
        <f>IF(H234="","",VLOOKUP($B234,'C-1 On-Site WaterC'' Baseline'!$C$9:$R$257,8,FALSE))</f>
        <v/>
      </c>
      <c r="J234" s="301" t="str">
        <f>IF(I234="","",VLOOKUP($B234,'C-1 On-Site WaterC'' Baseline'!$C$9:$R$257,9,FALSE))</f>
        <v/>
      </c>
      <c r="K234" s="301" t="str">
        <f>IF(J234="","",VLOOKUP($B234,'C-1 On-Site WaterC'' Baseline'!$C$9:$R$257,10,FALSE))</f>
        <v/>
      </c>
      <c r="L234" s="301" t="str">
        <f>IF(B234="","",VLOOKUP($B234,'C-1 On-Site WaterC'' Baseline'!$C$9:$R$257,15,FALSE))</f>
        <v/>
      </c>
      <c r="M234" s="305" t="str">
        <f>IF(L234="","",VLOOKUP($B234,'C-1 On-Site WaterC'' Baseline'!$C$9:$R$257,16,FALSE))</f>
        <v/>
      </c>
      <c r="N234" s="251"/>
      <c r="O234" s="281" t="str">
        <f t="shared" si="31"/>
        <v/>
      </c>
      <c r="P234" s="282" t="str">
        <f t="shared" si="32"/>
        <v/>
      </c>
      <c r="Q234" s="342" t="str">
        <f>IF(N234="","",VLOOKUP(B234,'C-1 On-Site WaterC'' Baseline'!$C$10:$AC$257,20,FALSE))</f>
        <v/>
      </c>
      <c r="R234" s="281" t="str">
        <f>IF(N234="","",VLOOKUP(N234,'G-7 WaterC'' Data'!$B$2:$G$8,2,FALSE))</f>
        <v/>
      </c>
      <c r="S234" s="282" t="str">
        <f>IFERROR(VLOOKUP(R234,'G-7 WaterC'' Data'!$C$4:$D$8,2,FALSE),"")</f>
        <v/>
      </c>
      <c r="T234" s="105"/>
      <c r="U234" s="282" t="str">
        <f>IFERROR(INDEX('G-7 WaterC'' Data'!$H$4:$L$8,MATCH(N234,'G-7 WaterC'' Data'!$B$4:$B$8,0),MATCH(T234,'G-7 WaterC'' Data'!$H$3:$L$3,0)),"")</f>
        <v/>
      </c>
      <c r="V234" s="105"/>
      <c r="W234" s="289" t="str">
        <f>IF(V234="","",IF(VLOOKUP(V234,'G-7 WaterC'' Data'!$AK$4:$AM$6,2,FALSE)=0,"Spatial Data Missing ⚠",VLOOKUP(V234,'G-7 WaterC'' Data'!$AK$4:$AM$6,2,FALSE)))</f>
        <v/>
      </c>
      <c r="X234" s="282" t="str">
        <f>IF(V234="","",IF(VLOOKUP(V234,'G-7 WaterC'' Data'!$AK$4:$AM$6,3,FALSE)=0,"Spatial Data Missing ⚠",VLOOKUP(V234,'G-7 WaterC'' Data'!$AK$4:$AM$6,3,FALSE)))</f>
        <v/>
      </c>
      <c r="Y234" s="281" t="str">
        <f>IFERROR(IF(OR(LEFT(P234,5)="Error",LEFT(O234,5)="Error"),"Check Data ⚠",IF(F234&lt;S234,'G-7 WaterC'' Data'!$R$3,INDEX('G-7 WaterC'' Data'!$U$5:$Y$9,MATCH(G234,'G-7 WaterC'' Data'!$T$5:$T$9,0),MATCH(T234,'G-7 WaterC'' Data'!$U$4:$Y$4,0)))),"")</f>
        <v/>
      </c>
      <c r="Z234" s="137"/>
      <c r="AA234" s="137"/>
      <c r="AB234" s="289" t="str">
        <f t="shared" si="33"/>
        <v/>
      </c>
      <c r="AC234" s="302" t="str">
        <f t="shared" si="34"/>
        <v/>
      </c>
      <c r="AD234" s="340" t="str">
        <f>IFERROR(IF(AC234="Check Data ⚠","Check Data ⚠",VLOOKUP(AC234,'G-4 Temporal multipliers'!$A$4:$C$37,3,FALSE)),"")</f>
        <v/>
      </c>
      <c r="AE234" s="281" t="str">
        <f>IF(N234="","",VLOOKUP(N234,'G-7 WaterC'' Data'!$B$4:$G$8,5,FALSE))</f>
        <v/>
      </c>
      <c r="AF234" s="289" t="str">
        <f t="shared" si="35"/>
        <v/>
      </c>
      <c r="AG234" s="320" t="str">
        <f t="shared" si="36"/>
        <v/>
      </c>
      <c r="AH234" s="282" t="str">
        <f t="shared" si="30"/>
        <v/>
      </c>
      <c r="AI234" s="109"/>
      <c r="AJ234" s="282" t="str">
        <f>IF(AI234="","",IF(AND(AI234="N/A - Culvert",N234&lt;&gt;"Culvert"),"Not possible ▲",IF(VLOOKUP(AI234,'G-7 WaterC'' Data'!$AA$4:$AB$7,2,FALSE)=0,"Spatial Data Missing ⚠",VLOOKUP(AI234,'G-7 WaterC'' Data'!$AA$4:$AB$7,2,FALSE))))</f>
        <v/>
      </c>
      <c r="AK234" s="110"/>
      <c r="AL234" s="282" t="str">
        <f>IF(AK234="","",IF(AND(AK234="N/A - Culvert",N234&lt;&gt;"Culvert"),"Not possible ▲",IF(VLOOKUP(AK234,'G-7 WaterC'' Data'!$AD$4:$AE$14,2,FALSE)=0,"Spatial Data Missing ⚠",VLOOKUP(AK234,'G-7 WaterC'' Data'!$AD$4:$AE$14,2,FALSE))))</f>
        <v/>
      </c>
      <c r="AM234" s="323" t="str">
        <f t="shared" si="37"/>
        <v/>
      </c>
      <c r="AN234" s="105"/>
      <c r="AO234" s="119"/>
      <c r="AP234" s="108"/>
      <c r="AS234" s="30" t="str">
        <f>IF(B234="","",IF(ISNA(VLOOKUP($B234,'C-1 On-Site WaterC'' Baseline'!$C$8:$AD$257,17,FALSE)),"",(VLOOKUP($B234,'C-1 On-Site WaterC'' Baseline'!$C$8:$AD$257,17,FALSE))))</f>
        <v/>
      </c>
      <c r="AT234" s="30" t="str">
        <f>IF(B234="","",VLOOKUP($B234,'C-1 On-Site WaterC'' Baseline'!$C$9:$Z$257,12,FALSE))</f>
        <v/>
      </c>
      <c r="AU234" s="30" t="str">
        <f>IF(B234="","",VLOOKUP($B234,'C-1 On-Site WaterC'' Baseline'!$C$9:$Z$257,14,FALSE))</f>
        <v/>
      </c>
      <c r="AV234" s="30" t="str">
        <f>IFERROR(INDEX('G-7 WaterC'' Data'!$AZ$3:$AZ$7,MATCH(N234,'G-7 WaterC'' Data'!$AY$3:$AY$7,0)),"")</f>
        <v/>
      </c>
      <c r="AX234" s="30" t="str">
        <f>IF(B234="","",VLOOKUP($B234,'C-1 On-Site WaterC'' Baseline'!$C$9:$Y$257,22,FALSE))</f>
        <v/>
      </c>
      <c r="AY234" s="30" t="str">
        <f t="shared" si="38"/>
        <v/>
      </c>
      <c r="AZ234" s="30" t="str">
        <f>IF(B234="","",VLOOKUP($B234,'C-1 On-Site WaterC'' Baseline'!$C$9:$Y$257,21,FALSE))</f>
        <v/>
      </c>
      <c r="BA234" s="30" t="str">
        <f>IF(B234="","",VLOOKUP($B234,'C-1 On-Site WaterC'' Baseline'!$C$9:$Y$257,19,FALSE))</f>
        <v/>
      </c>
      <c r="BD234" s="30" t="str">
        <f t="shared" si="39"/>
        <v>No</v>
      </c>
    </row>
    <row r="235" spans="2:56" ht="13.8" x14ac:dyDescent="0.25">
      <c r="B235" s="311" t="str">
        <f>'C-1 On-Site WaterC'' Baseline'!AP233</f>
        <v/>
      </c>
      <c r="C235" s="301" t="str">
        <f>IF(B235="","",VLOOKUP($B235,'C-1 On-Site WaterC'' Baseline'!$C$9:$R$257,2,FALSE))</f>
        <v/>
      </c>
      <c r="D235" s="301" t="str">
        <f>IF(C235="","",VLOOKUP($B235,'C-1 On-Site WaterC'' Baseline'!$C$9:$R$257,3,FALSE))</f>
        <v/>
      </c>
      <c r="E235" s="301" t="str">
        <f>IF(D235="","",VLOOKUP($B235,'C-1 On-Site WaterC'' Baseline'!$C$9:$R$257,4,FALSE))</f>
        <v/>
      </c>
      <c r="F235" s="301" t="str">
        <f>IF(E235="","",VLOOKUP($B235,'C-1 On-Site WaterC'' Baseline'!$C$9:$R$257,5,FALSE))</f>
        <v/>
      </c>
      <c r="G235" s="301" t="str">
        <f>IF(F235="","",VLOOKUP($B235,'C-1 On-Site WaterC'' Baseline'!$C$9:$R$257,6,FALSE))</f>
        <v/>
      </c>
      <c r="H235" s="301" t="str">
        <f>IF(G235="","",VLOOKUP($B235,'C-1 On-Site WaterC'' Baseline'!$C$9:$R$257,7,FALSE))</f>
        <v/>
      </c>
      <c r="I235" s="301" t="str">
        <f>IF(H235="","",VLOOKUP($B235,'C-1 On-Site WaterC'' Baseline'!$C$9:$R$257,8,FALSE))</f>
        <v/>
      </c>
      <c r="J235" s="301" t="str">
        <f>IF(I235="","",VLOOKUP($B235,'C-1 On-Site WaterC'' Baseline'!$C$9:$R$257,9,FALSE))</f>
        <v/>
      </c>
      <c r="K235" s="301" t="str">
        <f>IF(J235="","",VLOOKUP($B235,'C-1 On-Site WaterC'' Baseline'!$C$9:$R$257,10,FALSE))</f>
        <v/>
      </c>
      <c r="L235" s="301" t="str">
        <f>IF(B235="","",VLOOKUP($B235,'C-1 On-Site WaterC'' Baseline'!$C$9:$R$257,15,FALSE))</f>
        <v/>
      </c>
      <c r="M235" s="305" t="str">
        <f>IF(L235="","",VLOOKUP($B235,'C-1 On-Site WaterC'' Baseline'!$C$9:$R$257,16,FALSE))</f>
        <v/>
      </c>
      <c r="N235" s="251"/>
      <c r="O235" s="281" t="str">
        <f t="shared" si="31"/>
        <v/>
      </c>
      <c r="P235" s="282" t="str">
        <f t="shared" si="32"/>
        <v/>
      </c>
      <c r="Q235" s="342" t="str">
        <f>IF(N235="","",VLOOKUP(B235,'C-1 On-Site WaterC'' Baseline'!$C$10:$AC$257,20,FALSE))</f>
        <v/>
      </c>
      <c r="R235" s="281" t="str">
        <f>IF(N235="","",VLOOKUP(N235,'G-7 WaterC'' Data'!$B$2:$G$8,2,FALSE))</f>
        <v/>
      </c>
      <c r="S235" s="282" t="str">
        <f>IFERROR(VLOOKUP(R235,'G-7 WaterC'' Data'!$C$4:$D$8,2,FALSE),"")</f>
        <v/>
      </c>
      <c r="T235" s="105"/>
      <c r="U235" s="282" t="str">
        <f>IFERROR(INDEX('G-7 WaterC'' Data'!$H$4:$L$8,MATCH(N235,'G-7 WaterC'' Data'!$B$4:$B$8,0),MATCH(T235,'G-7 WaterC'' Data'!$H$3:$L$3,0)),"")</f>
        <v/>
      </c>
      <c r="V235" s="105"/>
      <c r="W235" s="289" t="str">
        <f>IF(V235="","",IF(VLOOKUP(V235,'G-7 WaterC'' Data'!$AK$4:$AM$6,2,FALSE)=0,"Spatial Data Missing ⚠",VLOOKUP(V235,'G-7 WaterC'' Data'!$AK$4:$AM$6,2,FALSE)))</f>
        <v/>
      </c>
      <c r="X235" s="282" t="str">
        <f>IF(V235="","",IF(VLOOKUP(V235,'G-7 WaterC'' Data'!$AK$4:$AM$6,3,FALSE)=0,"Spatial Data Missing ⚠",VLOOKUP(V235,'G-7 WaterC'' Data'!$AK$4:$AM$6,3,FALSE)))</f>
        <v/>
      </c>
      <c r="Y235" s="281" t="str">
        <f>IFERROR(IF(OR(LEFT(P235,5)="Error",LEFT(O235,5)="Error"),"Check Data ⚠",IF(F235&lt;S235,'G-7 WaterC'' Data'!$R$3,INDEX('G-7 WaterC'' Data'!$U$5:$Y$9,MATCH(G235,'G-7 WaterC'' Data'!$T$5:$T$9,0),MATCH(T235,'G-7 WaterC'' Data'!$U$4:$Y$4,0)))),"")</f>
        <v/>
      </c>
      <c r="Z235" s="137"/>
      <c r="AA235" s="137"/>
      <c r="AB235" s="289" t="str">
        <f t="shared" si="33"/>
        <v/>
      </c>
      <c r="AC235" s="302" t="str">
        <f t="shared" si="34"/>
        <v/>
      </c>
      <c r="AD235" s="340" t="str">
        <f>IFERROR(IF(AC235="Check Data ⚠","Check Data ⚠",VLOOKUP(AC235,'G-4 Temporal multipliers'!$A$4:$C$37,3,FALSE)),"")</f>
        <v/>
      </c>
      <c r="AE235" s="281" t="str">
        <f>IF(N235="","",VLOOKUP(N235,'G-7 WaterC'' Data'!$B$4:$G$8,5,FALSE))</f>
        <v/>
      </c>
      <c r="AF235" s="289" t="str">
        <f t="shared" si="35"/>
        <v/>
      </c>
      <c r="AG235" s="320" t="str">
        <f t="shared" si="36"/>
        <v/>
      </c>
      <c r="AH235" s="282" t="str">
        <f t="shared" si="30"/>
        <v/>
      </c>
      <c r="AI235" s="109"/>
      <c r="AJ235" s="282" t="str">
        <f>IF(AI235="","",IF(AND(AI235="N/A - Culvert",N235&lt;&gt;"Culvert"),"Not possible ▲",IF(VLOOKUP(AI235,'G-7 WaterC'' Data'!$AA$4:$AB$7,2,FALSE)=0,"Spatial Data Missing ⚠",VLOOKUP(AI235,'G-7 WaterC'' Data'!$AA$4:$AB$7,2,FALSE))))</f>
        <v/>
      </c>
      <c r="AK235" s="110"/>
      <c r="AL235" s="282" t="str">
        <f>IF(AK235="","",IF(AND(AK235="N/A - Culvert",N235&lt;&gt;"Culvert"),"Not possible ▲",IF(VLOOKUP(AK235,'G-7 WaterC'' Data'!$AD$4:$AE$14,2,FALSE)=0,"Spatial Data Missing ⚠",VLOOKUP(AK235,'G-7 WaterC'' Data'!$AD$4:$AE$14,2,FALSE))))</f>
        <v/>
      </c>
      <c r="AM235" s="323" t="str">
        <f t="shared" si="37"/>
        <v/>
      </c>
      <c r="AN235" s="105"/>
      <c r="AO235" s="119"/>
      <c r="AP235" s="108"/>
      <c r="AS235" s="30" t="str">
        <f>IF(B235="","",IF(ISNA(VLOOKUP($B235,'C-1 On-Site WaterC'' Baseline'!$C$8:$AD$257,17,FALSE)),"",(VLOOKUP($B235,'C-1 On-Site WaterC'' Baseline'!$C$8:$AD$257,17,FALSE))))</f>
        <v/>
      </c>
      <c r="AT235" s="30" t="str">
        <f>IF(B235="","",VLOOKUP($B235,'C-1 On-Site WaterC'' Baseline'!$C$9:$Z$257,12,FALSE))</f>
        <v/>
      </c>
      <c r="AU235" s="30" t="str">
        <f>IF(B235="","",VLOOKUP($B235,'C-1 On-Site WaterC'' Baseline'!$C$9:$Z$257,14,FALSE))</f>
        <v/>
      </c>
      <c r="AV235" s="30" t="str">
        <f>IFERROR(INDEX('G-7 WaterC'' Data'!$AZ$3:$AZ$7,MATCH(N235,'G-7 WaterC'' Data'!$AY$3:$AY$7,0)),"")</f>
        <v/>
      </c>
      <c r="AX235" s="30" t="str">
        <f>IF(B235="","",VLOOKUP($B235,'C-1 On-Site WaterC'' Baseline'!$C$9:$Y$257,22,FALSE))</f>
        <v/>
      </c>
      <c r="AY235" s="30" t="str">
        <f t="shared" si="38"/>
        <v/>
      </c>
      <c r="AZ235" s="30" t="str">
        <f>IF(B235="","",VLOOKUP($B235,'C-1 On-Site WaterC'' Baseline'!$C$9:$Y$257,21,FALSE))</f>
        <v/>
      </c>
      <c r="BA235" s="30" t="str">
        <f>IF(B235="","",VLOOKUP($B235,'C-1 On-Site WaterC'' Baseline'!$C$9:$Y$257,19,FALSE))</f>
        <v/>
      </c>
      <c r="BD235" s="30" t="str">
        <f t="shared" si="39"/>
        <v>No</v>
      </c>
    </row>
    <row r="236" spans="2:56" ht="13.8" x14ac:dyDescent="0.25">
      <c r="B236" s="311" t="str">
        <f>'C-1 On-Site WaterC'' Baseline'!AP234</f>
        <v/>
      </c>
      <c r="C236" s="301" t="str">
        <f>IF(B236="","",VLOOKUP($B236,'C-1 On-Site WaterC'' Baseline'!$C$9:$R$257,2,FALSE))</f>
        <v/>
      </c>
      <c r="D236" s="301" t="str">
        <f>IF(C236="","",VLOOKUP($B236,'C-1 On-Site WaterC'' Baseline'!$C$9:$R$257,3,FALSE))</f>
        <v/>
      </c>
      <c r="E236" s="301" t="str">
        <f>IF(D236="","",VLOOKUP($B236,'C-1 On-Site WaterC'' Baseline'!$C$9:$R$257,4,FALSE))</f>
        <v/>
      </c>
      <c r="F236" s="301" t="str">
        <f>IF(E236="","",VLOOKUP($B236,'C-1 On-Site WaterC'' Baseline'!$C$9:$R$257,5,FALSE))</f>
        <v/>
      </c>
      <c r="G236" s="301" t="str">
        <f>IF(F236="","",VLOOKUP($B236,'C-1 On-Site WaterC'' Baseline'!$C$9:$R$257,6,FALSE))</f>
        <v/>
      </c>
      <c r="H236" s="301" t="str">
        <f>IF(G236="","",VLOOKUP($B236,'C-1 On-Site WaterC'' Baseline'!$C$9:$R$257,7,FALSE))</f>
        <v/>
      </c>
      <c r="I236" s="301" t="str">
        <f>IF(H236="","",VLOOKUP($B236,'C-1 On-Site WaterC'' Baseline'!$C$9:$R$257,8,FALSE))</f>
        <v/>
      </c>
      <c r="J236" s="301" t="str">
        <f>IF(I236="","",VLOOKUP($B236,'C-1 On-Site WaterC'' Baseline'!$C$9:$R$257,9,FALSE))</f>
        <v/>
      </c>
      <c r="K236" s="301" t="str">
        <f>IF(J236="","",VLOOKUP($B236,'C-1 On-Site WaterC'' Baseline'!$C$9:$R$257,10,FALSE))</f>
        <v/>
      </c>
      <c r="L236" s="301" t="str">
        <f>IF(B236="","",VLOOKUP($B236,'C-1 On-Site WaterC'' Baseline'!$C$9:$R$257,15,FALSE))</f>
        <v/>
      </c>
      <c r="M236" s="305" t="str">
        <f>IF(L236="","",VLOOKUP($B236,'C-1 On-Site WaterC'' Baseline'!$C$9:$R$257,16,FALSE))</f>
        <v/>
      </c>
      <c r="N236" s="251"/>
      <c r="O236" s="281" t="str">
        <f t="shared" si="31"/>
        <v/>
      </c>
      <c r="P236" s="282" t="str">
        <f t="shared" si="32"/>
        <v/>
      </c>
      <c r="Q236" s="342" t="str">
        <f>IF(N236="","",VLOOKUP(B236,'C-1 On-Site WaterC'' Baseline'!$C$10:$AC$257,20,FALSE))</f>
        <v/>
      </c>
      <c r="R236" s="281" t="str">
        <f>IF(N236="","",VLOOKUP(N236,'G-7 WaterC'' Data'!$B$2:$G$8,2,FALSE))</f>
        <v/>
      </c>
      <c r="S236" s="282" t="str">
        <f>IFERROR(VLOOKUP(R236,'G-7 WaterC'' Data'!$C$4:$D$8,2,FALSE),"")</f>
        <v/>
      </c>
      <c r="T236" s="105"/>
      <c r="U236" s="282" t="str">
        <f>IFERROR(INDEX('G-7 WaterC'' Data'!$H$4:$L$8,MATCH(N236,'G-7 WaterC'' Data'!$B$4:$B$8,0),MATCH(T236,'G-7 WaterC'' Data'!$H$3:$L$3,0)),"")</f>
        <v/>
      </c>
      <c r="V236" s="105"/>
      <c r="W236" s="289" t="str">
        <f>IF(V236="","",IF(VLOOKUP(V236,'G-7 WaterC'' Data'!$AK$4:$AM$6,2,FALSE)=0,"Spatial Data Missing ⚠",VLOOKUP(V236,'G-7 WaterC'' Data'!$AK$4:$AM$6,2,FALSE)))</f>
        <v/>
      </c>
      <c r="X236" s="282" t="str">
        <f>IF(V236="","",IF(VLOOKUP(V236,'G-7 WaterC'' Data'!$AK$4:$AM$6,3,FALSE)=0,"Spatial Data Missing ⚠",VLOOKUP(V236,'G-7 WaterC'' Data'!$AK$4:$AM$6,3,FALSE)))</f>
        <v/>
      </c>
      <c r="Y236" s="281" t="str">
        <f>IFERROR(IF(OR(LEFT(P236,5)="Error",LEFT(O236,5)="Error"),"Check Data ⚠",IF(F236&lt;S236,'G-7 WaterC'' Data'!$R$3,INDEX('G-7 WaterC'' Data'!$U$5:$Y$9,MATCH(G236,'G-7 WaterC'' Data'!$T$5:$T$9,0),MATCH(T236,'G-7 WaterC'' Data'!$U$4:$Y$4,0)))),"")</f>
        <v/>
      </c>
      <c r="Z236" s="137"/>
      <c r="AA236" s="137"/>
      <c r="AB236" s="289" t="str">
        <f t="shared" si="33"/>
        <v/>
      </c>
      <c r="AC236" s="302" t="str">
        <f t="shared" si="34"/>
        <v/>
      </c>
      <c r="AD236" s="340" t="str">
        <f>IFERROR(IF(AC236="Check Data ⚠","Check Data ⚠",VLOOKUP(AC236,'G-4 Temporal multipliers'!$A$4:$C$37,3,FALSE)),"")</f>
        <v/>
      </c>
      <c r="AE236" s="281" t="str">
        <f>IF(N236="","",VLOOKUP(N236,'G-7 WaterC'' Data'!$B$4:$G$8,5,FALSE))</f>
        <v/>
      </c>
      <c r="AF236" s="289" t="str">
        <f t="shared" si="35"/>
        <v/>
      </c>
      <c r="AG236" s="320" t="str">
        <f t="shared" si="36"/>
        <v/>
      </c>
      <c r="AH236" s="282" t="str">
        <f t="shared" si="30"/>
        <v/>
      </c>
      <c r="AI236" s="109"/>
      <c r="AJ236" s="282" t="str">
        <f>IF(AI236="","",IF(AND(AI236="N/A - Culvert",N236&lt;&gt;"Culvert"),"Not possible ▲",IF(VLOOKUP(AI236,'G-7 WaterC'' Data'!$AA$4:$AB$7,2,FALSE)=0,"Spatial Data Missing ⚠",VLOOKUP(AI236,'G-7 WaterC'' Data'!$AA$4:$AB$7,2,FALSE))))</f>
        <v/>
      </c>
      <c r="AK236" s="110"/>
      <c r="AL236" s="282" t="str">
        <f>IF(AK236="","",IF(AND(AK236="N/A - Culvert",N236&lt;&gt;"Culvert"),"Not possible ▲",IF(VLOOKUP(AK236,'G-7 WaterC'' Data'!$AD$4:$AE$14,2,FALSE)=0,"Spatial Data Missing ⚠",VLOOKUP(AK236,'G-7 WaterC'' Data'!$AD$4:$AE$14,2,FALSE))))</f>
        <v/>
      </c>
      <c r="AM236" s="323" t="str">
        <f t="shared" si="37"/>
        <v/>
      </c>
      <c r="AN236" s="105"/>
      <c r="AO236" s="119"/>
      <c r="AP236" s="108"/>
      <c r="AS236" s="30" t="str">
        <f>IF(B236="","",IF(ISNA(VLOOKUP($B236,'C-1 On-Site WaterC'' Baseline'!$C$8:$AD$257,17,FALSE)),"",(VLOOKUP($B236,'C-1 On-Site WaterC'' Baseline'!$C$8:$AD$257,17,FALSE))))</f>
        <v/>
      </c>
      <c r="AT236" s="30" t="str">
        <f>IF(B236="","",VLOOKUP($B236,'C-1 On-Site WaterC'' Baseline'!$C$9:$Z$257,12,FALSE))</f>
        <v/>
      </c>
      <c r="AU236" s="30" t="str">
        <f>IF(B236="","",VLOOKUP($B236,'C-1 On-Site WaterC'' Baseline'!$C$9:$Z$257,14,FALSE))</f>
        <v/>
      </c>
      <c r="AV236" s="30" t="str">
        <f>IFERROR(INDEX('G-7 WaterC'' Data'!$AZ$3:$AZ$7,MATCH(N236,'G-7 WaterC'' Data'!$AY$3:$AY$7,0)),"")</f>
        <v/>
      </c>
      <c r="AX236" s="30" t="str">
        <f>IF(B236="","",VLOOKUP($B236,'C-1 On-Site WaterC'' Baseline'!$C$9:$Y$257,22,FALSE))</f>
        <v/>
      </c>
      <c r="AY236" s="30" t="str">
        <f t="shared" si="38"/>
        <v/>
      </c>
      <c r="AZ236" s="30" t="str">
        <f>IF(B236="","",VLOOKUP($B236,'C-1 On-Site WaterC'' Baseline'!$C$9:$Y$257,21,FALSE))</f>
        <v/>
      </c>
      <c r="BA236" s="30" t="str">
        <f>IF(B236="","",VLOOKUP($B236,'C-1 On-Site WaterC'' Baseline'!$C$9:$Y$257,19,FALSE))</f>
        <v/>
      </c>
      <c r="BD236" s="30" t="str">
        <f t="shared" si="39"/>
        <v>No</v>
      </c>
    </row>
    <row r="237" spans="2:56" ht="13.8" x14ac:dyDescent="0.25">
      <c r="B237" s="311" t="str">
        <f>'C-1 On-Site WaterC'' Baseline'!AP235</f>
        <v/>
      </c>
      <c r="C237" s="301" t="str">
        <f>IF(B237="","",VLOOKUP($B237,'C-1 On-Site WaterC'' Baseline'!$C$9:$R$257,2,FALSE))</f>
        <v/>
      </c>
      <c r="D237" s="301" t="str">
        <f>IF(C237="","",VLOOKUP($B237,'C-1 On-Site WaterC'' Baseline'!$C$9:$R$257,3,FALSE))</f>
        <v/>
      </c>
      <c r="E237" s="301" t="str">
        <f>IF(D237="","",VLOOKUP($B237,'C-1 On-Site WaterC'' Baseline'!$C$9:$R$257,4,FALSE))</f>
        <v/>
      </c>
      <c r="F237" s="301" t="str">
        <f>IF(E237="","",VLOOKUP($B237,'C-1 On-Site WaterC'' Baseline'!$C$9:$R$257,5,FALSE))</f>
        <v/>
      </c>
      <c r="G237" s="301" t="str">
        <f>IF(F237="","",VLOOKUP($B237,'C-1 On-Site WaterC'' Baseline'!$C$9:$R$257,6,FALSE))</f>
        <v/>
      </c>
      <c r="H237" s="301" t="str">
        <f>IF(G237="","",VLOOKUP($B237,'C-1 On-Site WaterC'' Baseline'!$C$9:$R$257,7,FALSE))</f>
        <v/>
      </c>
      <c r="I237" s="301" t="str">
        <f>IF(H237="","",VLOOKUP($B237,'C-1 On-Site WaterC'' Baseline'!$C$9:$R$257,8,FALSE))</f>
        <v/>
      </c>
      <c r="J237" s="301" t="str">
        <f>IF(I237="","",VLOOKUP($B237,'C-1 On-Site WaterC'' Baseline'!$C$9:$R$257,9,FALSE))</f>
        <v/>
      </c>
      <c r="K237" s="301" t="str">
        <f>IF(J237="","",VLOOKUP($B237,'C-1 On-Site WaterC'' Baseline'!$C$9:$R$257,10,FALSE))</f>
        <v/>
      </c>
      <c r="L237" s="301" t="str">
        <f>IF(B237="","",VLOOKUP($B237,'C-1 On-Site WaterC'' Baseline'!$C$9:$R$257,15,FALSE))</f>
        <v/>
      </c>
      <c r="M237" s="305" t="str">
        <f>IF(L237="","",VLOOKUP($B237,'C-1 On-Site WaterC'' Baseline'!$C$9:$R$257,16,FALSE))</f>
        <v/>
      </c>
      <c r="N237" s="251"/>
      <c r="O237" s="281" t="str">
        <f t="shared" si="31"/>
        <v/>
      </c>
      <c r="P237" s="282" t="str">
        <f t="shared" si="32"/>
        <v/>
      </c>
      <c r="Q237" s="342" t="str">
        <f>IF(N237="","",VLOOKUP(B237,'C-1 On-Site WaterC'' Baseline'!$C$10:$AC$257,20,FALSE))</f>
        <v/>
      </c>
      <c r="R237" s="281" t="str">
        <f>IF(N237="","",VLOOKUP(N237,'G-7 WaterC'' Data'!$B$2:$G$8,2,FALSE))</f>
        <v/>
      </c>
      <c r="S237" s="282" t="str">
        <f>IFERROR(VLOOKUP(R237,'G-7 WaterC'' Data'!$C$4:$D$8,2,FALSE),"")</f>
        <v/>
      </c>
      <c r="T237" s="105"/>
      <c r="U237" s="282" t="str">
        <f>IFERROR(INDEX('G-7 WaterC'' Data'!$H$4:$L$8,MATCH(N237,'G-7 WaterC'' Data'!$B$4:$B$8,0),MATCH(T237,'G-7 WaterC'' Data'!$H$3:$L$3,0)),"")</f>
        <v/>
      </c>
      <c r="V237" s="105"/>
      <c r="W237" s="289" t="str">
        <f>IF(V237="","",IF(VLOOKUP(V237,'G-7 WaterC'' Data'!$AK$4:$AM$6,2,FALSE)=0,"Spatial Data Missing ⚠",VLOOKUP(V237,'G-7 WaterC'' Data'!$AK$4:$AM$6,2,FALSE)))</f>
        <v/>
      </c>
      <c r="X237" s="282" t="str">
        <f>IF(V237="","",IF(VLOOKUP(V237,'G-7 WaterC'' Data'!$AK$4:$AM$6,3,FALSE)=0,"Spatial Data Missing ⚠",VLOOKUP(V237,'G-7 WaterC'' Data'!$AK$4:$AM$6,3,FALSE)))</f>
        <v/>
      </c>
      <c r="Y237" s="281" t="str">
        <f>IFERROR(IF(OR(LEFT(P237,5)="Error",LEFT(O237,5)="Error"),"Check Data ⚠",IF(F237&lt;S237,'G-7 WaterC'' Data'!$R$3,INDEX('G-7 WaterC'' Data'!$U$5:$Y$9,MATCH(G237,'G-7 WaterC'' Data'!$T$5:$T$9,0),MATCH(T237,'G-7 WaterC'' Data'!$U$4:$Y$4,0)))),"")</f>
        <v/>
      </c>
      <c r="Z237" s="137"/>
      <c r="AA237" s="137"/>
      <c r="AB237" s="289" t="str">
        <f t="shared" si="33"/>
        <v/>
      </c>
      <c r="AC237" s="302" t="str">
        <f t="shared" si="34"/>
        <v/>
      </c>
      <c r="AD237" s="340" t="str">
        <f>IFERROR(IF(AC237="Check Data ⚠","Check Data ⚠",VLOOKUP(AC237,'G-4 Temporal multipliers'!$A$4:$C$37,3,FALSE)),"")</f>
        <v/>
      </c>
      <c r="AE237" s="281" t="str">
        <f>IF(N237="","",VLOOKUP(N237,'G-7 WaterC'' Data'!$B$4:$G$8,5,FALSE))</f>
        <v/>
      </c>
      <c r="AF237" s="289" t="str">
        <f t="shared" si="35"/>
        <v/>
      </c>
      <c r="AG237" s="320" t="str">
        <f t="shared" si="36"/>
        <v/>
      </c>
      <c r="AH237" s="282" t="str">
        <f t="shared" si="30"/>
        <v/>
      </c>
      <c r="AI237" s="109"/>
      <c r="AJ237" s="282" t="str">
        <f>IF(AI237="","",IF(AND(AI237="N/A - Culvert",N237&lt;&gt;"Culvert"),"Not possible ▲",IF(VLOOKUP(AI237,'G-7 WaterC'' Data'!$AA$4:$AB$7,2,FALSE)=0,"Spatial Data Missing ⚠",VLOOKUP(AI237,'G-7 WaterC'' Data'!$AA$4:$AB$7,2,FALSE))))</f>
        <v/>
      </c>
      <c r="AK237" s="110"/>
      <c r="AL237" s="282" t="str">
        <f>IF(AK237="","",IF(AND(AK237="N/A - Culvert",N237&lt;&gt;"Culvert"),"Not possible ▲",IF(VLOOKUP(AK237,'G-7 WaterC'' Data'!$AD$4:$AE$14,2,FALSE)=0,"Spatial Data Missing ⚠",VLOOKUP(AK237,'G-7 WaterC'' Data'!$AD$4:$AE$14,2,FALSE))))</f>
        <v/>
      </c>
      <c r="AM237" s="323" t="str">
        <f t="shared" si="37"/>
        <v/>
      </c>
      <c r="AN237" s="105"/>
      <c r="AO237" s="119"/>
      <c r="AP237" s="108"/>
      <c r="AS237" s="30" t="str">
        <f>IF(B237="","",IF(ISNA(VLOOKUP($B237,'C-1 On-Site WaterC'' Baseline'!$C$8:$AD$257,17,FALSE)),"",(VLOOKUP($B237,'C-1 On-Site WaterC'' Baseline'!$C$8:$AD$257,17,FALSE))))</f>
        <v/>
      </c>
      <c r="AT237" s="30" t="str">
        <f>IF(B237="","",VLOOKUP($B237,'C-1 On-Site WaterC'' Baseline'!$C$9:$Z$257,12,FALSE))</f>
        <v/>
      </c>
      <c r="AU237" s="30" t="str">
        <f>IF(B237="","",VLOOKUP($B237,'C-1 On-Site WaterC'' Baseline'!$C$9:$Z$257,14,FALSE))</f>
        <v/>
      </c>
      <c r="AV237" s="30" t="str">
        <f>IFERROR(INDEX('G-7 WaterC'' Data'!$AZ$3:$AZ$7,MATCH(N237,'G-7 WaterC'' Data'!$AY$3:$AY$7,0)),"")</f>
        <v/>
      </c>
      <c r="AX237" s="30" t="str">
        <f>IF(B237="","",VLOOKUP($B237,'C-1 On-Site WaterC'' Baseline'!$C$9:$Y$257,22,FALSE))</f>
        <v/>
      </c>
      <c r="AY237" s="30" t="str">
        <f t="shared" si="38"/>
        <v/>
      </c>
      <c r="AZ237" s="30" t="str">
        <f>IF(B237="","",VLOOKUP($B237,'C-1 On-Site WaterC'' Baseline'!$C$9:$Y$257,21,FALSE))</f>
        <v/>
      </c>
      <c r="BA237" s="30" t="str">
        <f>IF(B237="","",VLOOKUP($B237,'C-1 On-Site WaterC'' Baseline'!$C$9:$Y$257,19,FALSE))</f>
        <v/>
      </c>
      <c r="BD237" s="30" t="str">
        <f t="shared" si="39"/>
        <v>No</v>
      </c>
    </row>
    <row r="238" spans="2:56" ht="13.8" x14ac:dyDescent="0.25">
      <c r="B238" s="311" t="str">
        <f>'C-1 On-Site WaterC'' Baseline'!AP236</f>
        <v/>
      </c>
      <c r="C238" s="301" t="str">
        <f>IF(B238="","",VLOOKUP($B238,'C-1 On-Site WaterC'' Baseline'!$C$9:$R$257,2,FALSE))</f>
        <v/>
      </c>
      <c r="D238" s="301" t="str">
        <f>IF(C238="","",VLOOKUP($B238,'C-1 On-Site WaterC'' Baseline'!$C$9:$R$257,3,FALSE))</f>
        <v/>
      </c>
      <c r="E238" s="301" t="str">
        <f>IF(D238="","",VLOOKUP($B238,'C-1 On-Site WaterC'' Baseline'!$C$9:$R$257,4,FALSE))</f>
        <v/>
      </c>
      <c r="F238" s="301" t="str">
        <f>IF(E238="","",VLOOKUP($B238,'C-1 On-Site WaterC'' Baseline'!$C$9:$R$257,5,FALSE))</f>
        <v/>
      </c>
      <c r="G238" s="301" t="str">
        <f>IF(F238="","",VLOOKUP($B238,'C-1 On-Site WaterC'' Baseline'!$C$9:$R$257,6,FALSE))</f>
        <v/>
      </c>
      <c r="H238" s="301" t="str">
        <f>IF(G238="","",VLOOKUP($B238,'C-1 On-Site WaterC'' Baseline'!$C$9:$R$257,7,FALSE))</f>
        <v/>
      </c>
      <c r="I238" s="301" t="str">
        <f>IF(H238="","",VLOOKUP($B238,'C-1 On-Site WaterC'' Baseline'!$C$9:$R$257,8,FALSE))</f>
        <v/>
      </c>
      <c r="J238" s="301" t="str">
        <f>IF(I238="","",VLOOKUP($B238,'C-1 On-Site WaterC'' Baseline'!$C$9:$R$257,9,FALSE))</f>
        <v/>
      </c>
      <c r="K238" s="301" t="str">
        <f>IF(J238="","",VLOOKUP($B238,'C-1 On-Site WaterC'' Baseline'!$C$9:$R$257,10,FALSE))</f>
        <v/>
      </c>
      <c r="L238" s="301" t="str">
        <f>IF(B238="","",VLOOKUP($B238,'C-1 On-Site WaterC'' Baseline'!$C$9:$R$257,15,FALSE))</f>
        <v/>
      </c>
      <c r="M238" s="305" t="str">
        <f>IF(L238="","",VLOOKUP($B238,'C-1 On-Site WaterC'' Baseline'!$C$9:$R$257,16,FALSE))</f>
        <v/>
      </c>
      <c r="N238" s="251"/>
      <c r="O238" s="281" t="str">
        <f t="shared" si="31"/>
        <v/>
      </c>
      <c r="P238" s="282" t="str">
        <f t="shared" si="32"/>
        <v/>
      </c>
      <c r="Q238" s="342" t="str">
        <f>IF(N238="","",VLOOKUP(B238,'C-1 On-Site WaterC'' Baseline'!$C$10:$AC$257,20,FALSE))</f>
        <v/>
      </c>
      <c r="R238" s="281" t="str">
        <f>IF(N238="","",VLOOKUP(N238,'G-7 WaterC'' Data'!$B$2:$G$8,2,FALSE))</f>
        <v/>
      </c>
      <c r="S238" s="282" t="str">
        <f>IFERROR(VLOOKUP(R238,'G-7 WaterC'' Data'!$C$4:$D$8,2,FALSE),"")</f>
        <v/>
      </c>
      <c r="T238" s="105"/>
      <c r="U238" s="282" t="str">
        <f>IFERROR(INDEX('G-7 WaterC'' Data'!$H$4:$L$8,MATCH(N238,'G-7 WaterC'' Data'!$B$4:$B$8,0),MATCH(T238,'G-7 WaterC'' Data'!$H$3:$L$3,0)),"")</f>
        <v/>
      </c>
      <c r="V238" s="105"/>
      <c r="W238" s="289" t="str">
        <f>IF(V238="","",IF(VLOOKUP(V238,'G-7 WaterC'' Data'!$AK$4:$AM$6,2,FALSE)=0,"Spatial Data Missing ⚠",VLOOKUP(V238,'G-7 WaterC'' Data'!$AK$4:$AM$6,2,FALSE)))</f>
        <v/>
      </c>
      <c r="X238" s="282" t="str">
        <f>IF(V238="","",IF(VLOOKUP(V238,'G-7 WaterC'' Data'!$AK$4:$AM$6,3,FALSE)=0,"Spatial Data Missing ⚠",VLOOKUP(V238,'G-7 WaterC'' Data'!$AK$4:$AM$6,3,FALSE)))</f>
        <v/>
      </c>
      <c r="Y238" s="281" t="str">
        <f>IFERROR(IF(OR(LEFT(P238,5)="Error",LEFT(O238,5)="Error"),"Check Data ⚠",IF(F238&lt;S238,'G-7 WaterC'' Data'!$R$3,INDEX('G-7 WaterC'' Data'!$U$5:$Y$9,MATCH(G238,'G-7 WaterC'' Data'!$T$5:$T$9,0),MATCH(T238,'G-7 WaterC'' Data'!$U$4:$Y$4,0)))),"")</f>
        <v/>
      </c>
      <c r="Z238" s="137"/>
      <c r="AA238" s="137"/>
      <c r="AB238" s="289" t="str">
        <f t="shared" si="33"/>
        <v/>
      </c>
      <c r="AC238" s="302" t="str">
        <f t="shared" si="34"/>
        <v/>
      </c>
      <c r="AD238" s="340" t="str">
        <f>IFERROR(IF(AC238="Check Data ⚠","Check Data ⚠",VLOOKUP(AC238,'G-4 Temporal multipliers'!$A$4:$C$37,3,FALSE)),"")</f>
        <v/>
      </c>
      <c r="AE238" s="281" t="str">
        <f>IF(N238="","",VLOOKUP(N238,'G-7 WaterC'' Data'!$B$4:$G$8,5,FALSE))</f>
        <v/>
      </c>
      <c r="AF238" s="289" t="str">
        <f t="shared" si="35"/>
        <v/>
      </c>
      <c r="AG238" s="320" t="str">
        <f t="shared" si="36"/>
        <v/>
      </c>
      <c r="AH238" s="282" t="str">
        <f t="shared" si="30"/>
        <v/>
      </c>
      <c r="AI238" s="109"/>
      <c r="AJ238" s="282" t="str">
        <f>IF(AI238="","",IF(AND(AI238="N/A - Culvert",N238&lt;&gt;"Culvert"),"Not possible ▲",IF(VLOOKUP(AI238,'G-7 WaterC'' Data'!$AA$4:$AB$7,2,FALSE)=0,"Spatial Data Missing ⚠",VLOOKUP(AI238,'G-7 WaterC'' Data'!$AA$4:$AB$7,2,FALSE))))</f>
        <v/>
      </c>
      <c r="AK238" s="110"/>
      <c r="AL238" s="282" t="str">
        <f>IF(AK238="","",IF(AND(AK238="N/A - Culvert",N238&lt;&gt;"Culvert"),"Not possible ▲",IF(VLOOKUP(AK238,'G-7 WaterC'' Data'!$AD$4:$AE$14,2,FALSE)=0,"Spatial Data Missing ⚠",VLOOKUP(AK238,'G-7 WaterC'' Data'!$AD$4:$AE$14,2,FALSE))))</f>
        <v/>
      </c>
      <c r="AM238" s="323" t="str">
        <f t="shared" si="37"/>
        <v/>
      </c>
      <c r="AN238" s="105"/>
      <c r="AO238" s="119"/>
      <c r="AP238" s="108"/>
      <c r="AS238" s="30" t="str">
        <f>IF(B238="","",IF(ISNA(VLOOKUP($B238,'C-1 On-Site WaterC'' Baseline'!$C$8:$AD$257,17,FALSE)),"",(VLOOKUP($B238,'C-1 On-Site WaterC'' Baseline'!$C$8:$AD$257,17,FALSE))))</f>
        <v/>
      </c>
      <c r="AT238" s="30" t="str">
        <f>IF(B238="","",VLOOKUP($B238,'C-1 On-Site WaterC'' Baseline'!$C$9:$Z$257,12,FALSE))</f>
        <v/>
      </c>
      <c r="AU238" s="30" t="str">
        <f>IF(B238="","",VLOOKUP($B238,'C-1 On-Site WaterC'' Baseline'!$C$9:$Z$257,14,FALSE))</f>
        <v/>
      </c>
      <c r="AV238" s="30" t="str">
        <f>IFERROR(INDEX('G-7 WaterC'' Data'!$AZ$3:$AZ$7,MATCH(N238,'G-7 WaterC'' Data'!$AY$3:$AY$7,0)),"")</f>
        <v/>
      </c>
      <c r="AX238" s="30" t="str">
        <f>IF(B238="","",VLOOKUP($B238,'C-1 On-Site WaterC'' Baseline'!$C$9:$Y$257,22,FALSE))</f>
        <v/>
      </c>
      <c r="AY238" s="30" t="str">
        <f t="shared" si="38"/>
        <v/>
      </c>
      <c r="AZ238" s="30" t="str">
        <f>IF(B238="","",VLOOKUP($B238,'C-1 On-Site WaterC'' Baseline'!$C$9:$Y$257,21,FALSE))</f>
        <v/>
      </c>
      <c r="BA238" s="30" t="str">
        <f>IF(B238="","",VLOOKUP($B238,'C-1 On-Site WaterC'' Baseline'!$C$9:$Y$257,19,FALSE))</f>
        <v/>
      </c>
      <c r="BD238" s="30" t="str">
        <f t="shared" si="39"/>
        <v>No</v>
      </c>
    </row>
    <row r="239" spans="2:56" ht="13.8" x14ac:dyDescent="0.25">
      <c r="B239" s="311" t="str">
        <f>'C-1 On-Site WaterC'' Baseline'!AP237</f>
        <v/>
      </c>
      <c r="C239" s="301" t="str">
        <f>IF(B239="","",VLOOKUP($B239,'C-1 On-Site WaterC'' Baseline'!$C$9:$R$257,2,FALSE))</f>
        <v/>
      </c>
      <c r="D239" s="301" t="str">
        <f>IF(C239="","",VLOOKUP($B239,'C-1 On-Site WaterC'' Baseline'!$C$9:$R$257,3,FALSE))</f>
        <v/>
      </c>
      <c r="E239" s="301" t="str">
        <f>IF(D239="","",VLOOKUP($B239,'C-1 On-Site WaterC'' Baseline'!$C$9:$R$257,4,FALSE))</f>
        <v/>
      </c>
      <c r="F239" s="301" t="str">
        <f>IF(E239="","",VLOOKUP($B239,'C-1 On-Site WaterC'' Baseline'!$C$9:$R$257,5,FALSE))</f>
        <v/>
      </c>
      <c r="G239" s="301" t="str">
        <f>IF(F239="","",VLOOKUP($B239,'C-1 On-Site WaterC'' Baseline'!$C$9:$R$257,6,FALSE))</f>
        <v/>
      </c>
      <c r="H239" s="301" t="str">
        <f>IF(G239="","",VLOOKUP($B239,'C-1 On-Site WaterC'' Baseline'!$C$9:$R$257,7,FALSE))</f>
        <v/>
      </c>
      <c r="I239" s="301" t="str">
        <f>IF(H239="","",VLOOKUP($B239,'C-1 On-Site WaterC'' Baseline'!$C$9:$R$257,8,FALSE))</f>
        <v/>
      </c>
      <c r="J239" s="301" t="str">
        <f>IF(I239="","",VLOOKUP($B239,'C-1 On-Site WaterC'' Baseline'!$C$9:$R$257,9,FALSE))</f>
        <v/>
      </c>
      <c r="K239" s="301" t="str">
        <f>IF(J239="","",VLOOKUP($B239,'C-1 On-Site WaterC'' Baseline'!$C$9:$R$257,10,FALSE))</f>
        <v/>
      </c>
      <c r="L239" s="301" t="str">
        <f>IF(B239="","",VLOOKUP($B239,'C-1 On-Site WaterC'' Baseline'!$C$9:$R$257,15,FALSE))</f>
        <v/>
      </c>
      <c r="M239" s="305" t="str">
        <f>IF(L239="","",VLOOKUP($B239,'C-1 On-Site WaterC'' Baseline'!$C$9:$R$257,16,FALSE))</f>
        <v/>
      </c>
      <c r="N239" s="251"/>
      <c r="O239" s="281" t="str">
        <f t="shared" si="31"/>
        <v/>
      </c>
      <c r="P239" s="282" t="str">
        <f t="shared" si="32"/>
        <v/>
      </c>
      <c r="Q239" s="342" t="str">
        <f>IF(N239="","",VLOOKUP(B239,'C-1 On-Site WaterC'' Baseline'!$C$10:$AC$257,20,FALSE))</f>
        <v/>
      </c>
      <c r="R239" s="281" t="str">
        <f>IF(N239="","",VLOOKUP(N239,'G-7 WaterC'' Data'!$B$2:$G$8,2,FALSE))</f>
        <v/>
      </c>
      <c r="S239" s="282" t="str">
        <f>IFERROR(VLOOKUP(R239,'G-7 WaterC'' Data'!$C$4:$D$8,2,FALSE),"")</f>
        <v/>
      </c>
      <c r="T239" s="105"/>
      <c r="U239" s="282" t="str">
        <f>IFERROR(INDEX('G-7 WaterC'' Data'!$H$4:$L$8,MATCH(N239,'G-7 WaterC'' Data'!$B$4:$B$8,0),MATCH(T239,'G-7 WaterC'' Data'!$H$3:$L$3,0)),"")</f>
        <v/>
      </c>
      <c r="V239" s="105"/>
      <c r="W239" s="289" t="str">
        <f>IF(V239="","",IF(VLOOKUP(V239,'G-7 WaterC'' Data'!$AK$4:$AM$6,2,FALSE)=0,"Spatial Data Missing ⚠",VLOOKUP(V239,'G-7 WaterC'' Data'!$AK$4:$AM$6,2,FALSE)))</f>
        <v/>
      </c>
      <c r="X239" s="282" t="str">
        <f>IF(V239="","",IF(VLOOKUP(V239,'G-7 WaterC'' Data'!$AK$4:$AM$6,3,FALSE)=0,"Spatial Data Missing ⚠",VLOOKUP(V239,'G-7 WaterC'' Data'!$AK$4:$AM$6,3,FALSE)))</f>
        <v/>
      </c>
      <c r="Y239" s="281" t="str">
        <f>IFERROR(IF(OR(LEFT(P239,5)="Error",LEFT(O239,5)="Error"),"Check Data ⚠",IF(F239&lt;S239,'G-7 WaterC'' Data'!$R$3,INDEX('G-7 WaterC'' Data'!$U$5:$Y$9,MATCH(G239,'G-7 WaterC'' Data'!$T$5:$T$9,0),MATCH(T239,'G-7 WaterC'' Data'!$U$4:$Y$4,0)))),"")</f>
        <v/>
      </c>
      <c r="Z239" s="137"/>
      <c r="AA239" s="137"/>
      <c r="AB239" s="289" t="str">
        <f t="shared" si="33"/>
        <v/>
      </c>
      <c r="AC239" s="302" t="str">
        <f t="shared" si="34"/>
        <v/>
      </c>
      <c r="AD239" s="340" t="str">
        <f>IFERROR(IF(AC239="Check Data ⚠","Check Data ⚠",VLOOKUP(AC239,'G-4 Temporal multipliers'!$A$4:$C$37,3,FALSE)),"")</f>
        <v/>
      </c>
      <c r="AE239" s="281" t="str">
        <f>IF(N239="","",VLOOKUP(N239,'G-7 WaterC'' Data'!$B$4:$G$8,5,FALSE))</f>
        <v/>
      </c>
      <c r="AF239" s="289" t="str">
        <f t="shared" si="35"/>
        <v/>
      </c>
      <c r="AG239" s="320" t="str">
        <f t="shared" si="36"/>
        <v/>
      </c>
      <c r="AH239" s="282" t="str">
        <f t="shared" si="30"/>
        <v/>
      </c>
      <c r="AI239" s="109"/>
      <c r="AJ239" s="282" t="str">
        <f>IF(AI239="","",IF(AND(AI239="N/A - Culvert",N239&lt;&gt;"Culvert"),"Not possible ▲",IF(VLOOKUP(AI239,'G-7 WaterC'' Data'!$AA$4:$AB$7,2,FALSE)=0,"Spatial Data Missing ⚠",VLOOKUP(AI239,'G-7 WaterC'' Data'!$AA$4:$AB$7,2,FALSE))))</f>
        <v/>
      </c>
      <c r="AK239" s="110"/>
      <c r="AL239" s="282" t="str">
        <f>IF(AK239="","",IF(AND(AK239="N/A - Culvert",N239&lt;&gt;"Culvert"),"Not possible ▲",IF(VLOOKUP(AK239,'G-7 WaterC'' Data'!$AD$4:$AE$14,2,FALSE)=0,"Spatial Data Missing ⚠",VLOOKUP(AK239,'G-7 WaterC'' Data'!$AD$4:$AE$14,2,FALSE))))</f>
        <v/>
      </c>
      <c r="AM239" s="323" t="str">
        <f t="shared" si="37"/>
        <v/>
      </c>
      <c r="AN239" s="105"/>
      <c r="AO239" s="119"/>
      <c r="AP239" s="108"/>
      <c r="AS239" s="30" t="str">
        <f>IF(B239="","",IF(ISNA(VLOOKUP($B239,'C-1 On-Site WaterC'' Baseline'!$C$8:$AD$257,17,FALSE)),"",(VLOOKUP($B239,'C-1 On-Site WaterC'' Baseline'!$C$8:$AD$257,17,FALSE))))</f>
        <v/>
      </c>
      <c r="AT239" s="30" t="str">
        <f>IF(B239="","",VLOOKUP($B239,'C-1 On-Site WaterC'' Baseline'!$C$9:$Z$257,12,FALSE))</f>
        <v/>
      </c>
      <c r="AU239" s="30" t="str">
        <f>IF(B239="","",VLOOKUP($B239,'C-1 On-Site WaterC'' Baseline'!$C$9:$Z$257,14,FALSE))</f>
        <v/>
      </c>
      <c r="AV239" s="30" t="str">
        <f>IFERROR(INDEX('G-7 WaterC'' Data'!$AZ$3:$AZ$7,MATCH(N239,'G-7 WaterC'' Data'!$AY$3:$AY$7,0)),"")</f>
        <v/>
      </c>
      <c r="AX239" s="30" t="str">
        <f>IF(B239="","",VLOOKUP($B239,'C-1 On-Site WaterC'' Baseline'!$C$9:$Y$257,22,FALSE))</f>
        <v/>
      </c>
      <c r="AY239" s="30" t="str">
        <f t="shared" si="38"/>
        <v/>
      </c>
      <c r="AZ239" s="30" t="str">
        <f>IF(B239="","",VLOOKUP($B239,'C-1 On-Site WaterC'' Baseline'!$C$9:$Y$257,21,FALSE))</f>
        <v/>
      </c>
      <c r="BA239" s="30" t="str">
        <f>IF(B239="","",VLOOKUP($B239,'C-1 On-Site WaterC'' Baseline'!$C$9:$Y$257,19,FALSE))</f>
        <v/>
      </c>
      <c r="BD239" s="30" t="str">
        <f t="shared" si="39"/>
        <v>No</v>
      </c>
    </row>
    <row r="240" spans="2:56" ht="13.8" x14ac:dyDescent="0.25">
      <c r="B240" s="311" t="str">
        <f>'C-1 On-Site WaterC'' Baseline'!AP238</f>
        <v/>
      </c>
      <c r="C240" s="301" t="str">
        <f>IF(B240="","",VLOOKUP($B240,'C-1 On-Site WaterC'' Baseline'!$C$9:$R$257,2,FALSE))</f>
        <v/>
      </c>
      <c r="D240" s="301" t="str">
        <f>IF(C240="","",VLOOKUP($B240,'C-1 On-Site WaterC'' Baseline'!$C$9:$R$257,3,FALSE))</f>
        <v/>
      </c>
      <c r="E240" s="301" t="str">
        <f>IF(D240="","",VLOOKUP($B240,'C-1 On-Site WaterC'' Baseline'!$C$9:$R$257,4,FALSE))</f>
        <v/>
      </c>
      <c r="F240" s="301" t="str">
        <f>IF(E240="","",VLOOKUP($B240,'C-1 On-Site WaterC'' Baseline'!$C$9:$R$257,5,FALSE))</f>
        <v/>
      </c>
      <c r="G240" s="301" t="str">
        <f>IF(F240="","",VLOOKUP($B240,'C-1 On-Site WaterC'' Baseline'!$C$9:$R$257,6,FALSE))</f>
        <v/>
      </c>
      <c r="H240" s="301" t="str">
        <f>IF(G240="","",VLOOKUP($B240,'C-1 On-Site WaterC'' Baseline'!$C$9:$R$257,7,FALSE))</f>
        <v/>
      </c>
      <c r="I240" s="301" t="str">
        <f>IF(H240="","",VLOOKUP($B240,'C-1 On-Site WaterC'' Baseline'!$C$9:$R$257,8,FALSE))</f>
        <v/>
      </c>
      <c r="J240" s="301" t="str">
        <f>IF(I240="","",VLOOKUP($B240,'C-1 On-Site WaterC'' Baseline'!$C$9:$R$257,9,FALSE))</f>
        <v/>
      </c>
      <c r="K240" s="301" t="str">
        <f>IF(J240="","",VLOOKUP($B240,'C-1 On-Site WaterC'' Baseline'!$C$9:$R$257,10,FALSE))</f>
        <v/>
      </c>
      <c r="L240" s="301" t="str">
        <f>IF(B240="","",VLOOKUP($B240,'C-1 On-Site WaterC'' Baseline'!$C$9:$R$257,15,FALSE))</f>
        <v/>
      </c>
      <c r="M240" s="305" t="str">
        <f>IF(L240="","",VLOOKUP($B240,'C-1 On-Site WaterC'' Baseline'!$C$9:$R$257,16,FALSE))</f>
        <v/>
      </c>
      <c r="N240" s="251"/>
      <c r="O240" s="281" t="str">
        <f t="shared" si="31"/>
        <v/>
      </c>
      <c r="P240" s="282" t="str">
        <f t="shared" si="32"/>
        <v/>
      </c>
      <c r="Q240" s="342" t="str">
        <f>IF(N240="","",VLOOKUP(B240,'C-1 On-Site WaterC'' Baseline'!$C$10:$AC$257,20,FALSE))</f>
        <v/>
      </c>
      <c r="R240" s="281" t="str">
        <f>IF(N240="","",VLOOKUP(N240,'G-7 WaterC'' Data'!$B$2:$G$8,2,FALSE))</f>
        <v/>
      </c>
      <c r="S240" s="282" t="str">
        <f>IFERROR(VLOOKUP(R240,'G-7 WaterC'' Data'!$C$4:$D$8,2,FALSE),"")</f>
        <v/>
      </c>
      <c r="T240" s="105"/>
      <c r="U240" s="282" t="str">
        <f>IFERROR(INDEX('G-7 WaterC'' Data'!$H$4:$L$8,MATCH(N240,'G-7 WaterC'' Data'!$B$4:$B$8,0),MATCH(T240,'G-7 WaterC'' Data'!$H$3:$L$3,0)),"")</f>
        <v/>
      </c>
      <c r="V240" s="105"/>
      <c r="W240" s="289" t="str">
        <f>IF(V240="","",IF(VLOOKUP(V240,'G-7 WaterC'' Data'!$AK$4:$AM$6,2,FALSE)=0,"Spatial Data Missing ⚠",VLOOKUP(V240,'G-7 WaterC'' Data'!$AK$4:$AM$6,2,FALSE)))</f>
        <v/>
      </c>
      <c r="X240" s="282" t="str">
        <f>IF(V240="","",IF(VLOOKUP(V240,'G-7 WaterC'' Data'!$AK$4:$AM$6,3,FALSE)=0,"Spatial Data Missing ⚠",VLOOKUP(V240,'G-7 WaterC'' Data'!$AK$4:$AM$6,3,FALSE)))</f>
        <v/>
      </c>
      <c r="Y240" s="281" t="str">
        <f>IFERROR(IF(OR(LEFT(P240,5)="Error",LEFT(O240,5)="Error"),"Check Data ⚠",IF(F240&lt;S240,'G-7 WaterC'' Data'!$R$3,INDEX('G-7 WaterC'' Data'!$U$5:$Y$9,MATCH(G240,'G-7 WaterC'' Data'!$T$5:$T$9,0),MATCH(T240,'G-7 WaterC'' Data'!$U$4:$Y$4,0)))),"")</f>
        <v/>
      </c>
      <c r="Z240" s="137"/>
      <c r="AA240" s="137"/>
      <c r="AB240" s="289" t="str">
        <f t="shared" si="33"/>
        <v/>
      </c>
      <c r="AC240" s="302" t="str">
        <f t="shared" si="34"/>
        <v/>
      </c>
      <c r="AD240" s="340" t="str">
        <f>IFERROR(IF(AC240="Check Data ⚠","Check Data ⚠",VLOOKUP(AC240,'G-4 Temporal multipliers'!$A$4:$C$37,3,FALSE)),"")</f>
        <v/>
      </c>
      <c r="AE240" s="281" t="str">
        <f>IF(N240="","",VLOOKUP(N240,'G-7 WaterC'' Data'!$B$4:$G$8,5,FALSE))</f>
        <v/>
      </c>
      <c r="AF240" s="289" t="str">
        <f t="shared" si="35"/>
        <v/>
      </c>
      <c r="AG240" s="320" t="str">
        <f t="shared" si="36"/>
        <v/>
      </c>
      <c r="AH240" s="282" t="str">
        <f t="shared" si="30"/>
        <v/>
      </c>
      <c r="AI240" s="109"/>
      <c r="AJ240" s="282" t="str">
        <f>IF(AI240="","",IF(AND(AI240="N/A - Culvert",N240&lt;&gt;"Culvert"),"Not possible ▲",IF(VLOOKUP(AI240,'G-7 WaterC'' Data'!$AA$4:$AB$7,2,FALSE)=0,"Spatial Data Missing ⚠",VLOOKUP(AI240,'G-7 WaterC'' Data'!$AA$4:$AB$7,2,FALSE))))</f>
        <v/>
      </c>
      <c r="AK240" s="110"/>
      <c r="AL240" s="282" t="str">
        <f>IF(AK240="","",IF(AND(AK240="N/A - Culvert",N240&lt;&gt;"Culvert"),"Not possible ▲",IF(VLOOKUP(AK240,'G-7 WaterC'' Data'!$AD$4:$AE$14,2,FALSE)=0,"Spatial Data Missing ⚠",VLOOKUP(AK240,'G-7 WaterC'' Data'!$AD$4:$AE$14,2,FALSE))))</f>
        <v/>
      </c>
      <c r="AM240" s="323" t="str">
        <f t="shared" si="37"/>
        <v/>
      </c>
      <c r="AN240" s="105"/>
      <c r="AO240" s="119"/>
      <c r="AP240" s="108"/>
      <c r="AS240" s="30" t="str">
        <f>IF(B240="","",IF(ISNA(VLOOKUP($B240,'C-1 On-Site WaterC'' Baseline'!$C$8:$AD$257,17,FALSE)),"",(VLOOKUP($B240,'C-1 On-Site WaterC'' Baseline'!$C$8:$AD$257,17,FALSE))))</f>
        <v/>
      </c>
      <c r="AT240" s="30" t="str">
        <f>IF(B240="","",VLOOKUP($B240,'C-1 On-Site WaterC'' Baseline'!$C$9:$Z$257,12,FALSE))</f>
        <v/>
      </c>
      <c r="AU240" s="30" t="str">
        <f>IF(B240="","",VLOOKUP($B240,'C-1 On-Site WaterC'' Baseline'!$C$9:$Z$257,14,FALSE))</f>
        <v/>
      </c>
      <c r="AV240" s="30" t="str">
        <f>IFERROR(INDEX('G-7 WaterC'' Data'!$AZ$3:$AZ$7,MATCH(N240,'G-7 WaterC'' Data'!$AY$3:$AY$7,0)),"")</f>
        <v/>
      </c>
      <c r="AX240" s="30" t="str">
        <f>IF(B240="","",VLOOKUP($B240,'C-1 On-Site WaterC'' Baseline'!$C$9:$Y$257,22,FALSE))</f>
        <v/>
      </c>
      <c r="AY240" s="30" t="str">
        <f t="shared" si="38"/>
        <v/>
      </c>
      <c r="AZ240" s="30" t="str">
        <f>IF(B240="","",VLOOKUP($B240,'C-1 On-Site WaterC'' Baseline'!$C$9:$Y$257,21,FALSE))</f>
        <v/>
      </c>
      <c r="BA240" s="30" t="str">
        <f>IF(B240="","",VLOOKUP($B240,'C-1 On-Site WaterC'' Baseline'!$C$9:$Y$257,19,FALSE))</f>
        <v/>
      </c>
      <c r="BD240" s="30" t="str">
        <f t="shared" si="39"/>
        <v>No</v>
      </c>
    </row>
    <row r="241" spans="2:56" ht="13.8" x14ac:dyDescent="0.25">
      <c r="B241" s="311" t="str">
        <f>'C-1 On-Site WaterC'' Baseline'!AP239</f>
        <v/>
      </c>
      <c r="C241" s="301" t="str">
        <f>IF(B241="","",VLOOKUP($B241,'C-1 On-Site WaterC'' Baseline'!$C$9:$R$257,2,FALSE))</f>
        <v/>
      </c>
      <c r="D241" s="301" t="str">
        <f>IF(C241="","",VLOOKUP($B241,'C-1 On-Site WaterC'' Baseline'!$C$9:$R$257,3,FALSE))</f>
        <v/>
      </c>
      <c r="E241" s="301" t="str">
        <f>IF(D241="","",VLOOKUP($B241,'C-1 On-Site WaterC'' Baseline'!$C$9:$R$257,4,FALSE))</f>
        <v/>
      </c>
      <c r="F241" s="301" t="str">
        <f>IF(E241="","",VLOOKUP($B241,'C-1 On-Site WaterC'' Baseline'!$C$9:$R$257,5,FALSE))</f>
        <v/>
      </c>
      <c r="G241" s="301" t="str">
        <f>IF(F241="","",VLOOKUP($B241,'C-1 On-Site WaterC'' Baseline'!$C$9:$R$257,6,FALSE))</f>
        <v/>
      </c>
      <c r="H241" s="301" t="str">
        <f>IF(G241="","",VLOOKUP($B241,'C-1 On-Site WaterC'' Baseline'!$C$9:$R$257,7,FALSE))</f>
        <v/>
      </c>
      <c r="I241" s="301" t="str">
        <f>IF(H241="","",VLOOKUP($B241,'C-1 On-Site WaterC'' Baseline'!$C$9:$R$257,8,FALSE))</f>
        <v/>
      </c>
      <c r="J241" s="301" t="str">
        <f>IF(I241="","",VLOOKUP($B241,'C-1 On-Site WaterC'' Baseline'!$C$9:$R$257,9,FALSE))</f>
        <v/>
      </c>
      <c r="K241" s="301" t="str">
        <f>IF(J241="","",VLOOKUP($B241,'C-1 On-Site WaterC'' Baseline'!$C$9:$R$257,10,FALSE))</f>
        <v/>
      </c>
      <c r="L241" s="301" t="str">
        <f>IF(B241="","",VLOOKUP($B241,'C-1 On-Site WaterC'' Baseline'!$C$9:$R$257,15,FALSE))</f>
        <v/>
      </c>
      <c r="M241" s="305" t="str">
        <f>IF(L241="","",VLOOKUP($B241,'C-1 On-Site WaterC'' Baseline'!$C$9:$R$257,16,FALSE))</f>
        <v/>
      </c>
      <c r="N241" s="251"/>
      <c r="O241" s="281" t="str">
        <f t="shared" si="31"/>
        <v/>
      </c>
      <c r="P241" s="282" t="str">
        <f t="shared" si="32"/>
        <v/>
      </c>
      <c r="Q241" s="342" t="str">
        <f>IF(N241="","",VLOOKUP(B241,'C-1 On-Site WaterC'' Baseline'!$C$10:$AC$257,20,FALSE))</f>
        <v/>
      </c>
      <c r="R241" s="281" t="str">
        <f>IF(N241="","",VLOOKUP(N241,'G-7 WaterC'' Data'!$B$2:$G$8,2,FALSE))</f>
        <v/>
      </c>
      <c r="S241" s="282" t="str">
        <f>IFERROR(VLOOKUP(R241,'G-7 WaterC'' Data'!$C$4:$D$8,2,FALSE),"")</f>
        <v/>
      </c>
      <c r="T241" s="105"/>
      <c r="U241" s="282" t="str">
        <f>IFERROR(INDEX('G-7 WaterC'' Data'!$H$4:$L$8,MATCH(N241,'G-7 WaterC'' Data'!$B$4:$B$8,0),MATCH(T241,'G-7 WaterC'' Data'!$H$3:$L$3,0)),"")</f>
        <v/>
      </c>
      <c r="V241" s="105"/>
      <c r="W241" s="289" t="str">
        <f>IF(V241="","",IF(VLOOKUP(V241,'G-7 WaterC'' Data'!$AK$4:$AM$6,2,FALSE)=0,"Spatial Data Missing ⚠",VLOOKUP(V241,'G-7 WaterC'' Data'!$AK$4:$AM$6,2,FALSE)))</f>
        <v/>
      </c>
      <c r="X241" s="282" t="str">
        <f>IF(V241="","",IF(VLOOKUP(V241,'G-7 WaterC'' Data'!$AK$4:$AM$6,3,FALSE)=0,"Spatial Data Missing ⚠",VLOOKUP(V241,'G-7 WaterC'' Data'!$AK$4:$AM$6,3,FALSE)))</f>
        <v/>
      </c>
      <c r="Y241" s="281" t="str">
        <f>IFERROR(IF(OR(LEFT(P241,5)="Error",LEFT(O241,5)="Error"),"Check Data ⚠",IF(F241&lt;S241,'G-7 WaterC'' Data'!$R$3,INDEX('G-7 WaterC'' Data'!$U$5:$Y$9,MATCH(G241,'G-7 WaterC'' Data'!$T$5:$T$9,0),MATCH(T241,'G-7 WaterC'' Data'!$U$4:$Y$4,0)))),"")</f>
        <v/>
      </c>
      <c r="Z241" s="137"/>
      <c r="AA241" s="137"/>
      <c r="AB241" s="289" t="str">
        <f t="shared" si="33"/>
        <v/>
      </c>
      <c r="AC241" s="302" t="str">
        <f t="shared" si="34"/>
        <v/>
      </c>
      <c r="AD241" s="340" t="str">
        <f>IFERROR(IF(AC241="Check Data ⚠","Check Data ⚠",VLOOKUP(AC241,'G-4 Temporal multipliers'!$A$4:$C$37,3,FALSE)),"")</f>
        <v/>
      </c>
      <c r="AE241" s="281" t="str">
        <f>IF(N241="","",VLOOKUP(N241,'G-7 WaterC'' Data'!$B$4:$G$8,5,FALSE))</f>
        <v/>
      </c>
      <c r="AF241" s="289" t="str">
        <f t="shared" si="35"/>
        <v/>
      </c>
      <c r="AG241" s="320" t="str">
        <f t="shared" si="36"/>
        <v/>
      </c>
      <c r="AH241" s="282" t="str">
        <f t="shared" si="30"/>
        <v/>
      </c>
      <c r="AI241" s="109"/>
      <c r="AJ241" s="282" t="str">
        <f>IF(AI241="","",IF(AND(AI241="N/A - Culvert",N241&lt;&gt;"Culvert"),"Not possible ▲",IF(VLOOKUP(AI241,'G-7 WaterC'' Data'!$AA$4:$AB$7,2,FALSE)=0,"Spatial Data Missing ⚠",VLOOKUP(AI241,'G-7 WaterC'' Data'!$AA$4:$AB$7,2,FALSE))))</f>
        <v/>
      </c>
      <c r="AK241" s="110"/>
      <c r="AL241" s="282" t="str">
        <f>IF(AK241="","",IF(AND(AK241="N/A - Culvert",N241&lt;&gt;"Culvert"),"Not possible ▲",IF(VLOOKUP(AK241,'G-7 WaterC'' Data'!$AD$4:$AE$14,2,FALSE)=0,"Spatial Data Missing ⚠",VLOOKUP(AK241,'G-7 WaterC'' Data'!$AD$4:$AE$14,2,FALSE))))</f>
        <v/>
      </c>
      <c r="AM241" s="323" t="str">
        <f t="shared" si="37"/>
        <v/>
      </c>
      <c r="AN241" s="105"/>
      <c r="AO241" s="119"/>
      <c r="AP241" s="108"/>
      <c r="AS241" s="30" t="str">
        <f>IF(B241="","",IF(ISNA(VLOOKUP($B241,'C-1 On-Site WaterC'' Baseline'!$C$8:$AD$257,17,FALSE)),"",(VLOOKUP($B241,'C-1 On-Site WaterC'' Baseline'!$C$8:$AD$257,17,FALSE))))</f>
        <v/>
      </c>
      <c r="AT241" s="30" t="str">
        <f>IF(B241="","",VLOOKUP($B241,'C-1 On-Site WaterC'' Baseline'!$C$9:$Z$257,12,FALSE))</f>
        <v/>
      </c>
      <c r="AU241" s="30" t="str">
        <f>IF(B241="","",VLOOKUP($B241,'C-1 On-Site WaterC'' Baseline'!$C$9:$Z$257,14,FALSE))</f>
        <v/>
      </c>
      <c r="AV241" s="30" t="str">
        <f>IFERROR(INDEX('G-7 WaterC'' Data'!$AZ$3:$AZ$7,MATCH(N241,'G-7 WaterC'' Data'!$AY$3:$AY$7,0)),"")</f>
        <v/>
      </c>
      <c r="AX241" s="30" t="str">
        <f>IF(B241="","",VLOOKUP($B241,'C-1 On-Site WaterC'' Baseline'!$C$9:$Y$257,22,FALSE))</f>
        <v/>
      </c>
      <c r="AY241" s="30" t="str">
        <f t="shared" si="38"/>
        <v/>
      </c>
      <c r="AZ241" s="30" t="str">
        <f>IF(B241="","",VLOOKUP($B241,'C-1 On-Site WaterC'' Baseline'!$C$9:$Y$257,21,FALSE))</f>
        <v/>
      </c>
      <c r="BA241" s="30" t="str">
        <f>IF(B241="","",VLOOKUP($B241,'C-1 On-Site WaterC'' Baseline'!$C$9:$Y$257,19,FALSE))</f>
        <v/>
      </c>
      <c r="BD241" s="30" t="str">
        <f t="shared" si="39"/>
        <v>No</v>
      </c>
    </row>
    <row r="242" spans="2:56" ht="13.8" x14ac:dyDescent="0.25">
      <c r="B242" s="311" t="str">
        <f>'C-1 On-Site WaterC'' Baseline'!AP240</f>
        <v/>
      </c>
      <c r="C242" s="301" t="str">
        <f>IF(B242="","",VLOOKUP($B242,'C-1 On-Site WaterC'' Baseline'!$C$9:$R$257,2,FALSE))</f>
        <v/>
      </c>
      <c r="D242" s="301" t="str">
        <f>IF(C242="","",VLOOKUP($B242,'C-1 On-Site WaterC'' Baseline'!$C$9:$R$257,3,FALSE))</f>
        <v/>
      </c>
      <c r="E242" s="301" t="str">
        <f>IF(D242="","",VLOOKUP($B242,'C-1 On-Site WaterC'' Baseline'!$C$9:$R$257,4,FALSE))</f>
        <v/>
      </c>
      <c r="F242" s="301" t="str">
        <f>IF(E242="","",VLOOKUP($B242,'C-1 On-Site WaterC'' Baseline'!$C$9:$R$257,5,FALSE))</f>
        <v/>
      </c>
      <c r="G242" s="301" t="str">
        <f>IF(F242="","",VLOOKUP($B242,'C-1 On-Site WaterC'' Baseline'!$C$9:$R$257,6,FALSE))</f>
        <v/>
      </c>
      <c r="H242" s="301" t="str">
        <f>IF(G242="","",VLOOKUP($B242,'C-1 On-Site WaterC'' Baseline'!$C$9:$R$257,7,FALSE))</f>
        <v/>
      </c>
      <c r="I242" s="301" t="str">
        <f>IF(H242="","",VLOOKUP($B242,'C-1 On-Site WaterC'' Baseline'!$C$9:$R$257,8,FALSE))</f>
        <v/>
      </c>
      <c r="J242" s="301" t="str">
        <f>IF(I242="","",VLOOKUP($B242,'C-1 On-Site WaterC'' Baseline'!$C$9:$R$257,9,FALSE))</f>
        <v/>
      </c>
      <c r="K242" s="301" t="str">
        <f>IF(J242="","",VLOOKUP($B242,'C-1 On-Site WaterC'' Baseline'!$C$9:$R$257,10,FALSE))</f>
        <v/>
      </c>
      <c r="L242" s="301" t="str">
        <f>IF(B242="","",VLOOKUP($B242,'C-1 On-Site WaterC'' Baseline'!$C$9:$R$257,15,FALSE))</f>
        <v/>
      </c>
      <c r="M242" s="305" t="str">
        <f>IF(L242="","",VLOOKUP($B242,'C-1 On-Site WaterC'' Baseline'!$C$9:$R$257,16,FALSE))</f>
        <v/>
      </c>
      <c r="N242" s="251"/>
      <c r="O242" s="281" t="str">
        <f t="shared" si="31"/>
        <v/>
      </c>
      <c r="P242" s="282" t="str">
        <f t="shared" si="32"/>
        <v/>
      </c>
      <c r="Q242" s="342" t="str">
        <f>IF(N242="","",VLOOKUP(B242,'C-1 On-Site WaterC'' Baseline'!$C$10:$AC$257,20,FALSE))</f>
        <v/>
      </c>
      <c r="R242" s="281" t="str">
        <f>IF(N242="","",VLOOKUP(N242,'G-7 WaterC'' Data'!$B$2:$G$8,2,FALSE))</f>
        <v/>
      </c>
      <c r="S242" s="282" t="str">
        <f>IFERROR(VLOOKUP(R242,'G-7 WaterC'' Data'!$C$4:$D$8,2,FALSE),"")</f>
        <v/>
      </c>
      <c r="T242" s="105"/>
      <c r="U242" s="282" t="str">
        <f>IFERROR(INDEX('G-7 WaterC'' Data'!$H$4:$L$8,MATCH(N242,'G-7 WaterC'' Data'!$B$4:$B$8,0),MATCH(T242,'G-7 WaterC'' Data'!$H$3:$L$3,0)),"")</f>
        <v/>
      </c>
      <c r="V242" s="105"/>
      <c r="W242" s="289" t="str">
        <f>IF(V242="","",IF(VLOOKUP(V242,'G-7 WaterC'' Data'!$AK$4:$AM$6,2,FALSE)=0,"Spatial Data Missing ⚠",VLOOKUP(V242,'G-7 WaterC'' Data'!$AK$4:$AM$6,2,FALSE)))</f>
        <v/>
      </c>
      <c r="X242" s="282" t="str">
        <f>IF(V242="","",IF(VLOOKUP(V242,'G-7 WaterC'' Data'!$AK$4:$AM$6,3,FALSE)=0,"Spatial Data Missing ⚠",VLOOKUP(V242,'G-7 WaterC'' Data'!$AK$4:$AM$6,3,FALSE)))</f>
        <v/>
      </c>
      <c r="Y242" s="281" t="str">
        <f>IFERROR(IF(OR(LEFT(P242,5)="Error",LEFT(O242,5)="Error"),"Check Data ⚠",IF(F242&lt;S242,'G-7 WaterC'' Data'!$R$3,INDEX('G-7 WaterC'' Data'!$U$5:$Y$9,MATCH(G242,'G-7 WaterC'' Data'!$T$5:$T$9,0),MATCH(T242,'G-7 WaterC'' Data'!$U$4:$Y$4,0)))),"")</f>
        <v/>
      </c>
      <c r="Z242" s="137"/>
      <c r="AA242" s="137"/>
      <c r="AB242" s="289" t="str">
        <f t="shared" si="33"/>
        <v/>
      </c>
      <c r="AC242" s="302" t="str">
        <f t="shared" si="34"/>
        <v/>
      </c>
      <c r="AD242" s="340" t="str">
        <f>IFERROR(IF(AC242="Check Data ⚠","Check Data ⚠",VLOOKUP(AC242,'G-4 Temporal multipliers'!$A$4:$C$37,3,FALSE)),"")</f>
        <v/>
      </c>
      <c r="AE242" s="281" t="str">
        <f>IF(N242="","",VLOOKUP(N242,'G-7 WaterC'' Data'!$B$4:$G$8,5,FALSE))</f>
        <v/>
      </c>
      <c r="AF242" s="289" t="str">
        <f t="shared" si="35"/>
        <v/>
      </c>
      <c r="AG242" s="320" t="str">
        <f t="shared" si="36"/>
        <v/>
      </c>
      <c r="AH242" s="282" t="str">
        <f t="shared" si="30"/>
        <v/>
      </c>
      <c r="AI242" s="109"/>
      <c r="AJ242" s="282" t="str">
        <f>IF(AI242="","",IF(AND(AI242="N/A - Culvert",N242&lt;&gt;"Culvert"),"Not possible ▲",IF(VLOOKUP(AI242,'G-7 WaterC'' Data'!$AA$4:$AB$7,2,FALSE)=0,"Spatial Data Missing ⚠",VLOOKUP(AI242,'G-7 WaterC'' Data'!$AA$4:$AB$7,2,FALSE))))</f>
        <v/>
      </c>
      <c r="AK242" s="110"/>
      <c r="AL242" s="282" t="str">
        <f>IF(AK242="","",IF(AND(AK242="N/A - Culvert",N242&lt;&gt;"Culvert"),"Not possible ▲",IF(VLOOKUP(AK242,'G-7 WaterC'' Data'!$AD$4:$AE$14,2,FALSE)=0,"Spatial Data Missing ⚠",VLOOKUP(AK242,'G-7 WaterC'' Data'!$AD$4:$AE$14,2,FALSE))))</f>
        <v/>
      </c>
      <c r="AM242" s="323" t="str">
        <f t="shared" si="37"/>
        <v/>
      </c>
      <c r="AN242" s="105"/>
      <c r="AO242" s="119"/>
      <c r="AP242" s="108"/>
      <c r="AS242" s="30" t="str">
        <f>IF(B242="","",IF(ISNA(VLOOKUP($B242,'C-1 On-Site WaterC'' Baseline'!$C$8:$AD$257,17,FALSE)),"",(VLOOKUP($B242,'C-1 On-Site WaterC'' Baseline'!$C$8:$AD$257,17,FALSE))))</f>
        <v/>
      </c>
      <c r="AT242" s="30" t="str">
        <f>IF(B242="","",VLOOKUP($B242,'C-1 On-Site WaterC'' Baseline'!$C$9:$Z$257,12,FALSE))</f>
        <v/>
      </c>
      <c r="AU242" s="30" t="str">
        <f>IF(B242="","",VLOOKUP($B242,'C-1 On-Site WaterC'' Baseline'!$C$9:$Z$257,14,FALSE))</f>
        <v/>
      </c>
      <c r="AV242" s="30" t="str">
        <f>IFERROR(INDEX('G-7 WaterC'' Data'!$AZ$3:$AZ$7,MATCH(N242,'G-7 WaterC'' Data'!$AY$3:$AY$7,0)),"")</f>
        <v/>
      </c>
      <c r="AX242" s="30" t="str">
        <f>IF(B242="","",VLOOKUP($B242,'C-1 On-Site WaterC'' Baseline'!$C$9:$Y$257,22,FALSE))</f>
        <v/>
      </c>
      <c r="AY242" s="30" t="str">
        <f t="shared" si="38"/>
        <v/>
      </c>
      <c r="AZ242" s="30" t="str">
        <f>IF(B242="","",VLOOKUP($B242,'C-1 On-Site WaterC'' Baseline'!$C$9:$Y$257,21,FALSE))</f>
        <v/>
      </c>
      <c r="BA242" s="30" t="str">
        <f>IF(B242="","",VLOOKUP($B242,'C-1 On-Site WaterC'' Baseline'!$C$9:$Y$257,19,FALSE))</f>
        <v/>
      </c>
      <c r="BD242" s="30" t="str">
        <f t="shared" si="39"/>
        <v>No</v>
      </c>
    </row>
    <row r="243" spans="2:56" ht="13.8" x14ac:dyDescent="0.25">
      <c r="B243" s="311" t="str">
        <f>'C-1 On-Site WaterC'' Baseline'!AP241</f>
        <v/>
      </c>
      <c r="C243" s="301" t="str">
        <f>IF(B243="","",VLOOKUP($B243,'C-1 On-Site WaterC'' Baseline'!$C$9:$R$257,2,FALSE))</f>
        <v/>
      </c>
      <c r="D243" s="301" t="str">
        <f>IF(C243="","",VLOOKUP($B243,'C-1 On-Site WaterC'' Baseline'!$C$9:$R$257,3,FALSE))</f>
        <v/>
      </c>
      <c r="E243" s="301" t="str">
        <f>IF(D243="","",VLOOKUP($B243,'C-1 On-Site WaterC'' Baseline'!$C$9:$R$257,4,FALSE))</f>
        <v/>
      </c>
      <c r="F243" s="301" t="str">
        <f>IF(E243="","",VLOOKUP($B243,'C-1 On-Site WaterC'' Baseline'!$C$9:$R$257,5,FALSE))</f>
        <v/>
      </c>
      <c r="G243" s="301" t="str">
        <f>IF(F243="","",VLOOKUP($B243,'C-1 On-Site WaterC'' Baseline'!$C$9:$R$257,6,FALSE))</f>
        <v/>
      </c>
      <c r="H243" s="301" t="str">
        <f>IF(G243="","",VLOOKUP($B243,'C-1 On-Site WaterC'' Baseline'!$C$9:$R$257,7,FALSE))</f>
        <v/>
      </c>
      <c r="I243" s="301" t="str">
        <f>IF(H243="","",VLOOKUP($B243,'C-1 On-Site WaterC'' Baseline'!$C$9:$R$257,8,FALSE))</f>
        <v/>
      </c>
      <c r="J243" s="301" t="str">
        <f>IF(I243="","",VLOOKUP($B243,'C-1 On-Site WaterC'' Baseline'!$C$9:$R$257,9,FALSE))</f>
        <v/>
      </c>
      <c r="K243" s="301" t="str">
        <f>IF(J243="","",VLOOKUP($B243,'C-1 On-Site WaterC'' Baseline'!$C$9:$R$257,10,FALSE))</f>
        <v/>
      </c>
      <c r="L243" s="301" t="str">
        <f>IF(B243="","",VLOOKUP($B243,'C-1 On-Site WaterC'' Baseline'!$C$9:$R$257,15,FALSE))</f>
        <v/>
      </c>
      <c r="M243" s="305" t="str">
        <f>IF(L243="","",VLOOKUP($B243,'C-1 On-Site WaterC'' Baseline'!$C$9:$R$257,16,FALSE))</f>
        <v/>
      </c>
      <c r="N243" s="251"/>
      <c r="O243" s="281" t="str">
        <f t="shared" si="31"/>
        <v/>
      </c>
      <c r="P243" s="282" t="str">
        <f t="shared" si="32"/>
        <v/>
      </c>
      <c r="Q243" s="342" t="str">
        <f>IF(N243="","",VLOOKUP(B243,'C-1 On-Site WaterC'' Baseline'!$C$10:$AC$257,20,FALSE))</f>
        <v/>
      </c>
      <c r="R243" s="281" t="str">
        <f>IF(N243="","",VLOOKUP(N243,'G-7 WaterC'' Data'!$B$2:$G$8,2,FALSE))</f>
        <v/>
      </c>
      <c r="S243" s="282" t="str">
        <f>IFERROR(VLOOKUP(R243,'G-7 WaterC'' Data'!$C$4:$D$8,2,FALSE),"")</f>
        <v/>
      </c>
      <c r="T243" s="105"/>
      <c r="U243" s="282" t="str">
        <f>IFERROR(INDEX('G-7 WaterC'' Data'!$H$4:$L$8,MATCH(N243,'G-7 WaterC'' Data'!$B$4:$B$8,0),MATCH(T243,'G-7 WaterC'' Data'!$H$3:$L$3,0)),"")</f>
        <v/>
      </c>
      <c r="V243" s="105"/>
      <c r="W243" s="289" t="str">
        <f>IF(V243="","",IF(VLOOKUP(V243,'G-7 WaterC'' Data'!$AK$4:$AM$6,2,FALSE)=0,"Spatial Data Missing ⚠",VLOOKUP(V243,'G-7 WaterC'' Data'!$AK$4:$AM$6,2,FALSE)))</f>
        <v/>
      </c>
      <c r="X243" s="282" t="str">
        <f>IF(V243="","",IF(VLOOKUP(V243,'G-7 WaterC'' Data'!$AK$4:$AM$6,3,FALSE)=0,"Spatial Data Missing ⚠",VLOOKUP(V243,'G-7 WaterC'' Data'!$AK$4:$AM$6,3,FALSE)))</f>
        <v/>
      </c>
      <c r="Y243" s="281" t="str">
        <f>IFERROR(IF(OR(LEFT(P243,5)="Error",LEFT(O243,5)="Error"),"Check Data ⚠",IF(F243&lt;S243,'G-7 WaterC'' Data'!$R$3,INDEX('G-7 WaterC'' Data'!$U$5:$Y$9,MATCH(G243,'G-7 WaterC'' Data'!$T$5:$T$9,0),MATCH(T243,'G-7 WaterC'' Data'!$U$4:$Y$4,0)))),"")</f>
        <v/>
      </c>
      <c r="Z243" s="137"/>
      <c r="AA243" s="137"/>
      <c r="AB243" s="289" t="str">
        <f t="shared" si="33"/>
        <v/>
      </c>
      <c r="AC243" s="302" t="str">
        <f t="shared" si="34"/>
        <v/>
      </c>
      <c r="AD243" s="340" t="str">
        <f>IFERROR(IF(AC243="Check Data ⚠","Check Data ⚠",VLOOKUP(AC243,'G-4 Temporal multipliers'!$A$4:$C$37,3,FALSE)),"")</f>
        <v/>
      </c>
      <c r="AE243" s="281" t="str">
        <f>IF(N243="","",VLOOKUP(N243,'G-7 WaterC'' Data'!$B$4:$G$8,5,FALSE))</f>
        <v/>
      </c>
      <c r="AF243" s="289" t="str">
        <f t="shared" si="35"/>
        <v/>
      </c>
      <c r="AG243" s="320" t="str">
        <f t="shared" si="36"/>
        <v/>
      </c>
      <c r="AH243" s="282" t="str">
        <f t="shared" si="30"/>
        <v/>
      </c>
      <c r="AI243" s="109"/>
      <c r="AJ243" s="282" t="str">
        <f>IF(AI243="","",IF(AND(AI243="N/A - Culvert",N243&lt;&gt;"Culvert"),"Not possible ▲",IF(VLOOKUP(AI243,'G-7 WaterC'' Data'!$AA$4:$AB$7,2,FALSE)=0,"Spatial Data Missing ⚠",VLOOKUP(AI243,'G-7 WaterC'' Data'!$AA$4:$AB$7,2,FALSE))))</f>
        <v/>
      </c>
      <c r="AK243" s="110"/>
      <c r="AL243" s="282" t="str">
        <f>IF(AK243="","",IF(AND(AK243="N/A - Culvert",N243&lt;&gt;"Culvert"),"Not possible ▲",IF(VLOOKUP(AK243,'G-7 WaterC'' Data'!$AD$4:$AE$14,2,FALSE)=0,"Spatial Data Missing ⚠",VLOOKUP(AK243,'G-7 WaterC'' Data'!$AD$4:$AE$14,2,FALSE))))</f>
        <v/>
      </c>
      <c r="AM243" s="323" t="str">
        <f t="shared" si="37"/>
        <v/>
      </c>
      <c r="AN243" s="105"/>
      <c r="AO243" s="119"/>
      <c r="AP243" s="108"/>
      <c r="AS243" s="30" t="str">
        <f>IF(B243="","",IF(ISNA(VLOOKUP($B243,'C-1 On-Site WaterC'' Baseline'!$C$8:$AD$257,17,FALSE)),"",(VLOOKUP($B243,'C-1 On-Site WaterC'' Baseline'!$C$8:$AD$257,17,FALSE))))</f>
        <v/>
      </c>
      <c r="AT243" s="30" t="str">
        <f>IF(B243="","",VLOOKUP($B243,'C-1 On-Site WaterC'' Baseline'!$C$9:$Z$257,12,FALSE))</f>
        <v/>
      </c>
      <c r="AU243" s="30" t="str">
        <f>IF(B243="","",VLOOKUP($B243,'C-1 On-Site WaterC'' Baseline'!$C$9:$Z$257,14,FALSE))</f>
        <v/>
      </c>
      <c r="AV243" s="30" t="str">
        <f>IFERROR(INDEX('G-7 WaterC'' Data'!$AZ$3:$AZ$7,MATCH(N243,'G-7 WaterC'' Data'!$AY$3:$AY$7,0)),"")</f>
        <v/>
      </c>
      <c r="AX243" s="30" t="str">
        <f>IF(B243="","",VLOOKUP($B243,'C-1 On-Site WaterC'' Baseline'!$C$9:$Y$257,22,FALSE))</f>
        <v/>
      </c>
      <c r="AY243" s="30" t="str">
        <f t="shared" si="38"/>
        <v/>
      </c>
      <c r="AZ243" s="30" t="str">
        <f>IF(B243="","",VLOOKUP($B243,'C-1 On-Site WaterC'' Baseline'!$C$9:$Y$257,21,FALSE))</f>
        <v/>
      </c>
      <c r="BA243" s="30" t="str">
        <f>IF(B243="","",VLOOKUP($B243,'C-1 On-Site WaterC'' Baseline'!$C$9:$Y$257,19,FALSE))</f>
        <v/>
      </c>
      <c r="BD243" s="30" t="str">
        <f t="shared" si="39"/>
        <v>No</v>
      </c>
    </row>
    <row r="244" spans="2:56" ht="13.8" x14ac:dyDescent="0.25">
      <c r="B244" s="311" t="str">
        <f>'C-1 On-Site WaterC'' Baseline'!AP242</f>
        <v/>
      </c>
      <c r="C244" s="301" t="str">
        <f>IF(B244="","",VLOOKUP($B244,'C-1 On-Site WaterC'' Baseline'!$C$9:$R$257,2,FALSE))</f>
        <v/>
      </c>
      <c r="D244" s="301" t="str">
        <f>IF(C244="","",VLOOKUP($B244,'C-1 On-Site WaterC'' Baseline'!$C$9:$R$257,3,FALSE))</f>
        <v/>
      </c>
      <c r="E244" s="301" t="str">
        <f>IF(D244="","",VLOOKUP($B244,'C-1 On-Site WaterC'' Baseline'!$C$9:$R$257,4,FALSE))</f>
        <v/>
      </c>
      <c r="F244" s="301" t="str">
        <f>IF(E244="","",VLOOKUP($B244,'C-1 On-Site WaterC'' Baseline'!$C$9:$R$257,5,FALSE))</f>
        <v/>
      </c>
      <c r="G244" s="301" t="str">
        <f>IF(F244="","",VLOOKUP($B244,'C-1 On-Site WaterC'' Baseline'!$C$9:$R$257,6,FALSE))</f>
        <v/>
      </c>
      <c r="H244" s="301" t="str">
        <f>IF(G244="","",VLOOKUP($B244,'C-1 On-Site WaterC'' Baseline'!$C$9:$R$257,7,FALSE))</f>
        <v/>
      </c>
      <c r="I244" s="301" t="str">
        <f>IF(H244="","",VLOOKUP($B244,'C-1 On-Site WaterC'' Baseline'!$C$9:$R$257,8,FALSE))</f>
        <v/>
      </c>
      <c r="J244" s="301" t="str">
        <f>IF(I244="","",VLOOKUP($B244,'C-1 On-Site WaterC'' Baseline'!$C$9:$R$257,9,FALSE))</f>
        <v/>
      </c>
      <c r="K244" s="301" t="str">
        <f>IF(J244="","",VLOOKUP($B244,'C-1 On-Site WaterC'' Baseline'!$C$9:$R$257,10,FALSE))</f>
        <v/>
      </c>
      <c r="L244" s="301" t="str">
        <f>IF(B244="","",VLOOKUP($B244,'C-1 On-Site WaterC'' Baseline'!$C$9:$R$257,15,FALSE))</f>
        <v/>
      </c>
      <c r="M244" s="305" t="str">
        <f>IF(L244="","",VLOOKUP($B244,'C-1 On-Site WaterC'' Baseline'!$C$9:$R$257,16,FALSE))</f>
        <v/>
      </c>
      <c r="N244" s="251"/>
      <c r="O244" s="281" t="str">
        <f t="shared" si="31"/>
        <v/>
      </c>
      <c r="P244" s="282" t="str">
        <f t="shared" si="32"/>
        <v/>
      </c>
      <c r="Q244" s="342" t="str">
        <f>IF(N244="","",VLOOKUP(B244,'C-1 On-Site WaterC'' Baseline'!$C$10:$AC$257,20,FALSE))</f>
        <v/>
      </c>
      <c r="R244" s="281" t="str">
        <f>IF(N244="","",VLOOKUP(N244,'G-7 WaterC'' Data'!$B$2:$G$8,2,FALSE))</f>
        <v/>
      </c>
      <c r="S244" s="282" t="str">
        <f>IFERROR(VLOOKUP(R244,'G-7 WaterC'' Data'!$C$4:$D$8,2,FALSE),"")</f>
        <v/>
      </c>
      <c r="T244" s="105"/>
      <c r="U244" s="282" t="str">
        <f>IFERROR(INDEX('G-7 WaterC'' Data'!$H$4:$L$8,MATCH(N244,'G-7 WaterC'' Data'!$B$4:$B$8,0),MATCH(T244,'G-7 WaterC'' Data'!$H$3:$L$3,0)),"")</f>
        <v/>
      </c>
      <c r="V244" s="105"/>
      <c r="W244" s="289" t="str">
        <f>IF(V244="","",IF(VLOOKUP(V244,'G-7 WaterC'' Data'!$AK$4:$AM$6,2,FALSE)=0,"Spatial Data Missing ⚠",VLOOKUP(V244,'G-7 WaterC'' Data'!$AK$4:$AM$6,2,FALSE)))</f>
        <v/>
      </c>
      <c r="X244" s="282" t="str">
        <f>IF(V244="","",IF(VLOOKUP(V244,'G-7 WaterC'' Data'!$AK$4:$AM$6,3,FALSE)=0,"Spatial Data Missing ⚠",VLOOKUP(V244,'G-7 WaterC'' Data'!$AK$4:$AM$6,3,FALSE)))</f>
        <v/>
      </c>
      <c r="Y244" s="281" t="str">
        <f>IFERROR(IF(OR(LEFT(P244,5)="Error",LEFT(O244,5)="Error"),"Check Data ⚠",IF(F244&lt;S244,'G-7 WaterC'' Data'!$R$3,INDEX('G-7 WaterC'' Data'!$U$5:$Y$9,MATCH(G244,'G-7 WaterC'' Data'!$T$5:$T$9,0),MATCH(T244,'G-7 WaterC'' Data'!$U$4:$Y$4,0)))),"")</f>
        <v/>
      </c>
      <c r="Z244" s="137"/>
      <c r="AA244" s="137"/>
      <c r="AB244" s="289" t="str">
        <f t="shared" si="33"/>
        <v/>
      </c>
      <c r="AC244" s="302" t="str">
        <f t="shared" si="34"/>
        <v/>
      </c>
      <c r="AD244" s="340" t="str">
        <f>IFERROR(IF(AC244="Check Data ⚠","Check Data ⚠",VLOOKUP(AC244,'G-4 Temporal multipliers'!$A$4:$C$37,3,FALSE)),"")</f>
        <v/>
      </c>
      <c r="AE244" s="281" t="str">
        <f>IF(N244="","",VLOOKUP(N244,'G-7 WaterC'' Data'!$B$4:$G$8,5,FALSE))</f>
        <v/>
      </c>
      <c r="AF244" s="289" t="str">
        <f t="shared" si="35"/>
        <v/>
      </c>
      <c r="AG244" s="320" t="str">
        <f t="shared" si="36"/>
        <v/>
      </c>
      <c r="AH244" s="282" t="str">
        <f t="shared" si="30"/>
        <v/>
      </c>
      <c r="AI244" s="109"/>
      <c r="AJ244" s="282" t="str">
        <f>IF(AI244="","",IF(AND(AI244="N/A - Culvert",N244&lt;&gt;"Culvert"),"Not possible ▲",IF(VLOOKUP(AI244,'G-7 WaterC'' Data'!$AA$4:$AB$7,2,FALSE)=0,"Spatial Data Missing ⚠",VLOOKUP(AI244,'G-7 WaterC'' Data'!$AA$4:$AB$7,2,FALSE))))</f>
        <v/>
      </c>
      <c r="AK244" s="110"/>
      <c r="AL244" s="282" t="str">
        <f>IF(AK244="","",IF(AND(AK244="N/A - Culvert",N244&lt;&gt;"Culvert"),"Not possible ▲",IF(VLOOKUP(AK244,'G-7 WaterC'' Data'!$AD$4:$AE$14,2,FALSE)=0,"Spatial Data Missing ⚠",VLOOKUP(AK244,'G-7 WaterC'' Data'!$AD$4:$AE$14,2,FALSE))))</f>
        <v/>
      </c>
      <c r="AM244" s="323" t="str">
        <f t="shared" si="37"/>
        <v/>
      </c>
      <c r="AN244" s="105"/>
      <c r="AO244" s="119"/>
      <c r="AP244" s="108"/>
      <c r="AS244" s="30" t="str">
        <f>IF(B244="","",IF(ISNA(VLOOKUP($B244,'C-1 On-Site WaterC'' Baseline'!$C$8:$AD$257,17,FALSE)),"",(VLOOKUP($B244,'C-1 On-Site WaterC'' Baseline'!$C$8:$AD$257,17,FALSE))))</f>
        <v/>
      </c>
      <c r="AT244" s="30" t="str">
        <f>IF(B244="","",VLOOKUP($B244,'C-1 On-Site WaterC'' Baseline'!$C$9:$Z$257,12,FALSE))</f>
        <v/>
      </c>
      <c r="AU244" s="30" t="str">
        <f>IF(B244="","",VLOOKUP($B244,'C-1 On-Site WaterC'' Baseline'!$C$9:$Z$257,14,FALSE))</f>
        <v/>
      </c>
      <c r="AV244" s="30" t="str">
        <f>IFERROR(INDEX('G-7 WaterC'' Data'!$AZ$3:$AZ$7,MATCH(N244,'G-7 WaterC'' Data'!$AY$3:$AY$7,0)),"")</f>
        <v/>
      </c>
      <c r="AX244" s="30" t="str">
        <f>IF(B244="","",VLOOKUP($B244,'C-1 On-Site WaterC'' Baseline'!$C$9:$Y$257,22,FALSE))</f>
        <v/>
      </c>
      <c r="AY244" s="30" t="str">
        <f t="shared" si="38"/>
        <v/>
      </c>
      <c r="AZ244" s="30" t="str">
        <f>IF(B244="","",VLOOKUP($B244,'C-1 On-Site WaterC'' Baseline'!$C$9:$Y$257,21,FALSE))</f>
        <v/>
      </c>
      <c r="BA244" s="30" t="str">
        <f>IF(B244="","",VLOOKUP($B244,'C-1 On-Site WaterC'' Baseline'!$C$9:$Y$257,19,FALSE))</f>
        <v/>
      </c>
      <c r="BD244" s="30" t="str">
        <f t="shared" si="39"/>
        <v>No</v>
      </c>
    </row>
    <row r="245" spans="2:56" ht="13.8" x14ac:dyDescent="0.25">
      <c r="B245" s="311" t="str">
        <f>'C-1 On-Site WaterC'' Baseline'!AP243</f>
        <v/>
      </c>
      <c r="C245" s="301" t="str">
        <f>IF(B245="","",VLOOKUP($B245,'C-1 On-Site WaterC'' Baseline'!$C$9:$R$257,2,FALSE))</f>
        <v/>
      </c>
      <c r="D245" s="301" t="str">
        <f>IF(C245="","",VLOOKUP($B245,'C-1 On-Site WaterC'' Baseline'!$C$9:$R$257,3,FALSE))</f>
        <v/>
      </c>
      <c r="E245" s="301" t="str">
        <f>IF(D245="","",VLOOKUP($B245,'C-1 On-Site WaterC'' Baseline'!$C$9:$R$257,4,FALSE))</f>
        <v/>
      </c>
      <c r="F245" s="301" t="str">
        <f>IF(E245="","",VLOOKUP($B245,'C-1 On-Site WaterC'' Baseline'!$C$9:$R$257,5,FALSE))</f>
        <v/>
      </c>
      <c r="G245" s="301" t="str">
        <f>IF(F245="","",VLOOKUP($B245,'C-1 On-Site WaterC'' Baseline'!$C$9:$R$257,6,FALSE))</f>
        <v/>
      </c>
      <c r="H245" s="301" t="str">
        <f>IF(G245="","",VLOOKUP($B245,'C-1 On-Site WaterC'' Baseline'!$C$9:$R$257,7,FALSE))</f>
        <v/>
      </c>
      <c r="I245" s="301" t="str">
        <f>IF(H245="","",VLOOKUP($B245,'C-1 On-Site WaterC'' Baseline'!$C$9:$R$257,8,FALSE))</f>
        <v/>
      </c>
      <c r="J245" s="301" t="str">
        <f>IF(I245="","",VLOOKUP($B245,'C-1 On-Site WaterC'' Baseline'!$C$9:$R$257,9,FALSE))</f>
        <v/>
      </c>
      <c r="K245" s="301" t="str">
        <f>IF(J245="","",VLOOKUP($B245,'C-1 On-Site WaterC'' Baseline'!$C$9:$R$257,10,FALSE))</f>
        <v/>
      </c>
      <c r="L245" s="301" t="str">
        <f>IF(B245="","",VLOOKUP($B245,'C-1 On-Site WaterC'' Baseline'!$C$9:$R$257,15,FALSE))</f>
        <v/>
      </c>
      <c r="M245" s="305" t="str">
        <f>IF(L245="","",VLOOKUP($B245,'C-1 On-Site WaterC'' Baseline'!$C$9:$R$257,16,FALSE))</f>
        <v/>
      </c>
      <c r="N245" s="251"/>
      <c r="O245" s="281" t="str">
        <f t="shared" si="31"/>
        <v/>
      </c>
      <c r="P245" s="282" t="str">
        <f t="shared" si="32"/>
        <v/>
      </c>
      <c r="Q245" s="342" t="str">
        <f>IF(N245="","",VLOOKUP(B245,'C-1 On-Site WaterC'' Baseline'!$C$10:$AC$257,20,FALSE))</f>
        <v/>
      </c>
      <c r="R245" s="281" t="str">
        <f>IF(N245="","",VLOOKUP(N245,'G-7 WaterC'' Data'!$B$2:$G$8,2,FALSE))</f>
        <v/>
      </c>
      <c r="S245" s="282" t="str">
        <f>IFERROR(VLOOKUP(R245,'G-7 WaterC'' Data'!$C$4:$D$8,2,FALSE),"")</f>
        <v/>
      </c>
      <c r="T245" s="105"/>
      <c r="U245" s="282" t="str">
        <f>IFERROR(INDEX('G-7 WaterC'' Data'!$H$4:$L$8,MATCH(N245,'G-7 WaterC'' Data'!$B$4:$B$8,0),MATCH(T245,'G-7 WaterC'' Data'!$H$3:$L$3,0)),"")</f>
        <v/>
      </c>
      <c r="V245" s="105"/>
      <c r="W245" s="289" t="str">
        <f>IF(V245="","",IF(VLOOKUP(V245,'G-7 WaterC'' Data'!$AK$4:$AM$6,2,FALSE)=0,"Spatial Data Missing ⚠",VLOOKUP(V245,'G-7 WaterC'' Data'!$AK$4:$AM$6,2,FALSE)))</f>
        <v/>
      </c>
      <c r="X245" s="282" t="str">
        <f>IF(V245="","",IF(VLOOKUP(V245,'G-7 WaterC'' Data'!$AK$4:$AM$6,3,FALSE)=0,"Spatial Data Missing ⚠",VLOOKUP(V245,'G-7 WaterC'' Data'!$AK$4:$AM$6,3,FALSE)))</f>
        <v/>
      </c>
      <c r="Y245" s="281" t="str">
        <f>IFERROR(IF(OR(LEFT(P245,5)="Error",LEFT(O245,5)="Error"),"Check Data ⚠",IF(F245&lt;S245,'G-7 WaterC'' Data'!$R$3,INDEX('G-7 WaterC'' Data'!$U$5:$Y$9,MATCH(G245,'G-7 WaterC'' Data'!$T$5:$T$9,0),MATCH(T245,'G-7 WaterC'' Data'!$U$4:$Y$4,0)))),"")</f>
        <v/>
      </c>
      <c r="Z245" s="137"/>
      <c r="AA245" s="137"/>
      <c r="AB245" s="289" t="str">
        <f t="shared" si="33"/>
        <v/>
      </c>
      <c r="AC245" s="302" t="str">
        <f t="shared" si="34"/>
        <v/>
      </c>
      <c r="AD245" s="340" t="str">
        <f>IFERROR(IF(AC245="Check Data ⚠","Check Data ⚠",VLOOKUP(AC245,'G-4 Temporal multipliers'!$A$4:$C$37,3,FALSE)),"")</f>
        <v/>
      </c>
      <c r="AE245" s="281" t="str">
        <f>IF(N245="","",VLOOKUP(N245,'G-7 WaterC'' Data'!$B$4:$G$8,5,FALSE))</f>
        <v/>
      </c>
      <c r="AF245" s="289" t="str">
        <f t="shared" si="35"/>
        <v/>
      </c>
      <c r="AG245" s="320" t="str">
        <f t="shared" si="36"/>
        <v/>
      </c>
      <c r="AH245" s="282" t="str">
        <f t="shared" si="30"/>
        <v/>
      </c>
      <c r="AI245" s="109"/>
      <c r="AJ245" s="282" t="str">
        <f>IF(AI245="","",IF(AND(AI245="N/A - Culvert",N245&lt;&gt;"Culvert"),"Not possible ▲",IF(VLOOKUP(AI245,'G-7 WaterC'' Data'!$AA$4:$AB$7,2,FALSE)=0,"Spatial Data Missing ⚠",VLOOKUP(AI245,'G-7 WaterC'' Data'!$AA$4:$AB$7,2,FALSE))))</f>
        <v/>
      </c>
      <c r="AK245" s="110"/>
      <c r="AL245" s="282" t="str">
        <f>IF(AK245="","",IF(AND(AK245="N/A - Culvert",N245&lt;&gt;"Culvert"),"Not possible ▲",IF(VLOOKUP(AK245,'G-7 WaterC'' Data'!$AD$4:$AE$14,2,FALSE)=0,"Spatial Data Missing ⚠",VLOOKUP(AK245,'G-7 WaterC'' Data'!$AD$4:$AE$14,2,FALSE))))</f>
        <v/>
      </c>
      <c r="AM245" s="323" t="str">
        <f t="shared" si="37"/>
        <v/>
      </c>
      <c r="AN245" s="105"/>
      <c r="AO245" s="119"/>
      <c r="AP245" s="108"/>
      <c r="AS245" s="30" t="str">
        <f>IF(B245="","",IF(ISNA(VLOOKUP($B245,'C-1 On-Site WaterC'' Baseline'!$C$8:$AD$257,17,FALSE)),"",(VLOOKUP($B245,'C-1 On-Site WaterC'' Baseline'!$C$8:$AD$257,17,FALSE))))</f>
        <v/>
      </c>
      <c r="AT245" s="30" t="str">
        <f>IF(B245="","",VLOOKUP($B245,'C-1 On-Site WaterC'' Baseline'!$C$9:$Z$257,12,FALSE))</f>
        <v/>
      </c>
      <c r="AU245" s="30" t="str">
        <f>IF(B245="","",VLOOKUP($B245,'C-1 On-Site WaterC'' Baseline'!$C$9:$Z$257,14,FALSE))</f>
        <v/>
      </c>
      <c r="AV245" s="30" t="str">
        <f>IFERROR(INDEX('G-7 WaterC'' Data'!$AZ$3:$AZ$7,MATCH(N245,'G-7 WaterC'' Data'!$AY$3:$AY$7,0)),"")</f>
        <v/>
      </c>
      <c r="AX245" s="30" t="str">
        <f>IF(B245="","",VLOOKUP($B245,'C-1 On-Site WaterC'' Baseline'!$C$9:$Y$257,22,FALSE))</f>
        <v/>
      </c>
      <c r="AY245" s="30" t="str">
        <f t="shared" si="38"/>
        <v/>
      </c>
      <c r="AZ245" s="30" t="str">
        <f>IF(B245="","",VLOOKUP($B245,'C-1 On-Site WaterC'' Baseline'!$C$9:$Y$257,21,FALSE))</f>
        <v/>
      </c>
      <c r="BA245" s="30" t="str">
        <f>IF(B245="","",VLOOKUP($B245,'C-1 On-Site WaterC'' Baseline'!$C$9:$Y$257,19,FALSE))</f>
        <v/>
      </c>
      <c r="BD245" s="30" t="str">
        <f t="shared" si="39"/>
        <v>No</v>
      </c>
    </row>
    <row r="246" spans="2:56" ht="13.8" x14ac:dyDescent="0.25">
      <c r="B246" s="311" t="str">
        <f>'C-1 On-Site WaterC'' Baseline'!AP244</f>
        <v/>
      </c>
      <c r="C246" s="301" t="str">
        <f>IF(B246="","",VLOOKUP($B246,'C-1 On-Site WaterC'' Baseline'!$C$9:$R$257,2,FALSE))</f>
        <v/>
      </c>
      <c r="D246" s="301" t="str">
        <f>IF(C246="","",VLOOKUP($B246,'C-1 On-Site WaterC'' Baseline'!$C$9:$R$257,3,FALSE))</f>
        <v/>
      </c>
      <c r="E246" s="301" t="str">
        <f>IF(D246="","",VLOOKUP($B246,'C-1 On-Site WaterC'' Baseline'!$C$9:$R$257,4,FALSE))</f>
        <v/>
      </c>
      <c r="F246" s="301" t="str">
        <f>IF(E246="","",VLOOKUP($B246,'C-1 On-Site WaterC'' Baseline'!$C$9:$R$257,5,FALSE))</f>
        <v/>
      </c>
      <c r="G246" s="301" t="str">
        <f>IF(F246="","",VLOOKUP($B246,'C-1 On-Site WaterC'' Baseline'!$C$9:$R$257,6,FALSE))</f>
        <v/>
      </c>
      <c r="H246" s="301" t="str">
        <f>IF(G246="","",VLOOKUP($B246,'C-1 On-Site WaterC'' Baseline'!$C$9:$R$257,7,FALSE))</f>
        <v/>
      </c>
      <c r="I246" s="301" t="str">
        <f>IF(H246="","",VLOOKUP($B246,'C-1 On-Site WaterC'' Baseline'!$C$9:$R$257,8,FALSE))</f>
        <v/>
      </c>
      <c r="J246" s="301" t="str">
        <f>IF(I246="","",VLOOKUP($B246,'C-1 On-Site WaterC'' Baseline'!$C$9:$R$257,9,FALSE))</f>
        <v/>
      </c>
      <c r="K246" s="301" t="str">
        <f>IF(J246="","",VLOOKUP($B246,'C-1 On-Site WaterC'' Baseline'!$C$9:$R$257,10,FALSE))</f>
        <v/>
      </c>
      <c r="L246" s="301" t="str">
        <f>IF(B246="","",VLOOKUP($B246,'C-1 On-Site WaterC'' Baseline'!$C$9:$R$257,15,FALSE))</f>
        <v/>
      </c>
      <c r="M246" s="305" t="str">
        <f>IF(L246="","",VLOOKUP($B246,'C-1 On-Site WaterC'' Baseline'!$C$9:$R$257,16,FALSE))</f>
        <v/>
      </c>
      <c r="N246" s="251"/>
      <c r="O246" s="281" t="str">
        <f t="shared" si="31"/>
        <v/>
      </c>
      <c r="P246" s="282" t="str">
        <f t="shared" si="32"/>
        <v/>
      </c>
      <c r="Q246" s="342" t="str">
        <f>IF(N246="","",VLOOKUP(B246,'C-1 On-Site WaterC'' Baseline'!$C$10:$AC$257,20,FALSE))</f>
        <v/>
      </c>
      <c r="R246" s="281" t="str">
        <f>IF(N246="","",VLOOKUP(N246,'G-7 WaterC'' Data'!$B$2:$G$8,2,FALSE))</f>
        <v/>
      </c>
      <c r="S246" s="282" t="str">
        <f>IFERROR(VLOOKUP(R246,'G-7 WaterC'' Data'!$C$4:$D$8,2,FALSE),"")</f>
        <v/>
      </c>
      <c r="T246" s="105"/>
      <c r="U246" s="282" t="str">
        <f>IFERROR(INDEX('G-7 WaterC'' Data'!$H$4:$L$8,MATCH(N246,'G-7 WaterC'' Data'!$B$4:$B$8,0),MATCH(T246,'G-7 WaterC'' Data'!$H$3:$L$3,0)),"")</f>
        <v/>
      </c>
      <c r="V246" s="105"/>
      <c r="W246" s="289" t="str">
        <f>IF(V246="","",IF(VLOOKUP(V246,'G-7 WaterC'' Data'!$AK$4:$AM$6,2,FALSE)=0,"Spatial Data Missing ⚠",VLOOKUP(V246,'G-7 WaterC'' Data'!$AK$4:$AM$6,2,FALSE)))</f>
        <v/>
      </c>
      <c r="X246" s="282" t="str">
        <f>IF(V246="","",IF(VLOOKUP(V246,'G-7 WaterC'' Data'!$AK$4:$AM$6,3,FALSE)=0,"Spatial Data Missing ⚠",VLOOKUP(V246,'G-7 WaterC'' Data'!$AK$4:$AM$6,3,FALSE)))</f>
        <v/>
      </c>
      <c r="Y246" s="281" t="str">
        <f>IFERROR(IF(OR(LEFT(P246,5)="Error",LEFT(O246,5)="Error"),"Check Data ⚠",IF(F246&lt;S246,'G-7 WaterC'' Data'!$R$3,INDEX('G-7 WaterC'' Data'!$U$5:$Y$9,MATCH(G246,'G-7 WaterC'' Data'!$T$5:$T$9,0),MATCH(T246,'G-7 WaterC'' Data'!$U$4:$Y$4,0)))),"")</f>
        <v/>
      </c>
      <c r="Z246" s="137"/>
      <c r="AA246" s="137"/>
      <c r="AB246" s="289" t="str">
        <f t="shared" si="33"/>
        <v/>
      </c>
      <c r="AC246" s="302" t="str">
        <f t="shared" si="34"/>
        <v/>
      </c>
      <c r="AD246" s="340" t="str">
        <f>IFERROR(IF(AC246="Check Data ⚠","Check Data ⚠",VLOOKUP(AC246,'G-4 Temporal multipliers'!$A$4:$C$37,3,FALSE)),"")</f>
        <v/>
      </c>
      <c r="AE246" s="281" t="str">
        <f>IF(N246="","",VLOOKUP(N246,'G-7 WaterC'' Data'!$B$4:$G$8,5,FALSE))</f>
        <v/>
      </c>
      <c r="AF246" s="289" t="str">
        <f t="shared" si="35"/>
        <v/>
      </c>
      <c r="AG246" s="320" t="str">
        <f t="shared" si="36"/>
        <v/>
      </c>
      <c r="AH246" s="282" t="str">
        <f t="shared" si="30"/>
        <v/>
      </c>
      <c r="AI246" s="109"/>
      <c r="AJ246" s="282" t="str">
        <f>IF(AI246="","",IF(AND(AI246="N/A - Culvert",N246&lt;&gt;"Culvert"),"Not possible ▲",IF(VLOOKUP(AI246,'G-7 WaterC'' Data'!$AA$4:$AB$7,2,FALSE)=0,"Spatial Data Missing ⚠",VLOOKUP(AI246,'G-7 WaterC'' Data'!$AA$4:$AB$7,2,FALSE))))</f>
        <v/>
      </c>
      <c r="AK246" s="110"/>
      <c r="AL246" s="282" t="str">
        <f>IF(AK246="","",IF(AND(AK246="N/A - Culvert",N246&lt;&gt;"Culvert"),"Not possible ▲",IF(VLOOKUP(AK246,'G-7 WaterC'' Data'!$AD$4:$AE$14,2,FALSE)=0,"Spatial Data Missing ⚠",VLOOKUP(AK246,'G-7 WaterC'' Data'!$AD$4:$AE$14,2,FALSE))))</f>
        <v/>
      </c>
      <c r="AM246" s="323" t="str">
        <f t="shared" si="37"/>
        <v/>
      </c>
      <c r="AN246" s="105"/>
      <c r="AO246" s="119"/>
      <c r="AP246" s="108"/>
      <c r="AS246" s="30" t="str">
        <f>IF(B246="","",IF(ISNA(VLOOKUP($B246,'C-1 On-Site WaterC'' Baseline'!$C$8:$AD$257,17,FALSE)),"",(VLOOKUP($B246,'C-1 On-Site WaterC'' Baseline'!$C$8:$AD$257,17,FALSE))))</f>
        <v/>
      </c>
      <c r="AT246" s="30" t="str">
        <f>IF(B246="","",VLOOKUP($B246,'C-1 On-Site WaterC'' Baseline'!$C$9:$Z$257,12,FALSE))</f>
        <v/>
      </c>
      <c r="AU246" s="30" t="str">
        <f>IF(B246="","",VLOOKUP($B246,'C-1 On-Site WaterC'' Baseline'!$C$9:$Z$257,14,FALSE))</f>
        <v/>
      </c>
      <c r="AV246" s="30" t="str">
        <f>IFERROR(INDEX('G-7 WaterC'' Data'!$AZ$3:$AZ$7,MATCH(N246,'G-7 WaterC'' Data'!$AY$3:$AY$7,0)),"")</f>
        <v/>
      </c>
      <c r="AX246" s="30" t="str">
        <f>IF(B246="","",VLOOKUP($B246,'C-1 On-Site WaterC'' Baseline'!$C$9:$Y$257,22,FALSE))</f>
        <v/>
      </c>
      <c r="AY246" s="30" t="str">
        <f t="shared" si="38"/>
        <v/>
      </c>
      <c r="AZ246" s="30" t="str">
        <f>IF(B246="","",VLOOKUP($B246,'C-1 On-Site WaterC'' Baseline'!$C$9:$Y$257,21,FALSE))</f>
        <v/>
      </c>
      <c r="BA246" s="30" t="str">
        <f>IF(B246="","",VLOOKUP($B246,'C-1 On-Site WaterC'' Baseline'!$C$9:$Y$257,19,FALSE))</f>
        <v/>
      </c>
      <c r="BD246" s="30" t="str">
        <f t="shared" si="39"/>
        <v>No</v>
      </c>
    </row>
    <row r="247" spans="2:56" ht="13.8" x14ac:dyDescent="0.25">
      <c r="B247" s="311" t="str">
        <f>'C-1 On-Site WaterC'' Baseline'!AP245</f>
        <v/>
      </c>
      <c r="C247" s="301" t="str">
        <f>IF(B247="","",VLOOKUP($B247,'C-1 On-Site WaterC'' Baseline'!$C$9:$R$257,2,FALSE))</f>
        <v/>
      </c>
      <c r="D247" s="301" t="str">
        <f>IF(C247="","",VLOOKUP($B247,'C-1 On-Site WaterC'' Baseline'!$C$9:$R$257,3,FALSE))</f>
        <v/>
      </c>
      <c r="E247" s="301" t="str">
        <f>IF(D247="","",VLOOKUP($B247,'C-1 On-Site WaterC'' Baseline'!$C$9:$R$257,4,FALSE))</f>
        <v/>
      </c>
      <c r="F247" s="301" t="str">
        <f>IF(E247="","",VLOOKUP($B247,'C-1 On-Site WaterC'' Baseline'!$C$9:$R$257,5,FALSE))</f>
        <v/>
      </c>
      <c r="G247" s="301" t="str">
        <f>IF(F247="","",VLOOKUP($B247,'C-1 On-Site WaterC'' Baseline'!$C$9:$R$257,6,FALSE))</f>
        <v/>
      </c>
      <c r="H247" s="301" t="str">
        <f>IF(G247="","",VLOOKUP($B247,'C-1 On-Site WaterC'' Baseline'!$C$9:$R$257,7,FALSE))</f>
        <v/>
      </c>
      <c r="I247" s="301" t="str">
        <f>IF(H247="","",VLOOKUP($B247,'C-1 On-Site WaterC'' Baseline'!$C$9:$R$257,8,FALSE))</f>
        <v/>
      </c>
      <c r="J247" s="301" t="str">
        <f>IF(I247="","",VLOOKUP($B247,'C-1 On-Site WaterC'' Baseline'!$C$9:$R$257,9,FALSE))</f>
        <v/>
      </c>
      <c r="K247" s="301" t="str">
        <f>IF(J247="","",VLOOKUP($B247,'C-1 On-Site WaterC'' Baseline'!$C$9:$R$257,10,FALSE))</f>
        <v/>
      </c>
      <c r="L247" s="301" t="str">
        <f>IF(B247="","",VLOOKUP($B247,'C-1 On-Site WaterC'' Baseline'!$C$9:$R$257,15,FALSE))</f>
        <v/>
      </c>
      <c r="M247" s="305" t="str">
        <f>IF(L247="","",VLOOKUP($B247,'C-1 On-Site WaterC'' Baseline'!$C$9:$R$257,16,FALSE))</f>
        <v/>
      </c>
      <c r="N247" s="251"/>
      <c r="O247" s="281" t="str">
        <f t="shared" si="31"/>
        <v/>
      </c>
      <c r="P247" s="282" t="str">
        <f t="shared" si="32"/>
        <v/>
      </c>
      <c r="Q247" s="342" t="str">
        <f>IF(N247="","",VLOOKUP(B247,'C-1 On-Site WaterC'' Baseline'!$C$10:$AC$257,20,FALSE))</f>
        <v/>
      </c>
      <c r="R247" s="281" t="str">
        <f>IF(N247="","",VLOOKUP(N247,'G-7 WaterC'' Data'!$B$2:$G$8,2,FALSE))</f>
        <v/>
      </c>
      <c r="S247" s="282" t="str">
        <f>IFERROR(VLOOKUP(R247,'G-7 WaterC'' Data'!$C$4:$D$8,2,FALSE),"")</f>
        <v/>
      </c>
      <c r="T247" s="105"/>
      <c r="U247" s="282" t="str">
        <f>IFERROR(INDEX('G-7 WaterC'' Data'!$H$4:$L$8,MATCH(N247,'G-7 WaterC'' Data'!$B$4:$B$8,0),MATCH(T247,'G-7 WaterC'' Data'!$H$3:$L$3,0)),"")</f>
        <v/>
      </c>
      <c r="V247" s="105"/>
      <c r="W247" s="289" t="str">
        <f>IF(V247="","",IF(VLOOKUP(V247,'G-7 WaterC'' Data'!$AK$4:$AM$6,2,FALSE)=0,"Spatial Data Missing ⚠",VLOOKUP(V247,'G-7 WaterC'' Data'!$AK$4:$AM$6,2,FALSE)))</f>
        <v/>
      </c>
      <c r="X247" s="282" t="str">
        <f>IF(V247="","",IF(VLOOKUP(V247,'G-7 WaterC'' Data'!$AK$4:$AM$6,3,FALSE)=0,"Spatial Data Missing ⚠",VLOOKUP(V247,'G-7 WaterC'' Data'!$AK$4:$AM$6,3,FALSE)))</f>
        <v/>
      </c>
      <c r="Y247" s="281" t="str">
        <f>IFERROR(IF(OR(LEFT(P247,5)="Error",LEFT(O247,5)="Error"),"Check Data ⚠",IF(F247&lt;S247,'G-7 WaterC'' Data'!$R$3,INDEX('G-7 WaterC'' Data'!$U$5:$Y$9,MATCH(G247,'G-7 WaterC'' Data'!$T$5:$T$9,0),MATCH(T247,'G-7 WaterC'' Data'!$U$4:$Y$4,0)))),"")</f>
        <v/>
      </c>
      <c r="Z247" s="137"/>
      <c r="AA247" s="137"/>
      <c r="AB247" s="289" t="str">
        <f t="shared" si="33"/>
        <v/>
      </c>
      <c r="AC247" s="302" t="str">
        <f t="shared" si="34"/>
        <v/>
      </c>
      <c r="AD247" s="340" t="str">
        <f>IFERROR(IF(AC247="Check Data ⚠","Check Data ⚠",VLOOKUP(AC247,'G-4 Temporal multipliers'!$A$4:$C$37,3,FALSE)),"")</f>
        <v/>
      </c>
      <c r="AE247" s="281" t="str">
        <f>IF(N247="","",VLOOKUP(N247,'G-7 WaterC'' Data'!$B$4:$G$8,5,FALSE))</f>
        <v/>
      </c>
      <c r="AF247" s="289" t="str">
        <f t="shared" si="35"/>
        <v/>
      </c>
      <c r="AG247" s="320" t="str">
        <f t="shared" si="36"/>
        <v/>
      </c>
      <c r="AH247" s="282" t="str">
        <f t="shared" si="30"/>
        <v/>
      </c>
      <c r="AI247" s="109"/>
      <c r="AJ247" s="282" t="str">
        <f>IF(AI247="","",IF(AND(AI247="N/A - Culvert",N247&lt;&gt;"Culvert"),"Not possible ▲",IF(VLOOKUP(AI247,'G-7 WaterC'' Data'!$AA$4:$AB$7,2,FALSE)=0,"Spatial Data Missing ⚠",VLOOKUP(AI247,'G-7 WaterC'' Data'!$AA$4:$AB$7,2,FALSE))))</f>
        <v/>
      </c>
      <c r="AK247" s="110"/>
      <c r="AL247" s="282" t="str">
        <f>IF(AK247="","",IF(AND(AK247="N/A - Culvert",N247&lt;&gt;"Culvert"),"Not possible ▲",IF(VLOOKUP(AK247,'G-7 WaterC'' Data'!$AD$4:$AE$14,2,FALSE)=0,"Spatial Data Missing ⚠",VLOOKUP(AK247,'G-7 WaterC'' Data'!$AD$4:$AE$14,2,FALSE))))</f>
        <v/>
      </c>
      <c r="AM247" s="323" t="str">
        <f t="shared" si="37"/>
        <v/>
      </c>
      <c r="AN247" s="105"/>
      <c r="AO247" s="119"/>
      <c r="AP247" s="108"/>
      <c r="AS247" s="30" t="str">
        <f>IF(B247="","",IF(ISNA(VLOOKUP($B247,'C-1 On-Site WaterC'' Baseline'!$C$8:$AD$257,17,FALSE)),"",(VLOOKUP($B247,'C-1 On-Site WaterC'' Baseline'!$C$8:$AD$257,17,FALSE))))</f>
        <v/>
      </c>
      <c r="AT247" s="30" t="str">
        <f>IF(B247="","",VLOOKUP($B247,'C-1 On-Site WaterC'' Baseline'!$C$9:$Z$257,12,FALSE))</f>
        <v/>
      </c>
      <c r="AU247" s="30" t="str">
        <f>IF(B247="","",VLOOKUP($B247,'C-1 On-Site WaterC'' Baseline'!$C$9:$Z$257,14,FALSE))</f>
        <v/>
      </c>
      <c r="AV247" s="30" t="str">
        <f>IFERROR(INDEX('G-7 WaterC'' Data'!$AZ$3:$AZ$7,MATCH(N247,'G-7 WaterC'' Data'!$AY$3:$AY$7,0)),"")</f>
        <v/>
      </c>
      <c r="AX247" s="30" t="str">
        <f>IF(B247="","",VLOOKUP($B247,'C-1 On-Site WaterC'' Baseline'!$C$9:$Y$257,22,FALSE))</f>
        <v/>
      </c>
      <c r="AY247" s="30" t="str">
        <f t="shared" si="38"/>
        <v/>
      </c>
      <c r="AZ247" s="30" t="str">
        <f>IF(B247="","",VLOOKUP($B247,'C-1 On-Site WaterC'' Baseline'!$C$9:$Y$257,21,FALSE))</f>
        <v/>
      </c>
      <c r="BA247" s="30" t="str">
        <f>IF(B247="","",VLOOKUP($B247,'C-1 On-Site WaterC'' Baseline'!$C$9:$Y$257,19,FALSE))</f>
        <v/>
      </c>
      <c r="BD247" s="30" t="str">
        <f t="shared" si="39"/>
        <v>No</v>
      </c>
    </row>
    <row r="248" spans="2:56" ht="13.8" x14ac:dyDescent="0.25">
      <c r="B248" s="311" t="str">
        <f>'C-1 On-Site WaterC'' Baseline'!AP246</f>
        <v/>
      </c>
      <c r="C248" s="301" t="str">
        <f>IF(B248="","",VLOOKUP($B248,'C-1 On-Site WaterC'' Baseline'!$C$9:$R$257,2,FALSE))</f>
        <v/>
      </c>
      <c r="D248" s="301" t="str">
        <f>IF(C248="","",VLOOKUP($B248,'C-1 On-Site WaterC'' Baseline'!$C$9:$R$257,3,FALSE))</f>
        <v/>
      </c>
      <c r="E248" s="301" t="str">
        <f>IF(D248="","",VLOOKUP($B248,'C-1 On-Site WaterC'' Baseline'!$C$9:$R$257,4,FALSE))</f>
        <v/>
      </c>
      <c r="F248" s="301" t="str">
        <f>IF(E248="","",VLOOKUP($B248,'C-1 On-Site WaterC'' Baseline'!$C$9:$R$257,5,FALSE))</f>
        <v/>
      </c>
      <c r="G248" s="301" t="str">
        <f>IF(F248="","",VLOOKUP($B248,'C-1 On-Site WaterC'' Baseline'!$C$9:$R$257,6,FALSE))</f>
        <v/>
      </c>
      <c r="H248" s="301" t="str">
        <f>IF(G248="","",VLOOKUP($B248,'C-1 On-Site WaterC'' Baseline'!$C$9:$R$257,7,FALSE))</f>
        <v/>
      </c>
      <c r="I248" s="301" t="str">
        <f>IF(H248="","",VLOOKUP($B248,'C-1 On-Site WaterC'' Baseline'!$C$9:$R$257,8,FALSE))</f>
        <v/>
      </c>
      <c r="J248" s="301" t="str">
        <f>IF(I248="","",VLOOKUP($B248,'C-1 On-Site WaterC'' Baseline'!$C$9:$R$257,9,FALSE))</f>
        <v/>
      </c>
      <c r="K248" s="301" t="str">
        <f>IF(J248="","",VLOOKUP($B248,'C-1 On-Site WaterC'' Baseline'!$C$9:$R$257,10,FALSE))</f>
        <v/>
      </c>
      <c r="L248" s="301" t="str">
        <f>IF(B248="","",VLOOKUP($B248,'C-1 On-Site WaterC'' Baseline'!$C$9:$R$257,15,FALSE))</f>
        <v/>
      </c>
      <c r="M248" s="305" t="str">
        <f>IF(L248="","",VLOOKUP($B248,'C-1 On-Site WaterC'' Baseline'!$C$9:$R$257,16,FALSE))</f>
        <v/>
      </c>
      <c r="N248" s="251"/>
      <c r="O248" s="281" t="str">
        <f t="shared" si="31"/>
        <v/>
      </c>
      <c r="P248" s="282" t="str">
        <f t="shared" si="32"/>
        <v/>
      </c>
      <c r="Q248" s="342" t="str">
        <f>IF(N248="","",VLOOKUP(B248,'C-1 On-Site WaterC'' Baseline'!$C$10:$AC$257,20,FALSE))</f>
        <v/>
      </c>
      <c r="R248" s="281" t="str">
        <f>IF(N248="","",VLOOKUP(N248,'G-7 WaterC'' Data'!$B$2:$G$8,2,FALSE))</f>
        <v/>
      </c>
      <c r="S248" s="282" t="str">
        <f>IFERROR(VLOOKUP(R248,'G-7 WaterC'' Data'!$C$4:$D$8,2,FALSE),"")</f>
        <v/>
      </c>
      <c r="T248" s="105"/>
      <c r="U248" s="282" t="str">
        <f>IFERROR(INDEX('G-7 WaterC'' Data'!$H$4:$L$8,MATCH(N248,'G-7 WaterC'' Data'!$B$4:$B$8,0),MATCH(T248,'G-7 WaterC'' Data'!$H$3:$L$3,0)),"")</f>
        <v/>
      </c>
      <c r="V248" s="105"/>
      <c r="W248" s="289" t="str">
        <f>IF(V248="","",IF(VLOOKUP(V248,'G-7 WaterC'' Data'!$AK$4:$AM$6,2,FALSE)=0,"Spatial Data Missing ⚠",VLOOKUP(V248,'G-7 WaterC'' Data'!$AK$4:$AM$6,2,FALSE)))</f>
        <v/>
      </c>
      <c r="X248" s="282" t="str">
        <f>IF(V248="","",IF(VLOOKUP(V248,'G-7 WaterC'' Data'!$AK$4:$AM$6,3,FALSE)=0,"Spatial Data Missing ⚠",VLOOKUP(V248,'G-7 WaterC'' Data'!$AK$4:$AM$6,3,FALSE)))</f>
        <v/>
      </c>
      <c r="Y248" s="281" t="str">
        <f>IFERROR(IF(OR(LEFT(P248,5)="Error",LEFT(O248,5)="Error"),"Check Data ⚠",IF(F248&lt;S248,'G-7 WaterC'' Data'!$R$3,INDEX('G-7 WaterC'' Data'!$U$5:$Y$9,MATCH(G248,'G-7 WaterC'' Data'!$T$5:$T$9,0),MATCH(T248,'G-7 WaterC'' Data'!$U$4:$Y$4,0)))),"")</f>
        <v/>
      </c>
      <c r="Z248" s="137"/>
      <c r="AA248" s="137"/>
      <c r="AB248" s="289" t="str">
        <f t="shared" si="33"/>
        <v/>
      </c>
      <c r="AC248" s="302" t="str">
        <f t="shared" si="34"/>
        <v/>
      </c>
      <c r="AD248" s="340" t="str">
        <f>IFERROR(IF(AC248="Check Data ⚠","Check Data ⚠",VLOOKUP(AC248,'G-4 Temporal multipliers'!$A$4:$C$37,3,FALSE)),"")</f>
        <v/>
      </c>
      <c r="AE248" s="281" t="str">
        <f>IF(N248="","",VLOOKUP(N248,'G-7 WaterC'' Data'!$B$4:$G$8,5,FALSE))</f>
        <v/>
      </c>
      <c r="AF248" s="289" t="str">
        <f t="shared" si="35"/>
        <v/>
      </c>
      <c r="AG248" s="320" t="str">
        <f t="shared" si="36"/>
        <v/>
      </c>
      <c r="AH248" s="282" t="str">
        <f t="shared" si="30"/>
        <v/>
      </c>
      <c r="AI248" s="109"/>
      <c r="AJ248" s="282" t="str">
        <f>IF(AI248="","",IF(AND(AI248="N/A - Culvert",N248&lt;&gt;"Culvert"),"Not possible ▲",IF(VLOOKUP(AI248,'G-7 WaterC'' Data'!$AA$4:$AB$7,2,FALSE)=0,"Spatial Data Missing ⚠",VLOOKUP(AI248,'G-7 WaterC'' Data'!$AA$4:$AB$7,2,FALSE))))</f>
        <v/>
      </c>
      <c r="AK248" s="110"/>
      <c r="AL248" s="282" t="str">
        <f>IF(AK248="","",IF(AND(AK248="N/A - Culvert",N248&lt;&gt;"Culvert"),"Not possible ▲",IF(VLOOKUP(AK248,'G-7 WaterC'' Data'!$AD$4:$AE$14,2,FALSE)=0,"Spatial Data Missing ⚠",VLOOKUP(AK248,'G-7 WaterC'' Data'!$AD$4:$AE$14,2,FALSE))))</f>
        <v/>
      </c>
      <c r="AM248" s="323" t="str">
        <f t="shared" si="37"/>
        <v/>
      </c>
      <c r="AN248" s="105"/>
      <c r="AO248" s="119"/>
      <c r="AP248" s="108"/>
      <c r="AS248" s="30" t="str">
        <f>IF(B248="","",IF(ISNA(VLOOKUP($B248,'C-1 On-Site WaterC'' Baseline'!$C$8:$AD$257,17,FALSE)),"",(VLOOKUP($B248,'C-1 On-Site WaterC'' Baseline'!$C$8:$AD$257,17,FALSE))))</f>
        <v/>
      </c>
      <c r="AT248" s="30" t="str">
        <f>IF(B248="","",VLOOKUP($B248,'C-1 On-Site WaterC'' Baseline'!$C$9:$Z$257,12,FALSE))</f>
        <v/>
      </c>
      <c r="AU248" s="30" t="str">
        <f>IF(B248="","",VLOOKUP($B248,'C-1 On-Site WaterC'' Baseline'!$C$9:$Z$257,14,FALSE))</f>
        <v/>
      </c>
      <c r="AV248" s="30" t="str">
        <f>IFERROR(INDEX('G-7 WaterC'' Data'!$AZ$3:$AZ$7,MATCH(N248,'G-7 WaterC'' Data'!$AY$3:$AY$7,0)),"")</f>
        <v/>
      </c>
      <c r="AX248" s="30" t="str">
        <f>IF(B248="","",VLOOKUP($B248,'C-1 On-Site WaterC'' Baseline'!$C$9:$Y$257,22,FALSE))</f>
        <v/>
      </c>
      <c r="AY248" s="30" t="str">
        <f t="shared" si="38"/>
        <v/>
      </c>
      <c r="AZ248" s="30" t="str">
        <f>IF(B248="","",VLOOKUP($B248,'C-1 On-Site WaterC'' Baseline'!$C$9:$Y$257,21,FALSE))</f>
        <v/>
      </c>
      <c r="BA248" s="30" t="str">
        <f>IF(B248="","",VLOOKUP($B248,'C-1 On-Site WaterC'' Baseline'!$C$9:$Y$257,19,FALSE))</f>
        <v/>
      </c>
      <c r="BD248" s="30" t="str">
        <f t="shared" si="39"/>
        <v>No</v>
      </c>
    </row>
    <row r="249" spans="2:56" ht="13.8" x14ac:dyDescent="0.25">
      <c r="B249" s="311" t="str">
        <f>'C-1 On-Site WaterC'' Baseline'!AP247</f>
        <v/>
      </c>
      <c r="C249" s="301" t="str">
        <f>IF(B249="","",VLOOKUP($B249,'C-1 On-Site WaterC'' Baseline'!$C$9:$R$257,2,FALSE))</f>
        <v/>
      </c>
      <c r="D249" s="301" t="str">
        <f>IF(C249="","",VLOOKUP($B249,'C-1 On-Site WaterC'' Baseline'!$C$9:$R$257,3,FALSE))</f>
        <v/>
      </c>
      <c r="E249" s="301" t="str">
        <f>IF(D249="","",VLOOKUP($B249,'C-1 On-Site WaterC'' Baseline'!$C$9:$R$257,4,FALSE))</f>
        <v/>
      </c>
      <c r="F249" s="301" t="str">
        <f>IF(E249="","",VLOOKUP($B249,'C-1 On-Site WaterC'' Baseline'!$C$9:$R$257,5,FALSE))</f>
        <v/>
      </c>
      <c r="G249" s="301" t="str">
        <f>IF(F249="","",VLOOKUP($B249,'C-1 On-Site WaterC'' Baseline'!$C$9:$R$257,6,FALSE))</f>
        <v/>
      </c>
      <c r="H249" s="301" t="str">
        <f>IF(G249="","",VLOOKUP($B249,'C-1 On-Site WaterC'' Baseline'!$C$9:$R$257,7,FALSE))</f>
        <v/>
      </c>
      <c r="I249" s="301" t="str">
        <f>IF(H249="","",VLOOKUP($B249,'C-1 On-Site WaterC'' Baseline'!$C$9:$R$257,8,FALSE))</f>
        <v/>
      </c>
      <c r="J249" s="301" t="str">
        <f>IF(I249="","",VLOOKUP($B249,'C-1 On-Site WaterC'' Baseline'!$C$9:$R$257,9,FALSE))</f>
        <v/>
      </c>
      <c r="K249" s="301" t="str">
        <f>IF(J249="","",VLOOKUP($B249,'C-1 On-Site WaterC'' Baseline'!$C$9:$R$257,10,FALSE))</f>
        <v/>
      </c>
      <c r="L249" s="301" t="str">
        <f>IF(B249="","",VLOOKUP($B249,'C-1 On-Site WaterC'' Baseline'!$C$9:$R$257,15,FALSE))</f>
        <v/>
      </c>
      <c r="M249" s="305" t="str">
        <f>IF(L249="","",VLOOKUP($B249,'C-1 On-Site WaterC'' Baseline'!$C$9:$R$257,16,FALSE))</f>
        <v/>
      </c>
      <c r="N249" s="251"/>
      <c r="O249" s="281" t="str">
        <f t="shared" si="31"/>
        <v/>
      </c>
      <c r="P249" s="282" t="str">
        <f t="shared" si="32"/>
        <v/>
      </c>
      <c r="Q249" s="342" t="str">
        <f>IF(N249="","",VLOOKUP(B249,'C-1 On-Site WaterC'' Baseline'!$C$10:$AC$257,20,FALSE))</f>
        <v/>
      </c>
      <c r="R249" s="281" t="str">
        <f>IF(N249="","",VLOOKUP(N249,'G-7 WaterC'' Data'!$B$2:$G$8,2,FALSE))</f>
        <v/>
      </c>
      <c r="S249" s="282" t="str">
        <f>IFERROR(VLOOKUP(R249,'G-7 WaterC'' Data'!$C$4:$D$8,2,FALSE),"")</f>
        <v/>
      </c>
      <c r="T249" s="105"/>
      <c r="U249" s="282" t="str">
        <f>IFERROR(INDEX('G-7 WaterC'' Data'!$H$4:$L$8,MATCH(N249,'G-7 WaterC'' Data'!$B$4:$B$8,0),MATCH(T249,'G-7 WaterC'' Data'!$H$3:$L$3,0)),"")</f>
        <v/>
      </c>
      <c r="V249" s="105"/>
      <c r="W249" s="289" t="str">
        <f>IF(V249="","",IF(VLOOKUP(V249,'G-7 WaterC'' Data'!$AK$4:$AM$6,2,FALSE)=0,"Spatial Data Missing ⚠",VLOOKUP(V249,'G-7 WaterC'' Data'!$AK$4:$AM$6,2,FALSE)))</f>
        <v/>
      </c>
      <c r="X249" s="282" t="str">
        <f>IF(V249="","",IF(VLOOKUP(V249,'G-7 WaterC'' Data'!$AK$4:$AM$6,3,FALSE)=0,"Spatial Data Missing ⚠",VLOOKUP(V249,'G-7 WaterC'' Data'!$AK$4:$AM$6,3,FALSE)))</f>
        <v/>
      </c>
      <c r="Y249" s="281" t="str">
        <f>IFERROR(IF(OR(LEFT(P249,5)="Error",LEFT(O249,5)="Error"),"Check Data ⚠",IF(F249&lt;S249,'G-7 WaterC'' Data'!$R$3,INDEX('G-7 WaterC'' Data'!$U$5:$Y$9,MATCH(G249,'G-7 WaterC'' Data'!$T$5:$T$9,0),MATCH(T249,'G-7 WaterC'' Data'!$U$4:$Y$4,0)))),"")</f>
        <v/>
      </c>
      <c r="Z249" s="137"/>
      <c r="AA249" s="137"/>
      <c r="AB249" s="289" t="str">
        <f t="shared" si="33"/>
        <v/>
      </c>
      <c r="AC249" s="302" t="str">
        <f t="shared" si="34"/>
        <v/>
      </c>
      <c r="AD249" s="340" t="str">
        <f>IFERROR(IF(AC249="Check Data ⚠","Check Data ⚠",VLOOKUP(AC249,'G-4 Temporal multipliers'!$A$4:$C$37,3,FALSE)),"")</f>
        <v/>
      </c>
      <c r="AE249" s="281" t="str">
        <f>IF(N249="","",VLOOKUP(N249,'G-7 WaterC'' Data'!$B$4:$G$8,5,FALSE))</f>
        <v/>
      </c>
      <c r="AF249" s="289" t="str">
        <f t="shared" si="35"/>
        <v/>
      </c>
      <c r="AG249" s="320" t="str">
        <f t="shared" si="36"/>
        <v/>
      </c>
      <c r="AH249" s="282" t="str">
        <f t="shared" si="30"/>
        <v/>
      </c>
      <c r="AI249" s="109"/>
      <c r="AJ249" s="282" t="str">
        <f>IF(AI249="","",IF(AND(AI249="N/A - Culvert",N249&lt;&gt;"Culvert"),"Not possible ▲",IF(VLOOKUP(AI249,'G-7 WaterC'' Data'!$AA$4:$AB$7,2,FALSE)=0,"Spatial Data Missing ⚠",VLOOKUP(AI249,'G-7 WaterC'' Data'!$AA$4:$AB$7,2,FALSE))))</f>
        <v/>
      </c>
      <c r="AK249" s="110"/>
      <c r="AL249" s="282" t="str">
        <f>IF(AK249="","",IF(AND(AK249="N/A - Culvert",N249&lt;&gt;"Culvert"),"Not possible ▲",IF(VLOOKUP(AK249,'G-7 WaterC'' Data'!$AD$4:$AE$14,2,FALSE)=0,"Spatial Data Missing ⚠",VLOOKUP(AK249,'G-7 WaterC'' Data'!$AD$4:$AE$14,2,FALSE))))</f>
        <v/>
      </c>
      <c r="AM249" s="323" t="str">
        <f t="shared" si="37"/>
        <v/>
      </c>
      <c r="AN249" s="105"/>
      <c r="AO249" s="119"/>
      <c r="AP249" s="108"/>
      <c r="AS249" s="30" t="str">
        <f>IF(B249="","",IF(ISNA(VLOOKUP($B249,'C-1 On-Site WaterC'' Baseline'!$C$8:$AD$257,17,FALSE)),"",(VLOOKUP($B249,'C-1 On-Site WaterC'' Baseline'!$C$8:$AD$257,17,FALSE))))</f>
        <v/>
      </c>
      <c r="AT249" s="30" t="str">
        <f>IF(B249="","",VLOOKUP($B249,'C-1 On-Site WaterC'' Baseline'!$C$9:$Z$257,12,FALSE))</f>
        <v/>
      </c>
      <c r="AU249" s="30" t="str">
        <f>IF(B249="","",VLOOKUP($B249,'C-1 On-Site WaterC'' Baseline'!$C$9:$Z$257,14,FALSE))</f>
        <v/>
      </c>
      <c r="AV249" s="30" t="str">
        <f>IFERROR(INDEX('G-7 WaterC'' Data'!$AZ$3:$AZ$7,MATCH(N249,'G-7 WaterC'' Data'!$AY$3:$AY$7,0)),"")</f>
        <v/>
      </c>
      <c r="AX249" s="30" t="str">
        <f>IF(B249="","",VLOOKUP($B249,'C-1 On-Site WaterC'' Baseline'!$C$9:$Y$257,22,FALSE))</f>
        <v/>
      </c>
      <c r="AY249" s="30" t="str">
        <f t="shared" si="38"/>
        <v/>
      </c>
      <c r="AZ249" s="30" t="str">
        <f>IF(B249="","",VLOOKUP($B249,'C-1 On-Site WaterC'' Baseline'!$C$9:$Y$257,21,FALSE))</f>
        <v/>
      </c>
      <c r="BA249" s="30" t="str">
        <f>IF(B249="","",VLOOKUP($B249,'C-1 On-Site WaterC'' Baseline'!$C$9:$Y$257,19,FALSE))</f>
        <v/>
      </c>
      <c r="BD249" s="30" t="str">
        <f t="shared" si="39"/>
        <v>No</v>
      </c>
    </row>
    <row r="250" spans="2:56" ht="13.8" x14ac:dyDescent="0.25">
      <c r="B250" s="311" t="str">
        <f>'C-1 On-Site WaterC'' Baseline'!AP248</f>
        <v/>
      </c>
      <c r="C250" s="301" t="str">
        <f>IF(B250="","",VLOOKUP($B250,'C-1 On-Site WaterC'' Baseline'!$C$9:$R$257,2,FALSE))</f>
        <v/>
      </c>
      <c r="D250" s="301" t="str">
        <f>IF(C250="","",VLOOKUP($B250,'C-1 On-Site WaterC'' Baseline'!$C$9:$R$257,3,FALSE))</f>
        <v/>
      </c>
      <c r="E250" s="301" t="str">
        <f>IF(D250="","",VLOOKUP($B250,'C-1 On-Site WaterC'' Baseline'!$C$9:$R$257,4,FALSE))</f>
        <v/>
      </c>
      <c r="F250" s="301" t="str">
        <f>IF(E250="","",VLOOKUP($B250,'C-1 On-Site WaterC'' Baseline'!$C$9:$R$257,5,FALSE))</f>
        <v/>
      </c>
      <c r="G250" s="301" t="str">
        <f>IF(F250="","",VLOOKUP($B250,'C-1 On-Site WaterC'' Baseline'!$C$9:$R$257,6,FALSE))</f>
        <v/>
      </c>
      <c r="H250" s="301" t="str">
        <f>IF(G250="","",VLOOKUP($B250,'C-1 On-Site WaterC'' Baseline'!$C$9:$R$257,7,FALSE))</f>
        <v/>
      </c>
      <c r="I250" s="301" t="str">
        <f>IF(H250="","",VLOOKUP($B250,'C-1 On-Site WaterC'' Baseline'!$C$9:$R$257,8,FALSE))</f>
        <v/>
      </c>
      <c r="J250" s="301" t="str">
        <f>IF(I250="","",VLOOKUP($B250,'C-1 On-Site WaterC'' Baseline'!$C$9:$R$257,9,FALSE))</f>
        <v/>
      </c>
      <c r="K250" s="301" t="str">
        <f>IF(J250="","",VLOOKUP($B250,'C-1 On-Site WaterC'' Baseline'!$C$9:$R$257,10,FALSE))</f>
        <v/>
      </c>
      <c r="L250" s="301" t="str">
        <f>IF(B250="","",VLOOKUP($B250,'C-1 On-Site WaterC'' Baseline'!$C$9:$R$257,15,FALSE))</f>
        <v/>
      </c>
      <c r="M250" s="305" t="str">
        <f>IF(L250="","",VLOOKUP($B250,'C-1 On-Site WaterC'' Baseline'!$C$9:$R$257,16,FALSE))</f>
        <v/>
      </c>
      <c r="N250" s="251"/>
      <c r="O250" s="281" t="str">
        <f t="shared" si="31"/>
        <v/>
      </c>
      <c r="P250" s="282" t="str">
        <f t="shared" si="32"/>
        <v/>
      </c>
      <c r="Q250" s="342" t="str">
        <f>IF(N250="","",VLOOKUP(B250,'C-1 On-Site WaterC'' Baseline'!$C$10:$AC$257,20,FALSE))</f>
        <v/>
      </c>
      <c r="R250" s="281" t="str">
        <f>IF(N250="","",VLOOKUP(N250,'G-7 WaterC'' Data'!$B$2:$G$8,2,FALSE))</f>
        <v/>
      </c>
      <c r="S250" s="282" t="str">
        <f>IFERROR(VLOOKUP(R250,'G-7 WaterC'' Data'!$C$4:$D$8,2,FALSE),"")</f>
        <v/>
      </c>
      <c r="T250" s="105"/>
      <c r="U250" s="282" t="str">
        <f>IFERROR(INDEX('G-7 WaterC'' Data'!$H$4:$L$8,MATCH(N250,'G-7 WaterC'' Data'!$B$4:$B$8,0),MATCH(T250,'G-7 WaterC'' Data'!$H$3:$L$3,0)),"")</f>
        <v/>
      </c>
      <c r="V250" s="105"/>
      <c r="W250" s="289" t="str">
        <f>IF(V250="","",IF(VLOOKUP(V250,'G-7 WaterC'' Data'!$AK$4:$AM$6,2,FALSE)=0,"Spatial Data Missing ⚠",VLOOKUP(V250,'G-7 WaterC'' Data'!$AK$4:$AM$6,2,FALSE)))</f>
        <v/>
      </c>
      <c r="X250" s="282" t="str">
        <f>IF(V250="","",IF(VLOOKUP(V250,'G-7 WaterC'' Data'!$AK$4:$AM$6,3,FALSE)=0,"Spatial Data Missing ⚠",VLOOKUP(V250,'G-7 WaterC'' Data'!$AK$4:$AM$6,3,FALSE)))</f>
        <v/>
      </c>
      <c r="Y250" s="281" t="str">
        <f>IFERROR(IF(OR(LEFT(P250,5)="Error",LEFT(O250,5)="Error"),"Check Data ⚠",IF(F250&lt;S250,'G-7 WaterC'' Data'!$R$3,INDEX('G-7 WaterC'' Data'!$U$5:$Y$9,MATCH(G250,'G-7 WaterC'' Data'!$T$5:$T$9,0),MATCH(T250,'G-7 WaterC'' Data'!$U$4:$Y$4,0)))),"")</f>
        <v/>
      </c>
      <c r="Z250" s="137"/>
      <c r="AA250" s="137"/>
      <c r="AB250" s="289" t="str">
        <f t="shared" si="33"/>
        <v/>
      </c>
      <c r="AC250" s="302" t="str">
        <f t="shared" si="34"/>
        <v/>
      </c>
      <c r="AD250" s="340" t="str">
        <f>IFERROR(IF(AC250="Check Data ⚠","Check Data ⚠",VLOOKUP(AC250,'G-4 Temporal multipliers'!$A$4:$C$37,3,FALSE)),"")</f>
        <v/>
      </c>
      <c r="AE250" s="281" t="str">
        <f>IF(N250="","",VLOOKUP(N250,'G-7 WaterC'' Data'!$B$4:$G$8,5,FALSE))</f>
        <v/>
      </c>
      <c r="AF250" s="289" t="str">
        <f t="shared" si="35"/>
        <v/>
      </c>
      <c r="AG250" s="320" t="str">
        <f t="shared" si="36"/>
        <v/>
      </c>
      <c r="AH250" s="282" t="str">
        <f t="shared" si="30"/>
        <v/>
      </c>
      <c r="AI250" s="109"/>
      <c r="AJ250" s="282" t="str">
        <f>IF(AI250="","",IF(AND(AI250="N/A - Culvert",N250&lt;&gt;"Culvert"),"Not possible ▲",IF(VLOOKUP(AI250,'G-7 WaterC'' Data'!$AA$4:$AB$7,2,FALSE)=0,"Spatial Data Missing ⚠",VLOOKUP(AI250,'G-7 WaterC'' Data'!$AA$4:$AB$7,2,FALSE))))</f>
        <v/>
      </c>
      <c r="AK250" s="110"/>
      <c r="AL250" s="282" t="str">
        <f>IF(AK250="","",IF(AND(AK250="N/A - Culvert",N250&lt;&gt;"Culvert"),"Not possible ▲",IF(VLOOKUP(AK250,'G-7 WaterC'' Data'!$AD$4:$AE$14,2,FALSE)=0,"Spatial Data Missing ⚠",VLOOKUP(AK250,'G-7 WaterC'' Data'!$AD$4:$AE$14,2,FALSE))))</f>
        <v/>
      </c>
      <c r="AM250" s="323" t="str">
        <f t="shared" si="37"/>
        <v/>
      </c>
      <c r="AN250" s="105"/>
      <c r="AO250" s="119"/>
      <c r="AP250" s="108"/>
      <c r="AS250" s="30" t="str">
        <f>IF(B250="","",IF(ISNA(VLOOKUP($B250,'C-1 On-Site WaterC'' Baseline'!$C$8:$AD$257,17,FALSE)),"",(VLOOKUP($B250,'C-1 On-Site WaterC'' Baseline'!$C$8:$AD$257,17,FALSE))))</f>
        <v/>
      </c>
      <c r="AT250" s="30" t="str">
        <f>IF(B250="","",VLOOKUP($B250,'C-1 On-Site WaterC'' Baseline'!$C$9:$Z$257,12,FALSE))</f>
        <v/>
      </c>
      <c r="AU250" s="30" t="str">
        <f>IF(B250="","",VLOOKUP($B250,'C-1 On-Site WaterC'' Baseline'!$C$9:$Z$257,14,FALSE))</f>
        <v/>
      </c>
      <c r="AV250" s="30" t="str">
        <f>IFERROR(INDEX('G-7 WaterC'' Data'!$AZ$3:$AZ$7,MATCH(N250,'G-7 WaterC'' Data'!$AY$3:$AY$7,0)),"")</f>
        <v/>
      </c>
      <c r="AX250" s="30" t="str">
        <f>IF(B250="","",VLOOKUP($B250,'C-1 On-Site WaterC'' Baseline'!$C$9:$Y$257,22,FALSE))</f>
        <v/>
      </c>
      <c r="AY250" s="30" t="str">
        <f t="shared" si="38"/>
        <v/>
      </c>
      <c r="AZ250" s="30" t="str">
        <f>IF(B250="","",VLOOKUP($B250,'C-1 On-Site WaterC'' Baseline'!$C$9:$Y$257,21,FALSE))</f>
        <v/>
      </c>
      <c r="BA250" s="30" t="str">
        <f>IF(B250="","",VLOOKUP($B250,'C-1 On-Site WaterC'' Baseline'!$C$9:$Y$257,19,FALSE))</f>
        <v/>
      </c>
      <c r="BD250" s="30" t="str">
        <f t="shared" si="39"/>
        <v>No</v>
      </c>
    </row>
    <row r="251" spans="2:56" ht="13.8" x14ac:dyDescent="0.25">
      <c r="B251" s="311" t="str">
        <f>'C-1 On-Site WaterC'' Baseline'!AP249</f>
        <v/>
      </c>
      <c r="C251" s="301" t="str">
        <f>IF(B251="","",VLOOKUP($B251,'C-1 On-Site WaterC'' Baseline'!$C$9:$R$257,2,FALSE))</f>
        <v/>
      </c>
      <c r="D251" s="301" t="str">
        <f>IF(C251="","",VLOOKUP($B251,'C-1 On-Site WaterC'' Baseline'!$C$9:$R$257,3,FALSE))</f>
        <v/>
      </c>
      <c r="E251" s="301" t="str">
        <f>IF(D251="","",VLOOKUP($B251,'C-1 On-Site WaterC'' Baseline'!$C$9:$R$257,4,FALSE))</f>
        <v/>
      </c>
      <c r="F251" s="301" t="str">
        <f>IF(E251="","",VLOOKUP($B251,'C-1 On-Site WaterC'' Baseline'!$C$9:$R$257,5,FALSE))</f>
        <v/>
      </c>
      <c r="G251" s="301" t="str">
        <f>IF(F251="","",VLOOKUP($B251,'C-1 On-Site WaterC'' Baseline'!$C$9:$R$257,6,FALSE))</f>
        <v/>
      </c>
      <c r="H251" s="301" t="str">
        <f>IF(G251="","",VLOOKUP($B251,'C-1 On-Site WaterC'' Baseline'!$C$9:$R$257,7,FALSE))</f>
        <v/>
      </c>
      <c r="I251" s="301" t="str">
        <f>IF(H251="","",VLOOKUP($B251,'C-1 On-Site WaterC'' Baseline'!$C$9:$R$257,8,FALSE))</f>
        <v/>
      </c>
      <c r="J251" s="301" t="str">
        <f>IF(I251="","",VLOOKUP($B251,'C-1 On-Site WaterC'' Baseline'!$C$9:$R$257,9,FALSE))</f>
        <v/>
      </c>
      <c r="K251" s="301" t="str">
        <f>IF(J251="","",VLOOKUP($B251,'C-1 On-Site WaterC'' Baseline'!$C$9:$R$257,10,FALSE))</f>
        <v/>
      </c>
      <c r="L251" s="301" t="str">
        <f>IF(B251="","",VLOOKUP($B251,'C-1 On-Site WaterC'' Baseline'!$C$9:$R$257,15,FALSE))</f>
        <v/>
      </c>
      <c r="M251" s="305" t="str">
        <f>IF(L251="","",VLOOKUP($B251,'C-1 On-Site WaterC'' Baseline'!$C$9:$R$257,16,FALSE))</f>
        <v/>
      </c>
      <c r="N251" s="251"/>
      <c r="O251" s="281" t="str">
        <f t="shared" si="31"/>
        <v/>
      </c>
      <c r="P251" s="282" t="str">
        <f t="shared" si="32"/>
        <v/>
      </c>
      <c r="Q251" s="342" t="str">
        <f>IF(N251="","",VLOOKUP(B251,'C-1 On-Site WaterC'' Baseline'!$C$10:$AC$257,20,FALSE))</f>
        <v/>
      </c>
      <c r="R251" s="281" t="str">
        <f>IF(N251="","",VLOOKUP(N251,'G-7 WaterC'' Data'!$B$2:$G$8,2,FALSE))</f>
        <v/>
      </c>
      <c r="S251" s="282" t="str">
        <f>IFERROR(VLOOKUP(R251,'G-7 WaterC'' Data'!$C$4:$D$8,2,FALSE),"")</f>
        <v/>
      </c>
      <c r="T251" s="105"/>
      <c r="U251" s="282" t="str">
        <f>IFERROR(INDEX('G-7 WaterC'' Data'!$H$4:$L$8,MATCH(N251,'G-7 WaterC'' Data'!$B$4:$B$8,0),MATCH(T251,'G-7 WaterC'' Data'!$H$3:$L$3,0)),"")</f>
        <v/>
      </c>
      <c r="V251" s="105"/>
      <c r="W251" s="289" t="str">
        <f>IF(V251="","",IF(VLOOKUP(V251,'G-7 WaterC'' Data'!$AK$4:$AM$6,2,FALSE)=0,"Spatial Data Missing ⚠",VLOOKUP(V251,'G-7 WaterC'' Data'!$AK$4:$AM$6,2,FALSE)))</f>
        <v/>
      </c>
      <c r="X251" s="282" t="str">
        <f>IF(V251="","",IF(VLOOKUP(V251,'G-7 WaterC'' Data'!$AK$4:$AM$6,3,FALSE)=0,"Spatial Data Missing ⚠",VLOOKUP(V251,'G-7 WaterC'' Data'!$AK$4:$AM$6,3,FALSE)))</f>
        <v/>
      </c>
      <c r="Y251" s="281" t="str">
        <f>IFERROR(IF(OR(LEFT(P251,5)="Error",LEFT(O251,5)="Error"),"Check Data ⚠",IF(F251&lt;S251,'G-7 WaterC'' Data'!$R$3,INDEX('G-7 WaterC'' Data'!$U$5:$Y$9,MATCH(G251,'G-7 WaterC'' Data'!$T$5:$T$9,0),MATCH(T251,'G-7 WaterC'' Data'!$U$4:$Y$4,0)))),"")</f>
        <v/>
      </c>
      <c r="Z251" s="137"/>
      <c r="AA251" s="137"/>
      <c r="AB251" s="289" t="str">
        <f t="shared" si="33"/>
        <v/>
      </c>
      <c r="AC251" s="302" t="str">
        <f t="shared" si="34"/>
        <v/>
      </c>
      <c r="AD251" s="340" t="str">
        <f>IFERROR(IF(AC251="Check Data ⚠","Check Data ⚠",VLOOKUP(AC251,'G-4 Temporal multipliers'!$A$4:$C$37,3,FALSE)),"")</f>
        <v/>
      </c>
      <c r="AE251" s="281" t="str">
        <f>IF(N251="","",VLOOKUP(N251,'G-7 WaterC'' Data'!$B$4:$G$8,5,FALSE))</f>
        <v/>
      </c>
      <c r="AF251" s="289" t="str">
        <f t="shared" si="35"/>
        <v/>
      </c>
      <c r="AG251" s="320" t="str">
        <f t="shared" si="36"/>
        <v/>
      </c>
      <c r="AH251" s="282" t="str">
        <f t="shared" si="30"/>
        <v/>
      </c>
      <c r="AI251" s="109"/>
      <c r="AJ251" s="282" t="str">
        <f>IF(AI251="","",IF(AND(AI251="N/A - Culvert",N251&lt;&gt;"Culvert"),"Not possible ▲",IF(VLOOKUP(AI251,'G-7 WaterC'' Data'!$AA$4:$AB$7,2,FALSE)=0,"Spatial Data Missing ⚠",VLOOKUP(AI251,'G-7 WaterC'' Data'!$AA$4:$AB$7,2,FALSE))))</f>
        <v/>
      </c>
      <c r="AK251" s="110"/>
      <c r="AL251" s="282" t="str">
        <f>IF(AK251="","",IF(AND(AK251="N/A - Culvert",N251&lt;&gt;"Culvert"),"Not possible ▲",IF(VLOOKUP(AK251,'G-7 WaterC'' Data'!$AD$4:$AE$14,2,FALSE)=0,"Spatial Data Missing ⚠",VLOOKUP(AK251,'G-7 WaterC'' Data'!$AD$4:$AE$14,2,FALSE))))</f>
        <v/>
      </c>
      <c r="AM251" s="323" t="str">
        <f t="shared" si="37"/>
        <v/>
      </c>
      <c r="AN251" s="105"/>
      <c r="AO251" s="119"/>
      <c r="AP251" s="108"/>
      <c r="AS251" s="30" t="str">
        <f>IF(B251="","",IF(ISNA(VLOOKUP($B251,'C-1 On-Site WaterC'' Baseline'!$C$8:$AD$257,17,FALSE)),"",(VLOOKUP($B251,'C-1 On-Site WaterC'' Baseline'!$C$8:$AD$257,17,FALSE))))</f>
        <v/>
      </c>
      <c r="AT251" s="30" t="str">
        <f>IF(B251="","",VLOOKUP($B251,'C-1 On-Site WaterC'' Baseline'!$C$9:$Z$257,12,FALSE))</f>
        <v/>
      </c>
      <c r="AU251" s="30" t="str">
        <f>IF(B251="","",VLOOKUP($B251,'C-1 On-Site WaterC'' Baseline'!$C$9:$Z$257,14,FALSE))</f>
        <v/>
      </c>
      <c r="AV251" s="30" t="str">
        <f>IFERROR(INDEX('G-7 WaterC'' Data'!$AZ$3:$AZ$7,MATCH(N251,'G-7 WaterC'' Data'!$AY$3:$AY$7,0)),"")</f>
        <v/>
      </c>
      <c r="AX251" s="30" t="str">
        <f>IF(B251="","",VLOOKUP($B251,'C-1 On-Site WaterC'' Baseline'!$C$9:$Y$257,22,FALSE))</f>
        <v/>
      </c>
      <c r="AY251" s="30" t="str">
        <f t="shared" si="38"/>
        <v/>
      </c>
      <c r="AZ251" s="30" t="str">
        <f>IF(B251="","",VLOOKUP($B251,'C-1 On-Site WaterC'' Baseline'!$C$9:$Y$257,21,FALSE))</f>
        <v/>
      </c>
      <c r="BA251" s="30" t="str">
        <f>IF(B251="","",VLOOKUP($B251,'C-1 On-Site WaterC'' Baseline'!$C$9:$Y$257,19,FALSE))</f>
        <v/>
      </c>
      <c r="BD251" s="30" t="str">
        <f t="shared" si="39"/>
        <v>No</v>
      </c>
    </row>
    <row r="252" spans="2:56" ht="13.8" x14ac:dyDescent="0.25">
      <c r="B252" s="311" t="str">
        <f>'C-1 On-Site WaterC'' Baseline'!AP250</f>
        <v/>
      </c>
      <c r="C252" s="301" t="str">
        <f>IF(B252="","",VLOOKUP($B252,'C-1 On-Site WaterC'' Baseline'!$C$9:$R$257,2,FALSE))</f>
        <v/>
      </c>
      <c r="D252" s="301" t="str">
        <f>IF(C252="","",VLOOKUP($B252,'C-1 On-Site WaterC'' Baseline'!$C$9:$R$257,3,FALSE))</f>
        <v/>
      </c>
      <c r="E252" s="301" t="str">
        <f>IF(D252="","",VLOOKUP($B252,'C-1 On-Site WaterC'' Baseline'!$C$9:$R$257,4,FALSE))</f>
        <v/>
      </c>
      <c r="F252" s="301" t="str">
        <f>IF(E252="","",VLOOKUP($B252,'C-1 On-Site WaterC'' Baseline'!$C$9:$R$257,5,FALSE))</f>
        <v/>
      </c>
      <c r="G252" s="301" t="str">
        <f>IF(F252="","",VLOOKUP($B252,'C-1 On-Site WaterC'' Baseline'!$C$9:$R$257,6,FALSE))</f>
        <v/>
      </c>
      <c r="H252" s="301" t="str">
        <f>IF(G252="","",VLOOKUP($B252,'C-1 On-Site WaterC'' Baseline'!$C$9:$R$257,7,FALSE))</f>
        <v/>
      </c>
      <c r="I252" s="301" t="str">
        <f>IF(H252="","",VLOOKUP($B252,'C-1 On-Site WaterC'' Baseline'!$C$9:$R$257,8,FALSE))</f>
        <v/>
      </c>
      <c r="J252" s="301" t="str">
        <f>IF(I252="","",VLOOKUP($B252,'C-1 On-Site WaterC'' Baseline'!$C$9:$R$257,9,FALSE))</f>
        <v/>
      </c>
      <c r="K252" s="301" t="str">
        <f>IF(J252="","",VLOOKUP($B252,'C-1 On-Site WaterC'' Baseline'!$C$9:$R$257,10,FALSE))</f>
        <v/>
      </c>
      <c r="L252" s="301" t="str">
        <f>IF(B252="","",VLOOKUP($B252,'C-1 On-Site WaterC'' Baseline'!$C$9:$R$257,15,FALSE))</f>
        <v/>
      </c>
      <c r="M252" s="305" t="str">
        <f>IF(L252="","",VLOOKUP($B252,'C-1 On-Site WaterC'' Baseline'!$C$9:$R$257,16,FALSE))</f>
        <v/>
      </c>
      <c r="N252" s="251"/>
      <c r="O252" s="281" t="str">
        <f t="shared" si="31"/>
        <v/>
      </c>
      <c r="P252" s="282" t="str">
        <f t="shared" si="32"/>
        <v/>
      </c>
      <c r="Q252" s="342" t="str">
        <f>IF(N252="","",VLOOKUP(B252,'C-1 On-Site WaterC'' Baseline'!$C$10:$AC$257,20,FALSE))</f>
        <v/>
      </c>
      <c r="R252" s="281" t="str">
        <f>IF(N252="","",VLOOKUP(N252,'G-7 WaterC'' Data'!$B$2:$G$8,2,FALSE))</f>
        <v/>
      </c>
      <c r="S252" s="282" t="str">
        <f>IFERROR(VLOOKUP(R252,'G-7 WaterC'' Data'!$C$4:$D$8,2,FALSE),"")</f>
        <v/>
      </c>
      <c r="T252" s="105"/>
      <c r="U252" s="282" t="str">
        <f>IFERROR(INDEX('G-7 WaterC'' Data'!$H$4:$L$8,MATCH(N252,'G-7 WaterC'' Data'!$B$4:$B$8,0),MATCH(T252,'G-7 WaterC'' Data'!$H$3:$L$3,0)),"")</f>
        <v/>
      </c>
      <c r="V252" s="105"/>
      <c r="W252" s="289" t="str">
        <f>IF(V252="","",IF(VLOOKUP(V252,'G-7 WaterC'' Data'!$AK$4:$AM$6,2,FALSE)=0,"Spatial Data Missing ⚠",VLOOKUP(V252,'G-7 WaterC'' Data'!$AK$4:$AM$6,2,FALSE)))</f>
        <v/>
      </c>
      <c r="X252" s="282" t="str">
        <f>IF(V252="","",IF(VLOOKUP(V252,'G-7 WaterC'' Data'!$AK$4:$AM$6,3,FALSE)=0,"Spatial Data Missing ⚠",VLOOKUP(V252,'G-7 WaterC'' Data'!$AK$4:$AM$6,3,FALSE)))</f>
        <v/>
      </c>
      <c r="Y252" s="281" t="str">
        <f>IFERROR(IF(OR(LEFT(P252,5)="Error",LEFT(O252,5)="Error"),"Check Data ⚠",IF(F252&lt;S252,'G-7 WaterC'' Data'!$R$3,INDEX('G-7 WaterC'' Data'!$U$5:$Y$9,MATCH(G252,'G-7 WaterC'' Data'!$T$5:$T$9,0),MATCH(T252,'G-7 WaterC'' Data'!$U$4:$Y$4,0)))),"")</f>
        <v/>
      </c>
      <c r="Z252" s="137"/>
      <c r="AA252" s="137"/>
      <c r="AB252" s="289" t="str">
        <f t="shared" si="33"/>
        <v/>
      </c>
      <c r="AC252" s="302" t="str">
        <f t="shared" si="34"/>
        <v/>
      </c>
      <c r="AD252" s="340" t="str">
        <f>IFERROR(IF(AC252="Check Data ⚠","Check Data ⚠",VLOOKUP(AC252,'G-4 Temporal multipliers'!$A$4:$C$37,3,FALSE)),"")</f>
        <v/>
      </c>
      <c r="AE252" s="281" t="str">
        <f>IF(N252="","",VLOOKUP(N252,'G-7 WaterC'' Data'!$B$4:$G$8,5,FALSE))</f>
        <v/>
      </c>
      <c r="AF252" s="289" t="str">
        <f t="shared" si="35"/>
        <v/>
      </c>
      <c r="AG252" s="320" t="str">
        <f t="shared" si="36"/>
        <v/>
      </c>
      <c r="AH252" s="282" t="str">
        <f t="shared" si="30"/>
        <v/>
      </c>
      <c r="AI252" s="109"/>
      <c r="AJ252" s="282" t="str">
        <f>IF(AI252="","",IF(AND(AI252="N/A - Culvert",N252&lt;&gt;"Culvert"),"Not possible ▲",IF(VLOOKUP(AI252,'G-7 WaterC'' Data'!$AA$4:$AB$7,2,FALSE)=0,"Spatial Data Missing ⚠",VLOOKUP(AI252,'G-7 WaterC'' Data'!$AA$4:$AB$7,2,FALSE))))</f>
        <v/>
      </c>
      <c r="AK252" s="110"/>
      <c r="AL252" s="282" t="str">
        <f>IF(AK252="","",IF(AND(AK252="N/A - Culvert",N252&lt;&gt;"Culvert"),"Not possible ▲",IF(VLOOKUP(AK252,'G-7 WaterC'' Data'!$AD$4:$AE$14,2,FALSE)=0,"Spatial Data Missing ⚠",VLOOKUP(AK252,'G-7 WaterC'' Data'!$AD$4:$AE$14,2,FALSE))))</f>
        <v/>
      </c>
      <c r="AM252" s="323" t="str">
        <f t="shared" si="37"/>
        <v/>
      </c>
      <c r="AN252" s="105"/>
      <c r="AO252" s="119"/>
      <c r="AP252" s="108"/>
      <c r="AS252" s="30" t="str">
        <f>IF(B252="","",IF(ISNA(VLOOKUP($B252,'C-1 On-Site WaterC'' Baseline'!$C$8:$AD$257,17,FALSE)),"",(VLOOKUP($B252,'C-1 On-Site WaterC'' Baseline'!$C$8:$AD$257,17,FALSE))))</f>
        <v/>
      </c>
      <c r="AT252" s="30" t="str">
        <f>IF(B252="","",VLOOKUP($B252,'C-1 On-Site WaterC'' Baseline'!$C$9:$Z$257,12,FALSE))</f>
        <v/>
      </c>
      <c r="AU252" s="30" t="str">
        <f>IF(B252="","",VLOOKUP($B252,'C-1 On-Site WaterC'' Baseline'!$C$9:$Z$257,14,FALSE))</f>
        <v/>
      </c>
      <c r="AV252" s="30" t="str">
        <f>IFERROR(INDEX('G-7 WaterC'' Data'!$AZ$3:$AZ$7,MATCH(N252,'G-7 WaterC'' Data'!$AY$3:$AY$7,0)),"")</f>
        <v/>
      </c>
      <c r="AX252" s="30" t="str">
        <f>IF(B252="","",VLOOKUP($B252,'C-1 On-Site WaterC'' Baseline'!$C$9:$Y$257,22,FALSE))</f>
        <v/>
      </c>
      <c r="AY252" s="30" t="str">
        <f t="shared" si="38"/>
        <v/>
      </c>
      <c r="AZ252" s="30" t="str">
        <f>IF(B252="","",VLOOKUP($B252,'C-1 On-Site WaterC'' Baseline'!$C$9:$Y$257,21,FALSE))</f>
        <v/>
      </c>
      <c r="BA252" s="30" t="str">
        <f>IF(B252="","",VLOOKUP($B252,'C-1 On-Site WaterC'' Baseline'!$C$9:$Y$257,19,FALSE))</f>
        <v/>
      </c>
      <c r="BD252" s="30" t="str">
        <f t="shared" si="39"/>
        <v>No</v>
      </c>
    </row>
    <row r="253" spans="2:56" ht="13.8" x14ac:dyDescent="0.25">
      <c r="B253" s="311" t="str">
        <f>'C-1 On-Site WaterC'' Baseline'!AP251</f>
        <v/>
      </c>
      <c r="C253" s="301" t="str">
        <f>IF(B253="","",VLOOKUP($B253,'C-1 On-Site WaterC'' Baseline'!$C$9:$R$257,2,FALSE))</f>
        <v/>
      </c>
      <c r="D253" s="301" t="str">
        <f>IF(C253="","",VLOOKUP($B253,'C-1 On-Site WaterC'' Baseline'!$C$9:$R$257,3,FALSE))</f>
        <v/>
      </c>
      <c r="E253" s="301" t="str">
        <f>IF(D253="","",VLOOKUP($B253,'C-1 On-Site WaterC'' Baseline'!$C$9:$R$257,4,FALSE))</f>
        <v/>
      </c>
      <c r="F253" s="301" t="str">
        <f>IF(E253="","",VLOOKUP($B253,'C-1 On-Site WaterC'' Baseline'!$C$9:$R$257,5,FALSE))</f>
        <v/>
      </c>
      <c r="G253" s="301" t="str">
        <f>IF(F253="","",VLOOKUP($B253,'C-1 On-Site WaterC'' Baseline'!$C$9:$R$257,6,FALSE))</f>
        <v/>
      </c>
      <c r="H253" s="301" t="str">
        <f>IF(G253="","",VLOOKUP($B253,'C-1 On-Site WaterC'' Baseline'!$C$9:$R$257,7,FALSE))</f>
        <v/>
      </c>
      <c r="I253" s="301" t="str">
        <f>IF(H253="","",VLOOKUP($B253,'C-1 On-Site WaterC'' Baseline'!$C$9:$R$257,8,FALSE))</f>
        <v/>
      </c>
      <c r="J253" s="301" t="str">
        <f>IF(I253="","",VLOOKUP($B253,'C-1 On-Site WaterC'' Baseline'!$C$9:$R$257,9,FALSE))</f>
        <v/>
      </c>
      <c r="K253" s="301" t="str">
        <f>IF(J253="","",VLOOKUP($B253,'C-1 On-Site WaterC'' Baseline'!$C$9:$R$257,10,FALSE))</f>
        <v/>
      </c>
      <c r="L253" s="301" t="str">
        <f>IF(B253="","",VLOOKUP($B253,'C-1 On-Site WaterC'' Baseline'!$C$9:$R$257,15,FALSE))</f>
        <v/>
      </c>
      <c r="M253" s="305" t="str">
        <f>IF(L253="","",VLOOKUP($B253,'C-1 On-Site WaterC'' Baseline'!$C$9:$R$257,16,FALSE))</f>
        <v/>
      </c>
      <c r="N253" s="251"/>
      <c r="O253" s="281" t="str">
        <f t="shared" si="31"/>
        <v/>
      </c>
      <c r="P253" s="282" t="str">
        <f t="shared" si="32"/>
        <v/>
      </c>
      <c r="Q253" s="342" t="str">
        <f>IF(N253="","",VLOOKUP(B253,'C-1 On-Site WaterC'' Baseline'!$C$10:$AC$257,20,FALSE))</f>
        <v/>
      </c>
      <c r="R253" s="281" t="str">
        <f>IF(N253="","",VLOOKUP(N253,'G-7 WaterC'' Data'!$B$2:$G$8,2,FALSE))</f>
        <v/>
      </c>
      <c r="S253" s="282" t="str">
        <f>IFERROR(VLOOKUP(R253,'G-7 WaterC'' Data'!$C$4:$D$8,2,FALSE),"")</f>
        <v/>
      </c>
      <c r="T253" s="105"/>
      <c r="U253" s="282" t="str">
        <f>IFERROR(INDEX('G-7 WaterC'' Data'!$H$4:$L$8,MATCH(N253,'G-7 WaterC'' Data'!$B$4:$B$8,0),MATCH(T253,'G-7 WaterC'' Data'!$H$3:$L$3,0)),"")</f>
        <v/>
      </c>
      <c r="V253" s="105"/>
      <c r="W253" s="289" t="str">
        <f>IF(V253="","",IF(VLOOKUP(V253,'G-7 WaterC'' Data'!$AK$4:$AM$6,2,FALSE)=0,"Spatial Data Missing ⚠",VLOOKUP(V253,'G-7 WaterC'' Data'!$AK$4:$AM$6,2,FALSE)))</f>
        <v/>
      </c>
      <c r="X253" s="282" t="str">
        <f>IF(V253="","",IF(VLOOKUP(V253,'G-7 WaterC'' Data'!$AK$4:$AM$6,3,FALSE)=0,"Spatial Data Missing ⚠",VLOOKUP(V253,'G-7 WaterC'' Data'!$AK$4:$AM$6,3,FALSE)))</f>
        <v/>
      </c>
      <c r="Y253" s="281" t="str">
        <f>IFERROR(IF(OR(LEFT(P253,5)="Error",LEFT(O253,5)="Error"),"Check Data ⚠",IF(F253&lt;S253,'G-7 WaterC'' Data'!$R$3,INDEX('G-7 WaterC'' Data'!$U$5:$Y$9,MATCH(G253,'G-7 WaterC'' Data'!$T$5:$T$9,0),MATCH(T253,'G-7 WaterC'' Data'!$U$4:$Y$4,0)))),"")</f>
        <v/>
      </c>
      <c r="Z253" s="137"/>
      <c r="AA253" s="137"/>
      <c r="AB253" s="289" t="str">
        <f t="shared" si="33"/>
        <v/>
      </c>
      <c r="AC253" s="302" t="str">
        <f t="shared" si="34"/>
        <v/>
      </c>
      <c r="AD253" s="340" t="str">
        <f>IFERROR(IF(AC253="Check Data ⚠","Check Data ⚠",VLOOKUP(AC253,'G-4 Temporal multipliers'!$A$4:$C$37,3,FALSE)),"")</f>
        <v/>
      </c>
      <c r="AE253" s="281" t="str">
        <f>IF(N253="","",VLOOKUP(N253,'G-7 WaterC'' Data'!$B$4:$G$8,5,FALSE))</f>
        <v/>
      </c>
      <c r="AF253" s="289" t="str">
        <f t="shared" si="35"/>
        <v/>
      </c>
      <c r="AG253" s="320" t="str">
        <f t="shared" si="36"/>
        <v/>
      </c>
      <c r="AH253" s="282" t="str">
        <f t="shared" si="30"/>
        <v/>
      </c>
      <c r="AI253" s="109"/>
      <c r="AJ253" s="282" t="str">
        <f>IF(AI253="","",IF(AND(AI253="N/A - Culvert",N253&lt;&gt;"Culvert"),"Not possible ▲",IF(VLOOKUP(AI253,'G-7 WaterC'' Data'!$AA$4:$AB$7,2,FALSE)=0,"Spatial Data Missing ⚠",VLOOKUP(AI253,'G-7 WaterC'' Data'!$AA$4:$AB$7,2,FALSE))))</f>
        <v/>
      </c>
      <c r="AK253" s="110"/>
      <c r="AL253" s="282" t="str">
        <f>IF(AK253="","",IF(AND(AK253="N/A - Culvert",N253&lt;&gt;"Culvert"),"Not possible ▲",IF(VLOOKUP(AK253,'G-7 WaterC'' Data'!$AD$4:$AE$14,2,FALSE)=0,"Spatial Data Missing ⚠",VLOOKUP(AK253,'G-7 WaterC'' Data'!$AD$4:$AE$14,2,FALSE))))</f>
        <v/>
      </c>
      <c r="AM253" s="323" t="str">
        <f t="shared" si="37"/>
        <v/>
      </c>
      <c r="AN253" s="105"/>
      <c r="AO253" s="119"/>
      <c r="AP253" s="108"/>
      <c r="AS253" s="30" t="str">
        <f>IF(B253="","",IF(ISNA(VLOOKUP($B253,'C-1 On-Site WaterC'' Baseline'!$C$8:$AD$257,17,FALSE)),"",(VLOOKUP($B253,'C-1 On-Site WaterC'' Baseline'!$C$8:$AD$257,17,FALSE))))</f>
        <v/>
      </c>
      <c r="AT253" s="30" t="str">
        <f>IF(B253="","",VLOOKUP($B253,'C-1 On-Site WaterC'' Baseline'!$C$9:$Z$257,12,FALSE))</f>
        <v/>
      </c>
      <c r="AU253" s="30" t="str">
        <f>IF(B253="","",VLOOKUP($B253,'C-1 On-Site WaterC'' Baseline'!$C$9:$Z$257,14,FALSE))</f>
        <v/>
      </c>
      <c r="AV253" s="30" t="str">
        <f>IFERROR(INDEX('G-7 WaterC'' Data'!$AZ$3:$AZ$7,MATCH(N253,'G-7 WaterC'' Data'!$AY$3:$AY$7,0)),"")</f>
        <v/>
      </c>
      <c r="AX253" s="30" t="str">
        <f>IF(B253="","",VLOOKUP($B253,'C-1 On-Site WaterC'' Baseline'!$C$9:$Y$257,22,FALSE))</f>
        <v/>
      </c>
      <c r="AY253" s="30" t="str">
        <f t="shared" si="38"/>
        <v/>
      </c>
      <c r="AZ253" s="30" t="str">
        <f>IF(B253="","",VLOOKUP($B253,'C-1 On-Site WaterC'' Baseline'!$C$9:$Y$257,21,FALSE))</f>
        <v/>
      </c>
      <c r="BA253" s="30" t="str">
        <f>IF(B253="","",VLOOKUP($B253,'C-1 On-Site WaterC'' Baseline'!$C$9:$Y$257,19,FALSE))</f>
        <v/>
      </c>
      <c r="BD253" s="30" t="str">
        <f t="shared" si="39"/>
        <v>No</v>
      </c>
    </row>
    <row r="254" spans="2:56" ht="13.8" x14ac:dyDescent="0.25">
      <c r="B254" s="311" t="str">
        <f>'C-1 On-Site WaterC'' Baseline'!AP252</f>
        <v/>
      </c>
      <c r="C254" s="301" t="str">
        <f>IF(B254="","",VLOOKUP($B254,'C-1 On-Site WaterC'' Baseline'!$C$9:$R$257,2,FALSE))</f>
        <v/>
      </c>
      <c r="D254" s="301" t="str">
        <f>IF(C254="","",VLOOKUP($B254,'C-1 On-Site WaterC'' Baseline'!$C$9:$R$257,3,FALSE))</f>
        <v/>
      </c>
      <c r="E254" s="301" t="str">
        <f>IF(D254="","",VLOOKUP($B254,'C-1 On-Site WaterC'' Baseline'!$C$9:$R$257,4,FALSE))</f>
        <v/>
      </c>
      <c r="F254" s="301" t="str">
        <f>IF(E254="","",VLOOKUP($B254,'C-1 On-Site WaterC'' Baseline'!$C$9:$R$257,5,FALSE))</f>
        <v/>
      </c>
      <c r="G254" s="301" t="str">
        <f>IF(F254="","",VLOOKUP($B254,'C-1 On-Site WaterC'' Baseline'!$C$9:$R$257,6,FALSE))</f>
        <v/>
      </c>
      <c r="H254" s="301" t="str">
        <f>IF(G254="","",VLOOKUP($B254,'C-1 On-Site WaterC'' Baseline'!$C$9:$R$257,7,FALSE))</f>
        <v/>
      </c>
      <c r="I254" s="301" t="str">
        <f>IF(H254="","",VLOOKUP($B254,'C-1 On-Site WaterC'' Baseline'!$C$9:$R$257,8,FALSE))</f>
        <v/>
      </c>
      <c r="J254" s="301" t="str">
        <f>IF(I254="","",VLOOKUP($B254,'C-1 On-Site WaterC'' Baseline'!$C$9:$R$257,9,FALSE))</f>
        <v/>
      </c>
      <c r="K254" s="301" t="str">
        <f>IF(J254="","",VLOOKUP($B254,'C-1 On-Site WaterC'' Baseline'!$C$9:$R$257,10,FALSE))</f>
        <v/>
      </c>
      <c r="L254" s="301" t="str">
        <f>IF(B254="","",VLOOKUP($B254,'C-1 On-Site WaterC'' Baseline'!$C$9:$R$257,15,FALSE))</f>
        <v/>
      </c>
      <c r="M254" s="305" t="str">
        <f>IF(L254="","",VLOOKUP($B254,'C-1 On-Site WaterC'' Baseline'!$C$9:$R$257,16,FALSE))</f>
        <v/>
      </c>
      <c r="N254" s="251"/>
      <c r="O254" s="281" t="str">
        <f t="shared" si="31"/>
        <v/>
      </c>
      <c r="P254" s="282" t="str">
        <f t="shared" si="32"/>
        <v/>
      </c>
      <c r="Q254" s="342" t="str">
        <f>IF(N254="","",VLOOKUP(B254,'C-1 On-Site WaterC'' Baseline'!$C$10:$AC$257,20,FALSE))</f>
        <v/>
      </c>
      <c r="R254" s="281" t="str">
        <f>IF(N254="","",VLOOKUP(N254,'G-7 WaterC'' Data'!$B$2:$G$8,2,FALSE))</f>
        <v/>
      </c>
      <c r="S254" s="282" t="str">
        <f>IFERROR(VLOOKUP(R254,'G-7 WaterC'' Data'!$C$4:$D$8,2,FALSE),"")</f>
        <v/>
      </c>
      <c r="T254" s="105"/>
      <c r="U254" s="282" t="str">
        <f>IFERROR(INDEX('G-7 WaterC'' Data'!$H$4:$L$8,MATCH(N254,'G-7 WaterC'' Data'!$B$4:$B$8,0),MATCH(T254,'G-7 WaterC'' Data'!$H$3:$L$3,0)),"")</f>
        <v/>
      </c>
      <c r="V254" s="105"/>
      <c r="W254" s="289" t="str">
        <f>IF(V254="","",IF(VLOOKUP(V254,'G-7 WaterC'' Data'!$AK$4:$AM$6,2,FALSE)=0,"Spatial Data Missing ⚠",VLOOKUP(V254,'G-7 WaterC'' Data'!$AK$4:$AM$6,2,FALSE)))</f>
        <v/>
      </c>
      <c r="X254" s="282" t="str">
        <f>IF(V254="","",IF(VLOOKUP(V254,'G-7 WaterC'' Data'!$AK$4:$AM$6,3,FALSE)=0,"Spatial Data Missing ⚠",VLOOKUP(V254,'G-7 WaterC'' Data'!$AK$4:$AM$6,3,FALSE)))</f>
        <v/>
      </c>
      <c r="Y254" s="281" t="str">
        <f>IFERROR(IF(OR(LEFT(P254,5)="Error",LEFT(O254,5)="Error"),"Check Data ⚠",IF(F254&lt;S254,'G-7 WaterC'' Data'!$R$3,INDEX('G-7 WaterC'' Data'!$U$5:$Y$9,MATCH(G254,'G-7 WaterC'' Data'!$T$5:$T$9,0),MATCH(T254,'G-7 WaterC'' Data'!$U$4:$Y$4,0)))),"")</f>
        <v/>
      </c>
      <c r="Z254" s="137"/>
      <c r="AA254" s="137"/>
      <c r="AB254" s="289" t="str">
        <f t="shared" si="33"/>
        <v/>
      </c>
      <c r="AC254" s="302" t="str">
        <f t="shared" si="34"/>
        <v/>
      </c>
      <c r="AD254" s="340" t="str">
        <f>IFERROR(IF(AC254="Check Data ⚠","Check Data ⚠",VLOOKUP(AC254,'G-4 Temporal multipliers'!$A$4:$C$37,3,FALSE)),"")</f>
        <v/>
      </c>
      <c r="AE254" s="281" t="str">
        <f>IF(N254="","",VLOOKUP(N254,'G-7 WaterC'' Data'!$B$4:$G$8,5,FALSE))</f>
        <v/>
      </c>
      <c r="AF254" s="289" t="str">
        <f t="shared" si="35"/>
        <v/>
      </c>
      <c r="AG254" s="320" t="str">
        <f t="shared" si="36"/>
        <v/>
      </c>
      <c r="AH254" s="282" t="str">
        <f t="shared" si="30"/>
        <v/>
      </c>
      <c r="AI254" s="109"/>
      <c r="AJ254" s="282" t="str">
        <f>IF(AI254="","",IF(AND(AI254="N/A - Culvert",N254&lt;&gt;"Culvert"),"Not possible ▲",IF(VLOOKUP(AI254,'G-7 WaterC'' Data'!$AA$4:$AB$7,2,FALSE)=0,"Spatial Data Missing ⚠",VLOOKUP(AI254,'G-7 WaterC'' Data'!$AA$4:$AB$7,2,FALSE))))</f>
        <v/>
      </c>
      <c r="AK254" s="110"/>
      <c r="AL254" s="282" t="str">
        <f>IF(AK254="","",IF(AND(AK254="N/A - Culvert",N254&lt;&gt;"Culvert"),"Not possible ▲",IF(VLOOKUP(AK254,'G-7 WaterC'' Data'!$AD$4:$AE$14,2,FALSE)=0,"Spatial Data Missing ⚠",VLOOKUP(AK254,'G-7 WaterC'' Data'!$AD$4:$AE$14,2,FALSE))))</f>
        <v/>
      </c>
      <c r="AM254" s="323" t="str">
        <f t="shared" si="37"/>
        <v/>
      </c>
      <c r="AN254" s="105"/>
      <c r="AO254" s="119"/>
      <c r="AP254" s="108"/>
      <c r="AS254" s="30" t="str">
        <f>IF(B254="","",IF(ISNA(VLOOKUP($B254,'C-1 On-Site WaterC'' Baseline'!$C$8:$AD$257,17,FALSE)),"",(VLOOKUP($B254,'C-1 On-Site WaterC'' Baseline'!$C$8:$AD$257,17,FALSE))))</f>
        <v/>
      </c>
      <c r="AT254" s="30" t="str">
        <f>IF(B254="","",VLOOKUP($B254,'C-1 On-Site WaterC'' Baseline'!$C$9:$Z$257,12,FALSE))</f>
        <v/>
      </c>
      <c r="AU254" s="30" t="str">
        <f>IF(B254="","",VLOOKUP($B254,'C-1 On-Site WaterC'' Baseline'!$C$9:$Z$257,14,FALSE))</f>
        <v/>
      </c>
      <c r="AV254" s="30" t="str">
        <f>IFERROR(INDEX('G-7 WaterC'' Data'!$AZ$3:$AZ$7,MATCH(N254,'G-7 WaterC'' Data'!$AY$3:$AY$7,0)),"")</f>
        <v/>
      </c>
      <c r="AX254" s="30" t="str">
        <f>IF(B254="","",VLOOKUP($B254,'C-1 On-Site WaterC'' Baseline'!$C$9:$Y$257,22,FALSE))</f>
        <v/>
      </c>
      <c r="AY254" s="30" t="str">
        <f t="shared" si="38"/>
        <v/>
      </c>
      <c r="AZ254" s="30" t="str">
        <f>IF(B254="","",VLOOKUP($B254,'C-1 On-Site WaterC'' Baseline'!$C$9:$Y$257,21,FALSE))</f>
        <v/>
      </c>
      <c r="BA254" s="30" t="str">
        <f>IF(B254="","",VLOOKUP($B254,'C-1 On-Site WaterC'' Baseline'!$C$9:$Y$257,19,FALSE))</f>
        <v/>
      </c>
      <c r="BD254" s="30" t="str">
        <f t="shared" si="39"/>
        <v>No</v>
      </c>
    </row>
    <row r="255" spans="2:56" ht="13.8" x14ac:dyDescent="0.25">
      <c r="B255" s="311" t="str">
        <f>'C-1 On-Site WaterC'' Baseline'!AP253</f>
        <v/>
      </c>
      <c r="C255" s="301" t="str">
        <f>IF(B255="","",VLOOKUP($B255,'C-1 On-Site WaterC'' Baseline'!$C$9:$R$257,2,FALSE))</f>
        <v/>
      </c>
      <c r="D255" s="301" t="str">
        <f>IF(C255="","",VLOOKUP($B255,'C-1 On-Site WaterC'' Baseline'!$C$9:$R$257,3,FALSE))</f>
        <v/>
      </c>
      <c r="E255" s="301" t="str">
        <f>IF(D255="","",VLOOKUP($B255,'C-1 On-Site WaterC'' Baseline'!$C$9:$R$257,4,FALSE))</f>
        <v/>
      </c>
      <c r="F255" s="301" t="str">
        <f>IF(E255="","",VLOOKUP($B255,'C-1 On-Site WaterC'' Baseline'!$C$9:$R$257,5,FALSE))</f>
        <v/>
      </c>
      <c r="G255" s="301" t="str">
        <f>IF(F255="","",VLOOKUP($B255,'C-1 On-Site WaterC'' Baseline'!$C$9:$R$257,6,FALSE))</f>
        <v/>
      </c>
      <c r="H255" s="301" t="str">
        <f>IF(G255="","",VLOOKUP($B255,'C-1 On-Site WaterC'' Baseline'!$C$9:$R$257,7,FALSE))</f>
        <v/>
      </c>
      <c r="I255" s="301" t="str">
        <f>IF(H255="","",VLOOKUP($B255,'C-1 On-Site WaterC'' Baseline'!$C$9:$R$257,8,FALSE))</f>
        <v/>
      </c>
      <c r="J255" s="301" t="str">
        <f>IF(I255="","",VLOOKUP($B255,'C-1 On-Site WaterC'' Baseline'!$C$9:$R$257,9,FALSE))</f>
        <v/>
      </c>
      <c r="K255" s="301" t="str">
        <f>IF(J255="","",VLOOKUP($B255,'C-1 On-Site WaterC'' Baseline'!$C$9:$R$257,10,FALSE))</f>
        <v/>
      </c>
      <c r="L255" s="301" t="str">
        <f>IF(B255="","",VLOOKUP($B255,'C-1 On-Site WaterC'' Baseline'!$C$9:$R$257,15,FALSE))</f>
        <v/>
      </c>
      <c r="M255" s="305" t="str">
        <f>IF(L255="","",VLOOKUP($B255,'C-1 On-Site WaterC'' Baseline'!$C$9:$R$257,16,FALSE))</f>
        <v/>
      </c>
      <c r="N255" s="251"/>
      <c r="O255" s="281" t="str">
        <f t="shared" si="31"/>
        <v/>
      </c>
      <c r="P255" s="282" t="str">
        <f t="shared" si="32"/>
        <v/>
      </c>
      <c r="Q255" s="342" t="str">
        <f>IF(N255="","",VLOOKUP(B255,'C-1 On-Site WaterC'' Baseline'!$C$10:$AC$257,20,FALSE))</f>
        <v/>
      </c>
      <c r="R255" s="281" t="str">
        <f>IF(N255="","",VLOOKUP(N255,'G-7 WaterC'' Data'!$B$2:$G$8,2,FALSE))</f>
        <v/>
      </c>
      <c r="S255" s="282" t="str">
        <f>IFERROR(VLOOKUP(R255,'G-7 WaterC'' Data'!$C$4:$D$8,2,FALSE),"")</f>
        <v/>
      </c>
      <c r="T255" s="105"/>
      <c r="U255" s="282" t="str">
        <f>IFERROR(INDEX('G-7 WaterC'' Data'!$H$4:$L$8,MATCH(N255,'G-7 WaterC'' Data'!$B$4:$B$8,0),MATCH(T255,'G-7 WaterC'' Data'!$H$3:$L$3,0)),"")</f>
        <v/>
      </c>
      <c r="V255" s="105"/>
      <c r="W255" s="289" t="str">
        <f>IF(V255="","",IF(VLOOKUP(V255,'G-7 WaterC'' Data'!$AK$4:$AM$6,2,FALSE)=0,"Spatial Data Missing ⚠",VLOOKUP(V255,'G-7 WaterC'' Data'!$AK$4:$AM$6,2,FALSE)))</f>
        <v/>
      </c>
      <c r="X255" s="282" t="str">
        <f>IF(V255="","",IF(VLOOKUP(V255,'G-7 WaterC'' Data'!$AK$4:$AM$6,3,FALSE)=0,"Spatial Data Missing ⚠",VLOOKUP(V255,'G-7 WaterC'' Data'!$AK$4:$AM$6,3,FALSE)))</f>
        <v/>
      </c>
      <c r="Y255" s="281" t="str">
        <f>IFERROR(IF(OR(LEFT(P255,5)="Error",LEFT(O255,5)="Error"),"Check Data ⚠",IF(F255&lt;S255,'G-7 WaterC'' Data'!$R$3,INDEX('G-7 WaterC'' Data'!$U$5:$Y$9,MATCH(G255,'G-7 WaterC'' Data'!$T$5:$T$9,0),MATCH(T255,'G-7 WaterC'' Data'!$U$4:$Y$4,0)))),"")</f>
        <v/>
      </c>
      <c r="Z255" s="137"/>
      <c r="AA255" s="137"/>
      <c r="AB255" s="289" t="str">
        <f t="shared" si="33"/>
        <v/>
      </c>
      <c r="AC255" s="302" t="str">
        <f t="shared" si="34"/>
        <v/>
      </c>
      <c r="AD255" s="340" t="str">
        <f>IFERROR(IF(AC255="Check Data ⚠","Check Data ⚠",VLOOKUP(AC255,'G-4 Temporal multipliers'!$A$4:$C$37,3,FALSE)),"")</f>
        <v/>
      </c>
      <c r="AE255" s="281" t="str">
        <f>IF(N255="","",VLOOKUP(N255,'G-7 WaterC'' Data'!$B$4:$G$8,5,FALSE))</f>
        <v/>
      </c>
      <c r="AF255" s="289" t="str">
        <f t="shared" si="35"/>
        <v/>
      </c>
      <c r="AG255" s="320" t="str">
        <f t="shared" si="36"/>
        <v/>
      </c>
      <c r="AH255" s="282" t="str">
        <f t="shared" si="30"/>
        <v/>
      </c>
      <c r="AI255" s="109"/>
      <c r="AJ255" s="282" t="str">
        <f>IF(AI255="","",IF(AND(AI255="N/A - Culvert",N255&lt;&gt;"Culvert"),"Not possible ▲",IF(VLOOKUP(AI255,'G-7 WaterC'' Data'!$AA$4:$AB$7,2,FALSE)=0,"Spatial Data Missing ⚠",VLOOKUP(AI255,'G-7 WaterC'' Data'!$AA$4:$AB$7,2,FALSE))))</f>
        <v/>
      </c>
      <c r="AK255" s="110"/>
      <c r="AL255" s="282" t="str">
        <f>IF(AK255="","",IF(AND(AK255="N/A - Culvert",N255&lt;&gt;"Culvert"),"Not possible ▲",IF(VLOOKUP(AK255,'G-7 WaterC'' Data'!$AD$4:$AE$14,2,FALSE)=0,"Spatial Data Missing ⚠",VLOOKUP(AK255,'G-7 WaterC'' Data'!$AD$4:$AE$14,2,FALSE))))</f>
        <v/>
      </c>
      <c r="AM255" s="323" t="str">
        <f t="shared" si="37"/>
        <v/>
      </c>
      <c r="AN255" s="105"/>
      <c r="AO255" s="119"/>
      <c r="AP255" s="108"/>
      <c r="AS255" s="30" t="str">
        <f>IF(B255="","",IF(ISNA(VLOOKUP($B255,'C-1 On-Site WaterC'' Baseline'!$C$8:$AD$257,17,FALSE)),"",(VLOOKUP($B255,'C-1 On-Site WaterC'' Baseline'!$C$8:$AD$257,17,FALSE))))</f>
        <v/>
      </c>
      <c r="AT255" s="30" t="str">
        <f>IF(B255="","",VLOOKUP($B255,'C-1 On-Site WaterC'' Baseline'!$C$9:$Z$257,12,FALSE))</f>
        <v/>
      </c>
      <c r="AU255" s="30" t="str">
        <f>IF(B255="","",VLOOKUP($B255,'C-1 On-Site WaterC'' Baseline'!$C$9:$Z$257,14,FALSE))</f>
        <v/>
      </c>
      <c r="AV255" s="30" t="str">
        <f>IFERROR(INDEX('G-7 WaterC'' Data'!$AZ$3:$AZ$7,MATCH(N255,'G-7 WaterC'' Data'!$AY$3:$AY$7,0)),"")</f>
        <v/>
      </c>
      <c r="AX255" s="30" t="str">
        <f>IF(B255="","",VLOOKUP($B255,'C-1 On-Site WaterC'' Baseline'!$C$9:$Y$257,22,FALSE))</f>
        <v/>
      </c>
      <c r="AY255" s="30" t="str">
        <f t="shared" si="38"/>
        <v/>
      </c>
      <c r="AZ255" s="30" t="str">
        <f>IF(B255="","",VLOOKUP($B255,'C-1 On-Site WaterC'' Baseline'!$C$9:$Y$257,21,FALSE))</f>
        <v/>
      </c>
      <c r="BA255" s="30" t="str">
        <f>IF(B255="","",VLOOKUP($B255,'C-1 On-Site WaterC'' Baseline'!$C$9:$Y$257,19,FALSE))</f>
        <v/>
      </c>
      <c r="BD255" s="30" t="str">
        <f t="shared" si="39"/>
        <v>No</v>
      </c>
    </row>
    <row r="256" spans="2:56" ht="13.8" x14ac:dyDescent="0.25">
      <c r="B256" s="311" t="str">
        <f>'C-1 On-Site WaterC'' Baseline'!AP254</f>
        <v/>
      </c>
      <c r="C256" s="301" t="str">
        <f>IF(B256="","",VLOOKUP($B256,'C-1 On-Site WaterC'' Baseline'!$C$9:$R$257,2,FALSE))</f>
        <v/>
      </c>
      <c r="D256" s="301" t="str">
        <f>IF(C256="","",VLOOKUP($B256,'C-1 On-Site WaterC'' Baseline'!$C$9:$R$257,3,FALSE))</f>
        <v/>
      </c>
      <c r="E256" s="301" t="str">
        <f>IF(D256="","",VLOOKUP($B256,'C-1 On-Site WaterC'' Baseline'!$C$9:$R$257,4,FALSE))</f>
        <v/>
      </c>
      <c r="F256" s="301" t="str">
        <f>IF(E256="","",VLOOKUP($B256,'C-1 On-Site WaterC'' Baseline'!$C$9:$R$257,5,FALSE))</f>
        <v/>
      </c>
      <c r="G256" s="301" t="str">
        <f>IF(F256="","",VLOOKUP($B256,'C-1 On-Site WaterC'' Baseline'!$C$9:$R$257,6,FALSE))</f>
        <v/>
      </c>
      <c r="H256" s="301" t="str">
        <f>IF(G256="","",VLOOKUP($B256,'C-1 On-Site WaterC'' Baseline'!$C$9:$R$257,7,FALSE))</f>
        <v/>
      </c>
      <c r="I256" s="301" t="str">
        <f>IF(H256="","",VLOOKUP($B256,'C-1 On-Site WaterC'' Baseline'!$C$9:$R$257,8,FALSE))</f>
        <v/>
      </c>
      <c r="J256" s="301" t="str">
        <f>IF(I256="","",VLOOKUP($B256,'C-1 On-Site WaterC'' Baseline'!$C$9:$R$257,9,FALSE))</f>
        <v/>
      </c>
      <c r="K256" s="301" t="str">
        <f>IF(J256="","",VLOOKUP($B256,'C-1 On-Site WaterC'' Baseline'!$C$9:$R$257,10,FALSE))</f>
        <v/>
      </c>
      <c r="L256" s="301" t="str">
        <f>IF(B256="","",VLOOKUP($B256,'C-1 On-Site WaterC'' Baseline'!$C$9:$R$257,15,FALSE))</f>
        <v/>
      </c>
      <c r="M256" s="305" t="str">
        <f>IF(L256="","",VLOOKUP($B256,'C-1 On-Site WaterC'' Baseline'!$C$9:$R$257,16,FALSE))</f>
        <v/>
      </c>
      <c r="N256" s="251"/>
      <c r="O256" s="281" t="str">
        <f t="shared" si="31"/>
        <v/>
      </c>
      <c r="P256" s="282" t="str">
        <f t="shared" si="32"/>
        <v/>
      </c>
      <c r="Q256" s="342" t="str">
        <f>IF(N256="","",VLOOKUP(B256,'C-1 On-Site WaterC'' Baseline'!$C$10:$AC$257,20,FALSE))</f>
        <v/>
      </c>
      <c r="R256" s="281" t="str">
        <f>IF(N256="","",VLOOKUP(N256,'G-7 WaterC'' Data'!$B$2:$G$8,2,FALSE))</f>
        <v/>
      </c>
      <c r="S256" s="282" t="str">
        <f>IFERROR(VLOOKUP(R256,'G-7 WaterC'' Data'!$C$4:$D$8,2,FALSE),"")</f>
        <v/>
      </c>
      <c r="T256" s="105"/>
      <c r="U256" s="282" t="str">
        <f>IFERROR(INDEX('G-7 WaterC'' Data'!$H$4:$L$8,MATCH(N256,'G-7 WaterC'' Data'!$B$4:$B$8,0),MATCH(T256,'G-7 WaterC'' Data'!$H$3:$L$3,0)),"")</f>
        <v/>
      </c>
      <c r="V256" s="105"/>
      <c r="W256" s="289" t="str">
        <f>IF(V256="","",IF(VLOOKUP(V256,'G-7 WaterC'' Data'!$AK$4:$AM$6,2,FALSE)=0,"Spatial Data Missing ⚠",VLOOKUP(V256,'G-7 WaterC'' Data'!$AK$4:$AM$6,2,FALSE)))</f>
        <v/>
      </c>
      <c r="X256" s="282" t="str">
        <f>IF(V256="","",IF(VLOOKUP(V256,'G-7 WaterC'' Data'!$AK$4:$AM$6,3,FALSE)=0,"Spatial Data Missing ⚠",VLOOKUP(V256,'G-7 WaterC'' Data'!$AK$4:$AM$6,3,FALSE)))</f>
        <v/>
      </c>
      <c r="Y256" s="281" t="str">
        <f>IFERROR(IF(OR(LEFT(P256,5)="Error",LEFT(O256,5)="Error"),"Check Data ⚠",IF(F256&lt;S256,'G-7 WaterC'' Data'!$R$3,INDEX('G-7 WaterC'' Data'!$U$5:$Y$9,MATCH(G256,'G-7 WaterC'' Data'!$T$5:$T$9,0),MATCH(T256,'G-7 WaterC'' Data'!$U$4:$Y$4,0)))),"")</f>
        <v/>
      </c>
      <c r="Z256" s="137"/>
      <c r="AA256" s="137"/>
      <c r="AB256" s="289" t="str">
        <f t="shared" si="33"/>
        <v/>
      </c>
      <c r="AC256" s="302" t="str">
        <f t="shared" si="34"/>
        <v/>
      </c>
      <c r="AD256" s="340" t="str">
        <f>IFERROR(IF(AC256="Check Data ⚠","Check Data ⚠",VLOOKUP(AC256,'G-4 Temporal multipliers'!$A$4:$C$37,3,FALSE)),"")</f>
        <v/>
      </c>
      <c r="AE256" s="281" t="str">
        <f>IF(N256="","",VLOOKUP(N256,'G-7 WaterC'' Data'!$B$4:$G$8,5,FALSE))</f>
        <v/>
      </c>
      <c r="AF256" s="289" t="str">
        <f t="shared" si="35"/>
        <v/>
      </c>
      <c r="AG256" s="320" t="str">
        <f t="shared" si="36"/>
        <v/>
      </c>
      <c r="AH256" s="282" t="str">
        <f t="shared" si="30"/>
        <v/>
      </c>
      <c r="AI256" s="109"/>
      <c r="AJ256" s="282" t="str">
        <f>IF(AI256="","",IF(AND(AI256="N/A - Culvert",N256&lt;&gt;"Culvert"),"Not possible ▲",IF(VLOOKUP(AI256,'G-7 WaterC'' Data'!$AA$4:$AB$7,2,FALSE)=0,"Spatial Data Missing ⚠",VLOOKUP(AI256,'G-7 WaterC'' Data'!$AA$4:$AB$7,2,FALSE))))</f>
        <v/>
      </c>
      <c r="AK256" s="110"/>
      <c r="AL256" s="282" t="str">
        <f>IF(AK256="","",IF(AND(AK256="N/A - Culvert",N256&lt;&gt;"Culvert"),"Not possible ▲",IF(VLOOKUP(AK256,'G-7 WaterC'' Data'!$AD$4:$AE$14,2,FALSE)=0,"Spatial Data Missing ⚠",VLOOKUP(AK256,'G-7 WaterC'' Data'!$AD$4:$AE$14,2,FALSE))))</f>
        <v/>
      </c>
      <c r="AM256" s="323" t="str">
        <f t="shared" si="37"/>
        <v/>
      </c>
      <c r="AN256" s="105"/>
      <c r="AO256" s="119"/>
      <c r="AP256" s="108"/>
      <c r="AS256" s="30" t="str">
        <f>IF(B256="","",IF(ISNA(VLOOKUP($B256,'C-1 On-Site WaterC'' Baseline'!$C$8:$AD$257,17,FALSE)),"",(VLOOKUP($B256,'C-1 On-Site WaterC'' Baseline'!$C$8:$AD$257,17,FALSE))))</f>
        <v/>
      </c>
      <c r="AT256" s="30" t="str">
        <f>IF(B256="","",VLOOKUP($B256,'C-1 On-Site WaterC'' Baseline'!$C$9:$Z$257,12,FALSE))</f>
        <v/>
      </c>
      <c r="AU256" s="30" t="str">
        <f>IF(B256="","",VLOOKUP($B256,'C-1 On-Site WaterC'' Baseline'!$C$9:$Z$257,14,FALSE))</f>
        <v/>
      </c>
      <c r="AV256" s="30" t="str">
        <f>IFERROR(INDEX('G-7 WaterC'' Data'!$AZ$3:$AZ$7,MATCH(N256,'G-7 WaterC'' Data'!$AY$3:$AY$7,0)),"")</f>
        <v/>
      </c>
      <c r="AX256" s="30" t="str">
        <f>IF(B256="","",VLOOKUP($B256,'C-1 On-Site WaterC'' Baseline'!$C$9:$Y$257,22,FALSE))</f>
        <v/>
      </c>
      <c r="AY256" s="30" t="str">
        <f t="shared" si="38"/>
        <v/>
      </c>
      <c r="AZ256" s="30" t="str">
        <f>IF(B256="","",VLOOKUP($B256,'C-1 On-Site WaterC'' Baseline'!$C$9:$Y$257,21,FALSE))</f>
        <v/>
      </c>
      <c r="BA256" s="30" t="str">
        <f>IF(B256="","",VLOOKUP($B256,'C-1 On-Site WaterC'' Baseline'!$C$9:$Y$257,19,FALSE))</f>
        <v/>
      </c>
      <c r="BD256" s="30" t="str">
        <f t="shared" si="39"/>
        <v>No</v>
      </c>
    </row>
    <row r="257" spans="2:56" ht="14.4" thickBot="1" x14ac:dyDescent="0.3">
      <c r="B257" s="334" t="str">
        <f>'C-1 On-Site WaterC'' Baseline'!AP255</f>
        <v/>
      </c>
      <c r="C257" s="290" t="str">
        <f>IF(B257="","",VLOOKUP($B257,'C-1 On-Site WaterC'' Baseline'!$C$9:$R$257,2,FALSE))</f>
        <v/>
      </c>
      <c r="D257" s="290" t="str">
        <f>IF(C257="","",VLOOKUP($B257,'C-1 On-Site WaterC'' Baseline'!$C$9:$R$257,3,FALSE))</f>
        <v/>
      </c>
      <c r="E257" s="290" t="str">
        <f>IF(D257="","",VLOOKUP($B257,'C-1 On-Site WaterC'' Baseline'!$C$9:$R$257,4,FALSE))</f>
        <v/>
      </c>
      <c r="F257" s="290" t="str">
        <f>IF(E257="","",VLOOKUP($B257,'C-1 On-Site WaterC'' Baseline'!$C$9:$R$257,5,FALSE))</f>
        <v/>
      </c>
      <c r="G257" s="290" t="str">
        <f>IF(F257="","",VLOOKUP($B257,'C-1 On-Site WaterC'' Baseline'!$C$9:$R$257,6,FALSE))</f>
        <v/>
      </c>
      <c r="H257" s="290" t="str">
        <f>IF(G257="","",VLOOKUP($B257,'C-1 On-Site WaterC'' Baseline'!$C$9:$R$257,7,FALSE))</f>
        <v/>
      </c>
      <c r="I257" s="290" t="str">
        <f>IF(H257="","",VLOOKUP($B257,'C-1 On-Site WaterC'' Baseline'!$C$9:$R$257,8,FALSE))</f>
        <v/>
      </c>
      <c r="J257" s="290" t="str">
        <f>IF(I257="","",VLOOKUP($B257,'C-1 On-Site WaterC'' Baseline'!$C$9:$R$257,9,FALSE))</f>
        <v/>
      </c>
      <c r="K257" s="290" t="str">
        <f>IF(J257="","",VLOOKUP($B257,'C-1 On-Site WaterC'' Baseline'!$C$9:$R$257,10,FALSE))</f>
        <v/>
      </c>
      <c r="L257" s="290" t="str">
        <f>IF(B257="","",VLOOKUP($B257,'C-1 On-Site WaterC'' Baseline'!$C$9:$R$257,15,FALSE))</f>
        <v/>
      </c>
      <c r="M257" s="284" t="str">
        <f>IF(L257="","",VLOOKUP($B257,'C-1 On-Site WaterC'' Baseline'!$C$9:$R$257,16,FALSE))</f>
        <v/>
      </c>
      <c r="N257" s="251"/>
      <c r="O257" s="281" t="str">
        <f t="shared" si="31"/>
        <v/>
      </c>
      <c r="P257" s="282" t="str">
        <f t="shared" si="32"/>
        <v/>
      </c>
      <c r="Q257" s="343" t="str">
        <f>IF(N257="","",VLOOKUP(B257,'C-1 On-Site WaterC'' Baseline'!$C$10:$AC$257,20,FALSE))</f>
        <v/>
      </c>
      <c r="R257" s="283" t="str">
        <f>IF(N257="","",VLOOKUP(N257,'G-7 WaterC'' Data'!$B$2:$G$8,2,FALSE))</f>
        <v/>
      </c>
      <c r="S257" s="284" t="str">
        <f>IFERROR(VLOOKUP(R257,'G-7 WaterC'' Data'!$C$4:$D$8,2,FALSE),"")</f>
        <v/>
      </c>
      <c r="T257" s="115"/>
      <c r="U257" s="566" t="str">
        <f>IFERROR(INDEX('G-7 WaterC'' Data'!$H$4:$L$8,MATCH(N257,'G-7 WaterC'' Data'!$B$4:$B$8,0),MATCH(T257,'G-7 WaterC'' Data'!$H$3:$L$3,0)),"")</f>
        <v/>
      </c>
      <c r="V257" s="635"/>
      <c r="W257" s="567" t="str">
        <f>IF(V257="","",IF(VLOOKUP(V257,'G-7 WaterC'' Data'!$AK$4:$AM$6,2,FALSE)=0,"Spatial Data Missing ⚠",VLOOKUP(V257,'G-7 WaterC'' Data'!$AK$4:$AM$6,2,FALSE)))</f>
        <v/>
      </c>
      <c r="X257" s="566" t="str">
        <f>IF(V257="","",IF(VLOOKUP(V257,'G-7 WaterC'' Data'!$AK$4:$AM$6,3,FALSE)=0,"Spatial Data Missing ⚠",VLOOKUP(V257,'G-7 WaterC'' Data'!$AK$4:$AM$6,3,FALSE)))</f>
        <v/>
      </c>
      <c r="Y257" s="565" t="str">
        <f>IFERROR(IF(OR(LEFT(P257,5)="Error",LEFT(O257,5)="Error"),"Check Data ⚠",IF(F257&lt;S257,'G-7 WaterC'' Data'!$R$3,INDEX('G-7 WaterC'' Data'!$U$5:$Y$9,MATCH(G257,'G-7 WaterC'' Data'!$T$5:$T$9,0),MATCH(T257,'G-7 WaterC'' Data'!$U$4:$Y$4,0)))),"")</f>
        <v/>
      </c>
      <c r="Z257" s="145"/>
      <c r="AA257" s="145"/>
      <c r="AB257" s="567" t="str">
        <f t="shared" si="33"/>
        <v/>
      </c>
      <c r="AC257" s="588" t="str">
        <f t="shared" si="34"/>
        <v/>
      </c>
      <c r="AD257" s="640" t="str">
        <f>IFERROR(IF(AC257="Check Data ⚠","Check Data ⚠",VLOOKUP(AC257,'G-4 Temporal multipliers'!$A$4:$C$37,3,FALSE)),"")</f>
        <v/>
      </c>
      <c r="AE257" s="283" t="str">
        <f>IF(N257="","",VLOOKUP(N257,'G-7 WaterC'' Data'!$B$4:$G$8,5,FALSE))</f>
        <v/>
      </c>
      <c r="AF257" s="567" t="str">
        <f t="shared" si="35"/>
        <v/>
      </c>
      <c r="AG257" s="615" t="str">
        <f t="shared" si="36"/>
        <v/>
      </c>
      <c r="AH257" s="284" t="str">
        <f t="shared" si="30"/>
        <v/>
      </c>
      <c r="AI257" s="115"/>
      <c r="AJ257" s="566" t="str">
        <f>IF(AI257="","",IF(AND(AI257="N/A - Culvert",N257&lt;&gt;"Culvert"),"Not possible ▲",IF(VLOOKUP(AI257,'G-7 WaterC'' Data'!$AA$4:$AB$7,2,FALSE)=0,"Spatial Data Missing ⚠",VLOOKUP(AI257,'G-7 WaterC'' Data'!$AA$4:$AB$7,2,FALSE))))</f>
        <v/>
      </c>
      <c r="AK257" s="641"/>
      <c r="AL257" s="566" t="str">
        <f>IF(AK257="","",IF(AND(AK257="N/A - Culvert",N257&lt;&gt;"Culvert"),"Not possible ▲",IF(VLOOKUP(AK257,'G-7 WaterC'' Data'!$AD$4:$AE$14,2,FALSE)=0,"Spatial Data Missing ⚠",VLOOKUP(AK257,'G-7 WaterC'' Data'!$AD$4:$AE$14,2,FALSE))))</f>
        <v/>
      </c>
      <c r="AM257" s="617" t="str">
        <f t="shared" si="37"/>
        <v/>
      </c>
      <c r="AN257" s="115"/>
      <c r="AO257" s="114"/>
      <c r="AP257" s="959"/>
      <c r="AS257" s="30" t="str">
        <f>IF(B257="","",IF(ISNA(VLOOKUP($B257,'C-1 On-Site WaterC'' Baseline'!$C$8:$AD$257,17,FALSE)),"",(VLOOKUP($B257,'C-1 On-Site WaterC'' Baseline'!$C$8:$AD$257,17,FALSE))))</f>
        <v/>
      </c>
      <c r="AT257" s="30" t="str">
        <f>IF(B257="","",VLOOKUP($B257,'C-1 On-Site WaterC'' Baseline'!$C$9:$Z$257,12,FALSE))</f>
        <v/>
      </c>
      <c r="AU257" s="30" t="str">
        <f>IF(B257="","",VLOOKUP($B257,'C-1 On-Site WaterC'' Baseline'!$C$9:$Z$257,14,FALSE))</f>
        <v/>
      </c>
      <c r="AV257" s="30" t="str">
        <f>IFERROR(INDEX('G-7 WaterC'' Data'!$AZ$3:$AZ$7,MATCH(N257,'G-7 WaterC'' Data'!$AY$3:$AY$7,0)),"")</f>
        <v/>
      </c>
      <c r="AX257" s="30" t="str">
        <f>IF(B257="","",VLOOKUP($B257,'C-1 On-Site WaterC'' Baseline'!$C$9:$Y$257,22,FALSE))</f>
        <v/>
      </c>
      <c r="AY257" s="30" t="str">
        <f t="shared" si="38"/>
        <v/>
      </c>
      <c r="AZ257" s="30" t="str">
        <f>IF(B257="","",VLOOKUP($B257,'C-1 On-Site WaterC'' Baseline'!$C$9:$Y$257,21,FALSE))</f>
        <v/>
      </c>
      <c r="BA257" s="30" t="str">
        <f>IF(B257="","",VLOOKUP($B257,'C-1 On-Site WaterC'' Baseline'!$C$9:$Y$257,19,FALSE))</f>
        <v/>
      </c>
      <c r="BD257" s="30" t="str">
        <f t="shared" si="39"/>
        <v>No</v>
      </c>
    </row>
    <row r="258" spans="2:56" ht="14.4" thickBot="1" x14ac:dyDescent="0.3">
      <c r="C258" s="117"/>
      <c r="D258" s="117"/>
      <c r="E258" s="117"/>
      <c r="F258" s="117"/>
      <c r="G258" s="117"/>
      <c r="H258" s="117"/>
      <c r="I258" s="117"/>
      <c r="J258" s="117"/>
      <c r="K258" s="117"/>
      <c r="L258" s="117"/>
      <c r="M258" s="117"/>
      <c r="N258" s="182"/>
      <c r="O258" s="117"/>
      <c r="P258" s="117"/>
      <c r="Q258" s="341">
        <f>SUM(Q12:Q257)</f>
        <v>0</v>
      </c>
      <c r="R258" s="181"/>
      <c r="AJ258" s="30" t="str">
        <f>IF(AI258="","",IF(VLOOKUP(AI258,'[1]G-7 Rivers Data'!$AA$4:$AB$6,2,FALSE)=0,"Spatial Data Missing",VLOOKUP(AI258,'[1]G-7 Rivers Data'!$AA$4:$AB$6,2,FALSE)))</f>
        <v/>
      </c>
      <c r="AK258" s="1683"/>
      <c r="AL258" s="1683"/>
      <c r="AM258" s="273">
        <f>IF(AM6="Error - No enhancement - units less than baseline ▲", "Error ▲", SUM(AM12:AM257))</f>
        <v>0</v>
      </c>
      <c r="BD258" s="30" t="str">
        <f t="shared" si="39"/>
        <v>No</v>
      </c>
    </row>
    <row r="259" spans="2:56" ht="13.8" x14ac:dyDescent="0.25">
      <c r="AJ259" s="30" t="str">
        <f>IF(AI259="","",IF(VLOOKUP(AI259,'[1]G-7 Rivers Data'!$AA$4:$AB$6,2,FALSE)=0,"Spatial Data Missing",VLOOKUP(AI259,'[1]G-7 Rivers Data'!$AA$4:$AB$6,2,FALSE)))</f>
        <v/>
      </c>
      <c r="BD259" s="30" t="str">
        <f t="shared" si="39"/>
        <v>No</v>
      </c>
    </row>
    <row r="260" spans="2:56" ht="13.8" x14ac:dyDescent="0.25">
      <c r="BD260" s="30" t="str">
        <f t="shared" si="39"/>
        <v>No</v>
      </c>
    </row>
    <row r="261" spans="2:56" ht="13.8" x14ac:dyDescent="0.25"/>
    <row r="262" spans="2:56" ht="13.8" x14ac:dyDescent="0.25"/>
    <row r="263" spans="2:56" ht="13.8" x14ac:dyDescent="0.25"/>
    <row r="264" spans="2:56" ht="13.8" x14ac:dyDescent="0.25"/>
    <row r="265" spans="2:56" ht="13.8" hidden="1" x14ac:dyDescent="0.25"/>
  </sheetData>
  <sheetProtection algorithmName="SHA-512" hashValue="skV+lXykWYmEy9AZlOksH0wJt0Kuh27nb+aag+vL+GpeE3NMKhedJdM6ZJJHI0JxRSPpQL9OuxVK6deaB26Btw==" saltValue="E7rfnNCaYgYH5qZvrthpqQ==" spinCount="100000" sheet="1" objects="1" scenarios="1"/>
  <dataConsolidate link="1"/>
  <customSheetViews>
    <customSheetView guid="{8BDA793C-C9C5-4FC6-A0A5-F1109F6D4F22}" state="hidden">
      <pane ySplit="11" topLeftCell="A12" activePane="bottomLeft" state="frozen"/>
      <selection pane="bottomLeft" activeCell="D14" sqref="D14"/>
    </customSheetView>
  </customSheetViews>
  <mergeCells count="22">
    <mergeCell ref="AM6:AO6"/>
    <mergeCell ref="AK258:AL258"/>
    <mergeCell ref="B2:E2"/>
    <mergeCell ref="B3:E4"/>
    <mergeCell ref="Q10:Q11"/>
    <mergeCell ref="N9:AL9"/>
    <mergeCell ref="R10:S10"/>
    <mergeCell ref="T10:U10"/>
    <mergeCell ref="Y2:AD4"/>
    <mergeCell ref="O2:P2"/>
    <mergeCell ref="S2:X4"/>
    <mergeCell ref="F4:I5"/>
    <mergeCell ref="C10:M10"/>
    <mergeCell ref="V10:X10"/>
    <mergeCell ref="Y10:AD10"/>
    <mergeCell ref="AE10:AH10"/>
    <mergeCell ref="AN10:AP10"/>
    <mergeCell ref="O10:P10"/>
    <mergeCell ref="N10:N11"/>
    <mergeCell ref="AK10:AL10"/>
    <mergeCell ref="AM10:AM11"/>
    <mergeCell ref="AI10:AJ10"/>
  </mergeCells>
  <conditionalFormatting sqref="L12:L257">
    <cfRule type="containsText" dxfId="257" priority="46" operator="containsText" text="Restore">
      <formula>NOT(ISERROR(SEARCH("Restore",L12)))</formula>
    </cfRule>
  </conditionalFormatting>
  <conditionalFormatting sqref="O12:P257">
    <cfRule type="containsText" dxfId="256" priority="44" operator="containsText" text="Check">
      <formula>NOT(ISERROR(SEARCH("Check",O12)))</formula>
    </cfRule>
    <cfRule type="containsText" dxfId="255" priority="45" operator="containsText" text="Error">
      <formula>NOT(ISERROR(SEARCH("Error",O12)))</formula>
    </cfRule>
  </conditionalFormatting>
  <conditionalFormatting sqref="W12:X257">
    <cfRule type="containsText" dxfId="254" priority="43" operator="containsText" text="Spatial">
      <formula>NOT(ISERROR(SEARCH("Spatial",W12)))</formula>
    </cfRule>
  </conditionalFormatting>
  <conditionalFormatting sqref="Y12:Y257">
    <cfRule type="containsText" dxfId="253" priority="41" operator="containsText" text="Check">
      <formula>NOT(ISERROR(SEARCH("Check",Y12)))</formula>
    </cfRule>
    <cfRule type="containsText" dxfId="252" priority="42" operator="containsText" text="Error">
      <formula>NOT(ISERROR(SEARCH("Error",Y12)))</formula>
    </cfRule>
  </conditionalFormatting>
  <conditionalFormatting sqref="AB12:AM12 AM13:AM258 AB13:AL257">
    <cfRule type="containsText" dxfId="251" priority="9" operator="containsText" text="Check">
      <formula>NOT(ISERROR(SEARCH("Check",AB12)))</formula>
    </cfRule>
    <cfRule type="beginsWith" dxfId="250" priority="11" operator="beginsWith" text="Error">
      <formula>LEFT(AB12,LEN("Error"))="Error"</formula>
    </cfRule>
  </conditionalFormatting>
  <conditionalFormatting sqref="AF12:AF257">
    <cfRule type="beginsWith" dxfId="249" priority="38" operator="beginsWith" text="No - Low Difficulty">
      <formula>LEFT(AF12,LEN("No - Low Difficulty"))="No - Low Difficulty"</formula>
    </cfRule>
  </conditionalFormatting>
  <conditionalFormatting sqref="AJ12:AL257">
    <cfRule type="containsText" dxfId="248" priority="37" operator="containsText" text="Spatial">
      <formula>NOT(ISERROR(SEARCH("Spatial",AJ12)))</formula>
    </cfRule>
  </conditionalFormatting>
  <conditionalFormatting sqref="Y2">
    <cfRule type="containsText" dxfId="247" priority="36" operator="containsText" text="Note">
      <formula>NOT(ISERROR(SEARCH("Note",Y2)))</formula>
    </cfRule>
  </conditionalFormatting>
  <conditionalFormatting sqref="P3">
    <cfRule type="containsText" dxfId="246" priority="34" operator="containsText" text="Error">
      <formula>NOT(ISERROR(SEARCH("Error",P3)))</formula>
    </cfRule>
    <cfRule type="containsText" dxfId="245" priority="35" operator="containsText" text="Check">
      <formula>NOT(ISERROR(SEARCH("Check",P3)))</formula>
    </cfRule>
  </conditionalFormatting>
  <conditionalFormatting sqref="P4">
    <cfRule type="containsText" dxfId="244" priority="16" operator="containsText" text="Error">
      <formula>NOT(ISERROR(SEARCH("Error",P4)))</formula>
    </cfRule>
    <cfRule type="cellIs" dxfId="243" priority="24" operator="equal">
      <formula>0</formula>
    </cfRule>
    <cfRule type="containsText" dxfId="242" priority="25" operator="containsText" text="Check">
      <formula>NOT(ISERROR(SEARCH("Check",P4)))</formula>
    </cfRule>
    <cfRule type="cellIs" dxfId="241" priority="468" operator="lessThan">
      <formula>0</formula>
    </cfRule>
  </conditionalFormatting>
  <conditionalFormatting sqref="S2:X4">
    <cfRule type="containsText" dxfId="240" priority="29" operator="containsText" text="Check">
      <formula>NOT(ISERROR(SEARCH("Check",S2)))</formula>
    </cfRule>
  </conditionalFormatting>
  <conditionalFormatting sqref="P5">
    <cfRule type="containsText" dxfId="239" priority="27" operator="containsText" text="No">
      <formula>NOT(ISERROR(SEARCH("No",P5)))</formula>
    </cfRule>
    <cfRule type="containsText" dxfId="238" priority="28" operator="containsText" text="Yes">
      <formula>NOT(ISERROR(SEARCH("Yes",P5)))</formula>
    </cfRule>
  </conditionalFormatting>
  <conditionalFormatting sqref="U12:U257">
    <cfRule type="containsText" dxfId="237" priority="26" operator="containsText" text="Not possible">
      <formula>NOT(ISERROR(SEARCH("Not possible",U12)))</formula>
    </cfRule>
  </conditionalFormatting>
  <conditionalFormatting sqref="P3:P5">
    <cfRule type="containsText" dxfId="236" priority="23" operator="containsText" text="N/A">
      <formula>NOT(ISERROR(SEARCH("N/A",P3)))</formula>
    </cfRule>
  </conditionalFormatting>
  <conditionalFormatting sqref="F4:I5">
    <cfRule type="containsText" dxfId="235" priority="20" operator="containsText" text="Enhanced">
      <formula>NOT(ISERROR(SEARCH("Enhanced",F4)))</formula>
    </cfRule>
  </conditionalFormatting>
  <conditionalFormatting sqref="C12:C258">
    <cfRule type="expression" dxfId="234" priority="19">
      <formula>$AS12="Yes"</formula>
    </cfRule>
  </conditionalFormatting>
  <conditionalFormatting sqref="AJ1:AJ1048576">
    <cfRule type="containsText" dxfId="233" priority="18" operator="containsText" text="Not possible">
      <formula>NOT(ISERROR(SEARCH("Not possible",AJ1)))</formula>
    </cfRule>
  </conditionalFormatting>
  <conditionalFormatting sqref="AL1:AL1048576">
    <cfRule type="containsText" dxfId="232" priority="17" operator="containsText" text="Not possible">
      <formula>NOT(ISERROR(SEARCH("Not possible",AL1)))</formula>
    </cfRule>
  </conditionalFormatting>
  <conditionalFormatting sqref="M1:M1048576">
    <cfRule type="containsText" dxfId="231" priority="15" operator="containsText" text="▲">
      <formula>NOT(ISERROR(SEARCH("▲",M1)))</formula>
    </cfRule>
  </conditionalFormatting>
  <conditionalFormatting sqref="W1:W1048576">
    <cfRule type="containsText" dxfId="230" priority="14" operator="containsText" text="Not possible">
      <formula>NOT(ISERROR(SEARCH("Not possible",W1)))</formula>
    </cfRule>
  </conditionalFormatting>
  <conditionalFormatting sqref="J1:J1048576">
    <cfRule type="containsText" dxfId="229" priority="13" operator="containsText" text="Not possible">
      <formula>NOT(ISERROR(SEARCH("Not possible",J1)))</formula>
    </cfRule>
  </conditionalFormatting>
  <conditionalFormatting sqref="AM12:AM257">
    <cfRule type="containsBlanks" dxfId="228" priority="12">
      <formula>LEN(TRIM(AM12))=0</formula>
    </cfRule>
    <cfRule type="expression" dxfId="227" priority="39">
      <formula>$AM12=$AY12</formula>
    </cfRule>
    <cfRule type="expression" dxfId="226" priority="40">
      <formula>$AM12&lt;$AY12</formula>
    </cfRule>
  </conditionalFormatting>
  <conditionalFormatting sqref="AM6:AO6">
    <cfRule type="containsText" dxfId="225" priority="10" operator="containsText" text="Error">
      <formula>NOT(ISERROR(SEARCH("Error",AM6)))</formula>
    </cfRule>
  </conditionalFormatting>
  <conditionalFormatting sqref="L1:L1048576">
    <cfRule type="containsText" dxfId="224" priority="2" operator="containsText" text=" ⚠">
      <formula>NOT(ISERROR(SEARCH(" ⚠",L1)))</formula>
    </cfRule>
    <cfRule type="containsText" dxfId="223" priority="5" operator="containsText" text="Better">
      <formula>NOT(ISERROR(SEARCH("Better",L1)))</formula>
    </cfRule>
    <cfRule type="containsText" dxfId="222" priority="6" operator="containsText" text="Check">
      <formula>NOT(ISERROR(SEARCH("Check",L1)))</formula>
    </cfRule>
    <cfRule type="containsText" dxfId="221" priority="7" operator="containsText" text="Same">
      <formula>NOT(ISERROR(SEARCH("Same",L1)))</formula>
    </cfRule>
    <cfRule type="containsText" dxfId="220" priority="8" operator="containsText" text="Bespoke">
      <formula>NOT(ISERROR(SEARCH("Bespoke",L1)))</formula>
    </cfRule>
  </conditionalFormatting>
  <conditionalFormatting sqref="AF1:AF1048576">
    <cfRule type="containsText" dxfId="219" priority="4" operator="containsText" text="⚠">
      <formula>NOT(ISERROR(SEARCH("⚠",AF1)))</formula>
    </cfRule>
  </conditionalFormatting>
  <conditionalFormatting sqref="H12:H257">
    <cfRule type="containsText" dxfId="218" priority="3" operator="containsText" text="possible">
      <formula>NOT(ISERROR(SEARCH("possible",H12)))</formula>
    </cfRule>
  </conditionalFormatting>
  <conditionalFormatting sqref="AC1:AC1048576">
    <cfRule type="containsText" dxfId="217" priority="1" operator="containsText" text="30+">
      <formula>NOT(ISERROR(SEARCH("30+",AC1)))</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expression" priority="21" id="{66F55A9C-3244-4844-B3E6-70D121122203}">
            <xm:f>'Headline Results'!$H$10:$I$10=0</xm:f>
            <x14:dxf>
              <font>
                <color auto="1"/>
              </font>
              <fill>
                <patternFill>
                  <bgColor rgb="FFE0DCD3"/>
                </patternFill>
              </fill>
            </x14:dxf>
          </x14:cfRule>
          <xm:sqref>P4</xm:sqref>
        </x14:conditionalFormatting>
        <x14:conditionalFormatting xmlns:xm="http://schemas.microsoft.com/office/excel/2006/main">
          <x14:cfRule type="cellIs" priority="22" operator="lessThan" id="{A52B8C1E-E180-4514-9FE9-CBD52145CDDA}">
            <xm:f>Start!$F$22</xm:f>
            <x14:dxf>
              <font>
                <color rgb="FF383745"/>
              </font>
              <fill>
                <patternFill>
                  <bgColor rgb="FFFFC000"/>
                </patternFill>
              </fill>
            </x14:dxf>
          </x14:cfRule>
          <x14:cfRule type="cellIs" priority="469"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7000000}">
          <x14:formula1>
            <xm:f>'G-4 Temporal multipliers'!$A$42:$A$73</xm:f>
          </x14:formula1>
          <xm:sqref>Z12:AA257</xm:sqref>
        </x14:dataValidation>
        <x14:dataValidation type="list" allowBlank="1" showInputMessage="1" showErrorMessage="1" xr:uid="{1BF6CEFB-EF8E-4E81-B6F7-7B8EF2DA79E4}">
          <x14:formula1>
            <xm:f>'G-7 WaterC'' Data'!$AK$4:$AK$6</xm:f>
          </x14:formula1>
          <xm:sqref>V12:V257</xm:sqref>
        </x14:dataValidation>
        <x14:dataValidation type="list" allowBlank="1" showInputMessage="1" showErrorMessage="1" xr:uid="{2868893D-42D4-498B-99E1-AF3031CB4F60}">
          <x14:formula1>
            <xm:f>'G-7 WaterC'' Data'!$B$4:$B$7</xm:f>
          </x14:formula1>
          <xm:sqref>N12:N257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A271"/>
  <sheetViews>
    <sheetView topLeftCell="P1" zoomScale="105" zoomScaleNormal="80" workbookViewId="0">
      <pane ySplit="9" topLeftCell="A10" activePane="bottomLeft" state="frozen"/>
      <selection pane="bottomLeft" activeCell="E10" sqref="E10"/>
    </sheetView>
  </sheetViews>
  <sheetFormatPr defaultColWidth="35.33203125" defaultRowHeight="32.1" customHeight="1" zeroHeight="1" x14ac:dyDescent="0.25"/>
  <cols>
    <col min="1" max="1" width="3" style="30" customWidth="1"/>
    <col min="2" max="2" width="4.6640625" style="93" customWidth="1"/>
    <col min="3" max="3" width="10" style="93" customWidth="1"/>
    <col min="4" max="4" width="55" style="30" customWidth="1"/>
    <col min="5" max="5" width="13.33203125" style="30" customWidth="1"/>
    <col min="6" max="6" width="18.6640625" style="30" customWidth="1"/>
    <col min="7" max="7" width="8.6640625" style="30" customWidth="1"/>
    <col min="8" max="8" width="14.33203125" style="30" bestFit="1" customWidth="1"/>
    <col min="9" max="9" width="12.6640625" style="30" customWidth="1"/>
    <col min="10" max="10" width="33.6640625" style="30" customWidth="1"/>
    <col min="11" max="11" width="15.33203125" style="30" customWidth="1"/>
    <col min="12" max="12" width="13.6640625" style="30" customWidth="1"/>
    <col min="13" max="13" width="18.33203125" style="30" customWidth="1"/>
    <col min="14" max="14" width="12.6640625" style="30" customWidth="1"/>
    <col min="15" max="15" width="21" style="30" customWidth="1"/>
    <col min="16" max="16" width="12.6640625" style="30" customWidth="1"/>
    <col min="17" max="17" width="14.33203125" style="30" customWidth="1"/>
    <col min="18" max="18" width="15.5546875" style="30" hidden="1" customWidth="1"/>
    <col min="19" max="19" width="77.5546875" style="30" customWidth="1"/>
    <col min="20" max="20" width="14.44140625" style="30" hidden="1" customWidth="1"/>
    <col min="21" max="21" width="15.33203125" style="30" customWidth="1"/>
    <col min="22" max="22" width="17.33203125" style="30" hidden="1" customWidth="1"/>
    <col min="23" max="23" width="3.6640625" style="30" customWidth="1"/>
    <col min="24" max="24" width="12.33203125" style="30" customWidth="1"/>
    <col min="25" max="25" width="12.6640625" style="30" customWidth="1"/>
    <col min="26" max="26" width="13.5546875" style="30" customWidth="1"/>
    <col min="27" max="27" width="11.6640625" style="30" customWidth="1"/>
    <col min="28" max="28" width="15.44140625" style="30" customWidth="1"/>
    <col min="29" max="29" width="13.5546875" style="30" customWidth="1"/>
    <col min="30" max="30" width="22.44140625" style="30" customWidth="1"/>
    <col min="31" max="32" width="50.33203125" style="30" customWidth="1"/>
    <col min="33" max="33" width="12.5546875" style="30" customWidth="1"/>
    <col min="34" max="34" width="28.33203125" style="30" customWidth="1"/>
    <col min="35" max="16382" width="0" style="30" hidden="1" customWidth="1"/>
    <col min="16383" max="16384" width="35.33203125" style="30"/>
  </cols>
  <sheetData>
    <row r="1" spans="2:53" ht="12.75" customHeight="1" thickBot="1" x14ac:dyDescent="0.3">
      <c r="B1" s="30"/>
      <c r="C1" s="30"/>
    </row>
    <row r="2" spans="2:53" ht="19.5" customHeight="1" thickBot="1" x14ac:dyDescent="0.3">
      <c r="B2" s="1764" t="str">
        <f>CONCATENATE("Project Name:", " ", Start!F12, "     ", "Map Reference:", " ", Start!F66)</f>
        <v xml:space="preserve">Project Name: Chickenhall Lane     Map Reference: </v>
      </c>
      <c r="C2" s="1768"/>
      <c r="D2" s="1768"/>
      <c r="E2" s="1765"/>
      <c r="H2" s="1591" t="s">
        <v>526</v>
      </c>
      <c r="I2" s="1592"/>
      <c r="J2" s="1592"/>
      <c r="K2" s="1592"/>
      <c r="L2" s="1592"/>
      <c r="M2" s="1593"/>
      <c r="O2" s="1774" t="str" cm="1">
        <f t="array" ref="O2">IF(OR(AW10:AW257="Yes"),"A 'Fairly' Category has been used for ditches - check evidence to ensure this is appropriate ⚠", "")</f>
        <v/>
      </c>
      <c r="P2" s="1774"/>
      <c r="Q2" s="1774"/>
      <c r="R2" s="1774"/>
      <c r="S2" s="1774"/>
      <c r="T2" s="1774"/>
      <c r="U2" s="1774"/>
      <c r="V2" s="1774"/>
      <c r="W2" s="1774"/>
    </row>
    <row r="3" spans="2:53" ht="15" customHeight="1" thickBot="1" x14ac:dyDescent="0.3">
      <c r="B3" s="1357" t="str">
        <f ca="1">MID(CELL("filename",A1),FIND("]",CELL("filename",A1))+1,256)</f>
        <v>F-1 Off-Site WaterC' Baseline</v>
      </c>
      <c r="C3" s="1358"/>
      <c r="D3" s="1358"/>
      <c r="E3" s="1359"/>
      <c r="H3" s="1659" t="s">
        <v>389</v>
      </c>
      <c r="I3" s="1660"/>
      <c r="J3" s="1660"/>
      <c r="K3" s="1676">
        <f>'Headline Results'!H49</f>
        <v>0.26578800000000014</v>
      </c>
      <c r="L3" s="1676"/>
      <c r="M3" s="1677"/>
      <c r="O3" s="1774"/>
      <c r="P3" s="1774"/>
      <c r="Q3" s="1774"/>
      <c r="R3" s="1774"/>
      <c r="S3" s="1774"/>
      <c r="T3" s="1774"/>
      <c r="U3" s="1774"/>
      <c r="V3" s="1774"/>
      <c r="W3" s="1774"/>
    </row>
    <row r="4" spans="2:53" ht="15" customHeight="1" thickBot="1" x14ac:dyDescent="0.3">
      <c r="B4" s="1357"/>
      <c r="C4" s="1358"/>
      <c r="D4" s="1358"/>
      <c r="E4" s="1359"/>
      <c r="H4" s="1752" t="s">
        <v>391</v>
      </c>
      <c r="I4" s="1753"/>
      <c r="J4" s="1753"/>
      <c r="K4" s="1678" t="str">
        <f>'Headline Results'!H53</f>
        <v>N/A</v>
      </c>
      <c r="L4" s="1678"/>
      <c r="M4" s="1679"/>
      <c r="O4" s="1774"/>
      <c r="P4" s="1774"/>
      <c r="Q4" s="1774"/>
      <c r="R4" s="1774"/>
      <c r="S4" s="1774"/>
      <c r="T4" s="1774"/>
      <c r="U4" s="1774"/>
      <c r="V4" s="1774"/>
      <c r="W4" s="1774"/>
      <c r="X4" s="1766" t="str">
        <f>IF(SUM(AL10:AL257)&gt;0,"Check Lengths ⚠","")</f>
        <v/>
      </c>
      <c r="Y4" s="1766"/>
      <c r="Z4" s="1766"/>
      <c r="AA4" s="1766"/>
      <c r="AB4" s="1766"/>
      <c r="AC4" s="1766"/>
      <c r="AD4" s="506"/>
    </row>
    <row r="5" spans="2:53" ht="27" customHeight="1" thickBot="1" x14ac:dyDescent="0.3">
      <c r="B5" s="30"/>
      <c r="C5" s="30"/>
      <c r="H5" s="1754" t="s">
        <v>393</v>
      </c>
      <c r="I5" s="1729"/>
      <c r="J5" s="1729"/>
      <c r="K5" s="1729" t="str" cm="1">
        <f t="array" ref="K5">IF(OR('Trading Summary WaterC''s'!G5:H8="No ▲"), "No - check trading summary ▲", "Yes ✓")</f>
        <v>Yes ✓</v>
      </c>
      <c r="L5" s="1729"/>
      <c r="M5" s="1730"/>
      <c r="W5" s="258"/>
      <c r="X5" s="1766"/>
      <c r="Y5" s="1766"/>
      <c r="Z5" s="1766"/>
      <c r="AA5" s="1766"/>
      <c r="AB5" s="1766"/>
      <c r="AC5" s="1766"/>
      <c r="AD5" s="506"/>
    </row>
    <row r="6" spans="2:53" ht="40.35" customHeight="1" x14ac:dyDescent="0.25">
      <c r="B6" s="30"/>
      <c r="C6" s="30"/>
      <c r="D6" s="92"/>
    </row>
    <row r="7" spans="2:53" ht="14.4" thickBot="1" x14ac:dyDescent="0.3"/>
    <row r="8" spans="2:53" ht="30.75" customHeight="1" thickBot="1" x14ac:dyDescent="0.3">
      <c r="C8" s="1686" t="s">
        <v>527</v>
      </c>
      <c r="D8" s="1686"/>
      <c r="E8" s="1686"/>
      <c r="F8" s="1688" t="s">
        <v>395</v>
      </c>
      <c r="G8" s="1688"/>
      <c r="H8" s="1688" t="s">
        <v>482</v>
      </c>
      <c r="I8" s="1688"/>
      <c r="J8" s="1686" t="s">
        <v>397</v>
      </c>
      <c r="K8" s="1686"/>
      <c r="L8" s="1686"/>
      <c r="M8" s="1688" t="s">
        <v>528</v>
      </c>
      <c r="N8" s="1688"/>
      <c r="O8" s="1688" t="s">
        <v>529</v>
      </c>
      <c r="P8" s="1688"/>
      <c r="Q8" s="1685" t="s">
        <v>398</v>
      </c>
      <c r="R8" s="118" t="s">
        <v>399</v>
      </c>
      <c r="S8" s="1686" t="s">
        <v>483</v>
      </c>
      <c r="T8" s="1687"/>
      <c r="U8" s="118" t="s">
        <v>399</v>
      </c>
      <c r="V8" s="1688" t="s">
        <v>409</v>
      </c>
      <c r="W8" s="94"/>
      <c r="X8" s="1712"/>
      <c r="Y8" s="1712"/>
      <c r="Z8" s="1712"/>
      <c r="AA8" s="1712"/>
      <c r="AB8" s="1712"/>
      <c r="AC8" s="1712"/>
      <c r="AD8" s="1688" t="s">
        <v>530</v>
      </c>
      <c r="AE8" s="1722" t="s">
        <v>401</v>
      </c>
      <c r="AF8" s="1723"/>
      <c r="AG8" s="1723"/>
      <c r="AH8" s="1724"/>
      <c r="AI8" s="37" t="s">
        <v>392</v>
      </c>
      <c r="AJ8" s="37" t="s">
        <v>392</v>
      </c>
    </row>
    <row r="9" spans="2:53" ht="62.1" customHeight="1" thickBot="1" x14ac:dyDescent="0.3">
      <c r="C9" s="522" t="s">
        <v>406</v>
      </c>
      <c r="D9" s="979" t="s">
        <v>273</v>
      </c>
      <c r="E9" s="124" t="s">
        <v>505</v>
      </c>
      <c r="F9" s="120" t="s">
        <v>395</v>
      </c>
      <c r="G9" s="124" t="s">
        <v>411</v>
      </c>
      <c r="H9" s="120" t="s">
        <v>396</v>
      </c>
      <c r="I9" s="124" t="s">
        <v>411</v>
      </c>
      <c r="J9" s="120" t="s">
        <v>397</v>
      </c>
      <c r="K9" s="125" t="s">
        <v>397</v>
      </c>
      <c r="L9" s="124" t="s">
        <v>412</v>
      </c>
      <c r="M9" s="120" t="s">
        <v>531</v>
      </c>
      <c r="N9" s="124" t="s">
        <v>532</v>
      </c>
      <c r="O9" s="120" t="s">
        <v>533</v>
      </c>
      <c r="P9" s="124" t="s">
        <v>532</v>
      </c>
      <c r="Q9" s="1685"/>
      <c r="R9" s="544" t="s">
        <v>555</v>
      </c>
      <c r="S9" s="605" t="s">
        <v>486</v>
      </c>
      <c r="T9" s="629" t="s">
        <v>483</v>
      </c>
      <c r="U9" s="544" t="s">
        <v>534</v>
      </c>
      <c r="V9" s="1737"/>
      <c r="W9" s="98"/>
      <c r="X9" s="116" t="s">
        <v>507</v>
      </c>
      <c r="Y9" s="580" t="s">
        <v>508</v>
      </c>
      <c r="Z9" s="580" t="s">
        <v>509</v>
      </c>
      <c r="AA9" s="580" t="s">
        <v>510</v>
      </c>
      <c r="AB9" s="580" t="s">
        <v>511</v>
      </c>
      <c r="AC9" s="546" t="s">
        <v>417</v>
      </c>
      <c r="AD9" s="1751"/>
      <c r="AE9" s="116" t="s">
        <v>385</v>
      </c>
      <c r="AF9" s="546" t="s">
        <v>362</v>
      </c>
      <c r="AG9" s="633" t="s">
        <v>353</v>
      </c>
      <c r="AH9" s="633" t="s">
        <v>488</v>
      </c>
      <c r="AI9" s="49" t="s">
        <v>418</v>
      </c>
      <c r="AJ9" s="49" t="s">
        <v>419</v>
      </c>
      <c r="AK9" s="92" t="s">
        <v>405</v>
      </c>
      <c r="AL9" s="33" t="s">
        <v>556</v>
      </c>
      <c r="AM9" s="99" t="s">
        <v>420</v>
      </c>
      <c r="AN9" s="99" t="s">
        <v>421</v>
      </c>
      <c r="AO9" s="100"/>
      <c r="AP9" s="99" t="s">
        <v>423</v>
      </c>
      <c r="AQ9" s="100"/>
      <c r="AR9" s="99" t="s">
        <v>420</v>
      </c>
      <c r="AS9" s="99" t="s">
        <v>421</v>
      </c>
      <c r="AT9" s="904" t="s">
        <v>424</v>
      </c>
      <c r="AW9" s="33" t="s">
        <v>554</v>
      </c>
      <c r="BA9" s="580" t="s">
        <v>509</v>
      </c>
    </row>
    <row r="10" spans="2:53" ht="69.599999999999994" thickBot="1" x14ac:dyDescent="0.3">
      <c r="C10" s="95">
        <v>1</v>
      </c>
      <c r="D10" s="591" t="s">
        <v>276</v>
      </c>
      <c r="E10" s="559">
        <v>0.02</v>
      </c>
      <c r="F10" s="356" t="str">
        <f>IF(D10="","",VLOOKUP(D10,'G-7 WaterC'' Data'!$B$2:$G$8,2,FALSE))</f>
        <v>V.High</v>
      </c>
      <c r="G10" s="612">
        <f>IFERROR(VLOOKUP(F10,'G-7 WaterC'' Data'!$C$4:$D$8,2,FALSE),"")</f>
        <v>8</v>
      </c>
      <c r="H10" s="607" t="s">
        <v>614</v>
      </c>
      <c r="I10" s="560">
        <f>IFERROR(INDEX('G-7 WaterC'' Data'!$H$4:$L$8,MATCH(D10,'G-7 WaterC'' Data'!$B$4:$B$8,0),MATCH(H10,'G-7 WaterC'' Data'!$H$3:$L$3,0)),"")</f>
        <v>1.5</v>
      </c>
      <c r="J10" s="570" t="s">
        <v>1119</v>
      </c>
      <c r="K10" s="286" t="str">
        <f>IF(J10="","",IF(VLOOKUP(J10,'G-7 WaterC'' Data'!$AK$4:$AM$9,2,FALSE)=0,"Spatial Data Missing ⚠",VLOOKUP(J10,'G-7 WaterC'' Data'!$AK$4:$AM$6,2,FALSE)))</f>
        <v xml:space="preserve">High strategic significance </v>
      </c>
      <c r="L10" s="560">
        <f>IF(J10="","",IF(VLOOKUP(J10,'G-7 WaterC'' Data'!$AK$4:$AM$9,3,FALSE)=0,"Spatial Data Missing ⚠",VLOOKUP(J10,'G-7 WaterC'' Data'!$AK$4:$AM$6,3,FALSE)))</f>
        <v>1.1499999999999999</v>
      </c>
      <c r="M10" s="561" t="s">
        <v>1224</v>
      </c>
      <c r="N10" s="560">
        <f>IF(M10="","",IF(AND(M10="N/A - Culvert",D10&lt;&gt;"Culvert"),"Not possible ▲",IF(AND(D10="Culvert",M10&lt;&gt;"N/A - Culvert"),"Not possible ▲",IF(VLOOKUP(M10,'G-7 WaterC'' Data'!$AA$4:$AB$7,2,FALSE)=0,"Spatial Data Missing ⚠",VLOOKUP(M10,'G-7 WaterC'' Data'!$AA$4:$AB$7,2,FALSE)))))</f>
        <v>0.5</v>
      </c>
      <c r="O10" s="642" t="s">
        <v>1215</v>
      </c>
      <c r="P10" s="560">
        <f>IF(O10="","",IF(AND(O10="N/A - Culvert",D10&lt;&gt;"Culvert"),"Not possible ▲",IF(AND(D10="Culvert",O10&lt;&gt;"N/A - Culvert"),"Not possible ▲",IF(VLOOKUP(O10,'G-7 WaterC'' Data'!$AD$4:$AE$14,2,FALSE)=0,"Spatial Data Missing ⚠",VLOOKUP(O10,'G-7 WaterC'' Data'!$AD$4:$AE$14,2,FALSE)))))</f>
        <v>0.75</v>
      </c>
      <c r="Q10" s="563" t="str">
        <f>IF(D10="","",VLOOKUP(D10,'G-7 WaterC'' Data'!$B$4:$G$8,6,FALSE))</f>
        <v>Same habitat required – bespoke compensation option ⚠</v>
      </c>
      <c r="R10" s="564">
        <f>IFERROR(IF(AND(X10&gt;0, Y10&gt;0, X10+Y10&gt;E10), "Split retained and enhanced into separate entries ▲", IF(OR(K10="Check data ⚠",I10="Check data ⚠"), "Check data ▲", E10*G10*I10*L10*N10*P10*T10 ))," ")</f>
        <v>0.10349999999999998</v>
      </c>
      <c r="S10" s="443" t="s">
        <v>1222</v>
      </c>
      <c r="T10" s="562">
        <f>IF(S10="","",IF(VLOOKUP(S10,'G-7 WaterC'' Data'!$AO$4:$BO$7,2,FALSE)=0,"Spatial Data Missing ⚠",VLOOKUP(S10,'G-7 WaterC'' Data'!$AO$4:$BO$7,2,FALSE)))</f>
        <v>1</v>
      </c>
      <c r="U10" s="564">
        <f>IFERROR(IF(AND(X10&gt;0, Y10&gt;0, X10+Y10&gt;E10), "Split retained and enhanced into separate entries ▲", IF(AND(S10&lt;&gt;"",AH10=""), "Off-site reference required ▲",IF(OR(K10="Check data ⚠",I10="Check data ⚠"), "Check data ▲", E10*G10*I10*L10*N10*P10 )))," ")</f>
        <v>0.10349999999999998</v>
      </c>
      <c r="V10" s="709" t="str">
        <f>AU10</f>
        <v>No</v>
      </c>
      <c r="W10" s="32"/>
      <c r="X10" s="561"/>
      <c r="Y10" s="570">
        <v>0.02</v>
      </c>
      <c r="Z10" s="571">
        <f>IFERROR(IF(X10&gt;E10,"Error in Lengths ▲",X10*G10*I10*L10*N10*P10),"")</f>
        <v>0</v>
      </c>
      <c r="AA10" s="571">
        <f>IFERROR(IF(D10="","",Y10*G10*I10*L10*N10*P10),"")</f>
        <v>0.10349999999999998</v>
      </c>
      <c r="AB10" s="571">
        <f>IFERROR(IF(D10="","",IF(E10&gt;(X10+Y10),E10-X10-Y10,0)),"")</f>
        <v>0</v>
      </c>
      <c r="AC10" s="507">
        <f>IFERROR(IF(OR(E10="",R10=""),"", IF(AND(AB10&lt;&gt;"",S10=""), "Spatial risk category missing ▲", IF(AND(Q10='G-7 WaterC'' Data'!$G$4,AD10="Yes"),"Alternative Compensation ✓", IF(AND(AD10="Pending", Q10='G-7 WaterC'' Data'!$G$4),"Bespoke compensation must be agreed ▲", IF((Z10+AA10)&gt;=U10,0, U10-Z10-AA10))))),"Check Data ⚠")</f>
        <v>0</v>
      </c>
      <c r="AD10" s="443" t="s">
        <v>427</v>
      </c>
      <c r="AE10" s="607"/>
      <c r="AF10" s="623"/>
      <c r="AG10" s="623"/>
      <c r="AH10" s="623" t="s">
        <v>1795</v>
      </c>
      <c r="AI10" s="54" t="str">
        <f>IF(OR(Q10="",AD10="Yes"),"",IF(Q10='G-1 All Habitats'!$X$9,E10-Y10-X10,"None"))</f>
        <v>None</v>
      </c>
      <c r="AJ10" s="55" t="str">
        <f>IF(Q10="","", IF(Q10='G-1 All Habitats'!$X$9, AI10*G10*I10*L10*N10*P10,"None"))</f>
        <v>None</v>
      </c>
      <c r="AK10" s="30" t="str">
        <f>IFERROR(INDEX('G-7 WaterC'' Data'!$AZ$3:$AZ$7,MATCH(D10,'G-7 WaterC'' Data'!$AY$3:$AY$7,0)),"")</f>
        <v>Rivercond1</v>
      </c>
      <c r="AL10" s="30">
        <f>IFERROR(IF(X10+Y10&gt;E10,1,0),"")</f>
        <v>0</v>
      </c>
      <c r="AM10" s="99" t="b">
        <f>IF(D10="","",IF(X10&gt;0,TRUE,FALSE))</f>
        <v>0</v>
      </c>
      <c r="AN10" s="99" t="b">
        <f>IF(D10="","",IF(Y10&gt;0,TRUE,FALSE))</f>
        <v>1</v>
      </c>
      <c r="AO10" s="100"/>
      <c r="AP10" s="99">
        <v>1</v>
      </c>
      <c r="AQ10" s="100"/>
      <c r="AR10" s="99" t="str">
        <f t="array" ref="AR10">IFERROR(INDEX($AP$10:$AP$258, MATCH(0, IF(TRUE=$AM$10:$AM$258, COUNTIF($AR9:$AR$9, $AP$10:$AP$258), ""), 0)),"")</f>
        <v/>
      </c>
      <c r="AS10" s="99">
        <f t="array" ref="AS10">IFERROR(INDEX($AP$10:$AP$258, MATCH(0, IF(TRUE=$AN$10:$AN$258, COUNTIF($AS9:$AS$9, $AP$10:$AP$258), ""), 0)),"")</f>
        <v>1</v>
      </c>
      <c r="AT10" s="903" t="str">
        <f>IF(AND(OR(AD10="Yes",AD10="Pending"),Q10='G-7 WaterC'' Data'!$G$4),U10-AA10-Z10,"0")</f>
        <v>0</v>
      </c>
      <c r="AU10" s="30" t="str">
        <f>IF(D10="","",VLOOKUP(D10,'G-7 WaterC'' Data'!B$4:M$8,12,FALSE))</f>
        <v>No</v>
      </c>
      <c r="AV10" s="30" t="str">
        <f t="shared" ref="AV10:AV73" si="0">IF(AD10="","", IF(AD10="Yes", "Yes ✓", "No ▲"))</f>
        <v>No ▲</v>
      </c>
      <c r="AW10" s="30" t="str">
        <f>IF(AND(D10="Ditches",(OR(H10="Fairly Poor",H10="Fairly Good"))), "Yes", "No")</f>
        <v>No</v>
      </c>
      <c r="BA10" s="571">
        <f>IFERROR(IF(X10&gt;E10,"Error in Lengths ▲",IF(Z10="Irreplaceable habitat - no units generated ⚠","0",X10*G10*I10*L10*N10*P10*T10)+(AT10*T10)),"")</f>
        <v>0</v>
      </c>
    </row>
    <row r="11" spans="2:53" ht="69.599999999999994" thickBot="1" x14ac:dyDescent="0.3">
      <c r="C11" s="101">
        <v>2</v>
      </c>
      <c r="D11" s="268" t="s">
        <v>276</v>
      </c>
      <c r="E11" s="102">
        <v>0.129</v>
      </c>
      <c r="F11" s="281" t="str">
        <f>IF(D11="","",VLOOKUP(D11,'G-7 WaterC'' Data'!$B$2:$G$8,2,FALSE))</f>
        <v>V.High</v>
      </c>
      <c r="G11" s="320">
        <f>IFERROR(VLOOKUP(F11,'G-7 WaterC'' Data'!$C$4:$D$8,2,FALSE),"")</f>
        <v>8</v>
      </c>
      <c r="H11" s="109" t="s">
        <v>614</v>
      </c>
      <c r="I11" s="305">
        <f>IFERROR(INDEX('G-7 WaterC'' Data'!$H$4:$L$8,MATCH(D11,'G-7 WaterC'' Data'!$B$4:$B$8,0),MATCH(H11,'G-7 WaterC'' Data'!$H$3:$L$3,0)),"")</f>
        <v>1.5</v>
      </c>
      <c r="J11" s="718" t="s">
        <v>1119</v>
      </c>
      <c r="K11" s="301" t="str">
        <f>IF(J11="","",IF(VLOOKUP(J11,'G-7 WaterC'' Data'!$AK$4:$AM$9,2,FALSE)=0,"Spatial Data Missing ⚠",VLOOKUP(J11,'G-7 WaterC'' Data'!$AK$4:$AM$6,2,FALSE)))</f>
        <v xml:space="preserve">High strategic significance </v>
      </c>
      <c r="L11" s="305">
        <f>IF(J11="","",IF(VLOOKUP(J11,'G-7 WaterC'' Data'!$AK$4:$AM$9,3,FALSE)=0,"Spatial Data Missing ⚠",VLOOKUP(J11,'G-7 WaterC'' Data'!$AK$4:$AM$6,3,FALSE)))</f>
        <v>1.1499999999999999</v>
      </c>
      <c r="M11" s="106" t="s">
        <v>1214</v>
      </c>
      <c r="N11" s="282">
        <f>IF(M11="","",IF(AND(M11="N/A - Culvert",D11&lt;&gt;"Culvert"),"Not possible ▲",IF(AND(D11="Culvert",M11&lt;&gt;"N/A - Culvert"),"Not possible ▲",IF(VLOOKUP(M11,'G-7 WaterC'' Data'!$AA$4:$AB$7,2,FALSE)=0,"Spatial Data Missing ⚠",VLOOKUP(M11,'G-7 WaterC'' Data'!$AA$4:$AB$7,2,FALSE)))))</f>
        <v>1</v>
      </c>
      <c r="O11" s="56" t="s">
        <v>1225</v>
      </c>
      <c r="P11" s="282">
        <f>IF(O11="","",IF(AND(O11="N/A - Culvert",D11&lt;&gt;"Culvert"),"Not possible ▲",IF(AND(D11="Culvert",O11&lt;&gt;"N/A - Culvert"),"Not possible ▲",IF(VLOOKUP(O11,'G-7 WaterC'' Data'!$AD$4:$AE$14,2,FALSE)=0,"Spatial Data Missing ⚠",VLOOKUP(O11,'G-7 WaterC'' Data'!$AD$4:$AE$14,2,FALSE)))))</f>
        <v>0.84</v>
      </c>
      <c r="Q11" s="288" t="str">
        <f>IF(D11="","",VLOOKUP(D11,'G-7 WaterC'' Data'!$B$4:$G$8,6,FALSE))</f>
        <v>Same habitat required – bespoke compensation option ⚠</v>
      </c>
      <c r="R11" s="295">
        <f t="shared" ref="R11:R74" si="1">IFERROR(IF(AND(X11&gt;0, Y11&gt;0, X11+Y11&gt;E11), "Split retained and enhanced into separate entries ▲", IF(OR(K11="Check data ⚠",I11="Check data ⚠"), "Check data ▲", E11*G11*I11*L11*N11*P11*T11 ))," ")</f>
        <v>1.495368</v>
      </c>
      <c r="S11" s="403" t="s">
        <v>1222</v>
      </c>
      <c r="T11" s="287">
        <f>IF(S11="","",IF(VLOOKUP(S11,'G-7 WaterC'' Data'!$AO$4:$BO$7,2,FALSE)=0,"Spatial Data Missing ⚠",VLOOKUP(S11,'G-7 WaterC'' Data'!$AO$4:$BO$7,2,FALSE)))</f>
        <v>1</v>
      </c>
      <c r="U11" s="295">
        <f t="shared" ref="U11:U74" si="2">IFERROR(IF(AND(X11&gt;0, Y11&gt;0, X11+Y11&gt;E11), "Split retained and enhanced into separate entries ▲", IF(AND(S11&lt;&gt;"",AH11=""), "Off-site reference required ▲",IF(OR(K11="Check data ⚠",I11="Check data ⚠"), "Check data ▲", E11*G11*I11*L11*N11*P11 )))," ")</f>
        <v>1.495368</v>
      </c>
      <c r="V11" s="710" t="str">
        <f t="shared" ref="V11:V74" si="3">AU11</f>
        <v>No</v>
      </c>
      <c r="W11" s="32"/>
      <c r="X11" s="52"/>
      <c r="Y11" s="53">
        <v>0.129</v>
      </c>
      <c r="Z11" s="293">
        <f t="shared" ref="Z11:Z74" si="4">IFERROR(IF(X11&gt;E11,"Error in Lengths ▲",X11*G11*I11*L11*N11*P11),"")</f>
        <v>0</v>
      </c>
      <c r="AA11" s="293">
        <f t="shared" ref="AA11:AA74" si="5">IFERROR(IF(D11="","",Y11*G11*I11*L11*N11*P11),"")</f>
        <v>1.495368</v>
      </c>
      <c r="AB11" s="293">
        <f t="shared" ref="AB11:AB74" si="6">IFERROR(IF(D11="","",IF(E11&gt;(X11+Y11),E11-X11-Y11,0)),"")</f>
        <v>0</v>
      </c>
      <c r="AC11" s="507">
        <f>IFERROR(IF(OR(E11="",R11=""),"", IF(AND(AB11&lt;&gt;"",S11=""), "Spatial risk category missing ▲", IF(AND(Q11='G-7 WaterC'' Data'!$G$4,AD11="Yes"),"Alternative Compensation ✓", IF(AND(AD11="Pending", Q11='G-7 WaterC'' Data'!$G$4),"Bespoke compensation must be agreed ▲", IF((Z11+AA11)&gt;=U11,0, U11-Z11-AA11))))),"Check Data ⚠")</f>
        <v>0</v>
      </c>
      <c r="AD11" s="403" t="s">
        <v>427</v>
      </c>
      <c r="AE11" s="109"/>
      <c r="AF11" s="108"/>
      <c r="AG11" s="108"/>
      <c r="AH11" s="108" t="s">
        <v>1795</v>
      </c>
      <c r="AI11" s="54" t="str">
        <f>IF(OR(Q11="",AD11="Yes"),"",IF(Q11='G-1 All Habitats'!$X$9,E11-Y11-X11,"None"))</f>
        <v>None</v>
      </c>
      <c r="AJ11" s="55" t="str">
        <f>IF(Q11="","", IF(Q11='G-1 All Habitats'!$X$9, AI11*G11*I11*L11*N11*P11,"None"))</f>
        <v>None</v>
      </c>
      <c r="AK11" s="30" t="str">
        <f>IFERROR(INDEX('G-7 WaterC'' Data'!$AZ$3:$AZ$7,MATCH(D11,'G-7 WaterC'' Data'!$AY$3:$AY$7,0)),"")</f>
        <v>Rivercond1</v>
      </c>
      <c r="AL11" s="30">
        <f t="shared" ref="AL11:AL74" si="7">IFERROR(IF(X11+Y11&gt;E11,1,0),"")</f>
        <v>0</v>
      </c>
      <c r="AM11" s="99" t="b">
        <f t="shared" ref="AM11:AM74" si="8">IF(D11="","",IF(X11&gt;0,TRUE,FALSE))</f>
        <v>0</v>
      </c>
      <c r="AN11" s="99" t="b">
        <f t="shared" ref="AN11:AN74" si="9">IF(D11="","",IF(Y11&gt;0,TRUE,FALSE))</f>
        <v>1</v>
      </c>
      <c r="AO11" s="100"/>
      <c r="AP11" s="99">
        <v>2</v>
      </c>
      <c r="AQ11" s="100"/>
      <c r="AR11" s="99" t="str">
        <f t="array" ref="AR11">IFERROR(INDEX($AP$10:$AP$258, MATCH(0, IF(TRUE=$AM$10:$AM$258, COUNTIF($AR$9:$AR10, $AP$10:$AP$258), ""), 0)),"")</f>
        <v/>
      </c>
      <c r="AS11" s="99">
        <f t="array" ref="AS11">IFERROR(INDEX($AP$10:$AP$258, MATCH(0, IF(TRUE=$AN$10:$AN$258, COUNTIF($AS$9:$AS10, $AP$10:$AP$258), ""), 0)),"")</f>
        <v>2</v>
      </c>
      <c r="AT11" s="903" t="str">
        <f>IF(AND(OR(AD11="Yes",AD11="Pending"),Q11='G-7 WaterC'' Data'!$G$4),U11-AA11-Z11,"0")</f>
        <v>0</v>
      </c>
      <c r="AU11" s="30" t="str">
        <f>IF(D11="","",VLOOKUP(D11,'G-7 WaterC'' Data'!B$4:M$8,12,FALSE))</f>
        <v>No</v>
      </c>
      <c r="AV11" s="30" t="str">
        <f t="shared" si="0"/>
        <v>No ▲</v>
      </c>
      <c r="AW11" s="30" t="str">
        <f t="shared" ref="AW11:AW74" si="10">IF(AND(D11="Ditches",(OR(H11="Fairly Poor",H11="Fairly Good"))), "Yes", "No")</f>
        <v>No</v>
      </c>
      <c r="BA11" s="571">
        <f t="shared" ref="BA11:BA74" si="11">IFERROR(IF(X11&gt;E11,"Error in Lengths ▲",IF(Z11="Irreplaceable habitat - no units generated ⚠","0",X11*G11*I11*L11*N11*P11*T11)+(AT11*T11)),"")</f>
        <v>0</v>
      </c>
    </row>
    <row r="12" spans="2:53" ht="14.4" thickBot="1" x14ac:dyDescent="0.3">
      <c r="C12" s="101">
        <v>3</v>
      </c>
      <c r="D12" s="268"/>
      <c r="E12" s="102"/>
      <c r="F12" s="281" t="str">
        <f>IF(D12="","",VLOOKUP(D12,'G-7 WaterC'' Data'!$B$2:$G$8,2,FALSE))</f>
        <v/>
      </c>
      <c r="G12" s="320" t="str">
        <f>IFERROR(VLOOKUP(F12,'G-7 WaterC'' Data'!$C$4:$D$8,2,FALSE),"")</f>
        <v/>
      </c>
      <c r="H12" s="109"/>
      <c r="I12" s="305" t="str">
        <f>IFERROR(INDEX('G-7 WaterC'' Data'!$H$4:$L$8,MATCH(D12,'G-7 WaterC'' Data'!$B$4:$B$8,0),MATCH(H12,'G-7 WaterC'' Data'!$H$3:$L$3,0)),"")</f>
        <v/>
      </c>
      <c r="J12" s="718"/>
      <c r="K12" s="301" t="str">
        <f>IF(J12="","",IF(VLOOKUP(J12,'G-7 WaterC'' Data'!$AK$4:$AM$9,2,FALSE)=0,"Spatial Data Missing ⚠",VLOOKUP(J12,'G-7 WaterC'' Data'!$AK$4:$AM$6,2,FALSE)))</f>
        <v/>
      </c>
      <c r="L12" s="305" t="str">
        <f>IF(J12="","",IF(VLOOKUP(J12,'G-7 WaterC'' Data'!$AK$4:$AM$9,3,FALSE)=0,"Spatial Data Missing ⚠",VLOOKUP(J12,'G-7 WaterC'' Data'!$AK$4:$AM$6,3,FALSE)))</f>
        <v/>
      </c>
      <c r="M12" s="106"/>
      <c r="N12" s="282" t="str">
        <f>IF(M12="","",IF(AND(M12="N/A - Culvert",D12&lt;&gt;"Culvert"),"Not possible ▲",IF(AND(D12="Culvert",M12&lt;&gt;"N/A - Culvert"),"Not possible ▲",IF(VLOOKUP(M12,'G-7 WaterC'' Data'!$AA$4:$AB$7,2,FALSE)=0,"Spatial Data Missing ⚠",VLOOKUP(M12,'G-7 WaterC'' Data'!$AA$4:$AB$7,2,FALSE)))))</f>
        <v/>
      </c>
      <c r="O12" s="56"/>
      <c r="P12" s="282" t="str">
        <f>IF(O12="","",IF(AND(O12="N/A - Culvert",D12&lt;&gt;"Culvert"),"Not possible ▲",IF(AND(D12="Culvert",O12&lt;&gt;"N/A - Culvert"),"Not possible ▲",IF(VLOOKUP(O12,'G-7 WaterC'' Data'!$AD$4:$AE$14,2,FALSE)=0,"Spatial Data Missing ⚠",VLOOKUP(O12,'G-7 WaterC'' Data'!$AD$4:$AE$14,2,FALSE)))))</f>
        <v/>
      </c>
      <c r="Q12" s="288" t="str">
        <f>IF(D12="","",VLOOKUP(D12,'G-7 WaterC'' Data'!$B$4:$G$8,6,FALSE))</f>
        <v/>
      </c>
      <c r="R12" s="295" t="str">
        <f t="shared" si="1"/>
        <v xml:space="preserve"> </v>
      </c>
      <c r="S12" s="403"/>
      <c r="T12" s="287" t="str">
        <f>IF(S12="","",IF(VLOOKUP(S12,'G-7 WaterC'' Data'!$AO$4:$BO$7,2,FALSE)=0,"Spatial Data Missing ⚠",VLOOKUP(S12,'G-7 WaterC'' Data'!$AO$4:$BO$7,2,FALSE)))</f>
        <v/>
      </c>
      <c r="U12" s="295" t="str">
        <f t="shared" si="2"/>
        <v xml:space="preserve"> </v>
      </c>
      <c r="V12" s="710" t="str">
        <f t="shared" si="3"/>
        <v/>
      </c>
      <c r="W12" s="32"/>
      <c r="X12" s="52"/>
      <c r="Y12" s="53"/>
      <c r="Z12" s="293" t="str">
        <f t="shared" si="4"/>
        <v/>
      </c>
      <c r="AA12" s="293" t="str">
        <f t="shared" si="5"/>
        <v/>
      </c>
      <c r="AB12" s="293" t="str">
        <f t="shared" si="6"/>
        <v/>
      </c>
      <c r="AC12" s="507" t="str">
        <f>IFERROR(IF(OR(E12="",R12=""),"", IF(AND(AB12&lt;&gt;"",S12=""), "Spatial risk category missing ▲", IF(AND(Q12='G-7 WaterC'' Data'!$G$4,AD12="Yes"),"Alternative Compensation ✓", IF(AND(AD12="Pending", Q12='G-7 WaterC'' Data'!$G$4),"Bespoke compensation must be agreed ▲", IF((Z12+AA12)&gt;=U12,0, U12-Z12-AA12))))),"Check Data ⚠")</f>
        <v/>
      </c>
      <c r="AD12" s="403"/>
      <c r="AE12" s="109"/>
      <c r="AF12" s="108"/>
      <c r="AG12" s="108"/>
      <c r="AH12" s="108"/>
      <c r="AI12" s="54" t="str">
        <f>IF(OR(Q12="",AD12="Yes"),"",IF(Q12='G-1 All Habitats'!$X$9,E12-Y12-X12,"None"))</f>
        <v/>
      </c>
      <c r="AJ12" s="55" t="str">
        <f>IF(Q12="","", IF(Q12='G-1 All Habitats'!$X$9, AI12*G12*I12*L12*N12*P12,"None"))</f>
        <v/>
      </c>
      <c r="AK12" s="30" t="str">
        <f>IFERROR(INDEX('G-7 WaterC'' Data'!$AZ$3:$AZ$7,MATCH(D12,'G-7 WaterC'' Data'!$AY$3:$AY$7,0)),"")</f>
        <v/>
      </c>
      <c r="AL12" s="30">
        <f t="shared" si="7"/>
        <v>0</v>
      </c>
      <c r="AM12" s="99" t="str">
        <f t="shared" si="8"/>
        <v/>
      </c>
      <c r="AN12" s="99" t="str">
        <f t="shared" si="9"/>
        <v/>
      </c>
      <c r="AO12" s="100"/>
      <c r="AP12" s="99">
        <v>3</v>
      </c>
      <c r="AQ12" s="100"/>
      <c r="AR12" s="99" t="str">
        <f t="array" ref="AR12">IFERROR(INDEX($AP$10:$AP$258, MATCH(0, IF(TRUE=$AM$10:$AM$258, COUNTIF($AR$9:$AR11, $AP$10:$AP$258), ""), 0)),"")</f>
        <v/>
      </c>
      <c r="AS12" s="99" t="str">
        <f t="array" ref="AS12">IFERROR(INDEX($AP$10:$AP$258, MATCH(0, IF(TRUE=$AN$10:$AN$258, COUNTIF($AS$9:$AS11, $AP$10:$AP$258), ""), 0)),"")</f>
        <v/>
      </c>
      <c r="AT12" s="903" t="str">
        <f>IF(AND(OR(AD12="Yes",AD12="Pending"),Q12='G-7 WaterC'' Data'!$G$4),U12-AA12-Z12,"0")</f>
        <v>0</v>
      </c>
      <c r="AU12" s="30" t="str">
        <f>IF(D12="","",VLOOKUP(D12,'G-7 WaterC'' Data'!B$4:M$8,12,FALSE))</f>
        <v/>
      </c>
      <c r="AV12" s="30" t="str">
        <f t="shared" si="0"/>
        <v/>
      </c>
      <c r="AW12" s="30" t="str">
        <f t="shared" si="10"/>
        <v>No</v>
      </c>
      <c r="BA12" s="571" t="str">
        <f t="shared" si="11"/>
        <v/>
      </c>
    </row>
    <row r="13" spans="2:53" ht="14.4" thickBot="1" x14ac:dyDescent="0.3">
      <c r="C13" s="101">
        <v>4</v>
      </c>
      <c r="D13" s="268"/>
      <c r="E13" s="102"/>
      <c r="F13" s="281" t="str">
        <f>IF(D13="","",VLOOKUP(D13,'G-7 WaterC'' Data'!$B$2:$G$8,2,FALSE))</f>
        <v/>
      </c>
      <c r="G13" s="320" t="str">
        <f>IFERROR(VLOOKUP(F13,'G-7 WaterC'' Data'!$C$4:$D$8,2,FALSE),"")</f>
        <v/>
      </c>
      <c r="H13" s="109"/>
      <c r="I13" s="305" t="str">
        <f>IFERROR(INDEX('G-7 WaterC'' Data'!$H$4:$L$8,MATCH(D13,'G-7 WaterC'' Data'!$B$4:$B$8,0),MATCH(H13,'G-7 WaterC'' Data'!$H$3:$L$3,0)),"")</f>
        <v/>
      </c>
      <c r="J13" s="718"/>
      <c r="K13" s="301" t="str">
        <f>IF(J13="","",IF(VLOOKUP(J13,'G-7 WaterC'' Data'!$AK$4:$AM$9,2,FALSE)=0,"Spatial Data Missing ⚠",VLOOKUP(J13,'G-7 WaterC'' Data'!$AK$4:$AM$6,2,FALSE)))</f>
        <v/>
      </c>
      <c r="L13" s="305" t="str">
        <f>IF(J13="","",IF(VLOOKUP(J13,'G-7 WaterC'' Data'!$AK$4:$AM$9,3,FALSE)=0,"Spatial Data Missing ⚠",VLOOKUP(J13,'G-7 WaterC'' Data'!$AK$4:$AM$6,3,FALSE)))</f>
        <v/>
      </c>
      <c r="M13" s="106"/>
      <c r="N13" s="282" t="str">
        <f>IF(M13="","",IF(AND(M13="N/A - Culvert",D13&lt;&gt;"Culvert"),"Not possible ▲",IF(AND(D13="Culvert",M13&lt;&gt;"N/A - Culvert"),"Not possible ▲",IF(VLOOKUP(M13,'G-7 WaterC'' Data'!$AA$4:$AB$7,2,FALSE)=0,"Spatial Data Missing ⚠",VLOOKUP(M13,'G-7 WaterC'' Data'!$AA$4:$AB$7,2,FALSE)))))</f>
        <v/>
      </c>
      <c r="O13" s="56"/>
      <c r="P13" s="282" t="str">
        <f>IF(O13="","",IF(AND(O13="N/A - Culvert",D13&lt;&gt;"Culvert"),"Not possible ▲",IF(AND(D13="Culvert",O13&lt;&gt;"N/A - Culvert"),"Not possible ▲",IF(VLOOKUP(O13,'G-7 WaterC'' Data'!$AD$4:$AE$14,2,FALSE)=0,"Spatial Data Missing ⚠",VLOOKUP(O13,'G-7 WaterC'' Data'!$AD$4:$AE$14,2,FALSE)))))</f>
        <v/>
      </c>
      <c r="Q13" s="288" t="str">
        <f>IF(D13="","",VLOOKUP(D13,'G-7 WaterC'' Data'!$B$4:$G$8,6,FALSE))</f>
        <v/>
      </c>
      <c r="R13" s="295" t="str">
        <f t="shared" si="1"/>
        <v xml:space="preserve"> </v>
      </c>
      <c r="S13" s="403"/>
      <c r="T13" s="287" t="str">
        <f>IF(S13="","",IF(VLOOKUP(S13,'G-7 WaterC'' Data'!$AO$4:$BO$7,2,FALSE)=0,"Spatial Data Missing ⚠",VLOOKUP(S13,'G-7 WaterC'' Data'!$AO$4:$BO$7,2,FALSE)))</f>
        <v/>
      </c>
      <c r="U13" s="295" t="str">
        <f t="shared" si="2"/>
        <v xml:space="preserve"> </v>
      </c>
      <c r="V13" s="710" t="str">
        <f t="shared" si="3"/>
        <v/>
      </c>
      <c r="W13" s="32"/>
      <c r="X13" s="52"/>
      <c r="Y13" s="53"/>
      <c r="Z13" s="293" t="str">
        <f t="shared" si="4"/>
        <v/>
      </c>
      <c r="AA13" s="293" t="str">
        <f t="shared" si="5"/>
        <v/>
      </c>
      <c r="AB13" s="293" t="str">
        <f t="shared" si="6"/>
        <v/>
      </c>
      <c r="AC13" s="507" t="str">
        <f>IFERROR(IF(OR(E13="",R13=""),"", IF(AND(AB13&lt;&gt;"",S13=""), "Spatial risk category missing ▲", IF(AND(Q13='G-7 WaterC'' Data'!$G$4,AD13="Yes"),"Alternative Compensation ✓", IF(AND(AD13="Pending", Q13='G-7 WaterC'' Data'!$G$4),"Bespoke compensation must be agreed ▲", IF((Z13+AA13)&gt;=U13,0, U13-Z13-AA13))))),"Check Data ⚠")</f>
        <v/>
      </c>
      <c r="AD13" s="403"/>
      <c r="AE13" s="109"/>
      <c r="AF13" s="108"/>
      <c r="AG13" s="108"/>
      <c r="AH13" s="108"/>
      <c r="AI13" s="54" t="str">
        <f>IF(OR(Q13="",AD13="Yes"),"",IF(Q13='G-1 All Habitats'!$X$9,E13-Y13-X13,"None"))</f>
        <v/>
      </c>
      <c r="AJ13" s="55" t="str">
        <f>IF(Q13="","", IF(Q13='G-1 All Habitats'!$X$9, AI13*G13*I13*L13*N13*P13,"None"))</f>
        <v/>
      </c>
      <c r="AK13" s="30" t="str">
        <f>IFERROR(INDEX('G-7 WaterC'' Data'!$AZ$3:$AZ$7,MATCH(D13,'G-7 WaterC'' Data'!$AY$3:$AY$7,0)),"")</f>
        <v/>
      </c>
      <c r="AL13" s="30">
        <f t="shared" si="7"/>
        <v>0</v>
      </c>
      <c r="AM13" s="99" t="str">
        <f t="shared" si="8"/>
        <v/>
      </c>
      <c r="AN13" s="99" t="str">
        <f t="shared" si="9"/>
        <v/>
      </c>
      <c r="AO13" s="100"/>
      <c r="AP13" s="99">
        <v>4</v>
      </c>
      <c r="AQ13" s="100"/>
      <c r="AR13" s="99" t="str">
        <f t="array" ref="AR13">IFERROR(INDEX($AP$10:$AP$258, MATCH(0, IF(TRUE=$AM$10:$AM$258, COUNTIF($AR$9:$AR12, $AP$10:$AP$258), ""), 0)),"")</f>
        <v/>
      </c>
      <c r="AS13" s="99" t="str">
        <f t="array" ref="AS13">IFERROR(INDEX($AP$10:$AP$258, MATCH(0, IF(TRUE=$AN$10:$AN$258, COUNTIF($AS$9:$AS12, $AP$10:$AP$258), ""), 0)),"")</f>
        <v/>
      </c>
      <c r="AT13" s="903" t="str">
        <f>IF(AND(OR(AD13="Yes",AD13="Pending"),Q13='G-7 WaterC'' Data'!$G$4),U13-AA13-Z13,"0")</f>
        <v>0</v>
      </c>
      <c r="AU13" s="30" t="str">
        <f>IF(D13="","",VLOOKUP(D13,'G-7 WaterC'' Data'!B$4:M$8,12,FALSE))</f>
        <v/>
      </c>
      <c r="AV13" s="30" t="str">
        <f t="shared" si="0"/>
        <v/>
      </c>
      <c r="AW13" s="30" t="str">
        <f t="shared" si="10"/>
        <v>No</v>
      </c>
      <c r="BA13" s="571" t="str">
        <f t="shared" si="11"/>
        <v/>
      </c>
    </row>
    <row r="14" spans="2:53" ht="14.4" thickBot="1" x14ac:dyDescent="0.3">
      <c r="C14" s="101">
        <v>5</v>
      </c>
      <c r="D14" s="269"/>
      <c r="E14" s="108"/>
      <c r="F14" s="281" t="str">
        <f>IF(D14="","",VLOOKUP(D14,'G-7 WaterC'' Data'!$B$2:$G$8,2,FALSE))</f>
        <v/>
      </c>
      <c r="G14" s="320" t="str">
        <f>IFERROR(VLOOKUP(F14,'G-7 WaterC'' Data'!$C$4:$D$8,2,FALSE),"")</f>
        <v/>
      </c>
      <c r="H14" s="109"/>
      <c r="I14" s="305" t="str">
        <f>IFERROR(INDEX('G-7 WaterC'' Data'!$H$4:$L$8,MATCH(D14,'G-7 WaterC'' Data'!$B$4:$B$8,0),MATCH(H14,'G-7 WaterC'' Data'!$H$3:$L$3,0)),"")</f>
        <v/>
      </c>
      <c r="J14" s="718"/>
      <c r="K14" s="301" t="str">
        <f>IF(J14="","",IF(VLOOKUP(J14,'G-7 WaterC'' Data'!$AK$4:$AM$9,2,FALSE)=0,"Spatial Data Missing ⚠",VLOOKUP(J14,'G-7 WaterC'' Data'!$AK$4:$AM$6,2,FALSE)))</f>
        <v/>
      </c>
      <c r="L14" s="305" t="str">
        <f>IF(J14="","",IF(VLOOKUP(J14,'G-7 WaterC'' Data'!$AK$4:$AM$9,3,FALSE)=0,"Spatial Data Missing ⚠",VLOOKUP(J14,'G-7 WaterC'' Data'!$AK$4:$AM$6,3,FALSE)))</f>
        <v/>
      </c>
      <c r="M14" s="106"/>
      <c r="N14" s="282" t="str">
        <f>IF(M14="","",IF(AND(M14="N/A - Culvert",D14&lt;&gt;"Culvert"),"Not possible ▲",IF(AND(D14="Culvert",M14&lt;&gt;"N/A - Culvert"),"Not possible ▲",IF(VLOOKUP(M14,'G-7 WaterC'' Data'!$AA$4:$AB$7,2,FALSE)=0,"Spatial Data Missing ⚠",VLOOKUP(M14,'G-7 WaterC'' Data'!$AA$4:$AB$7,2,FALSE)))))</f>
        <v/>
      </c>
      <c r="O14" s="56"/>
      <c r="P14" s="282" t="str">
        <f>IF(O14="","",IF(AND(O14="N/A - Culvert",D14&lt;&gt;"Culvert"),"Not possible ▲",IF(AND(D14="Culvert",O14&lt;&gt;"N/A - Culvert"),"Not possible ▲",IF(VLOOKUP(O14,'G-7 WaterC'' Data'!$AD$4:$AE$14,2,FALSE)=0,"Spatial Data Missing ⚠",VLOOKUP(O14,'G-7 WaterC'' Data'!$AD$4:$AE$14,2,FALSE)))))</f>
        <v/>
      </c>
      <c r="Q14" s="288" t="str">
        <f>IF(D14="","",VLOOKUP(D14,'G-7 WaterC'' Data'!$B$4:$G$8,6,FALSE))</f>
        <v/>
      </c>
      <c r="R14" s="295" t="str">
        <f t="shared" si="1"/>
        <v xml:space="preserve"> </v>
      </c>
      <c r="S14" s="403"/>
      <c r="T14" s="287" t="str">
        <f>IF(S14="","",IF(VLOOKUP(S14,'G-7 WaterC'' Data'!$AO$4:$BO$7,2,FALSE)=0,"Spatial Data Missing ⚠",VLOOKUP(S14,'G-7 WaterC'' Data'!$AO$4:$BO$7,2,FALSE)))</f>
        <v/>
      </c>
      <c r="U14" s="295" t="str">
        <f t="shared" si="2"/>
        <v xml:space="preserve"> </v>
      </c>
      <c r="V14" s="710" t="str">
        <f t="shared" si="3"/>
        <v/>
      </c>
      <c r="W14" s="32"/>
      <c r="X14" s="52"/>
      <c r="Y14" s="53"/>
      <c r="Z14" s="293" t="str">
        <f t="shared" si="4"/>
        <v/>
      </c>
      <c r="AA14" s="293" t="str">
        <f t="shared" si="5"/>
        <v/>
      </c>
      <c r="AB14" s="293" t="str">
        <f t="shared" si="6"/>
        <v/>
      </c>
      <c r="AC14" s="507" t="str">
        <f>IFERROR(IF(OR(E14="",R14=""),"", IF(AND(AB14&lt;&gt;"",S14=""), "Spatial risk category missing ▲", IF(AND(Q14='G-7 WaterC'' Data'!$G$4,AD14="Yes"),"Alternative Compensation ✓", IF(AND(AD14="Pending", Q14='G-7 WaterC'' Data'!$G$4),"Bespoke compensation must be agreed ▲", IF((Z14+AA14)&gt;=U14,0, U14-Z14-AA14))))),"Check Data ⚠")</f>
        <v/>
      </c>
      <c r="AD14" s="403"/>
      <c r="AE14" s="109"/>
      <c r="AF14" s="108"/>
      <c r="AG14" s="108"/>
      <c r="AH14" s="108"/>
      <c r="AI14" s="54" t="str">
        <f>IF(OR(Q14="",AD14="Yes"),"",IF(Q14='G-1 All Habitats'!$X$9,E14-Y14-X14,"None"))</f>
        <v/>
      </c>
      <c r="AJ14" s="55" t="str">
        <f>IF(Q14="","", IF(Q14='G-1 All Habitats'!$X$9, AI14*G14*I14*L14*N14*P14,"None"))</f>
        <v/>
      </c>
      <c r="AK14" s="30" t="str">
        <f>IFERROR(INDEX('G-7 WaterC'' Data'!$AZ$3:$AZ$7,MATCH(D14,'G-7 WaterC'' Data'!$AY$3:$AY$7,0)),"")</f>
        <v/>
      </c>
      <c r="AL14" s="30">
        <f t="shared" si="7"/>
        <v>0</v>
      </c>
      <c r="AM14" s="99" t="str">
        <f t="shared" si="8"/>
        <v/>
      </c>
      <c r="AN14" s="99" t="str">
        <f t="shared" si="9"/>
        <v/>
      </c>
      <c r="AO14" s="100"/>
      <c r="AP14" s="99">
        <v>5</v>
      </c>
      <c r="AQ14" s="100"/>
      <c r="AR14" s="99" t="str">
        <f t="array" ref="AR14">IFERROR(INDEX($AP$10:$AP$258, MATCH(0, IF(TRUE=$AM$10:$AM$258, COUNTIF($AR$9:$AR13, $AP$10:$AP$258), ""), 0)),"")</f>
        <v/>
      </c>
      <c r="AS14" s="99" t="str">
        <f t="array" ref="AS14">IFERROR(INDEX($AP$10:$AP$258, MATCH(0, IF(TRUE=$AN$10:$AN$258, COUNTIF($AS$9:$AS13, $AP$10:$AP$258), ""), 0)),"")</f>
        <v/>
      </c>
      <c r="AT14" s="903" t="str">
        <f>IF(AND(OR(AD14="Yes",AD14="Pending"),Q14='G-7 WaterC'' Data'!$G$4),U14-AA14-Z14,"0")</f>
        <v>0</v>
      </c>
      <c r="AU14" s="30" t="str">
        <f>IF(D14="","",VLOOKUP(D14,'G-7 WaterC'' Data'!B$4:M$8,12,FALSE))</f>
        <v/>
      </c>
      <c r="AV14" s="30" t="str">
        <f t="shared" si="0"/>
        <v/>
      </c>
      <c r="AW14" s="30" t="str">
        <f t="shared" si="10"/>
        <v>No</v>
      </c>
      <c r="BA14" s="571" t="str">
        <f t="shared" si="11"/>
        <v/>
      </c>
    </row>
    <row r="15" spans="2:53" ht="14.4" thickBot="1" x14ac:dyDescent="0.3">
      <c r="C15" s="101">
        <v>6</v>
      </c>
      <c r="D15" s="269"/>
      <c r="E15" s="108"/>
      <c r="F15" s="281" t="str">
        <f>IF(D15="","",VLOOKUP(D15,'G-7 WaterC'' Data'!$B$2:$G$8,2,FALSE))</f>
        <v/>
      </c>
      <c r="G15" s="320" t="str">
        <f>IFERROR(VLOOKUP(F15,'G-7 WaterC'' Data'!$C$4:$D$8,2,FALSE),"")</f>
        <v/>
      </c>
      <c r="H15" s="109"/>
      <c r="I15" s="305" t="str">
        <f>IFERROR(INDEX('G-7 WaterC'' Data'!$H$4:$L$8,MATCH(D15,'G-7 WaterC'' Data'!$B$4:$B$8,0),MATCH(H15,'G-7 WaterC'' Data'!$H$3:$L$3,0)),"")</f>
        <v/>
      </c>
      <c r="J15" s="718"/>
      <c r="K15" s="301" t="str">
        <f>IF(J15="","",IF(VLOOKUP(J15,'G-7 WaterC'' Data'!$AK$4:$AM$9,2,FALSE)=0,"Spatial Data Missing ⚠",VLOOKUP(J15,'G-7 WaterC'' Data'!$AK$4:$AM$6,2,FALSE)))</f>
        <v/>
      </c>
      <c r="L15" s="305" t="str">
        <f>IF(J15="","",IF(VLOOKUP(J15,'G-7 WaterC'' Data'!$AK$4:$AM$9,3,FALSE)=0,"Spatial Data Missing ⚠",VLOOKUP(J15,'G-7 WaterC'' Data'!$AK$4:$AM$6,3,FALSE)))</f>
        <v/>
      </c>
      <c r="M15" s="106"/>
      <c r="N15" s="282" t="str">
        <f>IF(M15="","",IF(AND(M15="N/A - Culvert",D15&lt;&gt;"Culvert"),"Not possible ▲",IF(AND(D15="Culvert",M15&lt;&gt;"N/A - Culvert"),"Not possible ▲",IF(VLOOKUP(M15,'G-7 WaterC'' Data'!$AA$4:$AB$7,2,FALSE)=0,"Spatial Data Missing ⚠",VLOOKUP(M15,'G-7 WaterC'' Data'!$AA$4:$AB$7,2,FALSE)))))</f>
        <v/>
      </c>
      <c r="O15" s="56"/>
      <c r="P15" s="282" t="str">
        <f>IF(O15="","",IF(AND(O15="N/A - Culvert",D15&lt;&gt;"Culvert"),"Not possible ▲",IF(AND(D15="Culvert",O15&lt;&gt;"N/A - Culvert"),"Not possible ▲",IF(VLOOKUP(O15,'G-7 WaterC'' Data'!$AD$4:$AE$14,2,FALSE)=0,"Spatial Data Missing ⚠",VLOOKUP(O15,'G-7 WaterC'' Data'!$AD$4:$AE$14,2,FALSE)))))</f>
        <v/>
      </c>
      <c r="Q15" s="288" t="str">
        <f>IF(D15="","",VLOOKUP(D15,'G-7 WaterC'' Data'!$B$4:$G$8,6,FALSE))</f>
        <v/>
      </c>
      <c r="R15" s="295" t="str">
        <f t="shared" si="1"/>
        <v xml:space="preserve"> </v>
      </c>
      <c r="S15" s="403"/>
      <c r="T15" s="287" t="str">
        <f>IF(S15="","",IF(VLOOKUP(S15,'G-7 WaterC'' Data'!$AO$4:$BO$7,2,FALSE)=0,"Spatial Data Missing ⚠",VLOOKUP(S15,'G-7 WaterC'' Data'!$AO$4:$BO$7,2,FALSE)))</f>
        <v/>
      </c>
      <c r="U15" s="295" t="str">
        <f t="shared" si="2"/>
        <v xml:space="preserve"> </v>
      </c>
      <c r="V15" s="710" t="str">
        <f t="shared" si="3"/>
        <v/>
      </c>
      <c r="W15" s="32"/>
      <c r="X15" s="52"/>
      <c r="Y15" s="53"/>
      <c r="Z15" s="293" t="str">
        <f t="shared" si="4"/>
        <v/>
      </c>
      <c r="AA15" s="293" t="str">
        <f t="shared" si="5"/>
        <v/>
      </c>
      <c r="AB15" s="293" t="str">
        <f t="shared" si="6"/>
        <v/>
      </c>
      <c r="AC15" s="507" t="str">
        <f>IFERROR(IF(OR(E15="",R15=""),"", IF(AND(AB15&lt;&gt;"",S15=""), "Spatial risk category missing ▲", IF(AND(Q15='G-7 WaterC'' Data'!$G$4,AD15="Yes"),"Alternative Compensation ✓", IF(AND(AD15="Pending", Q15='G-7 WaterC'' Data'!$G$4),"Bespoke compensation must be agreed ▲", IF((Z15+AA15)&gt;=U15,0, U15-Z15-AA15))))),"Check Data ⚠")</f>
        <v/>
      </c>
      <c r="AD15" s="403"/>
      <c r="AE15" s="109"/>
      <c r="AF15" s="108"/>
      <c r="AG15" s="108"/>
      <c r="AH15" s="108"/>
      <c r="AI15" s="54" t="str">
        <f>IF(OR(Q15="",AD15="Yes"),"",IF(Q15='G-1 All Habitats'!$X$9,E15-Y15-X15,"None"))</f>
        <v/>
      </c>
      <c r="AJ15" s="55" t="str">
        <f>IF(Q15="","", IF(Q15='G-1 All Habitats'!$X$9, AI15*G15*I15*L15*N15*P15,"None"))</f>
        <v/>
      </c>
      <c r="AK15" s="30" t="str">
        <f>IFERROR(INDEX('G-7 WaterC'' Data'!$AZ$3:$AZ$7,MATCH(D15,'G-7 WaterC'' Data'!$AY$3:$AY$7,0)),"")</f>
        <v/>
      </c>
      <c r="AL15" s="30">
        <f t="shared" si="7"/>
        <v>0</v>
      </c>
      <c r="AM15" s="99" t="str">
        <f t="shared" si="8"/>
        <v/>
      </c>
      <c r="AN15" s="99" t="str">
        <f t="shared" si="9"/>
        <v/>
      </c>
      <c r="AO15" s="100"/>
      <c r="AP15" s="99">
        <v>6</v>
      </c>
      <c r="AQ15" s="100"/>
      <c r="AR15" s="99" t="str">
        <f t="array" ref="AR15">IFERROR(INDEX($AP$10:$AP$258, MATCH(0, IF(TRUE=$AM$10:$AM$258, COUNTIF($AR$9:$AR14, $AP$10:$AP$258), ""), 0)),"")</f>
        <v/>
      </c>
      <c r="AS15" s="99" t="str">
        <f t="array" ref="AS15">IFERROR(INDEX($AP$10:$AP$258, MATCH(0, IF(TRUE=$AN$10:$AN$258, COUNTIF($AS$9:$AS14, $AP$10:$AP$258), ""), 0)),"")</f>
        <v/>
      </c>
      <c r="AT15" s="903" t="str">
        <f>IF(AND(OR(AD15="Yes",AD15="Pending"),Q15='G-7 WaterC'' Data'!$G$4),U15-AA15-Z15,"0")</f>
        <v>0</v>
      </c>
      <c r="AU15" s="30" t="str">
        <f>IF(D15="","",VLOOKUP(D15,'G-7 WaterC'' Data'!B$4:M$8,12,FALSE))</f>
        <v/>
      </c>
      <c r="AV15" s="30" t="str">
        <f t="shared" si="0"/>
        <v/>
      </c>
      <c r="AW15" s="30" t="str">
        <f t="shared" si="10"/>
        <v>No</v>
      </c>
      <c r="BA15" s="571" t="str">
        <f t="shared" si="11"/>
        <v/>
      </c>
    </row>
    <row r="16" spans="2:53" ht="14.4" thickBot="1" x14ac:dyDescent="0.3">
      <c r="C16" s="101">
        <v>7</v>
      </c>
      <c r="D16" s="269"/>
      <c r="E16" s="108"/>
      <c r="F16" s="281" t="str">
        <f>IF(D16="","",VLOOKUP(D16,'G-7 WaterC'' Data'!$B$2:$G$8,2,FALSE))</f>
        <v/>
      </c>
      <c r="G16" s="320" t="str">
        <f>IFERROR(VLOOKUP(F16,'G-7 WaterC'' Data'!$C$4:$D$8,2,FALSE),"")</f>
        <v/>
      </c>
      <c r="H16" s="109"/>
      <c r="I16" s="305" t="str">
        <f>IFERROR(INDEX('G-7 WaterC'' Data'!$H$4:$L$8,MATCH(D16,'G-7 WaterC'' Data'!$B$4:$B$8,0),MATCH(H16,'G-7 WaterC'' Data'!$H$3:$L$3,0)),"")</f>
        <v/>
      </c>
      <c r="J16" s="718"/>
      <c r="K16" s="301" t="str">
        <f>IF(J16="","",IF(VLOOKUP(J16,'G-7 WaterC'' Data'!$AK$4:$AM$9,2,FALSE)=0,"Spatial Data Missing ⚠",VLOOKUP(J16,'G-7 WaterC'' Data'!$AK$4:$AM$6,2,FALSE)))</f>
        <v/>
      </c>
      <c r="L16" s="305" t="str">
        <f>IF(J16="","",IF(VLOOKUP(J16,'G-7 WaterC'' Data'!$AK$4:$AM$9,3,FALSE)=0,"Spatial Data Missing ⚠",VLOOKUP(J16,'G-7 WaterC'' Data'!$AK$4:$AM$6,3,FALSE)))</f>
        <v/>
      </c>
      <c r="M16" s="106"/>
      <c r="N16" s="282" t="str">
        <f>IF(M16="","",IF(AND(M16="N/A - Culvert",D16&lt;&gt;"Culvert"),"Not possible ▲",IF(AND(D16="Culvert",M16&lt;&gt;"N/A - Culvert"),"Not possible ▲",IF(VLOOKUP(M16,'G-7 WaterC'' Data'!$AA$4:$AB$7,2,FALSE)=0,"Spatial Data Missing ⚠",VLOOKUP(M16,'G-7 WaterC'' Data'!$AA$4:$AB$7,2,FALSE)))))</f>
        <v/>
      </c>
      <c r="O16" s="56"/>
      <c r="P16" s="282" t="str">
        <f>IF(O16="","",IF(AND(O16="N/A - Culvert",D16&lt;&gt;"Culvert"),"Not possible ▲",IF(AND(D16="Culvert",O16&lt;&gt;"N/A - Culvert"),"Not possible ▲",IF(VLOOKUP(O16,'G-7 WaterC'' Data'!$AD$4:$AE$14,2,FALSE)=0,"Spatial Data Missing ⚠",VLOOKUP(O16,'G-7 WaterC'' Data'!$AD$4:$AE$14,2,FALSE)))))</f>
        <v/>
      </c>
      <c r="Q16" s="288" t="str">
        <f>IF(D16="","",VLOOKUP(D16,'G-7 WaterC'' Data'!$B$4:$G$8,6,FALSE))</f>
        <v/>
      </c>
      <c r="R16" s="295" t="str">
        <f t="shared" si="1"/>
        <v xml:space="preserve"> </v>
      </c>
      <c r="S16" s="403"/>
      <c r="T16" s="287" t="str">
        <f>IF(S16="","",IF(VLOOKUP(S16,'G-7 WaterC'' Data'!$AO$4:$BO$7,2,FALSE)=0,"Spatial Data Missing ⚠",VLOOKUP(S16,'G-7 WaterC'' Data'!$AO$4:$BO$7,2,FALSE)))</f>
        <v/>
      </c>
      <c r="U16" s="295" t="str">
        <f t="shared" si="2"/>
        <v xml:space="preserve"> </v>
      </c>
      <c r="V16" s="710" t="str">
        <f t="shared" si="3"/>
        <v/>
      </c>
      <c r="W16" s="32"/>
      <c r="X16" s="52"/>
      <c r="Y16" s="53"/>
      <c r="Z16" s="293" t="str">
        <f t="shared" si="4"/>
        <v/>
      </c>
      <c r="AA16" s="293" t="str">
        <f t="shared" si="5"/>
        <v/>
      </c>
      <c r="AB16" s="293" t="str">
        <f t="shared" si="6"/>
        <v/>
      </c>
      <c r="AC16" s="507" t="str">
        <f>IFERROR(IF(OR(E16="",R16=""),"", IF(AND(AB16&lt;&gt;"",S16=""), "Spatial risk category missing ▲", IF(AND(Q16='G-7 WaterC'' Data'!$G$4,AD16="Yes"),"Alternative Compensation ✓", IF(AND(AD16="Pending", Q16='G-7 WaterC'' Data'!$G$4),"Bespoke compensation must be agreed ▲", IF((Z16+AA16)&gt;=U16,0, U16-Z16-AA16))))),"Check Data ⚠")</f>
        <v/>
      </c>
      <c r="AD16" s="403"/>
      <c r="AE16" s="109"/>
      <c r="AF16" s="108"/>
      <c r="AG16" s="108"/>
      <c r="AH16" s="108"/>
      <c r="AI16" s="54" t="str">
        <f>IF(OR(Q16="",AD16="Yes"),"",IF(Q16='G-1 All Habitats'!$X$9,E16-Y16-X16,"None"))</f>
        <v/>
      </c>
      <c r="AJ16" s="55" t="str">
        <f>IF(Q16="","", IF(Q16='G-1 All Habitats'!$X$9, AI16*G16*I16*L16*N16*P16,"None"))</f>
        <v/>
      </c>
      <c r="AK16" s="30" t="str">
        <f>IFERROR(INDEX('G-7 WaterC'' Data'!$AZ$3:$AZ$7,MATCH(D16,'G-7 WaterC'' Data'!$AY$3:$AY$7,0)),"")</f>
        <v/>
      </c>
      <c r="AL16" s="30">
        <f t="shared" si="7"/>
        <v>0</v>
      </c>
      <c r="AM16" s="99" t="str">
        <f t="shared" si="8"/>
        <v/>
      </c>
      <c r="AN16" s="99" t="str">
        <f t="shared" si="9"/>
        <v/>
      </c>
      <c r="AO16" s="100"/>
      <c r="AP16" s="99">
        <v>7</v>
      </c>
      <c r="AQ16" s="100"/>
      <c r="AR16" s="99" t="str">
        <f t="array" ref="AR16">IFERROR(INDEX($AP$10:$AP$258, MATCH(0, IF(TRUE=$AM$10:$AM$258, COUNTIF($AR$9:$AR15, $AP$10:$AP$258), ""), 0)),"")</f>
        <v/>
      </c>
      <c r="AS16" s="99" t="str">
        <f t="array" ref="AS16">IFERROR(INDEX($AP$10:$AP$258, MATCH(0, IF(TRUE=$AN$10:$AN$258, COUNTIF($AS$9:$AS15, $AP$10:$AP$258), ""), 0)),"")</f>
        <v/>
      </c>
      <c r="AT16" s="903" t="str">
        <f>IF(AND(OR(AD16="Yes",AD16="Pending"),Q16='G-7 WaterC'' Data'!$G$4),U16-AA16-Z16,"0")</f>
        <v>0</v>
      </c>
      <c r="AU16" s="30" t="str">
        <f>IF(D16="","",VLOOKUP(D16,'G-7 WaterC'' Data'!B$4:M$8,12,FALSE))</f>
        <v/>
      </c>
      <c r="AV16" s="30" t="str">
        <f t="shared" si="0"/>
        <v/>
      </c>
      <c r="AW16" s="30" t="str">
        <f t="shared" si="10"/>
        <v>No</v>
      </c>
      <c r="BA16" s="571" t="str">
        <f t="shared" si="11"/>
        <v/>
      </c>
    </row>
    <row r="17" spans="3:53" ht="14.4" thickBot="1" x14ac:dyDescent="0.3">
      <c r="C17" s="101">
        <v>8</v>
      </c>
      <c r="D17" s="269"/>
      <c r="E17" s="108"/>
      <c r="F17" s="281" t="str">
        <f>IF(D17="","",VLOOKUP(D17,'G-7 WaterC'' Data'!$B$2:$G$8,2,FALSE))</f>
        <v/>
      </c>
      <c r="G17" s="320" t="str">
        <f>IFERROR(VLOOKUP(F17,'G-7 WaterC'' Data'!$C$4:$D$8,2,FALSE),"")</f>
        <v/>
      </c>
      <c r="H17" s="109"/>
      <c r="I17" s="305" t="str">
        <f>IFERROR(INDEX('G-7 WaterC'' Data'!$H$4:$L$8,MATCH(D17,'G-7 WaterC'' Data'!$B$4:$B$8,0),MATCH(H17,'G-7 WaterC'' Data'!$H$3:$L$3,0)),"")</f>
        <v/>
      </c>
      <c r="J17" s="718"/>
      <c r="K17" s="301" t="str">
        <f>IF(J17="","",IF(VLOOKUP(J17,'G-7 WaterC'' Data'!$AK$4:$AM$9,2,FALSE)=0,"Spatial Data Missing ⚠",VLOOKUP(J17,'G-7 WaterC'' Data'!$AK$4:$AM$6,2,FALSE)))</f>
        <v/>
      </c>
      <c r="L17" s="305" t="str">
        <f>IF(J17="","",IF(VLOOKUP(J17,'G-7 WaterC'' Data'!$AK$4:$AM$9,3,FALSE)=0,"Spatial Data Missing ⚠",VLOOKUP(J17,'G-7 WaterC'' Data'!$AK$4:$AM$6,3,FALSE)))</f>
        <v/>
      </c>
      <c r="M17" s="106"/>
      <c r="N17" s="282" t="str">
        <f>IF(M17="","",IF(AND(M17="N/A - Culvert",D17&lt;&gt;"Culvert"),"Not possible ▲",IF(AND(D17="Culvert",M17&lt;&gt;"N/A - Culvert"),"Not possible ▲",IF(VLOOKUP(M17,'G-7 WaterC'' Data'!$AA$4:$AB$7,2,FALSE)=0,"Spatial Data Missing ⚠",VLOOKUP(M17,'G-7 WaterC'' Data'!$AA$4:$AB$7,2,FALSE)))))</f>
        <v/>
      </c>
      <c r="O17" s="56"/>
      <c r="P17" s="282" t="str">
        <f>IF(O17="","",IF(AND(O17="N/A - Culvert",D17&lt;&gt;"Culvert"),"Not possible ▲",IF(AND(D17="Culvert",O17&lt;&gt;"N/A - Culvert"),"Not possible ▲",IF(VLOOKUP(O17,'G-7 WaterC'' Data'!$AD$4:$AE$14,2,FALSE)=0,"Spatial Data Missing ⚠",VLOOKUP(O17,'G-7 WaterC'' Data'!$AD$4:$AE$14,2,FALSE)))))</f>
        <v/>
      </c>
      <c r="Q17" s="288" t="str">
        <f>IF(D17="","",VLOOKUP(D17,'G-7 WaterC'' Data'!$B$4:$G$8,6,FALSE))</f>
        <v/>
      </c>
      <c r="R17" s="295" t="str">
        <f t="shared" si="1"/>
        <v xml:space="preserve"> </v>
      </c>
      <c r="S17" s="403"/>
      <c r="T17" s="287" t="str">
        <f>IF(S17="","",IF(VLOOKUP(S17,'G-7 WaterC'' Data'!$AO$4:$BO$7,2,FALSE)=0,"Spatial Data Missing ⚠",VLOOKUP(S17,'G-7 WaterC'' Data'!$AO$4:$BO$7,2,FALSE)))</f>
        <v/>
      </c>
      <c r="U17" s="295" t="str">
        <f t="shared" si="2"/>
        <v xml:space="preserve"> </v>
      </c>
      <c r="V17" s="710" t="str">
        <f t="shared" si="3"/>
        <v/>
      </c>
      <c r="W17" s="32"/>
      <c r="X17" s="52"/>
      <c r="Y17" s="53"/>
      <c r="Z17" s="293" t="str">
        <f t="shared" si="4"/>
        <v/>
      </c>
      <c r="AA17" s="293" t="str">
        <f t="shared" si="5"/>
        <v/>
      </c>
      <c r="AB17" s="293" t="str">
        <f t="shared" si="6"/>
        <v/>
      </c>
      <c r="AC17" s="507" t="str">
        <f>IFERROR(IF(OR(E17="",R17=""),"", IF(AND(AB17&lt;&gt;"",S17=""), "Spatial risk category missing ▲", IF(AND(Q17='G-7 WaterC'' Data'!$G$4,AD17="Yes"),"Alternative Compensation ✓", IF(AND(AD17="Pending", Q17='G-7 WaterC'' Data'!$G$4),"Bespoke compensation must be agreed ▲", IF((Z17+AA17)&gt;=U17,0, U17-Z17-AA17))))),"Check Data ⚠")</f>
        <v/>
      </c>
      <c r="AD17" s="403"/>
      <c r="AE17" s="109"/>
      <c r="AF17" s="108"/>
      <c r="AG17" s="108"/>
      <c r="AH17" s="108"/>
      <c r="AI17" s="54" t="str">
        <f>IF(OR(Q17="",AD17="Yes"),"",IF(Q17='G-1 All Habitats'!$X$9,E17-Y17-X17,"None"))</f>
        <v/>
      </c>
      <c r="AJ17" s="55" t="str">
        <f>IF(Q17="","", IF(Q17='G-1 All Habitats'!$X$9, AI17*G17*I17*L17*N17*P17,"None"))</f>
        <v/>
      </c>
      <c r="AK17" s="30" t="str">
        <f>IFERROR(INDEX('G-7 WaterC'' Data'!$AZ$3:$AZ$7,MATCH(D17,'G-7 WaterC'' Data'!$AY$3:$AY$7,0)),"")</f>
        <v/>
      </c>
      <c r="AL17" s="30">
        <f t="shared" si="7"/>
        <v>0</v>
      </c>
      <c r="AM17" s="99" t="str">
        <f t="shared" si="8"/>
        <v/>
      </c>
      <c r="AN17" s="99" t="str">
        <f t="shared" si="9"/>
        <v/>
      </c>
      <c r="AO17" s="100"/>
      <c r="AP17" s="99">
        <v>8</v>
      </c>
      <c r="AQ17" s="100"/>
      <c r="AR17" s="99" t="str">
        <f t="array" ref="AR17">IFERROR(INDEX($AP$10:$AP$258, MATCH(0, IF(TRUE=$AM$10:$AM$258, COUNTIF($AR$9:$AR16, $AP$10:$AP$258), ""), 0)),"")</f>
        <v/>
      </c>
      <c r="AS17" s="99" t="str">
        <f t="array" ref="AS17">IFERROR(INDEX($AP$10:$AP$258, MATCH(0, IF(TRUE=$AN$10:$AN$258, COUNTIF($AS$9:$AS16, $AP$10:$AP$258), ""), 0)),"")</f>
        <v/>
      </c>
      <c r="AT17" s="903" t="str">
        <f>IF(AND(OR(AD17="Yes",AD17="Pending"),Q17='G-7 WaterC'' Data'!$G$4),U17-AA17-Z17,"0")</f>
        <v>0</v>
      </c>
      <c r="AU17" s="30" t="str">
        <f>IF(D17="","",VLOOKUP(D17,'G-7 WaterC'' Data'!B$4:M$8,12,FALSE))</f>
        <v/>
      </c>
      <c r="AV17" s="30" t="str">
        <f t="shared" si="0"/>
        <v/>
      </c>
      <c r="AW17" s="30" t="str">
        <f t="shared" si="10"/>
        <v>No</v>
      </c>
      <c r="BA17" s="571" t="str">
        <f t="shared" si="11"/>
        <v/>
      </c>
    </row>
    <row r="18" spans="3:53" ht="14.4" thickBot="1" x14ac:dyDescent="0.3">
      <c r="C18" s="101">
        <v>9</v>
      </c>
      <c r="D18" s="269"/>
      <c r="E18" s="108"/>
      <c r="F18" s="281" t="str">
        <f>IF(D18="","",VLOOKUP(D18,'G-7 WaterC'' Data'!$B$2:$G$8,2,FALSE))</f>
        <v/>
      </c>
      <c r="G18" s="320" t="str">
        <f>IFERROR(VLOOKUP(F18,'G-7 WaterC'' Data'!$C$4:$D$8,2,FALSE),"")</f>
        <v/>
      </c>
      <c r="H18" s="109"/>
      <c r="I18" s="305" t="str">
        <f>IFERROR(INDEX('G-7 WaterC'' Data'!$H$4:$L$8,MATCH(D18,'G-7 WaterC'' Data'!$B$4:$B$8,0),MATCH(H18,'G-7 WaterC'' Data'!$H$3:$L$3,0)),"")</f>
        <v/>
      </c>
      <c r="J18" s="718"/>
      <c r="K18" s="301" t="str">
        <f>IF(J18="","",IF(VLOOKUP(J18,'G-7 WaterC'' Data'!$AK$4:$AM$9,2,FALSE)=0,"Spatial Data Missing ⚠",VLOOKUP(J18,'G-7 WaterC'' Data'!$AK$4:$AM$6,2,FALSE)))</f>
        <v/>
      </c>
      <c r="L18" s="305" t="str">
        <f>IF(J18="","",IF(VLOOKUP(J18,'G-7 WaterC'' Data'!$AK$4:$AM$9,3,FALSE)=0,"Spatial Data Missing ⚠",VLOOKUP(J18,'G-7 WaterC'' Data'!$AK$4:$AM$6,3,FALSE)))</f>
        <v/>
      </c>
      <c r="M18" s="106"/>
      <c r="N18" s="282" t="str">
        <f>IF(M18="","",IF(AND(M18="N/A - Culvert",D18&lt;&gt;"Culvert"),"Not possible ▲",IF(AND(D18="Culvert",M18&lt;&gt;"N/A - Culvert"),"Not possible ▲",IF(VLOOKUP(M18,'G-7 WaterC'' Data'!$AA$4:$AB$7,2,FALSE)=0,"Spatial Data Missing ⚠",VLOOKUP(M18,'G-7 WaterC'' Data'!$AA$4:$AB$7,2,FALSE)))))</f>
        <v/>
      </c>
      <c r="O18" s="56"/>
      <c r="P18" s="282" t="str">
        <f>IF(O18="","",IF(AND(O18="N/A - Culvert",D18&lt;&gt;"Culvert"),"Not possible ▲",IF(AND(D18="Culvert",O18&lt;&gt;"N/A - Culvert"),"Not possible ▲",IF(VLOOKUP(O18,'G-7 WaterC'' Data'!$AD$4:$AE$14,2,FALSE)=0,"Spatial Data Missing ⚠",VLOOKUP(O18,'G-7 WaterC'' Data'!$AD$4:$AE$14,2,FALSE)))))</f>
        <v/>
      </c>
      <c r="Q18" s="288" t="str">
        <f>IF(D18="","",VLOOKUP(D18,'G-7 WaterC'' Data'!$B$4:$G$8,6,FALSE))</f>
        <v/>
      </c>
      <c r="R18" s="295" t="str">
        <f t="shared" si="1"/>
        <v xml:space="preserve"> </v>
      </c>
      <c r="S18" s="403"/>
      <c r="T18" s="287" t="str">
        <f>IF(S18="","",IF(VLOOKUP(S18,'G-7 WaterC'' Data'!$AO$4:$BO$7,2,FALSE)=0,"Spatial Data Missing ⚠",VLOOKUP(S18,'G-7 WaterC'' Data'!$AO$4:$BO$7,2,FALSE)))</f>
        <v/>
      </c>
      <c r="U18" s="295" t="str">
        <f t="shared" si="2"/>
        <v xml:space="preserve"> </v>
      </c>
      <c r="V18" s="710" t="str">
        <f t="shared" si="3"/>
        <v/>
      </c>
      <c r="W18" s="32"/>
      <c r="X18" s="52"/>
      <c r="Y18" s="53"/>
      <c r="Z18" s="293" t="str">
        <f t="shared" si="4"/>
        <v/>
      </c>
      <c r="AA18" s="293" t="str">
        <f t="shared" si="5"/>
        <v/>
      </c>
      <c r="AB18" s="293" t="str">
        <f t="shared" si="6"/>
        <v/>
      </c>
      <c r="AC18" s="507" t="str">
        <f>IFERROR(IF(OR(E18="",R18=""),"", IF(AND(AB18&lt;&gt;"",S18=""), "Spatial risk category missing ▲", IF(AND(Q18='G-7 WaterC'' Data'!$G$4,AD18="Yes"),"Alternative Compensation ✓", IF(AND(AD18="Pending", Q18='G-7 WaterC'' Data'!$G$4),"Bespoke compensation must be agreed ▲", IF((Z18+AA18)&gt;=U18,0, U18-Z18-AA18))))),"Check Data ⚠")</f>
        <v/>
      </c>
      <c r="AD18" s="403"/>
      <c r="AE18" s="109"/>
      <c r="AF18" s="108"/>
      <c r="AG18" s="108"/>
      <c r="AH18" s="108"/>
      <c r="AI18" s="54" t="str">
        <f>IF(OR(Q18="",AD18="Yes"),"",IF(Q18='G-1 All Habitats'!$X$9,E18-Y18-X18,"None"))</f>
        <v/>
      </c>
      <c r="AJ18" s="55" t="str">
        <f>IF(Q18="","", IF(Q18='G-1 All Habitats'!$X$9, AI18*G18*I18*L18*N18*P18,"None"))</f>
        <v/>
      </c>
      <c r="AK18" s="30" t="str">
        <f>IFERROR(INDEX('G-7 WaterC'' Data'!$AZ$3:$AZ$7,MATCH(D18,'G-7 WaterC'' Data'!$AY$3:$AY$7,0)),"")</f>
        <v/>
      </c>
      <c r="AL18" s="30">
        <f t="shared" si="7"/>
        <v>0</v>
      </c>
      <c r="AM18" s="99" t="str">
        <f t="shared" si="8"/>
        <v/>
      </c>
      <c r="AN18" s="99" t="str">
        <f t="shared" si="9"/>
        <v/>
      </c>
      <c r="AO18" s="100"/>
      <c r="AP18" s="99">
        <v>9</v>
      </c>
      <c r="AQ18" s="100"/>
      <c r="AR18" s="99" t="str">
        <f t="array" ref="AR18">IFERROR(INDEX($AP$10:$AP$258, MATCH(0, IF(TRUE=$AM$10:$AM$258, COUNTIF($AR$9:$AR17, $AP$10:$AP$258), ""), 0)),"")</f>
        <v/>
      </c>
      <c r="AS18" s="99" t="str">
        <f t="array" ref="AS18">IFERROR(INDEX($AP$10:$AP$258, MATCH(0, IF(TRUE=$AN$10:$AN$258, COUNTIF($AS$9:$AS17, $AP$10:$AP$258), ""), 0)),"")</f>
        <v/>
      </c>
      <c r="AT18" s="903" t="str">
        <f>IF(AND(OR(AD18="Yes",AD18="Pending"),Q18='G-7 WaterC'' Data'!$G$4),U18-AA18-Z18,"0")</f>
        <v>0</v>
      </c>
      <c r="AU18" s="30" t="str">
        <f>IF(D18="","",VLOOKUP(D18,'G-7 WaterC'' Data'!B$4:M$8,12,FALSE))</f>
        <v/>
      </c>
      <c r="AV18" s="30" t="str">
        <f t="shared" si="0"/>
        <v/>
      </c>
      <c r="AW18" s="30" t="str">
        <f t="shared" si="10"/>
        <v>No</v>
      </c>
      <c r="BA18" s="571" t="str">
        <f t="shared" si="11"/>
        <v/>
      </c>
    </row>
    <row r="19" spans="3:53" ht="14.4" thickBot="1" x14ac:dyDescent="0.3">
      <c r="C19" s="101">
        <v>10</v>
      </c>
      <c r="D19" s="269"/>
      <c r="E19" s="108"/>
      <c r="F19" s="281" t="str">
        <f>IF(D19="","",VLOOKUP(D19,'G-7 WaterC'' Data'!$B$2:$G$8,2,FALSE))</f>
        <v/>
      </c>
      <c r="G19" s="320" t="str">
        <f>IFERROR(VLOOKUP(F19,'G-7 WaterC'' Data'!$C$4:$D$8,2,FALSE),"")</f>
        <v/>
      </c>
      <c r="H19" s="109"/>
      <c r="I19" s="305" t="str">
        <f>IFERROR(INDEX('G-7 WaterC'' Data'!$H$4:$L$8,MATCH(D19,'G-7 WaterC'' Data'!$B$4:$B$8,0),MATCH(H19,'G-7 WaterC'' Data'!$H$3:$L$3,0)),"")</f>
        <v/>
      </c>
      <c r="J19" s="718"/>
      <c r="K19" s="301" t="str">
        <f>IF(J19="","",IF(VLOOKUP(J19,'G-7 WaterC'' Data'!$AK$4:$AM$9,2,FALSE)=0,"Spatial Data Missing ⚠",VLOOKUP(J19,'G-7 WaterC'' Data'!$AK$4:$AM$6,2,FALSE)))</f>
        <v/>
      </c>
      <c r="L19" s="305" t="str">
        <f>IF(J19="","",IF(VLOOKUP(J19,'G-7 WaterC'' Data'!$AK$4:$AM$9,3,FALSE)=0,"Spatial Data Missing ⚠",VLOOKUP(J19,'G-7 WaterC'' Data'!$AK$4:$AM$6,3,FALSE)))</f>
        <v/>
      </c>
      <c r="M19" s="106"/>
      <c r="N19" s="282" t="str">
        <f>IF(M19="","",IF(AND(M19="N/A - Culvert",D19&lt;&gt;"Culvert"),"Not possible ▲",IF(AND(D19="Culvert",M19&lt;&gt;"N/A - Culvert"),"Not possible ▲",IF(VLOOKUP(M19,'G-7 WaterC'' Data'!$AA$4:$AB$7,2,FALSE)=0,"Spatial Data Missing ⚠",VLOOKUP(M19,'G-7 WaterC'' Data'!$AA$4:$AB$7,2,FALSE)))))</f>
        <v/>
      </c>
      <c r="O19" s="56"/>
      <c r="P19" s="282" t="str">
        <f>IF(O19="","",IF(AND(O19="N/A - Culvert",D19&lt;&gt;"Culvert"),"Not possible ▲",IF(AND(D19="Culvert",O19&lt;&gt;"N/A - Culvert"),"Not possible ▲",IF(VLOOKUP(O19,'G-7 WaterC'' Data'!$AD$4:$AE$14,2,FALSE)=0,"Spatial Data Missing ⚠",VLOOKUP(O19,'G-7 WaterC'' Data'!$AD$4:$AE$14,2,FALSE)))))</f>
        <v/>
      </c>
      <c r="Q19" s="288" t="str">
        <f>IF(D19="","",VLOOKUP(D19,'G-7 WaterC'' Data'!$B$4:$G$8,6,FALSE))</f>
        <v/>
      </c>
      <c r="R19" s="295" t="str">
        <f t="shared" si="1"/>
        <v xml:space="preserve"> </v>
      </c>
      <c r="S19" s="403"/>
      <c r="T19" s="287" t="str">
        <f>IF(S19="","",IF(VLOOKUP(S19,'G-7 WaterC'' Data'!$AO$4:$BO$7,2,FALSE)=0,"Spatial Data Missing ⚠",VLOOKUP(S19,'G-7 WaterC'' Data'!$AO$4:$BO$7,2,FALSE)))</f>
        <v/>
      </c>
      <c r="U19" s="295" t="str">
        <f t="shared" si="2"/>
        <v xml:space="preserve"> </v>
      </c>
      <c r="V19" s="710" t="str">
        <f t="shared" si="3"/>
        <v/>
      </c>
      <c r="W19" s="32"/>
      <c r="X19" s="52"/>
      <c r="Y19" s="53"/>
      <c r="Z19" s="293" t="str">
        <f t="shared" si="4"/>
        <v/>
      </c>
      <c r="AA19" s="293" t="str">
        <f t="shared" si="5"/>
        <v/>
      </c>
      <c r="AB19" s="293" t="str">
        <f t="shared" si="6"/>
        <v/>
      </c>
      <c r="AC19" s="507" t="str">
        <f>IFERROR(IF(OR(E19="",R19=""),"", IF(AND(AB19&lt;&gt;"",S19=""), "Spatial risk category missing ▲", IF(AND(Q19='G-7 WaterC'' Data'!$G$4,AD19="Yes"),"Alternative Compensation ✓", IF(AND(AD19="Pending", Q19='G-7 WaterC'' Data'!$G$4),"Bespoke compensation must be agreed ▲", IF((Z19+AA19)&gt;=U19,0, U19-Z19-AA19))))),"Check Data ⚠")</f>
        <v/>
      </c>
      <c r="AD19" s="403"/>
      <c r="AE19" s="109"/>
      <c r="AF19" s="108"/>
      <c r="AG19" s="108"/>
      <c r="AH19" s="108"/>
      <c r="AI19" s="54" t="str">
        <f>IF(OR(Q19="",AD19="Yes"),"",IF(Q19='G-1 All Habitats'!$X$9,E19-Y19-X19,"None"))</f>
        <v/>
      </c>
      <c r="AJ19" s="55" t="str">
        <f>IF(Q19="","", IF(Q19='G-1 All Habitats'!$X$9, AI19*G19*I19*L19*N19*P19,"None"))</f>
        <v/>
      </c>
      <c r="AK19" s="30" t="str">
        <f>IFERROR(INDEX('G-7 WaterC'' Data'!$AZ$3:$AZ$7,MATCH(D19,'G-7 WaterC'' Data'!$AY$3:$AY$7,0)),"")</f>
        <v/>
      </c>
      <c r="AL19" s="30">
        <f t="shared" si="7"/>
        <v>0</v>
      </c>
      <c r="AM19" s="99" t="str">
        <f t="shared" si="8"/>
        <v/>
      </c>
      <c r="AN19" s="99" t="str">
        <f t="shared" si="9"/>
        <v/>
      </c>
      <c r="AO19" s="100"/>
      <c r="AP19" s="99">
        <v>10</v>
      </c>
      <c r="AQ19" s="100"/>
      <c r="AR19" s="99" t="str">
        <f t="array" ref="AR19">IFERROR(INDEX($AP$10:$AP$258, MATCH(0, IF(TRUE=$AM$10:$AM$258, COUNTIF($AR$9:$AR18, $AP$10:$AP$258), ""), 0)),"")</f>
        <v/>
      </c>
      <c r="AS19" s="99" t="str">
        <f t="array" ref="AS19">IFERROR(INDEX($AP$10:$AP$258, MATCH(0, IF(TRUE=$AN$10:$AN$258, COUNTIF($AS$9:$AS18, $AP$10:$AP$258), ""), 0)),"")</f>
        <v/>
      </c>
      <c r="AT19" s="903" t="str">
        <f>IF(AND(OR(AD19="Yes",AD19="Pending"),Q19='G-7 WaterC'' Data'!$G$4),U19-AA19-Z19,"0")</f>
        <v>0</v>
      </c>
      <c r="AU19" s="30" t="str">
        <f>IF(D19="","",VLOOKUP(D19,'G-7 WaterC'' Data'!B$4:M$8,12,FALSE))</f>
        <v/>
      </c>
      <c r="AV19" s="30" t="str">
        <f t="shared" si="0"/>
        <v/>
      </c>
      <c r="AW19" s="30" t="str">
        <f t="shared" si="10"/>
        <v>No</v>
      </c>
      <c r="BA19" s="571" t="str">
        <f t="shared" si="11"/>
        <v/>
      </c>
    </row>
    <row r="20" spans="3:53" ht="14.4" thickBot="1" x14ac:dyDescent="0.3">
      <c r="C20" s="101">
        <v>11</v>
      </c>
      <c r="D20" s="269"/>
      <c r="E20" s="108"/>
      <c r="F20" s="281" t="str">
        <f>IF(D20="","",VLOOKUP(D20,'G-7 WaterC'' Data'!$B$2:$G$8,2,FALSE))</f>
        <v/>
      </c>
      <c r="G20" s="320" t="str">
        <f>IFERROR(VLOOKUP(F20,'G-7 WaterC'' Data'!$C$4:$D$8,2,FALSE),"")</f>
        <v/>
      </c>
      <c r="H20" s="109"/>
      <c r="I20" s="305" t="str">
        <f>IFERROR(INDEX('G-7 WaterC'' Data'!$H$4:$L$8,MATCH(D20,'G-7 WaterC'' Data'!$B$4:$B$8,0),MATCH(H20,'G-7 WaterC'' Data'!$H$3:$L$3,0)),"")</f>
        <v/>
      </c>
      <c r="J20" s="718"/>
      <c r="K20" s="301" t="str">
        <f>IF(J20="","",IF(VLOOKUP(J20,'G-7 WaterC'' Data'!$AK$4:$AM$9,2,FALSE)=0,"Spatial Data Missing ⚠",VLOOKUP(J20,'G-7 WaterC'' Data'!$AK$4:$AM$6,2,FALSE)))</f>
        <v/>
      </c>
      <c r="L20" s="305" t="str">
        <f>IF(J20="","",IF(VLOOKUP(J20,'G-7 WaterC'' Data'!$AK$4:$AM$9,3,FALSE)=0,"Spatial Data Missing ⚠",VLOOKUP(J20,'G-7 WaterC'' Data'!$AK$4:$AM$6,3,FALSE)))</f>
        <v/>
      </c>
      <c r="M20" s="106"/>
      <c r="N20" s="282" t="str">
        <f>IF(M20="","",IF(AND(M20="N/A - Culvert",D20&lt;&gt;"Culvert"),"Not possible ▲",IF(AND(D20="Culvert",M20&lt;&gt;"N/A - Culvert"),"Not possible ▲",IF(VLOOKUP(M20,'G-7 WaterC'' Data'!$AA$4:$AB$7,2,FALSE)=0,"Spatial Data Missing ⚠",VLOOKUP(M20,'G-7 WaterC'' Data'!$AA$4:$AB$7,2,FALSE)))))</f>
        <v/>
      </c>
      <c r="O20" s="56"/>
      <c r="P20" s="282" t="str">
        <f>IF(O20="","",IF(AND(O20="N/A - Culvert",D20&lt;&gt;"Culvert"),"Not possible ▲",IF(AND(D20="Culvert",O20&lt;&gt;"N/A - Culvert"),"Not possible ▲",IF(VLOOKUP(O20,'G-7 WaterC'' Data'!$AD$4:$AE$14,2,FALSE)=0,"Spatial Data Missing ⚠",VLOOKUP(O20,'G-7 WaterC'' Data'!$AD$4:$AE$14,2,FALSE)))))</f>
        <v/>
      </c>
      <c r="Q20" s="288" t="str">
        <f>IF(D20="","",VLOOKUP(D20,'G-7 WaterC'' Data'!$B$4:$G$8,6,FALSE))</f>
        <v/>
      </c>
      <c r="R20" s="295" t="str">
        <f t="shared" si="1"/>
        <v xml:space="preserve"> </v>
      </c>
      <c r="S20" s="403"/>
      <c r="T20" s="287" t="str">
        <f>IF(S20="","",IF(VLOOKUP(S20,'G-7 WaterC'' Data'!$AO$4:$BO$7,2,FALSE)=0,"Spatial Data Missing ⚠",VLOOKUP(S20,'G-7 WaterC'' Data'!$AO$4:$BO$7,2,FALSE)))</f>
        <v/>
      </c>
      <c r="U20" s="295" t="str">
        <f t="shared" si="2"/>
        <v xml:space="preserve"> </v>
      </c>
      <c r="V20" s="710" t="str">
        <f t="shared" si="3"/>
        <v/>
      </c>
      <c r="W20" s="32"/>
      <c r="X20" s="52"/>
      <c r="Y20" s="53"/>
      <c r="Z20" s="293" t="str">
        <f t="shared" si="4"/>
        <v/>
      </c>
      <c r="AA20" s="293" t="str">
        <f t="shared" si="5"/>
        <v/>
      </c>
      <c r="AB20" s="293" t="str">
        <f t="shared" si="6"/>
        <v/>
      </c>
      <c r="AC20" s="507" t="str">
        <f>IFERROR(IF(OR(E20="",R20=""),"", IF(AND(AB20&lt;&gt;"",S20=""), "Spatial risk category missing ▲", IF(AND(Q20='G-7 WaterC'' Data'!$G$4,AD20="Yes"),"Alternative Compensation ✓", IF(AND(AD20="Pending", Q20='G-7 WaterC'' Data'!$G$4),"Bespoke compensation must be agreed ▲", IF((Z20+AA20)&gt;=U20,0, U20-Z20-AA20))))),"Check Data ⚠")</f>
        <v/>
      </c>
      <c r="AD20" s="403"/>
      <c r="AE20" s="109"/>
      <c r="AF20" s="108"/>
      <c r="AG20" s="108"/>
      <c r="AH20" s="108"/>
      <c r="AI20" s="54" t="str">
        <f>IF(OR(Q20="",AD20="Yes"),"",IF(Q20='G-1 All Habitats'!$X$9,E20-Y20-X20,"None"))</f>
        <v/>
      </c>
      <c r="AJ20" s="55" t="str">
        <f>IF(Q20="","", IF(Q20='G-1 All Habitats'!$X$9, AI20*G20*I20*L20*N20*P20,"None"))</f>
        <v/>
      </c>
      <c r="AK20" s="30" t="str">
        <f>IFERROR(INDEX('G-7 WaterC'' Data'!$AZ$3:$AZ$7,MATCH(D20,'G-7 WaterC'' Data'!$AY$3:$AY$7,0)),"")</f>
        <v/>
      </c>
      <c r="AL20" s="30">
        <f t="shared" si="7"/>
        <v>0</v>
      </c>
      <c r="AM20" s="99" t="str">
        <f t="shared" si="8"/>
        <v/>
      </c>
      <c r="AN20" s="99" t="str">
        <f t="shared" si="9"/>
        <v/>
      </c>
      <c r="AO20" s="100"/>
      <c r="AP20" s="99">
        <v>11</v>
      </c>
      <c r="AQ20" s="100"/>
      <c r="AR20" s="99" t="str">
        <f t="array" ref="AR20">IFERROR(INDEX($AP$10:$AP$258, MATCH(0, IF(TRUE=$AM$10:$AM$258, COUNTIF($AR$9:$AR19, $AP$10:$AP$258), ""), 0)),"")</f>
        <v/>
      </c>
      <c r="AS20" s="99" t="str">
        <f t="array" ref="AS20">IFERROR(INDEX($AP$10:$AP$258, MATCH(0, IF(TRUE=$AN$10:$AN$258, COUNTIF($AS$9:$AS19, $AP$10:$AP$258), ""), 0)),"")</f>
        <v/>
      </c>
      <c r="AT20" s="903" t="str">
        <f>IF(AND(OR(AD20="Yes",AD20="Pending"),Q20='G-7 WaterC'' Data'!$G$4),U20-AA20-Z20,"0")</f>
        <v>0</v>
      </c>
      <c r="AU20" s="30" t="str">
        <f>IF(D20="","",VLOOKUP(D20,'G-7 WaterC'' Data'!B$4:M$8,12,FALSE))</f>
        <v/>
      </c>
      <c r="AV20" s="30" t="str">
        <f t="shared" si="0"/>
        <v/>
      </c>
      <c r="AW20" s="30" t="str">
        <f t="shared" si="10"/>
        <v>No</v>
      </c>
      <c r="BA20" s="571" t="str">
        <f t="shared" si="11"/>
        <v/>
      </c>
    </row>
    <row r="21" spans="3:53" ht="14.4" thickBot="1" x14ac:dyDescent="0.3">
      <c r="C21" s="101">
        <v>12</v>
      </c>
      <c r="D21" s="269"/>
      <c r="E21" s="108"/>
      <c r="F21" s="281" t="str">
        <f>IF(D21="","",VLOOKUP(D21,'G-7 WaterC'' Data'!$B$2:$G$8,2,FALSE))</f>
        <v/>
      </c>
      <c r="G21" s="320" t="str">
        <f>IFERROR(VLOOKUP(F21,'G-7 WaterC'' Data'!$C$4:$D$8,2,FALSE),"")</f>
        <v/>
      </c>
      <c r="H21" s="109"/>
      <c r="I21" s="305" t="str">
        <f>IFERROR(INDEX('G-7 WaterC'' Data'!$H$4:$L$8,MATCH(D21,'G-7 WaterC'' Data'!$B$4:$B$8,0),MATCH(H21,'G-7 WaterC'' Data'!$H$3:$L$3,0)),"")</f>
        <v/>
      </c>
      <c r="J21" s="718"/>
      <c r="K21" s="301" t="str">
        <f>IF(J21="","",IF(VLOOKUP(J21,'G-7 WaterC'' Data'!$AK$4:$AM$9,2,FALSE)=0,"Spatial Data Missing ⚠",VLOOKUP(J21,'G-7 WaterC'' Data'!$AK$4:$AM$6,2,FALSE)))</f>
        <v/>
      </c>
      <c r="L21" s="305" t="str">
        <f>IF(J21="","",IF(VLOOKUP(J21,'G-7 WaterC'' Data'!$AK$4:$AM$9,3,FALSE)=0,"Spatial Data Missing ⚠",VLOOKUP(J21,'G-7 WaterC'' Data'!$AK$4:$AM$6,3,FALSE)))</f>
        <v/>
      </c>
      <c r="M21" s="106"/>
      <c r="N21" s="282" t="str">
        <f>IF(M21="","",IF(AND(M21="N/A - Culvert",D21&lt;&gt;"Culvert"),"Not possible ▲",IF(AND(D21="Culvert",M21&lt;&gt;"N/A - Culvert"),"Not possible ▲",IF(VLOOKUP(M21,'G-7 WaterC'' Data'!$AA$4:$AB$7,2,FALSE)=0,"Spatial Data Missing ⚠",VLOOKUP(M21,'G-7 WaterC'' Data'!$AA$4:$AB$7,2,FALSE)))))</f>
        <v/>
      </c>
      <c r="O21" s="56"/>
      <c r="P21" s="282" t="str">
        <f>IF(O21="","",IF(AND(O21="N/A - Culvert",D21&lt;&gt;"Culvert"),"Not possible ▲",IF(AND(D21="Culvert",O21&lt;&gt;"N/A - Culvert"),"Not possible ▲",IF(VLOOKUP(O21,'G-7 WaterC'' Data'!$AD$4:$AE$14,2,FALSE)=0,"Spatial Data Missing ⚠",VLOOKUP(O21,'G-7 WaterC'' Data'!$AD$4:$AE$14,2,FALSE)))))</f>
        <v/>
      </c>
      <c r="Q21" s="288" t="str">
        <f>IF(D21="","",VLOOKUP(D21,'G-7 WaterC'' Data'!$B$4:$G$8,6,FALSE))</f>
        <v/>
      </c>
      <c r="R21" s="295" t="str">
        <f t="shared" si="1"/>
        <v xml:space="preserve"> </v>
      </c>
      <c r="S21" s="403"/>
      <c r="T21" s="287" t="str">
        <f>IF(S21="","",IF(VLOOKUP(S21,'G-7 WaterC'' Data'!$AO$4:$BO$7,2,FALSE)=0,"Spatial Data Missing ⚠",VLOOKUP(S21,'G-7 WaterC'' Data'!$AO$4:$BO$7,2,FALSE)))</f>
        <v/>
      </c>
      <c r="U21" s="295" t="str">
        <f t="shared" si="2"/>
        <v xml:space="preserve"> </v>
      </c>
      <c r="V21" s="710" t="str">
        <f t="shared" si="3"/>
        <v/>
      </c>
      <c r="W21" s="32"/>
      <c r="X21" s="52"/>
      <c r="Y21" s="53"/>
      <c r="Z21" s="293" t="str">
        <f t="shared" si="4"/>
        <v/>
      </c>
      <c r="AA21" s="293" t="str">
        <f t="shared" si="5"/>
        <v/>
      </c>
      <c r="AB21" s="293" t="str">
        <f t="shared" si="6"/>
        <v/>
      </c>
      <c r="AC21" s="507" t="str">
        <f>IFERROR(IF(OR(E21="",R21=""),"", IF(AND(AB21&lt;&gt;"",S21=""), "Spatial risk category missing ▲", IF(AND(Q21='G-7 WaterC'' Data'!$G$4,AD21="Yes"),"Alternative Compensation ✓", IF(AND(AD21="Pending", Q21='G-7 WaterC'' Data'!$G$4),"Bespoke compensation must be agreed ▲", IF((Z21+AA21)&gt;=U21,0, U21-Z21-AA21))))),"Check Data ⚠")</f>
        <v/>
      </c>
      <c r="AD21" s="403"/>
      <c r="AE21" s="109"/>
      <c r="AF21" s="108"/>
      <c r="AG21" s="108"/>
      <c r="AH21" s="108"/>
      <c r="AI21" s="54" t="str">
        <f>IF(OR(Q21="",AD21="Yes"),"",IF(Q21='G-1 All Habitats'!$X$9,E21-Y21-X21,"None"))</f>
        <v/>
      </c>
      <c r="AJ21" s="55" t="str">
        <f>IF(Q21="","", IF(Q21='G-1 All Habitats'!$X$9, AI21*G21*I21*L21*N21*P21,"None"))</f>
        <v/>
      </c>
      <c r="AK21" s="30" t="str">
        <f>IFERROR(INDEX('G-7 WaterC'' Data'!$AZ$3:$AZ$7,MATCH(D21,'G-7 WaterC'' Data'!$AY$3:$AY$7,0)),"")</f>
        <v/>
      </c>
      <c r="AL21" s="30">
        <f t="shared" si="7"/>
        <v>0</v>
      </c>
      <c r="AM21" s="99" t="str">
        <f t="shared" si="8"/>
        <v/>
      </c>
      <c r="AN21" s="99" t="str">
        <f t="shared" si="9"/>
        <v/>
      </c>
      <c r="AO21" s="100"/>
      <c r="AP21" s="99">
        <v>12</v>
      </c>
      <c r="AQ21" s="100"/>
      <c r="AR21" s="99" t="str">
        <f t="array" ref="AR21">IFERROR(INDEX($AP$10:$AP$258, MATCH(0, IF(TRUE=$AM$10:$AM$258, COUNTIF($AR$9:$AR20, $AP$10:$AP$258), ""), 0)),"")</f>
        <v/>
      </c>
      <c r="AS21" s="99" t="str">
        <f t="array" ref="AS21">IFERROR(INDEX($AP$10:$AP$258, MATCH(0, IF(TRUE=$AN$10:$AN$258, COUNTIF($AS$9:$AS20, $AP$10:$AP$258), ""), 0)),"")</f>
        <v/>
      </c>
      <c r="AT21" s="903" t="str">
        <f>IF(AND(OR(AD21="Yes",AD21="Pending"),Q21='G-7 WaterC'' Data'!$G$4),U21-AA21-Z21,"0")</f>
        <v>0</v>
      </c>
      <c r="AU21" s="30" t="str">
        <f>IF(D21="","",VLOOKUP(D21,'G-7 WaterC'' Data'!B$4:M$8,12,FALSE))</f>
        <v/>
      </c>
      <c r="AV21" s="30" t="str">
        <f t="shared" si="0"/>
        <v/>
      </c>
      <c r="AW21" s="30" t="str">
        <f t="shared" si="10"/>
        <v>No</v>
      </c>
      <c r="BA21" s="571" t="str">
        <f t="shared" si="11"/>
        <v/>
      </c>
    </row>
    <row r="22" spans="3:53" ht="14.4" thickBot="1" x14ac:dyDescent="0.3">
      <c r="C22" s="101">
        <v>13</v>
      </c>
      <c r="D22" s="269"/>
      <c r="E22" s="108"/>
      <c r="F22" s="281" t="str">
        <f>IF(D22="","",VLOOKUP(D22,'G-7 WaterC'' Data'!$B$2:$G$8,2,FALSE))</f>
        <v/>
      </c>
      <c r="G22" s="320" t="str">
        <f>IFERROR(VLOOKUP(F22,'G-7 WaterC'' Data'!$C$4:$D$8,2,FALSE),"")</f>
        <v/>
      </c>
      <c r="H22" s="109"/>
      <c r="I22" s="305" t="str">
        <f>IFERROR(INDEX('G-7 WaterC'' Data'!$H$4:$L$8,MATCH(D22,'G-7 WaterC'' Data'!$B$4:$B$8,0),MATCH(H22,'G-7 WaterC'' Data'!$H$3:$L$3,0)),"")</f>
        <v/>
      </c>
      <c r="J22" s="718"/>
      <c r="K22" s="301" t="str">
        <f>IF(J22="","",IF(VLOOKUP(J22,'G-7 WaterC'' Data'!$AK$4:$AM$9,2,FALSE)=0,"Spatial Data Missing ⚠",VLOOKUP(J22,'G-7 WaterC'' Data'!$AK$4:$AM$6,2,FALSE)))</f>
        <v/>
      </c>
      <c r="L22" s="305" t="str">
        <f>IF(J22="","",IF(VLOOKUP(J22,'G-7 WaterC'' Data'!$AK$4:$AM$9,3,FALSE)=0,"Spatial Data Missing ⚠",VLOOKUP(J22,'G-7 WaterC'' Data'!$AK$4:$AM$6,3,FALSE)))</f>
        <v/>
      </c>
      <c r="M22" s="106"/>
      <c r="N22" s="282" t="str">
        <f>IF(M22="","",IF(AND(M22="N/A - Culvert",D22&lt;&gt;"Culvert"),"Not possible ▲",IF(AND(D22="Culvert",M22&lt;&gt;"N/A - Culvert"),"Not possible ▲",IF(VLOOKUP(M22,'G-7 WaterC'' Data'!$AA$4:$AB$7,2,FALSE)=0,"Spatial Data Missing ⚠",VLOOKUP(M22,'G-7 WaterC'' Data'!$AA$4:$AB$7,2,FALSE)))))</f>
        <v/>
      </c>
      <c r="O22" s="56"/>
      <c r="P22" s="282" t="str">
        <f>IF(O22="","",IF(AND(O22="N/A - Culvert",D22&lt;&gt;"Culvert"),"Not possible ▲",IF(AND(D22="Culvert",O22&lt;&gt;"N/A - Culvert"),"Not possible ▲",IF(VLOOKUP(O22,'G-7 WaterC'' Data'!$AD$4:$AE$14,2,FALSE)=0,"Spatial Data Missing ⚠",VLOOKUP(O22,'G-7 WaterC'' Data'!$AD$4:$AE$14,2,FALSE)))))</f>
        <v/>
      </c>
      <c r="Q22" s="288" t="str">
        <f>IF(D22="","",VLOOKUP(D22,'G-7 WaterC'' Data'!$B$4:$G$8,6,FALSE))</f>
        <v/>
      </c>
      <c r="R22" s="295" t="str">
        <f t="shared" si="1"/>
        <v xml:space="preserve"> </v>
      </c>
      <c r="S22" s="403"/>
      <c r="T22" s="287" t="str">
        <f>IF(S22="","",IF(VLOOKUP(S22,'G-7 WaterC'' Data'!$AO$4:$BO$7,2,FALSE)=0,"Spatial Data Missing ⚠",VLOOKUP(S22,'G-7 WaterC'' Data'!$AO$4:$BO$7,2,FALSE)))</f>
        <v/>
      </c>
      <c r="U22" s="295" t="str">
        <f t="shared" si="2"/>
        <v xml:space="preserve"> </v>
      </c>
      <c r="V22" s="710" t="str">
        <f t="shared" si="3"/>
        <v/>
      </c>
      <c r="W22" s="32"/>
      <c r="X22" s="52"/>
      <c r="Y22" s="53"/>
      <c r="Z22" s="293" t="str">
        <f t="shared" si="4"/>
        <v/>
      </c>
      <c r="AA22" s="293" t="str">
        <f t="shared" si="5"/>
        <v/>
      </c>
      <c r="AB22" s="293" t="str">
        <f t="shared" si="6"/>
        <v/>
      </c>
      <c r="AC22" s="507" t="str">
        <f>IFERROR(IF(OR(E22="",R22=""),"", IF(AND(AB22&lt;&gt;"",S22=""), "Spatial risk category missing ▲", IF(AND(Q22='G-7 WaterC'' Data'!$G$4,AD22="Yes"),"Alternative Compensation ✓", IF(AND(AD22="Pending", Q22='G-7 WaterC'' Data'!$G$4),"Bespoke compensation must be agreed ▲", IF((Z22+AA22)&gt;=U22,0, U22-Z22-AA22))))),"Check Data ⚠")</f>
        <v/>
      </c>
      <c r="AD22" s="403"/>
      <c r="AE22" s="109"/>
      <c r="AF22" s="108"/>
      <c r="AG22" s="108"/>
      <c r="AH22" s="108"/>
      <c r="AI22" s="54" t="str">
        <f>IF(OR(Q22="",AD22="Yes"),"",IF(Q22='G-1 All Habitats'!$X$9,E22-Y22-X22,"None"))</f>
        <v/>
      </c>
      <c r="AJ22" s="55" t="str">
        <f>IF(Q22="","", IF(Q22='G-1 All Habitats'!$X$9, AI22*G22*I22*L22*N22*P22,"None"))</f>
        <v/>
      </c>
      <c r="AK22" s="30" t="str">
        <f>IFERROR(INDEX('G-7 WaterC'' Data'!$AZ$3:$AZ$7,MATCH(D22,'G-7 WaterC'' Data'!$AY$3:$AY$7,0)),"")</f>
        <v/>
      </c>
      <c r="AL22" s="30">
        <f t="shared" si="7"/>
        <v>0</v>
      </c>
      <c r="AM22" s="99" t="str">
        <f t="shared" si="8"/>
        <v/>
      </c>
      <c r="AN22" s="99" t="str">
        <f t="shared" si="9"/>
        <v/>
      </c>
      <c r="AO22" s="100"/>
      <c r="AP22" s="99">
        <v>13</v>
      </c>
      <c r="AQ22" s="100"/>
      <c r="AR22" s="99" t="str">
        <f t="array" ref="AR22">IFERROR(INDEX($AP$10:$AP$258, MATCH(0, IF(TRUE=$AM$10:$AM$258, COUNTIF($AR$9:$AR21, $AP$10:$AP$258), ""), 0)),"")</f>
        <v/>
      </c>
      <c r="AS22" s="99" t="str">
        <f t="array" ref="AS22">IFERROR(INDEX($AP$10:$AP$258, MATCH(0, IF(TRUE=$AN$10:$AN$258, COUNTIF($AS$9:$AS21, $AP$10:$AP$258), ""), 0)),"")</f>
        <v/>
      </c>
      <c r="AT22" s="903" t="str">
        <f>IF(AND(OR(AD22="Yes",AD22="Pending"),Q22='G-7 WaterC'' Data'!$G$4),U22-AA22-Z22,"0")</f>
        <v>0</v>
      </c>
      <c r="AU22" s="30" t="str">
        <f>IF(D22="","",VLOOKUP(D22,'G-7 WaterC'' Data'!B$4:M$8,12,FALSE))</f>
        <v/>
      </c>
      <c r="AV22" s="30" t="str">
        <f t="shared" si="0"/>
        <v/>
      </c>
      <c r="AW22" s="30" t="str">
        <f t="shared" si="10"/>
        <v>No</v>
      </c>
      <c r="BA22" s="571" t="str">
        <f t="shared" si="11"/>
        <v/>
      </c>
    </row>
    <row r="23" spans="3:53" ht="14.4" thickBot="1" x14ac:dyDescent="0.3">
      <c r="C23" s="101">
        <v>14</v>
      </c>
      <c r="D23" s="269"/>
      <c r="E23" s="108"/>
      <c r="F23" s="281" t="str">
        <f>IF(D23="","",VLOOKUP(D23,'G-7 WaterC'' Data'!$B$2:$G$8,2,FALSE))</f>
        <v/>
      </c>
      <c r="G23" s="320" t="str">
        <f>IFERROR(VLOOKUP(F23,'G-7 WaterC'' Data'!$C$4:$D$8,2,FALSE),"")</f>
        <v/>
      </c>
      <c r="H23" s="109"/>
      <c r="I23" s="305" t="str">
        <f>IFERROR(INDEX('G-7 WaterC'' Data'!$H$4:$L$8,MATCH(D23,'G-7 WaterC'' Data'!$B$4:$B$8,0),MATCH(H23,'G-7 WaterC'' Data'!$H$3:$L$3,0)),"")</f>
        <v/>
      </c>
      <c r="J23" s="718"/>
      <c r="K23" s="301" t="str">
        <f>IF(J23="","",IF(VLOOKUP(J23,'G-7 WaterC'' Data'!$AK$4:$AM$9,2,FALSE)=0,"Spatial Data Missing ⚠",VLOOKUP(J23,'G-7 WaterC'' Data'!$AK$4:$AM$6,2,FALSE)))</f>
        <v/>
      </c>
      <c r="L23" s="305" t="str">
        <f>IF(J23="","",IF(VLOOKUP(J23,'G-7 WaterC'' Data'!$AK$4:$AM$9,3,FALSE)=0,"Spatial Data Missing ⚠",VLOOKUP(J23,'G-7 WaterC'' Data'!$AK$4:$AM$6,3,FALSE)))</f>
        <v/>
      </c>
      <c r="M23" s="106"/>
      <c r="N23" s="282" t="str">
        <f>IF(M23="","",IF(AND(M23="N/A - Culvert",D23&lt;&gt;"Culvert"),"Not possible ▲",IF(AND(D23="Culvert",M23&lt;&gt;"N/A - Culvert"),"Not possible ▲",IF(VLOOKUP(M23,'G-7 WaterC'' Data'!$AA$4:$AB$7,2,FALSE)=0,"Spatial Data Missing ⚠",VLOOKUP(M23,'G-7 WaterC'' Data'!$AA$4:$AB$7,2,FALSE)))))</f>
        <v/>
      </c>
      <c r="O23" s="56"/>
      <c r="P23" s="282" t="str">
        <f>IF(O23="","",IF(AND(O23="N/A - Culvert",D23&lt;&gt;"Culvert"),"Not possible ▲",IF(AND(D23="Culvert",O23&lt;&gt;"N/A - Culvert"),"Not possible ▲",IF(VLOOKUP(O23,'G-7 WaterC'' Data'!$AD$4:$AE$14,2,FALSE)=0,"Spatial Data Missing ⚠",VLOOKUP(O23,'G-7 WaterC'' Data'!$AD$4:$AE$14,2,FALSE)))))</f>
        <v/>
      </c>
      <c r="Q23" s="288" t="str">
        <f>IF(D23="","",VLOOKUP(D23,'G-7 WaterC'' Data'!$B$4:$G$8,6,FALSE))</f>
        <v/>
      </c>
      <c r="R23" s="295" t="str">
        <f t="shared" si="1"/>
        <v xml:space="preserve"> </v>
      </c>
      <c r="S23" s="403"/>
      <c r="T23" s="287" t="str">
        <f>IF(S23="","",IF(VLOOKUP(S23,'G-7 WaterC'' Data'!$AO$4:$BO$7,2,FALSE)=0,"Spatial Data Missing ⚠",VLOOKUP(S23,'G-7 WaterC'' Data'!$AO$4:$BO$7,2,FALSE)))</f>
        <v/>
      </c>
      <c r="U23" s="295" t="str">
        <f t="shared" si="2"/>
        <v xml:space="preserve"> </v>
      </c>
      <c r="V23" s="710" t="str">
        <f t="shared" si="3"/>
        <v/>
      </c>
      <c r="W23" s="32"/>
      <c r="X23" s="52"/>
      <c r="Y23" s="53"/>
      <c r="Z23" s="293" t="str">
        <f t="shared" si="4"/>
        <v/>
      </c>
      <c r="AA23" s="293" t="str">
        <f t="shared" si="5"/>
        <v/>
      </c>
      <c r="AB23" s="293" t="str">
        <f t="shared" si="6"/>
        <v/>
      </c>
      <c r="AC23" s="507" t="str">
        <f>IFERROR(IF(OR(E23="",R23=""),"", IF(AND(AB23&lt;&gt;"",S23=""), "Spatial risk category missing ▲", IF(AND(Q23='G-7 WaterC'' Data'!$G$4,AD23="Yes"),"Alternative Compensation ✓", IF(AND(AD23="Pending", Q23='G-7 WaterC'' Data'!$G$4),"Bespoke compensation must be agreed ▲", IF((Z23+AA23)&gt;=U23,0, U23-Z23-AA23))))),"Check Data ⚠")</f>
        <v/>
      </c>
      <c r="AD23" s="403"/>
      <c r="AE23" s="109"/>
      <c r="AF23" s="108"/>
      <c r="AG23" s="108"/>
      <c r="AH23" s="108"/>
      <c r="AI23" s="54" t="str">
        <f>IF(OR(Q23="",AD23="Yes"),"",IF(Q23='G-1 All Habitats'!$X$9,E23-Y23-X23,"None"))</f>
        <v/>
      </c>
      <c r="AJ23" s="55" t="str">
        <f>IF(Q23="","", IF(Q23='G-1 All Habitats'!$X$9, AI23*G23*I23*L23*N23*P23,"None"))</f>
        <v/>
      </c>
      <c r="AK23" s="30" t="str">
        <f>IFERROR(INDEX('G-7 WaterC'' Data'!$AZ$3:$AZ$7,MATCH(D23,'G-7 WaterC'' Data'!$AY$3:$AY$7,0)),"")</f>
        <v/>
      </c>
      <c r="AL23" s="30">
        <f t="shared" si="7"/>
        <v>0</v>
      </c>
      <c r="AM23" s="111" t="str">
        <f t="shared" si="8"/>
        <v/>
      </c>
      <c r="AN23" s="111" t="str">
        <f t="shared" si="9"/>
        <v/>
      </c>
      <c r="AP23" s="111">
        <v>14</v>
      </c>
      <c r="AR23" s="111" t="str">
        <f t="array" ref="AR23">IFERROR(INDEX($AP$10:$AP$258, MATCH(0, IF(TRUE=$AM$10:$AM$258, COUNTIF($AR$9:$AR22, $AP$10:$AP$258), ""), 0)),"")</f>
        <v/>
      </c>
      <c r="AS23" s="111" t="str">
        <f t="array" ref="AS23">IFERROR(INDEX($AP$10:$AP$258, MATCH(0, IF(TRUE=$AN$10:$AN$258, COUNTIF($AS$9:$AS22, $AP$10:$AP$258), ""), 0)),"")</f>
        <v/>
      </c>
      <c r="AT23" s="903" t="str">
        <f>IF(AND(OR(AD23="Yes",AD23="Pending"),Q23='G-7 WaterC'' Data'!$G$4),U23-AA23-Z23,"0")</f>
        <v>0</v>
      </c>
      <c r="AU23" s="30" t="str">
        <f>IF(D23="","",VLOOKUP(D23,'G-7 WaterC'' Data'!B$4:M$8,12,FALSE))</f>
        <v/>
      </c>
      <c r="AV23" s="30" t="str">
        <f t="shared" si="0"/>
        <v/>
      </c>
      <c r="AW23" s="30" t="str">
        <f t="shared" si="10"/>
        <v>No</v>
      </c>
      <c r="BA23" s="571" t="str">
        <f t="shared" si="11"/>
        <v/>
      </c>
    </row>
    <row r="24" spans="3:53" ht="14.4" thickBot="1" x14ac:dyDescent="0.3">
      <c r="C24" s="101">
        <v>15</v>
      </c>
      <c r="D24" s="269"/>
      <c r="E24" s="108"/>
      <c r="F24" s="281" t="str">
        <f>IF(D24="","",VLOOKUP(D24,'G-7 WaterC'' Data'!$B$2:$G$8,2,FALSE))</f>
        <v/>
      </c>
      <c r="G24" s="320" t="str">
        <f>IFERROR(VLOOKUP(F24,'G-7 WaterC'' Data'!$C$4:$D$8,2,FALSE),"")</f>
        <v/>
      </c>
      <c r="H24" s="109"/>
      <c r="I24" s="305" t="str">
        <f>IFERROR(INDEX('G-7 WaterC'' Data'!$H$4:$L$8,MATCH(D24,'G-7 WaterC'' Data'!$B$4:$B$8,0),MATCH(H24,'G-7 WaterC'' Data'!$H$3:$L$3,0)),"")</f>
        <v/>
      </c>
      <c r="J24" s="718"/>
      <c r="K24" s="301" t="str">
        <f>IF(J24="","",IF(VLOOKUP(J24,'G-7 WaterC'' Data'!$AK$4:$AM$9,2,FALSE)=0,"Spatial Data Missing ⚠",VLOOKUP(J24,'G-7 WaterC'' Data'!$AK$4:$AM$6,2,FALSE)))</f>
        <v/>
      </c>
      <c r="L24" s="305" t="str">
        <f>IF(J24="","",IF(VLOOKUP(J24,'G-7 WaterC'' Data'!$AK$4:$AM$9,3,FALSE)=0,"Spatial Data Missing ⚠",VLOOKUP(J24,'G-7 WaterC'' Data'!$AK$4:$AM$6,3,FALSE)))</f>
        <v/>
      </c>
      <c r="M24" s="106"/>
      <c r="N24" s="282" t="str">
        <f>IF(M24="","",IF(AND(M24="N/A - Culvert",D24&lt;&gt;"Culvert"),"Not possible ▲",IF(AND(D24="Culvert",M24&lt;&gt;"N/A - Culvert"),"Not possible ▲",IF(VLOOKUP(M24,'G-7 WaterC'' Data'!$AA$4:$AB$7,2,FALSE)=0,"Spatial Data Missing ⚠",VLOOKUP(M24,'G-7 WaterC'' Data'!$AA$4:$AB$7,2,FALSE)))))</f>
        <v/>
      </c>
      <c r="O24" s="56"/>
      <c r="P24" s="282" t="str">
        <f>IF(O24="","",IF(AND(O24="N/A - Culvert",D24&lt;&gt;"Culvert"),"Not possible ▲",IF(AND(D24="Culvert",O24&lt;&gt;"N/A - Culvert"),"Not possible ▲",IF(VLOOKUP(O24,'G-7 WaterC'' Data'!$AD$4:$AE$14,2,FALSE)=0,"Spatial Data Missing ⚠",VLOOKUP(O24,'G-7 WaterC'' Data'!$AD$4:$AE$14,2,FALSE)))))</f>
        <v/>
      </c>
      <c r="Q24" s="288" t="str">
        <f>IF(D24="","",VLOOKUP(D24,'G-7 WaterC'' Data'!$B$4:$G$8,6,FALSE))</f>
        <v/>
      </c>
      <c r="R24" s="295" t="str">
        <f t="shared" si="1"/>
        <v xml:space="preserve"> </v>
      </c>
      <c r="S24" s="403"/>
      <c r="T24" s="287" t="str">
        <f>IF(S24="","",IF(VLOOKUP(S24,'G-7 WaterC'' Data'!$AO$4:$BO$7,2,FALSE)=0,"Spatial Data Missing ⚠",VLOOKUP(S24,'G-7 WaterC'' Data'!$AO$4:$BO$7,2,FALSE)))</f>
        <v/>
      </c>
      <c r="U24" s="295" t="str">
        <f t="shared" si="2"/>
        <v xml:space="preserve"> </v>
      </c>
      <c r="V24" s="710" t="str">
        <f t="shared" si="3"/>
        <v/>
      </c>
      <c r="W24" s="32"/>
      <c r="X24" s="105"/>
      <c r="Y24" s="112"/>
      <c r="Z24" s="293" t="str">
        <f t="shared" si="4"/>
        <v/>
      </c>
      <c r="AA24" s="293" t="str">
        <f t="shared" si="5"/>
        <v/>
      </c>
      <c r="AB24" s="293" t="str">
        <f t="shared" si="6"/>
        <v/>
      </c>
      <c r="AC24" s="507" t="str">
        <f>IFERROR(IF(OR(E24="",R24=""),"", IF(AND(AB24&lt;&gt;"",S24=""), "Spatial risk category missing ▲", IF(AND(Q24='G-7 WaterC'' Data'!$G$4,AD24="Yes"),"Alternative Compensation ✓", IF(AND(AD24="Pending", Q24='G-7 WaterC'' Data'!$G$4),"Bespoke compensation must be agreed ▲", IF((Z24+AA24)&gt;=U24,0, U24-Z24-AA24))))),"Check Data ⚠")</f>
        <v/>
      </c>
      <c r="AD24" s="403"/>
      <c r="AE24" s="109"/>
      <c r="AF24" s="108"/>
      <c r="AG24" s="108"/>
      <c r="AH24" s="108"/>
      <c r="AI24" s="54" t="str">
        <f>IF(OR(Q24="",AD24="Yes"),"",IF(Q24='G-1 All Habitats'!$X$9,E24-Y24-X24,"None"))</f>
        <v/>
      </c>
      <c r="AJ24" s="55" t="str">
        <f>IF(Q24="","", IF(Q24='G-1 All Habitats'!$X$9, AI24*G24*I24*L24*N24*P24,"None"))</f>
        <v/>
      </c>
      <c r="AK24" s="30" t="str">
        <f>IFERROR(INDEX('G-7 WaterC'' Data'!$AZ$3:$AZ$7,MATCH(D24,'G-7 WaterC'' Data'!$AY$3:$AY$7,0)),"")</f>
        <v/>
      </c>
      <c r="AL24" s="30">
        <f t="shared" si="7"/>
        <v>0</v>
      </c>
      <c r="AM24" s="111" t="str">
        <f t="shared" si="8"/>
        <v/>
      </c>
      <c r="AN24" s="111" t="str">
        <f t="shared" si="9"/>
        <v/>
      </c>
      <c r="AP24" s="111">
        <v>15</v>
      </c>
      <c r="AR24" s="111" t="str">
        <f t="array" ref="AR24">IFERROR(INDEX($AP$10:$AP$258, MATCH(0, IF(TRUE=$AM$10:$AM$258, COUNTIF($AR$9:$AR23, $AP$10:$AP$258), ""), 0)),"")</f>
        <v/>
      </c>
      <c r="AS24" s="111" t="str">
        <f t="array" ref="AS24">IFERROR(INDEX($AP$10:$AP$258, MATCH(0, IF(TRUE=$AN$10:$AN$258, COUNTIF($AS$9:$AS23, $AP$10:$AP$258), ""), 0)),"")</f>
        <v/>
      </c>
      <c r="AT24" s="903" t="str">
        <f>IF(AND(OR(AD24="Yes",AD24="Pending"),Q24='G-7 WaterC'' Data'!$G$4),U24-AA24-Z24,"0")</f>
        <v>0</v>
      </c>
      <c r="AU24" s="30" t="str">
        <f>IF(D24="","",VLOOKUP(D24,'G-7 WaterC'' Data'!B$4:M$8,12,FALSE))</f>
        <v/>
      </c>
      <c r="AV24" s="30" t="str">
        <f t="shared" si="0"/>
        <v/>
      </c>
      <c r="AW24" s="30" t="str">
        <f t="shared" si="10"/>
        <v>No</v>
      </c>
      <c r="BA24" s="571" t="str">
        <f t="shared" si="11"/>
        <v/>
      </c>
    </row>
    <row r="25" spans="3:53" ht="14.4" thickBot="1" x14ac:dyDescent="0.3">
      <c r="C25" s="101">
        <v>16</v>
      </c>
      <c r="D25" s="269"/>
      <c r="E25" s="108"/>
      <c r="F25" s="281" t="str">
        <f>IF(D25="","",VLOOKUP(D25,'G-7 WaterC'' Data'!$B$2:$G$8,2,FALSE))</f>
        <v/>
      </c>
      <c r="G25" s="320" t="str">
        <f>IFERROR(VLOOKUP(F25,'G-7 WaterC'' Data'!$C$4:$D$8,2,FALSE),"")</f>
        <v/>
      </c>
      <c r="H25" s="109"/>
      <c r="I25" s="305" t="str">
        <f>IFERROR(INDEX('G-7 WaterC'' Data'!$H$4:$L$8,MATCH(D25,'G-7 WaterC'' Data'!$B$4:$B$8,0),MATCH(H25,'G-7 WaterC'' Data'!$H$3:$L$3,0)),"")</f>
        <v/>
      </c>
      <c r="J25" s="718"/>
      <c r="K25" s="301" t="str">
        <f>IF(J25="","",IF(VLOOKUP(J25,'G-7 WaterC'' Data'!$AK$4:$AM$9,2,FALSE)=0,"Spatial Data Missing ⚠",VLOOKUP(J25,'G-7 WaterC'' Data'!$AK$4:$AM$6,2,FALSE)))</f>
        <v/>
      </c>
      <c r="L25" s="305" t="str">
        <f>IF(J25="","",IF(VLOOKUP(J25,'G-7 WaterC'' Data'!$AK$4:$AM$9,3,FALSE)=0,"Spatial Data Missing ⚠",VLOOKUP(J25,'G-7 WaterC'' Data'!$AK$4:$AM$6,3,FALSE)))</f>
        <v/>
      </c>
      <c r="M25" s="106"/>
      <c r="N25" s="282" t="str">
        <f>IF(M25="","",IF(AND(M25="N/A - Culvert",D25&lt;&gt;"Culvert"),"Not possible ▲",IF(AND(D25="Culvert",M25&lt;&gt;"N/A - Culvert"),"Not possible ▲",IF(VLOOKUP(M25,'G-7 WaterC'' Data'!$AA$4:$AB$7,2,FALSE)=0,"Spatial Data Missing ⚠",VLOOKUP(M25,'G-7 WaterC'' Data'!$AA$4:$AB$7,2,FALSE)))))</f>
        <v/>
      </c>
      <c r="O25" s="56"/>
      <c r="P25" s="282" t="str">
        <f>IF(O25="","",IF(AND(O25="N/A - Culvert",D25&lt;&gt;"Culvert"),"Not possible ▲",IF(AND(D25="Culvert",O25&lt;&gt;"N/A - Culvert"),"Not possible ▲",IF(VLOOKUP(O25,'G-7 WaterC'' Data'!$AD$4:$AE$14,2,FALSE)=0,"Spatial Data Missing ⚠",VLOOKUP(O25,'G-7 WaterC'' Data'!$AD$4:$AE$14,2,FALSE)))))</f>
        <v/>
      </c>
      <c r="Q25" s="288" t="str">
        <f>IF(D25="","",VLOOKUP(D25,'G-7 WaterC'' Data'!$B$4:$G$8,6,FALSE))</f>
        <v/>
      </c>
      <c r="R25" s="295" t="str">
        <f t="shared" si="1"/>
        <v xml:space="preserve"> </v>
      </c>
      <c r="S25" s="403"/>
      <c r="T25" s="287" t="str">
        <f>IF(S25="","",IF(VLOOKUP(S25,'G-7 WaterC'' Data'!$AO$4:$BO$7,2,FALSE)=0,"Spatial Data Missing ⚠",VLOOKUP(S25,'G-7 WaterC'' Data'!$AO$4:$BO$7,2,FALSE)))</f>
        <v/>
      </c>
      <c r="U25" s="295" t="str">
        <f t="shared" si="2"/>
        <v xml:space="preserve"> </v>
      </c>
      <c r="V25" s="710" t="str">
        <f t="shared" si="3"/>
        <v/>
      </c>
      <c r="W25" s="32"/>
      <c r="X25" s="105"/>
      <c r="Y25" s="112"/>
      <c r="Z25" s="293" t="str">
        <f t="shared" si="4"/>
        <v/>
      </c>
      <c r="AA25" s="293" t="str">
        <f t="shared" si="5"/>
        <v/>
      </c>
      <c r="AB25" s="293" t="str">
        <f t="shared" si="6"/>
        <v/>
      </c>
      <c r="AC25" s="507" t="str">
        <f>IFERROR(IF(OR(E25="",R25=""),"", IF(AND(AB25&lt;&gt;"",S25=""), "Spatial risk category missing ▲", IF(AND(Q25='G-7 WaterC'' Data'!$G$4,AD25="Yes"),"Alternative Compensation ✓", IF(AND(AD25="Pending", Q25='G-7 WaterC'' Data'!$G$4),"Bespoke compensation must be agreed ▲", IF((Z25+AA25)&gt;=U25,0, U25-Z25-AA25))))),"Check Data ⚠")</f>
        <v/>
      </c>
      <c r="AD25" s="403"/>
      <c r="AE25" s="109"/>
      <c r="AF25" s="108"/>
      <c r="AG25" s="108"/>
      <c r="AH25" s="108"/>
      <c r="AI25" s="54" t="str">
        <f>IF(OR(Q25="",AD25="Yes"),"",IF(Q25='G-1 All Habitats'!$X$9,E25-Y25-X25,"None"))</f>
        <v/>
      </c>
      <c r="AJ25" s="55" t="str">
        <f>IF(Q25="","", IF(Q25='G-1 All Habitats'!$X$9, AI25*G25*I25*L25*N25*P25,"None"))</f>
        <v/>
      </c>
      <c r="AK25" s="30" t="str">
        <f>IFERROR(INDEX('G-7 WaterC'' Data'!$AZ$3:$AZ$7,MATCH(D25,'G-7 WaterC'' Data'!$AY$3:$AY$7,0)),"")</f>
        <v/>
      </c>
      <c r="AL25" s="30">
        <f t="shared" si="7"/>
        <v>0</v>
      </c>
      <c r="AM25" s="111" t="str">
        <f t="shared" si="8"/>
        <v/>
      </c>
      <c r="AN25" s="111" t="str">
        <f t="shared" si="9"/>
        <v/>
      </c>
      <c r="AP25" s="111">
        <v>16</v>
      </c>
      <c r="AR25" s="111" t="str">
        <f t="array" ref="AR25">IFERROR(INDEX($AP$10:$AP$258, MATCH(0, IF(TRUE=$AM$10:$AM$258, COUNTIF($AR$9:$AR24, $AP$10:$AP$258), ""), 0)),"")</f>
        <v/>
      </c>
      <c r="AS25" s="111" t="str">
        <f t="array" ref="AS25">IFERROR(INDEX($AP$10:$AP$258, MATCH(0, IF(TRUE=$AN$10:$AN$258, COUNTIF($AS$9:$AS24, $AP$10:$AP$258), ""), 0)),"")</f>
        <v/>
      </c>
      <c r="AT25" s="903" t="str">
        <f>IF(AND(OR(AD25="Yes",AD25="Pending"),Q25='G-7 WaterC'' Data'!$G$4),U25-AA25-Z25,"0")</f>
        <v>0</v>
      </c>
      <c r="AU25" s="30" t="str">
        <f>IF(D25="","",VLOOKUP(D25,'G-7 WaterC'' Data'!B$4:M$8,12,FALSE))</f>
        <v/>
      </c>
      <c r="AV25" s="30" t="str">
        <f t="shared" si="0"/>
        <v/>
      </c>
      <c r="AW25" s="30" t="str">
        <f t="shared" si="10"/>
        <v>No</v>
      </c>
      <c r="BA25" s="571" t="str">
        <f t="shared" si="11"/>
        <v/>
      </c>
    </row>
    <row r="26" spans="3:53" ht="14.4" thickBot="1" x14ac:dyDescent="0.3">
      <c r="C26" s="101">
        <v>17</v>
      </c>
      <c r="D26" s="269"/>
      <c r="E26" s="108"/>
      <c r="F26" s="281" t="str">
        <f>IF(D26="","",VLOOKUP(D26,'G-7 WaterC'' Data'!$B$2:$G$8,2,FALSE))</f>
        <v/>
      </c>
      <c r="G26" s="320" t="str">
        <f>IFERROR(VLOOKUP(F26,'G-7 WaterC'' Data'!$C$4:$D$8,2,FALSE),"")</f>
        <v/>
      </c>
      <c r="H26" s="109"/>
      <c r="I26" s="305" t="str">
        <f>IFERROR(INDEX('G-7 WaterC'' Data'!$H$4:$L$8,MATCH(D26,'G-7 WaterC'' Data'!$B$4:$B$8,0),MATCH(H26,'G-7 WaterC'' Data'!$H$3:$L$3,0)),"")</f>
        <v/>
      </c>
      <c r="J26" s="718"/>
      <c r="K26" s="301" t="str">
        <f>IF(J26="","",IF(VLOOKUP(J26,'G-7 WaterC'' Data'!$AK$4:$AM$9,2,FALSE)=0,"Spatial Data Missing ⚠",VLOOKUP(J26,'G-7 WaterC'' Data'!$AK$4:$AM$6,2,FALSE)))</f>
        <v/>
      </c>
      <c r="L26" s="305" t="str">
        <f>IF(J26="","",IF(VLOOKUP(J26,'G-7 WaterC'' Data'!$AK$4:$AM$9,3,FALSE)=0,"Spatial Data Missing ⚠",VLOOKUP(J26,'G-7 WaterC'' Data'!$AK$4:$AM$6,3,FALSE)))</f>
        <v/>
      </c>
      <c r="M26" s="106"/>
      <c r="N26" s="282" t="str">
        <f>IF(M26="","",IF(AND(M26="N/A - Culvert",D26&lt;&gt;"Culvert"),"Not possible ▲",IF(AND(D26="Culvert",M26&lt;&gt;"N/A - Culvert"),"Not possible ▲",IF(VLOOKUP(M26,'G-7 WaterC'' Data'!$AA$4:$AB$7,2,FALSE)=0,"Spatial Data Missing ⚠",VLOOKUP(M26,'G-7 WaterC'' Data'!$AA$4:$AB$7,2,FALSE)))))</f>
        <v/>
      </c>
      <c r="O26" s="56"/>
      <c r="P26" s="282" t="str">
        <f>IF(O26="","",IF(AND(O26="N/A - Culvert",D26&lt;&gt;"Culvert"),"Not possible ▲",IF(AND(D26="Culvert",O26&lt;&gt;"N/A - Culvert"),"Not possible ▲",IF(VLOOKUP(O26,'G-7 WaterC'' Data'!$AD$4:$AE$14,2,FALSE)=0,"Spatial Data Missing ⚠",VLOOKUP(O26,'G-7 WaterC'' Data'!$AD$4:$AE$14,2,FALSE)))))</f>
        <v/>
      </c>
      <c r="Q26" s="288" t="str">
        <f>IF(D26="","",VLOOKUP(D26,'G-7 WaterC'' Data'!$B$4:$G$8,6,FALSE))</f>
        <v/>
      </c>
      <c r="R26" s="295" t="str">
        <f t="shared" si="1"/>
        <v xml:space="preserve"> </v>
      </c>
      <c r="S26" s="403"/>
      <c r="T26" s="287" t="str">
        <f>IF(S26="","",IF(VLOOKUP(S26,'G-7 WaterC'' Data'!$AO$4:$BO$7,2,FALSE)=0,"Spatial Data Missing ⚠",VLOOKUP(S26,'G-7 WaterC'' Data'!$AO$4:$BO$7,2,FALSE)))</f>
        <v/>
      </c>
      <c r="U26" s="295" t="str">
        <f t="shared" si="2"/>
        <v xml:space="preserve"> </v>
      </c>
      <c r="V26" s="710" t="str">
        <f t="shared" si="3"/>
        <v/>
      </c>
      <c r="W26" s="32"/>
      <c r="X26" s="105"/>
      <c r="Y26" s="112"/>
      <c r="Z26" s="293" t="str">
        <f t="shared" si="4"/>
        <v/>
      </c>
      <c r="AA26" s="293" t="str">
        <f t="shared" si="5"/>
        <v/>
      </c>
      <c r="AB26" s="293" t="str">
        <f t="shared" si="6"/>
        <v/>
      </c>
      <c r="AC26" s="507" t="str">
        <f>IFERROR(IF(OR(E26="",R26=""),"", IF(AND(AB26&lt;&gt;"",S26=""), "Spatial risk category missing ▲", IF(AND(Q26='G-7 WaterC'' Data'!$G$4,AD26="Yes"),"Alternative Compensation ✓", IF(AND(AD26="Pending", Q26='G-7 WaterC'' Data'!$G$4),"Bespoke compensation must be agreed ▲", IF((Z26+AA26)&gt;=U26,0, U26-Z26-AA26))))),"Check Data ⚠")</f>
        <v/>
      </c>
      <c r="AD26" s="403"/>
      <c r="AE26" s="109"/>
      <c r="AF26" s="108"/>
      <c r="AG26" s="108"/>
      <c r="AH26" s="108"/>
      <c r="AI26" s="54" t="str">
        <f>IF(OR(Q26="",AD26="Yes"),"",IF(Q26='G-1 All Habitats'!$X$9,E26-Y26-X26,"None"))</f>
        <v/>
      </c>
      <c r="AJ26" s="55" t="str">
        <f>IF(Q26="","", IF(Q26='G-1 All Habitats'!$X$9, AI26*G26*I26*L26*N26*P26,"None"))</f>
        <v/>
      </c>
      <c r="AK26" s="30" t="str">
        <f>IFERROR(INDEX('G-7 WaterC'' Data'!$AZ$3:$AZ$7,MATCH(D26,'G-7 WaterC'' Data'!$AY$3:$AY$7,0)),"")</f>
        <v/>
      </c>
      <c r="AL26" s="30">
        <f t="shared" si="7"/>
        <v>0</v>
      </c>
      <c r="AM26" s="111" t="str">
        <f t="shared" si="8"/>
        <v/>
      </c>
      <c r="AN26" s="111" t="str">
        <f t="shared" si="9"/>
        <v/>
      </c>
      <c r="AP26" s="111">
        <v>17</v>
      </c>
      <c r="AR26" s="111" t="str">
        <f t="array" ref="AR26">IFERROR(INDEX($AP$10:$AP$258, MATCH(0, IF(TRUE=$AM$10:$AM$258, COUNTIF($AR$9:$AR25, $AP$10:$AP$258), ""), 0)),"")</f>
        <v/>
      </c>
      <c r="AS26" s="111" t="str">
        <f t="array" ref="AS26">IFERROR(INDEX($AP$10:$AP$258, MATCH(0, IF(TRUE=$AN$10:$AN$258, COUNTIF($AS$9:$AS25, $AP$10:$AP$258), ""), 0)),"")</f>
        <v/>
      </c>
      <c r="AT26" s="903" t="str">
        <f>IF(AND(OR(AD26="Yes",AD26="Pending"),Q26='G-7 WaterC'' Data'!$G$4),U26-AA26-Z26,"0")</f>
        <v>0</v>
      </c>
      <c r="AU26" s="30" t="str">
        <f>IF(D26="","",VLOOKUP(D26,'G-7 WaterC'' Data'!B$4:M$8,12,FALSE))</f>
        <v/>
      </c>
      <c r="AV26" s="30" t="str">
        <f t="shared" si="0"/>
        <v/>
      </c>
      <c r="AW26" s="30" t="str">
        <f t="shared" si="10"/>
        <v>No</v>
      </c>
      <c r="BA26" s="571" t="str">
        <f t="shared" si="11"/>
        <v/>
      </c>
    </row>
    <row r="27" spans="3:53" ht="14.4" thickBot="1" x14ac:dyDescent="0.3">
      <c r="C27" s="101">
        <v>18</v>
      </c>
      <c r="D27" s="269"/>
      <c r="E27" s="108"/>
      <c r="F27" s="281" t="str">
        <f>IF(D27="","",VLOOKUP(D27,'G-7 WaterC'' Data'!$B$2:$G$8,2,FALSE))</f>
        <v/>
      </c>
      <c r="G27" s="320" t="str">
        <f>IFERROR(VLOOKUP(F27,'G-7 WaterC'' Data'!$C$4:$D$8,2,FALSE),"")</f>
        <v/>
      </c>
      <c r="H27" s="109"/>
      <c r="I27" s="305" t="str">
        <f>IFERROR(INDEX('G-7 WaterC'' Data'!$H$4:$L$8,MATCH(D27,'G-7 WaterC'' Data'!$B$4:$B$8,0),MATCH(H27,'G-7 WaterC'' Data'!$H$3:$L$3,0)),"")</f>
        <v/>
      </c>
      <c r="J27" s="718"/>
      <c r="K27" s="301" t="str">
        <f>IF(J27="","",IF(VLOOKUP(J27,'G-7 WaterC'' Data'!$AK$4:$AM$9,2,FALSE)=0,"Spatial Data Missing ⚠",VLOOKUP(J27,'G-7 WaterC'' Data'!$AK$4:$AM$6,2,FALSE)))</f>
        <v/>
      </c>
      <c r="L27" s="305" t="str">
        <f>IF(J27="","",IF(VLOOKUP(J27,'G-7 WaterC'' Data'!$AK$4:$AM$9,3,FALSE)=0,"Spatial Data Missing ⚠",VLOOKUP(J27,'G-7 WaterC'' Data'!$AK$4:$AM$6,3,FALSE)))</f>
        <v/>
      </c>
      <c r="M27" s="106"/>
      <c r="N27" s="282" t="str">
        <f>IF(M27="","",IF(AND(M27="N/A - Culvert",D27&lt;&gt;"Culvert"),"Not possible ▲",IF(AND(D27="Culvert",M27&lt;&gt;"N/A - Culvert"),"Not possible ▲",IF(VLOOKUP(M27,'G-7 WaterC'' Data'!$AA$4:$AB$7,2,FALSE)=0,"Spatial Data Missing ⚠",VLOOKUP(M27,'G-7 WaterC'' Data'!$AA$4:$AB$7,2,FALSE)))))</f>
        <v/>
      </c>
      <c r="O27" s="56"/>
      <c r="P27" s="282" t="str">
        <f>IF(O27="","",IF(AND(O27="N/A - Culvert",D27&lt;&gt;"Culvert"),"Not possible ▲",IF(AND(D27="Culvert",O27&lt;&gt;"N/A - Culvert"),"Not possible ▲",IF(VLOOKUP(O27,'G-7 WaterC'' Data'!$AD$4:$AE$14,2,FALSE)=0,"Spatial Data Missing ⚠",VLOOKUP(O27,'G-7 WaterC'' Data'!$AD$4:$AE$14,2,FALSE)))))</f>
        <v/>
      </c>
      <c r="Q27" s="288" t="str">
        <f>IF(D27="","",VLOOKUP(D27,'G-7 WaterC'' Data'!$B$4:$G$8,6,FALSE))</f>
        <v/>
      </c>
      <c r="R27" s="295" t="str">
        <f t="shared" si="1"/>
        <v xml:space="preserve"> </v>
      </c>
      <c r="S27" s="403"/>
      <c r="T27" s="287" t="str">
        <f>IF(S27="","",IF(VLOOKUP(S27,'G-7 WaterC'' Data'!$AO$4:$BO$7,2,FALSE)=0,"Spatial Data Missing ⚠",VLOOKUP(S27,'G-7 WaterC'' Data'!$AO$4:$BO$7,2,FALSE)))</f>
        <v/>
      </c>
      <c r="U27" s="295" t="str">
        <f t="shared" si="2"/>
        <v xml:space="preserve"> </v>
      </c>
      <c r="V27" s="710" t="str">
        <f t="shared" si="3"/>
        <v/>
      </c>
      <c r="W27" s="32"/>
      <c r="X27" s="105"/>
      <c r="Y27" s="112"/>
      <c r="Z27" s="293" t="str">
        <f t="shared" si="4"/>
        <v/>
      </c>
      <c r="AA27" s="293" t="str">
        <f t="shared" si="5"/>
        <v/>
      </c>
      <c r="AB27" s="293" t="str">
        <f t="shared" si="6"/>
        <v/>
      </c>
      <c r="AC27" s="507" t="str">
        <f>IFERROR(IF(OR(E27="",R27=""),"", IF(AND(AB27&lt;&gt;"",S27=""), "Spatial risk category missing ▲", IF(AND(Q27='G-7 WaterC'' Data'!$G$4,AD27="Yes"),"Alternative Compensation ✓", IF(AND(AD27="Pending", Q27='G-7 WaterC'' Data'!$G$4),"Bespoke compensation must be agreed ▲", IF((Z27+AA27)&gt;=U27,0, U27-Z27-AA27))))),"Check Data ⚠")</f>
        <v/>
      </c>
      <c r="AD27" s="403"/>
      <c r="AE27" s="109"/>
      <c r="AF27" s="108"/>
      <c r="AG27" s="108"/>
      <c r="AH27" s="108"/>
      <c r="AI27" s="54" t="str">
        <f>IF(OR(Q27="",AD27="Yes"),"",IF(Q27='G-1 All Habitats'!$X$9,E27-Y27-X27,"None"))</f>
        <v/>
      </c>
      <c r="AJ27" s="55" t="str">
        <f>IF(Q27="","", IF(Q27='G-1 All Habitats'!$X$9, AI27*G27*I27*L27*N27*P27,"None"))</f>
        <v/>
      </c>
      <c r="AK27" s="30" t="str">
        <f>IFERROR(INDEX('G-7 WaterC'' Data'!$AZ$3:$AZ$7,MATCH(D27,'G-7 WaterC'' Data'!$AY$3:$AY$7,0)),"")</f>
        <v/>
      </c>
      <c r="AL27" s="30">
        <f t="shared" si="7"/>
        <v>0</v>
      </c>
      <c r="AM27" s="111" t="str">
        <f t="shared" si="8"/>
        <v/>
      </c>
      <c r="AN27" s="111" t="str">
        <f t="shared" si="9"/>
        <v/>
      </c>
      <c r="AP27" s="111">
        <v>18</v>
      </c>
      <c r="AR27" s="111" t="str">
        <f t="array" ref="AR27">IFERROR(INDEX($AP$10:$AP$258, MATCH(0, IF(TRUE=$AM$10:$AM$258, COUNTIF($AR$9:$AR26, $AP$10:$AP$258), ""), 0)),"")</f>
        <v/>
      </c>
      <c r="AS27" s="111" t="str">
        <f t="array" ref="AS27">IFERROR(INDEX($AP$10:$AP$258, MATCH(0, IF(TRUE=$AN$10:$AN$258, COUNTIF($AS$9:$AS26, $AP$10:$AP$258), ""), 0)),"")</f>
        <v/>
      </c>
      <c r="AT27" s="903" t="str">
        <f>IF(AND(OR(AD27="Yes",AD27="Pending"),Q27='G-7 WaterC'' Data'!$G$4),U27-AA27-Z27,"0")</f>
        <v>0</v>
      </c>
      <c r="AU27" s="30" t="str">
        <f>IF(D27="","",VLOOKUP(D27,'G-7 WaterC'' Data'!B$4:M$8,12,FALSE))</f>
        <v/>
      </c>
      <c r="AV27" s="30" t="str">
        <f t="shared" si="0"/>
        <v/>
      </c>
      <c r="AW27" s="30" t="str">
        <f t="shared" si="10"/>
        <v>No</v>
      </c>
      <c r="BA27" s="571" t="str">
        <f t="shared" si="11"/>
        <v/>
      </c>
    </row>
    <row r="28" spans="3:53" ht="14.4" thickBot="1" x14ac:dyDescent="0.3">
      <c r="C28" s="101">
        <v>19</v>
      </c>
      <c r="D28" s="269"/>
      <c r="E28" s="108"/>
      <c r="F28" s="281" t="str">
        <f>IF(D28="","",VLOOKUP(D28,'G-7 WaterC'' Data'!$B$2:$G$8,2,FALSE))</f>
        <v/>
      </c>
      <c r="G28" s="320" t="str">
        <f>IFERROR(VLOOKUP(F28,'G-7 WaterC'' Data'!$C$4:$D$8,2,FALSE),"")</f>
        <v/>
      </c>
      <c r="H28" s="109"/>
      <c r="I28" s="305" t="str">
        <f>IFERROR(INDEX('G-7 WaterC'' Data'!$H$4:$L$8,MATCH(D28,'G-7 WaterC'' Data'!$B$4:$B$8,0),MATCH(H28,'G-7 WaterC'' Data'!$H$3:$L$3,0)),"")</f>
        <v/>
      </c>
      <c r="J28" s="718"/>
      <c r="K28" s="301" t="str">
        <f>IF(J28="","",IF(VLOOKUP(J28,'G-7 WaterC'' Data'!$AK$4:$AM$9,2,FALSE)=0,"Spatial Data Missing ⚠",VLOOKUP(J28,'G-7 WaterC'' Data'!$AK$4:$AM$6,2,FALSE)))</f>
        <v/>
      </c>
      <c r="L28" s="305" t="str">
        <f>IF(J28="","",IF(VLOOKUP(J28,'G-7 WaterC'' Data'!$AK$4:$AM$9,3,FALSE)=0,"Spatial Data Missing ⚠",VLOOKUP(J28,'G-7 WaterC'' Data'!$AK$4:$AM$6,3,FALSE)))</f>
        <v/>
      </c>
      <c r="M28" s="106"/>
      <c r="N28" s="282" t="str">
        <f>IF(M28="","",IF(AND(M28="N/A - Culvert",D28&lt;&gt;"Culvert"),"Not possible ▲",IF(AND(D28="Culvert",M28&lt;&gt;"N/A - Culvert"),"Not possible ▲",IF(VLOOKUP(M28,'G-7 WaterC'' Data'!$AA$4:$AB$7,2,FALSE)=0,"Spatial Data Missing ⚠",VLOOKUP(M28,'G-7 WaterC'' Data'!$AA$4:$AB$7,2,FALSE)))))</f>
        <v/>
      </c>
      <c r="O28" s="56"/>
      <c r="P28" s="282" t="str">
        <f>IF(O28="","",IF(AND(O28="N/A - Culvert",D28&lt;&gt;"Culvert"),"Not possible ▲",IF(AND(D28="Culvert",O28&lt;&gt;"N/A - Culvert"),"Not possible ▲",IF(VLOOKUP(O28,'G-7 WaterC'' Data'!$AD$4:$AE$14,2,FALSE)=0,"Spatial Data Missing ⚠",VLOOKUP(O28,'G-7 WaterC'' Data'!$AD$4:$AE$14,2,FALSE)))))</f>
        <v/>
      </c>
      <c r="Q28" s="288" t="str">
        <f>IF(D28="","",VLOOKUP(D28,'G-7 WaterC'' Data'!$B$4:$G$8,6,FALSE))</f>
        <v/>
      </c>
      <c r="R28" s="295" t="str">
        <f t="shared" si="1"/>
        <v xml:space="preserve"> </v>
      </c>
      <c r="S28" s="403"/>
      <c r="T28" s="287" t="str">
        <f>IF(S28="","",IF(VLOOKUP(S28,'G-7 WaterC'' Data'!$AO$4:$BO$7,2,FALSE)=0,"Spatial Data Missing ⚠",VLOOKUP(S28,'G-7 WaterC'' Data'!$AO$4:$BO$7,2,FALSE)))</f>
        <v/>
      </c>
      <c r="U28" s="295" t="str">
        <f t="shared" si="2"/>
        <v xml:space="preserve"> </v>
      </c>
      <c r="V28" s="710" t="str">
        <f t="shared" si="3"/>
        <v/>
      </c>
      <c r="W28" s="32"/>
      <c r="X28" s="105"/>
      <c r="Y28" s="112"/>
      <c r="Z28" s="293" t="str">
        <f t="shared" si="4"/>
        <v/>
      </c>
      <c r="AA28" s="293" t="str">
        <f t="shared" si="5"/>
        <v/>
      </c>
      <c r="AB28" s="293" t="str">
        <f t="shared" si="6"/>
        <v/>
      </c>
      <c r="AC28" s="507" t="str">
        <f>IFERROR(IF(OR(E28="",R28=""),"", IF(AND(AB28&lt;&gt;"",S28=""), "Spatial risk category missing ▲", IF(AND(Q28='G-7 WaterC'' Data'!$G$4,AD28="Yes"),"Alternative Compensation ✓", IF(AND(AD28="Pending", Q28='G-7 WaterC'' Data'!$G$4),"Bespoke compensation must be agreed ▲", IF((Z28+AA28)&gt;=U28,0, U28-Z28-AA28))))),"Check Data ⚠")</f>
        <v/>
      </c>
      <c r="AD28" s="403"/>
      <c r="AE28" s="109"/>
      <c r="AF28" s="108"/>
      <c r="AG28" s="108"/>
      <c r="AH28" s="108"/>
      <c r="AI28" s="54" t="str">
        <f>IF(OR(Q28="",AD28="Yes"),"",IF(Q28='G-1 All Habitats'!$X$9,E28-Y28-X28,"None"))</f>
        <v/>
      </c>
      <c r="AJ28" s="55" t="str">
        <f>IF(Q28="","", IF(Q28='G-1 All Habitats'!$X$9, AI28*G28*I28*L28*N28*P28,"None"))</f>
        <v/>
      </c>
      <c r="AK28" s="30" t="str">
        <f>IFERROR(INDEX('G-7 WaterC'' Data'!$AZ$3:$AZ$7,MATCH(D28,'G-7 WaterC'' Data'!$AY$3:$AY$7,0)),"")</f>
        <v/>
      </c>
      <c r="AL28" s="30">
        <f t="shared" si="7"/>
        <v>0</v>
      </c>
      <c r="AM28" s="111" t="str">
        <f t="shared" si="8"/>
        <v/>
      </c>
      <c r="AN28" s="111" t="str">
        <f t="shared" si="9"/>
        <v/>
      </c>
      <c r="AP28" s="111">
        <v>19</v>
      </c>
      <c r="AR28" s="111" t="str">
        <f t="array" ref="AR28">IFERROR(INDEX($AP$10:$AP$258, MATCH(0, IF(TRUE=$AM$10:$AM$258, COUNTIF($AR$9:$AR27, $AP$10:$AP$258), ""), 0)),"")</f>
        <v/>
      </c>
      <c r="AS28" s="111" t="str">
        <f t="array" ref="AS28">IFERROR(INDEX($AP$10:$AP$258, MATCH(0, IF(TRUE=$AN$10:$AN$258, COUNTIF($AS$9:$AS27, $AP$10:$AP$258), ""), 0)),"")</f>
        <v/>
      </c>
      <c r="AT28" s="903" t="str">
        <f>IF(AND(OR(AD28="Yes",AD28="Pending"),Q28='G-7 WaterC'' Data'!$G$4),U28-AA28-Z28,"0")</f>
        <v>0</v>
      </c>
      <c r="AU28" s="30" t="str">
        <f>IF(D28="","",VLOOKUP(D28,'G-7 WaterC'' Data'!B$4:M$8,12,FALSE))</f>
        <v/>
      </c>
      <c r="AV28" s="30" t="str">
        <f t="shared" si="0"/>
        <v/>
      </c>
      <c r="AW28" s="30" t="str">
        <f t="shared" si="10"/>
        <v>No</v>
      </c>
      <c r="BA28" s="571" t="str">
        <f t="shared" si="11"/>
        <v/>
      </c>
    </row>
    <row r="29" spans="3:53" ht="14.4" thickBot="1" x14ac:dyDescent="0.3">
      <c r="C29" s="101">
        <v>20</v>
      </c>
      <c r="D29" s="269"/>
      <c r="E29" s="108"/>
      <c r="F29" s="281" t="str">
        <f>IF(D29="","",VLOOKUP(D29,'G-7 WaterC'' Data'!$B$2:$G$8,2,FALSE))</f>
        <v/>
      </c>
      <c r="G29" s="320" t="str">
        <f>IFERROR(VLOOKUP(F29,'G-7 WaterC'' Data'!$C$4:$D$8,2,FALSE),"")</f>
        <v/>
      </c>
      <c r="H29" s="109"/>
      <c r="I29" s="305" t="str">
        <f>IFERROR(INDEX('G-7 WaterC'' Data'!$H$4:$L$8,MATCH(D29,'G-7 WaterC'' Data'!$B$4:$B$8,0),MATCH(H29,'G-7 WaterC'' Data'!$H$3:$L$3,0)),"")</f>
        <v/>
      </c>
      <c r="J29" s="718"/>
      <c r="K29" s="301" t="str">
        <f>IF(J29="","",IF(VLOOKUP(J29,'G-7 WaterC'' Data'!$AK$4:$AM$9,2,FALSE)=0,"Spatial Data Missing ⚠",VLOOKUP(J29,'G-7 WaterC'' Data'!$AK$4:$AM$6,2,FALSE)))</f>
        <v/>
      </c>
      <c r="L29" s="305" t="str">
        <f>IF(J29="","",IF(VLOOKUP(J29,'G-7 WaterC'' Data'!$AK$4:$AM$9,3,FALSE)=0,"Spatial Data Missing ⚠",VLOOKUP(J29,'G-7 WaterC'' Data'!$AK$4:$AM$6,3,FALSE)))</f>
        <v/>
      </c>
      <c r="M29" s="106"/>
      <c r="N29" s="282" t="str">
        <f>IF(M29="","",IF(AND(M29="N/A - Culvert",D29&lt;&gt;"Culvert"),"Not possible ▲",IF(AND(D29="Culvert",M29&lt;&gt;"N/A - Culvert"),"Not possible ▲",IF(VLOOKUP(M29,'G-7 WaterC'' Data'!$AA$4:$AB$7,2,FALSE)=0,"Spatial Data Missing ⚠",VLOOKUP(M29,'G-7 WaterC'' Data'!$AA$4:$AB$7,2,FALSE)))))</f>
        <v/>
      </c>
      <c r="O29" s="56"/>
      <c r="P29" s="282" t="str">
        <f>IF(O29="","",IF(AND(O29="N/A - Culvert",D29&lt;&gt;"Culvert"),"Not possible ▲",IF(AND(D29="Culvert",O29&lt;&gt;"N/A - Culvert"),"Not possible ▲",IF(VLOOKUP(O29,'G-7 WaterC'' Data'!$AD$4:$AE$14,2,FALSE)=0,"Spatial Data Missing ⚠",VLOOKUP(O29,'G-7 WaterC'' Data'!$AD$4:$AE$14,2,FALSE)))))</f>
        <v/>
      </c>
      <c r="Q29" s="288" t="str">
        <f>IF(D29="","",VLOOKUP(D29,'G-7 WaterC'' Data'!$B$4:$G$8,6,FALSE))</f>
        <v/>
      </c>
      <c r="R29" s="295" t="str">
        <f t="shared" si="1"/>
        <v xml:space="preserve"> </v>
      </c>
      <c r="S29" s="403"/>
      <c r="T29" s="287" t="str">
        <f>IF(S29="","",IF(VLOOKUP(S29,'G-7 WaterC'' Data'!$AO$4:$BO$7,2,FALSE)=0,"Spatial Data Missing ⚠",VLOOKUP(S29,'G-7 WaterC'' Data'!$AO$4:$BO$7,2,FALSE)))</f>
        <v/>
      </c>
      <c r="U29" s="295" t="str">
        <f t="shared" si="2"/>
        <v xml:space="preserve"> </v>
      </c>
      <c r="V29" s="710" t="str">
        <f t="shared" si="3"/>
        <v/>
      </c>
      <c r="W29" s="32"/>
      <c r="X29" s="105"/>
      <c r="Y29" s="112"/>
      <c r="Z29" s="293" t="str">
        <f t="shared" si="4"/>
        <v/>
      </c>
      <c r="AA29" s="293" t="str">
        <f t="shared" si="5"/>
        <v/>
      </c>
      <c r="AB29" s="293" t="str">
        <f t="shared" si="6"/>
        <v/>
      </c>
      <c r="AC29" s="507" t="str">
        <f>IFERROR(IF(OR(E29="",R29=""),"", IF(AND(AB29&lt;&gt;"",S29=""), "Spatial risk category missing ▲", IF(AND(Q29='G-7 WaterC'' Data'!$G$4,AD29="Yes"),"Alternative Compensation ✓", IF(AND(AD29="Pending", Q29='G-7 WaterC'' Data'!$G$4),"Bespoke compensation must be agreed ▲", IF((Z29+AA29)&gt;=U29,0, U29-Z29-AA29))))),"Check Data ⚠")</f>
        <v/>
      </c>
      <c r="AD29" s="403"/>
      <c r="AE29" s="109"/>
      <c r="AF29" s="108"/>
      <c r="AG29" s="108"/>
      <c r="AH29" s="108"/>
      <c r="AI29" s="54" t="str">
        <f>IF(OR(Q29="",AD29="Yes"),"",IF(Q29='G-1 All Habitats'!$X$9,E29-Y29-X29,"None"))</f>
        <v/>
      </c>
      <c r="AJ29" s="55" t="str">
        <f>IF(Q29="","", IF(Q29='G-1 All Habitats'!$X$9, AI29*G29*I29*L29*N29*P29,"None"))</f>
        <v/>
      </c>
      <c r="AK29" s="30" t="str">
        <f>IFERROR(INDEX('G-7 WaterC'' Data'!$AZ$3:$AZ$7,MATCH(D29,'G-7 WaterC'' Data'!$AY$3:$AY$7,0)),"")</f>
        <v/>
      </c>
      <c r="AL29" s="30">
        <f t="shared" si="7"/>
        <v>0</v>
      </c>
      <c r="AM29" s="111" t="str">
        <f t="shared" si="8"/>
        <v/>
      </c>
      <c r="AN29" s="111" t="str">
        <f t="shared" si="9"/>
        <v/>
      </c>
      <c r="AP29" s="111">
        <v>20</v>
      </c>
      <c r="AR29" s="111" t="str">
        <f t="array" ref="AR29">IFERROR(INDEX($AP$10:$AP$258, MATCH(0, IF(TRUE=$AM$10:$AM$258, COUNTIF($AR$9:$AR28, $AP$10:$AP$258), ""), 0)),"")</f>
        <v/>
      </c>
      <c r="AS29" s="111" t="str">
        <f t="array" ref="AS29">IFERROR(INDEX($AP$10:$AP$258, MATCH(0, IF(TRUE=$AN$10:$AN$258, COUNTIF($AS$9:$AS28, $AP$10:$AP$258), ""), 0)),"")</f>
        <v/>
      </c>
      <c r="AT29" s="903" t="str">
        <f>IF(AND(OR(AD29="Yes",AD29="Pending"),Q29='G-7 WaterC'' Data'!$G$4),U29-AA29-Z29,"0")</f>
        <v>0</v>
      </c>
      <c r="AU29" s="30" t="str">
        <f>IF(D29="","",VLOOKUP(D29,'G-7 WaterC'' Data'!B$4:M$8,12,FALSE))</f>
        <v/>
      </c>
      <c r="AV29" s="30" t="str">
        <f t="shared" si="0"/>
        <v/>
      </c>
      <c r="AW29" s="30" t="str">
        <f t="shared" si="10"/>
        <v>No</v>
      </c>
      <c r="BA29" s="571" t="str">
        <f t="shared" si="11"/>
        <v/>
      </c>
    </row>
    <row r="30" spans="3:53" ht="14.4" thickBot="1" x14ac:dyDescent="0.3">
      <c r="C30" s="101">
        <v>21</v>
      </c>
      <c r="D30" s="269"/>
      <c r="E30" s="108"/>
      <c r="F30" s="281" t="str">
        <f>IF(D30="","",VLOOKUP(D30,'G-7 WaterC'' Data'!$B$2:$G$8,2,FALSE))</f>
        <v/>
      </c>
      <c r="G30" s="320" t="str">
        <f>IFERROR(VLOOKUP(F30,'G-7 WaterC'' Data'!$C$4:$D$8,2,FALSE),"")</f>
        <v/>
      </c>
      <c r="H30" s="109"/>
      <c r="I30" s="305" t="str">
        <f>IFERROR(INDEX('G-7 WaterC'' Data'!$H$4:$L$8,MATCH(D30,'G-7 WaterC'' Data'!$B$4:$B$8,0),MATCH(H30,'G-7 WaterC'' Data'!$H$3:$L$3,0)),"")</f>
        <v/>
      </c>
      <c r="J30" s="718"/>
      <c r="K30" s="301" t="str">
        <f>IF(J30="","",IF(VLOOKUP(J30,'G-7 WaterC'' Data'!$AK$4:$AM$9,2,FALSE)=0,"Spatial Data Missing ⚠",VLOOKUP(J30,'G-7 WaterC'' Data'!$AK$4:$AM$6,2,FALSE)))</f>
        <v/>
      </c>
      <c r="L30" s="305" t="str">
        <f>IF(J30="","",IF(VLOOKUP(J30,'G-7 WaterC'' Data'!$AK$4:$AM$9,3,FALSE)=0,"Spatial Data Missing ⚠",VLOOKUP(J30,'G-7 WaterC'' Data'!$AK$4:$AM$6,3,FALSE)))</f>
        <v/>
      </c>
      <c r="M30" s="106"/>
      <c r="N30" s="282" t="str">
        <f>IF(M30="","",IF(AND(M30="N/A - Culvert",D30&lt;&gt;"Culvert"),"Not possible ▲",IF(AND(D30="Culvert",M30&lt;&gt;"N/A - Culvert"),"Not possible ▲",IF(VLOOKUP(M30,'G-7 WaterC'' Data'!$AA$4:$AB$7,2,FALSE)=0,"Spatial Data Missing ⚠",VLOOKUP(M30,'G-7 WaterC'' Data'!$AA$4:$AB$7,2,FALSE)))))</f>
        <v/>
      </c>
      <c r="O30" s="56"/>
      <c r="P30" s="282" t="str">
        <f>IF(O30="","",IF(AND(O30="N/A - Culvert",D30&lt;&gt;"Culvert"),"Not possible ▲",IF(AND(D30="Culvert",O30&lt;&gt;"N/A - Culvert"),"Not possible ▲",IF(VLOOKUP(O30,'G-7 WaterC'' Data'!$AD$4:$AE$14,2,FALSE)=0,"Spatial Data Missing ⚠",VLOOKUP(O30,'G-7 WaterC'' Data'!$AD$4:$AE$14,2,FALSE)))))</f>
        <v/>
      </c>
      <c r="Q30" s="288" t="str">
        <f>IF(D30="","",VLOOKUP(D30,'G-7 WaterC'' Data'!$B$4:$G$8,6,FALSE))</f>
        <v/>
      </c>
      <c r="R30" s="295" t="str">
        <f t="shared" si="1"/>
        <v xml:space="preserve"> </v>
      </c>
      <c r="S30" s="403"/>
      <c r="T30" s="287" t="str">
        <f>IF(S30="","",IF(VLOOKUP(S30,'G-7 WaterC'' Data'!$AO$4:$BO$7,2,FALSE)=0,"Spatial Data Missing ⚠",VLOOKUP(S30,'G-7 WaterC'' Data'!$AO$4:$BO$7,2,FALSE)))</f>
        <v/>
      </c>
      <c r="U30" s="295" t="str">
        <f t="shared" si="2"/>
        <v xml:space="preserve"> </v>
      </c>
      <c r="V30" s="710" t="str">
        <f t="shared" si="3"/>
        <v/>
      </c>
      <c r="W30" s="32"/>
      <c r="X30" s="105"/>
      <c r="Y30" s="112"/>
      <c r="Z30" s="293" t="str">
        <f t="shared" si="4"/>
        <v/>
      </c>
      <c r="AA30" s="293" t="str">
        <f t="shared" si="5"/>
        <v/>
      </c>
      <c r="AB30" s="293" t="str">
        <f t="shared" si="6"/>
        <v/>
      </c>
      <c r="AC30" s="507" t="str">
        <f>IFERROR(IF(OR(E30="",R30=""),"", IF(AND(AB30&lt;&gt;"",S30=""), "Spatial risk category missing ▲", IF(AND(Q30='G-7 WaterC'' Data'!$G$4,AD30="Yes"),"Alternative Compensation ✓", IF(AND(AD30="Pending", Q30='G-7 WaterC'' Data'!$G$4),"Bespoke compensation must be agreed ▲", IF((Z30+AA30)&gt;=U30,0, U30-Z30-AA30))))),"Check Data ⚠")</f>
        <v/>
      </c>
      <c r="AD30" s="403"/>
      <c r="AE30" s="109"/>
      <c r="AF30" s="108"/>
      <c r="AG30" s="108"/>
      <c r="AH30" s="108"/>
      <c r="AI30" s="54" t="str">
        <f>IF(OR(Q30="",AD30="Yes"),"",IF(Q30='G-1 All Habitats'!$X$9,E30-Y30-X30,"None"))</f>
        <v/>
      </c>
      <c r="AJ30" s="55" t="str">
        <f>IF(Q30="","", IF(Q30='G-1 All Habitats'!$X$9, AI30*G30*I30*L30*N30*P30,"None"))</f>
        <v/>
      </c>
      <c r="AK30" s="30" t="str">
        <f>IFERROR(INDEX('G-7 WaterC'' Data'!$AZ$3:$AZ$7,MATCH(D30,'G-7 WaterC'' Data'!$AY$3:$AY$7,0)),"")</f>
        <v/>
      </c>
      <c r="AL30" s="30">
        <f t="shared" si="7"/>
        <v>0</v>
      </c>
      <c r="AM30" s="111" t="str">
        <f t="shared" si="8"/>
        <v/>
      </c>
      <c r="AN30" s="111" t="str">
        <f t="shared" si="9"/>
        <v/>
      </c>
      <c r="AP30" s="111">
        <v>21</v>
      </c>
      <c r="AR30" s="111" t="str">
        <f t="array" ref="AR30">IFERROR(INDEX($AP$10:$AP$258, MATCH(0, IF(TRUE=$AM$10:$AM$258, COUNTIF($AR$9:$AR29, $AP$10:$AP$258), ""), 0)),"")</f>
        <v/>
      </c>
      <c r="AS30" s="111" t="str">
        <f t="array" ref="AS30">IFERROR(INDEX($AP$10:$AP$258, MATCH(0, IF(TRUE=$AN$10:$AN$258, COUNTIF($AS$9:$AS29, $AP$10:$AP$258), ""), 0)),"")</f>
        <v/>
      </c>
      <c r="AT30" s="903" t="str">
        <f>IF(AND(OR(AD30="Yes",AD30="Pending"),Q30='G-7 WaterC'' Data'!$G$4),U30-AA30-Z30,"0")</f>
        <v>0</v>
      </c>
      <c r="AU30" s="30" t="str">
        <f>IF(D30="","",VLOOKUP(D30,'G-7 WaterC'' Data'!B$4:M$8,12,FALSE))</f>
        <v/>
      </c>
      <c r="AV30" s="30" t="str">
        <f t="shared" si="0"/>
        <v/>
      </c>
      <c r="AW30" s="30" t="str">
        <f t="shared" si="10"/>
        <v>No</v>
      </c>
      <c r="BA30" s="571" t="str">
        <f t="shared" si="11"/>
        <v/>
      </c>
    </row>
    <row r="31" spans="3:53" ht="14.4" thickBot="1" x14ac:dyDescent="0.3">
      <c r="C31" s="101">
        <v>22</v>
      </c>
      <c r="D31" s="269"/>
      <c r="E31" s="108"/>
      <c r="F31" s="281" t="str">
        <f>IF(D31="","",VLOOKUP(D31,'G-7 WaterC'' Data'!$B$2:$G$8,2,FALSE))</f>
        <v/>
      </c>
      <c r="G31" s="320" t="str">
        <f>IFERROR(VLOOKUP(F31,'G-7 WaterC'' Data'!$C$4:$D$8,2,FALSE),"")</f>
        <v/>
      </c>
      <c r="H31" s="109"/>
      <c r="I31" s="305" t="str">
        <f>IFERROR(INDEX('G-7 WaterC'' Data'!$H$4:$L$8,MATCH(D31,'G-7 WaterC'' Data'!$B$4:$B$8,0),MATCH(H31,'G-7 WaterC'' Data'!$H$3:$L$3,0)),"")</f>
        <v/>
      </c>
      <c r="J31" s="718"/>
      <c r="K31" s="301" t="str">
        <f>IF(J31="","",IF(VLOOKUP(J31,'G-7 WaterC'' Data'!$AK$4:$AM$9,2,FALSE)=0,"Spatial Data Missing ⚠",VLOOKUP(J31,'G-7 WaterC'' Data'!$AK$4:$AM$6,2,FALSE)))</f>
        <v/>
      </c>
      <c r="L31" s="305" t="str">
        <f>IF(J31="","",IF(VLOOKUP(J31,'G-7 WaterC'' Data'!$AK$4:$AM$9,3,FALSE)=0,"Spatial Data Missing ⚠",VLOOKUP(J31,'G-7 WaterC'' Data'!$AK$4:$AM$6,3,FALSE)))</f>
        <v/>
      </c>
      <c r="M31" s="106"/>
      <c r="N31" s="282" t="str">
        <f>IF(M31="","",IF(AND(M31="N/A - Culvert",D31&lt;&gt;"Culvert"),"Not possible ▲",IF(AND(D31="Culvert",M31&lt;&gt;"N/A - Culvert"),"Not possible ▲",IF(VLOOKUP(M31,'G-7 WaterC'' Data'!$AA$4:$AB$7,2,FALSE)=0,"Spatial Data Missing ⚠",VLOOKUP(M31,'G-7 WaterC'' Data'!$AA$4:$AB$7,2,FALSE)))))</f>
        <v/>
      </c>
      <c r="O31" s="56"/>
      <c r="P31" s="282" t="str">
        <f>IF(O31="","",IF(AND(O31="N/A - Culvert",D31&lt;&gt;"Culvert"),"Not possible ▲",IF(AND(D31="Culvert",O31&lt;&gt;"N/A - Culvert"),"Not possible ▲",IF(VLOOKUP(O31,'G-7 WaterC'' Data'!$AD$4:$AE$14,2,FALSE)=0,"Spatial Data Missing ⚠",VLOOKUP(O31,'G-7 WaterC'' Data'!$AD$4:$AE$14,2,FALSE)))))</f>
        <v/>
      </c>
      <c r="Q31" s="288" t="str">
        <f>IF(D31="","",VLOOKUP(D31,'G-7 WaterC'' Data'!$B$4:$G$8,6,FALSE))</f>
        <v/>
      </c>
      <c r="R31" s="295" t="str">
        <f t="shared" si="1"/>
        <v xml:space="preserve"> </v>
      </c>
      <c r="S31" s="403"/>
      <c r="T31" s="287" t="str">
        <f>IF(S31="","",IF(VLOOKUP(S31,'G-7 WaterC'' Data'!$AO$4:$BO$7,2,FALSE)=0,"Spatial Data Missing ⚠",VLOOKUP(S31,'G-7 WaterC'' Data'!$AO$4:$BO$7,2,FALSE)))</f>
        <v/>
      </c>
      <c r="U31" s="295" t="str">
        <f t="shared" si="2"/>
        <v xml:space="preserve"> </v>
      </c>
      <c r="V31" s="710" t="str">
        <f t="shared" si="3"/>
        <v/>
      </c>
      <c r="W31" s="32"/>
      <c r="X31" s="105"/>
      <c r="Y31" s="112"/>
      <c r="Z31" s="293" t="str">
        <f t="shared" si="4"/>
        <v/>
      </c>
      <c r="AA31" s="293" t="str">
        <f t="shared" si="5"/>
        <v/>
      </c>
      <c r="AB31" s="293" t="str">
        <f t="shared" si="6"/>
        <v/>
      </c>
      <c r="AC31" s="507" t="str">
        <f>IFERROR(IF(OR(E31="",R31=""),"", IF(AND(AB31&lt;&gt;"",S31=""), "Spatial risk category missing ▲", IF(AND(Q31='G-7 WaterC'' Data'!$G$4,AD31="Yes"),"Alternative Compensation ✓", IF(AND(AD31="Pending", Q31='G-7 WaterC'' Data'!$G$4),"Bespoke compensation must be agreed ▲", IF((Z31+AA31)&gt;=U31,0, U31-Z31-AA31))))),"Check Data ⚠")</f>
        <v/>
      </c>
      <c r="AD31" s="403"/>
      <c r="AE31" s="109"/>
      <c r="AF31" s="108"/>
      <c r="AG31" s="108"/>
      <c r="AH31" s="108"/>
      <c r="AI31" s="54" t="str">
        <f>IF(OR(Q31="",AD31="Yes"),"",IF(Q31='G-1 All Habitats'!$X$9,E31-Y31-X31,"None"))</f>
        <v/>
      </c>
      <c r="AJ31" s="55" t="str">
        <f>IF(Q31="","", IF(Q31='G-1 All Habitats'!$X$9, AI31*G31*I31*L31*N31*P31,"None"))</f>
        <v/>
      </c>
      <c r="AK31" s="30" t="str">
        <f>IFERROR(INDEX('G-7 WaterC'' Data'!$AZ$3:$AZ$7,MATCH(D31,'G-7 WaterC'' Data'!$AY$3:$AY$7,0)),"")</f>
        <v/>
      </c>
      <c r="AL31" s="30">
        <f t="shared" si="7"/>
        <v>0</v>
      </c>
      <c r="AM31" s="111" t="str">
        <f t="shared" si="8"/>
        <v/>
      </c>
      <c r="AN31" s="111" t="str">
        <f t="shared" si="9"/>
        <v/>
      </c>
      <c r="AP31" s="111">
        <v>22</v>
      </c>
      <c r="AR31" s="111" t="str">
        <f t="array" ref="AR31">IFERROR(INDEX($AP$10:$AP$258, MATCH(0, IF(TRUE=$AM$10:$AM$258, COUNTIF($AR$9:$AR30, $AP$10:$AP$258), ""), 0)),"")</f>
        <v/>
      </c>
      <c r="AS31" s="111" t="str">
        <f t="array" ref="AS31">IFERROR(INDEX($AP$10:$AP$258, MATCH(0, IF(TRUE=$AN$10:$AN$258, COUNTIF($AS$9:$AS30, $AP$10:$AP$258), ""), 0)),"")</f>
        <v/>
      </c>
      <c r="AT31" s="903" t="str">
        <f>IF(AND(OR(AD31="Yes",AD31="Pending"),Q31='G-7 WaterC'' Data'!$G$4),U31-AA31-Z31,"0")</f>
        <v>0</v>
      </c>
      <c r="AU31" s="30" t="str">
        <f>IF(D31="","",VLOOKUP(D31,'G-7 WaterC'' Data'!B$4:M$8,12,FALSE))</f>
        <v/>
      </c>
      <c r="AV31" s="30" t="str">
        <f t="shared" si="0"/>
        <v/>
      </c>
      <c r="AW31" s="30" t="str">
        <f t="shared" si="10"/>
        <v>No</v>
      </c>
      <c r="BA31" s="571" t="str">
        <f t="shared" si="11"/>
        <v/>
      </c>
    </row>
    <row r="32" spans="3:53" ht="14.4" thickBot="1" x14ac:dyDescent="0.3">
      <c r="C32" s="101">
        <v>23</v>
      </c>
      <c r="D32" s="269"/>
      <c r="E32" s="108"/>
      <c r="F32" s="281" t="str">
        <f>IF(D32="","",VLOOKUP(D32,'G-7 WaterC'' Data'!$B$2:$G$8,2,FALSE))</f>
        <v/>
      </c>
      <c r="G32" s="320" t="str">
        <f>IFERROR(VLOOKUP(F32,'G-7 WaterC'' Data'!$C$4:$D$8,2,FALSE),"")</f>
        <v/>
      </c>
      <c r="H32" s="109"/>
      <c r="I32" s="305" t="str">
        <f>IFERROR(INDEX('G-7 WaterC'' Data'!$H$4:$L$8,MATCH(D32,'G-7 WaterC'' Data'!$B$4:$B$8,0),MATCH(H32,'G-7 WaterC'' Data'!$H$3:$L$3,0)),"")</f>
        <v/>
      </c>
      <c r="J32" s="718"/>
      <c r="K32" s="301" t="str">
        <f>IF(J32="","",IF(VLOOKUP(J32,'G-7 WaterC'' Data'!$AK$4:$AM$9,2,FALSE)=0,"Spatial Data Missing ⚠",VLOOKUP(J32,'G-7 WaterC'' Data'!$AK$4:$AM$6,2,FALSE)))</f>
        <v/>
      </c>
      <c r="L32" s="305" t="str">
        <f>IF(J32="","",IF(VLOOKUP(J32,'G-7 WaterC'' Data'!$AK$4:$AM$9,3,FALSE)=0,"Spatial Data Missing ⚠",VLOOKUP(J32,'G-7 WaterC'' Data'!$AK$4:$AM$6,3,FALSE)))</f>
        <v/>
      </c>
      <c r="M32" s="106"/>
      <c r="N32" s="282" t="str">
        <f>IF(M32="","",IF(AND(M32="N/A - Culvert",D32&lt;&gt;"Culvert"),"Not possible ▲",IF(AND(D32="Culvert",M32&lt;&gt;"N/A - Culvert"),"Not possible ▲",IF(VLOOKUP(M32,'G-7 WaterC'' Data'!$AA$4:$AB$7,2,FALSE)=0,"Spatial Data Missing ⚠",VLOOKUP(M32,'G-7 WaterC'' Data'!$AA$4:$AB$7,2,FALSE)))))</f>
        <v/>
      </c>
      <c r="O32" s="56"/>
      <c r="P32" s="282" t="str">
        <f>IF(O32="","",IF(AND(O32="N/A - Culvert",D32&lt;&gt;"Culvert"),"Not possible ▲",IF(AND(D32="Culvert",O32&lt;&gt;"N/A - Culvert"),"Not possible ▲",IF(VLOOKUP(O32,'G-7 WaterC'' Data'!$AD$4:$AE$14,2,FALSE)=0,"Spatial Data Missing ⚠",VLOOKUP(O32,'G-7 WaterC'' Data'!$AD$4:$AE$14,2,FALSE)))))</f>
        <v/>
      </c>
      <c r="Q32" s="288" t="str">
        <f>IF(D32="","",VLOOKUP(D32,'G-7 WaterC'' Data'!$B$4:$G$8,6,FALSE))</f>
        <v/>
      </c>
      <c r="R32" s="295" t="str">
        <f t="shared" si="1"/>
        <v xml:space="preserve"> </v>
      </c>
      <c r="S32" s="403"/>
      <c r="T32" s="287" t="str">
        <f>IF(S32="","",IF(VLOOKUP(S32,'G-7 WaterC'' Data'!$AO$4:$BO$7,2,FALSE)=0,"Spatial Data Missing ⚠",VLOOKUP(S32,'G-7 WaterC'' Data'!$AO$4:$BO$7,2,FALSE)))</f>
        <v/>
      </c>
      <c r="U32" s="295" t="str">
        <f t="shared" si="2"/>
        <v xml:space="preserve"> </v>
      </c>
      <c r="V32" s="710" t="str">
        <f t="shared" si="3"/>
        <v/>
      </c>
      <c r="W32" s="32"/>
      <c r="X32" s="105"/>
      <c r="Y32" s="112"/>
      <c r="Z32" s="293" t="str">
        <f t="shared" si="4"/>
        <v/>
      </c>
      <c r="AA32" s="293" t="str">
        <f t="shared" si="5"/>
        <v/>
      </c>
      <c r="AB32" s="293" t="str">
        <f t="shared" si="6"/>
        <v/>
      </c>
      <c r="AC32" s="507" t="str">
        <f>IFERROR(IF(OR(E32="",R32=""),"", IF(AND(AB32&lt;&gt;"",S32=""), "Spatial risk category missing ▲", IF(AND(Q32='G-7 WaterC'' Data'!$G$4,AD32="Yes"),"Alternative Compensation ✓", IF(AND(AD32="Pending", Q32='G-7 WaterC'' Data'!$G$4),"Bespoke compensation must be agreed ▲", IF((Z32+AA32)&gt;=U32,0, U32-Z32-AA32))))),"Check Data ⚠")</f>
        <v/>
      </c>
      <c r="AD32" s="403"/>
      <c r="AE32" s="109"/>
      <c r="AF32" s="108"/>
      <c r="AG32" s="108"/>
      <c r="AH32" s="108"/>
      <c r="AI32" s="54" t="str">
        <f>IF(OR(Q32="",AD32="Yes"),"",IF(Q32='G-1 All Habitats'!$X$9,E32-Y32-X32,"None"))</f>
        <v/>
      </c>
      <c r="AJ32" s="55" t="str">
        <f>IF(Q32="","", IF(Q32='G-1 All Habitats'!$X$9, AI32*G32*I32*L32*N32*P32,"None"))</f>
        <v/>
      </c>
      <c r="AK32" s="30" t="str">
        <f>IFERROR(INDEX('G-7 WaterC'' Data'!$AZ$3:$AZ$7,MATCH(D32,'G-7 WaterC'' Data'!$AY$3:$AY$7,0)),"")</f>
        <v/>
      </c>
      <c r="AL32" s="30">
        <f t="shared" si="7"/>
        <v>0</v>
      </c>
      <c r="AM32" s="111" t="str">
        <f t="shared" si="8"/>
        <v/>
      </c>
      <c r="AN32" s="111" t="str">
        <f t="shared" si="9"/>
        <v/>
      </c>
      <c r="AP32" s="111">
        <v>23</v>
      </c>
      <c r="AR32" s="111" t="str">
        <f t="array" ref="AR32">IFERROR(INDEX($AP$10:$AP$258, MATCH(0, IF(TRUE=$AM$10:$AM$258, COUNTIF($AR$9:$AR31, $AP$10:$AP$258), ""), 0)),"")</f>
        <v/>
      </c>
      <c r="AS32" s="111" t="str">
        <f t="array" ref="AS32">IFERROR(INDEX($AP$10:$AP$258, MATCH(0, IF(TRUE=$AN$10:$AN$258, COUNTIF($AS$9:$AS31, $AP$10:$AP$258), ""), 0)),"")</f>
        <v/>
      </c>
      <c r="AT32" s="903" t="str">
        <f>IF(AND(OR(AD32="Yes",AD32="Pending"),Q32='G-7 WaterC'' Data'!$G$4),U32-AA32-Z32,"0")</f>
        <v>0</v>
      </c>
      <c r="AU32" s="30" t="str">
        <f>IF(D32="","",VLOOKUP(D32,'G-7 WaterC'' Data'!B$4:M$8,12,FALSE))</f>
        <v/>
      </c>
      <c r="AV32" s="30" t="str">
        <f t="shared" si="0"/>
        <v/>
      </c>
      <c r="AW32" s="30" t="str">
        <f t="shared" si="10"/>
        <v>No</v>
      </c>
      <c r="BA32" s="571" t="str">
        <f t="shared" si="11"/>
        <v/>
      </c>
    </row>
    <row r="33" spans="3:53" ht="14.4" thickBot="1" x14ac:dyDescent="0.3">
      <c r="C33" s="101">
        <v>24</v>
      </c>
      <c r="D33" s="269"/>
      <c r="E33" s="108"/>
      <c r="F33" s="281" t="str">
        <f>IF(D33="","",VLOOKUP(D33,'G-7 WaterC'' Data'!$B$2:$G$8,2,FALSE))</f>
        <v/>
      </c>
      <c r="G33" s="320" t="str">
        <f>IFERROR(VLOOKUP(F33,'G-7 WaterC'' Data'!$C$4:$D$8,2,FALSE),"")</f>
        <v/>
      </c>
      <c r="H33" s="109"/>
      <c r="I33" s="305" t="str">
        <f>IFERROR(INDEX('G-7 WaterC'' Data'!$H$4:$L$8,MATCH(D33,'G-7 WaterC'' Data'!$B$4:$B$8,0),MATCH(H33,'G-7 WaterC'' Data'!$H$3:$L$3,0)),"")</f>
        <v/>
      </c>
      <c r="J33" s="718"/>
      <c r="K33" s="301" t="str">
        <f>IF(J33="","",IF(VLOOKUP(J33,'G-7 WaterC'' Data'!$AK$4:$AM$9,2,FALSE)=0,"Spatial Data Missing ⚠",VLOOKUP(J33,'G-7 WaterC'' Data'!$AK$4:$AM$6,2,FALSE)))</f>
        <v/>
      </c>
      <c r="L33" s="305" t="str">
        <f>IF(J33="","",IF(VLOOKUP(J33,'G-7 WaterC'' Data'!$AK$4:$AM$9,3,FALSE)=0,"Spatial Data Missing ⚠",VLOOKUP(J33,'G-7 WaterC'' Data'!$AK$4:$AM$6,3,FALSE)))</f>
        <v/>
      </c>
      <c r="M33" s="106"/>
      <c r="N33" s="282" t="str">
        <f>IF(M33="","",IF(AND(M33="N/A - Culvert",D33&lt;&gt;"Culvert"),"Not possible ▲",IF(AND(D33="Culvert",M33&lt;&gt;"N/A - Culvert"),"Not possible ▲",IF(VLOOKUP(M33,'G-7 WaterC'' Data'!$AA$4:$AB$7,2,FALSE)=0,"Spatial Data Missing ⚠",VLOOKUP(M33,'G-7 WaterC'' Data'!$AA$4:$AB$7,2,FALSE)))))</f>
        <v/>
      </c>
      <c r="O33" s="56"/>
      <c r="P33" s="282" t="str">
        <f>IF(O33="","",IF(AND(O33="N/A - Culvert",D33&lt;&gt;"Culvert"),"Not possible ▲",IF(AND(D33="Culvert",O33&lt;&gt;"N/A - Culvert"),"Not possible ▲",IF(VLOOKUP(O33,'G-7 WaterC'' Data'!$AD$4:$AE$14,2,FALSE)=0,"Spatial Data Missing ⚠",VLOOKUP(O33,'G-7 WaterC'' Data'!$AD$4:$AE$14,2,FALSE)))))</f>
        <v/>
      </c>
      <c r="Q33" s="288" t="str">
        <f>IF(D33="","",VLOOKUP(D33,'G-7 WaterC'' Data'!$B$4:$G$8,6,FALSE))</f>
        <v/>
      </c>
      <c r="R33" s="295" t="str">
        <f t="shared" si="1"/>
        <v xml:space="preserve"> </v>
      </c>
      <c r="S33" s="403"/>
      <c r="T33" s="287" t="str">
        <f>IF(S33="","",IF(VLOOKUP(S33,'G-7 WaterC'' Data'!$AO$4:$BO$7,2,FALSE)=0,"Spatial Data Missing ⚠",VLOOKUP(S33,'G-7 WaterC'' Data'!$AO$4:$BO$7,2,FALSE)))</f>
        <v/>
      </c>
      <c r="U33" s="295" t="str">
        <f t="shared" si="2"/>
        <v xml:space="preserve"> </v>
      </c>
      <c r="V33" s="710" t="str">
        <f t="shared" si="3"/>
        <v/>
      </c>
      <c r="W33" s="32"/>
      <c r="X33" s="105"/>
      <c r="Y33" s="112"/>
      <c r="Z33" s="293" t="str">
        <f t="shared" si="4"/>
        <v/>
      </c>
      <c r="AA33" s="293" t="str">
        <f t="shared" si="5"/>
        <v/>
      </c>
      <c r="AB33" s="293" t="str">
        <f t="shared" si="6"/>
        <v/>
      </c>
      <c r="AC33" s="507" t="str">
        <f>IFERROR(IF(OR(E33="",R33=""),"", IF(AND(AB33&lt;&gt;"",S33=""), "Spatial risk category missing ▲", IF(AND(Q33='G-7 WaterC'' Data'!$G$4,AD33="Yes"),"Alternative Compensation ✓", IF(AND(AD33="Pending", Q33='G-7 WaterC'' Data'!$G$4),"Bespoke compensation must be agreed ▲", IF((Z33+AA33)&gt;=U33,0, U33-Z33-AA33))))),"Check Data ⚠")</f>
        <v/>
      </c>
      <c r="AD33" s="403"/>
      <c r="AE33" s="109"/>
      <c r="AF33" s="108"/>
      <c r="AG33" s="108"/>
      <c r="AH33" s="108"/>
      <c r="AI33" s="54" t="str">
        <f>IF(OR(Q33="",AD33="Yes"),"",IF(Q33='G-1 All Habitats'!$X$9,E33-Y33-X33,"None"))</f>
        <v/>
      </c>
      <c r="AJ33" s="55" t="str">
        <f>IF(Q33="","", IF(Q33='G-1 All Habitats'!$X$9, AI33*G33*I33*L33*N33*P33,"None"))</f>
        <v/>
      </c>
      <c r="AK33" s="30" t="str">
        <f>IFERROR(INDEX('G-7 WaterC'' Data'!$AZ$3:$AZ$7,MATCH(D33,'G-7 WaterC'' Data'!$AY$3:$AY$7,0)),"")</f>
        <v/>
      </c>
      <c r="AL33" s="30">
        <f t="shared" si="7"/>
        <v>0</v>
      </c>
      <c r="AM33" s="111" t="str">
        <f t="shared" si="8"/>
        <v/>
      </c>
      <c r="AN33" s="111" t="str">
        <f t="shared" si="9"/>
        <v/>
      </c>
      <c r="AP33" s="111">
        <v>24</v>
      </c>
      <c r="AR33" s="111" t="str">
        <f t="array" ref="AR33">IFERROR(INDEX($AP$10:$AP$258, MATCH(0, IF(TRUE=$AM$10:$AM$258, COUNTIF($AR$9:$AR32, $AP$10:$AP$258), ""), 0)),"")</f>
        <v/>
      </c>
      <c r="AS33" s="111" t="str">
        <f t="array" ref="AS33">IFERROR(INDEX($AP$10:$AP$258, MATCH(0, IF(TRUE=$AN$10:$AN$258, COUNTIF($AS$9:$AS32, $AP$10:$AP$258), ""), 0)),"")</f>
        <v/>
      </c>
      <c r="AT33" s="903" t="str">
        <f>IF(AND(OR(AD33="Yes",AD33="Pending"),Q33='G-7 WaterC'' Data'!$G$4),U33-AA33-Z33,"0")</f>
        <v>0</v>
      </c>
      <c r="AU33" s="30" t="str">
        <f>IF(D33="","",VLOOKUP(D33,'G-7 WaterC'' Data'!B$4:M$8,12,FALSE))</f>
        <v/>
      </c>
      <c r="AV33" s="30" t="str">
        <f t="shared" si="0"/>
        <v/>
      </c>
      <c r="AW33" s="30" t="str">
        <f t="shared" si="10"/>
        <v>No</v>
      </c>
      <c r="BA33" s="571" t="str">
        <f t="shared" si="11"/>
        <v/>
      </c>
    </row>
    <row r="34" spans="3:53" ht="14.4" thickBot="1" x14ac:dyDescent="0.3">
      <c r="C34" s="101">
        <v>25</v>
      </c>
      <c r="D34" s="269"/>
      <c r="E34" s="108"/>
      <c r="F34" s="281" t="str">
        <f>IF(D34="","",VLOOKUP(D34,'G-7 WaterC'' Data'!$B$2:$G$8,2,FALSE))</f>
        <v/>
      </c>
      <c r="G34" s="320" t="str">
        <f>IFERROR(VLOOKUP(F34,'G-7 WaterC'' Data'!$C$4:$D$8,2,FALSE),"")</f>
        <v/>
      </c>
      <c r="H34" s="109"/>
      <c r="I34" s="305" t="str">
        <f>IFERROR(INDEX('G-7 WaterC'' Data'!$H$4:$L$8,MATCH(D34,'G-7 WaterC'' Data'!$B$4:$B$8,0),MATCH(H34,'G-7 WaterC'' Data'!$H$3:$L$3,0)),"")</f>
        <v/>
      </c>
      <c r="J34" s="718"/>
      <c r="K34" s="301" t="str">
        <f>IF(J34="","",IF(VLOOKUP(J34,'G-7 WaterC'' Data'!$AK$4:$AM$9,2,FALSE)=0,"Spatial Data Missing ⚠",VLOOKUP(J34,'G-7 WaterC'' Data'!$AK$4:$AM$6,2,FALSE)))</f>
        <v/>
      </c>
      <c r="L34" s="305" t="str">
        <f>IF(J34="","",IF(VLOOKUP(J34,'G-7 WaterC'' Data'!$AK$4:$AM$9,3,FALSE)=0,"Spatial Data Missing ⚠",VLOOKUP(J34,'G-7 WaterC'' Data'!$AK$4:$AM$6,3,FALSE)))</f>
        <v/>
      </c>
      <c r="M34" s="106"/>
      <c r="N34" s="282" t="str">
        <f>IF(M34="","",IF(AND(M34="N/A - Culvert",D34&lt;&gt;"Culvert"),"Not possible ▲",IF(AND(D34="Culvert",M34&lt;&gt;"N/A - Culvert"),"Not possible ▲",IF(VLOOKUP(M34,'G-7 WaterC'' Data'!$AA$4:$AB$7,2,FALSE)=0,"Spatial Data Missing ⚠",VLOOKUP(M34,'G-7 WaterC'' Data'!$AA$4:$AB$7,2,FALSE)))))</f>
        <v/>
      </c>
      <c r="O34" s="56"/>
      <c r="P34" s="282" t="str">
        <f>IF(O34="","",IF(AND(O34="N/A - Culvert",D34&lt;&gt;"Culvert"),"Not possible ▲",IF(AND(D34="Culvert",O34&lt;&gt;"N/A - Culvert"),"Not possible ▲",IF(VLOOKUP(O34,'G-7 WaterC'' Data'!$AD$4:$AE$14,2,FALSE)=0,"Spatial Data Missing ⚠",VLOOKUP(O34,'G-7 WaterC'' Data'!$AD$4:$AE$14,2,FALSE)))))</f>
        <v/>
      </c>
      <c r="Q34" s="288" t="str">
        <f>IF(D34="","",VLOOKUP(D34,'G-7 WaterC'' Data'!$B$4:$G$8,6,FALSE))</f>
        <v/>
      </c>
      <c r="R34" s="295" t="str">
        <f t="shared" si="1"/>
        <v xml:space="preserve"> </v>
      </c>
      <c r="S34" s="403"/>
      <c r="T34" s="287" t="str">
        <f>IF(S34="","",IF(VLOOKUP(S34,'G-7 WaterC'' Data'!$AO$4:$BO$7,2,FALSE)=0,"Spatial Data Missing ⚠",VLOOKUP(S34,'G-7 WaterC'' Data'!$AO$4:$BO$7,2,FALSE)))</f>
        <v/>
      </c>
      <c r="U34" s="295" t="str">
        <f t="shared" si="2"/>
        <v xml:space="preserve"> </v>
      </c>
      <c r="V34" s="710" t="str">
        <f t="shared" si="3"/>
        <v/>
      </c>
      <c r="W34" s="32"/>
      <c r="X34" s="105"/>
      <c r="Y34" s="112"/>
      <c r="Z34" s="293" t="str">
        <f t="shared" si="4"/>
        <v/>
      </c>
      <c r="AA34" s="293" t="str">
        <f t="shared" si="5"/>
        <v/>
      </c>
      <c r="AB34" s="293" t="str">
        <f t="shared" si="6"/>
        <v/>
      </c>
      <c r="AC34" s="507" t="str">
        <f>IFERROR(IF(OR(E34="",R34=""),"", IF(AND(AB34&lt;&gt;"",S34=""), "Spatial risk category missing ▲", IF(AND(Q34='G-7 WaterC'' Data'!$G$4,AD34="Yes"),"Alternative Compensation ✓", IF(AND(AD34="Pending", Q34='G-7 WaterC'' Data'!$G$4),"Bespoke compensation must be agreed ▲", IF((Z34+AA34)&gt;=U34,0, U34-Z34-AA34))))),"Check Data ⚠")</f>
        <v/>
      </c>
      <c r="AD34" s="403"/>
      <c r="AE34" s="109"/>
      <c r="AF34" s="108"/>
      <c r="AG34" s="108"/>
      <c r="AH34" s="108"/>
      <c r="AI34" s="54" t="str">
        <f>IF(OR(Q34="",AD34="Yes"),"",IF(Q34='G-1 All Habitats'!$X$9,E34-Y34-X34,"None"))</f>
        <v/>
      </c>
      <c r="AJ34" s="55" t="str">
        <f>IF(Q34="","", IF(Q34='G-1 All Habitats'!$X$9, AI34*G34*I34*L34*N34*P34,"None"))</f>
        <v/>
      </c>
      <c r="AK34" s="30" t="str">
        <f>IFERROR(INDEX('G-7 WaterC'' Data'!$AZ$3:$AZ$7,MATCH(D34,'G-7 WaterC'' Data'!$AY$3:$AY$7,0)),"")</f>
        <v/>
      </c>
      <c r="AL34" s="30">
        <f t="shared" si="7"/>
        <v>0</v>
      </c>
      <c r="AM34" s="111" t="str">
        <f t="shared" si="8"/>
        <v/>
      </c>
      <c r="AN34" s="111" t="str">
        <f t="shared" si="9"/>
        <v/>
      </c>
      <c r="AP34" s="111">
        <v>25</v>
      </c>
      <c r="AR34" s="111" t="str">
        <f t="array" ref="AR34">IFERROR(INDEX($AP$10:$AP$258, MATCH(0, IF(TRUE=$AM$10:$AM$258, COUNTIF($AR$9:$AR33, $AP$10:$AP$258), ""), 0)),"")</f>
        <v/>
      </c>
      <c r="AS34" s="111" t="str">
        <f t="array" ref="AS34">IFERROR(INDEX($AP$10:$AP$258, MATCH(0, IF(TRUE=$AN$10:$AN$258, COUNTIF($AS$9:$AS33, $AP$10:$AP$258), ""), 0)),"")</f>
        <v/>
      </c>
      <c r="AT34" s="903" t="str">
        <f>IF(AND(OR(AD34="Yes",AD34="Pending"),Q34='G-7 WaterC'' Data'!$G$4),U34-AA34-Z34,"0")</f>
        <v>0</v>
      </c>
      <c r="AU34" s="30" t="str">
        <f>IF(D34="","",VLOOKUP(D34,'G-7 WaterC'' Data'!B$4:M$8,12,FALSE))</f>
        <v/>
      </c>
      <c r="AV34" s="30" t="str">
        <f t="shared" si="0"/>
        <v/>
      </c>
      <c r="AW34" s="30" t="str">
        <f t="shared" si="10"/>
        <v>No</v>
      </c>
      <c r="BA34" s="571" t="str">
        <f t="shared" si="11"/>
        <v/>
      </c>
    </row>
    <row r="35" spans="3:53" ht="14.4" thickBot="1" x14ac:dyDescent="0.3">
      <c r="C35" s="101">
        <v>26</v>
      </c>
      <c r="D35" s="269"/>
      <c r="E35" s="108"/>
      <c r="F35" s="281" t="str">
        <f>IF(D35="","",VLOOKUP(D35,'G-7 WaterC'' Data'!$B$2:$G$8,2,FALSE))</f>
        <v/>
      </c>
      <c r="G35" s="320" t="str">
        <f>IFERROR(VLOOKUP(F35,'G-7 WaterC'' Data'!$C$4:$D$8,2,FALSE),"")</f>
        <v/>
      </c>
      <c r="H35" s="109"/>
      <c r="I35" s="305" t="str">
        <f>IFERROR(INDEX('G-7 WaterC'' Data'!$H$4:$L$8,MATCH(D35,'G-7 WaterC'' Data'!$B$4:$B$8,0),MATCH(H35,'G-7 WaterC'' Data'!$H$3:$L$3,0)),"")</f>
        <v/>
      </c>
      <c r="J35" s="718"/>
      <c r="K35" s="301" t="str">
        <f>IF(J35="","",IF(VLOOKUP(J35,'G-7 WaterC'' Data'!$AK$4:$AM$9,2,FALSE)=0,"Spatial Data Missing ⚠",VLOOKUP(J35,'G-7 WaterC'' Data'!$AK$4:$AM$6,2,FALSE)))</f>
        <v/>
      </c>
      <c r="L35" s="305" t="str">
        <f>IF(J35="","",IF(VLOOKUP(J35,'G-7 WaterC'' Data'!$AK$4:$AM$9,3,FALSE)=0,"Spatial Data Missing ⚠",VLOOKUP(J35,'G-7 WaterC'' Data'!$AK$4:$AM$6,3,FALSE)))</f>
        <v/>
      </c>
      <c r="M35" s="106"/>
      <c r="N35" s="282" t="str">
        <f>IF(M35="","",IF(AND(M35="N/A - Culvert",D35&lt;&gt;"Culvert"),"Not possible ▲",IF(AND(D35="Culvert",M35&lt;&gt;"N/A - Culvert"),"Not possible ▲",IF(VLOOKUP(M35,'G-7 WaterC'' Data'!$AA$4:$AB$7,2,FALSE)=0,"Spatial Data Missing ⚠",VLOOKUP(M35,'G-7 WaterC'' Data'!$AA$4:$AB$7,2,FALSE)))))</f>
        <v/>
      </c>
      <c r="O35" s="56"/>
      <c r="P35" s="282" t="str">
        <f>IF(O35="","",IF(AND(O35="N/A - Culvert",D35&lt;&gt;"Culvert"),"Not possible ▲",IF(AND(D35="Culvert",O35&lt;&gt;"N/A - Culvert"),"Not possible ▲",IF(VLOOKUP(O35,'G-7 WaterC'' Data'!$AD$4:$AE$14,2,FALSE)=0,"Spatial Data Missing ⚠",VLOOKUP(O35,'G-7 WaterC'' Data'!$AD$4:$AE$14,2,FALSE)))))</f>
        <v/>
      </c>
      <c r="Q35" s="288" t="str">
        <f>IF(D35="","",VLOOKUP(D35,'G-7 WaterC'' Data'!$B$4:$G$8,6,FALSE))</f>
        <v/>
      </c>
      <c r="R35" s="295" t="str">
        <f t="shared" si="1"/>
        <v xml:space="preserve"> </v>
      </c>
      <c r="S35" s="403"/>
      <c r="T35" s="287" t="str">
        <f>IF(S35="","",IF(VLOOKUP(S35,'G-7 WaterC'' Data'!$AO$4:$BO$7,2,FALSE)=0,"Spatial Data Missing ⚠",VLOOKUP(S35,'G-7 WaterC'' Data'!$AO$4:$BO$7,2,FALSE)))</f>
        <v/>
      </c>
      <c r="U35" s="295" t="str">
        <f t="shared" si="2"/>
        <v xml:space="preserve"> </v>
      </c>
      <c r="V35" s="710" t="str">
        <f t="shared" si="3"/>
        <v/>
      </c>
      <c r="W35" s="32"/>
      <c r="X35" s="105"/>
      <c r="Y35" s="112"/>
      <c r="Z35" s="293" t="str">
        <f t="shared" si="4"/>
        <v/>
      </c>
      <c r="AA35" s="293" t="str">
        <f t="shared" si="5"/>
        <v/>
      </c>
      <c r="AB35" s="293" t="str">
        <f t="shared" si="6"/>
        <v/>
      </c>
      <c r="AC35" s="507" t="str">
        <f>IFERROR(IF(OR(E35="",R35=""),"", IF(AND(AB35&lt;&gt;"",S35=""), "Spatial risk category missing ▲", IF(AND(Q35='G-7 WaterC'' Data'!$G$4,AD35="Yes"),"Alternative Compensation ✓", IF(AND(AD35="Pending", Q35='G-7 WaterC'' Data'!$G$4),"Bespoke compensation must be agreed ▲", IF((Z35+AA35)&gt;=U35,0, U35-Z35-AA35))))),"Check Data ⚠")</f>
        <v/>
      </c>
      <c r="AD35" s="403"/>
      <c r="AE35" s="109"/>
      <c r="AF35" s="108"/>
      <c r="AG35" s="108"/>
      <c r="AH35" s="108"/>
      <c r="AI35" s="54" t="str">
        <f>IF(OR(Q35="",AD35="Yes"),"",IF(Q35='G-1 All Habitats'!$X$9,E35-Y35-X35,"None"))</f>
        <v/>
      </c>
      <c r="AJ35" s="55" t="str">
        <f>IF(Q35="","", IF(Q35='G-1 All Habitats'!$X$9, AI35*G35*I35*L35*N35*P35,"None"))</f>
        <v/>
      </c>
      <c r="AK35" s="30" t="str">
        <f>IFERROR(INDEX('G-7 WaterC'' Data'!$AZ$3:$AZ$7,MATCH(D35,'G-7 WaterC'' Data'!$AY$3:$AY$7,0)),"")</f>
        <v/>
      </c>
      <c r="AL35" s="30">
        <f t="shared" si="7"/>
        <v>0</v>
      </c>
      <c r="AM35" s="111" t="str">
        <f t="shared" si="8"/>
        <v/>
      </c>
      <c r="AN35" s="111" t="str">
        <f t="shared" si="9"/>
        <v/>
      </c>
      <c r="AP35" s="111">
        <v>26</v>
      </c>
      <c r="AR35" s="111" t="str">
        <f t="array" ref="AR35">IFERROR(INDEX($AP$10:$AP$258, MATCH(0, IF(TRUE=$AM$10:$AM$258, COUNTIF($AR$9:$AR34, $AP$10:$AP$258), ""), 0)),"")</f>
        <v/>
      </c>
      <c r="AS35" s="111" t="str">
        <f t="array" ref="AS35">IFERROR(INDEX($AP$10:$AP$258, MATCH(0, IF(TRUE=$AN$10:$AN$258, COUNTIF($AS$9:$AS34, $AP$10:$AP$258), ""), 0)),"")</f>
        <v/>
      </c>
      <c r="AT35" s="903" t="str">
        <f>IF(AND(OR(AD35="Yes",AD35="Pending"),Q35='G-7 WaterC'' Data'!$G$4),U35-AA35-Z35,"0")</f>
        <v>0</v>
      </c>
      <c r="AU35" s="30" t="str">
        <f>IF(D35="","",VLOOKUP(D35,'G-7 WaterC'' Data'!B$4:M$8,12,FALSE))</f>
        <v/>
      </c>
      <c r="AV35" s="30" t="str">
        <f t="shared" si="0"/>
        <v/>
      </c>
      <c r="AW35" s="30" t="str">
        <f t="shared" si="10"/>
        <v>No</v>
      </c>
      <c r="BA35" s="571" t="str">
        <f t="shared" si="11"/>
        <v/>
      </c>
    </row>
    <row r="36" spans="3:53" ht="14.4" thickBot="1" x14ac:dyDescent="0.3">
      <c r="C36" s="101">
        <v>27</v>
      </c>
      <c r="D36" s="269"/>
      <c r="E36" s="108"/>
      <c r="F36" s="281" t="str">
        <f>IF(D36="","",VLOOKUP(D36,'G-7 WaterC'' Data'!$B$2:$G$8,2,FALSE))</f>
        <v/>
      </c>
      <c r="G36" s="320" t="str">
        <f>IFERROR(VLOOKUP(F36,'G-7 WaterC'' Data'!$C$4:$D$8,2,FALSE),"")</f>
        <v/>
      </c>
      <c r="H36" s="109"/>
      <c r="I36" s="305" t="str">
        <f>IFERROR(INDEX('G-7 WaterC'' Data'!$H$4:$L$8,MATCH(D36,'G-7 WaterC'' Data'!$B$4:$B$8,0),MATCH(H36,'G-7 WaterC'' Data'!$H$3:$L$3,0)),"")</f>
        <v/>
      </c>
      <c r="J36" s="718"/>
      <c r="K36" s="301" t="str">
        <f>IF(J36="","",IF(VLOOKUP(J36,'G-7 WaterC'' Data'!$AK$4:$AM$9,2,FALSE)=0,"Spatial Data Missing ⚠",VLOOKUP(J36,'G-7 WaterC'' Data'!$AK$4:$AM$6,2,FALSE)))</f>
        <v/>
      </c>
      <c r="L36" s="305" t="str">
        <f>IF(J36="","",IF(VLOOKUP(J36,'G-7 WaterC'' Data'!$AK$4:$AM$9,3,FALSE)=0,"Spatial Data Missing ⚠",VLOOKUP(J36,'G-7 WaterC'' Data'!$AK$4:$AM$6,3,FALSE)))</f>
        <v/>
      </c>
      <c r="M36" s="106"/>
      <c r="N36" s="282" t="str">
        <f>IF(M36="","",IF(AND(M36="N/A - Culvert",D36&lt;&gt;"Culvert"),"Not possible ▲",IF(AND(D36="Culvert",M36&lt;&gt;"N/A - Culvert"),"Not possible ▲",IF(VLOOKUP(M36,'G-7 WaterC'' Data'!$AA$4:$AB$7,2,FALSE)=0,"Spatial Data Missing ⚠",VLOOKUP(M36,'G-7 WaterC'' Data'!$AA$4:$AB$7,2,FALSE)))))</f>
        <v/>
      </c>
      <c r="O36" s="56"/>
      <c r="P36" s="282" t="str">
        <f>IF(O36="","",IF(AND(O36="N/A - Culvert",D36&lt;&gt;"Culvert"),"Not possible ▲",IF(AND(D36="Culvert",O36&lt;&gt;"N/A - Culvert"),"Not possible ▲",IF(VLOOKUP(O36,'G-7 WaterC'' Data'!$AD$4:$AE$14,2,FALSE)=0,"Spatial Data Missing ⚠",VLOOKUP(O36,'G-7 WaterC'' Data'!$AD$4:$AE$14,2,FALSE)))))</f>
        <v/>
      </c>
      <c r="Q36" s="288" t="str">
        <f>IF(D36="","",VLOOKUP(D36,'G-7 WaterC'' Data'!$B$4:$G$8,6,FALSE))</f>
        <v/>
      </c>
      <c r="R36" s="295" t="str">
        <f t="shared" si="1"/>
        <v xml:space="preserve"> </v>
      </c>
      <c r="S36" s="403"/>
      <c r="T36" s="287" t="str">
        <f>IF(S36="","",IF(VLOOKUP(S36,'G-7 WaterC'' Data'!$AO$4:$BO$7,2,FALSE)=0,"Spatial Data Missing ⚠",VLOOKUP(S36,'G-7 WaterC'' Data'!$AO$4:$BO$7,2,FALSE)))</f>
        <v/>
      </c>
      <c r="U36" s="295" t="str">
        <f t="shared" si="2"/>
        <v xml:space="preserve"> </v>
      </c>
      <c r="V36" s="710" t="str">
        <f t="shared" si="3"/>
        <v/>
      </c>
      <c r="W36" s="32"/>
      <c r="X36" s="105"/>
      <c r="Y36" s="112"/>
      <c r="Z36" s="293" t="str">
        <f t="shared" si="4"/>
        <v/>
      </c>
      <c r="AA36" s="293" t="str">
        <f t="shared" si="5"/>
        <v/>
      </c>
      <c r="AB36" s="293" t="str">
        <f t="shared" si="6"/>
        <v/>
      </c>
      <c r="AC36" s="507" t="str">
        <f>IFERROR(IF(OR(E36="",R36=""),"", IF(AND(AB36&lt;&gt;"",S36=""), "Spatial risk category missing ▲", IF(AND(Q36='G-7 WaterC'' Data'!$G$4,AD36="Yes"),"Alternative Compensation ✓", IF(AND(AD36="Pending", Q36='G-7 WaterC'' Data'!$G$4),"Bespoke compensation must be agreed ▲", IF((Z36+AA36)&gt;=U36,0, U36-Z36-AA36))))),"Check Data ⚠")</f>
        <v/>
      </c>
      <c r="AD36" s="403"/>
      <c r="AE36" s="109"/>
      <c r="AF36" s="108"/>
      <c r="AG36" s="108"/>
      <c r="AH36" s="108"/>
      <c r="AI36" s="54" t="str">
        <f>IF(OR(Q36="",AD36="Yes"),"",IF(Q36='G-1 All Habitats'!$X$9,E36-Y36-X36,"None"))</f>
        <v/>
      </c>
      <c r="AJ36" s="55" t="str">
        <f>IF(Q36="","", IF(Q36='G-1 All Habitats'!$X$9, AI36*G36*I36*L36*N36*P36,"None"))</f>
        <v/>
      </c>
      <c r="AK36" s="30" t="str">
        <f>IFERROR(INDEX('G-7 WaterC'' Data'!$AZ$3:$AZ$7,MATCH(D36,'G-7 WaterC'' Data'!$AY$3:$AY$7,0)),"")</f>
        <v/>
      </c>
      <c r="AL36" s="30">
        <f t="shared" si="7"/>
        <v>0</v>
      </c>
      <c r="AM36" s="111" t="str">
        <f t="shared" si="8"/>
        <v/>
      </c>
      <c r="AN36" s="111" t="str">
        <f t="shared" si="9"/>
        <v/>
      </c>
      <c r="AP36" s="111">
        <v>27</v>
      </c>
      <c r="AR36" s="111" t="str">
        <f t="array" ref="AR36">IFERROR(INDEX($AP$10:$AP$258, MATCH(0, IF(TRUE=$AM$10:$AM$258, COUNTIF($AR$9:$AR35, $AP$10:$AP$258), ""), 0)),"")</f>
        <v/>
      </c>
      <c r="AS36" s="111" t="str">
        <f t="array" ref="AS36">IFERROR(INDEX($AP$10:$AP$258, MATCH(0, IF(TRUE=$AN$10:$AN$258, COUNTIF($AS$9:$AS35, $AP$10:$AP$258), ""), 0)),"")</f>
        <v/>
      </c>
      <c r="AT36" s="903" t="str">
        <f>IF(AND(OR(AD36="Yes",AD36="Pending"),Q36='G-7 WaterC'' Data'!$G$4),U36-AA36-Z36,"0")</f>
        <v>0</v>
      </c>
      <c r="AU36" s="30" t="str">
        <f>IF(D36="","",VLOOKUP(D36,'G-7 WaterC'' Data'!B$4:M$8,12,FALSE))</f>
        <v/>
      </c>
      <c r="AV36" s="30" t="str">
        <f t="shared" si="0"/>
        <v/>
      </c>
      <c r="AW36" s="30" t="str">
        <f t="shared" si="10"/>
        <v>No</v>
      </c>
      <c r="BA36" s="571" t="str">
        <f t="shared" si="11"/>
        <v/>
      </c>
    </row>
    <row r="37" spans="3:53" ht="14.4" thickBot="1" x14ac:dyDescent="0.3">
      <c r="C37" s="101">
        <v>28</v>
      </c>
      <c r="D37" s="269"/>
      <c r="E37" s="108"/>
      <c r="F37" s="281" t="str">
        <f>IF(D37="","",VLOOKUP(D37,'G-7 WaterC'' Data'!$B$2:$G$8,2,FALSE))</f>
        <v/>
      </c>
      <c r="G37" s="320" t="str">
        <f>IFERROR(VLOOKUP(F37,'G-7 WaterC'' Data'!$C$4:$D$8,2,FALSE),"")</f>
        <v/>
      </c>
      <c r="H37" s="109"/>
      <c r="I37" s="305" t="str">
        <f>IFERROR(INDEX('G-7 WaterC'' Data'!$H$4:$L$8,MATCH(D37,'G-7 WaterC'' Data'!$B$4:$B$8,0),MATCH(H37,'G-7 WaterC'' Data'!$H$3:$L$3,0)),"")</f>
        <v/>
      </c>
      <c r="J37" s="718"/>
      <c r="K37" s="301" t="str">
        <f>IF(J37="","",IF(VLOOKUP(J37,'G-7 WaterC'' Data'!$AK$4:$AM$9,2,FALSE)=0,"Spatial Data Missing ⚠",VLOOKUP(J37,'G-7 WaterC'' Data'!$AK$4:$AM$6,2,FALSE)))</f>
        <v/>
      </c>
      <c r="L37" s="305" t="str">
        <f>IF(J37="","",IF(VLOOKUP(J37,'G-7 WaterC'' Data'!$AK$4:$AM$9,3,FALSE)=0,"Spatial Data Missing ⚠",VLOOKUP(J37,'G-7 WaterC'' Data'!$AK$4:$AM$6,3,FALSE)))</f>
        <v/>
      </c>
      <c r="M37" s="106"/>
      <c r="N37" s="282" t="str">
        <f>IF(M37="","",IF(AND(M37="N/A - Culvert",D37&lt;&gt;"Culvert"),"Not possible ▲",IF(AND(D37="Culvert",M37&lt;&gt;"N/A - Culvert"),"Not possible ▲",IF(VLOOKUP(M37,'G-7 WaterC'' Data'!$AA$4:$AB$7,2,FALSE)=0,"Spatial Data Missing ⚠",VLOOKUP(M37,'G-7 WaterC'' Data'!$AA$4:$AB$7,2,FALSE)))))</f>
        <v/>
      </c>
      <c r="O37" s="56"/>
      <c r="P37" s="282" t="str">
        <f>IF(O37="","",IF(AND(O37="N/A - Culvert",D37&lt;&gt;"Culvert"),"Not possible ▲",IF(AND(D37="Culvert",O37&lt;&gt;"N/A - Culvert"),"Not possible ▲",IF(VLOOKUP(O37,'G-7 WaterC'' Data'!$AD$4:$AE$14,2,FALSE)=0,"Spatial Data Missing ⚠",VLOOKUP(O37,'G-7 WaterC'' Data'!$AD$4:$AE$14,2,FALSE)))))</f>
        <v/>
      </c>
      <c r="Q37" s="288" t="str">
        <f>IF(D37="","",VLOOKUP(D37,'G-7 WaterC'' Data'!$B$4:$G$8,6,FALSE))</f>
        <v/>
      </c>
      <c r="R37" s="295" t="str">
        <f t="shared" si="1"/>
        <v xml:space="preserve"> </v>
      </c>
      <c r="S37" s="403"/>
      <c r="T37" s="287" t="str">
        <f>IF(S37="","",IF(VLOOKUP(S37,'G-7 WaterC'' Data'!$AO$4:$BO$7,2,FALSE)=0,"Spatial Data Missing ⚠",VLOOKUP(S37,'G-7 WaterC'' Data'!$AO$4:$BO$7,2,FALSE)))</f>
        <v/>
      </c>
      <c r="U37" s="295" t="str">
        <f t="shared" si="2"/>
        <v xml:space="preserve"> </v>
      </c>
      <c r="V37" s="710" t="str">
        <f t="shared" si="3"/>
        <v/>
      </c>
      <c r="W37" s="32"/>
      <c r="X37" s="105"/>
      <c r="Y37" s="112"/>
      <c r="Z37" s="293" t="str">
        <f t="shared" si="4"/>
        <v/>
      </c>
      <c r="AA37" s="293" t="str">
        <f t="shared" si="5"/>
        <v/>
      </c>
      <c r="AB37" s="293" t="str">
        <f t="shared" si="6"/>
        <v/>
      </c>
      <c r="AC37" s="507" t="str">
        <f>IFERROR(IF(OR(E37="",R37=""),"", IF(AND(AB37&lt;&gt;"",S37=""), "Spatial risk category missing ▲", IF(AND(Q37='G-7 WaterC'' Data'!$G$4,AD37="Yes"),"Alternative Compensation ✓", IF(AND(AD37="Pending", Q37='G-7 WaterC'' Data'!$G$4),"Bespoke compensation must be agreed ▲", IF((Z37+AA37)&gt;=U37,0, U37-Z37-AA37))))),"Check Data ⚠")</f>
        <v/>
      </c>
      <c r="AD37" s="403"/>
      <c r="AE37" s="109"/>
      <c r="AF37" s="108"/>
      <c r="AG37" s="108"/>
      <c r="AH37" s="108"/>
      <c r="AI37" s="54" t="str">
        <f>IF(OR(Q37="",AD37="Yes"),"",IF(Q37='G-1 All Habitats'!$X$9,E37-Y37-X37,"None"))</f>
        <v/>
      </c>
      <c r="AJ37" s="55" t="str">
        <f>IF(Q37="","", IF(Q37='G-1 All Habitats'!$X$9, AI37*G37*I37*L37*N37*P37,"None"))</f>
        <v/>
      </c>
      <c r="AK37" s="30" t="str">
        <f>IFERROR(INDEX('G-7 WaterC'' Data'!$AZ$3:$AZ$7,MATCH(D37,'G-7 WaterC'' Data'!$AY$3:$AY$7,0)),"")</f>
        <v/>
      </c>
      <c r="AL37" s="30">
        <f t="shared" si="7"/>
        <v>0</v>
      </c>
      <c r="AM37" s="111" t="str">
        <f t="shared" si="8"/>
        <v/>
      </c>
      <c r="AN37" s="111" t="str">
        <f t="shared" si="9"/>
        <v/>
      </c>
      <c r="AP37" s="111">
        <v>28</v>
      </c>
      <c r="AR37" s="111" t="str">
        <f t="array" ref="AR37">IFERROR(INDEX($AP$10:$AP$258, MATCH(0, IF(TRUE=$AM$10:$AM$258, COUNTIF($AR$9:$AR36, $AP$10:$AP$258), ""), 0)),"")</f>
        <v/>
      </c>
      <c r="AS37" s="111" t="str">
        <f t="array" ref="AS37">IFERROR(INDEX($AP$10:$AP$258, MATCH(0, IF(TRUE=$AN$10:$AN$258, COUNTIF($AS$9:$AS36, $AP$10:$AP$258), ""), 0)),"")</f>
        <v/>
      </c>
      <c r="AT37" s="903" t="str">
        <f>IF(AND(OR(AD37="Yes",AD37="Pending"),Q37='G-7 WaterC'' Data'!$G$4),U37-AA37-Z37,"0")</f>
        <v>0</v>
      </c>
      <c r="AU37" s="30" t="str">
        <f>IF(D37="","",VLOOKUP(D37,'G-7 WaterC'' Data'!B$4:M$8,12,FALSE))</f>
        <v/>
      </c>
      <c r="AV37" s="30" t="str">
        <f t="shared" si="0"/>
        <v/>
      </c>
      <c r="AW37" s="30" t="str">
        <f t="shared" si="10"/>
        <v>No</v>
      </c>
      <c r="BA37" s="571" t="str">
        <f t="shared" si="11"/>
        <v/>
      </c>
    </row>
    <row r="38" spans="3:53" ht="14.4" thickBot="1" x14ac:dyDescent="0.3">
      <c r="C38" s="101">
        <v>29</v>
      </c>
      <c r="D38" s="269"/>
      <c r="E38" s="108"/>
      <c r="F38" s="281" t="str">
        <f>IF(D38="","",VLOOKUP(D38,'G-7 WaterC'' Data'!$B$2:$G$8,2,FALSE))</f>
        <v/>
      </c>
      <c r="G38" s="320" t="str">
        <f>IFERROR(VLOOKUP(F38,'G-7 WaterC'' Data'!$C$4:$D$8,2,FALSE),"")</f>
        <v/>
      </c>
      <c r="H38" s="109"/>
      <c r="I38" s="305" t="str">
        <f>IFERROR(INDEX('G-7 WaterC'' Data'!$H$4:$L$8,MATCH(D38,'G-7 WaterC'' Data'!$B$4:$B$8,0),MATCH(H38,'G-7 WaterC'' Data'!$H$3:$L$3,0)),"")</f>
        <v/>
      </c>
      <c r="J38" s="718"/>
      <c r="K38" s="301" t="str">
        <f>IF(J38="","",IF(VLOOKUP(J38,'G-7 WaterC'' Data'!$AK$4:$AM$9,2,FALSE)=0,"Spatial Data Missing ⚠",VLOOKUP(J38,'G-7 WaterC'' Data'!$AK$4:$AM$6,2,FALSE)))</f>
        <v/>
      </c>
      <c r="L38" s="305" t="str">
        <f>IF(J38="","",IF(VLOOKUP(J38,'G-7 WaterC'' Data'!$AK$4:$AM$9,3,FALSE)=0,"Spatial Data Missing ⚠",VLOOKUP(J38,'G-7 WaterC'' Data'!$AK$4:$AM$6,3,FALSE)))</f>
        <v/>
      </c>
      <c r="M38" s="106"/>
      <c r="N38" s="282" t="str">
        <f>IF(M38="","",IF(AND(M38="N/A - Culvert",D38&lt;&gt;"Culvert"),"Not possible ▲",IF(AND(D38="Culvert",M38&lt;&gt;"N/A - Culvert"),"Not possible ▲",IF(VLOOKUP(M38,'G-7 WaterC'' Data'!$AA$4:$AB$7,2,FALSE)=0,"Spatial Data Missing ⚠",VLOOKUP(M38,'G-7 WaterC'' Data'!$AA$4:$AB$7,2,FALSE)))))</f>
        <v/>
      </c>
      <c r="O38" s="56"/>
      <c r="P38" s="282" t="str">
        <f>IF(O38="","",IF(AND(O38="N/A - Culvert",D38&lt;&gt;"Culvert"),"Not possible ▲",IF(AND(D38="Culvert",O38&lt;&gt;"N/A - Culvert"),"Not possible ▲",IF(VLOOKUP(O38,'G-7 WaterC'' Data'!$AD$4:$AE$14,2,FALSE)=0,"Spatial Data Missing ⚠",VLOOKUP(O38,'G-7 WaterC'' Data'!$AD$4:$AE$14,2,FALSE)))))</f>
        <v/>
      </c>
      <c r="Q38" s="288" t="str">
        <f>IF(D38="","",VLOOKUP(D38,'G-7 WaterC'' Data'!$B$4:$G$8,6,FALSE))</f>
        <v/>
      </c>
      <c r="R38" s="295" t="str">
        <f t="shared" si="1"/>
        <v xml:space="preserve"> </v>
      </c>
      <c r="S38" s="403"/>
      <c r="T38" s="287" t="str">
        <f>IF(S38="","",IF(VLOOKUP(S38,'G-7 WaterC'' Data'!$AO$4:$BO$7,2,FALSE)=0,"Spatial Data Missing ⚠",VLOOKUP(S38,'G-7 WaterC'' Data'!$AO$4:$BO$7,2,FALSE)))</f>
        <v/>
      </c>
      <c r="U38" s="295" t="str">
        <f t="shared" si="2"/>
        <v xml:space="preserve"> </v>
      </c>
      <c r="V38" s="710" t="str">
        <f t="shared" si="3"/>
        <v/>
      </c>
      <c r="W38" s="32"/>
      <c r="X38" s="105"/>
      <c r="Y38" s="112"/>
      <c r="Z38" s="293" t="str">
        <f t="shared" si="4"/>
        <v/>
      </c>
      <c r="AA38" s="293" t="str">
        <f t="shared" si="5"/>
        <v/>
      </c>
      <c r="AB38" s="293" t="str">
        <f t="shared" si="6"/>
        <v/>
      </c>
      <c r="AC38" s="507" t="str">
        <f>IFERROR(IF(OR(E38="",R38=""),"", IF(AND(AB38&lt;&gt;"",S38=""), "Spatial risk category missing ▲", IF(AND(Q38='G-7 WaterC'' Data'!$G$4,AD38="Yes"),"Alternative Compensation ✓", IF(AND(AD38="Pending", Q38='G-7 WaterC'' Data'!$G$4),"Bespoke compensation must be agreed ▲", IF((Z38+AA38)&gt;=U38,0, U38-Z38-AA38))))),"Check Data ⚠")</f>
        <v/>
      </c>
      <c r="AD38" s="403"/>
      <c r="AE38" s="109"/>
      <c r="AF38" s="108"/>
      <c r="AG38" s="108"/>
      <c r="AH38" s="108"/>
      <c r="AI38" s="54" t="str">
        <f>IF(OR(Q38="",AD38="Yes"),"",IF(Q38='G-1 All Habitats'!$X$9,E38-Y38-X38,"None"))</f>
        <v/>
      </c>
      <c r="AJ38" s="55" t="str">
        <f>IF(Q38="","", IF(Q38='G-1 All Habitats'!$X$9, AI38*G38*I38*L38*N38*P38,"None"))</f>
        <v/>
      </c>
      <c r="AK38" s="30" t="str">
        <f>IFERROR(INDEX('G-7 WaterC'' Data'!$AZ$3:$AZ$7,MATCH(D38,'G-7 WaterC'' Data'!$AY$3:$AY$7,0)),"")</f>
        <v/>
      </c>
      <c r="AL38" s="30">
        <f t="shared" si="7"/>
        <v>0</v>
      </c>
      <c r="AM38" s="111" t="str">
        <f t="shared" si="8"/>
        <v/>
      </c>
      <c r="AN38" s="111" t="str">
        <f t="shared" si="9"/>
        <v/>
      </c>
      <c r="AP38" s="111">
        <v>29</v>
      </c>
      <c r="AR38" s="111" t="str">
        <f t="array" ref="AR38">IFERROR(INDEX($AP$10:$AP$258, MATCH(0, IF(TRUE=$AM$10:$AM$258, COUNTIF($AR$9:$AR37, $AP$10:$AP$258), ""), 0)),"")</f>
        <v/>
      </c>
      <c r="AS38" s="111" t="str">
        <f t="array" ref="AS38">IFERROR(INDEX($AP$10:$AP$258, MATCH(0, IF(TRUE=$AN$10:$AN$258, COUNTIF($AS$9:$AS37, $AP$10:$AP$258), ""), 0)),"")</f>
        <v/>
      </c>
      <c r="AT38" s="903" t="str">
        <f>IF(AND(OR(AD38="Yes",AD38="Pending"),Q38='G-7 WaterC'' Data'!$G$4),U38-AA38-Z38,"0")</f>
        <v>0</v>
      </c>
      <c r="AU38" s="30" t="str">
        <f>IF(D38="","",VLOOKUP(D38,'G-7 WaterC'' Data'!B$4:M$8,12,FALSE))</f>
        <v/>
      </c>
      <c r="AV38" s="30" t="str">
        <f t="shared" si="0"/>
        <v/>
      </c>
      <c r="AW38" s="30" t="str">
        <f t="shared" si="10"/>
        <v>No</v>
      </c>
      <c r="BA38" s="571" t="str">
        <f t="shared" si="11"/>
        <v/>
      </c>
    </row>
    <row r="39" spans="3:53" ht="14.4" thickBot="1" x14ac:dyDescent="0.3">
      <c r="C39" s="101">
        <v>30</v>
      </c>
      <c r="D39" s="269"/>
      <c r="E39" s="108"/>
      <c r="F39" s="281" t="str">
        <f>IF(D39="","",VLOOKUP(D39,'G-7 WaterC'' Data'!$B$2:$G$8,2,FALSE))</f>
        <v/>
      </c>
      <c r="G39" s="320" t="str">
        <f>IFERROR(VLOOKUP(F39,'G-7 WaterC'' Data'!$C$4:$D$8,2,FALSE),"")</f>
        <v/>
      </c>
      <c r="H39" s="109"/>
      <c r="I39" s="305" t="str">
        <f>IFERROR(INDEX('G-7 WaterC'' Data'!$H$4:$L$8,MATCH(D39,'G-7 WaterC'' Data'!$B$4:$B$8,0),MATCH(H39,'G-7 WaterC'' Data'!$H$3:$L$3,0)),"")</f>
        <v/>
      </c>
      <c r="J39" s="718"/>
      <c r="K39" s="301" t="str">
        <f>IF(J39="","",IF(VLOOKUP(J39,'G-7 WaterC'' Data'!$AK$4:$AM$9,2,FALSE)=0,"Spatial Data Missing ⚠",VLOOKUP(J39,'G-7 WaterC'' Data'!$AK$4:$AM$6,2,FALSE)))</f>
        <v/>
      </c>
      <c r="L39" s="305" t="str">
        <f>IF(J39="","",IF(VLOOKUP(J39,'G-7 WaterC'' Data'!$AK$4:$AM$9,3,FALSE)=0,"Spatial Data Missing ⚠",VLOOKUP(J39,'G-7 WaterC'' Data'!$AK$4:$AM$6,3,FALSE)))</f>
        <v/>
      </c>
      <c r="M39" s="106"/>
      <c r="N39" s="282" t="str">
        <f>IF(M39="","",IF(AND(M39="N/A - Culvert",D39&lt;&gt;"Culvert"),"Not possible ▲",IF(AND(D39="Culvert",M39&lt;&gt;"N/A - Culvert"),"Not possible ▲",IF(VLOOKUP(M39,'G-7 WaterC'' Data'!$AA$4:$AB$7,2,FALSE)=0,"Spatial Data Missing ⚠",VLOOKUP(M39,'G-7 WaterC'' Data'!$AA$4:$AB$7,2,FALSE)))))</f>
        <v/>
      </c>
      <c r="O39" s="56"/>
      <c r="P39" s="282" t="str">
        <f>IF(O39="","",IF(AND(O39="N/A - Culvert",D39&lt;&gt;"Culvert"),"Not possible ▲",IF(AND(D39="Culvert",O39&lt;&gt;"N/A - Culvert"),"Not possible ▲",IF(VLOOKUP(O39,'G-7 WaterC'' Data'!$AD$4:$AE$14,2,FALSE)=0,"Spatial Data Missing ⚠",VLOOKUP(O39,'G-7 WaterC'' Data'!$AD$4:$AE$14,2,FALSE)))))</f>
        <v/>
      </c>
      <c r="Q39" s="288" t="str">
        <f>IF(D39="","",VLOOKUP(D39,'G-7 WaterC'' Data'!$B$4:$G$8,6,FALSE))</f>
        <v/>
      </c>
      <c r="R39" s="295" t="str">
        <f t="shared" si="1"/>
        <v xml:space="preserve"> </v>
      </c>
      <c r="S39" s="403"/>
      <c r="T39" s="287" t="str">
        <f>IF(S39="","",IF(VLOOKUP(S39,'G-7 WaterC'' Data'!$AO$4:$BO$7,2,FALSE)=0,"Spatial Data Missing ⚠",VLOOKUP(S39,'G-7 WaterC'' Data'!$AO$4:$BO$7,2,FALSE)))</f>
        <v/>
      </c>
      <c r="U39" s="295" t="str">
        <f t="shared" si="2"/>
        <v xml:space="preserve"> </v>
      </c>
      <c r="V39" s="710" t="str">
        <f t="shared" si="3"/>
        <v/>
      </c>
      <c r="W39" s="32"/>
      <c r="X39" s="105"/>
      <c r="Y39" s="112"/>
      <c r="Z39" s="293" t="str">
        <f t="shared" si="4"/>
        <v/>
      </c>
      <c r="AA39" s="293" t="str">
        <f t="shared" si="5"/>
        <v/>
      </c>
      <c r="AB39" s="293" t="str">
        <f t="shared" si="6"/>
        <v/>
      </c>
      <c r="AC39" s="507" t="str">
        <f>IFERROR(IF(OR(E39="",R39=""),"", IF(AND(AB39&lt;&gt;"",S39=""), "Spatial risk category missing ▲", IF(AND(Q39='G-7 WaterC'' Data'!$G$4,AD39="Yes"),"Alternative Compensation ✓", IF(AND(AD39="Pending", Q39='G-7 WaterC'' Data'!$G$4),"Bespoke compensation must be agreed ▲", IF((Z39+AA39)&gt;=U39,0, U39-Z39-AA39))))),"Check Data ⚠")</f>
        <v/>
      </c>
      <c r="AD39" s="403"/>
      <c r="AE39" s="109"/>
      <c r="AF39" s="108"/>
      <c r="AG39" s="108"/>
      <c r="AH39" s="108"/>
      <c r="AI39" s="54" t="str">
        <f>IF(OR(Q39="",AD39="Yes"),"",IF(Q39='G-1 All Habitats'!$X$9,E39-Y39-X39,"None"))</f>
        <v/>
      </c>
      <c r="AJ39" s="55" t="str">
        <f>IF(Q39="","", IF(Q39='G-1 All Habitats'!$X$9, AI39*G39*I39*L39*N39*P39,"None"))</f>
        <v/>
      </c>
      <c r="AK39" s="30" t="str">
        <f>IFERROR(INDEX('G-7 WaterC'' Data'!$AZ$3:$AZ$7,MATCH(D39,'G-7 WaterC'' Data'!$AY$3:$AY$7,0)),"")</f>
        <v/>
      </c>
      <c r="AL39" s="30">
        <f t="shared" si="7"/>
        <v>0</v>
      </c>
      <c r="AM39" s="111" t="str">
        <f t="shared" si="8"/>
        <v/>
      </c>
      <c r="AN39" s="111" t="str">
        <f t="shared" si="9"/>
        <v/>
      </c>
      <c r="AP39" s="111">
        <v>30</v>
      </c>
      <c r="AR39" s="111" t="str">
        <f t="array" ref="AR39">IFERROR(INDEX($AP$10:$AP$258, MATCH(0, IF(TRUE=$AM$10:$AM$258, COUNTIF($AR$9:$AR38, $AP$10:$AP$258), ""), 0)),"")</f>
        <v/>
      </c>
      <c r="AS39" s="111" t="str">
        <f t="array" ref="AS39">IFERROR(INDEX($AP$10:$AP$258, MATCH(0, IF(TRUE=$AN$10:$AN$258, COUNTIF($AS$9:$AS38, $AP$10:$AP$258), ""), 0)),"")</f>
        <v/>
      </c>
      <c r="AT39" s="903" t="str">
        <f>IF(AND(OR(AD39="Yes",AD39="Pending"),Q39='G-7 WaterC'' Data'!$G$4),U39-AA39-Z39,"0")</f>
        <v>0</v>
      </c>
      <c r="AU39" s="30" t="str">
        <f>IF(D39="","",VLOOKUP(D39,'G-7 WaterC'' Data'!B$4:M$8,12,FALSE))</f>
        <v/>
      </c>
      <c r="AV39" s="30" t="str">
        <f t="shared" si="0"/>
        <v/>
      </c>
      <c r="AW39" s="30" t="str">
        <f t="shared" si="10"/>
        <v>No</v>
      </c>
      <c r="BA39" s="571" t="str">
        <f t="shared" si="11"/>
        <v/>
      </c>
    </row>
    <row r="40" spans="3:53" ht="14.4" thickBot="1" x14ac:dyDescent="0.3">
      <c r="C40" s="101">
        <v>31</v>
      </c>
      <c r="D40" s="269"/>
      <c r="E40" s="108"/>
      <c r="F40" s="281" t="str">
        <f>IF(D40="","",VLOOKUP(D40,'G-7 WaterC'' Data'!$B$2:$G$8,2,FALSE))</f>
        <v/>
      </c>
      <c r="G40" s="320" t="str">
        <f>IFERROR(VLOOKUP(F40,'G-7 WaterC'' Data'!$C$4:$D$8,2,FALSE),"")</f>
        <v/>
      </c>
      <c r="H40" s="109"/>
      <c r="I40" s="305" t="str">
        <f>IFERROR(INDEX('G-7 WaterC'' Data'!$H$4:$L$8,MATCH(D40,'G-7 WaterC'' Data'!$B$4:$B$8,0),MATCH(H40,'G-7 WaterC'' Data'!$H$3:$L$3,0)),"")</f>
        <v/>
      </c>
      <c r="J40" s="718"/>
      <c r="K40" s="301" t="str">
        <f>IF(J40="","",IF(VLOOKUP(J40,'G-7 WaterC'' Data'!$AK$4:$AM$9,2,FALSE)=0,"Spatial Data Missing ⚠",VLOOKUP(J40,'G-7 WaterC'' Data'!$AK$4:$AM$6,2,FALSE)))</f>
        <v/>
      </c>
      <c r="L40" s="305" t="str">
        <f>IF(J40="","",IF(VLOOKUP(J40,'G-7 WaterC'' Data'!$AK$4:$AM$9,3,FALSE)=0,"Spatial Data Missing ⚠",VLOOKUP(J40,'G-7 WaterC'' Data'!$AK$4:$AM$6,3,FALSE)))</f>
        <v/>
      </c>
      <c r="M40" s="106"/>
      <c r="N40" s="282" t="str">
        <f>IF(M40="","",IF(AND(M40="N/A - Culvert",D40&lt;&gt;"Culvert"),"Not possible ▲",IF(AND(D40="Culvert",M40&lt;&gt;"N/A - Culvert"),"Not possible ▲",IF(VLOOKUP(M40,'G-7 WaterC'' Data'!$AA$4:$AB$7,2,FALSE)=0,"Spatial Data Missing ⚠",VLOOKUP(M40,'G-7 WaterC'' Data'!$AA$4:$AB$7,2,FALSE)))))</f>
        <v/>
      </c>
      <c r="O40" s="56"/>
      <c r="P40" s="282" t="str">
        <f>IF(O40="","",IF(AND(O40="N/A - Culvert",D40&lt;&gt;"Culvert"),"Not possible ▲",IF(AND(D40="Culvert",O40&lt;&gt;"N/A - Culvert"),"Not possible ▲",IF(VLOOKUP(O40,'G-7 WaterC'' Data'!$AD$4:$AE$14,2,FALSE)=0,"Spatial Data Missing ⚠",VLOOKUP(O40,'G-7 WaterC'' Data'!$AD$4:$AE$14,2,FALSE)))))</f>
        <v/>
      </c>
      <c r="Q40" s="288" t="str">
        <f>IF(D40="","",VLOOKUP(D40,'G-7 WaterC'' Data'!$B$4:$G$8,6,FALSE))</f>
        <v/>
      </c>
      <c r="R40" s="295" t="str">
        <f t="shared" si="1"/>
        <v xml:space="preserve"> </v>
      </c>
      <c r="S40" s="403"/>
      <c r="T40" s="287" t="str">
        <f>IF(S40="","",IF(VLOOKUP(S40,'G-7 WaterC'' Data'!$AO$4:$BO$7,2,FALSE)=0,"Spatial Data Missing ⚠",VLOOKUP(S40,'G-7 WaterC'' Data'!$AO$4:$BO$7,2,FALSE)))</f>
        <v/>
      </c>
      <c r="U40" s="295" t="str">
        <f t="shared" si="2"/>
        <v xml:space="preserve"> </v>
      </c>
      <c r="V40" s="710" t="str">
        <f t="shared" si="3"/>
        <v/>
      </c>
      <c r="W40" s="32"/>
      <c r="X40" s="105"/>
      <c r="Y40" s="112"/>
      <c r="Z40" s="293" t="str">
        <f t="shared" si="4"/>
        <v/>
      </c>
      <c r="AA40" s="293" t="str">
        <f t="shared" si="5"/>
        <v/>
      </c>
      <c r="AB40" s="293" t="str">
        <f t="shared" si="6"/>
        <v/>
      </c>
      <c r="AC40" s="507" t="str">
        <f>IFERROR(IF(OR(E40="",R40=""),"", IF(AND(AB40&lt;&gt;"",S40=""), "Spatial risk category missing ▲", IF(AND(Q40='G-7 WaterC'' Data'!$G$4,AD40="Yes"),"Alternative Compensation ✓", IF(AND(AD40="Pending", Q40='G-7 WaterC'' Data'!$G$4),"Bespoke compensation must be agreed ▲", IF((Z40+AA40)&gt;=U40,0, U40-Z40-AA40))))),"Check Data ⚠")</f>
        <v/>
      </c>
      <c r="AD40" s="403"/>
      <c r="AE40" s="109"/>
      <c r="AF40" s="108"/>
      <c r="AG40" s="108"/>
      <c r="AH40" s="108"/>
      <c r="AI40" s="54" t="str">
        <f>IF(OR(Q40="",AD40="Yes"),"",IF(Q40='G-1 All Habitats'!$X$9,E40-Y40-X40,"None"))</f>
        <v/>
      </c>
      <c r="AJ40" s="55" t="str">
        <f>IF(Q40="","", IF(Q40='G-1 All Habitats'!$X$9, AI40*G40*I40*L40*N40*P40,"None"))</f>
        <v/>
      </c>
      <c r="AK40" s="30" t="str">
        <f>IFERROR(INDEX('G-7 WaterC'' Data'!$AZ$3:$AZ$7,MATCH(D40,'G-7 WaterC'' Data'!$AY$3:$AY$7,0)),"")</f>
        <v/>
      </c>
      <c r="AL40" s="30">
        <f t="shared" si="7"/>
        <v>0</v>
      </c>
      <c r="AM40" s="111" t="str">
        <f t="shared" si="8"/>
        <v/>
      </c>
      <c r="AN40" s="111" t="str">
        <f t="shared" si="9"/>
        <v/>
      </c>
      <c r="AP40" s="111">
        <v>31</v>
      </c>
      <c r="AR40" s="111" t="str">
        <f t="array" ref="AR40">IFERROR(INDEX($AP$10:$AP$258, MATCH(0, IF(TRUE=$AM$10:$AM$258, COUNTIF($AR$9:$AR39, $AP$10:$AP$258), ""), 0)),"")</f>
        <v/>
      </c>
      <c r="AS40" s="111" t="str">
        <f t="array" ref="AS40">IFERROR(INDEX($AP$10:$AP$258, MATCH(0, IF(TRUE=$AN$10:$AN$258, COUNTIF($AS$9:$AS39, $AP$10:$AP$258), ""), 0)),"")</f>
        <v/>
      </c>
      <c r="AT40" s="903" t="str">
        <f>IF(AND(OR(AD40="Yes",AD40="Pending"),Q40='G-7 WaterC'' Data'!$G$4),U40-AA40-Z40,"0")</f>
        <v>0</v>
      </c>
      <c r="AU40" s="30" t="str">
        <f>IF(D40="","",VLOOKUP(D40,'G-7 WaterC'' Data'!B$4:M$8,12,FALSE))</f>
        <v/>
      </c>
      <c r="AV40" s="30" t="str">
        <f t="shared" si="0"/>
        <v/>
      </c>
      <c r="AW40" s="30" t="str">
        <f t="shared" si="10"/>
        <v>No</v>
      </c>
      <c r="BA40" s="571" t="str">
        <f t="shared" si="11"/>
        <v/>
      </c>
    </row>
    <row r="41" spans="3:53" ht="14.4" thickBot="1" x14ac:dyDescent="0.3">
      <c r="C41" s="101">
        <v>32</v>
      </c>
      <c r="D41" s="269"/>
      <c r="E41" s="108"/>
      <c r="F41" s="281" t="str">
        <f>IF(D41="","",VLOOKUP(D41,'G-7 WaterC'' Data'!$B$2:$G$8,2,FALSE))</f>
        <v/>
      </c>
      <c r="G41" s="320" t="str">
        <f>IFERROR(VLOOKUP(F41,'G-7 WaterC'' Data'!$C$4:$D$8,2,FALSE),"")</f>
        <v/>
      </c>
      <c r="H41" s="109"/>
      <c r="I41" s="305" t="str">
        <f>IFERROR(INDEX('G-7 WaterC'' Data'!$H$4:$L$8,MATCH(D41,'G-7 WaterC'' Data'!$B$4:$B$8,0),MATCH(H41,'G-7 WaterC'' Data'!$H$3:$L$3,0)),"")</f>
        <v/>
      </c>
      <c r="J41" s="718"/>
      <c r="K41" s="301" t="str">
        <f>IF(J41="","",IF(VLOOKUP(J41,'G-7 WaterC'' Data'!$AK$4:$AM$9,2,FALSE)=0,"Spatial Data Missing ⚠",VLOOKUP(J41,'G-7 WaterC'' Data'!$AK$4:$AM$6,2,FALSE)))</f>
        <v/>
      </c>
      <c r="L41" s="305" t="str">
        <f>IF(J41="","",IF(VLOOKUP(J41,'G-7 WaterC'' Data'!$AK$4:$AM$9,3,FALSE)=0,"Spatial Data Missing ⚠",VLOOKUP(J41,'G-7 WaterC'' Data'!$AK$4:$AM$6,3,FALSE)))</f>
        <v/>
      </c>
      <c r="M41" s="106"/>
      <c r="N41" s="282" t="str">
        <f>IF(M41="","",IF(AND(M41="N/A - Culvert",D41&lt;&gt;"Culvert"),"Not possible ▲",IF(AND(D41="Culvert",M41&lt;&gt;"N/A - Culvert"),"Not possible ▲",IF(VLOOKUP(M41,'G-7 WaterC'' Data'!$AA$4:$AB$7,2,FALSE)=0,"Spatial Data Missing ⚠",VLOOKUP(M41,'G-7 WaterC'' Data'!$AA$4:$AB$7,2,FALSE)))))</f>
        <v/>
      </c>
      <c r="O41" s="56"/>
      <c r="P41" s="282" t="str">
        <f>IF(O41="","",IF(AND(O41="N/A - Culvert",D41&lt;&gt;"Culvert"),"Not possible ▲",IF(AND(D41="Culvert",O41&lt;&gt;"N/A - Culvert"),"Not possible ▲",IF(VLOOKUP(O41,'G-7 WaterC'' Data'!$AD$4:$AE$14,2,FALSE)=0,"Spatial Data Missing ⚠",VLOOKUP(O41,'G-7 WaterC'' Data'!$AD$4:$AE$14,2,FALSE)))))</f>
        <v/>
      </c>
      <c r="Q41" s="288" t="str">
        <f>IF(D41="","",VLOOKUP(D41,'G-7 WaterC'' Data'!$B$4:$G$8,6,FALSE))</f>
        <v/>
      </c>
      <c r="R41" s="295" t="str">
        <f t="shared" si="1"/>
        <v xml:space="preserve"> </v>
      </c>
      <c r="S41" s="403"/>
      <c r="T41" s="287" t="str">
        <f>IF(S41="","",IF(VLOOKUP(S41,'G-7 WaterC'' Data'!$AO$4:$BO$7,2,FALSE)=0,"Spatial Data Missing ⚠",VLOOKUP(S41,'G-7 WaterC'' Data'!$AO$4:$BO$7,2,FALSE)))</f>
        <v/>
      </c>
      <c r="U41" s="295" t="str">
        <f t="shared" si="2"/>
        <v xml:space="preserve"> </v>
      </c>
      <c r="V41" s="710" t="str">
        <f t="shared" si="3"/>
        <v/>
      </c>
      <c r="W41" s="32"/>
      <c r="X41" s="105"/>
      <c r="Y41" s="112"/>
      <c r="Z41" s="293" t="str">
        <f t="shared" si="4"/>
        <v/>
      </c>
      <c r="AA41" s="293" t="str">
        <f t="shared" si="5"/>
        <v/>
      </c>
      <c r="AB41" s="293" t="str">
        <f t="shared" si="6"/>
        <v/>
      </c>
      <c r="AC41" s="507" t="str">
        <f>IFERROR(IF(OR(E41="",R41=""),"", IF(AND(AB41&lt;&gt;"",S41=""), "Spatial risk category missing ▲", IF(AND(Q41='G-7 WaterC'' Data'!$G$4,AD41="Yes"),"Alternative Compensation ✓", IF(AND(AD41="Pending", Q41='G-7 WaterC'' Data'!$G$4),"Bespoke compensation must be agreed ▲", IF((Z41+AA41)&gt;=U41,0, U41-Z41-AA41))))),"Check Data ⚠")</f>
        <v/>
      </c>
      <c r="AD41" s="403"/>
      <c r="AE41" s="109"/>
      <c r="AF41" s="108"/>
      <c r="AG41" s="108"/>
      <c r="AH41" s="108"/>
      <c r="AI41" s="54" t="str">
        <f>IF(OR(Q41="",AD41="Yes"),"",IF(Q41='G-1 All Habitats'!$X$9,E41-Y41-X41,"None"))</f>
        <v/>
      </c>
      <c r="AJ41" s="55" t="str">
        <f>IF(Q41="","", IF(Q41='G-1 All Habitats'!$X$9, AI41*G41*I41*L41*N41*P41,"None"))</f>
        <v/>
      </c>
      <c r="AK41" s="30" t="str">
        <f>IFERROR(INDEX('G-7 WaterC'' Data'!$AZ$3:$AZ$7,MATCH(D41,'G-7 WaterC'' Data'!$AY$3:$AY$7,0)),"")</f>
        <v/>
      </c>
      <c r="AL41" s="30">
        <f t="shared" si="7"/>
        <v>0</v>
      </c>
      <c r="AM41" s="111" t="str">
        <f t="shared" si="8"/>
        <v/>
      </c>
      <c r="AN41" s="111" t="str">
        <f t="shared" si="9"/>
        <v/>
      </c>
      <c r="AP41" s="111">
        <v>32</v>
      </c>
      <c r="AR41" s="111" t="str">
        <f t="array" ref="AR41">IFERROR(INDEX($AP$10:$AP$258, MATCH(0, IF(TRUE=$AM$10:$AM$258, COUNTIF($AR$9:$AR40, $AP$10:$AP$258), ""), 0)),"")</f>
        <v/>
      </c>
      <c r="AS41" s="111" t="str">
        <f t="array" ref="AS41">IFERROR(INDEX($AP$10:$AP$258, MATCH(0, IF(TRUE=$AN$10:$AN$258, COUNTIF($AS$9:$AS40, $AP$10:$AP$258), ""), 0)),"")</f>
        <v/>
      </c>
      <c r="AT41" s="903" t="str">
        <f>IF(AND(OR(AD41="Yes",AD41="Pending"),Q41='G-7 WaterC'' Data'!$G$4),U41-AA41-Z41,"0")</f>
        <v>0</v>
      </c>
      <c r="AU41" s="30" t="str">
        <f>IF(D41="","",VLOOKUP(D41,'G-7 WaterC'' Data'!B$4:M$8,12,FALSE))</f>
        <v/>
      </c>
      <c r="AV41" s="30" t="str">
        <f t="shared" si="0"/>
        <v/>
      </c>
      <c r="AW41" s="30" t="str">
        <f t="shared" si="10"/>
        <v>No</v>
      </c>
      <c r="BA41" s="571" t="str">
        <f t="shared" si="11"/>
        <v/>
      </c>
    </row>
    <row r="42" spans="3:53" ht="14.4" thickBot="1" x14ac:dyDescent="0.3">
      <c r="C42" s="101">
        <v>33</v>
      </c>
      <c r="D42" s="269"/>
      <c r="E42" s="108"/>
      <c r="F42" s="281" t="str">
        <f>IF(D42="","",VLOOKUP(D42,'G-7 WaterC'' Data'!$B$2:$G$8,2,FALSE))</f>
        <v/>
      </c>
      <c r="G42" s="320" t="str">
        <f>IFERROR(VLOOKUP(F42,'G-7 WaterC'' Data'!$C$4:$D$8,2,FALSE),"")</f>
        <v/>
      </c>
      <c r="H42" s="109"/>
      <c r="I42" s="305" t="str">
        <f>IFERROR(INDEX('G-7 WaterC'' Data'!$H$4:$L$8,MATCH(D42,'G-7 WaterC'' Data'!$B$4:$B$8,0),MATCH(H42,'G-7 WaterC'' Data'!$H$3:$L$3,0)),"")</f>
        <v/>
      </c>
      <c r="J42" s="718"/>
      <c r="K42" s="301" t="str">
        <f>IF(J42="","",IF(VLOOKUP(J42,'G-7 WaterC'' Data'!$AK$4:$AM$9,2,FALSE)=0,"Spatial Data Missing ⚠",VLOOKUP(J42,'G-7 WaterC'' Data'!$AK$4:$AM$6,2,FALSE)))</f>
        <v/>
      </c>
      <c r="L42" s="305" t="str">
        <f>IF(J42="","",IF(VLOOKUP(J42,'G-7 WaterC'' Data'!$AK$4:$AM$9,3,FALSE)=0,"Spatial Data Missing ⚠",VLOOKUP(J42,'G-7 WaterC'' Data'!$AK$4:$AM$6,3,FALSE)))</f>
        <v/>
      </c>
      <c r="M42" s="106"/>
      <c r="N42" s="282" t="str">
        <f>IF(M42="","",IF(AND(M42="N/A - Culvert",D42&lt;&gt;"Culvert"),"Not possible ▲",IF(AND(D42="Culvert",M42&lt;&gt;"N/A - Culvert"),"Not possible ▲",IF(VLOOKUP(M42,'G-7 WaterC'' Data'!$AA$4:$AB$7,2,FALSE)=0,"Spatial Data Missing ⚠",VLOOKUP(M42,'G-7 WaterC'' Data'!$AA$4:$AB$7,2,FALSE)))))</f>
        <v/>
      </c>
      <c r="O42" s="56"/>
      <c r="P42" s="282" t="str">
        <f>IF(O42="","",IF(AND(O42="N/A - Culvert",D42&lt;&gt;"Culvert"),"Not possible ▲",IF(AND(D42="Culvert",O42&lt;&gt;"N/A - Culvert"),"Not possible ▲",IF(VLOOKUP(O42,'G-7 WaterC'' Data'!$AD$4:$AE$14,2,FALSE)=0,"Spatial Data Missing ⚠",VLOOKUP(O42,'G-7 WaterC'' Data'!$AD$4:$AE$14,2,FALSE)))))</f>
        <v/>
      </c>
      <c r="Q42" s="288" t="str">
        <f>IF(D42="","",VLOOKUP(D42,'G-7 WaterC'' Data'!$B$4:$G$8,6,FALSE))</f>
        <v/>
      </c>
      <c r="R42" s="295" t="str">
        <f t="shared" si="1"/>
        <v xml:space="preserve"> </v>
      </c>
      <c r="S42" s="403"/>
      <c r="T42" s="287" t="str">
        <f>IF(S42="","",IF(VLOOKUP(S42,'G-7 WaterC'' Data'!$AO$4:$BO$7,2,FALSE)=0,"Spatial Data Missing ⚠",VLOOKUP(S42,'G-7 WaterC'' Data'!$AO$4:$BO$7,2,FALSE)))</f>
        <v/>
      </c>
      <c r="U42" s="295" t="str">
        <f t="shared" si="2"/>
        <v xml:space="preserve"> </v>
      </c>
      <c r="V42" s="710" t="str">
        <f t="shared" si="3"/>
        <v/>
      </c>
      <c r="W42" s="32"/>
      <c r="X42" s="105"/>
      <c r="Y42" s="112"/>
      <c r="Z42" s="293" t="str">
        <f t="shared" si="4"/>
        <v/>
      </c>
      <c r="AA42" s="293" t="str">
        <f t="shared" si="5"/>
        <v/>
      </c>
      <c r="AB42" s="293" t="str">
        <f t="shared" si="6"/>
        <v/>
      </c>
      <c r="AC42" s="507" t="str">
        <f>IFERROR(IF(OR(E42="",R42=""),"", IF(AND(AB42&lt;&gt;"",S42=""), "Spatial risk category missing ▲", IF(AND(Q42='G-7 WaterC'' Data'!$G$4,AD42="Yes"),"Alternative Compensation ✓", IF(AND(AD42="Pending", Q42='G-7 WaterC'' Data'!$G$4),"Bespoke compensation must be agreed ▲", IF((Z42+AA42)&gt;=U42,0, U42-Z42-AA42))))),"Check Data ⚠")</f>
        <v/>
      </c>
      <c r="AD42" s="403"/>
      <c r="AE42" s="109"/>
      <c r="AF42" s="108"/>
      <c r="AG42" s="108"/>
      <c r="AH42" s="108"/>
      <c r="AI42" s="54" t="str">
        <f>IF(OR(Q42="",AD42="Yes"),"",IF(Q42='G-1 All Habitats'!$X$9,E42-Y42-X42,"None"))</f>
        <v/>
      </c>
      <c r="AJ42" s="55" t="str">
        <f>IF(Q42="","", IF(Q42='G-1 All Habitats'!$X$9, AI42*G42*I42*L42*N42*P42,"None"))</f>
        <v/>
      </c>
      <c r="AK42" s="30" t="str">
        <f>IFERROR(INDEX('G-7 WaterC'' Data'!$AZ$3:$AZ$7,MATCH(D42,'G-7 WaterC'' Data'!$AY$3:$AY$7,0)),"")</f>
        <v/>
      </c>
      <c r="AL42" s="30">
        <f t="shared" si="7"/>
        <v>0</v>
      </c>
      <c r="AM42" s="111" t="str">
        <f t="shared" si="8"/>
        <v/>
      </c>
      <c r="AN42" s="111" t="str">
        <f t="shared" si="9"/>
        <v/>
      </c>
      <c r="AP42" s="111">
        <v>33</v>
      </c>
      <c r="AR42" s="111" t="str">
        <f t="array" ref="AR42">IFERROR(INDEX($AP$10:$AP$258, MATCH(0, IF(TRUE=$AM$10:$AM$258, COUNTIF($AR$9:$AR41, $AP$10:$AP$258), ""), 0)),"")</f>
        <v/>
      </c>
      <c r="AS42" s="111" t="str">
        <f t="array" ref="AS42">IFERROR(INDEX($AP$10:$AP$258, MATCH(0, IF(TRUE=$AN$10:$AN$258, COUNTIF($AS$9:$AS41, $AP$10:$AP$258), ""), 0)),"")</f>
        <v/>
      </c>
      <c r="AT42" s="903" t="str">
        <f>IF(AND(OR(AD42="Yes",AD42="Pending"),Q42='G-7 WaterC'' Data'!$G$4),U42-AA42-Z42,"0")</f>
        <v>0</v>
      </c>
      <c r="AU42" s="30" t="str">
        <f>IF(D42="","",VLOOKUP(D42,'G-7 WaterC'' Data'!B$4:M$8,12,FALSE))</f>
        <v/>
      </c>
      <c r="AV42" s="30" t="str">
        <f t="shared" si="0"/>
        <v/>
      </c>
      <c r="AW42" s="30" t="str">
        <f t="shared" si="10"/>
        <v>No</v>
      </c>
      <c r="BA42" s="571" t="str">
        <f t="shared" si="11"/>
        <v/>
      </c>
    </row>
    <row r="43" spans="3:53" ht="14.4" thickBot="1" x14ac:dyDescent="0.3">
      <c r="C43" s="101">
        <v>34</v>
      </c>
      <c r="D43" s="269"/>
      <c r="E43" s="108"/>
      <c r="F43" s="281" t="str">
        <f>IF(D43="","",VLOOKUP(D43,'G-7 WaterC'' Data'!$B$2:$G$8,2,FALSE))</f>
        <v/>
      </c>
      <c r="G43" s="320" t="str">
        <f>IFERROR(VLOOKUP(F43,'G-7 WaterC'' Data'!$C$4:$D$8,2,FALSE),"")</f>
        <v/>
      </c>
      <c r="H43" s="109"/>
      <c r="I43" s="305" t="str">
        <f>IFERROR(INDEX('G-7 WaterC'' Data'!$H$4:$L$8,MATCH(D43,'G-7 WaterC'' Data'!$B$4:$B$8,0),MATCH(H43,'G-7 WaterC'' Data'!$H$3:$L$3,0)),"")</f>
        <v/>
      </c>
      <c r="J43" s="718"/>
      <c r="K43" s="301" t="str">
        <f>IF(J43="","",IF(VLOOKUP(J43,'G-7 WaterC'' Data'!$AK$4:$AM$9,2,FALSE)=0,"Spatial Data Missing ⚠",VLOOKUP(J43,'G-7 WaterC'' Data'!$AK$4:$AM$6,2,FALSE)))</f>
        <v/>
      </c>
      <c r="L43" s="305" t="str">
        <f>IF(J43="","",IF(VLOOKUP(J43,'G-7 WaterC'' Data'!$AK$4:$AM$9,3,FALSE)=0,"Spatial Data Missing ⚠",VLOOKUP(J43,'G-7 WaterC'' Data'!$AK$4:$AM$6,3,FALSE)))</f>
        <v/>
      </c>
      <c r="M43" s="106"/>
      <c r="N43" s="282" t="str">
        <f>IF(M43="","",IF(AND(M43="N/A - Culvert",D43&lt;&gt;"Culvert"),"Not possible ▲",IF(AND(D43="Culvert",M43&lt;&gt;"N/A - Culvert"),"Not possible ▲",IF(VLOOKUP(M43,'G-7 WaterC'' Data'!$AA$4:$AB$7,2,FALSE)=0,"Spatial Data Missing ⚠",VLOOKUP(M43,'G-7 WaterC'' Data'!$AA$4:$AB$7,2,FALSE)))))</f>
        <v/>
      </c>
      <c r="O43" s="56"/>
      <c r="P43" s="282" t="str">
        <f>IF(O43="","",IF(AND(O43="N/A - Culvert",D43&lt;&gt;"Culvert"),"Not possible ▲",IF(AND(D43="Culvert",O43&lt;&gt;"N/A - Culvert"),"Not possible ▲",IF(VLOOKUP(O43,'G-7 WaterC'' Data'!$AD$4:$AE$14,2,FALSE)=0,"Spatial Data Missing ⚠",VLOOKUP(O43,'G-7 WaterC'' Data'!$AD$4:$AE$14,2,FALSE)))))</f>
        <v/>
      </c>
      <c r="Q43" s="288" t="str">
        <f>IF(D43="","",VLOOKUP(D43,'G-7 WaterC'' Data'!$B$4:$G$8,6,FALSE))</f>
        <v/>
      </c>
      <c r="R43" s="295" t="str">
        <f t="shared" si="1"/>
        <v xml:space="preserve"> </v>
      </c>
      <c r="S43" s="403"/>
      <c r="T43" s="287" t="str">
        <f>IF(S43="","",IF(VLOOKUP(S43,'G-7 WaterC'' Data'!$AO$4:$BO$7,2,FALSE)=0,"Spatial Data Missing ⚠",VLOOKUP(S43,'G-7 WaterC'' Data'!$AO$4:$BO$7,2,FALSE)))</f>
        <v/>
      </c>
      <c r="U43" s="295" t="str">
        <f t="shared" si="2"/>
        <v xml:space="preserve"> </v>
      </c>
      <c r="V43" s="710" t="str">
        <f t="shared" si="3"/>
        <v/>
      </c>
      <c r="W43" s="32"/>
      <c r="X43" s="105"/>
      <c r="Y43" s="112"/>
      <c r="Z43" s="293" t="str">
        <f t="shared" si="4"/>
        <v/>
      </c>
      <c r="AA43" s="293" t="str">
        <f t="shared" si="5"/>
        <v/>
      </c>
      <c r="AB43" s="293" t="str">
        <f t="shared" si="6"/>
        <v/>
      </c>
      <c r="AC43" s="507" t="str">
        <f>IFERROR(IF(OR(E43="",R43=""),"", IF(AND(AB43&lt;&gt;"",S43=""), "Spatial risk category missing ▲", IF(AND(Q43='G-7 WaterC'' Data'!$G$4,AD43="Yes"),"Alternative Compensation ✓", IF(AND(AD43="Pending", Q43='G-7 WaterC'' Data'!$G$4),"Bespoke compensation must be agreed ▲", IF((Z43+AA43)&gt;=U43,0, U43-Z43-AA43))))),"Check Data ⚠")</f>
        <v/>
      </c>
      <c r="AD43" s="403"/>
      <c r="AE43" s="109"/>
      <c r="AF43" s="108"/>
      <c r="AG43" s="108"/>
      <c r="AH43" s="108"/>
      <c r="AI43" s="54" t="str">
        <f>IF(OR(Q43="",AD43="Yes"),"",IF(Q43='G-1 All Habitats'!$X$9,E43-Y43-X43,"None"))</f>
        <v/>
      </c>
      <c r="AJ43" s="55" t="str">
        <f>IF(Q43="","", IF(Q43='G-1 All Habitats'!$X$9, AI43*G43*I43*L43*N43*P43,"None"))</f>
        <v/>
      </c>
      <c r="AK43" s="30" t="str">
        <f>IFERROR(INDEX('G-7 WaterC'' Data'!$AZ$3:$AZ$7,MATCH(D43,'G-7 WaterC'' Data'!$AY$3:$AY$7,0)),"")</f>
        <v/>
      </c>
      <c r="AL43" s="30">
        <f t="shared" si="7"/>
        <v>0</v>
      </c>
      <c r="AM43" s="111" t="str">
        <f t="shared" si="8"/>
        <v/>
      </c>
      <c r="AN43" s="111" t="str">
        <f t="shared" si="9"/>
        <v/>
      </c>
      <c r="AP43" s="111">
        <v>34</v>
      </c>
      <c r="AR43" s="111" t="str">
        <f t="array" ref="AR43">IFERROR(INDEX($AP$10:$AP$258, MATCH(0, IF(TRUE=$AM$10:$AM$258, COUNTIF($AR$9:$AR42, $AP$10:$AP$258), ""), 0)),"")</f>
        <v/>
      </c>
      <c r="AS43" s="111" t="str">
        <f t="array" ref="AS43">IFERROR(INDEX($AP$10:$AP$258, MATCH(0, IF(TRUE=$AN$10:$AN$258, COUNTIF($AS$9:$AS42, $AP$10:$AP$258), ""), 0)),"")</f>
        <v/>
      </c>
      <c r="AT43" s="903" t="str">
        <f>IF(AND(OR(AD43="Yes",AD43="Pending"),Q43='G-7 WaterC'' Data'!$G$4),U43-AA43-Z43,"0")</f>
        <v>0</v>
      </c>
      <c r="AU43" s="30" t="str">
        <f>IF(D43="","",VLOOKUP(D43,'G-7 WaterC'' Data'!B$4:M$8,12,FALSE))</f>
        <v/>
      </c>
      <c r="AV43" s="30" t="str">
        <f t="shared" si="0"/>
        <v/>
      </c>
      <c r="AW43" s="30" t="str">
        <f t="shared" si="10"/>
        <v>No</v>
      </c>
      <c r="BA43" s="571" t="str">
        <f t="shared" si="11"/>
        <v/>
      </c>
    </row>
    <row r="44" spans="3:53" ht="14.4" thickBot="1" x14ac:dyDescent="0.3">
      <c r="C44" s="101">
        <v>35</v>
      </c>
      <c r="D44" s="269"/>
      <c r="E44" s="108"/>
      <c r="F44" s="281" t="str">
        <f>IF(D44="","",VLOOKUP(D44,'G-7 WaterC'' Data'!$B$2:$G$8,2,FALSE))</f>
        <v/>
      </c>
      <c r="G44" s="320" t="str">
        <f>IFERROR(VLOOKUP(F44,'G-7 WaterC'' Data'!$C$4:$D$8,2,FALSE),"")</f>
        <v/>
      </c>
      <c r="H44" s="109"/>
      <c r="I44" s="305" t="str">
        <f>IFERROR(INDEX('G-7 WaterC'' Data'!$H$4:$L$8,MATCH(D44,'G-7 WaterC'' Data'!$B$4:$B$8,0),MATCH(H44,'G-7 WaterC'' Data'!$H$3:$L$3,0)),"")</f>
        <v/>
      </c>
      <c r="J44" s="718"/>
      <c r="K44" s="301" t="str">
        <f>IF(J44="","",IF(VLOOKUP(J44,'G-7 WaterC'' Data'!$AK$4:$AM$9,2,FALSE)=0,"Spatial Data Missing ⚠",VLOOKUP(J44,'G-7 WaterC'' Data'!$AK$4:$AM$6,2,FALSE)))</f>
        <v/>
      </c>
      <c r="L44" s="305" t="str">
        <f>IF(J44="","",IF(VLOOKUP(J44,'G-7 WaterC'' Data'!$AK$4:$AM$9,3,FALSE)=0,"Spatial Data Missing ⚠",VLOOKUP(J44,'G-7 WaterC'' Data'!$AK$4:$AM$6,3,FALSE)))</f>
        <v/>
      </c>
      <c r="M44" s="106"/>
      <c r="N44" s="282" t="str">
        <f>IF(M44="","",IF(AND(M44="N/A - Culvert",D44&lt;&gt;"Culvert"),"Not possible ▲",IF(AND(D44="Culvert",M44&lt;&gt;"N/A - Culvert"),"Not possible ▲",IF(VLOOKUP(M44,'G-7 WaterC'' Data'!$AA$4:$AB$7,2,FALSE)=0,"Spatial Data Missing ⚠",VLOOKUP(M44,'G-7 WaterC'' Data'!$AA$4:$AB$7,2,FALSE)))))</f>
        <v/>
      </c>
      <c r="O44" s="56"/>
      <c r="P44" s="282" t="str">
        <f>IF(O44="","",IF(AND(O44="N/A - Culvert",D44&lt;&gt;"Culvert"),"Not possible ▲",IF(AND(D44="Culvert",O44&lt;&gt;"N/A - Culvert"),"Not possible ▲",IF(VLOOKUP(O44,'G-7 WaterC'' Data'!$AD$4:$AE$14,2,FALSE)=0,"Spatial Data Missing ⚠",VLOOKUP(O44,'G-7 WaterC'' Data'!$AD$4:$AE$14,2,FALSE)))))</f>
        <v/>
      </c>
      <c r="Q44" s="288" t="str">
        <f>IF(D44="","",VLOOKUP(D44,'G-7 WaterC'' Data'!$B$4:$G$8,6,FALSE))</f>
        <v/>
      </c>
      <c r="R44" s="295" t="str">
        <f t="shared" si="1"/>
        <v xml:space="preserve"> </v>
      </c>
      <c r="S44" s="403"/>
      <c r="T44" s="287" t="str">
        <f>IF(S44="","",IF(VLOOKUP(S44,'G-7 WaterC'' Data'!$AO$4:$BO$7,2,FALSE)=0,"Spatial Data Missing ⚠",VLOOKUP(S44,'G-7 WaterC'' Data'!$AO$4:$BO$7,2,FALSE)))</f>
        <v/>
      </c>
      <c r="U44" s="295" t="str">
        <f t="shared" si="2"/>
        <v xml:space="preserve"> </v>
      </c>
      <c r="V44" s="710" t="str">
        <f t="shared" si="3"/>
        <v/>
      </c>
      <c r="W44" s="32"/>
      <c r="X44" s="105"/>
      <c r="Y44" s="112"/>
      <c r="Z44" s="293" t="str">
        <f t="shared" si="4"/>
        <v/>
      </c>
      <c r="AA44" s="293" t="str">
        <f t="shared" si="5"/>
        <v/>
      </c>
      <c r="AB44" s="293" t="str">
        <f t="shared" si="6"/>
        <v/>
      </c>
      <c r="AC44" s="507" t="str">
        <f>IFERROR(IF(OR(E44="",R44=""),"", IF(AND(AB44&lt;&gt;"",S44=""), "Spatial risk category missing ▲", IF(AND(Q44='G-7 WaterC'' Data'!$G$4,AD44="Yes"),"Alternative Compensation ✓", IF(AND(AD44="Pending", Q44='G-7 WaterC'' Data'!$G$4),"Bespoke compensation must be agreed ▲", IF((Z44+AA44)&gt;=U44,0, U44-Z44-AA44))))),"Check Data ⚠")</f>
        <v/>
      </c>
      <c r="AD44" s="403"/>
      <c r="AE44" s="109"/>
      <c r="AF44" s="108"/>
      <c r="AG44" s="108"/>
      <c r="AH44" s="108"/>
      <c r="AI44" s="54" t="str">
        <f>IF(OR(Q44="",AD44="Yes"),"",IF(Q44='G-1 All Habitats'!$X$9,E44-Y44-X44,"None"))</f>
        <v/>
      </c>
      <c r="AJ44" s="55" t="str">
        <f>IF(Q44="","", IF(Q44='G-1 All Habitats'!$X$9, AI44*G44*I44*L44*N44*P44,"None"))</f>
        <v/>
      </c>
      <c r="AK44" s="30" t="str">
        <f>IFERROR(INDEX('G-7 WaterC'' Data'!$AZ$3:$AZ$7,MATCH(D44,'G-7 WaterC'' Data'!$AY$3:$AY$7,0)),"")</f>
        <v/>
      </c>
      <c r="AL44" s="30">
        <f t="shared" si="7"/>
        <v>0</v>
      </c>
      <c r="AM44" s="111" t="str">
        <f t="shared" si="8"/>
        <v/>
      </c>
      <c r="AN44" s="111" t="str">
        <f t="shared" si="9"/>
        <v/>
      </c>
      <c r="AP44" s="111">
        <v>35</v>
      </c>
      <c r="AR44" s="111" t="str">
        <f t="array" ref="AR44">IFERROR(INDEX($AP$10:$AP$258, MATCH(0, IF(TRUE=$AM$10:$AM$258, COUNTIF($AR$9:$AR43, $AP$10:$AP$258), ""), 0)),"")</f>
        <v/>
      </c>
      <c r="AS44" s="111" t="str">
        <f t="array" ref="AS44">IFERROR(INDEX($AP$10:$AP$258, MATCH(0, IF(TRUE=$AN$10:$AN$258, COUNTIF($AS$9:$AS43, $AP$10:$AP$258), ""), 0)),"")</f>
        <v/>
      </c>
      <c r="AT44" s="903" t="str">
        <f>IF(AND(OR(AD44="Yes",AD44="Pending"),Q44='G-7 WaterC'' Data'!$G$4),U44-AA44-Z44,"0")</f>
        <v>0</v>
      </c>
      <c r="AU44" s="30" t="str">
        <f>IF(D44="","",VLOOKUP(D44,'G-7 WaterC'' Data'!B$4:M$8,12,FALSE))</f>
        <v/>
      </c>
      <c r="AV44" s="30" t="str">
        <f t="shared" si="0"/>
        <v/>
      </c>
      <c r="AW44" s="30" t="str">
        <f t="shared" si="10"/>
        <v>No</v>
      </c>
      <c r="BA44" s="571" t="str">
        <f t="shared" si="11"/>
        <v/>
      </c>
    </row>
    <row r="45" spans="3:53" ht="14.4" thickBot="1" x14ac:dyDescent="0.3">
      <c r="C45" s="101">
        <v>36</v>
      </c>
      <c r="D45" s="269"/>
      <c r="E45" s="108"/>
      <c r="F45" s="281" t="str">
        <f>IF(D45="","",VLOOKUP(D45,'G-7 WaterC'' Data'!$B$2:$G$8,2,FALSE))</f>
        <v/>
      </c>
      <c r="G45" s="320" t="str">
        <f>IFERROR(VLOOKUP(F45,'G-7 WaterC'' Data'!$C$4:$D$8,2,FALSE),"")</f>
        <v/>
      </c>
      <c r="H45" s="109"/>
      <c r="I45" s="305" t="str">
        <f>IFERROR(INDEX('G-7 WaterC'' Data'!$H$4:$L$8,MATCH(D45,'G-7 WaterC'' Data'!$B$4:$B$8,0),MATCH(H45,'G-7 WaterC'' Data'!$H$3:$L$3,0)),"")</f>
        <v/>
      </c>
      <c r="J45" s="718"/>
      <c r="K45" s="301" t="str">
        <f>IF(J45="","",IF(VLOOKUP(J45,'G-7 WaterC'' Data'!$AK$4:$AM$9,2,FALSE)=0,"Spatial Data Missing ⚠",VLOOKUP(J45,'G-7 WaterC'' Data'!$AK$4:$AM$6,2,FALSE)))</f>
        <v/>
      </c>
      <c r="L45" s="305" t="str">
        <f>IF(J45="","",IF(VLOOKUP(J45,'G-7 WaterC'' Data'!$AK$4:$AM$9,3,FALSE)=0,"Spatial Data Missing ⚠",VLOOKUP(J45,'G-7 WaterC'' Data'!$AK$4:$AM$6,3,FALSE)))</f>
        <v/>
      </c>
      <c r="M45" s="106"/>
      <c r="N45" s="282" t="str">
        <f>IF(M45="","",IF(AND(M45="N/A - Culvert",D45&lt;&gt;"Culvert"),"Not possible ▲",IF(AND(D45="Culvert",M45&lt;&gt;"N/A - Culvert"),"Not possible ▲",IF(VLOOKUP(M45,'G-7 WaterC'' Data'!$AA$4:$AB$7,2,FALSE)=0,"Spatial Data Missing ⚠",VLOOKUP(M45,'G-7 WaterC'' Data'!$AA$4:$AB$7,2,FALSE)))))</f>
        <v/>
      </c>
      <c r="O45" s="56"/>
      <c r="P45" s="282" t="str">
        <f>IF(O45="","",IF(AND(O45="N/A - Culvert",D45&lt;&gt;"Culvert"),"Not possible ▲",IF(AND(D45="Culvert",O45&lt;&gt;"N/A - Culvert"),"Not possible ▲",IF(VLOOKUP(O45,'G-7 WaterC'' Data'!$AD$4:$AE$14,2,FALSE)=0,"Spatial Data Missing ⚠",VLOOKUP(O45,'G-7 WaterC'' Data'!$AD$4:$AE$14,2,FALSE)))))</f>
        <v/>
      </c>
      <c r="Q45" s="288" t="str">
        <f>IF(D45="","",VLOOKUP(D45,'G-7 WaterC'' Data'!$B$4:$G$8,6,FALSE))</f>
        <v/>
      </c>
      <c r="R45" s="295" t="str">
        <f t="shared" si="1"/>
        <v xml:space="preserve"> </v>
      </c>
      <c r="S45" s="403"/>
      <c r="T45" s="287" t="str">
        <f>IF(S45="","",IF(VLOOKUP(S45,'G-7 WaterC'' Data'!$AO$4:$BO$7,2,FALSE)=0,"Spatial Data Missing ⚠",VLOOKUP(S45,'G-7 WaterC'' Data'!$AO$4:$BO$7,2,FALSE)))</f>
        <v/>
      </c>
      <c r="U45" s="295" t="str">
        <f t="shared" si="2"/>
        <v xml:space="preserve"> </v>
      </c>
      <c r="V45" s="710" t="str">
        <f t="shared" si="3"/>
        <v/>
      </c>
      <c r="W45" s="32"/>
      <c r="X45" s="105"/>
      <c r="Y45" s="112"/>
      <c r="Z45" s="293" t="str">
        <f t="shared" si="4"/>
        <v/>
      </c>
      <c r="AA45" s="293" t="str">
        <f t="shared" si="5"/>
        <v/>
      </c>
      <c r="AB45" s="293" t="str">
        <f t="shared" si="6"/>
        <v/>
      </c>
      <c r="AC45" s="507" t="str">
        <f>IFERROR(IF(OR(E45="",R45=""),"", IF(AND(AB45&lt;&gt;"",S45=""), "Spatial risk category missing ▲", IF(AND(Q45='G-7 WaterC'' Data'!$G$4,AD45="Yes"),"Alternative Compensation ✓", IF(AND(AD45="Pending", Q45='G-7 WaterC'' Data'!$G$4),"Bespoke compensation must be agreed ▲", IF((Z45+AA45)&gt;=U45,0, U45-Z45-AA45))))),"Check Data ⚠")</f>
        <v/>
      </c>
      <c r="AD45" s="403"/>
      <c r="AE45" s="109"/>
      <c r="AF45" s="108"/>
      <c r="AG45" s="108"/>
      <c r="AH45" s="108"/>
      <c r="AI45" s="54" t="str">
        <f>IF(OR(Q45="",AD45="Yes"),"",IF(Q45='G-1 All Habitats'!$X$9,E45-Y45-X45,"None"))</f>
        <v/>
      </c>
      <c r="AJ45" s="55" t="str">
        <f>IF(Q45="","", IF(Q45='G-1 All Habitats'!$X$9, AI45*G45*I45*L45*N45*P45,"None"))</f>
        <v/>
      </c>
      <c r="AK45" s="30" t="str">
        <f>IFERROR(INDEX('G-7 WaterC'' Data'!$AZ$3:$AZ$7,MATCH(D45,'G-7 WaterC'' Data'!$AY$3:$AY$7,0)),"")</f>
        <v/>
      </c>
      <c r="AL45" s="30">
        <f t="shared" si="7"/>
        <v>0</v>
      </c>
      <c r="AM45" s="111" t="str">
        <f t="shared" si="8"/>
        <v/>
      </c>
      <c r="AN45" s="111" t="str">
        <f t="shared" si="9"/>
        <v/>
      </c>
      <c r="AP45" s="111">
        <v>36</v>
      </c>
      <c r="AR45" s="111" t="str">
        <f t="array" ref="AR45">IFERROR(INDEX($AP$10:$AP$258, MATCH(0, IF(TRUE=$AM$10:$AM$258, COUNTIF($AR$9:$AR44, $AP$10:$AP$258), ""), 0)),"")</f>
        <v/>
      </c>
      <c r="AS45" s="111" t="str">
        <f t="array" ref="AS45">IFERROR(INDEX($AP$10:$AP$258, MATCH(0, IF(TRUE=$AN$10:$AN$258, COUNTIF($AS$9:$AS44, $AP$10:$AP$258), ""), 0)),"")</f>
        <v/>
      </c>
      <c r="AT45" s="903" t="str">
        <f>IF(AND(OR(AD45="Yes",AD45="Pending"),Q45='G-7 WaterC'' Data'!$G$4),U45-AA45-Z45,"0")</f>
        <v>0</v>
      </c>
      <c r="AU45" s="30" t="str">
        <f>IF(D45="","",VLOOKUP(D45,'G-7 WaterC'' Data'!B$4:M$8,12,FALSE))</f>
        <v/>
      </c>
      <c r="AV45" s="30" t="str">
        <f t="shared" si="0"/>
        <v/>
      </c>
      <c r="AW45" s="30" t="str">
        <f t="shared" si="10"/>
        <v>No</v>
      </c>
      <c r="BA45" s="571" t="str">
        <f t="shared" si="11"/>
        <v/>
      </c>
    </row>
    <row r="46" spans="3:53" ht="14.4" thickBot="1" x14ac:dyDescent="0.3">
      <c r="C46" s="101">
        <v>37</v>
      </c>
      <c r="D46" s="269"/>
      <c r="E46" s="108"/>
      <c r="F46" s="281" t="str">
        <f>IF(D46="","",VLOOKUP(D46,'G-7 WaterC'' Data'!$B$2:$G$8,2,FALSE))</f>
        <v/>
      </c>
      <c r="G46" s="320" t="str">
        <f>IFERROR(VLOOKUP(F46,'G-7 WaterC'' Data'!$C$4:$D$8,2,FALSE),"")</f>
        <v/>
      </c>
      <c r="H46" s="109"/>
      <c r="I46" s="305" t="str">
        <f>IFERROR(INDEX('G-7 WaterC'' Data'!$H$4:$L$8,MATCH(D46,'G-7 WaterC'' Data'!$B$4:$B$8,0),MATCH(H46,'G-7 WaterC'' Data'!$H$3:$L$3,0)),"")</f>
        <v/>
      </c>
      <c r="J46" s="718"/>
      <c r="K46" s="301" t="str">
        <f>IF(J46="","",IF(VLOOKUP(J46,'G-7 WaterC'' Data'!$AK$4:$AM$9,2,FALSE)=0,"Spatial Data Missing ⚠",VLOOKUP(J46,'G-7 WaterC'' Data'!$AK$4:$AM$6,2,FALSE)))</f>
        <v/>
      </c>
      <c r="L46" s="305" t="str">
        <f>IF(J46="","",IF(VLOOKUP(J46,'G-7 WaterC'' Data'!$AK$4:$AM$9,3,FALSE)=0,"Spatial Data Missing ⚠",VLOOKUP(J46,'G-7 WaterC'' Data'!$AK$4:$AM$6,3,FALSE)))</f>
        <v/>
      </c>
      <c r="M46" s="106"/>
      <c r="N46" s="282" t="str">
        <f>IF(M46="","",IF(AND(M46="N/A - Culvert",D46&lt;&gt;"Culvert"),"Not possible ▲",IF(AND(D46="Culvert",M46&lt;&gt;"N/A - Culvert"),"Not possible ▲",IF(VLOOKUP(M46,'G-7 WaterC'' Data'!$AA$4:$AB$7,2,FALSE)=0,"Spatial Data Missing ⚠",VLOOKUP(M46,'G-7 WaterC'' Data'!$AA$4:$AB$7,2,FALSE)))))</f>
        <v/>
      </c>
      <c r="O46" s="56"/>
      <c r="P46" s="282" t="str">
        <f>IF(O46="","",IF(AND(O46="N/A - Culvert",D46&lt;&gt;"Culvert"),"Not possible ▲",IF(AND(D46="Culvert",O46&lt;&gt;"N/A - Culvert"),"Not possible ▲",IF(VLOOKUP(O46,'G-7 WaterC'' Data'!$AD$4:$AE$14,2,FALSE)=0,"Spatial Data Missing ⚠",VLOOKUP(O46,'G-7 WaterC'' Data'!$AD$4:$AE$14,2,FALSE)))))</f>
        <v/>
      </c>
      <c r="Q46" s="288" t="str">
        <f>IF(D46="","",VLOOKUP(D46,'G-7 WaterC'' Data'!$B$4:$G$8,6,FALSE))</f>
        <v/>
      </c>
      <c r="R46" s="295" t="str">
        <f t="shared" si="1"/>
        <v xml:space="preserve"> </v>
      </c>
      <c r="S46" s="403"/>
      <c r="T46" s="287" t="str">
        <f>IF(S46="","",IF(VLOOKUP(S46,'G-7 WaterC'' Data'!$AO$4:$BO$7,2,FALSE)=0,"Spatial Data Missing ⚠",VLOOKUP(S46,'G-7 WaterC'' Data'!$AO$4:$BO$7,2,FALSE)))</f>
        <v/>
      </c>
      <c r="U46" s="295" t="str">
        <f t="shared" si="2"/>
        <v xml:space="preserve"> </v>
      </c>
      <c r="V46" s="710" t="str">
        <f t="shared" si="3"/>
        <v/>
      </c>
      <c r="W46" s="32"/>
      <c r="X46" s="105"/>
      <c r="Y46" s="112"/>
      <c r="Z46" s="293" t="str">
        <f t="shared" si="4"/>
        <v/>
      </c>
      <c r="AA46" s="293" t="str">
        <f t="shared" si="5"/>
        <v/>
      </c>
      <c r="AB46" s="293" t="str">
        <f t="shared" si="6"/>
        <v/>
      </c>
      <c r="AC46" s="507" t="str">
        <f>IFERROR(IF(OR(E46="",R46=""),"", IF(AND(AB46&lt;&gt;"",S46=""), "Spatial risk category missing ▲", IF(AND(Q46='G-7 WaterC'' Data'!$G$4,AD46="Yes"),"Alternative Compensation ✓", IF(AND(AD46="Pending", Q46='G-7 WaterC'' Data'!$G$4),"Bespoke compensation must be agreed ▲", IF((Z46+AA46)&gt;=U46,0, U46-Z46-AA46))))),"Check Data ⚠")</f>
        <v/>
      </c>
      <c r="AD46" s="403"/>
      <c r="AE46" s="109"/>
      <c r="AF46" s="108"/>
      <c r="AG46" s="108"/>
      <c r="AH46" s="108"/>
      <c r="AI46" s="54" t="str">
        <f>IF(OR(Q46="",AD46="Yes"),"",IF(Q46='G-1 All Habitats'!$X$9,E46-Y46-X46,"None"))</f>
        <v/>
      </c>
      <c r="AJ46" s="55" t="str">
        <f>IF(Q46="","", IF(Q46='G-1 All Habitats'!$X$9, AI46*G46*I46*L46*N46*P46,"None"))</f>
        <v/>
      </c>
      <c r="AK46" s="30" t="str">
        <f>IFERROR(INDEX('G-7 WaterC'' Data'!$AZ$3:$AZ$7,MATCH(D46,'G-7 WaterC'' Data'!$AY$3:$AY$7,0)),"")</f>
        <v/>
      </c>
      <c r="AL46" s="30">
        <f t="shared" si="7"/>
        <v>0</v>
      </c>
      <c r="AM46" s="111" t="str">
        <f t="shared" si="8"/>
        <v/>
      </c>
      <c r="AN46" s="111" t="str">
        <f t="shared" si="9"/>
        <v/>
      </c>
      <c r="AP46" s="111">
        <v>37</v>
      </c>
      <c r="AR46" s="111" t="str">
        <f t="array" ref="AR46">IFERROR(INDEX($AP$10:$AP$258, MATCH(0, IF(TRUE=$AM$10:$AM$258, COUNTIF($AR$9:$AR45, $AP$10:$AP$258), ""), 0)),"")</f>
        <v/>
      </c>
      <c r="AS46" s="111" t="str">
        <f t="array" ref="AS46">IFERROR(INDEX($AP$10:$AP$258, MATCH(0, IF(TRUE=$AN$10:$AN$258, COUNTIF($AS$9:$AS45, $AP$10:$AP$258), ""), 0)),"")</f>
        <v/>
      </c>
      <c r="AT46" s="903" t="str">
        <f>IF(AND(OR(AD46="Yes",AD46="Pending"),Q46='G-7 WaterC'' Data'!$G$4),U46-AA46-Z46,"0")</f>
        <v>0</v>
      </c>
      <c r="AU46" s="30" t="str">
        <f>IF(D46="","",VLOOKUP(D46,'G-7 WaterC'' Data'!B$4:M$8,12,FALSE))</f>
        <v/>
      </c>
      <c r="AV46" s="30" t="str">
        <f t="shared" si="0"/>
        <v/>
      </c>
      <c r="AW46" s="30" t="str">
        <f t="shared" si="10"/>
        <v>No</v>
      </c>
      <c r="BA46" s="571" t="str">
        <f t="shared" si="11"/>
        <v/>
      </c>
    </row>
    <row r="47" spans="3:53" ht="14.4" thickBot="1" x14ac:dyDescent="0.3">
      <c r="C47" s="101">
        <v>38</v>
      </c>
      <c r="D47" s="269"/>
      <c r="E47" s="108"/>
      <c r="F47" s="281" t="str">
        <f>IF(D47="","",VLOOKUP(D47,'G-7 WaterC'' Data'!$B$2:$G$8,2,FALSE))</f>
        <v/>
      </c>
      <c r="G47" s="320" t="str">
        <f>IFERROR(VLOOKUP(F47,'G-7 WaterC'' Data'!$C$4:$D$8,2,FALSE),"")</f>
        <v/>
      </c>
      <c r="H47" s="109"/>
      <c r="I47" s="305" t="str">
        <f>IFERROR(INDEX('G-7 WaterC'' Data'!$H$4:$L$8,MATCH(D47,'G-7 WaterC'' Data'!$B$4:$B$8,0),MATCH(H47,'G-7 WaterC'' Data'!$H$3:$L$3,0)),"")</f>
        <v/>
      </c>
      <c r="J47" s="718"/>
      <c r="K47" s="301" t="str">
        <f>IF(J47="","",IF(VLOOKUP(J47,'G-7 WaterC'' Data'!$AK$4:$AM$9,2,FALSE)=0,"Spatial Data Missing ⚠",VLOOKUP(J47,'G-7 WaterC'' Data'!$AK$4:$AM$6,2,FALSE)))</f>
        <v/>
      </c>
      <c r="L47" s="305" t="str">
        <f>IF(J47="","",IF(VLOOKUP(J47,'G-7 WaterC'' Data'!$AK$4:$AM$9,3,FALSE)=0,"Spatial Data Missing ⚠",VLOOKUP(J47,'G-7 WaterC'' Data'!$AK$4:$AM$6,3,FALSE)))</f>
        <v/>
      </c>
      <c r="M47" s="106"/>
      <c r="N47" s="282" t="str">
        <f>IF(M47="","",IF(AND(M47="N/A - Culvert",D47&lt;&gt;"Culvert"),"Not possible ▲",IF(AND(D47="Culvert",M47&lt;&gt;"N/A - Culvert"),"Not possible ▲",IF(VLOOKUP(M47,'G-7 WaterC'' Data'!$AA$4:$AB$7,2,FALSE)=0,"Spatial Data Missing ⚠",VLOOKUP(M47,'G-7 WaterC'' Data'!$AA$4:$AB$7,2,FALSE)))))</f>
        <v/>
      </c>
      <c r="O47" s="56"/>
      <c r="P47" s="282" t="str">
        <f>IF(O47="","",IF(AND(O47="N/A - Culvert",D47&lt;&gt;"Culvert"),"Not possible ▲",IF(AND(D47="Culvert",O47&lt;&gt;"N/A - Culvert"),"Not possible ▲",IF(VLOOKUP(O47,'G-7 WaterC'' Data'!$AD$4:$AE$14,2,FALSE)=0,"Spatial Data Missing ⚠",VLOOKUP(O47,'G-7 WaterC'' Data'!$AD$4:$AE$14,2,FALSE)))))</f>
        <v/>
      </c>
      <c r="Q47" s="288" t="str">
        <f>IF(D47="","",VLOOKUP(D47,'G-7 WaterC'' Data'!$B$4:$G$8,6,FALSE))</f>
        <v/>
      </c>
      <c r="R47" s="295" t="str">
        <f t="shared" si="1"/>
        <v xml:space="preserve"> </v>
      </c>
      <c r="S47" s="403"/>
      <c r="T47" s="287" t="str">
        <f>IF(S47="","",IF(VLOOKUP(S47,'G-7 WaterC'' Data'!$AO$4:$BO$7,2,FALSE)=0,"Spatial Data Missing ⚠",VLOOKUP(S47,'G-7 WaterC'' Data'!$AO$4:$BO$7,2,FALSE)))</f>
        <v/>
      </c>
      <c r="U47" s="295" t="str">
        <f t="shared" si="2"/>
        <v xml:space="preserve"> </v>
      </c>
      <c r="V47" s="710" t="str">
        <f t="shared" si="3"/>
        <v/>
      </c>
      <c r="W47" s="32"/>
      <c r="X47" s="105"/>
      <c r="Y47" s="112"/>
      <c r="Z47" s="293" t="str">
        <f t="shared" si="4"/>
        <v/>
      </c>
      <c r="AA47" s="293" t="str">
        <f t="shared" si="5"/>
        <v/>
      </c>
      <c r="AB47" s="293" t="str">
        <f t="shared" si="6"/>
        <v/>
      </c>
      <c r="AC47" s="507" t="str">
        <f>IFERROR(IF(OR(E47="",R47=""),"", IF(AND(AB47&lt;&gt;"",S47=""), "Spatial risk category missing ▲", IF(AND(Q47='G-7 WaterC'' Data'!$G$4,AD47="Yes"),"Alternative Compensation ✓", IF(AND(AD47="Pending", Q47='G-7 WaterC'' Data'!$G$4),"Bespoke compensation must be agreed ▲", IF((Z47+AA47)&gt;=U47,0, U47-Z47-AA47))))),"Check Data ⚠")</f>
        <v/>
      </c>
      <c r="AD47" s="403"/>
      <c r="AE47" s="109"/>
      <c r="AF47" s="108"/>
      <c r="AG47" s="108"/>
      <c r="AH47" s="108"/>
      <c r="AI47" s="54" t="str">
        <f>IF(OR(Q47="",AD47="Yes"),"",IF(Q47='G-1 All Habitats'!$X$9,E47-Y47-X47,"None"))</f>
        <v/>
      </c>
      <c r="AJ47" s="55" t="str">
        <f>IF(Q47="","", IF(Q47='G-1 All Habitats'!$X$9, AI47*G47*I47*L47*N47*P47,"None"))</f>
        <v/>
      </c>
      <c r="AK47" s="30" t="str">
        <f>IFERROR(INDEX('G-7 WaterC'' Data'!$AZ$3:$AZ$7,MATCH(D47,'G-7 WaterC'' Data'!$AY$3:$AY$7,0)),"")</f>
        <v/>
      </c>
      <c r="AL47" s="30">
        <f t="shared" si="7"/>
        <v>0</v>
      </c>
      <c r="AM47" s="111" t="str">
        <f t="shared" si="8"/>
        <v/>
      </c>
      <c r="AN47" s="111" t="str">
        <f t="shared" si="9"/>
        <v/>
      </c>
      <c r="AP47" s="111">
        <v>38</v>
      </c>
      <c r="AR47" s="111" t="str">
        <f t="array" ref="AR47">IFERROR(INDEX($AP$10:$AP$258, MATCH(0, IF(TRUE=$AM$10:$AM$258, COUNTIF($AR$9:$AR46, $AP$10:$AP$258), ""), 0)),"")</f>
        <v/>
      </c>
      <c r="AS47" s="111" t="str">
        <f t="array" ref="AS47">IFERROR(INDEX($AP$10:$AP$258, MATCH(0, IF(TRUE=$AN$10:$AN$258, COUNTIF($AS$9:$AS46, $AP$10:$AP$258), ""), 0)),"")</f>
        <v/>
      </c>
      <c r="AT47" s="903" t="str">
        <f>IF(AND(OR(AD47="Yes",AD47="Pending"),Q47='G-7 WaterC'' Data'!$G$4),U47-AA47-Z47,"0")</f>
        <v>0</v>
      </c>
      <c r="AU47" s="30" t="str">
        <f>IF(D47="","",VLOOKUP(D47,'G-7 WaterC'' Data'!B$4:M$8,12,FALSE))</f>
        <v/>
      </c>
      <c r="AV47" s="30" t="str">
        <f t="shared" si="0"/>
        <v/>
      </c>
      <c r="AW47" s="30" t="str">
        <f t="shared" si="10"/>
        <v>No</v>
      </c>
      <c r="BA47" s="571" t="str">
        <f t="shared" si="11"/>
        <v/>
      </c>
    </row>
    <row r="48" spans="3:53" ht="14.4" thickBot="1" x14ac:dyDescent="0.3">
      <c r="C48" s="101">
        <v>39</v>
      </c>
      <c r="D48" s="269"/>
      <c r="E48" s="108"/>
      <c r="F48" s="281" t="str">
        <f>IF(D48="","",VLOOKUP(D48,'G-7 WaterC'' Data'!$B$2:$G$8,2,FALSE))</f>
        <v/>
      </c>
      <c r="G48" s="320" t="str">
        <f>IFERROR(VLOOKUP(F48,'G-7 WaterC'' Data'!$C$4:$D$8,2,FALSE),"")</f>
        <v/>
      </c>
      <c r="H48" s="109"/>
      <c r="I48" s="305" t="str">
        <f>IFERROR(INDEX('G-7 WaterC'' Data'!$H$4:$L$8,MATCH(D48,'G-7 WaterC'' Data'!$B$4:$B$8,0),MATCH(H48,'G-7 WaterC'' Data'!$H$3:$L$3,0)),"")</f>
        <v/>
      </c>
      <c r="J48" s="718"/>
      <c r="K48" s="301" t="str">
        <f>IF(J48="","",IF(VLOOKUP(J48,'G-7 WaterC'' Data'!$AK$4:$AM$9,2,FALSE)=0,"Spatial Data Missing ⚠",VLOOKUP(J48,'G-7 WaterC'' Data'!$AK$4:$AM$6,2,FALSE)))</f>
        <v/>
      </c>
      <c r="L48" s="305" t="str">
        <f>IF(J48="","",IF(VLOOKUP(J48,'G-7 WaterC'' Data'!$AK$4:$AM$9,3,FALSE)=0,"Spatial Data Missing ⚠",VLOOKUP(J48,'G-7 WaterC'' Data'!$AK$4:$AM$6,3,FALSE)))</f>
        <v/>
      </c>
      <c r="M48" s="106"/>
      <c r="N48" s="282" t="str">
        <f>IF(M48="","",IF(AND(M48="N/A - Culvert",D48&lt;&gt;"Culvert"),"Not possible ▲",IF(AND(D48="Culvert",M48&lt;&gt;"N/A - Culvert"),"Not possible ▲",IF(VLOOKUP(M48,'G-7 WaterC'' Data'!$AA$4:$AB$7,2,FALSE)=0,"Spatial Data Missing ⚠",VLOOKUP(M48,'G-7 WaterC'' Data'!$AA$4:$AB$7,2,FALSE)))))</f>
        <v/>
      </c>
      <c r="O48" s="56"/>
      <c r="P48" s="282" t="str">
        <f>IF(O48="","",IF(AND(O48="N/A - Culvert",D48&lt;&gt;"Culvert"),"Not possible ▲",IF(AND(D48="Culvert",O48&lt;&gt;"N/A - Culvert"),"Not possible ▲",IF(VLOOKUP(O48,'G-7 WaterC'' Data'!$AD$4:$AE$14,2,FALSE)=0,"Spatial Data Missing ⚠",VLOOKUP(O48,'G-7 WaterC'' Data'!$AD$4:$AE$14,2,FALSE)))))</f>
        <v/>
      </c>
      <c r="Q48" s="288" t="str">
        <f>IF(D48="","",VLOOKUP(D48,'G-7 WaterC'' Data'!$B$4:$G$8,6,FALSE))</f>
        <v/>
      </c>
      <c r="R48" s="295" t="str">
        <f t="shared" si="1"/>
        <v xml:space="preserve"> </v>
      </c>
      <c r="S48" s="403"/>
      <c r="T48" s="287" t="str">
        <f>IF(S48="","",IF(VLOOKUP(S48,'G-7 WaterC'' Data'!$AO$4:$BO$7,2,FALSE)=0,"Spatial Data Missing ⚠",VLOOKUP(S48,'G-7 WaterC'' Data'!$AO$4:$BO$7,2,FALSE)))</f>
        <v/>
      </c>
      <c r="U48" s="295" t="str">
        <f t="shared" si="2"/>
        <v xml:space="preserve"> </v>
      </c>
      <c r="V48" s="710" t="str">
        <f t="shared" si="3"/>
        <v/>
      </c>
      <c r="W48" s="32"/>
      <c r="X48" s="105"/>
      <c r="Y48" s="112"/>
      <c r="Z48" s="293" t="str">
        <f t="shared" si="4"/>
        <v/>
      </c>
      <c r="AA48" s="293" t="str">
        <f t="shared" si="5"/>
        <v/>
      </c>
      <c r="AB48" s="293" t="str">
        <f t="shared" si="6"/>
        <v/>
      </c>
      <c r="AC48" s="507" t="str">
        <f>IFERROR(IF(OR(E48="",R48=""),"", IF(AND(AB48&lt;&gt;"",S48=""), "Spatial risk category missing ▲", IF(AND(Q48='G-7 WaterC'' Data'!$G$4,AD48="Yes"),"Alternative Compensation ✓", IF(AND(AD48="Pending", Q48='G-7 WaterC'' Data'!$G$4),"Bespoke compensation must be agreed ▲", IF((Z48+AA48)&gt;=U48,0, U48-Z48-AA48))))),"Check Data ⚠")</f>
        <v/>
      </c>
      <c r="AD48" s="403"/>
      <c r="AE48" s="109"/>
      <c r="AF48" s="108"/>
      <c r="AG48" s="108"/>
      <c r="AH48" s="108"/>
      <c r="AI48" s="54" t="str">
        <f>IF(OR(Q48="",AD48="Yes"),"",IF(Q48='G-1 All Habitats'!$X$9,E48-Y48-X48,"None"))</f>
        <v/>
      </c>
      <c r="AJ48" s="55" t="str">
        <f>IF(Q48="","", IF(Q48='G-1 All Habitats'!$X$9, AI48*G48*I48*L48*N48*P48,"None"))</f>
        <v/>
      </c>
      <c r="AK48" s="30" t="str">
        <f>IFERROR(INDEX('G-7 WaterC'' Data'!$AZ$3:$AZ$7,MATCH(D48,'G-7 WaterC'' Data'!$AY$3:$AY$7,0)),"")</f>
        <v/>
      </c>
      <c r="AL48" s="30">
        <f t="shared" si="7"/>
        <v>0</v>
      </c>
      <c r="AM48" s="111" t="str">
        <f t="shared" si="8"/>
        <v/>
      </c>
      <c r="AN48" s="111" t="str">
        <f t="shared" si="9"/>
        <v/>
      </c>
      <c r="AP48" s="111">
        <v>39</v>
      </c>
      <c r="AR48" s="111" t="str">
        <f t="array" ref="AR48">IFERROR(INDEX($AP$10:$AP$258, MATCH(0, IF(TRUE=$AM$10:$AM$258, COUNTIF($AR$9:$AR47, $AP$10:$AP$258), ""), 0)),"")</f>
        <v/>
      </c>
      <c r="AS48" s="111" t="str">
        <f t="array" ref="AS48">IFERROR(INDEX($AP$10:$AP$258, MATCH(0, IF(TRUE=$AN$10:$AN$258, COUNTIF($AS$9:$AS47, $AP$10:$AP$258), ""), 0)),"")</f>
        <v/>
      </c>
      <c r="AT48" s="903" t="str">
        <f>IF(AND(OR(AD48="Yes",AD48="Pending"),Q48='G-7 WaterC'' Data'!$G$4),U48-AA48-Z48,"0")</f>
        <v>0</v>
      </c>
      <c r="AU48" s="30" t="str">
        <f>IF(D48="","",VLOOKUP(D48,'G-7 WaterC'' Data'!B$4:M$8,12,FALSE))</f>
        <v/>
      </c>
      <c r="AV48" s="30" t="str">
        <f t="shared" si="0"/>
        <v/>
      </c>
      <c r="AW48" s="30" t="str">
        <f t="shared" si="10"/>
        <v>No</v>
      </c>
      <c r="BA48" s="571" t="str">
        <f t="shared" si="11"/>
        <v/>
      </c>
    </row>
    <row r="49" spans="3:53" ht="14.4" thickBot="1" x14ac:dyDescent="0.3">
      <c r="C49" s="101">
        <v>40</v>
      </c>
      <c r="D49" s="269"/>
      <c r="E49" s="108"/>
      <c r="F49" s="281" t="str">
        <f>IF(D49="","",VLOOKUP(D49,'G-7 WaterC'' Data'!$B$2:$G$8,2,FALSE))</f>
        <v/>
      </c>
      <c r="G49" s="320" t="str">
        <f>IFERROR(VLOOKUP(F49,'G-7 WaterC'' Data'!$C$4:$D$8,2,FALSE),"")</f>
        <v/>
      </c>
      <c r="H49" s="109"/>
      <c r="I49" s="305" t="str">
        <f>IFERROR(INDEX('G-7 WaterC'' Data'!$H$4:$L$8,MATCH(D49,'G-7 WaterC'' Data'!$B$4:$B$8,0),MATCH(H49,'G-7 WaterC'' Data'!$H$3:$L$3,0)),"")</f>
        <v/>
      </c>
      <c r="J49" s="718"/>
      <c r="K49" s="301" t="str">
        <f>IF(J49="","",IF(VLOOKUP(J49,'G-7 WaterC'' Data'!$AK$4:$AM$9,2,FALSE)=0,"Spatial Data Missing ⚠",VLOOKUP(J49,'G-7 WaterC'' Data'!$AK$4:$AM$6,2,FALSE)))</f>
        <v/>
      </c>
      <c r="L49" s="305" t="str">
        <f>IF(J49="","",IF(VLOOKUP(J49,'G-7 WaterC'' Data'!$AK$4:$AM$9,3,FALSE)=0,"Spatial Data Missing ⚠",VLOOKUP(J49,'G-7 WaterC'' Data'!$AK$4:$AM$6,3,FALSE)))</f>
        <v/>
      </c>
      <c r="M49" s="106"/>
      <c r="N49" s="282" t="str">
        <f>IF(M49="","",IF(AND(M49="N/A - Culvert",D49&lt;&gt;"Culvert"),"Not possible ▲",IF(AND(D49="Culvert",M49&lt;&gt;"N/A - Culvert"),"Not possible ▲",IF(VLOOKUP(M49,'G-7 WaterC'' Data'!$AA$4:$AB$7,2,FALSE)=0,"Spatial Data Missing ⚠",VLOOKUP(M49,'G-7 WaterC'' Data'!$AA$4:$AB$7,2,FALSE)))))</f>
        <v/>
      </c>
      <c r="O49" s="56"/>
      <c r="P49" s="282" t="str">
        <f>IF(O49="","",IF(AND(O49="N/A - Culvert",D49&lt;&gt;"Culvert"),"Not possible ▲",IF(AND(D49="Culvert",O49&lt;&gt;"N/A - Culvert"),"Not possible ▲",IF(VLOOKUP(O49,'G-7 WaterC'' Data'!$AD$4:$AE$14,2,FALSE)=0,"Spatial Data Missing ⚠",VLOOKUP(O49,'G-7 WaterC'' Data'!$AD$4:$AE$14,2,FALSE)))))</f>
        <v/>
      </c>
      <c r="Q49" s="288" t="str">
        <f>IF(D49="","",VLOOKUP(D49,'G-7 WaterC'' Data'!$B$4:$G$8,6,FALSE))</f>
        <v/>
      </c>
      <c r="R49" s="295" t="str">
        <f t="shared" si="1"/>
        <v xml:space="preserve"> </v>
      </c>
      <c r="S49" s="403"/>
      <c r="T49" s="287" t="str">
        <f>IF(S49="","",IF(VLOOKUP(S49,'G-7 WaterC'' Data'!$AO$4:$BO$7,2,FALSE)=0,"Spatial Data Missing ⚠",VLOOKUP(S49,'G-7 WaterC'' Data'!$AO$4:$BO$7,2,FALSE)))</f>
        <v/>
      </c>
      <c r="U49" s="295" t="str">
        <f t="shared" si="2"/>
        <v xml:space="preserve"> </v>
      </c>
      <c r="V49" s="710" t="str">
        <f t="shared" si="3"/>
        <v/>
      </c>
      <c r="W49" s="32"/>
      <c r="X49" s="105"/>
      <c r="Y49" s="112"/>
      <c r="Z49" s="293" t="str">
        <f t="shared" si="4"/>
        <v/>
      </c>
      <c r="AA49" s="293" t="str">
        <f t="shared" si="5"/>
        <v/>
      </c>
      <c r="AB49" s="293" t="str">
        <f t="shared" si="6"/>
        <v/>
      </c>
      <c r="AC49" s="507" t="str">
        <f>IFERROR(IF(OR(E49="",R49=""),"", IF(AND(AB49&lt;&gt;"",S49=""), "Spatial risk category missing ▲", IF(AND(Q49='G-7 WaterC'' Data'!$G$4,AD49="Yes"),"Alternative Compensation ✓", IF(AND(AD49="Pending", Q49='G-7 WaterC'' Data'!$G$4),"Bespoke compensation must be agreed ▲", IF((Z49+AA49)&gt;=U49,0, U49-Z49-AA49))))),"Check Data ⚠")</f>
        <v/>
      </c>
      <c r="AD49" s="403"/>
      <c r="AE49" s="109"/>
      <c r="AF49" s="108"/>
      <c r="AG49" s="108"/>
      <c r="AH49" s="108"/>
      <c r="AI49" s="54" t="str">
        <f>IF(OR(Q49="",AD49="Yes"),"",IF(Q49='G-1 All Habitats'!$X$9,E49-Y49-X49,"None"))</f>
        <v/>
      </c>
      <c r="AJ49" s="55" t="str">
        <f>IF(Q49="","", IF(Q49='G-1 All Habitats'!$X$9, AI49*G49*I49*L49*N49*P49,"None"))</f>
        <v/>
      </c>
      <c r="AK49" s="30" t="str">
        <f>IFERROR(INDEX('G-7 WaterC'' Data'!$AZ$3:$AZ$7,MATCH(D49,'G-7 WaterC'' Data'!$AY$3:$AY$7,0)),"")</f>
        <v/>
      </c>
      <c r="AL49" s="30">
        <f t="shared" si="7"/>
        <v>0</v>
      </c>
      <c r="AM49" s="111" t="str">
        <f t="shared" si="8"/>
        <v/>
      </c>
      <c r="AN49" s="111" t="str">
        <f t="shared" si="9"/>
        <v/>
      </c>
      <c r="AP49" s="111">
        <v>40</v>
      </c>
      <c r="AR49" s="111" t="str">
        <f t="array" ref="AR49">IFERROR(INDEX($AP$10:$AP$258, MATCH(0, IF(TRUE=$AM$10:$AM$258, COUNTIF($AR$9:$AR48, $AP$10:$AP$258), ""), 0)),"")</f>
        <v/>
      </c>
      <c r="AS49" s="111" t="str">
        <f t="array" ref="AS49">IFERROR(INDEX($AP$10:$AP$258, MATCH(0, IF(TRUE=$AN$10:$AN$258, COUNTIF($AS$9:$AS48, $AP$10:$AP$258), ""), 0)),"")</f>
        <v/>
      </c>
      <c r="AT49" s="903" t="str">
        <f>IF(AND(OR(AD49="Yes",AD49="Pending"),Q49='G-7 WaterC'' Data'!$G$4),U49-AA49-Z49,"0")</f>
        <v>0</v>
      </c>
      <c r="AU49" s="30" t="str">
        <f>IF(D49="","",VLOOKUP(D49,'G-7 WaterC'' Data'!B$4:M$8,12,FALSE))</f>
        <v/>
      </c>
      <c r="AV49" s="30" t="str">
        <f t="shared" si="0"/>
        <v/>
      </c>
      <c r="AW49" s="30" t="str">
        <f t="shared" si="10"/>
        <v>No</v>
      </c>
      <c r="BA49" s="571" t="str">
        <f t="shared" si="11"/>
        <v/>
      </c>
    </row>
    <row r="50" spans="3:53" ht="14.4" thickBot="1" x14ac:dyDescent="0.3">
      <c r="C50" s="101">
        <v>41</v>
      </c>
      <c r="D50" s="269"/>
      <c r="E50" s="108"/>
      <c r="F50" s="281" t="str">
        <f>IF(D50="","",VLOOKUP(D50,'G-7 WaterC'' Data'!$B$2:$G$8,2,FALSE))</f>
        <v/>
      </c>
      <c r="G50" s="320" t="str">
        <f>IFERROR(VLOOKUP(F50,'G-7 WaterC'' Data'!$C$4:$D$8,2,FALSE),"")</f>
        <v/>
      </c>
      <c r="H50" s="109"/>
      <c r="I50" s="305" t="str">
        <f>IFERROR(INDEX('G-7 WaterC'' Data'!$H$4:$L$8,MATCH(D50,'G-7 WaterC'' Data'!$B$4:$B$8,0),MATCH(H50,'G-7 WaterC'' Data'!$H$3:$L$3,0)),"")</f>
        <v/>
      </c>
      <c r="J50" s="718"/>
      <c r="K50" s="301" t="str">
        <f>IF(J50="","",IF(VLOOKUP(J50,'G-7 WaterC'' Data'!$AK$4:$AM$9,2,FALSE)=0,"Spatial Data Missing ⚠",VLOOKUP(J50,'G-7 WaterC'' Data'!$AK$4:$AM$6,2,FALSE)))</f>
        <v/>
      </c>
      <c r="L50" s="305" t="str">
        <f>IF(J50="","",IF(VLOOKUP(J50,'G-7 WaterC'' Data'!$AK$4:$AM$9,3,FALSE)=0,"Spatial Data Missing ⚠",VLOOKUP(J50,'G-7 WaterC'' Data'!$AK$4:$AM$6,3,FALSE)))</f>
        <v/>
      </c>
      <c r="M50" s="106"/>
      <c r="N50" s="282" t="str">
        <f>IF(M50="","",IF(AND(M50="N/A - Culvert",D50&lt;&gt;"Culvert"),"Not possible ▲",IF(AND(D50="Culvert",M50&lt;&gt;"N/A - Culvert"),"Not possible ▲",IF(VLOOKUP(M50,'G-7 WaterC'' Data'!$AA$4:$AB$7,2,FALSE)=0,"Spatial Data Missing ⚠",VLOOKUP(M50,'G-7 WaterC'' Data'!$AA$4:$AB$7,2,FALSE)))))</f>
        <v/>
      </c>
      <c r="O50" s="56"/>
      <c r="P50" s="282" t="str">
        <f>IF(O50="","",IF(AND(O50="N/A - Culvert",D50&lt;&gt;"Culvert"),"Not possible ▲",IF(AND(D50="Culvert",O50&lt;&gt;"N/A - Culvert"),"Not possible ▲",IF(VLOOKUP(O50,'G-7 WaterC'' Data'!$AD$4:$AE$14,2,FALSE)=0,"Spatial Data Missing ⚠",VLOOKUP(O50,'G-7 WaterC'' Data'!$AD$4:$AE$14,2,FALSE)))))</f>
        <v/>
      </c>
      <c r="Q50" s="288" t="str">
        <f>IF(D50="","",VLOOKUP(D50,'G-7 WaterC'' Data'!$B$4:$G$8,6,FALSE))</f>
        <v/>
      </c>
      <c r="R50" s="295" t="str">
        <f t="shared" si="1"/>
        <v xml:space="preserve"> </v>
      </c>
      <c r="S50" s="403"/>
      <c r="T50" s="287" t="str">
        <f>IF(S50="","",IF(VLOOKUP(S50,'G-7 WaterC'' Data'!$AO$4:$BO$7,2,FALSE)=0,"Spatial Data Missing ⚠",VLOOKUP(S50,'G-7 WaterC'' Data'!$AO$4:$BO$7,2,FALSE)))</f>
        <v/>
      </c>
      <c r="U50" s="295" t="str">
        <f t="shared" si="2"/>
        <v xml:space="preserve"> </v>
      </c>
      <c r="V50" s="710" t="str">
        <f t="shared" si="3"/>
        <v/>
      </c>
      <c r="W50" s="32"/>
      <c r="X50" s="105"/>
      <c r="Y50" s="112"/>
      <c r="Z50" s="293" t="str">
        <f t="shared" si="4"/>
        <v/>
      </c>
      <c r="AA50" s="293" t="str">
        <f t="shared" si="5"/>
        <v/>
      </c>
      <c r="AB50" s="293" t="str">
        <f t="shared" si="6"/>
        <v/>
      </c>
      <c r="AC50" s="507" t="str">
        <f>IFERROR(IF(OR(E50="",R50=""),"", IF(AND(AB50&lt;&gt;"",S50=""), "Spatial risk category missing ▲", IF(AND(Q50='G-7 WaterC'' Data'!$G$4,AD50="Yes"),"Alternative Compensation ✓", IF(AND(AD50="Pending", Q50='G-7 WaterC'' Data'!$G$4),"Bespoke compensation must be agreed ▲", IF((Z50+AA50)&gt;=U50,0, U50-Z50-AA50))))),"Check Data ⚠")</f>
        <v/>
      </c>
      <c r="AD50" s="403"/>
      <c r="AE50" s="109"/>
      <c r="AF50" s="108"/>
      <c r="AG50" s="108"/>
      <c r="AH50" s="108"/>
      <c r="AI50" s="54" t="str">
        <f>IF(OR(Q50="",AD50="Yes"),"",IF(Q50='G-1 All Habitats'!$X$9,E50-Y50-X50,"None"))</f>
        <v/>
      </c>
      <c r="AJ50" s="55" t="str">
        <f>IF(Q50="","", IF(Q50='G-1 All Habitats'!$X$9, AI50*G50*I50*L50*N50*P50,"None"))</f>
        <v/>
      </c>
      <c r="AK50" s="30" t="str">
        <f>IFERROR(INDEX('G-7 WaterC'' Data'!$AZ$3:$AZ$7,MATCH(D50,'G-7 WaterC'' Data'!$AY$3:$AY$7,0)),"")</f>
        <v/>
      </c>
      <c r="AL50" s="30">
        <f t="shared" si="7"/>
        <v>0</v>
      </c>
      <c r="AM50" s="111" t="str">
        <f t="shared" si="8"/>
        <v/>
      </c>
      <c r="AN50" s="111" t="str">
        <f t="shared" si="9"/>
        <v/>
      </c>
      <c r="AP50" s="111">
        <v>41</v>
      </c>
      <c r="AR50" s="111" t="str">
        <f t="array" ref="AR50">IFERROR(INDEX($AP$10:$AP$258, MATCH(0, IF(TRUE=$AM$10:$AM$258, COUNTIF($AR$9:$AR49, $AP$10:$AP$258), ""), 0)),"")</f>
        <v/>
      </c>
      <c r="AS50" s="111" t="str">
        <f t="array" ref="AS50">IFERROR(INDEX($AP$10:$AP$258, MATCH(0, IF(TRUE=$AN$10:$AN$258, COUNTIF($AS$9:$AS49, $AP$10:$AP$258), ""), 0)),"")</f>
        <v/>
      </c>
      <c r="AT50" s="903" t="str">
        <f>IF(AND(OR(AD50="Yes",AD50="Pending"),Q50='G-7 WaterC'' Data'!$G$4),U50-AA50-Z50,"0")</f>
        <v>0</v>
      </c>
      <c r="AU50" s="30" t="str">
        <f>IF(D50="","",VLOOKUP(D50,'G-7 WaterC'' Data'!B$4:M$8,12,FALSE))</f>
        <v/>
      </c>
      <c r="AV50" s="30" t="str">
        <f t="shared" si="0"/>
        <v/>
      </c>
      <c r="AW50" s="30" t="str">
        <f t="shared" si="10"/>
        <v>No</v>
      </c>
      <c r="BA50" s="571" t="str">
        <f t="shared" si="11"/>
        <v/>
      </c>
    </row>
    <row r="51" spans="3:53" ht="14.4" thickBot="1" x14ac:dyDescent="0.3">
      <c r="C51" s="101">
        <v>42</v>
      </c>
      <c r="D51" s="269"/>
      <c r="E51" s="108"/>
      <c r="F51" s="281" t="str">
        <f>IF(D51="","",VLOOKUP(D51,'G-7 WaterC'' Data'!$B$2:$G$8,2,FALSE))</f>
        <v/>
      </c>
      <c r="G51" s="320" t="str">
        <f>IFERROR(VLOOKUP(F51,'G-7 WaterC'' Data'!$C$4:$D$8,2,FALSE),"")</f>
        <v/>
      </c>
      <c r="H51" s="109"/>
      <c r="I51" s="305" t="str">
        <f>IFERROR(INDEX('G-7 WaterC'' Data'!$H$4:$L$8,MATCH(D51,'G-7 WaterC'' Data'!$B$4:$B$8,0),MATCH(H51,'G-7 WaterC'' Data'!$H$3:$L$3,0)),"")</f>
        <v/>
      </c>
      <c r="J51" s="718"/>
      <c r="K51" s="301" t="str">
        <f>IF(J51="","",IF(VLOOKUP(J51,'G-7 WaterC'' Data'!$AK$4:$AM$9,2,FALSE)=0,"Spatial Data Missing ⚠",VLOOKUP(J51,'G-7 WaterC'' Data'!$AK$4:$AM$6,2,FALSE)))</f>
        <v/>
      </c>
      <c r="L51" s="305" t="str">
        <f>IF(J51="","",IF(VLOOKUP(J51,'G-7 WaterC'' Data'!$AK$4:$AM$9,3,FALSE)=0,"Spatial Data Missing ⚠",VLOOKUP(J51,'G-7 WaterC'' Data'!$AK$4:$AM$6,3,FALSE)))</f>
        <v/>
      </c>
      <c r="M51" s="106"/>
      <c r="N51" s="282" t="str">
        <f>IF(M51="","",IF(AND(M51="N/A - Culvert",D51&lt;&gt;"Culvert"),"Not possible ▲",IF(AND(D51="Culvert",M51&lt;&gt;"N/A - Culvert"),"Not possible ▲",IF(VLOOKUP(M51,'G-7 WaterC'' Data'!$AA$4:$AB$7,2,FALSE)=0,"Spatial Data Missing ⚠",VLOOKUP(M51,'G-7 WaterC'' Data'!$AA$4:$AB$7,2,FALSE)))))</f>
        <v/>
      </c>
      <c r="O51" s="56"/>
      <c r="P51" s="282" t="str">
        <f>IF(O51="","",IF(AND(O51="N/A - Culvert",D51&lt;&gt;"Culvert"),"Not possible ▲",IF(AND(D51="Culvert",O51&lt;&gt;"N/A - Culvert"),"Not possible ▲",IF(VLOOKUP(O51,'G-7 WaterC'' Data'!$AD$4:$AE$14,2,FALSE)=0,"Spatial Data Missing ⚠",VLOOKUP(O51,'G-7 WaterC'' Data'!$AD$4:$AE$14,2,FALSE)))))</f>
        <v/>
      </c>
      <c r="Q51" s="288" t="str">
        <f>IF(D51="","",VLOOKUP(D51,'G-7 WaterC'' Data'!$B$4:$G$8,6,FALSE))</f>
        <v/>
      </c>
      <c r="R51" s="295" t="str">
        <f t="shared" si="1"/>
        <v xml:space="preserve"> </v>
      </c>
      <c r="S51" s="403"/>
      <c r="T51" s="287" t="str">
        <f>IF(S51="","",IF(VLOOKUP(S51,'G-7 WaterC'' Data'!$AO$4:$BO$7,2,FALSE)=0,"Spatial Data Missing ⚠",VLOOKUP(S51,'G-7 WaterC'' Data'!$AO$4:$BO$7,2,FALSE)))</f>
        <v/>
      </c>
      <c r="U51" s="295" t="str">
        <f t="shared" si="2"/>
        <v xml:space="preserve"> </v>
      </c>
      <c r="V51" s="710" t="str">
        <f t="shared" si="3"/>
        <v/>
      </c>
      <c r="W51" s="32"/>
      <c r="X51" s="105"/>
      <c r="Y51" s="112"/>
      <c r="Z51" s="293" t="str">
        <f t="shared" si="4"/>
        <v/>
      </c>
      <c r="AA51" s="293" t="str">
        <f t="shared" si="5"/>
        <v/>
      </c>
      <c r="AB51" s="293" t="str">
        <f t="shared" si="6"/>
        <v/>
      </c>
      <c r="AC51" s="507" t="str">
        <f>IFERROR(IF(OR(E51="",R51=""),"", IF(AND(AB51&lt;&gt;"",S51=""), "Spatial risk category missing ▲", IF(AND(Q51='G-7 WaterC'' Data'!$G$4,AD51="Yes"),"Alternative Compensation ✓", IF(AND(AD51="Pending", Q51='G-7 WaterC'' Data'!$G$4),"Bespoke compensation must be agreed ▲", IF((Z51+AA51)&gt;=U51,0, U51-Z51-AA51))))),"Check Data ⚠")</f>
        <v/>
      </c>
      <c r="AD51" s="403"/>
      <c r="AE51" s="109"/>
      <c r="AF51" s="108"/>
      <c r="AG51" s="108"/>
      <c r="AH51" s="108"/>
      <c r="AI51" s="54" t="str">
        <f>IF(OR(Q51="",AD51="Yes"),"",IF(Q51='G-1 All Habitats'!$X$9,E51-Y51-X51,"None"))</f>
        <v/>
      </c>
      <c r="AJ51" s="55" t="str">
        <f>IF(Q51="","", IF(Q51='G-1 All Habitats'!$X$9, AI51*G51*I51*L51*N51*P51,"None"))</f>
        <v/>
      </c>
      <c r="AK51" s="30" t="str">
        <f>IFERROR(INDEX('G-7 WaterC'' Data'!$AZ$3:$AZ$7,MATCH(D51,'G-7 WaterC'' Data'!$AY$3:$AY$7,0)),"")</f>
        <v/>
      </c>
      <c r="AL51" s="30">
        <f t="shared" si="7"/>
        <v>0</v>
      </c>
      <c r="AM51" s="111" t="str">
        <f t="shared" si="8"/>
        <v/>
      </c>
      <c r="AN51" s="111" t="str">
        <f t="shared" si="9"/>
        <v/>
      </c>
      <c r="AP51" s="111">
        <v>42</v>
      </c>
      <c r="AR51" s="111" t="str">
        <f t="array" ref="AR51">IFERROR(INDEX($AP$10:$AP$258, MATCH(0, IF(TRUE=$AM$10:$AM$258, COUNTIF($AR$9:$AR50, $AP$10:$AP$258), ""), 0)),"")</f>
        <v/>
      </c>
      <c r="AS51" s="111" t="str">
        <f t="array" ref="AS51">IFERROR(INDEX($AP$10:$AP$258, MATCH(0, IF(TRUE=$AN$10:$AN$258, COUNTIF($AS$9:$AS50, $AP$10:$AP$258), ""), 0)),"")</f>
        <v/>
      </c>
      <c r="AT51" s="903" t="str">
        <f>IF(AND(OR(AD51="Yes",AD51="Pending"),Q51='G-7 WaterC'' Data'!$G$4),U51-AA51-Z51,"0")</f>
        <v>0</v>
      </c>
      <c r="AU51" s="30" t="str">
        <f>IF(D51="","",VLOOKUP(D51,'G-7 WaterC'' Data'!B$4:M$8,12,FALSE))</f>
        <v/>
      </c>
      <c r="AV51" s="30" t="str">
        <f t="shared" si="0"/>
        <v/>
      </c>
      <c r="AW51" s="30" t="str">
        <f t="shared" si="10"/>
        <v>No</v>
      </c>
      <c r="BA51" s="571" t="str">
        <f t="shared" si="11"/>
        <v/>
      </c>
    </row>
    <row r="52" spans="3:53" ht="14.4" thickBot="1" x14ac:dyDescent="0.3">
      <c r="C52" s="101">
        <v>43</v>
      </c>
      <c r="D52" s="269"/>
      <c r="E52" s="108"/>
      <c r="F52" s="281" t="str">
        <f>IF(D52="","",VLOOKUP(D52,'G-7 WaterC'' Data'!$B$2:$G$8,2,FALSE))</f>
        <v/>
      </c>
      <c r="G52" s="320" t="str">
        <f>IFERROR(VLOOKUP(F52,'G-7 WaterC'' Data'!$C$4:$D$8,2,FALSE),"")</f>
        <v/>
      </c>
      <c r="H52" s="109"/>
      <c r="I52" s="305" t="str">
        <f>IFERROR(INDEX('G-7 WaterC'' Data'!$H$4:$L$8,MATCH(D52,'G-7 WaterC'' Data'!$B$4:$B$8,0),MATCH(H52,'G-7 WaterC'' Data'!$H$3:$L$3,0)),"")</f>
        <v/>
      </c>
      <c r="J52" s="718"/>
      <c r="K52" s="301" t="str">
        <f>IF(J52="","",IF(VLOOKUP(J52,'G-7 WaterC'' Data'!$AK$4:$AM$9,2,FALSE)=0,"Spatial Data Missing ⚠",VLOOKUP(J52,'G-7 WaterC'' Data'!$AK$4:$AM$6,2,FALSE)))</f>
        <v/>
      </c>
      <c r="L52" s="305" t="str">
        <f>IF(J52="","",IF(VLOOKUP(J52,'G-7 WaterC'' Data'!$AK$4:$AM$9,3,FALSE)=0,"Spatial Data Missing ⚠",VLOOKUP(J52,'G-7 WaterC'' Data'!$AK$4:$AM$6,3,FALSE)))</f>
        <v/>
      </c>
      <c r="M52" s="106"/>
      <c r="N52" s="282" t="str">
        <f>IF(M52="","",IF(AND(M52="N/A - Culvert",D52&lt;&gt;"Culvert"),"Not possible ▲",IF(AND(D52="Culvert",M52&lt;&gt;"N/A - Culvert"),"Not possible ▲",IF(VLOOKUP(M52,'G-7 WaterC'' Data'!$AA$4:$AB$7,2,FALSE)=0,"Spatial Data Missing ⚠",VLOOKUP(M52,'G-7 WaterC'' Data'!$AA$4:$AB$7,2,FALSE)))))</f>
        <v/>
      </c>
      <c r="O52" s="56"/>
      <c r="P52" s="282" t="str">
        <f>IF(O52="","",IF(AND(O52="N/A - Culvert",D52&lt;&gt;"Culvert"),"Not possible ▲",IF(AND(D52="Culvert",O52&lt;&gt;"N/A - Culvert"),"Not possible ▲",IF(VLOOKUP(O52,'G-7 WaterC'' Data'!$AD$4:$AE$14,2,FALSE)=0,"Spatial Data Missing ⚠",VLOOKUP(O52,'G-7 WaterC'' Data'!$AD$4:$AE$14,2,FALSE)))))</f>
        <v/>
      </c>
      <c r="Q52" s="288" t="str">
        <f>IF(D52="","",VLOOKUP(D52,'G-7 WaterC'' Data'!$B$4:$G$8,6,FALSE))</f>
        <v/>
      </c>
      <c r="R52" s="295" t="str">
        <f t="shared" si="1"/>
        <v xml:space="preserve"> </v>
      </c>
      <c r="S52" s="403"/>
      <c r="T52" s="287" t="str">
        <f>IF(S52="","",IF(VLOOKUP(S52,'G-7 WaterC'' Data'!$AO$4:$BO$7,2,FALSE)=0,"Spatial Data Missing ⚠",VLOOKUP(S52,'G-7 WaterC'' Data'!$AO$4:$BO$7,2,FALSE)))</f>
        <v/>
      </c>
      <c r="U52" s="295" t="str">
        <f t="shared" si="2"/>
        <v xml:space="preserve"> </v>
      </c>
      <c r="V52" s="710" t="str">
        <f t="shared" si="3"/>
        <v/>
      </c>
      <c r="W52" s="32"/>
      <c r="X52" s="105"/>
      <c r="Y52" s="112"/>
      <c r="Z52" s="293" t="str">
        <f t="shared" si="4"/>
        <v/>
      </c>
      <c r="AA52" s="293" t="str">
        <f t="shared" si="5"/>
        <v/>
      </c>
      <c r="AB52" s="293" t="str">
        <f t="shared" si="6"/>
        <v/>
      </c>
      <c r="AC52" s="507" t="str">
        <f>IFERROR(IF(OR(E52="",R52=""),"", IF(AND(AB52&lt;&gt;"",S52=""), "Spatial risk category missing ▲", IF(AND(Q52='G-7 WaterC'' Data'!$G$4,AD52="Yes"),"Alternative Compensation ✓", IF(AND(AD52="Pending", Q52='G-7 WaterC'' Data'!$G$4),"Bespoke compensation must be agreed ▲", IF((Z52+AA52)&gt;=U52,0, U52-Z52-AA52))))),"Check Data ⚠")</f>
        <v/>
      </c>
      <c r="AD52" s="403"/>
      <c r="AE52" s="109"/>
      <c r="AF52" s="108"/>
      <c r="AG52" s="108"/>
      <c r="AH52" s="108"/>
      <c r="AI52" s="54" t="str">
        <f>IF(OR(Q52="",AD52="Yes"),"",IF(Q52='G-1 All Habitats'!$X$9,E52-Y52-X52,"None"))</f>
        <v/>
      </c>
      <c r="AJ52" s="55" t="str">
        <f>IF(Q52="","", IF(Q52='G-1 All Habitats'!$X$9, AI52*G52*I52*L52*N52*P52,"None"))</f>
        <v/>
      </c>
      <c r="AK52" s="30" t="str">
        <f>IFERROR(INDEX('G-7 WaterC'' Data'!$AZ$3:$AZ$7,MATCH(D52,'G-7 WaterC'' Data'!$AY$3:$AY$7,0)),"")</f>
        <v/>
      </c>
      <c r="AL52" s="30">
        <f t="shared" si="7"/>
        <v>0</v>
      </c>
      <c r="AM52" s="111" t="str">
        <f t="shared" si="8"/>
        <v/>
      </c>
      <c r="AN52" s="111" t="str">
        <f t="shared" si="9"/>
        <v/>
      </c>
      <c r="AP52" s="111">
        <v>43</v>
      </c>
      <c r="AR52" s="111" t="str">
        <f t="array" ref="AR52">IFERROR(INDEX($AP$10:$AP$258, MATCH(0, IF(TRUE=$AM$10:$AM$258, COUNTIF($AR$9:$AR51, $AP$10:$AP$258), ""), 0)),"")</f>
        <v/>
      </c>
      <c r="AS52" s="111" t="str">
        <f t="array" ref="AS52">IFERROR(INDEX($AP$10:$AP$258, MATCH(0, IF(TRUE=$AN$10:$AN$258, COUNTIF($AS$9:$AS51, $AP$10:$AP$258), ""), 0)),"")</f>
        <v/>
      </c>
      <c r="AT52" s="903" t="str">
        <f>IF(AND(OR(AD52="Yes",AD52="Pending"),Q52='G-7 WaterC'' Data'!$G$4),U52-AA52-Z52,"0")</f>
        <v>0</v>
      </c>
      <c r="AU52" s="30" t="str">
        <f>IF(D52="","",VLOOKUP(D52,'G-7 WaterC'' Data'!B$4:M$8,12,FALSE))</f>
        <v/>
      </c>
      <c r="AV52" s="30" t="str">
        <f t="shared" si="0"/>
        <v/>
      </c>
      <c r="AW52" s="30" t="str">
        <f t="shared" si="10"/>
        <v>No</v>
      </c>
      <c r="BA52" s="571" t="str">
        <f t="shared" si="11"/>
        <v/>
      </c>
    </row>
    <row r="53" spans="3:53" ht="14.4" thickBot="1" x14ac:dyDescent="0.3">
      <c r="C53" s="101">
        <v>44</v>
      </c>
      <c r="D53" s="269"/>
      <c r="E53" s="108"/>
      <c r="F53" s="281" t="str">
        <f>IF(D53="","",VLOOKUP(D53,'G-7 WaterC'' Data'!$B$2:$G$8,2,FALSE))</f>
        <v/>
      </c>
      <c r="G53" s="320" t="str">
        <f>IFERROR(VLOOKUP(F53,'G-7 WaterC'' Data'!$C$4:$D$8,2,FALSE),"")</f>
        <v/>
      </c>
      <c r="H53" s="109"/>
      <c r="I53" s="305" t="str">
        <f>IFERROR(INDEX('G-7 WaterC'' Data'!$H$4:$L$8,MATCH(D53,'G-7 WaterC'' Data'!$B$4:$B$8,0),MATCH(H53,'G-7 WaterC'' Data'!$H$3:$L$3,0)),"")</f>
        <v/>
      </c>
      <c r="J53" s="718"/>
      <c r="K53" s="301" t="str">
        <f>IF(J53="","",IF(VLOOKUP(J53,'G-7 WaterC'' Data'!$AK$4:$AM$9,2,FALSE)=0,"Spatial Data Missing ⚠",VLOOKUP(J53,'G-7 WaterC'' Data'!$AK$4:$AM$6,2,FALSE)))</f>
        <v/>
      </c>
      <c r="L53" s="305" t="str">
        <f>IF(J53="","",IF(VLOOKUP(J53,'G-7 WaterC'' Data'!$AK$4:$AM$9,3,FALSE)=0,"Spatial Data Missing ⚠",VLOOKUP(J53,'G-7 WaterC'' Data'!$AK$4:$AM$6,3,FALSE)))</f>
        <v/>
      </c>
      <c r="M53" s="106"/>
      <c r="N53" s="282" t="str">
        <f>IF(M53="","",IF(AND(M53="N/A - Culvert",D53&lt;&gt;"Culvert"),"Not possible ▲",IF(AND(D53="Culvert",M53&lt;&gt;"N/A - Culvert"),"Not possible ▲",IF(VLOOKUP(M53,'G-7 WaterC'' Data'!$AA$4:$AB$7,2,FALSE)=0,"Spatial Data Missing ⚠",VLOOKUP(M53,'G-7 WaterC'' Data'!$AA$4:$AB$7,2,FALSE)))))</f>
        <v/>
      </c>
      <c r="O53" s="56"/>
      <c r="P53" s="282" t="str">
        <f>IF(O53="","",IF(AND(O53="N/A - Culvert",D53&lt;&gt;"Culvert"),"Not possible ▲",IF(AND(D53="Culvert",O53&lt;&gt;"N/A - Culvert"),"Not possible ▲",IF(VLOOKUP(O53,'G-7 WaterC'' Data'!$AD$4:$AE$14,2,FALSE)=0,"Spatial Data Missing ⚠",VLOOKUP(O53,'G-7 WaterC'' Data'!$AD$4:$AE$14,2,FALSE)))))</f>
        <v/>
      </c>
      <c r="Q53" s="288" t="str">
        <f>IF(D53="","",VLOOKUP(D53,'G-7 WaterC'' Data'!$B$4:$G$8,6,FALSE))</f>
        <v/>
      </c>
      <c r="R53" s="295" t="str">
        <f t="shared" si="1"/>
        <v xml:space="preserve"> </v>
      </c>
      <c r="S53" s="403"/>
      <c r="T53" s="287" t="str">
        <f>IF(S53="","",IF(VLOOKUP(S53,'G-7 WaterC'' Data'!$AO$4:$BO$7,2,FALSE)=0,"Spatial Data Missing ⚠",VLOOKUP(S53,'G-7 WaterC'' Data'!$AO$4:$BO$7,2,FALSE)))</f>
        <v/>
      </c>
      <c r="U53" s="295" t="str">
        <f t="shared" si="2"/>
        <v xml:space="preserve"> </v>
      </c>
      <c r="V53" s="710" t="str">
        <f t="shared" si="3"/>
        <v/>
      </c>
      <c r="W53" s="32"/>
      <c r="X53" s="105"/>
      <c r="Y53" s="112"/>
      <c r="Z53" s="293" t="str">
        <f t="shared" si="4"/>
        <v/>
      </c>
      <c r="AA53" s="293" t="str">
        <f t="shared" si="5"/>
        <v/>
      </c>
      <c r="AB53" s="293" t="str">
        <f t="shared" si="6"/>
        <v/>
      </c>
      <c r="AC53" s="507" t="str">
        <f>IFERROR(IF(OR(E53="",R53=""),"", IF(AND(AB53&lt;&gt;"",S53=""), "Spatial risk category missing ▲", IF(AND(Q53='G-7 WaterC'' Data'!$G$4,AD53="Yes"),"Alternative Compensation ✓", IF(AND(AD53="Pending", Q53='G-7 WaterC'' Data'!$G$4),"Bespoke compensation must be agreed ▲", IF((Z53+AA53)&gt;=U53,0, U53-Z53-AA53))))),"Check Data ⚠")</f>
        <v/>
      </c>
      <c r="AD53" s="403"/>
      <c r="AE53" s="109"/>
      <c r="AF53" s="108"/>
      <c r="AG53" s="108"/>
      <c r="AH53" s="108"/>
      <c r="AI53" s="54" t="str">
        <f>IF(OR(Q53="",AD53="Yes"),"",IF(Q53='G-1 All Habitats'!$X$9,E53-Y53-X53,"None"))</f>
        <v/>
      </c>
      <c r="AJ53" s="55" t="str">
        <f>IF(Q53="","", IF(Q53='G-1 All Habitats'!$X$9, AI53*G53*I53*L53*N53*P53,"None"))</f>
        <v/>
      </c>
      <c r="AK53" s="30" t="str">
        <f>IFERROR(INDEX('G-7 WaterC'' Data'!$AZ$3:$AZ$7,MATCH(D53,'G-7 WaterC'' Data'!$AY$3:$AY$7,0)),"")</f>
        <v/>
      </c>
      <c r="AL53" s="30">
        <f t="shared" si="7"/>
        <v>0</v>
      </c>
      <c r="AM53" s="111" t="str">
        <f t="shared" si="8"/>
        <v/>
      </c>
      <c r="AN53" s="111" t="str">
        <f t="shared" si="9"/>
        <v/>
      </c>
      <c r="AP53" s="111">
        <v>44</v>
      </c>
      <c r="AR53" s="111" t="str">
        <f t="array" ref="AR53">IFERROR(INDEX($AP$10:$AP$258, MATCH(0, IF(TRUE=$AM$10:$AM$258, COUNTIF($AR$9:$AR52, $AP$10:$AP$258), ""), 0)),"")</f>
        <v/>
      </c>
      <c r="AS53" s="111" t="str">
        <f t="array" ref="AS53">IFERROR(INDEX($AP$10:$AP$258, MATCH(0, IF(TRUE=$AN$10:$AN$258, COUNTIF($AS$9:$AS52, $AP$10:$AP$258), ""), 0)),"")</f>
        <v/>
      </c>
      <c r="AT53" s="903" t="str">
        <f>IF(AND(OR(AD53="Yes",AD53="Pending"),Q53='G-7 WaterC'' Data'!$G$4),U53-AA53-Z53,"0")</f>
        <v>0</v>
      </c>
      <c r="AU53" s="30" t="str">
        <f>IF(D53="","",VLOOKUP(D53,'G-7 WaterC'' Data'!B$4:M$8,12,FALSE))</f>
        <v/>
      </c>
      <c r="AV53" s="30" t="str">
        <f t="shared" si="0"/>
        <v/>
      </c>
      <c r="AW53" s="30" t="str">
        <f t="shared" si="10"/>
        <v>No</v>
      </c>
      <c r="BA53" s="571" t="str">
        <f t="shared" si="11"/>
        <v/>
      </c>
    </row>
    <row r="54" spans="3:53" ht="14.4" thickBot="1" x14ac:dyDescent="0.3">
      <c r="C54" s="101">
        <v>45</v>
      </c>
      <c r="D54" s="269"/>
      <c r="E54" s="108"/>
      <c r="F54" s="281" t="str">
        <f>IF(D54="","",VLOOKUP(D54,'G-7 WaterC'' Data'!$B$2:$G$8,2,FALSE))</f>
        <v/>
      </c>
      <c r="G54" s="320" t="str">
        <f>IFERROR(VLOOKUP(F54,'G-7 WaterC'' Data'!$C$4:$D$8,2,FALSE),"")</f>
        <v/>
      </c>
      <c r="H54" s="109"/>
      <c r="I54" s="305" t="str">
        <f>IFERROR(INDEX('G-7 WaterC'' Data'!$H$4:$L$8,MATCH(D54,'G-7 WaterC'' Data'!$B$4:$B$8,0),MATCH(H54,'G-7 WaterC'' Data'!$H$3:$L$3,0)),"")</f>
        <v/>
      </c>
      <c r="J54" s="718"/>
      <c r="K54" s="301" t="str">
        <f>IF(J54="","",IF(VLOOKUP(J54,'G-7 WaterC'' Data'!$AK$4:$AM$9,2,FALSE)=0,"Spatial Data Missing ⚠",VLOOKUP(J54,'G-7 WaterC'' Data'!$AK$4:$AM$6,2,FALSE)))</f>
        <v/>
      </c>
      <c r="L54" s="305" t="str">
        <f>IF(J54="","",IF(VLOOKUP(J54,'G-7 WaterC'' Data'!$AK$4:$AM$9,3,FALSE)=0,"Spatial Data Missing ⚠",VLOOKUP(J54,'G-7 WaterC'' Data'!$AK$4:$AM$6,3,FALSE)))</f>
        <v/>
      </c>
      <c r="M54" s="106"/>
      <c r="N54" s="282" t="str">
        <f>IF(M54="","",IF(AND(M54="N/A - Culvert",D54&lt;&gt;"Culvert"),"Not possible ▲",IF(AND(D54="Culvert",M54&lt;&gt;"N/A - Culvert"),"Not possible ▲",IF(VLOOKUP(M54,'G-7 WaterC'' Data'!$AA$4:$AB$7,2,FALSE)=0,"Spatial Data Missing ⚠",VLOOKUP(M54,'G-7 WaterC'' Data'!$AA$4:$AB$7,2,FALSE)))))</f>
        <v/>
      </c>
      <c r="O54" s="56"/>
      <c r="P54" s="282" t="str">
        <f>IF(O54="","",IF(AND(O54="N/A - Culvert",D54&lt;&gt;"Culvert"),"Not possible ▲",IF(AND(D54="Culvert",O54&lt;&gt;"N/A - Culvert"),"Not possible ▲",IF(VLOOKUP(O54,'G-7 WaterC'' Data'!$AD$4:$AE$14,2,FALSE)=0,"Spatial Data Missing ⚠",VLOOKUP(O54,'G-7 WaterC'' Data'!$AD$4:$AE$14,2,FALSE)))))</f>
        <v/>
      </c>
      <c r="Q54" s="288" t="str">
        <f>IF(D54="","",VLOOKUP(D54,'G-7 WaterC'' Data'!$B$4:$G$8,6,FALSE))</f>
        <v/>
      </c>
      <c r="R54" s="295" t="str">
        <f t="shared" si="1"/>
        <v xml:space="preserve"> </v>
      </c>
      <c r="S54" s="403"/>
      <c r="T54" s="287" t="str">
        <f>IF(S54="","",IF(VLOOKUP(S54,'G-7 WaterC'' Data'!$AO$4:$BO$7,2,FALSE)=0,"Spatial Data Missing ⚠",VLOOKUP(S54,'G-7 WaterC'' Data'!$AO$4:$BO$7,2,FALSE)))</f>
        <v/>
      </c>
      <c r="U54" s="295" t="str">
        <f t="shared" si="2"/>
        <v xml:space="preserve"> </v>
      </c>
      <c r="V54" s="710" t="str">
        <f t="shared" si="3"/>
        <v/>
      </c>
      <c r="W54" s="32"/>
      <c r="X54" s="105"/>
      <c r="Y54" s="112"/>
      <c r="Z54" s="293" t="str">
        <f t="shared" si="4"/>
        <v/>
      </c>
      <c r="AA54" s="293" t="str">
        <f t="shared" si="5"/>
        <v/>
      </c>
      <c r="AB54" s="293" t="str">
        <f t="shared" si="6"/>
        <v/>
      </c>
      <c r="AC54" s="507" t="str">
        <f>IFERROR(IF(OR(E54="",R54=""),"", IF(AND(AB54&lt;&gt;"",S54=""), "Spatial risk category missing ▲", IF(AND(Q54='G-7 WaterC'' Data'!$G$4,AD54="Yes"),"Alternative Compensation ✓", IF(AND(AD54="Pending", Q54='G-7 WaterC'' Data'!$G$4),"Bespoke compensation must be agreed ▲", IF((Z54+AA54)&gt;=U54,0, U54-Z54-AA54))))),"Check Data ⚠")</f>
        <v/>
      </c>
      <c r="AD54" s="403"/>
      <c r="AE54" s="109"/>
      <c r="AF54" s="108"/>
      <c r="AG54" s="108"/>
      <c r="AH54" s="108"/>
      <c r="AI54" s="54" t="str">
        <f>IF(OR(Q54="",AD54="Yes"),"",IF(Q54='G-1 All Habitats'!$X$9,E54-Y54-X54,"None"))</f>
        <v/>
      </c>
      <c r="AJ54" s="55" t="str">
        <f>IF(Q54="","", IF(Q54='G-1 All Habitats'!$X$9, AI54*G54*I54*L54*N54*P54,"None"))</f>
        <v/>
      </c>
      <c r="AK54" s="30" t="str">
        <f>IFERROR(INDEX('G-7 WaterC'' Data'!$AZ$3:$AZ$7,MATCH(D54,'G-7 WaterC'' Data'!$AY$3:$AY$7,0)),"")</f>
        <v/>
      </c>
      <c r="AL54" s="30">
        <f t="shared" si="7"/>
        <v>0</v>
      </c>
      <c r="AM54" s="111" t="str">
        <f t="shared" si="8"/>
        <v/>
      </c>
      <c r="AN54" s="111" t="str">
        <f t="shared" si="9"/>
        <v/>
      </c>
      <c r="AP54" s="111">
        <v>45</v>
      </c>
      <c r="AR54" s="111" t="str">
        <f t="array" ref="AR54">IFERROR(INDEX($AP$10:$AP$258, MATCH(0, IF(TRUE=$AM$10:$AM$258, COUNTIF($AR$9:$AR53, $AP$10:$AP$258), ""), 0)),"")</f>
        <v/>
      </c>
      <c r="AS54" s="111" t="str">
        <f t="array" ref="AS54">IFERROR(INDEX($AP$10:$AP$258, MATCH(0, IF(TRUE=$AN$10:$AN$258, COUNTIF($AS$9:$AS53, $AP$10:$AP$258), ""), 0)),"")</f>
        <v/>
      </c>
      <c r="AT54" s="903" t="str">
        <f>IF(AND(OR(AD54="Yes",AD54="Pending"),Q54='G-7 WaterC'' Data'!$G$4),U54-AA54-Z54,"0")</f>
        <v>0</v>
      </c>
      <c r="AU54" s="30" t="str">
        <f>IF(D54="","",VLOOKUP(D54,'G-7 WaterC'' Data'!B$4:M$8,12,FALSE))</f>
        <v/>
      </c>
      <c r="AV54" s="30" t="str">
        <f t="shared" si="0"/>
        <v/>
      </c>
      <c r="AW54" s="30" t="str">
        <f t="shared" si="10"/>
        <v>No</v>
      </c>
      <c r="BA54" s="571" t="str">
        <f t="shared" si="11"/>
        <v/>
      </c>
    </row>
    <row r="55" spans="3:53" ht="14.4" thickBot="1" x14ac:dyDescent="0.3">
      <c r="C55" s="101">
        <v>46</v>
      </c>
      <c r="D55" s="269"/>
      <c r="E55" s="108"/>
      <c r="F55" s="281" t="str">
        <f>IF(D55="","",VLOOKUP(D55,'G-7 WaterC'' Data'!$B$2:$G$8,2,FALSE))</f>
        <v/>
      </c>
      <c r="G55" s="320" t="str">
        <f>IFERROR(VLOOKUP(F55,'G-7 WaterC'' Data'!$C$4:$D$8,2,FALSE),"")</f>
        <v/>
      </c>
      <c r="H55" s="109"/>
      <c r="I55" s="305" t="str">
        <f>IFERROR(INDEX('G-7 WaterC'' Data'!$H$4:$L$8,MATCH(D55,'G-7 WaterC'' Data'!$B$4:$B$8,0),MATCH(H55,'G-7 WaterC'' Data'!$H$3:$L$3,0)),"")</f>
        <v/>
      </c>
      <c r="J55" s="718"/>
      <c r="K55" s="301" t="str">
        <f>IF(J55="","",IF(VLOOKUP(J55,'G-7 WaterC'' Data'!$AK$4:$AM$9,2,FALSE)=0,"Spatial Data Missing ⚠",VLOOKUP(J55,'G-7 WaterC'' Data'!$AK$4:$AM$6,2,FALSE)))</f>
        <v/>
      </c>
      <c r="L55" s="305" t="str">
        <f>IF(J55="","",IF(VLOOKUP(J55,'G-7 WaterC'' Data'!$AK$4:$AM$9,3,FALSE)=0,"Spatial Data Missing ⚠",VLOOKUP(J55,'G-7 WaterC'' Data'!$AK$4:$AM$6,3,FALSE)))</f>
        <v/>
      </c>
      <c r="M55" s="106"/>
      <c r="N55" s="282" t="str">
        <f>IF(M55="","",IF(AND(M55="N/A - Culvert",D55&lt;&gt;"Culvert"),"Not possible ▲",IF(AND(D55="Culvert",M55&lt;&gt;"N/A - Culvert"),"Not possible ▲",IF(VLOOKUP(M55,'G-7 WaterC'' Data'!$AA$4:$AB$7,2,FALSE)=0,"Spatial Data Missing ⚠",VLOOKUP(M55,'G-7 WaterC'' Data'!$AA$4:$AB$7,2,FALSE)))))</f>
        <v/>
      </c>
      <c r="O55" s="56"/>
      <c r="P55" s="282" t="str">
        <f>IF(O55="","",IF(AND(O55="N/A - Culvert",D55&lt;&gt;"Culvert"),"Not possible ▲",IF(AND(D55="Culvert",O55&lt;&gt;"N/A - Culvert"),"Not possible ▲",IF(VLOOKUP(O55,'G-7 WaterC'' Data'!$AD$4:$AE$14,2,FALSE)=0,"Spatial Data Missing ⚠",VLOOKUP(O55,'G-7 WaterC'' Data'!$AD$4:$AE$14,2,FALSE)))))</f>
        <v/>
      </c>
      <c r="Q55" s="288" t="str">
        <f>IF(D55="","",VLOOKUP(D55,'G-7 WaterC'' Data'!$B$4:$G$8,6,FALSE))</f>
        <v/>
      </c>
      <c r="R55" s="295" t="str">
        <f t="shared" si="1"/>
        <v xml:space="preserve"> </v>
      </c>
      <c r="S55" s="403"/>
      <c r="T55" s="287" t="str">
        <f>IF(S55="","",IF(VLOOKUP(S55,'G-7 WaterC'' Data'!$AO$4:$BO$7,2,FALSE)=0,"Spatial Data Missing ⚠",VLOOKUP(S55,'G-7 WaterC'' Data'!$AO$4:$BO$7,2,FALSE)))</f>
        <v/>
      </c>
      <c r="U55" s="295" t="str">
        <f t="shared" si="2"/>
        <v xml:space="preserve"> </v>
      </c>
      <c r="V55" s="710" t="str">
        <f t="shared" si="3"/>
        <v/>
      </c>
      <c r="W55" s="32"/>
      <c r="X55" s="105"/>
      <c r="Y55" s="112"/>
      <c r="Z55" s="293" t="str">
        <f t="shared" si="4"/>
        <v/>
      </c>
      <c r="AA55" s="293" t="str">
        <f t="shared" si="5"/>
        <v/>
      </c>
      <c r="AB55" s="293" t="str">
        <f t="shared" si="6"/>
        <v/>
      </c>
      <c r="AC55" s="507" t="str">
        <f>IFERROR(IF(OR(E55="",R55=""),"", IF(AND(AB55&lt;&gt;"",S55=""), "Spatial risk category missing ▲", IF(AND(Q55='G-7 WaterC'' Data'!$G$4,AD55="Yes"),"Alternative Compensation ✓", IF(AND(AD55="Pending", Q55='G-7 WaterC'' Data'!$G$4),"Bespoke compensation must be agreed ▲", IF((Z55+AA55)&gt;=U55,0, U55-Z55-AA55))))),"Check Data ⚠")</f>
        <v/>
      </c>
      <c r="AD55" s="403"/>
      <c r="AE55" s="109"/>
      <c r="AF55" s="108"/>
      <c r="AG55" s="108"/>
      <c r="AH55" s="108"/>
      <c r="AI55" s="54" t="str">
        <f>IF(OR(Q55="",AD55="Yes"),"",IF(Q55='G-1 All Habitats'!$X$9,E55-Y55-X55,"None"))</f>
        <v/>
      </c>
      <c r="AJ55" s="55" t="str">
        <f>IF(Q55="","", IF(Q55='G-1 All Habitats'!$X$9, AI55*G55*I55*L55*N55*P55,"None"))</f>
        <v/>
      </c>
      <c r="AK55" s="30" t="str">
        <f>IFERROR(INDEX('G-7 WaterC'' Data'!$AZ$3:$AZ$7,MATCH(D55,'G-7 WaterC'' Data'!$AY$3:$AY$7,0)),"")</f>
        <v/>
      </c>
      <c r="AL55" s="30">
        <f t="shared" si="7"/>
        <v>0</v>
      </c>
      <c r="AM55" s="111" t="str">
        <f t="shared" si="8"/>
        <v/>
      </c>
      <c r="AN55" s="111" t="str">
        <f t="shared" si="9"/>
        <v/>
      </c>
      <c r="AP55" s="111">
        <v>46</v>
      </c>
      <c r="AR55" s="111" t="str">
        <f t="array" ref="AR55">IFERROR(INDEX($AP$10:$AP$258, MATCH(0, IF(TRUE=$AM$10:$AM$258, COUNTIF($AR$9:$AR54, $AP$10:$AP$258), ""), 0)),"")</f>
        <v/>
      </c>
      <c r="AS55" s="111" t="str">
        <f t="array" ref="AS55">IFERROR(INDEX($AP$10:$AP$258, MATCH(0, IF(TRUE=$AN$10:$AN$258, COUNTIF($AS$9:$AS54, $AP$10:$AP$258), ""), 0)),"")</f>
        <v/>
      </c>
      <c r="AT55" s="903" t="str">
        <f>IF(AND(OR(AD55="Yes",AD55="Pending"),Q55='G-7 WaterC'' Data'!$G$4),U55-AA55-Z55,"0")</f>
        <v>0</v>
      </c>
      <c r="AU55" s="30" t="str">
        <f>IF(D55="","",VLOOKUP(D55,'G-7 WaterC'' Data'!B$4:M$8,12,FALSE))</f>
        <v/>
      </c>
      <c r="AV55" s="30" t="str">
        <f t="shared" si="0"/>
        <v/>
      </c>
      <c r="AW55" s="30" t="str">
        <f t="shared" si="10"/>
        <v>No</v>
      </c>
      <c r="BA55" s="571" t="str">
        <f t="shared" si="11"/>
        <v/>
      </c>
    </row>
    <row r="56" spans="3:53" ht="14.4" thickBot="1" x14ac:dyDescent="0.3">
      <c r="C56" s="101">
        <v>47</v>
      </c>
      <c r="D56" s="269"/>
      <c r="E56" s="108"/>
      <c r="F56" s="281" t="str">
        <f>IF(D56="","",VLOOKUP(D56,'G-7 WaterC'' Data'!$B$2:$G$8,2,FALSE))</f>
        <v/>
      </c>
      <c r="G56" s="320" t="str">
        <f>IFERROR(VLOOKUP(F56,'G-7 WaterC'' Data'!$C$4:$D$8,2,FALSE),"")</f>
        <v/>
      </c>
      <c r="H56" s="109"/>
      <c r="I56" s="305" t="str">
        <f>IFERROR(INDEX('G-7 WaterC'' Data'!$H$4:$L$8,MATCH(D56,'G-7 WaterC'' Data'!$B$4:$B$8,0),MATCH(H56,'G-7 WaterC'' Data'!$H$3:$L$3,0)),"")</f>
        <v/>
      </c>
      <c r="J56" s="718"/>
      <c r="K56" s="301" t="str">
        <f>IF(J56="","",IF(VLOOKUP(J56,'G-7 WaterC'' Data'!$AK$4:$AM$9,2,FALSE)=0,"Spatial Data Missing ⚠",VLOOKUP(J56,'G-7 WaterC'' Data'!$AK$4:$AM$6,2,FALSE)))</f>
        <v/>
      </c>
      <c r="L56" s="305" t="str">
        <f>IF(J56="","",IF(VLOOKUP(J56,'G-7 WaterC'' Data'!$AK$4:$AM$9,3,FALSE)=0,"Spatial Data Missing ⚠",VLOOKUP(J56,'G-7 WaterC'' Data'!$AK$4:$AM$6,3,FALSE)))</f>
        <v/>
      </c>
      <c r="M56" s="106"/>
      <c r="N56" s="282" t="str">
        <f>IF(M56="","",IF(AND(M56="N/A - Culvert",D56&lt;&gt;"Culvert"),"Not possible ▲",IF(AND(D56="Culvert",M56&lt;&gt;"N/A - Culvert"),"Not possible ▲",IF(VLOOKUP(M56,'G-7 WaterC'' Data'!$AA$4:$AB$7,2,FALSE)=0,"Spatial Data Missing ⚠",VLOOKUP(M56,'G-7 WaterC'' Data'!$AA$4:$AB$7,2,FALSE)))))</f>
        <v/>
      </c>
      <c r="O56" s="56"/>
      <c r="P56" s="282" t="str">
        <f>IF(O56="","",IF(AND(O56="N/A - Culvert",D56&lt;&gt;"Culvert"),"Not possible ▲",IF(AND(D56="Culvert",O56&lt;&gt;"N/A - Culvert"),"Not possible ▲",IF(VLOOKUP(O56,'G-7 WaterC'' Data'!$AD$4:$AE$14,2,FALSE)=0,"Spatial Data Missing ⚠",VLOOKUP(O56,'G-7 WaterC'' Data'!$AD$4:$AE$14,2,FALSE)))))</f>
        <v/>
      </c>
      <c r="Q56" s="288" t="str">
        <f>IF(D56="","",VLOOKUP(D56,'G-7 WaterC'' Data'!$B$4:$G$8,6,FALSE))</f>
        <v/>
      </c>
      <c r="R56" s="295" t="str">
        <f t="shared" si="1"/>
        <v xml:space="preserve"> </v>
      </c>
      <c r="S56" s="403"/>
      <c r="T56" s="287" t="str">
        <f>IF(S56="","",IF(VLOOKUP(S56,'G-7 WaterC'' Data'!$AO$4:$BO$7,2,FALSE)=0,"Spatial Data Missing ⚠",VLOOKUP(S56,'G-7 WaterC'' Data'!$AO$4:$BO$7,2,FALSE)))</f>
        <v/>
      </c>
      <c r="U56" s="295" t="str">
        <f t="shared" si="2"/>
        <v xml:space="preserve"> </v>
      </c>
      <c r="V56" s="710" t="str">
        <f t="shared" si="3"/>
        <v/>
      </c>
      <c r="W56" s="32"/>
      <c r="X56" s="105"/>
      <c r="Y56" s="112"/>
      <c r="Z56" s="293" t="str">
        <f t="shared" si="4"/>
        <v/>
      </c>
      <c r="AA56" s="293" t="str">
        <f t="shared" si="5"/>
        <v/>
      </c>
      <c r="AB56" s="293" t="str">
        <f t="shared" si="6"/>
        <v/>
      </c>
      <c r="AC56" s="507" t="str">
        <f>IFERROR(IF(OR(E56="",R56=""),"", IF(AND(AB56&lt;&gt;"",S56=""), "Spatial risk category missing ▲", IF(AND(Q56='G-7 WaterC'' Data'!$G$4,AD56="Yes"),"Alternative Compensation ✓", IF(AND(AD56="Pending", Q56='G-7 WaterC'' Data'!$G$4),"Bespoke compensation must be agreed ▲", IF((Z56+AA56)&gt;=U56,0, U56-Z56-AA56))))),"Check Data ⚠")</f>
        <v/>
      </c>
      <c r="AD56" s="403"/>
      <c r="AE56" s="109"/>
      <c r="AF56" s="108"/>
      <c r="AG56" s="108"/>
      <c r="AH56" s="108"/>
      <c r="AI56" s="54" t="str">
        <f>IF(OR(Q56="",AD56="Yes"),"",IF(Q56='G-1 All Habitats'!$X$9,E56-Y56-X56,"None"))</f>
        <v/>
      </c>
      <c r="AJ56" s="55" t="str">
        <f>IF(Q56="","", IF(Q56='G-1 All Habitats'!$X$9, AI56*G56*I56*L56*N56*P56,"None"))</f>
        <v/>
      </c>
      <c r="AK56" s="30" t="str">
        <f>IFERROR(INDEX('G-7 WaterC'' Data'!$AZ$3:$AZ$7,MATCH(D56,'G-7 WaterC'' Data'!$AY$3:$AY$7,0)),"")</f>
        <v/>
      </c>
      <c r="AL56" s="30">
        <f t="shared" si="7"/>
        <v>0</v>
      </c>
      <c r="AM56" s="111" t="str">
        <f t="shared" si="8"/>
        <v/>
      </c>
      <c r="AN56" s="111" t="str">
        <f t="shared" si="9"/>
        <v/>
      </c>
      <c r="AP56" s="111">
        <v>47</v>
      </c>
      <c r="AR56" s="111" t="str">
        <f t="array" ref="AR56">IFERROR(INDEX($AP$10:$AP$258, MATCH(0, IF(TRUE=$AM$10:$AM$258, COUNTIF($AR$9:$AR55, $AP$10:$AP$258), ""), 0)),"")</f>
        <v/>
      </c>
      <c r="AS56" s="111" t="str">
        <f t="array" ref="AS56">IFERROR(INDEX($AP$10:$AP$258, MATCH(0, IF(TRUE=$AN$10:$AN$258, COUNTIF($AS$9:$AS55, $AP$10:$AP$258), ""), 0)),"")</f>
        <v/>
      </c>
      <c r="AT56" s="903" t="str">
        <f>IF(AND(OR(AD56="Yes",AD56="Pending"),Q56='G-7 WaterC'' Data'!$G$4),U56-AA56-Z56,"0")</f>
        <v>0</v>
      </c>
      <c r="AU56" s="30" t="str">
        <f>IF(D56="","",VLOOKUP(D56,'G-7 WaterC'' Data'!B$4:M$8,12,FALSE))</f>
        <v/>
      </c>
      <c r="AV56" s="30" t="str">
        <f t="shared" si="0"/>
        <v/>
      </c>
      <c r="AW56" s="30" t="str">
        <f t="shared" si="10"/>
        <v>No</v>
      </c>
      <c r="BA56" s="571" t="str">
        <f t="shared" si="11"/>
        <v/>
      </c>
    </row>
    <row r="57" spans="3:53" ht="14.4" thickBot="1" x14ac:dyDescent="0.3">
      <c r="C57" s="101">
        <v>48</v>
      </c>
      <c r="D57" s="269"/>
      <c r="E57" s="108"/>
      <c r="F57" s="281" t="str">
        <f>IF(D57="","",VLOOKUP(D57,'G-7 WaterC'' Data'!$B$2:$G$8,2,FALSE))</f>
        <v/>
      </c>
      <c r="G57" s="320" t="str">
        <f>IFERROR(VLOOKUP(F57,'G-7 WaterC'' Data'!$C$4:$D$8,2,FALSE),"")</f>
        <v/>
      </c>
      <c r="H57" s="109"/>
      <c r="I57" s="305" t="str">
        <f>IFERROR(INDEX('G-7 WaterC'' Data'!$H$4:$L$8,MATCH(D57,'G-7 WaterC'' Data'!$B$4:$B$8,0),MATCH(H57,'G-7 WaterC'' Data'!$H$3:$L$3,0)),"")</f>
        <v/>
      </c>
      <c r="J57" s="718"/>
      <c r="K57" s="301" t="str">
        <f>IF(J57="","",IF(VLOOKUP(J57,'G-7 WaterC'' Data'!$AK$4:$AM$9,2,FALSE)=0,"Spatial Data Missing ⚠",VLOOKUP(J57,'G-7 WaterC'' Data'!$AK$4:$AM$6,2,FALSE)))</f>
        <v/>
      </c>
      <c r="L57" s="305" t="str">
        <f>IF(J57="","",IF(VLOOKUP(J57,'G-7 WaterC'' Data'!$AK$4:$AM$9,3,FALSE)=0,"Spatial Data Missing ⚠",VLOOKUP(J57,'G-7 WaterC'' Data'!$AK$4:$AM$6,3,FALSE)))</f>
        <v/>
      </c>
      <c r="M57" s="106"/>
      <c r="N57" s="282" t="str">
        <f>IF(M57="","",IF(AND(M57="N/A - Culvert",D57&lt;&gt;"Culvert"),"Not possible ▲",IF(AND(D57="Culvert",M57&lt;&gt;"N/A - Culvert"),"Not possible ▲",IF(VLOOKUP(M57,'G-7 WaterC'' Data'!$AA$4:$AB$7,2,FALSE)=0,"Spatial Data Missing ⚠",VLOOKUP(M57,'G-7 WaterC'' Data'!$AA$4:$AB$7,2,FALSE)))))</f>
        <v/>
      </c>
      <c r="O57" s="56"/>
      <c r="P57" s="282" t="str">
        <f>IF(O57="","",IF(AND(O57="N/A - Culvert",D57&lt;&gt;"Culvert"),"Not possible ▲",IF(AND(D57="Culvert",O57&lt;&gt;"N/A - Culvert"),"Not possible ▲",IF(VLOOKUP(O57,'G-7 WaterC'' Data'!$AD$4:$AE$14,2,FALSE)=0,"Spatial Data Missing ⚠",VLOOKUP(O57,'G-7 WaterC'' Data'!$AD$4:$AE$14,2,FALSE)))))</f>
        <v/>
      </c>
      <c r="Q57" s="288" t="str">
        <f>IF(D57="","",VLOOKUP(D57,'G-7 WaterC'' Data'!$B$4:$G$8,6,FALSE))</f>
        <v/>
      </c>
      <c r="R57" s="295" t="str">
        <f t="shared" si="1"/>
        <v xml:space="preserve"> </v>
      </c>
      <c r="S57" s="403"/>
      <c r="T57" s="287" t="str">
        <f>IF(S57="","",IF(VLOOKUP(S57,'G-7 WaterC'' Data'!$AO$4:$BO$7,2,FALSE)=0,"Spatial Data Missing ⚠",VLOOKUP(S57,'G-7 WaterC'' Data'!$AO$4:$BO$7,2,FALSE)))</f>
        <v/>
      </c>
      <c r="U57" s="295" t="str">
        <f t="shared" si="2"/>
        <v xml:space="preserve"> </v>
      </c>
      <c r="V57" s="710" t="str">
        <f t="shared" si="3"/>
        <v/>
      </c>
      <c r="W57" s="32"/>
      <c r="X57" s="105"/>
      <c r="Y57" s="112"/>
      <c r="Z57" s="293" t="str">
        <f t="shared" si="4"/>
        <v/>
      </c>
      <c r="AA57" s="293" t="str">
        <f t="shared" si="5"/>
        <v/>
      </c>
      <c r="AB57" s="293" t="str">
        <f t="shared" si="6"/>
        <v/>
      </c>
      <c r="AC57" s="507" t="str">
        <f>IFERROR(IF(OR(E57="",R57=""),"", IF(AND(AB57&lt;&gt;"",S57=""), "Spatial risk category missing ▲", IF(AND(Q57='G-7 WaterC'' Data'!$G$4,AD57="Yes"),"Alternative Compensation ✓", IF(AND(AD57="Pending", Q57='G-7 WaterC'' Data'!$G$4),"Bespoke compensation must be agreed ▲", IF((Z57+AA57)&gt;=U57,0, U57-Z57-AA57))))),"Check Data ⚠")</f>
        <v/>
      </c>
      <c r="AD57" s="403"/>
      <c r="AE57" s="109"/>
      <c r="AF57" s="108"/>
      <c r="AG57" s="108"/>
      <c r="AH57" s="108"/>
      <c r="AI57" s="54" t="str">
        <f>IF(OR(Q57="",AD57="Yes"),"",IF(Q57='G-1 All Habitats'!$X$9,E57-Y57-X57,"None"))</f>
        <v/>
      </c>
      <c r="AJ57" s="55" t="str">
        <f>IF(Q57="","", IF(Q57='G-1 All Habitats'!$X$9, AI57*G57*I57*L57*N57*P57,"None"))</f>
        <v/>
      </c>
      <c r="AK57" s="30" t="str">
        <f>IFERROR(INDEX('G-7 WaterC'' Data'!$AZ$3:$AZ$7,MATCH(D57,'G-7 WaterC'' Data'!$AY$3:$AY$7,0)),"")</f>
        <v/>
      </c>
      <c r="AL57" s="30">
        <f t="shared" si="7"/>
        <v>0</v>
      </c>
      <c r="AM57" s="111" t="str">
        <f t="shared" si="8"/>
        <v/>
      </c>
      <c r="AN57" s="111" t="str">
        <f t="shared" si="9"/>
        <v/>
      </c>
      <c r="AP57" s="111">
        <v>48</v>
      </c>
      <c r="AR57" s="111" t="str">
        <f t="array" ref="AR57">IFERROR(INDEX($AP$10:$AP$258, MATCH(0, IF(TRUE=$AM$10:$AM$258, COUNTIF($AR$9:$AR56, $AP$10:$AP$258), ""), 0)),"")</f>
        <v/>
      </c>
      <c r="AS57" s="111" t="str">
        <f t="array" ref="AS57">IFERROR(INDEX($AP$10:$AP$258, MATCH(0, IF(TRUE=$AN$10:$AN$258, COUNTIF($AS$9:$AS56, $AP$10:$AP$258), ""), 0)),"")</f>
        <v/>
      </c>
      <c r="AT57" s="903" t="str">
        <f>IF(AND(OR(AD57="Yes",AD57="Pending"),Q57='G-7 WaterC'' Data'!$G$4),U57-AA57-Z57,"0")</f>
        <v>0</v>
      </c>
      <c r="AU57" s="30" t="str">
        <f>IF(D57="","",VLOOKUP(D57,'G-7 WaterC'' Data'!B$4:M$8,12,FALSE))</f>
        <v/>
      </c>
      <c r="AV57" s="30" t="str">
        <f t="shared" si="0"/>
        <v/>
      </c>
      <c r="AW57" s="30" t="str">
        <f t="shared" si="10"/>
        <v>No</v>
      </c>
      <c r="BA57" s="571" t="str">
        <f t="shared" si="11"/>
        <v/>
      </c>
    </row>
    <row r="58" spans="3:53" ht="14.4" thickBot="1" x14ac:dyDescent="0.3">
      <c r="C58" s="101">
        <v>49</v>
      </c>
      <c r="D58" s="269"/>
      <c r="E58" s="108"/>
      <c r="F58" s="281" t="str">
        <f>IF(D58="","",VLOOKUP(D58,'G-7 WaterC'' Data'!$B$2:$G$8,2,FALSE))</f>
        <v/>
      </c>
      <c r="G58" s="320" t="str">
        <f>IFERROR(VLOOKUP(F58,'G-7 WaterC'' Data'!$C$4:$D$8,2,FALSE),"")</f>
        <v/>
      </c>
      <c r="H58" s="109"/>
      <c r="I58" s="305" t="str">
        <f>IFERROR(INDEX('G-7 WaterC'' Data'!$H$4:$L$8,MATCH(D58,'G-7 WaterC'' Data'!$B$4:$B$8,0),MATCH(H58,'G-7 WaterC'' Data'!$H$3:$L$3,0)),"")</f>
        <v/>
      </c>
      <c r="J58" s="718"/>
      <c r="K58" s="301" t="str">
        <f>IF(J58="","",IF(VLOOKUP(J58,'G-7 WaterC'' Data'!$AK$4:$AM$9,2,FALSE)=0,"Spatial Data Missing ⚠",VLOOKUP(J58,'G-7 WaterC'' Data'!$AK$4:$AM$6,2,FALSE)))</f>
        <v/>
      </c>
      <c r="L58" s="305" t="str">
        <f>IF(J58="","",IF(VLOOKUP(J58,'G-7 WaterC'' Data'!$AK$4:$AM$9,3,FALSE)=0,"Spatial Data Missing ⚠",VLOOKUP(J58,'G-7 WaterC'' Data'!$AK$4:$AM$6,3,FALSE)))</f>
        <v/>
      </c>
      <c r="M58" s="106"/>
      <c r="N58" s="282" t="str">
        <f>IF(M58="","",IF(AND(M58="N/A - Culvert",D58&lt;&gt;"Culvert"),"Not possible ▲",IF(AND(D58="Culvert",M58&lt;&gt;"N/A - Culvert"),"Not possible ▲",IF(VLOOKUP(M58,'G-7 WaterC'' Data'!$AA$4:$AB$7,2,FALSE)=0,"Spatial Data Missing ⚠",VLOOKUP(M58,'G-7 WaterC'' Data'!$AA$4:$AB$7,2,FALSE)))))</f>
        <v/>
      </c>
      <c r="O58" s="56"/>
      <c r="P58" s="282" t="str">
        <f>IF(O58="","",IF(AND(O58="N/A - Culvert",D58&lt;&gt;"Culvert"),"Not possible ▲",IF(AND(D58="Culvert",O58&lt;&gt;"N/A - Culvert"),"Not possible ▲",IF(VLOOKUP(O58,'G-7 WaterC'' Data'!$AD$4:$AE$14,2,FALSE)=0,"Spatial Data Missing ⚠",VLOOKUP(O58,'G-7 WaterC'' Data'!$AD$4:$AE$14,2,FALSE)))))</f>
        <v/>
      </c>
      <c r="Q58" s="288" t="str">
        <f>IF(D58="","",VLOOKUP(D58,'G-7 WaterC'' Data'!$B$4:$G$8,6,FALSE))</f>
        <v/>
      </c>
      <c r="R58" s="295" t="str">
        <f t="shared" si="1"/>
        <v xml:space="preserve"> </v>
      </c>
      <c r="S58" s="403"/>
      <c r="T58" s="287" t="str">
        <f>IF(S58="","",IF(VLOOKUP(S58,'G-7 WaterC'' Data'!$AO$4:$BO$7,2,FALSE)=0,"Spatial Data Missing ⚠",VLOOKUP(S58,'G-7 WaterC'' Data'!$AO$4:$BO$7,2,FALSE)))</f>
        <v/>
      </c>
      <c r="U58" s="295" t="str">
        <f t="shared" si="2"/>
        <v xml:space="preserve"> </v>
      </c>
      <c r="V58" s="710" t="str">
        <f t="shared" si="3"/>
        <v/>
      </c>
      <c r="W58" s="32"/>
      <c r="X58" s="105"/>
      <c r="Y58" s="112"/>
      <c r="Z58" s="293" t="str">
        <f t="shared" si="4"/>
        <v/>
      </c>
      <c r="AA58" s="293" t="str">
        <f t="shared" si="5"/>
        <v/>
      </c>
      <c r="AB58" s="293" t="str">
        <f t="shared" si="6"/>
        <v/>
      </c>
      <c r="AC58" s="507" t="str">
        <f>IFERROR(IF(OR(E58="",R58=""),"", IF(AND(AB58&lt;&gt;"",S58=""), "Spatial risk category missing ▲", IF(AND(Q58='G-7 WaterC'' Data'!$G$4,AD58="Yes"),"Alternative Compensation ✓", IF(AND(AD58="Pending", Q58='G-7 WaterC'' Data'!$G$4),"Bespoke compensation must be agreed ▲", IF((Z58+AA58)&gt;=U58,0, U58-Z58-AA58))))),"Check Data ⚠")</f>
        <v/>
      </c>
      <c r="AD58" s="403"/>
      <c r="AE58" s="109"/>
      <c r="AF58" s="108"/>
      <c r="AG58" s="108"/>
      <c r="AH58" s="108"/>
      <c r="AI58" s="54" t="str">
        <f>IF(OR(Q58="",AD58="Yes"),"",IF(Q58='G-1 All Habitats'!$X$9,E58-Y58-X58,"None"))</f>
        <v/>
      </c>
      <c r="AJ58" s="55" t="str">
        <f>IF(Q58="","", IF(Q58='G-1 All Habitats'!$X$9, AI58*G58*I58*L58*N58*P58,"None"))</f>
        <v/>
      </c>
      <c r="AK58" s="30" t="str">
        <f>IFERROR(INDEX('G-7 WaterC'' Data'!$AZ$3:$AZ$7,MATCH(D58,'G-7 WaterC'' Data'!$AY$3:$AY$7,0)),"")</f>
        <v/>
      </c>
      <c r="AL58" s="30">
        <f t="shared" si="7"/>
        <v>0</v>
      </c>
      <c r="AM58" s="111" t="str">
        <f t="shared" si="8"/>
        <v/>
      </c>
      <c r="AN58" s="111" t="str">
        <f t="shared" si="9"/>
        <v/>
      </c>
      <c r="AP58" s="111">
        <v>49</v>
      </c>
      <c r="AR58" s="111" t="str">
        <f t="array" ref="AR58">IFERROR(INDEX($AP$10:$AP$258, MATCH(0, IF(TRUE=$AM$10:$AM$258, COUNTIF($AR$9:$AR57, $AP$10:$AP$258), ""), 0)),"")</f>
        <v/>
      </c>
      <c r="AS58" s="111" t="str">
        <f t="array" ref="AS58">IFERROR(INDEX($AP$10:$AP$258, MATCH(0, IF(TRUE=$AN$10:$AN$258, COUNTIF($AS$9:$AS57, $AP$10:$AP$258), ""), 0)),"")</f>
        <v/>
      </c>
      <c r="AT58" s="903" t="str">
        <f>IF(AND(OR(AD58="Yes",AD58="Pending"),Q58='G-7 WaterC'' Data'!$G$4),U58-AA58-Z58,"0")</f>
        <v>0</v>
      </c>
      <c r="AU58" s="30" t="str">
        <f>IF(D58="","",VLOOKUP(D58,'G-7 WaterC'' Data'!B$4:M$8,12,FALSE))</f>
        <v/>
      </c>
      <c r="AV58" s="30" t="str">
        <f t="shared" si="0"/>
        <v/>
      </c>
      <c r="AW58" s="30" t="str">
        <f t="shared" si="10"/>
        <v>No</v>
      </c>
      <c r="BA58" s="571" t="str">
        <f t="shared" si="11"/>
        <v/>
      </c>
    </row>
    <row r="59" spans="3:53" ht="14.4" thickBot="1" x14ac:dyDescent="0.3">
      <c r="C59" s="101">
        <v>50</v>
      </c>
      <c r="D59" s="269"/>
      <c r="E59" s="108"/>
      <c r="F59" s="281" t="str">
        <f>IF(D59="","",VLOOKUP(D59,'G-7 WaterC'' Data'!$B$2:$G$8,2,FALSE))</f>
        <v/>
      </c>
      <c r="G59" s="320" t="str">
        <f>IFERROR(VLOOKUP(F59,'G-7 WaterC'' Data'!$C$4:$D$8,2,FALSE),"")</f>
        <v/>
      </c>
      <c r="H59" s="109"/>
      <c r="I59" s="305" t="str">
        <f>IFERROR(INDEX('G-7 WaterC'' Data'!$H$4:$L$8,MATCH(D59,'G-7 WaterC'' Data'!$B$4:$B$8,0),MATCH(H59,'G-7 WaterC'' Data'!$H$3:$L$3,0)),"")</f>
        <v/>
      </c>
      <c r="J59" s="718"/>
      <c r="K59" s="301" t="str">
        <f>IF(J59="","",IF(VLOOKUP(J59,'G-7 WaterC'' Data'!$AK$4:$AM$9,2,FALSE)=0,"Spatial Data Missing ⚠",VLOOKUP(J59,'G-7 WaterC'' Data'!$AK$4:$AM$6,2,FALSE)))</f>
        <v/>
      </c>
      <c r="L59" s="305" t="str">
        <f>IF(J59="","",IF(VLOOKUP(J59,'G-7 WaterC'' Data'!$AK$4:$AM$9,3,FALSE)=0,"Spatial Data Missing ⚠",VLOOKUP(J59,'G-7 WaterC'' Data'!$AK$4:$AM$6,3,FALSE)))</f>
        <v/>
      </c>
      <c r="M59" s="106"/>
      <c r="N59" s="282" t="str">
        <f>IF(M59="","",IF(AND(M59="N/A - Culvert",D59&lt;&gt;"Culvert"),"Not possible ▲",IF(AND(D59="Culvert",M59&lt;&gt;"N/A - Culvert"),"Not possible ▲",IF(VLOOKUP(M59,'G-7 WaterC'' Data'!$AA$4:$AB$7,2,FALSE)=0,"Spatial Data Missing ⚠",VLOOKUP(M59,'G-7 WaterC'' Data'!$AA$4:$AB$7,2,FALSE)))))</f>
        <v/>
      </c>
      <c r="O59" s="56"/>
      <c r="P59" s="282" t="str">
        <f>IF(O59="","",IF(AND(O59="N/A - Culvert",D59&lt;&gt;"Culvert"),"Not possible ▲",IF(AND(D59="Culvert",O59&lt;&gt;"N/A - Culvert"),"Not possible ▲",IF(VLOOKUP(O59,'G-7 WaterC'' Data'!$AD$4:$AE$14,2,FALSE)=0,"Spatial Data Missing ⚠",VLOOKUP(O59,'G-7 WaterC'' Data'!$AD$4:$AE$14,2,FALSE)))))</f>
        <v/>
      </c>
      <c r="Q59" s="288" t="str">
        <f>IF(D59="","",VLOOKUP(D59,'G-7 WaterC'' Data'!$B$4:$G$8,6,FALSE))</f>
        <v/>
      </c>
      <c r="R59" s="295" t="str">
        <f t="shared" si="1"/>
        <v xml:space="preserve"> </v>
      </c>
      <c r="S59" s="403"/>
      <c r="T59" s="287" t="str">
        <f>IF(S59="","",IF(VLOOKUP(S59,'G-7 WaterC'' Data'!$AO$4:$BO$7,2,FALSE)=0,"Spatial Data Missing ⚠",VLOOKUP(S59,'G-7 WaterC'' Data'!$AO$4:$BO$7,2,FALSE)))</f>
        <v/>
      </c>
      <c r="U59" s="295" t="str">
        <f t="shared" si="2"/>
        <v xml:space="preserve"> </v>
      </c>
      <c r="V59" s="710" t="str">
        <f t="shared" si="3"/>
        <v/>
      </c>
      <c r="W59" s="32"/>
      <c r="X59" s="105"/>
      <c r="Y59" s="112"/>
      <c r="Z59" s="293" t="str">
        <f t="shared" si="4"/>
        <v/>
      </c>
      <c r="AA59" s="293" t="str">
        <f t="shared" si="5"/>
        <v/>
      </c>
      <c r="AB59" s="293" t="str">
        <f t="shared" si="6"/>
        <v/>
      </c>
      <c r="AC59" s="507" t="str">
        <f>IFERROR(IF(OR(E59="",R59=""),"", IF(AND(AB59&lt;&gt;"",S59=""), "Spatial risk category missing ▲", IF(AND(Q59='G-7 WaterC'' Data'!$G$4,AD59="Yes"),"Alternative Compensation ✓", IF(AND(AD59="Pending", Q59='G-7 WaterC'' Data'!$G$4),"Bespoke compensation must be agreed ▲", IF((Z59+AA59)&gt;=U59,0, U59-Z59-AA59))))),"Check Data ⚠")</f>
        <v/>
      </c>
      <c r="AD59" s="403"/>
      <c r="AE59" s="109"/>
      <c r="AF59" s="108"/>
      <c r="AG59" s="108"/>
      <c r="AH59" s="108"/>
      <c r="AI59" s="54" t="str">
        <f>IF(OR(Q59="",AD59="Yes"),"",IF(Q59='G-1 All Habitats'!$X$9,E59-Y59-X59,"None"))</f>
        <v/>
      </c>
      <c r="AJ59" s="55" t="str">
        <f>IF(Q59="","", IF(Q59='G-1 All Habitats'!$X$9, AI59*G59*I59*L59*N59*P59,"None"))</f>
        <v/>
      </c>
      <c r="AK59" s="30" t="str">
        <f>IFERROR(INDEX('G-7 WaterC'' Data'!$AZ$3:$AZ$7,MATCH(D59,'G-7 WaterC'' Data'!$AY$3:$AY$7,0)),"")</f>
        <v/>
      </c>
      <c r="AL59" s="30">
        <f t="shared" si="7"/>
        <v>0</v>
      </c>
      <c r="AM59" s="111" t="str">
        <f t="shared" si="8"/>
        <v/>
      </c>
      <c r="AN59" s="111" t="str">
        <f t="shared" si="9"/>
        <v/>
      </c>
      <c r="AP59" s="111">
        <v>50</v>
      </c>
      <c r="AR59" s="111" t="str">
        <f t="array" ref="AR59">IFERROR(INDEX($AP$10:$AP$258, MATCH(0, IF(TRUE=$AM$10:$AM$258, COUNTIF($AR$9:$AR58, $AP$10:$AP$258), ""), 0)),"")</f>
        <v/>
      </c>
      <c r="AS59" s="111" t="str">
        <f t="array" ref="AS59">IFERROR(INDEX($AP$10:$AP$258, MATCH(0, IF(TRUE=$AN$10:$AN$258, COUNTIF($AS$9:$AS58, $AP$10:$AP$258), ""), 0)),"")</f>
        <v/>
      </c>
      <c r="AT59" s="903" t="str">
        <f>IF(AND(OR(AD59="Yes",AD59="Pending"),Q59='G-7 WaterC'' Data'!$G$4),U59-AA59-Z59,"0")</f>
        <v>0</v>
      </c>
      <c r="AU59" s="30" t="str">
        <f>IF(D59="","",VLOOKUP(D59,'G-7 WaterC'' Data'!B$4:M$8,12,FALSE))</f>
        <v/>
      </c>
      <c r="AV59" s="30" t="str">
        <f t="shared" si="0"/>
        <v/>
      </c>
      <c r="AW59" s="30" t="str">
        <f t="shared" si="10"/>
        <v>No</v>
      </c>
      <c r="BA59" s="571" t="str">
        <f t="shared" si="11"/>
        <v/>
      </c>
    </row>
    <row r="60" spans="3:53" ht="14.4" thickBot="1" x14ac:dyDescent="0.3">
      <c r="C60" s="101">
        <v>51</v>
      </c>
      <c r="D60" s="269"/>
      <c r="E60" s="108"/>
      <c r="F60" s="281" t="str">
        <f>IF(D60="","",VLOOKUP(D60,'G-7 WaterC'' Data'!$B$2:$G$8,2,FALSE))</f>
        <v/>
      </c>
      <c r="G60" s="320" t="str">
        <f>IFERROR(VLOOKUP(F60,'G-7 WaterC'' Data'!$C$4:$D$8,2,FALSE),"")</f>
        <v/>
      </c>
      <c r="H60" s="109"/>
      <c r="I60" s="305" t="str">
        <f>IFERROR(INDEX('G-7 WaterC'' Data'!$H$4:$L$8,MATCH(D60,'G-7 WaterC'' Data'!$B$4:$B$8,0),MATCH(H60,'G-7 WaterC'' Data'!$H$3:$L$3,0)),"")</f>
        <v/>
      </c>
      <c r="J60" s="718"/>
      <c r="K60" s="301" t="str">
        <f>IF(J60="","",IF(VLOOKUP(J60,'G-7 WaterC'' Data'!$AK$4:$AM$9,2,FALSE)=0,"Spatial Data Missing ⚠",VLOOKUP(J60,'G-7 WaterC'' Data'!$AK$4:$AM$6,2,FALSE)))</f>
        <v/>
      </c>
      <c r="L60" s="305" t="str">
        <f>IF(J60="","",IF(VLOOKUP(J60,'G-7 WaterC'' Data'!$AK$4:$AM$9,3,FALSE)=0,"Spatial Data Missing ⚠",VLOOKUP(J60,'G-7 WaterC'' Data'!$AK$4:$AM$6,3,FALSE)))</f>
        <v/>
      </c>
      <c r="M60" s="106"/>
      <c r="N60" s="282" t="str">
        <f>IF(M60="","",IF(AND(M60="N/A - Culvert",D60&lt;&gt;"Culvert"),"Not possible ▲",IF(AND(D60="Culvert",M60&lt;&gt;"N/A - Culvert"),"Not possible ▲",IF(VLOOKUP(M60,'G-7 WaterC'' Data'!$AA$4:$AB$7,2,FALSE)=0,"Spatial Data Missing ⚠",VLOOKUP(M60,'G-7 WaterC'' Data'!$AA$4:$AB$7,2,FALSE)))))</f>
        <v/>
      </c>
      <c r="O60" s="56"/>
      <c r="P60" s="282" t="str">
        <f>IF(O60="","",IF(AND(O60="N/A - Culvert",D60&lt;&gt;"Culvert"),"Not possible ▲",IF(AND(D60="Culvert",O60&lt;&gt;"N/A - Culvert"),"Not possible ▲",IF(VLOOKUP(O60,'G-7 WaterC'' Data'!$AD$4:$AE$14,2,FALSE)=0,"Spatial Data Missing ⚠",VLOOKUP(O60,'G-7 WaterC'' Data'!$AD$4:$AE$14,2,FALSE)))))</f>
        <v/>
      </c>
      <c r="Q60" s="288" t="str">
        <f>IF(D60="","",VLOOKUP(D60,'G-7 WaterC'' Data'!$B$4:$G$8,6,FALSE))</f>
        <v/>
      </c>
      <c r="R60" s="295" t="str">
        <f t="shared" si="1"/>
        <v xml:space="preserve"> </v>
      </c>
      <c r="S60" s="403"/>
      <c r="T60" s="287" t="str">
        <f>IF(S60="","",IF(VLOOKUP(S60,'G-7 WaterC'' Data'!$AO$4:$BO$7,2,FALSE)=0,"Spatial Data Missing ⚠",VLOOKUP(S60,'G-7 WaterC'' Data'!$AO$4:$BO$7,2,FALSE)))</f>
        <v/>
      </c>
      <c r="U60" s="295" t="str">
        <f t="shared" si="2"/>
        <v xml:space="preserve"> </v>
      </c>
      <c r="V60" s="710" t="str">
        <f t="shared" si="3"/>
        <v/>
      </c>
      <c r="W60" s="32"/>
      <c r="X60" s="105"/>
      <c r="Y60" s="112"/>
      <c r="Z60" s="293" t="str">
        <f t="shared" si="4"/>
        <v/>
      </c>
      <c r="AA60" s="293" t="str">
        <f t="shared" si="5"/>
        <v/>
      </c>
      <c r="AB60" s="293" t="str">
        <f t="shared" si="6"/>
        <v/>
      </c>
      <c r="AC60" s="507" t="str">
        <f>IFERROR(IF(OR(E60="",R60=""),"", IF(AND(AB60&lt;&gt;"",S60=""), "Spatial risk category missing ▲", IF(AND(Q60='G-7 WaterC'' Data'!$G$4,AD60="Yes"),"Alternative Compensation ✓", IF(AND(AD60="Pending", Q60='G-7 WaterC'' Data'!$G$4),"Bespoke compensation must be agreed ▲", IF((Z60+AA60)&gt;=U60,0, U60-Z60-AA60))))),"Check Data ⚠")</f>
        <v/>
      </c>
      <c r="AD60" s="403"/>
      <c r="AE60" s="109"/>
      <c r="AF60" s="108"/>
      <c r="AG60" s="108"/>
      <c r="AH60" s="108"/>
      <c r="AI60" s="54" t="str">
        <f>IF(OR(Q60="",AD60="Yes"),"",IF(Q60='G-1 All Habitats'!$X$9,E60-Y60-X60,"None"))</f>
        <v/>
      </c>
      <c r="AJ60" s="55" t="str">
        <f>IF(Q60="","", IF(Q60='G-1 All Habitats'!$X$9, AI60*G60*I60*L60*N60*P60,"None"))</f>
        <v/>
      </c>
      <c r="AK60" s="30" t="str">
        <f>IFERROR(INDEX('G-7 WaterC'' Data'!$AZ$3:$AZ$7,MATCH(D60,'G-7 WaterC'' Data'!$AY$3:$AY$7,0)),"")</f>
        <v/>
      </c>
      <c r="AL60" s="30">
        <f t="shared" si="7"/>
        <v>0</v>
      </c>
      <c r="AM60" s="111" t="str">
        <f t="shared" si="8"/>
        <v/>
      </c>
      <c r="AN60" s="111" t="str">
        <f t="shared" si="9"/>
        <v/>
      </c>
      <c r="AP60" s="111">
        <v>51</v>
      </c>
      <c r="AR60" s="111" t="str">
        <f t="array" ref="AR60">IFERROR(INDEX($AP$10:$AP$258, MATCH(0, IF(TRUE=$AM$10:$AM$258, COUNTIF($AR$9:$AR59, $AP$10:$AP$258), ""), 0)),"")</f>
        <v/>
      </c>
      <c r="AS60" s="111" t="str">
        <f t="array" ref="AS60">IFERROR(INDEX($AP$10:$AP$258, MATCH(0, IF(TRUE=$AN$10:$AN$258, COUNTIF($AS$9:$AS59, $AP$10:$AP$258), ""), 0)),"")</f>
        <v/>
      </c>
      <c r="AT60" s="903" t="str">
        <f>IF(AND(OR(AD60="Yes",AD60="Pending"),Q60='G-7 WaterC'' Data'!$G$4),U60-AA60-Z60,"0")</f>
        <v>0</v>
      </c>
      <c r="AU60" s="30" t="str">
        <f>IF(D60="","",VLOOKUP(D60,'G-7 WaterC'' Data'!B$4:M$8,12,FALSE))</f>
        <v/>
      </c>
      <c r="AV60" s="30" t="str">
        <f t="shared" si="0"/>
        <v/>
      </c>
      <c r="AW60" s="30" t="str">
        <f t="shared" si="10"/>
        <v>No</v>
      </c>
      <c r="BA60" s="571" t="str">
        <f t="shared" si="11"/>
        <v/>
      </c>
    </row>
    <row r="61" spans="3:53" ht="14.4" thickBot="1" x14ac:dyDescent="0.3">
      <c r="C61" s="101">
        <v>52</v>
      </c>
      <c r="D61" s="269"/>
      <c r="E61" s="108"/>
      <c r="F61" s="281" t="str">
        <f>IF(D61="","",VLOOKUP(D61,'G-7 WaterC'' Data'!$B$2:$G$8,2,FALSE))</f>
        <v/>
      </c>
      <c r="G61" s="320" t="str">
        <f>IFERROR(VLOOKUP(F61,'G-7 WaterC'' Data'!$C$4:$D$8,2,FALSE),"")</f>
        <v/>
      </c>
      <c r="H61" s="109"/>
      <c r="I61" s="305" t="str">
        <f>IFERROR(INDEX('G-7 WaterC'' Data'!$H$4:$L$8,MATCH(D61,'G-7 WaterC'' Data'!$B$4:$B$8,0),MATCH(H61,'G-7 WaterC'' Data'!$H$3:$L$3,0)),"")</f>
        <v/>
      </c>
      <c r="J61" s="718"/>
      <c r="K61" s="301" t="str">
        <f>IF(J61="","",IF(VLOOKUP(J61,'G-7 WaterC'' Data'!$AK$4:$AM$9,2,FALSE)=0,"Spatial Data Missing ⚠",VLOOKUP(J61,'G-7 WaterC'' Data'!$AK$4:$AM$6,2,FALSE)))</f>
        <v/>
      </c>
      <c r="L61" s="305" t="str">
        <f>IF(J61="","",IF(VLOOKUP(J61,'G-7 WaterC'' Data'!$AK$4:$AM$9,3,FALSE)=0,"Spatial Data Missing ⚠",VLOOKUP(J61,'G-7 WaterC'' Data'!$AK$4:$AM$6,3,FALSE)))</f>
        <v/>
      </c>
      <c r="M61" s="106"/>
      <c r="N61" s="282" t="str">
        <f>IF(M61="","",IF(AND(M61="N/A - Culvert",D61&lt;&gt;"Culvert"),"Not possible ▲",IF(AND(D61="Culvert",M61&lt;&gt;"N/A - Culvert"),"Not possible ▲",IF(VLOOKUP(M61,'G-7 WaterC'' Data'!$AA$4:$AB$7,2,FALSE)=0,"Spatial Data Missing ⚠",VLOOKUP(M61,'G-7 WaterC'' Data'!$AA$4:$AB$7,2,FALSE)))))</f>
        <v/>
      </c>
      <c r="O61" s="56"/>
      <c r="P61" s="282" t="str">
        <f>IF(O61="","",IF(AND(O61="N/A - Culvert",D61&lt;&gt;"Culvert"),"Not possible ▲",IF(AND(D61="Culvert",O61&lt;&gt;"N/A - Culvert"),"Not possible ▲",IF(VLOOKUP(O61,'G-7 WaterC'' Data'!$AD$4:$AE$14,2,FALSE)=0,"Spatial Data Missing ⚠",VLOOKUP(O61,'G-7 WaterC'' Data'!$AD$4:$AE$14,2,FALSE)))))</f>
        <v/>
      </c>
      <c r="Q61" s="288" t="str">
        <f>IF(D61="","",VLOOKUP(D61,'G-7 WaterC'' Data'!$B$4:$G$8,6,FALSE))</f>
        <v/>
      </c>
      <c r="R61" s="295" t="str">
        <f t="shared" si="1"/>
        <v xml:space="preserve"> </v>
      </c>
      <c r="S61" s="403"/>
      <c r="T61" s="287" t="str">
        <f>IF(S61="","",IF(VLOOKUP(S61,'G-7 WaterC'' Data'!$AO$4:$BO$7,2,FALSE)=0,"Spatial Data Missing ⚠",VLOOKUP(S61,'G-7 WaterC'' Data'!$AO$4:$BO$7,2,FALSE)))</f>
        <v/>
      </c>
      <c r="U61" s="295" t="str">
        <f t="shared" si="2"/>
        <v xml:space="preserve"> </v>
      </c>
      <c r="V61" s="710" t="str">
        <f t="shared" si="3"/>
        <v/>
      </c>
      <c r="W61" s="32"/>
      <c r="X61" s="105"/>
      <c r="Y61" s="112"/>
      <c r="Z61" s="293" t="str">
        <f t="shared" si="4"/>
        <v/>
      </c>
      <c r="AA61" s="293" t="str">
        <f t="shared" si="5"/>
        <v/>
      </c>
      <c r="AB61" s="293" t="str">
        <f t="shared" si="6"/>
        <v/>
      </c>
      <c r="AC61" s="507" t="str">
        <f>IFERROR(IF(OR(E61="",R61=""),"", IF(AND(AB61&lt;&gt;"",S61=""), "Spatial risk category missing ▲", IF(AND(Q61='G-7 WaterC'' Data'!$G$4,AD61="Yes"),"Alternative Compensation ✓", IF(AND(AD61="Pending", Q61='G-7 WaterC'' Data'!$G$4),"Bespoke compensation must be agreed ▲", IF((Z61+AA61)&gt;=U61,0, U61-Z61-AA61))))),"Check Data ⚠")</f>
        <v/>
      </c>
      <c r="AD61" s="403"/>
      <c r="AE61" s="109"/>
      <c r="AF61" s="108"/>
      <c r="AG61" s="108"/>
      <c r="AH61" s="108"/>
      <c r="AI61" s="54" t="str">
        <f>IF(OR(Q61="",AD61="Yes"),"",IF(Q61='G-1 All Habitats'!$X$9,E61-Y61-X61,"None"))</f>
        <v/>
      </c>
      <c r="AJ61" s="55" t="str">
        <f>IF(Q61="","", IF(Q61='G-1 All Habitats'!$X$9, AI61*G61*I61*L61*N61*P61,"None"))</f>
        <v/>
      </c>
      <c r="AK61" s="30" t="str">
        <f>IFERROR(INDEX('G-7 WaterC'' Data'!$AZ$3:$AZ$7,MATCH(D61,'G-7 WaterC'' Data'!$AY$3:$AY$7,0)),"")</f>
        <v/>
      </c>
      <c r="AL61" s="30">
        <f t="shared" si="7"/>
        <v>0</v>
      </c>
      <c r="AM61" s="111" t="str">
        <f t="shared" si="8"/>
        <v/>
      </c>
      <c r="AN61" s="111" t="str">
        <f t="shared" si="9"/>
        <v/>
      </c>
      <c r="AP61" s="111">
        <v>52</v>
      </c>
      <c r="AR61" s="111" t="str">
        <f t="array" ref="AR61">IFERROR(INDEX($AP$10:$AP$258, MATCH(0, IF(TRUE=$AM$10:$AM$258, COUNTIF($AR$9:$AR60, $AP$10:$AP$258), ""), 0)),"")</f>
        <v/>
      </c>
      <c r="AS61" s="111" t="str">
        <f t="array" ref="AS61">IFERROR(INDEX($AP$10:$AP$258, MATCH(0, IF(TRUE=$AN$10:$AN$258, COUNTIF($AS$9:$AS60, $AP$10:$AP$258), ""), 0)),"")</f>
        <v/>
      </c>
      <c r="AT61" s="903" t="str">
        <f>IF(AND(OR(AD61="Yes",AD61="Pending"),Q61='G-7 WaterC'' Data'!$G$4),U61-AA61-Z61,"0")</f>
        <v>0</v>
      </c>
      <c r="AU61" s="30" t="str">
        <f>IF(D61="","",VLOOKUP(D61,'G-7 WaterC'' Data'!B$4:M$8,12,FALSE))</f>
        <v/>
      </c>
      <c r="AV61" s="30" t="str">
        <f t="shared" si="0"/>
        <v/>
      </c>
      <c r="AW61" s="30" t="str">
        <f t="shared" si="10"/>
        <v>No</v>
      </c>
      <c r="BA61" s="571" t="str">
        <f t="shared" si="11"/>
        <v/>
      </c>
    </row>
    <row r="62" spans="3:53" ht="14.4" thickBot="1" x14ac:dyDescent="0.3">
      <c r="C62" s="101">
        <v>53</v>
      </c>
      <c r="D62" s="269"/>
      <c r="E62" s="108"/>
      <c r="F62" s="281" t="str">
        <f>IF(D62="","",VLOOKUP(D62,'G-7 WaterC'' Data'!$B$2:$G$8,2,FALSE))</f>
        <v/>
      </c>
      <c r="G62" s="320" t="str">
        <f>IFERROR(VLOOKUP(F62,'G-7 WaterC'' Data'!$C$4:$D$8,2,FALSE),"")</f>
        <v/>
      </c>
      <c r="H62" s="109"/>
      <c r="I62" s="305" t="str">
        <f>IFERROR(INDEX('G-7 WaterC'' Data'!$H$4:$L$8,MATCH(D62,'G-7 WaterC'' Data'!$B$4:$B$8,0),MATCH(H62,'G-7 WaterC'' Data'!$H$3:$L$3,0)),"")</f>
        <v/>
      </c>
      <c r="J62" s="718"/>
      <c r="K62" s="301" t="str">
        <f>IF(J62="","",IF(VLOOKUP(J62,'G-7 WaterC'' Data'!$AK$4:$AM$9,2,FALSE)=0,"Spatial Data Missing ⚠",VLOOKUP(J62,'G-7 WaterC'' Data'!$AK$4:$AM$6,2,FALSE)))</f>
        <v/>
      </c>
      <c r="L62" s="305" t="str">
        <f>IF(J62="","",IF(VLOOKUP(J62,'G-7 WaterC'' Data'!$AK$4:$AM$9,3,FALSE)=0,"Spatial Data Missing ⚠",VLOOKUP(J62,'G-7 WaterC'' Data'!$AK$4:$AM$6,3,FALSE)))</f>
        <v/>
      </c>
      <c r="M62" s="106"/>
      <c r="N62" s="282" t="str">
        <f>IF(M62="","",IF(AND(M62="N/A - Culvert",D62&lt;&gt;"Culvert"),"Not possible ▲",IF(AND(D62="Culvert",M62&lt;&gt;"N/A - Culvert"),"Not possible ▲",IF(VLOOKUP(M62,'G-7 WaterC'' Data'!$AA$4:$AB$7,2,FALSE)=0,"Spatial Data Missing ⚠",VLOOKUP(M62,'G-7 WaterC'' Data'!$AA$4:$AB$7,2,FALSE)))))</f>
        <v/>
      </c>
      <c r="O62" s="56"/>
      <c r="P62" s="282" t="str">
        <f>IF(O62="","",IF(AND(O62="N/A - Culvert",D62&lt;&gt;"Culvert"),"Not possible ▲",IF(AND(D62="Culvert",O62&lt;&gt;"N/A - Culvert"),"Not possible ▲",IF(VLOOKUP(O62,'G-7 WaterC'' Data'!$AD$4:$AE$14,2,FALSE)=0,"Spatial Data Missing ⚠",VLOOKUP(O62,'G-7 WaterC'' Data'!$AD$4:$AE$14,2,FALSE)))))</f>
        <v/>
      </c>
      <c r="Q62" s="288" t="str">
        <f>IF(D62="","",VLOOKUP(D62,'G-7 WaterC'' Data'!$B$4:$G$8,6,FALSE))</f>
        <v/>
      </c>
      <c r="R62" s="295" t="str">
        <f t="shared" si="1"/>
        <v xml:space="preserve"> </v>
      </c>
      <c r="S62" s="403"/>
      <c r="T62" s="287" t="str">
        <f>IF(S62="","",IF(VLOOKUP(S62,'G-7 WaterC'' Data'!$AO$4:$BO$7,2,FALSE)=0,"Spatial Data Missing ⚠",VLOOKUP(S62,'G-7 WaterC'' Data'!$AO$4:$BO$7,2,FALSE)))</f>
        <v/>
      </c>
      <c r="U62" s="295" t="str">
        <f t="shared" si="2"/>
        <v xml:space="preserve"> </v>
      </c>
      <c r="V62" s="710" t="str">
        <f t="shared" si="3"/>
        <v/>
      </c>
      <c r="W62" s="32"/>
      <c r="X62" s="105"/>
      <c r="Y62" s="112"/>
      <c r="Z62" s="293" t="str">
        <f t="shared" si="4"/>
        <v/>
      </c>
      <c r="AA62" s="293" t="str">
        <f t="shared" si="5"/>
        <v/>
      </c>
      <c r="AB62" s="293" t="str">
        <f t="shared" si="6"/>
        <v/>
      </c>
      <c r="AC62" s="507" t="str">
        <f>IFERROR(IF(OR(E62="",R62=""),"", IF(AND(AB62&lt;&gt;"",S62=""), "Spatial risk category missing ▲", IF(AND(Q62='G-7 WaterC'' Data'!$G$4,AD62="Yes"),"Alternative Compensation ✓", IF(AND(AD62="Pending", Q62='G-7 WaterC'' Data'!$G$4),"Bespoke compensation must be agreed ▲", IF((Z62+AA62)&gt;=U62,0, U62-Z62-AA62))))),"Check Data ⚠")</f>
        <v/>
      </c>
      <c r="AD62" s="403"/>
      <c r="AE62" s="109"/>
      <c r="AF62" s="108"/>
      <c r="AG62" s="108"/>
      <c r="AH62" s="108"/>
      <c r="AI62" s="54" t="str">
        <f>IF(OR(Q62="",AD62="Yes"),"",IF(Q62='G-1 All Habitats'!$X$9,E62-Y62-X62,"None"))</f>
        <v/>
      </c>
      <c r="AJ62" s="55" t="str">
        <f>IF(Q62="","", IF(Q62='G-1 All Habitats'!$X$9, AI62*G62*I62*L62*N62*P62,"None"))</f>
        <v/>
      </c>
      <c r="AK62" s="30" t="str">
        <f>IFERROR(INDEX('G-7 WaterC'' Data'!$AZ$3:$AZ$7,MATCH(D62,'G-7 WaterC'' Data'!$AY$3:$AY$7,0)),"")</f>
        <v/>
      </c>
      <c r="AL62" s="30">
        <f t="shared" si="7"/>
        <v>0</v>
      </c>
      <c r="AM62" s="111" t="str">
        <f t="shared" si="8"/>
        <v/>
      </c>
      <c r="AN62" s="111" t="str">
        <f t="shared" si="9"/>
        <v/>
      </c>
      <c r="AP62" s="111">
        <v>53</v>
      </c>
      <c r="AR62" s="111" t="str">
        <f t="array" ref="AR62">IFERROR(INDEX($AP$10:$AP$258, MATCH(0, IF(TRUE=$AM$10:$AM$258, COUNTIF($AR$9:$AR61, $AP$10:$AP$258), ""), 0)),"")</f>
        <v/>
      </c>
      <c r="AS62" s="111" t="str">
        <f t="array" ref="AS62">IFERROR(INDEX($AP$10:$AP$258, MATCH(0, IF(TRUE=$AN$10:$AN$258, COUNTIF($AS$9:$AS61, $AP$10:$AP$258), ""), 0)),"")</f>
        <v/>
      </c>
      <c r="AT62" s="903" t="str">
        <f>IF(AND(OR(AD62="Yes",AD62="Pending"),Q62='G-7 WaterC'' Data'!$G$4),U62-AA62-Z62,"0")</f>
        <v>0</v>
      </c>
      <c r="AU62" s="30" t="str">
        <f>IF(D62="","",VLOOKUP(D62,'G-7 WaterC'' Data'!B$4:M$8,12,FALSE))</f>
        <v/>
      </c>
      <c r="AV62" s="30" t="str">
        <f t="shared" si="0"/>
        <v/>
      </c>
      <c r="AW62" s="30" t="str">
        <f t="shared" si="10"/>
        <v>No</v>
      </c>
      <c r="BA62" s="571" t="str">
        <f t="shared" si="11"/>
        <v/>
      </c>
    </row>
    <row r="63" spans="3:53" ht="14.4" thickBot="1" x14ac:dyDescent="0.3">
      <c r="C63" s="101">
        <v>54</v>
      </c>
      <c r="D63" s="269"/>
      <c r="E63" s="108"/>
      <c r="F63" s="281" t="str">
        <f>IF(D63="","",VLOOKUP(D63,'G-7 WaterC'' Data'!$B$2:$G$8,2,FALSE))</f>
        <v/>
      </c>
      <c r="G63" s="320" t="str">
        <f>IFERROR(VLOOKUP(F63,'G-7 WaterC'' Data'!$C$4:$D$8,2,FALSE),"")</f>
        <v/>
      </c>
      <c r="H63" s="109"/>
      <c r="I63" s="305" t="str">
        <f>IFERROR(INDEX('G-7 WaterC'' Data'!$H$4:$L$8,MATCH(D63,'G-7 WaterC'' Data'!$B$4:$B$8,0),MATCH(H63,'G-7 WaterC'' Data'!$H$3:$L$3,0)),"")</f>
        <v/>
      </c>
      <c r="J63" s="718"/>
      <c r="K63" s="301" t="str">
        <f>IF(J63="","",IF(VLOOKUP(J63,'G-7 WaterC'' Data'!$AK$4:$AM$9,2,FALSE)=0,"Spatial Data Missing ⚠",VLOOKUP(J63,'G-7 WaterC'' Data'!$AK$4:$AM$6,2,FALSE)))</f>
        <v/>
      </c>
      <c r="L63" s="305" t="str">
        <f>IF(J63="","",IF(VLOOKUP(J63,'G-7 WaterC'' Data'!$AK$4:$AM$9,3,FALSE)=0,"Spatial Data Missing ⚠",VLOOKUP(J63,'G-7 WaterC'' Data'!$AK$4:$AM$6,3,FALSE)))</f>
        <v/>
      </c>
      <c r="M63" s="106"/>
      <c r="N63" s="282" t="str">
        <f>IF(M63="","",IF(AND(M63="N/A - Culvert",D63&lt;&gt;"Culvert"),"Not possible ▲",IF(AND(D63="Culvert",M63&lt;&gt;"N/A - Culvert"),"Not possible ▲",IF(VLOOKUP(M63,'G-7 WaterC'' Data'!$AA$4:$AB$7,2,FALSE)=0,"Spatial Data Missing ⚠",VLOOKUP(M63,'G-7 WaterC'' Data'!$AA$4:$AB$7,2,FALSE)))))</f>
        <v/>
      </c>
      <c r="O63" s="56"/>
      <c r="P63" s="282" t="str">
        <f>IF(O63="","",IF(AND(O63="N/A - Culvert",D63&lt;&gt;"Culvert"),"Not possible ▲",IF(AND(D63="Culvert",O63&lt;&gt;"N/A - Culvert"),"Not possible ▲",IF(VLOOKUP(O63,'G-7 WaterC'' Data'!$AD$4:$AE$14,2,FALSE)=0,"Spatial Data Missing ⚠",VLOOKUP(O63,'G-7 WaterC'' Data'!$AD$4:$AE$14,2,FALSE)))))</f>
        <v/>
      </c>
      <c r="Q63" s="288" t="str">
        <f>IF(D63="","",VLOOKUP(D63,'G-7 WaterC'' Data'!$B$4:$G$8,6,FALSE))</f>
        <v/>
      </c>
      <c r="R63" s="295" t="str">
        <f t="shared" si="1"/>
        <v xml:space="preserve"> </v>
      </c>
      <c r="S63" s="403"/>
      <c r="T63" s="287" t="str">
        <f>IF(S63="","",IF(VLOOKUP(S63,'G-7 WaterC'' Data'!$AO$4:$BO$7,2,FALSE)=0,"Spatial Data Missing ⚠",VLOOKUP(S63,'G-7 WaterC'' Data'!$AO$4:$BO$7,2,FALSE)))</f>
        <v/>
      </c>
      <c r="U63" s="295" t="str">
        <f t="shared" si="2"/>
        <v xml:space="preserve"> </v>
      </c>
      <c r="V63" s="710" t="str">
        <f t="shared" si="3"/>
        <v/>
      </c>
      <c r="W63" s="32"/>
      <c r="X63" s="105"/>
      <c r="Y63" s="112"/>
      <c r="Z63" s="293" t="str">
        <f t="shared" si="4"/>
        <v/>
      </c>
      <c r="AA63" s="293" t="str">
        <f t="shared" si="5"/>
        <v/>
      </c>
      <c r="AB63" s="293" t="str">
        <f t="shared" si="6"/>
        <v/>
      </c>
      <c r="AC63" s="507" t="str">
        <f>IFERROR(IF(OR(E63="",R63=""),"", IF(AND(AB63&lt;&gt;"",S63=""), "Spatial risk category missing ▲", IF(AND(Q63='G-7 WaterC'' Data'!$G$4,AD63="Yes"),"Alternative Compensation ✓", IF(AND(AD63="Pending", Q63='G-7 WaterC'' Data'!$G$4),"Bespoke compensation must be agreed ▲", IF((Z63+AA63)&gt;=U63,0, U63-Z63-AA63))))),"Check Data ⚠")</f>
        <v/>
      </c>
      <c r="AD63" s="403"/>
      <c r="AE63" s="109"/>
      <c r="AF63" s="108"/>
      <c r="AG63" s="108"/>
      <c r="AH63" s="108"/>
      <c r="AI63" s="54" t="str">
        <f>IF(OR(Q63="",AD63="Yes"),"",IF(Q63='G-1 All Habitats'!$X$9,E63-Y63-X63,"None"))</f>
        <v/>
      </c>
      <c r="AJ63" s="55" t="str">
        <f>IF(Q63="","", IF(Q63='G-1 All Habitats'!$X$9, AI63*G63*I63*L63*N63*P63,"None"))</f>
        <v/>
      </c>
      <c r="AK63" s="30" t="str">
        <f>IFERROR(INDEX('G-7 WaterC'' Data'!$AZ$3:$AZ$7,MATCH(D63,'G-7 WaterC'' Data'!$AY$3:$AY$7,0)),"")</f>
        <v/>
      </c>
      <c r="AL63" s="30">
        <f t="shared" si="7"/>
        <v>0</v>
      </c>
      <c r="AM63" s="111" t="str">
        <f t="shared" si="8"/>
        <v/>
      </c>
      <c r="AN63" s="111" t="str">
        <f t="shared" si="9"/>
        <v/>
      </c>
      <c r="AP63" s="111">
        <v>54</v>
      </c>
      <c r="AR63" s="111" t="str">
        <f t="array" ref="AR63">IFERROR(INDEX($AP$10:$AP$258, MATCH(0, IF(TRUE=$AM$10:$AM$258, COUNTIF($AR$9:$AR62, $AP$10:$AP$258), ""), 0)),"")</f>
        <v/>
      </c>
      <c r="AS63" s="111" t="str">
        <f t="array" ref="AS63">IFERROR(INDEX($AP$10:$AP$258, MATCH(0, IF(TRUE=$AN$10:$AN$258, COUNTIF($AS$9:$AS62, $AP$10:$AP$258), ""), 0)),"")</f>
        <v/>
      </c>
      <c r="AT63" s="903" t="str">
        <f>IF(AND(OR(AD63="Yes",AD63="Pending"),Q63='G-7 WaterC'' Data'!$G$4),U63-AA63-Z63,"0")</f>
        <v>0</v>
      </c>
      <c r="AU63" s="30" t="str">
        <f>IF(D63="","",VLOOKUP(D63,'G-7 WaterC'' Data'!B$4:M$8,12,FALSE))</f>
        <v/>
      </c>
      <c r="AV63" s="30" t="str">
        <f t="shared" si="0"/>
        <v/>
      </c>
      <c r="AW63" s="30" t="str">
        <f t="shared" si="10"/>
        <v>No</v>
      </c>
      <c r="BA63" s="571" t="str">
        <f t="shared" si="11"/>
        <v/>
      </c>
    </row>
    <row r="64" spans="3:53" ht="14.4" thickBot="1" x14ac:dyDescent="0.3">
      <c r="C64" s="101">
        <v>55</v>
      </c>
      <c r="D64" s="269"/>
      <c r="E64" s="108"/>
      <c r="F64" s="281" t="str">
        <f>IF(D64="","",VLOOKUP(D64,'G-7 WaterC'' Data'!$B$2:$G$8,2,FALSE))</f>
        <v/>
      </c>
      <c r="G64" s="320" t="str">
        <f>IFERROR(VLOOKUP(F64,'G-7 WaterC'' Data'!$C$4:$D$8,2,FALSE),"")</f>
        <v/>
      </c>
      <c r="H64" s="109"/>
      <c r="I64" s="305" t="str">
        <f>IFERROR(INDEX('G-7 WaterC'' Data'!$H$4:$L$8,MATCH(D64,'G-7 WaterC'' Data'!$B$4:$B$8,0),MATCH(H64,'G-7 WaterC'' Data'!$H$3:$L$3,0)),"")</f>
        <v/>
      </c>
      <c r="J64" s="718"/>
      <c r="K64" s="301" t="str">
        <f>IF(J64="","",IF(VLOOKUP(J64,'G-7 WaterC'' Data'!$AK$4:$AM$9,2,FALSE)=0,"Spatial Data Missing ⚠",VLOOKUP(J64,'G-7 WaterC'' Data'!$AK$4:$AM$6,2,FALSE)))</f>
        <v/>
      </c>
      <c r="L64" s="305" t="str">
        <f>IF(J64="","",IF(VLOOKUP(J64,'G-7 WaterC'' Data'!$AK$4:$AM$9,3,FALSE)=0,"Spatial Data Missing ⚠",VLOOKUP(J64,'G-7 WaterC'' Data'!$AK$4:$AM$6,3,FALSE)))</f>
        <v/>
      </c>
      <c r="M64" s="106"/>
      <c r="N64" s="282" t="str">
        <f>IF(M64="","",IF(AND(M64="N/A - Culvert",D64&lt;&gt;"Culvert"),"Not possible ▲",IF(AND(D64="Culvert",M64&lt;&gt;"N/A - Culvert"),"Not possible ▲",IF(VLOOKUP(M64,'G-7 WaterC'' Data'!$AA$4:$AB$7,2,FALSE)=0,"Spatial Data Missing ⚠",VLOOKUP(M64,'G-7 WaterC'' Data'!$AA$4:$AB$7,2,FALSE)))))</f>
        <v/>
      </c>
      <c r="O64" s="56"/>
      <c r="P64" s="282" t="str">
        <f>IF(O64="","",IF(AND(O64="N/A - Culvert",D64&lt;&gt;"Culvert"),"Not possible ▲",IF(AND(D64="Culvert",O64&lt;&gt;"N/A - Culvert"),"Not possible ▲",IF(VLOOKUP(O64,'G-7 WaterC'' Data'!$AD$4:$AE$14,2,FALSE)=0,"Spatial Data Missing ⚠",VLOOKUP(O64,'G-7 WaterC'' Data'!$AD$4:$AE$14,2,FALSE)))))</f>
        <v/>
      </c>
      <c r="Q64" s="288" t="str">
        <f>IF(D64="","",VLOOKUP(D64,'G-7 WaterC'' Data'!$B$4:$G$8,6,FALSE))</f>
        <v/>
      </c>
      <c r="R64" s="295" t="str">
        <f t="shared" si="1"/>
        <v xml:space="preserve"> </v>
      </c>
      <c r="S64" s="403"/>
      <c r="T64" s="287" t="str">
        <f>IF(S64="","",IF(VLOOKUP(S64,'G-7 WaterC'' Data'!$AO$4:$BO$7,2,FALSE)=0,"Spatial Data Missing ⚠",VLOOKUP(S64,'G-7 WaterC'' Data'!$AO$4:$BO$7,2,FALSE)))</f>
        <v/>
      </c>
      <c r="U64" s="295" t="str">
        <f t="shared" si="2"/>
        <v xml:space="preserve"> </v>
      </c>
      <c r="V64" s="710" t="str">
        <f t="shared" si="3"/>
        <v/>
      </c>
      <c r="W64" s="32"/>
      <c r="X64" s="105"/>
      <c r="Y64" s="112"/>
      <c r="Z64" s="293" t="str">
        <f t="shared" si="4"/>
        <v/>
      </c>
      <c r="AA64" s="293" t="str">
        <f t="shared" si="5"/>
        <v/>
      </c>
      <c r="AB64" s="293" t="str">
        <f t="shared" si="6"/>
        <v/>
      </c>
      <c r="AC64" s="507" t="str">
        <f>IFERROR(IF(OR(E64="",R64=""),"", IF(AND(AB64&lt;&gt;"",S64=""), "Spatial risk category missing ▲", IF(AND(Q64='G-7 WaterC'' Data'!$G$4,AD64="Yes"),"Alternative Compensation ✓", IF(AND(AD64="Pending", Q64='G-7 WaterC'' Data'!$G$4),"Bespoke compensation must be agreed ▲", IF((Z64+AA64)&gt;=U64,0, U64-Z64-AA64))))),"Check Data ⚠")</f>
        <v/>
      </c>
      <c r="AD64" s="403"/>
      <c r="AE64" s="109"/>
      <c r="AF64" s="108"/>
      <c r="AG64" s="108"/>
      <c r="AH64" s="108"/>
      <c r="AI64" s="54" t="str">
        <f>IF(OR(Q64="",AD64="Yes"),"",IF(Q64='G-1 All Habitats'!$X$9,E64-Y64-X64,"None"))</f>
        <v/>
      </c>
      <c r="AJ64" s="55" t="str">
        <f>IF(Q64="","", IF(Q64='G-1 All Habitats'!$X$9, AI64*G64*I64*L64*N64*P64,"None"))</f>
        <v/>
      </c>
      <c r="AK64" s="30" t="str">
        <f>IFERROR(INDEX('G-7 WaterC'' Data'!$AZ$3:$AZ$7,MATCH(D64,'G-7 WaterC'' Data'!$AY$3:$AY$7,0)),"")</f>
        <v/>
      </c>
      <c r="AL64" s="30">
        <f t="shared" si="7"/>
        <v>0</v>
      </c>
      <c r="AM64" s="111" t="str">
        <f t="shared" si="8"/>
        <v/>
      </c>
      <c r="AN64" s="111" t="str">
        <f t="shared" si="9"/>
        <v/>
      </c>
      <c r="AP64" s="111">
        <v>55</v>
      </c>
      <c r="AR64" s="111" t="str">
        <f t="array" ref="AR64">IFERROR(INDEX($AP$10:$AP$258, MATCH(0, IF(TRUE=$AM$10:$AM$258, COUNTIF($AR$9:$AR63, $AP$10:$AP$258), ""), 0)),"")</f>
        <v/>
      </c>
      <c r="AS64" s="111" t="str">
        <f t="array" ref="AS64">IFERROR(INDEX($AP$10:$AP$258, MATCH(0, IF(TRUE=$AN$10:$AN$258, COUNTIF($AS$9:$AS63, $AP$10:$AP$258), ""), 0)),"")</f>
        <v/>
      </c>
      <c r="AT64" s="903" t="str">
        <f>IF(AND(OR(AD64="Yes",AD64="Pending"),Q64='G-7 WaterC'' Data'!$G$4),U64-AA64-Z64,"0")</f>
        <v>0</v>
      </c>
      <c r="AU64" s="30" t="str">
        <f>IF(D64="","",VLOOKUP(D64,'G-7 WaterC'' Data'!B$4:M$8,12,FALSE))</f>
        <v/>
      </c>
      <c r="AV64" s="30" t="str">
        <f t="shared" si="0"/>
        <v/>
      </c>
      <c r="AW64" s="30" t="str">
        <f t="shared" si="10"/>
        <v>No</v>
      </c>
      <c r="BA64" s="571" t="str">
        <f t="shared" si="11"/>
        <v/>
      </c>
    </row>
    <row r="65" spans="3:53" ht="14.4" thickBot="1" x14ac:dyDescent="0.3">
      <c r="C65" s="101">
        <v>56</v>
      </c>
      <c r="D65" s="269"/>
      <c r="E65" s="108"/>
      <c r="F65" s="281" t="str">
        <f>IF(D65="","",VLOOKUP(D65,'G-7 WaterC'' Data'!$B$2:$G$8,2,FALSE))</f>
        <v/>
      </c>
      <c r="G65" s="320" t="str">
        <f>IFERROR(VLOOKUP(F65,'G-7 WaterC'' Data'!$C$4:$D$8,2,FALSE),"")</f>
        <v/>
      </c>
      <c r="H65" s="109"/>
      <c r="I65" s="305" t="str">
        <f>IFERROR(INDEX('G-7 WaterC'' Data'!$H$4:$L$8,MATCH(D65,'G-7 WaterC'' Data'!$B$4:$B$8,0),MATCH(H65,'G-7 WaterC'' Data'!$H$3:$L$3,0)),"")</f>
        <v/>
      </c>
      <c r="J65" s="718"/>
      <c r="K65" s="301" t="str">
        <f>IF(J65="","",IF(VLOOKUP(J65,'G-7 WaterC'' Data'!$AK$4:$AM$9,2,FALSE)=0,"Spatial Data Missing ⚠",VLOOKUP(J65,'G-7 WaterC'' Data'!$AK$4:$AM$6,2,FALSE)))</f>
        <v/>
      </c>
      <c r="L65" s="305" t="str">
        <f>IF(J65="","",IF(VLOOKUP(J65,'G-7 WaterC'' Data'!$AK$4:$AM$9,3,FALSE)=0,"Spatial Data Missing ⚠",VLOOKUP(J65,'G-7 WaterC'' Data'!$AK$4:$AM$6,3,FALSE)))</f>
        <v/>
      </c>
      <c r="M65" s="106"/>
      <c r="N65" s="282" t="str">
        <f>IF(M65="","",IF(AND(M65="N/A - Culvert",D65&lt;&gt;"Culvert"),"Not possible ▲",IF(AND(D65="Culvert",M65&lt;&gt;"N/A - Culvert"),"Not possible ▲",IF(VLOOKUP(M65,'G-7 WaterC'' Data'!$AA$4:$AB$7,2,FALSE)=0,"Spatial Data Missing ⚠",VLOOKUP(M65,'G-7 WaterC'' Data'!$AA$4:$AB$7,2,FALSE)))))</f>
        <v/>
      </c>
      <c r="O65" s="56"/>
      <c r="P65" s="282" t="str">
        <f>IF(O65="","",IF(AND(O65="N/A - Culvert",D65&lt;&gt;"Culvert"),"Not possible ▲",IF(AND(D65="Culvert",O65&lt;&gt;"N/A - Culvert"),"Not possible ▲",IF(VLOOKUP(O65,'G-7 WaterC'' Data'!$AD$4:$AE$14,2,FALSE)=0,"Spatial Data Missing ⚠",VLOOKUP(O65,'G-7 WaterC'' Data'!$AD$4:$AE$14,2,FALSE)))))</f>
        <v/>
      </c>
      <c r="Q65" s="288" t="str">
        <f>IF(D65="","",VLOOKUP(D65,'G-7 WaterC'' Data'!$B$4:$G$8,6,FALSE))</f>
        <v/>
      </c>
      <c r="R65" s="295" t="str">
        <f t="shared" si="1"/>
        <v xml:space="preserve"> </v>
      </c>
      <c r="S65" s="403"/>
      <c r="T65" s="287" t="str">
        <f>IF(S65="","",IF(VLOOKUP(S65,'G-7 WaterC'' Data'!$AO$4:$BO$7,2,FALSE)=0,"Spatial Data Missing ⚠",VLOOKUP(S65,'G-7 WaterC'' Data'!$AO$4:$BO$7,2,FALSE)))</f>
        <v/>
      </c>
      <c r="U65" s="295" t="str">
        <f t="shared" si="2"/>
        <v xml:space="preserve"> </v>
      </c>
      <c r="V65" s="710" t="str">
        <f t="shared" si="3"/>
        <v/>
      </c>
      <c r="W65" s="32"/>
      <c r="X65" s="105"/>
      <c r="Y65" s="112"/>
      <c r="Z65" s="293" t="str">
        <f t="shared" si="4"/>
        <v/>
      </c>
      <c r="AA65" s="293" t="str">
        <f t="shared" si="5"/>
        <v/>
      </c>
      <c r="AB65" s="293" t="str">
        <f t="shared" si="6"/>
        <v/>
      </c>
      <c r="AC65" s="507" t="str">
        <f>IFERROR(IF(OR(E65="",R65=""),"", IF(AND(AB65&lt;&gt;"",S65=""), "Spatial risk category missing ▲", IF(AND(Q65='G-7 WaterC'' Data'!$G$4,AD65="Yes"),"Alternative Compensation ✓", IF(AND(AD65="Pending", Q65='G-7 WaterC'' Data'!$G$4),"Bespoke compensation must be agreed ▲", IF((Z65+AA65)&gt;=U65,0, U65-Z65-AA65))))),"Check Data ⚠")</f>
        <v/>
      </c>
      <c r="AD65" s="403"/>
      <c r="AE65" s="109"/>
      <c r="AF65" s="108"/>
      <c r="AG65" s="108"/>
      <c r="AH65" s="108"/>
      <c r="AI65" s="54" t="str">
        <f>IF(OR(Q65="",AD65="Yes"),"",IF(Q65='G-1 All Habitats'!$X$9,E65-Y65-X65,"None"))</f>
        <v/>
      </c>
      <c r="AJ65" s="55" t="str">
        <f>IF(Q65="","", IF(Q65='G-1 All Habitats'!$X$9, AI65*G65*I65*L65*N65*P65,"None"))</f>
        <v/>
      </c>
      <c r="AK65" s="30" t="str">
        <f>IFERROR(INDEX('G-7 WaterC'' Data'!$AZ$3:$AZ$7,MATCH(D65,'G-7 WaterC'' Data'!$AY$3:$AY$7,0)),"")</f>
        <v/>
      </c>
      <c r="AL65" s="30">
        <f t="shared" si="7"/>
        <v>0</v>
      </c>
      <c r="AM65" s="111" t="str">
        <f t="shared" si="8"/>
        <v/>
      </c>
      <c r="AN65" s="111" t="str">
        <f t="shared" si="9"/>
        <v/>
      </c>
      <c r="AP65" s="111">
        <v>56</v>
      </c>
      <c r="AR65" s="111" t="str">
        <f t="array" ref="AR65">IFERROR(INDEX($AP$10:$AP$258, MATCH(0, IF(TRUE=$AM$10:$AM$258, COUNTIF($AR$9:$AR64, $AP$10:$AP$258), ""), 0)),"")</f>
        <v/>
      </c>
      <c r="AS65" s="111" t="str">
        <f t="array" ref="AS65">IFERROR(INDEX($AP$10:$AP$258, MATCH(0, IF(TRUE=$AN$10:$AN$258, COUNTIF($AS$9:$AS64, $AP$10:$AP$258), ""), 0)),"")</f>
        <v/>
      </c>
      <c r="AT65" s="903" t="str">
        <f>IF(AND(OR(AD65="Yes",AD65="Pending"),Q65='G-7 WaterC'' Data'!$G$4),U65-AA65-Z65,"0")</f>
        <v>0</v>
      </c>
      <c r="AU65" s="30" t="str">
        <f>IF(D65="","",VLOOKUP(D65,'G-7 WaterC'' Data'!B$4:M$8,12,FALSE))</f>
        <v/>
      </c>
      <c r="AV65" s="30" t="str">
        <f t="shared" si="0"/>
        <v/>
      </c>
      <c r="AW65" s="30" t="str">
        <f t="shared" si="10"/>
        <v>No</v>
      </c>
      <c r="BA65" s="571" t="str">
        <f t="shared" si="11"/>
        <v/>
      </c>
    </row>
    <row r="66" spans="3:53" ht="14.4" thickBot="1" x14ac:dyDescent="0.3">
      <c r="C66" s="101">
        <v>57</v>
      </c>
      <c r="D66" s="269"/>
      <c r="E66" s="108"/>
      <c r="F66" s="281" t="str">
        <f>IF(D66="","",VLOOKUP(D66,'G-7 WaterC'' Data'!$B$2:$G$8,2,FALSE))</f>
        <v/>
      </c>
      <c r="G66" s="320" t="str">
        <f>IFERROR(VLOOKUP(F66,'G-7 WaterC'' Data'!$C$4:$D$8,2,FALSE),"")</f>
        <v/>
      </c>
      <c r="H66" s="109"/>
      <c r="I66" s="305" t="str">
        <f>IFERROR(INDEX('G-7 WaterC'' Data'!$H$4:$L$8,MATCH(D66,'G-7 WaterC'' Data'!$B$4:$B$8,0),MATCH(H66,'G-7 WaterC'' Data'!$H$3:$L$3,0)),"")</f>
        <v/>
      </c>
      <c r="J66" s="718"/>
      <c r="K66" s="301" t="str">
        <f>IF(J66="","",IF(VLOOKUP(J66,'G-7 WaterC'' Data'!$AK$4:$AM$9,2,FALSE)=0,"Spatial Data Missing ⚠",VLOOKUP(J66,'G-7 WaterC'' Data'!$AK$4:$AM$6,2,FALSE)))</f>
        <v/>
      </c>
      <c r="L66" s="305" t="str">
        <f>IF(J66="","",IF(VLOOKUP(J66,'G-7 WaterC'' Data'!$AK$4:$AM$9,3,FALSE)=0,"Spatial Data Missing ⚠",VLOOKUP(J66,'G-7 WaterC'' Data'!$AK$4:$AM$6,3,FALSE)))</f>
        <v/>
      </c>
      <c r="M66" s="106"/>
      <c r="N66" s="282" t="str">
        <f>IF(M66="","",IF(AND(M66="N/A - Culvert",D66&lt;&gt;"Culvert"),"Not possible ▲",IF(AND(D66="Culvert",M66&lt;&gt;"N/A - Culvert"),"Not possible ▲",IF(VLOOKUP(M66,'G-7 WaterC'' Data'!$AA$4:$AB$7,2,FALSE)=0,"Spatial Data Missing ⚠",VLOOKUP(M66,'G-7 WaterC'' Data'!$AA$4:$AB$7,2,FALSE)))))</f>
        <v/>
      </c>
      <c r="O66" s="56"/>
      <c r="P66" s="282" t="str">
        <f>IF(O66="","",IF(AND(O66="N/A - Culvert",D66&lt;&gt;"Culvert"),"Not possible ▲",IF(AND(D66="Culvert",O66&lt;&gt;"N/A - Culvert"),"Not possible ▲",IF(VLOOKUP(O66,'G-7 WaterC'' Data'!$AD$4:$AE$14,2,FALSE)=0,"Spatial Data Missing ⚠",VLOOKUP(O66,'G-7 WaterC'' Data'!$AD$4:$AE$14,2,FALSE)))))</f>
        <v/>
      </c>
      <c r="Q66" s="288" t="str">
        <f>IF(D66="","",VLOOKUP(D66,'G-7 WaterC'' Data'!$B$4:$G$8,6,FALSE))</f>
        <v/>
      </c>
      <c r="R66" s="295" t="str">
        <f t="shared" si="1"/>
        <v xml:space="preserve"> </v>
      </c>
      <c r="S66" s="403"/>
      <c r="T66" s="287" t="str">
        <f>IF(S66="","",IF(VLOOKUP(S66,'G-7 WaterC'' Data'!$AO$4:$BO$7,2,FALSE)=0,"Spatial Data Missing ⚠",VLOOKUP(S66,'G-7 WaterC'' Data'!$AO$4:$BO$7,2,FALSE)))</f>
        <v/>
      </c>
      <c r="U66" s="295" t="str">
        <f t="shared" si="2"/>
        <v xml:space="preserve"> </v>
      </c>
      <c r="V66" s="710" t="str">
        <f t="shared" si="3"/>
        <v/>
      </c>
      <c r="W66" s="32"/>
      <c r="X66" s="105"/>
      <c r="Y66" s="112"/>
      <c r="Z66" s="293" t="str">
        <f t="shared" si="4"/>
        <v/>
      </c>
      <c r="AA66" s="293" t="str">
        <f t="shared" si="5"/>
        <v/>
      </c>
      <c r="AB66" s="293" t="str">
        <f t="shared" si="6"/>
        <v/>
      </c>
      <c r="AC66" s="507" t="str">
        <f>IFERROR(IF(OR(E66="",R66=""),"", IF(AND(AB66&lt;&gt;"",S66=""), "Spatial risk category missing ▲", IF(AND(Q66='G-7 WaterC'' Data'!$G$4,AD66="Yes"),"Alternative Compensation ✓", IF(AND(AD66="Pending", Q66='G-7 WaterC'' Data'!$G$4),"Bespoke compensation must be agreed ▲", IF((Z66+AA66)&gt;=U66,0, U66-Z66-AA66))))),"Check Data ⚠")</f>
        <v/>
      </c>
      <c r="AD66" s="403"/>
      <c r="AE66" s="109"/>
      <c r="AF66" s="108"/>
      <c r="AG66" s="108"/>
      <c r="AH66" s="108"/>
      <c r="AI66" s="54" t="str">
        <f>IF(OR(Q66="",AD66="Yes"),"",IF(Q66='G-1 All Habitats'!$X$9,E66-Y66-X66,"None"))</f>
        <v/>
      </c>
      <c r="AJ66" s="55" t="str">
        <f>IF(Q66="","", IF(Q66='G-1 All Habitats'!$X$9, AI66*G66*I66*L66*N66*P66,"None"))</f>
        <v/>
      </c>
      <c r="AK66" s="30" t="str">
        <f>IFERROR(INDEX('G-7 WaterC'' Data'!$AZ$3:$AZ$7,MATCH(D66,'G-7 WaterC'' Data'!$AY$3:$AY$7,0)),"")</f>
        <v/>
      </c>
      <c r="AL66" s="30">
        <f t="shared" si="7"/>
        <v>0</v>
      </c>
      <c r="AM66" s="111" t="str">
        <f t="shared" si="8"/>
        <v/>
      </c>
      <c r="AN66" s="111" t="str">
        <f t="shared" si="9"/>
        <v/>
      </c>
      <c r="AP66" s="111">
        <v>57</v>
      </c>
      <c r="AR66" s="111" t="str">
        <f t="array" ref="AR66">IFERROR(INDEX($AP$10:$AP$258, MATCH(0, IF(TRUE=$AM$10:$AM$258, COUNTIF($AR$9:$AR65, $AP$10:$AP$258), ""), 0)),"")</f>
        <v/>
      </c>
      <c r="AS66" s="111" t="str">
        <f t="array" ref="AS66">IFERROR(INDEX($AP$10:$AP$258, MATCH(0, IF(TRUE=$AN$10:$AN$258, COUNTIF($AS$9:$AS65, $AP$10:$AP$258), ""), 0)),"")</f>
        <v/>
      </c>
      <c r="AT66" s="903" t="str">
        <f>IF(AND(OR(AD66="Yes",AD66="Pending"),Q66='G-7 WaterC'' Data'!$G$4),U66-AA66-Z66,"0")</f>
        <v>0</v>
      </c>
      <c r="AU66" s="30" t="str">
        <f>IF(D66="","",VLOOKUP(D66,'G-7 WaterC'' Data'!B$4:M$8,12,FALSE))</f>
        <v/>
      </c>
      <c r="AV66" s="30" t="str">
        <f t="shared" si="0"/>
        <v/>
      </c>
      <c r="AW66" s="30" t="str">
        <f t="shared" si="10"/>
        <v>No</v>
      </c>
      <c r="BA66" s="571" t="str">
        <f t="shared" si="11"/>
        <v/>
      </c>
    </row>
    <row r="67" spans="3:53" ht="14.4" thickBot="1" x14ac:dyDescent="0.3">
      <c r="C67" s="101">
        <v>58</v>
      </c>
      <c r="D67" s="269"/>
      <c r="E67" s="108"/>
      <c r="F67" s="281" t="str">
        <f>IF(D67="","",VLOOKUP(D67,'G-7 WaterC'' Data'!$B$2:$G$8,2,FALSE))</f>
        <v/>
      </c>
      <c r="G67" s="320" t="str">
        <f>IFERROR(VLOOKUP(F67,'G-7 WaterC'' Data'!$C$4:$D$8,2,FALSE),"")</f>
        <v/>
      </c>
      <c r="H67" s="109"/>
      <c r="I67" s="305" t="str">
        <f>IFERROR(INDEX('G-7 WaterC'' Data'!$H$4:$L$8,MATCH(D67,'G-7 WaterC'' Data'!$B$4:$B$8,0),MATCH(H67,'G-7 WaterC'' Data'!$H$3:$L$3,0)),"")</f>
        <v/>
      </c>
      <c r="J67" s="718"/>
      <c r="K67" s="301" t="str">
        <f>IF(J67="","",IF(VLOOKUP(J67,'G-7 WaterC'' Data'!$AK$4:$AM$9,2,FALSE)=0,"Spatial Data Missing ⚠",VLOOKUP(J67,'G-7 WaterC'' Data'!$AK$4:$AM$6,2,FALSE)))</f>
        <v/>
      </c>
      <c r="L67" s="305" t="str">
        <f>IF(J67="","",IF(VLOOKUP(J67,'G-7 WaterC'' Data'!$AK$4:$AM$9,3,FALSE)=0,"Spatial Data Missing ⚠",VLOOKUP(J67,'G-7 WaterC'' Data'!$AK$4:$AM$6,3,FALSE)))</f>
        <v/>
      </c>
      <c r="M67" s="106"/>
      <c r="N67" s="282" t="str">
        <f>IF(M67="","",IF(AND(M67="N/A - Culvert",D67&lt;&gt;"Culvert"),"Not possible ▲",IF(AND(D67="Culvert",M67&lt;&gt;"N/A - Culvert"),"Not possible ▲",IF(VLOOKUP(M67,'G-7 WaterC'' Data'!$AA$4:$AB$7,2,FALSE)=0,"Spatial Data Missing ⚠",VLOOKUP(M67,'G-7 WaterC'' Data'!$AA$4:$AB$7,2,FALSE)))))</f>
        <v/>
      </c>
      <c r="O67" s="56"/>
      <c r="P67" s="282" t="str">
        <f>IF(O67="","",IF(AND(O67="N/A - Culvert",D67&lt;&gt;"Culvert"),"Not possible ▲",IF(AND(D67="Culvert",O67&lt;&gt;"N/A - Culvert"),"Not possible ▲",IF(VLOOKUP(O67,'G-7 WaterC'' Data'!$AD$4:$AE$14,2,FALSE)=0,"Spatial Data Missing ⚠",VLOOKUP(O67,'G-7 WaterC'' Data'!$AD$4:$AE$14,2,FALSE)))))</f>
        <v/>
      </c>
      <c r="Q67" s="288" t="str">
        <f>IF(D67="","",VLOOKUP(D67,'G-7 WaterC'' Data'!$B$4:$G$8,6,FALSE))</f>
        <v/>
      </c>
      <c r="R67" s="295" t="str">
        <f t="shared" si="1"/>
        <v xml:space="preserve"> </v>
      </c>
      <c r="S67" s="403"/>
      <c r="T67" s="287" t="str">
        <f>IF(S67="","",IF(VLOOKUP(S67,'G-7 WaterC'' Data'!$AO$4:$BO$7,2,FALSE)=0,"Spatial Data Missing ⚠",VLOOKUP(S67,'G-7 WaterC'' Data'!$AO$4:$BO$7,2,FALSE)))</f>
        <v/>
      </c>
      <c r="U67" s="295" t="str">
        <f t="shared" si="2"/>
        <v xml:space="preserve"> </v>
      </c>
      <c r="V67" s="710" t="str">
        <f t="shared" si="3"/>
        <v/>
      </c>
      <c r="W67" s="32"/>
      <c r="X67" s="105"/>
      <c r="Y67" s="112"/>
      <c r="Z67" s="293" t="str">
        <f t="shared" si="4"/>
        <v/>
      </c>
      <c r="AA67" s="293" t="str">
        <f t="shared" si="5"/>
        <v/>
      </c>
      <c r="AB67" s="293" t="str">
        <f t="shared" si="6"/>
        <v/>
      </c>
      <c r="AC67" s="507" t="str">
        <f>IFERROR(IF(OR(E67="",R67=""),"", IF(AND(AB67&lt;&gt;"",S67=""), "Spatial risk category missing ▲", IF(AND(Q67='G-7 WaterC'' Data'!$G$4,AD67="Yes"),"Alternative Compensation ✓", IF(AND(AD67="Pending", Q67='G-7 WaterC'' Data'!$G$4),"Bespoke compensation must be agreed ▲", IF((Z67+AA67)&gt;=U67,0, U67-Z67-AA67))))),"Check Data ⚠")</f>
        <v/>
      </c>
      <c r="AD67" s="403"/>
      <c r="AE67" s="109"/>
      <c r="AF67" s="108"/>
      <c r="AG67" s="108"/>
      <c r="AH67" s="108"/>
      <c r="AI67" s="54" t="str">
        <f>IF(OR(Q67="",AD67="Yes"),"",IF(Q67='G-1 All Habitats'!$X$9,E67-Y67-X67,"None"))</f>
        <v/>
      </c>
      <c r="AJ67" s="55" t="str">
        <f>IF(Q67="","", IF(Q67='G-1 All Habitats'!$X$9, AI67*G67*I67*L67*N67*P67,"None"))</f>
        <v/>
      </c>
      <c r="AK67" s="30" t="str">
        <f>IFERROR(INDEX('G-7 WaterC'' Data'!$AZ$3:$AZ$7,MATCH(D67,'G-7 WaterC'' Data'!$AY$3:$AY$7,0)),"")</f>
        <v/>
      </c>
      <c r="AL67" s="30">
        <f t="shared" si="7"/>
        <v>0</v>
      </c>
      <c r="AM67" s="111" t="str">
        <f t="shared" si="8"/>
        <v/>
      </c>
      <c r="AN67" s="111" t="str">
        <f t="shared" si="9"/>
        <v/>
      </c>
      <c r="AP67" s="111">
        <v>58</v>
      </c>
      <c r="AR67" s="111" t="str">
        <f t="array" ref="AR67">IFERROR(INDEX($AP$10:$AP$258, MATCH(0, IF(TRUE=$AM$10:$AM$258, COUNTIF($AR$9:$AR66, $AP$10:$AP$258), ""), 0)),"")</f>
        <v/>
      </c>
      <c r="AS67" s="111" t="str">
        <f t="array" ref="AS67">IFERROR(INDEX($AP$10:$AP$258, MATCH(0, IF(TRUE=$AN$10:$AN$258, COUNTIF($AS$9:$AS66, $AP$10:$AP$258), ""), 0)),"")</f>
        <v/>
      </c>
      <c r="AT67" s="903" t="str">
        <f>IF(AND(OR(AD67="Yes",AD67="Pending"),Q67='G-7 WaterC'' Data'!$G$4),U67-AA67-Z67,"0")</f>
        <v>0</v>
      </c>
      <c r="AU67" s="30" t="str">
        <f>IF(D67="","",VLOOKUP(D67,'G-7 WaterC'' Data'!B$4:M$8,12,FALSE))</f>
        <v/>
      </c>
      <c r="AV67" s="30" t="str">
        <f t="shared" si="0"/>
        <v/>
      </c>
      <c r="AW67" s="30" t="str">
        <f t="shared" si="10"/>
        <v>No</v>
      </c>
      <c r="BA67" s="571" t="str">
        <f t="shared" si="11"/>
        <v/>
      </c>
    </row>
    <row r="68" spans="3:53" ht="14.4" thickBot="1" x14ac:dyDescent="0.3">
      <c r="C68" s="101">
        <v>59</v>
      </c>
      <c r="D68" s="269"/>
      <c r="E68" s="108"/>
      <c r="F68" s="281" t="str">
        <f>IF(D68="","",VLOOKUP(D68,'G-7 WaterC'' Data'!$B$2:$G$8,2,FALSE))</f>
        <v/>
      </c>
      <c r="G68" s="320" t="str">
        <f>IFERROR(VLOOKUP(F68,'G-7 WaterC'' Data'!$C$4:$D$8,2,FALSE),"")</f>
        <v/>
      </c>
      <c r="H68" s="109"/>
      <c r="I68" s="305" t="str">
        <f>IFERROR(INDEX('G-7 WaterC'' Data'!$H$4:$L$8,MATCH(D68,'G-7 WaterC'' Data'!$B$4:$B$8,0),MATCH(H68,'G-7 WaterC'' Data'!$H$3:$L$3,0)),"")</f>
        <v/>
      </c>
      <c r="J68" s="718"/>
      <c r="K68" s="301" t="str">
        <f>IF(J68="","",IF(VLOOKUP(J68,'G-7 WaterC'' Data'!$AK$4:$AM$9,2,FALSE)=0,"Spatial Data Missing ⚠",VLOOKUP(J68,'G-7 WaterC'' Data'!$AK$4:$AM$6,2,FALSE)))</f>
        <v/>
      </c>
      <c r="L68" s="305" t="str">
        <f>IF(J68="","",IF(VLOOKUP(J68,'G-7 WaterC'' Data'!$AK$4:$AM$9,3,FALSE)=0,"Spatial Data Missing ⚠",VLOOKUP(J68,'G-7 WaterC'' Data'!$AK$4:$AM$6,3,FALSE)))</f>
        <v/>
      </c>
      <c r="M68" s="106"/>
      <c r="N68" s="282" t="str">
        <f>IF(M68="","",IF(AND(M68="N/A - Culvert",D68&lt;&gt;"Culvert"),"Not possible ▲",IF(AND(D68="Culvert",M68&lt;&gt;"N/A - Culvert"),"Not possible ▲",IF(VLOOKUP(M68,'G-7 WaterC'' Data'!$AA$4:$AB$7,2,FALSE)=0,"Spatial Data Missing ⚠",VLOOKUP(M68,'G-7 WaterC'' Data'!$AA$4:$AB$7,2,FALSE)))))</f>
        <v/>
      </c>
      <c r="O68" s="56"/>
      <c r="P68" s="282" t="str">
        <f>IF(O68="","",IF(AND(O68="N/A - Culvert",D68&lt;&gt;"Culvert"),"Not possible ▲",IF(AND(D68="Culvert",O68&lt;&gt;"N/A - Culvert"),"Not possible ▲",IF(VLOOKUP(O68,'G-7 WaterC'' Data'!$AD$4:$AE$14,2,FALSE)=0,"Spatial Data Missing ⚠",VLOOKUP(O68,'G-7 WaterC'' Data'!$AD$4:$AE$14,2,FALSE)))))</f>
        <v/>
      </c>
      <c r="Q68" s="288" t="str">
        <f>IF(D68="","",VLOOKUP(D68,'G-7 WaterC'' Data'!$B$4:$G$8,6,FALSE))</f>
        <v/>
      </c>
      <c r="R68" s="295" t="str">
        <f t="shared" si="1"/>
        <v xml:space="preserve"> </v>
      </c>
      <c r="S68" s="403"/>
      <c r="T68" s="287" t="str">
        <f>IF(S68="","",IF(VLOOKUP(S68,'G-7 WaterC'' Data'!$AO$4:$BO$7,2,FALSE)=0,"Spatial Data Missing ⚠",VLOOKUP(S68,'G-7 WaterC'' Data'!$AO$4:$BO$7,2,FALSE)))</f>
        <v/>
      </c>
      <c r="U68" s="295" t="str">
        <f t="shared" si="2"/>
        <v xml:space="preserve"> </v>
      </c>
      <c r="V68" s="710" t="str">
        <f t="shared" si="3"/>
        <v/>
      </c>
      <c r="W68" s="32"/>
      <c r="X68" s="105"/>
      <c r="Y68" s="112"/>
      <c r="Z68" s="293" t="str">
        <f t="shared" si="4"/>
        <v/>
      </c>
      <c r="AA68" s="293" t="str">
        <f t="shared" si="5"/>
        <v/>
      </c>
      <c r="AB68" s="293" t="str">
        <f t="shared" si="6"/>
        <v/>
      </c>
      <c r="AC68" s="507" t="str">
        <f>IFERROR(IF(OR(E68="",R68=""),"", IF(AND(AB68&lt;&gt;"",S68=""), "Spatial risk category missing ▲", IF(AND(Q68='G-7 WaterC'' Data'!$G$4,AD68="Yes"),"Alternative Compensation ✓", IF(AND(AD68="Pending", Q68='G-7 WaterC'' Data'!$G$4),"Bespoke compensation must be agreed ▲", IF((Z68+AA68)&gt;=U68,0, U68-Z68-AA68))))),"Check Data ⚠")</f>
        <v/>
      </c>
      <c r="AD68" s="403"/>
      <c r="AE68" s="109"/>
      <c r="AF68" s="108"/>
      <c r="AG68" s="108"/>
      <c r="AH68" s="108"/>
      <c r="AI68" s="54" t="str">
        <f>IF(OR(Q68="",AD68="Yes"),"",IF(Q68='G-1 All Habitats'!$X$9,E68-Y68-X68,"None"))</f>
        <v/>
      </c>
      <c r="AJ68" s="55" t="str">
        <f>IF(Q68="","", IF(Q68='G-1 All Habitats'!$X$9, AI68*G68*I68*L68*N68*P68,"None"))</f>
        <v/>
      </c>
      <c r="AK68" s="30" t="str">
        <f>IFERROR(INDEX('G-7 WaterC'' Data'!$AZ$3:$AZ$7,MATCH(D68,'G-7 WaterC'' Data'!$AY$3:$AY$7,0)),"")</f>
        <v/>
      </c>
      <c r="AL68" s="30">
        <f t="shared" si="7"/>
        <v>0</v>
      </c>
      <c r="AM68" s="111" t="str">
        <f t="shared" si="8"/>
        <v/>
      </c>
      <c r="AN68" s="111" t="str">
        <f t="shared" si="9"/>
        <v/>
      </c>
      <c r="AP68" s="111">
        <v>59</v>
      </c>
      <c r="AR68" s="111" t="str">
        <f t="array" ref="AR68">IFERROR(INDEX($AP$10:$AP$258, MATCH(0, IF(TRUE=$AM$10:$AM$258, COUNTIF($AR$9:$AR67, $AP$10:$AP$258), ""), 0)),"")</f>
        <v/>
      </c>
      <c r="AS68" s="111" t="str">
        <f t="array" ref="AS68">IFERROR(INDEX($AP$10:$AP$258, MATCH(0, IF(TRUE=$AN$10:$AN$258, COUNTIF($AS$9:$AS67, $AP$10:$AP$258), ""), 0)),"")</f>
        <v/>
      </c>
      <c r="AT68" s="903" t="str">
        <f>IF(AND(OR(AD68="Yes",AD68="Pending"),Q68='G-7 WaterC'' Data'!$G$4),U68-AA68-Z68,"0")</f>
        <v>0</v>
      </c>
      <c r="AU68" s="30" t="str">
        <f>IF(D68="","",VLOOKUP(D68,'G-7 WaterC'' Data'!B$4:M$8,12,FALSE))</f>
        <v/>
      </c>
      <c r="AV68" s="30" t="str">
        <f t="shared" si="0"/>
        <v/>
      </c>
      <c r="AW68" s="30" t="str">
        <f t="shared" si="10"/>
        <v>No</v>
      </c>
      <c r="BA68" s="571" t="str">
        <f t="shared" si="11"/>
        <v/>
      </c>
    </row>
    <row r="69" spans="3:53" ht="14.4" thickBot="1" x14ac:dyDescent="0.3">
      <c r="C69" s="101">
        <v>60</v>
      </c>
      <c r="D69" s="269"/>
      <c r="E69" s="108"/>
      <c r="F69" s="281" t="str">
        <f>IF(D69="","",VLOOKUP(D69,'G-7 WaterC'' Data'!$B$2:$G$8,2,FALSE))</f>
        <v/>
      </c>
      <c r="G69" s="320" t="str">
        <f>IFERROR(VLOOKUP(F69,'G-7 WaterC'' Data'!$C$4:$D$8,2,FALSE),"")</f>
        <v/>
      </c>
      <c r="H69" s="109"/>
      <c r="I69" s="305" t="str">
        <f>IFERROR(INDEX('G-7 WaterC'' Data'!$H$4:$L$8,MATCH(D69,'G-7 WaterC'' Data'!$B$4:$B$8,0),MATCH(H69,'G-7 WaterC'' Data'!$H$3:$L$3,0)),"")</f>
        <v/>
      </c>
      <c r="J69" s="718"/>
      <c r="K69" s="301" t="str">
        <f>IF(J69="","",IF(VLOOKUP(J69,'G-7 WaterC'' Data'!$AK$4:$AM$9,2,FALSE)=0,"Spatial Data Missing ⚠",VLOOKUP(J69,'G-7 WaterC'' Data'!$AK$4:$AM$6,2,FALSE)))</f>
        <v/>
      </c>
      <c r="L69" s="305" t="str">
        <f>IF(J69="","",IF(VLOOKUP(J69,'G-7 WaterC'' Data'!$AK$4:$AM$9,3,FALSE)=0,"Spatial Data Missing ⚠",VLOOKUP(J69,'G-7 WaterC'' Data'!$AK$4:$AM$6,3,FALSE)))</f>
        <v/>
      </c>
      <c r="M69" s="106"/>
      <c r="N69" s="282" t="str">
        <f>IF(M69="","",IF(AND(M69="N/A - Culvert",D69&lt;&gt;"Culvert"),"Not possible ▲",IF(AND(D69="Culvert",M69&lt;&gt;"N/A - Culvert"),"Not possible ▲",IF(VLOOKUP(M69,'G-7 WaterC'' Data'!$AA$4:$AB$7,2,FALSE)=0,"Spatial Data Missing ⚠",VLOOKUP(M69,'G-7 WaterC'' Data'!$AA$4:$AB$7,2,FALSE)))))</f>
        <v/>
      </c>
      <c r="O69" s="56"/>
      <c r="P69" s="282" t="str">
        <f>IF(O69="","",IF(AND(O69="N/A - Culvert",D69&lt;&gt;"Culvert"),"Not possible ▲",IF(AND(D69="Culvert",O69&lt;&gt;"N/A - Culvert"),"Not possible ▲",IF(VLOOKUP(O69,'G-7 WaterC'' Data'!$AD$4:$AE$14,2,FALSE)=0,"Spatial Data Missing ⚠",VLOOKUP(O69,'G-7 WaterC'' Data'!$AD$4:$AE$14,2,FALSE)))))</f>
        <v/>
      </c>
      <c r="Q69" s="288" t="str">
        <f>IF(D69="","",VLOOKUP(D69,'G-7 WaterC'' Data'!$B$4:$G$8,6,FALSE))</f>
        <v/>
      </c>
      <c r="R69" s="295" t="str">
        <f t="shared" si="1"/>
        <v xml:space="preserve"> </v>
      </c>
      <c r="S69" s="403"/>
      <c r="T69" s="287" t="str">
        <f>IF(S69="","",IF(VLOOKUP(S69,'G-7 WaterC'' Data'!$AO$4:$BO$7,2,FALSE)=0,"Spatial Data Missing ⚠",VLOOKUP(S69,'G-7 WaterC'' Data'!$AO$4:$BO$7,2,FALSE)))</f>
        <v/>
      </c>
      <c r="U69" s="295" t="str">
        <f t="shared" si="2"/>
        <v xml:space="preserve"> </v>
      </c>
      <c r="V69" s="710" t="str">
        <f t="shared" si="3"/>
        <v/>
      </c>
      <c r="W69" s="32"/>
      <c r="X69" s="105"/>
      <c r="Y69" s="112"/>
      <c r="Z69" s="293" t="str">
        <f t="shared" si="4"/>
        <v/>
      </c>
      <c r="AA69" s="293" t="str">
        <f t="shared" si="5"/>
        <v/>
      </c>
      <c r="AB69" s="293" t="str">
        <f t="shared" si="6"/>
        <v/>
      </c>
      <c r="AC69" s="507" t="str">
        <f>IFERROR(IF(OR(E69="",R69=""),"", IF(AND(AB69&lt;&gt;"",S69=""), "Spatial risk category missing ▲", IF(AND(Q69='G-7 WaterC'' Data'!$G$4,AD69="Yes"),"Alternative Compensation ✓", IF(AND(AD69="Pending", Q69='G-7 WaterC'' Data'!$G$4),"Bespoke compensation must be agreed ▲", IF((Z69+AA69)&gt;=U69,0, U69-Z69-AA69))))),"Check Data ⚠")</f>
        <v/>
      </c>
      <c r="AD69" s="403"/>
      <c r="AE69" s="109"/>
      <c r="AF69" s="108"/>
      <c r="AG69" s="108"/>
      <c r="AH69" s="108"/>
      <c r="AI69" s="54" t="str">
        <f>IF(OR(Q69="",AD69="Yes"),"",IF(Q69='G-1 All Habitats'!$X$9,E69-Y69-X69,"None"))</f>
        <v/>
      </c>
      <c r="AJ69" s="55" t="str">
        <f>IF(Q69="","", IF(Q69='G-1 All Habitats'!$X$9, AI69*G69*I69*L69*N69*P69,"None"))</f>
        <v/>
      </c>
      <c r="AK69" s="30" t="str">
        <f>IFERROR(INDEX('G-7 WaterC'' Data'!$AZ$3:$AZ$7,MATCH(D69,'G-7 WaterC'' Data'!$AY$3:$AY$7,0)),"")</f>
        <v/>
      </c>
      <c r="AL69" s="30">
        <f t="shared" si="7"/>
        <v>0</v>
      </c>
      <c r="AM69" s="111" t="str">
        <f t="shared" si="8"/>
        <v/>
      </c>
      <c r="AN69" s="111" t="str">
        <f t="shared" si="9"/>
        <v/>
      </c>
      <c r="AP69" s="111">
        <v>60</v>
      </c>
      <c r="AR69" s="111" t="str">
        <f t="array" ref="AR69">IFERROR(INDEX($AP$10:$AP$258, MATCH(0, IF(TRUE=$AM$10:$AM$258, COUNTIF($AR$9:$AR68, $AP$10:$AP$258), ""), 0)),"")</f>
        <v/>
      </c>
      <c r="AS69" s="111" t="str">
        <f t="array" ref="AS69">IFERROR(INDEX($AP$10:$AP$258, MATCH(0, IF(TRUE=$AN$10:$AN$258, COUNTIF($AS$9:$AS68, $AP$10:$AP$258), ""), 0)),"")</f>
        <v/>
      </c>
      <c r="AT69" s="903" t="str">
        <f>IF(AND(OR(AD69="Yes",AD69="Pending"),Q69='G-7 WaterC'' Data'!$G$4),U69-AA69-Z69,"0")</f>
        <v>0</v>
      </c>
      <c r="AU69" s="30" t="str">
        <f>IF(D69="","",VLOOKUP(D69,'G-7 WaterC'' Data'!B$4:M$8,12,FALSE))</f>
        <v/>
      </c>
      <c r="AV69" s="30" t="str">
        <f t="shared" si="0"/>
        <v/>
      </c>
      <c r="AW69" s="30" t="str">
        <f t="shared" si="10"/>
        <v>No</v>
      </c>
      <c r="BA69" s="571" t="str">
        <f t="shared" si="11"/>
        <v/>
      </c>
    </row>
    <row r="70" spans="3:53" ht="14.4" thickBot="1" x14ac:dyDescent="0.3">
      <c r="C70" s="101">
        <v>61</v>
      </c>
      <c r="D70" s="269"/>
      <c r="E70" s="108"/>
      <c r="F70" s="281" t="str">
        <f>IF(D70="","",VLOOKUP(D70,'G-7 WaterC'' Data'!$B$2:$G$8,2,FALSE))</f>
        <v/>
      </c>
      <c r="G70" s="320" t="str">
        <f>IFERROR(VLOOKUP(F70,'G-7 WaterC'' Data'!$C$4:$D$8,2,FALSE),"")</f>
        <v/>
      </c>
      <c r="H70" s="109"/>
      <c r="I70" s="305" t="str">
        <f>IFERROR(INDEX('G-7 WaterC'' Data'!$H$4:$L$8,MATCH(D70,'G-7 WaterC'' Data'!$B$4:$B$8,0),MATCH(H70,'G-7 WaterC'' Data'!$H$3:$L$3,0)),"")</f>
        <v/>
      </c>
      <c r="J70" s="718"/>
      <c r="K70" s="301" t="str">
        <f>IF(J70="","",IF(VLOOKUP(J70,'G-7 WaterC'' Data'!$AK$4:$AM$9,2,FALSE)=0,"Spatial Data Missing ⚠",VLOOKUP(J70,'G-7 WaterC'' Data'!$AK$4:$AM$6,2,FALSE)))</f>
        <v/>
      </c>
      <c r="L70" s="305" t="str">
        <f>IF(J70="","",IF(VLOOKUP(J70,'G-7 WaterC'' Data'!$AK$4:$AM$9,3,FALSE)=0,"Spatial Data Missing ⚠",VLOOKUP(J70,'G-7 WaterC'' Data'!$AK$4:$AM$6,3,FALSE)))</f>
        <v/>
      </c>
      <c r="M70" s="106"/>
      <c r="N70" s="282" t="str">
        <f>IF(M70="","",IF(AND(M70="N/A - Culvert",D70&lt;&gt;"Culvert"),"Not possible ▲",IF(AND(D70="Culvert",M70&lt;&gt;"N/A - Culvert"),"Not possible ▲",IF(VLOOKUP(M70,'G-7 WaterC'' Data'!$AA$4:$AB$7,2,FALSE)=0,"Spatial Data Missing ⚠",VLOOKUP(M70,'G-7 WaterC'' Data'!$AA$4:$AB$7,2,FALSE)))))</f>
        <v/>
      </c>
      <c r="O70" s="56"/>
      <c r="P70" s="282" t="str">
        <f>IF(O70="","",IF(AND(O70="N/A - Culvert",D70&lt;&gt;"Culvert"),"Not possible ▲",IF(AND(D70="Culvert",O70&lt;&gt;"N/A - Culvert"),"Not possible ▲",IF(VLOOKUP(O70,'G-7 WaterC'' Data'!$AD$4:$AE$14,2,FALSE)=0,"Spatial Data Missing ⚠",VLOOKUP(O70,'G-7 WaterC'' Data'!$AD$4:$AE$14,2,FALSE)))))</f>
        <v/>
      </c>
      <c r="Q70" s="288" t="str">
        <f>IF(D70="","",VLOOKUP(D70,'G-7 WaterC'' Data'!$B$4:$G$8,6,FALSE))</f>
        <v/>
      </c>
      <c r="R70" s="295" t="str">
        <f t="shared" si="1"/>
        <v xml:space="preserve"> </v>
      </c>
      <c r="S70" s="403"/>
      <c r="T70" s="287" t="str">
        <f>IF(S70="","",IF(VLOOKUP(S70,'G-7 WaterC'' Data'!$AO$4:$BO$7,2,FALSE)=0,"Spatial Data Missing ⚠",VLOOKUP(S70,'G-7 WaterC'' Data'!$AO$4:$BO$7,2,FALSE)))</f>
        <v/>
      </c>
      <c r="U70" s="295" t="str">
        <f t="shared" si="2"/>
        <v xml:space="preserve"> </v>
      </c>
      <c r="V70" s="710" t="str">
        <f t="shared" si="3"/>
        <v/>
      </c>
      <c r="W70" s="32"/>
      <c r="X70" s="105"/>
      <c r="Y70" s="112"/>
      <c r="Z70" s="293" t="str">
        <f t="shared" si="4"/>
        <v/>
      </c>
      <c r="AA70" s="293" t="str">
        <f t="shared" si="5"/>
        <v/>
      </c>
      <c r="AB70" s="293" t="str">
        <f t="shared" si="6"/>
        <v/>
      </c>
      <c r="AC70" s="507" t="str">
        <f>IFERROR(IF(OR(E70="",R70=""),"", IF(AND(AB70&lt;&gt;"",S70=""), "Spatial risk category missing ▲", IF(AND(Q70='G-7 WaterC'' Data'!$G$4,AD70="Yes"),"Alternative Compensation ✓", IF(AND(AD70="Pending", Q70='G-7 WaterC'' Data'!$G$4),"Bespoke compensation must be agreed ▲", IF((Z70+AA70)&gt;=U70,0, U70-Z70-AA70))))),"Check Data ⚠")</f>
        <v/>
      </c>
      <c r="AD70" s="403"/>
      <c r="AE70" s="109"/>
      <c r="AF70" s="108"/>
      <c r="AG70" s="108"/>
      <c r="AH70" s="108"/>
      <c r="AI70" s="54" t="str">
        <f>IF(OR(Q70="",AD70="Yes"),"",IF(Q70='G-1 All Habitats'!$X$9,E70-Y70-X70,"None"))</f>
        <v/>
      </c>
      <c r="AJ70" s="55" t="str">
        <f>IF(Q70="","", IF(Q70='G-1 All Habitats'!$X$9, AI70*G70*I70*L70*N70*P70,"None"))</f>
        <v/>
      </c>
      <c r="AK70" s="30" t="str">
        <f>IFERROR(INDEX('G-7 WaterC'' Data'!$AZ$3:$AZ$7,MATCH(D70,'G-7 WaterC'' Data'!$AY$3:$AY$7,0)),"")</f>
        <v/>
      </c>
      <c r="AL70" s="30">
        <f t="shared" si="7"/>
        <v>0</v>
      </c>
      <c r="AM70" s="111" t="str">
        <f t="shared" si="8"/>
        <v/>
      </c>
      <c r="AN70" s="111" t="str">
        <f t="shared" si="9"/>
        <v/>
      </c>
      <c r="AP70" s="111">
        <v>61</v>
      </c>
      <c r="AR70" s="111" t="str">
        <f t="array" ref="AR70">IFERROR(INDEX($AP$10:$AP$258, MATCH(0, IF(TRUE=$AM$10:$AM$258, COUNTIF($AR$9:$AR69, $AP$10:$AP$258), ""), 0)),"")</f>
        <v/>
      </c>
      <c r="AS70" s="111" t="str">
        <f t="array" ref="AS70">IFERROR(INDEX($AP$10:$AP$258, MATCH(0, IF(TRUE=$AN$10:$AN$258, COUNTIF($AS$9:$AS69, $AP$10:$AP$258), ""), 0)),"")</f>
        <v/>
      </c>
      <c r="AT70" s="903" t="str">
        <f>IF(AND(OR(AD70="Yes",AD70="Pending"),Q70='G-7 WaterC'' Data'!$G$4),U70-AA70-Z70,"0")</f>
        <v>0</v>
      </c>
      <c r="AU70" s="30" t="str">
        <f>IF(D70="","",VLOOKUP(D70,'G-7 WaterC'' Data'!B$4:M$8,12,FALSE))</f>
        <v/>
      </c>
      <c r="AV70" s="30" t="str">
        <f t="shared" si="0"/>
        <v/>
      </c>
      <c r="AW70" s="30" t="str">
        <f t="shared" si="10"/>
        <v>No</v>
      </c>
      <c r="BA70" s="571" t="str">
        <f t="shared" si="11"/>
        <v/>
      </c>
    </row>
    <row r="71" spans="3:53" ht="14.4" thickBot="1" x14ac:dyDescent="0.3">
      <c r="C71" s="101">
        <v>62</v>
      </c>
      <c r="D71" s="269"/>
      <c r="E71" s="108"/>
      <c r="F71" s="281" t="str">
        <f>IF(D71="","",VLOOKUP(D71,'G-7 WaterC'' Data'!$B$2:$G$8,2,FALSE))</f>
        <v/>
      </c>
      <c r="G71" s="320" t="str">
        <f>IFERROR(VLOOKUP(F71,'G-7 WaterC'' Data'!$C$4:$D$8,2,FALSE),"")</f>
        <v/>
      </c>
      <c r="H71" s="109"/>
      <c r="I71" s="305" t="str">
        <f>IFERROR(INDEX('G-7 WaterC'' Data'!$H$4:$L$8,MATCH(D71,'G-7 WaterC'' Data'!$B$4:$B$8,0),MATCH(H71,'G-7 WaterC'' Data'!$H$3:$L$3,0)),"")</f>
        <v/>
      </c>
      <c r="J71" s="718"/>
      <c r="K71" s="301" t="str">
        <f>IF(J71="","",IF(VLOOKUP(J71,'G-7 WaterC'' Data'!$AK$4:$AM$9,2,FALSE)=0,"Spatial Data Missing ⚠",VLOOKUP(J71,'G-7 WaterC'' Data'!$AK$4:$AM$6,2,FALSE)))</f>
        <v/>
      </c>
      <c r="L71" s="305" t="str">
        <f>IF(J71="","",IF(VLOOKUP(J71,'G-7 WaterC'' Data'!$AK$4:$AM$9,3,FALSE)=0,"Spatial Data Missing ⚠",VLOOKUP(J71,'G-7 WaterC'' Data'!$AK$4:$AM$6,3,FALSE)))</f>
        <v/>
      </c>
      <c r="M71" s="106"/>
      <c r="N71" s="282" t="str">
        <f>IF(M71="","",IF(AND(M71="N/A - Culvert",D71&lt;&gt;"Culvert"),"Not possible ▲",IF(AND(D71="Culvert",M71&lt;&gt;"N/A - Culvert"),"Not possible ▲",IF(VLOOKUP(M71,'G-7 WaterC'' Data'!$AA$4:$AB$7,2,FALSE)=0,"Spatial Data Missing ⚠",VLOOKUP(M71,'G-7 WaterC'' Data'!$AA$4:$AB$7,2,FALSE)))))</f>
        <v/>
      </c>
      <c r="O71" s="56"/>
      <c r="P71" s="282" t="str">
        <f>IF(O71="","",IF(AND(O71="N/A - Culvert",D71&lt;&gt;"Culvert"),"Not possible ▲",IF(AND(D71="Culvert",O71&lt;&gt;"N/A - Culvert"),"Not possible ▲",IF(VLOOKUP(O71,'G-7 WaterC'' Data'!$AD$4:$AE$14,2,FALSE)=0,"Spatial Data Missing ⚠",VLOOKUP(O71,'G-7 WaterC'' Data'!$AD$4:$AE$14,2,FALSE)))))</f>
        <v/>
      </c>
      <c r="Q71" s="288" t="str">
        <f>IF(D71="","",VLOOKUP(D71,'G-7 WaterC'' Data'!$B$4:$G$8,6,FALSE))</f>
        <v/>
      </c>
      <c r="R71" s="295" t="str">
        <f t="shared" si="1"/>
        <v xml:space="preserve"> </v>
      </c>
      <c r="S71" s="403"/>
      <c r="T71" s="287" t="str">
        <f>IF(S71="","",IF(VLOOKUP(S71,'G-7 WaterC'' Data'!$AO$4:$BO$7,2,FALSE)=0,"Spatial Data Missing ⚠",VLOOKUP(S71,'G-7 WaterC'' Data'!$AO$4:$BO$7,2,FALSE)))</f>
        <v/>
      </c>
      <c r="U71" s="295" t="str">
        <f t="shared" si="2"/>
        <v xml:space="preserve"> </v>
      </c>
      <c r="V71" s="710" t="str">
        <f t="shared" si="3"/>
        <v/>
      </c>
      <c r="W71" s="32"/>
      <c r="X71" s="105"/>
      <c r="Y71" s="112"/>
      <c r="Z71" s="293" t="str">
        <f t="shared" si="4"/>
        <v/>
      </c>
      <c r="AA71" s="293" t="str">
        <f t="shared" si="5"/>
        <v/>
      </c>
      <c r="AB71" s="293" t="str">
        <f t="shared" si="6"/>
        <v/>
      </c>
      <c r="AC71" s="507" t="str">
        <f>IFERROR(IF(OR(E71="",R71=""),"", IF(AND(AB71&lt;&gt;"",S71=""), "Spatial risk category missing ▲", IF(AND(Q71='G-7 WaterC'' Data'!$G$4,AD71="Yes"),"Alternative Compensation ✓", IF(AND(AD71="Pending", Q71='G-7 WaterC'' Data'!$G$4),"Bespoke compensation must be agreed ▲", IF((Z71+AA71)&gt;=U71,0, U71-Z71-AA71))))),"Check Data ⚠")</f>
        <v/>
      </c>
      <c r="AD71" s="403"/>
      <c r="AE71" s="109"/>
      <c r="AF71" s="108"/>
      <c r="AG71" s="108"/>
      <c r="AH71" s="108"/>
      <c r="AI71" s="54" t="str">
        <f>IF(OR(Q71="",AD71="Yes"),"",IF(Q71='G-1 All Habitats'!$X$9,E71-Y71-X71,"None"))</f>
        <v/>
      </c>
      <c r="AJ71" s="55" t="str">
        <f>IF(Q71="","", IF(Q71='G-1 All Habitats'!$X$9, AI71*G71*I71*L71*N71*P71,"None"))</f>
        <v/>
      </c>
      <c r="AK71" s="30" t="str">
        <f>IFERROR(INDEX('G-7 WaterC'' Data'!$AZ$3:$AZ$7,MATCH(D71,'G-7 WaterC'' Data'!$AY$3:$AY$7,0)),"")</f>
        <v/>
      </c>
      <c r="AL71" s="30">
        <f t="shared" si="7"/>
        <v>0</v>
      </c>
      <c r="AM71" s="111" t="str">
        <f t="shared" si="8"/>
        <v/>
      </c>
      <c r="AN71" s="111" t="str">
        <f t="shared" si="9"/>
        <v/>
      </c>
      <c r="AP71" s="111">
        <v>62</v>
      </c>
      <c r="AR71" s="111" t="str">
        <f t="array" ref="AR71">IFERROR(INDEX($AP$10:$AP$258, MATCH(0, IF(TRUE=$AM$10:$AM$258, COUNTIF($AR$9:$AR70, $AP$10:$AP$258), ""), 0)),"")</f>
        <v/>
      </c>
      <c r="AS71" s="111" t="str">
        <f t="array" ref="AS71">IFERROR(INDEX($AP$10:$AP$258, MATCH(0, IF(TRUE=$AN$10:$AN$258, COUNTIF($AS$9:$AS70, $AP$10:$AP$258), ""), 0)),"")</f>
        <v/>
      </c>
      <c r="AT71" s="903" t="str">
        <f>IF(AND(OR(AD71="Yes",AD71="Pending"),Q71='G-7 WaterC'' Data'!$G$4),U71-AA71-Z71,"0")</f>
        <v>0</v>
      </c>
      <c r="AU71" s="30" t="str">
        <f>IF(D71="","",VLOOKUP(D71,'G-7 WaterC'' Data'!B$4:M$8,12,FALSE))</f>
        <v/>
      </c>
      <c r="AV71" s="30" t="str">
        <f t="shared" si="0"/>
        <v/>
      </c>
      <c r="AW71" s="30" t="str">
        <f t="shared" si="10"/>
        <v>No</v>
      </c>
      <c r="BA71" s="571" t="str">
        <f t="shared" si="11"/>
        <v/>
      </c>
    </row>
    <row r="72" spans="3:53" ht="14.4" thickBot="1" x14ac:dyDescent="0.3">
      <c r="C72" s="101">
        <v>63</v>
      </c>
      <c r="D72" s="269"/>
      <c r="E72" s="108"/>
      <c r="F72" s="281" t="str">
        <f>IF(D72="","",VLOOKUP(D72,'G-7 WaterC'' Data'!$B$2:$G$8,2,FALSE))</f>
        <v/>
      </c>
      <c r="G72" s="320" t="str">
        <f>IFERROR(VLOOKUP(F72,'G-7 WaterC'' Data'!$C$4:$D$8,2,FALSE),"")</f>
        <v/>
      </c>
      <c r="H72" s="109"/>
      <c r="I72" s="305" t="str">
        <f>IFERROR(INDEX('G-7 WaterC'' Data'!$H$4:$L$8,MATCH(D72,'G-7 WaterC'' Data'!$B$4:$B$8,0),MATCH(H72,'G-7 WaterC'' Data'!$H$3:$L$3,0)),"")</f>
        <v/>
      </c>
      <c r="J72" s="718"/>
      <c r="K72" s="301" t="str">
        <f>IF(J72="","",IF(VLOOKUP(J72,'G-7 WaterC'' Data'!$AK$4:$AM$9,2,FALSE)=0,"Spatial Data Missing ⚠",VLOOKUP(J72,'G-7 WaterC'' Data'!$AK$4:$AM$6,2,FALSE)))</f>
        <v/>
      </c>
      <c r="L72" s="305" t="str">
        <f>IF(J72="","",IF(VLOOKUP(J72,'G-7 WaterC'' Data'!$AK$4:$AM$9,3,FALSE)=0,"Spatial Data Missing ⚠",VLOOKUP(J72,'G-7 WaterC'' Data'!$AK$4:$AM$6,3,FALSE)))</f>
        <v/>
      </c>
      <c r="M72" s="106"/>
      <c r="N72" s="282" t="str">
        <f>IF(M72="","",IF(AND(M72="N/A - Culvert",D72&lt;&gt;"Culvert"),"Not possible ▲",IF(AND(D72="Culvert",M72&lt;&gt;"N/A - Culvert"),"Not possible ▲",IF(VLOOKUP(M72,'G-7 WaterC'' Data'!$AA$4:$AB$7,2,FALSE)=0,"Spatial Data Missing ⚠",VLOOKUP(M72,'G-7 WaterC'' Data'!$AA$4:$AB$7,2,FALSE)))))</f>
        <v/>
      </c>
      <c r="O72" s="56"/>
      <c r="P72" s="282" t="str">
        <f>IF(O72="","",IF(AND(O72="N/A - Culvert",D72&lt;&gt;"Culvert"),"Not possible ▲",IF(AND(D72="Culvert",O72&lt;&gt;"N/A - Culvert"),"Not possible ▲",IF(VLOOKUP(O72,'G-7 WaterC'' Data'!$AD$4:$AE$14,2,FALSE)=0,"Spatial Data Missing ⚠",VLOOKUP(O72,'G-7 WaterC'' Data'!$AD$4:$AE$14,2,FALSE)))))</f>
        <v/>
      </c>
      <c r="Q72" s="288" t="str">
        <f>IF(D72="","",VLOOKUP(D72,'G-7 WaterC'' Data'!$B$4:$G$8,6,FALSE))</f>
        <v/>
      </c>
      <c r="R72" s="295" t="str">
        <f t="shared" si="1"/>
        <v xml:space="preserve"> </v>
      </c>
      <c r="S72" s="403"/>
      <c r="T72" s="287" t="str">
        <f>IF(S72="","",IF(VLOOKUP(S72,'G-7 WaterC'' Data'!$AO$4:$BO$7,2,FALSE)=0,"Spatial Data Missing ⚠",VLOOKUP(S72,'G-7 WaterC'' Data'!$AO$4:$BO$7,2,FALSE)))</f>
        <v/>
      </c>
      <c r="U72" s="295" t="str">
        <f t="shared" si="2"/>
        <v xml:space="preserve"> </v>
      </c>
      <c r="V72" s="710" t="str">
        <f t="shared" si="3"/>
        <v/>
      </c>
      <c r="W72" s="32"/>
      <c r="X72" s="105"/>
      <c r="Y72" s="112"/>
      <c r="Z72" s="293" t="str">
        <f t="shared" si="4"/>
        <v/>
      </c>
      <c r="AA72" s="293" t="str">
        <f t="shared" si="5"/>
        <v/>
      </c>
      <c r="AB72" s="293" t="str">
        <f t="shared" si="6"/>
        <v/>
      </c>
      <c r="AC72" s="507" t="str">
        <f>IFERROR(IF(OR(E72="",R72=""),"", IF(AND(AB72&lt;&gt;"",S72=""), "Spatial risk category missing ▲", IF(AND(Q72='G-7 WaterC'' Data'!$G$4,AD72="Yes"),"Alternative Compensation ✓", IF(AND(AD72="Pending", Q72='G-7 WaterC'' Data'!$G$4),"Bespoke compensation must be agreed ▲", IF((Z72+AA72)&gt;=U72,0, U72-Z72-AA72))))),"Check Data ⚠")</f>
        <v/>
      </c>
      <c r="AD72" s="403"/>
      <c r="AE72" s="109"/>
      <c r="AF72" s="108"/>
      <c r="AG72" s="108"/>
      <c r="AH72" s="108"/>
      <c r="AI72" s="54" t="str">
        <f>IF(OR(Q72="",AD72="Yes"),"",IF(Q72='G-1 All Habitats'!$X$9,E72-Y72-X72,"None"))</f>
        <v/>
      </c>
      <c r="AJ72" s="55" t="str">
        <f>IF(Q72="","", IF(Q72='G-1 All Habitats'!$X$9, AI72*G72*I72*L72*N72*P72,"None"))</f>
        <v/>
      </c>
      <c r="AK72" s="30" t="str">
        <f>IFERROR(INDEX('G-7 WaterC'' Data'!$AZ$3:$AZ$7,MATCH(D72,'G-7 WaterC'' Data'!$AY$3:$AY$7,0)),"")</f>
        <v/>
      </c>
      <c r="AL72" s="30">
        <f t="shared" si="7"/>
        <v>0</v>
      </c>
      <c r="AM72" s="111" t="str">
        <f t="shared" si="8"/>
        <v/>
      </c>
      <c r="AN72" s="111" t="str">
        <f t="shared" si="9"/>
        <v/>
      </c>
      <c r="AP72" s="111">
        <v>63</v>
      </c>
      <c r="AR72" s="111" t="str">
        <f t="array" ref="AR72">IFERROR(INDEX($AP$10:$AP$258, MATCH(0, IF(TRUE=$AM$10:$AM$258, COUNTIF($AR$9:$AR71, $AP$10:$AP$258), ""), 0)),"")</f>
        <v/>
      </c>
      <c r="AS72" s="111" t="str">
        <f t="array" ref="AS72">IFERROR(INDEX($AP$10:$AP$258, MATCH(0, IF(TRUE=$AN$10:$AN$258, COUNTIF($AS$9:$AS71, $AP$10:$AP$258), ""), 0)),"")</f>
        <v/>
      </c>
      <c r="AT72" s="903" t="str">
        <f>IF(AND(OR(AD72="Yes",AD72="Pending"),Q72='G-7 WaterC'' Data'!$G$4),U72-AA72-Z72,"0")</f>
        <v>0</v>
      </c>
      <c r="AU72" s="30" t="str">
        <f>IF(D72="","",VLOOKUP(D72,'G-7 WaterC'' Data'!B$4:M$8,12,FALSE))</f>
        <v/>
      </c>
      <c r="AV72" s="30" t="str">
        <f t="shared" si="0"/>
        <v/>
      </c>
      <c r="AW72" s="30" t="str">
        <f t="shared" si="10"/>
        <v>No</v>
      </c>
      <c r="BA72" s="571" t="str">
        <f t="shared" si="11"/>
        <v/>
      </c>
    </row>
    <row r="73" spans="3:53" ht="14.4" thickBot="1" x14ac:dyDescent="0.3">
      <c r="C73" s="101">
        <v>64</v>
      </c>
      <c r="D73" s="269"/>
      <c r="E73" s="108"/>
      <c r="F73" s="281" t="str">
        <f>IF(D73="","",VLOOKUP(D73,'G-7 WaterC'' Data'!$B$2:$G$8,2,FALSE))</f>
        <v/>
      </c>
      <c r="G73" s="320" t="str">
        <f>IFERROR(VLOOKUP(F73,'G-7 WaterC'' Data'!$C$4:$D$8,2,FALSE),"")</f>
        <v/>
      </c>
      <c r="H73" s="109"/>
      <c r="I73" s="305" t="str">
        <f>IFERROR(INDEX('G-7 WaterC'' Data'!$H$4:$L$8,MATCH(D73,'G-7 WaterC'' Data'!$B$4:$B$8,0),MATCH(H73,'G-7 WaterC'' Data'!$H$3:$L$3,0)),"")</f>
        <v/>
      </c>
      <c r="J73" s="718"/>
      <c r="K73" s="301" t="str">
        <f>IF(J73="","",IF(VLOOKUP(J73,'G-7 WaterC'' Data'!$AK$4:$AM$9,2,FALSE)=0,"Spatial Data Missing ⚠",VLOOKUP(J73,'G-7 WaterC'' Data'!$AK$4:$AM$6,2,FALSE)))</f>
        <v/>
      </c>
      <c r="L73" s="305" t="str">
        <f>IF(J73="","",IF(VLOOKUP(J73,'G-7 WaterC'' Data'!$AK$4:$AM$9,3,FALSE)=0,"Spatial Data Missing ⚠",VLOOKUP(J73,'G-7 WaterC'' Data'!$AK$4:$AM$6,3,FALSE)))</f>
        <v/>
      </c>
      <c r="M73" s="106"/>
      <c r="N73" s="282" t="str">
        <f>IF(M73="","",IF(AND(M73="N/A - Culvert",D73&lt;&gt;"Culvert"),"Not possible ▲",IF(AND(D73="Culvert",M73&lt;&gt;"N/A - Culvert"),"Not possible ▲",IF(VLOOKUP(M73,'G-7 WaterC'' Data'!$AA$4:$AB$7,2,FALSE)=0,"Spatial Data Missing ⚠",VLOOKUP(M73,'G-7 WaterC'' Data'!$AA$4:$AB$7,2,FALSE)))))</f>
        <v/>
      </c>
      <c r="O73" s="56"/>
      <c r="P73" s="282" t="str">
        <f>IF(O73="","",IF(AND(O73="N/A - Culvert",D73&lt;&gt;"Culvert"),"Not possible ▲",IF(AND(D73="Culvert",O73&lt;&gt;"N/A - Culvert"),"Not possible ▲",IF(VLOOKUP(O73,'G-7 WaterC'' Data'!$AD$4:$AE$14,2,FALSE)=0,"Spatial Data Missing ⚠",VLOOKUP(O73,'G-7 WaterC'' Data'!$AD$4:$AE$14,2,FALSE)))))</f>
        <v/>
      </c>
      <c r="Q73" s="288" t="str">
        <f>IF(D73="","",VLOOKUP(D73,'G-7 WaterC'' Data'!$B$4:$G$8,6,FALSE))</f>
        <v/>
      </c>
      <c r="R73" s="295" t="str">
        <f t="shared" si="1"/>
        <v xml:space="preserve"> </v>
      </c>
      <c r="S73" s="403"/>
      <c r="T73" s="287" t="str">
        <f>IF(S73="","",IF(VLOOKUP(S73,'G-7 WaterC'' Data'!$AO$4:$BO$7,2,FALSE)=0,"Spatial Data Missing ⚠",VLOOKUP(S73,'G-7 WaterC'' Data'!$AO$4:$BO$7,2,FALSE)))</f>
        <v/>
      </c>
      <c r="U73" s="295" t="str">
        <f t="shared" si="2"/>
        <v xml:space="preserve"> </v>
      </c>
      <c r="V73" s="710" t="str">
        <f t="shared" si="3"/>
        <v/>
      </c>
      <c r="W73" s="32"/>
      <c r="X73" s="105"/>
      <c r="Y73" s="112"/>
      <c r="Z73" s="293" t="str">
        <f t="shared" si="4"/>
        <v/>
      </c>
      <c r="AA73" s="293" t="str">
        <f t="shared" si="5"/>
        <v/>
      </c>
      <c r="AB73" s="293" t="str">
        <f t="shared" si="6"/>
        <v/>
      </c>
      <c r="AC73" s="507" t="str">
        <f>IFERROR(IF(OR(E73="",R73=""),"", IF(AND(AB73&lt;&gt;"",S73=""), "Spatial risk category missing ▲", IF(AND(Q73='G-7 WaterC'' Data'!$G$4,AD73="Yes"),"Alternative Compensation ✓", IF(AND(AD73="Pending", Q73='G-7 WaterC'' Data'!$G$4),"Bespoke compensation must be agreed ▲", IF((Z73+AA73)&gt;=U73,0, U73-Z73-AA73))))),"Check Data ⚠")</f>
        <v/>
      </c>
      <c r="AD73" s="403"/>
      <c r="AE73" s="109"/>
      <c r="AF73" s="108"/>
      <c r="AG73" s="108"/>
      <c r="AH73" s="108"/>
      <c r="AI73" s="54" t="str">
        <f>IF(OR(Q73="",AD73="Yes"),"",IF(Q73='G-1 All Habitats'!$X$9,E73-Y73-X73,"None"))</f>
        <v/>
      </c>
      <c r="AJ73" s="55" t="str">
        <f>IF(Q73="","", IF(Q73='G-1 All Habitats'!$X$9, AI73*G73*I73*L73*N73*P73,"None"))</f>
        <v/>
      </c>
      <c r="AK73" s="30" t="str">
        <f>IFERROR(INDEX('G-7 WaterC'' Data'!$AZ$3:$AZ$7,MATCH(D73,'G-7 WaterC'' Data'!$AY$3:$AY$7,0)),"")</f>
        <v/>
      </c>
      <c r="AL73" s="30">
        <f t="shared" si="7"/>
        <v>0</v>
      </c>
      <c r="AM73" s="111" t="str">
        <f t="shared" si="8"/>
        <v/>
      </c>
      <c r="AN73" s="111" t="str">
        <f t="shared" si="9"/>
        <v/>
      </c>
      <c r="AP73" s="111">
        <v>64</v>
      </c>
      <c r="AR73" s="111" t="str">
        <f t="array" ref="AR73">IFERROR(INDEX($AP$10:$AP$258, MATCH(0, IF(TRUE=$AM$10:$AM$258, COUNTIF($AR$9:$AR72, $AP$10:$AP$258), ""), 0)),"")</f>
        <v/>
      </c>
      <c r="AS73" s="111" t="str">
        <f t="array" ref="AS73">IFERROR(INDEX($AP$10:$AP$258, MATCH(0, IF(TRUE=$AN$10:$AN$258, COUNTIF($AS$9:$AS72, $AP$10:$AP$258), ""), 0)),"")</f>
        <v/>
      </c>
      <c r="AT73" s="903" t="str">
        <f>IF(AND(OR(AD73="Yes",AD73="Pending"),Q73='G-7 WaterC'' Data'!$G$4),U73-AA73-Z73,"0")</f>
        <v>0</v>
      </c>
      <c r="AU73" s="30" t="str">
        <f>IF(D73="","",VLOOKUP(D73,'G-7 WaterC'' Data'!B$4:M$8,12,FALSE))</f>
        <v/>
      </c>
      <c r="AV73" s="30" t="str">
        <f t="shared" si="0"/>
        <v/>
      </c>
      <c r="AW73" s="30" t="str">
        <f t="shared" si="10"/>
        <v>No</v>
      </c>
      <c r="BA73" s="571" t="str">
        <f t="shared" si="11"/>
        <v/>
      </c>
    </row>
    <row r="74" spans="3:53" ht="14.4" thickBot="1" x14ac:dyDescent="0.3">
      <c r="C74" s="101">
        <v>65</v>
      </c>
      <c r="D74" s="269"/>
      <c r="E74" s="108"/>
      <c r="F74" s="281" t="str">
        <f>IF(D74="","",VLOOKUP(D74,'G-7 WaterC'' Data'!$B$2:$G$8,2,FALSE))</f>
        <v/>
      </c>
      <c r="G74" s="320" t="str">
        <f>IFERROR(VLOOKUP(F74,'G-7 WaterC'' Data'!$C$4:$D$8,2,FALSE),"")</f>
        <v/>
      </c>
      <c r="H74" s="109"/>
      <c r="I74" s="305" t="str">
        <f>IFERROR(INDEX('G-7 WaterC'' Data'!$H$4:$L$8,MATCH(D74,'G-7 WaterC'' Data'!$B$4:$B$8,0),MATCH(H74,'G-7 WaterC'' Data'!$H$3:$L$3,0)),"")</f>
        <v/>
      </c>
      <c r="J74" s="718"/>
      <c r="K74" s="301" t="str">
        <f>IF(J74="","",IF(VLOOKUP(J74,'G-7 WaterC'' Data'!$AK$4:$AM$9,2,FALSE)=0,"Spatial Data Missing ⚠",VLOOKUP(J74,'G-7 WaterC'' Data'!$AK$4:$AM$6,2,FALSE)))</f>
        <v/>
      </c>
      <c r="L74" s="305" t="str">
        <f>IF(J74="","",IF(VLOOKUP(J74,'G-7 WaterC'' Data'!$AK$4:$AM$9,3,FALSE)=0,"Spatial Data Missing ⚠",VLOOKUP(J74,'G-7 WaterC'' Data'!$AK$4:$AM$6,3,FALSE)))</f>
        <v/>
      </c>
      <c r="M74" s="106"/>
      <c r="N74" s="282" t="str">
        <f>IF(M74="","",IF(AND(M74="N/A - Culvert",D74&lt;&gt;"Culvert"),"Not possible ▲",IF(AND(D74="Culvert",M74&lt;&gt;"N/A - Culvert"),"Not possible ▲",IF(VLOOKUP(M74,'G-7 WaterC'' Data'!$AA$4:$AB$7,2,FALSE)=0,"Spatial Data Missing ⚠",VLOOKUP(M74,'G-7 WaterC'' Data'!$AA$4:$AB$7,2,FALSE)))))</f>
        <v/>
      </c>
      <c r="O74" s="56"/>
      <c r="P74" s="282" t="str">
        <f>IF(O74="","",IF(AND(O74="N/A - Culvert",D74&lt;&gt;"Culvert"),"Not possible ▲",IF(AND(D74="Culvert",O74&lt;&gt;"N/A - Culvert"),"Not possible ▲",IF(VLOOKUP(O74,'G-7 WaterC'' Data'!$AD$4:$AE$14,2,FALSE)=0,"Spatial Data Missing ⚠",VLOOKUP(O74,'G-7 WaterC'' Data'!$AD$4:$AE$14,2,FALSE)))))</f>
        <v/>
      </c>
      <c r="Q74" s="288" t="str">
        <f>IF(D74="","",VLOOKUP(D74,'G-7 WaterC'' Data'!$B$4:$G$8,6,FALSE))</f>
        <v/>
      </c>
      <c r="R74" s="295" t="str">
        <f t="shared" si="1"/>
        <v xml:space="preserve"> </v>
      </c>
      <c r="S74" s="403"/>
      <c r="T74" s="287" t="str">
        <f>IF(S74="","",IF(VLOOKUP(S74,'G-7 WaterC'' Data'!$AO$4:$BO$7,2,FALSE)=0,"Spatial Data Missing ⚠",VLOOKUP(S74,'G-7 WaterC'' Data'!$AO$4:$BO$7,2,FALSE)))</f>
        <v/>
      </c>
      <c r="U74" s="295" t="str">
        <f t="shared" si="2"/>
        <v xml:space="preserve"> </v>
      </c>
      <c r="V74" s="710" t="str">
        <f t="shared" si="3"/>
        <v/>
      </c>
      <c r="W74" s="32"/>
      <c r="X74" s="105"/>
      <c r="Y74" s="112"/>
      <c r="Z74" s="293" t="str">
        <f t="shared" si="4"/>
        <v/>
      </c>
      <c r="AA74" s="293" t="str">
        <f t="shared" si="5"/>
        <v/>
      </c>
      <c r="AB74" s="293" t="str">
        <f t="shared" si="6"/>
        <v/>
      </c>
      <c r="AC74" s="507" t="str">
        <f>IFERROR(IF(OR(E74="",R74=""),"", IF(AND(AB74&lt;&gt;"",S74=""), "Spatial risk category missing ▲", IF(AND(Q74='G-7 WaterC'' Data'!$G$4,AD74="Yes"),"Alternative Compensation ✓", IF(AND(AD74="Pending", Q74='G-7 WaterC'' Data'!$G$4),"Bespoke compensation must be agreed ▲", IF((Z74+AA74)&gt;=U74,0, U74-Z74-AA74))))),"Check Data ⚠")</f>
        <v/>
      </c>
      <c r="AD74" s="403"/>
      <c r="AE74" s="109"/>
      <c r="AF74" s="108"/>
      <c r="AG74" s="108"/>
      <c r="AH74" s="108"/>
      <c r="AI74" s="54" t="str">
        <f>IF(OR(Q74="",AD74="Yes"),"",IF(Q74='G-1 All Habitats'!$X$9,E74-Y74-X74,"None"))</f>
        <v/>
      </c>
      <c r="AJ74" s="55" t="str">
        <f>IF(Q74="","", IF(Q74='G-1 All Habitats'!$X$9, AI74*G74*I74*L74*N74*P74,"None"))</f>
        <v/>
      </c>
      <c r="AK74" s="30" t="str">
        <f>IFERROR(INDEX('G-7 WaterC'' Data'!$AZ$3:$AZ$7,MATCH(D74,'G-7 WaterC'' Data'!$AY$3:$AY$7,0)),"")</f>
        <v/>
      </c>
      <c r="AL74" s="30">
        <f t="shared" si="7"/>
        <v>0</v>
      </c>
      <c r="AM74" s="111" t="str">
        <f t="shared" si="8"/>
        <v/>
      </c>
      <c r="AN74" s="111" t="str">
        <f t="shared" si="9"/>
        <v/>
      </c>
      <c r="AP74" s="111">
        <v>65</v>
      </c>
      <c r="AR74" s="111" t="str">
        <f t="array" ref="AR74">IFERROR(INDEX($AP$10:$AP$258, MATCH(0, IF(TRUE=$AM$10:$AM$258, COUNTIF($AR$9:$AR73, $AP$10:$AP$258), ""), 0)),"")</f>
        <v/>
      </c>
      <c r="AS74" s="111" t="str">
        <f t="array" ref="AS74">IFERROR(INDEX($AP$10:$AP$258, MATCH(0, IF(TRUE=$AN$10:$AN$258, COUNTIF($AS$9:$AS73, $AP$10:$AP$258), ""), 0)),"")</f>
        <v/>
      </c>
      <c r="AT74" s="903" t="str">
        <f>IF(AND(OR(AD74="Yes",AD74="Pending"),Q74='G-7 WaterC'' Data'!$G$4),U74-AA74-Z74,"0")</f>
        <v>0</v>
      </c>
      <c r="AU74" s="30" t="str">
        <f>IF(D74="","",VLOOKUP(D74,'G-7 WaterC'' Data'!B$4:M$8,12,FALSE))</f>
        <v/>
      </c>
      <c r="AV74" s="30" t="str">
        <f t="shared" ref="AV74:AV137" si="12">IF(AD74="","", IF(AD74="Yes", "Yes ✓", "No ▲"))</f>
        <v/>
      </c>
      <c r="AW74" s="30" t="str">
        <f t="shared" si="10"/>
        <v>No</v>
      </c>
      <c r="BA74" s="571" t="str">
        <f t="shared" si="11"/>
        <v/>
      </c>
    </row>
    <row r="75" spans="3:53" ht="14.4" thickBot="1" x14ac:dyDescent="0.3">
      <c r="C75" s="101">
        <v>66</v>
      </c>
      <c r="D75" s="269"/>
      <c r="E75" s="108"/>
      <c r="F75" s="281" t="str">
        <f>IF(D75="","",VLOOKUP(D75,'G-7 WaterC'' Data'!$B$2:$G$8,2,FALSE))</f>
        <v/>
      </c>
      <c r="G75" s="320" t="str">
        <f>IFERROR(VLOOKUP(F75,'G-7 WaterC'' Data'!$C$4:$D$8,2,FALSE),"")</f>
        <v/>
      </c>
      <c r="H75" s="109"/>
      <c r="I75" s="305" t="str">
        <f>IFERROR(INDEX('G-7 WaterC'' Data'!$H$4:$L$8,MATCH(D75,'G-7 WaterC'' Data'!$B$4:$B$8,0),MATCH(H75,'G-7 WaterC'' Data'!$H$3:$L$3,0)),"")</f>
        <v/>
      </c>
      <c r="J75" s="718"/>
      <c r="K75" s="301" t="str">
        <f>IF(J75="","",IF(VLOOKUP(J75,'G-7 WaterC'' Data'!$AK$4:$AM$9,2,FALSE)=0,"Spatial Data Missing ⚠",VLOOKUP(J75,'G-7 WaterC'' Data'!$AK$4:$AM$6,2,FALSE)))</f>
        <v/>
      </c>
      <c r="L75" s="305" t="str">
        <f>IF(J75="","",IF(VLOOKUP(J75,'G-7 WaterC'' Data'!$AK$4:$AM$9,3,FALSE)=0,"Spatial Data Missing ⚠",VLOOKUP(J75,'G-7 WaterC'' Data'!$AK$4:$AM$6,3,FALSE)))</f>
        <v/>
      </c>
      <c r="M75" s="106"/>
      <c r="N75" s="282" t="str">
        <f>IF(M75="","",IF(AND(M75="N/A - Culvert",D75&lt;&gt;"Culvert"),"Not possible ▲",IF(AND(D75="Culvert",M75&lt;&gt;"N/A - Culvert"),"Not possible ▲",IF(VLOOKUP(M75,'G-7 WaterC'' Data'!$AA$4:$AB$7,2,FALSE)=0,"Spatial Data Missing ⚠",VLOOKUP(M75,'G-7 WaterC'' Data'!$AA$4:$AB$7,2,FALSE)))))</f>
        <v/>
      </c>
      <c r="O75" s="56"/>
      <c r="P75" s="282" t="str">
        <f>IF(O75="","",IF(AND(O75="N/A - Culvert",D75&lt;&gt;"Culvert"),"Not possible ▲",IF(AND(D75="Culvert",O75&lt;&gt;"N/A - Culvert"),"Not possible ▲",IF(VLOOKUP(O75,'G-7 WaterC'' Data'!$AD$4:$AE$14,2,FALSE)=0,"Spatial Data Missing ⚠",VLOOKUP(O75,'G-7 WaterC'' Data'!$AD$4:$AE$14,2,FALSE)))))</f>
        <v/>
      </c>
      <c r="Q75" s="288" t="str">
        <f>IF(D75="","",VLOOKUP(D75,'G-7 WaterC'' Data'!$B$4:$G$8,6,FALSE))</f>
        <v/>
      </c>
      <c r="R75" s="295" t="str">
        <f t="shared" ref="R75:R138" si="13">IFERROR(IF(AND(X75&gt;0, Y75&gt;0, X75+Y75&gt;E75), "Split retained and enhanced into separate entries ▲", IF(OR(K75="Check data ⚠",I75="Check data ⚠"), "Check data ▲", E75*G75*I75*L75*N75*P75*T75 ))," ")</f>
        <v xml:space="preserve"> </v>
      </c>
      <c r="S75" s="403"/>
      <c r="T75" s="287" t="str">
        <f>IF(S75="","",IF(VLOOKUP(S75,'G-7 WaterC'' Data'!$AO$4:$BO$7,2,FALSE)=0,"Spatial Data Missing ⚠",VLOOKUP(S75,'G-7 WaterC'' Data'!$AO$4:$BO$7,2,FALSE)))</f>
        <v/>
      </c>
      <c r="U75" s="295" t="str">
        <f t="shared" ref="U75:U138" si="14">IFERROR(IF(AND(X75&gt;0, Y75&gt;0, X75+Y75&gt;E75), "Split retained and enhanced into separate entries ▲", IF(AND(S75&lt;&gt;"",AH75=""), "Off-site reference required ▲",IF(OR(K75="Check data ⚠",I75="Check data ⚠"), "Check data ▲", E75*G75*I75*L75*N75*P75 )))," ")</f>
        <v xml:space="preserve"> </v>
      </c>
      <c r="V75" s="710" t="str">
        <f t="shared" ref="V75:V138" si="15">AU75</f>
        <v/>
      </c>
      <c r="W75" s="32"/>
      <c r="X75" s="105"/>
      <c r="Y75" s="112"/>
      <c r="Z75" s="293" t="str">
        <f t="shared" ref="Z75:Z138" si="16">IFERROR(IF(X75&gt;E75,"Error in Lengths ▲",X75*G75*I75*L75*N75*P75),"")</f>
        <v/>
      </c>
      <c r="AA75" s="293" t="str">
        <f t="shared" ref="AA75:AA138" si="17">IFERROR(IF(D75="","",Y75*G75*I75*L75*N75*P75),"")</f>
        <v/>
      </c>
      <c r="AB75" s="293" t="str">
        <f t="shared" ref="AB75:AB138" si="18">IFERROR(IF(D75="","",IF(E75&gt;(X75+Y75),E75-X75-Y75,0)),"")</f>
        <v/>
      </c>
      <c r="AC75" s="507" t="str">
        <f>IFERROR(IF(OR(E75="",R75=""),"", IF(AND(AB75&lt;&gt;"",S75=""), "Spatial risk category missing ▲", IF(AND(Q75='G-7 WaterC'' Data'!$G$4,AD75="Yes"),"Alternative Compensation ✓", IF(AND(AD75="Pending", Q75='G-7 WaterC'' Data'!$G$4),"Bespoke compensation must be agreed ▲", IF((Z75+AA75)&gt;=U75,0, U75-Z75-AA75))))),"Check Data ⚠")</f>
        <v/>
      </c>
      <c r="AD75" s="403"/>
      <c r="AE75" s="109"/>
      <c r="AF75" s="108"/>
      <c r="AG75" s="108"/>
      <c r="AH75" s="108"/>
      <c r="AI75" s="54" t="str">
        <f>IF(OR(Q75="",AD75="Yes"),"",IF(Q75='G-1 All Habitats'!$X$9,E75-Y75-X75,"None"))</f>
        <v/>
      </c>
      <c r="AJ75" s="55" t="str">
        <f>IF(Q75="","", IF(Q75='G-1 All Habitats'!$X$9, AI75*G75*I75*L75*N75*P75,"None"))</f>
        <v/>
      </c>
      <c r="AK75" s="30" t="str">
        <f>IFERROR(INDEX('G-7 WaterC'' Data'!$AZ$3:$AZ$7,MATCH(D75,'G-7 WaterC'' Data'!$AY$3:$AY$7,0)),"")</f>
        <v/>
      </c>
      <c r="AL75" s="30">
        <f t="shared" ref="AL75:AL138" si="19">IFERROR(IF(X75+Y75&gt;E75,1,0),"")</f>
        <v>0</v>
      </c>
      <c r="AM75" s="111" t="str">
        <f t="shared" ref="AM75:AM138" si="20">IF(D75="","",IF(X75&gt;0,TRUE,FALSE))</f>
        <v/>
      </c>
      <c r="AN75" s="111" t="str">
        <f t="shared" ref="AN75:AN138" si="21">IF(D75="","",IF(Y75&gt;0,TRUE,FALSE))</f>
        <v/>
      </c>
      <c r="AP75" s="111">
        <v>66</v>
      </c>
      <c r="AR75" s="111" t="str">
        <f t="array" ref="AR75">IFERROR(INDEX($AP$10:$AP$258, MATCH(0, IF(TRUE=$AM$10:$AM$258, COUNTIF($AR$9:$AR74, $AP$10:$AP$258), ""), 0)),"")</f>
        <v/>
      </c>
      <c r="AS75" s="111" t="str">
        <f t="array" ref="AS75">IFERROR(INDEX($AP$10:$AP$258, MATCH(0, IF(TRUE=$AN$10:$AN$258, COUNTIF($AS$9:$AS74, $AP$10:$AP$258), ""), 0)),"")</f>
        <v/>
      </c>
      <c r="AT75" s="903" t="str">
        <f>IF(AND(OR(AD75="Yes",AD75="Pending"),Q75='G-7 WaterC'' Data'!$G$4),U75-AA75-Z75,"0")</f>
        <v>0</v>
      </c>
      <c r="AU75" s="30" t="str">
        <f>IF(D75="","",VLOOKUP(D75,'G-7 WaterC'' Data'!B$4:M$8,12,FALSE))</f>
        <v/>
      </c>
      <c r="AV75" s="30" t="str">
        <f t="shared" si="12"/>
        <v/>
      </c>
      <c r="AW75" s="30" t="str">
        <f t="shared" ref="AW75:AW138" si="22">IF(AND(D75="Ditches",(OR(H75="Fairly Poor",H75="Fairly Good"))), "Yes", "No")</f>
        <v>No</v>
      </c>
      <c r="BA75" s="571" t="str">
        <f t="shared" ref="BA75:BA138" si="23">IFERROR(IF(X75&gt;E75,"Error in Lengths ▲",IF(Z75="Irreplaceable habitat - no units generated ⚠","0",X75*G75*I75*L75*N75*P75*T75)+(AT75*T75)),"")</f>
        <v/>
      </c>
    </row>
    <row r="76" spans="3:53" ht="14.4" thickBot="1" x14ac:dyDescent="0.3">
      <c r="C76" s="101">
        <v>67</v>
      </c>
      <c r="D76" s="269"/>
      <c r="E76" s="108"/>
      <c r="F76" s="281" t="str">
        <f>IF(D76="","",VLOOKUP(D76,'G-7 WaterC'' Data'!$B$2:$G$8,2,FALSE))</f>
        <v/>
      </c>
      <c r="G76" s="320" t="str">
        <f>IFERROR(VLOOKUP(F76,'G-7 WaterC'' Data'!$C$4:$D$8,2,FALSE),"")</f>
        <v/>
      </c>
      <c r="H76" s="109"/>
      <c r="I76" s="305" t="str">
        <f>IFERROR(INDEX('G-7 WaterC'' Data'!$H$4:$L$8,MATCH(D76,'G-7 WaterC'' Data'!$B$4:$B$8,0),MATCH(H76,'G-7 WaterC'' Data'!$H$3:$L$3,0)),"")</f>
        <v/>
      </c>
      <c r="J76" s="718"/>
      <c r="K76" s="301" t="str">
        <f>IF(J76="","",IF(VLOOKUP(J76,'G-7 WaterC'' Data'!$AK$4:$AM$9,2,FALSE)=0,"Spatial Data Missing ⚠",VLOOKUP(J76,'G-7 WaterC'' Data'!$AK$4:$AM$6,2,FALSE)))</f>
        <v/>
      </c>
      <c r="L76" s="305" t="str">
        <f>IF(J76="","",IF(VLOOKUP(J76,'G-7 WaterC'' Data'!$AK$4:$AM$9,3,FALSE)=0,"Spatial Data Missing ⚠",VLOOKUP(J76,'G-7 WaterC'' Data'!$AK$4:$AM$6,3,FALSE)))</f>
        <v/>
      </c>
      <c r="M76" s="106"/>
      <c r="N76" s="282" t="str">
        <f>IF(M76="","",IF(AND(M76="N/A - Culvert",D76&lt;&gt;"Culvert"),"Not possible ▲",IF(AND(D76="Culvert",M76&lt;&gt;"N/A - Culvert"),"Not possible ▲",IF(VLOOKUP(M76,'G-7 WaterC'' Data'!$AA$4:$AB$7,2,FALSE)=0,"Spatial Data Missing ⚠",VLOOKUP(M76,'G-7 WaterC'' Data'!$AA$4:$AB$7,2,FALSE)))))</f>
        <v/>
      </c>
      <c r="O76" s="56"/>
      <c r="P76" s="282" t="str">
        <f>IF(O76="","",IF(AND(O76="N/A - Culvert",D76&lt;&gt;"Culvert"),"Not possible ▲",IF(AND(D76="Culvert",O76&lt;&gt;"N/A - Culvert"),"Not possible ▲",IF(VLOOKUP(O76,'G-7 WaterC'' Data'!$AD$4:$AE$14,2,FALSE)=0,"Spatial Data Missing ⚠",VLOOKUP(O76,'G-7 WaterC'' Data'!$AD$4:$AE$14,2,FALSE)))))</f>
        <v/>
      </c>
      <c r="Q76" s="288" t="str">
        <f>IF(D76="","",VLOOKUP(D76,'G-7 WaterC'' Data'!$B$4:$G$8,6,FALSE))</f>
        <v/>
      </c>
      <c r="R76" s="295" t="str">
        <f t="shared" si="13"/>
        <v xml:space="preserve"> </v>
      </c>
      <c r="S76" s="403"/>
      <c r="T76" s="287" t="str">
        <f>IF(S76="","",IF(VLOOKUP(S76,'G-7 WaterC'' Data'!$AO$4:$BO$7,2,FALSE)=0,"Spatial Data Missing ⚠",VLOOKUP(S76,'G-7 WaterC'' Data'!$AO$4:$BO$7,2,FALSE)))</f>
        <v/>
      </c>
      <c r="U76" s="295" t="str">
        <f t="shared" si="14"/>
        <v xml:space="preserve"> </v>
      </c>
      <c r="V76" s="710" t="str">
        <f t="shared" si="15"/>
        <v/>
      </c>
      <c r="W76" s="32"/>
      <c r="X76" s="105"/>
      <c r="Y76" s="112"/>
      <c r="Z76" s="293" t="str">
        <f t="shared" si="16"/>
        <v/>
      </c>
      <c r="AA76" s="293" t="str">
        <f t="shared" si="17"/>
        <v/>
      </c>
      <c r="AB76" s="293" t="str">
        <f t="shared" si="18"/>
        <v/>
      </c>
      <c r="AC76" s="507" t="str">
        <f>IFERROR(IF(OR(E76="",R76=""),"", IF(AND(AB76&lt;&gt;"",S76=""), "Spatial risk category missing ▲", IF(AND(Q76='G-7 WaterC'' Data'!$G$4,AD76="Yes"),"Alternative Compensation ✓", IF(AND(AD76="Pending", Q76='G-7 WaterC'' Data'!$G$4),"Bespoke compensation must be agreed ▲", IF((Z76+AA76)&gt;=U76,0, U76-Z76-AA76))))),"Check Data ⚠")</f>
        <v/>
      </c>
      <c r="AD76" s="403"/>
      <c r="AE76" s="109"/>
      <c r="AF76" s="108"/>
      <c r="AG76" s="108"/>
      <c r="AH76" s="108"/>
      <c r="AI76" s="54" t="str">
        <f>IF(OR(Q76="",AD76="Yes"),"",IF(Q76='G-1 All Habitats'!$X$9,E76-Y76-X76,"None"))</f>
        <v/>
      </c>
      <c r="AJ76" s="55" t="str">
        <f>IF(Q76="","", IF(Q76='G-1 All Habitats'!$X$9, AI76*G76*I76*L76*N76*P76,"None"))</f>
        <v/>
      </c>
      <c r="AK76" s="30" t="str">
        <f>IFERROR(INDEX('G-7 WaterC'' Data'!$AZ$3:$AZ$7,MATCH(D76,'G-7 WaterC'' Data'!$AY$3:$AY$7,0)),"")</f>
        <v/>
      </c>
      <c r="AL76" s="30">
        <f t="shared" si="19"/>
        <v>0</v>
      </c>
      <c r="AM76" s="111" t="str">
        <f t="shared" si="20"/>
        <v/>
      </c>
      <c r="AN76" s="111" t="str">
        <f t="shared" si="21"/>
        <v/>
      </c>
      <c r="AP76" s="111">
        <v>67</v>
      </c>
      <c r="AR76" s="111" t="str">
        <f t="array" ref="AR76">IFERROR(INDEX($AP$10:$AP$258, MATCH(0, IF(TRUE=$AM$10:$AM$258, COUNTIF($AR$9:$AR75, $AP$10:$AP$258), ""), 0)),"")</f>
        <v/>
      </c>
      <c r="AS76" s="111" t="str">
        <f t="array" ref="AS76">IFERROR(INDEX($AP$10:$AP$258, MATCH(0, IF(TRUE=$AN$10:$AN$258, COUNTIF($AS$9:$AS75, $AP$10:$AP$258), ""), 0)),"")</f>
        <v/>
      </c>
      <c r="AT76" s="903" t="str">
        <f>IF(AND(OR(AD76="Yes",AD76="Pending"),Q76='G-7 WaterC'' Data'!$G$4),U76-AA76-Z76,"0")</f>
        <v>0</v>
      </c>
      <c r="AU76" s="30" t="str">
        <f>IF(D76="","",VLOOKUP(D76,'G-7 WaterC'' Data'!B$4:M$8,12,FALSE))</f>
        <v/>
      </c>
      <c r="AV76" s="30" t="str">
        <f t="shared" si="12"/>
        <v/>
      </c>
      <c r="AW76" s="30" t="str">
        <f t="shared" si="22"/>
        <v>No</v>
      </c>
      <c r="BA76" s="571" t="str">
        <f t="shared" si="23"/>
        <v/>
      </c>
    </row>
    <row r="77" spans="3:53" ht="14.4" thickBot="1" x14ac:dyDescent="0.3">
      <c r="C77" s="101">
        <v>68</v>
      </c>
      <c r="D77" s="269"/>
      <c r="E77" s="108"/>
      <c r="F77" s="281" t="str">
        <f>IF(D77="","",VLOOKUP(D77,'G-7 WaterC'' Data'!$B$2:$G$8,2,FALSE))</f>
        <v/>
      </c>
      <c r="G77" s="320" t="str">
        <f>IFERROR(VLOOKUP(F77,'G-7 WaterC'' Data'!$C$4:$D$8,2,FALSE),"")</f>
        <v/>
      </c>
      <c r="H77" s="109"/>
      <c r="I77" s="305" t="str">
        <f>IFERROR(INDEX('G-7 WaterC'' Data'!$H$4:$L$8,MATCH(D77,'G-7 WaterC'' Data'!$B$4:$B$8,0),MATCH(H77,'G-7 WaterC'' Data'!$H$3:$L$3,0)),"")</f>
        <v/>
      </c>
      <c r="J77" s="718"/>
      <c r="K77" s="301" t="str">
        <f>IF(J77="","",IF(VLOOKUP(J77,'G-7 WaterC'' Data'!$AK$4:$AM$9,2,FALSE)=0,"Spatial Data Missing ⚠",VLOOKUP(J77,'G-7 WaterC'' Data'!$AK$4:$AM$6,2,FALSE)))</f>
        <v/>
      </c>
      <c r="L77" s="305" t="str">
        <f>IF(J77="","",IF(VLOOKUP(J77,'G-7 WaterC'' Data'!$AK$4:$AM$9,3,FALSE)=0,"Spatial Data Missing ⚠",VLOOKUP(J77,'G-7 WaterC'' Data'!$AK$4:$AM$6,3,FALSE)))</f>
        <v/>
      </c>
      <c r="M77" s="106"/>
      <c r="N77" s="282" t="str">
        <f>IF(M77="","",IF(AND(M77="N/A - Culvert",D77&lt;&gt;"Culvert"),"Not possible ▲",IF(AND(D77="Culvert",M77&lt;&gt;"N/A - Culvert"),"Not possible ▲",IF(VLOOKUP(M77,'G-7 WaterC'' Data'!$AA$4:$AB$7,2,FALSE)=0,"Spatial Data Missing ⚠",VLOOKUP(M77,'G-7 WaterC'' Data'!$AA$4:$AB$7,2,FALSE)))))</f>
        <v/>
      </c>
      <c r="O77" s="56"/>
      <c r="P77" s="282" t="str">
        <f>IF(O77="","",IF(AND(O77="N/A - Culvert",D77&lt;&gt;"Culvert"),"Not possible ▲",IF(AND(D77="Culvert",O77&lt;&gt;"N/A - Culvert"),"Not possible ▲",IF(VLOOKUP(O77,'G-7 WaterC'' Data'!$AD$4:$AE$14,2,FALSE)=0,"Spatial Data Missing ⚠",VLOOKUP(O77,'G-7 WaterC'' Data'!$AD$4:$AE$14,2,FALSE)))))</f>
        <v/>
      </c>
      <c r="Q77" s="288" t="str">
        <f>IF(D77="","",VLOOKUP(D77,'G-7 WaterC'' Data'!$B$4:$G$8,6,FALSE))</f>
        <v/>
      </c>
      <c r="R77" s="295" t="str">
        <f t="shared" si="13"/>
        <v xml:space="preserve"> </v>
      </c>
      <c r="S77" s="403"/>
      <c r="T77" s="287" t="str">
        <f>IF(S77="","",IF(VLOOKUP(S77,'G-7 WaterC'' Data'!$AO$4:$BO$7,2,FALSE)=0,"Spatial Data Missing ⚠",VLOOKUP(S77,'G-7 WaterC'' Data'!$AO$4:$BO$7,2,FALSE)))</f>
        <v/>
      </c>
      <c r="U77" s="295" t="str">
        <f t="shared" si="14"/>
        <v xml:space="preserve"> </v>
      </c>
      <c r="V77" s="710" t="str">
        <f t="shared" si="15"/>
        <v/>
      </c>
      <c r="W77" s="32"/>
      <c r="X77" s="105"/>
      <c r="Y77" s="112"/>
      <c r="Z77" s="293" t="str">
        <f t="shared" si="16"/>
        <v/>
      </c>
      <c r="AA77" s="293" t="str">
        <f t="shared" si="17"/>
        <v/>
      </c>
      <c r="AB77" s="293" t="str">
        <f t="shared" si="18"/>
        <v/>
      </c>
      <c r="AC77" s="507" t="str">
        <f>IFERROR(IF(OR(E77="",R77=""),"", IF(AND(AB77&lt;&gt;"",S77=""), "Spatial risk category missing ▲", IF(AND(Q77='G-7 WaterC'' Data'!$G$4,AD77="Yes"),"Alternative Compensation ✓", IF(AND(AD77="Pending", Q77='G-7 WaterC'' Data'!$G$4),"Bespoke compensation must be agreed ▲", IF((Z77+AA77)&gt;=U77,0, U77-Z77-AA77))))),"Check Data ⚠")</f>
        <v/>
      </c>
      <c r="AD77" s="403"/>
      <c r="AE77" s="109"/>
      <c r="AF77" s="108"/>
      <c r="AG77" s="108"/>
      <c r="AH77" s="108"/>
      <c r="AI77" s="54" t="str">
        <f>IF(OR(Q77="",AD77="Yes"),"",IF(Q77='G-1 All Habitats'!$X$9,E77-Y77-X77,"None"))</f>
        <v/>
      </c>
      <c r="AJ77" s="55" t="str">
        <f>IF(Q77="","", IF(Q77='G-1 All Habitats'!$X$9, AI77*G77*I77*L77*N77*P77,"None"))</f>
        <v/>
      </c>
      <c r="AK77" s="30" t="str">
        <f>IFERROR(INDEX('G-7 WaterC'' Data'!$AZ$3:$AZ$7,MATCH(D77,'G-7 WaterC'' Data'!$AY$3:$AY$7,0)),"")</f>
        <v/>
      </c>
      <c r="AL77" s="30">
        <f t="shared" si="19"/>
        <v>0</v>
      </c>
      <c r="AM77" s="111" t="str">
        <f t="shared" si="20"/>
        <v/>
      </c>
      <c r="AN77" s="111" t="str">
        <f t="shared" si="21"/>
        <v/>
      </c>
      <c r="AP77" s="111">
        <v>68</v>
      </c>
      <c r="AR77" s="111" t="str">
        <f t="array" ref="AR77">IFERROR(INDEX($AP$10:$AP$258, MATCH(0, IF(TRUE=$AM$10:$AM$258, COUNTIF($AR$9:$AR76, $AP$10:$AP$258), ""), 0)),"")</f>
        <v/>
      </c>
      <c r="AS77" s="111" t="str">
        <f t="array" ref="AS77">IFERROR(INDEX($AP$10:$AP$258, MATCH(0, IF(TRUE=$AN$10:$AN$258, COUNTIF($AS$9:$AS76, $AP$10:$AP$258), ""), 0)),"")</f>
        <v/>
      </c>
      <c r="AT77" s="903" t="str">
        <f>IF(AND(OR(AD77="Yes",AD77="Pending"),Q77='G-7 WaterC'' Data'!$G$4),U77-AA77-Z77,"0")</f>
        <v>0</v>
      </c>
      <c r="AU77" s="30" t="str">
        <f>IF(D77="","",VLOOKUP(D77,'G-7 WaterC'' Data'!B$4:M$8,12,FALSE))</f>
        <v/>
      </c>
      <c r="AV77" s="30" t="str">
        <f t="shared" si="12"/>
        <v/>
      </c>
      <c r="AW77" s="30" t="str">
        <f t="shared" si="22"/>
        <v>No</v>
      </c>
      <c r="BA77" s="571" t="str">
        <f t="shared" si="23"/>
        <v/>
      </c>
    </row>
    <row r="78" spans="3:53" ht="14.4" thickBot="1" x14ac:dyDescent="0.3">
      <c r="C78" s="101">
        <v>69</v>
      </c>
      <c r="D78" s="269"/>
      <c r="E78" s="108"/>
      <c r="F78" s="281" t="str">
        <f>IF(D78="","",VLOOKUP(D78,'G-7 WaterC'' Data'!$B$2:$G$8,2,FALSE))</f>
        <v/>
      </c>
      <c r="G78" s="320" t="str">
        <f>IFERROR(VLOOKUP(F78,'G-7 WaterC'' Data'!$C$4:$D$8,2,FALSE),"")</f>
        <v/>
      </c>
      <c r="H78" s="109"/>
      <c r="I78" s="305" t="str">
        <f>IFERROR(INDEX('G-7 WaterC'' Data'!$H$4:$L$8,MATCH(D78,'G-7 WaterC'' Data'!$B$4:$B$8,0),MATCH(H78,'G-7 WaterC'' Data'!$H$3:$L$3,0)),"")</f>
        <v/>
      </c>
      <c r="J78" s="718"/>
      <c r="K78" s="301" t="str">
        <f>IF(J78="","",IF(VLOOKUP(J78,'G-7 WaterC'' Data'!$AK$4:$AM$9,2,FALSE)=0,"Spatial Data Missing ⚠",VLOOKUP(J78,'G-7 WaterC'' Data'!$AK$4:$AM$6,2,FALSE)))</f>
        <v/>
      </c>
      <c r="L78" s="305" t="str">
        <f>IF(J78="","",IF(VLOOKUP(J78,'G-7 WaterC'' Data'!$AK$4:$AM$9,3,FALSE)=0,"Spatial Data Missing ⚠",VLOOKUP(J78,'G-7 WaterC'' Data'!$AK$4:$AM$6,3,FALSE)))</f>
        <v/>
      </c>
      <c r="M78" s="106"/>
      <c r="N78" s="282" t="str">
        <f>IF(M78="","",IF(AND(M78="N/A - Culvert",D78&lt;&gt;"Culvert"),"Not possible ▲",IF(AND(D78="Culvert",M78&lt;&gt;"N/A - Culvert"),"Not possible ▲",IF(VLOOKUP(M78,'G-7 WaterC'' Data'!$AA$4:$AB$7,2,FALSE)=0,"Spatial Data Missing ⚠",VLOOKUP(M78,'G-7 WaterC'' Data'!$AA$4:$AB$7,2,FALSE)))))</f>
        <v/>
      </c>
      <c r="O78" s="56"/>
      <c r="P78" s="282" t="str">
        <f>IF(O78="","",IF(AND(O78="N/A - Culvert",D78&lt;&gt;"Culvert"),"Not possible ▲",IF(AND(D78="Culvert",O78&lt;&gt;"N/A - Culvert"),"Not possible ▲",IF(VLOOKUP(O78,'G-7 WaterC'' Data'!$AD$4:$AE$14,2,FALSE)=0,"Spatial Data Missing ⚠",VLOOKUP(O78,'G-7 WaterC'' Data'!$AD$4:$AE$14,2,FALSE)))))</f>
        <v/>
      </c>
      <c r="Q78" s="288" t="str">
        <f>IF(D78="","",VLOOKUP(D78,'G-7 WaterC'' Data'!$B$4:$G$8,6,FALSE))</f>
        <v/>
      </c>
      <c r="R78" s="295" t="str">
        <f t="shared" si="13"/>
        <v xml:space="preserve"> </v>
      </c>
      <c r="S78" s="403"/>
      <c r="T78" s="287" t="str">
        <f>IF(S78="","",IF(VLOOKUP(S78,'G-7 WaterC'' Data'!$AO$4:$BO$7,2,FALSE)=0,"Spatial Data Missing ⚠",VLOOKUP(S78,'G-7 WaterC'' Data'!$AO$4:$BO$7,2,FALSE)))</f>
        <v/>
      </c>
      <c r="U78" s="295" t="str">
        <f t="shared" si="14"/>
        <v xml:space="preserve"> </v>
      </c>
      <c r="V78" s="710" t="str">
        <f t="shared" si="15"/>
        <v/>
      </c>
      <c r="W78" s="32"/>
      <c r="X78" s="105"/>
      <c r="Y78" s="112"/>
      <c r="Z78" s="293" t="str">
        <f t="shared" si="16"/>
        <v/>
      </c>
      <c r="AA78" s="293" t="str">
        <f t="shared" si="17"/>
        <v/>
      </c>
      <c r="AB78" s="293" t="str">
        <f t="shared" si="18"/>
        <v/>
      </c>
      <c r="AC78" s="507" t="str">
        <f>IFERROR(IF(OR(E78="",R78=""),"", IF(AND(AB78&lt;&gt;"",S78=""), "Spatial risk category missing ▲", IF(AND(Q78='G-7 WaterC'' Data'!$G$4,AD78="Yes"),"Alternative Compensation ✓", IF(AND(AD78="Pending", Q78='G-7 WaterC'' Data'!$G$4),"Bespoke compensation must be agreed ▲", IF((Z78+AA78)&gt;=U78,0, U78-Z78-AA78))))),"Check Data ⚠")</f>
        <v/>
      </c>
      <c r="AD78" s="403"/>
      <c r="AE78" s="109"/>
      <c r="AF78" s="108"/>
      <c r="AG78" s="108"/>
      <c r="AH78" s="108"/>
      <c r="AI78" s="54" t="str">
        <f>IF(OR(Q78="",AD78="Yes"),"",IF(Q78='G-1 All Habitats'!$X$9,E78-Y78-X78,"None"))</f>
        <v/>
      </c>
      <c r="AJ78" s="55" t="str">
        <f>IF(Q78="","", IF(Q78='G-1 All Habitats'!$X$9, AI78*G78*I78*L78*N78*P78,"None"))</f>
        <v/>
      </c>
      <c r="AK78" s="30" t="str">
        <f>IFERROR(INDEX('G-7 WaterC'' Data'!$AZ$3:$AZ$7,MATCH(D78,'G-7 WaterC'' Data'!$AY$3:$AY$7,0)),"")</f>
        <v/>
      </c>
      <c r="AL78" s="30">
        <f t="shared" si="19"/>
        <v>0</v>
      </c>
      <c r="AM78" s="111" t="str">
        <f t="shared" si="20"/>
        <v/>
      </c>
      <c r="AN78" s="111" t="str">
        <f t="shared" si="21"/>
        <v/>
      </c>
      <c r="AP78" s="111">
        <v>69</v>
      </c>
      <c r="AR78" s="111" t="str">
        <f t="array" ref="AR78">IFERROR(INDEX($AP$10:$AP$258, MATCH(0, IF(TRUE=$AM$10:$AM$258, COUNTIF($AR$9:$AR77, $AP$10:$AP$258), ""), 0)),"")</f>
        <v/>
      </c>
      <c r="AS78" s="111" t="str">
        <f t="array" ref="AS78">IFERROR(INDEX($AP$10:$AP$258, MATCH(0, IF(TRUE=$AN$10:$AN$258, COUNTIF($AS$9:$AS77, $AP$10:$AP$258), ""), 0)),"")</f>
        <v/>
      </c>
      <c r="AT78" s="903" t="str">
        <f>IF(AND(OR(AD78="Yes",AD78="Pending"),Q78='G-7 WaterC'' Data'!$G$4),U78-AA78-Z78,"0")</f>
        <v>0</v>
      </c>
      <c r="AU78" s="30" t="str">
        <f>IF(D78="","",VLOOKUP(D78,'G-7 WaterC'' Data'!B$4:M$8,12,FALSE))</f>
        <v/>
      </c>
      <c r="AV78" s="30" t="str">
        <f t="shared" si="12"/>
        <v/>
      </c>
      <c r="AW78" s="30" t="str">
        <f t="shared" si="22"/>
        <v>No</v>
      </c>
      <c r="BA78" s="571" t="str">
        <f t="shared" si="23"/>
        <v/>
      </c>
    </row>
    <row r="79" spans="3:53" ht="14.4" thickBot="1" x14ac:dyDescent="0.3">
      <c r="C79" s="101">
        <v>70</v>
      </c>
      <c r="D79" s="269"/>
      <c r="E79" s="108"/>
      <c r="F79" s="281" t="str">
        <f>IF(D79="","",VLOOKUP(D79,'G-7 WaterC'' Data'!$B$2:$G$8,2,FALSE))</f>
        <v/>
      </c>
      <c r="G79" s="320" t="str">
        <f>IFERROR(VLOOKUP(F79,'G-7 WaterC'' Data'!$C$4:$D$8,2,FALSE),"")</f>
        <v/>
      </c>
      <c r="H79" s="109"/>
      <c r="I79" s="305" t="str">
        <f>IFERROR(INDEX('G-7 WaterC'' Data'!$H$4:$L$8,MATCH(D79,'G-7 WaterC'' Data'!$B$4:$B$8,0),MATCH(H79,'G-7 WaterC'' Data'!$H$3:$L$3,0)),"")</f>
        <v/>
      </c>
      <c r="J79" s="718"/>
      <c r="K79" s="301" t="str">
        <f>IF(J79="","",IF(VLOOKUP(J79,'G-7 WaterC'' Data'!$AK$4:$AM$9,2,FALSE)=0,"Spatial Data Missing ⚠",VLOOKUP(J79,'G-7 WaterC'' Data'!$AK$4:$AM$6,2,FALSE)))</f>
        <v/>
      </c>
      <c r="L79" s="305" t="str">
        <f>IF(J79="","",IF(VLOOKUP(J79,'G-7 WaterC'' Data'!$AK$4:$AM$9,3,FALSE)=0,"Spatial Data Missing ⚠",VLOOKUP(J79,'G-7 WaterC'' Data'!$AK$4:$AM$6,3,FALSE)))</f>
        <v/>
      </c>
      <c r="M79" s="106"/>
      <c r="N79" s="282" t="str">
        <f>IF(M79="","",IF(AND(M79="N/A - Culvert",D79&lt;&gt;"Culvert"),"Not possible ▲",IF(AND(D79="Culvert",M79&lt;&gt;"N/A - Culvert"),"Not possible ▲",IF(VLOOKUP(M79,'G-7 WaterC'' Data'!$AA$4:$AB$7,2,FALSE)=0,"Spatial Data Missing ⚠",VLOOKUP(M79,'G-7 WaterC'' Data'!$AA$4:$AB$7,2,FALSE)))))</f>
        <v/>
      </c>
      <c r="O79" s="56"/>
      <c r="P79" s="282" t="str">
        <f>IF(O79="","",IF(AND(O79="N/A - Culvert",D79&lt;&gt;"Culvert"),"Not possible ▲",IF(AND(D79="Culvert",O79&lt;&gt;"N/A - Culvert"),"Not possible ▲",IF(VLOOKUP(O79,'G-7 WaterC'' Data'!$AD$4:$AE$14,2,FALSE)=0,"Spatial Data Missing ⚠",VLOOKUP(O79,'G-7 WaterC'' Data'!$AD$4:$AE$14,2,FALSE)))))</f>
        <v/>
      </c>
      <c r="Q79" s="288" t="str">
        <f>IF(D79="","",VLOOKUP(D79,'G-7 WaterC'' Data'!$B$4:$G$8,6,FALSE))</f>
        <v/>
      </c>
      <c r="R79" s="295" t="str">
        <f t="shared" si="13"/>
        <v xml:space="preserve"> </v>
      </c>
      <c r="S79" s="403"/>
      <c r="T79" s="287" t="str">
        <f>IF(S79="","",IF(VLOOKUP(S79,'G-7 WaterC'' Data'!$AO$4:$BO$7,2,FALSE)=0,"Spatial Data Missing ⚠",VLOOKUP(S79,'G-7 WaterC'' Data'!$AO$4:$BO$7,2,FALSE)))</f>
        <v/>
      </c>
      <c r="U79" s="295" t="str">
        <f t="shared" si="14"/>
        <v xml:space="preserve"> </v>
      </c>
      <c r="V79" s="710" t="str">
        <f t="shared" si="15"/>
        <v/>
      </c>
      <c r="W79" s="32"/>
      <c r="X79" s="105"/>
      <c r="Y79" s="112"/>
      <c r="Z79" s="293" t="str">
        <f t="shared" si="16"/>
        <v/>
      </c>
      <c r="AA79" s="293" t="str">
        <f t="shared" si="17"/>
        <v/>
      </c>
      <c r="AB79" s="293" t="str">
        <f t="shared" si="18"/>
        <v/>
      </c>
      <c r="AC79" s="507" t="str">
        <f>IFERROR(IF(OR(E79="",R79=""),"", IF(AND(AB79&lt;&gt;"",S79=""), "Spatial risk category missing ▲", IF(AND(Q79='G-7 WaterC'' Data'!$G$4,AD79="Yes"),"Alternative Compensation ✓", IF(AND(AD79="Pending", Q79='G-7 WaterC'' Data'!$G$4),"Bespoke compensation must be agreed ▲", IF((Z79+AA79)&gt;=U79,0, U79-Z79-AA79))))),"Check Data ⚠")</f>
        <v/>
      </c>
      <c r="AD79" s="403"/>
      <c r="AE79" s="109"/>
      <c r="AF79" s="108"/>
      <c r="AG79" s="108"/>
      <c r="AH79" s="108"/>
      <c r="AI79" s="54" t="str">
        <f>IF(OR(Q79="",AD79="Yes"),"",IF(Q79='G-1 All Habitats'!$X$9,E79-Y79-X79,"None"))</f>
        <v/>
      </c>
      <c r="AJ79" s="55" t="str">
        <f>IF(Q79="","", IF(Q79='G-1 All Habitats'!$X$9, AI79*G79*I79*L79*N79*P79,"None"))</f>
        <v/>
      </c>
      <c r="AK79" s="30" t="str">
        <f>IFERROR(INDEX('G-7 WaterC'' Data'!$AZ$3:$AZ$7,MATCH(D79,'G-7 WaterC'' Data'!$AY$3:$AY$7,0)),"")</f>
        <v/>
      </c>
      <c r="AL79" s="30">
        <f t="shared" si="19"/>
        <v>0</v>
      </c>
      <c r="AM79" s="111" t="str">
        <f t="shared" si="20"/>
        <v/>
      </c>
      <c r="AN79" s="111" t="str">
        <f t="shared" si="21"/>
        <v/>
      </c>
      <c r="AP79" s="111">
        <v>70</v>
      </c>
      <c r="AR79" s="111" t="str">
        <f t="array" ref="AR79">IFERROR(INDEX($AP$10:$AP$258, MATCH(0, IF(TRUE=$AM$10:$AM$258, COUNTIF($AR$9:$AR78, $AP$10:$AP$258), ""), 0)),"")</f>
        <v/>
      </c>
      <c r="AS79" s="111" t="str">
        <f t="array" ref="AS79">IFERROR(INDEX($AP$10:$AP$258, MATCH(0, IF(TRUE=$AN$10:$AN$258, COUNTIF($AS$9:$AS78, $AP$10:$AP$258), ""), 0)),"")</f>
        <v/>
      </c>
      <c r="AT79" s="903" t="str">
        <f>IF(AND(OR(AD79="Yes",AD79="Pending"),Q79='G-7 WaterC'' Data'!$G$4),U79-AA79-Z79,"0")</f>
        <v>0</v>
      </c>
      <c r="AU79" s="30" t="str">
        <f>IF(D79="","",VLOOKUP(D79,'G-7 WaterC'' Data'!B$4:M$8,12,FALSE))</f>
        <v/>
      </c>
      <c r="AV79" s="30" t="str">
        <f t="shared" si="12"/>
        <v/>
      </c>
      <c r="AW79" s="30" t="str">
        <f t="shared" si="22"/>
        <v>No</v>
      </c>
      <c r="BA79" s="571" t="str">
        <f t="shared" si="23"/>
        <v/>
      </c>
    </row>
    <row r="80" spans="3:53" ht="14.4" thickBot="1" x14ac:dyDescent="0.3">
      <c r="C80" s="101">
        <v>71</v>
      </c>
      <c r="D80" s="269"/>
      <c r="E80" s="108"/>
      <c r="F80" s="281" t="str">
        <f>IF(D80="","",VLOOKUP(D80,'G-7 WaterC'' Data'!$B$2:$G$8,2,FALSE))</f>
        <v/>
      </c>
      <c r="G80" s="320" t="str">
        <f>IFERROR(VLOOKUP(F80,'G-7 WaterC'' Data'!$C$4:$D$8,2,FALSE),"")</f>
        <v/>
      </c>
      <c r="H80" s="109"/>
      <c r="I80" s="305" t="str">
        <f>IFERROR(INDEX('G-7 WaterC'' Data'!$H$4:$L$8,MATCH(D80,'G-7 WaterC'' Data'!$B$4:$B$8,0),MATCH(H80,'G-7 WaterC'' Data'!$H$3:$L$3,0)),"")</f>
        <v/>
      </c>
      <c r="J80" s="718"/>
      <c r="K80" s="301" t="str">
        <f>IF(J80="","",IF(VLOOKUP(J80,'G-7 WaterC'' Data'!$AK$4:$AM$9,2,FALSE)=0,"Spatial Data Missing ⚠",VLOOKUP(J80,'G-7 WaterC'' Data'!$AK$4:$AM$6,2,FALSE)))</f>
        <v/>
      </c>
      <c r="L80" s="305" t="str">
        <f>IF(J80="","",IF(VLOOKUP(J80,'G-7 WaterC'' Data'!$AK$4:$AM$9,3,FALSE)=0,"Spatial Data Missing ⚠",VLOOKUP(J80,'G-7 WaterC'' Data'!$AK$4:$AM$6,3,FALSE)))</f>
        <v/>
      </c>
      <c r="M80" s="106"/>
      <c r="N80" s="282" t="str">
        <f>IF(M80="","",IF(AND(M80="N/A - Culvert",D80&lt;&gt;"Culvert"),"Not possible ▲",IF(AND(D80="Culvert",M80&lt;&gt;"N/A - Culvert"),"Not possible ▲",IF(VLOOKUP(M80,'G-7 WaterC'' Data'!$AA$4:$AB$7,2,FALSE)=0,"Spatial Data Missing ⚠",VLOOKUP(M80,'G-7 WaterC'' Data'!$AA$4:$AB$7,2,FALSE)))))</f>
        <v/>
      </c>
      <c r="O80" s="56"/>
      <c r="P80" s="282" t="str">
        <f>IF(O80="","",IF(AND(O80="N/A - Culvert",D80&lt;&gt;"Culvert"),"Not possible ▲",IF(AND(D80="Culvert",O80&lt;&gt;"N/A - Culvert"),"Not possible ▲",IF(VLOOKUP(O80,'G-7 WaterC'' Data'!$AD$4:$AE$14,2,FALSE)=0,"Spatial Data Missing ⚠",VLOOKUP(O80,'G-7 WaterC'' Data'!$AD$4:$AE$14,2,FALSE)))))</f>
        <v/>
      </c>
      <c r="Q80" s="288" t="str">
        <f>IF(D80="","",VLOOKUP(D80,'G-7 WaterC'' Data'!$B$4:$G$8,6,FALSE))</f>
        <v/>
      </c>
      <c r="R80" s="295" t="str">
        <f t="shared" si="13"/>
        <v xml:space="preserve"> </v>
      </c>
      <c r="S80" s="403"/>
      <c r="T80" s="287" t="str">
        <f>IF(S80="","",IF(VLOOKUP(S80,'G-7 WaterC'' Data'!$AO$4:$BO$7,2,FALSE)=0,"Spatial Data Missing ⚠",VLOOKUP(S80,'G-7 WaterC'' Data'!$AO$4:$BO$7,2,FALSE)))</f>
        <v/>
      </c>
      <c r="U80" s="295" t="str">
        <f t="shared" si="14"/>
        <v xml:space="preserve"> </v>
      </c>
      <c r="V80" s="710" t="str">
        <f t="shared" si="15"/>
        <v/>
      </c>
      <c r="W80" s="32"/>
      <c r="X80" s="105"/>
      <c r="Y80" s="112"/>
      <c r="Z80" s="293" t="str">
        <f t="shared" si="16"/>
        <v/>
      </c>
      <c r="AA80" s="293" t="str">
        <f t="shared" si="17"/>
        <v/>
      </c>
      <c r="AB80" s="293" t="str">
        <f t="shared" si="18"/>
        <v/>
      </c>
      <c r="AC80" s="507" t="str">
        <f>IFERROR(IF(OR(E80="",R80=""),"", IF(AND(AB80&lt;&gt;"",S80=""), "Spatial risk category missing ▲", IF(AND(Q80='G-7 WaterC'' Data'!$G$4,AD80="Yes"),"Alternative Compensation ✓", IF(AND(AD80="Pending", Q80='G-7 WaterC'' Data'!$G$4),"Bespoke compensation must be agreed ▲", IF((Z80+AA80)&gt;=U80,0, U80-Z80-AA80))))),"Check Data ⚠")</f>
        <v/>
      </c>
      <c r="AD80" s="403"/>
      <c r="AE80" s="109"/>
      <c r="AF80" s="108"/>
      <c r="AG80" s="108"/>
      <c r="AH80" s="108"/>
      <c r="AI80" s="54" t="str">
        <f>IF(OR(Q80="",AD80="Yes"),"",IF(Q80='G-1 All Habitats'!$X$9,E80-Y80-X80,"None"))</f>
        <v/>
      </c>
      <c r="AJ80" s="55" t="str">
        <f>IF(Q80="","", IF(Q80='G-1 All Habitats'!$X$9, AI80*G80*I80*L80*N80*P80,"None"))</f>
        <v/>
      </c>
      <c r="AK80" s="30" t="str">
        <f>IFERROR(INDEX('G-7 WaterC'' Data'!$AZ$3:$AZ$7,MATCH(D80,'G-7 WaterC'' Data'!$AY$3:$AY$7,0)),"")</f>
        <v/>
      </c>
      <c r="AL80" s="30">
        <f t="shared" si="19"/>
        <v>0</v>
      </c>
      <c r="AM80" s="111" t="str">
        <f t="shared" si="20"/>
        <v/>
      </c>
      <c r="AN80" s="111" t="str">
        <f t="shared" si="21"/>
        <v/>
      </c>
      <c r="AP80" s="111">
        <v>71</v>
      </c>
      <c r="AR80" s="111" t="str">
        <f t="array" ref="AR80">IFERROR(INDEX($AP$10:$AP$258, MATCH(0, IF(TRUE=$AM$10:$AM$258, COUNTIF($AR$9:$AR79, $AP$10:$AP$258), ""), 0)),"")</f>
        <v/>
      </c>
      <c r="AS80" s="111" t="str">
        <f t="array" ref="AS80">IFERROR(INDEX($AP$10:$AP$258, MATCH(0, IF(TRUE=$AN$10:$AN$258, COUNTIF($AS$9:$AS79, $AP$10:$AP$258), ""), 0)),"")</f>
        <v/>
      </c>
      <c r="AT80" s="903" t="str">
        <f>IF(AND(OR(AD80="Yes",AD80="Pending"),Q80='G-7 WaterC'' Data'!$G$4),U80-AA80-Z80,"0")</f>
        <v>0</v>
      </c>
      <c r="AU80" s="30" t="str">
        <f>IF(D80="","",VLOOKUP(D80,'G-7 WaterC'' Data'!B$4:M$8,12,FALSE))</f>
        <v/>
      </c>
      <c r="AV80" s="30" t="str">
        <f t="shared" si="12"/>
        <v/>
      </c>
      <c r="AW80" s="30" t="str">
        <f t="shared" si="22"/>
        <v>No</v>
      </c>
      <c r="BA80" s="571" t="str">
        <f t="shared" si="23"/>
        <v/>
      </c>
    </row>
    <row r="81" spans="3:53" ht="14.4" thickBot="1" x14ac:dyDescent="0.3">
      <c r="C81" s="101">
        <v>72</v>
      </c>
      <c r="D81" s="269"/>
      <c r="E81" s="108"/>
      <c r="F81" s="281" t="str">
        <f>IF(D81="","",VLOOKUP(D81,'G-7 WaterC'' Data'!$B$2:$G$8,2,FALSE))</f>
        <v/>
      </c>
      <c r="G81" s="320" t="str">
        <f>IFERROR(VLOOKUP(F81,'G-7 WaterC'' Data'!$C$4:$D$8,2,FALSE),"")</f>
        <v/>
      </c>
      <c r="H81" s="109"/>
      <c r="I81" s="305" t="str">
        <f>IFERROR(INDEX('G-7 WaterC'' Data'!$H$4:$L$8,MATCH(D81,'G-7 WaterC'' Data'!$B$4:$B$8,0),MATCH(H81,'G-7 WaterC'' Data'!$H$3:$L$3,0)),"")</f>
        <v/>
      </c>
      <c r="J81" s="718"/>
      <c r="K81" s="301" t="str">
        <f>IF(J81="","",IF(VLOOKUP(J81,'G-7 WaterC'' Data'!$AK$4:$AM$9,2,FALSE)=0,"Spatial Data Missing ⚠",VLOOKUP(J81,'G-7 WaterC'' Data'!$AK$4:$AM$6,2,FALSE)))</f>
        <v/>
      </c>
      <c r="L81" s="305" t="str">
        <f>IF(J81="","",IF(VLOOKUP(J81,'G-7 WaterC'' Data'!$AK$4:$AM$9,3,FALSE)=0,"Spatial Data Missing ⚠",VLOOKUP(J81,'G-7 WaterC'' Data'!$AK$4:$AM$6,3,FALSE)))</f>
        <v/>
      </c>
      <c r="M81" s="106"/>
      <c r="N81" s="282" t="str">
        <f>IF(M81="","",IF(AND(M81="N/A - Culvert",D81&lt;&gt;"Culvert"),"Not possible ▲",IF(AND(D81="Culvert",M81&lt;&gt;"N/A - Culvert"),"Not possible ▲",IF(VLOOKUP(M81,'G-7 WaterC'' Data'!$AA$4:$AB$7,2,FALSE)=0,"Spatial Data Missing ⚠",VLOOKUP(M81,'G-7 WaterC'' Data'!$AA$4:$AB$7,2,FALSE)))))</f>
        <v/>
      </c>
      <c r="O81" s="56"/>
      <c r="P81" s="282" t="str">
        <f>IF(O81="","",IF(AND(O81="N/A - Culvert",D81&lt;&gt;"Culvert"),"Not possible ▲",IF(AND(D81="Culvert",O81&lt;&gt;"N/A - Culvert"),"Not possible ▲",IF(VLOOKUP(O81,'G-7 WaterC'' Data'!$AD$4:$AE$14,2,FALSE)=0,"Spatial Data Missing ⚠",VLOOKUP(O81,'G-7 WaterC'' Data'!$AD$4:$AE$14,2,FALSE)))))</f>
        <v/>
      </c>
      <c r="Q81" s="288" t="str">
        <f>IF(D81="","",VLOOKUP(D81,'G-7 WaterC'' Data'!$B$4:$G$8,6,FALSE))</f>
        <v/>
      </c>
      <c r="R81" s="295" t="str">
        <f t="shared" si="13"/>
        <v xml:space="preserve"> </v>
      </c>
      <c r="S81" s="403"/>
      <c r="T81" s="287" t="str">
        <f>IF(S81="","",IF(VLOOKUP(S81,'G-7 WaterC'' Data'!$AO$4:$BO$7,2,FALSE)=0,"Spatial Data Missing ⚠",VLOOKUP(S81,'G-7 WaterC'' Data'!$AO$4:$BO$7,2,FALSE)))</f>
        <v/>
      </c>
      <c r="U81" s="295" t="str">
        <f t="shared" si="14"/>
        <v xml:space="preserve"> </v>
      </c>
      <c r="V81" s="710" t="str">
        <f t="shared" si="15"/>
        <v/>
      </c>
      <c r="W81" s="32"/>
      <c r="X81" s="105"/>
      <c r="Y81" s="112"/>
      <c r="Z81" s="293" t="str">
        <f t="shared" si="16"/>
        <v/>
      </c>
      <c r="AA81" s="293" t="str">
        <f t="shared" si="17"/>
        <v/>
      </c>
      <c r="AB81" s="293" t="str">
        <f t="shared" si="18"/>
        <v/>
      </c>
      <c r="AC81" s="507" t="str">
        <f>IFERROR(IF(OR(E81="",R81=""),"", IF(AND(AB81&lt;&gt;"",S81=""), "Spatial risk category missing ▲", IF(AND(Q81='G-7 WaterC'' Data'!$G$4,AD81="Yes"),"Alternative Compensation ✓", IF(AND(AD81="Pending", Q81='G-7 WaterC'' Data'!$G$4),"Bespoke compensation must be agreed ▲", IF((Z81+AA81)&gt;=U81,0, U81-Z81-AA81))))),"Check Data ⚠")</f>
        <v/>
      </c>
      <c r="AD81" s="403"/>
      <c r="AE81" s="109"/>
      <c r="AF81" s="108"/>
      <c r="AG81" s="108"/>
      <c r="AH81" s="108"/>
      <c r="AI81" s="54" t="str">
        <f>IF(OR(Q81="",AD81="Yes"),"",IF(Q81='G-1 All Habitats'!$X$9,E81-Y81-X81,"None"))</f>
        <v/>
      </c>
      <c r="AJ81" s="55" t="str">
        <f>IF(Q81="","", IF(Q81='G-1 All Habitats'!$X$9, AI81*G81*I81*L81*N81*P81,"None"))</f>
        <v/>
      </c>
      <c r="AK81" s="30" t="str">
        <f>IFERROR(INDEX('G-7 WaterC'' Data'!$AZ$3:$AZ$7,MATCH(D81,'G-7 WaterC'' Data'!$AY$3:$AY$7,0)),"")</f>
        <v/>
      </c>
      <c r="AL81" s="30">
        <f t="shared" si="19"/>
        <v>0</v>
      </c>
      <c r="AM81" s="111" t="str">
        <f t="shared" si="20"/>
        <v/>
      </c>
      <c r="AN81" s="111" t="str">
        <f t="shared" si="21"/>
        <v/>
      </c>
      <c r="AP81" s="111">
        <v>72</v>
      </c>
      <c r="AR81" s="111" t="str">
        <f t="array" ref="AR81">IFERROR(INDEX($AP$10:$AP$258, MATCH(0, IF(TRUE=$AM$10:$AM$258, COUNTIF($AR$9:$AR80, $AP$10:$AP$258), ""), 0)),"")</f>
        <v/>
      </c>
      <c r="AS81" s="111" t="str">
        <f t="array" ref="AS81">IFERROR(INDEX($AP$10:$AP$258, MATCH(0, IF(TRUE=$AN$10:$AN$258, COUNTIF($AS$9:$AS80, $AP$10:$AP$258), ""), 0)),"")</f>
        <v/>
      </c>
      <c r="AT81" s="903" t="str">
        <f>IF(AND(OR(AD81="Yes",AD81="Pending"),Q81='G-7 WaterC'' Data'!$G$4),U81-AA81-Z81,"0")</f>
        <v>0</v>
      </c>
      <c r="AU81" s="30" t="str">
        <f>IF(D81="","",VLOOKUP(D81,'G-7 WaterC'' Data'!B$4:M$8,12,FALSE))</f>
        <v/>
      </c>
      <c r="AV81" s="30" t="str">
        <f t="shared" si="12"/>
        <v/>
      </c>
      <c r="AW81" s="30" t="str">
        <f t="shared" si="22"/>
        <v>No</v>
      </c>
      <c r="BA81" s="571" t="str">
        <f t="shared" si="23"/>
        <v/>
      </c>
    </row>
    <row r="82" spans="3:53" ht="14.4" thickBot="1" x14ac:dyDescent="0.3">
      <c r="C82" s="101">
        <v>73</v>
      </c>
      <c r="D82" s="269"/>
      <c r="E82" s="108"/>
      <c r="F82" s="281" t="str">
        <f>IF(D82="","",VLOOKUP(D82,'G-7 WaterC'' Data'!$B$2:$G$8,2,FALSE))</f>
        <v/>
      </c>
      <c r="G82" s="320" t="str">
        <f>IFERROR(VLOOKUP(F82,'G-7 WaterC'' Data'!$C$4:$D$8,2,FALSE),"")</f>
        <v/>
      </c>
      <c r="H82" s="109"/>
      <c r="I82" s="305" t="str">
        <f>IFERROR(INDEX('G-7 WaterC'' Data'!$H$4:$L$8,MATCH(D82,'G-7 WaterC'' Data'!$B$4:$B$8,0),MATCH(H82,'G-7 WaterC'' Data'!$H$3:$L$3,0)),"")</f>
        <v/>
      </c>
      <c r="J82" s="718"/>
      <c r="K82" s="301" t="str">
        <f>IF(J82="","",IF(VLOOKUP(J82,'G-7 WaterC'' Data'!$AK$4:$AM$9,2,FALSE)=0,"Spatial Data Missing ⚠",VLOOKUP(J82,'G-7 WaterC'' Data'!$AK$4:$AM$6,2,FALSE)))</f>
        <v/>
      </c>
      <c r="L82" s="305" t="str">
        <f>IF(J82="","",IF(VLOOKUP(J82,'G-7 WaterC'' Data'!$AK$4:$AM$9,3,FALSE)=0,"Spatial Data Missing ⚠",VLOOKUP(J82,'G-7 WaterC'' Data'!$AK$4:$AM$6,3,FALSE)))</f>
        <v/>
      </c>
      <c r="M82" s="106"/>
      <c r="N82" s="282" t="str">
        <f>IF(M82="","",IF(AND(M82="N/A - Culvert",D82&lt;&gt;"Culvert"),"Not possible ▲",IF(AND(D82="Culvert",M82&lt;&gt;"N/A - Culvert"),"Not possible ▲",IF(VLOOKUP(M82,'G-7 WaterC'' Data'!$AA$4:$AB$7,2,FALSE)=0,"Spatial Data Missing ⚠",VLOOKUP(M82,'G-7 WaterC'' Data'!$AA$4:$AB$7,2,FALSE)))))</f>
        <v/>
      </c>
      <c r="O82" s="56"/>
      <c r="P82" s="282" t="str">
        <f>IF(O82="","",IF(AND(O82="N/A - Culvert",D82&lt;&gt;"Culvert"),"Not possible ▲",IF(AND(D82="Culvert",O82&lt;&gt;"N/A - Culvert"),"Not possible ▲",IF(VLOOKUP(O82,'G-7 WaterC'' Data'!$AD$4:$AE$14,2,FALSE)=0,"Spatial Data Missing ⚠",VLOOKUP(O82,'G-7 WaterC'' Data'!$AD$4:$AE$14,2,FALSE)))))</f>
        <v/>
      </c>
      <c r="Q82" s="288" t="str">
        <f>IF(D82="","",VLOOKUP(D82,'G-7 WaterC'' Data'!$B$4:$G$8,6,FALSE))</f>
        <v/>
      </c>
      <c r="R82" s="295" t="str">
        <f t="shared" si="13"/>
        <v xml:space="preserve"> </v>
      </c>
      <c r="S82" s="403"/>
      <c r="T82" s="287" t="str">
        <f>IF(S82="","",IF(VLOOKUP(S82,'G-7 WaterC'' Data'!$AO$4:$BO$7,2,FALSE)=0,"Spatial Data Missing ⚠",VLOOKUP(S82,'G-7 WaterC'' Data'!$AO$4:$BO$7,2,FALSE)))</f>
        <v/>
      </c>
      <c r="U82" s="295" t="str">
        <f t="shared" si="14"/>
        <v xml:space="preserve"> </v>
      </c>
      <c r="V82" s="710" t="str">
        <f t="shared" si="15"/>
        <v/>
      </c>
      <c r="W82" s="32"/>
      <c r="X82" s="105"/>
      <c r="Y82" s="112"/>
      <c r="Z82" s="293" t="str">
        <f t="shared" si="16"/>
        <v/>
      </c>
      <c r="AA82" s="293" t="str">
        <f t="shared" si="17"/>
        <v/>
      </c>
      <c r="AB82" s="293" t="str">
        <f t="shared" si="18"/>
        <v/>
      </c>
      <c r="AC82" s="507" t="str">
        <f>IFERROR(IF(OR(E82="",R82=""),"", IF(AND(AB82&lt;&gt;"",S82=""), "Spatial risk category missing ▲", IF(AND(Q82='G-7 WaterC'' Data'!$G$4,AD82="Yes"),"Alternative Compensation ✓", IF(AND(AD82="Pending", Q82='G-7 WaterC'' Data'!$G$4),"Bespoke compensation must be agreed ▲", IF((Z82+AA82)&gt;=U82,0, U82-Z82-AA82))))),"Check Data ⚠")</f>
        <v/>
      </c>
      <c r="AD82" s="403"/>
      <c r="AE82" s="109"/>
      <c r="AF82" s="108"/>
      <c r="AG82" s="108"/>
      <c r="AH82" s="108"/>
      <c r="AI82" s="54" t="str">
        <f>IF(OR(Q82="",AD82="Yes"),"",IF(Q82='G-1 All Habitats'!$X$9,E82-Y82-X82,"None"))</f>
        <v/>
      </c>
      <c r="AJ82" s="55" t="str">
        <f>IF(Q82="","", IF(Q82='G-1 All Habitats'!$X$9, AI82*G82*I82*L82*N82*P82,"None"))</f>
        <v/>
      </c>
      <c r="AK82" s="30" t="str">
        <f>IFERROR(INDEX('G-7 WaterC'' Data'!$AZ$3:$AZ$7,MATCH(D82,'G-7 WaterC'' Data'!$AY$3:$AY$7,0)),"")</f>
        <v/>
      </c>
      <c r="AL82" s="30">
        <f t="shared" si="19"/>
        <v>0</v>
      </c>
      <c r="AM82" s="111" t="str">
        <f t="shared" si="20"/>
        <v/>
      </c>
      <c r="AN82" s="111" t="str">
        <f t="shared" si="21"/>
        <v/>
      </c>
      <c r="AP82" s="111">
        <v>73</v>
      </c>
      <c r="AR82" s="111" t="str">
        <f t="array" ref="AR82">IFERROR(INDEX($AP$10:$AP$258, MATCH(0, IF(TRUE=$AM$10:$AM$258, COUNTIF($AR$9:$AR81, $AP$10:$AP$258), ""), 0)),"")</f>
        <v/>
      </c>
      <c r="AS82" s="111" t="str">
        <f t="array" ref="AS82">IFERROR(INDEX($AP$10:$AP$258, MATCH(0, IF(TRUE=$AN$10:$AN$258, COUNTIF($AS$9:$AS81, $AP$10:$AP$258), ""), 0)),"")</f>
        <v/>
      </c>
      <c r="AT82" s="903" t="str">
        <f>IF(AND(OR(AD82="Yes",AD82="Pending"),Q82='G-7 WaterC'' Data'!$G$4),U82-AA82-Z82,"0")</f>
        <v>0</v>
      </c>
      <c r="AU82" s="30" t="str">
        <f>IF(D82="","",VLOOKUP(D82,'G-7 WaterC'' Data'!B$4:M$8,12,FALSE))</f>
        <v/>
      </c>
      <c r="AV82" s="30" t="str">
        <f t="shared" si="12"/>
        <v/>
      </c>
      <c r="AW82" s="30" t="str">
        <f t="shared" si="22"/>
        <v>No</v>
      </c>
      <c r="BA82" s="571" t="str">
        <f t="shared" si="23"/>
        <v/>
      </c>
    </row>
    <row r="83" spans="3:53" ht="14.4" thickBot="1" x14ac:dyDescent="0.3">
      <c r="C83" s="101">
        <v>74</v>
      </c>
      <c r="D83" s="269"/>
      <c r="E83" s="108"/>
      <c r="F83" s="281" t="str">
        <f>IF(D83="","",VLOOKUP(D83,'G-7 WaterC'' Data'!$B$2:$G$8,2,FALSE))</f>
        <v/>
      </c>
      <c r="G83" s="320" t="str">
        <f>IFERROR(VLOOKUP(F83,'G-7 WaterC'' Data'!$C$4:$D$8,2,FALSE),"")</f>
        <v/>
      </c>
      <c r="H83" s="109"/>
      <c r="I83" s="305" t="str">
        <f>IFERROR(INDEX('G-7 WaterC'' Data'!$H$4:$L$8,MATCH(D83,'G-7 WaterC'' Data'!$B$4:$B$8,0),MATCH(H83,'G-7 WaterC'' Data'!$H$3:$L$3,0)),"")</f>
        <v/>
      </c>
      <c r="J83" s="718"/>
      <c r="K83" s="301" t="str">
        <f>IF(J83="","",IF(VLOOKUP(J83,'G-7 WaterC'' Data'!$AK$4:$AM$9,2,FALSE)=0,"Spatial Data Missing ⚠",VLOOKUP(J83,'G-7 WaterC'' Data'!$AK$4:$AM$6,2,FALSE)))</f>
        <v/>
      </c>
      <c r="L83" s="305" t="str">
        <f>IF(J83="","",IF(VLOOKUP(J83,'G-7 WaterC'' Data'!$AK$4:$AM$9,3,FALSE)=0,"Spatial Data Missing ⚠",VLOOKUP(J83,'G-7 WaterC'' Data'!$AK$4:$AM$6,3,FALSE)))</f>
        <v/>
      </c>
      <c r="M83" s="106"/>
      <c r="N83" s="282" t="str">
        <f>IF(M83="","",IF(AND(M83="N/A - Culvert",D83&lt;&gt;"Culvert"),"Not possible ▲",IF(AND(D83="Culvert",M83&lt;&gt;"N/A - Culvert"),"Not possible ▲",IF(VLOOKUP(M83,'G-7 WaterC'' Data'!$AA$4:$AB$7,2,FALSE)=0,"Spatial Data Missing ⚠",VLOOKUP(M83,'G-7 WaterC'' Data'!$AA$4:$AB$7,2,FALSE)))))</f>
        <v/>
      </c>
      <c r="O83" s="56"/>
      <c r="P83" s="282" t="str">
        <f>IF(O83="","",IF(AND(O83="N/A - Culvert",D83&lt;&gt;"Culvert"),"Not possible ▲",IF(AND(D83="Culvert",O83&lt;&gt;"N/A - Culvert"),"Not possible ▲",IF(VLOOKUP(O83,'G-7 WaterC'' Data'!$AD$4:$AE$14,2,FALSE)=0,"Spatial Data Missing ⚠",VLOOKUP(O83,'G-7 WaterC'' Data'!$AD$4:$AE$14,2,FALSE)))))</f>
        <v/>
      </c>
      <c r="Q83" s="288" t="str">
        <f>IF(D83="","",VLOOKUP(D83,'G-7 WaterC'' Data'!$B$4:$G$8,6,FALSE))</f>
        <v/>
      </c>
      <c r="R83" s="295" t="str">
        <f t="shared" si="13"/>
        <v xml:space="preserve"> </v>
      </c>
      <c r="S83" s="403"/>
      <c r="T83" s="287" t="str">
        <f>IF(S83="","",IF(VLOOKUP(S83,'G-7 WaterC'' Data'!$AO$4:$BO$7,2,FALSE)=0,"Spatial Data Missing ⚠",VLOOKUP(S83,'G-7 WaterC'' Data'!$AO$4:$BO$7,2,FALSE)))</f>
        <v/>
      </c>
      <c r="U83" s="295" t="str">
        <f t="shared" si="14"/>
        <v xml:space="preserve"> </v>
      </c>
      <c r="V83" s="710" t="str">
        <f t="shared" si="15"/>
        <v/>
      </c>
      <c r="W83" s="32"/>
      <c r="X83" s="105"/>
      <c r="Y83" s="112"/>
      <c r="Z83" s="293" t="str">
        <f t="shared" si="16"/>
        <v/>
      </c>
      <c r="AA83" s="293" t="str">
        <f t="shared" si="17"/>
        <v/>
      </c>
      <c r="AB83" s="293" t="str">
        <f t="shared" si="18"/>
        <v/>
      </c>
      <c r="AC83" s="507" t="str">
        <f>IFERROR(IF(OR(E83="",R83=""),"", IF(AND(AB83&lt;&gt;"",S83=""), "Spatial risk category missing ▲", IF(AND(Q83='G-7 WaterC'' Data'!$G$4,AD83="Yes"),"Alternative Compensation ✓", IF(AND(AD83="Pending", Q83='G-7 WaterC'' Data'!$G$4),"Bespoke compensation must be agreed ▲", IF((Z83+AA83)&gt;=U83,0, U83-Z83-AA83))))),"Check Data ⚠")</f>
        <v/>
      </c>
      <c r="AD83" s="403"/>
      <c r="AE83" s="109"/>
      <c r="AF83" s="108"/>
      <c r="AG83" s="108"/>
      <c r="AH83" s="108"/>
      <c r="AI83" s="54" t="str">
        <f>IF(OR(Q83="",AD83="Yes"),"",IF(Q83='G-1 All Habitats'!$X$9,E83-Y83-X83,"None"))</f>
        <v/>
      </c>
      <c r="AJ83" s="55" t="str">
        <f>IF(Q83="","", IF(Q83='G-1 All Habitats'!$X$9, AI83*G83*I83*L83*N83*P83,"None"))</f>
        <v/>
      </c>
      <c r="AK83" s="30" t="str">
        <f>IFERROR(INDEX('G-7 WaterC'' Data'!$AZ$3:$AZ$7,MATCH(D83,'G-7 WaterC'' Data'!$AY$3:$AY$7,0)),"")</f>
        <v/>
      </c>
      <c r="AL83" s="30">
        <f t="shared" si="19"/>
        <v>0</v>
      </c>
      <c r="AM83" s="111" t="str">
        <f t="shared" si="20"/>
        <v/>
      </c>
      <c r="AN83" s="111" t="str">
        <f t="shared" si="21"/>
        <v/>
      </c>
      <c r="AP83" s="111">
        <v>74</v>
      </c>
      <c r="AR83" s="111" t="str">
        <f t="array" ref="AR83">IFERROR(INDEX($AP$10:$AP$258, MATCH(0, IF(TRUE=$AM$10:$AM$258, COUNTIF($AR$9:$AR82, $AP$10:$AP$258), ""), 0)),"")</f>
        <v/>
      </c>
      <c r="AS83" s="111" t="str">
        <f t="array" ref="AS83">IFERROR(INDEX($AP$10:$AP$258, MATCH(0, IF(TRUE=$AN$10:$AN$258, COUNTIF($AS$9:$AS82, $AP$10:$AP$258), ""), 0)),"")</f>
        <v/>
      </c>
      <c r="AT83" s="903" t="str">
        <f>IF(AND(OR(AD83="Yes",AD83="Pending"),Q83='G-7 WaterC'' Data'!$G$4),U83-AA83-Z83,"0")</f>
        <v>0</v>
      </c>
      <c r="AU83" s="30" t="str">
        <f>IF(D83="","",VLOOKUP(D83,'G-7 WaterC'' Data'!B$4:M$8,12,FALSE))</f>
        <v/>
      </c>
      <c r="AV83" s="30" t="str">
        <f t="shared" si="12"/>
        <v/>
      </c>
      <c r="AW83" s="30" t="str">
        <f t="shared" si="22"/>
        <v>No</v>
      </c>
      <c r="BA83" s="571" t="str">
        <f t="shared" si="23"/>
        <v/>
      </c>
    </row>
    <row r="84" spans="3:53" ht="14.4" thickBot="1" x14ac:dyDescent="0.3">
      <c r="C84" s="101">
        <v>75</v>
      </c>
      <c r="D84" s="269"/>
      <c r="E84" s="108"/>
      <c r="F84" s="281" t="str">
        <f>IF(D84="","",VLOOKUP(D84,'G-7 WaterC'' Data'!$B$2:$G$8,2,FALSE))</f>
        <v/>
      </c>
      <c r="G84" s="320" t="str">
        <f>IFERROR(VLOOKUP(F84,'G-7 WaterC'' Data'!$C$4:$D$8,2,FALSE),"")</f>
        <v/>
      </c>
      <c r="H84" s="109"/>
      <c r="I84" s="305" t="str">
        <f>IFERROR(INDEX('G-7 WaterC'' Data'!$H$4:$L$8,MATCH(D84,'G-7 WaterC'' Data'!$B$4:$B$8,0),MATCH(H84,'G-7 WaterC'' Data'!$H$3:$L$3,0)),"")</f>
        <v/>
      </c>
      <c r="J84" s="718"/>
      <c r="K84" s="301" t="str">
        <f>IF(J84="","",IF(VLOOKUP(J84,'G-7 WaterC'' Data'!$AK$4:$AM$9,2,FALSE)=0,"Spatial Data Missing ⚠",VLOOKUP(J84,'G-7 WaterC'' Data'!$AK$4:$AM$6,2,FALSE)))</f>
        <v/>
      </c>
      <c r="L84" s="305" t="str">
        <f>IF(J84="","",IF(VLOOKUP(J84,'G-7 WaterC'' Data'!$AK$4:$AM$9,3,FALSE)=0,"Spatial Data Missing ⚠",VLOOKUP(J84,'G-7 WaterC'' Data'!$AK$4:$AM$6,3,FALSE)))</f>
        <v/>
      </c>
      <c r="M84" s="106"/>
      <c r="N84" s="282" t="str">
        <f>IF(M84="","",IF(AND(M84="N/A - Culvert",D84&lt;&gt;"Culvert"),"Not possible ▲",IF(AND(D84="Culvert",M84&lt;&gt;"N/A - Culvert"),"Not possible ▲",IF(VLOOKUP(M84,'G-7 WaterC'' Data'!$AA$4:$AB$7,2,FALSE)=0,"Spatial Data Missing ⚠",VLOOKUP(M84,'G-7 WaterC'' Data'!$AA$4:$AB$7,2,FALSE)))))</f>
        <v/>
      </c>
      <c r="O84" s="56"/>
      <c r="P84" s="282" t="str">
        <f>IF(O84="","",IF(AND(O84="N/A - Culvert",D84&lt;&gt;"Culvert"),"Not possible ▲",IF(AND(D84="Culvert",O84&lt;&gt;"N/A - Culvert"),"Not possible ▲",IF(VLOOKUP(O84,'G-7 WaterC'' Data'!$AD$4:$AE$14,2,FALSE)=0,"Spatial Data Missing ⚠",VLOOKUP(O84,'G-7 WaterC'' Data'!$AD$4:$AE$14,2,FALSE)))))</f>
        <v/>
      </c>
      <c r="Q84" s="288" t="str">
        <f>IF(D84="","",VLOOKUP(D84,'G-7 WaterC'' Data'!$B$4:$G$8,6,FALSE))</f>
        <v/>
      </c>
      <c r="R84" s="295" t="str">
        <f t="shared" si="13"/>
        <v xml:space="preserve"> </v>
      </c>
      <c r="S84" s="403"/>
      <c r="T84" s="287" t="str">
        <f>IF(S84="","",IF(VLOOKUP(S84,'G-7 WaterC'' Data'!$AO$4:$BO$7,2,FALSE)=0,"Spatial Data Missing ⚠",VLOOKUP(S84,'G-7 WaterC'' Data'!$AO$4:$BO$7,2,FALSE)))</f>
        <v/>
      </c>
      <c r="U84" s="295" t="str">
        <f t="shared" si="14"/>
        <v xml:space="preserve"> </v>
      </c>
      <c r="V84" s="710" t="str">
        <f t="shared" si="15"/>
        <v/>
      </c>
      <c r="W84" s="32"/>
      <c r="X84" s="105"/>
      <c r="Y84" s="112"/>
      <c r="Z84" s="293" t="str">
        <f t="shared" si="16"/>
        <v/>
      </c>
      <c r="AA84" s="293" t="str">
        <f t="shared" si="17"/>
        <v/>
      </c>
      <c r="AB84" s="293" t="str">
        <f t="shared" si="18"/>
        <v/>
      </c>
      <c r="AC84" s="507" t="str">
        <f>IFERROR(IF(OR(E84="",R84=""),"", IF(AND(AB84&lt;&gt;"",S84=""), "Spatial risk category missing ▲", IF(AND(Q84='G-7 WaterC'' Data'!$G$4,AD84="Yes"),"Alternative Compensation ✓", IF(AND(AD84="Pending", Q84='G-7 WaterC'' Data'!$G$4),"Bespoke compensation must be agreed ▲", IF((Z84+AA84)&gt;=U84,0, U84-Z84-AA84))))),"Check Data ⚠")</f>
        <v/>
      </c>
      <c r="AD84" s="403"/>
      <c r="AE84" s="109"/>
      <c r="AF84" s="108"/>
      <c r="AG84" s="108"/>
      <c r="AH84" s="108"/>
      <c r="AI84" s="54" t="str">
        <f>IF(OR(Q84="",AD84="Yes"),"",IF(Q84='G-1 All Habitats'!$X$9,E84-Y84-X84,"None"))</f>
        <v/>
      </c>
      <c r="AJ84" s="55" t="str">
        <f>IF(Q84="","", IF(Q84='G-1 All Habitats'!$X$9, AI84*G84*I84*L84*N84*P84,"None"))</f>
        <v/>
      </c>
      <c r="AK84" s="30" t="str">
        <f>IFERROR(INDEX('G-7 WaterC'' Data'!$AZ$3:$AZ$7,MATCH(D84,'G-7 WaterC'' Data'!$AY$3:$AY$7,0)),"")</f>
        <v/>
      </c>
      <c r="AL84" s="30">
        <f t="shared" si="19"/>
        <v>0</v>
      </c>
      <c r="AM84" s="111" t="str">
        <f t="shared" si="20"/>
        <v/>
      </c>
      <c r="AN84" s="111" t="str">
        <f t="shared" si="21"/>
        <v/>
      </c>
      <c r="AP84" s="111">
        <v>75</v>
      </c>
      <c r="AR84" s="111" t="str">
        <f t="array" ref="AR84">IFERROR(INDEX($AP$10:$AP$258, MATCH(0, IF(TRUE=$AM$10:$AM$258, COUNTIF($AR$9:$AR83, $AP$10:$AP$258), ""), 0)),"")</f>
        <v/>
      </c>
      <c r="AS84" s="111" t="str">
        <f t="array" ref="AS84">IFERROR(INDEX($AP$10:$AP$258, MATCH(0, IF(TRUE=$AN$10:$AN$258, COUNTIF($AS$9:$AS83, $AP$10:$AP$258), ""), 0)),"")</f>
        <v/>
      </c>
      <c r="AT84" s="903" t="str">
        <f>IF(AND(OR(AD84="Yes",AD84="Pending"),Q84='G-7 WaterC'' Data'!$G$4),U84-AA84-Z84,"0")</f>
        <v>0</v>
      </c>
      <c r="AU84" s="30" t="str">
        <f>IF(D84="","",VLOOKUP(D84,'G-7 WaterC'' Data'!B$4:M$8,12,FALSE))</f>
        <v/>
      </c>
      <c r="AV84" s="30" t="str">
        <f t="shared" si="12"/>
        <v/>
      </c>
      <c r="AW84" s="30" t="str">
        <f t="shared" si="22"/>
        <v>No</v>
      </c>
      <c r="BA84" s="571" t="str">
        <f t="shared" si="23"/>
        <v/>
      </c>
    </row>
    <row r="85" spans="3:53" ht="14.4" thickBot="1" x14ac:dyDescent="0.3">
      <c r="C85" s="101">
        <v>76</v>
      </c>
      <c r="D85" s="269"/>
      <c r="E85" s="108"/>
      <c r="F85" s="281" t="str">
        <f>IF(D85="","",VLOOKUP(D85,'G-7 WaterC'' Data'!$B$2:$G$8,2,FALSE))</f>
        <v/>
      </c>
      <c r="G85" s="320" t="str">
        <f>IFERROR(VLOOKUP(F85,'G-7 WaterC'' Data'!$C$4:$D$8,2,FALSE),"")</f>
        <v/>
      </c>
      <c r="H85" s="109"/>
      <c r="I85" s="305" t="str">
        <f>IFERROR(INDEX('G-7 WaterC'' Data'!$H$4:$L$8,MATCH(D85,'G-7 WaterC'' Data'!$B$4:$B$8,0),MATCH(H85,'G-7 WaterC'' Data'!$H$3:$L$3,0)),"")</f>
        <v/>
      </c>
      <c r="J85" s="718"/>
      <c r="K85" s="301" t="str">
        <f>IF(J85="","",IF(VLOOKUP(J85,'G-7 WaterC'' Data'!$AK$4:$AM$9,2,FALSE)=0,"Spatial Data Missing ⚠",VLOOKUP(J85,'G-7 WaterC'' Data'!$AK$4:$AM$6,2,FALSE)))</f>
        <v/>
      </c>
      <c r="L85" s="305" t="str">
        <f>IF(J85="","",IF(VLOOKUP(J85,'G-7 WaterC'' Data'!$AK$4:$AM$9,3,FALSE)=0,"Spatial Data Missing ⚠",VLOOKUP(J85,'G-7 WaterC'' Data'!$AK$4:$AM$6,3,FALSE)))</f>
        <v/>
      </c>
      <c r="M85" s="106"/>
      <c r="N85" s="282" t="str">
        <f>IF(M85="","",IF(AND(M85="N/A - Culvert",D85&lt;&gt;"Culvert"),"Not possible ▲",IF(AND(D85="Culvert",M85&lt;&gt;"N/A - Culvert"),"Not possible ▲",IF(VLOOKUP(M85,'G-7 WaterC'' Data'!$AA$4:$AB$7,2,FALSE)=0,"Spatial Data Missing ⚠",VLOOKUP(M85,'G-7 WaterC'' Data'!$AA$4:$AB$7,2,FALSE)))))</f>
        <v/>
      </c>
      <c r="O85" s="56"/>
      <c r="P85" s="282" t="str">
        <f>IF(O85="","",IF(AND(O85="N/A - Culvert",D85&lt;&gt;"Culvert"),"Not possible ▲",IF(AND(D85="Culvert",O85&lt;&gt;"N/A - Culvert"),"Not possible ▲",IF(VLOOKUP(O85,'G-7 WaterC'' Data'!$AD$4:$AE$14,2,FALSE)=0,"Spatial Data Missing ⚠",VLOOKUP(O85,'G-7 WaterC'' Data'!$AD$4:$AE$14,2,FALSE)))))</f>
        <v/>
      </c>
      <c r="Q85" s="288" t="str">
        <f>IF(D85="","",VLOOKUP(D85,'G-7 WaterC'' Data'!$B$4:$G$8,6,FALSE))</f>
        <v/>
      </c>
      <c r="R85" s="295" t="str">
        <f t="shared" si="13"/>
        <v xml:space="preserve"> </v>
      </c>
      <c r="S85" s="403"/>
      <c r="T85" s="287" t="str">
        <f>IF(S85="","",IF(VLOOKUP(S85,'G-7 WaterC'' Data'!$AO$4:$BO$7,2,FALSE)=0,"Spatial Data Missing ⚠",VLOOKUP(S85,'G-7 WaterC'' Data'!$AO$4:$BO$7,2,FALSE)))</f>
        <v/>
      </c>
      <c r="U85" s="295" t="str">
        <f t="shared" si="14"/>
        <v xml:space="preserve"> </v>
      </c>
      <c r="V85" s="710" t="str">
        <f t="shared" si="15"/>
        <v/>
      </c>
      <c r="W85" s="32"/>
      <c r="X85" s="105"/>
      <c r="Y85" s="112"/>
      <c r="Z85" s="293" t="str">
        <f t="shared" si="16"/>
        <v/>
      </c>
      <c r="AA85" s="293" t="str">
        <f t="shared" si="17"/>
        <v/>
      </c>
      <c r="AB85" s="293" t="str">
        <f t="shared" si="18"/>
        <v/>
      </c>
      <c r="AC85" s="507" t="str">
        <f>IFERROR(IF(OR(E85="",R85=""),"", IF(AND(AB85&lt;&gt;"",S85=""), "Spatial risk category missing ▲", IF(AND(Q85='G-7 WaterC'' Data'!$G$4,AD85="Yes"),"Alternative Compensation ✓", IF(AND(AD85="Pending", Q85='G-7 WaterC'' Data'!$G$4),"Bespoke compensation must be agreed ▲", IF((Z85+AA85)&gt;=U85,0, U85-Z85-AA85))))),"Check Data ⚠")</f>
        <v/>
      </c>
      <c r="AD85" s="403"/>
      <c r="AE85" s="109"/>
      <c r="AF85" s="108"/>
      <c r="AG85" s="108"/>
      <c r="AH85" s="108"/>
      <c r="AI85" s="54" t="str">
        <f>IF(OR(Q85="",AD85="Yes"),"",IF(Q85='G-1 All Habitats'!$X$9,E85-Y85-X85,"None"))</f>
        <v/>
      </c>
      <c r="AJ85" s="55" t="str">
        <f>IF(Q85="","", IF(Q85='G-1 All Habitats'!$X$9, AI85*G85*I85*L85*N85*P85,"None"))</f>
        <v/>
      </c>
      <c r="AK85" s="30" t="str">
        <f>IFERROR(INDEX('G-7 WaterC'' Data'!$AZ$3:$AZ$7,MATCH(D85,'G-7 WaterC'' Data'!$AY$3:$AY$7,0)),"")</f>
        <v/>
      </c>
      <c r="AL85" s="30">
        <f t="shared" si="19"/>
        <v>0</v>
      </c>
      <c r="AM85" s="111" t="str">
        <f t="shared" si="20"/>
        <v/>
      </c>
      <c r="AN85" s="111" t="str">
        <f t="shared" si="21"/>
        <v/>
      </c>
      <c r="AP85" s="111">
        <v>76</v>
      </c>
      <c r="AR85" s="111" t="str">
        <f t="array" ref="AR85">IFERROR(INDEX($AP$10:$AP$258, MATCH(0, IF(TRUE=$AM$10:$AM$258, COUNTIF($AR$9:$AR84, $AP$10:$AP$258), ""), 0)),"")</f>
        <v/>
      </c>
      <c r="AS85" s="111" t="str">
        <f t="array" ref="AS85">IFERROR(INDEX($AP$10:$AP$258, MATCH(0, IF(TRUE=$AN$10:$AN$258, COUNTIF($AS$9:$AS84, $AP$10:$AP$258), ""), 0)),"")</f>
        <v/>
      </c>
      <c r="AT85" s="903" t="str">
        <f>IF(AND(OR(AD85="Yes",AD85="Pending"),Q85='G-7 WaterC'' Data'!$G$4),U85-AA85-Z85,"0")</f>
        <v>0</v>
      </c>
      <c r="AU85" s="30" t="str">
        <f>IF(D85="","",VLOOKUP(D85,'G-7 WaterC'' Data'!B$4:M$8,12,FALSE))</f>
        <v/>
      </c>
      <c r="AV85" s="30" t="str">
        <f t="shared" si="12"/>
        <v/>
      </c>
      <c r="AW85" s="30" t="str">
        <f t="shared" si="22"/>
        <v>No</v>
      </c>
      <c r="BA85" s="571" t="str">
        <f t="shared" si="23"/>
        <v/>
      </c>
    </row>
    <row r="86" spans="3:53" ht="14.4" thickBot="1" x14ac:dyDescent="0.3">
      <c r="C86" s="101">
        <v>77</v>
      </c>
      <c r="D86" s="269"/>
      <c r="E86" s="108"/>
      <c r="F86" s="281" t="str">
        <f>IF(D86="","",VLOOKUP(D86,'G-7 WaterC'' Data'!$B$2:$G$8,2,FALSE))</f>
        <v/>
      </c>
      <c r="G86" s="320" t="str">
        <f>IFERROR(VLOOKUP(F86,'G-7 WaterC'' Data'!$C$4:$D$8,2,FALSE),"")</f>
        <v/>
      </c>
      <c r="H86" s="109"/>
      <c r="I86" s="305" t="str">
        <f>IFERROR(INDEX('G-7 WaterC'' Data'!$H$4:$L$8,MATCH(D86,'G-7 WaterC'' Data'!$B$4:$B$8,0),MATCH(H86,'G-7 WaterC'' Data'!$H$3:$L$3,0)),"")</f>
        <v/>
      </c>
      <c r="J86" s="718"/>
      <c r="K86" s="301" t="str">
        <f>IF(J86="","",IF(VLOOKUP(J86,'G-7 WaterC'' Data'!$AK$4:$AM$9,2,FALSE)=0,"Spatial Data Missing ⚠",VLOOKUP(J86,'G-7 WaterC'' Data'!$AK$4:$AM$6,2,FALSE)))</f>
        <v/>
      </c>
      <c r="L86" s="305" t="str">
        <f>IF(J86="","",IF(VLOOKUP(J86,'G-7 WaterC'' Data'!$AK$4:$AM$9,3,FALSE)=0,"Spatial Data Missing ⚠",VLOOKUP(J86,'G-7 WaterC'' Data'!$AK$4:$AM$6,3,FALSE)))</f>
        <v/>
      </c>
      <c r="M86" s="106"/>
      <c r="N86" s="282" t="str">
        <f>IF(M86="","",IF(AND(M86="N/A - Culvert",D86&lt;&gt;"Culvert"),"Not possible ▲",IF(AND(D86="Culvert",M86&lt;&gt;"N/A - Culvert"),"Not possible ▲",IF(VLOOKUP(M86,'G-7 WaterC'' Data'!$AA$4:$AB$7,2,FALSE)=0,"Spatial Data Missing ⚠",VLOOKUP(M86,'G-7 WaterC'' Data'!$AA$4:$AB$7,2,FALSE)))))</f>
        <v/>
      </c>
      <c r="O86" s="56"/>
      <c r="P86" s="282" t="str">
        <f>IF(O86="","",IF(AND(O86="N/A - Culvert",D86&lt;&gt;"Culvert"),"Not possible ▲",IF(AND(D86="Culvert",O86&lt;&gt;"N/A - Culvert"),"Not possible ▲",IF(VLOOKUP(O86,'G-7 WaterC'' Data'!$AD$4:$AE$14,2,FALSE)=0,"Spatial Data Missing ⚠",VLOOKUP(O86,'G-7 WaterC'' Data'!$AD$4:$AE$14,2,FALSE)))))</f>
        <v/>
      </c>
      <c r="Q86" s="288" t="str">
        <f>IF(D86="","",VLOOKUP(D86,'G-7 WaterC'' Data'!$B$4:$G$8,6,FALSE))</f>
        <v/>
      </c>
      <c r="R86" s="295" t="str">
        <f t="shared" si="13"/>
        <v xml:space="preserve"> </v>
      </c>
      <c r="S86" s="403"/>
      <c r="T86" s="287" t="str">
        <f>IF(S86="","",IF(VLOOKUP(S86,'G-7 WaterC'' Data'!$AO$4:$BO$7,2,FALSE)=0,"Spatial Data Missing ⚠",VLOOKUP(S86,'G-7 WaterC'' Data'!$AO$4:$BO$7,2,FALSE)))</f>
        <v/>
      </c>
      <c r="U86" s="295" t="str">
        <f t="shared" si="14"/>
        <v xml:space="preserve"> </v>
      </c>
      <c r="V86" s="710" t="str">
        <f t="shared" si="15"/>
        <v/>
      </c>
      <c r="W86" s="32"/>
      <c r="X86" s="105"/>
      <c r="Y86" s="112"/>
      <c r="Z86" s="293" t="str">
        <f t="shared" si="16"/>
        <v/>
      </c>
      <c r="AA86" s="293" t="str">
        <f t="shared" si="17"/>
        <v/>
      </c>
      <c r="AB86" s="293" t="str">
        <f t="shared" si="18"/>
        <v/>
      </c>
      <c r="AC86" s="507" t="str">
        <f>IFERROR(IF(OR(E86="",R86=""),"", IF(AND(AB86&lt;&gt;"",S86=""), "Spatial risk category missing ▲", IF(AND(Q86='G-7 WaterC'' Data'!$G$4,AD86="Yes"),"Alternative Compensation ✓", IF(AND(AD86="Pending", Q86='G-7 WaterC'' Data'!$G$4),"Bespoke compensation must be agreed ▲", IF((Z86+AA86)&gt;=U86,0, U86-Z86-AA86))))),"Check Data ⚠")</f>
        <v/>
      </c>
      <c r="AD86" s="403"/>
      <c r="AE86" s="109"/>
      <c r="AF86" s="108"/>
      <c r="AG86" s="108"/>
      <c r="AH86" s="108"/>
      <c r="AI86" s="54" t="str">
        <f>IF(OR(Q86="",AD86="Yes"),"",IF(Q86='G-1 All Habitats'!$X$9,E86-Y86-X86,"None"))</f>
        <v/>
      </c>
      <c r="AJ86" s="55" t="str">
        <f>IF(Q86="","", IF(Q86='G-1 All Habitats'!$X$9, AI86*G86*I86*L86*N86*P86,"None"))</f>
        <v/>
      </c>
      <c r="AK86" s="30" t="str">
        <f>IFERROR(INDEX('G-7 WaterC'' Data'!$AZ$3:$AZ$7,MATCH(D86,'G-7 WaterC'' Data'!$AY$3:$AY$7,0)),"")</f>
        <v/>
      </c>
      <c r="AL86" s="30">
        <f t="shared" si="19"/>
        <v>0</v>
      </c>
      <c r="AM86" s="111" t="str">
        <f t="shared" si="20"/>
        <v/>
      </c>
      <c r="AN86" s="111" t="str">
        <f t="shared" si="21"/>
        <v/>
      </c>
      <c r="AP86" s="111">
        <v>77</v>
      </c>
      <c r="AR86" s="111" t="str">
        <f t="array" ref="AR86">IFERROR(INDEX($AP$10:$AP$258, MATCH(0, IF(TRUE=$AM$10:$AM$258, COUNTIF($AR$9:$AR85, $AP$10:$AP$258), ""), 0)),"")</f>
        <v/>
      </c>
      <c r="AS86" s="111" t="str">
        <f t="array" ref="AS86">IFERROR(INDEX($AP$10:$AP$258, MATCH(0, IF(TRUE=$AN$10:$AN$258, COUNTIF($AS$9:$AS85, $AP$10:$AP$258), ""), 0)),"")</f>
        <v/>
      </c>
      <c r="AT86" s="903" t="str">
        <f>IF(AND(OR(AD86="Yes",AD86="Pending"),Q86='G-7 WaterC'' Data'!$G$4),U86-AA86-Z86,"0")</f>
        <v>0</v>
      </c>
      <c r="AU86" s="30" t="str">
        <f>IF(D86="","",VLOOKUP(D86,'G-7 WaterC'' Data'!B$4:M$8,12,FALSE))</f>
        <v/>
      </c>
      <c r="AV86" s="30" t="str">
        <f t="shared" si="12"/>
        <v/>
      </c>
      <c r="AW86" s="30" t="str">
        <f t="shared" si="22"/>
        <v>No</v>
      </c>
      <c r="BA86" s="571" t="str">
        <f t="shared" si="23"/>
        <v/>
      </c>
    </row>
    <row r="87" spans="3:53" ht="14.4" thickBot="1" x14ac:dyDescent="0.3">
      <c r="C87" s="101">
        <v>78</v>
      </c>
      <c r="D87" s="269"/>
      <c r="E87" s="108"/>
      <c r="F87" s="281" t="str">
        <f>IF(D87="","",VLOOKUP(D87,'G-7 WaterC'' Data'!$B$2:$G$8,2,FALSE))</f>
        <v/>
      </c>
      <c r="G87" s="320" t="str">
        <f>IFERROR(VLOOKUP(F87,'G-7 WaterC'' Data'!$C$4:$D$8,2,FALSE),"")</f>
        <v/>
      </c>
      <c r="H87" s="109"/>
      <c r="I87" s="305" t="str">
        <f>IFERROR(INDEX('G-7 WaterC'' Data'!$H$4:$L$8,MATCH(D87,'G-7 WaterC'' Data'!$B$4:$B$8,0),MATCH(H87,'G-7 WaterC'' Data'!$H$3:$L$3,0)),"")</f>
        <v/>
      </c>
      <c r="J87" s="718"/>
      <c r="K87" s="301" t="str">
        <f>IF(J87="","",IF(VLOOKUP(J87,'G-7 WaterC'' Data'!$AK$4:$AM$9,2,FALSE)=0,"Spatial Data Missing ⚠",VLOOKUP(J87,'G-7 WaterC'' Data'!$AK$4:$AM$6,2,FALSE)))</f>
        <v/>
      </c>
      <c r="L87" s="305" t="str">
        <f>IF(J87="","",IF(VLOOKUP(J87,'G-7 WaterC'' Data'!$AK$4:$AM$9,3,FALSE)=0,"Spatial Data Missing ⚠",VLOOKUP(J87,'G-7 WaterC'' Data'!$AK$4:$AM$6,3,FALSE)))</f>
        <v/>
      </c>
      <c r="M87" s="106"/>
      <c r="N87" s="282" t="str">
        <f>IF(M87="","",IF(AND(M87="N/A - Culvert",D87&lt;&gt;"Culvert"),"Not possible ▲",IF(AND(D87="Culvert",M87&lt;&gt;"N/A - Culvert"),"Not possible ▲",IF(VLOOKUP(M87,'G-7 WaterC'' Data'!$AA$4:$AB$7,2,FALSE)=0,"Spatial Data Missing ⚠",VLOOKUP(M87,'G-7 WaterC'' Data'!$AA$4:$AB$7,2,FALSE)))))</f>
        <v/>
      </c>
      <c r="O87" s="56"/>
      <c r="P87" s="282" t="str">
        <f>IF(O87="","",IF(AND(O87="N/A - Culvert",D87&lt;&gt;"Culvert"),"Not possible ▲",IF(AND(D87="Culvert",O87&lt;&gt;"N/A - Culvert"),"Not possible ▲",IF(VLOOKUP(O87,'G-7 WaterC'' Data'!$AD$4:$AE$14,2,FALSE)=0,"Spatial Data Missing ⚠",VLOOKUP(O87,'G-7 WaterC'' Data'!$AD$4:$AE$14,2,FALSE)))))</f>
        <v/>
      </c>
      <c r="Q87" s="288" t="str">
        <f>IF(D87="","",VLOOKUP(D87,'G-7 WaterC'' Data'!$B$4:$G$8,6,FALSE))</f>
        <v/>
      </c>
      <c r="R87" s="295" t="str">
        <f t="shared" si="13"/>
        <v xml:space="preserve"> </v>
      </c>
      <c r="S87" s="403"/>
      <c r="T87" s="287" t="str">
        <f>IF(S87="","",IF(VLOOKUP(S87,'G-7 WaterC'' Data'!$AO$4:$BO$7,2,FALSE)=0,"Spatial Data Missing ⚠",VLOOKUP(S87,'G-7 WaterC'' Data'!$AO$4:$BO$7,2,FALSE)))</f>
        <v/>
      </c>
      <c r="U87" s="295" t="str">
        <f t="shared" si="14"/>
        <v xml:space="preserve"> </v>
      </c>
      <c r="V87" s="710" t="str">
        <f t="shared" si="15"/>
        <v/>
      </c>
      <c r="W87" s="32"/>
      <c r="X87" s="105"/>
      <c r="Y87" s="112"/>
      <c r="Z87" s="293" t="str">
        <f t="shared" si="16"/>
        <v/>
      </c>
      <c r="AA87" s="293" t="str">
        <f t="shared" si="17"/>
        <v/>
      </c>
      <c r="AB87" s="293" t="str">
        <f t="shared" si="18"/>
        <v/>
      </c>
      <c r="AC87" s="507" t="str">
        <f>IFERROR(IF(OR(E87="",R87=""),"", IF(AND(AB87&lt;&gt;"",S87=""), "Spatial risk category missing ▲", IF(AND(Q87='G-7 WaterC'' Data'!$G$4,AD87="Yes"),"Alternative Compensation ✓", IF(AND(AD87="Pending", Q87='G-7 WaterC'' Data'!$G$4),"Bespoke compensation must be agreed ▲", IF((Z87+AA87)&gt;=U87,0, U87-Z87-AA87))))),"Check Data ⚠")</f>
        <v/>
      </c>
      <c r="AD87" s="403"/>
      <c r="AE87" s="109"/>
      <c r="AF87" s="108"/>
      <c r="AG87" s="108"/>
      <c r="AH87" s="108"/>
      <c r="AI87" s="54" t="str">
        <f>IF(OR(Q87="",AD87="Yes"),"",IF(Q87='G-1 All Habitats'!$X$9,E87-Y87-X87,"None"))</f>
        <v/>
      </c>
      <c r="AJ87" s="55" t="str">
        <f>IF(Q87="","", IF(Q87='G-1 All Habitats'!$X$9, AI87*G87*I87*L87*N87*P87,"None"))</f>
        <v/>
      </c>
      <c r="AK87" s="30" t="str">
        <f>IFERROR(INDEX('G-7 WaterC'' Data'!$AZ$3:$AZ$7,MATCH(D87,'G-7 WaterC'' Data'!$AY$3:$AY$7,0)),"")</f>
        <v/>
      </c>
      <c r="AL87" s="30">
        <f t="shared" si="19"/>
        <v>0</v>
      </c>
      <c r="AM87" s="111" t="str">
        <f t="shared" si="20"/>
        <v/>
      </c>
      <c r="AN87" s="111" t="str">
        <f t="shared" si="21"/>
        <v/>
      </c>
      <c r="AP87" s="111">
        <v>78</v>
      </c>
      <c r="AR87" s="111" t="str">
        <f t="array" ref="AR87">IFERROR(INDEX($AP$10:$AP$258, MATCH(0, IF(TRUE=$AM$10:$AM$258, COUNTIF($AR$9:$AR86, $AP$10:$AP$258), ""), 0)),"")</f>
        <v/>
      </c>
      <c r="AS87" s="111" t="str">
        <f t="array" ref="AS87">IFERROR(INDEX($AP$10:$AP$258, MATCH(0, IF(TRUE=$AN$10:$AN$258, COUNTIF($AS$9:$AS86, $AP$10:$AP$258), ""), 0)),"")</f>
        <v/>
      </c>
      <c r="AT87" s="903" t="str">
        <f>IF(AND(OR(AD87="Yes",AD87="Pending"),Q87='G-7 WaterC'' Data'!$G$4),U87-AA87-Z87,"0")</f>
        <v>0</v>
      </c>
      <c r="AU87" s="30" t="str">
        <f>IF(D87="","",VLOOKUP(D87,'G-7 WaterC'' Data'!B$4:M$8,12,FALSE))</f>
        <v/>
      </c>
      <c r="AV87" s="30" t="str">
        <f t="shared" si="12"/>
        <v/>
      </c>
      <c r="AW87" s="30" t="str">
        <f t="shared" si="22"/>
        <v>No</v>
      </c>
      <c r="BA87" s="571" t="str">
        <f t="shared" si="23"/>
        <v/>
      </c>
    </row>
    <row r="88" spans="3:53" ht="14.4" thickBot="1" x14ac:dyDescent="0.3">
      <c r="C88" s="101">
        <v>79</v>
      </c>
      <c r="D88" s="269"/>
      <c r="E88" s="108"/>
      <c r="F88" s="281" t="str">
        <f>IF(D88="","",VLOOKUP(D88,'G-7 WaterC'' Data'!$B$2:$G$8,2,FALSE))</f>
        <v/>
      </c>
      <c r="G88" s="320" t="str">
        <f>IFERROR(VLOOKUP(F88,'G-7 WaterC'' Data'!$C$4:$D$8,2,FALSE),"")</f>
        <v/>
      </c>
      <c r="H88" s="109"/>
      <c r="I88" s="305" t="str">
        <f>IFERROR(INDEX('G-7 WaterC'' Data'!$H$4:$L$8,MATCH(D88,'G-7 WaterC'' Data'!$B$4:$B$8,0),MATCH(H88,'G-7 WaterC'' Data'!$H$3:$L$3,0)),"")</f>
        <v/>
      </c>
      <c r="J88" s="718"/>
      <c r="K88" s="301" t="str">
        <f>IF(J88="","",IF(VLOOKUP(J88,'G-7 WaterC'' Data'!$AK$4:$AM$9,2,FALSE)=0,"Spatial Data Missing ⚠",VLOOKUP(J88,'G-7 WaterC'' Data'!$AK$4:$AM$6,2,FALSE)))</f>
        <v/>
      </c>
      <c r="L88" s="305" t="str">
        <f>IF(J88="","",IF(VLOOKUP(J88,'G-7 WaterC'' Data'!$AK$4:$AM$9,3,FALSE)=0,"Spatial Data Missing ⚠",VLOOKUP(J88,'G-7 WaterC'' Data'!$AK$4:$AM$6,3,FALSE)))</f>
        <v/>
      </c>
      <c r="M88" s="106"/>
      <c r="N88" s="282" t="str">
        <f>IF(M88="","",IF(AND(M88="N/A - Culvert",D88&lt;&gt;"Culvert"),"Not possible ▲",IF(AND(D88="Culvert",M88&lt;&gt;"N/A - Culvert"),"Not possible ▲",IF(VLOOKUP(M88,'G-7 WaterC'' Data'!$AA$4:$AB$7,2,FALSE)=0,"Spatial Data Missing ⚠",VLOOKUP(M88,'G-7 WaterC'' Data'!$AA$4:$AB$7,2,FALSE)))))</f>
        <v/>
      </c>
      <c r="O88" s="56"/>
      <c r="P88" s="282" t="str">
        <f>IF(O88="","",IF(AND(O88="N/A - Culvert",D88&lt;&gt;"Culvert"),"Not possible ▲",IF(AND(D88="Culvert",O88&lt;&gt;"N/A - Culvert"),"Not possible ▲",IF(VLOOKUP(O88,'G-7 WaterC'' Data'!$AD$4:$AE$14,2,FALSE)=0,"Spatial Data Missing ⚠",VLOOKUP(O88,'G-7 WaterC'' Data'!$AD$4:$AE$14,2,FALSE)))))</f>
        <v/>
      </c>
      <c r="Q88" s="288" t="str">
        <f>IF(D88="","",VLOOKUP(D88,'G-7 WaterC'' Data'!$B$4:$G$8,6,FALSE))</f>
        <v/>
      </c>
      <c r="R88" s="295" t="str">
        <f t="shared" si="13"/>
        <v xml:space="preserve"> </v>
      </c>
      <c r="S88" s="403"/>
      <c r="T88" s="287" t="str">
        <f>IF(S88="","",IF(VLOOKUP(S88,'G-7 WaterC'' Data'!$AO$4:$BO$7,2,FALSE)=0,"Spatial Data Missing ⚠",VLOOKUP(S88,'G-7 WaterC'' Data'!$AO$4:$BO$7,2,FALSE)))</f>
        <v/>
      </c>
      <c r="U88" s="295" t="str">
        <f t="shared" si="14"/>
        <v xml:space="preserve"> </v>
      </c>
      <c r="V88" s="710" t="str">
        <f t="shared" si="15"/>
        <v/>
      </c>
      <c r="W88" s="32"/>
      <c r="X88" s="105"/>
      <c r="Y88" s="112"/>
      <c r="Z88" s="293" t="str">
        <f t="shared" si="16"/>
        <v/>
      </c>
      <c r="AA88" s="293" t="str">
        <f t="shared" si="17"/>
        <v/>
      </c>
      <c r="AB88" s="293" t="str">
        <f t="shared" si="18"/>
        <v/>
      </c>
      <c r="AC88" s="507" t="str">
        <f>IFERROR(IF(OR(E88="",R88=""),"", IF(AND(AB88&lt;&gt;"",S88=""), "Spatial risk category missing ▲", IF(AND(Q88='G-7 WaterC'' Data'!$G$4,AD88="Yes"),"Alternative Compensation ✓", IF(AND(AD88="Pending", Q88='G-7 WaterC'' Data'!$G$4),"Bespoke compensation must be agreed ▲", IF((Z88+AA88)&gt;=U88,0, U88-Z88-AA88))))),"Check Data ⚠")</f>
        <v/>
      </c>
      <c r="AD88" s="403"/>
      <c r="AE88" s="109"/>
      <c r="AF88" s="108"/>
      <c r="AG88" s="108"/>
      <c r="AH88" s="108"/>
      <c r="AI88" s="54" t="str">
        <f>IF(OR(Q88="",AD88="Yes"),"",IF(Q88='G-1 All Habitats'!$X$9,E88-Y88-X88,"None"))</f>
        <v/>
      </c>
      <c r="AJ88" s="55" t="str">
        <f>IF(Q88="","", IF(Q88='G-1 All Habitats'!$X$9, AI88*G88*I88*L88*N88*P88,"None"))</f>
        <v/>
      </c>
      <c r="AK88" s="30" t="str">
        <f>IFERROR(INDEX('G-7 WaterC'' Data'!$AZ$3:$AZ$7,MATCH(D88,'G-7 WaterC'' Data'!$AY$3:$AY$7,0)),"")</f>
        <v/>
      </c>
      <c r="AL88" s="30">
        <f t="shared" si="19"/>
        <v>0</v>
      </c>
      <c r="AM88" s="111" t="str">
        <f t="shared" si="20"/>
        <v/>
      </c>
      <c r="AN88" s="111" t="str">
        <f t="shared" si="21"/>
        <v/>
      </c>
      <c r="AP88" s="111">
        <v>79</v>
      </c>
      <c r="AR88" s="111" t="str">
        <f t="array" ref="AR88">IFERROR(INDEX($AP$10:$AP$258, MATCH(0, IF(TRUE=$AM$10:$AM$258, COUNTIF($AR$9:$AR87, $AP$10:$AP$258), ""), 0)),"")</f>
        <v/>
      </c>
      <c r="AS88" s="111" t="str">
        <f t="array" ref="AS88">IFERROR(INDEX($AP$10:$AP$258, MATCH(0, IF(TRUE=$AN$10:$AN$258, COUNTIF($AS$9:$AS87, $AP$10:$AP$258), ""), 0)),"")</f>
        <v/>
      </c>
      <c r="AT88" s="903" t="str">
        <f>IF(AND(OR(AD88="Yes",AD88="Pending"),Q88='G-7 WaterC'' Data'!$G$4),U88-AA88-Z88,"0")</f>
        <v>0</v>
      </c>
      <c r="AU88" s="30" t="str">
        <f>IF(D88="","",VLOOKUP(D88,'G-7 WaterC'' Data'!B$4:M$8,12,FALSE))</f>
        <v/>
      </c>
      <c r="AV88" s="30" t="str">
        <f t="shared" si="12"/>
        <v/>
      </c>
      <c r="AW88" s="30" t="str">
        <f t="shared" si="22"/>
        <v>No</v>
      </c>
      <c r="BA88" s="571" t="str">
        <f t="shared" si="23"/>
        <v/>
      </c>
    </row>
    <row r="89" spans="3:53" ht="14.4" thickBot="1" x14ac:dyDescent="0.3">
      <c r="C89" s="101">
        <v>80</v>
      </c>
      <c r="D89" s="269"/>
      <c r="E89" s="108"/>
      <c r="F89" s="281" t="str">
        <f>IF(D89="","",VLOOKUP(D89,'G-7 WaterC'' Data'!$B$2:$G$8,2,FALSE))</f>
        <v/>
      </c>
      <c r="G89" s="320" t="str">
        <f>IFERROR(VLOOKUP(F89,'G-7 WaterC'' Data'!$C$4:$D$8,2,FALSE),"")</f>
        <v/>
      </c>
      <c r="H89" s="109"/>
      <c r="I89" s="305" t="str">
        <f>IFERROR(INDEX('G-7 WaterC'' Data'!$H$4:$L$8,MATCH(D89,'G-7 WaterC'' Data'!$B$4:$B$8,0),MATCH(H89,'G-7 WaterC'' Data'!$H$3:$L$3,0)),"")</f>
        <v/>
      </c>
      <c r="J89" s="718"/>
      <c r="K89" s="301" t="str">
        <f>IF(J89="","",IF(VLOOKUP(J89,'G-7 WaterC'' Data'!$AK$4:$AM$9,2,FALSE)=0,"Spatial Data Missing ⚠",VLOOKUP(J89,'G-7 WaterC'' Data'!$AK$4:$AM$6,2,FALSE)))</f>
        <v/>
      </c>
      <c r="L89" s="305" t="str">
        <f>IF(J89="","",IF(VLOOKUP(J89,'G-7 WaterC'' Data'!$AK$4:$AM$9,3,FALSE)=0,"Spatial Data Missing ⚠",VLOOKUP(J89,'G-7 WaterC'' Data'!$AK$4:$AM$6,3,FALSE)))</f>
        <v/>
      </c>
      <c r="M89" s="106"/>
      <c r="N89" s="282" t="str">
        <f>IF(M89="","",IF(AND(M89="N/A - Culvert",D89&lt;&gt;"Culvert"),"Not possible ▲",IF(AND(D89="Culvert",M89&lt;&gt;"N/A - Culvert"),"Not possible ▲",IF(VLOOKUP(M89,'G-7 WaterC'' Data'!$AA$4:$AB$7,2,FALSE)=0,"Spatial Data Missing ⚠",VLOOKUP(M89,'G-7 WaterC'' Data'!$AA$4:$AB$7,2,FALSE)))))</f>
        <v/>
      </c>
      <c r="O89" s="56"/>
      <c r="P89" s="282" t="str">
        <f>IF(O89="","",IF(AND(O89="N/A - Culvert",D89&lt;&gt;"Culvert"),"Not possible ▲",IF(AND(D89="Culvert",O89&lt;&gt;"N/A - Culvert"),"Not possible ▲",IF(VLOOKUP(O89,'G-7 WaterC'' Data'!$AD$4:$AE$14,2,FALSE)=0,"Spatial Data Missing ⚠",VLOOKUP(O89,'G-7 WaterC'' Data'!$AD$4:$AE$14,2,FALSE)))))</f>
        <v/>
      </c>
      <c r="Q89" s="288" t="str">
        <f>IF(D89="","",VLOOKUP(D89,'G-7 WaterC'' Data'!$B$4:$G$8,6,FALSE))</f>
        <v/>
      </c>
      <c r="R89" s="295" t="str">
        <f t="shared" si="13"/>
        <v xml:space="preserve"> </v>
      </c>
      <c r="S89" s="403"/>
      <c r="T89" s="287" t="str">
        <f>IF(S89="","",IF(VLOOKUP(S89,'G-7 WaterC'' Data'!$AO$4:$BO$7,2,FALSE)=0,"Spatial Data Missing ⚠",VLOOKUP(S89,'G-7 WaterC'' Data'!$AO$4:$BO$7,2,FALSE)))</f>
        <v/>
      </c>
      <c r="U89" s="295" t="str">
        <f t="shared" si="14"/>
        <v xml:space="preserve"> </v>
      </c>
      <c r="V89" s="710" t="str">
        <f t="shared" si="15"/>
        <v/>
      </c>
      <c r="W89" s="32"/>
      <c r="X89" s="105"/>
      <c r="Y89" s="112"/>
      <c r="Z89" s="293" t="str">
        <f t="shared" si="16"/>
        <v/>
      </c>
      <c r="AA89" s="293" t="str">
        <f t="shared" si="17"/>
        <v/>
      </c>
      <c r="AB89" s="293" t="str">
        <f t="shared" si="18"/>
        <v/>
      </c>
      <c r="AC89" s="507" t="str">
        <f>IFERROR(IF(OR(E89="",R89=""),"", IF(AND(AB89&lt;&gt;"",S89=""), "Spatial risk category missing ▲", IF(AND(Q89='G-7 WaterC'' Data'!$G$4,AD89="Yes"),"Alternative Compensation ✓", IF(AND(AD89="Pending", Q89='G-7 WaterC'' Data'!$G$4),"Bespoke compensation must be agreed ▲", IF((Z89+AA89)&gt;=U89,0, U89-Z89-AA89))))),"Check Data ⚠")</f>
        <v/>
      </c>
      <c r="AD89" s="403"/>
      <c r="AE89" s="109"/>
      <c r="AF89" s="108"/>
      <c r="AG89" s="108"/>
      <c r="AH89" s="108"/>
      <c r="AI89" s="54" t="str">
        <f>IF(OR(Q89="",AD89="Yes"),"",IF(Q89='G-1 All Habitats'!$X$9,E89-Y89-X89,"None"))</f>
        <v/>
      </c>
      <c r="AJ89" s="55" t="str">
        <f>IF(Q89="","", IF(Q89='G-1 All Habitats'!$X$9, AI89*G89*I89*L89*N89*P89,"None"))</f>
        <v/>
      </c>
      <c r="AK89" s="30" t="str">
        <f>IFERROR(INDEX('G-7 WaterC'' Data'!$AZ$3:$AZ$7,MATCH(D89,'G-7 WaterC'' Data'!$AY$3:$AY$7,0)),"")</f>
        <v/>
      </c>
      <c r="AL89" s="30">
        <f t="shared" si="19"/>
        <v>0</v>
      </c>
      <c r="AM89" s="111" t="str">
        <f t="shared" si="20"/>
        <v/>
      </c>
      <c r="AN89" s="111" t="str">
        <f t="shared" si="21"/>
        <v/>
      </c>
      <c r="AP89" s="111">
        <v>80</v>
      </c>
      <c r="AR89" s="111" t="str">
        <f t="array" ref="AR89">IFERROR(INDEX($AP$10:$AP$258, MATCH(0, IF(TRUE=$AM$10:$AM$258, COUNTIF($AR$9:$AR88, $AP$10:$AP$258), ""), 0)),"")</f>
        <v/>
      </c>
      <c r="AS89" s="111" t="str">
        <f t="array" ref="AS89">IFERROR(INDEX($AP$10:$AP$258, MATCH(0, IF(TRUE=$AN$10:$AN$258, COUNTIF($AS$9:$AS88, $AP$10:$AP$258), ""), 0)),"")</f>
        <v/>
      </c>
      <c r="AT89" s="903" t="str">
        <f>IF(AND(OR(AD89="Yes",AD89="Pending"),Q89='G-7 WaterC'' Data'!$G$4),U89-AA89-Z89,"0")</f>
        <v>0</v>
      </c>
      <c r="AU89" s="30" t="str">
        <f>IF(D89="","",VLOOKUP(D89,'G-7 WaterC'' Data'!B$4:M$8,12,FALSE))</f>
        <v/>
      </c>
      <c r="AV89" s="30" t="str">
        <f t="shared" si="12"/>
        <v/>
      </c>
      <c r="AW89" s="30" t="str">
        <f t="shared" si="22"/>
        <v>No</v>
      </c>
      <c r="BA89" s="571" t="str">
        <f t="shared" si="23"/>
        <v/>
      </c>
    </row>
    <row r="90" spans="3:53" ht="14.4" thickBot="1" x14ac:dyDescent="0.3">
      <c r="C90" s="101">
        <v>81</v>
      </c>
      <c r="D90" s="269"/>
      <c r="E90" s="108"/>
      <c r="F90" s="281" t="str">
        <f>IF(D90="","",VLOOKUP(D90,'G-7 WaterC'' Data'!$B$2:$G$8,2,FALSE))</f>
        <v/>
      </c>
      <c r="G90" s="320" t="str">
        <f>IFERROR(VLOOKUP(F90,'G-7 WaterC'' Data'!$C$4:$D$8,2,FALSE),"")</f>
        <v/>
      </c>
      <c r="H90" s="109"/>
      <c r="I90" s="305" t="str">
        <f>IFERROR(INDEX('G-7 WaterC'' Data'!$H$4:$L$8,MATCH(D90,'G-7 WaterC'' Data'!$B$4:$B$8,0),MATCH(H90,'G-7 WaterC'' Data'!$H$3:$L$3,0)),"")</f>
        <v/>
      </c>
      <c r="J90" s="718"/>
      <c r="K90" s="301" t="str">
        <f>IF(J90="","",IF(VLOOKUP(J90,'G-7 WaterC'' Data'!$AK$4:$AM$9,2,FALSE)=0,"Spatial Data Missing ⚠",VLOOKUP(J90,'G-7 WaterC'' Data'!$AK$4:$AM$6,2,FALSE)))</f>
        <v/>
      </c>
      <c r="L90" s="305" t="str">
        <f>IF(J90="","",IF(VLOOKUP(J90,'G-7 WaterC'' Data'!$AK$4:$AM$9,3,FALSE)=0,"Spatial Data Missing ⚠",VLOOKUP(J90,'G-7 WaterC'' Data'!$AK$4:$AM$6,3,FALSE)))</f>
        <v/>
      </c>
      <c r="M90" s="106"/>
      <c r="N90" s="282" t="str">
        <f>IF(M90="","",IF(AND(M90="N/A - Culvert",D90&lt;&gt;"Culvert"),"Not possible ▲",IF(AND(D90="Culvert",M90&lt;&gt;"N/A - Culvert"),"Not possible ▲",IF(VLOOKUP(M90,'G-7 WaterC'' Data'!$AA$4:$AB$7,2,FALSE)=0,"Spatial Data Missing ⚠",VLOOKUP(M90,'G-7 WaterC'' Data'!$AA$4:$AB$7,2,FALSE)))))</f>
        <v/>
      </c>
      <c r="O90" s="56"/>
      <c r="P90" s="282" t="str">
        <f>IF(O90="","",IF(AND(O90="N/A - Culvert",D90&lt;&gt;"Culvert"),"Not possible ▲",IF(AND(D90="Culvert",O90&lt;&gt;"N/A - Culvert"),"Not possible ▲",IF(VLOOKUP(O90,'G-7 WaterC'' Data'!$AD$4:$AE$14,2,FALSE)=0,"Spatial Data Missing ⚠",VLOOKUP(O90,'G-7 WaterC'' Data'!$AD$4:$AE$14,2,FALSE)))))</f>
        <v/>
      </c>
      <c r="Q90" s="288" t="str">
        <f>IF(D90="","",VLOOKUP(D90,'G-7 WaterC'' Data'!$B$4:$G$8,6,FALSE))</f>
        <v/>
      </c>
      <c r="R90" s="295" t="str">
        <f t="shared" si="13"/>
        <v xml:space="preserve"> </v>
      </c>
      <c r="S90" s="403"/>
      <c r="T90" s="287" t="str">
        <f>IF(S90="","",IF(VLOOKUP(S90,'G-7 WaterC'' Data'!$AO$4:$BO$7,2,FALSE)=0,"Spatial Data Missing ⚠",VLOOKUP(S90,'G-7 WaterC'' Data'!$AO$4:$BO$7,2,FALSE)))</f>
        <v/>
      </c>
      <c r="U90" s="295" t="str">
        <f t="shared" si="14"/>
        <v xml:space="preserve"> </v>
      </c>
      <c r="V90" s="710" t="str">
        <f t="shared" si="15"/>
        <v/>
      </c>
      <c r="W90" s="32"/>
      <c r="X90" s="105"/>
      <c r="Y90" s="112"/>
      <c r="Z90" s="293" t="str">
        <f t="shared" si="16"/>
        <v/>
      </c>
      <c r="AA90" s="293" t="str">
        <f t="shared" si="17"/>
        <v/>
      </c>
      <c r="AB90" s="293" t="str">
        <f t="shared" si="18"/>
        <v/>
      </c>
      <c r="AC90" s="507" t="str">
        <f>IFERROR(IF(OR(E90="",R90=""),"", IF(AND(AB90&lt;&gt;"",S90=""), "Spatial risk category missing ▲", IF(AND(Q90='G-7 WaterC'' Data'!$G$4,AD90="Yes"),"Alternative Compensation ✓", IF(AND(AD90="Pending", Q90='G-7 WaterC'' Data'!$G$4),"Bespoke compensation must be agreed ▲", IF((Z90+AA90)&gt;=U90,0, U90-Z90-AA90))))),"Check Data ⚠")</f>
        <v/>
      </c>
      <c r="AD90" s="403"/>
      <c r="AE90" s="109"/>
      <c r="AF90" s="108"/>
      <c r="AG90" s="108"/>
      <c r="AH90" s="108"/>
      <c r="AI90" s="54" t="str">
        <f>IF(OR(Q90="",AD90="Yes"),"",IF(Q90='G-1 All Habitats'!$X$9,E90-Y90-X90,"None"))</f>
        <v/>
      </c>
      <c r="AJ90" s="55" t="str">
        <f>IF(Q90="","", IF(Q90='G-1 All Habitats'!$X$9, AI90*G90*I90*L90*N90*P90,"None"))</f>
        <v/>
      </c>
      <c r="AK90" s="30" t="str">
        <f>IFERROR(INDEX('G-7 WaterC'' Data'!$AZ$3:$AZ$7,MATCH(D90,'G-7 WaterC'' Data'!$AY$3:$AY$7,0)),"")</f>
        <v/>
      </c>
      <c r="AL90" s="30">
        <f t="shared" si="19"/>
        <v>0</v>
      </c>
      <c r="AM90" s="111" t="str">
        <f t="shared" si="20"/>
        <v/>
      </c>
      <c r="AN90" s="111" t="str">
        <f t="shared" si="21"/>
        <v/>
      </c>
      <c r="AP90" s="111">
        <v>81</v>
      </c>
      <c r="AR90" s="111" t="str">
        <f t="array" ref="AR90">IFERROR(INDEX($AP$10:$AP$258, MATCH(0, IF(TRUE=$AM$10:$AM$258, COUNTIF($AR$9:$AR89, $AP$10:$AP$258), ""), 0)),"")</f>
        <v/>
      </c>
      <c r="AS90" s="111" t="str">
        <f t="array" ref="AS90">IFERROR(INDEX($AP$10:$AP$258, MATCH(0, IF(TRUE=$AN$10:$AN$258, COUNTIF($AS$9:$AS89, $AP$10:$AP$258), ""), 0)),"")</f>
        <v/>
      </c>
      <c r="AT90" s="903" t="str">
        <f>IF(AND(OR(AD90="Yes",AD90="Pending"),Q90='G-7 WaterC'' Data'!$G$4),U90-AA90-Z90,"0")</f>
        <v>0</v>
      </c>
      <c r="AU90" s="30" t="str">
        <f>IF(D90="","",VLOOKUP(D90,'G-7 WaterC'' Data'!B$4:M$8,12,FALSE))</f>
        <v/>
      </c>
      <c r="AV90" s="30" t="str">
        <f t="shared" si="12"/>
        <v/>
      </c>
      <c r="AW90" s="30" t="str">
        <f t="shared" si="22"/>
        <v>No</v>
      </c>
      <c r="BA90" s="571" t="str">
        <f t="shared" si="23"/>
        <v/>
      </c>
    </row>
    <row r="91" spans="3:53" ht="14.4" thickBot="1" x14ac:dyDescent="0.3">
      <c r="C91" s="101">
        <v>82</v>
      </c>
      <c r="D91" s="269"/>
      <c r="E91" s="108"/>
      <c r="F91" s="281" t="str">
        <f>IF(D91="","",VLOOKUP(D91,'G-7 WaterC'' Data'!$B$2:$G$8,2,FALSE))</f>
        <v/>
      </c>
      <c r="G91" s="320" t="str">
        <f>IFERROR(VLOOKUP(F91,'G-7 WaterC'' Data'!$C$4:$D$8,2,FALSE),"")</f>
        <v/>
      </c>
      <c r="H91" s="109"/>
      <c r="I91" s="305" t="str">
        <f>IFERROR(INDEX('G-7 WaterC'' Data'!$H$4:$L$8,MATCH(D91,'G-7 WaterC'' Data'!$B$4:$B$8,0),MATCH(H91,'G-7 WaterC'' Data'!$H$3:$L$3,0)),"")</f>
        <v/>
      </c>
      <c r="J91" s="718"/>
      <c r="K91" s="301" t="str">
        <f>IF(J91="","",IF(VLOOKUP(J91,'G-7 WaterC'' Data'!$AK$4:$AM$9,2,FALSE)=0,"Spatial Data Missing ⚠",VLOOKUP(J91,'G-7 WaterC'' Data'!$AK$4:$AM$6,2,FALSE)))</f>
        <v/>
      </c>
      <c r="L91" s="305" t="str">
        <f>IF(J91="","",IF(VLOOKUP(J91,'G-7 WaterC'' Data'!$AK$4:$AM$9,3,FALSE)=0,"Spatial Data Missing ⚠",VLOOKUP(J91,'G-7 WaterC'' Data'!$AK$4:$AM$6,3,FALSE)))</f>
        <v/>
      </c>
      <c r="M91" s="106"/>
      <c r="N91" s="282" t="str">
        <f>IF(M91="","",IF(AND(M91="N/A - Culvert",D91&lt;&gt;"Culvert"),"Not possible ▲",IF(AND(D91="Culvert",M91&lt;&gt;"N/A - Culvert"),"Not possible ▲",IF(VLOOKUP(M91,'G-7 WaterC'' Data'!$AA$4:$AB$7,2,FALSE)=0,"Spatial Data Missing ⚠",VLOOKUP(M91,'G-7 WaterC'' Data'!$AA$4:$AB$7,2,FALSE)))))</f>
        <v/>
      </c>
      <c r="O91" s="56"/>
      <c r="P91" s="282" t="str">
        <f>IF(O91="","",IF(AND(O91="N/A - Culvert",D91&lt;&gt;"Culvert"),"Not possible ▲",IF(AND(D91="Culvert",O91&lt;&gt;"N/A - Culvert"),"Not possible ▲",IF(VLOOKUP(O91,'G-7 WaterC'' Data'!$AD$4:$AE$14,2,FALSE)=0,"Spatial Data Missing ⚠",VLOOKUP(O91,'G-7 WaterC'' Data'!$AD$4:$AE$14,2,FALSE)))))</f>
        <v/>
      </c>
      <c r="Q91" s="288" t="str">
        <f>IF(D91="","",VLOOKUP(D91,'G-7 WaterC'' Data'!$B$4:$G$8,6,FALSE))</f>
        <v/>
      </c>
      <c r="R91" s="295" t="str">
        <f t="shared" si="13"/>
        <v xml:space="preserve"> </v>
      </c>
      <c r="S91" s="403"/>
      <c r="T91" s="287" t="str">
        <f>IF(S91="","",IF(VLOOKUP(S91,'G-7 WaterC'' Data'!$AO$4:$BO$7,2,FALSE)=0,"Spatial Data Missing ⚠",VLOOKUP(S91,'G-7 WaterC'' Data'!$AO$4:$BO$7,2,FALSE)))</f>
        <v/>
      </c>
      <c r="U91" s="295" t="str">
        <f t="shared" si="14"/>
        <v xml:space="preserve"> </v>
      </c>
      <c r="V91" s="710" t="str">
        <f t="shared" si="15"/>
        <v/>
      </c>
      <c r="W91" s="32"/>
      <c r="X91" s="105"/>
      <c r="Y91" s="112"/>
      <c r="Z91" s="293" t="str">
        <f t="shared" si="16"/>
        <v/>
      </c>
      <c r="AA91" s="293" t="str">
        <f t="shared" si="17"/>
        <v/>
      </c>
      <c r="AB91" s="293" t="str">
        <f t="shared" si="18"/>
        <v/>
      </c>
      <c r="AC91" s="507" t="str">
        <f>IFERROR(IF(OR(E91="",R91=""),"", IF(AND(AB91&lt;&gt;"",S91=""), "Spatial risk category missing ▲", IF(AND(Q91='G-7 WaterC'' Data'!$G$4,AD91="Yes"),"Alternative Compensation ✓", IF(AND(AD91="Pending", Q91='G-7 WaterC'' Data'!$G$4),"Bespoke compensation must be agreed ▲", IF((Z91+AA91)&gt;=U91,0, U91-Z91-AA91))))),"Check Data ⚠")</f>
        <v/>
      </c>
      <c r="AD91" s="403"/>
      <c r="AE91" s="109"/>
      <c r="AF91" s="108"/>
      <c r="AG91" s="108"/>
      <c r="AH91" s="108"/>
      <c r="AI91" s="54" t="str">
        <f>IF(OR(Q91="",AD91="Yes"),"",IF(Q91='G-1 All Habitats'!$X$9,E91-Y91-X91,"None"))</f>
        <v/>
      </c>
      <c r="AJ91" s="55" t="str">
        <f>IF(Q91="","", IF(Q91='G-1 All Habitats'!$X$9, AI91*G91*I91*L91*N91*P91,"None"))</f>
        <v/>
      </c>
      <c r="AK91" s="30" t="str">
        <f>IFERROR(INDEX('G-7 WaterC'' Data'!$AZ$3:$AZ$7,MATCH(D91,'G-7 WaterC'' Data'!$AY$3:$AY$7,0)),"")</f>
        <v/>
      </c>
      <c r="AL91" s="30">
        <f t="shared" si="19"/>
        <v>0</v>
      </c>
      <c r="AM91" s="111" t="str">
        <f t="shared" si="20"/>
        <v/>
      </c>
      <c r="AN91" s="111" t="str">
        <f t="shared" si="21"/>
        <v/>
      </c>
      <c r="AP91" s="111">
        <v>82</v>
      </c>
      <c r="AR91" s="111" t="str">
        <f t="array" ref="AR91">IFERROR(INDEX($AP$10:$AP$258, MATCH(0, IF(TRUE=$AM$10:$AM$258, COUNTIF($AR$9:$AR90, $AP$10:$AP$258), ""), 0)),"")</f>
        <v/>
      </c>
      <c r="AS91" s="111" t="str">
        <f t="array" ref="AS91">IFERROR(INDEX($AP$10:$AP$258, MATCH(0, IF(TRUE=$AN$10:$AN$258, COUNTIF($AS$9:$AS90, $AP$10:$AP$258), ""), 0)),"")</f>
        <v/>
      </c>
      <c r="AT91" s="903" t="str">
        <f>IF(AND(OR(AD91="Yes",AD91="Pending"),Q91='G-7 WaterC'' Data'!$G$4),U91-AA91-Z91,"0")</f>
        <v>0</v>
      </c>
      <c r="AU91" s="30" t="str">
        <f>IF(D91="","",VLOOKUP(D91,'G-7 WaterC'' Data'!B$4:M$8,12,FALSE))</f>
        <v/>
      </c>
      <c r="AV91" s="30" t="str">
        <f t="shared" si="12"/>
        <v/>
      </c>
      <c r="AW91" s="30" t="str">
        <f t="shared" si="22"/>
        <v>No</v>
      </c>
      <c r="BA91" s="571" t="str">
        <f t="shared" si="23"/>
        <v/>
      </c>
    </row>
    <row r="92" spans="3:53" ht="14.4" thickBot="1" x14ac:dyDescent="0.3">
      <c r="C92" s="101">
        <v>83</v>
      </c>
      <c r="D92" s="269"/>
      <c r="E92" s="108"/>
      <c r="F92" s="281" t="str">
        <f>IF(D92="","",VLOOKUP(D92,'G-7 WaterC'' Data'!$B$2:$G$8,2,FALSE))</f>
        <v/>
      </c>
      <c r="G92" s="320" t="str">
        <f>IFERROR(VLOOKUP(F92,'G-7 WaterC'' Data'!$C$4:$D$8,2,FALSE),"")</f>
        <v/>
      </c>
      <c r="H92" s="109"/>
      <c r="I92" s="305" t="str">
        <f>IFERROR(INDEX('G-7 WaterC'' Data'!$H$4:$L$8,MATCH(D92,'G-7 WaterC'' Data'!$B$4:$B$8,0),MATCH(H92,'G-7 WaterC'' Data'!$H$3:$L$3,0)),"")</f>
        <v/>
      </c>
      <c r="J92" s="718"/>
      <c r="K92" s="301" t="str">
        <f>IF(J92="","",IF(VLOOKUP(J92,'G-7 WaterC'' Data'!$AK$4:$AM$9,2,FALSE)=0,"Spatial Data Missing ⚠",VLOOKUP(J92,'G-7 WaterC'' Data'!$AK$4:$AM$6,2,FALSE)))</f>
        <v/>
      </c>
      <c r="L92" s="305" t="str">
        <f>IF(J92="","",IF(VLOOKUP(J92,'G-7 WaterC'' Data'!$AK$4:$AM$9,3,FALSE)=0,"Spatial Data Missing ⚠",VLOOKUP(J92,'G-7 WaterC'' Data'!$AK$4:$AM$6,3,FALSE)))</f>
        <v/>
      </c>
      <c r="M92" s="106"/>
      <c r="N92" s="282" t="str">
        <f>IF(M92="","",IF(AND(M92="N/A - Culvert",D92&lt;&gt;"Culvert"),"Not possible ▲",IF(AND(D92="Culvert",M92&lt;&gt;"N/A - Culvert"),"Not possible ▲",IF(VLOOKUP(M92,'G-7 WaterC'' Data'!$AA$4:$AB$7,2,FALSE)=0,"Spatial Data Missing ⚠",VLOOKUP(M92,'G-7 WaterC'' Data'!$AA$4:$AB$7,2,FALSE)))))</f>
        <v/>
      </c>
      <c r="O92" s="56"/>
      <c r="P92" s="282" t="str">
        <f>IF(O92="","",IF(AND(O92="N/A - Culvert",D92&lt;&gt;"Culvert"),"Not possible ▲",IF(AND(D92="Culvert",O92&lt;&gt;"N/A - Culvert"),"Not possible ▲",IF(VLOOKUP(O92,'G-7 WaterC'' Data'!$AD$4:$AE$14,2,FALSE)=0,"Spatial Data Missing ⚠",VLOOKUP(O92,'G-7 WaterC'' Data'!$AD$4:$AE$14,2,FALSE)))))</f>
        <v/>
      </c>
      <c r="Q92" s="288" t="str">
        <f>IF(D92="","",VLOOKUP(D92,'G-7 WaterC'' Data'!$B$4:$G$8,6,FALSE))</f>
        <v/>
      </c>
      <c r="R92" s="295" t="str">
        <f t="shared" si="13"/>
        <v xml:space="preserve"> </v>
      </c>
      <c r="S92" s="403"/>
      <c r="T92" s="287" t="str">
        <f>IF(S92="","",IF(VLOOKUP(S92,'G-7 WaterC'' Data'!$AO$4:$BO$7,2,FALSE)=0,"Spatial Data Missing ⚠",VLOOKUP(S92,'G-7 WaterC'' Data'!$AO$4:$BO$7,2,FALSE)))</f>
        <v/>
      </c>
      <c r="U92" s="295" t="str">
        <f t="shared" si="14"/>
        <v xml:space="preserve"> </v>
      </c>
      <c r="V92" s="710" t="str">
        <f t="shared" si="15"/>
        <v/>
      </c>
      <c r="W92" s="32"/>
      <c r="X92" s="105"/>
      <c r="Y92" s="112"/>
      <c r="Z92" s="293" t="str">
        <f t="shared" si="16"/>
        <v/>
      </c>
      <c r="AA92" s="293" t="str">
        <f t="shared" si="17"/>
        <v/>
      </c>
      <c r="AB92" s="293" t="str">
        <f t="shared" si="18"/>
        <v/>
      </c>
      <c r="AC92" s="507" t="str">
        <f>IFERROR(IF(OR(E92="",R92=""),"", IF(AND(AB92&lt;&gt;"",S92=""), "Spatial risk category missing ▲", IF(AND(Q92='G-7 WaterC'' Data'!$G$4,AD92="Yes"),"Alternative Compensation ✓", IF(AND(AD92="Pending", Q92='G-7 WaterC'' Data'!$G$4),"Bespoke compensation must be agreed ▲", IF((Z92+AA92)&gt;=U92,0, U92-Z92-AA92))))),"Check Data ⚠")</f>
        <v/>
      </c>
      <c r="AD92" s="403"/>
      <c r="AE92" s="109"/>
      <c r="AF92" s="108"/>
      <c r="AG92" s="108"/>
      <c r="AH92" s="108"/>
      <c r="AI92" s="54" t="str">
        <f>IF(OR(Q92="",AD92="Yes"),"",IF(Q92='G-1 All Habitats'!$X$9,E92-Y92-X92,"None"))</f>
        <v/>
      </c>
      <c r="AJ92" s="55" t="str">
        <f>IF(Q92="","", IF(Q92='G-1 All Habitats'!$X$9, AI92*G92*I92*L92*N92*P92,"None"))</f>
        <v/>
      </c>
      <c r="AK92" s="30" t="str">
        <f>IFERROR(INDEX('G-7 WaterC'' Data'!$AZ$3:$AZ$7,MATCH(D92,'G-7 WaterC'' Data'!$AY$3:$AY$7,0)),"")</f>
        <v/>
      </c>
      <c r="AL92" s="30">
        <f t="shared" si="19"/>
        <v>0</v>
      </c>
      <c r="AM92" s="111" t="str">
        <f t="shared" si="20"/>
        <v/>
      </c>
      <c r="AN92" s="111" t="str">
        <f t="shared" si="21"/>
        <v/>
      </c>
      <c r="AP92" s="111">
        <v>83</v>
      </c>
      <c r="AR92" s="111" t="str">
        <f t="array" ref="AR92">IFERROR(INDEX($AP$10:$AP$258, MATCH(0, IF(TRUE=$AM$10:$AM$258, COUNTIF($AR$9:$AR91, $AP$10:$AP$258), ""), 0)),"")</f>
        <v/>
      </c>
      <c r="AS92" s="111" t="str">
        <f t="array" ref="AS92">IFERROR(INDEX($AP$10:$AP$258, MATCH(0, IF(TRUE=$AN$10:$AN$258, COUNTIF($AS$9:$AS91, $AP$10:$AP$258), ""), 0)),"")</f>
        <v/>
      </c>
      <c r="AT92" s="903" t="str">
        <f>IF(AND(OR(AD92="Yes",AD92="Pending"),Q92='G-7 WaterC'' Data'!$G$4),U92-AA92-Z92,"0")</f>
        <v>0</v>
      </c>
      <c r="AU92" s="30" t="str">
        <f>IF(D92="","",VLOOKUP(D92,'G-7 WaterC'' Data'!B$4:M$8,12,FALSE))</f>
        <v/>
      </c>
      <c r="AV92" s="30" t="str">
        <f t="shared" si="12"/>
        <v/>
      </c>
      <c r="AW92" s="30" t="str">
        <f t="shared" si="22"/>
        <v>No</v>
      </c>
      <c r="BA92" s="571" t="str">
        <f t="shared" si="23"/>
        <v/>
      </c>
    </row>
    <row r="93" spans="3:53" ht="14.4" thickBot="1" x14ac:dyDescent="0.3">
      <c r="C93" s="101">
        <v>84</v>
      </c>
      <c r="D93" s="269"/>
      <c r="E93" s="108"/>
      <c r="F93" s="281" t="str">
        <f>IF(D93="","",VLOOKUP(D93,'G-7 WaterC'' Data'!$B$2:$G$8,2,FALSE))</f>
        <v/>
      </c>
      <c r="G93" s="320" t="str">
        <f>IFERROR(VLOOKUP(F93,'G-7 WaterC'' Data'!$C$4:$D$8,2,FALSE),"")</f>
        <v/>
      </c>
      <c r="H93" s="109"/>
      <c r="I93" s="305" t="str">
        <f>IFERROR(INDEX('G-7 WaterC'' Data'!$H$4:$L$8,MATCH(D93,'G-7 WaterC'' Data'!$B$4:$B$8,0),MATCH(H93,'G-7 WaterC'' Data'!$H$3:$L$3,0)),"")</f>
        <v/>
      </c>
      <c r="J93" s="718"/>
      <c r="K93" s="301" t="str">
        <f>IF(J93="","",IF(VLOOKUP(J93,'G-7 WaterC'' Data'!$AK$4:$AM$9,2,FALSE)=0,"Spatial Data Missing ⚠",VLOOKUP(J93,'G-7 WaterC'' Data'!$AK$4:$AM$6,2,FALSE)))</f>
        <v/>
      </c>
      <c r="L93" s="305" t="str">
        <f>IF(J93="","",IF(VLOOKUP(J93,'G-7 WaterC'' Data'!$AK$4:$AM$9,3,FALSE)=0,"Spatial Data Missing ⚠",VLOOKUP(J93,'G-7 WaterC'' Data'!$AK$4:$AM$6,3,FALSE)))</f>
        <v/>
      </c>
      <c r="M93" s="106"/>
      <c r="N93" s="282" t="str">
        <f>IF(M93="","",IF(AND(M93="N/A - Culvert",D93&lt;&gt;"Culvert"),"Not possible ▲",IF(AND(D93="Culvert",M93&lt;&gt;"N/A - Culvert"),"Not possible ▲",IF(VLOOKUP(M93,'G-7 WaterC'' Data'!$AA$4:$AB$7,2,FALSE)=0,"Spatial Data Missing ⚠",VLOOKUP(M93,'G-7 WaterC'' Data'!$AA$4:$AB$7,2,FALSE)))))</f>
        <v/>
      </c>
      <c r="O93" s="56"/>
      <c r="P93" s="282" t="str">
        <f>IF(O93="","",IF(AND(O93="N/A - Culvert",D93&lt;&gt;"Culvert"),"Not possible ▲",IF(AND(D93="Culvert",O93&lt;&gt;"N/A - Culvert"),"Not possible ▲",IF(VLOOKUP(O93,'G-7 WaterC'' Data'!$AD$4:$AE$14,2,FALSE)=0,"Spatial Data Missing ⚠",VLOOKUP(O93,'G-7 WaterC'' Data'!$AD$4:$AE$14,2,FALSE)))))</f>
        <v/>
      </c>
      <c r="Q93" s="288" t="str">
        <f>IF(D93="","",VLOOKUP(D93,'G-7 WaterC'' Data'!$B$4:$G$8,6,FALSE))</f>
        <v/>
      </c>
      <c r="R93" s="295" t="str">
        <f t="shared" si="13"/>
        <v xml:space="preserve"> </v>
      </c>
      <c r="S93" s="403"/>
      <c r="T93" s="287" t="str">
        <f>IF(S93="","",IF(VLOOKUP(S93,'G-7 WaterC'' Data'!$AO$4:$BO$7,2,FALSE)=0,"Spatial Data Missing ⚠",VLOOKUP(S93,'G-7 WaterC'' Data'!$AO$4:$BO$7,2,FALSE)))</f>
        <v/>
      </c>
      <c r="U93" s="295" t="str">
        <f t="shared" si="14"/>
        <v xml:space="preserve"> </v>
      </c>
      <c r="V93" s="710" t="str">
        <f t="shared" si="15"/>
        <v/>
      </c>
      <c r="W93" s="32"/>
      <c r="X93" s="105"/>
      <c r="Y93" s="112"/>
      <c r="Z93" s="293" t="str">
        <f t="shared" si="16"/>
        <v/>
      </c>
      <c r="AA93" s="293" t="str">
        <f t="shared" si="17"/>
        <v/>
      </c>
      <c r="AB93" s="293" t="str">
        <f t="shared" si="18"/>
        <v/>
      </c>
      <c r="AC93" s="507" t="str">
        <f>IFERROR(IF(OR(E93="",R93=""),"", IF(AND(AB93&lt;&gt;"",S93=""), "Spatial risk category missing ▲", IF(AND(Q93='G-7 WaterC'' Data'!$G$4,AD93="Yes"),"Alternative Compensation ✓", IF(AND(AD93="Pending", Q93='G-7 WaterC'' Data'!$G$4),"Bespoke compensation must be agreed ▲", IF((Z93+AA93)&gt;=U93,0, U93-Z93-AA93))))),"Check Data ⚠")</f>
        <v/>
      </c>
      <c r="AD93" s="403"/>
      <c r="AE93" s="109"/>
      <c r="AF93" s="108"/>
      <c r="AG93" s="108"/>
      <c r="AH93" s="108"/>
      <c r="AI93" s="54" t="str">
        <f>IF(OR(Q93="",AD93="Yes"),"",IF(Q93='G-1 All Habitats'!$X$9,E93-Y93-X93,"None"))</f>
        <v/>
      </c>
      <c r="AJ93" s="55" t="str">
        <f>IF(Q93="","", IF(Q93='G-1 All Habitats'!$X$9, AI93*G93*I93*L93*N93*P93,"None"))</f>
        <v/>
      </c>
      <c r="AK93" s="30" t="str">
        <f>IFERROR(INDEX('G-7 WaterC'' Data'!$AZ$3:$AZ$7,MATCH(D93,'G-7 WaterC'' Data'!$AY$3:$AY$7,0)),"")</f>
        <v/>
      </c>
      <c r="AL93" s="30">
        <f t="shared" si="19"/>
        <v>0</v>
      </c>
      <c r="AM93" s="111" t="str">
        <f t="shared" si="20"/>
        <v/>
      </c>
      <c r="AN93" s="111" t="str">
        <f t="shared" si="21"/>
        <v/>
      </c>
      <c r="AP93" s="111">
        <v>84</v>
      </c>
      <c r="AR93" s="111" t="str">
        <f t="array" ref="AR93">IFERROR(INDEX($AP$10:$AP$258, MATCH(0, IF(TRUE=$AM$10:$AM$258, COUNTIF($AR$9:$AR92, $AP$10:$AP$258), ""), 0)),"")</f>
        <v/>
      </c>
      <c r="AS93" s="111" t="str">
        <f t="array" ref="AS93">IFERROR(INDEX($AP$10:$AP$258, MATCH(0, IF(TRUE=$AN$10:$AN$258, COUNTIF($AS$9:$AS92, $AP$10:$AP$258), ""), 0)),"")</f>
        <v/>
      </c>
      <c r="AT93" s="903" t="str">
        <f>IF(AND(OR(AD93="Yes",AD93="Pending"),Q93='G-7 WaterC'' Data'!$G$4),U93-AA93-Z93,"0")</f>
        <v>0</v>
      </c>
      <c r="AU93" s="30" t="str">
        <f>IF(D93="","",VLOOKUP(D93,'G-7 WaterC'' Data'!B$4:M$8,12,FALSE))</f>
        <v/>
      </c>
      <c r="AV93" s="30" t="str">
        <f t="shared" si="12"/>
        <v/>
      </c>
      <c r="AW93" s="30" t="str">
        <f t="shared" si="22"/>
        <v>No</v>
      </c>
      <c r="BA93" s="571" t="str">
        <f t="shared" si="23"/>
        <v/>
      </c>
    </row>
    <row r="94" spans="3:53" ht="14.4" thickBot="1" x14ac:dyDescent="0.3">
      <c r="C94" s="101">
        <v>85</v>
      </c>
      <c r="D94" s="269"/>
      <c r="E94" s="108"/>
      <c r="F94" s="281" t="str">
        <f>IF(D94="","",VLOOKUP(D94,'G-7 WaterC'' Data'!$B$2:$G$8,2,FALSE))</f>
        <v/>
      </c>
      <c r="G94" s="320" t="str">
        <f>IFERROR(VLOOKUP(F94,'G-7 WaterC'' Data'!$C$4:$D$8,2,FALSE),"")</f>
        <v/>
      </c>
      <c r="H94" s="109"/>
      <c r="I94" s="305" t="str">
        <f>IFERROR(INDEX('G-7 WaterC'' Data'!$H$4:$L$8,MATCH(D94,'G-7 WaterC'' Data'!$B$4:$B$8,0),MATCH(H94,'G-7 WaterC'' Data'!$H$3:$L$3,0)),"")</f>
        <v/>
      </c>
      <c r="J94" s="718"/>
      <c r="K94" s="301" t="str">
        <f>IF(J94="","",IF(VLOOKUP(J94,'G-7 WaterC'' Data'!$AK$4:$AM$9,2,FALSE)=0,"Spatial Data Missing ⚠",VLOOKUP(J94,'G-7 WaterC'' Data'!$AK$4:$AM$6,2,FALSE)))</f>
        <v/>
      </c>
      <c r="L94" s="305" t="str">
        <f>IF(J94="","",IF(VLOOKUP(J94,'G-7 WaterC'' Data'!$AK$4:$AM$9,3,FALSE)=0,"Spatial Data Missing ⚠",VLOOKUP(J94,'G-7 WaterC'' Data'!$AK$4:$AM$6,3,FALSE)))</f>
        <v/>
      </c>
      <c r="M94" s="106"/>
      <c r="N94" s="282" t="str">
        <f>IF(M94="","",IF(AND(M94="N/A - Culvert",D94&lt;&gt;"Culvert"),"Not possible ▲",IF(AND(D94="Culvert",M94&lt;&gt;"N/A - Culvert"),"Not possible ▲",IF(VLOOKUP(M94,'G-7 WaterC'' Data'!$AA$4:$AB$7,2,FALSE)=0,"Spatial Data Missing ⚠",VLOOKUP(M94,'G-7 WaterC'' Data'!$AA$4:$AB$7,2,FALSE)))))</f>
        <v/>
      </c>
      <c r="O94" s="56"/>
      <c r="P94" s="282" t="str">
        <f>IF(O94="","",IF(AND(O94="N/A - Culvert",D94&lt;&gt;"Culvert"),"Not possible ▲",IF(AND(D94="Culvert",O94&lt;&gt;"N/A - Culvert"),"Not possible ▲",IF(VLOOKUP(O94,'G-7 WaterC'' Data'!$AD$4:$AE$14,2,FALSE)=0,"Spatial Data Missing ⚠",VLOOKUP(O94,'G-7 WaterC'' Data'!$AD$4:$AE$14,2,FALSE)))))</f>
        <v/>
      </c>
      <c r="Q94" s="288" t="str">
        <f>IF(D94="","",VLOOKUP(D94,'G-7 WaterC'' Data'!$B$4:$G$8,6,FALSE))</f>
        <v/>
      </c>
      <c r="R94" s="295" t="str">
        <f t="shared" si="13"/>
        <v xml:space="preserve"> </v>
      </c>
      <c r="S94" s="403"/>
      <c r="T94" s="287" t="str">
        <f>IF(S94="","",IF(VLOOKUP(S94,'G-7 WaterC'' Data'!$AO$4:$BO$7,2,FALSE)=0,"Spatial Data Missing ⚠",VLOOKUP(S94,'G-7 WaterC'' Data'!$AO$4:$BO$7,2,FALSE)))</f>
        <v/>
      </c>
      <c r="U94" s="295" t="str">
        <f t="shared" si="14"/>
        <v xml:space="preserve"> </v>
      </c>
      <c r="V94" s="710" t="str">
        <f t="shared" si="15"/>
        <v/>
      </c>
      <c r="W94" s="32"/>
      <c r="X94" s="105"/>
      <c r="Y94" s="112"/>
      <c r="Z94" s="293" t="str">
        <f t="shared" si="16"/>
        <v/>
      </c>
      <c r="AA94" s="293" t="str">
        <f t="shared" si="17"/>
        <v/>
      </c>
      <c r="AB94" s="293" t="str">
        <f t="shared" si="18"/>
        <v/>
      </c>
      <c r="AC94" s="507" t="str">
        <f>IFERROR(IF(OR(E94="",R94=""),"", IF(AND(AB94&lt;&gt;"",S94=""), "Spatial risk category missing ▲", IF(AND(Q94='G-7 WaterC'' Data'!$G$4,AD94="Yes"),"Alternative Compensation ✓", IF(AND(AD94="Pending", Q94='G-7 WaterC'' Data'!$G$4),"Bespoke compensation must be agreed ▲", IF((Z94+AA94)&gt;=U94,0, U94-Z94-AA94))))),"Check Data ⚠")</f>
        <v/>
      </c>
      <c r="AD94" s="403"/>
      <c r="AE94" s="109"/>
      <c r="AF94" s="108"/>
      <c r="AG94" s="108"/>
      <c r="AH94" s="108"/>
      <c r="AI94" s="54" t="str">
        <f>IF(OR(Q94="",AD94="Yes"),"",IF(Q94='G-1 All Habitats'!$X$9,E94-Y94-X94,"None"))</f>
        <v/>
      </c>
      <c r="AJ94" s="55" t="str">
        <f>IF(Q94="","", IF(Q94='G-1 All Habitats'!$X$9, AI94*G94*I94*L94*N94*P94,"None"))</f>
        <v/>
      </c>
      <c r="AK94" s="30" t="str">
        <f>IFERROR(INDEX('G-7 WaterC'' Data'!$AZ$3:$AZ$7,MATCH(D94,'G-7 WaterC'' Data'!$AY$3:$AY$7,0)),"")</f>
        <v/>
      </c>
      <c r="AL94" s="30">
        <f t="shared" si="19"/>
        <v>0</v>
      </c>
      <c r="AM94" s="111" t="str">
        <f t="shared" si="20"/>
        <v/>
      </c>
      <c r="AN94" s="111" t="str">
        <f t="shared" si="21"/>
        <v/>
      </c>
      <c r="AP94" s="111">
        <v>85</v>
      </c>
      <c r="AR94" s="111" t="str">
        <f t="array" ref="AR94">IFERROR(INDEX($AP$10:$AP$258, MATCH(0, IF(TRUE=$AM$10:$AM$258, COUNTIF($AR$9:$AR93, $AP$10:$AP$258), ""), 0)),"")</f>
        <v/>
      </c>
      <c r="AS94" s="111" t="str">
        <f t="array" ref="AS94">IFERROR(INDEX($AP$10:$AP$258, MATCH(0, IF(TRUE=$AN$10:$AN$258, COUNTIF($AS$9:$AS93, $AP$10:$AP$258), ""), 0)),"")</f>
        <v/>
      </c>
      <c r="AT94" s="903" t="str">
        <f>IF(AND(OR(AD94="Yes",AD94="Pending"),Q94='G-7 WaterC'' Data'!$G$4),U94-AA94-Z94,"0")</f>
        <v>0</v>
      </c>
      <c r="AU94" s="30" t="str">
        <f>IF(D94="","",VLOOKUP(D94,'G-7 WaterC'' Data'!B$4:M$8,12,FALSE))</f>
        <v/>
      </c>
      <c r="AV94" s="30" t="str">
        <f t="shared" si="12"/>
        <v/>
      </c>
      <c r="AW94" s="30" t="str">
        <f t="shared" si="22"/>
        <v>No</v>
      </c>
      <c r="BA94" s="571" t="str">
        <f t="shared" si="23"/>
        <v/>
      </c>
    </row>
    <row r="95" spans="3:53" ht="14.4" thickBot="1" x14ac:dyDescent="0.3">
      <c r="C95" s="101">
        <v>86</v>
      </c>
      <c r="D95" s="269"/>
      <c r="E95" s="108"/>
      <c r="F95" s="281" t="str">
        <f>IF(D95="","",VLOOKUP(D95,'G-7 WaterC'' Data'!$B$2:$G$8,2,FALSE))</f>
        <v/>
      </c>
      <c r="G95" s="320" t="str">
        <f>IFERROR(VLOOKUP(F95,'G-7 WaterC'' Data'!$C$4:$D$8,2,FALSE),"")</f>
        <v/>
      </c>
      <c r="H95" s="109"/>
      <c r="I95" s="305" t="str">
        <f>IFERROR(INDEX('G-7 WaterC'' Data'!$H$4:$L$8,MATCH(D95,'G-7 WaterC'' Data'!$B$4:$B$8,0),MATCH(H95,'G-7 WaterC'' Data'!$H$3:$L$3,0)),"")</f>
        <v/>
      </c>
      <c r="J95" s="718"/>
      <c r="K95" s="301" t="str">
        <f>IF(J95="","",IF(VLOOKUP(J95,'G-7 WaterC'' Data'!$AK$4:$AM$9,2,FALSE)=0,"Spatial Data Missing ⚠",VLOOKUP(J95,'G-7 WaterC'' Data'!$AK$4:$AM$6,2,FALSE)))</f>
        <v/>
      </c>
      <c r="L95" s="305" t="str">
        <f>IF(J95="","",IF(VLOOKUP(J95,'G-7 WaterC'' Data'!$AK$4:$AM$9,3,FALSE)=0,"Spatial Data Missing ⚠",VLOOKUP(J95,'G-7 WaterC'' Data'!$AK$4:$AM$6,3,FALSE)))</f>
        <v/>
      </c>
      <c r="M95" s="106"/>
      <c r="N95" s="282" t="str">
        <f>IF(M95="","",IF(AND(M95="N/A - Culvert",D95&lt;&gt;"Culvert"),"Not possible ▲",IF(AND(D95="Culvert",M95&lt;&gt;"N/A - Culvert"),"Not possible ▲",IF(VLOOKUP(M95,'G-7 WaterC'' Data'!$AA$4:$AB$7,2,FALSE)=0,"Spatial Data Missing ⚠",VLOOKUP(M95,'G-7 WaterC'' Data'!$AA$4:$AB$7,2,FALSE)))))</f>
        <v/>
      </c>
      <c r="O95" s="56"/>
      <c r="P95" s="282" t="str">
        <f>IF(O95="","",IF(AND(O95="N/A - Culvert",D95&lt;&gt;"Culvert"),"Not possible ▲",IF(AND(D95="Culvert",O95&lt;&gt;"N/A - Culvert"),"Not possible ▲",IF(VLOOKUP(O95,'G-7 WaterC'' Data'!$AD$4:$AE$14,2,FALSE)=0,"Spatial Data Missing ⚠",VLOOKUP(O95,'G-7 WaterC'' Data'!$AD$4:$AE$14,2,FALSE)))))</f>
        <v/>
      </c>
      <c r="Q95" s="288" t="str">
        <f>IF(D95="","",VLOOKUP(D95,'G-7 WaterC'' Data'!$B$4:$G$8,6,FALSE))</f>
        <v/>
      </c>
      <c r="R95" s="295" t="str">
        <f t="shared" si="13"/>
        <v xml:space="preserve"> </v>
      </c>
      <c r="S95" s="403"/>
      <c r="T95" s="287" t="str">
        <f>IF(S95="","",IF(VLOOKUP(S95,'G-7 WaterC'' Data'!$AO$4:$BO$7,2,FALSE)=0,"Spatial Data Missing ⚠",VLOOKUP(S95,'G-7 WaterC'' Data'!$AO$4:$BO$7,2,FALSE)))</f>
        <v/>
      </c>
      <c r="U95" s="295" t="str">
        <f t="shared" si="14"/>
        <v xml:space="preserve"> </v>
      </c>
      <c r="V95" s="710" t="str">
        <f t="shared" si="15"/>
        <v/>
      </c>
      <c r="W95" s="32"/>
      <c r="X95" s="105"/>
      <c r="Y95" s="112"/>
      <c r="Z95" s="293" t="str">
        <f t="shared" si="16"/>
        <v/>
      </c>
      <c r="AA95" s="293" t="str">
        <f t="shared" si="17"/>
        <v/>
      </c>
      <c r="AB95" s="293" t="str">
        <f t="shared" si="18"/>
        <v/>
      </c>
      <c r="AC95" s="507" t="str">
        <f>IFERROR(IF(OR(E95="",R95=""),"", IF(AND(AB95&lt;&gt;"",S95=""), "Spatial risk category missing ▲", IF(AND(Q95='G-7 WaterC'' Data'!$G$4,AD95="Yes"),"Alternative Compensation ✓", IF(AND(AD95="Pending", Q95='G-7 WaterC'' Data'!$G$4),"Bespoke compensation must be agreed ▲", IF((Z95+AA95)&gt;=U95,0, U95-Z95-AA95))))),"Check Data ⚠")</f>
        <v/>
      </c>
      <c r="AD95" s="403"/>
      <c r="AE95" s="109"/>
      <c r="AF95" s="108"/>
      <c r="AG95" s="108"/>
      <c r="AH95" s="108"/>
      <c r="AI95" s="54" t="str">
        <f>IF(OR(Q95="",AD95="Yes"),"",IF(Q95='G-1 All Habitats'!$X$9,E95-Y95-X95,"None"))</f>
        <v/>
      </c>
      <c r="AJ95" s="55" t="str">
        <f>IF(Q95="","", IF(Q95='G-1 All Habitats'!$X$9, AI95*G95*I95*L95*N95*P95,"None"))</f>
        <v/>
      </c>
      <c r="AK95" s="30" t="str">
        <f>IFERROR(INDEX('G-7 WaterC'' Data'!$AZ$3:$AZ$7,MATCH(D95,'G-7 WaterC'' Data'!$AY$3:$AY$7,0)),"")</f>
        <v/>
      </c>
      <c r="AL95" s="30">
        <f t="shared" si="19"/>
        <v>0</v>
      </c>
      <c r="AM95" s="111" t="str">
        <f t="shared" si="20"/>
        <v/>
      </c>
      <c r="AN95" s="111" t="str">
        <f t="shared" si="21"/>
        <v/>
      </c>
      <c r="AP95" s="111">
        <v>86</v>
      </c>
      <c r="AR95" s="111" t="str">
        <f t="array" ref="AR95">IFERROR(INDEX($AP$10:$AP$258, MATCH(0, IF(TRUE=$AM$10:$AM$258, COUNTIF($AR$9:$AR94, $AP$10:$AP$258), ""), 0)),"")</f>
        <v/>
      </c>
      <c r="AS95" s="111" t="str">
        <f t="array" ref="AS95">IFERROR(INDEX($AP$10:$AP$258, MATCH(0, IF(TRUE=$AN$10:$AN$258, COUNTIF($AS$9:$AS94, $AP$10:$AP$258), ""), 0)),"")</f>
        <v/>
      </c>
      <c r="AT95" s="903" t="str">
        <f>IF(AND(OR(AD95="Yes",AD95="Pending"),Q95='G-7 WaterC'' Data'!$G$4),U95-AA95-Z95,"0")</f>
        <v>0</v>
      </c>
      <c r="AU95" s="30" t="str">
        <f>IF(D95="","",VLOOKUP(D95,'G-7 WaterC'' Data'!B$4:M$8,12,FALSE))</f>
        <v/>
      </c>
      <c r="AV95" s="30" t="str">
        <f t="shared" si="12"/>
        <v/>
      </c>
      <c r="AW95" s="30" t="str">
        <f t="shared" si="22"/>
        <v>No</v>
      </c>
      <c r="BA95" s="571" t="str">
        <f t="shared" si="23"/>
        <v/>
      </c>
    </row>
    <row r="96" spans="3:53" ht="14.4" thickBot="1" x14ac:dyDescent="0.3">
      <c r="C96" s="101">
        <v>87</v>
      </c>
      <c r="D96" s="269"/>
      <c r="E96" s="108"/>
      <c r="F96" s="281" t="str">
        <f>IF(D96="","",VLOOKUP(D96,'G-7 WaterC'' Data'!$B$2:$G$8,2,FALSE))</f>
        <v/>
      </c>
      <c r="G96" s="320" t="str">
        <f>IFERROR(VLOOKUP(F96,'G-7 WaterC'' Data'!$C$4:$D$8,2,FALSE),"")</f>
        <v/>
      </c>
      <c r="H96" s="109"/>
      <c r="I96" s="305" t="str">
        <f>IFERROR(INDEX('G-7 WaterC'' Data'!$H$4:$L$8,MATCH(D96,'G-7 WaterC'' Data'!$B$4:$B$8,0),MATCH(H96,'G-7 WaterC'' Data'!$H$3:$L$3,0)),"")</f>
        <v/>
      </c>
      <c r="J96" s="718"/>
      <c r="K96" s="301" t="str">
        <f>IF(J96="","",IF(VLOOKUP(J96,'G-7 WaterC'' Data'!$AK$4:$AM$9,2,FALSE)=0,"Spatial Data Missing ⚠",VLOOKUP(J96,'G-7 WaterC'' Data'!$AK$4:$AM$6,2,FALSE)))</f>
        <v/>
      </c>
      <c r="L96" s="305" t="str">
        <f>IF(J96="","",IF(VLOOKUP(J96,'G-7 WaterC'' Data'!$AK$4:$AM$9,3,FALSE)=0,"Spatial Data Missing ⚠",VLOOKUP(J96,'G-7 WaterC'' Data'!$AK$4:$AM$6,3,FALSE)))</f>
        <v/>
      </c>
      <c r="M96" s="106"/>
      <c r="N96" s="282" t="str">
        <f>IF(M96="","",IF(AND(M96="N/A - Culvert",D96&lt;&gt;"Culvert"),"Not possible ▲",IF(AND(D96="Culvert",M96&lt;&gt;"N/A - Culvert"),"Not possible ▲",IF(VLOOKUP(M96,'G-7 WaterC'' Data'!$AA$4:$AB$7,2,FALSE)=0,"Spatial Data Missing ⚠",VLOOKUP(M96,'G-7 WaterC'' Data'!$AA$4:$AB$7,2,FALSE)))))</f>
        <v/>
      </c>
      <c r="O96" s="56"/>
      <c r="P96" s="282" t="str">
        <f>IF(O96="","",IF(AND(O96="N/A - Culvert",D96&lt;&gt;"Culvert"),"Not possible ▲",IF(AND(D96="Culvert",O96&lt;&gt;"N/A - Culvert"),"Not possible ▲",IF(VLOOKUP(O96,'G-7 WaterC'' Data'!$AD$4:$AE$14,2,FALSE)=0,"Spatial Data Missing ⚠",VLOOKUP(O96,'G-7 WaterC'' Data'!$AD$4:$AE$14,2,FALSE)))))</f>
        <v/>
      </c>
      <c r="Q96" s="288" t="str">
        <f>IF(D96="","",VLOOKUP(D96,'G-7 WaterC'' Data'!$B$4:$G$8,6,FALSE))</f>
        <v/>
      </c>
      <c r="R96" s="295" t="str">
        <f t="shared" si="13"/>
        <v xml:space="preserve"> </v>
      </c>
      <c r="S96" s="403"/>
      <c r="T96" s="287" t="str">
        <f>IF(S96="","",IF(VLOOKUP(S96,'G-7 WaterC'' Data'!$AO$4:$BO$7,2,FALSE)=0,"Spatial Data Missing ⚠",VLOOKUP(S96,'G-7 WaterC'' Data'!$AO$4:$BO$7,2,FALSE)))</f>
        <v/>
      </c>
      <c r="U96" s="295" t="str">
        <f t="shared" si="14"/>
        <v xml:space="preserve"> </v>
      </c>
      <c r="V96" s="710" t="str">
        <f t="shared" si="15"/>
        <v/>
      </c>
      <c r="W96" s="32"/>
      <c r="X96" s="105"/>
      <c r="Y96" s="112"/>
      <c r="Z96" s="293" t="str">
        <f t="shared" si="16"/>
        <v/>
      </c>
      <c r="AA96" s="293" t="str">
        <f t="shared" si="17"/>
        <v/>
      </c>
      <c r="AB96" s="293" t="str">
        <f t="shared" si="18"/>
        <v/>
      </c>
      <c r="AC96" s="507" t="str">
        <f>IFERROR(IF(OR(E96="",R96=""),"", IF(AND(AB96&lt;&gt;"",S96=""), "Spatial risk category missing ▲", IF(AND(Q96='G-7 WaterC'' Data'!$G$4,AD96="Yes"),"Alternative Compensation ✓", IF(AND(AD96="Pending", Q96='G-7 WaterC'' Data'!$G$4),"Bespoke compensation must be agreed ▲", IF((Z96+AA96)&gt;=U96,0, U96-Z96-AA96))))),"Check Data ⚠")</f>
        <v/>
      </c>
      <c r="AD96" s="403"/>
      <c r="AE96" s="109"/>
      <c r="AF96" s="108"/>
      <c r="AG96" s="108"/>
      <c r="AH96" s="108"/>
      <c r="AI96" s="54" t="str">
        <f>IF(OR(Q96="",AD96="Yes"),"",IF(Q96='G-1 All Habitats'!$X$9,E96-Y96-X96,"None"))</f>
        <v/>
      </c>
      <c r="AJ96" s="55" t="str">
        <f>IF(Q96="","", IF(Q96='G-1 All Habitats'!$X$9, AI96*G96*I96*L96*N96*P96,"None"))</f>
        <v/>
      </c>
      <c r="AK96" s="30" t="str">
        <f>IFERROR(INDEX('G-7 WaterC'' Data'!$AZ$3:$AZ$7,MATCH(D96,'G-7 WaterC'' Data'!$AY$3:$AY$7,0)),"")</f>
        <v/>
      </c>
      <c r="AL96" s="30">
        <f t="shared" si="19"/>
        <v>0</v>
      </c>
      <c r="AM96" s="111" t="str">
        <f t="shared" si="20"/>
        <v/>
      </c>
      <c r="AN96" s="111" t="str">
        <f t="shared" si="21"/>
        <v/>
      </c>
      <c r="AP96" s="111">
        <v>87</v>
      </c>
      <c r="AR96" s="111" t="str">
        <f t="array" ref="AR96">IFERROR(INDEX($AP$10:$AP$258, MATCH(0, IF(TRUE=$AM$10:$AM$258, COUNTIF($AR$9:$AR95, $AP$10:$AP$258), ""), 0)),"")</f>
        <v/>
      </c>
      <c r="AS96" s="111" t="str">
        <f t="array" ref="AS96">IFERROR(INDEX($AP$10:$AP$258, MATCH(0, IF(TRUE=$AN$10:$AN$258, COUNTIF($AS$9:$AS95, $AP$10:$AP$258), ""), 0)),"")</f>
        <v/>
      </c>
      <c r="AT96" s="903" t="str">
        <f>IF(AND(OR(AD96="Yes",AD96="Pending"),Q96='G-7 WaterC'' Data'!$G$4),U96-AA96-Z96,"0")</f>
        <v>0</v>
      </c>
      <c r="AU96" s="30" t="str">
        <f>IF(D96="","",VLOOKUP(D96,'G-7 WaterC'' Data'!B$4:M$8,12,FALSE))</f>
        <v/>
      </c>
      <c r="AV96" s="30" t="str">
        <f t="shared" si="12"/>
        <v/>
      </c>
      <c r="AW96" s="30" t="str">
        <f t="shared" si="22"/>
        <v>No</v>
      </c>
      <c r="BA96" s="571" t="str">
        <f t="shared" si="23"/>
        <v/>
      </c>
    </row>
    <row r="97" spans="3:53" ht="14.4" thickBot="1" x14ac:dyDescent="0.3">
      <c r="C97" s="101">
        <v>88</v>
      </c>
      <c r="D97" s="269"/>
      <c r="E97" s="108"/>
      <c r="F97" s="281" t="str">
        <f>IF(D97="","",VLOOKUP(D97,'G-7 WaterC'' Data'!$B$2:$G$8,2,FALSE))</f>
        <v/>
      </c>
      <c r="G97" s="320" t="str">
        <f>IFERROR(VLOOKUP(F97,'G-7 WaterC'' Data'!$C$4:$D$8,2,FALSE),"")</f>
        <v/>
      </c>
      <c r="H97" s="109"/>
      <c r="I97" s="305" t="str">
        <f>IFERROR(INDEX('G-7 WaterC'' Data'!$H$4:$L$8,MATCH(D97,'G-7 WaterC'' Data'!$B$4:$B$8,0),MATCH(H97,'G-7 WaterC'' Data'!$H$3:$L$3,0)),"")</f>
        <v/>
      </c>
      <c r="J97" s="718"/>
      <c r="K97" s="301" t="str">
        <f>IF(J97="","",IF(VLOOKUP(J97,'G-7 WaterC'' Data'!$AK$4:$AM$9,2,FALSE)=0,"Spatial Data Missing ⚠",VLOOKUP(J97,'G-7 WaterC'' Data'!$AK$4:$AM$6,2,FALSE)))</f>
        <v/>
      </c>
      <c r="L97" s="305" t="str">
        <f>IF(J97="","",IF(VLOOKUP(J97,'G-7 WaterC'' Data'!$AK$4:$AM$9,3,FALSE)=0,"Spatial Data Missing ⚠",VLOOKUP(J97,'G-7 WaterC'' Data'!$AK$4:$AM$6,3,FALSE)))</f>
        <v/>
      </c>
      <c r="M97" s="106"/>
      <c r="N97" s="282" t="str">
        <f>IF(M97="","",IF(AND(M97="N/A - Culvert",D97&lt;&gt;"Culvert"),"Not possible ▲",IF(AND(D97="Culvert",M97&lt;&gt;"N/A - Culvert"),"Not possible ▲",IF(VLOOKUP(M97,'G-7 WaterC'' Data'!$AA$4:$AB$7,2,FALSE)=0,"Spatial Data Missing ⚠",VLOOKUP(M97,'G-7 WaterC'' Data'!$AA$4:$AB$7,2,FALSE)))))</f>
        <v/>
      </c>
      <c r="O97" s="56"/>
      <c r="P97" s="282" t="str">
        <f>IF(O97="","",IF(AND(O97="N/A - Culvert",D97&lt;&gt;"Culvert"),"Not possible ▲",IF(AND(D97="Culvert",O97&lt;&gt;"N/A - Culvert"),"Not possible ▲",IF(VLOOKUP(O97,'G-7 WaterC'' Data'!$AD$4:$AE$14,2,FALSE)=0,"Spatial Data Missing ⚠",VLOOKUP(O97,'G-7 WaterC'' Data'!$AD$4:$AE$14,2,FALSE)))))</f>
        <v/>
      </c>
      <c r="Q97" s="288" t="str">
        <f>IF(D97="","",VLOOKUP(D97,'G-7 WaterC'' Data'!$B$4:$G$8,6,FALSE))</f>
        <v/>
      </c>
      <c r="R97" s="295" t="str">
        <f t="shared" si="13"/>
        <v xml:space="preserve"> </v>
      </c>
      <c r="S97" s="403"/>
      <c r="T97" s="287" t="str">
        <f>IF(S97="","",IF(VLOOKUP(S97,'G-7 WaterC'' Data'!$AO$4:$BO$7,2,FALSE)=0,"Spatial Data Missing ⚠",VLOOKUP(S97,'G-7 WaterC'' Data'!$AO$4:$BO$7,2,FALSE)))</f>
        <v/>
      </c>
      <c r="U97" s="295" t="str">
        <f t="shared" si="14"/>
        <v xml:space="preserve"> </v>
      </c>
      <c r="V97" s="710" t="str">
        <f t="shared" si="15"/>
        <v/>
      </c>
      <c r="W97" s="32"/>
      <c r="X97" s="105"/>
      <c r="Y97" s="112"/>
      <c r="Z97" s="293" t="str">
        <f t="shared" si="16"/>
        <v/>
      </c>
      <c r="AA97" s="293" t="str">
        <f t="shared" si="17"/>
        <v/>
      </c>
      <c r="AB97" s="293" t="str">
        <f t="shared" si="18"/>
        <v/>
      </c>
      <c r="AC97" s="507" t="str">
        <f>IFERROR(IF(OR(E97="",R97=""),"", IF(AND(AB97&lt;&gt;"",S97=""), "Spatial risk category missing ▲", IF(AND(Q97='G-7 WaterC'' Data'!$G$4,AD97="Yes"),"Alternative Compensation ✓", IF(AND(AD97="Pending", Q97='G-7 WaterC'' Data'!$G$4),"Bespoke compensation must be agreed ▲", IF((Z97+AA97)&gt;=U97,0, U97-Z97-AA97))))),"Check Data ⚠")</f>
        <v/>
      </c>
      <c r="AD97" s="403"/>
      <c r="AE97" s="109"/>
      <c r="AF97" s="108"/>
      <c r="AG97" s="108"/>
      <c r="AH97" s="108"/>
      <c r="AI97" s="54" t="str">
        <f>IF(OR(Q97="",AD97="Yes"),"",IF(Q97='G-1 All Habitats'!$X$9,E97-Y97-X97,"None"))</f>
        <v/>
      </c>
      <c r="AJ97" s="55" t="str">
        <f>IF(Q97="","", IF(Q97='G-1 All Habitats'!$X$9, AI97*G97*I97*L97*N97*P97,"None"))</f>
        <v/>
      </c>
      <c r="AK97" s="30" t="str">
        <f>IFERROR(INDEX('G-7 WaterC'' Data'!$AZ$3:$AZ$7,MATCH(D97,'G-7 WaterC'' Data'!$AY$3:$AY$7,0)),"")</f>
        <v/>
      </c>
      <c r="AL97" s="30">
        <f t="shared" si="19"/>
        <v>0</v>
      </c>
      <c r="AM97" s="111" t="str">
        <f t="shared" si="20"/>
        <v/>
      </c>
      <c r="AN97" s="111" t="str">
        <f t="shared" si="21"/>
        <v/>
      </c>
      <c r="AP97" s="111">
        <v>88</v>
      </c>
      <c r="AR97" s="111" t="str">
        <f t="array" ref="AR97">IFERROR(INDEX($AP$10:$AP$258, MATCH(0, IF(TRUE=$AM$10:$AM$258, COUNTIF($AR$9:$AR96, $AP$10:$AP$258), ""), 0)),"")</f>
        <v/>
      </c>
      <c r="AS97" s="111" t="str">
        <f t="array" ref="AS97">IFERROR(INDEX($AP$10:$AP$258, MATCH(0, IF(TRUE=$AN$10:$AN$258, COUNTIF($AS$9:$AS96, $AP$10:$AP$258), ""), 0)),"")</f>
        <v/>
      </c>
      <c r="AT97" s="903" t="str">
        <f>IF(AND(OR(AD97="Yes",AD97="Pending"),Q97='G-7 WaterC'' Data'!$G$4),U97-AA97-Z97,"0")</f>
        <v>0</v>
      </c>
      <c r="AU97" s="30" t="str">
        <f>IF(D97="","",VLOOKUP(D97,'G-7 WaterC'' Data'!B$4:M$8,12,FALSE))</f>
        <v/>
      </c>
      <c r="AV97" s="30" t="str">
        <f t="shared" si="12"/>
        <v/>
      </c>
      <c r="AW97" s="30" t="str">
        <f t="shared" si="22"/>
        <v>No</v>
      </c>
      <c r="BA97" s="571" t="str">
        <f t="shared" si="23"/>
        <v/>
      </c>
    </row>
    <row r="98" spans="3:53" ht="14.4" thickBot="1" x14ac:dyDescent="0.3">
      <c r="C98" s="101">
        <v>89</v>
      </c>
      <c r="D98" s="269"/>
      <c r="E98" s="108"/>
      <c r="F98" s="281" t="str">
        <f>IF(D98="","",VLOOKUP(D98,'G-7 WaterC'' Data'!$B$2:$G$8,2,FALSE))</f>
        <v/>
      </c>
      <c r="G98" s="320" t="str">
        <f>IFERROR(VLOOKUP(F98,'G-7 WaterC'' Data'!$C$4:$D$8,2,FALSE),"")</f>
        <v/>
      </c>
      <c r="H98" s="109"/>
      <c r="I98" s="305" t="str">
        <f>IFERROR(INDEX('G-7 WaterC'' Data'!$H$4:$L$8,MATCH(D98,'G-7 WaterC'' Data'!$B$4:$B$8,0),MATCH(H98,'G-7 WaterC'' Data'!$H$3:$L$3,0)),"")</f>
        <v/>
      </c>
      <c r="J98" s="718"/>
      <c r="K98" s="301" t="str">
        <f>IF(J98="","",IF(VLOOKUP(J98,'G-7 WaterC'' Data'!$AK$4:$AM$9,2,FALSE)=0,"Spatial Data Missing ⚠",VLOOKUP(J98,'G-7 WaterC'' Data'!$AK$4:$AM$6,2,FALSE)))</f>
        <v/>
      </c>
      <c r="L98" s="305" t="str">
        <f>IF(J98="","",IF(VLOOKUP(J98,'G-7 WaterC'' Data'!$AK$4:$AM$9,3,FALSE)=0,"Spatial Data Missing ⚠",VLOOKUP(J98,'G-7 WaterC'' Data'!$AK$4:$AM$6,3,FALSE)))</f>
        <v/>
      </c>
      <c r="M98" s="106"/>
      <c r="N98" s="282" t="str">
        <f>IF(M98="","",IF(AND(M98="N/A - Culvert",D98&lt;&gt;"Culvert"),"Not possible ▲",IF(AND(D98="Culvert",M98&lt;&gt;"N/A - Culvert"),"Not possible ▲",IF(VLOOKUP(M98,'G-7 WaterC'' Data'!$AA$4:$AB$7,2,FALSE)=0,"Spatial Data Missing ⚠",VLOOKUP(M98,'G-7 WaterC'' Data'!$AA$4:$AB$7,2,FALSE)))))</f>
        <v/>
      </c>
      <c r="O98" s="56"/>
      <c r="P98" s="282" t="str">
        <f>IF(O98="","",IF(AND(O98="N/A - Culvert",D98&lt;&gt;"Culvert"),"Not possible ▲",IF(AND(D98="Culvert",O98&lt;&gt;"N/A - Culvert"),"Not possible ▲",IF(VLOOKUP(O98,'G-7 WaterC'' Data'!$AD$4:$AE$14,2,FALSE)=0,"Spatial Data Missing ⚠",VLOOKUP(O98,'G-7 WaterC'' Data'!$AD$4:$AE$14,2,FALSE)))))</f>
        <v/>
      </c>
      <c r="Q98" s="288" t="str">
        <f>IF(D98="","",VLOOKUP(D98,'G-7 WaterC'' Data'!$B$4:$G$8,6,FALSE))</f>
        <v/>
      </c>
      <c r="R98" s="295" t="str">
        <f t="shared" si="13"/>
        <v xml:space="preserve"> </v>
      </c>
      <c r="S98" s="403"/>
      <c r="T98" s="287" t="str">
        <f>IF(S98="","",IF(VLOOKUP(S98,'G-7 WaterC'' Data'!$AO$4:$BO$7,2,FALSE)=0,"Spatial Data Missing ⚠",VLOOKUP(S98,'G-7 WaterC'' Data'!$AO$4:$BO$7,2,FALSE)))</f>
        <v/>
      </c>
      <c r="U98" s="295" t="str">
        <f t="shared" si="14"/>
        <v xml:space="preserve"> </v>
      </c>
      <c r="V98" s="710" t="str">
        <f t="shared" si="15"/>
        <v/>
      </c>
      <c r="W98" s="32"/>
      <c r="X98" s="105"/>
      <c r="Y98" s="112"/>
      <c r="Z98" s="293" t="str">
        <f t="shared" si="16"/>
        <v/>
      </c>
      <c r="AA98" s="293" t="str">
        <f t="shared" si="17"/>
        <v/>
      </c>
      <c r="AB98" s="293" t="str">
        <f t="shared" si="18"/>
        <v/>
      </c>
      <c r="AC98" s="507" t="str">
        <f>IFERROR(IF(OR(E98="",R98=""),"", IF(AND(AB98&lt;&gt;"",S98=""), "Spatial risk category missing ▲", IF(AND(Q98='G-7 WaterC'' Data'!$G$4,AD98="Yes"),"Alternative Compensation ✓", IF(AND(AD98="Pending", Q98='G-7 WaterC'' Data'!$G$4),"Bespoke compensation must be agreed ▲", IF((Z98+AA98)&gt;=U98,0, U98-Z98-AA98))))),"Check Data ⚠")</f>
        <v/>
      </c>
      <c r="AD98" s="403"/>
      <c r="AE98" s="109"/>
      <c r="AF98" s="108"/>
      <c r="AG98" s="108"/>
      <c r="AH98" s="108"/>
      <c r="AI98" s="54" t="str">
        <f>IF(OR(Q98="",AD98="Yes"),"",IF(Q98='G-1 All Habitats'!$X$9,E98-Y98-X98,"None"))</f>
        <v/>
      </c>
      <c r="AJ98" s="55" t="str">
        <f>IF(Q98="","", IF(Q98='G-1 All Habitats'!$X$9, AI98*G98*I98*L98*N98*P98,"None"))</f>
        <v/>
      </c>
      <c r="AK98" s="30" t="str">
        <f>IFERROR(INDEX('G-7 WaterC'' Data'!$AZ$3:$AZ$7,MATCH(D98,'G-7 WaterC'' Data'!$AY$3:$AY$7,0)),"")</f>
        <v/>
      </c>
      <c r="AL98" s="30">
        <f t="shared" si="19"/>
        <v>0</v>
      </c>
      <c r="AM98" s="111" t="str">
        <f t="shared" si="20"/>
        <v/>
      </c>
      <c r="AN98" s="111" t="str">
        <f t="shared" si="21"/>
        <v/>
      </c>
      <c r="AP98" s="111">
        <v>89</v>
      </c>
      <c r="AR98" s="111" t="str">
        <f t="array" ref="AR98">IFERROR(INDEX($AP$10:$AP$258, MATCH(0, IF(TRUE=$AM$10:$AM$258, COUNTIF($AR$9:$AR97, $AP$10:$AP$258), ""), 0)),"")</f>
        <v/>
      </c>
      <c r="AS98" s="111" t="str">
        <f t="array" ref="AS98">IFERROR(INDEX($AP$10:$AP$258, MATCH(0, IF(TRUE=$AN$10:$AN$258, COUNTIF($AS$9:$AS97, $AP$10:$AP$258), ""), 0)),"")</f>
        <v/>
      </c>
      <c r="AT98" s="903" t="str">
        <f>IF(AND(OR(AD98="Yes",AD98="Pending"),Q98='G-7 WaterC'' Data'!$G$4),U98-AA98-Z98,"0")</f>
        <v>0</v>
      </c>
      <c r="AU98" s="30" t="str">
        <f>IF(D98="","",VLOOKUP(D98,'G-7 WaterC'' Data'!B$4:M$8,12,FALSE))</f>
        <v/>
      </c>
      <c r="AV98" s="30" t="str">
        <f t="shared" si="12"/>
        <v/>
      </c>
      <c r="AW98" s="30" t="str">
        <f t="shared" si="22"/>
        <v>No</v>
      </c>
      <c r="BA98" s="571" t="str">
        <f t="shared" si="23"/>
        <v/>
      </c>
    </row>
    <row r="99" spans="3:53" ht="14.4" thickBot="1" x14ac:dyDescent="0.3">
      <c r="C99" s="101">
        <v>90</v>
      </c>
      <c r="D99" s="269"/>
      <c r="E99" s="108"/>
      <c r="F99" s="281" t="str">
        <f>IF(D99="","",VLOOKUP(D99,'G-7 WaterC'' Data'!$B$2:$G$8,2,FALSE))</f>
        <v/>
      </c>
      <c r="G99" s="320" t="str">
        <f>IFERROR(VLOOKUP(F99,'G-7 WaterC'' Data'!$C$4:$D$8,2,FALSE),"")</f>
        <v/>
      </c>
      <c r="H99" s="109"/>
      <c r="I99" s="305" t="str">
        <f>IFERROR(INDEX('G-7 WaterC'' Data'!$H$4:$L$8,MATCH(D99,'G-7 WaterC'' Data'!$B$4:$B$8,0),MATCH(H99,'G-7 WaterC'' Data'!$H$3:$L$3,0)),"")</f>
        <v/>
      </c>
      <c r="J99" s="718"/>
      <c r="K99" s="301" t="str">
        <f>IF(J99="","",IF(VLOOKUP(J99,'G-7 WaterC'' Data'!$AK$4:$AM$9,2,FALSE)=0,"Spatial Data Missing ⚠",VLOOKUP(J99,'G-7 WaterC'' Data'!$AK$4:$AM$6,2,FALSE)))</f>
        <v/>
      </c>
      <c r="L99" s="305" t="str">
        <f>IF(J99="","",IF(VLOOKUP(J99,'G-7 WaterC'' Data'!$AK$4:$AM$9,3,FALSE)=0,"Spatial Data Missing ⚠",VLOOKUP(J99,'G-7 WaterC'' Data'!$AK$4:$AM$6,3,FALSE)))</f>
        <v/>
      </c>
      <c r="M99" s="106"/>
      <c r="N99" s="282" t="str">
        <f>IF(M99="","",IF(AND(M99="N/A - Culvert",D99&lt;&gt;"Culvert"),"Not possible ▲",IF(AND(D99="Culvert",M99&lt;&gt;"N/A - Culvert"),"Not possible ▲",IF(VLOOKUP(M99,'G-7 WaterC'' Data'!$AA$4:$AB$7,2,FALSE)=0,"Spatial Data Missing ⚠",VLOOKUP(M99,'G-7 WaterC'' Data'!$AA$4:$AB$7,2,FALSE)))))</f>
        <v/>
      </c>
      <c r="O99" s="56"/>
      <c r="P99" s="282" t="str">
        <f>IF(O99="","",IF(AND(O99="N/A - Culvert",D99&lt;&gt;"Culvert"),"Not possible ▲",IF(AND(D99="Culvert",O99&lt;&gt;"N/A - Culvert"),"Not possible ▲",IF(VLOOKUP(O99,'G-7 WaterC'' Data'!$AD$4:$AE$14,2,FALSE)=0,"Spatial Data Missing ⚠",VLOOKUP(O99,'G-7 WaterC'' Data'!$AD$4:$AE$14,2,FALSE)))))</f>
        <v/>
      </c>
      <c r="Q99" s="288" t="str">
        <f>IF(D99="","",VLOOKUP(D99,'G-7 WaterC'' Data'!$B$4:$G$8,6,FALSE))</f>
        <v/>
      </c>
      <c r="R99" s="295" t="str">
        <f t="shared" si="13"/>
        <v xml:space="preserve"> </v>
      </c>
      <c r="S99" s="403"/>
      <c r="T99" s="287" t="str">
        <f>IF(S99="","",IF(VLOOKUP(S99,'G-7 WaterC'' Data'!$AO$4:$BO$7,2,FALSE)=0,"Spatial Data Missing ⚠",VLOOKUP(S99,'G-7 WaterC'' Data'!$AO$4:$BO$7,2,FALSE)))</f>
        <v/>
      </c>
      <c r="U99" s="295" t="str">
        <f t="shared" si="14"/>
        <v xml:space="preserve"> </v>
      </c>
      <c r="V99" s="710" t="str">
        <f t="shared" si="15"/>
        <v/>
      </c>
      <c r="W99" s="32"/>
      <c r="X99" s="105"/>
      <c r="Y99" s="112"/>
      <c r="Z99" s="293" t="str">
        <f t="shared" si="16"/>
        <v/>
      </c>
      <c r="AA99" s="293" t="str">
        <f t="shared" si="17"/>
        <v/>
      </c>
      <c r="AB99" s="293" t="str">
        <f t="shared" si="18"/>
        <v/>
      </c>
      <c r="AC99" s="507" t="str">
        <f>IFERROR(IF(OR(E99="",R99=""),"", IF(AND(AB99&lt;&gt;"",S99=""), "Spatial risk category missing ▲", IF(AND(Q99='G-7 WaterC'' Data'!$G$4,AD99="Yes"),"Alternative Compensation ✓", IF(AND(AD99="Pending", Q99='G-7 WaterC'' Data'!$G$4),"Bespoke compensation must be agreed ▲", IF((Z99+AA99)&gt;=U99,0, U99-Z99-AA99))))),"Check Data ⚠")</f>
        <v/>
      </c>
      <c r="AD99" s="403"/>
      <c r="AE99" s="109"/>
      <c r="AF99" s="108"/>
      <c r="AG99" s="108"/>
      <c r="AH99" s="108"/>
      <c r="AI99" s="54" t="str">
        <f>IF(OR(Q99="",AD99="Yes"),"",IF(Q99='G-1 All Habitats'!$X$9,E99-Y99-X99,"None"))</f>
        <v/>
      </c>
      <c r="AJ99" s="55" t="str">
        <f>IF(Q99="","", IF(Q99='G-1 All Habitats'!$X$9, AI99*G99*I99*L99*N99*P99,"None"))</f>
        <v/>
      </c>
      <c r="AK99" s="30" t="str">
        <f>IFERROR(INDEX('G-7 WaterC'' Data'!$AZ$3:$AZ$7,MATCH(D99,'G-7 WaterC'' Data'!$AY$3:$AY$7,0)),"")</f>
        <v/>
      </c>
      <c r="AL99" s="30">
        <f t="shared" si="19"/>
        <v>0</v>
      </c>
      <c r="AM99" s="111" t="str">
        <f t="shared" si="20"/>
        <v/>
      </c>
      <c r="AN99" s="111" t="str">
        <f t="shared" si="21"/>
        <v/>
      </c>
      <c r="AP99" s="111">
        <v>90</v>
      </c>
      <c r="AR99" s="111" t="str">
        <f t="array" ref="AR99">IFERROR(INDEX($AP$10:$AP$258, MATCH(0, IF(TRUE=$AM$10:$AM$258, COUNTIF($AR$9:$AR98, $AP$10:$AP$258), ""), 0)),"")</f>
        <v/>
      </c>
      <c r="AS99" s="111" t="str">
        <f t="array" ref="AS99">IFERROR(INDEX($AP$10:$AP$258, MATCH(0, IF(TRUE=$AN$10:$AN$258, COUNTIF($AS$9:$AS98, $AP$10:$AP$258), ""), 0)),"")</f>
        <v/>
      </c>
      <c r="AT99" s="903" t="str">
        <f>IF(AND(OR(AD99="Yes",AD99="Pending"),Q99='G-7 WaterC'' Data'!$G$4),U99-AA99-Z99,"0")</f>
        <v>0</v>
      </c>
      <c r="AU99" s="30" t="str">
        <f>IF(D99="","",VLOOKUP(D99,'G-7 WaterC'' Data'!B$4:M$8,12,FALSE))</f>
        <v/>
      </c>
      <c r="AV99" s="30" t="str">
        <f t="shared" si="12"/>
        <v/>
      </c>
      <c r="AW99" s="30" t="str">
        <f t="shared" si="22"/>
        <v>No</v>
      </c>
      <c r="BA99" s="571" t="str">
        <f t="shared" si="23"/>
        <v/>
      </c>
    </row>
    <row r="100" spans="3:53" ht="14.4" thickBot="1" x14ac:dyDescent="0.3">
      <c r="C100" s="101">
        <v>91</v>
      </c>
      <c r="D100" s="269"/>
      <c r="E100" s="108"/>
      <c r="F100" s="281" t="str">
        <f>IF(D100="","",VLOOKUP(D100,'G-7 WaterC'' Data'!$B$2:$G$8,2,FALSE))</f>
        <v/>
      </c>
      <c r="G100" s="320" t="str">
        <f>IFERROR(VLOOKUP(F100,'G-7 WaterC'' Data'!$C$4:$D$8,2,FALSE),"")</f>
        <v/>
      </c>
      <c r="H100" s="109"/>
      <c r="I100" s="305" t="str">
        <f>IFERROR(INDEX('G-7 WaterC'' Data'!$H$4:$L$8,MATCH(D100,'G-7 WaterC'' Data'!$B$4:$B$8,0),MATCH(H100,'G-7 WaterC'' Data'!$H$3:$L$3,0)),"")</f>
        <v/>
      </c>
      <c r="J100" s="718"/>
      <c r="K100" s="301" t="str">
        <f>IF(J100="","",IF(VLOOKUP(J100,'G-7 WaterC'' Data'!$AK$4:$AM$9,2,FALSE)=0,"Spatial Data Missing ⚠",VLOOKUP(J100,'G-7 WaterC'' Data'!$AK$4:$AM$6,2,FALSE)))</f>
        <v/>
      </c>
      <c r="L100" s="305" t="str">
        <f>IF(J100="","",IF(VLOOKUP(J100,'G-7 WaterC'' Data'!$AK$4:$AM$9,3,FALSE)=0,"Spatial Data Missing ⚠",VLOOKUP(J100,'G-7 WaterC'' Data'!$AK$4:$AM$6,3,FALSE)))</f>
        <v/>
      </c>
      <c r="M100" s="106"/>
      <c r="N100" s="282" t="str">
        <f>IF(M100="","",IF(AND(M100="N/A - Culvert",D100&lt;&gt;"Culvert"),"Not possible ▲",IF(AND(D100="Culvert",M100&lt;&gt;"N/A - Culvert"),"Not possible ▲",IF(VLOOKUP(M100,'G-7 WaterC'' Data'!$AA$4:$AB$7,2,FALSE)=0,"Spatial Data Missing ⚠",VLOOKUP(M100,'G-7 WaterC'' Data'!$AA$4:$AB$7,2,FALSE)))))</f>
        <v/>
      </c>
      <c r="O100" s="56"/>
      <c r="P100" s="282" t="str">
        <f>IF(O100="","",IF(AND(O100="N/A - Culvert",D100&lt;&gt;"Culvert"),"Not possible ▲",IF(AND(D100="Culvert",O100&lt;&gt;"N/A - Culvert"),"Not possible ▲",IF(VLOOKUP(O100,'G-7 WaterC'' Data'!$AD$4:$AE$14,2,FALSE)=0,"Spatial Data Missing ⚠",VLOOKUP(O100,'G-7 WaterC'' Data'!$AD$4:$AE$14,2,FALSE)))))</f>
        <v/>
      </c>
      <c r="Q100" s="288" t="str">
        <f>IF(D100="","",VLOOKUP(D100,'G-7 WaterC'' Data'!$B$4:$G$8,6,FALSE))</f>
        <v/>
      </c>
      <c r="R100" s="295" t="str">
        <f t="shared" si="13"/>
        <v xml:space="preserve"> </v>
      </c>
      <c r="S100" s="403"/>
      <c r="T100" s="287" t="str">
        <f>IF(S100="","",IF(VLOOKUP(S100,'G-7 WaterC'' Data'!$AO$4:$BO$7,2,FALSE)=0,"Spatial Data Missing ⚠",VLOOKUP(S100,'G-7 WaterC'' Data'!$AO$4:$BO$7,2,FALSE)))</f>
        <v/>
      </c>
      <c r="U100" s="295" t="str">
        <f t="shared" si="14"/>
        <v xml:space="preserve"> </v>
      </c>
      <c r="V100" s="710" t="str">
        <f t="shared" si="15"/>
        <v/>
      </c>
      <c r="W100" s="32"/>
      <c r="X100" s="105"/>
      <c r="Y100" s="112"/>
      <c r="Z100" s="293" t="str">
        <f t="shared" si="16"/>
        <v/>
      </c>
      <c r="AA100" s="293" t="str">
        <f t="shared" si="17"/>
        <v/>
      </c>
      <c r="AB100" s="293" t="str">
        <f t="shared" si="18"/>
        <v/>
      </c>
      <c r="AC100" s="507" t="str">
        <f>IFERROR(IF(OR(E100="",R100=""),"", IF(AND(AB100&lt;&gt;"",S100=""), "Spatial risk category missing ▲", IF(AND(Q100='G-7 WaterC'' Data'!$G$4,AD100="Yes"),"Alternative Compensation ✓", IF(AND(AD100="Pending", Q100='G-7 WaterC'' Data'!$G$4),"Bespoke compensation must be agreed ▲", IF((Z100+AA100)&gt;=U100,0, U100-Z100-AA100))))),"Check Data ⚠")</f>
        <v/>
      </c>
      <c r="AD100" s="403"/>
      <c r="AE100" s="109"/>
      <c r="AF100" s="108"/>
      <c r="AG100" s="108"/>
      <c r="AH100" s="108"/>
      <c r="AI100" s="54" t="str">
        <f>IF(OR(Q100="",AD100="Yes"),"",IF(Q100='G-1 All Habitats'!$X$9,E100-Y100-X100,"None"))</f>
        <v/>
      </c>
      <c r="AJ100" s="55" t="str">
        <f>IF(Q100="","", IF(Q100='G-1 All Habitats'!$X$9, AI100*G100*I100*L100*N100*P100,"None"))</f>
        <v/>
      </c>
      <c r="AK100" s="30" t="str">
        <f>IFERROR(INDEX('G-7 WaterC'' Data'!$AZ$3:$AZ$7,MATCH(D100,'G-7 WaterC'' Data'!$AY$3:$AY$7,0)),"")</f>
        <v/>
      </c>
      <c r="AL100" s="30">
        <f t="shared" si="19"/>
        <v>0</v>
      </c>
      <c r="AM100" s="111" t="str">
        <f t="shared" si="20"/>
        <v/>
      </c>
      <c r="AN100" s="111" t="str">
        <f t="shared" si="21"/>
        <v/>
      </c>
      <c r="AP100" s="111">
        <v>91</v>
      </c>
      <c r="AR100" s="111" t="str">
        <f t="array" ref="AR100">IFERROR(INDEX($AP$10:$AP$258, MATCH(0, IF(TRUE=$AM$10:$AM$258, COUNTIF($AR$9:$AR99, $AP$10:$AP$258), ""), 0)),"")</f>
        <v/>
      </c>
      <c r="AS100" s="111" t="str">
        <f t="array" ref="AS100">IFERROR(INDEX($AP$10:$AP$258, MATCH(0, IF(TRUE=$AN$10:$AN$258, COUNTIF($AS$9:$AS99, $AP$10:$AP$258), ""), 0)),"")</f>
        <v/>
      </c>
      <c r="AT100" s="903" t="str">
        <f>IF(AND(OR(AD100="Yes",AD100="Pending"),Q100='G-7 WaterC'' Data'!$G$4),U100-AA100-Z100,"0")</f>
        <v>0</v>
      </c>
      <c r="AU100" s="30" t="str">
        <f>IF(D100="","",VLOOKUP(D100,'G-7 WaterC'' Data'!B$4:M$8,12,FALSE))</f>
        <v/>
      </c>
      <c r="AV100" s="30" t="str">
        <f t="shared" si="12"/>
        <v/>
      </c>
      <c r="AW100" s="30" t="str">
        <f t="shared" si="22"/>
        <v>No</v>
      </c>
      <c r="BA100" s="571" t="str">
        <f t="shared" si="23"/>
        <v/>
      </c>
    </row>
    <row r="101" spans="3:53" ht="14.4" thickBot="1" x14ac:dyDescent="0.3">
      <c r="C101" s="101">
        <v>92</v>
      </c>
      <c r="D101" s="269"/>
      <c r="E101" s="108"/>
      <c r="F101" s="281" t="str">
        <f>IF(D101="","",VLOOKUP(D101,'G-7 WaterC'' Data'!$B$2:$G$8,2,FALSE))</f>
        <v/>
      </c>
      <c r="G101" s="320" t="str">
        <f>IFERROR(VLOOKUP(F101,'G-7 WaterC'' Data'!$C$4:$D$8,2,FALSE),"")</f>
        <v/>
      </c>
      <c r="H101" s="109"/>
      <c r="I101" s="305" t="str">
        <f>IFERROR(INDEX('G-7 WaterC'' Data'!$H$4:$L$8,MATCH(D101,'G-7 WaterC'' Data'!$B$4:$B$8,0),MATCH(H101,'G-7 WaterC'' Data'!$H$3:$L$3,0)),"")</f>
        <v/>
      </c>
      <c r="J101" s="718"/>
      <c r="K101" s="301" t="str">
        <f>IF(J101="","",IF(VLOOKUP(J101,'G-7 WaterC'' Data'!$AK$4:$AM$9,2,FALSE)=0,"Spatial Data Missing ⚠",VLOOKUP(J101,'G-7 WaterC'' Data'!$AK$4:$AM$6,2,FALSE)))</f>
        <v/>
      </c>
      <c r="L101" s="305" t="str">
        <f>IF(J101="","",IF(VLOOKUP(J101,'G-7 WaterC'' Data'!$AK$4:$AM$9,3,FALSE)=0,"Spatial Data Missing ⚠",VLOOKUP(J101,'G-7 WaterC'' Data'!$AK$4:$AM$6,3,FALSE)))</f>
        <v/>
      </c>
      <c r="M101" s="106"/>
      <c r="N101" s="282" t="str">
        <f>IF(M101="","",IF(AND(M101="N/A - Culvert",D101&lt;&gt;"Culvert"),"Not possible ▲",IF(AND(D101="Culvert",M101&lt;&gt;"N/A - Culvert"),"Not possible ▲",IF(VLOOKUP(M101,'G-7 WaterC'' Data'!$AA$4:$AB$7,2,FALSE)=0,"Spatial Data Missing ⚠",VLOOKUP(M101,'G-7 WaterC'' Data'!$AA$4:$AB$7,2,FALSE)))))</f>
        <v/>
      </c>
      <c r="O101" s="56"/>
      <c r="P101" s="282" t="str">
        <f>IF(O101="","",IF(AND(O101="N/A - Culvert",D101&lt;&gt;"Culvert"),"Not possible ▲",IF(AND(D101="Culvert",O101&lt;&gt;"N/A - Culvert"),"Not possible ▲",IF(VLOOKUP(O101,'G-7 WaterC'' Data'!$AD$4:$AE$14,2,FALSE)=0,"Spatial Data Missing ⚠",VLOOKUP(O101,'G-7 WaterC'' Data'!$AD$4:$AE$14,2,FALSE)))))</f>
        <v/>
      </c>
      <c r="Q101" s="288" t="str">
        <f>IF(D101="","",VLOOKUP(D101,'G-7 WaterC'' Data'!$B$4:$G$8,6,FALSE))</f>
        <v/>
      </c>
      <c r="R101" s="295" t="str">
        <f t="shared" si="13"/>
        <v xml:space="preserve"> </v>
      </c>
      <c r="S101" s="403"/>
      <c r="T101" s="287" t="str">
        <f>IF(S101="","",IF(VLOOKUP(S101,'G-7 WaterC'' Data'!$AO$4:$BO$7,2,FALSE)=0,"Spatial Data Missing ⚠",VLOOKUP(S101,'G-7 WaterC'' Data'!$AO$4:$BO$7,2,FALSE)))</f>
        <v/>
      </c>
      <c r="U101" s="295" t="str">
        <f t="shared" si="14"/>
        <v xml:space="preserve"> </v>
      </c>
      <c r="V101" s="710" t="str">
        <f t="shared" si="15"/>
        <v/>
      </c>
      <c r="W101" s="32"/>
      <c r="X101" s="105"/>
      <c r="Y101" s="112"/>
      <c r="Z101" s="293" t="str">
        <f t="shared" si="16"/>
        <v/>
      </c>
      <c r="AA101" s="293" t="str">
        <f t="shared" si="17"/>
        <v/>
      </c>
      <c r="AB101" s="293" t="str">
        <f t="shared" si="18"/>
        <v/>
      </c>
      <c r="AC101" s="507" t="str">
        <f>IFERROR(IF(OR(E101="",R101=""),"", IF(AND(AB101&lt;&gt;"",S101=""), "Spatial risk category missing ▲", IF(AND(Q101='G-7 WaterC'' Data'!$G$4,AD101="Yes"),"Alternative Compensation ✓", IF(AND(AD101="Pending", Q101='G-7 WaterC'' Data'!$G$4),"Bespoke compensation must be agreed ▲", IF((Z101+AA101)&gt;=U101,0, U101-Z101-AA101))))),"Check Data ⚠")</f>
        <v/>
      </c>
      <c r="AD101" s="403"/>
      <c r="AE101" s="109"/>
      <c r="AF101" s="108"/>
      <c r="AG101" s="108"/>
      <c r="AH101" s="108"/>
      <c r="AI101" s="54" t="str">
        <f>IF(OR(Q101="",AD101="Yes"),"",IF(Q101='G-1 All Habitats'!$X$9,E101-Y101-X101,"None"))</f>
        <v/>
      </c>
      <c r="AJ101" s="55" t="str">
        <f>IF(Q101="","", IF(Q101='G-1 All Habitats'!$X$9, AI101*G101*I101*L101*N101*P101,"None"))</f>
        <v/>
      </c>
      <c r="AK101" s="30" t="str">
        <f>IFERROR(INDEX('G-7 WaterC'' Data'!$AZ$3:$AZ$7,MATCH(D101,'G-7 WaterC'' Data'!$AY$3:$AY$7,0)),"")</f>
        <v/>
      </c>
      <c r="AL101" s="30">
        <f t="shared" si="19"/>
        <v>0</v>
      </c>
      <c r="AM101" s="111" t="str">
        <f t="shared" si="20"/>
        <v/>
      </c>
      <c r="AN101" s="111" t="str">
        <f t="shared" si="21"/>
        <v/>
      </c>
      <c r="AP101" s="111">
        <v>92</v>
      </c>
      <c r="AR101" s="111" t="str">
        <f t="array" ref="AR101">IFERROR(INDEX($AP$10:$AP$258, MATCH(0, IF(TRUE=$AM$10:$AM$258, COUNTIF($AR$9:$AR100, $AP$10:$AP$258), ""), 0)),"")</f>
        <v/>
      </c>
      <c r="AS101" s="111" t="str">
        <f t="array" ref="AS101">IFERROR(INDEX($AP$10:$AP$258, MATCH(0, IF(TRUE=$AN$10:$AN$258, COUNTIF($AS$9:$AS100, $AP$10:$AP$258), ""), 0)),"")</f>
        <v/>
      </c>
      <c r="AT101" s="903" t="str">
        <f>IF(AND(OR(AD101="Yes",AD101="Pending"),Q101='G-7 WaterC'' Data'!$G$4),U101-AA101-Z101,"0")</f>
        <v>0</v>
      </c>
      <c r="AU101" s="30" t="str">
        <f>IF(D101="","",VLOOKUP(D101,'G-7 WaterC'' Data'!B$4:M$8,12,FALSE))</f>
        <v/>
      </c>
      <c r="AV101" s="30" t="str">
        <f t="shared" si="12"/>
        <v/>
      </c>
      <c r="AW101" s="30" t="str">
        <f t="shared" si="22"/>
        <v>No</v>
      </c>
      <c r="BA101" s="571" t="str">
        <f t="shared" si="23"/>
        <v/>
      </c>
    </row>
    <row r="102" spans="3:53" ht="14.4" thickBot="1" x14ac:dyDescent="0.3">
      <c r="C102" s="101">
        <v>93</v>
      </c>
      <c r="D102" s="269"/>
      <c r="E102" s="108"/>
      <c r="F102" s="281" t="str">
        <f>IF(D102="","",VLOOKUP(D102,'G-7 WaterC'' Data'!$B$2:$G$8,2,FALSE))</f>
        <v/>
      </c>
      <c r="G102" s="320" t="str">
        <f>IFERROR(VLOOKUP(F102,'G-7 WaterC'' Data'!$C$4:$D$8,2,FALSE),"")</f>
        <v/>
      </c>
      <c r="H102" s="109"/>
      <c r="I102" s="305" t="str">
        <f>IFERROR(INDEX('G-7 WaterC'' Data'!$H$4:$L$8,MATCH(D102,'G-7 WaterC'' Data'!$B$4:$B$8,0),MATCH(H102,'G-7 WaterC'' Data'!$H$3:$L$3,0)),"")</f>
        <v/>
      </c>
      <c r="J102" s="718"/>
      <c r="K102" s="301" t="str">
        <f>IF(J102="","",IF(VLOOKUP(J102,'G-7 WaterC'' Data'!$AK$4:$AM$9,2,FALSE)=0,"Spatial Data Missing ⚠",VLOOKUP(J102,'G-7 WaterC'' Data'!$AK$4:$AM$6,2,FALSE)))</f>
        <v/>
      </c>
      <c r="L102" s="305" t="str">
        <f>IF(J102="","",IF(VLOOKUP(J102,'G-7 WaterC'' Data'!$AK$4:$AM$9,3,FALSE)=0,"Spatial Data Missing ⚠",VLOOKUP(J102,'G-7 WaterC'' Data'!$AK$4:$AM$6,3,FALSE)))</f>
        <v/>
      </c>
      <c r="M102" s="106"/>
      <c r="N102" s="282" t="str">
        <f>IF(M102="","",IF(AND(M102="N/A - Culvert",D102&lt;&gt;"Culvert"),"Not possible ▲",IF(AND(D102="Culvert",M102&lt;&gt;"N/A - Culvert"),"Not possible ▲",IF(VLOOKUP(M102,'G-7 WaterC'' Data'!$AA$4:$AB$7,2,FALSE)=0,"Spatial Data Missing ⚠",VLOOKUP(M102,'G-7 WaterC'' Data'!$AA$4:$AB$7,2,FALSE)))))</f>
        <v/>
      </c>
      <c r="O102" s="56"/>
      <c r="P102" s="282" t="str">
        <f>IF(O102="","",IF(AND(O102="N/A - Culvert",D102&lt;&gt;"Culvert"),"Not possible ▲",IF(AND(D102="Culvert",O102&lt;&gt;"N/A - Culvert"),"Not possible ▲",IF(VLOOKUP(O102,'G-7 WaterC'' Data'!$AD$4:$AE$14,2,FALSE)=0,"Spatial Data Missing ⚠",VLOOKUP(O102,'G-7 WaterC'' Data'!$AD$4:$AE$14,2,FALSE)))))</f>
        <v/>
      </c>
      <c r="Q102" s="288" t="str">
        <f>IF(D102="","",VLOOKUP(D102,'G-7 WaterC'' Data'!$B$4:$G$8,6,FALSE))</f>
        <v/>
      </c>
      <c r="R102" s="295" t="str">
        <f t="shared" si="13"/>
        <v xml:space="preserve"> </v>
      </c>
      <c r="S102" s="403"/>
      <c r="T102" s="287" t="str">
        <f>IF(S102="","",IF(VLOOKUP(S102,'G-7 WaterC'' Data'!$AO$4:$BO$7,2,FALSE)=0,"Spatial Data Missing ⚠",VLOOKUP(S102,'G-7 WaterC'' Data'!$AO$4:$BO$7,2,FALSE)))</f>
        <v/>
      </c>
      <c r="U102" s="295" t="str">
        <f t="shared" si="14"/>
        <v xml:space="preserve"> </v>
      </c>
      <c r="V102" s="710" t="str">
        <f t="shared" si="15"/>
        <v/>
      </c>
      <c r="W102" s="32"/>
      <c r="X102" s="105"/>
      <c r="Y102" s="112"/>
      <c r="Z102" s="293" t="str">
        <f t="shared" si="16"/>
        <v/>
      </c>
      <c r="AA102" s="293" t="str">
        <f t="shared" si="17"/>
        <v/>
      </c>
      <c r="AB102" s="293" t="str">
        <f t="shared" si="18"/>
        <v/>
      </c>
      <c r="AC102" s="507" t="str">
        <f>IFERROR(IF(OR(E102="",R102=""),"", IF(AND(AB102&lt;&gt;"",S102=""), "Spatial risk category missing ▲", IF(AND(Q102='G-7 WaterC'' Data'!$G$4,AD102="Yes"),"Alternative Compensation ✓", IF(AND(AD102="Pending", Q102='G-7 WaterC'' Data'!$G$4),"Bespoke compensation must be agreed ▲", IF((Z102+AA102)&gt;=U102,0, U102-Z102-AA102))))),"Check Data ⚠")</f>
        <v/>
      </c>
      <c r="AD102" s="403"/>
      <c r="AE102" s="109"/>
      <c r="AF102" s="108"/>
      <c r="AG102" s="108"/>
      <c r="AH102" s="108"/>
      <c r="AI102" s="54" t="str">
        <f>IF(OR(Q102="",AD102="Yes"),"",IF(Q102='G-1 All Habitats'!$X$9,E102-Y102-X102,"None"))</f>
        <v/>
      </c>
      <c r="AJ102" s="55" t="str">
        <f>IF(Q102="","", IF(Q102='G-1 All Habitats'!$X$9, AI102*G102*I102*L102*N102*P102,"None"))</f>
        <v/>
      </c>
      <c r="AK102" s="30" t="str">
        <f>IFERROR(INDEX('G-7 WaterC'' Data'!$AZ$3:$AZ$7,MATCH(D102,'G-7 WaterC'' Data'!$AY$3:$AY$7,0)),"")</f>
        <v/>
      </c>
      <c r="AL102" s="30">
        <f t="shared" si="19"/>
        <v>0</v>
      </c>
      <c r="AM102" s="111" t="str">
        <f t="shared" si="20"/>
        <v/>
      </c>
      <c r="AN102" s="111" t="str">
        <f t="shared" si="21"/>
        <v/>
      </c>
      <c r="AP102" s="111">
        <v>93</v>
      </c>
      <c r="AR102" s="111" t="str">
        <f t="array" ref="AR102">IFERROR(INDEX($AP$10:$AP$258, MATCH(0, IF(TRUE=$AM$10:$AM$258, COUNTIF($AR$9:$AR101, $AP$10:$AP$258), ""), 0)),"")</f>
        <v/>
      </c>
      <c r="AS102" s="111" t="str">
        <f t="array" ref="AS102">IFERROR(INDEX($AP$10:$AP$258, MATCH(0, IF(TRUE=$AN$10:$AN$258, COUNTIF($AS$9:$AS101, $AP$10:$AP$258), ""), 0)),"")</f>
        <v/>
      </c>
      <c r="AT102" s="903" t="str">
        <f>IF(AND(OR(AD102="Yes",AD102="Pending"),Q102='G-7 WaterC'' Data'!$G$4),U102-AA102-Z102,"0")</f>
        <v>0</v>
      </c>
      <c r="AU102" s="30" t="str">
        <f>IF(D102="","",VLOOKUP(D102,'G-7 WaterC'' Data'!B$4:M$8,12,FALSE))</f>
        <v/>
      </c>
      <c r="AV102" s="30" t="str">
        <f t="shared" si="12"/>
        <v/>
      </c>
      <c r="AW102" s="30" t="str">
        <f t="shared" si="22"/>
        <v>No</v>
      </c>
      <c r="BA102" s="571" t="str">
        <f t="shared" si="23"/>
        <v/>
      </c>
    </row>
    <row r="103" spans="3:53" ht="14.4" thickBot="1" x14ac:dyDescent="0.3">
      <c r="C103" s="101">
        <v>94</v>
      </c>
      <c r="D103" s="269"/>
      <c r="E103" s="108"/>
      <c r="F103" s="281" t="str">
        <f>IF(D103="","",VLOOKUP(D103,'G-7 WaterC'' Data'!$B$2:$G$8,2,FALSE))</f>
        <v/>
      </c>
      <c r="G103" s="320" t="str">
        <f>IFERROR(VLOOKUP(F103,'G-7 WaterC'' Data'!$C$4:$D$8,2,FALSE),"")</f>
        <v/>
      </c>
      <c r="H103" s="109"/>
      <c r="I103" s="305" t="str">
        <f>IFERROR(INDEX('G-7 WaterC'' Data'!$H$4:$L$8,MATCH(D103,'G-7 WaterC'' Data'!$B$4:$B$8,0),MATCH(H103,'G-7 WaterC'' Data'!$H$3:$L$3,0)),"")</f>
        <v/>
      </c>
      <c r="J103" s="718"/>
      <c r="K103" s="301" t="str">
        <f>IF(J103="","",IF(VLOOKUP(J103,'G-7 WaterC'' Data'!$AK$4:$AM$9,2,FALSE)=0,"Spatial Data Missing ⚠",VLOOKUP(J103,'G-7 WaterC'' Data'!$AK$4:$AM$6,2,FALSE)))</f>
        <v/>
      </c>
      <c r="L103" s="305" t="str">
        <f>IF(J103="","",IF(VLOOKUP(J103,'G-7 WaterC'' Data'!$AK$4:$AM$9,3,FALSE)=0,"Spatial Data Missing ⚠",VLOOKUP(J103,'G-7 WaterC'' Data'!$AK$4:$AM$6,3,FALSE)))</f>
        <v/>
      </c>
      <c r="M103" s="106"/>
      <c r="N103" s="282" t="str">
        <f>IF(M103="","",IF(AND(M103="N/A - Culvert",D103&lt;&gt;"Culvert"),"Not possible ▲",IF(AND(D103="Culvert",M103&lt;&gt;"N/A - Culvert"),"Not possible ▲",IF(VLOOKUP(M103,'G-7 WaterC'' Data'!$AA$4:$AB$7,2,FALSE)=0,"Spatial Data Missing ⚠",VLOOKUP(M103,'G-7 WaterC'' Data'!$AA$4:$AB$7,2,FALSE)))))</f>
        <v/>
      </c>
      <c r="O103" s="56"/>
      <c r="P103" s="282" t="str">
        <f>IF(O103="","",IF(AND(O103="N/A - Culvert",D103&lt;&gt;"Culvert"),"Not possible ▲",IF(AND(D103="Culvert",O103&lt;&gt;"N/A - Culvert"),"Not possible ▲",IF(VLOOKUP(O103,'G-7 WaterC'' Data'!$AD$4:$AE$14,2,FALSE)=0,"Spatial Data Missing ⚠",VLOOKUP(O103,'G-7 WaterC'' Data'!$AD$4:$AE$14,2,FALSE)))))</f>
        <v/>
      </c>
      <c r="Q103" s="288" t="str">
        <f>IF(D103="","",VLOOKUP(D103,'G-7 WaterC'' Data'!$B$4:$G$8,6,FALSE))</f>
        <v/>
      </c>
      <c r="R103" s="295" t="str">
        <f t="shared" si="13"/>
        <v xml:space="preserve"> </v>
      </c>
      <c r="S103" s="403"/>
      <c r="T103" s="287" t="str">
        <f>IF(S103="","",IF(VLOOKUP(S103,'G-7 WaterC'' Data'!$AO$4:$BO$7,2,FALSE)=0,"Spatial Data Missing ⚠",VLOOKUP(S103,'G-7 WaterC'' Data'!$AO$4:$BO$7,2,FALSE)))</f>
        <v/>
      </c>
      <c r="U103" s="295" t="str">
        <f t="shared" si="14"/>
        <v xml:space="preserve"> </v>
      </c>
      <c r="V103" s="710" t="str">
        <f t="shared" si="15"/>
        <v/>
      </c>
      <c r="W103" s="32"/>
      <c r="X103" s="105"/>
      <c r="Y103" s="112"/>
      <c r="Z103" s="293" t="str">
        <f t="shared" si="16"/>
        <v/>
      </c>
      <c r="AA103" s="293" t="str">
        <f t="shared" si="17"/>
        <v/>
      </c>
      <c r="AB103" s="293" t="str">
        <f t="shared" si="18"/>
        <v/>
      </c>
      <c r="AC103" s="507" t="str">
        <f>IFERROR(IF(OR(E103="",R103=""),"", IF(AND(AB103&lt;&gt;"",S103=""), "Spatial risk category missing ▲", IF(AND(Q103='G-7 WaterC'' Data'!$G$4,AD103="Yes"),"Alternative Compensation ✓", IF(AND(AD103="Pending", Q103='G-7 WaterC'' Data'!$G$4),"Bespoke compensation must be agreed ▲", IF((Z103+AA103)&gt;=U103,0, U103-Z103-AA103))))),"Check Data ⚠")</f>
        <v/>
      </c>
      <c r="AD103" s="403"/>
      <c r="AE103" s="109"/>
      <c r="AF103" s="108"/>
      <c r="AG103" s="108"/>
      <c r="AH103" s="108"/>
      <c r="AI103" s="54" t="str">
        <f>IF(OR(Q103="",AD103="Yes"),"",IF(Q103='G-1 All Habitats'!$X$9,E103-Y103-X103,"None"))</f>
        <v/>
      </c>
      <c r="AJ103" s="55" t="str">
        <f>IF(Q103="","", IF(Q103='G-1 All Habitats'!$X$9, AI103*G103*I103*L103*N103*P103,"None"))</f>
        <v/>
      </c>
      <c r="AK103" s="30" t="str">
        <f>IFERROR(INDEX('G-7 WaterC'' Data'!$AZ$3:$AZ$7,MATCH(D103,'G-7 WaterC'' Data'!$AY$3:$AY$7,0)),"")</f>
        <v/>
      </c>
      <c r="AL103" s="30">
        <f t="shared" si="19"/>
        <v>0</v>
      </c>
      <c r="AM103" s="111" t="str">
        <f t="shared" si="20"/>
        <v/>
      </c>
      <c r="AN103" s="111" t="str">
        <f t="shared" si="21"/>
        <v/>
      </c>
      <c r="AP103" s="111">
        <v>94</v>
      </c>
      <c r="AR103" s="111" t="str">
        <f t="array" ref="AR103">IFERROR(INDEX($AP$10:$AP$258, MATCH(0, IF(TRUE=$AM$10:$AM$258, COUNTIF($AR$9:$AR102, $AP$10:$AP$258), ""), 0)),"")</f>
        <v/>
      </c>
      <c r="AS103" s="111" t="str">
        <f t="array" ref="AS103">IFERROR(INDEX($AP$10:$AP$258, MATCH(0, IF(TRUE=$AN$10:$AN$258, COUNTIF($AS$9:$AS102, $AP$10:$AP$258), ""), 0)),"")</f>
        <v/>
      </c>
      <c r="AT103" s="903" t="str">
        <f>IF(AND(OR(AD103="Yes",AD103="Pending"),Q103='G-7 WaterC'' Data'!$G$4),U103-AA103-Z103,"0")</f>
        <v>0</v>
      </c>
      <c r="AU103" s="30" t="str">
        <f>IF(D103="","",VLOOKUP(D103,'G-7 WaterC'' Data'!B$4:M$8,12,FALSE))</f>
        <v/>
      </c>
      <c r="AV103" s="30" t="str">
        <f t="shared" si="12"/>
        <v/>
      </c>
      <c r="AW103" s="30" t="str">
        <f t="shared" si="22"/>
        <v>No</v>
      </c>
      <c r="BA103" s="571" t="str">
        <f t="shared" si="23"/>
        <v/>
      </c>
    </row>
    <row r="104" spans="3:53" ht="14.4" thickBot="1" x14ac:dyDescent="0.3">
      <c r="C104" s="101">
        <v>95</v>
      </c>
      <c r="D104" s="269"/>
      <c r="E104" s="108"/>
      <c r="F104" s="281" t="str">
        <f>IF(D104="","",VLOOKUP(D104,'G-7 WaterC'' Data'!$B$2:$G$8,2,FALSE))</f>
        <v/>
      </c>
      <c r="G104" s="320" t="str">
        <f>IFERROR(VLOOKUP(F104,'G-7 WaterC'' Data'!$C$4:$D$8,2,FALSE),"")</f>
        <v/>
      </c>
      <c r="H104" s="109"/>
      <c r="I104" s="305" t="str">
        <f>IFERROR(INDEX('G-7 WaterC'' Data'!$H$4:$L$8,MATCH(D104,'G-7 WaterC'' Data'!$B$4:$B$8,0),MATCH(H104,'G-7 WaterC'' Data'!$H$3:$L$3,0)),"")</f>
        <v/>
      </c>
      <c r="J104" s="718"/>
      <c r="K104" s="301" t="str">
        <f>IF(J104="","",IF(VLOOKUP(J104,'G-7 WaterC'' Data'!$AK$4:$AM$9,2,FALSE)=0,"Spatial Data Missing ⚠",VLOOKUP(J104,'G-7 WaterC'' Data'!$AK$4:$AM$6,2,FALSE)))</f>
        <v/>
      </c>
      <c r="L104" s="305" t="str">
        <f>IF(J104="","",IF(VLOOKUP(J104,'G-7 WaterC'' Data'!$AK$4:$AM$9,3,FALSE)=0,"Spatial Data Missing ⚠",VLOOKUP(J104,'G-7 WaterC'' Data'!$AK$4:$AM$6,3,FALSE)))</f>
        <v/>
      </c>
      <c r="M104" s="106"/>
      <c r="N104" s="282" t="str">
        <f>IF(M104="","",IF(AND(M104="N/A - Culvert",D104&lt;&gt;"Culvert"),"Not possible ▲",IF(AND(D104="Culvert",M104&lt;&gt;"N/A - Culvert"),"Not possible ▲",IF(VLOOKUP(M104,'G-7 WaterC'' Data'!$AA$4:$AB$7,2,FALSE)=0,"Spatial Data Missing ⚠",VLOOKUP(M104,'G-7 WaterC'' Data'!$AA$4:$AB$7,2,FALSE)))))</f>
        <v/>
      </c>
      <c r="O104" s="56"/>
      <c r="P104" s="282" t="str">
        <f>IF(O104="","",IF(AND(O104="N/A - Culvert",D104&lt;&gt;"Culvert"),"Not possible ▲",IF(AND(D104="Culvert",O104&lt;&gt;"N/A - Culvert"),"Not possible ▲",IF(VLOOKUP(O104,'G-7 WaterC'' Data'!$AD$4:$AE$14,2,FALSE)=0,"Spatial Data Missing ⚠",VLOOKUP(O104,'G-7 WaterC'' Data'!$AD$4:$AE$14,2,FALSE)))))</f>
        <v/>
      </c>
      <c r="Q104" s="288" t="str">
        <f>IF(D104="","",VLOOKUP(D104,'G-7 WaterC'' Data'!$B$4:$G$8,6,FALSE))</f>
        <v/>
      </c>
      <c r="R104" s="295" t="str">
        <f t="shared" si="13"/>
        <v xml:space="preserve"> </v>
      </c>
      <c r="S104" s="403"/>
      <c r="T104" s="287" t="str">
        <f>IF(S104="","",IF(VLOOKUP(S104,'G-7 WaterC'' Data'!$AO$4:$BO$7,2,FALSE)=0,"Spatial Data Missing ⚠",VLOOKUP(S104,'G-7 WaterC'' Data'!$AO$4:$BO$7,2,FALSE)))</f>
        <v/>
      </c>
      <c r="U104" s="295" t="str">
        <f t="shared" si="14"/>
        <v xml:space="preserve"> </v>
      </c>
      <c r="V104" s="710" t="str">
        <f t="shared" si="15"/>
        <v/>
      </c>
      <c r="W104" s="32"/>
      <c r="X104" s="105"/>
      <c r="Y104" s="112"/>
      <c r="Z104" s="293" t="str">
        <f t="shared" si="16"/>
        <v/>
      </c>
      <c r="AA104" s="293" t="str">
        <f t="shared" si="17"/>
        <v/>
      </c>
      <c r="AB104" s="293" t="str">
        <f t="shared" si="18"/>
        <v/>
      </c>
      <c r="AC104" s="507" t="str">
        <f>IFERROR(IF(OR(E104="",R104=""),"", IF(AND(AB104&lt;&gt;"",S104=""), "Spatial risk category missing ▲", IF(AND(Q104='G-7 WaterC'' Data'!$G$4,AD104="Yes"),"Alternative Compensation ✓", IF(AND(AD104="Pending", Q104='G-7 WaterC'' Data'!$G$4),"Bespoke compensation must be agreed ▲", IF((Z104+AA104)&gt;=U104,0, U104-Z104-AA104))))),"Check Data ⚠")</f>
        <v/>
      </c>
      <c r="AD104" s="403"/>
      <c r="AE104" s="109"/>
      <c r="AF104" s="108"/>
      <c r="AG104" s="108"/>
      <c r="AH104" s="108"/>
      <c r="AI104" s="54" t="str">
        <f>IF(OR(Q104="",AD104="Yes"),"",IF(Q104='G-1 All Habitats'!$X$9,E104-Y104-X104,"None"))</f>
        <v/>
      </c>
      <c r="AJ104" s="55" t="str">
        <f>IF(Q104="","", IF(Q104='G-1 All Habitats'!$X$9, AI104*G104*I104*L104*N104*P104,"None"))</f>
        <v/>
      </c>
      <c r="AK104" s="30" t="str">
        <f>IFERROR(INDEX('G-7 WaterC'' Data'!$AZ$3:$AZ$7,MATCH(D104,'G-7 WaterC'' Data'!$AY$3:$AY$7,0)),"")</f>
        <v/>
      </c>
      <c r="AL104" s="30">
        <f t="shared" si="19"/>
        <v>0</v>
      </c>
      <c r="AM104" s="111" t="str">
        <f t="shared" si="20"/>
        <v/>
      </c>
      <c r="AN104" s="111" t="str">
        <f t="shared" si="21"/>
        <v/>
      </c>
      <c r="AP104" s="111">
        <v>95</v>
      </c>
      <c r="AR104" s="111" t="str">
        <f t="array" ref="AR104">IFERROR(INDEX($AP$10:$AP$258, MATCH(0, IF(TRUE=$AM$10:$AM$258, COUNTIF($AR$9:$AR103, $AP$10:$AP$258), ""), 0)),"")</f>
        <v/>
      </c>
      <c r="AS104" s="111" t="str">
        <f t="array" ref="AS104">IFERROR(INDEX($AP$10:$AP$258, MATCH(0, IF(TRUE=$AN$10:$AN$258, COUNTIF($AS$9:$AS103, $AP$10:$AP$258), ""), 0)),"")</f>
        <v/>
      </c>
      <c r="AT104" s="903" t="str">
        <f>IF(AND(OR(AD104="Yes",AD104="Pending"),Q104='G-7 WaterC'' Data'!$G$4),U104-AA104-Z104,"0")</f>
        <v>0</v>
      </c>
      <c r="AU104" s="30" t="str">
        <f>IF(D104="","",VLOOKUP(D104,'G-7 WaterC'' Data'!B$4:M$8,12,FALSE))</f>
        <v/>
      </c>
      <c r="AV104" s="30" t="str">
        <f t="shared" si="12"/>
        <v/>
      </c>
      <c r="AW104" s="30" t="str">
        <f t="shared" si="22"/>
        <v>No</v>
      </c>
      <c r="BA104" s="571" t="str">
        <f t="shared" si="23"/>
        <v/>
      </c>
    </row>
    <row r="105" spans="3:53" ht="14.4" thickBot="1" x14ac:dyDescent="0.3">
      <c r="C105" s="101">
        <v>96</v>
      </c>
      <c r="D105" s="269"/>
      <c r="E105" s="108"/>
      <c r="F105" s="281" t="str">
        <f>IF(D105="","",VLOOKUP(D105,'G-7 WaterC'' Data'!$B$2:$G$8,2,FALSE))</f>
        <v/>
      </c>
      <c r="G105" s="320" t="str">
        <f>IFERROR(VLOOKUP(F105,'G-7 WaterC'' Data'!$C$4:$D$8,2,FALSE),"")</f>
        <v/>
      </c>
      <c r="H105" s="109"/>
      <c r="I105" s="305" t="str">
        <f>IFERROR(INDEX('G-7 WaterC'' Data'!$H$4:$L$8,MATCH(D105,'G-7 WaterC'' Data'!$B$4:$B$8,0),MATCH(H105,'G-7 WaterC'' Data'!$H$3:$L$3,0)),"")</f>
        <v/>
      </c>
      <c r="J105" s="718"/>
      <c r="K105" s="301" t="str">
        <f>IF(J105="","",IF(VLOOKUP(J105,'G-7 WaterC'' Data'!$AK$4:$AM$9,2,FALSE)=0,"Spatial Data Missing ⚠",VLOOKUP(J105,'G-7 WaterC'' Data'!$AK$4:$AM$6,2,FALSE)))</f>
        <v/>
      </c>
      <c r="L105" s="305" t="str">
        <f>IF(J105="","",IF(VLOOKUP(J105,'G-7 WaterC'' Data'!$AK$4:$AM$9,3,FALSE)=0,"Spatial Data Missing ⚠",VLOOKUP(J105,'G-7 WaterC'' Data'!$AK$4:$AM$6,3,FALSE)))</f>
        <v/>
      </c>
      <c r="M105" s="106"/>
      <c r="N105" s="282" t="str">
        <f>IF(M105="","",IF(AND(M105="N/A - Culvert",D105&lt;&gt;"Culvert"),"Not possible ▲",IF(AND(D105="Culvert",M105&lt;&gt;"N/A - Culvert"),"Not possible ▲",IF(VLOOKUP(M105,'G-7 WaterC'' Data'!$AA$4:$AB$7,2,FALSE)=0,"Spatial Data Missing ⚠",VLOOKUP(M105,'G-7 WaterC'' Data'!$AA$4:$AB$7,2,FALSE)))))</f>
        <v/>
      </c>
      <c r="O105" s="56"/>
      <c r="P105" s="282" t="str">
        <f>IF(O105="","",IF(AND(O105="N/A - Culvert",D105&lt;&gt;"Culvert"),"Not possible ▲",IF(AND(D105="Culvert",O105&lt;&gt;"N/A - Culvert"),"Not possible ▲",IF(VLOOKUP(O105,'G-7 WaterC'' Data'!$AD$4:$AE$14,2,FALSE)=0,"Spatial Data Missing ⚠",VLOOKUP(O105,'G-7 WaterC'' Data'!$AD$4:$AE$14,2,FALSE)))))</f>
        <v/>
      </c>
      <c r="Q105" s="288" t="str">
        <f>IF(D105="","",VLOOKUP(D105,'G-7 WaterC'' Data'!$B$4:$G$8,6,FALSE))</f>
        <v/>
      </c>
      <c r="R105" s="295" t="str">
        <f t="shared" si="13"/>
        <v xml:space="preserve"> </v>
      </c>
      <c r="S105" s="403"/>
      <c r="T105" s="287" t="str">
        <f>IF(S105="","",IF(VLOOKUP(S105,'G-7 WaterC'' Data'!$AO$4:$BO$7,2,FALSE)=0,"Spatial Data Missing ⚠",VLOOKUP(S105,'G-7 WaterC'' Data'!$AO$4:$BO$7,2,FALSE)))</f>
        <v/>
      </c>
      <c r="U105" s="295" t="str">
        <f t="shared" si="14"/>
        <v xml:space="preserve"> </v>
      </c>
      <c r="V105" s="710" t="str">
        <f t="shared" si="15"/>
        <v/>
      </c>
      <c r="W105" s="32"/>
      <c r="X105" s="105"/>
      <c r="Y105" s="112"/>
      <c r="Z105" s="293" t="str">
        <f t="shared" si="16"/>
        <v/>
      </c>
      <c r="AA105" s="293" t="str">
        <f t="shared" si="17"/>
        <v/>
      </c>
      <c r="AB105" s="293" t="str">
        <f t="shared" si="18"/>
        <v/>
      </c>
      <c r="AC105" s="507" t="str">
        <f>IFERROR(IF(OR(E105="",R105=""),"", IF(AND(AB105&lt;&gt;"",S105=""), "Spatial risk category missing ▲", IF(AND(Q105='G-7 WaterC'' Data'!$G$4,AD105="Yes"),"Alternative Compensation ✓", IF(AND(AD105="Pending", Q105='G-7 WaterC'' Data'!$G$4),"Bespoke compensation must be agreed ▲", IF((Z105+AA105)&gt;=U105,0, U105-Z105-AA105))))),"Check Data ⚠")</f>
        <v/>
      </c>
      <c r="AD105" s="403"/>
      <c r="AE105" s="109"/>
      <c r="AF105" s="108"/>
      <c r="AG105" s="108"/>
      <c r="AH105" s="108"/>
      <c r="AI105" s="54" t="str">
        <f>IF(OR(Q105="",AD105="Yes"),"",IF(Q105='G-1 All Habitats'!$X$9,E105-Y105-X105,"None"))</f>
        <v/>
      </c>
      <c r="AJ105" s="55" t="str">
        <f>IF(Q105="","", IF(Q105='G-1 All Habitats'!$X$9, AI105*G105*I105*L105*N105*P105,"None"))</f>
        <v/>
      </c>
      <c r="AK105" s="30" t="str">
        <f>IFERROR(INDEX('G-7 WaterC'' Data'!$AZ$3:$AZ$7,MATCH(D105,'G-7 WaterC'' Data'!$AY$3:$AY$7,0)),"")</f>
        <v/>
      </c>
      <c r="AL105" s="30">
        <f t="shared" si="19"/>
        <v>0</v>
      </c>
      <c r="AM105" s="111" t="str">
        <f t="shared" si="20"/>
        <v/>
      </c>
      <c r="AN105" s="111" t="str">
        <f t="shared" si="21"/>
        <v/>
      </c>
      <c r="AP105" s="111">
        <v>96</v>
      </c>
      <c r="AR105" s="111" t="str">
        <f t="array" ref="AR105">IFERROR(INDEX($AP$10:$AP$258, MATCH(0, IF(TRUE=$AM$10:$AM$258, COUNTIF($AR$9:$AR104, $AP$10:$AP$258), ""), 0)),"")</f>
        <v/>
      </c>
      <c r="AS105" s="111" t="str">
        <f t="array" ref="AS105">IFERROR(INDEX($AP$10:$AP$258, MATCH(0, IF(TRUE=$AN$10:$AN$258, COUNTIF($AS$9:$AS104, $AP$10:$AP$258), ""), 0)),"")</f>
        <v/>
      </c>
      <c r="AT105" s="903" t="str">
        <f>IF(AND(OR(AD105="Yes",AD105="Pending"),Q105='G-7 WaterC'' Data'!$G$4),U105-AA105-Z105,"0")</f>
        <v>0</v>
      </c>
      <c r="AU105" s="30" t="str">
        <f>IF(D105="","",VLOOKUP(D105,'G-7 WaterC'' Data'!B$4:M$8,12,FALSE))</f>
        <v/>
      </c>
      <c r="AV105" s="30" t="str">
        <f t="shared" si="12"/>
        <v/>
      </c>
      <c r="AW105" s="30" t="str">
        <f t="shared" si="22"/>
        <v>No</v>
      </c>
      <c r="BA105" s="571" t="str">
        <f t="shared" si="23"/>
        <v/>
      </c>
    </row>
    <row r="106" spans="3:53" ht="14.4" thickBot="1" x14ac:dyDescent="0.3">
      <c r="C106" s="101">
        <v>97</v>
      </c>
      <c r="D106" s="269"/>
      <c r="E106" s="108"/>
      <c r="F106" s="281" t="str">
        <f>IF(D106="","",VLOOKUP(D106,'G-7 WaterC'' Data'!$B$2:$G$8,2,FALSE))</f>
        <v/>
      </c>
      <c r="G106" s="320" t="str">
        <f>IFERROR(VLOOKUP(F106,'G-7 WaterC'' Data'!$C$4:$D$8,2,FALSE),"")</f>
        <v/>
      </c>
      <c r="H106" s="109"/>
      <c r="I106" s="305" t="str">
        <f>IFERROR(INDEX('G-7 WaterC'' Data'!$H$4:$L$8,MATCH(D106,'G-7 WaterC'' Data'!$B$4:$B$8,0),MATCH(H106,'G-7 WaterC'' Data'!$H$3:$L$3,0)),"")</f>
        <v/>
      </c>
      <c r="J106" s="718"/>
      <c r="K106" s="301" t="str">
        <f>IF(J106="","",IF(VLOOKUP(J106,'G-7 WaterC'' Data'!$AK$4:$AM$9,2,FALSE)=0,"Spatial Data Missing ⚠",VLOOKUP(J106,'G-7 WaterC'' Data'!$AK$4:$AM$6,2,FALSE)))</f>
        <v/>
      </c>
      <c r="L106" s="305" t="str">
        <f>IF(J106="","",IF(VLOOKUP(J106,'G-7 WaterC'' Data'!$AK$4:$AM$9,3,FALSE)=0,"Spatial Data Missing ⚠",VLOOKUP(J106,'G-7 WaterC'' Data'!$AK$4:$AM$6,3,FALSE)))</f>
        <v/>
      </c>
      <c r="M106" s="106"/>
      <c r="N106" s="282" t="str">
        <f>IF(M106="","",IF(AND(M106="N/A - Culvert",D106&lt;&gt;"Culvert"),"Not possible ▲",IF(AND(D106="Culvert",M106&lt;&gt;"N/A - Culvert"),"Not possible ▲",IF(VLOOKUP(M106,'G-7 WaterC'' Data'!$AA$4:$AB$7,2,FALSE)=0,"Spatial Data Missing ⚠",VLOOKUP(M106,'G-7 WaterC'' Data'!$AA$4:$AB$7,2,FALSE)))))</f>
        <v/>
      </c>
      <c r="O106" s="56"/>
      <c r="P106" s="282" t="str">
        <f>IF(O106="","",IF(AND(O106="N/A - Culvert",D106&lt;&gt;"Culvert"),"Not possible ▲",IF(AND(D106="Culvert",O106&lt;&gt;"N/A - Culvert"),"Not possible ▲",IF(VLOOKUP(O106,'G-7 WaterC'' Data'!$AD$4:$AE$14,2,FALSE)=0,"Spatial Data Missing ⚠",VLOOKUP(O106,'G-7 WaterC'' Data'!$AD$4:$AE$14,2,FALSE)))))</f>
        <v/>
      </c>
      <c r="Q106" s="288" t="str">
        <f>IF(D106="","",VLOOKUP(D106,'G-7 WaterC'' Data'!$B$4:$G$8,6,FALSE))</f>
        <v/>
      </c>
      <c r="R106" s="295" t="str">
        <f t="shared" si="13"/>
        <v xml:space="preserve"> </v>
      </c>
      <c r="S106" s="403"/>
      <c r="T106" s="287" t="str">
        <f>IF(S106="","",IF(VLOOKUP(S106,'G-7 WaterC'' Data'!$AO$4:$BO$7,2,FALSE)=0,"Spatial Data Missing ⚠",VLOOKUP(S106,'G-7 WaterC'' Data'!$AO$4:$BO$7,2,FALSE)))</f>
        <v/>
      </c>
      <c r="U106" s="295" t="str">
        <f t="shared" si="14"/>
        <v xml:space="preserve"> </v>
      </c>
      <c r="V106" s="710" t="str">
        <f t="shared" si="15"/>
        <v/>
      </c>
      <c r="W106" s="32"/>
      <c r="X106" s="105"/>
      <c r="Y106" s="112"/>
      <c r="Z106" s="293" t="str">
        <f t="shared" si="16"/>
        <v/>
      </c>
      <c r="AA106" s="293" t="str">
        <f t="shared" si="17"/>
        <v/>
      </c>
      <c r="AB106" s="293" t="str">
        <f t="shared" si="18"/>
        <v/>
      </c>
      <c r="AC106" s="507" t="str">
        <f>IFERROR(IF(OR(E106="",R106=""),"", IF(AND(AB106&lt;&gt;"",S106=""), "Spatial risk category missing ▲", IF(AND(Q106='G-7 WaterC'' Data'!$G$4,AD106="Yes"),"Alternative Compensation ✓", IF(AND(AD106="Pending", Q106='G-7 WaterC'' Data'!$G$4),"Bespoke compensation must be agreed ▲", IF((Z106+AA106)&gt;=U106,0, U106-Z106-AA106))))),"Check Data ⚠")</f>
        <v/>
      </c>
      <c r="AD106" s="403"/>
      <c r="AE106" s="109"/>
      <c r="AF106" s="108"/>
      <c r="AG106" s="108"/>
      <c r="AH106" s="108"/>
      <c r="AI106" s="54" t="str">
        <f>IF(OR(Q106="",AD106="Yes"),"",IF(Q106='G-1 All Habitats'!$X$9,E106-Y106-X106,"None"))</f>
        <v/>
      </c>
      <c r="AJ106" s="55" t="str">
        <f>IF(Q106="","", IF(Q106='G-1 All Habitats'!$X$9, AI106*G106*I106*L106*N106*P106,"None"))</f>
        <v/>
      </c>
      <c r="AK106" s="30" t="str">
        <f>IFERROR(INDEX('G-7 WaterC'' Data'!$AZ$3:$AZ$7,MATCH(D106,'G-7 WaterC'' Data'!$AY$3:$AY$7,0)),"")</f>
        <v/>
      </c>
      <c r="AL106" s="30">
        <f t="shared" si="19"/>
        <v>0</v>
      </c>
      <c r="AM106" s="111" t="str">
        <f t="shared" si="20"/>
        <v/>
      </c>
      <c r="AN106" s="111" t="str">
        <f t="shared" si="21"/>
        <v/>
      </c>
      <c r="AP106" s="111">
        <v>97</v>
      </c>
      <c r="AR106" s="111" t="str">
        <f t="array" ref="AR106">IFERROR(INDEX($AP$10:$AP$258, MATCH(0, IF(TRUE=$AM$10:$AM$258, COUNTIF($AR$9:$AR105, $AP$10:$AP$258), ""), 0)),"")</f>
        <v/>
      </c>
      <c r="AS106" s="111" t="str">
        <f t="array" ref="AS106">IFERROR(INDEX($AP$10:$AP$258, MATCH(0, IF(TRUE=$AN$10:$AN$258, COUNTIF($AS$9:$AS105, $AP$10:$AP$258), ""), 0)),"")</f>
        <v/>
      </c>
      <c r="AT106" s="903" t="str">
        <f>IF(AND(OR(AD106="Yes",AD106="Pending"),Q106='G-7 WaterC'' Data'!$G$4),U106-AA106-Z106,"0")</f>
        <v>0</v>
      </c>
      <c r="AU106" s="30" t="str">
        <f>IF(D106="","",VLOOKUP(D106,'G-7 WaterC'' Data'!B$4:M$8,12,FALSE))</f>
        <v/>
      </c>
      <c r="AV106" s="30" t="str">
        <f t="shared" si="12"/>
        <v/>
      </c>
      <c r="AW106" s="30" t="str">
        <f t="shared" si="22"/>
        <v>No</v>
      </c>
      <c r="BA106" s="571" t="str">
        <f t="shared" si="23"/>
        <v/>
      </c>
    </row>
    <row r="107" spans="3:53" ht="14.4" thickBot="1" x14ac:dyDescent="0.3">
      <c r="C107" s="101">
        <v>98</v>
      </c>
      <c r="D107" s="269"/>
      <c r="E107" s="108"/>
      <c r="F107" s="281" t="str">
        <f>IF(D107="","",VLOOKUP(D107,'G-7 WaterC'' Data'!$B$2:$G$8,2,FALSE))</f>
        <v/>
      </c>
      <c r="G107" s="320" t="str">
        <f>IFERROR(VLOOKUP(F107,'G-7 WaterC'' Data'!$C$4:$D$8,2,FALSE),"")</f>
        <v/>
      </c>
      <c r="H107" s="109"/>
      <c r="I107" s="305" t="str">
        <f>IFERROR(INDEX('G-7 WaterC'' Data'!$H$4:$L$8,MATCH(D107,'G-7 WaterC'' Data'!$B$4:$B$8,0),MATCH(H107,'G-7 WaterC'' Data'!$H$3:$L$3,0)),"")</f>
        <v/>
      </c>
      <c r="J107" s="718"/>
      <c r="K107" s="301" t="str">
        <f>IF(J107="","",IF(VLOOKUP(J107,'G-7 WaterC'' Data'!$AK$4:$AM$9,2,FALSE)=0,"Spatial Data Missing ⚠",VLOOKUP(J107,'G-7 WaterC'' Data'!$AK$4:$AM$6,2,FALSE)))</f>
        <v/>
      </c>
      <c r="L107" s="305" t="str">
        <f>IF(J107="","",IF(VLOOKUP(J107,'G-7 WaterC'' Data'!$AK$4:$AM$9,3,FALSE)=0,"Spatial Data Missing ⚠",VLOOKUP(J107,'G-7 WaterC'' Data'!$AK$4:$AM$6,3,FALSE)))</f>
        <v/>
      </c>
      <c r="M107" s="106"/>
      <c r="N107" s="282" t="str">
        <f>IF(M107="","",IF(AND(M107="N/A - Culvert",D107&lt;&gt;"Culvert"),"Not possible ▲",IF(AND(D107="Culvert",M107&lt;&gt;"N/A - Culvert"),"Not possible ▲",IF(VLOOKUP(M107,'G-7 WaterC'' Data'!$AA$4:$AB$7,2,FALSE)=0,"Spatial Data Missing ⚠",VLOOKUP(M107,'G-7 WaterC'' Data'!$AA$4:$AB$7,2,FALSE)))))</f>
        <v/>
      </c>
      <c r="O107" s="56"/>
      <c r="P107" s="282" t="str">
        <f>IF(O107="","",IF(AND(O107="N/A - Culvert",D107&lt;&gt;"Culvert"),"Not possible ▲",IF(AND(D107="Culvert",O107&lt;&gt;"N/A - Culvert"),"Not possible ▲",IF(VLOOKUP(O107,'G-7 WaterC'' Data'!$AD$4:$AE$14,2,FALSE)=0,"Spatial Data Missing ⚠",VLOOKUP(O107,'G-7 WaterC'' Data'!$AD$4:$AE$14,2,FALSE)))))</f>
        <v/>
      </c>
      <c r="Q107" s="288" t="str">
        <f>IF(D107="","",VLOOKUP(D107,'G-7 WaterC'' Data'!$B$4:$G$8,6,FALSE))</f>
        <v/>
      </c>
      <c r="R107" s="295" t="str">
        <f t="shared" si="13"/>
        <v xml:space="preserve"> </v>
      </c>
      <c r="S107" s="403"/>
      <c r="T107" s="287" t="str">
        <f>IF(S107="","",IF(VLOOKUP(S107,'G-7 WaterC'' Data'!$AO$4:$BO$7,2,FALSE)=0,"Spatial Data Missing ⚠",VLOOKUP(S107,'G-7 WaterC'' Data'!$AO$4:$BO$7,2,FALSE)))</f>
        <v/>
      </c>
      <c r="U107" s="295" t="str">
        <f t="shared" si="14"/>
        <v xml:space="preserve"> </v>
      </c>
      <c r="V107" s="710" t="str">
        <f t="shared" si="15"/>
        <v/>
      </c>
      <c r="W107" s="32"/>
      <c r="X107" s="105"/>
      <c r="Y107" s="112"/>
      <c r="Z107" s="293" t="str">
        <f t="shared" si="16"/>
        <v/>
      </c>
      <c r="AA107" s="293" t="str">
        <f t="shared" si="17"/>
        <v/>
      </c>
      <c r="AB107" s="293" t="str">
        <f t="shared" si="18"/>
        <v/>
      </c>
      <c r="AC107" s="507" t="str">
        <f>IFERROR(IF(OR(E107="",R107=""),"", IF(AND(AB107&lt;&gt;"",S107=""), "Spatial risk category missing ▲", IF(AND(Q107='G-7 WaterC'' Data'!$G$4,AD107="Yes"),"Alternative Compensation ✓", IF(AND(AD107="Pending", Q107='G-7 WaterC'' Data'!$G$4),"Bespoke compensation must be agreed ▲", IF((Z107+AA107)&gt;=U107,0, U107-Z107-AA107))))),"Check Data ⚠")</f>
        <v/>
      </c>
      <c r="AD107" s="403"/>
      <c r="AE107" s="109"/>
      <c r="AF107" s="108"/>
      <c r="AG107" s="108"/>
      <c r="AH107" s="108"/>
      <c r="AI107" s="54" t="str">
        <f>IF(OR(Q107="",AD107="Yes"),"",IF(Q107='G-1 All Habitats'!$X$9,E107-Y107-X107,"None"))</f>
        <v/>
      </c>
      <c r="AJ107" s="55" t="str">
        <f>IF(Q107="","", IF(Q107='G-1 All Habitats'!$X$9, AI107*G107*I107*L107*N107*P107,"None"))</f>
        <v/>
      </c>
      <c r="AK107" s="30" t="str">
        <f>IFERROR(INDEX('G-7 WaterC'' Data'!$AZ$3:$AZ$7,MATCH(D107,'G-7 WaterC'' Data'!$AY$3:$AY$7,0)),"")</f>
        <v/>
      </c>
      <c r="AL107" s="30">
        <f t="shared" si="19"/>
        <v>0</v>
      </c>
      <c r="AM107" s="111" t="str">
        <f t="shared" si="20"/>
        <v/>
      </c>
      <c r="AN107" s="111" t="str">
        <f t="shared" si="21"/>
        <v/>
      </c>
      <c r="AP107" s="111">
        <v>98</v>
      </c>
      <c r="AR107" s="111" t="str">
        <f t="array" ref="AR107">IFERROR(INDEX($AP$10:$AP$258, MATCH(0, IF(TRUE=$AM$10:$AM$258, COUNTIF($AR$9:$AR106, $AP$10:$AP$258), ""), 0)),"")</f>
        <v/>
      </c>
      <c r="AS107" s="111" t="str">
        <f t="array" ref="AS107">IFERROR(INDEX($AP$10:$AP$258, MATCH(0, IF(TRUE=$AN$10:$AN$258, COUNTIF($AS$9:$AS106, $AP$10:$AP$258), ""), 0)),"")</f>
        <v/>
      </c>
      <c r="AT107" s="903" t="str">
        <f>IF(AND(OR(AD107="Yes",AD107="Pending"),Q107='G-7 WaterC'' Data'!$G$4),U107-AA107-Z107,"0")</f>
        <v>0</v>
      </c>
      <c r="AU107" s="30" t="str">
        <f>IF(D107="","",VLOOKUP(D107,'G-7 WaterC'' Data'!B$4:M$8,12,FALSE))</f>
        <v/>
      </c>
      <c r="AV107" s="30" t="str">
        <f t="shared" si="12"/>
        <v/>
      </c>
      <c r="AW107" s="30" t="str">
        <f t="shared" si="22"/>
        <v>No</v>
      </c>
      <c r="BA107" s="571" t="str">
        <f t="shared" si="23"/>
        <v/>
      </c>
    </row>
    <row r="108" spans="3:53" ht="14.4" thickBot="1" x14ac:dyDescent="0.3">
      <c r="C108" s="101">
        <v>99</v>
      </c>
      <c r="D108" s="269"/>
      <c r="E108" s="108"/>
      <c r="F108" s="281" t="str">
        <f>IF(D108="","",VLOOKUP(D108,'G-7 WaterC'' Data'!$B$2:$G$8,2,FALSE))</f>
        <v/>
      </c>
      <c r="G108" s="320" t="str">
        <f>IFERROR(VLOOKUP(F108,'G-7 WaterC'' Data'!$C$4:$D$8,2,FALSE),"")</f>
        <v/>
      </c>
      <c r="H108" s="109"/>
      <c r="I108" s="305" t="str">
        <f>IFERROR(INDEX('G-7 WaterC'' Data'!$H$4:$L$8,MATCH(D108,'G-7 WaterC'' Data'!$B$4:$B$8,0),MATCH(H108,'G-7 WaterC'' Data'!$H$3:$L$3,0)),"")</f>
        <v/>
      </c>
      <c r="J108" s="718"/>
      <c r="K108" s="301" t="str">
        <f>IF(J108="","",IF(VLOOKUP(J108,'G-7 WaterC'' Data'!$AK$4:$AM$9,2,FALSE)=0,"Spatial Data Missing ⚠",VLOOKUP(J108,'G-7 WaterC'' Data'!$AK$4:$AM$6,2,FALSE)))</f>
        <v/>
      </c>
      <c r="L108" s="305" t="str">
        <f>IF(J108="","",IF(VLOOKUP(J108,'G-7 WaterC'' Data'!$AK$4:$AM$9,3,FALSE)=0,"Spatial Data Missing ⚠",VLOOKUP(J108,'G-7 WaterC'' Data'!$AK$4:$AM$6,3,FALSE)))</f>
        <v/>
      </c>
      <c r="M108" s="106"/>
      <c r="N108" s="282" t="str">
        <f>IF(M108="","",IF(AND(M108="N/A - Culvert",D108&lt;&gt;"Culvert"),"Not possible ▲",IF(AND(D108="Culvert",M108&lt;&gt;"N/A - Culvert"),"Not possible ▲",IF(VLOOKUP(M108,'G-7 WaterC'' Data'!$AA$4:$AB$7,2,FALSE)=0,"Spatial Data Missing ⚠",VLOOKUP(M108,'G-7 WaterC'' Data'!$AA$4:$AB$7,2,FALSE)))))</f>
        <v/>
      </c>
      <c r="O108" s="56"/>
      <c r="P108" s="282" t="str">
        <f>IF(O108="","",IF(AND(O108="N/A - Culvert",D108&lt;&gt;"Culvert"),"Not possible ▲",IF(AND(D108="Culvert",O108&lt;&gt;"N/A - Culvert"),"Not possible ▲",IF(VLOOKUP(O108,'G-7 WaterC'' Data'!$AD$4:$AE$14,2,FALSE)=0,"Spatial Data Missing ⚠",VLOOKUP(O108,'G-7 WaterC'' Data'!$AD$4:$AE$14,2,FALSE)))))</f>
        <v/>
      </c>
      <c r="Q108" s="288" t="str">
        <f>IF(D108="","",VLOOKUP(D108,'G-7 WaterC'' Data'!$B$4:$G$8,6,FALSE))</f>
        <v/>
      </c>
      <c r="R108" s="295" t="str">
        <f t="shared" si="13"/>
        <v xml:space="preserve"> </v>
      </c>
      <c r="S108" s="403"/>
      <c r="T108" s="287" t="str">
        <f>IF(S108="","",IF(VLOOKUP(S108,'G-7 WaterC'' Data'!$AO$4:$BO$7,2,FALSE)=0,"Spatial Data Missing ⚠",VLOOKUP(S108,'G-7 WaterC'' Data'!$AO$4:$BO$7,2,FALSE)))</f>
        <v/>
      </c>
      <c r="U108" s="295" t="str">
        <f t="shared" si="14"/>
        <v xml:space="preserve"> </v>
      </c>
      <c r="V108" s="710" t="str">
        <f t="shared" si="15"/>
        <v/>
      </c>
      <c r="W108" s="32"/>
      <c r="X108" s="105"/>
      <c r="Y108" s="112"/>
      <c r="Z108" s="293" t="str">
        <f t="shared" si="16"/>
        <v/>
      </c>
      <c r="AA108" s="293" t="str">
        <f t="shared" si="17"/>
        <v/>
      </c>
      <c r="AB108" s="293" t="str">
        <f t="shared" si="18"/>
        <v/>
      </c>
      <c r="AC108" s="507" t="str">
        <f>IFERROR(IF(OR(E108="",R108=""),"", IF(AND(AB108&lt;&gt;"",S108=""), "Spatial risk category missing ▲", IF(AND(Q108='G-7 WaterC'' Data'!$G$4,AD108="Yes"),"Alternative Compensation ✓", IF(AND(AD108="Pending", Q108='G-7 WaterC'' Data'!$G$4),"Bespoke compensation must be agreed ▲", IF((Z108+AA108)&gt;=U108,0, U108-Z108-AA108))))),"Check Data ⚠")</f>
        <v/>
      </c>
      <c r="AD108" s="403"/>
      <c r="AE108" s="109"/>
      <c r="AF108" s="108"/>
      <c r="AG108" s="108"/>
      <c r="AH108" s="108"/>
      <c r="AI108" s="54" t="str">
        <f>IF(OR(Q108="",AD108="Yes"),"",IF(Q108='G-1 All Habitats'!$X$9,E108-Y108-X108,"None"))</f>
        <v/>
      </c>
      <c r="AJ108" s="55" t="str">
        <f>IF(Q108="","", IF(Q108='G-1 All Habitats'!$X$9, AI108*G108*I108*L108*N108*P108,"None"))</f>
        <v/>
      </c>
      <c r="AK108" s="30" t="str">
        <f>IFERROR(INDEX('G-7 WaterC'' Data'!$AZ$3:$AZ$7,MATCH(D108,'G-7 WaterC'' Data'!$AY$3:$AY$7,0)),"")</f>
        <v/>
      </c>
      <c r="AL108" s="30">
        <f t="shared" si="19"/>
        <v>0</v>
      </c>
      <c r="AM108" s="111" t="str">
        <f t="shared" si="20"/>
        <v/>
      </c>
      <c r="AN108" s="111" t="str">
        <f t="shared" si="21"/>
        <v/>
      </c>
      <c r="AP108" s="111">
        <v>99</v>
      </c>
      <c r="AR108" s="111" t="str">
        <f t="array" ref="AR108">IFERROR(INDEX($AP$10:$AP$258, MATCH(0, IF(TRUE=$AM$10:$AM$258, COUNTIF($AR$9:$AR107, $AP$10:$AP$258), ""), 0)),"")</f>
        <v/>
      </c>
      <c r="AS108" s="111" t="str">
        <f t="array" ref="AS108">IFERROR(INDEX($AP$10:$AP$258, MATCH(0, IF(TRUE=$AN$10:$AN$258, COUNTIF($AS$9:$AS107, $AP$10:$AP$258), ""), 0)),"")</f>
        <v/>
      </c>
      <c r="AT108" s="903" t="str">
        <f>IF(AND(OR(AD108="Yes",AD108="Pending"),Q108='G-7 WaterC'' Data'!$G$4),U108-AA108-Z108,"0")</f>
        <v>0</v>
      </c>
      <c r="AU108" s="30" t="str">
        <f>IF(D108="","",VLOOKUP(D108,'G-7 WaterC'' Data'!B$4:M$8,12,FALSE))</f>
        <v/>
      </c>
      <c r="AV108" s="30" t="str">
        <f t="shared" si="12"/>
        <v/>
      </c>
      <c r="AW108" s="30" t="str">
        <f t="shared" si="22"/>
        <v>No</v>
      </c>
      <c r="BA108" s="571" t="str">
        <f t="shared" si="23"/>
        <v/>
      </c>
    </row>
    <row r="109" spans="3:53" ht="14.4" thickBot="1" x14ac:dyDescent="0.3">
      <c r="C109" s="101">
        <v>100</v>
      </c>
      <c r="D109" s="269"/>
      <c r="E109" s="108"/>
      <c r="F109" s="281" t="str">
        <f>IF(D109="","",VLOOKUP(D109,'G-7 WaterC'' Data'!$B$2:$G$8,2,FALSE))</f>
        <v/>
      </c>
      <c r="G109" s="320" t="str">
        <f>IFERROR(VLOOKUP(F109,'G-7 WaterC'' Data'!$C$4:$D$8,2,FALSE),"")</f>
        <v/>
      </c>
      <c r="H109" s="109"/>
      <c r="I109" s="305" t="str">
        <f>IFERROR(INDEX('G-7 WaterC'' Data'!$H$4:$L$8,MATCH(D109,'G-7 WaterC'' Data'!$B$4:$B$8,0),MATCH(H109,'G-7 WaterC'' Data'!$H$3:$L$3,0)),"")</f>
        <v/>
      </c>
      <c r="J109" s="718"/>
      <c r="K109" s="301" t="str">
        <f>IF(J109="","",IF(VLOOKUP(J109,'G-7 WaterC'' Data'!$AK$4:$AM$9,2,FALSE)=0,"Spatial Data Missing ⚠",VLOOKUP(J109,'G-7 WaterC'' Data'!$AK$4:$AM$6,2,FALSE)))</f>
        <v/>
      </c>
      <c r="L109" s="305" t="str">
        <f>IF(J109="","",IF(VLOOKUP(J109,'G-7 WaterC'' Data'!$AK$4:$AM$9,3,FALSE)=0,"Spatial Data Missing ⚠",VLOOKUP(J109,'G-7 WaterC'' Data'!$AK$4:$AM$6,3,FALSE)))</f>
        <v/>
      </c>
      <c r="M109" s="106"/>
      <c r="N109" s="282" t="str">
        <f>IF(M109="","",IF(AND(M109="N/A - Culvert",D109&lt;&gt;"Culvert"),"Not possible ▲",IF(AND(D109="Culvert",M109&lt;&gt;"N/A - Culvert"),"Not possible ▲",IF(VLOOKUP(M109,'G-7 WaterC'' Data'!$AA$4:$AB$7,2,FALSE)=0,"Spatial Data Missing ⚠",VLOOKUP(M109,'G-7 WaterC'' Data'!$AA$4:$AB$7,2,FALSE)))))</f>
        <v/>
      </c>
      <c r="O109" s="56"/>
      <c r="P109" s="282" t="str">
        <f>IF(O109="","",IF(AND(O109="N/A - Culvert",D109&lt;&gt;"Culvert"),"Not possible ▲",IF(AND(D109="Culvert",O109&lt;&gt;"N/A - Culvert"),"Not possible ▲",IF(VLOOKUP(O109,'G-7 WaterC'' Data'!$AD$4:$AE$14,2,FALSE)=0,"Spatial Data Missing ⚠",VLOOKUP(O109,'G-7 WaterC'' Data'!$AD$4:$AE$14,2,FALSE)))))</f>
        <v/>
      </c>
      <c r="Q109" s="288" t="str">
        <f>IF(D109="","",VLOOKUP(D109,'G-7 WaterC'' Data'!$B$4:$G$8,6,FALSE))</f>
        <v/>
      </c>
      <c r="R109" s="295" t="str">
        <f t="shared" si="13"/>
        <v xml:space="preserve"> </v>
      </c>
      <c r="S109" s="403"/>
      <c r="T109" s="287" t="str">
        <f>IF(S109="","",IF(VLOOKUP(S109,'G-7 WaterC'' Data'!$AO$4:$BO$7,2,FALSE)=0,"Spatial Data Missing ⚠",VLOOKUP(S109,'G-7 WaterC'' Data'!$AO$4:$BO$7,2,FALSE)))</f>
        <v/>
      </c>
      <c r="U109" s="295" t="str">
        <f t="shared" si="14"/>
        <v xml:space="preserve"> </v>
      </c>
      <c r="V109" s="710" t="str">
        <f t="shared" si="15"/>
        <v/>
      </c>
      <c r="W109" s="32"/>
      <c r="X109" s="105"/>
      <c r="Y109" s="112"/>
      <c r="Z109" s="293" t="str">
        <f t="shared" si="16"/>
        <v/>
      </c>
      <c r="AA109" s="293" t="str">
        <f t="shared" si="17"/>
        <v/>
      </c>
      <c r="AB109" s="293" t="str">
        <f t="shared" si="18"/>
        <v/>
      </c>
      <c r="AC109" s="507" t="str">
        <f>IFERROR(IF(OR(E109="",R109=""),"", IF(AND(AB109&lt;&gt;"",S109=""), "Spatial risk category missing ▲", IF(AND(Q109='G-7 WaterC'' Data'!$G$4,AD109="Yes"),"Alternative Compensation ✓", IF(AND(AD109="Pending", Q109='G-7 WaterC'' Data'!$G$4),"Bespoke compensation must be agreed ▲", IF((Z109+AA109)&gt;=U109,0, U109-Z109-AA109))))),"Check Data ⚠")</f>
        <v/>
      </c>
      <c r="AD109" s="403"/>
      <c r="AE109" s="109"/>
      <c r="AF109" s="108"/>
      <c r="AG109" s="108"/>
      <c r="AH109" s="108"/>
      <c r="AI109" s="54" t="str">
        <f>IF(OR(Q109="",AD109="Yes"),"",IF(Q109='G-1 All Habitats'!$X$9,E109-Y109-X109,"None"))</f>
        <v/>
      </c>
      <c r="AJ109" s="55" t="str">
        <f>IF(Q109="","", IF(Q109='G-1 All Habitats'!$X$9, AI109*G109*I109*L109*N109*P109,"None"))</f>
        <v/>
      </c>
      <c r="AK109" s="30" t="str">
        <f>IFERROR(INDEX('G-7 WaterC'' Data'!$AZ$3:$AZ$7,MATCH(D109,'G-7 WaterC'' Data'!$AY$3:$AY$7,0)),"")</f>
        <v/>
      </c>
      <c r="AL109" s="30">
        <f t="shared" si="19"/>
        <v>0</v>
      </c>
      <c r="AM109" s="111" t="str">
        <f t="shared" si="20"/>
        <v/>
      </c>
      <c r="AN109" s="111" t="str">
        <f t="shared" si="21"/>
        <v/>
      </c>
      <c r="AP109" s="111">
        <v>100</v>
      </c>
      <c r="AR109" s="111" t="str">
        <f t="array" ref="AR109">IFERROR(INDEX($AP$10:$AP$258, MATCH(0, IF(TRUE=$AM$10:$AM$258, COUNTIF($AR$9:$AR108, $AP$10:$AP$258), ""), 0)),"")</f>
        <v/>
      </c>
      <c r="AS109" s="111" t="str">
        <f t="array" ref="AS109">IFERROR(INDEX($AP$10:$AP$258, MATCH(0, IF(TRUE=$AN$10:$AN$258, COUNTIF($AS$9:$AS108, $AP$10:$AP$258), ""), 0)),"")</f>
        <v/>
      </c>
      <c r="AT109" s="903" t="str">
        <f>IF(AND(OR(AD109="Yes",AD109="Pending"),Q109='G-7 WaterC'' Data'!$G$4),U109-AA109-Z109,"0")</f>
        <v>0</v>
      </c>
      <c r="AU109" s="30" t="str">
        <f>IF(D109="","",VLOOKUP(D109,'G-7 WaterC'' Data'!B$4:M$8,12,FALSE))</f>
        <v/>
      </c>
      <c r="AV109" s="30" t="str">
        <f t="shared" si="12"/>
        <v/>
      </c>
      <c r="AW109" s="30" t="str">
        <f t="shared" si="22"/>
        <v>No</v>
      </c>
      <c r="BA109" s="571" t="str">
        <f t="shared" si="23"/>
        <v/>
      </c>
    </row>
    <row r="110" spans="3:53" ht="14.4" thickBot="1" x14ac:dyDescent="0.3">
      <c r="C110" s="101">
        <v>101</v>
      </c>
      <c r="D110" s="269"/>
      <c r="E110" s="108"/>
      <c r="F110" s="281" t="str">
        <f>IF(D110="","",VLOOKUP(D110,'G-7 WaterC'' Data'!$B$2:$G$8,2,FALSE))</f>
        <v/>
      </c>
      <c r="G110" s="320" t="str">
        <f>IFERROR(VLOOKUP(F110,'G-7 WaterC'' Data'!$C$4:$D$8,2,FALSE),"")</f>
        <v/>
      </c>
      <c r="H110" s="109"/>
      <c r="I110" s="305" t="str">
        <f>IFERROR(INDEX('G-7 WaterC'' Data'!$H$4:$L$8,MATCH(D110,'G-7 WaterC'' Data'!$B$4:$B$8,0),MATCH(H110,'G-7 WaterC'' Data'!$H$3:$L$3,0)),"")</f>
        <v/>
      </c>
      <c r="J110" s="718"/>
      <c r="K110" s="301" t="str">
        <f>IF(J110="","",IF(VLOOKUP(J110,'G-7 WaterC'' Data'!$AK$4:$AM$9,2,FALSE)=0,"Spatial Data Missing ⚠",VLOOKUP(J110,'G-7 WaterC'' Data'!$AK$4:$AM$6,2,FALSE)))</f>
        <v/>
      </c>
      <c r="L110" s="305" t="str">
        <f>IF(J110="","",IF(VLOOKUP(J110,'G-7 WaterC'' Data'!$AK$4:$AM$9,3,FALSE)=0,"Spatial Data Missing ⚠",VLOOKUP(J110,'G-7 WaterC'' Data'!$AK$4:$AM$6,3,FALSE)))</f>
        <v/>
      </c>
      <c r="M110" s="106"/>
      <c r="N110" s="282" t="str">
        <f>IF(M110="","",IF(AND(M110="N/A - Culvert",D110&lt;&gt;"Culvert"),"Not possible ▲",IF(AND(D110="Culvert",M110&lt;&gt;"N/A - Culvert"),"Not possible ▲",IF(VLOOKUP(M110,'G-7 WaterC'' Data'!$AA$4:$AB$7,2,FALSE)=0,"Spatial Data Missing ⚠",VLOOKUP(M110,'G-7 WaterC'' Data'!$AA$4:$AB$7,2,FALSE)))))</f>
        <v/>
      </c>
      <c r="O110" s="56"/>
      <c r="P110" s="282" t="str">
        <f>IF(O110="","",IF(AND(O110="N/A - Culvert",D110&lt;&gt;"Culvert"),"Not possible ▲",IF(AND(D110="Culvert",O110&lt;&gt;"N/A - Culvert"),"Not possible ▲",IF(VLOOKUP(O110,'G-7 WaterC'' Data'!$AD$4:$AE$14,2,FALSE)=0,"Spatial Data Missing ⚠",VLOOKUP(O110,'G-7 WaterC'' Data'!$AD$4:$AE$14,2,FALSE)))))</f>
        <v/>
      </c>
      <c r="Q110" s="288" t="str">
        <f>IF(D110="","",VLOOKUP(D110,'G-7 WaterC'' Data'!$B$4:$G$8,6,FALSE))</f>
        <v/>
      </c>
      <c r="R110" s="295" t="str">
        <f t="shared" si="13"/>
        <v xml:space="preserve"> </v>
      </c>
      <c r="S110" s="403"/>
      <c r="T110" s="287" t="str">
        <f>IF(S110="","",IF(VLOOKUP(S110,'G-7 WaterC'' Data'!$AO$4:$BO$7,2,FALSE)=0,"Spatial Data Missing ⚠",VLOOKUP(S110,'G-7 WaterC'' Data'!$AO$4:$BO$7,2,FALSE)))</f>
        <v/>
      </c>
      <c r="U110" s="295" t="str">
        <f t="shared" si="14"/>
        <v xml:space="preserve"> </v>
      </c>
      <c r="V110" s="710" t="str">
        <f t="shared" si="15"/>
        <v/>
      </c>
      <c r="W110" s="32"/>
      <c r="X110" s="105"/>
      <c r="Y110" s="112"/>
      <c r="Z110" s="293" t="str">
        <f t="shared" si="16"/>
        <v/>
      </c>
      <c r="AA110" s="293" t="str">
        <f t="shared" si="17"/>
        <v/>
      </c>
      <c r="AB110" s="293" t="str">
        <f t="shared" si="18"/>
        <v/>
      </c>
      <c r="AC110" s="507" t="str">
        <f>IFERROR(IF(OR(E110="",R110=""),"", IF(AND(AB110&lt;&gt;"",S110=""), "Spatial risk category missing ▲", IF(AND(Q110='G-7 WaterC'' Data'!$G$4,AD110="Yes"),"Alternative Compensation ✓", IF(AND(AD110="Pending", Q110='G-7 WaterC'' Data'!$G$4),"Bespoke compensation must be agreed ▲", IF((Z110+AA110)&gt;=U110,0, U110-Z110-AA110))))),"Check Data ⚠")</f>
        <v/>
      </c>
      <c r="AD110" s="403"/>
      <c r="AE110" s="109"/>
      <c r="AF110" s="108"/>
      <c r="AG110" s="108"/>
      <c r="AH110" s="108"/>
      <c r="AI110" s="54" t="str">
        <f>IF(OR(Q110="",AD110="Yes"),"",IF(Q110='G-1 All Habitats'!$X$9,E110-Y110-X110,"None"))</f>
        <v/>
      </c>
      <c r="AJ110" s="55" t="str">
        <f>IF(Q110="","", IF(Q110='G-1 All Habitats'!$X$9, AI110*G110*I110*L110*N110*P110,"None"))</f>
        <v/>
      </c>
      <c r="AK110" s="30" t="str">
        <f>IFERROR(INDEX('G-7 WaterC'' Data'!$AZ$3:$AZ$7,MATCH(D110,'G-7 WaterC'' Data'!$AY$3:$AY$7,0)),"")</f>
        <v/>
      </c>
      <c r="AL110" s="30">
        <f t="shared" si="19"/>
        <v>0</v>
      </c>
      <c r="AM110" s="111" t="str">
        <f t="shared" si="20"/>
        <v/>
      </c>
      <c r="AN110" s="111" t="str">
        <f t="shared" si="21"/>
        <v/>
      </c>
      <c r="AP110" s="111">
        <v>101</v>
      </c>
      <c r="AR110" s="111" t="str">
        <f t="array" ref="AR110">IFERROR(INDEX($AP$10:$AP$258, MATCH(0, IF(TRUE=$AM$10:$AM$258, COUNTIF($AR$9:$AR109, $AP$10:$AP$258), ""), 0)),"")</f>
        <v/>
      </c>
      <c r="AS110" s="111" t="str">
        <f t="array" ref="AS110">IFERROR(INDEX($AP$10:$AP$258, MATCH(0, IF(TRUE=$AN$10:$AN$258, COUNTIF($AS$9:$AS109, $AP$10:$AP$258), ""), 0)),"")</f>
        <v/>
      </c>
      <c r="AT110" s="903" t="str">
        <f>IF(AND(OR(AD110="Yes",AD110="Pending"),Q110='G-7 WaterC'' Data'!$G$4),U110-AA110-Z110,"0")</f>
        <v>0</v>
      </c>
      <c r="AU110" s="30" t="str">
        <f>IF(D110="","",VLOOKUP(D110,'G-7 WaterC'' Data'!B$4:M$8,12,FALSE))</f>
        <v/>
      </c>
      <c r="AV110" s="30" t="str">
        <f t="shared" si="12"/>
        <v/>
      </c>
      <c r="AW110" s="30" t="str">
        <f t="shared" si="22"/>
        <v>No</v>
      </c>
      <c r="BA110" s="571" t="str">
        <f t="shared" si="23"/>
        <v/>
      </c>
    </row>
    <row r="111" spans="3:53" ht="14.4" thickBot="1" x14ac:dyDescent="0.3">
      <c r="C111" s="101">
        <v>102</v>
      </c>
      <c r="D111" s="269"/>
      <c r="E111" s="108"/>
      <c r="F111" s="281" t="str">
        <f>IF(D111="","",VLOOKUP(D111,'G-7 WaterC'' Data'!$B$2:$G$8,2,FALSE))</f>
        <v/>
      </c>
      <c r="G111" s="320" t="str">
        <f>IFERROR(VLOOKUP(F111,'G-7 WaterC'' Data'!$C$4:$D$8,2,FALSE),"")</f>
        <v/>
      </c>
      <c r="H111" s="109"/>
      <c r="I111" s="305" t="str">
        <f>IFERROR(INDEX('G-7 WaterC'' Data'!$H$4:$L$8,MATCH(D111,'G-7 WaterC'' Data'!$B$4:$B$8,0),MATCH(H111,'G-7 WaterC'' Data'!$H$3:$L$3,0)),"")</f>
        <v/>
      </c>
      <c r="J111" s="718"/>
      <c r="K111" s="301" t="str">
        <f>IF(J111="","",IF(VLOOKUP(J111,'G-7 WaterC'' Data'!$AK$4:$AM$9,2,FALSE)=0,"Spatial Data Missing ⚠",VLOOKUP(J111,'G-7 WaterC'' Data'!$AK$4:$AM$6,2,FALSE)))</f>
        <v/>
      </c>
      <c r="L111" s="305" t="str">
        <f>IF(J111="","",IF(VLOOKUP(J111,'G-7 WaterC'' Data'!$AK$4:$AM$9,3,FALSE)=0,"Spatial Data Missing ⚠",VLOOKUP(J111,'G-7 WaterC'' Data'!$AK$4:$AM$6,3,FALSE)))</f>
        <v/>
      </c>
      <c r="M111" s="106"/>
      <c r="N111" s="282" t="str">
        <f>IF(M111="","",IF(AND(M111="N/A - Culvert",D111&lt;&gt;"Culvert"),"Not possible ▲",IF(AND(D111="Culvert",M111&lt;&gt;"N/A - Culvert"),"Not possible ▲",IF(VLOOKUP(M111,'G-7 WaterC'' Data'!$AA$4:$AB$7,2,FALSE)=0,"Spatial Data Missing ⚠",VLOOKUP(M111,'G-7 WaterC'' Data'!$AA$4:$AB$7,2,FALSE)))))</f>
        <v/>
      </c>
      <c r="O111" s="56"/>
      <c r="P111" s="282" t="str">
        <f>IF(O111="","",IF(AND(O111="N/A - Culvert",D111&lt;&gt;"Culvert"),"Not possible ▲",IF(AND(D111="Culvert",O111&lt;&gt;"N/A - Culvert"),"Not possible ▲",IF(VLOOKUP(O111,'G-7 WaterC'' Data'!$AD$4:$AE$14,2,FALSE)=0,"Spatial Data Missing ⚠",VLOOKUP(O111,'G-7 WaterC'' Data'!$AD$4:$AE$14,2,FALSE)))))</f>
        <v/>
      </c>
      <c r="Q111" s="288" t="str">
        <f>IF(D111="","",VLOOKUP(D111,'G-7 WaterC'' Data'!$B$4:$G$8,6,FALSE))</f>
        <v/>
      </c>
      <c r="R111" s="295" t="str">
        <f t="shared" si="13"/>
        <v xml:space="preserve"> </v>
      </c>
      <c r="S111" s="403"/>
      <c r="T111" s="287" t="str">
        <f>IF(S111="","",IF(VLOOKUP(S111,'G-7 WaterC'' Data'!$AO$4:$BO$7,2,FALSE)=0,"Spatial Data Missing ⚠",VLOOKUP(S111,'G-7 WaterC'' Data'!$AO$4:$BO$7,2,FALSE)))</f>
        <v/>
      </c>
      <c r="U111" s="295" t="str">
        <f t="shared" si="14"/>
        <v xml:space="preserve"> </v>
      </c>
      <c r="V111" s="710" t="str">
        <f t="shared" si="15"/>
        <v/>
      </c>
      <c r="W111" s="32"/>
      <c r="X111" s="105"/>
      <c r="Y111" s="112"/>
      <c r="Z111" s="293" t="str">
        <f t="shared" si="16"/>
        <v/>
      </c>
      <c r="AA111" s="293" t="str">
        <f t="shared" si="17"/>
        <v/>
      </c>
      <c r="AB111" s="293" t="str">
        <f t="shared" si="18"/>
        <v/>
      </c>
      <c r="AC111" s="507" t="str">
        <f>IFERROR(IF(OR(E111="",R111=""),"", IF(AND(AB111&lt;&gt;"",S111=""), "Spatial risk category missing ▲", IF(AND(Q111='G-7 WaterC'' Data'!$G$4,AD111="Yes"),"Alternative Compensation ✓", IF(AND(AD111="Pending", Q111='G-7 WaterC'' Data'!$G$4),"Bespoke compensation must be agreed ▲", IF((Z111+AA111)&gt;=U111,0, U111-Z111-AA111))))),"Check Data ⚠")</f>
        <v/>
      </c>
      <c r="AD111" s="403"/>
      <c r="AE111" s="109"/>
      <c r="AF111" s="108"/>
      <c r="AG111" s="108"/>
      <c r="AH111" s="108"/>
      <c r="AI111" s="54" t="str">
        <f>IF(OR(Q111="",AD111="Yes"),"",IF(Q111='G-1 All Habitats'!$X$9,E111-Y111-X111,"None"))</f>
        <v/>
      </c>
      <c r="AJ111" s="55" t="str">
        <f>IF(Q111="","", IF(Q111='G-1 All Habitats'!$X$9, AI111*G111*I111*L111*N111*P111,"None"))</f>
        <v/>
      </c>
      <c r="AK111" s="30" t="str">
        <f>IFERROR(INDEX('G-7 WaterC'' Data'!$AZ$3:$AZ$7,MATCH(D111,'G-7 WaterC'' Data'!$AY$3:$AY$7,0)),"")</f>
        <v/>
      </c>
      <c r="AL111" s="30">
        <f t="shared" si="19"/>
        <v>0</v>
      </c>
      <c r="AM111" s="111" t="str">
        <f t="shared" si="20"/>
        <v/>
      </c>
      <c r="AN111" s="111" t="str">
        <f t="shared" si="21"/>
        <v/>
      </c>
      <c r="AP111" s="111">
        <v>102</v>
      </c>
      <c r="AR111" s="111" t="str">
        <f t="array" ref="AR111">IFERROR(INDEX($AP$10:$AP$258, MATCH(0, IF(TRUE=$AM$10:$AM$258, COUNTIF($AR$9:$AR110, $AP$10:$AP$258), ""), 0)),"")</f>
        <v/>
      </c>
      <c r="AS111" s="111" t="str">
        <f t="array" ref="AS111">IFERROR(INDEX($AP$10:$AP$258, MATCH(0, IF(TRUE=$AN$10:$AN$258, COUNTIF($AS$9:$AS110, $AP$10:$AP$258), ""), 0)),"")</f>
        <v/>
      </c>
      <c r="AT111" s="903" t="str">
        <f>IF(AND(OR(AD111="Yes",AD111="Pending"),Q111='G-7 WaterC'' Data'!$G$4),U111-AA111-Z111,"0")</f>
        <v>0</v>
      </c>
      <c r="AU111" s="30" t="str">
        <f>IF(D111="","",VLOOKUP(D111,'G-7 WaterC'' Data'!B$4:M$8,12,FALSE))</f>
        <v/>
      </c>
      <c r="AV111" s="30" t="str">
        <f t="shared" si="12"/>
        <v/>
      </c>
      <c r="AW111" s="30" t="str">
        <f t="shared" si="22"/>
        <v>No</v>
      </c>
      <c r="BA111" s="571" t="str">
        <f t="shared" si="23"/>
        <v/>
      </c>
    </row>
    <row r="112" spans="3:53" ht="14.4" thickBot="1" x14ac:dyDescent="0.3">
      <c r="C112" s="101">
        <v>103</v>
      </c>
      <c r="D112" s="269"/>
      <c r="E112" s="108"/>
      <c r="F112" s="281" t="str">
        <f>IF(D112="","",VLOOKUP(D112,'G-7 WaterC'' Data'!$B$2:$G$8,2,FALSE))</f>
        <v/>
      </c>
      <c r="G112" s="320" t="str">
        <f>IFERROR(VLOOKUP(F112,'G-7 WaterC'' Data'!$C$4:$D$8,2,FALSE),"")</f>
        <v/>
      </c>
      <c r="H112" s="109"/>
      <c r="I112" s="305" t="str">
        <f>IFERROR(INDEX('G-7 WaterC'' Data'!$H$4:$L$8,MATCH(D112,'G-7 WaterC'' Data'!$B$4:$B$8,0),MATCH(H112,'G-7 WaterC'' Data'!$H$3:$L$3,0)),"")</f>
        <v/>
      </c>
      <c r="J112" s="718"/>
      <c r="K112" s="301" t="str">
        <f>IF(J112="","",IF(VLOOKUP(J112,'G-7 WaterC'' Data'!$AK$4:$AM$9,2,FALSE)=0,"Spatial Data Missing ⚠",VLOOKUP(J112,'G-7 WaterC'' Data'!$AK$4:$AM$6,2,FALSE)))</f>
        <v/>
      </c>
      <c r="L112" s="305" t="str">
        <f>IF(J112="","",IF(VLOOKUP(J112,'G-7 WaterC'' Data'!$AK$4:$AM$9,3,FALSE)=0,"Spatial Data Missing ⚠",VLOOKUP(J112,'G-7 WaterC'' Data'!$AK$4:$AM$6,3,FALSE)))</f>
        <v/>
      </c>
      <c r="M112" s="106"/>
      <c r="N112" s="282" t="str">
        <f>IF(M112="","",IF(AND(M112="N/A - Culvert",D112&lt;&gt;"Culvert"),"Not possible ▲",IF(AND(D112="Culvert",M112&lt;&gt;"N/A - Culvert"),"Not possible ▲",IF(VLOOKUP(M112,'G-7 WaterC'' Data'!$AA$4:$AB$7,2,FALSE)=0,"Spatial Data Missing ⚠",VLOOKUP(M112,'G-7 WaterC'' Data'!$AA$4:$AB$7,2,FALSE)))))</f>
        <v/>
      </c>
      <c r="O112" s="56"/>
      <c r="P112" s="282" t="str">
        <f>IF(O112="","",IF(AND(O112="N/A - Culvert",D112&lt;&gt;"Culvert"),"Not possible ▲",IF(AND(D112="Culvert",O112&lt;&gt;"N/A - Culvert"),"Not possible ▲",IF(VLOOKUP(O112,'G-7 WaterC'' Data'!$AD$4:$AE$14,2,FALSE)=0,"Spatial Data Missing ⚠",VLOOKUP(O112,'G-7 WaterC'' Data'!$AD$4:$AE$14,2,FALSE)))))</f>
        <v/>
      </c>
      <c r="Q112" s="288" t="str">
        <f>IF(D112="","",VLOOKUP(D112,'G-7 WaterC'' Data'!$B$4:$G$8,6,FALSE))</f>
        <v/>
      </c>
      <c r="R112" s="295" t="str">
        <f t="shared" si="13"/>
        <v xml:space="preserve"> </v>
      </c>
      <c r="S112" s="403"/>
      <c r="T112" s="287" t="str">
        <f>IF(S112="","",IF(VLOOKUP(S112,'G-7 WaterC'' Data'!$AO$4:$BO$7,2,FALSE)=0,"Spatial Data Missing ⚠",VLOOKUP(S112,'G-7 WaterC'' Data'!$AO$4:$BO$7,2,FALSE)))</f>
        <v/>
      </c>
      <c r="U112" s="295" t="str">
        <f t="shared" si="14"/>
        <v xml:space="preserve"> </v>
      </c>
      <c r="V112" s="710" t="str">
        <f t="shared" si="15"/>
        <v/>
      </c>
      <c r="W112" s="32"/>
      <c r="X112" s="105"/>
      <c r="Y112" s="112"/>
      <c r="Z112" s="293" t="str">
        <f t="shared" si="16"/>
        <v/>
      </c>
      <c r="AA112" s="293" t="str">
        <f t="shared" si="17"/>
        <v/>
      </c>
      <c r="AB112" s="293" t="str">
        <f t="shared" si="18"/>
        <v/>
      </c>
      <c r="AC112" s="507" t="str">
        <f>IFERROR(IF(OR(E112="",R112=""),"", IF(AND(AB112&lt;&gt;"",S112=""), "Spatial risk category missing ▲", IF(AND(Q112='G-7 WaterC'' Data'!$G$4,AD112="Yes"),"Alternative Compensation ✓", IF(AND(AD112="Pending", Q112='G-7 WaterC'' Data'!$G$4),"Bespoke compensation must be agreed ▲", IF((Z112+AA112)&gt;=U112,0, U112-Z112-AA112))))),"Check Data ⚠")</f>
        <v/>
      </c>
      <c r="AD112" s="403"/>
      <c r="AE112" s="109"/>
      <c r="AF112" s="108"/>
      <c r="AG112" s="108"/>
      <c r="AH112" s="108"/>
      <c r="AI112" s="54" t="str">
        <f>IF(OR(Q112="",AD112="Yes"),"",IF(Q112='G-1 All Habitats'!$X$9,E112-Y112-X112,"None"))</f>
        <v/>
      </c>
      <c r="AJ112" s="55" t="str">
        <f>IF(Q112="","", IF(Q112='G-1 All Habitats'!$X$9, AI112*G112*I112*L112*N112*P112,"None"))</f>
        <v/>
      </c>
      <c r="AK112" s="30" t="str">
        <f>IFERROR(INDEX('G-7 WaterC'' Data'!$AZ$3:$AZ$7,MATCH(D112,'G-7 WaterC'' Data'!$AY$3:$AY$7,0)),"")</f>
        <v/>
      </c>
      <c r="AL112" s="30">
        <f t="shared" si="19"/>
        <v>0</v>
      </c>
      <c r="AM112" s="111" t="str">
        <f t="shared" si="20"/>
        <v/>
      </c>
      <c r="AN112" s="111" t="str">
        <f t="shared" si="21"/>
        <v/>
      </c>
      <c r="AP112" s="111">
        <v>103</v>
      </c>
      <c r="AR112" s="111" t="str">
        <f t="array" ref="AR112">IFERROR(INDEX($AP$10:$AP$258, MATCH(0, IF(TRUE=$AM$10:$AM$258, COUNTIF($AR$9:$AR111, $AP$10:$AP$258), ""), 0)),"")</f>
        <v/>
      </c>
      <c r="AS112" s="111" t="str">
        <f t="array" ref="AS112">IFERROR(INDEX($AP$10:$AP$258, MATCH(0, IF(TRUE=$AN$10:$AN$258, COUNTIF($AS$9:$AS111, $AP$10:$AP$258), ""), 0)),"")</f>
        <v/>
      </c>
      <c r="AT112" s="903" t="str">
        <f>IF(AND(OR(AD112="Yes",AD112="Pending"),Q112='G-7 WaterC'' Data'!$G$4),U112-AA112-Z112,"0")</f>
        <v>0</v>
      </c>
      <c r="AU112" s="30" t="str">
        <f>IF(D112="","",VLOOKUP(D112,'G-7 WaterC'' Data'!B$4:M$8,12,FALSE))</f>
        <v/>
      </c>
      <c r="AV112" s="30" t="str">
        <f t="shared" si="12"/>
        <v/>
      </c>
      <c r="AW112" s="30" t="str">
        <f t="shared" si="22"/>
        <v>No</v>
      </c>
      <c r="BA112" s="571" t="str">
        <f t="shared" si="23"/>
        <v/>
      </c>
    </row>
    <row r="113" spans="3:53" ht="14.4" thickBot="1" x14ac:dyDescent="0.3">
      <c r="C113" s="101">
        <v>104</v>
      </c>
      <c r="D113" s="269"/>
      <c r="E113" s="108"/>
      <c r="F113" s="281" t="str">
        <f>IF(D113="","",VLOOKUP(D113,'G-7 WaterC'' Data'!$B$2:$G$8,2,FALSE))</f>
        <v/>
      </c>
      <c r="G113" s="320" t="str">
        <f>IFERROR(VLOOKUP(F113,'G-7 WaterC'' Data'!$C$4:$D$8,2,FALSE),"")</f>
        <v/>
      </c>
      <c r="H113" s="109"/>
      <c r="I113" s="305" t="str">
        <f>IFERROR(INDEX('G-7 WaterC'' Data'!$H$4:$L$8,MATCH(D113,'G-7 WaterC'' Data'!$B$4:$B$8,0),MATCH(H113,'G-7 WaterC'' Data'!$H$3:$L$3,0)),"")</f>
        <v/>
      </c>
      <c r="J113" s="718"/>
      <c r="K113" s="301" t="str">
        <f>IF(J113="","",IF(VLOOKUP(J113,'G-7 WaterC'' Data'!$AK$4:$AM$9,2,FALSE)=0,"Spatial Data Missing ⚠",VLOOKUP(J113,'G-7 WaterC'' Data'!$AK$4:$AM$6,2,FALSE)))</f>
        <v/>
      </c>
      <c r="L113" s="305" t="str">
        <f>IF(J113="","",IF(VLOOKUP(J113,'G-7 WaterC'' Data'!$AK$4:$AM$9,3,FALSE)=0,"Spatial Data Missing ⚠",VLOOKUP(J113,'G-7 WaterC'' Data'!$AK$4:$AM$6,3,FALSE)))</f>
        <v/>
      </c>
      <c r="M113" s="106"/>
      <c r="N113" s="282" t="str">
        <f>IF(M113="","",IF(AND(M113="N/A - Culvert",D113&lt;&gt;"Culvert"),"Not possible ▲",IF(AND(D113="Culvert",M113&lt;&gt;"N/A - Culvert"),"Not possible ▲",IF(VLOOKUP(M113,'G-7 WaterC'' Data'!$AA$4:$AB$7,2,FALSE)=0,"Spatial Data Missing ⚠",VLOOKUP(M113,'G-7 WaterC'' Data'!$AA$4:$AB$7,2,FALSE)))))</f>
        <v/>
      </c>
      <c r="O113" s="56"/>
      <c r="P113" s="282" t="str">
        <f>IF(O113="","",IF(AND(O113="N/A - Culvert",D113&lt;&gt;"Culvert"),"Not possible ▲",IF(AND(D113="Culvert",O113&lt;&gt;"N/A - Culvert"),"Not possible ▲",IF(VLOOKUP(O113,'G-7 WaterC'' Data'!$AD$4:$AE$14,2,FALSE)=0,"Spatial Data Missing ⚠",VLOOKUP(O113,'G-7 WaterC'' Data'!$AD$4:$AE$14,2,FALSE)))))</f>
        <v/>
      </c>
      <c r="Q113" s="288" t="str">
        <f>IF(D113="","",VLOOKUP(D113,'G-7 WaterC'' Data'!$B$4:$G$8,6,FALSE))</f>
        <v/>
      </c>
      <c r="R113" s="295" t="str">
        <f t="shared" si="13"/>
        <v xml:space="preserve"> </v>
      </c>
      <c r="S113" s="403"/>
      <c r="T113" s="287" t="str">
        <f>IF(S113="","",IF(VLOOKUP(S113,'G-7 WaterC'' Data'!$AO$4:$BO$7,2,FALSE)=0,"Spatial Data Missing ⚠",VLOOKUP(S113,'G-7 WaterC'' Data'!$AO$4:$BO$7,2,FALSE)))</f>
        <v/>
      </c>
      <c r="U113" s="295" t="str">
        <f t="shared" si="14"/>
        <v xml:space="preserve"> </v>
      </c>
      <c r="V113" s="710" t="str">
        <f t="shared" si="15"/>
        <v/>
      </c>
      <c r="W113" s="32"/>
      <c r="X113" s="105"/>
      <c r="Y113" s="112"/>
      <c r="Z113" s="293" t="str">
        <f t="shared" si="16"/>
        <v/>
      </c>
      <c r="AA113" s="293" t="str">
        <f t="shared" si="17"/>
        <v/>
      </c>
      <c r="AB113" s="293" t="str">
        <f t="shared" si="18"/>
        <v/>
      </c>
      <c r="AC113" s="507" t="str">
        <f>IFERROR(IF(OR(E113="",R113=""),"", IF(AND(AB113&lt;&gt;"",S113=""), "Spatial risk category missing ▲", IF(AND(Q113='G-7 WaterC'' Data'!$G$4,AD113="Yes"),"Alternative Compensation ✓", IF(AND(AD113="Pending", Q113='G-7 WaterC'' Data'!$G$4),"Bespoke compensation must be agreed ▲", IF((Z113+AA113)&gt;=U113,0, U113-Z113-AA113))))),"Check Data ⚠")</f>
        <v/>
      </c>
      <c r="AD113" s="403"/>
      <c r="AE113" s="109"/>
      <c r="AF113" s="108"/>
      <c r="AG113" s="108"/>
      <c r="AH113" s="108"/>
      <c r="AI113" s="54" t="str">
        <f>IF(OR(Q113="",AD113="Yes"),"",IF(Q113='G-1 All Habitats'!$X$9,E113-Y113-X113,"None"))</f>
        <v/>
      </c>
      <c r="AJ113" s="55" t="str">
        <f>IF(Q113="","", IF(Q113='G-1 All Habitats'!$X$9, AI113*G113*I113*L113*N113*P113,"None"))</f>
        <v/>
      </c>
      <c r="AK113" s="30" t="str">
        <f>IFERROR(INDEX('G-7 WaterC'' Data'!$AZ$3:$AZ$7,MATCH(D113,'G-7 WaterC'' Data'!$AY$3:$AY$7,0)),"")</f>
        <v/>
      </c>
      <c r="AL113" s="30">
        <f t="shared" si="19"/>
        <v>0</v>
      </c>
      <c r="AM113" s="111" t="str">
        <f t="shared" si="20"/>
        <v/>
      </c>
      <c r="AN113" s="111" t="str">
        <f t="shared" si="21"/>
        <v/>
      </c>
      <c r="AP113" s="111">
        <v>104</v>
      </c>
      <c r="AR113" s="111" t="str">
        <f t="array" ref="AR113">IFERROR(INDEX($AP$10:$AP$258, MATCH(0, IF(TRUE=$AM$10:$AM$258, COUNTIF($AR$9:$AR112, $AP$10:$AP$258), ""), 0)),"")</f>
        <v/>
      </c>
      <c r="AS113" s="111" t="str">
        <f t="array" ref="AS113">IFERROR(INDEX($AP$10:$AP$258, MATCH(0, IF(TRUE=$AN$10:$AN$258, COUNTIF($AS$9:$AS112, $AP$10:$AP$258), ""), 0)),"")</f>
        <v/>
      </c>
      <c r="AT113" s="903" t="str">
        <f>IF(AND(OR(AD113="Yes",AD113="Pending"),Q113='G-7 WaterC'' Data'!$G$4),U113-AA113-Z113,"0")</f>
        <v>0</v>
      </c>
      <c r="AU113" s="30" t="str">
        <f>IF(D113="","",VLOOKUP(D113,'G-7 WaterC'' Data'!B$4:M$8,12,FALSE))</f>
        <v/>
      </c>
      <c r="AV113" s="30" t="str">
        <f t="shared" si="12"/>
        <v/>
      </c>
      <c r="AW113" s="30" t="str">
        <f t="shared" si="22"/>
        <v>No</v>
      </c>
      <c r="BA113" s="571" t="str">
        <f t="shared" si="23"/>
        <v/>
      </c>
    </row>
    <row r="114" spans="3:53" ht="14.4" thickBot="1" x14ac:dyDescent="0.3">
      <c r="C114" s="101">
        <v>105</v>
      </c>
      <c r="D114" s="269"/>
      <c r="E114" s="108"/>
      <c r="F114" s="281" t="str">
        <f>IF(D114="","",VLOOKUP(D114,'G-7 WaterC'' Data'!$B$2:$G$8,2,FALSE))</f>
        <v/>
      </c>
      <c r="G114" s="320" t="str">
        <f>IFERROR(VLOOKUP(F114,'G-7 WaterC'' Data'!$C$4:$D$8,2,FALSE),"")</f>
        <v/>
      </c>
      <c r="H114" s="109"/>
      <c r="I114" s="305" t="str">
        <f>IFERROR(INDEX('G-7 WaterC'' Data'!$H$4:$L$8,MATCH(D114,'G-7 WaterC'' Data'!$B$4:$B$8,0),MATCH(H114,'G-7 WaterC'' Data'!$H$3:$L$3,0)),"")</f>
        <v/>
      </c>
      <c r="J114" s="718"/>
      <c r="K114" s="301" t="str">
        <f>IF(J114="","",IF(VLOOKUP(J114,'G-7 WaterC'' Data'!$AK$4:$AM$9,2,FALSE)=0,"Spatial Data Missing ⚠",VLOOKUP(J114,'G-7 WaterC'' Data'!$AK$4:$AM$6,2,FALSE)))</f>
        <v/>
      </c>
      <c r="L114" s="305" t="str">
        <f>IF(J114="","",IF(VLOOKUP(J114,'G-7 WaterC'' Data'!$AK$4:$AM$9,3,FALSE)=0,"Spatial Data Missing ⚠",VLOOKUP(J114,'G-7 WaterC'' Data'!$AK$4:$AM$6,3,FALSE)))</f>
        <v/>
      </c>
      <c r="M114" s="106"/>
      <c r="N114" s="282" t="str">
        <f>IF(M114="","",IF(AND(M114="N/A - Culvert",D114&lt;&gt;"Culvert"),"Not possible ▲",IF(AND(D114="Culvert",M114&lt;&gt;"N/A - Culvert"),"Not possible ▲",IF(VLOOKUP(M114,'G-7 WaterC'' Data'!$AA$4:$AB$7,2,FALSE)=0,"Spatial Data Missing ⚠",VLOOKUP(M114,'G-7 WaterC'' Data'!$AA$4:$AB$7,2,FALSE)))))</f>
        <v/>
      </c>
      <c r="O114" s="56"/>
      <c r="P114" s="282" t="str">
        <f>IF(O114="","",IF(AND(O114="N/A - Culvert",D114&lt;&gt;"Culvert"),"Not possible ▲",IF(AND(D114="Culvert",O114&lt;&gt;"N/A - Culvert"),"Not possible ▲",IF(VLOOKUP(O114,'G-7 WaterC'' Data'!$AD$4:$AE$14,2,FALSE)=0,"Spatial Data Missing ⚠",VLOOKUP(O114,'G-7 WaterC'' Data'!$AD$4:$AE$14,2,FALSE)))))</f>
        <v/>
      </c>
      <c r="Q114" s="288" t="str">
        <f>IF(D114="","",VLOOKUP(D114,'G-7 WaterC'' Data'!$B$4:$G$8,6,FALSE))</f>
        <v/>
      </c>
      <c r="R114" s="295" t="str">
        <f t="shared" si="13"/>
        <v xml:space="preserve"> </v>
      </c>
      <c r="S114" s="403"/>
      <c r="T114" s="287" t="str">
        <f>IF(S114="","",IF(VLOOKUP(S114,'G-7 WaterC'' Data'!$AO$4:$BO$7,2,FALSE)=0,"Spatial Data Missing ⚠",VLOOKUP(S114,'G-7 WaterC'' Data'!$AO$4:$BO$7,2,FALSE)))</f>
        <v/>
      </c>
      <c r="U114" s="295" t="str">
        <f t="shared" si="14"/>
        <v xml:space="preserve"> </v>
      </c>
      <c r="V114" s="710" t="str">
        <f t="shared" si="15"/>
        <v/>
      </c>
      <c r="W114" s="32"/>
      <c r="X114" s="105"/>
      <c r="Y114" s="112"/>
      <c r="Z114" s="293" t="str">
        <f t="shared" si="16"/>
        <v/>
      </c>
      <c r="AA114" s="293" t="str">
        <f t="shared" si="17"/>
        <v/>
      </c>
      <c r="AB114" s="293" t="str">
        <f t="shared" si="18"/>
        <v/>
      </c>
      <c r="AC114" s="507" t="str">
        <f>IFERROR(IF(OR(E114="",R114=""),"", IF(AND(AB114&lt;&gt;"",S114=""), "Spatial risk category missing ▲", IF(AND(Q114='G-7 WaterC'' Data'!$G$4,AD114="Yes"),"Alternative Compensation ✓", IF(AND(AD114="Pending", Q114='G-7 WaterC'' Data'!$G$4),"Bespoke compensation must be agreed ▲", IF((Z114+AA114)&gt;=U114,0, U114-Z114-AA114))))),"Check Data ⚠")</f>
        <v/>
      </c>
      <c r="AD114" s="403"/>
      <c r="AE114" s="109"/>
      <c r="AF114" s="108"/>
      <c r="AG114" s="108"/>
      <c r="AH114" s="108"/>
      <c r="AI114" s="54" t="str">
        <f>IF(OR(Q114="",AD114="Yes"),"",IF(Q114='G-1 All Habitats'!$X$9,E114-Y114-X114,"None"))</f>
        <v/>
      </c>
      <c r="AJ114" s="55" t="str">
        <f>IF(Q114="","", IF(Q114='G-1 All Habitats'!$X$9, AI114*G114*I114*L114*N114*P114,"None"))</f>
        <v/>
      </c>
      <c r="AK114" s="30" t="str">
        <f>IFERROR(INDEX('G-7 WaterC'' Data'!$AZ$3:$AZ$7,MATCH(D114,'G-7 WaterC'' Data'!$AY$3:$AY$7,0)),"")</f>
        <v/>
      </c>
      <c r="AL114" s="30">
        <f t="shared" si="19"/>
        <v>0</v>
      </c>
      <c r="AM114" s="111" t="str">
        <f t="shared" si="20"/>
        <v/>
      </c>
      <c r="AN114" s="111" t="str">
        <f t="shared" si="21"/>
        <v/>
      </c>
      <c r="AP114" s="111">
        <v>105</v>
      </c>
      <c r="AR114" s="111" t="str">
        <f t="array" ref="AR114">IFERROR(INDEX($AP$10:$AP$258, MATCH(0, IF(TRUE=$AM$10:$AM$258, COUNTIF($AR$9:$AR113, $AP$10:$AP$258), ""), 0)),"")</f>
        <v/>
      </c>
      <c r="AS114" s="111" t="str">
        <f t="array" ref="AS114">IFERROR(INDEX($AP$10:$AP$258, MATCH(0, IF(TRUE=$AN$10:$AN$258, COUNTIF($AS$9:$AS113, $AP$10:$AP$258), ""), 0)),"")</f>
        <v/>
      </c>
      <c r="AT114" s="903" t="str">
        <f>IF(AND(OR(AD114="Yes",AD114="Pending"),Q114='G-7 WaterC'' Data'!$G$4),U114-AA114-Z114,"0")</f>
        <v>0</v>
      </c>
      <c r="AU114" s="30" t="str">
        <f>IF(D114="","",VLOOKUP(D114,'G-7 WaterC'' Data'!B$4:M$8,12,FALSE))</f>
        <v/>
      </c>
      <c r="AV114" s="30" t="str">
        <f t="shared" si="12"/>
        <v/>
      </c>
      <c r="AW114" s="30" t="str">
        <f t="shared" si="22"/>
        <v>No</v>
      </c>
      <c r="BA114" s="571" t="str">
        <f t="shared" si="23"/>
        <v/>
      </c>
    </row>
    <row r="115" spans="3:53" ht="14.4" thickBot="1" x14ac:dyDescent="0.3">
      <c r="C115" s="101">
        <v>106</v>
      </c>
      <c r="D115" s="269"/>
      <c r="E115" s="108"/>
      <c r="F115" s="281" t="str">
        <f>IF(D115="","",VLOOKUP(D115,'G-7 WaterC'' Data'!$B$2:$G$8,2,FALSE))</f>
        <v/>
      </c>
      <c r="G115" s="320" t="str">
        <f>IFERROR(VLOOKUP(F115,'G-7 WaterC'' Data'!$C$4:$D$8,2,FALSE),"")</f>
        <v/>
      </c>
      <c r="H115" s="109"/>
      <c r="I115" s="305" t="str">
        <f>IFERROR(INDEX('G-7 WaterC'' Data'!$H$4:$L$8,MATCH(D115,'G-7 WaterC'' Data'!$B$4:$B$8,0),MATCH(H115,'G-7 WaterC'' Data'!$H$3:$L$3,0)),"")</f>
        <v/>
      </c>
      <c r="J115" s="718"/>
      <c r="K115" s="301" t="str">
        <f>IF(J115="","",IF(VLOOKUP(J115,'G-7 WaterC'' Data'!$AK$4:$AM$9,2,FALSE)=0,"Spatial Data Missing ⚠",VLOOKUP(J115,'G-7 WaterC'' Data'!$AK$4:$AM$6,2,FALSE)))</f>
        <v/>
      </c>
      <c r="L115" s="305" t="str">
        <f>IF(J115="","",IF(VLOOKUP(J115,'G-7 WaterC'' Data'!$AK$4:$AM$9,3,FALSE)=0,"Spatial Data Missing ⚠",VLOOKUP(J115,'G-7 WaterC'' Data'!$AK$4:$AM$6,3,FALSE)))</f>
        <v/>
      </c>
      <c r="M115" s="106"/>
      <c r="N115" s="282" t="str">
        <f>IF(M115="","",IF(AND(M115="N/A - Culvert",D115&lt;&gt;"Culvert"),"Not possible ▲",IF(AND(D115="Culvert",M115&lt;&gt;"N/A - Culvert"),"Not possible ▲",IF(VLOOKUP(M115,'G-7 WaterC'' Data'!$AA$4:$AB$7,2,FALSE)=0,"Spatial Data Missing ⚠",VLOOKUP(M115,'G-7 WaterC'' Data'!$AA$4:$AB$7,2,FALSE)))))</f>
        <v/>
      </c>
      <c r="O115" s="56"/>
      <c r="P115" s="282" t="str">
        <f>IF(O115="","",IF(AND(O115="N/A - Culvert",D115&lt;&gt;"Culvert"),"Not possible ▲",IF(AND(D115="Culvert",O115&lt;&gt;"N/A - Culvert"),"Not possible ▲",IF(VLOOKUP(O115,'G-7 WaterC'' Data'!$AD$4:$AE$14,2,FALSE)=0,"Spatial Data Missing ⚠",VLOOKUP(O115,'G-7 WaterC'' Data'!$AD$4:$AE$14,2,FALSE)))))</f>
        <v/>
      </c>
      <c r="Q115" s="288" t="str">
        <f>IF(D115="","",VLOOKUP(D115,'G-7 WaterC'' Data'!$B$4:$G$8,6,FALSE))</f>
        <v/>
      </c>
      <c r="R115" s="295" t="str">
        <f t="shared" si="13"/>
        <v xml:space="preserve"> </v>
      </c>
      <c r="S115" s="403"/>
      <c r="T115" s="287" t="str">
        <f>IF(S115="","",IF(VLOOKUP(S115,'G-7 WaterC'' Data'!$AO$4:$BO$7,2,FALSE)=0,"Spatial Data Missing ⚠",VLOOKUP(S115,'G-7 WaterC'' Data'!$AO$4:$BO$7,2,FALSE)))</f>
        <v/>
      </c>
      <c r="U115" s="295" t="str">
        <f t="shared" si="14"/>
        <v xml:space="preserve"> </v>
      </c>
      <c r="V115" s="710" t="str">
        <f t="shared" si="15"/>
        <v/>
      </c>
      <c r="W115" s="32"/>
      <c r="X115" s="105"/>
      <c r="Y115" s="112"/>
      <c r="Z115" s="293" t="str">
        <f t="shared" si="16"/>
        <v/>
      </c>
      <c r="AA115" s="293" t="str">
        <f t="shared" si="17"/>
        <v/>
      </c>
      <c r="AB115" s="293" t="str">
        <f t="shared" si="18"/>
        <v/>
      </c>
      <c r="AC115" s="507" t="str">
        <f>IFERROR(IF(OR(E115="",R115=""),"", IF(AND(AB115&lt;&gt;"",S115=""), "Spatial risk category missing ▲", IF(AND(Q115='G-7 WaterC'' Data'!$G$4,AD115="Yes"),"Alternative Compensation ✓", IF(AND(AD115="Pending", Q115='G-7 WaterC'' Data'!$G$4),"Bespoke compensation must be agreed ▲", IF((Z115+AA115)&gt;=U115,0, U115-Z115-AA115))))),"Check Data ⚠")</f>
        <v/>
      </c>
      <c r="AD115" s="403"/>
      <c r="AE115" s="109"/>
      <c r="AF115" s="108"/>
      <c r="AG115" s="108"/>
      <c r="AH115" s="108"/>
      <c r="AI115" s="54" t="str">
        <f>IF(OR(Q115="",AD115="Yes"),"",IF(Q115='G-1 All Habitats'!$X$9,E115-Y115-X115,"None"))</f>
        <v/>
      </c>
      <c r="AJ115" s="55" t="str">
        <f>IF(Q115="","", IF(Q115='G-1 All Habitats'!$X$9, AI115*G115*I115*L115*N115*P115,"None"))</f>
        <v/>
      </c>
      <c r="AK115" s="30" t="str">
        <f>IFERROR(INDEX('G-7 WaterC'' Data'!$AZ$3:$AZ$7,MATCH(D115,'G-7 WaterC'' Data'!$AY$3:$AY$7,0)),"")</f>
        <v/>
      </c>
      <c r="AL115" s="30">
        <f t="shared" si="19"/>
        <v>0</v>
      </c>
      <c r="AM115" s="111" t="str">
        <f t="shared" si="20"/>
        <v/>
      </c>
      <c r="AN115" s="111" t="str">
        <f t="shared" si="21"/>
        <v/>
      </c>
      <c r="AP115" s="111">
        <v>106</v>
      </c>
      <c r="AR115" s="111" t="str">
        <f t="array" ref="AR115">IFERROR(INDEX($AP$10:$AP$258, MATCH(0, IF(TRUE=$AM$10:$AM$258, COUNTIF($AR$9:$AR114, $AP$10:$AP$258), ""), 0)),"")</f>
        <v/>
      </c>
      <c r="AS115" s="111" t="str">
        <f t="array" ref="AS115">IFERROR(INDEX($AP$10:$AP$258, MATCH(0, IF(TRUE=$AN$10:$AN$258, COUNTIF($AS$9:$AS114, $AP$10:$AP$258), ""), 0)),"")</f>
        <v/>
      </c>
      <c r="AT115" s="903" t="str">
        <f>IF(AND(OR(AD115="Yes",AD115="Pending"),Q115='G-7 WaterC'' Data'!$G$4),U115-AA115-Z115,"0")</f>
        <v>0</v>
      </c>
      <c r="AU115" s="30" t="str">
        <f>IF(D115="","",VLOOKUP(D115,'G-7 WaterC'' Data'!B$4:M$8,12,FALSE))</f>
        <v/>
      </c>
      <c r="AV115" s="30" t="str">
        <f t="shared" si="12"/>
        <v/>
      </c>
      <c r="AW115" s="30" t="str">
        <f t="shared" si="22"/>
        <v>No</v>
      </c>
      <c r="BA115" s="571" t="str">
        <f t="shared" si="23"/>
        <v/>
      </c>
    </row>
    <row r="116" spans="3:53" ht="14.4" thickBot="1" x14ac:dyDescent="0.3">
      <c r="C116" s="101">
        <v>107</v>
      </c>
      <c r="D116" s="269"/>
      <c r="E116" s="108"/>
      <c r="F116" s="281" t="str">
        <f>IF(D116="","",VLOOKUP(D116,'G-7 WaterC'' Data'!$B$2:$G$8,2,FALSE))</f>
        <v/>
      </c>
      <c r="G116" s="320" t="str">
        <f>IFERROR(VLOOKUP(F116,'G-7 WaterC'' Data'!$C$4:$D$8,2,FALSE),"")</f>
        <v/>
      </c>
      <c r="H116" s="109"/>
      <c r="I116" s="305" t="str">
        <f>IFERROR(INDEX('G-7 WaterC'' Data'!$H$4:$L$8,MATCH(D116,'G-7 WaterC'' Data'!$B$4:$B$8,0),MATCH(H116,'G-7 WaterC'' Data'!$H$3:$L$3,0)),"")</f>
        <v/>
      </c>
      <c r="J116" s="718"/>
      <c r="K116" s="301" t="str">
        <f>IF(J116="","",IF(VLOOKUP(J116,'G-7 WaterC'' Data'!$AK$4:$AM$9,2,FALSE)=0,"Spatial Data Missing ⚠",VLOOKUP(J116,'G-7 WaterC'' Data'!$AK$4:$AM$6,2,FALSE)))</f>
        <v/>
      </c>
      <c r="L116" s="305" t="str">
        <f>IF(J116="","",IF(VLOOKUP(J116,'G-7 WaterC'' Data'!$AK$4:$AM$9,3,FALSE)=0,"Spatial Data Missing ⚠",VLOOKUP(J116,'G-7 WaterC'' Data'!$AK$4:$AM$6,3,FALSE)))</f>
        <v/>
      </c>
      <c r="M116" s="106"/>
      <c r="N116" s="282" t="str">
        <f>IF(M116="","",IF(AND(M116="N/A - Culvert",D116&lt;&gt;"Culvert"),"Not possible ▲",IF(AND(D116="Culvert",M116&lt;&gt;"N/A - Culvert"),"Not possible ▲",IF(VLOOKUP(M116,'G-7 WaterC'' Data'!$AA$4:$AB$7,2,FALSE)=0,"Spatial Data Missing ⚠",VLOOKUP(M116,'G-7 WaterC'' Data'!$AA$4:$AB$7,2,FALSE)))))</f>
        <v/>
      </c>
      <c r="O116" s="56"/>
      <c r="P116" s="282" t="str">
        <f>IF(O116="","",IF(AND(O116="N/A - Culvert",D116&lt;&gt;"Culvert"),"Not possible ▲",IF(AND(D116="Culvert",O116&lt;&gt;"N/A - Culvert"),"Not possible ▲",IF(VLOOKUP(O116,'G-7 WaterC'' Data'!$AD$4:$AE$14,2,FALSE)=0,"Spatial Data Missing ⚠",VLOOKUP(O116,'G-7 WaterC'' Data'!$AD$4:$AE$14,2,FALSE)))))</f>
        <v/>
      </c>
      <c r="Q116" s="288" t="str">
        <f>IF(D116="","",VLOOKUP(D116,'G-7 WaterC'' Data'!$B$4:$G$8,6,FALSE))</f>
        <v/>
      </c>
      <c r="R116" s="295" t="str">
        <f t="shared" si="13"/>
        <v xml:space="preserve"> </v>
      </c>
      <c r="S116" s="403"/>
      <c r="T116" s="287" t="str">
        <f>IF(S116="","",IF(VLOOKUP(S116,'G-7 WaterC'' Data'!$AO$4:$BO$7,2,FALSE)=0,"Spatial Data Missing ⚠",VLOOKUP(S116,'G-7 WaterC'' Data'!$AO$4:$BO$7,2,FALSE)))</f>
        <v/>
      </c>
      <c r="U116" s="295" t="str">
        <f t="shared" si="14"/>
        <v xml:space="preserve"> </v>
      </c>
      <c r="V116" s="710" t="str">
        <f t="shared" si="15"/>
        <v/>
      </c>
      <c r="W116" s="32"/>
      <c r="X116" s="105"/>
      <c r="Y116" s="112"/>
      <c r="Z116" s="293" t="str">
        <f t="shared" si="16"/>
        <v/>
      </c>
      <c r="AA116" s="293" t="str">
        <f t="shared" si="17"/>
        <v/>
      </c>
      <c r="AB116" s="293" t="str">
        <f t="shared" si="18"/>
        <v/>
      </c>
      <c r="AC116" s="507" t="str">
        <f>IFERROR(IF(OR(E116="",R116=""),"", IF(AND(AB116&lt;&gt;"",S116=""), "Spatial risk category missing ▲", IF(AND(Q116='G-7 WaterC'' Data'!$G$4,AD116="Yes"),"Alternative Compensation ✓", IF(AND(AD116="Pending", Q116='G-7 WaterC'' Data'!$G$4),"Bespoke compensation must be agreed ▲", IF((Z116+AA116)&gt;=U116,0, U116-Z116-AA116))))),"Check Data ⚠")</f>
        <v/>
      </c>
      <c r="AD116" s="403"/>
      <c r="AE116" s="109"/>
      <c r="AF116" s="108"/>
      <c r="AG116" s="108"/>
      <c r="AH116" s="108"/>
      <c r="AI116" s="54" t="str">
        <f>IF(OR(Q116="",AD116="Yes"),"",IF(Q116='G-1 All Habitats'!$X$9,E116-Y116-X116,"None"))</f>
        <v/>
      </c>
      <c r="AJ116" s="55" t="str">
        <f>IF(Q116="","", IF(Q116='G-1 All Habitats'!$X$9, AI116*G116*I116*L116*N116*P116,"None"))</f>
        <v/>
      </c>
      <c r="AK116" s="30" t="str">
        <f>IFERROR(INDEX('G-7 WaterC'' Data'!$AZ$3:$AZ$7,MATCH(D116,'G-7 WaterC'' Data'!$AY$3:$AY$7,0)),"")</f>
        <v/>
      </c>
      <c r="AL116" s="30">
        <f t="shared" si="19"/>
        <v>0</v>
      </c>
      <c r="AM116" s="111" t="str">
        <f t="shared" si="20"/>
        <v/>
      </c>
      <c r="AN116" s="111" t="str">
        <f t="shared" si="21"/>
        <v/>
      </c>
      <c r="AP116" s="111">
        <v>107</v>
      </c>
      <c r="AR116" s="111" t="str">
        <f t="array" ref="AR116">IFERROR(INDEX($AP$10:$AP$258, MATCH(0, IF(TRUE=$AM$10:$AM$258, COUNTIF($AR$9:$AR115, $AP$10:$AP$258), ""), 0)),"")</f>
        <v/>
      </c>
      <c r="AS116" s="111" t="str">
        <f t="array" ref="AS116">IFERROR(INDEX($AP$10:$AP$258, MATCH(0, IF(TRUE=$AN$10:$AN$258, COUNTIF($AS$9:$AS115, $AP$10:$AP$258), ""), 0)),"")</f>
        <v/>
      </c>
      <c r="AT116" s="903" t="str">
        <f>IF(AND(OR(AD116="Yes",AD116="Pending"),Q116='G-7 WaterC'' Data'!$G$4),U116-AA116-Z116,"0")</f>
        <v>0</v>
      </c>
      <c r="AU116" s="30" t="str">
        <f>IF(D116="","",VLOOKUP(D116,'G-7 WaterC'' Data'!B$4:M$8,12,FALSE))</f>
        <v/>
      </c>
      <c r="AV116" s="30" t="str">
        <f t="shared" si="12"/>
        <v/>
      </c>
      <c r="AW116" s="30" t="str">
        <f t="shared" si="22"/>
        <v>No</v>
      </c>
      <c r="BA116" s="571" t="str">
        <f t="shared" si="23"/>
        <v/>
      </c>
    </row>
    <row r="117" spans="3:53" ht="14.4" thickBot="1" x14ac:dyDescent="0.3">
      <c r="C117" s="101">
        <v>108</v>
      </c>
      <c r="D117" s="269"/>
      <c r="E117" s="108"/>
      <c r="F117" s="281" t="str">
        <f>IF(D117="","",VLOOKUP(D117,'G-7 WaterC'' Data'!$B$2:$G$8,2,FALSE))</f>
        <v/>
      </c>
      <c r="G117" s="320" t="str">
        <f>IFERROR(VLOOKUP(F117,'G-7 WaterC'' Data'!$C$4:$D$8,2,FALSE),"")</f>
        <v/>
      </c>
      <c r="H117" s="109"/>
      <c r="I117" s="305" t="str">
        <f>IFERROR(INDEX('G-7 WaterC'' Data'!$H$4:$L$8,MATCH(D117,'G-7 WaterC'' Data'!$B$4:$B$8,0),MATCH(H117,'G-7 WaterC'' Data'!$H$3:$L$3,0)),"")</f>
        <v/>
      </c>
      <c r="J117" s="718"/>
      <c r="K117" s="301" t="str">
        <f>IF(J117="","",IF(VLOOKUP(J117,'G-7 WaterC'' Data'!$AK$4:$AM$9,2,FALSE)=0,"Spatial Data Missing ⚠",VLOOKUP(J117,'G-7 WaterC'' Data'!$AK$4:$AM$6,2,FALSE)))</f>
        <v/>
      </c>
      <c r="L117" s="305" t="str">
        <f>IF(J117="","",IF(VLOOKUP(J117,'G-7 WaterC'' Data'!$AK$4:$AM$9,3,FALSE)=0,"Spatial Data Missing ⚠",VLOOKUP(J117,'G-7 WaterC'' Data'!$AK$4:$AM$6,3,FALSE)))</f>
        <v/>
      </c>
      <c r="M117" s="106"/>
      <c r="N117" s="282" t="str">
        <f>IF(M117="","",IF(AND(M117="N/A - Culvert",D117&lt;&gt;"Culvert"),"Not possible ▲",IF(AND(D117="Culvert",M117&lt;&gt;"N/A - Culvert"),"Not possible ▲",IF(VLOOKUP(M117,'G-7 WaterC'' Data'!$AA$4:$AB$7,2,FALSE)=0,"Spatial Data Missing ⚠",VLOOKUP(M117,'G-7 WaterC'' Data'!$AA$4:$AB$7,2,FALSE)))))</f>
        <v/>
      </c>
      <c r="O117" s="56"/>
      <c r="P117" s="282" t="str">
        <f>IF(O117="","",IF(AND(O117="N/A - Culvert",D117&lt;&gt;"Culvert"),"Not possible ▲",IF(AND(D117="Culvert",O117&lt;&gt;"N/A - Culvert"),"Not possible ▲",IF(VLOOKUP(O117,'G-7 WaterC'' Data'!$AD$4:$AE$14,2,FALSE)=0,"Spatial Data Missing ⚠",VLOOKUP(O117,'G-7 WaterC'' Data'!$AD$4:$AE$14,2,FALSE)))))</f>
        <v/>
      </c>
      <c r="Q117" s="288" t="str">
        <f>IF(D117="","",VLOOKUP(D117,'G-7 WaterC'' Data'!$B$4:$G$8,6,FALSE))</f>
        <v/>
      </c>
      <c r="R117" s="295" t="str">
        <f t="shared" si="13"/>
        <v xml:space="preserve"> </v>
      </c>
      <c r="S117" s="403"/>
      <c r="T117" s="287" t="str">
        <f>IF(S117="","",IF(VLOOKUP(S117,'G-7 WaterC'' Data'!$AO$4:$BO$7,2,FALSE)=0,"Spatial Data Missing ⚠",VLOOKUP(S117,'G-7 WaterC'' Data'!$AO$4:$BO$7,2,FALSE)))</f>
        <v/>
      </c>
      <c r="U117" s="295" t="str">
        <f t="shared" si="14"/>
        <v xml:space="preserve"> </v>
      </c>
      <c r="V117" s="710" t="str">
        <f t="shared" si="15"/>
        <v/>
      </c>
      <c r="W117" s="32"/>
      <c r="X117" s="105"/>
      <c r="Y117" s="112"/>
      <c r="Z117" s="293" t="str">
        <f t="shared" si="16"/>
        <v/>
      </c>
      <c r="AA117" s="293" t="str">
        <f t="shared" si="17"/>
        <v/>
      </c>
      <c r="AB117" s="293" t="str">
        <f t="shared" si="18"/>
        <v/>
      </c>
      <c r="AC117" s="507" t="str">
        <f>IFERROR(IF(OR(E117="",R117=""),"", IF(AND(AB117&lt;&gt;"",S117=""), "Spatial risk category missing ▲", IF(AND(Q117='G-7 WaterC'' Data'!$G$4,AD117="Yes"),"Alternative Compensation ✓", IF(AND(AD117="Pending", Q117='G-7 WaterC'' Data'!$G$4),"Bespoke compensation must be agreed ▲", IF((Z117+AA117)&gt;=U117,0, U117-Z117-AA117))))),"Check Data ⚠")</f>
        <v/>
      </c>
      <c r="AD117" s="403"/>
      <c r="AE117" s="109"/>
      <c r="AF117" s="108"/>
      <c r="AG117" s="108"/>
      <c r="AH117" s="108"/>
      <c r="AI117" s="54" t="str">
        <f>IF(OR(Q117="",AD117="Yes"),"",IF(Q117='G-1 All Habitats'!$X$9,E117-Y117-X117,"None"))</f>
        <v/>
      </c>
      <c r="AJ117" s="55" t="str">
        <f>IF(Q117="","", IF(Q117='G-1 All Habitats'!$X$9, AI117*G117*I117*L117*N117*P117,"None"))</f>
        <v/>
      </c>
      <c r="AK117" s="30" t="str">
        <f>IFERROR(INDEX('G-7 WaterC'' Data'!$AZ$3:$AZ$7,MATCH(D117,'G-7 WaterC'' Data'!$AY$3:$AY$7,0)),"")</f>
        <v/>
      </c>
      <c r="AL117" s="30">
        <f t="shared" si="19"/>
        <v>0</v>
      </c>
      <c r="AM117" s="111" t="str">
        <f t="shared" si="20"/>
        <v/>
      </c>
      <c r="AN117" s="111" t="str">
        <f t="shared" si="21"/>
        <v/>
      </c>
      <c r="AP117" s="111">
        <v>108</v>
      </c>
      <c r="AR117" s="111" t="str">
        <f t="array" ref="AR117">IFERROR(INDEX($AP$10:$AP$258, MATCH(0, IF(TRUE=$AM$10:$AM$258, COUNTIF($AR$9:$AR116, $AP$10:$AP$258), ""), 0)),"")</f>
        <v/>
      </c>
      <c r="AS117" s="111" t="str">
        <f t="array" ref="AS117">IFERROR(INDEX($AP$10:$AP$258, MATCH(0, IF(TRUE=$AN$10:$AN$258, COUNTIF($AS$9:$AS116, $AP$10:$AP$258), ""), 0)),"")</f>
        <v/>
      </c>
      <c r="AT117" s="903" t="str">
        <f>IF(AND(OR(AD117="Yes",AD117="Pending"),Q117='G-7 WaterC'' Data'!$G$4),U117-AA117-Z117,"0")</f>
        <v>0</v>
      </c>
      <c r="AU117" s="30" t="str">
        <f>IF(D117="","",VLOOKUP(D117,'G-7 WaterC'' Data'!B$4:M$8,12,FALSE))</f>
        <v/>
      </c>
      <c r="AV117" s="30" t="str">
        <f t="shared" si="12"/>
        <v/>
      </c>
      <c r="AW117" s="30" t="str">
        <f t="shared" si="22"/>
        <v>No</v>
      </c>
      <c r="BA117" s="571" t="str">
        <f t="shared" si="23"/>
        <v/>
      </c>
    </row>
    <row r="118" spans="3:53" ht="14.4" thickBot="1" x14ac:dyDescent="0.3">
      <c r="C118" s="101">
        <v>109</v>
      </c>
      <c r="D118" s="269"/>
      <c r="E118" s="108"/>
      <c r="F118" s="281" t="str">
        <f>IF(D118="","",VLOOKUP(D118,'G-7 WaterC'' Data'!$B$2:$G$8,2,FALSE))</f>
        <v/>
      </c>
      <c r="G118" s="320" t="str">
        <f>IFERROR(VLOOKUP(F118,'G-7 WaterC'' Data'!$C$4:$D$8,2,FALSE),"")</f>
        <v/>
      </c>
      <c r="H118" s="109"/>
      <c r="I118" s="305" t="str">
        <f>IFERROR(INDEX('G-7 WaterC'' Data'!$H$4:$L$8,MATCH(D118,'G-7 WaterC'' Data'!$B$4:$B$8,0),MATCH(H118,'G-7 WaterC'' Data'!$H$3:$L$3,0)),"")</f>
        <v/>
      </c>
      <c r="J118" s="718"/>
      <c r="K118" s="301" t="str">
        <f>IF(J118="","",IF(VLOOKUP(J118,'G-7 WaterC'' Data'!$AK$4:$AM$9,2,FALSE)=0,"Spatial Data Missing ⚠",VLOOKUP(J118,'G-7 WaterC'' Data'!$AK$4:$AM$6,2,FALSE)))</f>
        <v/>
      </c>
      <c r="L118" s="305" t="str">
        <f>IF(J118="","",IF(VLOOKUP(J118,'G-7 WaterC'' Data'!$AK$4:$AM$9,3,FALSE)=0,"Spatial Data Missing ⚠",VLOOKUP(J118,'G-7 WaterC'' Data'!$AK$4:$AM$6,3,FALSE)))</f>
        <v/>
      </c>
      <c r="M118" s="106"/>
      <c r="N118" s="282" t="str">
        <f>IF(M118="","",IF(AND(M118="N/A - Culvert",D118&lt;&gt;"Culvert"),"Not possible ▲",IF(AND(D118="Culvert",M118&lt;&gt;"N/A - Culvert"),"Not possible ▲",IF(VLOOKUP(M118,'G-7 WaterC'' Data'!$AA$4:$AB$7,2,FALSE)=0,"Spatial Data Missing ⚠",VLOOKUP(M118,'G-7 WaterC'' Data'!$AA$4:$AB$7,2,FALSE)))))</f>
        <v/>
      </c>
      <c r="O118" s="56"/>
      <c r="P118" s="282" t="str">
        <f>IF(O118="","",IF(AND(O118="N/A - Culvert",D118&lt;&gt;"Culvert"),"Not possible ▲",IF(AND(D118="Culvert",O118&lt;&gt;"N/A - Culvert"),"Not possible ▲",IF(VLOOKUP(O118,'G-7 WaterC'' Data'!$AD$4:$AE$14,2,FALSE)=0,"Spatial Data Missing ⚠",VLOOKUP(O118,'G-7 WaterC'' Data'!$AD$4:$AE$14,2,FALSE)))))</f>
        <v/>
      </c>
      <c r="Q118" s="288" t="str">
        <f>IF(D118="","",VLOOKUP(D118,'G-7 WaterC'' Data'!$B$4:$G$8,6,FALSE))</f>
        <v/>
      </c>
      <c r="R118" s="295" t="str">
        <f t="shared" si="13"/>
        <v xml:space="preserve"> </v>
      </c>
      <c r="S118" s="403"/>
      <c r="T118" s="287" t="str">
        <f>IF(S118="","",IF(VLOOKUP(S118,'G-7 WaterC'' Data'!$AO$4:$BO$7,2,FALSE)=0,"Spatial Data Missing ⚠",VLOOKUP(S118,'G-7 WaterC'' Data'!$AO$4:$BO$7,2,FALSE)))</f>
        <v/>
      </c>
      <c r="U118" s="295" t="str">
        <f t="shared" si="14"/>
        <v xml:space="preserve"> </v>
      </c>
      <c r="V118" s="710" t="str">
        <f t="shared" si="15"/>
        <v/>
      </c>
      <c r="W118" s="32"/>
      <c r="X118" s="105"/>
      <c r="Y118" s="112"/>
      <c r="Z118" s="293" t="str">
        <f t="shared" si="16"/>
        <v/>
      </c>
      <c r="AA118" s="293" t="str">
        <f t="shared" si="17"/>
        <v/>
      </c>
      <c r="AB118" s="293" t="str">
        <f t="shared" si="18"/>
        <v/>
      </c>
      <c r="AC118" s="507" t="str">
        <f>IFERROR(IF(OR(E118="",R118=""),"", IF(AND(AB118&lt;&gt;"",S118=""), "Spatial risk category missing ▲", IF(AND(Q118='G-7 WaterC'' Data'!$G$4,AD118="Yes"),"Alternative Compensation ✓", IF(AND(AD118="Pending", Q118='G-7 WaterC'' Data'!$G$4),"Bespoke compensation must be agreed ▲", IF((Z118+AA118)&gt;=U118,0, U118-Z118-AA118))))),"Check Data ⚠")</f>
        <v/>
      </c>
      <c r="AD118" s="403"/>
      <c r="AE118" s="109"/>
      <c r="AF118" s="108"/>
      <c r="AG118" s="108"/>
      <c r="AH118" s="108"/>
      <c r="AI118" s="54" t="str">
        <f>IF(OR(Q118="",AD118="Yes"),"",IF(Q118='G-1 All Habitats'!$X$9,E118-Y118-X118,"None"))</f>
        <v/>
      </c>
      <c r="AJ118" s="55" t="str">
        <f>IF(Q118="","", IF(Q118='G-1 All Habitats'!$X$9, AI118*G118*I118*L118*N118*P118,"None"))</f>
        <v/>
      </c>
      <c r="AK118" s="30" t="str">
        <f>IFERROR(INDEX('G-7 WaterC'' Data'!$AZ$3:$AZ$7,MATCH(D118,'G-7 WaterC'' Data'!$AY$3:$AY$7,0)),"")</f>
        <v/>
      </c>
      <c r="AL118" s="30">
        <f t="shared" si="19"/>
        <v>0</v>
      </c>
      <c r="AM118" s="111" t="str">
        <f t="shared" si="20"/>
        <v/>
      </c>
      <c r="AN118" s="111" t="str">
        <f t="shared" si="21"/>
        <v/>
      </c>
      <c r="AP118" s="111">
        <v>109</v>
      </c>
      <c r="AR118" s="111" t="str">
        <f t="array" ref="AR118">IFERROR(INDEX($AP$10:$AP$258, MATCH(0, IF(TRUE=$AM$10:$AM$258, COUNTIF($AR$9:$AR117, $AP$10:$AP$258), ""), 0)),"")</f>
        <v/>
      </c>
      <c r="AS118" s="111" t="str">
        <f t="array" ref="AS118">IFERROR(INDEX($AP$10:$AP$258, MATCH(0, IF(TRUE=$AN$10:$AN$258, COUNTIF($AS$9:$AS117, $AP$10:$AP$258), ""), 0)),"")</f>
        <v/>
      </c>
      <c r="AT118" s="903" t="str">
        <f>IF(AND(OR(AD118="Yes",AD118="Pending"),Q118='G-7 WaterC'' Data'!$G$4),U118-AA118-Z118,"0")</f>
        <v>0</v>
      </c>
      <c r="AU118" s="30" t="str">
        <f>IF(D118="","",VLOOKUP(D118,'G-7 WaterC'' Data'!B$4:M$8,12,FALSE))</f>
        <v/>
      </c>
      <c r="AV118" s="30" t="str">
        <f t="shared" si="12"/>
        <v/>
      </c>
      <c r="AW118" s="30" t="str">
        <f t="shared" si="22"/>
        <v>No</v>
      </c>
      <c r="BA118" s="571" t="str">
        <f t="shared" si="23"/>
        <v/>
      </c>
    </row>
    <row r="119" spans="3:53" ht="14.4" thickBot="1" x14ac:dyDescent="0.3">
      <c r="C119" s="101">
        <v>110</v>
      </c>
      <c r="D119" s="269"/>
      <c r="E119" s="108"/>
      <c r="F119" s="281" t="str">
        <f>IF(D119="","",VLOOKUP(D119,'G-7 WaterC'' Data'!$B$2:$G$8,2,FALSE))</f>
        <v/>
      </c>
      <c r="G119" s="320" t="str">
        <f>IFERROR(VLOOKUP(F119,'G-7 WaterC'' Data'!$C$4:$D$8,2,FALSE),"")</f>
        <v/>
      </c>
      <c r="H119" s="109"/>
      <c r="I119" s="305" t="str">
        <f>IFERROR(INDEX('G-7 WaterC'' Data'!$H$4:$L$8,MATCH(D119,'G-7 WaterC'' Data'!$B$4:$B$8,0),MATCH(H119,'G-7 WaterC'' Data'!$H$3:$L$3,0)),"")</f>
        <v/>
      </c>
      <c r="J119" s="718"/>
      <c r="K119" s="301" t="str">
        <f>IF(J119="","",IF(VLOOKUP(J119,'G-7 WaterC'' Data'!$AK$4:$AM$9,2,FALSE)=0,"Spatial Data Missing ⚠",VLOOKUP(J119,'G-7 WaterC'' Data'!$AK$4:$AM$6,2,FALSE)))</f>
        <v/>
      </c>
      <c r="L119" s="305" t="str">
        <f>IF(J119="","",IF(VLOOKUP(J119,'G-7 WaterC'' Data'!$AK$4:$AM$9,3,FALSE)=0,"Spatial Data Missing ⚠",VLOOKUP(J119,'G-7 WaterC'' Data'!$AK$4:$AM$6,3,FALSE)))</f>
        <v/>
      </c>
      <c r="M119" s="106"/>
      <c r="N119" s="282" t="str">
        <f>IF(M119="","",IF(AND(M119="N/A - Culvert",D119&lt;&gt;"Culvert"),"Not possible ▲",IF(AND(D119="Culvert",M119&lt;&gt;"N/A - Culvert"),"Not possible ▲",IF(VLOOKUP(M119,'G-7 WaterC'' Data'!$AA$4:$AB$7,2,FALSE)=0,"Spatial Data Missing ⚠",VLOOKUP(M119,'G-7 WaterC'' Data'!$AA$4:$AB$7,2,FALSE)))))</f>
        <v/>
      </c>
      <c r="O119" s="56"/>
      <c r="P119" s="282" t="str">
        <f>IF(O119="","",IF(AND(O119="N/A - Culvert",D119&lt;&gt;"Culvert"),"Not possible ▲",IF(AND(D119="Culvert",O119&lt;&gt;"N/A - Culvert"),"Not possible ▲",IF(VLOOKUP(O119,'G-7 WaterC'' Data'!$AD$4:$AE$14,2,FALSE)=0,"Spatial Data Missing ⚠",VLOOKUP(O119,'G-7 WaterC'' Data'!$AD$4:$AE$14,2,FALSE)))))</f>
        <v/>
      </c>
      <c r="Q119" s="288" t="str">
        <f>IF(D119="","",VLOOKUP(D119,'G-7 WaterC'' Data'!$B$4:$G$8,6,FALSE))</f>
        <v/>
      </c>
      <c r="R119" s="295" t="str">
        <f t="shared" si="13"/>
        <v xml:space="preserve"> </v>
      </c>
      <c r="S119" s="403"/>
      <c r="T119" s="287" t="str">
        <f>IF(S119="","",IF(VLOOKUP(S119,'G-7 WaterC'' Data'!$AO$4:$BO$7,2,FALSE)=0,"Spatial Data Missing ⚠",VLOOKUP(S119,'G-7 WaterC'' Data'!$AO$4:$BO$7,2,FALSE)))</f>
        <v/>
      </c>
      <c r="U119" s="295" t="str">
        <f t="shared" si="14"/>
        <v xml:space="preserve"> </v>
      </c>
      <c r="V119" s="710" t="str">
        <f t="shared" si="15"/>
        <v/>
      </c>
      <c r="W119" s="32"/>
      <c r="X119" s="105"/>
      <c r="Y119" s="112"/>
      <c r="Z119" s="293" t="str">
        <f t="shared" si="16"/>
        <v/>
      </c>
      <c r="AA119" s="293" t="str">
        <f t="shared" si="17"/>
        <v/>
      </c>
      <c r="AB119" s="293" t="str">
        <f t="shared" si="18"/>
        <v/>
      </c>
      <c r="AC119" s="507" t="str">
        <f>IFERROR(IF(OR(E119="",R119=""),"", IF(AND(AB119&lt;&gt;"",S119=""), "Spatial risk category missing ▲", IF(AND(Q119='G-7 WaterC'' Data'!$G$4,AD119="Yes"),"Alternative Compensation ✓", IF(AND(AD119="Pending", Q119='G-7 WaterC'' Data'!$G$4),"Bespoke compensation must be agreed ▲", IF((Z119+AA119)&gt;=U119,0, U119-Z119-AA119))))),"Check Data ⚠")</f>
        <v/>
      </c>
      <c r="AD119" s="403"/>
      <c r="AE119" s="109"/>
      <c r="AF119" s="108"/>
      <c r="AG119" s="108"/>
      <c r="AH119" s="108"/>
      <c r="AI119" s="54" t="str">
        <f>IF(OR(Q119="",AD119="Yes"),"",IF(Q119='G-1 All Habitats'!$X$9,E119-Y119-X119,"None"))</f>
        <v/>
      </c>
      <c r="AJ119" s="55" t="str">
        <f>IF(Q119="","", IF(Q119='G-1 All Habitats'!$X$9, AI119*G119*I119*L119*N119*P119,"None"))</f>
        <v/>
      </c>
      <c r="AK119" s="30" t="str">
        <f>IFERROR(INDEX('G-7 WaterC'' Data'!$AZ$3:$AZ$7,MATCH(D119,'G-7 WaterC'' Data'!$AY$3:$AY$7,0)),"")</f>
        <v/>
      </c>
      <c r="AL119" s="30">
        <f t="shared" si="19"/>
        <v>0</v>
      </c>
      <c r="AM119" s="111" t="str">
        <f t="shared" si="20"/>
        <v/>
      </c>
      <c r="AN119" s="111" t="str">
        <f t="shared" si="21"/>
        <v/>
      </c>
      <c r="AP119" s="111">
        <v>110</v>
      </c>
      <c r="AR119" s="111" t="str">
        <f t="array" ref="AR119">IFERROR(INDEX($AP$10:$AP$258, MATCH(0, IF(TRUE=$AM$10:$AM$258, COUNTIF($AR$9:$AR118, $AP$10:$AP$258), ""), 0)),"")</f>
        <v/>
      </c>
      <c r="AS119" s="111" t="str">
        <f t="array" ref="AS119">IFERROR(INDEX($AP$10:$AP$258, MATCH(0, IF(TRUE=$AN$10:$AN$258, COUNTIF($AS$9:$AS118, $AP$10:$AP$258), ""), 0)),"")</f>
        <v/>
      </c>
      <c r="AT119" s="903" t="str">
        <f>IF(AND(OR(AD119="Yes",AD119="Pending"),Q119='G-7 WaterC'' Data'!$G$4),U119-AA119-Z119,"0")</f>
        <v>0</v>
      </c>
      <c r="AU119" s="30" t="str">
        <f>IF(D119="","",VLOOKUP(D119,'G-7 WaterC'' Data'!B$4:M$8,12,FALSE))</f>
        <v/>
      </c>
      <c r="AV119" s="30" t="str">
        <f t="shared" si="12"/>
        <v/>
      </c>
      <c r="AW119" s="30" t="str">
        <f t="shared" si="22"/>
        <v>No</v>
      </c>
      <c r="BA119" s="571" t="str">
        <f t="shared" si="23"/>
        <v/>
      </c>
    </row>
    <row r="120" spans="3:53" ht="14.4" thickBot="1" x14ac:dyDescent="0.3">
      <c r="C120" s="101">
        <v>111</v>
      </c>
      <c r="D120" s="269"/>
      <c r="E120" s="108"/>
      <c r="F120" s="281" t="str">
        <f>IF(D120="","",VLOOKUP(D120,'G-7 WaterC'' Data'!$B$2:$G$8,2,FALSE))</f>
        <v/>
      </c>
      <c r="G120" s="320" t="str">
        <f>IFERROR(VLOOKUP(F120,'G-7 WaterC'' Data'!$C$4:$D$8,2,FALSE),"")</f>
        <v/>
      </c>
      <c r="H120" s="109"/>
      <c r="I120" s="305" t="str">
        <f>IFERROR(INDEX('G-7 WaterC'' Data'!$H$4:$L$8,MATCH(D120,'G-7 WaterC'' Data'!$B$4:$B$8,0),MATCH(H120,'G-7 WaterC'' Data'!$H$3:$L$3,0)),"")</f>
        <v/>
      </c>
      <c r="J120" s="718"/>
      <c r="K120" s="301" t="str">
        <f>IF(J120="","",IF(VLOOKUP(J120,'G-7 WaterC'' Data'!$AK$4:$AM$9,2,FALSE)=0,"Spatial Data Missing ⚠",VLOOKUP(J120,'G-7 WaterC'' Data'!$AK$4:$AM$6,2,FALSE)))</f>
        <v/>
      </c>
      <c r="L120" s="305" t="str">
        <f>IF(J120="","",IF(VLOOKUP(J120,'G-7 WaterC'' Data'!$AK$4:$AM$9,3,FALSE)=0,"Spatial Data Missing ⚠",VLOOKUP(J120,'G-7 WaterC'' Data'!$AK$4:$AM$6,3,FALSE)))</f>
        <v/>
      </c>
      <c r="M120" s="106"/>
      <c r="N120" s="282" t="str">
        <f>IF(M120="","",IF(AND(M120="N/A - Culvert",D120&lt;&gt;"Culvert"),"Not possible ▲",IF(AND(D120="Culvert",M120&lt;&gt;"N/A - Culvert"),"Not possible ▲",IF(VLOOKUP(M120,'G-7 WaterC'' Data'!$AA$4:$AB$7,2,FALSE)=0,"Spatial Data Missing ⚠",VLOOKUP(M120,'G-7 WaterC'' Data'!$AA$4:$AB$7,2,FALSE)))))</f>
        <v/>
      </c>
      <c r="O120" s="56"/>
      <c r="P120" s="282" t="str">
        <f>IF(O120="","",IF(AND(O120="N/A - Culvert",D120&lt;&gt;"Culvert"),"Not possible ▲",IF(AND(D120="Culvert",O120&lt;&gt;"N/A - Culvert"),"Not possible ▲",IF(VLOOKUP(O120,'G-7 WaterC'' Data'!$AD$4:$AE$14,2,FALSE)=0,"Spatial Data Missing ⚠",VLOOKUP(O120,'G-7 WaterC'' Data'!$AD$4:$AE$14,2,FALSE)))))</f>
        <v/>
      </c>
      <c r="Q120" s="288" t="str">
        <f>IF(D120="","",VLOOKUP(D120,'G-7 WaterC'' Data'!$B$4:$G$8,6,FALSE))</f>
        <v/>
      </c>
      <c r="R120" s="295" t="str">
        <f t="shared" si="13"/>
        <v xml:space="preserve"> </v>
      </c>
      <c r="S120" s="403"/>
      <c r="T120" s="287" t="str">
        <f>IF(S120="","",IF(VLOOKUP(S120,'G-7 WaterC'' Data'!$AO$4:$BO$7,2,FALSE)=0,"Spatial Data Missing ⚠",VLOOKUP(S120,'G-7 WaterC'' Data'!$AO$4:$BO$7,2,FALSE)))</f>
        <v/>
      </c>
      <c r="U120" s="295" t="str">
        <f t="shared" si="14"/>
        <v xml:space="preserve"> </v>
      </c>
      <c r="V120" s="710" t="str">
        <f t="shared" si="15"/>
        <v/>
      </c>
      <c r="W120" s="32"/>
      <c r="X120" s="105"/>
      <c r="Y120" s="112"/>
      <c r="Z120" s="293" t="str">
        <f t="shared" si="16"/>
        <v/>
      </c>
      <c r="AA120" s="293" t="str">
        <f t="shared" si="17"/>
        <v/>
      </c>
      <c r="AB120" s="293" t="str">
        <f t="shared" si="18"/>
        <v/>
      </c>
      <c r="AC120" s="507" t="str">
        <f>IFERROR(IF(OR(E120="",R120=""),"", IF(AND(AB120&lt;&gt;"",S120=""), "Spatial risk category missing ▲", IF(AND(Q120='G-7 WaterC'' Data'!$G$4,AD120="Yes"),"Alternative Compensation ✓", IF(AND(AD120="Pending", Q120='G-7 WaterC'' Data'!$G$4),"Bespoke compensation must be agreed ▲", IF((Z120+AA120)&gt;=U120,0, U120-Z120-AA120))))),"Check Data ⚠")</f>
        <v/>
      </c>
      <c r="AD120" s="403"/>
      <c r="AE120" s="109"/>
      <c r="AF120" s="108"/>
      <c r="AG120" s="108"/>
      <c r="AH120" s="108"/>
      <c r="AI120" s="54" t="str">
        <f>IF(OR(Q120="",AD120="Yes"),"",IF(Q120='G-1 All Habitats'!$X$9,E120-Y120-X120,"None"))</f>
        <v/>
      </c>
      <c r="AJ120" s="55" t="str">
        <f>IF(Q120="","", IF(Q120='G-1 All Habitats'!$X$9, AI120*G120*I120*L120*N120*P120,"None"))</f>
        <v/>
      </c>
      <c r="AK120" s="30" t="str">
        <f>IFERROR(INDEX('G-7 WaterC'' Data'!$AZ$3:$AZ$7,MATCH(D120,'G-7 WaterC'' Data'!$AY$3:$AY$7,0)),"")</f>
        <v/>
      </c>
      <c r="AL120" s="30">
        <f t="shared" si="19"/>
        <v>0</v>
      </c>
      <c r="AM120" s="111" t="str">
        <f t="shared" si="20"/>
        <v/>
      </c>
      <c r="AN120" s="111" t="str">
        <f t="shared" si="21"/>
        <v/>
      </c>
      <c r="AP120" s="111">
        <v>111</v>
      </c>
      <c r="AR120" s="111" t="str">
        <f t="array" ref="AR120">IFERROR(INDEX($AP$10:$AP$258, MATCH(0, IF(TRUE=$AM$10:$AM$258, COUNTIF($AR$9:$AR119, $AP$10:$AP$258), ""), 0)),"")</f>
        <v/>
      </c>
      <c r="AS120" s="111" t="str">
        <f t="array" ref="AS120">IFERROR(INDEX($AP$10:$AP$258, MATCH(0, IF(TRUE=$AN$10:$AN$258, COUNTIF($AS$9:$AS119, $AP$10:$AP$258), ""), 0)),"")</f>
        <v/>
      </c>
      <c r="AT120" s="903" t="str">
        <f>IF(AND(OR(AD120="Yes",AD120="Pending"),Q120='G-7 WaterC'' Data'!$G$4),U120-AA120-Z120,"0")</f>
        <v>0</v>
      </c>
      <c r="AU120" s="30" t="str">
        <f>IF(D120="","",VLOOKUP(D120,'G-7 WaterC'' Data'!B$4:M$8,12,FALSE))</f>
        <v/>
      </c>
      <c r="AV120" s="30" t="str">
        <f t="shared" si="12"/>
        <v/>
      </c>
      <c r="AW120" s="30" t="str">
        <f t="shared" si="22"/>
        <v>No</v>
      </c>
      <c r="BA120" s="571" t="str">
        <f t="shared" si="23"/>
        <v/>
      </c>
    </row>
    <row r="121" spans="3:53" ht="14.4" thickBot="1" x14ac:dyDescent="0.3">
      <c r="C121" s="101">
        <v>112</v>
      </c>
      <c r="D121" s="269"/>
      <c r="E121" s="108"/>
      <c r="F121" s="281" t="str">
        <f>IF(D121="","",VLOOKUP(D121,'G-7 WaterC'' Data'!$B$2:$G$8,2,FALSE))</f>
        <v/>
      </c>
      <c r="G121" s="320" t="str">
        <f>IFERROR(VLOOKUP(F121,'G-7 WaterC'' Data'!$C$4:$D$8,2,FALSE),"")</f>
        <v/>
      </c>
      <c r="H121" s="109"/>
      <c r="I121" s="305" t="str">
        <f>IFERROR(INDEX('G-7 WaterC'' Data'!$H$4:$L$8,MATCH(D121,'G-7 WaterC'' Data'!$B$4:$B$8,0),MATCH(H121,'G-7 WaterC'' Data'!$H$3:$L$3,0)),"")</f>
        <v/>
      </c>
      <c r="J121" s="718"/>
      <c r="K121" s="301" t="str">
        <f>IF(J121="","",IF(VLOOKUP(J121,'G-7 WaterC'' Data'!$AK$4:$AM$9,2,FALSE)=0,"Spatial Data Missing ⚠",VLOOKUP(J121,'G-7 WaterC'' Data'!$AK$4:$AM$6,2,FALSE)))</f>
        <v/>
      </c>
      <c r="L121" s="305" t="str">
        <f>IF(J121="","",IF(VLOOKUP(J121,'G-7 WaterC'' Data'!$AK$4:$AM$9,3,FALSE)=0,"Spatial Data Missing ⚠",VLOOKUP(J121,'G-7 WaterC'' Data'!$AK$4:$AM$6,3,FALSE)))</f>
        <v/>
      </c>
      <c r="M121" s="106"/>
      <c r="N121" s="282" t="str">
        <f>IF(M121="","",IF(AND(M121="N/A - Culvert",D121&lt;&gt;"Culvert"),"Not possible ▲",IF(AND(D121="Culvert",M121&lt;&gt;"N/A - Culvert"),"Not possible ▲",IF(VLOOKUP(M121,'G-7 WaterC'' Data'!$AA$4:$AB$7,2,FALSE)=0,"Spatial Data Missing ⚠",VLOOKUP(M121,'G-7 WaterC'' Data'!$AA$4:$AB$7,2,FALSE)))))</f>
        <v/>
      </c>
      <c r="O121" s="56"/>
      <c r="P121" s="282" t="str">
        <f>IF(O121="","",IF(AND(O121="N/A - Culvert",D121&lt;&gt;"Culvert"),"Not possible ▲",IF(AND(D121="Culvert",O121&lt;&gt;"N/A - Culvert"),"Not possible ▲",IF(VLOOKUP(O121,'G-7 WaterC'' Data'!$AD$4:$AE$14,2,FALSE)=0,"Spatial Data Missing ⚠",VLOOKUP(O121,'G-7 WaterC'' Data'!$AD$4:$AE$14,2,FALSE)))))</f>
        <v/>
      </c>
      <c r="Q121" s="288" t="str">
        <f>IF(D121="","",VLOOKUP(D121,'G-7 WaterC'' Data'!$B$4:$G$8,6,FALSE))</f>
        <v/>
      </c>
      <c r="R121" s="295" t="str">
        <f t="shared" si="13"/>
        <v xml:space="preserve"> </v>
      </c>
      <c r="S121" s="403"/>
      <c r="T121" s="287" t="str">
        <f>IF(S121="","",IF(VLOOKUP(S121,'G-7 WaterC'' Data'!$AO$4:$BO$7,2,FALSE)=0,"Spatial Data Missing ⚠",VLOOKUP(S121,'G-7 WaterC'' Data'!$AO$4:$BO$7,2,FALSE)))</f>
        <v/>
      </c>
      <c r="U121" s="295" t="str">
        <f t="shared" si="14"/>
        <v xml:space="preserve"> </v>
      </c>
      <c r="V121" s="710" t="str">
        <f t="shared" si="15"/>
        <v/>
      </c>
      <c r="W121" s="32"/>
      <c r="X121" s="105"/>
      <c r="Y121" s="112"/>
      <c r="Z121" s="293" t="str">
        <f t="shared" si="16"/>
        <v/>
      </c>
      <c r="AA121" s="293" t="str">
        <f t="shared" si="17"/>
        <v/>
      </c>
      <c r="AB121" s="293" t="str">
        <f t="shared" si="18"/>
        <v/>
      </c>
      <c r="AC121" s="507" t="str">
        <f>IFERROR(IF(OR(E121="",R121=""),"", IF(AND(AB121&lt;&gt;"",S121=""), "Spatial risk category missing ▲", IF(AND(Q121='G-7 WaterC'' Data'!$G$4,AD121="Yes"),"Alternative Compensation ✓", IF(AND(AD121="Pending", Q121='G-7 WaterC'' Data'!$G$4),"Bespoke compensation must be agreed ▲", IF((Z121+AA121)&gt;=U121,0, U121-Z121-AA121))))),"Check Data ⚠")</f>
        <v/>
      </c>
      <c r="AD121" s="403"/>
      <c r="AE121" s="109"/>
      <c r="AF121" s="108"/>
      <c r="AG121" s="108"/>
      <c r="AH121" s="108"/>
      <c r="AI121" s="54" t="str">
        <f>IF(OR(Q121="",AD121="Yes"),"",IF(Q121='G-1 All Habitats'!$X$9,E121-Y121-X121,"None"))</f>
        <v/>
      </c>
      <c r="AJ121" s="55" t="str">
        <f>IF(Q121="","", IF(Q121='G-1 All Habitats'!$X$9, AI121*G121*I121*L121*N121*P121,"None"))</f>
        <v/>
      </c>
      <c r="AK121" s="30" t="str">
        <f>IFERROR(INDEX('G-7 WaterC'' Data'!$AZ$3:$AZ$7,MATCH(D121,'G-7 WaterC'' Data'!$AY$3:$AY$7,0)),"")</f>
        <v/>
      </c>
      <c r="AL121" s="30">
        <f t="shared" si="19"/>
        <v>0</v>
      </c>
      <c r="AM121" s="111" t="str">
        <f t="shared" si="20"/>
        <v/>
      </c>
      <c r="AN121" s="111" t="str">
        <f t="shared" si="21"/>
        <v/>
      </c>
      <c r="AP121" s="111">
        <v>112</v>
      </c>
      <c r="AR121" s="111" t="str">
        <f t="array" ref="AR121">IFERROR(INDEX($AP$10:$AP$258, MATCH(0, IF(TRUE=$AM$10:$AM$258, COUNTIF($AR$9:$AR120, $AP$10:$AP$258), ""), 0)),"")</f>
        <v/>
      </c>
      <c r="AS121" s="111" t="str">
        <f t="array" ref="AS121">IFERROR(INDEX($AP$10:$AP$258, MATCH(0, IF(TRUE=$AN$10:$AN$258, COUNTIF($AS$9:$AS120, $AP$10:$AP$258), ""), 0)),"")</f>
        <v/>
      </c>
      <c r="AT121" s="903" t="str">
        <f>IF(AND(OR(AD121="Yes",AD121="Pending"),Q121='G-7 WaterC'' Data'!$G$4),U121-AA121-Z121,"0")</f>
        <v>0</v>
      </c>
      <c r="AU121" s="30" t="str">
        <f>IF(D121="","",VLOOKUP(D121,'G-7 WaterC'' Data'!B$4:M$8,12,FALSE))</f>
        <v/>
      </c>
      <c r="AV121" s="30" t="str">
        <f t="shared" si="12"/>
        <v/>
      </c>
      <c r="AW121" s="30" t="str">
        <f t="shared" si="22"/>
        <v>No</v>
      </c>
      <c r="BA121" s="571" t="str">
        <f t="shared" si="23"/>
        <v/>
      </c>
    </row>
    <row r="122" spans="3:53" ht="14.4" thickBot="1" x14ac:dyDescent="0.3">
      <c r="C122" s="101">
        <v>113</v>
      </c>
      <c r="D122" s="269"/>
      <c r="E122" s="108"/>
      <c r="F122" s="281" t="str">
        <f>IF(D122="","",VLOOKUP(D122,'G-7 WaterC'' Data'!$B$2:$G$8,2,FALSE))</f>
        <v/>
      </c>
      <c r="G122" s="320" t="str">
        <f>IFERROR(VLOOKUP(F122,'G-7 WaterC'' Data'!$C$4:$D$8,2,FALSE),"")</f>
        <v/>
      </c>
      <c r="H122" s="109"/>
      <c r="I122" s="305" t="str">
        <f>IFERROR(INDEX('G-7 WaterC'' Data'!$H$4:$L$8,MATCH(D122,'G-7 WaterC'' Data'!$B$4:$B$8,0),MATCH(H122,'G-7 WaterC'' Data'!$H$3:$L$3,0)),"")</f>
        <v/>
      </c>
      <c r="J122" s="718"/>
      <c r="K122" s="301" t="str">
        <f>IF(J122="","",IF(VLOOKUP(J122,'G-7 WaterC'' Data'!$AK$4:$AM$9,2,FALSE)=0,"Spatial Data Missing ⚠",VLOOKUP(J122,'G-7 WaterC'' Data'!$AK$4:$AM$6,2,FALSE)))</f>
        <v/>
      </c>
      <c r="L122" s="305" t="str">
        <f>IF(J122="","",IF(VLOOKUP(J122,'G-7 WaterC'' Data'!$AK$4:$AM$9,3,FALSE)=0,"Spatial Data Missing ⚠",VLOOKUP(J122,'G-7 WaterC'' Data'!$AK$4:$AM$6,3,FALSE)))</f>
        <v/>
      </c>
      <c r="M122" s="106"/>
      <c r="N122" s="282" t="str">
        <f>IF(M122="","",IF(AND(M122="N/A - Culvert",D122&lt;&gt;"Culvert"),"Not possible ▲",IF(AND(D122="Culvert",M122&lt;&gt;"N/A - Culvert"),"Not possible ▲",IF(VLOOKUP(M122,'G-7 WaterC'' Data'!$AA$4:$AB$7,2,FALSE)=0,"Spatial Data Missing ⚠",VLOOKUP(M122,'G-7 WaterC'' Data'!$AA$4:$AB$7,2,FALSE)))))</f>
        <v/>
      </c>
      <c r="O122" s="56"/>
      <c r="P122" s="282" t="str">
        <f>IF(O122="","",IF(AND(O122="N/A - Culvert",D122&lt;&gt;"Culvert"),"Not possible ▲",IF(AND(D122="Culvert",O122&lt;&gt;"N/A - Culvert"),"Not possible ▲",IF(VLOOKUP(O122,'G-7 WaterC'' Data'!$AD$4:$AE$14,2,FALSE)=0,"Spatial Data Missing ⚠",VLOOKUP(O122,'G-7 WaterC'' Data'!$AD$4:$AE$14,2,FALSE)))))</f>
        <v/>
      </c>
      <c r="Q122" s="288" t="str">
        <f>IF(D122="","",VLOOKUP(D122,'G-7 WaterC'' Data'!$B$4:$G$8,6,FALSE))</f>
        <v/>
      </c>
      <c r="R122" s="295" t="str">
        <f t="shared" si="13"/>
        <v xml:space="preserve"> </v>
      </c>
      <c r="S122" s="403"/>
      <c r="T122" s="287" t="str">
        <f>IF(S122="","",IF(VLOOKUP(S122,'G-7 WaterC'' Data'!$AO$4:$BO$7,2,FALSE)=0,"Spatial Data Missing ⚠",VLOOKUP(S122,'G-7 WaterC'' Data'!$AO$4:$BO$7,2,FALSE)))</f>
        <v/>
      </c>
      <c r="U122" s="295" t="str">
        <f t="shared" si="14"/>
        <v xml:space="preserve"> </v>
      </c>
      <c r="V122" s="710" t="str">
        <f t="shared" si="15"/>
        <v/>
      </c>
      <c r="W122" s="32"/>
      <c r="X122" s="105"/>
      <c r="Y122" s="112"/>
      <c r="Z122" s="293" t="str">
        <f t="shared" si="16"/>
        <v/>
      </c>
      <c r="AA122" s="293" t="str">
        <f t="shared" si="17"/>
        <v/>
      </c>
      <c r="AB122" s="293" t="str">
        <f t="shared" si="18"/>
        <v/>
      </c>
      <c r="AC122" s="507" t="str">
        <f>IFERROR(IF(OR(E122="",R122=""),"", IF(AND(AB122&lt;&gt;"",S122=""), "Spatial risk category missing ▲", IF(AND(Q122='G-7 WaterC'' Data'!$G$4,AD122="Yes"),"Alternative Compensation ✓", IF(AND(AD122="Pending", Q122='G-7 WaterC'' Data'!$G$4),"Bespoke compensation must be agreed ▲", IF((Z122+AA122)&gt;=U122,0, U122-Z122-AA122))))),"Check Data ⚠")</f>
        <v/>
      </c>
      <c r="AD122" s="403"/>
      <c r="AE122" s="109"/>
      <c r="AF122" s="108"/>
      <c r="AG122" s="108"/>
      <c r="AH122" s="108"/>
      <c r="AI122" s="54" t="str">
        <f>IF(OR(Q122="",AD122="Yes"),"",IF(Q122='G-1 All Habitats'!$X$9,E122-Y122-X122,"None"))</f>
        <v/>
      </c>
      <c r="AJ122" s="55" t="str">
        <f>IF(Q122="","", IF(Q122='G-1 All Habitats'!$X$9, AI122*G122*I122*L122*N122*P122,"None"))</f>
        <v/>
      </c>
      <c r="AK122" s="30" t="str">
        <f>IFERROR(INDEX('G-7 WaterC'' Data'!$AZ$3:$AZ$7,MATCH(D122,'G-7 WaterC'' Data'!$AY$3:$AY$7,0)),"")</f>
        <v/>
      </c>
      <c r="AL122" s="30">
        <f t="shared" si="19"/>
        <v>0</v>
      </c>
      <c r="AM122" s="111" t="str">
        <f t="shared" si="20"/>
        <v/>
      </c>
      <c r="AN122" s="111" t="str">
        <f t="shared" si="21"/>
        <v/>
      </c>
      <c r="AP122" s="111">
        <v>113</v>
      </c>
      <c r="AR122" s="111" t="str">
        <f t="array" ref="AR122">IFERROR(INDEX($AP$10:$AP$258, MATCH(0, IF(TRUE=$AM$10:$AM$258, COUNTIF($AR$9:$AR121, $AP$10:$AP$258), ""), 0)),"")</f>
        <v/>
      </c>
      <c r="AS122" s="111" t="str">
        <f t="array" ref="AS122">IFERROR(INDEX($AP$10:$AP$258, MATCH(0, IF(TRUE=$AN$10:$AN$258, COUNTIF($AS$9:$AS121, $AP$10:$AP$258), ""), 0)),"")</f>
        <v/>
      </c>
      <c r="AT122" s="903" t="str">
        <f>IF(AND(OR(AD122="Yes",AD122="Pending"),Q122='G-7 WaterC'' Data'!$G$4),U122-AA122-Z122,"0")</f>
        <v>0</v>
      </c>
      <c r="AU122" s="30" t="str">
        <f>IF(D122="","",VLOOKUP(D122,'G-7 WaterC'' Data'!B$4:M$8,12,FALSE))</f>
        <v/>
      </c>
      <c r="AV122" s="30" t="str">
        <f t="shared" si="12"/>
        <v/>
      </c>
      <c r="AW122" s="30" t="str">
        <f t="shared" si="22"/>
        <v>No</v>
      </c>
      <c r="BA122" s="571" t="str">
        <f t="shared" si="23"/>
        <v/>
      </c>
    </row>
    <row r="123" spans="3:53" ht="14.4" thickBot="1" x14ac:dyDescent="0.3">
      <c r="C123" s="101">
        <v>114</v>
      </c>
      <c r="D123" s="269"/>
      <c r="E123" s="108"/>
      <c r="F123" s="281" t="str">
        <f>IF(D123="","",VLOOKUP(D123,'G-7 WaterC'' Data'!$B$2:$G$8,2,FALSE))</f>
        <v/>
      </c>
      <c r="G123" s="320" t="str">
        <f>IFERROR(VLOOKUP(F123,'G-7 WaterC'' Data'!$C$4:$D$8,2,FALSE),"")</f>
        <v/>
      </c>
      <c r="H123" s="109"/>
      <c r="I123" s="305" t="str">
        <f>IFERROR(INDEX('G-7 WaterC'' Data'!$H$4:$L$8,MATCH(D123,'G-7 WaterC'' Data'!$B$4:$B$8,0),MATCH(H123,'G-7 WaterC'' Data'!$H$3:$L$3,0)),"")</f>
        <v/>
      </c>
      <c r="J123" s="718"/>
      <c r="K123" s="301" t="str">
        <f>IF(J123="","",IF(VLOOKUP(J123,'G-7 WaterC'' Data'!$AK$4:$AM$9,2,FALSE)=0,"Spatial Data Missing ⚠",VLOOKUP(J123,'G-7 WaterC'' Data'!$AK$4:$AM$6,2,FALSE)))</f>
        <v/>
      </c>
      <c r="L123" s="305" t="str">
        <f>IF(J123="","",IF(VLOOKUP(J123,'G-7 WaterC'' Data'!$AK$4:$AM$9,3,FALSE)=0,"Spatial Data Missing ⚠",VLOOKUP(J123,'G-7 WaterC'' Data'!$AK$4:$AM$6,3,FALSE)))</f>
        <v/>
      </c>
      <c r="M123" s="106"/>
      <c r="N123" s="282" t="str">
        <f>IF(M123="","",IF(AND(M123="N/A - Culvert",D123&lt;&gt;"Culvert"),"Not possible ▲",IF(AND(D123="Culvert",M123&lt;&gt;"N/A - Culvert"),"Not possible ▲",IF(VLOOKUP(M123,'G-7 WaterC'' Data'!$AA$4:$AB$7,2,FALSE)=0,"Spatial Data Missing ⚠",VLOOKUP(M123,'G-7 WaterC'' Data'!$AA$4:$AB$7,2,FALSE)))))</f>
        <v/>
      </c>
      <c r="O123" s="56"/>
      <c r="P123" s="282" t="str">
        <f>IF(O123="","",IF(AND(O123="N/A - Culvert",D123&lt;&gt;"Culvert"),"Not possible ▲",IF(AND(D123="Culvert",O123&lt;&gt;"N/A - Culvert"),"Not possible ▲",IF(VLOOKUP(O123,'G-7 WaterC'' Data'!$AD$4:$AE$14,2,FALSE)=0,"Spatial Data Missing ⚠",VLOOKUP(O123,'G-7 WaterC'' Data'!$AD$4:$AE$14,2,FALSE)))))</f>
        <v/>
      </c>
      <c r="Q123" s="288" t="str">
        <f>IF(D123="","",VLOOKUP(D123,'G-7 WaterC'' Data'!$B$4:$G$8,6,FALSE))</f>
        <v/>
      </c>
      <c r="R123" s="295" t="str">
        <f t="shared" si="13"/>
        <v xml:space="preserve"> </v>
      </c>
      <c r="S123" s="403"/>
      <c r="T123" s="287" t="str">
        <f>IF(S123="","",IF(VLOOKUP(S123,'G-7 WaterC'' Data'!$AO$4:$BO$7,2,FALSE)=0,"Spatial Data Missing ⚠",VLOOKUP(S123,'G-7 WaterC'' Data'!$AO$4:$BO$7,2,FALSE)))</f>
        <v/>
      </c>
      <c r="U123" s="295" t="str">
        <f t="shared" si="14"/>
        <v xml:space="preserve"> </v>
      </c>
      <c r="V123" s="710" t="str">
        <f t="shared" si="15"/>
        <v/>
      </c>
      <c r="W123" s="32"/>
      <c r="X123" s="105"/>
      <c r="Y123" s="112"/>
      <c r="Z123" s="293" t="str">
        <f t="shared" si="16"/>
        <v/>
      </c>
      <c r="AA123" s="293" t="str">
        <f t="shared" si="17"/>
        <v/>
      </c>
      <c r="AB123" s="293" t="str">
        <f t="shared" si="18"/>
        <v/>
      </c>
      <c r="AC123" s="507" t="str">
        <f>IFERROR(IF(OR(E123="",R123=""),"", IF(AND(AB123&lt;&gt;"",S123=""), "Spatial risk category missing ▲", IF(AND(Q123='G-7 WaterC'' Data'!$G$4,AD123="Yes"),"Alternative Compensation ✓", IF(AND(AD123="Pending", Q123='G-7 WaterC'' Data'!$G$4),"Bespoke compensation must be agreed ▲", IF((Z123+AA123)&gt;=U123,0, U123-Z123-AA123))))),"Check Data ⚠")</f>
        <v/>
      </c>
      <c r="AD123" s="403"/>
      <c r="AE123" s="109"/>
      <c r="AF123" s="108"/>
      <c r="AG123" s="108"/>
      <c r="AH123" s="108"/>
      <c r="AI123" s="54" t="str">
        <f>IF(OR(Q123="",AD123="Yes"),"",IF(Q123='G-1 All Habitats'!$X$9,E123-Y123-X123,"None"))</f>
        <v/>
      </c>
      <c r="AJ123" s="55" t="str">
        <f>IF(Q123="","", IF(Q123='G-1 All Habitats'!$X$9, AI123*G123*I123*L123*N123*P123,"None"))</f>
        <v/>
      </c>
      <c r="AK123" s="30" t="str">
        <f>IFERROR(INDEX('G-7 WaterC'' Data'!$AZ$3:$AZ$7,MATCH(D123,'G-7 WaterC'' Data'!$AY$3:$AY$7,0)),"")</f>
        <v/>
      </c>
      <c r="AL123" s="30">
        <f t="shared" si="19"/>
        <v>0</v>
      </c>
      <c r="AM123" s="111" t="str">
        <f t="shared" si="20"/>
        <v/>
      </c>
      <c r="AN123" s="111" t="str">
        <f t="shared" si="21"/>
        <v/>
      </c>
      <c r="AP123" s="111">
        <v>114</v>
      </c>
      <c r="AR123" s="111" t="str">
        <f t="array" ref="AR123">IFERROR(INDEX($AP$10:$AP$258, MATCH(0, IF(TRUE=$AM$10:$AM$258, COUNTIF($AR$9:$AR122, $AP$10:$AP$258), ""), 0)),"")</f>
        <v/>
      </c>
      <c r="AS123" s="111" t="str">
        <f t="array" ref="AS123">IFERROR(INDEX($AP$10:$AP$258, MATCH(0, IF(TRUE=$AN$10:$AN$258, COUNTIF($AS$9:$AS122, $AP$10:$AP$258), ""), 0)),"")</f>
        <v/>
      </c>
      <c r="AT123" s="903" t="str">
        <f>IF(AND(OR(AD123="Yes",AD123="Pending"),Q123='G-7 WaterC'' Data'!$G$4),U123-AA123-Z123,"0")</f>
        <v>0</v>
      </c>
      <c r="AU123" s="30" t="str">
        <f>IF(D123="","",VLOOKUP(D123,'G-7 WaterC'' Data'!B$4:M$8,12,FALSE))</f>
        <v/>
      </c>
      <c r="AV123" s="30" t="str">
        <f t="shared" si="12"/>
        <v/>
      </c>
      <c r="AW123" s="30" t="str">
        <f t="shared" si="22"/>
        <v>No</v>
      </c>
      <c r="BA123" s="571" t="str">
        <f t="shared" si="23"/>
        <v/>
      </c>
    </row>
    <row r="124" spans="3:53" ht="14.4" thickBot="1" x14ac:dyDescent="0.3">
      <c r="C124" s="101">
        <v>115</v>
      </c>
      <c r="D124" s="269"/>
      <c r="E124" s="108"/>
      <c r="F124" s="281" t="str">
        <f>IF(D124="","",VLOOKUP(D124,'G-7 WaterC'' Data'!$B$2:$G$8,2,FALSE))</f>
        <v/>
      </c>
      <c r="G124" s="320" t="str">
        <f>IFERROR(VLOOKUP(F124,'G-7 WaterC'' Data'!$C$4:$D$8,2,FALSE),"")</f>
        <v/>
      </c>
      <c r="H124" s="109"/>
      <c r="I124" s="305" t="str">
        <f>IFERROR(INDEX('G-7 WaterC'' Data'!$H$4:$L$8,MATCH(D124,'G-7 WaterC'' Data'!$B$4:$B$8,0),MATCH(H124,'G-7 WaterC'' Data'!$H$3:$L$3,0)),"")</f>
        <v/>
      </c>
      <c r="J124" s="718"/>
      <c r="K124" s="301" t="str">
        <f>IF(J124="","",IF(VLOOKUP(J124,'G-7 WaterC'' Data'!$AK$4:$AM$9,2,FALSE)=0,"Spatial Data Missing ⚠",VLOOKUP(J124,'G-7 WaterC'' Data'!$AK$4:$AM$6,2,FALSE)))</f>
        <v/>
      </c>
      <c r="L124" s="305" t="str">
        <f>IF(J124="","",IF(VLOOKUP(J124,'G-7 WaterC'' Data'!$AK$4:$AM$9,3,FALSE)=0,"Spatial Data Missing ⚠",VLOOKUP(J124,'G-7 WaterC'' Data'!$AK$4:$AM$6,3,FALSE)))</f>
        <v/>
      </c>
      <c r="M124" s="106"/>
      <c r="N124" s="282" t="str">
        <f>IF(M124="","",IF(AND(M124="N/A - Culvert",D124&lt;&gt;"Culvert"),"Not possible ▲",IF(AND(D124="Culvert",M124&lt;&gt;"N/A - Culvert"),"Not possible ▲",IF(VLOOKUP(M124,'G-7 WaterC'' Data'!$AA$4:$AB$7,2,FALSE)=0,"Spatial Data Missing ⚠",VLOOKUP(M124,'G-7 WaterC'' Data'!$AA$4:$AB$7,2,FALSE)))))</f>
        <v/>
      </c>
      <c r="O124" s="56"/>
      <c r="P124" s="282" t="str">
        <f>IF(O124="","",IF(AND(O124="N/A - Culvert",D124&lt;&gt;"Culvert"),"Not possible ▲",IF(AND(D124="Culvert",O124&lt;&gt;"N/A - Culvert"),"Not possible ▲",IF(VLOOKUP(O124,'G-7 WaterC'' Data'!$AD$4:$AE$14,2,FALSE)=0,"Spatial Data Missing ⚠",VLOOKUP(O124,'G-7 WaterC'' Data'!$AD$4:$AE$14,2,FALSE)))))</f>
        <v/>
      </c>
      <c r="Q124" s="288" t="str">
        <f>IF(D124="","",VLOOKUP(D124,'G-7 WaterC'' Data'!$B$4:$G$8,6,FALSE))</f>
        <v/>
      </c>
      <c r="R124" s="295" t="str">
        <f t="shared" si="13"/>
        <v xml:space="preserve"> </v>
      </c>
      <c r="S124" s="403"/>
      <c r="T124" s="287" t="str">
        <f>IF(S124="","",IF(VLOOKUP(S124,'G-7 WaterC'' Data'!$AO$4:$BO$7,2,FALSE)=0,"Spatial Data Missing ⚠",VLOOKUP(S124,'G-7 WaterC'' Data'!$AO$4:$BO$7,2,FALSE)))</f>
        <v/>
      </c>
      <c r="U124" s="295" t="str">
        <f t="shared" si="14"/>
        <v xml:space="preserve"> </v>
      </c>
      <c r="V124" s="710" t="str">
        <f t="shared" si="15"/>
        <v/>
      </c>
      <c r="W124" s="32"/>
      <c r="X124" s="105"/>
      <c r="Y124" s="112"/>
      <c r="Z124" s="293" t="str">
        <f t="shared" si="16"/>
        <v/>
      </c>
      <c r="AA124" s="293" t="str">
        <f t="shared" si="17"/>
        <v/>
      </c>
      <c r="AB124" s="293" t="str">
        <f t="shared" si="18"/>
        <v/>
      </c>
      <c r="AC124" s="507" t="str">
        <f>IFERROR(IF(OR(E124="",R124=""),"", IF(AND(AB124&lt;&gt;"",S124=""), "Spatial risk category missing ▲", IF(AND(Q124='G-7 WaterC'' Data'!$G$4,AD124="Yes"),"Alternative Compensation ✓", IF(AND(AD124="Pending", Q124='G-7 WaterC'' Data'!$G$4),"Bespoke compensation must be agreed ▲", IF((Z124+AA124)&gt;=U124,0, U124-Z124-AA124))))),"Check Data ⚠")</f>
        <v/>
      </c>
      <c r="AD124" s="403"/>
      <c r="AE124" s="109"/>
      <c r="AF124" s="108"/>
      <c r="AG124" s="108"/>
      <c r="AH124" s="108"/>
      <c r="AI124" s="54" t="str">
        <f>IF(OR(Q124="",AD124="Yes"),"",IF(Q124='G-1 All Habitats'!$X$9,E124-Y124-X124,"None"))</f>
        <v/>
      </c>
      <c r="AJ124" s="55" t="str">
        <f>IF(Q124="","", IF(Q124='G-1 All Habitats'!$X$9, AI124*G124*I124*L124*N124*P124,"None"))</f>
        <v/>
      </c>
      <c r="AK124" s="30" t="str">
        <f>IFERROR(INDEX('G-7 WaterC'' Data'!$AZ$3:$AZ$7,MATCH(D124,'G-7 WaterC'' Data'!$AY$3:$AY$7,0)),"")</f>
        <v/>
      </c>
      <c r="AL124" s="30">
        <f t="shared" si="19"/>
        <v>0</v>
      </c>
      <c r="AM124" s="111" t="str">
        <f t="shared" si="20"/>
        <v/>
      </c>
      <c r="AN124" s="111" t="str">
        <f t="shared" si="21"/>
        <v/>
      </c>
      <c r="AP124" s="111">
        <v>115</v>
      </c>
      <c r="AR124" s="111" t="str">
        <f t="array" ref="AR124">IFERROR(INDEX($AP$10:$AP$258, MATCH(0, IF(TRUE=$AM$10:$AM$258, COUNTIF($AR$9:$AR123, $AP$10:$AP$258), ""), 0)),"")</f>
        <v/>
      </c>
      <c r="AS124" s="111" t="str">
        <f t="array" ref="AS124">IFERROR(INDEX($AP$10:$AP$258, MATCH(0, IF(TRUE=$AN$10:$AN$258, COUNTIF($AS$9:$AS123, $AP$10:$AP$258), ""), 0)),"")</f>
        <v/>
      </c>
      <c r="AT124" s="903" t="str">
        <f>IF(AND(OR(AD124="Yes",AD124="Pending"),Q124='G-7 WaterC'' Data'!$G$4),U124-AA124-Z124,"0")</f>
        <v>0</v>
      </c>
      <c r="AU124" s="30" t="str">
        <f>IF(D124="","",VLOOKUP(D124,'G-7 WaterC'' Data'!B$4:M$8,12,FALSE))</f>
        <v/>
      </c>
      <c r="AV124" s="30" t="str">
        <f t="shared" si="12"/>
        <v/>
      </c>
      <c r="AW124" s="30" t="str">
        <f t="shared" si="22"/>
        <v>No</v>
      </c>
      <c r="BA124" s="571" t="str">
        <f t="shared" si="23"/>
        <v/>
      </c>
    </row>
    <row r="125" spans="3:53" ht="14.4" thickBot="1" x14ac:dyDescent="0.3">
      <c r="C125" s="101">
        <v>116</v>
      </c>
      <c r="D125" s="269"/>
      <c r="E125" s="108"/>
      <c r="F125" s="281" t="str">
        <f>IF(D125="","",VLOOKUP(D125,'G-7 WaterC'' Data'!$B$2:$G$8,2,FALSE))</f>
        <v/>
      </c>
      <c r="G125" s="320" t="str">
        <f>IFERROR(VLOOKUP(F125,'G-7 WaterC'' Data'!$C$4:$D$8,2,FALSE),"")</f>
        <v/>
      </c>
      <c r="H125" s="109"/>
      <c r="I125" s="305" t="str">
        <f>IFERROR(INDEX('G-7 WaterC'' Data'!$H$4:$L$8,MATCH(D125,'G-7 WaterC'' Data'!$B$4:$B$8,0),MATCH(H125,'G-7 WaterC'' Data'!$H$3:$L$3,0)),"")</f>
        <v/>
      </c>
      <c r="J125" s="718"/>
      <c r="K125" s="301" t="str">
        <f>IF(J125="","",IF(VLOOKUP(J125,'G-7 WaterC'' Data'!$AK$4:$AM$9,2,FALSE)=0,"Spatial Data Missing ⚠",VLOOKUP(J125,'G-7 WaterC'' Data'!$AK$4:$AM$6,2,FALSE)))</f>
        <v/>
      </c>
      <c r="L125" s="305" t="str">
        <f>IF(J125="","",IF(VLOOKUP(J125,'G-7 WaterC'' Data'!$AK$4:$AM$9,3,FALSE)=0,"Spatial Data Missing ⚠",VLOOKUP(J125,'G-7 WaterC'' Data'!$AK$4:$AM$6,3,FALSE)))</f>
        <v/>
      </c>
      <c r="M125" s="106"/>
      <c r="N125" s="282" t="str">
        <f>IF(M125="","",IF(AND(M125="N/A - Culvert",D125&lt;&gt;"Culvert"),"Not possible ▲",IF(AND(D125="Culvert",M125&lt;&gt;"N/A - Culvert"),"Not possible ▲",IF(VLOOKUP(M125,'G-7 WaterC'' Data'!$AA$4:$AB$7,2,FALSE)=0,"Spatial Data Missing ⚠",VLOOKUP(M125,'G-7 WaterC'' Data'!$AA$4:$AB$7,2,FALSE)))))</f>
        <v/>
      </c>
      <c r="O125" s="56"/>
      <c r="P125" s="282" t="str">
        <f>IF(O125="","",IF(AND(O125="N/A - Culvert",D125&lt;&gt;"Culvert"),"Not possible ▲",IF(AND(D125="Culvert",O125&lt;&gt;"N/A - Culvert"),"Not possible ▲",IF(VLOOKUP(O125,'G-7 WaterC'' Data'!$AD$4:$AE$14,2,FALSE)=0,"Spatial Data Missing ⚠",VLOOKUP(O125,'G-7 WaterC'' Data'!$AD$4:$AE$14,2,FALSE)))))</f>
        <v/>
      </c>
      <c r="Q125" s="288" t="str">
        <f>IF(D125="","",VLOOKUP(D125,'G-7 WaterC'' Data'!$B$4:$G$8,6,FALSE))</f>
        <v/>
      </c>
      <c r="R125" s="295" t="str">
        <f t="shared" si="13"/>
        <v xml:space="preserve"> </v>
      </c>
      <c r="S125" s="403"/>
      <c r="T125" s="287" t="str">
        <f>IF(S125="","",IF(VLOOKUP(S125,'G-7 WaterC'' Data'!$AO$4:$BO$7,2,FALSE)=0,"Spatial Data Missing ⚠",VLOOKUP(S125,'G-7 WaterC'' Data'!$AO$4:$BO$7,2,FALSE)))</f>
        <v/>
      </c>
      <c r="U125" s="295" t="str">
        <f t="shared" si="14"/>
        <v xml:space="preserve"> </v>
      </c>
      <c r="V125" s="710" t="str">
        <f t="shared" si="15"/>
        <v/>
      </c>
      <c r="W125" s="32"/>
      <c r="X125" s="105"/>
      <c r="Y125" s="112"/>
      <c r="Z125" s="293" t="str">
        <f t="shared" si="16"/>
        <v/>
      </c>
      <c r="AA125" s="293" t="str">
        <f t="shared" si="17"/>
        <v/>
      </c>
      <c r="AB125" s="293" t="str">
        <f t="shared" si="18"/>
        <v/>
      </c>
      <c r="AC125" s="507" t="str">
        <f>IFERROR(IF(OR(E125="",R125=""),"", IF(AND(AB125&lt;&gt;"",S125=""), "Spatial risk category missing ▲", IF(AND(Q125='G-7 WaterC'' Data'!$G$4,AD125="Yes"),"Alternative Compensation ✓", IF(AND(AD125="Pending", Q125='G-7 WaterC'' Data'!$G$4),"Bespoke compensation must be agreed ▲", IF((Z125+AA125)&gt;=U125,0, U125-Z125-AA125))))),"Check Data ⚠")</f>
        <v/>
      </c>
      <c r="AD125" s="403"/>
      <c r="AE125" s="109"/>
      <c r="AF125" s="108"/>
      <c r="AG125" s="108"/>
      <c r="AH125" s="108"/>
      <c r="AI125" s="54" t="str">
        <f>IF(OR(Q125="",AD125="Yes"),"",IF(Q125='G-1 All Habitats'!$X$9,E125-Y125-X125,"None"))</f>
        <v/>
      </c>
      <c r="AJ125" s="55" t="str">
        <f>IF(Q125="","", IF(Q125='G-1 All Habitats'!$X$9, AI125*G125*I125*L125*N125*P125,"None"))</f>
        <v/>
      </c>
      <c r="AK125" s="30" t="str">
        <f>IFERROR(INDEX('G-7 WaterC'' Data'!$AZ$3:$AZ$7,MATCH(D125,'G-7 WaterC'' Data'!$AY$3:$AY$7,0)),"")</f>
        <v/>
      </c>
      <c r="AL125" s="30">
        <f t="shared" si="19"/>
        <v>0</v>
      </c>
      <c r="AM125" s="111" t="str">
        <f t="shared" si="20"/>
        <v/>
      </c>
      <c r="AN125" s="111" t="str">
        <f t="shared" si="21"/>
        <v/>
      </c>
      <c r="AP125" s="111">
        <v>116</v>
      </c>
      <c r="AR125" s="111" t="str">
        <f t="array" ref="AR125">IFERROR(INDEX($AP$10:$AP$258, MATCH(0, IF(TRUE=$AM$10:$AM$258, COUNTIF($AR$9:$AR124, $AP$10:$AP$258), ""), 0)),"")</f>
        <v/>
      </c>
      <c r="AS125" s="111" t="str">
        <f t="array" ref="AS125">IFERROR(INDEX($AP$10:$AP$258, MATCH(0, IF(TRUE=$AN$10:$AN$258, COUNTIF($AS$9:$AS124, $AP$10:$AP$258), ""), 0)),"")</f>
        <v/>
      </c>
      <c r="AT125" s="903" t="str">
        <f>IF(AND(OR(AD125="Yes",AD125="Pending"),Q125='G-7 WaterC'' Data'!$G$4),U125-AA125-Z125,"0")</f>
        <v>0</v>
      </c>
      <c r="AU125" s="30" t="str">
        <f>IF(D125="","",VLOOKUP(D125,'G-7 WaterC'' Data'!B$4:M$8,12,FALSE))</f>
        <v/>
      </c>
      <c r="AV125" s="30" t="str">
        <f t="shared" si="12"/>
        <v/>
      </c>
      <c r="AW125" s="30" t="str">
        <f t="shared" si="22"/>
        <v>No</v>
      </c>
      <c r="BA125" s="571" t="str">
        <f t="shared" si="23"/>
        <v/>
      </c>
    </row>
    <row r="126" spans="3:53" ht="14.4" thickBot="1" x14ac:dyDescent="0.3">
      <c r="C126" s="101">
        <v>117</v>
      </c>
      <c r="D126" s="269"/>
      <c r="E126" s="108"/>
      <c r="F126" s="281" t="str">
        <f>IF(D126="","",VLOOKUP(D126,'G-7 WaterC'' Data'!$B$2:$G$8,2,FALSE))</f>
        <v/>
      </c>
      <c r="G126" s="320" t="str">
        <f>IFERROR(VLOOKUP(F126,'G-7 WaterC'' Data'!$C$4:$D$8,2,FALSE),"")</f>
        <v/>
      </c>
      <c r="H126" s="109"/>
      <c r="I126" s="305" t="str">
        <f>IFERROR(INDEX('G-7 WaterC'' Data'!$H$4:$L$8,MATCH(D126,'G-7 WaterC'' Data'!$B$4:$B$8,0),MATCH(H126,'G-7 WaterC'' Data'!$H$3:$L$3,0)),"")</f>
        <v/>
      </c>
      <c r="J126" s="718"/>
      <c r="K126" s="301" t="str">
        <f>IF(J126="","",IF(VLOOKUP(J126,'G-7 WaterC'' Data'!$AK$4:$AM$9,2,FALSE)=0,"Spatial Data Missing ⚠",VLOOKUP(J126,'G-7 WaterC'' Data'!$AK$4:$AM$6,2,FALSE)))</f>
        <v/>
      </c>
      <c r="L126" s="305" t="str">
        <f>IF(J126="","",IF(VLOOKUP(J126,'G-7 WaterC'' Data'!$AK$4:$AM$9,3,FALSE)=0,"Spatial Data Missing ⚠",VLOOKUP(J126,'G-7 WaterC'' Data'!$AK$4:$AM$6,3,FALSE)))</f>
        <v/>
      </c>
      <c r="M126" s="106"/>
      <c r="N126" s="282" t="str">
        <f>IF(M126="","",IF(AND(M126="N/A - Culvert",D126&lt;&gt;"Culvert"),"Not possible ▲",IF(AND(D126="Culvert",M126&lt;&gt;"N/A - Culvert"),"Not possible ▲",IF(VLOOKUP(M126,'G-7 WaterC'' Data'!$AA$4:$AB$7,2,FALSE)=0,"Spatial Data Missing ⚠",VLOOKUP(M126,'G-7 WaterC'' Data'!$AA$4:$AB$7,2,FALSE)))))</f>
        <v/>
      </c>
      <c r="O126" s="56"/>
      <c r="P126" s="282" t="str">
        <f>IF(O126="","",IF(AND(O126="N/A - Culvert",D126&lt;&gt;"Culvert"),"Not possible ▲",IF(AND(D126="Culvert",O126&lt;&gt;"N/A - Culvert"),"Not possible ▲",IF(VLOOKUP(O126,'G-7 WaterC'' Data'!$AD$4:$AE$14,2,FALSE)=0,"Spatial Data Missing ⚠",VLOOKUP(O126,'G-7 WaterC'' Data'!$AD$4:$AE$14,2,FALSE)))))</f>
        <v/>
      </c>
      <c r="Q126" s="288" t="str">
        <f>IF(D126="","",VLOOKUP(D126,'G-7 WaterC'' Data'!$B$4:$G$8,6,FALSE))</f>
        <v/>
      </c>
      <c r="R126" s="295" t="str">
        <f t="shared" si="13"/>
        <v xml:space="preserve"> </v>
      </c>
      <c r="S126" s="403"/>
      <c r="T126" s="287" t="str">
        <f>IF(S126="","",IF(VLOOKUP(S126,'G-7 WaterC'' Data'!$AO$4:$BO$7,2,FALSE)=0,"Spatial Data Missing ⚠",VLOOKUP(S126,'G-7 WaterC'' Data'!$AO$4:$BO$7,2,FALSE)))</f>
        <v/>
      </c>
      <c r="U126" s="295" t="str">
        <f t="shared" si="14"/>
        <v xml:space="preserve"> </v>
      </c>
      <c r="V126" s="710" t="str">
        <f t="shared" si="15"/>
        <v/>
      </c>
      <c r="W126" s="32"/>
      <c r="X126" s="105"/>
      <c r="Y126" s="112"/>
      <c r="Z126" s="293" t="str">
        <f t="shared" si="16"/>
        <v/>
      </c>
      <c r="AA126" s="293" t="str">
        <f t="shared" si="17"/>
        <v/>
      </c>
      <c r="AB126" s="293" t="str">
        <f t="shared" si="18"/>
        <v/>
      </c>
      <c r="AC126" s="507" t="str">
        <f>IFERROR(IF(OR(E126="",R126=""),"", IF(AND(AB126&lt;&gt;"",S126=""), "Spatial risk category missing ▲", IF(AND(Q126='G-7 WaterC'' Data'!$G$4,AD126="Yes"),"Alternative Compensation ✓", IF(AND(AD126="Pending", Q126='G-7 WaterC'' Data'!$G$4),"Bespoke compensation must be agreed ▲", IF((Z126+AA126)&gt;=U126,0, U126-Z126-AA126))))),"Check Data ⚠")</f>
        <v/>
      </c>
      <c r="AD126" s="403"/>
      <c r="AE126" s="109"/>
      <c r="AF126" s="108"/>
      <c r="AG126" s="108"/>
      <c r="AH126" s="108"/>
      <c r="AI126" s="54" t="str">
        <f>IF(OR(Q126="",AD126="Yes"),"",IF(Q126='G-1 All Habitats'!$X$9,E126-Y126-X126,"None"))</f>
        <v/>
      </c>
      <c r="AJ126" s="55" t="str">
        <f>IF(Q126="","", IF(Q126='G-1 All Habitats'!$X$9, AI126*G126*I126*L126*N126*P126,"None"))</f>
        <v/>
      </c>
      <c r="AK126" s="30" t="str">
        <f>IFERROR(INDEX('G-7 WaterC'' Data'!$AZ$3:$AZ$7,MATCH(D126,'G-7 WaterC'' Data'!$AY$3:$AY$7,0)),"")</f>
        <v/>
      </c>
      <c r="AL126" s="30">
        <f t="shared" si="19"/>
        <v>0</v>
      </c>
      <c r="AM126" s="111" t="str">
        <f t="shared" si="20"/>
        <v/>
      </c>
      <c r="AN126" s="111" t="str">
        <f t="shared" si="21"/>
        <v/>
      </c>
      <c r="AP126" s="111">
        <v>117</v>
      </c>
      <c r="AR126" s="111" t="str">
        <f t="array" ref="AR126">IFERROR(INDEX($AP$10:$AP$258, MATCH(0, IF(TRUE=$AM$10:$AM$258, COUNTIF($AR$9:$AR125, $AP$10:$AP$258), ""), 0)),"")</f>
        <v/>
      </c>
      <c r="AS126" s="111" t="str">
        <f t="array" ref="AS126">IFERROR(INDEX($AP$10:$AP$258, MATCH(0, IF(TRUE=$AN$10:$AN$258, COUNTIF($AS$9:$AS125, $AP$10:$AP$258), ""), 0)),"")</f>
        <v/>
      </c>
      <c r="AT126" s="903" t="str">
        <f>IF(AND(OR(AD126="Yes",AD126="Pending"),Q126='G-7 WaterC'' Data'!$G$4),U126-AA126-Z126,"0")</f>
        <v>0</v>
      </c>
      <c r="AU126" s="30" t="str">
        <f>IF(D126="","",VLOOKUP(D126,'G-7 WaterC'' Data'!B$4:M$8,12,FALSE))</f>
        <v/>
      </c>
      <c r="AV126" s="30" t="str">
        <f t="shared" si="12"/>
        <v/>
      </c>
      <c r="AW126" s="30" t="str">
        <f t="shared" si="22"/>
        <v>No</v>
      </c>
      <c r="BA126" s="571" t="str">
        <f t="shared" si="23"/>
        <v/>
      </c>
    </row>
    <row r="127" spans="3:53" ht="14.4" thickBot="1" x14ac:dyDescent="0.3">
      <c r="C127" s="101">
        <v>118</v>
      </c>
      <c r="D127" s="269"/>
      <c r="E127" s="108"/>
      <c r="F127" s="281" t="str">
        <f>IF(D127="","",VLOOKUP(D127,'G-7 WaterC'' Data'!$B$2:$G$8,2,FALSE))</f>
        <v/>
      </c>
      <c r="G127" s="320" t="str">
        <f>IFERROR(VLOOKUP(F127,'G-7 WaterC'' Data'!$C$4:$D$8,2,FALSE),"")</f>
        <v/>
      </c>
      <c r="H127" s="109"/>
      <c r="I127" s="305" t="str">
        <f>IFERROR(INDEX('G-7 WaterC'' Data'!$H$4:$L$8,MATCH(D127,'G-7 WaterC'' Data'!$B$4:$B$8,0),MATCH(H127,'G-7 WaterC'' Data'!$H$3:$L$3,0)),"")</f>
        <v/>
      </c>
      <c r="J127" s="718"/>
      <c r="K127" s="301" t="str">
        <f>IF(J127="","",IF(VLOOKUP(J127,'G-7 WaterC'' Data'!$AK$4:$AM$9,2,FALSE)=0,"Spatial Data Missing ⚠",VLOOKUP(J127,'G-7 WaterC'' Data'!$AK$4:$AM$6,2,FALSE)))</f>
        <v/>
      </c>
      <c r="L127" s="305" t="str">
        <f>IF(J127="","",IF(VLOOKUP(J127,'G-7 WaterC'' Data'!$AK$4:$AM$9,3,FALSE)=0,"Spatial Data Missing ⚠",VLOOKUP(J127,'G-7 WaterC'' Data'!$AK$4:$AM$6,3,FALSE)))</f>
        <v/>
      </c>
      <c r="M127" s="106"/>
      <c r="N127" s="282" t="str">
        <f>IF(M127="","",IF(AND(M127="N/A - Culvert",D127&lt;&gt;"Culvert"),"Not possible ▲",IF(AND(D127="Culvert",M127&lt;&gt;"N/A - Culvert"),"Not possible ▲",IF(VLOOKUP(M127,'G-7 WaterC'' Data'!$AA$4:$AB$7,2,FALSE)=0,"Spatial Data Missing ⚠",VLOOKUP(M127,'G-7 WaterC'' Data'!$AA$4:$AB$7,2,FALSE)))))</f>
        <v/>
      </c>
      <c r="O127" s="56"/>
      <c r="P127" s="282" t="str">
        <f>IF(O127="","",IF(AND(O127="N/A - Culvert",D127&lt;&gt;"Culvert"),"Not possible ▲",IF(AND(D127="Culvert",O127&lt;&gt;"N/A - Culvert"),"Not possible ▲",IF(VLOOKUP(O127,'G-7 WaterC'' Data'!$AD$4:$AE$14,2,FALSE)=0,"Spatial Data Missing ⚠",VLOOKUP(O127,'G-7 WaterC'' Data'!$AD$4:$AE$14,2,FALSE)))))</f>
        <v/>
      </c>
      <c r="Q127" s="288" t="str">
        <f>IF(D127="","",VLOOKUP(D127,'G-7 WaterC'' Data'!$B$4:$G$8,6,FALSE))</f>
        <v/>
      </c>
      <c r="R127" s="295" t="str">
        <f t="shared" si="13"/>
        <v xml:space="preserve"> </v>
      </c>
      <c r="S127" s="403"/>
      <c r="T127" s="287" t="str">
        <f>IF(S127="","",IF(VLOOKUP(S127,'G-7 WaterC'' Data'!$AO$4:$BO$7,2,FALSE)=0,"Spatial Data Missing ⚠",VLOOKUP(S127,'G-7 WaterC'' Data'!$AO$4:$BO$7,2,FALSE)))</f>
        <v/>
      </c>
      <c r="U127" s="295" t="str">
        <f t="shared" si="14"/>
        <v xml:space="preserve"> </v>
      </c>
      <c r="V127" s="710" t="str">
        <f t="shared" si="15"/>
        <v/>
      </c>
      <c r="W127" s="32"/>
      <c r="X127" s="105"/>
      <c r="Y127" s="112"/>
      <c r="Z127" s="293" t="str">
        <f t="shared" si="16"/>
        <v/>
      </c>
      <c r="AA127" s="293" t="str">
        <f t="shared" si="17"/>
        <v/>
      </c>
      <c r="AB127" s="293" t="str">
        <f t="shared" si="18"/>
        <v/>
      </c>
      <c r="AC127" s="507" t="str">
        <f>IFERROR(IF(OR(E127="",R127=""),"", IF(AND(AB127&lt;&gt;"",S127=""), "Spatial risk category missing ▲", IF(AND(Q127='G-7 WaterC'' Data'!$G$4,AD127="Yes"),"Alternative Compensation ✓", IF(AND(AD127="Pending", Q127='G-7 WaterC'' Data'!$G$4),"Bespoke compensation must be agreed ▲", IF((Z127+AA127)&gt;=U127,0, U127-Z127-AA127))))),"Check Data ⚠")</f>
        <v/>
      </c>
      <c r="AD127" s="403"/>
      <c r="AE127" s="109"/>
      <c r="AF127" s="108"/>
      <c r="AG127" s="108"/>
      <c r="AH127" s="108"/>
      <c r="AI127" s="54" t="str">
        <f>IF(OR(Q127="",AD127="Yes"),"",IF(Q127='G-1 All Habitats'!$X$9,E127-Y127-X127,"None"))</f>
        <v/>
      </c>
      <c r="AJ127" s="55" t="str">
        <f>IF(Q127="","", IF(Q127='G-1 All Habitats'!$X$9, AI127*G127*I127*L127*N127*P127,"None"))</f>
        <v/>
      </c>
      <c r="AK127" s="30" t="str">
        <f>IFERROR(INDEX('G-7 WaterC'' Data'!$AZ$3:$AZ$7,MATCH(D127,'G-7 WaterC'' Data'!$AY$3:$AY$7,0)),"")</f>
        <v/>
      </c>
      <c r="AL127" s="30">
        <f t="shared" si="19"/>
        <v>0</v>
      </c>
      <c r="AM127" s="111" t="str">
        <f t="shared" si="20"/>
        <v/>
      </c>
      <c r="AN127" s="111" t="str">
        <f t="shared" si="21"/>
        <v/>
      </c>
      <c r="AP127" s="111">
        <v>118</v>
      </c>
      <c r="AR127" s="111" t="str">
        <f t="array" ref="AR127">IFERROR(INDEX($AP$10:$AP$258, MATCH(0, IF(TRUE=$AM$10:$AM$258, COUNTIF($AR$9:$AR126, $AP$10:$AP$258), ""), 0)),"")</f>
        <v/>
      </c>
      <c r="AS127" s="111" t="str">
        <f t="array" ref="AS127">IFERROR(INDEX($AP$10:$AP$258, MATCH(0, IF(TRUE=$AN$10:$AN$258, COUNTIF($AS$9:$AS126, $AP$10:$AP$258), ""), 0)),"")</f>
        <v/>
      </c>
      <c r="AT127" s="903" t="str">
        <f>IF(AND(OR(AD127="Yes",AD127="Pending"),Q127='G-7 WaterC'' Data'!$G$4),U127-AA127-Z127,"0")</f>
        <v>0</v>
      </c>
      <c r="AU127" s="30" t="str">
        <f>IF(D127="","",VLOOKUP(D127,'G-7 WaterC'' Data'!B$4:M$8,12,FALSE))</f>
        <v/>
      </c>
      <c r="AV127" s="30" t="str">
        <f t="shared" si="12"/>
        <v/>
      </c>
      <c r="AW127" s="30" t="str">
        <f t="shared" si="22"/>
        <v>No</v>
      </c>
      <c r="BA127" s="571" t="str">
        <f t="shared" si="23"/>
        <v/>
      </c>
    </row>
    <row r="128" spans="3:53" ht="14.4" thickBot="1" x14ac:dyDescent="0.3">
      <c r="C128" s="101">
        <v>119</v>
      </c>
      <c r="D128" s="269"/>
      <c r="E128" s="108"/>
      <c r="F128" s="281" t="str">
        <f>IF(D128="","",VLOOKUP(D128,'G-7 WaterC'' Data'!$B$2:$G$8,2,FALSE))</f>
        <v/>
      </c>
      <c r="G128" s="320" t="str">
        <f>IFERROR(VLOOKUP(F128,'G-7 WaterC'' Data'!$C$4:$D$8,2,FALSE),"")</f>
        <v/>
      </c>
      <c r="H128" s="109"/>
      <c r="I128" s="305" t="str">
        <f>IFERROR(INDEX('G-7 WaterC'' Data'!$H$4:$L$8,MATCH(D128,'G-7 WaterC'' Data'!$B$4:$B$8,0),MATCH(H128,'G-7 WaterC'' Data'!$H$3:$L$3,0)),"")</f>
        <v/>
      </c>
      <c r="J128" s="718"/>
      <c r="K128" s="301" t="str">
        <f>IF(J128="","",IF(VLOOKUP(J128,'G-7 WaterC'' Data'!$AK$4:$AM$9,2,FALSE)=0,"Spatial Data Missing ⚠",VLOOKUP(J128,'G-7 WaterC'' Data'!$AK$4:$AM$6,2,FALSE)))</f>
        <v/>
      </c>
      <c r="L128" s="305" t="str">
        <f>IF(J128="","",IF(VLOOKUP(J128,'G-7 WaterC'' Data'!$AK$4:$AM$9,3,FALSE)=0,"Spatial Data Missing ⚠",VLOOKUP(J128,'G-7 WaterC'' Data'!$AK$4:$AM$6,3,FALSE)))</f>
        <v/>
      </c>
      <c r="M128" s="106"/>
      <c r="N128" s="282" t="str">
        <f>IF(M128="","",IF(AND(M128="N/A - Culvert",D128&lt;&gt;"Culvert"),"Not possible ▲",IF(AND(D128="Culvert",M128&lt;&gt;"N/A - Culvert"),"Not possible ▲",IF(VLOOKUP(M128,'G-7 WaterC'' Data'!$AA$4:$AB$7,2,FALSE)=0,"Spatial Data Missing ⚠",VLOOKUP(M128,'G-7 WaterC'' Data'!$AA$4:$AB$7,2,FALSE)))))</f>
        <v/>
      </c>
      <c r="O128" s="56"/>
      <c r="P128" s="282" t="str">
        <f>IF(O128="","",IF(AND(O128="N/A - Culvert",D128&lt;&gt;"Culvert"),"Not possible ▲",IF(AND(D128="Culvert",O128&lt;&gt;"N/A - Culvert"),"Not possible ▲",IF(VLOOKUP(O128,'G-7 WaterC'' Data'!$AD$4:$AE$14,2,FALSE)=0,"Spatial Data Missing ⚠",VLOOKUP(O128,'G-7 WaterC'' Data'!$AD$4:$AE$14,2,FALSE)))))</f>
        <v/>
      </c>
      <c r="Q128" s="288" t="str">
        <f>IF(D128="","",VLOOKUP(D128,'G-7 WaterC'' Data'!$B$4:$G$8,6,FALSE))</f>
        <v/>
      </c>
      <c r="R128" s="295" t="str">
        <f t="shared" si="13"/>
        <v xml:space="preserve"> </v>
      </c>
      <c r="S128" s="403"/>
      <c r="T128" s="287" t="str">
        <f>IF(S128="","",IF(VLOOKUP(S128,'G-7 WaterC'' Data'!$AO$4:$BO$7,2,FALSE)=0,"Spatial Data Missing ⚠",VLOOKUP(S128,'G-7 WaterC'' Data'!$AO$4:$BO$7,2,FALSE)))</f>
        <v/>
      </c>
      <c r="U128" s="295" t="str">
        <f t="shared" si="14"/>
        <v xml:space="preserve"> </v>
      </c>
      <c r="V128" s="710" t="str">
        <f t="shared" si="15"/>
        <v/>
      </c>
      <c r="W128" s="32"/>
      <c r="X128" s="105"/>
      <c r="Y128" s="112"/>
      <c r="Z128" s="293" t="str">
        <f t="shared" si="16"/>
        <v/>
      </c>
      <c r="AA128" s="293" t="str">
        <f t="shared" si="17"/>
        <v/>
      </c>
      <c r="AB128" s="293" t="str">
        <f t="shared" si="18"/>
        <v/>
      </c>
      <c r="AC128" s="507" t="str">
        <f>IFERROR(IF(OR(E128="",R128=""),"", IF(AND(AB128&lt;&gt;"",S128=""), "Spatial risk category missing ▲", IF(AND(Q128='G-7 WaterC'' Data'!$G$4,AD128="Yes"),"Alternative Compensation ✓", IF(AND(AD128="Pending", Q128='G-7 WaterC'' Data'!$G$4),"Bespoke compensation must be agreed ▲", IF((Z128+AA128)&gt;=U128,0, U128-Z128-AA128))))),"Check Data ⚠")</f>
        <v/>
      </c>
      <c r="AD128" s="403"/>
      <c r="AE128" s="109"/>
      <c r="AF128" s="108"/>
      <c r="AG128" s="108"/>
      <c r="AH128" s="108"/>
      <c r="AI128" s="54" t="str">
        <f>IF(OR(Q128="",AD128="Yes"),"",IF(Q128='G-1 All Habitats'!$X$9,E128-Y128-X128,"None"))</f>
        <v/>
      </c>
      <c r="AJ128" s="55" t="str">
        <f>IF(Q128="","", IF(Q128='G-1 All Habitats'!$X$9, AI128*G128*I128*L128*N128*P128,"None"))</f>
        <v/>
      </c>
      <c r="AK128" s="30" t="str">
        <f>IFERROR(INDEX('G-7 WaterC'' Data'!$AZ$3:$AZ$7,MATCH(D128,'G-7 WaterC'' Data'!$AY$3:$AY$7,0)),"")</f>
        <v/>
      </c>
      <c r="AL128" s="30">
        <f t="shared" si="19"/>
        <v>0</v>
      </c>
      <c r="AM128" s="111" t="str">
        <f t="shared" si="20"/>
        <v/>
      </c>
      <c r="AN128" s="111" t="str">
        <f t="shared" si="21"/>
        <v/>
      </c>
      <c r="AP128" s="111">
        <v>119</v>
      </c>
      <c r="AR128" s="111" t="str">
        <f t="array" ref="AR128">IFERROR(INDEX($AP$10:$AP$258, MATCH(0, IF(TRUE=$AM$10:$AM$258, COUNTIF($AR$9:$AR127, $AP$10:$AP$258), ""), 0)),"")</f>
        <v/>
      </c>
      <c r="AS128" s="111" t="str">
        <f t="array" ref="AS128">IFERROR(INDEX($AP$10:$AP$258, MATCH(0, IF(TRUE=$AN$10:$AN$258, COUNTIF($AS$9:$AS127, $AP$10:$AP$258), ""), 0)),"")</f>
        <v/>
      </c>
      <c r="AT128" s="903" t="str">
        <f>IF(AND(OR(AD128="Yes",AD128="Pending"),Q128='G-7 WaterC'' Data'!$G$4),U128-AA128-Z128,"0")</f>
        <v>0</v>
      </c>
      <c r="AU128" s="30" t="str">
        <f>IF(D128="","",VLOOKUP(D128,'G-7 WaterC'' Data'!B$4:M$8,12,FALSE))</f>
        <v/>
      </c>
      <c r="AV128" s="30" t="str">
        <f t="shared" si="12"/>
        <v/>
      </c>
      <c r="AW128" s="30" t="str">
        <f t="shared" si="22"/>
        <v>No</v>
      </c>
      <c r="BA128" s="571" t="str">
        <f t="shared" si="23"/>
        <v/>
      </c>
    </row>
    <row r="129" spans="3:53" ht="14.4" thickBot="1" x14ac:dyDescent="0.3">
      <c r="C129" s="101">
        <v>120</v>
      </c>
      <c r="D129" s="269"/>
      <c r="E129" s="108"/>
      <c r="F129" s="281" t="str">
        <f>IF(D129="","",VLOOKUP(D129,'G-7 WaterC'' Data'!$B$2:$G$8,2,FALSE))</f>
        <v/>
      </c>
      <c r="G129" s="320" t="str">
        <f>IFERROR(VLOOKUP(F129,'G-7 WaterC'' Data'!$C$4:$D$8,2,FALSE),"")</f>
        <v/>
      </c>
      <c r="H129" s="109"/>
      <c r="I129" s="305" t="str">
        <f>IFERROR(INDEX('G-7 WaterC'' Data'!$H$4:$L$8,MATCH(D129,'G-7 WaterC'' Data'!$B$4:$B$8,0),MATCH(H129,'G-7 WaterC'' Data'!$H$3:$L$3,0)),"")</f>
        <v/>
      </c>
      <c r="J129" s="718"/>
      <c r="K129" s="301" t="str">
        <f>IF(J129="","",IF(VLOOKUP(J129,'G-7 WaterC'' Data'!$AK$4:$AM$9,2,FALSE)=0,"Spatial Data Missing ⚠",VLOOKUP(J129,'G-7 WaterC'' Data'!$AK$4:$AM$6,2,FALSE)))</f>
        <v/>
      </c>
      <c r="L129" s="305" t="str">
        <f>IF(J129="","",IF(VLOOKUP(J129,'G-7 WaterC'' Data'!$AK$4:$AM$9,3,FALSE)=0,"Spatial Data Missing ⚠",VLOOKUP(J129,'G-7 WaterC'' Data'!$AK$4:$AM$6,3,FALSE)))</f>
        <v/>
      </c>
      <c r="M129" s="106"/>
      <c r="N129" s="282" t="str">
        <f>IF(M129="","",IF(AND(M129="N/A - Culvert",D129&lt;&gt;"Culvert"),"Not possible ▲",IF(AND(D129="Culvert",M129&lt;&gt;"N/A - Culvert"),"Not possible ▲",IF(VLOOKUP(M129,'G-7 WaterC'' Data'!$AA$4:$AB$7,2,FALSE)=0,"Spatial Data Missing ⚠",VLOOKUP(M129,'G-7 WaterC'' Data'!$AA$4:$AB$7,2,FALSE)))))</f>
        <v/>
      </c>
      <c r="O129" s="56"/>
      <c r="P129" s="282" t="str">
        <f>IF(O129="","",IF(AND(O129="N/A - Culvert",D129&lt;&gt;"Culvert"),"Not possible ▲",IF(AND(D129="Culvert",O129&lt;&gt;"N/A - Culvert"),"Not possible ▲",IF(VLOOKUP(O129,'G-7 WaterC'' Data'!$AD$4:$AE$14,2,FALSE)=0,"Spatial Data Missing ⚠",VLOOKUP(O129,'G-7 WaterC'' Data'!$AD$4:$AE$14,2,FALSE)))))</f>
        <v/>
      </c>
      <c r="Q129" s="288" t="str">
        <f>IF(D129="","",VLOOKUP(D129,'G-7 WaterC'' Data'!$B$4:$G$8,6,FALSE))</f>
        <v/>
      </c>
      <c r="R129" s="295" t="str">
        <f t="shared" si="13"/>
        <v xml:space="preserve"> </v>
      </c>
      <c r="S129" s="403"/>
      <c r="T129" s="287" t="str">
        <f>IF(S129="","",IF(VLOOKUP(S129,'G-7 WaterC'' Data'!$AO$4:$BO$7,2,FALSE)=0,"Spatial Data Missing ⚠",VLOOKUP(S129,'G-7 WaterC'' Data'!$AO$4:$BO$7,2,FALSE)))</f>
        <v/>
      </c>
      <c r="U129" s="295" t="str">
        <f t="shared" si="14"/>
        <v xml:space="preserve"> </v>
      </c>
      <c r="V129" s="710" t="str">
        <f t="shared" si="15"/>
        <v/>
      </c>
      <c r="W129" s="32"/>
      <c r="X129" s="105"/>
      <c r="Y129" s="112"/>
      <c r="Z129" s="293" t="str">
        <f t="shared" si="16"/>
        <v/>
      </c>
      <c r="AA129" s="293" t="str">
        <f t="shared" si="17"/>
        <v/>
      </c>
      <c r="AB129" s="293" t="str">
        <f t="shared" si="18"/>
        <v/>
      </c>
      <c r="AC129" s="507" t="str">
        <f>IFERROR(IF(OR(E129="",R129=""),"", IF(AND(AB129&lt;&gt;"",S129=""), "Spatial risk category missing ▲", IF(AND(Q129='G-7 WaterC'' Data'!$G$4,AD129="Yes"),"Alternative Compensation ✓", IF(AND(AD129="Pending", Q129='G-7 WaterC'' Data'!$G$4),"Bespoke compensation must be agreed ▲", IF((Z129+AA129)&gt;=U129,0, U129-Z129-AA129))))),"Check Data ⚠")</f>
        <v/>
      </c>
      <c r="AD129" s="403"/>
      <c r="AE129" s="109"/>
      <c r="AF129" s="108"/>
      <c r="AG129" s="108"/>
      <c r="AH129" s="108"/>
      <c r="AI129" s="54" t="str">
        <f>IF(OR(Q129="",AD129="Yes"),"",IF(Q129='G-1 All Habitats'!$X$9,E129-Y129-X129,"None"))</f>
        <v/>
      </c>
      <c r="AJ129" s="55" t="str">
        <f>IF(Q129="","", IF(Q129='G-1 All Habitats'!$X$9, AI129*G129*I129*L129*N129*P129,"None"))</f>
        <v/>
      </c>
      <c r="AK129" s="30" t="str">
        <f>IFERROR(INDEX('G-7 WaterC'' Data'!$AZ$3:$AZ$7,MATCH(D129,'G-7 WaterC'' Data'!$AY$3:$AY$7,0)),"")</f>
        <v/>
      </c>
      <c r="AL129" s="30">
        <f t="shared" si="19"/>
        <v>0</v>
      </c>
      <c r="AM129" s="111" t="str">
        <f t="shared" si="20"/>
        <v/>
      </c>
      <c r="AN129" s="111" t="str">
        <f t="shared" si="21"/>
        <v/>
      </c>
      <c r="AP129" s="111">
        <v>120</v>
      </c>
      <c r="AR129" s="111" t="str">
        <f t="array" ref="AR129">IFERROR(INDEX($AP$10:$AP$258, MATCH(0, IF(TRUE=$AM$10:$AM$258, COUNTIF($AR$9:$AR128, $AP$10:$AP$258), ""), 0)),"")</f>
        <v/>
      </c>
      <c r="AS129" s="111" t="str">
        <f t="array" ref="AS129">IFERROR(INDEX($AP$10:$AP$258, MATCH(0, IF(TRUE=$AN$10:$AN$258, COUNTIF($AS$9:$AS128, $AP$10:$AP$258), ""), 0)),"")</f>
        <v/>
      </c>
      <c r="AT129" s="903" t="str">
        <f>IF(AND(OR(AD129="Yes",AD129="Pending"),Q129='G-7 WaterC'' Data'!$G$4),U129-AA129-Z129,"0")</f>
        <v>0</v>
      </c>
      <c r="AU129" s="30" t="str">
        <f>IF(D129="","",VLOOKUP(D129,'G-7 WaterC'' Data'!B$4:M$8,12,FALSE))</f>
        <v/>
      </c>
      <c r="AV129" s="30" t="str">
        <f t="shared" si="12"/>
        <v/>
      </c>
      <c r="AW129" s="30" t="str">
        <f t="shared" si="22"/>
        <v>No</v>
      </c>
      <c r="BA129" s="571" t="str">
        <f t="shared" si="23"/>
        <v/>
      </c>
    </row>
    <row r="130" spans="3:53" ht="14.4" thickBot="1" x14ac:dyDescent="0.3">
      <c r="C130" s="101">
        <v>121</v>
      </c>
      <c r="D130" s="269"/>
      <c r="E130" s="108"/>
      <c r="F130" s="281" t="str">
        <f>IF(D130="","",VLOOKUP(D130,'G-7 WaterC'' Data'!$B$2:$G$8,2,FALSE))</f>
        <v/>
      </c>
      <c r="G130" s="320" t="str">
        <f>IFERROR(VLOOKUP(F130,'G-7 WaterC'' Data'!$C$4:$D$8,2,FALSE),"")</f>
        <v/>
      </c>
      <c r="H130" s="109"/>
      <c r="I130" s="305" t="str">
        <f>IFERROR(INDEX('G-7 WaterC'' Data'!$H$4:$L$8,MATCH(D130,'G-7 WaterC'' Data'!$B$4:$B$8,0),MATCH(H130,'G-7 WaterC'' Data'!$H$3:$L$3,0)),"")</f>
        <v/>
      </c>
      <c r="J130" s="718"/>
      <c r="K130" s="301" t="str">
        <f>IF(J130="","",IF(VLOOKUP(J130,'G-7 WaterC'' Data'!$AK$4:$AM$9,2,FALSE)=0,"Spatial Data Missing ⚠",VLOOKUP(J130,'G-7 WaterC'' Data'!$AK$4:$AM$6,2,FALSE)))</f>
        <v/>
      </c>
      <c r="L130" s="305" t="str">
        <f>IF(J130="","",IF(VLOOKUP(J130,'G-7 WaterC'' Data'!$AK$4:$AM$9,3,FALSE)=0,"Spatial Data Missing ⚠",VLOOKUP(J130,'G-7 WaterC'' Data'!$AK$4:$AM$6,3,FALSE)))</f>
        <v/>
      </c>
      <c r="M130" s="106"/>
      <c r="N130" s="282" t="str">
        <f>IF(M130="","",IF(AND(M130="N/A - Culvert",D130&lt;&gt;"Culvert"),"Not possible ▲",IF(AND(D130="Culvert",M130&lt;&gt;"N/A - Culvert"),"Not possible ▲",IF(VLOOKUP(M130,'G-7 WaterC'' Data'!$AA$4:$AB$7,2,FALSE)=0,"Spatial Data Missing ⚠",VLOOKUP(M130,'G-7 WaterC'' Data'!$AA$4:$AB$7,2,FALSE)))))</f>
        <v/>
      </c>
      <c r="O130" s="56"/>
      <c r="P130" s="282" t="str">
        <f>IF(O130="","",IF(AND(O130="N/A - Culvert",D130&lt;&gt;"Culvert"),"Not possible ▲",IF(AND(D130="Culvert",O130&lt;&gt;"N/A - Culvert"),"Not possible ▲",IF(VLOOKUP(O130,'G-7 WaterC'' Data'!$AD$4:$AE$14,2,FALSE)=0,"Spatial Data Missing ⚠",VLOOKUP(O130,'G-7 WaterC'' Data'!$AD$4:$AE$14,2,FALSE)))))</f>
        <v/>
      </c>
      <c r="Q130" s="288" t="str">
        <f>IF(D130="","",VLOOKUP(D130,'G-7 WaterC'' Data'!$B$4:$G$8,6,FALSE))</f>
        <v/>
      </c>
      <c r="R130" s="295" t="str">
        <f t="shared" si="13"/>
        <v xml:space="preserve"> </v>
      </c>
      <c r="S130" s="403"/>
      <c r="T130" s="287" t="str">
        <f>IF(S130="","",IF(VLOOKUP(S130,'G-7 WaterC'' Data'!$AO$4:$BO$7,2,FALSE)=0,"Spatial Data Missing ⚠",VLOOKUP(S130,'G-7 WaterC'' Data'!$AO$4:$BO$7,2,FALSE)))</f>
        <v/>
      </c>
      <c r="U130" s="295" t="str">
        <f t="shared" si="14"/>
        <v xml:space="preserve"> </v>
      </c>
      <c r="V130" s="710" t="str">
        <f t="shared" si="15"/>
        <v/>
      </c>
      <c r="W130" s="32"/>
      <c r="X130" s="105"/>
      <c r="Y130" s="112"/>
      <c r="Z130" s="293" t="str">
        <f t="shared" si="16"/>
        <v/>
      </c>
      <c r="AA130" s="293" t="str">
        <f t="shared" si="17"/>
        <v/>
      </c>
      <c r="AB130" s="293" t="str">
        <f t="shared" si="18"/>
        <v/>
      </c>
      <c r="AC130" s="507" t="str">
        <f>IFERROR(IF(OR(E130="",R130=""),"", IF(AND(AB130&lt;&gt;"",S130=""), "Spatial risk category missing ▲", IF(AND(Q130='G-7 WaterC'' Data'!$G$4,AD130="Yes"),"Alternative Compensation ✓", IF(AND(AD130="Pending", Q130='G-7 WaterC'' Data'!$G$4),"Bespoke compensation must be agreed ▲", IF((Z130+AA130)&gt;=U130,0, U130-Z130-AA130))))),"Check Data ⚠")</f>
        <v/>
      </c>
      <c r="AD130" s="403"/>
      <c r="AE130" s="109"/>
      <c r="AF130" s="108"/>
      <c r="AG130" s="108"/>
      <c r="AH130" s="108"/>
      <c r="AI130" s="54" t="str">
        <f>IF(OR(Q130="",AD130="Yes"),"",IF(Q130='G-1 All Habitats'!$X$9,E130-Y130-X130,"None"))</f>
        <v/>
      </c>
      <c r="AJ130" s="55" t="str">
        <f>IF(Q130="","", IF(Q130='G-1 All Habitats'!$X$9, AI130*G130*I130*L130*N130*P130,"None"))</f>
        <v/>
      </c>
      <c r="AK130" s="30" t="str">
        <f>IFERROR(INDEX('G-7 WaterC'' Data'!$AZ$3:$AZ$7,MATCH(D130,'G-7 WaterC'' Data'!$AY$3:$AY$7,0)),"")</f>
        <v/>
      </c>
      <c r="AL130" s="30">
        <f t="shared" si="19"/>
        <v>0</v>
      </c>
      <c r="AM130" s="111" t="str">
        <f t="shared" si="20"/>
        <v/>
      </c>
      <c r="AN130" s="111" t="str">
        <f t="shared" si="21"/>
        <v/>
      </c>
      <c r="AP130" s="111">
        <v>121</v>
      </c>
      <c r="AR130" s="111" t="str">
        <f t="array" ref="AR130">IFERROR(INDEX($AP$10:$AP$258, MATCH(0, IF(TRUE=$AM$10:$AM$258, COUNTIF($AR$9:$AR129, $AP$10:$AP$258), ""), 0)),"")</f>
        <v/>
      </c>
      <c r="AS130" s="111" t="str">
        <f t="array" ref="AS130">IFERROR(INDEX($AP$10:$AP$258, MATCH(0, IF(TRUE=$AN$10:$AN$258, COUNTIF($AS$9:$AS129, $AP$10:$AP$258), ""), 0)),"")</f>
        <v/>
      </c>
      <c r="AT130" s="903" t="str">
        <f>IF(AND(OR(AD130="Yes",AD130="Pending"),Q130='G-7 WaterC'' Data'!$G$4),U130-AA130-Z130,"0")</f>
        <v>0</v>
      </c>
      <c r="AU130" s="30" t="str">
        <f>IF(D130="","",VLOOKUP(D130,'G-7 WaterC'' Data'!B$4:M$8,12,FALSE))</f>
        <v/>
      </c>
      <c r="AV130" s="30" t="str">
        <f t="shared" si="12"/>
        <v/>
      </c>
      <c r="AW130" s="30" t="str">
        <f t="shared" si="22"/>
        <v>No</v>
      </c>
      <c r="BA130" s="571" t="str">
        <f t="shared" si="23"/>
        <v/>
      </c>
    </row>
    <row r="131" spans="3:53" ht="14.4" thickBot="1" x14ac:dyDescent="0.3">
      <c r="C131" s="101">
        <v>122</v>
      </c>
      <c r="D131" s="269"/>
      <c r="E131" s="108"/>
      <c r="F131" s="281" t="str">
        <f>IF(D131="","",VLOOKUP(D131,'G-7 WaterC'' Data'!$B$2:$G$8,2,FALSE))</f>
        <v/>
      </c>
      <c r="G131" s="320" t="str">
        <f>IFERROR(VLOOKUP(F131,'G-7 WaterC'' Data'!$C$4:$D$8,2,FALSE),"")</f>
        <v/>
      </c>
      <c r="H131" s="109"/>
      <c r="I131" s="305" t="str">
        <f>IFERROR(INDEX('G-7 WaterC'' Data'!$H$4:$L$8,MATCH(D131,'G-7 WaterC'' Data'!$B$4:$B$8,0),MATCH(H131,'G-7 WaterC'' Data'!$H$3:$L$3,0)),"")</f>
        <v/>
      </c>
      <c r="J131" s="718"/>
      <c r="K131" s="301" t="str">
        <f>IF(J131="","",IF(VLOOKUP(J131,'G-7 WaterC'' Data'!$AK$4:$AM$9,2,FALSE)=0,"Spatial Data Missing ⚠",VLOOKUP(J131,'G-7 WaterC'' Data'!$AK$4:$AM$6,2,FALSE)))</f>
        <v/>
      </c>
      <c r="L131" s="305" t="str">
        <f>IF(J131="","",IF(VLOOKUP(J131,'G-7 WaterC'' Data'!$AK$4:$AM$9,3,FALSE)=0,"Spatial Data Missing ⚠",VLOOKUP(J131,'G-7 WaterC'' Data'!$AK$4:$AM$6,3,FALSE)))</f>
        <v/>
      </c>
      <c r="M131" s="106"/>
      <c r="N131" s="282" t="str">
        <f>IF(M131="","",IF(AND(M131="N/A - Culvert",D131&lt;&gt;"Culvert"),"Not possible ▲",IF(AND(D131="Culvert",M131&lt;&gt;"N/A - Culvert"),"Not possible ▲",IF(VLOOKUP(M131,'G-7 WaterC'' Data'!$AA$4:$AB$7,2,FALSE)=0,"Spatial Data Missing ⚠",VLOOKUP(M131,'G-7 WaterC'' Data'!$AA$4:$AB$7,2,FALSE)))))</f>
        <v/>
      </c>
      <c r="O131" s="56"/>
      <c r="P131" s="282" t="str">
        <f>IF(O131="","",IF(AND(O131="N/A - Culvert",D131&lt;&gt;"Culvert"),"Not possible ▲",IF(AND(D131="Culvert",O131&lt;&gt;"N/A - Culvert"),"Not possible ▲",IF(VLOOKUP(O131,'G-7 WaterC'' Data'!$AD$4:$AE$14,2,FALSE)=0,"Spatial Data Missing ⚠",VLOOKUP(O131,'G-7 WaterC'' Data'!$AD$4:$AE$14,2,FALSE)))))</f>
        <v/>
      </c>
      <c r="Q131" s="288" t="str">
        <f>IF(D131="","",VLOOKUP(D131,'G-7 WaterC'' Data'!$B$4:$G$8,6,FALSE))</f>
        <v/>
      </c>
      <c r="R131" s="295" t="str">
        <f t="shared" si="13"/>
        <v xml:space="preserve"> </v>
      </c>
      <c r="S131" s="403"/>
      <c r="T131" s="287" t="str">
        <f>IF(S131="","",IF(VLOOKUP(S131,'G-7 WaterC'' Data'!$AO$4:$BO$7,2,FALSE)=0,"Spatial Data Missing ⚠",VLOOKUP(S131,'G-7 WaterC'' Data'!$AO$4:$BO$7,2,FALSE)))</f>
        <v/>
      </c>
      <c r="U131" s="295" t="str">
        <f t="shared" si="14"/>
        <v xml:space="preserve"> </v>
      </c>
      <c r="V131" s="710" t="str">
        <f t="shared" si="15"/>
        <v/>
      </c>
      <c r="W131" s="32"/>
      <c r="X131" s="105"/>
      <c r="Y131" s="112"/>
      <c r="Z131" s="293" t="str">
        <f t="shared" si="16"/>
        <v/>
      </c>
      <c r="AA131" s="293" t="str">
        <f t="shared" si="17"/>
        <v/>
      </c>
      <c r="AB131" s="293" t="str">
        <f t="shared" si="18"/>
        <v/>
      </c>
      <c r="AC131" s="507" t="str">
        <f>IFERROR(IF(OR(E131="",R131=""),"", IF(AND(AB131&lt;&gt;"",S131=""), "Spatial risk category missing ▲", IF(AND(Q131='G-7 WaterC'' Data'!$G$4,AD131="Yes"),"Alternative Compensation ✓", IF(AND(AD131="Pending", Q131='G-7 WaterC'' Data'!$G$4),"Bespoke compensation must be agreed ▲", IF((Z131+AA131)&gt;=U131,0, U131-Z131-AA131))))),"Check Data ⚠")</f>
        <v/>
      </c>
      <c r="AD131" s="403"/>
      <c r="AE131" s="109"/>
      <c r="AF131" s="108"/>
      <c r="AG131" s="108"/>
      <c r="AH131" s="108"/>
      <c r="AI131" s="54" t="str">
        <f>IF(OR(Q131="",AD131="Yes"),"",IF(Q131='G-1 All Habitats'!$X$9,E131-Y131-X131,"None"))</f>
        <v/>
      </c>
      <c r="AJ131" s="55" t="str">
        <f>IF(Q131="","", IF(Q131='G-1 All Habitats'!$X$9, AI131*G131*I131*L131*N131*P131,"None"))</f>
        <v/>
      </c>
      <c r="AK131" s="30" t="str">
        <f>IFERROR(INDEX('G-7 WaterC'' Data'!$AZ$3:$AZ$7,MATCH(D131,'G-7 WaterC'' Data'!$AY$3:$AY$7,0)),"")</f>
        <v/>
      </c>
      <c r="AL131" s="30">
        <f t="shared" si="19"/>
        <v>0</v>
      </c>
      <c r="AM131" s="111" t="str">
        <f t="shared" si="20"/>
        <v/>
      </c>
      <c r="AN131" s="111" t="str">
        <f t="shared" si="21"/>
        <v/>
      </c>
      <c r="AP131" s="111">
        <v>122</v>
      </c>
      <c r="AR131" s="111" t="str">
        <f t="array" ref="AR131">IFERROR(INDEX($AP$10:$AP$258, MATCH(0, IF(TRUE=$AM$10:$AM$258, COUNTIF($AR$9:$AR130, $AP$10:$AP$258), ""), 0)),"")</f>
        <v/>
      </c>
      <c r="AS131" s="111" t="str">
        <f t="array" ref="AS131">IFERROR(INDEX($AP$10:$AP$258, MATCH(0, IF(TRUE=$AN$10:$AN$258, COUNTIF($AS$9:$AS130, $AP$10:$AP$258), ""), 0)),"")</f>
        <v/>
      </c>
      <c r="AT131" s="903" t="str">
        <f>IF(AND(OR(AD131="Yes",AD131="Pending"),Q131='G-7 WaterC'' Data'!$G$4),U131-AA131-Z131,"0")</f>
        <v>0</v>
      </c>
      <c r="AU131" s="30" t="str">
        <f>IF(D131="","",VLOOKUP(D131,'G-7 WaterC'' Data'!B$4:M$8,12,FALSE))</f>
        <v/>
      </c>
      <c r="AV131" s="30" t="str">
        <f t="shared" si="12"/>
        <v/>
      </c>
      <c r="AW131" s="30" t="str">
        <f t="shared" si="22"/>
        <v>No</v>
      </c>
      <c r="BA131" s="571" t="str">
        <f t="shared" si="23"/>
        <v/>
      </c>
    </row>
    <row r="132" spans="3:53" ht="14.4" thickBot="1" x14ac:dyDescent="0.3">
      <c r="C132" s="101">
        <v>123</v>
      </c>
      <c r="D132" s="269"/>
      <c r="E132" s="108"/>
      <c r="F132" s="281" t="str">
        <f>IF(D132="","",VLOOKUP(D132,'G-7 WaterC'' Data'!$B$2:$G$8,2,FALSE))</f>
        <v/>
      </c>
      <c r="G132" s="320" t="str">
        <f>IFERROR(VLOOKUP(F132,'G-7 WaterC'' Data'!$C$4:$D$8,2,FALSE),"")</f>
        <v/>
      </c>
      <c r="H132" s="109"/>
      <c r="I132" s="305" t="str">
        <f>IFERROR(INDEX('G-7 WaterC'' Data'!$H$4:$L$8,MATCH(D132,'G-7 WaterC'' Data'!$B$4:$B$8,0),MATCH(H132,'G-7 WaterC'' Data'!$H$3:$L$3,0)),"")</f>
        <v/>
      </c>
      <c r="J132" s="718"/>
      <c r="K132" s="301" t="str">
        <f>IF(J132="","",IF(VLOOKUP(J132,'G-7 WaterC'' Data'!$AK$4:$AM$9,2,FALSE)=0,"Spatial Data Missing ⚠",VLOOKUP(J132,'G-7 WaterC'' Data'!$AK$4:$AM$6,2,FALSE)))</f>
        <v/>
      </c>
      <c r="L132" s="305" t="str">
        <f>IF(J132="","",IF(VLOOKUP(J132,'G-7 WaterC'' Data'!$AK$4:$AM$9,3,FALSE)=0,"Spatial Data Missing ⚠",VLOOKUP(J132,'G-7 WaterC'' Data'!$AK$4:$AM$6,3,FALSE)))</f>
        <v/>
      </c>
      <c r="M132" s="106"/>
      <c r="N132" s="282" t="str">
        <f>IF(M132="","",IF(AND(M132="N/A - Culvert",D132&lt;&gt;"Culvert"),"Not possible ▲",IF(AND(D132="Culvert",M132&lt;&gt;"N/A - Culvert"),"Not possible ▲",IF(VLOOKUP(M132,'G-7 WaterC'' Data'!$AA$4:$AB$7,2,FALSE)=0,"Spatial Data Missing ⚠",VLOOKUP(M132,'G-7 WaterC'' Data'!$AA$4:$AB$7,2,FALSE)))))</f>
        <v/>
      </c>
      <c r="O132" s="56"/>
      <c r="P132" s="282" t="str">
        <f>IF(O132="","",IF(AND(O132="N/A - Culvert",D132&lt;&gt;"Culvert"),"Not possible ▲",IF(AND(D132="Culvert",O132&lt;&gt;"N/A - Culvert"),"Not possible ▲",IF(VLOOKUP(O132,'G-7 WaterC'' Data'!$AD$4:$AE$14,2,FALSE)=0,"Spatial Data Missing ⚠",VLOOKUP(O132,'G-7 WaterC'' Data'!$AD$4:$AE$14,2,FALSE)))))</f>
        <v/>
      </c>
      <c r="Q132" s="288" t="str">
        <f>IF(D132="","",VLOOKUP(D132,'G-7 WaterC'' Data'!$B$4:$G$8,6,FALSE))</f>
        <v/>
      </c>
      <c r="R132" s="295" t="str">
        <f t="shared" si="13"/>
        <v xml:space="preserve"> </v>
      </c>
      <c r="S132" s="403"/>
      <c r="T132" s="287" t="str">
        <f>IF(S132="","",IF(VLOOKUP(S132,'G-7 WaterC'' Data'!$AO$4:$BO$7,2,FALSE)=0,"Spatial Data Missing ⚠",VLOOKUP(S132,'G-7 WaterC'' Data'!$AO$4:$BO$7,2,FALSE)))</f>
        <v/>
      </c>
      <c r="U132" s="295" t="str">
        <f t="shared" si="14"/>
        <v xml:space="preserve"> </v>
      </c>
      <c r="V132" s="710" t="str">
        <f t="shared" si="15"/>
        <v/>
      </c>
      <c r="W132" s="32"/>
      <c r="X132" s="105"/>
      <c r="Y132" s="112"/>
      <c r="Z132" s="293" t="str">
        <f t="shared" si="16"/>
        <v/>
      </c>
      <c r="AA132" s="293" t="str">
        <f t="shared" si="17"/>
        <v/>
      </c>
      <c r="AB132" s="293" t="str">
        <f t="shared" si="18"/>
        <v/>
      </c>
      <c r="AC132" s="507" t="str">
        <f>IFERROR(IF(OR(E132="",R132=""),"", IF(AND(AB132&lt;&gt;"",S132=""), "Spatial risk category missing ▲", IF(AND(Q132='G-7 WaterC'' Data'!$G$4,AD132="Yes"),"Alternative Compensation ✓", IF(AND(AD132="Pending", Q132='G-7 WaterC'' Data'!$G$4),"Bespoke compensation must be agreed ▲", IF((Z132+AA132)&gt;=U132,0, U132-Z132-AA132))))),"Check Data ⚠")</f>
        <v/>
      </c>
      <c r="AD132" s="403"/>
      <c r="AE132" s="109"/>
      <c r="AF132" s="108"/>
      <c r="AG132" s="108"/>
      <c r="AH132" s="108"/>
      <c r="AI132" s="54" t="str">
        <f>IF(OR(Q132="",AD132="Yes"),"",IF(Q132='G-1 All Habitats'!$X$9,E132-Y132-X132,"None"))</f>
        <v/>
      </c>
      <c r="AJ132" s="55" t="str">
        <f>IF(Q132="","", IF(Q132='G-1 All Habitats'!$X$9, AI132*G132*I132*L132*N132*P132,"None"))</f>
        <v/>
      </c>
      <c r="AK132" s="30" t="str">
        <f>IFERROR(INDEX('G-7 WaterC'' Data'!$AZ$3:$AZ$7,MATCH(D132,'G-7 WaterC'' Data'!$AY$3:$AY$7,0)),"")</f>
        <v/>
      </c>
      <c r="AL132" s="30">
        <f t="shared" si="19"/>
        <v>0</v>
      </c>
      <c r="AM132" s="111" t="str">
        <f t="shared" si="20"/>
        <v/>
      </c>
      <c r="AN132" s="111" t="str">
        <f t="shared" si="21"/>
        <v/>
      </c>
      <c r="AP132" s="111">
        <v>123</v>
      </c>
      <c r="AR132" s="111" t="str">
        <f t="array" ref="AR132">IFERROR(INDEX($AP$10:$AP$258, MATCH(0, IF(TRUE=$AM$10:$AM$258, COUNTIF($AR$9:$AR131, $AP$10:$AP$258), ""), 0)),"")</f>
        <v/>
      </c>
      <c r="AS132" s="111" t="str">
        <f t="array" ref="AS132">IFERROR(INDEX($AP$10:$AP$258, MATCH(0, IF(TRUE=$AN$10:$AN$258, COUNTIF($AS$9:$AS131, $AP$10:$AP$258), ""), 0)),"")</f>
        <v/>
      </c>
      <c r="AT132" s="903" t="str">
        <f>IF(AND(OR(AD132="Yes",AD132="Pending"),Q132='G-7 WaterC'' Data'!$G$4),U132-AA132-Z132,"0")</f>
        <v>0</v>
      </c>
      <c r="AU132" s="30" t="str">
        <f>IF(D132="","",VLOOKUP(D132,'G-7 WaterC'' Data'!B$4:M$8,12,FALSE))</f>
        <v/>
      </c>
      <c r="AV132" s="30" t="str">
        <f t="shared" si="12"/>
        <v/>
      </c>
      <c r="AW132" s="30" t="str">
        <f t="shared" si="22"/>
        <v>No</v>
      </c>
      <c r="BA132" s="571" t="str">
        <f t="shared" si="23"/>
        <v/>
      </c>
    </row>
    <row r="133" spans="3:53" ht="14.4" thickBot="1" x14ac:dyDescent="0.3">
      <c r="C133" s="101">
        <v>124</v>
      </c>
      <c r="D133" s="269"/>
      <c r="E133" s="108"/>
      <c r="F133" s="281" t="str">
        <f>IF(D133="","",VLOOKUP(D133,'G-7 WaterC'' Data'!$B$2:$G$8,2,FALSE))</f>
        <v/>
      </c>
      <c r="G133" s="320" t="str">
        <f>IFERROR(VLOOKUP(F133,'G-7 WaterC'' Data'!$C$4:$D$8,2,FALSE),"")</f>
        <v/>
      </c>
      <c r="H133" s="109"/>
      <c r="I133" s="305" t="str">
        <f>IFERROR(INDEX('G-7 WaterC'' Data'!$H$4:$L$8,MATCH(D133,'G-7 WaterC'' Data'!$B$4:$B$8,0),MATCH(H133,'G-7 WaterC'' Data'!$H$3:$L$3,0)),"")</f>
        <v/>
      </c>
      <c r="J133" s="718"/>
      <c r="K133" s="301" t="str">
        <f>IF(J133="","",IF(VLOOKUP(J133,'G-7 WaterC'' Data'!$AK$4:$AM$9,2,FALSE)=0,"Spatial Data Missing ⚠",VLOOKUP(J133,'G-7 WaterC'' Data'!$AK$4:$AM$6,2,FALSE)))</f>
        <v/>
      </c>
      <c r="L133" s="305" t="str">
        <f>IF(J133="","",IF(VLOOKUP(J133,'G-7 WaterC'' Data'!$AK$4:$AM$9,3,FALSE)=0,"Spatial Data Missing ⚠",VLOOKUP(J133,'G-7 WaterC'' Data'!$AK$4:$AM$6,3,FALSE)))</f>
        <v/>
      </c>
      <c r="M133" s="106"/>
      <c r="N133" s="282" t="str">
        <f>IF(M133="","",IF(AND(M133="N/A - Culvert",D133&lt;&gt;"Culvert"),"Not possible ▲",IF(AND(D133="Culvert",M133&lt;&gt;"N/A - Culvert"),"Not possible ▲",IF(VLOOKUP(M133,'G-7 WaterC'' Data'!$AA$4:$AB$7,2,FALSE)=0,"Spatial Data Missing ⚠",VLOOKUP(M133,'G-7 WaterC'' Data'!$AA$4:$AB$7,2,FALSE)))))</f>
        <v/>
      </c>
      <c r="O133" s="56"/>
      <c r="P133" s="282" t="str">
        <f>IF(O133="","",IF(AND(O133="N/A - Culvert",D133&lt;&gt;"Culvert"),"Not possible ▲",IF(AND(D133="Culvert",O133&lt;&gt;"N/A - Culvert"),"Not possible ▲",IF(VLOOKUP(O133,'G-7 WaterC'' Data'!$AD$4:$AE$14,2,FALSE)=0,"Spatial Data Missing ⚠",VLOOKUP(O133,'G-7 WaterC'' Data'!$AD$4:$AE$14,2,FALSE)))))</f>
        <v/>
      </c>
      <c r="Q133" s="288" t="str">
        <f>IF(D133="","",VLOOKUP(D133,'G-7 WaterC'' Data'!$B$4:$G$8,6,FALSE))</f>
        <v/>
      </c>
      <c r="R133" s="295" t="str">
        <f t="shared" si="13"/>
        <v xml:space="preserve"> </v>
      </c>
      <c r="S133" s="403"/>
      <c r="T133" s="287" t="str">
        <f>IF(S133="","",IF(VLOOKUP(S133,'G-7 WaterC'' Data'!$AO$4:$BO$7,2,FALSE)=0,"Spatial Data Missing ⚠",VLOOKUP(S133,'G-7 WaterC'' Data'!$AO$4:$BO$7,2,FALSE)))</f>
        <v/>
      </c>
      <c r="U133" s="295" t="str">
        <f t="shared" si="14"/>
        <v xml:space="preserve"> </v>
      </c>
      <c r="V133" s="710" t="str">
        <f t="shared" si="15"/>
        <v/>
      </c>
      <c r="W133" s="32"/>
      <c r="X133" s="105"/>
      <c r="Y133" s="112"/>
      <c r="Z133" s="293" t="str">
        <f t="shared" si="16"/>
        <v/>
      </c>
      <c r="AA133" s="293" t="str">
        <f t="shared" si="17"/>
        <v/>
      </c>
      <c r="AB133" s="293" t="str">
        <f t="shared" si="18"/>
        <v/>
      </c>
      <c r="AC133" s="507" t="str">
        <f>IFERROR(IF(OR(E133="",R133=""),"", IF(AND(AB133&lt;&gt;"",S133=""), "Spatial risk category missing ▲", IF(AND(Q133='G-7 WaterC'' Data'!$G$4,AD133="Yes"),"Alternative Compensation ✓", IF(AND(AD133="Pending", Q133='G-7 WaterC'' Data'!$G$4),"Bespoke compensation must be agreed ▲", IF((Z133+AA133)&gt;=U133,0, U133-Z133-AA133))))),"Check Data ⚠")</f>
        <v/>
      </c>
      <c r="AD133" s="403"/>
      <c r="AE133" s="109"/>
      <c r="AF133" s="108"/>
      <c r="AG133" s="108"/>
      <c r="AH133" s="108"/>
      <c r="AI133" s="54" t="str">
        <f>IF(OR(Q133="",AD133="Yes"),"",IF(Q133='G-1 All Habitats'!$X$9,E133-Y133-X133,"None"))</f>
        <v/>
      </c>
      <c r="AJ133" s="55" t="str">
        <f>IF(Q133="","", IF(Q133='G-1 All Habitats'!$X$9, AI133*G133*I133*L133*N133*P133,"None"))</f>
        <v/>
      </c>
      <c r="AK133" s="30" t="str">
        <f>IFERROR(INDEX('G-7 WaterC'' Data'!$AZ$3:$AZ$7,MATCH(D133,'G-7 WaterC'' Data'!$AY$3:$AY$7,0)),"")</f>
        <v/>
      </c>
      <c r="AL133" s="30">
        <f t="shared" si="19"/>
        <v>0</v>
      </c>
      <c r="AM133" s="111" t="str">
        <f t="shared" si="20"/>
        <v/>
      </c>
      <c r="AN133" s="111" t="str">
        <f t="shared" si="21"/>
        <v/>
      </c>
      <c r="AP133" s="111">
        <v>124</v>
      </c>
      <c r="AR133" s="111" t="str">
        <f t="array" ref="AR133">IFERROR(INDEX($AP$10:$AP$258, MATCH(0, IF(TRUE=$AM$10:$AM$258, COUNTIF($AR$9:$AR132, $AP$10:$AP$258), ""), 0)),"")</f>
        <v/>
      </c>
      <c r="AS133" s="111" t="str">
        <f t="array" ref="AS133">IFERROR(INDEX($AP$10:$AP$258, MATCH(0, IF(TRUE=$AN$10:$AN$258, COUNTIF($AS$9:$AS132, $AP$10:$AP$258), ""), 0)),"")</f>
        <v/>
      </c>
      <c r="AT133" s="903" t="str">
        <f>IF(AND(OR(AD133="Yes",AD133="Pending"),Q133='G-7 WaterC'' Data'!$G$4),U133-AA133-Z133,"0")</f>
        <v>0</v>
      </c>
      <c r="AU133" s="30" t="str">
        <f>IF(D133="","",VLOOKUP(D133,'G-7 WaterC'' Data'!B$4:M$8,12,FALSE))</f>
        <v/>
      </c>
      <c r="AV133" s="30" t="str">
        <f t="shared" si="12"/>
        <v/>
      </c>
      <c r="AW133" s="30" t="str">
        <f t="shared" si="22"/>
        <v>No</v>
      </c>
      <c r="BA133" s="571" t="str">
        <f t="shared" si="23"/>
        <v/>
      </c>
    </row>
    <row r="134" spans="3:53" ht="14.4" thickBot="1" x14ac:dyDescent="0.3">
      <c r="C134" s="101">
        <v>125</v>
      </c>
      <c r="D134" s="269"/>
      <c r="E134" s="108"/>
      <c r="F134" s="281" t="str">
        <f>IF(D134="","",VLOOKUP(D134,'G-7 WaterC'' Data'!$B$2:$G$8,2,FALSE))</f>
        <v/>
      </c>
      <c r="G134" s="320" t="str">
        <f>IFERROR(VLOOKUP(F134,'G-7 WaterC'' Data'!$C$4:$D$8,2,FALSE),"")</f>
        <v/>
      </c>
      <c r="H134" s="109"/>
      <c r="I134" s="305" t="str">
        <f>IFERROR(INDEX('G-7 WaterC'' Data'!$H$4:$L$8,MATCH(D134,'G-7 WaterC'' Data'!$B$4:$B$8,0),MATCH(H134,'G-7 WaterC'' Data'!$H$3:$L$3,0)),"")</f>
        <v/>
      </c>
      <c r="J134" s="718"/>
      <c r="K134" s="301" t="str">
        <f>IF(J134="","",IF(VLOOKUP(J134,'G-7 WaterC'' Data'!$AK$4:$AM$9,2,FALSE)=0,"Spatial Data Missing ⚠",VLOOKUP(J134,'G-7 WaterC'' Data'!$AK$4:$AM$6,2,FALSE)))</f>
        <v/>
      </c>
      <c r="L134" s="305" t="str">
        <f>IF(J134="","",IF(VLOOKUP(J134,'G-7 WaterC'' Data'!$AK$4:$AM$9,3,FALSE)=0,"Spatial Data Missing ⚠",VLOOKUP(J134,'G-7 WaterC'' Data'!$AK$4:$AM$6,3,FALSE)))</f>
        <v/>
      </c>
      <c r="M134" s="106"/>
      <c r="N134" s="282" t="str">
        <f>IF(M134="","",IF(AND(M134="N/A - Culvert",D134&lt;&gt;"Culvert"),"Not possible ▲",IF(AND(D134="Culvert",M134&lt;&gt;"N/A - Culvert"),"Not possible ▲",IF(VLOOKUP(M134,'G-7 WaterC'' Data'!$AA$4:$AB$7,2,FALSE)=0,"Spatial Data Missing ⚠",VLOOKUP(M134,'G-7 WaterC'' Data'!$AA$4:$AB$7,2,FALSE)))))</f>
        <v/>
      </c>
      <c r="O134" s="56"/>
      <c r="P134" s="282" t="str">
        <f>IF(O134="","",IF(AND(O134="N/A - Culvert",D134&lt;&gt;"Culvert"),"Not possible ▲",IF(AND(D134="Culvert",O134&lt;&gt;"N/A - Culvert"),"Not possible ▲",IF(VLOOKUP(O134,'G-7 WaterC'' Data'!$AD$4:$AE$14,2,FALSE)=0,"Spatial Data Missing ⚠",VLOOKUP(O134,'G-7 WaterC'' Data'!$AD$4:$AE$14,2,FALSE)))))</f>
        <v/>
      </c>
      <c r="Q134" s="288" t="str">
        <f>IF(D134="","",VLOOKUP(D134,'G-7 WaterC'' Data'!$B$4:$G$8,6,FALSE))</f>
        <v/>
      </c>
      <c r="R134" s="295" t="str">
        <f t="shared" si="13"/>
        <v xml:space="preserve"> </v>
      </c>
      <c r="S134" s="403"/>
      <c r="T134" s="287" t="str">
        <f>IF(S134="","",IF(VLOOKUP(S134,'G-7 WaterC'' Data'!$AO$4:$BO$7,2,FALSE)=0,"Spatial Data Missing ⚠",VLOOKUP(S134,'G-7 WaterC'' Data'!$AO$4:$BO$7,2,FALSE)))</f>
        <v/>
      </c>
      <c r="U134" s="295" t="str">
        <f t="shared" si="14"/>
        <v xml:space="preserve"> </v>
      </c>
      <c r="V134" s="710" t="str">
        <f t="shared" si="15"/>
        <v/>
      </c>
      <c r="W134" s="32"/>
      <c r="X134" s="105"/>
      <c r="Y134" s="112"/>
      <c r="Z134" s="293" t="str">
        <f t="shared" si="16"/>
        <v/>
      </c>
      <c r="AA134" s="293" t="str">
        <f t="shared" si="17"/>
        <v/>
      </c>
      <c r="AB134" s="293" t="str">
        <f t="shared" si="18"/>
        <v/>
      </c>
      <c r="AC134" s="507" t="str">
        <f>IFERROR(IF(OR(E134="",R134=""),"", IF(AND(AB134&lt;&gt;"",S134=""), "Spatial risk category missing ▲", IF(AND(Q134='G-7 WaterC'' Data'!$G$4,AD134="Yes"),"Alternative Compensation ✓", IF(AND(AD134="Pending", Q134='G-7 WaterC'' Data'!$G$4),"Bespoke compensation must be agreed ▲", IF((Z134+AA134)&gt;=U134,0, U134-Z134-AA134))))),"Check Data ⚠")</f>
        <v/>
      </c>
      <c r="AD134" s="403"/>
      <c r="AE134" s="109"/>
      <c r="AF134" s="108"/>
      <c r="AG134" s="108"/>
      <c r="AH134" s="108"/>
      <c r="AI134" s="54" t="str">
        <f>IF(OR(Q134="",AD134="Yes"),"",IF(Q134='G-1 All Habitats'!$X$9,E134-Y134-X134,"None"))</f>
        <v/>
      </c>
      <c r="AJ134" s="55" t="str">
        <f>IF(Q134="","", IF(Q134='G-1 All Habitats'!$X$9, AI134*G134*I134*L134*N134*P134,"None"))</f>
        <v/>
      </c>
      <c r="AK134" s="30" t="str">
        <f>IFERROR(INDEX('G-7 WaterC'' Data'!$AZ$3:$AZ$7,MATCH(D134,'G-7 WaterC'' Data'!$AY$3:$AY$7,0)),"")</f>
        <v/>
      </c>
      <c r="AL134" s="30">
        <f t="shared" si="19"/>
        <v>0</v>
      </c>
      <c r="AM134" s="111" t="str">
        <f t="shared" si="20"/>
        <v/>
      </c>
      <c r="AN134" s="111" t="str">
        <f t="shared" si="21"/>
        <v/>
      </c>
      <c r="AP134" s="111">
        <v>125</v>
      </c>
      <c r="AR134" s="111" t="str">
        <f t="array" ref="AR134">IFERROR(INDEX($AP$10:$AP$258, MATCH(0, IF(TRUE=$AM$10:$AM$258, COUNTIF($AR$9:$AR133, $AP$10:$AP$258), ""), 0)),"")</f>
        <v/>
      </c>
      <c r="AS134" s="111" t="str">
        <f t="array" ref="AS134">IFERROR(INDEX($AP$10:$AP$258, MATCH(0, IF(TRUE=$AN$10:$AN$258, COUNTIF($AS$9:$AS133, $AP$10:$AP$258), ""), 0)),"")</f>
        <v/>
      </c>
      <c r="AT134" s="903" t="str">
        <f>IF(AND(OR(AD134="Yes",AD134="Pending"),Q134='G-7 WaterC'' Data'!$G$4),U134-AA134-Z134,"0")</f>
        <v>0</v>
      </c>
      <c r="AU134" s="30" t="str">
        <f>IF(D134="","",VLOOKUP(D134,'G-7 WaterC'' Data'!B$4:M$8,12,FALSE))</f>
        <v/>
      </c>
      <c r="AV134" s="30" t="str">
        <f t="shared" si="12"/>
        <v/>
      </c>
      <c r="AW134" s="30" t="str">
        <f t="shared" si="22"/>
        <v>No</v>
      </c>
      <c r="BA134" s="571" t="str">
        <f t="shared" si="23"/>
        <v/>
      </c>
    </row>
    <row r="135" spans="3:53" ht="14.4" thickBot="1" x14ac:dyDescent="0.3">
      <c r="C135" s="101">
        <v>126</v>
      </c>
      <c r="D135" s="269"/>
      <c r="E135" s="108"/>
      <c r="F135" s="281" t="str">
        <f>IF(D135="","",VLOOKUP(D135,'G-7 WaterC'' Data'!$B$2:$G$8,2,FALSE))</f>
        <v/>
      </c>
      <c r="G135" s="320" t="str">
        <f>IFERROR(VLOOKUP(F135,'G-7 WaterC'' Data'!$C$4:$D$8,2,FALSE),"")</f>
        <v/>
      </c>
      <c r="H135" s="109"/>
      <c r="I135" s="305" t="str">
        <f>IFERROR(INDEX('G-7 WaterC'' Data'!$H$4:$L$8,MATCH(D135,'G-7 WaterC'' Data'!$B$4:$B$8,0),MATCH(H135,'G-7 WaterC'' Data'!$H$3:$L$3,0)),"")</f>
        <v/>
      </c>
      <c r="J135" s="718"/>
      <c r="K135" s="301" t="str">
        <f>IF(J135="","",IF(VLOOKUP(J135,'G-7 WaterC'' Data'!$AK$4:$AM$9,2,FALSE)=0,"Spatial Data Missing ⚠",VLOOKUP(J135,'G-7 WaterC'' Data'!$AK$4:$AM$6,2,FALSE)))</f>
        <v/>
      </c>
      <c r="L135" s="305" t="str">
        <f>IF(J135="","",IF(VLOOKUP(J135,'G-7 WaterC'' Data'!$AK$4:$AM$9,3,FALSE)=0,"Spatial Data Missing ⚠",VLOOKUP(J135,'G-7 WaterC'' Data'!$AK$4:$AM$6,3,FALSE)))</f>
        <v/>
      </c>
      <c r="M135" s="106"/>
      <c r="N135" s="282" t="str">
        <f>IF(M135="","",IF(AND(M135="N/A - Culvert",D135&lt;&gt;"Culvert"),"Not possible ▲",IF(AND(D135="Culvert",M135&lt;&gt;"N/A - Culvert"),"Not possible ▲",IF(VLOOKUP(M135,'G-7 WaterC'' Data'!$AA$4:$AB$7,2,FALSE)=0,"Spatial Data Missing ⚠",VLOOKUP(M135,'G-7 WaterC'' Data'!$AA$4:$AB$7,2,FALSE)))))</f>
        <v/>
      </c>
      <c r="O135" s="56"/>
      <c r="P135" s="282" t="str">
        <f>IF(O135="","",IF(AND(O135="N/A - Culvert",D135&lt;&gt;"Culvert"),"Not possible ▲",IF(AND(D135="Culvert",O135&lt;&gt;"N/A - Culvert"),"Not possible ▲",IF(VLOOKUP(O135,'G-7 WaterC'' Data'!$AD$4:$AE$14,2,FALSE)=0,"Spatial Data Missing ⚠",VLOOKUP(O135,'G-7 WaterC'' Data'!$AD$4:$AE$14,2,FALSE)))))</f>
        <v/>
      </c>
      <c r="Q135" s="288" t="str">
        <f>IF(D135="","",VLOOKUP(D135,'G-7 WaterC'' Data'!$B$4:$G$8,6,FALSE))</f>
        <v/>
      </c>
      <c r="R135" s="295" t="str">
        <f t="shared" si="13"/>
        <v xml:space="preserve"> </v>
      </c>
      <c r="S135" s="403"/>
      <c r="T135" s="287" t="str">
        <f>IF(S135="","",IF(VLOOKUP(S135,'G-7 WaterC'' Data'!$AO$4:$BO$7,2,FALSE)=0,"Spatial Data Missing ⚠",VLOOKUP(S135,'G-7 WaterC'' Data'!$AO$4:$BO$7,2,FALSE)))</f>
        <v/>
      </c>
      <c r="U135" s="295" t="str">
        <f t="shared" si="14"/>
        <v xml:space="preserve"> </v>
      </c>
      <c r="V135" s="710" t="str">
        <f t="shared" si="15"/>
        <v/>
      </c>
      <c r="W135" s="32"/>
      <c r="X135" s="105"/>
      <c r="Y135" s="112"/>
      <c r="Z135" s="293" t="str">
        <f t="shared" si="16"/>
        <v/>
      </c>
      <c r="AA135" s="293" t="str">
        <f t="shared" si="17"/>
        <v/>
      </c>
      <c r="AB135" s="293" t="str">
        <f t="shared" si="18"/>
        <v/>
      </c>
      <c r="AC135" s="507" t="str">
        <f>IFERROR(IF(OR(E135="",R135=""),"", IF(AND(AB135&lt;&gt;"",S135=""), "Spatial risk category missing ▲", IF(AND(Q135='G-7 WaterC'' Data'!$G$4,AD135="Yes"),"Alternative Compensation ✓", IF(AND(AD135="Pending", Q135='G-7 WaterC'' Data'!$G$4),"Bespoke compensation must be agreed ▲", IF((Z135+AA135)&gt;=U135,0, U135-Z135-AA135))))),"Check Data ⚠")</f>
        <v/>
      </c>
      <c r="AD135" s="403"/>
      <c r="AE135" s="109"/>
      <c r="AF135" s="108"/>
      <c r="AG135" s="108"/>
      <c r="AH135" s="108"/>
      <c r="AI135" s="54" t="str">
        <f>IF(OR(Q135="",AD135="Yes"),"",IF(Q135='G-1 All Habitats'!$X$9,E135-Y135-X135,"None"))</f>
        <v/>
      </c>
      <c r="AJ135" s="55" t="str">
        <f>IF(Q135="","", IF(Q135='G-1 All Habitats'!$X$9, AI135*G135*I135*L135*N135*P135,"None"))</f>
        <v/>
      </c>
      <c r="AK135" s="30" t="str">
        <f>IFERROR(INDEX('G-7 WaterC'' Data'!$AZ$3:$AZ$7,MATCH(D135,'G-7 WaterC'' Data'!$AY$3:$AY$7,0)),"")</f>
        <v/>
      </c>
      <c r="AL135" s="30">
        <f t="shared" si="19"/>
        <v>0</v>
      </c>
      <c r="AM135" s="111" t="str">
        <f t="shared" si="20"/>
        <v/>
      </c>
      <c r="AN135" s="111" t="str">
        <f t="shared" si="21"/>
        <v/>
      </c>
      <c r="AP135" s="111">
        <v>126</v>
      </c>
      <c r="AR135" s="111" t="str">
        <f t="array" ref="AR135">IFERROR(INDEX($AP$10:$AP$258, MATCH(0, IF(TRUE=$AM$10:$AM$258, COUNTIF($AR$9:$AR134, $AP$10:$AP$258), ""), 0)),"")</f>
        <v/>
      </c>
      <c r="AS135" s="111" t="str">
        <f t="array" ref="AS135">IFERROR(INDEX($AP$10:$AP$258, MATCH(0, IF(TRUE=$AN$10:$AN$258, COUNTIF($AS$9:$AS134, $AP$10:$AP$258), ""), 0)),"")</f>
        <v/>
      </c>
      <c r="AT135" s="903" t="str">
        <f>IF(AND(OR(AD135="Yes",AD135="Pending"),Q135='G-7 WaterC'' Data'!$G$4),U135-AA135-Z135,"0")</f>
        <v>0</v>
      </c>
      <c r="AU135" s="30" t="str">
        <f>IF(D135="","",VLOOKUP(D135,'G-7 WaterC'' Data'!B$4:M$8,12,FALSE))</f>
        <v/>
      </c>
      <c r="AV135" s="30" t="str">
        <f t="shared" si="12"/>
        <v/>
      </c>
      <c r="AW135" s="30" t="str">
        <f t="shared" si="22"/>
        <v>No</v>
      </c>
      <c r="BA135" s="571" t="str">
        <f t="shared" si="23"/>
        <v/>
      </c>
    </row>
    <row r="136" spans="3:53" ht="14.4" thickBot="1" x14ac:dyDescent="0.3">
      <c r="C136" s="101">
        <v>127</v>
      </c>
      <c r="D136" s="269"/>
      <c r="E136" s="108"/>
      <c r="F136" s="281" t="str">
        <f>IF(D136="","",VLOOKUP(D136,'G-7 WaterC'' Data'!$B$2:$G$8,2,FALSE))</f>
        <v/>
      </c>
      <c r="G136" s="320" t="str">
        <f>IFERROR(VLOOKUP(F136,'G-7 WaterC'' Data'!$C$4:$D$8,2,FALSE),"")</f>
        <v/>
      </c>
      <c r="H136" s="109"/>
      <c r="I136" s="305" t="str">
        <f>IFERROR(INDEX('G-7 WaterC'' Data'!$H$4:$L$8,MATCH(D136,'G-7 WaterC'' Data'!$B$4:$B$8,0),MATCH(H136,'G-7 WaterC'' Data'!$H$3:$L$3,0)),"")</f>
        <v/>
      </c>
      <c r="J136" s="718"/>
      <c r="K136" s="301" t="str">
        <f>IF(J136="","",IF(VLOOKUP(J136,'G-7 WaterC'' Data'!$AK$4:$AM$9,2,FALSE)=0,"Spatial Data Missing ⚠",VLOOKUP(J136,'G-7 WaterC'' Data'!$AK$4:$AM$6,2,FALSE)))</f>
        <v/>
      </c>
      <c r="L136" s="305" t="str">
        <f>IF(J136="","",IF(VLOOKUP(J136,'G-7 WaterC'' Data'!$AK$4:$AM$9,3,FALSE)=0,"Spatial Data Missing ⚠",VLOOKUP(J136,'G-7 WaterC'' Data'!$AK$4:$AM$6,3,FALSE)))</f>
        <v/>
      </c>
      <c r="M136" s="106"/>
      <c r="N136" s="282" t="str">
        <f>IF(M136="","",IF(AND(M136="N/A - Culvert",D136&lt;&gt;"Culvert"),"Not possible ▲",IF(AND(D136="Culvert",M136&lt;&gt;"N/A - Culvert"),"Not possible ▲",IF(VLOOKUP(M136,'G-7 WaterC'' Data'!$AA$4:$AB$7,2,FALSE)=0,"Spatial Data Missing ⚠",VLOOKUP(M136,'G-7 WaterC'' Data'!$AA$4:$AB$7,2,FALSE)))))</f>
        <v/>
      </c>
      <c r="O136" s="56"/>
      <c r="P136" s="282" t="str">
        <f>IF(O136="","",IF(AND(O136="N/A - Culvert",D136&lt;&gt;"Culvert"),"Not possible ▲",IF(AND(D136="Culvert",O136&lt;&gt;"N/A - Culvert"),"Not possible ▲",IF(VLOOKUP(O136,'G-7 WaterC'' Data'!$AD$4:$AE$14,2,FALSE)=0,"Spatial Data Missing ⚠",VLOOKUP(O136,'G-7 WaterC'' Data'!$AD$4:$AE$14,2,FALSE)))))</f>
        <v/>
      </c>
      <c r="Q136" s="288" t="str">
        <f>IF(D136="","",VLOOKUP(D136,'G-7 WaterC'' Data'!$B$4:$G$8,6,FALSE))</f>
        <v/>
      </c>
      <c r="R136" s="295" t="str">
        <f t="shared" si="13"/>
        <v xml:space="preserve"> </v>
      </c>
      <c r="S136" s="403"/>
      <c r="T136" s="287" t="str">
        <f>IF(S136="","",IF(VLOOKUP(S136,'G-7 WaterC'' Data'!$AO$4:$BO$7,2,FALSE)=0,"Spatial Data Missing ⚠",VLOOKUP(S136,'G-7 WaterC'' Data'!$AO$4:$BO$7,2,FALSE)))</f>
        <v/>
      </c>
      <c r="U136" s="295" t="str">
        <f t="shared" si="14"/>
        <v xml:space="preserve"> </v>
      </c>
      <c r="V136" s="710" t="str">
        <f t="shared" si="15"/>
        <v/>
      </c>
      <c r="W136" s="32"/>
      <c r="X136" s="105"/>
      <c r="Y136" s="112"/>
      <c r="Z136" s="293" t="str">
        <f t="shared" si="16"/>
        <v/>
      </c>
      <c r="AA136" s="293" t="str">
        <f t="shared" si="17"/>
        <v/>
      </c>
      <c r="AB136" s="293" t="str">
        <f t="shared" si="18"/>
        <v/>
      </c>
      <c r="AC136" s="507" t="str">
        <f>IFERROR(IF(OR(E136="",R136=""),"", IF(AND(AB136&lt;&gt;"",S136=""), "Spatial risk category missing ▲", IF(AND(Q136='G-7 WaterC'' Data'!$G$4,AD136="Yes"),"Alternative Compensation ✓", IF(AND(AD136="Pending", Q136='G-7 WaterC'' Data'!$G$4),"Bespoke compensation must be agreed ▲", IF((Z136+AA136)&gt;=U136,0, U136-Z136-AA136))))),"Check Data ⚠")</f>
        <v/>
      </c>
      <c r="AD136" s="403"/>
      <c r="AE136" s="109"/>
      <c r="AF136" s="108"/>
      <c r="AG136" s="108"/>
      <c r="AH136" s="108"/>
      <c r="AI136" s="54" t="str">
        <f>IF(OR(Q136="",AD136="Yes"),"",IF(Q136='G-1 All Habitats'!$X$9,E136-Y136-X136,"None"))</f>
        <v/>
      </c>
      <c r="AJ136" s="55" t="str">
        <f>IF(Q136="","", IF(Q136='G-1 All Habitats'!$X$9, AI136*G136*I136*L136*N136*P136,"None"))</f>
        <v/>
      </c>
      <c r="AK136" s="30" t="str">
        <f>IFERROR(INDEX('G-7 WaterC'' Data'!$AZ$3:$AZ$7,MATCH(D136,'G-7 WaterC'' Data'!$AY$3:$AY$7,0)),"")</f>
        <v/>
      </c>
      <c r="AL136" s="30">
        <f t="shared" si="19"/>
        <v>0</v>
      </c>
      <c r="AM136" s="111" t="str">
        <f t="shared" si="20"/>
        <v/>
      </c>
      <c r="AN136" s="111" t="str">
        <f t="shared" si="21"/>
        <v/>
      </c>
      <c r="AP136" s="111">
        <v>127</v>
      </c>
      <c r="AR136" s="111" t="str">
        <f t="array" ref="AR136">IFERROR(INDEX($AP$10:$AP$258, MATCH(0, IF(TRUE=$AM$10:$AM$258, COUNTIF($AR$9:$AR135, $AP$10:$AP$258), ""), 0)),"")</f>
        <v/>
      </c>
      <c r="AS136" s="111" t="str">
        <f t="array" ref="AS136">IFERROR(INDEX($AP$10:$AP$258, MATCH(0, IF(TRUE=$AN$10:$AN$258, COUNTIF($AS$9:$AS135, $AP$10:$AP$258), ""), 0)),"")</f>
        <v/>
      </c>
      <c r="AT136" s="903" t="str">
        <f>IF(AND(OR(AD136="Yes",AD136="Pending"),Q136='G-7 WaterC'' Data'!$G$4),U136-AA136-Z136,"0")</f>
        <v>0</v>
      </c>
      <c r="AU136" s="30" t="str">
        <f>IF(D136="","",VLOOKUP(D136,'G-7 WaterC'' Data'!B$4:M$8,12,FALSE))</f>
        <v/>
      </c>
      <c r="AV136" s="30" t="str">
        <f t="shared" si="12"/>
        <v/>
      </c>
      <c r="AW136" s="30" t="str">
        <f t="shared" si="22"/>
        <v>No</v>
      </c>
      <c r="BA136" s="571" t="str">
        <f t="shared" si="23"/>
        <v/>
      </c>
    </row>
    <row r="137" spans="3:53" ht="14.4" thickBot="1" x14ac:dyDescent="0.3">
      <c r="C137" s="101">
        <v>128</v>
      </c>
      <c r="D137" s="269"/>
      <c r="E137" s="108"/>
      <c r="F137" s="281" t="str">
        <f>IF(D137="","",VLOOKUP(D137,'G-7 WaterC'' Data'!$B$2:$G$8,2,FALSE))</f>
        <v/>
      </c>
      <c r="G137" s="320" t="str">
        <f>IFERROR(VLOOKUP(F137,'G-7 WaterC'' Data'!$C$4:$D$8,2,FALSE),"")</f>
        <v/>
      </c>
      <c r="H137" s="109"/>
      <c r="I137" s="305" t="str">
        <f>IFERROR(INDEX('G-7 WaterC'' Data'!$H$4:$L$8,MATCH(D137,'G-7 WaterC'' Data'!$B$4:$B$8,0),MATCH(H137,'G-7 WaterC'' Data'!$H$3:$L$3,0)),"")</f>
        <v/>
      </c>
      <c r="J137" s="718"/>
      <c r="K137" s="301" t="str">
        <f>IF(J137="","",IF(VLOOKUP(J137,'G-7 WaterC'' Data'!$AK$4:$AM$9,2,FALSE)=0,"Spatial Data Missing ⚠",VLOOKUP(J137,'G-7 WaterC'' Data'!$AK$4:$AM$6,2,FALSE)))</f>
        <v/>
      </c>
      <c r="L137" s="305" t="str">
        <f>IF(J137="","",IF(VLOOKUP(J137,'G-7 WaterC'' Data'!$AK$4:$AM$9,3,FALSE)=0,"Spatial Data Missing ⚠",VLOOKUP(J137,'G-7 WaterC'' Data'!$AK$4:$AM$6,3,FALSE)))</f>
        <v/>
      </c>
      <c r="M137" s="106"/>
      <c r="N137" s="282" t="str">
        <f>IF(M137="","",IF(AND(M137="N/A - Culvert",D137&lt;&gt;"Culvert"),"Not possible ▲",IF(AND(D137="Culvert",M137&lt;&gt;"N/A - Culvert"),"Not possible ▲",IF(VLOOKUP(M137,'G-7 WaterC'' Data'!$AA$4:$AB$7,2,FALSE)=0,"Spatial Data Missing ⚠",VLOOKUP(M137,'G-7 WaterC'' Data'!$AA$4:$AB$7,2,FALSE)))))</f>
        <v/>
      </c>
      <c r="O137" s="56"/>
      <c r="P137" s="282" t="str">
        <f>IF(O137="","",IF(AND(O137="N/A - Culvert",D137&lt;&gt;"Culvert"),"Not possible ▲",IF(AND(D137="Culvert",O137&lt;&gt;"N/A - Culvert"),"Not possible ▲",IF(VLOOKUP(O137,'G-7 WaterC'' Data'!$AD$4:$AE$14,2,FALSE)=0,"Spatial Data Missing ⚠",VLOOKUP(O137,'G-7 WaterC'' Data'!$AD$4:$AE$14,2,FALSE)))))</f>
        <v/>
      </c>
      <c r="Q137" s="288" t="str">
        <f>IF(D137="","",VLOOKUP(D137,'G-7 WaterC'' Data'!$B$4:$G$8,6,FALSE))</f>
        <v/>
      </c>
      <c r="R137" s="295" t="str">
        <f t="shared" si="13"/>
        <v xml:space="preserve"> </v>
      </c>
      <c r="S137" s="403"/>
      <c r="T137" s="287" t="str">
        <f>IF(S137="","",IF(VLOOKUP(S137,'G-7 WaterC'' Data'!$AO$4:$BO$7,2,FALSE)=0,"Spatial Data Missing ⚠",VLOOKUP(S137,'G-7 WaterC'' Data'!$AO$4:$BO$7,2,FALSE)))</f>
        <v/>
      </c>
      <c r="U137" s="295" t="str">
        <f t="shared" si="14"/>
        <v xml:space="preserve"> </v>
      </c>
      <c r="V137" s="710" t="str">
        <f t="shared" si="15"/>
        <v/>
      </c>
      <c r="W137" s="32"/>
      <c r="X137" s="105"/>
      <c r="Y137" s="112"/>
      <c r="Z137" s="293" t="str">
        <f t="shared" si="16"/>
        <v/>
      </c>
      <c r="AA137" s="293" t="str">
        <f t="shared" si="17"/>
        <v/>
      </c>
      <c r="AB137" s="293" t="str">
        <f t="shared" si="18"/>
        <v/>
      </c>
      <c r="AC137" s="507" t="str">
        <f>IFERROR(IF(OR(E137="",R137=""),"", IF(AND(AB137&lt;&gt;"",S137=""), "Spatial risk category missing ▲", IF(AND(Q137='G-7 WaterC'' Data'!$G$4,AD137="Yes"),"Alternative Compensation ✓", IF(AND(AD137="Pending", Q137='G-7 WaterC'' Data'!$G$4),"Bespoke compensation must be agreed ▲", IF((Z137+AA137)&gt;=U137,0, U137-Z137-AA137))))),"Check Data ⚠")</f>
        <v/>
      </c>
      <c r="AD137" s="403"/>
      <c r="AE137" s="109"/>
      <c r="AF137" s="108"/>
      <c r="AG137" s="108"/>
      <c r="AH137" s="108"/>
      <c r="AI137" s="54" t="str">
        <f>IF(OR(Q137="",AD137="Yes"),"",IF(Q137='G-1 All Habitats'!$X$9,E137-Y137-X137,"None"))</f>
        <v/>
      </c>
      <c r="AJ137" s="55" t="str">
        <f>IF(Q137="","", IF(Q137='G-1 All Habitats'!$X$9, AI137*G137*I137*L137*N137*P137,"None"))</f>
        <v/>
      </c>
      <c r="AK137" s="30" t="str">
        <f>IFERROR(INDEX('G-7 WaterC'' Data'!$AZ$3:$AZ$7,MATCH(D137,'G-7 WaterC'' Data'!$AY$3:$AY$7,0)),"")</f>
        <v/>
      </c>
      <c r="AL137" s="30">
        <f t="shared" si="19"/>
        <v>0</v>
      </c>
      <c r="AM137" s="111" t="str">
        <f t="shared" si="20"/>
        <v/>
      </c>
      <c r="AN137" s="111" t="str">
        <f t="shared" si="21"/>
        <v/>
      </c>
      <c r="AP137" s="111">
        <v>128</v>
      </c>
      <c r="AR137" s="111" t="str">
        <f t="array" ref="AR137">IFERROR(INDEX($AP$10:$AP$258, MATCH(0, IF(TRUE=$AM$10:$AM$258, COUNTIF($AR$9:$AR136, $AP$10:$AP$258), ""), 0)),"")</f>
        <v/>
      </c>
      <c r="AS137" s="111" t="str">
        <f t="array" ref="AS137">IFERROR(INDEX($AP$10:$AP$258, MATCH(0, IF(TRUE=$AN$10:$AN$258, COUNTIF($AS$9:$AS136, $AP$10:$AP$258), ""), 0)),"")</f>
        <v/>
      </c>
      <c r="AT137" s="903" t="str">
        <f>IF(AND(OR(AD137="Yes",AD137="Pending"),Q137='G-7 WaterC'' Data'!$G$4),U137-AA137-Z137,"0")</f>
        <v>0</v>
      </c>
      <c r="AU137" s="30" t="str">
        <f>IF(D137="","",VLOOKUP(D137,'G-7 WaterC'' Data'!B$4:M$8,12,FALSE))</f>
        <v/>
      </c>
      <c r="AV137" s="30" t="str">
        <f t="shared" si="12"/>
        <v/>
      </c>
      <c r="AW137" s="30" t="str">
        <f t="shared" si="22"/>
        <v>No</v>
      </c>
      <c r="BA137" s="571" t="str">
        <f t="shared" si="23"/>
        <v/>
      </c>
    </row>
    <row r="138" spans="3:53" ht="14.4" thickBot="1" x14ac:dyDescent="0.3">
      <c r="C138" s="101">
        <v>129</v>
      </c>
      <c r="D138" s="269"/>
      <c r="E138" s="108"/>
      <c r="F138" s="281" t="str">
        <f>IF(D138="","",VLOOKUP(D138,'G-7 WaterC'' Data'!$B$2:$G$8,2,FALSE))</f>
        <v/>
      </c>
      <c r="G138" s="320" t="str">
        <f>IFERROR(VLOOKUP(F138,'G-7 WaterC'' Data'!$C$4:$D$8,2,FALSE),"")</f>
        <v/>
      </c>
      <c r="H138" s="109"/>
      <c r="I138" s="305" t="str">
        <f>IFERROR(INDEX('G-7 WaterC'' Data'!$H$4:$L$8,MATCH(D138,'G-7 WaterC'' Data'!$B$4:$B$8,0),MATCH(H138,'G-7 WaterC'' Data'!$H$3:$L$3,0)),"")</f>
        <v/>
      </c>
      <c r="J138" s="718"/>
      <c r="K138" s="301" t="str">
        <f>IF(J138="","",IF(VLOOKUP(J138,'G-7 WaterC'' Data'!$AK$4:$AM$9,2,FALSE)=0,"Spatial Data Missing ⚠",VLOOKUP(J138,'G-7 WaterC'' Data'!$AK$4:$AM$6,2,FALSE)))</f>
        <v/>
      </c>
      <c r="L138" s="305" t="str">
        <f>IF(J138="","",IF(VLOOKUP(J138,'G-7 WaterC'' Data'!$AK$4:$AM$9,3,FALSE)=0,"Spatial Data Missing ⚠",VLOOKUP(J138,'G-7 WaterC'' Data'!$AK$4:$AM$6,3,FALSE)))</f>
        <v/>
      </c>
      <c r="M138" s="106"/>
      <c r="N138" s="282" t="str">
        <f>IF(M138="","",IF(AND(M138="N/A - Culvert",D138&lt;&gt;"Culvert"),"Not possible ▲",IF(AND(D138="Culvert",M138&lt;&gt;"N/A - Culvert"),"Not possible ▲",IF(VLOOKUP(M138,'G-7 WaterC'' Data'!$AA$4:$AB$7,2,FALSE)=0,"Spatial Data Missing ⚠",VLOOKUP(M138,'G-7 WaterC'' Data'!$AA$4:$AB$7,2,FALSE)))))</f>
        <v/>
      </c>
      <c r="O138" s="56"/>
      <c r="P138" s="282" t="str">
        <f>IF(O138="","",IF(AND(O138="N/A - Culvert",D138&lt;&gt;"Culvert"),"Not possible ▲",IF(AND(D138="Culvert",O138&lt;&gt;"N/A - Culvert"),"Not possible ▲",IF(VLOOKUP(O138,'G-7 WaterC'' Data'!$AD$4:$AE$14,2,FALSE)=0,"Spatial Data Missing ⚠",VLOOKUP(O138,'G-7 WaterC'' Data'!$AD$4:$AE$14,2,FALSE)))))</f>
        <v/>
      </c>
      <c r="Q138" s="288" t="str">
        <f>IF(D138="","",VLOOKUP(D138,'G-7 WaterC'' Data'!$B$4:$G$8,6,FALSE))</f>
        <v/>
      </c>
      <c r="R138" s="295" t="str">
        <f t="shared" si="13"/>
        <v xml:space="preserve"> </v>
      </c>
      <c r="S138" s="403"/>
      <c r="T138" s="287" t="str">
        <f>IF(S138="","",IF(VLOOKUP(S138,'G-7 WaterC'' Data'!$AO$4:$BO$7,2,FALSE)=0,"Spatial Data Missing ⚠",VLOOKUP(S138,'G-7 WaterC'' Data'!$AO$4:$BO$7,2,FALSE)))</f>
        <v/>
      </c>
      <c r="U138" s="295" t="str">
        <f t="shared" si="14"/>
        <v xml:space="preserve"> </v>
      </c>
      <c r="V138" s="710" t="str">
        <f t="shared" si="15"/>
        <v/>
      </c>
      <c r="W138" s="32"/>
      <c r="X138" s="105"/>
      <c r="Y138" s="112"/>
      <c r="Z138" s="293" t="str">
        <f t="shared" si="16"/>
        <v/>
      </c>
      <c r="AA138" s="293" t="str">
        <f t="shared" si="17"/>
        <v/>
      </c>
      <c r="AB138" s="293" t="str">
        <f t="shared" si="18"/>
        <v/>
      </c>
      <c r="AC138" s="507" t="str">
        <f>IFERROR(IF(OR(E138="",R138=""),"", IF(AND(AB138&lt;&gt;"",S138=""), "Spatial risk category missing ▲", IF(AND(Q138='G-7 WaterC'' Data'!$G$4,AD138="Yes"),"Alternative Compensation ✓", IF(AND(AD138="Pending", Q138='G-7 WaterC'' Data'!$G$4),"Bespoke compensation must be agreed ▲", IF((Z138+AA138)&gt;=U138,0, U138-Z138-AA138))))),"Check Data ⚠")</f>
        <v/>
      </c>
      <c r="AD138" s="403"/>
      <c r="AE138" s="109"/>
      <c r="AF138" s="108"/>
      <c r="AG138" s="108"/>
      <c r="AH138" s="108"/>
      <c r="AI138" s="54" t="str">
        <f>IF(OR(Q138="",AD138="Yes"),"",IF(Q138='G-1 All Habitats'!$X$9,E138-Y138-X138,"None"))</f>
        <v/>
      </c>
      <c r="AJ138" s="55" t="str">
        <f>IF(Q138="","", IF(Q138='G-1 All Habitats'!$X$9, AI138*G138*I138*L138*N138*P138,"None"))</f>
        <v/>
      </c>
      <c r="AK138" s="30" t="str">
        <f>IFERROR(INDEX('G-7 WaterC'' Data'!$AZ$3:$AZ$7,MATCH(D138,'G-7 WaterC'' Data'!$AY$3:$AY$7,0)),"")</f>
        <v/>
      </c>
      <c r="AL138" s="30">
        <f t="shared" si="19"/>
        <v>0</v>
      </c>
      <c r="AM138" s="111" t="str">
        <f t="shared" si="20"/>
        <v/>
      </c>
      <c r="AN138" s="111" t="str">
        <f t="shared" si="21"/>
        <v/>
      </c>
      <c r="AP138" s="111">
        <v>129</v>
      </c>
      <c r="AR138" s="111" t="str">
        <f t="array" ref="AR138">IFERROR(INDEX($AP$10:$AP$258, MATCH(0, IF(TRUE=$AM$10:$AM$258, COUNTIF($AR$9:$AR137, $AP$10:$AP$258), ""), 0)),"")</f>
        <v/>
      </c>
      <c r="AS138" s="111" t="str">
        <f t="array" ref="AS138">IFERROR(INDEX($AP$10:$AP$258, MATCH(0, IF(TRUE=$AN$10:$AN$258, COUNTIF($AS$9:$AS137, $AP$10:$AP$258), ""), 0)),"")</f>
        <v/>
      </c>
      <c r="AT138" s="903" t="str">
        <f>IF(AND(OR(AD138="Yes",AD138="Pending"),Q138='G-7 WaterC'' Data'!$G$4),U138-AA138-Z138,"0")</f>
        <v>0</v>
      </c>
      <c r="AU138" s="30" t="str">
        <f>IF(D138="","",VLOOKUP(D138,'G-7 WaterC'' Data'!B$4:M$8,12,FALSE))</f>
        <v/>
      </c>
      <c r="AV138" s="30" t="str">
        <f t="shared" ref="AV138:AV201" si="24">IF(AD138="","", IF(AD138="Yes", "Yes ✓", "No ▲"))</f>
        <v/>
      </c>
      <c r="AW138" s="30" t="str">
        <f t="shared" si="22"/>
        <v>No</v>
      </c>
      <c r="BA138" s="571" t="str">
        <f t="shared" si="23"/>
        <v/>
      </c>
    </row>
    <row r="139" spans="3:53" ht="14.4" thickBot="1" x14ac:dyDescent="0.3">
      <c r="C139" s="101">
        <v>130</v>
      </c>
      <c r="D139" s="269"/>
      <c r="E139" s="108"/>
      <c r="F139" s="281" t="str">
        <f>IF(D139="","",VLOOKUP(D139,'G-7 WaterC'' Data'!$B$2:$G$8,2,FALSE))</f>
        <v/>
      </c>
      <c r="G139" s="320" t="str">
        <f>IFERROR(VLOOKUP(F139,'G-7 WaterC'' Data'!$C$4:$D$8,2,FALSE),"")</f>
        <v/>
      </c>
      <c r="H139" s="109"/>
      <c r="I139" s="305" t="str">
        <f>IFERROR(INDEX('G-7 WaterC'' Data'!$H$4:$L$8,MATCH(D139,'G-7 WaterC'' Data'!$B$4:$B$8,0),MATCH(H139,'G-7 WaterC'' Data'!$H$3:$L$3,0)),"")</f>
        <v/>
      </c>
      <c r="J139" s="718"/>
      <c r="K139" s="301" t="str">
        <f>IF(J139="","",IF(VLOOKUP(J139,'G-7 WaterC'' Data'!$AK$4:$AM$9,2,FALSE)=0,"Spatial Data Missing ⚠",VLOOKUP(J139,'G-7 WaterC'' Data'!$AK$4:$AM$6,2,FALSE)))</f>
        <v/>
      </c>
      <c r="L139" s="305" t="str">
        <f>IF(J139="","",IF(VLOOKUP(J139,'G-7 WaterC'' Data'!$AK$4:$AM$9,3,FALSE)=0,"Spatial Data Missing ⚠",VLOOKUP(J139,'G-7 WaterC'' Data'!$AK$4:$AM$6,3,FALSE)))</f>
        <v/>
      </c>
      <c r="M139" s="106"/>
      <c r="N139" s="282" t="str">
        <f>IF(M139="","",IF(AND(M139="N/A - Culvert",D139&lt;&gt;"Culvert"),"Not possible ▲",IF(AND(D139="Culvert",M139&lt;&gt;"N/A - Culvert"),"Not possible ▲",IF(VLOOKUP(M139,'G-7 WaterC'' Data'!$AA$4:$AB$7,2,FALSE)=0,"Spatial Data Missing ⚠",VLOOKUP(M139,'G-7 WaterC'' Data'!$AA$4:$AB$7,2,FALSE)))))</f>
        <v/>
      </c>
      <c r="O139" s="56"/>
      <c r="P139" s="282" t="str">
        <f>IF(O139="","",IF(AND(O139="N/A - Culvert",D139&lt;&gt;"Culvert"),"Not possible ▲",IF(AND(D139="Culvert",O139&lt;&gt;"N/A - Culvert"),"Not possible ▲",IF(VLOOKUP(O139,'G-7 WaterC'' Data'!$AD$4:$AE$14,2,FALSE)=0,"Spatial Data Missing ⚠",VLOOKUP(O139,'G-7 WaterC'' Data'!$AD$4:$AE$14,2,FALSE)))))</f>
        <v/>
      </c>
      <c r="Q139" s="288" t="str">
        <f>IF(D139="","",VLOOKUP(D139,'G-7 WaterC'' Data'!$B$4:$G$8,6,FALSE))</f>
        <v/>
      </c>
      <c r="R139" s="295" t="str">
        <f t="shared" ref="R139:R202" si="25">IFERROR(IF(AND(X139&gt;0, Y139&gt;0, X139+Y139&gt;E139), "Split retained and enhanced into separate entries ▲", IF(OR(K139="Check data ⚠",I139="Check data ⚠"), "Check data ▲", E139*G139*I139*L139*N139*P139*T139 ))," ")</f>
        <v xml:space="preserve"> </v>
      </c>
      <c r="S139" s="403"/>
      <c r="T139" s="287" t="str">
        <f>IF(S139="","",IF(VLOOKUP(S139,'G-7 WaterC'' Data'!$AO$4:$BO$7,2,FALSE)=0,"Spatial Data Missing ⚠",VLOOKUP(S139,'G-7 WaterC'' Data'!$AO$4:$BO$7,2,FALSE)))</f>
        <v/>
      </c>
      <c r="U139" s="295" t="str">
        <f t="shared" ref="U139:U202" si="26">IFERROR(IF(AND(X139&gt;0, Y139&gt;0, X139+Y139&gt;E139), "Split retained and enhanced into separate entries ▲", IF(AND(S139&lt;&gt;"",AH139=""), "Off-site reference required ▲",IF(OR(K139="Check data ⚠",I139="Check data ⚠"), "Check data ▲", E139*G139*I139*L139*N139*P139 )))," ")</f>
        <v xml:space="preserve"> </v>
      </c>
      <c r="V139" s="710" t="str">
        <f t="shared" ref="V139:V202" si="27">AU139</f>
        <v/>
      </c>
      <c r="W139" s="32"/>
      <c r="X139" s="105"/>
      <c r="Y139" s="112"/>
      <c r="Z139" s="293" t="str">
        <f t="shared" ref="Z139:Z202" si="28">IFERROR(IF(X139&gt;E139,"Error in Lengths ▲",X139*G139*I139*L139*N139*P139),"")</f>
        <v/>
      </c>
      <c r="AA139" s="293" t="str">
        <f t="shared" ref="AA139:AA202" si="29">IFERROR(IF(D139="","",Y139*G139*I139*L139*N139*P139),"")</f>
        <v/>
      </c>
      <c r="AB139" s="293" t="str">
        <f t="shared" ref="AB139:AB202" si="30">IFERROR(IF(D139="","",IF(E139&gt;(X139+Y139),E139-X139-Y139,0)),"")</f>
        <v/>
      </c>
      <c r="AC139" s="507" t="str">
        <f>IFERROR(IF(OR(E139="",R139=""),"", IF(AND(AB139&lt;&gt;"",S139=""), "Spatial risk category missing ▲", IF(AND(Q139='G-7 WaterC'' Data'!$G$4,AD139="Yes"),"Alternative Compensation ✓", IF(AND(AD139="Pending", Q139='G-7 WaterC'' Data'!$G$4),"Bespoke compensation must be agreed ▲", IF((Z139+AA139)&gt;=U139,0, U139-Z139-AA139))))),"Check Data ⚠")</f>
        <v/>
      </c>
      <c r="AD139" s="403"/>
      <c r="AE139" s="109"/>
      <c r="AF139" s="108"/>
      <c r="AG139" s="108"/>
      <c r="AH139" s="108"/>
      <c r="AI139" s="54" t="str">
        <f>IF(OR(Q139="",AD139="Yes"),"",IF(Q139='G-1 All Habitats'!$X$9,E139-Y139-X139,"None"))</f>
        <v/>
      </c>
      <c r="AJ139" s="55" t="str">
        <f>IF(Q139="","", IF(Q139='G-1 All Habitats'!$X$9, AI139*G139*I139*L139*N139*P139,"None"))</f>
        <v/>
      </c>
      <c r="AK139" s="30" t="str">
        <f>IFERROR(INDEX('G-7 WaterC'' Data'!$AZ$3:$AZ$7,MATCH(D139,'G-7 WaterC'' Data'!$AY$3:$AY$7,0)),"")</f>
        <v/>
      </c>
      <c r="AL139" s="30">
        <f t="shared" ref="AL139:AL202" si="31">IFERROR(IF(X139+Y139&gt;E139,1,0),"")</f>
        <v>0</v>
      </c>
      <c r="AM139" s="111" t="str">
        <f t="shared" ref="AM139:AM202" si="32">IF(D139="","",IF(X139&gt;0,TRUE,FALSE))</f>
        <v/>
      </c>
      <c r="AN139" s="111" t="str">
        <f t="shared" ref="AN139:AN202" si="33">IF(D139="","",IF(Y139&gt;0,TRUE,FALSE))</f>
        <v/>
      </c>
      <c r="AP139" s="111">
        <v>130</v>
      </c>
      <c r="AR139" s="111" t="str">
        <f t="array" ref="AR139">IFERROR(INDEX($AP$10:$AP$258, MATCH(0, IF(TRUE=$AM$10:$AM$258, COUNTIF($AR$9:$AR138, $AP$10:$AP$258), ""), 0)),"")</f>
        <v/>
      </c>
      <c r="AS139" s="111" t="str">
        <f t="array" ref="AS139">IFERROR(INDEX($AP$10:$AP$258, MATCH(0, IF(TRUE=$AN$10:$AN$258, COUNTIF($AS$9:$AS138, $AP$10:$AP$258), ""), 0)),"")</f>
        <v/>
      </c>
      <c r="AT139" s="903" t="str">
        <f>IF(AND(OR(AD139="Yes",AD139="Pending"),Q139='G-7 WaterC'' Data'!$G$4),U139-AA139-Z139,"0")</f>
        <v>0</v>
      </c>
      <c r="AU139" s="30" t="str">
        <f>IF(D139="","",VLOOKUP(D139,'G-7 WaterC'' Data'!B$4:M$8,12,FALSE))</f>
        <v/>
      </c>
      <c r="AV139" s="30" t="str">
        <f t="shared" si="24"/>
        <v/>
      </c>
      <c r="AW139" s="30" t="str">
        <f t="shared" ref="AW139:AW202" si="34">IF(AND(D139="Ditches",(OR(H139="Fairly Poor",H139="Fairly Good"))), "Yes", "No")</f>
        <v>No</v>
      </c>
      <c r="BA139" s="571" t="str">
        <f t="shared" ref="BA139:BA202" si="35">IFERROR(IF(X139&gt;E139,"Error in Lengths ▲",IF(Z139="Irreplaceable habitat - no units generated ⚠","0",X139*G139*I139*L139*N139*P139*T139)+(AT139*T139)),"")</f>
        <v/>
      </c>
    </row>
    <row r="140" spans="3:53" ht="14.4" thickBot="1" x14ac:dyDescent="0.3">
      <c r="C140" s="101">
        <v>131</v>
      </c>
      <c r="D140" s="269"/>
      <c r="E140" s="108"/>
      <c r="F140" s="281" t="str">
        <f>IF(D140="","",VLOOKUP(D140,'G-7 WaterC'' Data'!$B$2:$G$8,2,FALSE))</f>
        <v/>
      </c>
      <c r="G140" s="320" t="str">
        <f>IFERROR(VLOOKUP(F140,'G-7 WaterC'' Data'!$C$4:$D$8,2,FALSE),"")</f>
        <v/>
      </c>
      <c r="H140" s="109"/>
      <c r="I140" s="305" t="str">
        <f>IFERROR(INDEX('G-7 WaterC'' Data'!$H$4:$L$8,MATCH(D140,'G-7 WaterC'' Data'!$B$4:$B$8,0),MATCH(H140,'G-7 WaterC'' Data'!$H$3:$L$3,0)),"")</f>
        <v/>
      </c>
      <c r="J140" s="718"/>
      <c r="K140" s="301" t="str">
        <f>IF(J140="","",IF(VLOOKUP(J140,'G-7 WaterC'' Data'!$AK$4:$AM$9,2,FALSE)=0,"Spatial Data Missing ⚠",VLOOKUP(J140,'G-7 WaterC'' Data'!$AK$4:$AM$6,2,FALSE)))</f>
        <v/>
      </c>
      <c r="L140" s="305" t="str">
        <f>IF(J140="","",IF(VLOOKUP(J140,'G-7 WaterC'' Data'!$AK$4:$AM$9,3,FALSE)=0,"Spatial Data Missing ⚠",VLOOKUP(J140,'G-7 WaterC'' Data'!$AK$4:$AM$6,3,FALSE)))</f>
        <v/>
      </c>
      <c r="M140" s="106"/>
      <c r="N140" s="282" t="str">
        <f>IF(M140="","",IF(AND(M140="N/A - Culvert",D140&lt;&gt;"Culvert"),"Not possible ▲",IF(AND(D140="Culvert",M140&lt;&gt;"N/A - Culvert"),"Not possible ▲",IF(VLOOKUP(M140,'G-7 WaterC'' Data'!$AA$4:$AB$7,2,FALSE)=0,"Spatial Data Missing ⚠",VLOOKUP(M140,'G-7 WaterC'' Data'!$AA$4:$AB$7,2,FALSE)))))</f>
        <v/>
      </c>
      <c r="O140" s="56"/>
      <c r="P140" s="282" t="str">
        <f>IF(O140="","",IF(AND(O140="N/A - Culvert",D140&lt;&gt;"Culvert"),"Not possible ▲",IF(AND(D140="Culvert",O140&lt;&gt;"N/A - Culvert"),"Not possible ▲",IF(VLOOKUP(O140,'G-7 WaterC'' Data'!$AD$4:$AE$14,2,FALSE)=0,"Spatial Data Missing ⚠",VLOOKUP(O140,'G-7 WaterC'' Data'!$AD$4:$AE$14,2,FALSE)))))</f>
        <v/>
      </c>
      <c r="Q140" s="288" t="str">
        <f>IF(D140="","",VLOOKUP(D140,'G-7 WaterC'' Data'!$B$4:$G$8,6,FALSE))</f>
        <v/>
      </c>
      <c r="R140" s="295" t="str">
        <f t="shared" si="25"/>
        <v xml:space="preserve"> </v>
      </c>
      <c r="S140" s="403"/>
      <c r="T140" s="287" t="str">
        <f>IF(S140="","",IF(VLOOKUP(S140,'G-7 WaterC'' Data'!$AO$4:$BO$7,2,FALSE)=0,"Spatial Data Missing ⚠",VLOOKUP(S140,'G-7 WaterC'' Data'!$AO$4:$BO$7,2,FALSE)))</f>
        <v/>
      </c>
      <c r="U140" s="295" t="str">
        <f t="shared" si="26"/>
        <v xml:space="preserve"> </v>
      </c>
      <c r="V140" s="710" t="str">
        <f t="shared" si="27"/>
        <v/>
      </c>
      <c r="W140" s="32"/>
      <c r="X140" s="105"/>
      <c r="Y140" s="112"/>
      <c r="Z140" s="293" t="str">
        <f t="shared" si="28"/>
        <v/>
      </c>
      <c r="AA140" s="293" t="str">
        <f t="shared" si="29"/>
        <v/>
      </c>
      <c r="AB140" s="293" t="str">
        <f t="shared" si="30"/>
        <v/>
      </c>
      <c r="AC140" s="507" t="str">
        <f>IFERROR(IF(OR(E140="",R140=""),"", IF(AND(AB140&lt;&gt;"",S140=""), "Spatial risk category missing ▲", IF(AND(Q140='G-7 WaterC'' Data'!$G$4,AD140="Yes"),"Alternative Compensation ✓", IF(AND(AD140="Pending", Q140='G-7 WaterC'' Data'!$G$4),"Bespoke compensation must be agreed ▲", IF((Z140+AA140)&gt;=U140,0, U140-Z140-AA140))))),"Check Data ⚠")</f>
        <v/>
      </c>
      <c r="AD140" s="403"/>
      <c r="AE140" s="109"/>
      <c r="AF140" s="108"/>
      <c r="AG140" s="108"/>
      <c r="AH140" s="108"/>
      <c r="AI140" s="54" t="str">
        <f>IF(OR(Q140="",AD140="Yes"),"",IF(Q140='G-1 All Habitats'!$X$9,E140-Y140-X140,"None"))</f>
        <v/>
      </c>
      <c r="AJ140" s="55" t="str">
        <f>IF(Q140="","", IF(Q140='G-1 All Habitats'!$X$9, AI140*G140*I140*L140*N140*P140,"None"))</f>
        <v/>
      </c>
      <c r="AK140" s="30" t="str">
        <f>IFERROR(INDEX('G-7 WaterC'' Data'!$AZ$3:$AZ$7,MATCH(D140,'G-7 WaterC'' Data'!$AY$3:$AY$7,0)),"")</f>
        <v/>
      </c>
      <c r="AL140" s="30">
        <f t="shared" si="31"/>
        <v>0</v>
      </c>
      <c r="AM140" s="111" t="str">
        <f t="shared" si="32"/>
        <v/>
      </c>
      <c r="AN140" s="111" t="str">
        <f t="shared" si="33"/>
        <v/>
      </c>
      <c r="AP140" s="111">
        <v>131</v>
      </c>
      <c r="AR140" s="111" t="str">
        <f t="array" ref="AR140">IFERROR(INDEX($AP$10:$AP$258, MATCH(0, IF(TRUE=$AM$10:$AM$258, COUNTIF($AR$9:$AR139, $AP$10:$AP$258), ""), 0)),"")</f>
        <v/>
      </c>
      <c r="AS140" s="111" t="str">
        <f t="array" ref="AS140">IFERROR(INDEX($AP$10:$AP$258, MATCH(0, IF(TRUE=$AN$10:$AN$258, COUNTIF($AS$9:$AS139, $AP$10:$AP$258), ""), 0)),"")</f>
        <v/>
      </c>
      <c r="AT140" s="903" t="str">
        <f>IF(AND(OR(AD140="Yes",AD140="Pending"),Q140='G-7 WaterC'' Data'!$G$4),U140-AA140-Z140,"0")</f>
        <v>0</v>
      </c>
      <c r="AU140" s="30" t="str">
        <f>IF(D140="","",VLOOKUP(D140,'G-7 WaterC'' Data'!B$4:M$8,12,FALSE))</f>
        <v/>
      </c>
      <c r="AV140" s="30" t="str">
        <f t="shared" si="24"/>
        <v/>
      </c>
      <c r="AW140" s="30" t="str">
        <f t="shared" si="34"/>
        <v>No</v>
      </c>
      <c r="BA140" s="571" t="str">
        <f t="shared" si="35"/>
        <v/>
      </c>
    </row>
    <row r="141" spans="3:53" ht="14.4" thickBot="1" x14ac:dyDescent="0.3">
      <c r="C141" s="101">
        <v>132</v>
      </c>
      <c r="D141" s="269"/>
      <c r="E141" s="108"/>
      <c r="F141" s="281" t="str">
        <f>IF(D141="","",VLOOKUP(D141,'G-7 WaterC'' Data'!$B$2:$G$8,2,FALSE))</f>
        <v/>
      </c>
      <c r="G141" s="320" t="str">
        <f>IFERROR(VLOOKUP(F141,'G-7 WaterC'' Data'!$C$4:$D$8,2,FALSE),"")</f>
        <v/>
      </c>
      <c r="H141" s="109"/>
      <c r="I141" s="305" t="str">
        <f>IFERROR(INDEX('G-7 WaterC'' Data'!$H$4:$L$8,MATCH(D141,'G-7 WaterC'' Data'!$B$4:$B$8,0),MATCH(H141,'G-7 WaterC'' Data'!$H$3:$L$3,0)),"")</f>
        <v/>
      </c>
      <c r="J141" s="718"/>
      <c r="K141" s="301" t="str">
        <f>IF(J141="","",IF(VLOOKUP(J141,'G-7 WaterC'' Data'!$AK$4:$AM$9,2,FALSE)=0,"Spatial Data Missing ⚠",VLOOKUP(J141,'G-7 WaterC'' Data'!$AK$4:$AM$6,2,FALSE)))</f>
        <v/>
      </c>
      <c r="L141" s="305" t="str">
        <f>IF(J141="","",IF(VLOOKUP(J141,'G-7 WaterC'' Data'!$AK$4:$AM$9,3,FALSE)=0,"Spatial Data Missing ⚠",VLOOKUP(J141,'G-7 WaterC'' Data'!$AK$4:$AM$6,3,FALSE)))</f>
        <v/>
      </c>
      <c r="M141" s="106"/>
      <c r="N141" s="282" t="str">
        <f>IF(M141="","",IF(AND(M141="N/A - Culvert",D141&lt;&gt;"Culvert"),"Not possible ▲",IF(AND(D141="Culvert",M141&lt;&gt;"N/A - Culvert"),"Not possible ▲",IF(VLOOKUP(M141,'G-7 WaterC'' Data'!$AA$4:$AB$7,2,FALSE)=0,"Spatial Data Missing ⚠",VLOOKUP(M141,'G-7 WaterC'' Data'!$AA$4:$AB$7,2,FALSE)))))</f>
        <v/>
      </c>
      <c r="O141" s="56"/>
      <c r="P141" s="282" t="str">
        <f>IF(O141="","",IF(AND(O141="N/A - Culvert",D141&lt;&gt;"Culvert"),"Not possible ▲",IF(AND(D141="Culvert",O141&lt;&gt;"N/A - Culvert"),"Not possible ▲",IF(VLOOKUP(O141,'G-7 WaterC'' Data'!$AD$4:$AE$14,2,FALSE)=0,"Spatial Data Missing ⚠",VLOOKUP(O141,'G-7 WaterC'' Data'!$AD$4:$AE$14,2,FALSE)))))</f>
        <v/>
      </c>
      <c r="Q141" s="288" t="str">
        <f>IF(D141="","",VLOOKUP(D141,'G-7 WaterC'' Data'!$B$4:$G$8,6,FALSE))</f>
        <v/>
      </c>
      <c r="R141" s="295" t="str">
        <f t="shared" si="25"/>
        <v xml:space="preserve"> </v>
      </c>
      <c r="S141" s="403"/>
      <c r="T141" s="287" t="str">
        <f>IF(S141="","",IF(VLOOKUP(S141,'G-7 WaterC'' Data'!$AO$4:$BO$7,2,FALSE)=0,"Spatial Data Missing ⚠",VLOOKUP(S141,'G-7 WaterC'' Data'!$AO$4:$BO$7,2,FALSE)))</f>
        <v/>
      </c>
      <c r="U141" s="295" t="str">
        <f t="shared" si="26"/>
        <v xml:space="preserve"> </v>
      </c>
      <c r="V141" s="710" t="str">
        <f t="shared" si="27"/>
        <v/>
      </c>
      <c r="W141" s="32"/>
      <c r="X141" s="105"/>
      <c r="Y141" s="112"/>
      <c r="Z141" s="293" t="str">
        <f t="shared" si="28"/>
        <v/>
      </c>
      <c r="AA141" s="293" t="str">
        <f t="shared" si="29"/>
        <v/>
      </c>
      <c r="AB141" s="293" t="str">
        <f t="shared" si="30"/>
        <v/>
      </c>
      <c r="AC141" s="507" t="str">
        <f>IFERROR(IF(OR(E141="",R141=""),"", IF(AND(AB141&lt;&gt;"",S141=""), "Spatial risk category missing ▲", IF(AND(Q141='G-7 WaterC'' Data'!$G$4,AD141="Yes"),"Alternative Compensation ✓", IF(AND(AD141="Pending", Q141='G-7 WaterC'' Data'!$G$4),"Bespoke compensation must be agreed ▲", IF((Z141+AA141)&gt;=U141,0, U141-Z141-AA141))))),"Check Data ⚠")</f>
        <v/>
      </c>
      <c r="AD141" s="403"/>
      <c r="AE141" s="109"/>
      <c r="AF141" s="108"/>
      <c r="AG141" s="108"/>
      <c r="AH141" s="108"/>
      <c r="AI141" s="54" t="str">
        <f>IF(OR(Q141="",AD141="Yes"),"",IF(Q141='G-1 All Habitats'!$X$9,E141-Y141-X141,"None"))</f>
        <v/>
      </c>
      <c r="AJ141" s="55" t="str">
        <f>IF(Q141="","", IF(Q141='G-1 All Habitats'!$X$9, AI141*G141*I141*L141*N141*P141,"None"))</f>
        <v/>
      </c>
      <c r="AK141" s="30" t="str">
        <f>IFERROR(INDEX('G-7 WaterC'' Data'!$AZ$3:$AZ$7,MATCH(D141,'G-7 WaterC'' Data'!$AY$3:$AY$7,0)),"")</f>
        <v/>
      </c>
      <c r="AL141" s="30">
        <f t="shared" si="31"/>
        <v>0</v>
      </c>
      <c r="AM141" s="111" t="str">
        <f t="shared" si="32"/>
        <v/>
      </c>
      <c r="AN141" s="111" t="str">
        <f t="shared" si="33"/>
        <v/>
      </c>
      <c r="AP141" s="111">
        <v>132</v>
      </c>
      <c r="AR141" s="111" t="str">
        <f t="array" ref="AR141">IFERROR(INDEX($AP$10:$AP$258, MATCH(0, IF(TRUE=$AM$10:$AM$258, COUNTIF($AR$9:$AR140, $AP$10:$AP$258), ""), 0)),"")</f>
        <v/>
      </c>
      <c r="AS141" s="111" t="str">
        <f t="array" ref="AS141">IFERROR(INDEX($AP$10:$AP$258, MATCH(0, IF(TRUE=$AN$10:$AN$258, COUNTIF($AS$9:$AS140, $AP$10:$AP$258), ""), 0)),"")</f>
        <v/>
      </c>
      <c r="AT141" s="903" t="str">
        <f>IF(AND(OR(AD141="Yes",AD141="Pending"),Q141='G-7 WaterC'' Data'!$G$4),U141-AA141-Z141,"0")</f>
        <v>0</v>
      </c>
      <c r="AU141" s="30" t="str">
        <f>IF(D141="","",VLOOKUP(D141,'G-7 WaterC'' Data'!B$4:M$8,12,FALSE))</f>
        <v/>
      </c>
      <c r="AV141" s="30" t="str">
        <f t="shared" si="24"/>
        <v/>
      </c>
      <c r="AW141" s="30" t="str">
        <f t="shared" si="34"/>
        <v>No</v>
      </c>
      <c r="BA141" s="571" t="str">
        <f t="shared" si="35"/>
        <v/>
      </c>
    </row>
    <row r="142" spans="3:53" ht="14.4" thickBot="1" x14ac:dyDescent="0.3">
      <c r="C142" s="101">
        <v>133</v>
      </c>
      <c r="D142" s="269"/>
      <c r="E142" s="108"/>
      <c r="F142" s="281" t="str">
        <f>IF(D142="","",VLOOKUP(D142,'G-7 WaterC'' Data'!$B$2:$G$8,2,FALSE))</f>
        <v/>
      </c>
      <c r="G142" s="320" t="str">
        <f>IFERROR(VLOOKUP(F142,'G-7 WaterC'' Data'!$C$4:$D$8,2,FALSE),"")</f>
        <v/>
      </c>
      <c r="H142" s="109"/>
      <c r="I142" s="305" t="str">
        <f>IFERROR(INDEX('G-7 WaterC'' Data'!$H$4:$L$8,MATCH(D142,'G-7 WaterC'' Data'!$B$4:$B$8,0),MATCH(H142,'G-7 WaterC'' Data'!$H$3:$L$3,0)),"")</f>
        <v/>
      </c>
      <c r="J142" s="718"/>
      <c r="K142" s="301" t="str">
        <f>IF(J142="","",IF(VLOOKUP(J142,'G-7 WaterC'' Data'!$AK$4:$AM$9,2,FALSE)=0,"Spatial Data Missing ⚠",VLOOKUP(J142,'G-7 WaterC'' Data'!$AK$4:$AM$6,2,FALSE)))</f>
        <v/>
      </c>
      <c r="L142" s="305" t="str">
        <f>IF(J142="","",IF(VLOOKUP(J142,'G-7 WaterC'' Data'!$AK$4:$AM$9,3,FALSE)=0,"Spatial Data Missing ⚠",VLOOKUP(J142,'G-7 WaterC'' Data'!$AK$4:$AM$6,3,FALSE)))</f>
        <v/>
      </c>
      <c r="M142" s="106"/>
      <c r="N142" s="282" t="str">
        <f>IF(M142="","",IF(AND(M142="N/A - Culvert",D142&lt;&gt;"Culvert"),"Not possible ▲",IF(AND(D142="Culvert",M142&lt;&gt;"N/A - Culvert"),"Not possible ▲",IF(VLOOKUP(M142,'G-7 WaterC'' Data'!$AA$4:$AB$7,2,FALSE)=0,"Spatial Data Missing ⚠",VLOOKUP(M142,'G-7 WaterC'' Data'!$AA$4:$AB$7,2,FALSE)))))</f>
        <v/>
      </c>
      <c r="O142" s="56"/>
      <c r="P142" s="282" t="str">
        <f>IF(O142="","",IF(AND(O142="N/A - Culvert",D142&lt;&gt;"Culvert"),"Not possible ▲",IF(AND(D142="Culvert",O142&lt;&gt;"N/A - Culvert"),"Not possible ▲",IF(VLOOKUP(O142,'G-7 WaterC'' Data'!$AD$4:$AE$14,2,FALSE)=0,"Spatial Data Missing ⚠",VLOOKUP(O142,'G-7 WaterC'' Data'!$AD$4:$AE$14,2,FALSE)))))</f>
        <v/>
      </c>
      <c r="Q142" s="288" t="str">
        <f>IF(D142="","",VLOOKUP(D142,'G-7 WaterC'' Data'!$B$4:$G$8,6,FALSE))</f>
        <v/>
      </c>
      <c r="R142" s="295" t="str">
        <f t="shared" si="25"/>
        <v xml:space="preserve"> </v>
      </c>
      <c r="S142" s="403"/>
      <c r="T142" s="287" t="str">
        <f>IF(S142="","",IF(VLOOKUP(S142,'G-7 WaterC'' Data'!$AO$4:$BO$7,2,FALSE)=0,"Spatial Data Missing ⚠",VLOOKUP(S142,'G-7 WaterC'' Data'!$AO$4:$BO$7,2,FALSE)))</f>
        <v/>
      </c>
      <c r="U142" s="295" t="str">
        <f t="shared" si="26"/>
        <v xml:space="preserve"> </v>
      </c>
      <c r="V142" s="710" t="str">
        <f t="shared" si="27"/>
        <v/>
      </c>
      <c r="W142" s="32"/>
      <c r="X142" s="105"/>
      <c r="Y142" s="112"/>
      <c r="Z142" s="293" t="str">
        <f t="shared" si="28"/>
        <v/>
      </c>
      <c r="AA142" s="293" t="str">
        <f t="shared" si="29"/>
        <v/>
      </c>
      <c r="AB142" s="293" t="str">
        <f t="shared" si="30"/>
        <v/>
      </c>
      <c r="AC142" s="507" t="str">
        <f>IFERROR(IF(OR(E142="",R142=""),"", IF(AND(AB142&lt;&gt;"",S142=""), "Spatial risk category missing ▲", IF(AND(Q142='G-7 WaterC'' Data'!$G$4,AD142="Yes"),"Alternative Compensation ✓", IF(AND(AD142="Pending", Q142='G-7 WaterC'' Data'!$G$4),"Bespoke compensation must be agreed ▲", IF((Z142+AA142)&gt;=U142,0, U142-Z142-AA142))))),"Check Data ⚠")</f>
        <v/>
      </c>
      <c r="AD142" s="403"/>
      <c r="AE142" s="109"/>
      <c r="AF142" s="108"/>
      <c r="AG142" s="108"/>
      <c r="AH142" s="108"/>
      <c r="AI142" s="54" t="str">
        <f>IF(OR(Q142="",AD142="Yes"),"",IF(Q142='G-1 All Habitats'!$X$9,E142-Y142-X142,"None"))</f>
        <v/>
      </c>
      <c r="AJ142" s="55" t="str">
        <f>IF(Q142="","", IF(Q142='G-1 All Habitats'!$X$9, AI142*G142*I142*L142*N142*P142,"None"))</f>
        <v/>
      </c>
      <c r="AK142" s="30" t="str">
        <f>IFERROR(INDEX('G-7 WaterC'' Data'!$AZ$3:$AZ$7,MATCH(D142,'G-7 WaterC'' Data'!$AY$3:$AY$7,0)),"")</f>
        <v/>
      </c>
      <c r="AL142" s="30">
        <f t="shared" si="31"/>
        <v>0</v>
      </c>
      <c r="AM142" s="111" t="str">
        <f t="shared" si="32"/>
        <v/>
      </c>
      <c r="AN142" s="111" t="str">
        <f t="shared" si="33"/>
        <v/>
      </c>
      <c r="AP142" s="111">
        <v>133</v>
      </c>
      <c r="AR142" s="111" t="str">
        <f t="array" ref="AR142">IFERROR(INDEX($AP$10:$AP$258, MATCH(0, IF(TRUE=$AM$10:$AM$258, COUNTIF($AR$9:$AR141, $AP$10:$AP$258), ""), 0)),"")</f>
        <v/>
      </c>
      <c r="AS142" s="111" t="str">
        <f t="array" ref="AS142">IFERROR(INDEX($AP$10:$AP$258, MATCH(0, IF(TRUE=$AN$10:$AN$258, COUNTIF($AS$9:$AS141, $AP$10:$AP$258), ""), 0)),"")</f>
        <v/>
      </c>
      <c r="AT142" s="903" t="str">
        <f>IF(AND(OR(AD142="Yes",AD142="Pending"),Q142='G-7 WaterC'' Data'!$G$4),U142-AA142-Z142,"0")</f>
        <v>0</v>
      </c>
      <c r="AU142" s="30" t="str">
        <f>IF(D142="","",VLOOKUP(D142,'G-7 WaterC'' Data'!B$4:M$8,12,FALSE))</f>
        <v/>
      </c>
      <c r="AV142" s="30" t="str">
        <f t="shared" si="24"/>
        <v/>
      </c>
      <c r="AW142" s="30" t="str">
        <f t="shared" si="34"/>
        <v>No</v>
      </c>
      <c r="BA142" s="571" t="str">
        <f t="shared" si="35"/>
        <v/>
      </c>
    </row>
    <row r="143" spans="3:53" ht="14.4" thickBot="1" x14ac:dyDescent="0.3">
      <c r="C143" s="101">
        <v>134</v>
      </c>
      <c r="D143" s="269"/>
      <c r="E143" s="108"/>
      <c r="F143" s="281" t="str">
        <f>IF(D143="","",VLOOKUP(D143,'G-7 WaterC'' Data'!$B$2:$G$8,2,FALSE))</f>
        <v/>
      </c>
      <c r="G143" s="320" t="str">
        <f>IFERROR(VLOOKUP(F143,'G-7 WaterC'' Data'!$C$4:$D$8,2,FALSE),"")</f>
        <v/>
      </c>
      <c r="H143" s="109"/>
      <c r="I143" s="305" t="str">
        <f>IFERROR(INDEX('G-7 WaterC'' Data'!$H$4:$L$8,MATCH(D143,'G-7 WaterC'' Data'!$B$4:$B$8,0),MATCH(H143,'G-7 WaterC'' Data'!$H$3:$L$3,0)),"")</f>
        <v/>
      </c>
      <c r="J143" s="718"/>
      <c r="K143" s="301" t="str">
        <f>IF(J143="","",IF(VLOOKUP(J143,'G-7 WaterC'' Data'!$AK$4:$AM$9,2,FALSE)=0,"Spatial Data Missing ⚠",VLOOKUP(J143,'G-7 WaterC'' Data'!$AK$4:$AM$6,2,FALSE)))</f>
        <v/>
      </c>
      <c r="L143" s="305" t="str">
        <f>IF(J143="","",IF(VLOOKUP(J143,'G-7 WaterC'' Data'!$AK$4:$AM$9,3,FALSE)=0,"Spatial Data Missing ⚠",VLOOKUP(J143,'G-7 WaterC'' Data'!$AK$4:$AM$6,3,FALSE)))</f>
        <v/>
      </c>
      <c r="M143" s="106"/>
      <c r="N143" s="282" t="str">
        <f>IF(M143="","",IF(AND(M143="N/A - Culvert",D143&lt;&gt;"Culvert"),"Not possible ▲",IF(AND(D143="Culvert",M143&lt;&gt;"N/A - Culvert"),"Not possible ▲",IF(VLOOKUP(M143,'G-7 WaterC'' Data'!$AA$4:$AB$7,2,FALSE)=0,"Spatial Data Missing ⚠",VLOOKUP(M143,'G-7 WaterC'' Data'!$AA$4:$AB$7,2,FALSE)))))</f>
        <v/>
      </c>
      <c r="O143" s="56"/>
      <c r="P143" s="282" t="str">
        <f>IF(O143="","",IF(AND(O143="N/A - Culvert",D143&lt;&gt;"Culvert"),"Not possible ▲",IF(AND(D143="Culvert",O143&lt;&gt;"N/A - Culvert"),"Not possible ▲",IF(VLOOKUP(O143,'G-7 WaterC'' Data'!$AD$4:$AE$14,2,FALSE)=0,"Spatial Data Missing ⚠",VLOOKUP(O143,'G-7 WaterC'' Data'!$AD$4:$AE$14,2,FALSE)))))</f>
        <v/>
      </c>
      <c r="Q143" s="288" t="str">
        <f>IF(D143="","",VLOOKUP(D143,'G-7 WaterC'' Data'!$B$4:$G$8,6,FALSE))</f>
        <v/>
      </c>
      <c r="R143" s="295" t="str">
        <f t="shared" si="25"/>
        <v xml:space="preserve"> </v>
      </c>
      <c r="S143" s="403"/>
      <c r="T143" s="287" t="str">
        <f>IF(S143="","",IF(VLOOKUP(S143,'G-7 WaterC'' Data'!$AO$4:$BO$7,2,FALSE)=0,"Spatial Data Missing ⚠",VLOOKUP(S143,'G-7 WaterC'' Data'!$AO$4:$BO$7,2,FALSE)))</f>
        <v/>
      </c>
      <c r="U143" s="295" t="str">
        <f t="shared" si="26"/>
        <v xml:space="preserve"> </v>
      </c>
      <c r="V143" s="710" t="str">
        <f t="shared" si="27"/>
        <v/>
      </c>
      <c r="W143" s="32"/>
      <c r="X143" s="105"/>
      <c r="Y143" s="112"/>
      <c r="Z143" s="293" t="str">
        <f t="shared" si="28"/>
        <v/>
      </c>
      <c r="AA143" s="293" t="str">
        <f t="shared" si="29"/>
        <v/>
      </c>
      <c r="AB143" s="293" t="str">
        <f t="shared" si="30"/>
        <v/>
      </c>
      <c r="AC143" s="507" t="str">
        <f>IFERROR(IF(OR(E143="",R143=""),"", IF(AND(AB143&lt;&gt;"",S143=""), "Spatial risk category missing ▲", IF(AND(Q143='G-7 WaterC'' Data'!$G$4,AD143="Yes"),"Alternative Compensation ✓", IF(AND(AD143="Pending", Q143='G-7 WaterC'' Data'!$G$4),"Bespoke compensation must be agreed ▲", IF((Z143+AA143)&gt;=U143,0, U143-Z143-AA143))))),"Check Data ⚠")</f>
        <v/>
      </c>
      <c r="AD143" s="403"/>
      <c r="AE143" s="109"/>
      <c r="AF143" s="108"/>
      <c r="AG143" s="108"/>
      <c r="AH143" s="108"/>
      <c r="AI143" s="54" t="str">
        <f>IF(OR(Q143="",AD143="Yes"),"",IF(Q143='G-1 All Habitats'!$X$9,E143-Y143-X143,"None"))</f>
        <v/>
      </c>
      <c r="AJ143" s="55" t="str">
        <f>IF(Q143="","", IF(Q143='G-1 All Habitats'!$X$9, AI143*G143*I143*L143*N143*P143,"None"))</f>
        <v/>
      </c>
      <c r="AK143" s="30" t="str">
        <f>IFERROR(INDEX('G-7 WaterC'' Data'!$AZ$3:$AZ$7,MATCH(D143,'G-7 WaterC'' Data'!$AY$3:$AY$7,0)),"")</f>
        <v/>
      </c>
      <c r="AL143" s="30">
        <f t="shared" si="31"/>
        <v>0</v>
      </c>
      <c r="AM143" s="111" t="str">
        <f t="shared" si="32"/>
        <v/>
      </c>
      <c r="AN143" s="111" t="str">
        <f t="shared" si="33"/>
        <v/>
      </c>
      <c r="AP143" s="111">
        <v>134</v>
      </c>
      <c r="AR143" s="111" t="str">
        <f t="array" ref="AR143">IFERROR(INDEX($AP$10:$AP$258, MATCH(0, IF(TRUE=$AM$10:$AM$258, COUNTIF($AR$9:$AR142, $AP$10:$AP$258), ""), 0)),"")</f>
        <v/>
      </c>
      <c r="AS143" s="111" t="str">
        <f t="array" ref="AS143">IFERROR(INDEX($AP$10:$AP$258, MATCH(0, IF(TRUE=$AN$10:$AN$258, COUNTIF($AS$9:$AS142, $AP$10:$AP$258), ""), 0)),"")</f>
        <v/>
      </c>
      <c r="AT143" s="903" t="str">
        <f>IF(AND(OR(AD143="Yes",AD143="Pending"),Q143='G-7 WaterC'' Data'!$G$4),U143-AA143-Z143,"0")</f>
        <v>0</v>
      </c>
      <c r="AU143" s="30" t="str">
        <f>IF(D143="","",VLOOKUP(D143,'G-7 WaterC'' Data'!B$4:M$8,12,FALSE))</f>
        <v/>
      </c>
      <c r="AV143" s="30" t="str">
        <f t="shared" si="24"/>
        <v/>
      </c>
      <c r="AW143" s="30" t="str">
        <f t="shared" si="34"/>
        <v>No</v>
      </c>
      <c r="BA143" s="571" t="str">
        <f t="shared" si="35"/>
        <v/>
      </c>
    </row>
    <row r="144" spans="3:53" ht="14.4" thickBot="1" x14ac:dyDescent="0.3">
      <c r="C144" s="101">
        <v>135</v>
      </c>
      <c r="D144" s="269"/>
      <c r="E144" s="108"/>
      <c r="F144" s="281" t="str">
        <f>IF(D144="","",VLOOKUP(D144,'G-7 WaterC'' Data'!$B$2:$G$8,2,FALSE))</f>
        <v/>
      </c>
      <c r="G144" s="320" t="str">
        <f>IFERROR(VLOOKUP(F144,'G-7 WaterC'' Data'!$C$4:$D$8,2,FALSE),"")</f>
        <v/>
      </c>
      <c r="H144" s="109"/>
      <c r="I144" s="305" t="str">
        <f>IFERROR(INDEX('G-7 WaterC'' Data'!$H$4:$L$8,MATCH(D144,'G-7 WaterC'' Data'!$B$4:$B$8,0),MATCH(H144,'G-7 WaterC'' Data'!$H$3:$L$3,0)),"")</f>
        <v/>
      </c>
      <c r="J144" s="718"/>
      <c r="K144" s="301" t="str">
        <f>IF(J144="","",IF(VLOOKUP(J144,'G-7 WaterC'' Data'!$AK$4:$AM$9,2,FALSE)=0,"Spatial Data Missing ⚠",VLOOKUP(J144,'G-7 WaterC'' Data'!$AK$4:$AM$6,2,FALSE)))</f>
        <v/>
      </c>
      <c r="L144" s="305" t="str">
        <f>IF(J144="","",IF(VLOOKUP(J144,'G-7 WaterC'' Data'!$AK$4:$AM$9,3,FALSE)=0,"Spatial Data Missing ⚠",VLOOKUP(J144,'G-7 WaterC'' Data'!$AK$4:$AM$6,3,FALSE)))</f>
        <v/>
      </c>
      <c r="M144" s="106"/>
      <c r="N144" s="282" t="str">
        <f>IF(M144="","",IF(AND(M144="N/A - Culvert",D144&lt;&gt;"Culvert"),"Not possible ▲",IF(AND(D144="Culvert",M144&lt;&gt;"N/A - Culvert"),"Not possible ▲",IF(VLOOKUP(M144,'G-7 WaterC'' Data'!$AA$4:$AB$7,2,FALSE)=0,"Spatial Data Missing ⚠",VLOOKUP(M144,'G-7 WaterC'' Data'!$AA$4:$AB$7,2,FALSE)))))</f>
        <v/>
      </c>
      <c r="O144" s="56"/>
      <c r="P144" s="282" t="str">
        <f>IF(O144="","",IF(AND(O144="N/A - Culvert",D144&lt;&gt;"Culvert"),"Not possible ▲",IF(AND(D144="Culvert",O144&lt;&gt;"N/A - Culvert"),"Not possible ▲",IF(VLOOKUP(O144,'G-7 WaterC'' Data'!$AD$4:$AE$14,2,FALSE)=0,"Spatial Data Missing ⚠",VLOOKUP(O144,'G-7 WaterC'' Data'!$AD$4:$AE$14,2,FALSE)))))</f>
        <v/>
      </c>
      <c r="Q144" s="288" t="str">
        <f>IF(D144="","",VLOOKUP(D144,'G-7 WaterC'' Data'!$B$4:$G$8,6,FALSE))</f>
        <v/>
      </c>
      <c r="R144" s="295" t="str">
        <f t="shared" si="25"/>
        <v xml:space="preserve"> </v>
      </c>
      <c r="S144" s="403"/>
      <c r="T144" s="287" t="str">
        <f>IF(S144="","",IF(VLOOKUP(S144,'G-7 WaterC'' Data'!$AO$4:$BO$7,2,FALSE)=0,"Spatial Data Missing ⚠",VLOOKUP(S144,'G-7 WaterC'' Data'!$AO$4:$BO$7,2,FALSE)))</f>
        <v/>
      </c>
      <c r="U144" s="295" t="str">
        <f t="shared" si="26"/>
        <v xml:space="preserve"> </v>
      </c>
      <c r="V144" s="710" t="str">
        <f t="shared" si="27"/>
        <v/>
      </c>
      <c r="W144" s="32"/>
      <c r="X144" s="105"/>
      <c r="Y144" s="112"/>
      <c r="Z144" s="293" t="str">
        <f t="shared" si="28"/>
        <v/>
      </c>
      <c r="AA144" s="293" t="str">
        <f t="shared" si="29"/>
        <v/>
      </c>
      <c r="AB144" s="293" t="str">
        <f t="shared" si="30"/>
        <v/>
      </c>
      <c r="AC144" s="507" t="str">
        <f>IFERROR(IF(OR(E144="",R144=""),"", IF(AND(AB144&lt;&gt;"",S144=""), "Spatial risk category missing ▲", IF(AND(Q144='G-7 WaterC'' Data'!$G$4,AD144="Yes"),"Alternative Compensation ✓", IF(AND(AD144="Pending", Q144='G-7 WaterC'' Data'!$G$4),"Bespoke compensation must be agreed ▲", IF((Z144+AA144)&gt;=U144,0, U144-Z144-AA144))))),"Check Data ⚠")</f>
        <v/>
      </c>
      <c r="AD144" s="403"/>
      <c r="AE144" s="109"/>
      <c r="AF144" s="108"/>
      <c r="AG144" s="108"/>
      <c r="AH144" s="108"/>
      <c r="AI144" s="54" t="str">
        <f>IF(OR(Q144="",AD144="Yes"),"",IF(Q144='G-1 All Habitats'!$X$9,E144-Y144-X144,"None"))</f>
        <v/>
      </c>
      <c r="AJ144" s="55" t="str">
        <f>IF(Q144="","", IF(Q144='G-1 All Habitats'!$X$9, AI144*G144*I144*L144*N144*P144,"None"))</f>
        <v/>
      </c>
      <c r="AK144" s="30" t="str">
        <f>IFERROR(INDEX('G-7 WaterC'' Data'!$AZ$3:$AZ$7,MATCH(D144,'G-7 WaterC'' Data'!$AY$3:$AY$7,0)),"")</f>
        <v/>
      </c>
      <c r="AL144" s="30">
        <f t="shared" si="31"/>
        <v>0</v>
      </c>
      <c r="AM144" s="111" t="str">
        <f t="shared" si="32"/>
        <v/>
      </c>
      <c r="AN144" s="111" t="str">
        <f t="shared" si="33"/>
        <v/>
      </c>
      <c r="AP144" s="111">
        <v>135</v>
      </c>
      <c r="AR144" s="111" t="str">
        <f t="array" ref="AR144">IFERROR(INDEX($AP$10:$AP$258, MATCH(0, IF(TRUE=$AM$10:$AM$258, COUNTIF($AR$9:$AR143, $AP$10:$AP$258), ""), 0)),"")</f>
        <v/>
      </c>
      <c r="AS144" s="111" t="str">
        <f t="array" ref="AS144">IFERROR(INDEX($AP$10:$AP$258, MATCH(0, IF(TRUE=$AN$10:$AN$258, COUNTIF($AS$9:$AS143, $AP$10:$AP$258), ""), 0)),"")</f>
        <v/>
      </c>
      <c r="AT144" s="903" t="str">
        <f>IF(AND(OR(AD144="Yes",AD144="Pending"),Q144='G-7 WaterC'' Data'!$G$4),U144-AA144-Z144,"0")</f>
        <v>0</v>
      </c>
      <c r="AU144" s="30" t="str">
        <f>IF(D144="","",VLOOKUP(D144,'G-7 WaterC'' Data'!B$4:M$8,12,FALSE))</f>
        <v/>
      </c>
      <c r="AV144" s="30" t="str">
        <f t="shared" si="24"/>
        <v/>
      </c>
      <c r="AW144" s="30" t="str">
        <f t="shared" si="34"/>
        <v>No</v>
      </c>
      <c r="BA144" s="571" t="str">
        <f t="shared" si="35"/>
        <v/>
      </c>
    </row>
    <row r="145" spans="3:53" ht="14.4" thickBot="1" x14ac:dyDescent="0.3">
      <c r="C145" s="101">
        <v>136</v>
      </c>
      <c r="D145" s="269"/>
      <c r="E145" s="108"/>
      <c r="F145" s="281" t="str">
        <f>IF(D145="","",VLOOKUP(D145,'G-7 WaterC'' Data'!$B$2:$G$8,2,FALSE))</f>
        <v/>
      </c>
      <c r="G145" s="320" t="str">
        <f>IFERROR(VLOOKUP(F145,'G-7 WaterC'' Data'!$C$4:$D$8,2,FALSE),"")</f>
        <v/>
      </c>
      <c r="H145" s="109"/>
      <c r="I145" s="305" t="str">
        <f>IFERROR(INDEX('G-7 WaterC'' Data'!$H$4:$L$8,MATCH(D145,'G-7 WaterC'' Data'!$B$4:$B$8,0),MATCH(H145,'G-7 WaterC'' Data'!$H$3:$L$3,0)),"")</f>
        <v/>
      </c>
      <c r="J145" s="718"/>
      <c r="K145" s="301" t="str">
        <f>IF(J145="","",IF(VLOOKUP(J145,'G-7 WaterC'' Data'!$AK$4:$AM$9,2,FALSE)=0,"Spatial Data Missing ⚠",VLOOKUP(J145,'G-7 WaterC'' Data'!$AK$4:$AM$6,2,FALSE)))</f>
        <v/>
      </c>
      <c r="L145" s="305" t="str">
        <f>IF(J145="","",IF(VLOOKUP(J145,'G-7 WaterC'' Data'!$AK$4:$AM$9,3,FALSE)=0,"Spatial Data Missing ⚠",VLOOKUP(J145,'G-7 WaterC'' Data'!$AK$4:$AM$6,3,FALSE)))</f>
        <v/>
      </c>
      <c r="M145" s="106"/>
      <c r="N145" s="282" t="str">
        <f>IF(M145="","",IF(AND(M145="N/A - Culvert",D145&lt;&gt;"Culvert"),"Not possible ▲",IF(AND(D145="Culvert",M145&lt;&gt;"N/A - Culvert"),"Not possible ▲",IF(VLOOKUP(M145,'G-7 WaterC'' Data'!$AA$4:$AB$7,2,FALSE)=0,"Spatial Data Missing ⚠",VLOOKUP(M145,'G-7 WaterC'' Data'!$AA$4:$AB$7,2,FALSE)))))</f>
        <v/>
      </c>
      <c r="O145" s="56"/>
      <c r="P145" s="282" t="str">
        <f>IF(O145="","",IF(AND(O145="N/A - Culvert",D145&lt;&gt;"Culvert"),"Not possible ▲",IF(AND(D145="Culvert",O145&lt;&gt;"N/A - Culvert"),"Not possible ▲",IF(VLOOKUP(O145,'G-7 WaterC'' Data'!$AD$4:$AE$14,2,FALSE)=0,"Spatial Data Missing ⚠",VLOOKUP(O145,'G-7 WaterC'' Data'!$AD$4:$AE$14,2,FALSE)))))</f>
        <v/>
      </c>
      <c r="Q145" s="288" t="str">
        <f>IF(D145="","",VLOOKUP(D145,'G-7 WaterC'' Data'!$B$4:$G$8,6,FALSE))</f>
        <v/>
      </c>
      <c r="R145" s="295" t="str">
        <f t="shared" si="25"/>
        <v xml:space="preserve"> </v>
      </c>
      <c r="S145" s="403"/>
      <c r="T145" s="287" t="str">
        <f>IF(S145="","",IF(VLOOKUP(S145,'G-7 WaterC'' Data'!$AO$4:$BO$7,2,FALSE)=0,"Spatial Data Missing ⚠",VLOOKUP(S145,'G-7 WaterC'' Data'!$AO$4:$BO$7,2,FALSE)))</f>
        <v/>
      </c>
      <c r="U145" s="295" t="str">
        <f t="shared" si="26"/>
        <v xml:space="preserve"> </v>
      </c>
      <c r="V145" s="710" t="str">
        <f t="shared" si="27"/>
        <v/>
      </c>
      <c r="W145" s="32"/>
      <c r="X145" s="105"/>
      <c r="Y145" s="112"/>
      <c r="Z145" s="293" t="str">
        <f t="shared" si="28"/>
        <v/>
      </c>
      <c r="AA145" s="293" t="str">
        <f t="shared" si="29"/>
        <v/>
      </c>
      <c r="AB145" s="293" t="str">
        <f t="shared" si="30"/>
        <v/>
      </c>
      <c r="AC145" s="507" t="str">
        <f>IFERROR(IF(OR(E145="",R145=""),"", IF(AND(AB145&lt;&gt;"",S145=""), "Spatial risk category missing ▲", IF(AND(Q145='G-7 WaterC'' Data'!$G$4,AD145="Yes"),"Alternative Compensation ✓", IF(AND(AD145="Pending", Q145='G-7 WaterC'' Data'!$G$4),"Bespoke compensation must be agreed ▲", IF((Z145+AA145)&gt;=U145,0, U145-Z145-AA145))))),"Check Data ⚠")</f>
        <v/>
      </c>
      <c r="AD145" s="403"/>
      <c r="AE145" s="109"/>
      <c r="AF145" s="108"/>
      <c r="AG145" s="108"/>
      <c r="AH145" s="108"/>
      <c r="AI145" s="54" t="str">
        <f>IF(OR(Q145="",AD145="Yes"),"",IF(Q145='G-1 All Habitats'!$X$9,E145-Y145-X145,"None"))</f>
        <v/>
      </c>
      <c r="AJ145" s="55" t="str">
        <f>IF(Q145="","", IF(Q145='G-1 All Habitats'!$X$9, AI145*G145*I145*L145*N145*P145,"None"))</f>
        <v/>
      </c>
      <c r="AK145" s="30" t="str">
        <f>IFERROR(INDEX('G-7 WaterC'' Data'!$AZ$3:$AZ$7,MATCH(D145,'G-7 WaterC'' Data'!$AY$3:$AY$7,0)),"")</f>
        <v/>
      </c>
      <c r="AL145" s="30">
        <f t="shared" si="31"/>
        <v>0</v>
      </c>
      <c r="AM145" s="111" t="str">
        <f t="shared" si="32"/>
        <v/>
      </c>
      <c r="AN145" s="111" t="str">
        <f t="shared" si="33"/>
        <v/>
      </c>
      <c r="AP145" s="111">
        <v>136</v>
      </c>
      <c r="AR145" s="111" t="str">
        <f t="array" ref="AR145">IFERROR(INDEX($AP$10:$AP$258, MATCH(0, IF(TRUE=$AM$10:$AM$258, COUNTIF($AR$9:$AR144, $AP$10:$AP$258), ""), 0)),"")</f>
        <v/>
      </c>
      <c r="AS145" s="111" t="str">
        <f t="array" ref="AS145">IFERROR(INDEX($AP$10:$AP$258, MATCH(0, IF(TRUE=$AN$10:$AN$258, COUNTIF($AS$9:$AS144, $AP$10:$AP$258), ""), 0)),"")</f>
        <v/>
      </c>
      <c r="AT145" s="903" t="str">
        <f>IF(AND(OR(AD145="Yes",AD145="Pending"),Q145='G-7 WaterC'' Data'!$G$4),U145-AA145-Z145,"0")</f>
        <v>0</v>
      </c>
      <c r="AU145" s="30" t="str">
        <f>IF(D145="","",VLOOKUP(D145,'G-7 WaterC'' Data'!B$4:M$8,12,FALSE))</f>
        <v/>
      </c>
      <c r="AV145" s="30" t="str">
        <f t="shared" si="24"/>
        <v/>
      </c>
      <c r="AW145" s="30" t="str">
        <f t="shared" si="34"/>
        <v>No</v>
      </c>
      <c r="BA145" s="571" t="str">
        <f t="shared" si="35"/>
        <v/>
      </c>
    </row>
    <row r="146" spans="3:53" ht="14.4" thickBot="1" x14ac:dyDescent="0.3">
      <c r="C146" s="101">
        <v>137</v>
      </c>
      <c r="D146" s="269"/>
      <c r="E146" s="108"/>
      <c r="F146" s="281" t="str">
        <f>IF(D146="","",VLOOKUP(D146,'G-7 WaterC'' Data'!$B$2:$G$8,2,FALSE))</f>
        <v/>
      </c>
      <c r="G146" s="320" t="str">
        <f>IFERROR(VLOOKUP(F146,'G-7 WaterC'' Data'!$C$4:$D$8,2,FALSE),"")</f>
        <v/>
      </c>
      <c r="H146" s="109"/>
      <c r="I146" s="305" t="str">
        <f>IFERROR(INDEX('G-7 WaterC'' Data'!$H$4:$L$8,MATCH(D146,'G-7 WaterC'' Data'!$B$4:$B$8,0),MATCH(H146,'G-7 WaterC'' Data'!$H$3:$L$3,0)),"")</f>
        <v/>
      </c>
      <c r="J146" s="718"/>
      <c r="K146" s="301" t="str">
        <f>IF(J146="","",IF(VLOOKUP(J146,'G-7 WaterC'' Data'!$AK$4:$AM$9,2,FALSE)=0,"Spatial Data Missing ⚠",VLOOKUP(J146,'G-7 WaterC'' Data'!$AK$4:$AM$6,2,FALSE)))</f>
        <v/>
      </c>
      <c r="L146" s="305" t="str">
        <f>IF(J146="","",IF(VLOOKUP(J146,'G-7 WaterC'' Data'!$AK$4:$AM$9,3,FALSE)=0,"Spatial Data Missing ⚠",VLOOKUP(J146,'G-7 WaterC'' Data'!$AK$4:$AM$6,3,FALSE)))</f>
        <v/>
      </c>
      <c r="M146" s="106"/>
      <c r="N146" s="282" t="str">
        <f>IF(M146="","",IF(AND(M146="N/A - Culvert",D146&lt;&gt;"Culvert"),"Not possible ▲",IF(AND(D146="Culvert",M146&lt;&gt;"N/A - Culvert"),"Not possible ▲",IF(VLOOKUP(M146,'G-7 WaterC'' Data'!$AA$4:$AB$7,2,FALSE)=0,"Spatial Data Missing ⚠",VLOOKUP(M146,'G-7 WaterC'' Data'!$AA$4:$AB$7,2,FALSE)))))</f>
        <v/>
      </c>
      <c r="O146" s="56"/>
      <c r="P146" s="282" t="str">
        <f>IF(O146="","",IF(AND(O146="N/A - Culvert",D146&lt;&gt;"Culvert"),"Not possible ▲",IF(AND(D146="Culvert",O146&lt;&gt;"N/A - Culvert"),"Not possible ▲",IF(VLOOKUP(O146,'G-7 WaterC'' Data'!$AD$4:$AE$14,2,FALSE)=0,"Spatial Data Missing ⚠",VLOOKUP(O146,'G-7 WaterC'' Data'!$AD$4:$AE$14,2,FALSE)))))</f>
        <v/>
      </c>
      <c r="Q146" s="288" t="str">
        <f>IF(D146="","",VLOOKUP(D146,'G-7 WaterC'' Data'!$B$4:$G$8,6,FALSE))</f>
        <v/>
      </c>
      <c r="R146" s="295" t="str">
        <f t="shared" si="25"/>
        <v xml:space="preserve"> </v>
      </c>
      <c r="S146" s="403"/>
      <c r="T146" s="287" t="str">
        <f>IF(S146="","",IF(VLOOKUP(S146,'G-7 WaterC'' Data'!$AO$4:$BO$7,2,FALSE)=0,"Spatial Data Missing ⚠",VLOOKUP(S146,'G-7 WaterC'' Data'!$AO$4:$BO$7,2,FALSE)))</f>
        <v/>
      </c>
      <c r="U146" s="295" t="str">
        <f t="shared" si="26"/>
        <v xml:space="preserve"> </v>
      </c>
      <c r="V146" s="710" t="str">
        <f t="shared" si="27"/>
        <v/>
      </c>
      <c r="W146" s="32"/>
      <c r="X146" s="105"/>
      <c r="Y146" s="112"/>
      <c r="Z146" s="293" t="str">
        <f t="shared" si="28"/>
        <v/>
      </c>
      <c r="AA146" s="293" t="str">
        <f t="shared" si="29"/>
        <v/>
      </c>
      <c r="AB146" s="293" t="str">
        <f t="shared" si="30"/>
        <v/>
      </c>
      <c r="AC146" s="507" t="str">
        <f>IFERROR(IF(OR(E146="",R146=""),"", IF(AND(AB146&lt;&gt;"",S146=""), "Spatial risk category missing ▲", IF(AND(Q146='G-7 WaterC'' Data'!$G$4,AD146="Yes"),"Alternative Compensation ✓", IF(AND(AD146="Pending", Q146='G-7 WaterC'' Data'!$G$4),"Bespoke compensation must be agreed ▲", IF((Z146+AA146)&gt;=U146,0, U146-Z146-AA146))))),"Check Data ⚠")</f>
        <v/>
      </c>
      <c r="AD146" s="403"/>
      <c r="AE146" s="109"/>
      <c r="AF146" s="108"/>
      <c r="AG146" s="108"/>
      <c r="AH146" s="108"/>
      <c r="AI146" s="54" t="str">
        <f>IF(OR(Q146="",AD146="Yes"),"",IF(Q146='G-1 All Habitats'!$X$9,E146-Y146-X146,"None"))</f>
        <v/>
      </c>
      <c r="AJ146" s="55" t="str">
        <f>IF(Q146="","", IF(Q146='G-1 All Habitats'!$X$9, AI146*G146*I146*L146*N146*P146,"None"))</f>
        <v/>
      </c>
      <c r="AK146" s="30" t="str">
        <f>IFERROR(INDEX('G-7 WaterC'' Data'!$AZ$3:$AZ$7,MATCH(D146,'G-7 WaterC'' Data'!$AY$3:$AY$7,0)),"")</f>
        <v/>
      </c>
      <c r="AL146" s="30">
        <f t="shared" si="31"/>
        <v>0</v>
      </c>
      <c r="AM146" s="111" t="str">
        <f t="shared" si="32"/>
        <v/>
      </c>
      <c r="AN146" s="111" t="str">
        <f t="shared" si="33"/>
        <v/>
      </c>
      <c r="AP146" s="111">
        <v>137</v>
      </c>
      <c r="AR146" s="111" t="str">
        <f t="array" ref="AR146">IFERROR(INDEX($AP$10:$AP$258, MATCH(0, IF(TRUE=$AM$10:$AM$258, COUNTIF($AR$9:$AR145, $AP$10:$AP$258), ""), 0)),"")</f>
        <v/>
      </c>
      <c r="AS146" s="111" t="str">
        <f t="array" ref="AS146">IFERROR(INDEX($AP$10:$AP$258, MATCH(0, IF(TRUE=$AN$10:$AN$258, COUNTIF($AS$9:$AS145, $AP$10:$AP$258), ""), 0)),"")</f>
        <v/>
      </c>
      <c r="AT146" s="903" t="str">
        <f>IF(AND(OR(AD146="Yes",AD146="Pending"),Q146='G-7 WaterC'' Data'!$G$4),U146-AA146-Z146,"0")</f>
        <v>0</v>
      </c>
      <c r="AU146" s="30" t="str">
        <f>IF(D146="","",VLOOKUP(D146,'G-7 WaterC'' Data'!B$4:M$8,12,FALSE))</f>
        <v/>
      </c>
      <c r="AV146" s="30" t="str">
        <f t="shared" si="24"/>
        <v/>
      </c>
      <c r="AW146" s="30" t="str">
        <f t="shared" si="34"/>
        <v>No</v>
      </c>
      <c r="BA146" s="571" t="str">
        <f t="shared" si="35"/>
        <v/>
      </c>
    </row>
    <row r="147" spans="3:53" ht="14.4" thickBot="1" x14ac:dyDescent="0.3">
      <c r="C147" s="101">
        <v>138</v>
      </c>
      <c r="D147" s="269"/>
      <c r="E147" s="108"/>
      <c r="F147" s="281" t="str">
        <f>IF(D147="","",VLOOKUP(D147,'G-7 WaterC'' Data'!$B$2:$G$8,2,FALSE))</f>
        <v/>
      </c>
      <c r="G147" s="320" t="str">
        <f>IFERROR(VLOOKUP(F147,'G-7 WaterC'' Data'!$C$4:$D$8,2,FALSE),"")</f>
        <v/>
      </c>
      <c r="H147" s="109"/>
      <c r="I147" s="305" t="str">
        <f>IFERROR(INDEX('G-7 WaterC'' Data'!$H$4:$L$8,MATCH(D147,'G-7 WaterC'' Data'!$B$4:$B$8,0),MATCH(H147,'G-7 WaterC'' Data'!$H$3:$L$3,0)),"")</f>
        <v/>
      </c>
      <c r="J147" s="718"/>
      <c r="K147" s="301" t="str">
        <f>IF(J147="","",IF(VLOOKUP(J147,'G-7 WaterC'' Data'!$AK$4:$AM$9,2,FALSE)=0,"Spatial Data Missing ⚠",VLOOKUP(J147,'G-7 WaterC'' Data'!$AK$4:$AM$6,2,FALSE)))</f>
        <v/>
      </c>
      <c r="L147" s="305" t="str">
        <f>IF(J147="","",IF(VLOOKUP(J147,'G-7 WaterC'' Data'!$AK$4:$AM$9,3,FALSE)=0,"Spatial Data Missing ⚠",VLOOKUP(J147,'G-7 WaterC'' Data'!$AK$4:$AM$6,3,FALSE)))</f>
        <v/>
      </c>
      <c r="M147" s="106"/>
      <c r="N147" s="282" t="str">
        <f>IF(M147="","",IF(AND(M147="N/A - Culvert",D147&lt;&gt;"Culvert"),"Not possible ▲",IF(AND(D147="Culvert",M147&lt;&gt;"N/A - Culvert"),"Not possible ▲",IF(VLOOKUP(M147,'G-7 WaterC'' Data'!$AA$4:$AB$7,2,FALSE)=0,"Spatial Data Missing ⚠",VLOOKUP(M147,'G-7 WaterC'' Data'!$AA$4:$AB$7,2,FALSE)))))</f>
        <v/>
      </c>
      <c r="O147" s="56"/>
      <c r="P147" s="282" t="str">
        <f>IF(O147="","",IF(AND(O147="N/A - Culvert",D147&lt;&gt;"Culvert"),"Not possible ▲",IF(AND(D147="Culvert",O147&lt;&gt;"N/A - Culvert"),"Not possible ▲",IF(VLOOKUP(O147,'G-7 WaterC'' Data'!$AD$4:$AE$14,2,FALSE)=0,"Spatial Data Missing ⚠",VLOOKUP(O147,'G-7 WaterC'' Data'!$AD$4:$AE$14,2,FALSE)))))</f>
        <v/>
      </c>
      <c r="Q147" s="288" t="str">
        <f>IF(D147="","",VLOOKUP(D147,'G-7 WaterC'' Data'!$B$4:$G$8,6,FALSE))</f>
        <v/>
      </c>
      <c r="R147" s="295" t="str">
        <f t="shared" si="25"/>
        <v xml:space="preserve"> </v>
      </c>
      <c r="S147" s="403"/>
      <c r="T147" s="287" t="str">
        <f>IF(S147="","",IF(VLOOKUP(S147,'G-7 WaterC'' Data'!$AO$4:$BO$7,2,FALSE)=0,"Spatial Data Missing ⚠",VLOOKUP(S147,'G-7 WaterC'' Data'!$AO$4:$BO$7,2,FALSE)))</f>
        <v/>
      </c>
      <c r="U147" s="295" t="str">
        <f t="shared" si="26"/>
        <v xml:space="preserve"> </v>
      </c>
      <c r="V147" s="710" t="str">
        <f t="shared" si="27"/>
        <v/>
      </c>
      <c r="W147" s="32"/>
      <c r="X147" s="105"/>
      <c r="Y147" s="112"/>
      <c r="Z147" s="293" t="str">
        <f t="shared" si="28"/>
        <v/>
      </c>
      <c r="AA147" s="293" t="str">
        <f t="shared" si="29"/>
        <v/>
      </c>
      <c r="AB147" s="293" t="str">
        <f t="shared" si="30"/>
        <v/>
      </c>
      <c r="AC147" s="507" t="str">
        <f>IFERROR(IF(OR(E147="",R147=""),"", IF(AND(AB147&lt;&gt;"",S147=""), "Spatial risk category missing ▲", IF(AND(Q147='G-7 WaterC'' Data'!$G$4,AD147="Yes"),"Alternative Compensation ✓", IF(AND(AD147="Pending", Q147='G-7 WaterC'' Data'!$G$4),"Bespoke compensation must be agreed ▲", IF((Z147+AA147)&gt;=U147,0, U147-Z147-AA147))))),"Check Data ⚠")</f>
        <v/>
      </c>
      <c r="AD147" s="403"/>
      <c r="AE147" s="109"/>
      <c r="AF147" s="108"/>
      <c r="AG147" s="108"/>
      <c r="AH147" s="108"/>
      <c r="AI147" s="54" t="str">
        <f>IF(OR(Q147="",AD147="Yes"),"",IF(Q147='G-1 All Habitats'!$X$9,E147-Y147-X147,"None"))</f>
        <v/>
      </c>
      <c r="AJ147" s="55" t="str">
        <f>IF(Q147="","", IF(Q147='G-1 All Habitats'!$X$9, AI147*G147*I147*L147*N147*P147,"None"))</f>
        <v/>
      </c>
      <c r="AK147" s="30" t="str">
        <f>IFERROR(INDEX('G-7 WaterC'' Data'!$AZ$3:$AZ$7,MATCH(D147,'G-7 WaterC'' Data'!$AY$3:$AY$7,0)),"")</f>
        <v/>
      </c>
      <c r="AL147" s="30">
        <f t="shared" si="31"/>
        <v>0</v>
      </c>
      <c r="AM147" s="111" t="str">
        <f t="shared" si="32"/>
        <v/>
      </c>
      <c r="AN147" s="111" t="str">
        <f t="shared" si="33"/>
        <v/>
      </c>
      <c r="AP147" s="111">
        <v>138</v>
      </c>
      <c r="AR147" s="111" t="str">
        <f t="array" ref="AR147">IFERROR(INDEX($AP$10:$AP$258, MATCH(0, IF(TRUE=$AM$10:$AM$258, COUNTIF($AR$9:$AR146, $AP$10:$AP$258), ""), 0)),"")</f>
        <v/>
      </c>
      <c r="AS147" s="111" t="str">
        <f t="array" ref="AS147">IFERROR(INDEX($AP$10:$AP$258, MATCH(0, IF(TRUE=$AN$10:$AN$258, COUNTIF($AS$9:$AS146, $AP$10:$AP$258), ""), 0)),"")</f>
        <v/>
      </c>
      <c r="AT147" s="903" t="str">
        <f>IF(AND(OR(AD147="Yes",AD147="Pending"),Q147='G-7 WaterC'' Data'!$G$4),U147-AA147-Z147,"0")</f>
        <v>0</v>
      </c>
      <c r="AU147" s="30" t="str">
        <f>IF(D147="","",VLOOKUP(D147,'G-7 WaterC'' Data'!B$4:M$8,12,FALSE))</f>
        <v/>
      </c>
      <c r="AV147" s="30" t="str">
        <f t="shared" si="24"/>
        <v/>
      </c>
      <c r="AW147" s="30" t="str">
        <f t="shared" si="34"/>
        <v>No</v>
      </c>
      <c r="BA147" s="571" t="str">
        <f t="shared" si="35"/>
        <v/>
      </c>
    </row>
    <row r="148" spans="3:53" ht="14.4" thickBot="1" x14ac:dyDescent="0.3">
      <c r="C148" s="101">
        <v>139</v>
      </c>
      <c r="D148" s="269"/>
      <c r="E148" s="108"/>
      <c r="F148" s="281" t="str">
        <f>IF(D148="","",VLOOKUP(D148,'G-7 WaterC'' Data'!$B$2:$G$8,2,FALSE))</f>
        <v/>
      </c>
      <c r="G148" s="320" t="str">
        <f>IFERROR(VLOOKUP(F148,'G-7 WaterC'' Data'!$C$4:$D$8,2,FALSE),"")</f>
        <v/>
      </c>
      <c r="H148" s="109"/>
      <c r="I148" s="305" t="str">
        <f>IFERROR(INDEX('G-7 WaterC'' Data'!$H$4:$L$8,MATCH(D148,'G-7 WaterC'' Data'!$B$4:$B$8,0),MATCH(H148,'G-7 WaterC'' Data'!$H$3:$L$3,0)),"")</f>
        <v/>
      </c>
      <c r="J148" s="718"/>
      <c r="K148" s="301" t="str">
        <f>IF(J148="","",IF(VLOOKUP(J148,'G-7 WaterC'' Data'!$AK$4:$AM$9,2,FALSE)=0,"Spatial Data Missing ⚠",VLOOKUP(J148,'G-7 WaterC'' Data'!$AK$4:$AM$6,2,FALSE)))</f>
        <v/>
      </c>
      <c r="L148" s="305" t="str">
        <f>IF(J148="","",IF(VLOOKUP(J148,'G-7 WaterC'' Data'!$AK$4:$AM$9,3,FALSE)=0,"Spatial Data Missing ⚠",VLOOKUP(J148,'G-7 WaterC'' Data'!$AK$4:$AM$6,3,FALSE)))</f>
        <v/>
      </c>
      <c r="M148" s="106"/>
      <c r="N148" s="282" t="str">
        <f>IF(M148="","",IF(AND(M148="N/A - Culvert",D148&lt;&gt;"Culvert"),"Not possible ▲",IF(AND(D148="Culvert",M148&lt;&gt;"N/A - Culvert"),"Not possible ▲",IF(VLOOKUP(M148,'G-7 WaterC'' Data'!$AA$4:$AB$7,2,FALSE)=0,"Spatial Data Missing ⚠",VLOOKUP(M148,'G-7 WaterC'' Data'!$AA$4:$AB$7,2,FALSE)))))</f>
        <v/>
      </c>
      <c r="O148" s="56"/>
      <c r="P148" s="282" t="str">
        <f>IF(O148="","",IF(AND(O148="N/A - Culvert",D148&lt;&gt;"Culvert"),"Not possible ▲",IF(AND(D148="Culvert",O148&lt;&gt;"N/A - Culvert"),"Not possible ▲",IF(VLOOKUP(O148,'G-7 WaterC'' Data'!$AD$4:$AE$14,2,FALSE)=0,"Spatial Data Missing ⚠",VLOOKUP(O148,'G-7 WaterC'' Data'!$AD$4:$AE$14,2,FALSE)))))</f>
        <v/>
      </c>
      <c r="Q148" s="288" t="str">
        <f>IF(D148="","",VLOOKUP(D148,'G-7 WaterC'' Data'!$B$4:$G$8,6,FALSE))</f>
        <v/>
      </c>
      <c r="R148" s="295" t="str">
        <f t="shared" si="25"/>
        <v xml:space="preserve"> </v>
      </c>
      <c r="S148" s="403"/>
      <c r="T148" s="287" t="str">
        <f>IF(S148="","",IF(VLOOKUP(S148,'G-7 WaterC'' Data'!$AO$4:$BO$7,2,FALSE)=0,"Spatial Data Missing ⚠",VLOOKUP(S148,'G-7 WaterC'' Data'!$AO$4:$BO$7,2,FALSE)))</f>
        <v/>
      </c>
      <c r="U148" s="295" t="str">
        <f t="shared" si="26"/>
        <v xml:space="preserve"> </v>
      </c>
      <c r="V148" s="710" t="str">
        <f t="shared" si="27"/>
        <v/>
      </c>
      <c r="W148" s="32"/>
      <c r="X148" s="105"/>
      <c r="Y148" s="112"/>
      <c r="Z148" s="293" t="str">
        <f t="shared" si="28"/>
        <v/>
      </c>
      <c r="AA148" s="293" t="str">
        <f t="shared" si="29"/>
        <v/>
      </c>
      <c r="AB148" s="293" t="str">
        <f t="shared" si="30"/>
        <v/>
      </c>
      <c r="AC148" s="507" t="str">
        <f>IFERROR(IF(OR(E148="",R148=""),"", IF(AND(AB148&lt;&gt;"",S148=""), "Spatial risk category missing ▲", IF(AND(Q148='G-7 WaterC'' Data'!$G$4,AD148="Yes"),"Alternative Compensation ✓", IF(AND(AD148="Pending", Q148='G-7 WaterC'' Data'!$G$4),"Bespoke compensation must be agreed ▲", IF((Z148+AA148)&gt;=U148,0, U148-Z148-AA148))))),"Check Data ⚠")</f>
        <v/>
      </c>
      <c r="AD148" s="403"/>
      <c r="AE148" s="109"/>
      <c r="AF148" s="108"/>
      <c r="AG148" s="108"/>
      <c r="AH148" s="108"/>
      <c r="AI148" s="54" t="str">
        <f>IF(OR(Q148="",AD148="Yes"),"",IF(Q148='G-1 All Habitats'!$X$9,E148-Y148-X148,"None"))</f>
        <v/>
      </c>
      <c r="AJ148" s="55" t="str">
        <f>IF(Q148="","", IF(Q148='G-1 All Habitats'!$X$9, AI148*G148*I148*L148*N148*P148,"None"))</f>
        <v/>
      </c>
      <c r="AK148" s="30" t="str">
        <f>IFERROR(INDEX('G-7 WaterC'' Data'!$AZ$3:$AZ$7,MATCH(D148,'G-7 WaterC'' Data'!$AY$3:$AY$7,0)),"")</f>
        <v/>
      </c>
      <c r="AL148" s="30">
        <f t="shared" si="31"/>
        <v>0</v>
      </c>
      <c r="AM148" s="111" t="str">
        <f t="shared" si="32"/>
        <v/>
      </c>
      <c r="AN148" s="111" t="str">
        <f t="shared" si="33"/>
        <v/>
      </c>
      <c r="AP148" s="111">
        <v>139</v>
      </c>
      <c r="AR148" s="111" t="str">
        <f t="array" ref="AR148">IFERROR(INDEX($AP$10:$AP$258, MATCH(0, IF(TRUE=$AM$10:$AM$258, COUNTIF($AR$9:$AR147, $AP$10:$AP$258), ""), 0)),"")</f>
        <v/>
      </c>
      <c r="AS148" s="111" t="str">
        <f t="array" ref="AS148">IFERROR(INDEX($AP$10:$AP$258, MATCH(0, IF(TRUE=$AN$10:$AN$258, COUNTIF($AS$9:$AS147, $AP$10:$AP$258), ""), 0)),"")</f>
        <v/>
      </c>
      <c r="AT148" s="903" t="str">
        <f>IF(AND(OR(AD148="Yes",AD148="Pending"),Q148='G-7 WaterC'' Data'!$G$4),U148-AA148-Z148,"0")</f>
        <v>0</v>
      </c>
      <c r="AU148" s="30" t="str">
        <f>IF(D148="","",VLOOKUP(D148,'G-7 WaterC'' Data'!B$4:M$8,12,FALSE))</f>
        <v/>
      </c>
      <c r="AV148" s="30" t="str">
        <f t="shared" si="24"/>
        <v/>
      </c>
      <c r="AW148" s="30" t="str">
        <f t="shared" si="34"/>
        <v>No</v>
      </c>
      <c r="BA148" s="571" t="str">
        <f t="shared" si="35"/>
        <v/>
      </c>
    </row>
    <row r="149" spans="3:53" ht="14.4" thickBot="1" x14ac:dyDescent="0.3">
      <c r="C149" s="101">
        <v>140</v>
      </c>
      <c r="D149" s="269"/>
      <c r="E149" s="108"/>
      <c r="F149" s="281" t="str">
        <f>IF(D149="","",VLOOKUP(D149,'G-7 WaterC'' Data'!$B$2:$G$8,2,FALSE))</f>
        <v/>
      </c>
      <c r="G149" s="320" t="str">
        <f>IFERROR(VLOOKUP(F149,'G-7 WaterC'' Data'!$C$4:$D$8,2,FALSE),"")</f>
        <v/>
      </c>
      <c r="H149" s="109"/>
      <c r="I149" s="305" t="str">
        <f>IFERROR(INDEX('G-7 WaterC'' Data'!$H$4:$L$8,MATCH(D149,'G-7 WaterC'' Data'!$B$4:$B$8,0),MATCH(H149,'G-7 WaterC'' Data'!$H$3:$L$3,0)),"")</f>
        <v/>
      </c>
      <c r="J149" s="718"/>
      <c r="K149" s="301" t="str">
        <f>IF(J149="","",IF(VLOOKUP(J149,'G-7 WaterC'' Data'!$AK$4:$AM$9,2,FALSE)=0,"Spatial Data Missing ⚠",VLOOKUP(J149,'G-7 WaterC'' Data'!$AK$4:$AM$6,2,FALSE)))</f>
        <v/>
      </c>
      <c r="L149" s="305" t="str">
        <f>IF(J149="","",IF(VLOOKUP(J149,'G-7 WaterC'' Data'!$AK$4:$AM$9,3,FALSE)=0,"Spatial Data Missing ⚠",VLOOKUP(J149,'G-7 WaterC'' Data'!$AK$4:$AM$6,3,FALSE)))</f>
        <v/>
      </c>
      <c r="M149" s="106"/>
      <c r="N149" s="282" t="str">
        <f>IF(M149="","",IF(AND(M149="N/A - Culvert",D149&lt;&gt;"Culvert"),"Not possible ▲",IF(AND(D149="Culvert",M149&lt;&gt;"N/A - Culvert"),"Not possible ▲",IF(VLOOKUP(M149,'G-7 WaterC'' Data'!$AA$4:$AB$7,2,FALSE)=0,"Spatial Data Missing ⚠",VLOOKUP(M149,'G-7 WaterC'' Data'!$AA$4:$AB$7,2,FALSE)))))</f>
        <v/>
      </c>
      <c r="O149" s="56"/>
      <c r="P149" s="282" t="str">
        <f>IF(O149="","",IF(AND(O149="N/A - Culvert",D149&lt;&gt;"Culvert"),"Not possible ▲",IF(AND(D149="Culvert",O149&lt;&gt;"N/A - Culvert"),"Not possible ▲",IF(VLOOKUP(O149,'G-7 WaterC'' Data'!$AD$4:$AE$14,2,FALSE)=0,"Spatial Data Missing ⚠",VLOOKUP(O149,'G-7 WaterC'' Data'!$AD$4:$AE$14,2,FALSE)))))</f>
        <v/>
      </c>
      <c r="Q149" s="288" t="str">
        <f>IF(D149="","",VLOOKUP(D149,'G-7 WaterC'' Data'!$B$4:$G$8,6,FALSE))</f>
        <v/>
      </c>
      <c r="R149" s="295" t="str">
        <f t="shared" si="25"/>
        <v xml:space="preserve"> </v>
      </c>
      <c r="S149" s="403"/>
      <c r="T149" s="287" t="str">
        <f>IF(S149="","",IF(VLOOKUP(S149,'G-7 WaterC'' Data'!$AO$4:$BO$7,2,FALSE)=0,"Spatial Data Missing ⚠",VLOOKUP(S149,'G-7 WaterC'' Data'!$AO$4:$BO$7,2,FALSE)))</f>
        <v/>
      </c>
      <c r="U149" s="295" t="str">
        <f t="shared" si="26"/>
        <v xml:space="preserve"> </v>
      </c>
      <c r="V149" s="710" t="str">
        <f t="shared" si="27"/>
        <v/>
      </c>
      <c r="W149" s="32"/>
      <c r="X149" s="105"/>
      <c r="Y149" s="112"/>
      <c r="Z149" s="293" t="str">
        <f t="shared" si="28"/>
        <v/>
      </c>
      <c r="AA149" s="293" t="str">
        <f t="shared" si="29"/>
        <v/>
      </c>
      <c r="AB149" s="293" t="str">
        <f t="shared" si="30"/>
        <v/>
      </c>
      <c r="AC149" s="507" t="str">
        <f>IFERROR(IF(OR(E149="",R149=""),"", IF(AND(AB149&lt;&gt;"",S149=""), "Spatial risk category missing ▲", IF(AND(Q149='G-7 WaterC'' Data'!$G$4,AD149="Yes"),"Alternative Compensation ✓", IF(AND(AD149="Pending", Q149='G-7 WaterC'' Data'!$G$4),"Bespoke compensation must be agreed ▲", IF((Z149+AA149)&gt;=U149,0, U149-Z149-AA149))))),"Check Data ⚠")</f>
        <v/>
      </c>
      <c r="AD149" s="403"/>
      <c r="AE149" s="109"/>
      <c r="AF149" s="108"/>
      <c r="AG149" s="108"/>
      <c r="AH149" s="108"/>
      <c r="AI149" s="54" t="str">
        <f>IF(OR(Q149="",AD149="Yes"),"",IF(Q149='G-1 All Habitats'!$X$9,E149-Y149-X149,"None"))</f>
        <v/>
      </c>
      <c r="AJ149" s="55" t="str">
        <f>IF(Q149="","", IF(Q149='G-1 All Habitats'!$X$9, AI149*G149*I149*L149*N149*P149,"None"))</f>
        <v/>
      </c>
      <c r="AK149" s="30" t="str">
        <f>IFERROR(INDEX('G-7 WaterC'' Data'!$AZ$3:$AZ$7,MATCH(D149,'G-7 WaterC'' Data'!$AY$3:$AY$7,0)),"")</f>
        <v/>
      </c>
      <c r="AL149" s="30">
        <f t="shared" si="31"/>
        <v>0</v>
      </c>
      <c r="AM149" s="111" t="str">
        <f t="shared" si="32"/>
        <v/>
      </c>
      <c r="AN149" s="111" t="str">
        <f t="shared" si="33"/>
        <v/>
      </c>
      <c r="AP149" s="111">
        <v>140</v>
      </c>
      <c r="AR149" s="111" t="str">
        <f t="array" ref="AR149">IFERROR(INDEX($AP$10:$AP$258, MATCH(0, IF(TRUE=$AM$10:$AM$258, COUNTIF($AR$9:$AR148, $AP$10:$AP$258), ""), 0)),"")</f>
        <v/>
      </c>
      <c r="AS149" s="111" t="str">
        <f t="array" ref="AS149">IFERROR(INDEX($AP$10:$AP$258, MATCH(0, IF(TRUE=$AN$10:$AN$258, COUNTIF($AS$9:$AS148, $AP$10:$AP$258), ""), 0)),"")</f>
        <v/>
      </c>
      <c r="AT149" s="903" t="str">
        <f>IF(AND(OR(AD149="Yes",AD149="Pending"),Q149='G-7 WaterC'' Data'!$G$4),U149-AA149-Z149,"0")</f>
        <v>0</v>
      </c>
      <c r="AU149" s="30" t="str">
        <f>IF(D149="","",VLOOKUP(D149,'G-7 WaterC'' Data'!B$4:M$8,12,FALSE))</f>
        <v/>
      </c>
      <c r="AV149" s="30" t="str">
        <f t="shared" si="24"/>
        <v/>
      </c>
      <c r="AW149" s="30" t="str">
        <f t="shared" si="34"/>
        <v>No</v>
      </c>
      <c r="BA149" s="571" t="str">
        <f t="shared" si="35"/>
        <v/>
      </c>
    </row>
    <row r="150" spans="3:53" ht="14.4" thickBot="1" x14ac:dyDescent="0.3">
      <c r="C150" s="101">
        <v>141</v>
      </c>
      <c r="D150" s="269"/>
      <c r="E150" s="108"/>
      <c r="F150" s="281" t="str">
        <f>IF(D150="","",VLOOKUP(D150,'G-7 WaterC'' Data'!$B$2:$G$8,2,FALSE))</f>
        <v/>
      </c>
      <c r="G150" s="320" t="str">
        <f>IFERROR(VLOOKUP(F150,'G-7 WaterC'' Data'!$C$4:$D$8,2,FALSE),"")</f>
        <v/>
      </c>
      <c r="H150" s="109"/>
      <c r="I150" s="305" t="str">
        <f>IFERROR(INDEX('G-7 WaterC'' Data'!$H$4:$L$8,MATCH(D150,'G-7 WaterC'' Data'!$B$4:$B$8,0),MATCH(H150,'G-7 WaterC'' Data'!$H$3:$L$3,0)),"")</f>
        <v/>
      </c>
      <c r="J150" s="718"/>
      <c r="K150" s="301" t="str">
        <f>IF(J150="","",IF(VLOOKUP(J150,'G-7 WaterC'' Data'!$AK$4:$AM$9,2,FALSE)=0,"Spatial Data Missing ⚠",VLOOKUP(J150,'G-7 WaterC'' Data'!$AK$4:$AM$6,2,FALSE)))</f>
        <v/>
      </c>
      <c r="L150" s="305" t="str">
        <f>IF(J150="","",IF(VLOOKUP(J150,'G-7 WaterC'' Data'!$AK$4:$AM$9,3,FALSE)=0,"Spatial Data Missing ⚠",VLOOKUP(J150,'G-7 WaterC'' Data'!$AK$4:$AM$6,3,FALSE)))</f>
        <v/>
      </c>
      <c r="M150" s="106"/>
      <c r="N150" s="282" t="str">
        <f>IF(M150="","",IF(AND(M150="N/A - Culvert",D150&lt;&gt;"Culvert"),"Not possible ▲",IF(AND(D150="Culvert",M150&lt;&gt;"N/A - Culvert"),"Not possible ▲",IF(VLOOKUP(M150,'G-7 WaterC'' Data'!$AA$4:$AB$7,2,FALSE)=0,"Spatial Data Missing ⚠",VLOOKUP(M150,'G-7 WaterC'' Data'!$AA$4:$AB$7,2,FALSE)))))</f>
        <v/>
      </c>
      <c r="O150" s="56"/>
      <c r="P150" s="282" t="str">
        <f>IF(O150="","",IF(AND(O150="N/A - Culvert",D150&lt;&gt;"Culvert"),"Not possible ▲",IF(AND(D150="Culvert",O150&lt;&gt;"N/A - Culvert"),"Not possible ▲",IF(VLOOKUP(O150,'G-7 WaterC'' Data'!$AD$4:$AE$14,2,FALSE)=0,"Spatial Data Missing ⚠",VLOOKUP(O150,'G-7 WaterC'' Data'!$AD$4:$AE$14,2,FALSE)))))</f>
        <v/>
      </c>
      <c r="Q150" s="288" t="str">
        <f>IF(D150="","",VLOOKUP(D150,'G-7 WaterC'' Data'!$B$4:$G$8,6,FALSE))</f>
        <v/>
      </c>
      <c r="R150" s="295" t="str">
        <f t="shared" si="25"/>
        <v xml:space="preserve"> </v>
      </c>
      <c r="S150" s="403"/>
      <c r="T150" s="287" t="str">
        <f>IF(S150="","",IF(VLOOKUP(S150,'G-7 WaterC'' Data'!$AO$4:$BO$7,2,FALSE)=0,"Spatial Data Missing ⚠",VLOOKUP(S150,'G-7 WaterC'' Data'!$AO$4:$BO$7,2,FALSE)))</f>
        <v/>
      </c>
      <c r="U150" s="295" t="str">
        <f t="shared" si="26"/>
        <v xml:space="preserve"> </v>
      </c>
      <c r="V150" s="710" t="str">
        <f t="shared" si="27"/>
        <v/>
      </c>
      <c r="W150" s="32"/>
      <c r="X150" s="105"/>
      <c r="Y150" s="112"/>
      <c r="Z150" s="293" t="str">
        <f t="shared" si="28"/>
        <v/>
      </c>
      <c r="AA150" s="293" t="str">
        <f t="shared" si="29"/>
        <v/>
      </c>
      <c r="AB150" s="293" t="str">
        <f t="shared" si="30"/>
        <v/>
      </c>
      <c r="AC150" s="507" t="str">
        <f>IFERROR(IF(OR(E150="",R150=""),"", IF(AND(AB150&lt;&gt;"",S150=""), "Spatial risk category missing ▲", IF(AND(Q150='G-7 WaterC'' Data'!$G$4,AD150="Yes"),"Alternative Compensation ✓", IF(AND(AD150="Pending", Q150='G-7 WaterC'' Data'!$G$4),"Bespoke compensation must be agreed ▲", IF((Z150+AA150)&gt;=U150,0, U150-Z150-AA150))))),"Check Data ⚠")</f>
        <v/>
      </c>
      <c r="AD150" s="403"/>
      <c r="AE150" s="109"/>
      <c r="AF150" s="108"/>
      <c r="AG150" s="108"/>
      <c r="AH150" s="108"/>
      <c r="AI150" s="54" t="str">
        <f>IF(OR(Q150="",AD150="Yes"),"",IF(Q150='G-1 All Habitats'!$X$9,E150-Y150-X150,"None"))</f>
        <v/>
      </c>
      <c r="AJ150" s="55" t="str">
        <f>IF(Q150="","", IF(Q150='G-1 All Habitats'!$X$9, AI150*G150*I150*L150*N150*P150,"None"))</f>
        <v/>
      </c>
      <c r="AK150" s="30" t="str">
        <f>IFERROR(INDEX('G-7 WaterC'' Data'!$AZ$3:$AZ$7,MATCH(D150,'G-7 WaterC'' Data'!$AY$3:$AY$7,0)),"")</f>
        <v/>
      </c>
      <c r="AL150" s="30">
        <f t="shared" si="31"/>
        <v>0</v>
      </c>
      <c r="AM150" s="111" t="str">
        <f t="shared" si="32"/>
        <v/>
      </c>
      <c r="AN150" s="111" t="str">
        <f t="shared" si="33"/>
        <v/>
      </c>
      <c r="AP150" s="111">
        <v>141</v>
      </c>
      <c r="AR150" s="111" t="str">
        <f t="array" ref="AR150">IFERROR(INDEX($AP$10:$AP$258, MATCH(0, IF(TRUE=$AM$10:$AM$258, COUNTIF($AR$9:$AR149, $AP$10:$AP$258), ""), 0)),"")</f>
        <v/>
      </c>
      <c r="AS150" s="111" t="str">
        <f t="array" ref="AS150">IFERROR(INDEX($AP$10:$AP$258, MATCH(0, IF(TRUE=$AN$10:$AN$258, COUNTIF($AS$9:$AS149, $AP$10:$AP$258), ""), 0)),"")</f>
        <v/>
      </c>
      <c r="AT150" s="903" t="str">
        <f>IF(AND(OR(AD150="Yes",AD150="Pending"),Q150='G-7 WaterC'' Data'!$G$4),U150-AA150-Z150,"0")</f>
        <v>0</v>
      </c>
      <c r="AU150" s="30" t="str">
        <f>IF(D150="","",VLOOKUP(D150,'G-7 WaterC'' Data'!B$4:M$8,12,FALSE))</f>
        <v/>
      </c>
      <c r="AV150" s="30" t="str">
        <f t="shared" si="24"/>
        <v/>
      </c>
      <c r="AW150" s="30" t="str">
        <f t="shared" si="34"/>
        <v>No</v>
      </c>
      <c r="BA150" s="571" t="str">
        <f t="shared" si="35"/>
        <v/>
      </c>
    </row>
    <row r="151" spans="3:53" ht="14.4" thickBot="1" x14ac:dyDescent="0.3">
      <c r="C151" s="101">
        <v>142</v>
      </c>
      <c r="D151" s="269"/>
      <c r="E151" s="108"/>
      <c r="F151" s="281" t="str">
        <f>IF(D151="","",VLOOKUP(D151,'G-7 WaterC'' Data'!$B$2:$G$8,2,FALSE))</f>
        <v/>
      </c>
      <c r="G151" s="320" t="str">
        <f>IFERROR(VLOOKUP(F151,'G-7 WaterC'' Data'!$C$4:$D$8,2,FALSE),"")</f>
        <v/>
      </c>
      <c r="H151" s="109"/>
      <c r="I151" s="305" t="str">
        <f>IFERROR(INDEX('G-7 WaterC'' Data'!$H$4:$L$8,MATCH(D151,'G-7 WaterC'' Data'!$B$4:$B$8,0),MATCH(H151,'G-7 WaterC'' Data'!$H$3:$L$3,0)),"")</f>
        <v/>
      </c>
      <c r="J151" s="718"/>
      <c r="K151" s="301" t="str">
        <f>IF(J151="","",IF(VLOOKUP(J151,'G-7 WaterC'' Data'!$AK$4:$AM$9,2,FALSE)=0,"Spatial Data Missing ⚠",VLOOKUP(J151,'G-7 WaterC'' Data'!$AK$4:$AM$6,2,FALSE)))</f>
        <v/>
      </c>
      <c r="L151" s="305" t="str">
        <f>IF(J151="","",IF(VLOOKUP(J151,'G-7 WaterC'' Data'!$AK$4:$AM$9,3,FALSE)=0,"Spatial Data Missing ⚠",VLOOKUP(J151,'G-7 WaterC'' Data'!$AK$4:$AM$6,3,FALSE)))</f>
        <v/>
      </c>
      <c r="M151" s="106"/>
      <c r="N151" s="282" t="str">
        <f>IF(M151="","",IF(AND(M151="N/A - Culvert",D151&lt;&gt;"Culvert"),"Not possible ▲",IF(AND(D151="Culvert",M151&lt;&gt;"N/A - Culvert"),"Not possible ▲",IF(VLOOKUP(M151,'G-7 WaterC'' Data'!$AA$4:$AB$7,2,FALSE)=0,"Spatial Data Missing ⚠",VLOOKUP(M151,'G-7 WaterC'' Data'!$AA$4:$AB$7,2,FALSE)))))</f>
        <v/>
      </c>
      <c r="O151" s="56"/>
      <c r="P151" s="282" t="str">
        <f>IF(O151="","",IF(AND(O151="N/A - Culvert",D151&lt;&gt;"Culvert"),"Not possible ▲",IF(AND(D151="Culvert",O151&lt;&gt;"N/A - Culvert"),"Not possible ▲",IF(VLOOKUP(O151,'G-7 WaterC'' Data'!$AD$4:$AE$14,2,FALSE)=0,"Spatial Data Missing ⚠",VLOOKUP(O151,'G-7 WaterC'' Data'!$AD$4:$AE$14,2,FALSE)))))</f>
        <v/>
      </c>
      <c r="Q151" s="288" t="str">
        <f>IF(D151="","",VLOOKUP(D151,'G-7 WaterC'' Data'!$B$4:$G$8,6,FALSE))</f>
        <v/>
      </c>
      <c r="R151" s="295" t="str">
        <f t="shared" si="25"/>
        <v xml:space="preserve"> </v>
      </c>
      <c r="S151" s="403"/>
      <c r="T151" s="287" t="str">
        <f>IF(S151="","",IF(VLOOKUP(S151,'G-7 WaterC'' Data'!$AO$4:$BO$7,2,FALSE)=0,"Spatial Data Missing ⚠",VLOOKUP(S151,'G-7 WaterC'' Data'!$AO$4:$BO$7,2,FALSE)))</f>
        <v/>
      </c>
      <c r="U151" s="295" t="str">
        <f t="shared" si="26"/>
        <v xml:space="preserve"> </v>
      </c>
      <c r="V151" s="710" t="str">
        <f t="shared" si="27"/>
        <v/>
      </c>
      <c r="W151" s="32"/>
      <c r="X151" s="105"/>
      <c r="Y151" s="112"/>
      <c r="Z151" s="293" t="str">
        <f t="shared" si="28"/>
        <v/>
      </c>
      <c r="AA151" s="293" t="str">
        <f t="shared" si="29"/>
        <v/>
      </c>
      <c r="AB151" s="293" t="str">
        <f t="shared" si="30"/>
        <v/>
      </c>
      <c r="AC151" s="507" t="str">
        <f>IFERROR(IF(OR(E151="",R151=""),"", IF(AND(AB151&lt;&gt;"",S151=""), "Spatial risk category missing ▲", IF(AND(Q151='G-7 WaterC'' Data'!$G$4,AD151="Yes"),"Alternative Compensation ✓", IF(AND(AD151="Pending", Q151='G-7 WaterC'' Data'!$G$4),"Bespoke compensation must be agreed ▲", IF((Z151+AA151)&gt;=U151,0, U151-Z151-AA151))))),"Check Data ⚠")</f>
        <v/>
      </c>
      <c r="AD151" s="403"/>
      <c r="AE151" s="109"/>
      <c r="AF151" s="108"/>
      <c r="AG151" s="108"/>
      <c r="AH151" s="108"/>
      <c r="AI151" s="54" t="str">
        <f>IF(OR(Q151="",AD151="Yes"),"",IF(Q151='G-1 All Habitats'!$X$9,E151-Y151-X151,"None"))</f>
        <v/>
      </c>
      <c r="AJ151" s="55" t="str">
        <f>IF(Q151="","", IF(Q151='G-1 All Habitats'!$X$9, AI151*G151*I151*L151*N151*P151,"None"))</f>
        <v/>
      </c>
      <c r="AK151" s="30" t="str">
        <f>IFERROR(INDEX('G-7 WaterC'' Data'!$AZ$3:$AZ$7,MATCH(D151,'G-7 WaterC'' Data'!$AY$3:$AY$7,0)),"")</f>
        <v/>
      </c>
      <c r="AL151" s="30">
        <f t="shared" si="31"/>
        <v>0</v>
      </c>
      <c r="AM151" s="111" t="str">
        <f t="shared" si="32"/>
        <v/>
      </c>
      <c r="AN151" s="111" t="str">
        <f t="shared" si="33"/>
        <v/>
      </c>
      <c r="AP151" s="111">
        <v>142</v>
      </c>
      <c r="AR151" s="111" t="str">
        <f t="array" ref="AR151">IFERROR(INDEX($AP$10:$AP$258, MATCH(0, IF(TRUE=$AM$10:$AM$258, COUNTIF($AR$9:$AR150, $AP$10:$AP$258), ""), 0)),"")</f>
        <v/>
      </c>
      <c r="AS151" s="111" t="str">
        <f t="array" ref="AS151">IFERROR(INDEX($AP$10:$AP$258, MATCH(0, IF(TRUE=$AN$10:$AN$258, COUNTIF($AS$9:$AS150, $AP$10:$AP$258), ""), 0)),"")</f>
        <v/>
      </c>
      <c r="AT151" s="903" t="str">
        <f>IF(AND(OR(AD151="Yes",AD151="Pending"),Q151='G-7 WaterC'' Data'!$G$4),U151-AA151-Z151,"0")</f>
        <v>0</v>
      </c>
      <c r="AU151" s="30" t="str">
        <f>IF(D151="","",VLOOKUP(D151,'G-7 WaterC'' Data'!B$4:M$8,12,FALSE))</f>
        <v/>
      </c>
      <c r="AV151" s="30" t="str">
        <f t="shared" si="24"/>
        <v/>
      </c>
      <c r="AW151" s="30" t="str">
        <f t="shared" si="34"/>
        <v>No</v>
      </c>
      <c r="BA151" s="571" t="str">
        <f t="shared" si="35"/>
        <v/>
      </c>
    </row>
    <row r="152" spans="3:53" ht="14.4" thickBot="1" x14ac:dyDescent="0.3">
      <c r="C152" s="101">
        <v>143</v>
      </c>
      <c r="D152" s="269"/>
      <c r="E152" s="108"/>
      <c r="F152" s="281" t="str">
        <f>IF(D152="","",VLOOKUP(D152,'G-7 WaterC'' Data'!$B$2:$G$8,2,FALSE))</f>
        <v/>
      </c>
      <c r="G152" s="320" t="str">
        <f>IFERROR(VLOOKUP(F152,'G-7 WaterC'' Data'!$C$4:$D$8,2,FALSE),"")</f>
        <v/>
      </c>
      <c r="H152" s="109"/>
      <c r="I152" s="305" t="str">
        <f>IFERROR(INDEX('G-7 WaterC'' Data'!$H$4:$L$8,MATCH(D152,'G-7 WaterC'' Data'!$B$4:$B$8,0),MATCH(H152,'G-7 WaterC'' Data'!$H$3:$L$3,0)),"")</f>
        <v/>
      </c>
      <c r="J152" s="718"/>
      <c r="K152" s="301" t="str">
        <f>IF(J152="","",IF(VLOOKUP(J152,'G-7 WaterC'' Data'!$AK$4:$AM$9,2,FALSE)=0,"Spatial Data Missing ⚠",VLOOKUP(J152,'G-7 WaterC'' Data'!$AK$4:$AM$6,2,FALSE)))</f>
        <v/>
      </c>
      <c r="L152" s="305" t="str">
        <f>IF(J152="","",IF(VLOOKUP(J152,'G-7 WaterC'' Data'!$AK$4:$AM$9,3,FALSE)=0,"Spatial Data Missing ⚠",VLOOKUP(J152,'G-7 WaterC'' Data'!$AK$4:$AM$6,3,FALSE)))</f>
        <v/>
      </c>
      <c r="M152" s="106"/>
      <c r="N152" s="282" t="str">
        <f>IF(M152="","",IF(AND(M152="N/A - Culvert",D152&lt;&gt;"Culvert"),"Not possible ▲",IF(AND(D152="Culvert",M152&lt;&gt;"N/A - Culvert"),"Not possible ▲",IF(VLOOKUP(M152,'G-7 WaterC'' Data'!$AA$4:$AB$7,2,FALSE)=0,"Spatial Data Missing ⚠",VLOOKUP(M152,'G-7 WaterC'' Data'!$AA$4:$AB$7,2,FALSE)))))</f>
        <v/>
      </c>
      <c r="O152" s="56"/>
      <c r="P152" s="282" t="str">
        <f>IF(O152="","",IF(AND(O152="N/A - Culvert",D152&lt;&gt;"Culvert"),"Not possible ▲",IF(AND(D152="Culvert",O152&lt;&gt;"N/A - Culvert"),"Not possible ▲",IF(VLOOKUP(O152,'G-7 WaterC'' Data'!$AD$4:$AE$14,2,FALSE)=0,"Spatial Data Missing ⚠",VLOOKUP(O152,'G-7 WaterC'' Data'!$AD$4:$AE$14,2,FALSE)))))</f>
        <v/>
      </c>
      <c r="Q152" s="288" t="str">
        <f>IF(D152="","",VLOOKUP(D152,'G-7 WaterC'' Data'!$B$4:$G$8,6,FALSE))</f>
        <v/>
      </c>
      <c r="R152" s="295" t="str">
        <f t="shared" si="25"/>
        <v xml:space="preserve"> </v>
      </c>
      <c r="S152" s="403"/>
      <c r="T152" s="287" t="str">
        <f>IF(S152="","",IF(VLOOKUP(S152,'G-7 WaterC'' Data'!$AO$4:$BO$7,2,FALSE)=0,"Spatial Data Missing ⚠",VLOOKUP(S152,'G-7 WaterC'' Data'!$AO$4:$BO$7,2,FALSE)))</f>
        <v/>
      </c>
      <c r="U152" s="295" t="str">
        <f t="shared" si="26"/>
        <v xml:space="preserve"> </v>
      </c>
      <c r="V152" s="710" t="str">
        <f t="shared" si="27"/>
        <v/>
      </c>
      <c r="W152" s="32"/>
      <c r="X152" s="105"/>
      <c r="Y152" s="112"/>
      <c r="Z152" s="293" t="str">
        <f t="shared" si="28"/>
        <v/>
      </c>
      <c r="AA152" s="293" t="str">
        <f t="shared" si="29"/>
        <v/>
      </c>
      <c r="AB152" s="293" t="str">
        <f t="shared" si="30"/>
        <v/>
      </c>
      <c r="AC152" s="507" t="str">
        <f>IFERROR(IF(OR(E152="",R152=""),"", IF(AND(AB152&lt;&gt;"",S152=""), "Spatial risk category missing ▲", IF(AND(Q152='G-7 WaterC'' Data'!$G$4,AD152="Yes"),"Alternative Compensation ✓", IF(AND(AD152="Pending", Q152='G-7 WaterC'' Data'!$G$4),"Bespoke compensation must be agreed ▲", IF((Z152+AA152)&gt;=U152,0, U152-Z152-AA152))))),"Check Data ⚠")</f>
        <v/>
      </c>
      <c r="AD152" s="403"/>
      <c r="AE152" s="109"/>
      <c r="AF152" s="108"/>
      <c r="AG152" s="108"/>
      <c r="AH152" s="108"/>
      <c r="AI152" s="54" t="str">
        <f>IF(OR(Q152="",AD152="Yes"),"",IF(Q152='G-1 All Habitats'!$X$9,E152-Y152-X152,"None"))</f>
        <v/>
      </c>
      <c r="AJ152" s="55" t="str">
        <f>IF(Q152="","", IF(Q152='G-1 All Habitats'!$X$9, AI152*G152*I152*L152*N152*P152,"None"))</f>
        <v/>
      </c>
      <c r="AK152" s="30" t="str">
        <f>IFERROR(INDEX('G-7 WaterC'' Data'!$AZ$3:$AZ$7,MATCH(D152,'G-7 WaterC'' Data'!$AY$3:$AY$7,0)),"")</f>
        <v/>
      </c>
      <c r="AL152" s="30">
        <f t="shared" si="31"/>
        <v>0</v>
      </c>
      <c r="AM152" s="111" t="str">
        <f t="shared" si="32"/>
        <v/>
      </c>
      <c r="AN152" s="111" t="str">
        <f t="shared" si="33"/>
        <v/>
      </c>
      <c r="AP152" s="111">
        <v>143</v>
      </c>
      <c r="AR152" s="111" t="str">
        <f t="array" ref="AR152">IFERROR(INDEX($AP$10:$AP$258, MATCH(0, IF(TRUE=$AM$10:$AM$258, COUNTIF($AR$9:$AR151, $AP$10:$AP$258), ""), 0)),"")</f>
        <v/>
      </c>
      <c r="AS152" s="111" t="str">
        <f t="array" ref="AS152">IFERROR(INDEX($AP$10:$AP$258, MATCH(0, IF(TRUE=$AN$10:$AN$258, COUNTIF($AS$9:$AS151, $AP$10:$AP$258), ""), 0)),"")</f>
        <v/>
      </c>
      <c r="AT152" s="903" t="str">
        <f>IF(AND(OR(AD152="Yes",AD152="Pending"),Q152='G-7 WaterC'' Data'!$G$4),U152-AA152-Z152,"0")</f>
        <v>0</v>
      </c>
      <c r="AU152" s="30" t="str">
        <f>IF(D152="","",VLOOKUP(D152,'G-7 WaterC'' Data'!B$4:M$8,12,FALSE))</f>
        <v/>
      </c>
      <c r="AV152" s="30" t="str">
        <f t="shared" si="24"/>
        <v/>
      </c>
      <c r="AW152" s="30" t="str">
        <f t="shared" si="34"/>
        <v>No</v>
      </c>
      <c r="BA152" s="571" t="str">
        <f t="shared" si="35"/>
        <v/>
      </c>
    </row>
    <row r="153" spans="3:53" ht="14.4" thickBot="1" x14ac:dyDescent="0.3">
      <c r="C153" s="101">
        <v>144</v>
      </c>
      <c r="D153" s="269"/>
      <c r="E153" s="108"/>
      <c r="F153" s="281" t="str">
        <f>IF(D153="","",VLOOKUP(D153,'G-7 WaterC'' Data'!$B$2:$G$8,2,FALSE))</f>
        <v/>
      </c>
      <c r="G153" s="320" t="str">
        <f>IFERROR(VLOOKUP(F153,'G-7 WaterC'' Data'!$C$4:$D$8,2,FALSE),"")</f>
        <v/>
      </c>
      <c r="H153" s="109"/>
      <c r="I153" s="305" t="str">
        <f>IFERROR(INDEX('G-7 WaterC'' Data'!$H$4:$L$8,MATCH(D153,'G-7 WaterC'' Data'!$B$4:$B$8,0),MATCH(H153,'G-7 WaterC'' Data'!$H$3:$L$3,0)),"")</f>
        <v/>
      </c>
      <c r="J153" s="718"/>
      <c r="K153" s="301" t="str">
        <f>IF(J153="","",IF(VLOOKUP(J153,'G-7 WaterC'' Data'!$AK$4:$AM$9,2,FALSE)=0,"Spatial Data Missing ⚠",VLOOKUP(J153,'G-7 WaterC'' Data'!$AK$4:$AM$6,2,FALSE)))</f>
        <v/>
      </c>
      <c r="L153" s="305" t="str">
        <f>IF(J153="","",IF(VLOOKUP(J153,'G-7 WaterC'' Data'!$AK$4:$AM$9,3,FALSE)=0,"Spatial Data Missing ⚠",VLOOKUP(J153,'G-7 WaterC'' Data'!$AK$4:$AM$6,3,FALSE)))</f>
        <v/>
      </c>
      <c r="M153" s="106"/>
      <c r="N153" s="282" t="str">
        <f>IF(M153="","",IF(AND(M153="N/A - Culvert",D153&lt;&gt;"Culvert"),"Not possible ▲",IF(AND(D153="Culvert",M153&lt;&gt;"N/A - Culvert"),"Not possible ▲",IF(VLOOKUP(M153,'G-7 WaterC'' Data'!$AA$4:$AB$7,2,FALSE)=0,"Spatial Data Missing ⚠",VLOOKUP(M153,'G-7 WaterC'' Data'!$AA$4:$AB$7,2,FALSE)))))</f>
        <v/>
      </c>
      <c r="O153" s="56"/>
      <c r="P153" s="282" t="str">
        <f>IF(O153="","",IF(AND(O153="N/A - Culvert",D153&lt;&gt;"Culvert"),"Not possible ▲",IF(AND(D153="Culvert",O153&lt;&gt;"N/A - Culvert"),"Not possible ▲",IF(VLOOKUP(O153,'G-7 WaterC'' Data'!$AD$4:$AE$14,2,FALSE)=0,"Spatial Data Missing ⚠",VLOOKUP(O153,'G-7 WaterC'' Data'!$AD$4:$AE$14,2,FALSE)))))</f>
        <v/>
      </c>
      <c r="Q153" s="288" t="str">
        <f>IF(D153="","",VLOOKUP(D153,'G-7 WaterC'' Data'!$B$4:$G$8,6,FALSE))</f>
        <v/>
      </c>
      <c r="R153" s="295" t="str">
        <f t="shared" si="25"/>
        <v xml:space="preserve"> </v>
      </c>
      <c r="S153" s="403"/>
      <c r="T153" s="287" t="str">
        <f>IF(S153="","",IF(VLOOKUP(S153,'G-7 WaterC'' Data'!$AO$4:$BO$7,2,FALSE)=0,"Spatial Data Missing ⚠",VLOOKUP(S153,'G-7 WaterC'' Data'!$AO$4:$BO$7,2,FALSE)))</f>
        <v/>
      </c>
      <c r="U153" s="295" t="str">
        <f t="shared" si="26"/>
        <v xml:space="preserve"> </v>
      </c>
      <c r="V153" s="710" t="str">
        <f t="shared" si="27"/>
        <v/>
      </c>
      <c r="W153" s="32"/>
      <c r="X153" s="105"/>
      <c r="Y153" s="112"/>
      <c r="Z153" s="293" t="str">
        <f t="shared" si="28"/>
        <v/>
      </c>
      <c r="AA153" s="293" t="str">
        <f t="shared" si="29"/>
        <v/>
      </c>
      <c r="AB153" s="293" t="str">
        <f t="shared" si="30"/>
        <v/>
      </c>
      <c r="AC153" s="507" t="str">
        <f>IFERROR(IF(OR(E153="",R153=""),"", IF(AND(AB153&lt;&gt;"",S153=""), "Spatial risk category missing ▲", IF(AND(Q153='G-7 WaterC'' Data'!$G$4,AD153="Yes"),"Alternative Compensation ✓", IF(AND(AD153="Pending", Q153='G-7 WaterC'' Data'!$G$4),"Bespoke compensation must be agreed ▲", IF((Z153+AA153)&gt;=U153,0, U153-Z153-AA153))))),"Check Data ⚠")</f>
        <v/>
      </c>
      <c r="AD153" s="403"/>
      <c r="AE153" s="109"/>
      <c r="AF153" s="108"/>
      <c r="AG153" s="108"/>
      <c r="AH153" s="108"/>
      <c r="AI153" s="54" t="str">
        <f>IF(OR(Q153="",AD153="Yes"),"",IF(Q153='G-1 All Habitats'!$X$9,E153-Y153-X153,"None"))</f>
        <v/>
      </c>
      <c r="AJ153" s="55" t="str">
        <f>IF(Q153="","", IF(Q153='G-1 All Habitats'!$X$9, AI153*G153*I153*L153*N153*P153,"None"))</f>
        <v/>
      </c>
      <c r="AK153" s="30" t="str">
        <f>IFERROR(INDEX('G-7 WaterC'' Data'!$AZ$3:$AZ$7,MATCH(D153,'G-7 WaterC'' Data'!$AY$3:$AY$7,0)),"")</f>
        <v/>
      </c>
      <c r="AL153" s="30">
        <f t="shared" si="31"/>
        <v>0</v>
      </c>
      <c r="AM153" s="111" t="str">
        <f t="shared" si="32"/>
        <v/>
      </c>
      <c r="AN153" s="111" t="str">
        <f t="shared" si="33"/>
        <v/>
      </c>
      <c r="AP153" s="111">
        <v>144</v>
      </c>
      <c r="AR153" s="111" t="str">
        <f t="array" ref="AR153">IFERROR(INDEX($AP$10:$AP$258, MATCH(0, IF(TRUE=$AM$10:$AM$258, COUNTIF($AR$9:$AR152, $AP$10:$AP$258), ""), 0)),"")</f>
        <v/>
      </c>
      <c r="AS153" s="111" t="str">
        <f t="array" ref="AS153">IFERROR(INDEX($AP$10:$AP$258, MATCH(0, IF(TRUE=$AN$10:$AN$258, COUNTIF($AS$9:$AS152, $AP$10:$AP$258), ""), 0)),"")</f>
        <v/>
      </c>
      <c r="AT153" s="903" t="str">
        <f>IF(AND(OR(AD153="Yes",AD153="Pending"),Q153='G-7 WaterC'' Data'!$G$4),U153-AA153-Z153,"0")</f>
        <v>0</v>
      </c>
      <c r="AU153" s="30" t="str">
        <f>IF(D153="","",VLOOKUP(D153,'G-7 WaterC'' Data'!B$4:M$8,12,FALSE))</f>
        <v/>
      </c>
      <c r="AV153" s="30" t="str">
        <f t="shared" si="24"/>
        <v/>
      </c>
      <c r="AW153" s="30" t="str">
        <f t="shared" si="34"/>
        <v>No</v>
      </c>
      <c r="BA153" s="571" t="str">
        <f t="shared" si="35"/>
        <v/>
      </c>
    </row>
    <row r="154" spans="3:53" ht="14.4" thickBot="1" x14ac:dyDescent="0.3">
      <c r="C154" s="101">
        <v>145</v>
      </c>
      <c r="D154" s="269"/>
      <c r="E154" s="108"/>
      <c r="F154" s="281" t="str">
        <f>IF(D154="","",VLOOKUP(D154,'G-7 WaterC'' Data'!$B$2:$G$8,2,FALSE))</f>
        <v/>
      </c>
      <c r="G154" s="320" t="str">
        <f>IFERROR(VLOOKUP(F154,'G-7 WaterC'' Data'!$C$4:$D$8,2,FALSE),"")</f>
        <v/>
      </c>
      <c r="H154" s="109"/>
      <c r="I154" s="305" t="str">
        <f>IFERROR(INDEX('G-7 WaterC'' Data'!$H$4:$L$8,MATCH(D154,'G-7 WaterC'' Data'!$B$4:$B$8,0),MATCH(H154,'G-7 WaterC'' Data'!$H$3:$L$3,0)),"")</f>
        <v/>
      </c>
      <c r="J154" s="718"/>
      <c r="K154" s="301" t="str">
        <f>IF(J154="","",IF(VLOOKUP(J154,'G-7 WaterC'' Data'!$AK$4:$AM$9,2,FALSE)=0,"Spatial Data Missing ⚠",VLOOKUP(J154,'G-7 WaterC'' Data'!$AK$4:$AM$6,2,FALSE)))</f>
        <v/>
      </c>
      <c r="L154" s="305" t="str">
        <f>IF(J154="","",IF(VLOOKUP(J154,'G-7 WaterC'' Data'!$AK$4:$AM$9,3,FALSE)=0,"Spatial Data Missing ⚠",VLOOKUP(J154,'G-7 WaterC'' Data'!$AK$4:$AM$6,3,FALSE)))</f>
        <v/>
      </c>
      <c r="M154" s="106"/>
      <c r="N154" s="282" t="str">
        <f>IF(M154="","",IF(AND(M154="N/A - Culvert",D154&lt;&gt;"Culvert"),"Not possible ▲",IF(AND(D154="Culvert",M154&lt;&gt;"N/A - Culvert"),"Not possible ▲",IF(VLOOKUP(M154,'G-7 WaterC'' Data'!$AA$4:$AB$7,2,FALSE)=0,"Spatial Data Missing ⚠",VLOOKUP(M154,'G-7 WaterC'' Data'!$AA$4:$AB$7,2,FALSE)))))</f>
        <v/>
      </c>
      <c r="O154" s="56"/>
      <c r="P154" s="282" t="str">
        <f>IF(O154="","",IF(AND(O154="N/A - Culvert",D154&lt;&gt;"Culvert"),"Not possible ▲",IF(AND(D154="Culvert",O154&lt;&gt;"N/A - Culvert"),"Not possible ▲",IF(VLOOKUP(O154,'G-7 WaterC'' Data'!$AD$4:$AE$14,2,FALSE)=0,"Spatial Data Missing ⚠",VLOOKUP(O154,'G-7 WaterC'' Data'!$AD$4:$AE$14,2,FALSE)))))</f>
        <v/>
      </c>
      <c r="Q154" s="288" t="str">
        <f>IF(D154="","",VLOOKUP(D154,'G-7 WaterC'' Data'!$B$4:$G$8,6,FALSE))</f>
        <v/>
      </c>
      <c r="R154" s="295" t="str">
        <f t="shared" si="25"/>
        <v xml:space="preserve"> </v>
      </c>
      <c r="S154" s="403"/>
      <c r="T154" s="287" t="str">
        <f>IF(S154="","",IF(VLOOKUP(S154,'G-7 WaterC'' Data'!$AO$4:$BO$7,2,FALSE)=0,"Spatial Data Missing ⚠",VLOOKUP(S154,'G-7 WaterC'' Data'!$AO$4:$BO$7,2,FALSE)))</f>
        <v/>
      </c>
      <c r="U154" s="295" t="str">
        <f t="shared" si="26"/>
        <v xml:space="preserve"> </v>
      </c>
      <c r="V154" s="710" t="str">
        <f t="shared" si="27"/>
        <v/>
      </c>
      <c r="W154" s="32"/>
      <c r="X154" s="105"/>
      <c r="Y154" s="112"/>
      <c r="Z154" s="293" t="str">
        <f t="shared" si="28"/>
        <v/>
      </c>
      <c r="AA154" s="293" t="str">
        <f t="shared" si="29"/>
        <v/>
      </c>
      <c r="AB154" s="293" t="str">
        <f t="shared" si="30"/>
        <v/>
      </c>
      <c r="AC154" s="507" t="str">
        <f>IFERROR(IF(OR(E154="",R154=""),"", IF(AND(AB154&lt;&gt;"",S154=""), "Spatial risk category missing ▲", IF(AND(Q154='G-7 WaterC'' Data'!$G$4,AD154="Yes"),"Alternative Compensation ✓", IF(AND(AD154="Pending", Q154='G-7 WaterC'' Data'!$G$4),"Bespoke compensation must be agreed ▲", IF((Z154+AA154)&gt;=U154,0, U154-Z154-AA154))))),"Check Data ⚠")</f>
        <v/>
      </c>
      <c r="AD154" s="403"/>
      <c r="AE154" s="109"/>
      <c r="AF154" s="108"/>
      <c r="AG154" s="108"/>
      <c r="AH154" s="108"/>
      <c r="AI154" s="54" t="str">
        <f>IF(OR(Q154="",AD154="Yes"),"",IF(Q154='G-1 All Habitats'!$X$9,E154-Y154-X154,"None"))</f>
        <v/>
      </c>
      <c r="AJ154" s="55" t="str">
        <f>IF(Q154="","", IF(Q154='G-1 All Habitats'!$X$9, AI154*G154*I154*L154*N154*P154,"None"))</f>
        <v/>
      </c>
      <c r="AK154" s="30" t="str">
        <f>IFERROR(INDEX('G-7 WaterC'' Data'!$AZ$3:$AZ$7,MATCH(D154,'G-7 WaterC'' Data'!$AY$3:$AY$7,0)),"")</f>
        <v/>
      </c>
      <c r="AL154" s="30">
        <f t="shared" si="31"/>
        <v>0</v>
      </c>
      <c r="AM154" s="111" t="str">
        <f t="shared" si="32"/>
        <v/>
      </c>
      <c r="AN154" s="111" t="str">
        <f t="shared" si="33"/>
        <v/>
      </c>
      <c r="AP154" s="111">
        <v>145</v>
      </c>
      <c r="AR154" s="111" t="str">
        <f t="array" ref="AR154">IFERROR(INDEX($AP$10:$AP$258, MATCH(0, IF(TRUE=$AM$10:$AM$258, COUNTIF($AR$9:$AR153, $AP$10:$AP$258), ""), 0)),"")</f>
        <v/>
      </c>
      <c r="AS154" s="111" t="str">
        <f t="array" ref="AS154">IFERROR(INDEX($AP$10:$AP$258, MATCH(0, IF(TRUE=$AN$10:$AN$258, COUNTIF($AS$9:$AS153, $AP$10:$AP$258), ""), 0)),"")</f>
        <v/>
      </c>
      <c r="AT154" s="903" t="str">
        <f>IF(AND(OR(AD154="Yes",AD154="Pending"),Q154='G-7 WaterC'' Data'!$G$4),U154-AA154-Z154,"0")</f>
        <v>0</v>
      </c>
      <c r="AU154" s="30" t="str">
        <f>IF(D154="","",VLOOKUP(D154,'G-7 WaterC'' Data'!B$4:M$8,12,FALSE))</f>
        <v/>
      </c>
      <c r="AV154" s="30" t="str">
        <f t="shared" si="24"/>
        <v/>
      </c>
      <c r="AW154" s="30" t="str">
        <f t="shared" si="34"/>
        <v>No</v>
      </c>
      <c r="BA154" s="571" t="str">
        <f t="shared" si="35"/>
        <v/>
      </c>
    </row>
    <row r="155" spans="3:53" ht="14.4" thickBot="1" x14ac:dyDescent="0.3">
      <c r="C155" s="101">
        <v>146</v>
      </c>
      <c r="D155" s="269"/>
      <c r="E155" s="108"/>
      <c r="F155" s="281" t="str">
        <f>IF(D155="","",VLOOKUP(D155,'G-7 WaterC'' Data'!$B$2:$G$8,2,FALSE))</f>
        <v/>
      </c>
      <c r="G155" s="320" t="str">
        <f>IFERROR(VLOOKUP(F155,'G-7 WaterC'' Data'!$C$4:$D$8,2,FALSE),"")</f>
        <v/>
      </c>
      <c r="H155" s="109"/>
      <c r="I155" s="305" t="str">
        <f>IFERROR(INDEX('G-7 WaterC'' Data'!$H$4:$L$8,MATCH(D155,'G-7 WaterC'' Data'!$B$4:$B$8,0),MATCH(H155,'G-7 WaterC'' Data'!$H$3:$L$3,0)),"")</f>
        <v/>
      </c>
      <c r="J155" s="718"/>
      <c r="K155" s="301" t="str">
        <f>IF(J155="","",IF(VLOOKUP(J155,'G-7 WaterC'' Data'!$AK$4:$AM$9,2,FALSE)=0,"Spatial Data Missing ⚠",VLOOKUP(J155,'G-7 WaterC'' Data'!$AK$4:$AM$6,2,FALSE)))</f>
        <v/>
      </c>
      <c r="L155" s="305" t="str">
        <f>IF(J155="","",IF(VLOOKUP(J155,'G-7 WaterC'' Data'!$AK$4:$AM$9,3,FALSE)=0,"Spatial Data Missing ⚠",VLOOKUP(J155,'G-7 WaterC'' Data'!$AK$4:$AM$6,3,FALSE)))</f>
        <v/>
      </c>
      <c r="M155" s="106"/>
      <c r="N155" s="282" t="str">
        <f>IF(M155="","",IF(AND(M155="N/A - Culvert",D155&lt;&gt;"Culvert"),"Not possible ▲",IF(AND(D155="Culvert",M155&lt;&gt;"N/A - Culvert"),"Not possible ▲",IF(VLOOKUP(M155,'G-7 WaterC'' Data'!$AA$4:$AB$7,2,FALSE)=0,"Spatial Data Missing ⚠",VLOOKUP(M155,'G-7 WaterC'' Data'!$AA$4:$AB$7,2,FALSE)))))</f>
        <v/>
      </c>
      <c r="O155" s="56"/>
      <c r="P155" s="282" t="str">
        <f>IF(O155="","",IF(AND(O155="N/A - Culvert",D155&lt;&gt;"Culvert"),"Not possible ▲",IF(AND(D155="Culvert",O155&lt;&gt;"N/A - Culvert"),"Not possible ▲",IF(VLOOKUP(O155,'G-7 WaterC'' Data'!$AD$4:$AE$14,2,FALSE)=0,"Spatial Data Missing ⚠",VLOOKUP(O155,'G-7 WaterC'' Data'!$AD$4:$AE$14,2,FALSE)))))</f>
        <v/>
      </c>
      <c r="Q155" s="288" t="str">
        <f>IF(D155="","",VLOOKUP(D155,'G-7 WaterC'' Data'!$B$4:$G$8,6,FALSE))</f>
        <v/>
      </c>
      <c r="R155" s="295" t="str">
        <f t="shared" si="25"/>
        <v xml:space="preserve"> </v>
      </c>
      <c r="S155" s="403"/>
      <c r="T155" s="287" t="str">
        <f>IF(S155="","",IF(VLOOKUP(S155,'G-7 WaterC'' Data'!$AO$4:$BO$7,2,FALSE)=0,"Spatial Data Missing ⚠",VLOOKUP(S155,'G-7 WaterC'' Data'!$AO$4:$BO$7,2,FALSE)))</f>
        <v/>
      </c>
      <c r="U155" s="295" t="str">
        <f t="shared" si="26"/>
        <v xml:space="preserve"> </v>
      </c>
      <c r="V155" s="710" t="str">
        <f t="shared" si="27"/>
        <v/>
      </c>
      <c r="W155" s="32"/>
      <c r="X155" s="105"/>
      <c r="Y155" s="112"/>
      <c r="Z155" s="293" t="str">
        <f t="shared" si="28"/>
        <v/>
      </c>
      <c r="AA155" s="293" t="str">
        <f t="shared" si="29"/>
        <v/>
      </c>
      <c r="AB155" s="293" t="str">
        <f t="shared" si="30"/>
        <v/>
      </c>
      <c r="AC155" s="507" t="str">
        <f>IFERROR(IF(OR(E155="",R155=""),"", IF(AND(AB155&lt;&gt;"",S155=""), "Spatial risk category missing ▲", IF(AND(Q155='G-7 WaterC'' Data'!$G$4,AD155="Yes"),"Alternative Compensation ✓", IF(AND(AD155="Pending", Q155='G-7 WaterC'' Data'!$G$4),"Bespoke compensation must be agreed ▲", IF((Z155+AA155)&gt;=U155,0, U155-Z155-AA155))))),"Check Data ⚠")</f>
        <v/>
      </c>
      <c r="AD155" s="403"/>
      <c r="AE155" s="109"/>
      <c r="AF155" s="108"/>
      <c r="AG155" s="108"/>
      <c r="AH155" s="108"/>
      <c r="AI155" s="54" t="str">
        <f>IF(OR(Q155="",AD155="Yes"),"",IF(Q155='G-1 All Habitats'!$X$9,E155-Y155-X155,"None"))</f>
        <v/>
      </c>
      <c r="AJ155" s="55" t="str">
        <f>IF(Q155="","", IF(Q155='G-1 All Habitats'!$X$9, AI155*G155*I155*L155*N155*P155,"None"))</f>
        <v/>
      </c>
      <c r="AK155" s="30" t="str">
        <f>IFERROR(INDEX('G-7 WaterC'' Data'!$AZ$3:$AZ$7,MATCH(D155,'G-7 WaterC'' Data'!$AY$3:$AY$7,0)),"")</f>
        <v/>
      </c>
      <c r="AL155" s="30">
        <f t="shared" si="31"/>
        <v>0</v>
      </c>
      <c r="AM155" s="111" t="str">
        <f t="shared" si="32"/>
        <v/>
      </c>
      <c r="AN155" s="111" t="str">
        <f t="shared" si="33"/>
        <v/>
      </c>
      <c r="AP155" s="111">
        <v>146</v>
      </c>
      <c r="AR155" s="111" t="str">
        <f t="array" ref="AR155">IFERROR(INDEX($AP$10:$AP$258, MATCH(0, IF(TRUE=$AM$10:$AM$258, COUNTIF($AR$9:$AR154, $AP$10:$AP$258), ""), 0)),"")</f>
        <v/>
      </c>
      <c r="AS155" s="111" t="str">
        <f t="array" ref="AS155">IFERROR(INDEX($AP$10:$AP$258, MATCH(0, IF(TRUE=$AN$10:$AN$258, COUNTIF($AS$9:$AS154, $AP$10:$AP$258), ""), 0)),"")</f>
        <v/>
      </c>
      <c r="AT155" s="903" t="str">
        <f>IF(AND(OR(AD155="Yes",AD155="Pending"),Q155='G-7 WaterC'' Data'!$G$4),U155-AA155-Z155,"0")</f>
        <v>0</v>
      </c>
      <c r="AU155" s="30" t="str">
        <f>IF(D155="","",VLOOKUP(D155,'G-7 WaterC'' Data'!B$4:M$8,12,FALSE))</f>
        <v/>
      </c>
      <c r="AV155" s="30" t="str">
        <f t="shared" si="24"/>
        <v/>
      </c>
      <c r="AW155" s="30" t="str">
        <f t="shared" si="34"/>
        <v>No</v>
      </c>
      <c r="BA155" s="571" t="str">
        <f t="shared" si="35"/>
        <v/>
      </c>
    </row>
    <row r="156" spans="3:53" ht="14.4" thickBot="1" x14ac:dyDescent="0.3">
      <c r="C156" s="101">
        <v>147</v>
      </c>
      <c r="D156" s="269"/>
      <c r="E156" s="108"/>
      <c r="F156" s="281" t="str">
        <f>IF(D156="","",VLOOKUP(D156,'G-7 WaterC'' Data'!$B$2:$G$8,2,FALSE))</f>
        <v/>
      </c>
      <c r="G156" s="320" t="str">
        <f>IFERROR(VLOOKUP(F156,'G-7 WaterC'' Data'!$C$4:$D$8,2,FALSE),"")</f>
        <v/>
      </c>
      <c r="H156" s="109"/>
      <c r="I156" s="305" t="str">
        <f>IFERROR(INDEX('G-7 WaterC'' Data'!$H$4:$L$8,MATCH(D156,'G-7 WaterC'' Data'!$B$4:$B$8,0),MATCH(H156,'G-7 WaterC'' Data'!$H$3:$L$3,0)),"")</f>
        <v/>
      </c>
      <c r="J156" s="718"/>
      <c r="K156" s="301" t="str">
        <f>IF(J156="","",IF(VLOOKUP(J156,'G-7 WaterC'' Data'!$AK$4:$AM$9,2,FALSE)=0,"Spatial Data Missing ⚠",VLOOKUP(J156,'G-7 WaterC'' Data'!$AK$4:$AM$6,2,FALSE)))</f>
        <v/>
      </c>
      <c r="L156" s="305" t="str">
        <f>IF(J156="","",IF(VLOOKUP(J156,'G-7 WaterC'' Data'!$AK$4:$AM$9,3,FALSE)=0,"Spatial Data Missing ⚠",VLOOKUP(J156,'G-7 WaterC'' Data'!$AK$4:$AM$6,3,FALSE)))</f>
        <v/>
      </c>
      <c r="M156" s="106"/>
      <c r="N156" s="282" t="str">
        <f>IF(M156="","",IF(AND(M156="N/A - Culvert",D156&lt;&gt;"Culvert"),"Not possible ▲",IF(AND(D156="Culvert",M156&lt;&gt;"N/A - Culvert"),"Not possible ▲",IF(VLOOKUP(M156,'G-7 WaterC'' Data'!$AA$4:$AB$7,2,FALSE)=0,"Spatial Data Missing ⚠",VLOOKUP(M156,'G-7 WaterC'' Data'!$AA$4:$AB$7,2,FALSE)))))</f>
        <v/>
      </c>
      <c r="O156" s="56"/>
      <c r="P156" s="282" t="str">
        <f>IF(O156="","",IF(AND(O156="N/A - Culvert",D156&lt;&gt;"Culvert"),"Not possible ▲",IF(AND(D156="Culvert",O156&lt;&gt;"N/A - Culvert"),"Not possible ▲",IF(VLOOKUP(O156,'G-7 WaterC'' Data'!$AD$4:$AE$14,2,FALSE)=0,"Spatial Data Missing ⚠",VLOOKUP(O156,'G-7 WaterC'' Data'!$AD$4:$AE$14,2,FALSE)))))</f>
        <v/>
      </c>
      <c r="Q156" s="288" t="str">
        <f>IF(D156="","",VLOOKUP(D156,'G-7 WaterC'' Data'!$B$4:$G$8,6,FALSE))</f>
        <v/>
      </c>
      <c r="R156" s="295" t="str">
        <f t="shared" si="25"/>
        <v xml:space="preserve"> </v>
      </c>
      <c r="S156" s="403"/>
      <c r="T156" s="287" t="str">
        <f>IF(S156="","",IF(VLOOKUP(S156,'G-7 WaterC'' Data'!$AO$4:$BO$7,2,FALSE)=0,"Spatial Data Missing ⚠",VLOOKUP(S156,'G-7 WaterC'' Data'!$AO$4:$BO$7,2,FALSE)))</f>
        <v/>
      </c>
      <c r="U156" s="295" t="str">
        <f t="shared" si="26"/>
        <v xml:space="preserve"> </v>
      </c>
      <c r="V156" s="710" t="str">
        <f t="shared" si="27"/>
        <v/>
      </c>
      <c r="W156" s="32"/>
      <c r="X156" s="105"/>
      <c r="Y156" s="112"/>
      <c r="Z156" s="293" t="str">
        <f t="shared" si="28"/>
        <v/>
      </c>
      <c r="AA156" s="293" t="str">
        <f t="shared" si="29"/>
        <v/>
      </c>
      <c r="AB156" s="293" t="str">
        <f t="shared" si="30"/>
        <v/>
      </c>
      <c r="AC156" s="507" t="str">
        <f>IFERROR(IF(OR(E156="",R156=""),"", IF(AND(AB156&lt;&gt;"",S156=""), "Spatial risk category missing ▲", IF(AND(Q156='G-7 WaterC'' Data'!$G$4,AD156="Yes"),"Alternative Compensation ✓", IF(AND(AD156="Pending", Q156='G-7 WaterC'' Data'!$G$4),"Bespoke compensation must be agreed ▲", IF((Z156+AA156)&gt;=U156,0, U156-Z156-AA156))))),"Check Data ⚠")</f>
        <v/>
      </c>
      <c r="AD156" s="403"/>
      <c r="AE156" s="109"/>
      <c r="AF156" s="108"/>
      <c r="AG156" s="108"/>
      <c r="AH156" s="108"/>
      <c r="AI156" s="54" t="str">
        <f>IF(OR(Q156="",AD156="Yes"),"",IF(Q156='G-1 All Habitats'!$X$9,E156-Y156-X156,"None"))</f>
        <v/>
      </c>
      <c r="AJ156" s="55" t="str">
        <f>IF(Q156="","", IF(Q156='G-1 All Habitats'!$X$9, AI156*G156*I156*L156*N156*P156,"None"))</f>
        <v/>
      </c>
      <c r="AK156" s="30" t="str">
        <f>IFERROR(INDEX('G-7 WaterC'' Data'!$AZ$3:$AZ$7,MATCH(D156,'G-7 WaterC'' Data'!$AY$3:$AY$7,0)),"")</f>
        <v/>
      </c>
      <c r="AL156" s="30">
        <f t="shared" si="31"/>
        <v>0</v>
      </c>
      <c r="AM156" s="111" t="str">
        <f t="shared" si="32"/>
        <v/>
      </c>
      <c r="AN156" s="111" t="str">
        <f t="shared" si="33"/>
        <v/>
      </c>
      <c r="AP156" s="111">
        <v>147</v>
      </c>
      <c r="AR156" s="111" t="str">
        <f t="array" ref="AR156">IFERROR(INDEX($AP$10:$AP$258, MATCH(0, IF(TRUE=$AM$10:$AM$258, COUNTIF($AR$9:$AR155, $AP$10:$AP$258), ""), 0)),"")</f>
        <v/>
      </c>
      <c r="AS156" s="111" t="str">
        <f t="array" ref="AS156">IFERROR(INDEX($AP$10:$AP$258, MATCH(0, IF(TRUE=$AN$10:$AN$258, COUNTIF($AS$9:$AS155, $AP$10:$AP$258), ""), 0)),"")</f>
        <v/>
      </c>
      <c r="AT156" s="903" t="str">
        <f>IF(AND(OR(AD156="Yes",AD156="Pending"),Q156='G-7 WaterC'' Data'!$G$4),U156-AA156-Z156,"0")</f>
        <v>0</v>
      </c>
      <c r="AU156" s="30" t="str">
        <f>IF(D156="","",VLOOKUP(D156,'G-7 WaterC'' Data'!B$4:M$8,12,FALSE))</f>
        <v/>
      </c>
      <c r="AV156" s="30" t="str">
        <f t="shared" si="24"/>
        <v/>
      </c>
      <c r="AW156" s="30" t="str">
        <f t="shared" si="34"/>
        <v>No</v>
      </c>
      <c r="BA156" s="571" t="str">
        <f t="shared" si="35"/>
        <v/>
      </c>
    </row>
    <row r="157" spans="3:53" ht="14.4" thickBot="1" x14ac:dyDescent="0.3">
      <c r="C157" s="101">
        <v>148</v>
      </c>
      <c r="D157" s="269"/>
      <c r="E157" s="108"/>
      <c r="F157" s="281" t="str">
        <f>IF(D157="","",VLOOKUP(D157,'G-7 WaterC'' Data'!$B$2:$G$8,2,FALSE))</f>
        <v/>
      </c>
      <c r="G157" s="320" t="str">
        <f>IFERROR(VLOOKUP(F157,'G-7 WaterC'' Data'!$C$4:$D$8,2,FALSE),"")</f>
        <v/>
      </c>
      <c r="H157" s="109"/>
      <c r="I157" s="305" t="str">
        <f>IFERROR(INDEX('G-7 WaterC'' Data'!$H$4:$L$8,MATCH(D157,'G-7 WaterC'' Data'!$B$4:$B$8,0),MATCH(H157,'G-7 WaterC'' Data'!$H$3:$L$3,0)),"")</f>
        <v/>
      </c>
      <c r="J157" s="718"/>
      <c r="K157" s="301" t="str">
        <f>IF(J157="","",IF(VLOOKUP(J157,'G-7 WaterC'' Data'!$AK$4:$AM$9,2,FALSE)=0,"Spatial Data Missing ⚠",VLOOKUP(J157,'G-7 WaterC'' Data'!$AK$4:$AM$6,2,FALSE)))</f>
        <v/>
      </c>
      <c r="L157" s="305" t="str">
        <f>IF(J157="","",IF(VLOOKUP(J157,'G-7 WaterC'' Data'!$AK$4:$AM$9,3,FALSE)=0,"Spatial Data Missing ⚠",VLOOKUP(J157,'G-7 WaterC'' Data'!$AK$4:$AM$6,3,FALSE)))</f>
        <v/>
      </c>
      <c r="M157" s="106"/>
      <c r="N157" s="282" t="str">
        <f>IF(M157="","",IF(AND(M157="N/A - Culvert",D157&lt;&gt;"Culvert"),"Not possible ▲",IF(AND(D157="Culvert",M157&lt;&gt;"N/A - Culvert"),"Not possible ▲",IF(VLOOKUP(M157,'G-7 WaterC'' Data'!$AA$4:$AB$7,2,FALSE)=0,"Spatial Data Missing ⚠",VLOOKUP(M157,'G-7 WaterC'' Data'!$AA$4:$AB$7,2,FALSE)))))</f>
        <v/>
      </c>
      <c r="O157" s="56"/>
      <c r="P157" s="282" t="str">
        <f>IF(O157="","",IF(AND(O157="N/A - Culvert",D157&lt;&gt;"Culvert"),"Not possible ▲",IF(AND(D157="Culvert",O157&lt;&gt;"N/A - Culvert"),"Not possible ▲",IF(VLOOKUP(O157,'G-7 WaterC'' Data'!$AD$4:$AE$14,2,FALSE)=0,"Spatial Data Missing ⚠",VLOOKUP(O157,'G-7 WaterC'' Data'!$AD$4:$AE$14,2,FALSE)))))</f>
        <v/>
      </c>
      <c r="Q157" s="288" t="str">
        <f>IF(D157="","",VLOOKUP(D157,'G-7 WaterC'' Data'!$B$4:$G$8,6,FALSE))</f>
        <v/>
      </c>
      <c r="R157" s="295" t="str">
        <f t="shared" si="25"/>
        <v xml:space="preserve"> </v>
      </c>
      <c r="S157" s="403"/>
      <c r="T157" s="287" t="str">
        <f>IF(S157="","",IF(VLOOKUP(S157,'G-7 WaterC'' Data'!$AO$4:$BO$7,2,FALSE)=0,"Spatial Data Missing ⚠",VLOOKUP(S157,'G-7 WaterC'' Data'!$AO$4:$BO$7,2,FALSE)))</f>
        <v/>
      </c>
      <c r="U157" s="295" t="str">
        <f t="shared" si="26"/>
        <v xml:space="preserve"> </v>
      </c>
      <c r="V157" s="710" t="str">
        <f t="shared" si="27"/>
        <v/>
      </c>
      <c r="W157" s="32"/>
      <c r="X157" s="105"/>
      <c r="Y157" s="112"/>
      <c r="Z157" s="293" t="str">
        <f t="shared" si="28"/>
        <v/>
      </c>
      <c r="AA157" s="293" t="str">
        <f t="shared" si="29"/>
        <v/>
      </c>
      <c r="AB157" s="293" t="str">
        <f t="shared" si="30"/>
        <v/>
      </c>
      <c r="AC157" s="507" t="str">
        <f>IFERROR(IF(OR(E157="",R157=""),"", IF(AND(AB157&lt;&gt;"",S157=""), "Spatial risk category missing ▲", IF(AND(Q157='G-7 WaterC'' Data'!$G$4,AD157="Yes"),"Alternative Compensation ✓", IF(AND(AD157="Pending", Q157='G-7 WaterC'' Data'!$G$4),"Bespoke compensation must be agreed ▲", IF((Z157+AA157)&gt;=U157,0, U157-Z157-AA157))))),"Check Data ⚠")</f>
        <v/>
      </c>
      <c r="AD157" s="403"/>
      <c r="AE157" s="109"/>
      <c r="AF157" s="108"/>
      <c r="AG157" s="108"/>
      <c r="AH157" s="108"/>
      <c r="AI157" s="54" t="str">
        <f>IF(OR(Q157="",AD157="Yes"),"",IF(Q157='G-1 All Habitats'!$X$9,E157-Y157-X157,"None"))</f>
        <v/>
      </c>
      <c r="AJ157" s="55" t="str">
        <f>IF(Q157="","", IF(Q157='G-1 All Habitats'!$X$9, AI157*G157*I157*L157*N157*P157,"None"))</f>
        <v/>
      </c>
      <c r="AK157" s="30" t="str">
        <f>IFERROR(INDEX('G-7 WaterC'' Data'!$AZ$3:$AZ$7,MATCH(D157,'G-7 WaterC'' Data'!$AY$3:$AY$7,0)),"")</f>
        <v/>
      </c>
      <c r="AL157" s="30">
        <f t="shared" si="31"/>
        <v>0</v>
      </c>
      <c r="AM157" s="111" t="str">
        <f t="shared" si="32"/>
        <v/>
      </c>
      <c r="AN157" s="111" t="str">
        <f t="shared" si="33"/>
        <v/>
      </c>
      <c r="AP157" s="111">
        <v>148</v>
      </c>
      <c r="AR157" s="111" t="str">
        <f t="array" ref="AR157">IFERROR(INDEX($AP$10:$AP$258, MATCH(0, IF(TRUE=$AM$10:$AM$258, COUNTIF($AR$9:$AR156, $AP$10:$AP$258), ""), 0)),"")</f>
        <v/>
      </c>
      <c r="AS157" s="111" t="str">
        <f t="array" ref="AS157">IFERROR(INDEX($AP$10:$AP$258, MATCH(0, IF(TRUE=$AN$10:$AN$258, COUNTIF($AS$9:$AS156, $AP$10:$AP$258), ""), 0)),"")</f>
        <v/>
      </c>
      <c r="AT157" s="903" t="str">
        <f>IF(AND(OR(AD157="Yes",AD157="Pending"),Q157='G-7 WaterC'' Data'!$G$4),U157-AA157-Z157,"0")</f>
        <v>0</v>
      </c>
      <c r="AU157" s="30" t="str">
        <f>IF(D157="","",VLOOKUP(D157,'G-7 WaterC'' Data'!B$4:M$8,12,FALSE))</f>
        <v/>
      </c>
      <c r="AV157" s="30" t="str">
        <f t="shared" si="24"/>
        <v/>
      </c>
      <c r="AW157" s="30" t="str">
        <f t="shared" si="34"/>
        <v>No</v>
      </c>
      <c r="BA157" s="571" t="str">
        <f t="shared" si="35"/>
        <v/>
      </c>
    </row>
    <row r="158" spans="3:53" ht="14.4" thickBot="1" x14ac:dyDescent="0.3">
      <c r="C158" s="101">
        <v>149</v>
      </c>
      <c r="D158" s="269"/>
      <c r="E158" s="108"/>
      <c r="F158" s="281" t="str">
        <f>IF(D158="","",VLOOKUP(D158,'G-7 WaterC'' Data'!$B$2:$G$8,2,FALSE))</f>
        <v/>
      </c>
      <c r="G158" s="320" t="str">
        <f>IFERROR(VLOOKUP(F158,'G-7 WaterC'' Data'!$C$4:$D$8,2,FALSE),"")</f>
        <v/>
      </c>
      <c r="H158" s="109"/>
      <c r="I158" s="305" t="str">
        <f>IFERROR(INDEX('G-7 WaterC'' Data'!$H$4:$L$8,MATCH(D158,'G-7 WaterC'' Data'!$B$4:$B$8,0),MATCH(H158,'G-7 WaterC'' Data'!$H$3:$L$3,0)),"")</f>
        <v/>
      </c>
      <c r="J158" s="718"/>
      <c r="K158" s="301" t="str">
        <f>IF(J158="","",IF(VLOOKUP(J158,'G-7 WaterC'' Data'!$AK$4:$AM$9,2,FALSE)=0,"Spatial Data Missing ⚠",VLOOKUP(J158,'G-7 WaterC'' Data'!$AK$4:$AM$6,2,FALSE)))</f>
        <v/>
      </c>
      <c r="L158" s="305" t="str">
        <f>IF(J158="","",IF(VLOOKUP(J158,'G-7 WaterC'' Data'!$AK$4:$AM$9,3,FALSE)=0,"Spatial Data Missing ⚠",VLOOKUP(J158,'G-7 WaterC'' Data'!$AK$4:$AM$6,3,FALSE)))</f>
        <v/>
      </c>
      <c r="M158" s="106"/>
      <c r="N158" s="282" t="str">
        <f>IF(M158="","",IF(AND(M158="N/A - Culvert",D158&lt;&gt;"Culvert"),"Not possible ▲",IF(AND(D158="Culvert",M158&lt;&gt;"N/A - Culvert"),"Not possible ▲",IF(VLOOKUP(M158,'G-7 WaterC'' Data'!$AA$4:$AB$7,2,FALSE)=0,"Spatial Data Missing ⚠",VLOOKUP(M158,'G-7 WaterC'' Data'!$AA$4:$AB$7,2,FALSE)))))</f>
        <v/>
      </c>
      <c r="O158" s="56"/>
      <c r="P158" s="282" t="str">
        <f>IF(O158="","",IF(AND(O158="N/A - Culvert",D158&lt;&gt;"Culvert"),"Not possible ▲",IF(AND(D158="Culvert",O158&lt;&gt;"N/A - Culvert"),"Not possible ▲",IF(VLOOKUP(O158,'G-7 WaterC'' Data'!$AD$4:$AE$14,2,FALSE)=0,"Spatial Data Missing ⚠",VLOOKUP(O158,'G-7 WaterC'' Data'!$AD$4:$AE$14,2,FALSE)))))</f>
        <v/>
      </c>
      <c r="Q158" s="288" t="str">
        <f>IF(D158="","",VLOOKUP(D158,'G-7 WaterC'' Data'!$B$4:$G$8,6,FALSE))</f>
        <v/>
      </c>
      <c r="R158" s="295" t="str">
        <f t="shared" si="25"/>
        <v xml:space="preserve"> </v>
      </c>
      <c r="S158" s="403"/>
      <c r="T158" s="287" t="str">
        <f>IF(S158="","",IF(VLOOKUP(S158,'G-7 WaterC'' Data'!$AO$4:$BO$7,2,FALSE)=0,"Spatial Data Missing ⚠",VLOOKUP(S158,'G-7 WaterC'' Data'!$AO$4:$BO$7,2,FALSE)))</f>
        <v/>
      </c>
      <c r="U158" s="295" t="str">
        <f t="shared" si="26"/>
        <v xml:space="preserve"> </v>
      </c>
      <c r="V158" s="710" t="str">
        <f t="shared" si="27"/>
        <v/>
      </c>
      <c r="W158" s="32"/>
      <c r="X158" s="105"/>
      <c r="Y158" s="112"/>
      <c r="Z158" s="293" t="str">
        <f t="shared" si="28"/>
        <v/>
      </c>
      <c r="AA158" s="293" t="str">
        <f t="shared" si="29"/>
        <v/>
      </c>
      <c r="AB158" s="293" t="str">
        <f t="shared" si="30"/>
        <v/>
      </c>
      <c r="AC158" s="507" t="str">
        <f>IFERROR(IF(OR(E158="",R158=""),"", IF(AND(AB158&lt;&gt;"",S158=""), "Spatial risk category missing ▲", IF(AND(Q158='G-7 WaterC'' Data'!$G$4,AD158="Yes"),"Alternative Compensation ✓", IF(AND(AD158="Pending", Q158='G-7 WaterC'' Data'!$G$4),"Bespoke compensation must be agreed ▲", IF((Z158+AA158)&gt;=U158,0, U158-Z158-AA158))))),"Check Data ⚠")</f>
        <v/>
      </c>
      <c r="AD158" s="403"/>
      <c r="AE158" s="109"/>
      <c r="AF158" s="108"/>
      <c r="AG158" s="108"/>
      <c r="AH158" s="108"/>
      <c r="AI158" s="54" t="str">
        <f>IF(OR(Q158="",AD158="Yes"),"",IF(Q158='G-1 All Habitats'!$X$9,E158-Y158-X158,"None"))</f>
        <v/>
      </c>
      <c r="AJ158" s="55" t="str">
        <f>IF(Q158="","", IF(Q158='G-1 All Habitats'!$X$9, AI158*G158*I158*L158*N158*P158,"None"))</f>
        <v/>
      </c>
      <c r="AK158" s="30" t="str">
        <f>IFERROR(INDEX('G-7 WaterC'' Data'!$AZ$3:$AZ$7,MATCH(D158,'G-7 WaterC'' Data'!$AY$3:$AY$7,0)),"")</f>
        <v/>
      </c>
      <c r="AL158" s="30">
        <f t="shared" si="31"/>
        <v>0</v>
      </c>
      <c r="AM158" s="111" t="str">
        <f t="shared" si="32"/>
        <v/>
      </c>
      <c r="AN158" s="111" t="str">
        <f t="shared" si="33"/>
        <v/>
      </c>
      <c r="AP158" s="111">
        <v>149</v>
      </c>
      <c r="AR158" s="111" t="str">
        <f t="array" ref="AR158">IFERROR(INDEX($AP$10:$AP$258, MATCH(0, IF(TRUE=$AM$10:$AM$258, COUNTIF($AR$9:$AR157, $AP$10:$AP$258), ""), 0)),"")</f>
        <v/>
      </c>
      <c r="AS158" s="111" t="str">
        <f t="array" ref="AS158">IFERROR(INDEX($AP$10:$AP$258, MATCH(0, IF(TRUE=$AN$10:$AN$258, COUNTIF($AS$9:$AS157, $AP$10:$AP$258), ""), 0)),"")</f>
        <v/>
      </c>
      <c r="AT158" s="903" t="str">
        <f>IF(AND(OR(AD158="Yes",AD158="Pending"),Q158='G-7 WaterC'' Data'!$G$4),U158-AA158-Z158,"0")</f>
        <v>0</v>
      </c>
      <c r="AU158" s="30" t="str">
        <f>IF(D158="","",VLOOKUP(D158,'G-7 WaterC'' Data'!B$4:M$8,12,FALSE))</f>
        <v/>
      </c>
      <c r="AV158" s="30" t="str">
        <f t="shared" si="24"/>
        <v/>
      </c>
      <c r="AW158" s="30" t="str">
        <f t="shared" si="34"/>
        <v>No</v>
      </c>
      <c r="BA158" s="571" t="str">
        <f t="shared" si="35"/>
        <v/>
      </c>
    </row>
    <row r="159" spans="3:53" ht="14.4" thickBot="1" x14ac:dyDescent="0.3">
      <c r="C159" s="101">
        <v>150</v>
      </c>
      <c r="D159" s="269"/>
      <c r="E159" s="108"/>
      <c r="F159" s="281" t="str">
        <f>IF(D159="","",VLOOKUP(D159,'G-7 WaterC'' Data'!$B$2:$G$8,2,FALSE))</f>
        <v/>
      </c>
      <c r="G159" s="320" t="str">
        <f>IFERROR(VLOOKUP(F159,'G-7 WaterC'' Data'!$C$4:$D$8,2,FALSE),"")</f>
        <v/>
      </c>
      <c r="H159" s="109"/>
      <c r="I159" s="305" t="str">
        <f>IFERROR(INDEX('G-7 WaterC'' Data'!$H$4:$L$8,MATCH(D159,'G-7 WaterC'' Data'!$B$4:$B$8,0),MATCH(H159,'G-7 WaterC'' Data'!$H$3:$L$3,0)),"")</f>
        <v/>
      </c>
      <c r="J159" s="718"/>
      <c r="K159" s="301" t="str">
        <f>IF(J159="","",IF(VLOOKUP(J159,'G-7 WaterC'' Data'!$AK$4:$AM$9,2,FALSE)=0,"Spatial Data Missing ⚠",VLOOKUP(J159,'G-7 WaterC'' Data'!$AK$4:$AM$6,2,FALSE)))</f>
        <v/>
      </c>
      <c r="L159" s="305" t="str">
        <f>IF(J159="","",IF(VLOOKUP(J159,'G-7 WaterC'' Data'!$AK$4:$AM$9,3,FALSE)=0,"Spatial Data Missing ⚠",VLOOKUP(J159,'G-7 WaterC'' Data'!$AK$4:$AM$6,3,FALSE)))</f>
        <v/>
      </c>
      <c r="M159" s="106"/>
      <c r="N159" s="282" t="str">
        <f>IF(M159="","",IF(AND(M159="N/A - Culvert",D159&lt;&gt;"Culvert"),"Not possible ▲",IF(AND(D159="Culvert",M159&lt;&gt;"N/A - Culvert"),"Not possible ▲",IF(VLOOKUP(M159,'G-7 WaterC'' Data'!$AA$4:$AB$7,2,FALSE)=0,"Spatial Data Missing ⚠",VLOOKUP(M159,'G-7 WaterC'' Data'!$AA$4:$AB$7,2,FALSE)))))</f>
        <v/>
      </c>
      <c r="O159" s="56"/>
      <c r="P159" s="282" t="str">
        <f>IF(O159="","",IF(AND(O159="N/A - Culvert",D159&lt;&gt;"Culvert"),"Not possible ▲",IF(AND(D159="Culvert",O159&lt;&gt;"N/A - Culvert"),"Not possible ▲",IF(VLOOKUP(O159,'G-7 WaterC'' Data'!$AD$4:$AE$14,2,FALSE)=0,"Spatial Data Missing ⚠",VLOOKUP(O159,'G-7 WaterC'' Data'!$AD$4:$AE$14,2,FALSE)))))</f>
        <v/>
      </c>
      <c r="Q159" s="288" t="str">
        <f>IF(D159="","",VLOOKUP(D159,'G-7 WaterC'' Data'!$B$4:$G$8,6,FALSE))</f>
        <v/>
      </c>
      <c r="R159" s="295" t="str">
        <f t="shared" si="25"/>
        <v xml:space="preserve"> </v>
      </c>
      <c r="S159" s="403"/>
      <c r="T159" s="287" t="str">
        <f>IF(S159="","",IF(VLOOKUP(S159,'G-7 WaterC'' Data'!$AO$4:$BO$7,2,FALSE)=0,"Spatial Data Missing ⚠",VLOOKUP(S159,'G-7 WaterC'' Data'!$AO$4:$BO$7,2,FALSE)))</f>
        <v/>
      </c>
      <c r="U159" s="295" t="str">
        <f t="shared" si="26"/>
        <v xml:space="preserve"> </v>
      </c>
      <c r="V159" s="710" t="str">
        <f t="shared" si="27"/>
        <v/>
      </c>
      <c r="W159" s="32"/>
      <c r="X159" s="105"/>
      <c r="Y159" s="112"/>
      <c r="Z159" s="293" t="str">
        <f t="shared" si="28"/>
        <v/>
      </c>
      <c r="AA159" s="293" t="str">
        <f t="shared" si="29"/>
        <v/>
      </c>
      <c r="AB159" s="293" t="str">
        <f t="shared" si="30"/>
        <v/>
      </c>
      <c r="AC159" s="507" t="str">
        <f>IFERROR(IF(OR(E159="",R159=""),"", IF(AND(AB159&lt;&gt;"",S159=""), "Spatial risk category missing ▲", IF(AND(Q159='G-7 WaterC'' Data'!$G$4,AD159="Yes"),"Alternative Compensation ✓", IF(AND(AD159="Pending", Q159='G-7 WaterC'' Data'!$G$4),"Bespoke compensation must be agreed ▲", IF((Z159+AA159)&gt;=U159,0, U159-Z159-AA159))))),"Check Data ⚠")</f>
        <v/>
      </c>
      <c r="AD159" s="403"/>
      <c r="AE159" s="109"/>
      <c r="AF159" s="108"/>
      <c r="AG159" s="108"/>
      <c r="AH159" s="108"/>
      <c r="AI159" s="54" t="str">
        <f>IF(OR(Q159="",AD159="Yes"),"",IF(Q159='G-1 All Habitats'!$X$9,E159-Y159-X159,"None"))</f>
        <v/>
      </c>
      <c r="AJ159" s="55" t="str">
        <f>IF(Q159="","", IF(Q159='G-1 All Habitats'!$X$9, AI159*G159*I159*L159*N159*P159,"None"))</f>
        <v/>
      </c>
      <c r="AK159" s="30" t="str">
        <f>IFERROR(INDEX('G-7 WaterC'' Data'!$AZ$3:$AZ$7,MATCH(D159,'G-7 WaterC'' Data'!$AY$3:$AY$7,0)),"")</f>
        <v/>
      </c>
      <c r="AL159" s="30">
        <f t="shared" si="31"/>
        <v>0</v>
      </c>
      <c r="AM159" s="111" t="str">
        <f t="shared" si="32"/>
        <v/>
      </c>
      <c r="AN159" s="111" t="str">
        <f t="shared" si="33"/>
        <v/>
      </c>
      <c r="AP159" s="111">
        <v>150</v>
      </c>
      <c r="AR159" s="111" t="str">
        <f t="array" ref="AR159">IFERROR(INDEX($AP$10:$AP$258, MATCH(0, IF(TRUE=$AM$10:$AM$258, COUNTIF($AR$9:$AR158, $AP$10:$AP$258), ""), 0)),"")</f>
        <v/>
      </c>
      <c r="AS159" s="111" t="str">
        <f t="array" ref="AS159">IFERROR(INDEX($AP$10:$AP$258, MATCH(0, IF(TRUE=$AN$10:$AN$258, COUNTIF($AS$9:$AS158, $AP$10:$AP$258), ""), 0)),"")</f>
        <v/>
      </c>
      <c r="AT159" s="903" t="str">
        <f>IF(AND(OR(AD159="Yes",AD159="Pending"),Q159='G-7 WaterC'' Data'!$G$4),U159-AA159-Z159,"0")</f>
        <v>0</v>
      </c>
      <c r="AU159" s="30" t="str">
        <f>IF(D159="","",VLOOKUP(D159,'G-7 WaterC'' Data'!B$4:M$8,12,FALSE))</f>
        <v/>
      </c>
      <c r="AV159" s="30" t="str">
        <f t="shared" si="24"/>
        <v/>
      </c>
      <c r="AW159" s="30" t="str">
        <f t="shared" si="34"/>
        <v>No</v>
      </c>
      <c r="BA159" s="571" t="str">
        <f t="shared" si="35"/>
        <v/>
      </c>
    </row>
    <row r="160" spans="3:53" ht="14.4" thickBot="1" x14ac:dyDescent="0.3">
      <c r="C160" s="101">
        <v>151</v>
      </c>
      <c r="D160" s="269"/>
      <c r="E160" s="108"/>
      <c r="F160" s="281" t="str">
        <f>IF(D160="","",VLOOKUP(D160,'G-7 WaterC'' Data'!$B$2:$G$8,2,FALSE))</f>
        <v/>
      </c>
      <c r="G160" s="320" t="str">
        <f>IFERROR(VLOOKUP(F160,'G-7 WaterC'' Data'!$C$4:$D$8,2,FALSE),"")</f>
        <v/>
      </c>
      <c r="H160" s="109"/>
      <c r="I160" s="305" t="str">
        <f>IFERROR(INDEX('G-7 WaterC'' Data'!$H$4:$L$8,MATCH(D160,'G-7 WaterC'' Data'!$B$4:$B$8,0),MATCH(H160,'G-7 WaterC'' Data'!$H$3:$L$3,0)),"")</f>
        <v/>
      </c>
      <c r="J160" s="718"/>
      <c r="K160" s="301" t="str">
        <f>IF(J160="","",IF(VLOOKUP(J160,'G-7 WaterC'' Data'!$AK$4:$AM$9,2,FALSE)=0,"Spatial Data Missing ⚠",VLOOKUP(J160,'G-7 WaterC'' Data'!$AK$4:$AM$6,2,FALSE)))</f>
        <v/>
      </c>
      <c r="L160" s="305" t="str">
        <f>IF(J160="","",IF(VLOOKUP(J160,'G-7 WaterC'' Data'!$AK$4:$AM$9,3,FALSE)=0,"Spatial Data Missing ⚠",VLOOKUP(J160,'G-7 WaterC'' Data'!$AK$4:$AM$6,3,FALSE)))</f>
        <v/>
      </c>
      <c r="M160" s="106"/>
      <c r="N160" s="282" t="str">
        <f>IF(M160="","",IF(AND(M160="N/A - Culvert",D160&lt;&gt;"Culvert"),"Not possible ▲",IF(AND(D160="Culvert",M160&lt;&gt;"N/A - Culvert"),"Not possible ▲",IF(VLOOKUP(M160,'G-7 WaterC'' Data'!$AA$4:$AB$7,2,FALSE)=0,"Spatial Data Missing ⚠",VLOOKUP(M160,'G-7 WaterC'' Data'!$AA$4:$AB$7,2,FALSE)))))</f>
        <v/>
      </c>
      <c r="O160" s="56"/>
      <c r="P160" s="282" t="str">
        <f>IF(O160="","",IF(AND(O160="N/A - Culvert",D160&lt;&gt;"Culvert"),"Not possible ▲",IF(AND(D160="Culvert",O160&lt;&gt;"N/A - Culvert"),"Not possible ▲",IF(VLOOKUP(O160,'G-7 WaterC'' Data'!$AD$4:$AE$14,2,FALSE)=0,"Spatial Data Missing ⚠",VLOOKUP(O160,'G-7 WaterC'' Data'!$AD$4:$AE$14,2,FALSE)))))</f>
        <v/>
      </c>
      <c r="Q160" s="288" t="str">
        <f>IF(D160="","",VLOOKUP(D160,'G-7 WaterC'' Data'!$B$4:$G$8,6,FALSE))</f>
        <v/>
      </c>
      <c r="R160" s="295" t="str">
        <f t="shared" si="25"/>
        <v xml:space="preserve"> </v>
      </c>
      <c r="S160" s="403"/>
      <c r="T160" s="287" t="str">
        <f>IF(S160="","",IF(VLOOKUP(S160,'G-7 WaterC'' Data'!$AO$4:$BO$7,2,FALSE)=0,"Spatial Data Missing ⚠",VLOOKUP(S160,'G-7 WaterC'' Data'!$AO$4:$BO$7,2,FALSE)))</f>
        <v/>
      </c>
      <c r="U160" s="295" t="str">
        <f t="shared" si="26"/>
        <v xml:space="preserve"> </v>
      </c>
      <c r="V160" s="710" t="str">
        <f t="shared" si="27"/>
        <v/>
      </c>
      <c r="W160" s="32"/>
      <c r="X160" s="105"/>
      <c r="Y160" s="112"/>
      <c r="Z160" s="293" t="str">
        <f t="shared" si="28"/>
        <v/>
      </c>
      <c r="AA160" s="293" t="str">
        <f t="shared" si="29"/>
        <v/>
      </c>
      <c r="AB160" s="293" t="str">
        <f t="shared" si="30"/>
        <v/>
      </c>
      <c r="AC160" s="507" t="str">
        <f>IFERROR(IF(OR(E160="",R160=""),"", IF(AND(AB160&lt;&gt;"",S160=""), "Spatial risk category missing ▲", IF(AND(Q160='G-7 WaterC'' Data'!$G$4,AD160="Yes"),"Alternative Compensation ✓", IF(AND(AD160="Pending", Q160='G-7 WaterC'' Data'!$G$4),"Bespoke compensation must be agreed ▲", IF((Z160+AA160)&gt;=U160,0, U160-Z160-AA160))))),"Check Data ⚠")</f>
        <v/>
      </c>
      <c r="AD160" s="403"/>
      <c r="AE160" s="109"/>
      <c r="AF160" s="108"/>
      <c r="AG160" s="108"/>
      <c r="AH160" s="108"/>
      <c r="AI160" s="54" t="str">
        <f>IF(OR(Q160="",AD160="Yes"),"",IF(Q160='G-1 All Habitats'!$X$9,E160-Y160-X160,"None"))</f>
        <v/>
      </c>
      <c r="AJ160" s="55" t="str">
        <f>IF(Q160="","", IF(Q160='G-1 All Habitats'!$X$9, AI160*G160*I160*L160*N160*P160,"None"))</f>
        <v/>
      </c>
      <c r="AK160" s="30" t="str">
        <f>IFERROR(INDEX('G-7 WaterC'' Data'!$AZ$3:$AZ$7,MATCH(D160,'G-7 WaterC'' Data'!$AY$3:$AY$7,0)),"")</f>
        <v/>
      </c>
      <c r="AL160" s="30">
        <f t="shared" si="31"/>
        <v>0</v>
      </c>
      <c r="AM160" s="111" t="str">
        <f t="shared" si="32"/>
        <v/>
      </c>
      <c r="AN160" s="111" t="str">
        <f t="shared" si="33"/>
        <v/>
      </c>
      <c r="AP160" s="111">
        <v>151</v>
      </c>
      <c r="AR160" s="111" t="str">
        <f t="array" ref="AR160">IFERROR(INDEX($AP$10:$AP$258, MATCH(0, IF(TRUE=$AM$10:$AM$258, COUNTIF($AR$9:$AR159, $AP$10:$AP$258), ""), 0)),"")</f>
        <v/>
      </c>
      <c r="AS160" s="111" t="str">
        <f t="array" ref="AS160">IFERROR(INDEX($AP$10:$AP$258, MATCH(0, IF(TRUE=$AN$10:$AN$258, COUNTIF($AS$9:$AS159, $AP$10:$AP$258), ""), 0)),"")</f>
        <v/>
      </c>
      <c r="AT160" s="903" t="str">
        <f>IF(AND(OR(AD160="Yes",AD160="Pending"),Q160='G-7 WaterC'' Data'!$G$4),U160-AA160-Z160,"0")</f>
        <v>0</v>
      </c>
      <c r="AU160" s="30" t="str">
        <f>IF(D160="","",VLOOKUP(D160,'G-7 WaterC'' Data'!B$4:M$8,12,FALSE))</f>
        <v/>
      </c>
      <c r="AV160" s="30" t="str">
        <f t="shared" si="24"/>
        <v/>
      </c>
      <c r="AW160" s="30" t="str">
        <f t="shared" si="34"/>
        <v>No</v>
      </c>
      <c r="BA160" s="571" t="str">
        <f t="shared" si="35"/>
        <v/>
      </c>
    </row>
    <row r="161" spans="3:53" ht="14.4" thickBot="1" x14ac:dyDescent="0.3">
      <c r="C161" s="101">
        <v>152</v>
      </c>
      <c r="D161" s="269"/>
      <c r="E161" s="108"/>
      <c r="F161" s="281" t="str">
        <f>IF(D161="","",VLOOKUP(D161,'G-7 WaterC'' Data'!$B$2:$G$8,2,FALSE))</f>
        <v/>
      </c>
      <c r="G161" s="320" t="str">
        <f>IFERROR(VLOOKUP(F161,'G-7 WaterC'' Data'!$C$4:$D$8,2,FALSE),"")</f>
        <v/>
      </c>
      <c r="H161" s="109"/>
      <c r="I161" s="305" t="str">
        <f>IFERROR(INDEX('G-7 WaterC'' Data'!$H$4:$L$8,MATCH(D161,'G-7 WaterC'' Data'!$B$4:$B$8,0),MATCH(H161,'G-7 WaterC'' Data'!$H$3:$L$3,0)),"")</f>
        <v/>
      </c>
      <c r="J161" s="718"/>
      <c r="K161" s="301" t="str">
        <f>IF(J161="","",IF(VLOOKUP(J161,'G-7 WaterC'' Data'!$AK$4:$AM$9,2,FALSE)=0,"Spatial Data Missing ⚠",VLOOKUP(J161,'G-7 WaterC'' Data'!$AK$4:$AM$6,2,FALSE)))</f>
        <v/>
      </c>
      <c r="L161" s="305" t="str">
        <f>IF(J161="","",IF(VLOOKUP(J161,'G-7 WaterC'' Data'!$AK$4:$AM$9,3,FALSE)=0,"Spatial Data Missing ⚠",VLOOKUP(J161,'G-7 WaterC'' Data'!$AK$4:$AM$6,3,FALSE)))</f>
        <v/>
      </c>
      <c r="M161" s="106"/>
      <c r="N161" s="282" t="str">
        <f>IF(M161="","",IF(AND(M161="N/A - Culvert",D161&lt;&gt;"Culvert"),"Not possible ▲",IF(AND(D161="Culvert",M161&lt;&gt;"N/A - Culvert"),"Not possible ▲",IF(VLOOKUP(M161,'G-7 WaterC'' Data'!$AA$4:$AB$7,2,FALSE)=0,"Spatial Data Missing ⚠",VLOOKUP(M161,'G-7 WaterC'' Data'!$AA$4:$AB$7,2,FALSE)))))</f>
        <v/>
      </c>
      <c r="O161" s="56"/>
      <c r="P161" s="282" t="str">
        <f>IF(O161="","",IF(AND(O161="N/A - Culvert",D161&lt;&gt;"Culvert"),"Not possible ▲",IF(AND(D161="Culvert",O161&lt;&gt;"N/A - Culvert"),"Not possible ▲",IF(VLOOKUP(O161,'G-7 WaterC'' Data'!$AD$4:$AE$14,2,FALSE)=0,"Spatial Data Missing ⚠",VLOOKUP(O161,'G-7 WaterC'' Data'!$AD$4:$AE$14,2,FALSE)))))</f>
        <v/>
      </c>
      <c r="Q161" s="288" t="str">
        <f>IF(D161="","",VLOOKUP(D161,'G-7 WaterC'' Data'!$B$4:$G$8,6,FALSE))</f>
        <v/>
      </c>
      <c r="R161" s="295" t="str">
        <f t="shared" si="25"/>
        <v xml:space="preserve"> </v>
      </c>
      <c r="S161" s="403"/>
      <c r="T161" s="287" t="str">
        <f>IF(S161="","",IF(VLOOKUP(S161,'G-7 WaterC'' Data'!$AO$4:$BO$7,2,FALSE)=0,"Spatial Data Missing ⚠",VLOOKUP(S161,'G-7 WaterC'' Data'!$AO$4:$BO$7,2,FALSE)))</f>
        <v/>
      </c>
      <c r="U161" s="295" t="str">
        <f t="shared" si="26"/>
        <v xml:space="preserve"> </v>
      </c>
      <c r="V161" s="710" t="str">
        <f t="shared" si="27"/>
        <v/>
      </c>
      <c r="W161" s="32"/>
      <c r="X161" s="105"/>
      <c r="Y161" s="112"/>
      <c r="Z161" s="293" t="str">
        <f t="shared" si="28"/>
        <v/>
      </c>
      <c r="AA161" s="293" t="str">
        <f t="shared" si="29"/>
        <v/>
      </c>
      <c r="AB161" s="293" t="str">
        <f t="shared" si="30"/>
        <v/>
      </c>
      <c r="AC161" s="507" t="str">
        <f>IFERROR(IF(OR(E161="",R161=""),"", IF(AND(AB161&lt;&gt;"",S161=""), "Spatial risk category missing ▲", IF(AND(Q161='G-7 WaterC'' Data'!$G$4,AD161="Yes"),"Alternative Compensation ✓", IF(AND(AD161="Pending", Q161='G-7 WaterC'' Data'!$G$4),"Bespoke compensation must be agreed ▲", IF((Z161+AA161)&gt;=U161,0, U161-Z161-AA161))))),"Check Data ⚠")</f>
        <v/>
      </c>
      <c r="AD161" s="403"/>
      <c r="AE161" s="109"/>
      <c r="AF161" s="108"/>
      <c r="AG161" s="108"/>
      <c r="AH161" s="108"/>
      <c r="AI161" s="54" t="str">
        <f>IF(OR(Q161="",AD161="Yes"),"",IF(Q161='G-1 All Habitats'!$X$9,E161-Y161-X161,"None"))</f>
        <v/>
      </c>
      <c r="AJ161" s="55" t="str">
        <f>IF(Q161="","", IF(Q161='G-1 All Habitats'!$X$9, AI161*G161*I161*L161*N161*P161,"None"))</f>
        <v/>
      </c>
      <c r="AK161" s="30" t="str">
        <f>IFERROR(INDEX('G-7 WaterC'' Data'!$AZ$3:$AZ$7,MATCH(D161,'G-7 WaterC'' Data'!$AY$3:$AY$7,0)),"")</f>
        <v/>
      </c>
      <c r="AL161" s="30">
        <f t="shared" si="31"/>
        <v>0</v>
      </c>
      <c r="AM161" s="111" t="str">
        <f t="shared" si="32"/>
        <v/>
      </c>
      <c r="AN161" s="111" t="str">
        <f t="shared" si="33"/>
        <v/>
      </c>
      <c r="AP161" s="111">
        <v>152</v>
      </c>
      <c r="AR161" s="111" t="str">
        <f t="array" ref="AR161">IFERROR(INDEX($AP$10:$AP$258, MATCH(0, IF(TRUE=$AM$10:$AM$258, COUNTIF($AR$9:$AR160, $AP$10:$AP$258), ""), 0)),"")</f>
        <v/>
      </c>
      <c r="AS161" s="111" t="str">
        <f t="array" ref="AS161">IFERROR(INDEX($AP$10:$AP$258, MATCH(0, IF(TRUE=$AN$10:$AN$258, COUNTIF($AS$9:$AS160, $AP$10:$AP$258), ""), 0)),"")</f>
        <v/>
      </c>
      <c r="AT161" s="903" t="str">
        <f>IF(AND(OR(AD161="Yes",AD161="Pending"),Q161='G-7 WaterC'' Data'!$G$4),U161-AA161-Z161,"0")</f>
        <v>0</v>
      </c>
      <c r="AU161" s="30" t="str">
        <f>IF(D161="","",VLOOKUP(D161,'G-7 WaterC'' Data'!B$4:M$8,12,FALSE))</f>
        <v/>
      </c>
      <c r="AV161" s="30" t="str">
        <f t="shared" si="24"/>
        <v/>
      </c>
      <c r="AW161" s="30" t="str">
        <f t="shared" si="34"/>
        <v>No</v>
      </c>
      <c r="BA161" s="571" t="str">
        <f t="shared" si="35"/>
        <v/>
      </c>
    </row>
    <row r="162" spans="3:53" ht="14.4" thickBot="1" x14ac:dyDescent="0.3">
      <c r="C162" s="101">
        <v>153</v>
      </c>
      <c r="D162" s="269"/>
      <c r="E162" s="108"/>
      <c r="F162" s="281" t="str">
        <f>IF(D162="","",VLOOKUP(D162,'G-7 WaterC'' Data'!$B$2:$G$8,2,FALSE))</f>
        <v/>
      </c>
      <c r="G162" s="320" t="str">
        <f>IFERROR(VLOOKUP(F162,'G-7 WaterC'' Data'!$C$4:$D$8,2,FALSE),"")</f>
        <v/>
      </c>
      <c r="H162" s="109"/>
      <c r="I162" s="305" t="str">
        <f>IFERROR(INDEX('G-7 WaterC'' Data'!$H$4:$L$8,MATCH(D162,'G-7 WaterC'' Data'!$B$4:$B$8,0),MATCH(H162,'G-7 WaterC'' Data'!$H$3:$L$3,0)),"")</f>
        <v/>
      </c>
      <c r="J162" s="718"/>
      <c r="K162" s="301" t="str">
        <f>IF(J162="","",IF(VLOOKUP(J162,'G-7 WaterC'' Data'!$AK$4:$AM$9,2,FALSE)=0,"Spatial Data Missing ⚠",VLOOKUP(J162,'G-7 WaterC'' Data'!$AK$4:$AM$6,2,FALSE)))</f>
        <v/>
      </c>
      <c r="L162" s="305" t="str">
        <f>IF(J162="","",IF(VLOOKUP(J162,'G-7 WaterC'' Data'!$AK$4:$AM$9,3,FALSE)=0,"Spatial Data Missing ⚠",VLOOKUP(J162,'G-7 WaterC'' Data'!$AK$4:$AM$6,3,FALSE)))</f>
        <v/>
      </c>
      <c r="M162" s="106"/>
      <c r="N162" s="282" t="str">
        <f>IF(M162="","",IF(AND(M162="N/A - Culvert",D162&lt;&gt;"Culvert"),"Not possible ▲",IF(AND(D162="Culvert",M162&lt;&gt;"N/A - Culvert"),"Not possible ▲",IF(VLOOKUP(M162,'G-7 WaterC'' Data'!$AA$4:$AB$7,2,FALSE)=0,"Spatial Data Missing ⚠",VLOOKUP(M162,'G-7 WaterC'' Data'!$AA$4:$AB$7,2,FALSE)))))</f>
        <v/>
      </c>
      <c r="O162" s="56"/>
      <c r="P162" s="282" t="str">
        <f>IF(O162="","",IF(AND(O162="N/A - Culvert",D162&lt;&gt;"Culvert"),"Not possible ▲",IF(AND(D162="Culvert",O162&lt;&gt;"N/A - Culvert"),"Not possible ▲",IF(VLOOKUP(O162,'G-7 WaterC'' Data'!$AD$4:$AE$14,2,FALSE)=0,"Spatial Data Missing ⚠",VLOOKUP(O162,'G-7 WaterC'' Data'!$AD$4:$AE$14,2,FALSE)))))</f>
        <v/>
      </c>
      <c r="Q162" s="288" t="str">
        <f>IF(D162="","",VLOOKUP(D162,'G-7 WaterC'' Data'!$B$4:$G$8,6,FALSE))</f>
        <v/>
      </c>
      <c r="R162" s="295" t="str">
        <f t="shared" si="25"/>
        <v xml:space="preserve"> </v>
      </c>
      <c r="S162" s="403"/>
      <c r="T162" s="287" t="str">
        <f>IF(S162="","",IF(VLOOKUP(S162,'G-7 WaterC'' Data'!$AO$4:$BO$7,2,FALSE)=0,"Spatial Data Missing ⚠",VLOOKUP(S162,'G-7 WaterC'' Data'!$AO$4:$BO$7,2,FALSE)))</f>
        <v/>
      </c>
      <c r="U162" s="295" t="str">
        <f t="shared" si="26"/>
        <v xml:space="preserve"> </v>
      </c>
      <c r="V162" s="710" t="str">
        <f t="shared" si="27"/>
        <v/>
      </c>
      <c r="W162" s="32"/>
      <c r="X162" s="105"/>
      <c r="Y162" s="112"/>
      <c r="Z162" s="293" t="str">
        <f t="shared" si="28"/>
        <v/>
      </c>
      <c r="AA162" s="293" t="str">
        <f t="shared" si="29"/>
        <v/>
      </c>
      <c r="AB162" s="293" t="str">
        <f t="shared" si="30"/>
        <v/>
      </c>
      <c r="AC162" s="507" t="str">
        <f>IFERROR(IF(OR(E162="",R162=""),"", IF(AND(AB162&lt;&gt;"",S162=""), "Spatial risk category missing ▲", IF(AND(Q162='G-7 WaterC'' Data'!$G$4,AD162="Yes"),"Alternative Compensation ✓", IF(AND(AD162="Pending", Q162='G-7 WaterC'' Data'!$G$4),"Bespoke compensation must be agreed ▲", IF((Z162+AA162)&gt;=U162,0, U162-Z162-AA162))))),"Check Data ⚠")</f>
        <v/>
      </c>
      <c r="AD162" s="403"/>
      <c r="AE162" s="109"/>
      <c r="AF162" s="108"/>
      <c r="AG162" s="108"/>
      <c r="AH162" s="108"/>
      <c r="AI162" s="54" t="str">
        <f>IF(OR(Q162="",AD162="Yes"),"",IF(Q162='G-1 All Habitats'!$X$9,E162-Y162-X162,"None"))</f>
        <v/>
      </c>
      <c r="AJ162" s="55" t="str">
        <f>IF(Q162="","", IF(Q162='G-1 All Habitats'!$X$9, AI162*G162*I162*L162*N162*P162,"None"))</f>
        <v/>
      </c>
      <c r="AK162" s="30" t="str">
        <f>IFERROR(INDEX('G-7 WaterC'' Data'!$AZ$3:$AZ$7,MATCH(D162,'G-7 WaterC'' Data'!$AY$3:$AY$7,0)),"")</f>
        <v/>
      </c>
      <c r="AL162" s="30">
        <f t="shared" si="31"/>
        <v>0</v>
      </c>
      <c r="AM162" s="111" t="str">
        <f t="shared" si="32"/>
        <v/>
      </c>
      <c r="AN162" s="111" t="str">
        <f t="shared" si="33"/>
        <v/>
      </c>
      <c r="AP162" s="111">
        <v>153</v>
      </c>
      <c r="AR162" s="111" t="str">
        <f t="array" ref="AR162">IFERROR(INDEX($AP$10:$AP$258, MATCH(0, IF(TRUE=$AM$10:$AM$258, COUNTIF($AR$9:$AR161, $AP$10:$AP$258), ""), 0)),"")</f>
        <v/>
      </c>
      <c r="AS162" s="111" t="str">
        <f t="array" ref="AS162">IFERROR(INDEX($AP$10:$AP$258, MATCH(0, IF(TRUE=$AN$10:$AN$258, COUNTIF($AS$9:$AS161, $AP$10:$AP$258), ""), 0)),"")</f>
        <v/>
      </c>
      <c r="AT162" s="903" t="str">
        <f>IF(AND(OR(AD162="Yes",AD162="Pending"),Q162='G-7 WaterC'' Data'!$G$4),U162-AA162-Z162,"0")</f>
        <v>0</v>
      </c>
      <c r="AU162" s="30" t="str">
        <f>IF(D162="","",VLOOKUP(D162,'G-7 WaterC'' Data'!B$4:M$8,12,FALSE))</f>
        <v/>
      </c>
      <c r="AV162" s="30" t="str">
        <f t="shared" si="24"/>
        <v/>
      </c>
      <c r="AW162" s="30" t="str">
        <f t="shared" si="34"/>
        <v>No</v>
      </c>
      <c r="BA162" s="571" t="str">
        <f t="shared" si="35"/>
        <v/>
      </c>
    </row>
    <row r="163" spans="3:53" ht="14.4" thickBot="1" x14ac:dyDescent="0.3">
      <c r="C163" s="101">
        <v>154</v>
      </c>
      <c r="D163" s="269"/>
      <c r="E163" s="108"/>
      <c r="F163" s="281" t="str">
        <f>IF(D163="","",VLOOKUP(D163,'G-7 WaterC'' Data'!$B$2:$G$8,2,FALSE))</f>
        <v/>
      </c>
      <c r="G163" s="320" t="str">
        <f>IFERROR(VLOOKUP(F163,'G-7 WaterC'' Data'!$C$4:$D$8,2,FALSE),"")</f>
        <v/>
      </c>
      <c r="H163" s="109"/>
      <c r="I163" s="305" t="str">
        <f>IFERROR(INDEX('G-7 WaterC'' Data'!$H$4:$L$8,MATCH(D163,'G-7 WaterC'' Data'!$B$4:$B$8,0),MATCH(H163,'G-7 WaterC'' Data'!$H$3:$L$3,0)),"")</f>
        <v/>
      </c>
      <c r="J163" s="718"/>
      <c r="K163" s="301" t="str">
        <f>IF(J163="","",IF(VLOOKUP(J163,'G-7 WaterC'' Data'!$AK$4:$AM$9,2,FALSE)=0,"Spatial Data Missing ⚠",VLOOKUP(J163,'G-7 WaterC'' Data'!$AK$4:$AM$6,2,FALSE)))</f>
        <v/>
      </c>
      <c r="L163" s="305" t="str">
        <f>IF(J163="","",IF(VLOOKUP(J163,'G-7 WaterC'' Data'!$AK$4:$AM$9,3,FALSE)=0,"Spatial Data Missing ⚠",VLOOKUP(J163,'G-7 WaterC'' Data'!$AK$4:$AM$6,3,FALSE)))</f>
        <v/>
      </c>
      <c r="M163" s="106"/>
      <c r="N163" s="282" t="str">
        <f>IF(M163="","",IF(AND(M163="N/A - Culvert",D163&lt;&gt;"Culvert"),"Not possible ▲",IF(AND(D163="Culvert",M163&lt;&gt;"N/A - Culvert"),"Not possible ▲",IF(VLOOKUP(M163,'G-7 WaterC'' Data'!$AA$4:$AB$7,2,FALSE)=0,"Spatial Data Missing ⚠",VLOOKUP(M163,'G-7 WaterC'' Data'!$AA$4:$AB$7,2,FALSE)))))</f>
        <v/>
      </c>
      <c r="O163" s="56"/>
      <c r="P163" s="282" t="str">
        <f>IF(O163="","",IF(AND(O163="N/A - Culvert",D163&lt;&gt;"Culvert"),"Not possible ▲",IF(AND(D163="Culvert",O163&lt;&gt;"N/A - Culvert"),"Not possible ▲",IF(VLOOKUP(O163,'G-7 WaterC'' Data'!$AD$4:$AE$14,2,FALSE)=0,"Spatial Data Missing ⚠",VLOOKUP(O163,'G-7 WaterC'' Data'!$AD$4:$AE$14,2,FALSE)))))</f>
        <v/>
      </c>
      <c r="Q163" s="288" t="str">
        <f>IF(D163="","",VLOOKUP(D163,'G-7 WaterC'' Data'!$B$4:$G$8,6,FALSE))</f>
        <v/>
      </c>
      <c r="R163" s="295" t="str">
        <f t="shared" si="25"/>
        <v xml:space="preserve"> </v>
      </c>
      <c r="S163" s="403"/>
      <c r="T163" s="287" t="str">
        <f>IF(S163="","",IF(VLOOKUP(S163,'G-7 WaterC'' Data'!$AO$4:$BO$7,2,FALSE)=0,"Spatial Data Missing ⚠",VLOOKUP(S163,'G-7 WaterC'' Data'!$AO$4:$BO$7,2,FALSE)))</f>
        <v/>
      </c>
      <c r="U163" s="295" t="str">
        <f t="shared" si="26"/>
        <v xml:space="preserve"> </v>
      </c>
      <c r="V163" s="710" t="str">
        <f t="shared" si="27"/>
        <v/>
      </c>
      <c r="W163" s="32"/>
      <c r="X163" s="105"/>
      <c r="Y163" s="112"/>
      <c r="Z163" s="293" t="str">
        <f t="shared" si="28"/>
        <v/>
      </c>
      <c r="AA163" s="293" t="str">
        <f t="shared" si="29"/>
        <v/>
      </c>
      <c r="AB163" s="293" t="str">
        <f t="shared" si="30"/>
        <v/>
      </c>
      <c r="AC163" s="507" t="str">
        <f>IFERROR(IF(OR(E163="",R163=""),"", IF(AND(AB163&lt;&gt;"",S163=""), "Spatial risk category missing ▲", IF(AND(Q163='G-7 WaterC'' Data'!$G$4,AD163="Yes"),"Alternative Compensation ✓", IF(AND(AD163="Pending", Q163='G-7 WaterC'' Data'!$G$4),"Bespoke compensation must be agreed ▲", IF((Z163+AA163)&gt;=U163,0, U163-Z163-AA163))))),"Check Data ⚠")</f>
        <v/>
      </c>
      <c r="AD163" s="403"/>
      <c r="AE163" s="109"/>
      <c r="AF163" s="108"/>
      <c r="AG163" s="108"/>
      <c r="AH163" s="108"/>
      <c r="AI163" s="54" t="str">
        <f>IF(OR(Q163="",AD163="Yes"),"",IF(Q163='G-1 All Habitats'!$X$9,E163-Y163-X163,"None"))</f>
        <v/>
      </c>
      <c r="AJ163" s="55" t="str">
        <f>IF(Q163="","", IF(Q163='G-1 All Habitats'!$X$9, AI163*G163*I163*L163*N163*P163,"None"))</f>
        <v/>
      </c>
      <c r="AK163" s="30" t="str">
        <f>IFERROR(INDEX('G-7 WaterC'' Data'!$AZ$3:$AZ$7,MATCH(D163,'G-7 WaterC'' Data'!$AY$3:$AY$7,0)),"")</f>
        <v/>
      </c>
      <c r="AL163" s="30">
        <f t="shared" si="31"/>
        <v>0</v>
      </c>
      <c r="AM163" s="111" t="str">
        <f t="shared" si="32"/>
        <v/>
      </c>
      <c r="AN163" s="111" t="str">
        <f t="shared" si="33"/>
        <v/>
      </c>
      <c r="AP163" s="111">
        <v>154</v>
      </c>
      <c r="AR163" s="111" t="str">
        <f t="array" ref="AR163">IFERROR(INDEX($AP$10:$AP$258, MATCH(0, IF(TRUE=$AM$10:$AM$258, COUNTIF($AR$9:$AR162, $AP$10:$AP$258), ""), 0)),"")</f>
        <v/>
      </c>
      <c r="AS163" s="111" t="str">
        <f t="array" ref="AS163">IFERROR(INDEX($AP$10:$AP$258, MATCH(0, IF(TRUE=$AN$10:$AN$258, COUNTIF($AS$9:$AS162, $AP$10:$AP$258), ""), 0)),"")</f>
        <v/>
      </c>
      <c r="AT163" s="903" t="str">
        <f>IF(AND(OR(AD163="Yes",AD163="Pending"),Q163='G-7 WaterC'' Data'!$G$4),U163-AA163-Z163,"0")</f>
        <v>0</v>
      </c>
      <c r="AU163" s="30" t="str">
        <f>IF(D163="","",VLOOKUP(D163,'G-7 WaterC'' Data'!B$4:M$8,12,FALSE))</f>
        <v/>
      </c>
      <c r="AV163" s="30" t="str">
        <f t="shared" si="24"/>
        <v/>
      </c>
      <c r="AW163" s="30" t="str">
        <f t="shared" si="34"/>
        <v>No</v>
      </c>
      <c r="BA163" s="571" t="str">
        <f t="shared" si="35"/>
        <v/>
      </c>
    </row>
    <row r="164" spans="3:53" ht="14.4" thickBot="1" x14ac:dyDescent="0.3">
      <c r="C164" s="101">
        <v>155</v>
      </c>
      <c r="D164" s="269"/>
      <c r="E164" s="108"/>
      <c r="F164" s="281" t="str">
        <f>IF(D164="","",VLOOKUP(D164,'G-7 WaterC'' Data'!$B$2:$G$8,2,FALSE))</f>
        <v/>
      </c>
      <c r="G164" s="320" t="str">
        <f>IFERROR(VLOOKUP(F164,'G-7 WaterC'' Data'!$C$4:$D$8,2,FALSE),"")</f>
        <v/>
      </c>
      <c r="H164" s="109"/>
      <c r="I164" s="305" t="str">
        <f>IFERROR(INDEX('G-7 WaterC'' Data'!$H$4:$L$8,MATCH(D164,'G-7 WaterC'' Data'!$B$4:$B$8,0),MATCH(H164,'G-7 WaterC'' Data'!$H$3:$L$3,0)),"")</f>
        <v/>
      </c>
      <c r="J164" s="718"/>
      <c r="K164" s="301" t="str">
        <f>IF(J164="","",IF(VLOOKUP(J164,'G-7 WaterC'' Data'!$AK$4:$AM$9,2,FALSE)=0,"Spatial Data Missing ⚠",VLOOKUP(J164,'G-7 WaterC'' Data'!$AK$4:$AM$6,2,FALSE)))</f>
        <v/>
      </c>
      <c r="L164" s="305" t="str">
        <f>IF(J164="","",IF(VLOOKUP(J164,'G-7 WaterC'' Data'!$AK$4:$AM$9,3,FALSE)=0,"Spatial Data Missing ⚠",VLOOKUP(J164,'G-7 WaterC'' Data'!$AK$4:$AM$6,3,FALSE)))</f>
        <v/>
      </c>
      <c r="M164" s="106"/>
      <c r="N164" s="282" t="str">
        <f>IF(M164="","",IF(AND(M164="N/A - Culvert",D164&lt;&gt;"Culvert"),"Not possible ▲",IF(AND(D164="Culvert",M164&lt;&gt;"N/A - Culvert"),"Not possible ▲",IF(VLOOKUP(M164,'G-7 WaterC'' Data'!$AA$4:$AB$7,2,FALSE)=0,"Spatial Data Missing ⚠",VLOOKUP(M164,'G-7 WaterC'' Data'!$AA$4:$AB$7,2,FALSE)))))</f>
        <v/>
      </c>
      <c r="O164" s="56"/>
      <c r="P164" s="282" t="str">
        <f>IF(O164="","",IF(AND(O164="N/A - Culvert",D164&lt;&gt;"Culvert"),"Not possible ▲",IF(AND(D164="Culvert",O164&lt;&gt;"N/A - Culvert"),"Not possible ▲",IF(VLOOKUP(O164,'G-7 WaterC'' Data'!$AD$4:$AE$14,2,FALSE)=0,"Spatial Data Missing ⚠",VLOOKUP(O164,'G-7 WaterC'' Data'!$AD$4:$AE$14,2,FALSE)))))</f>
        <v/>
      </c>
      <c r="Q164" s="288" t="str">
        <f>IF(D164="","",VLOOKUP(D164,'G-7 WaterC'' Data'!$B$4:$G$8,6,FALSE))</f>
        <v/>
      </c>
      <c r="R164" s="295" t="str">
        <f t="shared" si="25"/>
        <v xml:space="preserve"> </v>
      </c>
      <c r="S164" s="403"/>
      <c r="T164" s="287" t="str">
        <f>IF(S164="","",IF(VLOOKUP(S164,'G-7 WaterC'' Data'!$AO$4:$BO$7,2,FALSE)=0,"Spatial Data Missing ⚠",VLOOKUP(S164,'G-7 WaterC'' Data'!$AO$4:$BO$7,2,FALSE)))</f>
        <v/>
      </c>
      <c r="U164" s="295" t="str">
        <f t="shared" si="26"/>
        <v xml:space="preserve"> </v>
      </c>
      <c r="V164" s="710" t="str">
        <f t="shared" si="27"/>
        <v/>
      </c>
      <c r="W164" s="32"/>
      <c r="X164" s="105"/>
      <c r="Y164" s="112"/>
      <c r="Z164" s="293" t="str">
        <f t="shared" si="28"/>
        <v/>
      </c>
      <c r="AA164" s="293" t="str">
        <f t="shared" si="29"/>
        <v/>
      </c>
      <c r="AB164" s="293" t="str">
        <f t="shared" si="30"/>
        <v/>
      </c>
      <c r="AC164" s="507" t="str">
        <f>IFERROR(IF(OR(E164="",R164=""),"", IF(AND(AB164&lt;&gt;"",S164=""), "Spatial risk category missing ▲", IF(AND(Q164='G-7 WaterC'' Data'!$G$4,AD164="Yes"),"Alternative Compensation ✓", IF(AND(AD164="Pending", Q164='G-7 WaterC'' Data'!$G$4),"Bespoke compensation must be agreed ▲", IF((Z164+AA164)&gt;=U164,0, U164-Z164-AA164))))),"Check Data ⚠")</f>
        <v/>
      </c>
      <c r="AD164" s="403"/>
      <c r="AE164" s="109"/>
      <c r="AF164" s="108"/>
      <c r="AG164" s="108"/>
      <c r="AH164" s="108"/>
      <c r="AI164" s="54" t="str">
        <f>IF(OR(Q164="",AD164="Yes"),"",IF(Q164='G-1 All Habitats'!$X$9,E164-Y164-X164,"None"))</f>
        <v/>
      </c>
      <c r="AJ164" s="55" t="str">
        <f>IF(Q164="","", IF(Q164='G-1 All Habitats'!$X$9, AI164*G164*I164*L164*N164*P164,"None"))</f>
        <v/>
      </c>
      <c r="AK164" s="30" t="str">
        <f>IFERROR(INDEX('G-7 WaterC'' Data'!$AZ$3:$AZ$7,MATCH(D164,'G-7 WaterC'' Data'!$AY$3:$AY$7,0)),"")</f>
        <v/>
      </c>
      <c r="AL164" s="30">
        <f t="shared" si="31"/>
        <v>0</v>
      </c>
      <c r="AM164" s="111" t="str">
        <f t="shared" si="32"/>
        <v/>
      </c>
      <c r="AN164" s="111" t="str">
        <f t="shared" si="33"/>
        <v/>
      </c>
      <c r="AP164" s="111">
        <v>155</v>
      </c>
      <c r="AR164" s="111" t="str">
        <f t="array" ref="AR164">IFERROR(INDEX($AP$10:$AP$258, MATCH(0, IF(TRUE=$AM$10:$AM$258, COUNTIF($AR$9:$AR163, $AP$10:$AP$258), ""), 0)),"")</f>
        <v/>
      </c>
      <c r="AS164" s="111" t="str">
        <f t="array" ref="AS164">IFERROR(INDEX($AP$10:$AP$258, MATCH(0, IF(TRUE=$AN$10:$AN$258, COUNTIF($AS$9:$AS163, $AP$10:$AP$258), ""), 0)),"")</f>
        <v/>
      </c>
      <c r="AT164" s="903" t="str">
        <f>IF(AND(OR(AD164="Yes",AD164="Pending"),Q164='G-7 WaterC'' Data'!$G$4),U164-AA164-Z164,"0")</f>
        <v>0</v>
      </c>
      <c r="AU164" s="30" t="str">
        <f>IF(D164="","",VLOOKUP(D164,'G-7 WaterC'' Data'!B$4:M$8,12,FALSE))</f>
        <v/>
      </c>
      <c r="AV164" s="30" t="str">
        <f t="shared" si="24"/>
        <v/>
      </c>
      <c r="AW164" s="30" t="str">
        <f t="shared" si="34"/>
        <v>No</v>
      </c>
      <c r="BA164" s="571" t="str">
        <f t="shared" si="35"/>
        <v/>
      </c>
    </row>
    <row r="165" spans="3:53" ht="14.4" thickBot="1" x14ac:dyDescent="0.3">
      <c r="C165" s="101">
        <v>156</v>
      </c>
      <c r="D165" s="269"/>
      <c r="E165" s="108"/>
      <c r="F165" s="281" t="str">
        <f>IF(D165="","",VLOOKUP(D165,'G-7 WaterC'' Data'!$B$2:$G$8,2,FALSE))</f>
        <v/>
      </c>
      <c r="G165" s="320" t="str">
        <f>IFERROR(VLOOKUP(F165,'G-7 WaterC'' Data'!$C$4:$D$8,2,FALSE),"")</f>
        <v/>
      </c>
      <c r="H165" s="109"/>
      <c r="I165" s="305" t="str">
        <f>IFERROR(INDEX('G-7 WaterC'' Data'!$H$4:$L$8,MATCH(D165,'G-7 WaterC'' Data'!$B$4:$B$8,0),MATCH(H165,'G-7 WaterC'' Data'!$H$3:$L$3,0)),"")</f>
        <v/>
      </c>
      <c r="J165" s="718"/>
      <c r="K165" s="301" t="str">
        <f>IF(J165="","",IF(VLOOKUP(J165,'G-7 WaterC'' Data'!$AK$4:$AM$9,2,FALSE)=0,"Spatial Data Missing ⚠",VLOOKUP(J165,'G-7 WaterC'' Data'!$AK$4:$AM$6,2,FALSE)))</f>
        <v/>
      </c>
      <c r="L165" s="305" t="str">
        <f>IF(J165="","",IF(VLOOKUP(J165,'G-7 WaterC'' Data'!$AK$4:$AM$9,3,FALSE)=0,"Spatial Data Missing ⚠",VLOOKUP(J165,'G-7 WaterC'' Data'!$AK$4:$AM$6,3,FALSE)))</f>
        <v/>
      </c>
      <c r="M165" s="106"/>
      <c r="N165" s="282" t="str">
        <f>IF(M165="","",IF(AND(M165="N/A - Culvert",D165&lt;&gt;"Culvert"),"Not possible ▲",IF(AND(D165="Culvert",M165&lt;&gt;"N/A - Culvert"),"Not possible ▲",IF(VLOOKUP(M165,'G-7 WaterC'' Data'!$AA$4:$AB$7,2,FALSE)=0,"Spatial Data Missing ⚠",VLOOKUP(M165,'G-7 WaterC'' Data'!$AA$4:$AB$7,2,FALSE)))))</f>
        <v/>
      </c>
      <c r="O165" s="56"/>
      <c r="P165" s="282" t="str">
        <f>IF(O165="","",IF(AND(O165="N/A - Culvert",D165&lt;&gt;"Culvert"),"Not possible ▲",IF(AND(D165="Culvert",O165&lt;&gt;"N/A - Culvert"),"Not possible ▲",IF(VLOOKUP(O165,'G-7 WaterC'' Data'!$AD$4:$AE$14,2,FALSE)=0,"Spatial Data Missing ⚠",VLOOKUP(O165,'G-7 WaterC'' Data'!$AD$4:$AE$14,2,FALSE)))))</f>
        <v/>
      </c>
      <c r="Q165" s="288" t="str">
        <f>IF(D165="","",VLOOKUP(D165,'G-7 WaterC'' Data'!$B$4:$G$8,6,FALSE))</f>
        <v/>
      </c>
      <c r="R165" s="295" t="str">
        <f t="shared" si="25"/>
        <v xml:space="preserve"> </v>
      </c>
      <c r="S165" s="403"/>
      <c r="T165" s="287" t="str">
        <f>IF(S165="","",IF(VLOOKUP(S165,'G-7 WaterC'' Data'!$AO$4:$BO$7,2,FALSE)=0,"Spatial Data Missing ⚠",VLOOKUP(S165,'G-7 WaterC'' Data'!$AO$4:$BO$7,2,FALSE)))</f>
        <v/>
      </c>
      <c r="U165" s="295" t="str">
        <f t="shared" si="26"/>
        <v xml:space="preserve"> </v>
      </c>
      <c r="V165" s="710" t="str">
        <f t="shared" si="27"/>
        <v/>
      </c>
      <c r="W165" s="32"/>
      <c r="X165" s="105"/>
      <c r="Y165" s="112"/>
      <c r="Z165" s="293" t="str">
        <f t="shared" si="28"/>
        <v/>
      </c>
      <c r="AA165" s="293" t="str">
        <f t="shared" si="29"/>
        <v/>
      </c>
      <c r="AB165" s="293" t="str">
        <f t="shared" si="30"/>
        <v/>
      </c>
      <c r="AC165" s="507" t="str">
        <f>IFERROR(IF(OR(E165="",R165=""),"", IF(AND(AB165&lt;&gt;"",S165=""), "Spatial risk category missing ▲", IF(AND(Q165='G-7 WaterC'' Data'!$G$4,AD165="Yes"),"Alternative Compensation ✓", IF(AND(AD165="Pending", Q165='G-7 WaterC'' Data'!$G$4),"Bespoke compensation must be agreed ▲", IF((Z165+AA165)&gt;=U165,0, U165-Z165-AA165))))),"Check Data ⚠")</f>
        <v/>
      </c>
      <c r="AD165" s="403"/>
      <c r="AE165" s="109"/>
      <c r="AF165" s="108"/>
      <c r="AG165" s="108"/>
      <c r="AH165" s="108"/>
      <c r="AI165" s="54" t="str">
        <f>IF(OR(Q165="",AD165="Yes"),"",IF(Q165='G-1 All Habitats'!$X$9,E165-Y165-X165,"None"))</f>
        <v/>
      </c>
      <c r="AJ165" s="55" t="str">
        <f>IF(Q165="","", IF(Q165='G-1 All Habitats'!$X$9, AI165*G165*I165*L165*N165*P165,"None"))</f>
        <v/>
      </c>
      <c r="AK165" s="30" t="str">
        <f>IFERROR(INDEX('G-7 WaterC'' Data'!$AZ$3:$AZ$7,MATCH(D165,'G-7 WaterC'' Data'!$AY$3:$AY$7,0)),"")</f>
        <v/>
      </c>
      <c r="AL165" s="30">
        <f t="shared" si="31"/>
        <v>0</v>
      </c>
      <c r="AM165" s="111" t="str">
        <f t="shared" si="32"/>
        <v/>
      </c>
      <c r="AN165" s="111" t="str">
        <f t="shared" si="33"/>
        <v/>
      </c>
      <c r="AP165" s="111">
        <v>156</v>
      </c>
      <c r="AR165" s="111" t="str">
        <f t="array" ref="AR165">IFERROR(INDEX($AP$10:$AP$258, MATCH(0, IF(TRUE=$AM$10:$AM$258, COUNTIF($AR$9:$AR164, $AP$10:$AP$258), ""), 0)),"")</f>
        <v/>
      </c>
      <c r="AS165" s="111" t="str">
        <f t="array" ref="AS165">IFERROR(INDEX($AP$10:$AP$258, MATCH(0, IF(TRUE=$AN$10:$AN$258, COUNTIF($AS$9:$AS164, $AP$10:$AP$258), ""), 0)),"")</f>
        <v/>
      </c>
      <c r="AT165" s="903" t="str">
        <f>IF(AND(OR(AD165="Yes",AD165="Pending"),Q165='G-7 WaterC'' Data'!$G$4),U165-AA165-Z165,"0")</f>
        <v>0</v>
      </c>
      <c r="AU165" s="30" t="str">
        <f>IF(D165="","",VLOOKUP(D165,'G-7 WaterC'' Data'!B$4:M$8,12,FALSE))</f>
        <v/>
      </c>
      <c r="AV165" s="30" t="str">
        <f t="shared" si="24"/>
        <v/>
      </c>
      <c r="AW165" s="30" t="str">
        <f t="shared" si="34"/>
        <v>No</v>
      </c>
      <c r="BA165" s="571" t="str">
        <f t="shared" si="35"/>
        <v/>
      </c>
    </row>
    <row r="166" spans="3:53" ht="14.4" thickBot="1" x14ac:dyDescent="0.3">
      <c r="C166" s="101">
        <v>157</v>
      </c>
      <c r="D166" s="269"/>
      <c r="E166" s="108"/>
      <c r="F166" s="281" t="str">
        <f>IF(D166="","",VLOOKUP(D166,'G-7 WaterC'' Data'!$B$2:$G$8,2,FALSE))</f>
        <v/>
      </c>
      <c r="G166" s="320" t="str">
        <f>IFERROR(VLOOKUP(F166,'G-7 WaterC'' Data'!$C$4:$D$8,2,FALSE),"")</f>
        <v/>
      </c>
      <c r="H166" s="109"/>
      <c r="I166" s="305" t="str">
        <f>IFERROR(INDEX('G-7 WaterC'' Data'!$H$4:$L$8,MATCH(D166,'G-7 WaterC'' Data'!$B$4:$B$8,0),MATCH(H166,'G-7 WaterC'' Data'!$H$3:$L$3,0)),"")</f>
        <v/>
      </c>
      <c r="J166" s="718"/>
      <c r="K166" s="301" t="str">
        <f>IF(J166="","",IF(VLOOKUP(J166,'G-7 WaterC'' Data'!$AK$4:$AM$9,2,FALSE)=0,"Spatial Data Missing ⚠",VLOOKUP(J166,'G-7 WaterC'' Data'!$AK$4:$AM$6,2,FALSE)))</f>
        <v/>
      </c>
      <c r="L166" s="305" t="str">
        <f>IF(J166="","",IF(VLOOKUP(J166,'G-7 WaterC'' Data'!$AK$4:$AM$9,3,FALSE)=0,"Spatial Data Missing ⚠",VLOOKUP(J166,'G-7 WaterC'' Data'!$AK$4:$AM$6,3,FALSE)))</f>
        <v/>
      </c>
      <c r="M166" s="106"/>
      <c r="N166" s="282" t="str">
        <f>IF(M166="","",IF(AND(M166="N/A - Culvert",D166&lt;&gt;"Culvert"),"Not possible ▲",IF(AND(D166="Culvert",M166&lt;&gt;"N/A - Culvert"),"Not possible ▲",IF(VLOOKUP(M166,'G-7 WaterC'' Data'!$AA$4:$AB$7,2,FALSE)=0,"Spatial Data Missing ⚠",VLOOKUP(M166,'G-7 WaterC'' Data'!$AA$4:$AB$7,2,FALSE)))))</f>
        <v/>
      </c>
      <c r="O166" s="56"/>
      <c r="P166" s="282" t="str">
        <f>IF(O166="","",IF(AND(O166="N/A - Culvert",D166&lt;&gt;"Culvert"),"Not possible ▲",IF(AND(D166="Culvert",O166&lt;&gt;"N/A - Culvert"),"Not possible ▲",IF(VLOOKUP(O166,'G-7 WaterC'' Data'!$AD$4:$AE$14,2,FALSE)=0,"Spatial Data Missing ⚠",VLOOKUP(O166,'G-7 WaterC'' Data'!$AD$4:$AE$14,2,FALSE)))))</f>
        <v/>
      </c>
      <c r="Q166" s="288" t="str">
        <f>IF(D166="","",VLOOKUP(D166,'G-7 WaterC'' Data'!$B$4:$G$8,6,FALSE))</f>
        <v/>
      </c>
      <c r="R166" s="295" t="str">
        <f t="shared" si="25"/>
        <v xml:space="preserve"> </v>
      </c>
      <c r="S166" s="403"/>
      <c r="T166" s="287" t="str">
        <f>IF(S166="","",IF(VLOOKUP(S166,'G-7 WaterC'' Data'!$AO$4:$BO$7,2,FALSE)=0,"Spatial Data Missing ⚠",VLOOKUP(S166,'G-7 WaterC'' Data'!$AO$4:$BO$7,2,FALSE)))</f>
        <v/>
      </c>
      <c r="U166" s="295" t="str">
        <f t="shared" si="26"/>
        <v xml:space="preserve"> </v>
      </c>
      <c r="V166" s="710" t="str">
        <f t="shared" si="27"/>
        <v/>
      </c>
      <c r="W166" s="32"/>
      <c r="X166" s="105"/>
      <c r="Y166" s="112"/>
      <c r="Z166" s="293" t="str">
        <f t="shared" si="28"/>
        <v/>
      </c>
      <c r="AA166" s="293" t="str">
        <f t="shared" si="29"/>
        <v/>
      </c>
      <c r="AB166" s="293" t="str">
        <f t="shared" si="30"/>
        <v/>
      </c>
      <c r="AC166" s="507" t="str">
        <f>IFERROR(IF(OR(E166="",R166=""),"", IF(AND(AB166&lt;&gt;"",S166=""), "Spatial risk category missing ▲", IF(AND(Q166='G-7 WaterC'' Data'!$G$4,AD166="Yes"),"Alternative Compensation ✓", IF(AND(AD166="Pending", Q166='G-7 WaterC'' Data'!$G$4),"Bespoke compensation must be agreed ▲", IF((Z166+AA166)&gt;=U166,0, U166-Z166-AA166))))),"Check Data ⚠")</f>
        <v/>
      </c>
      <c r="AD166" s="403"/>
      <c r="AE166" s="109"/>
      <c r="AF166" s="108"/>
      <c r="AG166" s="108"/>
      <c r="AH166" s="108"/>
      <c r="AI166" s="54" t="str">
        <f>IF(OR(Q166="",AD166="Yes"),"",IF(Q166='G-1 All Habitats'!$X$9,E166-Y166-X166,"None"))</f>
        <v/>
      </c>
      <c r="AJ166" s="55" t="str">
        <f>IF(Q166="","", IF(Q166='G-1 All Habitats'!$X$9, AI166*G166*I166*L166*N166*P166,"None"))</f>
        <v/>
      </c>
      <c r="AK166" s="30" t="str">
        <f>IFERROR(INDEX('G-7 WaterC'' Data'!$AZ$3:$AZ$7,MATCH(D166,'G-7 WaterC'' Data'!$AY$3:$AY$7,0)),"")</f>
        <v/>
      </c>
      <c r="AL166" s="30">
        <f t="shared" si="31"/>
        <v>0</v>
      </c>
      <c r="AM166" s="111" t="str">
        <f t="shared" si="32"/>
        <v/>
      </c>
      <c r="AN166" s="111" t="str">
        <f t="shared" si="33"/>
        <v/>
      </c>
      <c r="AP166" s="111">
        <v>157</v>
      </c>
      <c r="AR166" s="111" t="str">
        <f t="array" ref="AR166">IFERROR(INDEX($AP$10:$AP$258, MATCH(0, IF(TRUE=$AM$10:$AM$258, COUNTIF($AR$9:$AR165, $AP$10:$AP$258), ""), 0)),"")</f>
        <v/>
      </c>
      <c r="AS166" s="111" t="str">
        <f t="array" ref="AS166">IFERROR(INDEX($AP$10:$AP$258, MATCH(0, IF(TRUE=$AN$10:$AN$258, COUNTIF($AS$9:$AS165, $AP$10:$AP$258), ""), 0)),"")</f>
        <v/>
      </c>
      <c r="AT166" s="903" t="str">
        <f>IF(AND(OR(AD166="Yes",AD166="Pending"),Q166='G-7 WaterC'' Data'!$G$4),U166-AA166-Z166,"0")</f>
        <v>0</v>
      </c>
      <c r="AU166" s="30" t="str">
        <f>IF(D166="","",VLOOKUP(D166,'G-7 WaterC'' Data'!B$4:M$8,12,FALSE))</f>
        <v/>
      </c>
      <c r="AV166" s="30" t="str">
        <f t="shared" si="24"/>
        <v/>
      </c>
      <c r="AW166" s="30" t="str">
        <f t="shared" si="34"/>
        <v>No</v>
      </c>
      <c r="BA166" s="571" t="str">
        <f t="shared" si="35"/>
        <v/>
      </c>
    </row>
    <row r="167" spans="3:53" ht="14.4" thickBot="1" x14ac:dyDescent="0.3">
      <c r="C167" s="101">
        <v>158</v>
      </c>
      <c r="D167" s="269"/>
      <c r="E167" s="108"/>
      <c r="F167" s="281" t="str">
        <f>IF(D167="","",VLOOKUP(D167,'G-7 WaterC'' Data'!$B$2:$G$8,2,FALSE))</f>
        <v/>
      </c>
      <c r="G167" s="320" t="str">
        <f>IFERROR(VLOOKUP(F167,'G-7 WaterC'' Data'!$C$4:$D$8,2,FALSE),"")</f>
        <v/>
      </c>
      <c r="H167" s="109"/>
      <c r="I167" s="305" t="str">
        <f>IFERROR(INDEX('G-7 WaterC'' Data'!$H$4:$L$8,MATCH(D167,'G-7 WaterC'' Data'!$B$4:$B$8,0),MATCH(H167,'G-7 WaterC'' Data'!$H$3:$L$3,0)),"")</f>
        <v/>
      </c>
      <c r="J167" s="718"/>
      <c r="K167" s="301" t="str">
        <f>IF(J167="","",IF(VLOOKUP(J167,'G-7 WaterC'' Data'!$AK$4:$AM$9,2,FALSE)=0,"Spatial Data Missing ⚠",VLOOKUP(J167,'G-7 WaterC'' Data'!$AK$4:$AM$6,2,FALSE)))</f>
        <v/>
      </c>
      <c r="L167" s="305" t="str">
        <f>IF(J167="","",IF(VLOOKUP(J167,'G-7 WaterC'' Data'!$AK$4:$AM$9,3,FALSE)=0,"Spatial Data Missing ⚠",VLOOKUP(J167,'G-7 WaterC'' Data'!$AK$4:$AM$6,3,FALSE)))</f>
        <v/>
      </c>
      <c r="M167" s="106"/>
      <c r="N167" s="282" t="str">
        <f>IF(M167="","",IF(AND(M167="N/A - Culvert",D167&lt;&gt;"Culvert"),"Not possible ▲",IF(AND(D167="Culvert",M167&lt;&gt;"N/A - Culvert"),"Not possible ▲",IF(VLOOKUP(M167,'G-7 WaterC'' Data'!$AA$4:$AB$7,2,FALSE)=0,"Spatial Data Missing ⚠",VLOOKUP(M167,'G-7 WaterC'' Data'!$AA$4:$AB$7,2,FALSE)))))</f>
        <v/>
      </c>
      <c r="O167" s="56"/>
      <c r="P167" s="282" t="str">
        <f>IF(O167="","",IF(AND(O167="N/A - Culvert",D167&lt;&gt;"Culvert"),"Not possible ▲",IF(AND(D167="Culvert",O167&lt;&gt;"N/A - Culvert"),"Not possible ▲",IF(VLOOKUP(O167,'G-7 WaterC'' Data'!$AD$4:$AE$14,2,FALSE)=0,"Spatial Data Missing ⚠",VLOOKUP(O167,'G-7 WaterC'' Data'!$AD$4:$AE$14,2,FALSE)))))</f>
        <v/>
      </c>
      <c r="Q167" s="288" t="str">
        <f>IF(D167="","",VLOOKUP(D167,'G-7 WaterC'' Data'!$B$4:$G$8,6,FALSE))</f>
        <v/>
      </c>
      <c r="R167" s="295" t="str">
        <f t="shared" si="25"/>
        <v xml:space="preserve"> </v>
      </c>
      <c r="S167" s="403"/>
      <c r="T167" s="287" t="str">
        <f>IF(S167="","",IF(VLOOKUP(S167,'G-7 WaterC'' Data'!$AO$4:$BO$7,2,FALSE)=0,"Spatial Data Missing ⚠",VLOOKUP(S167,'G-7 WaterC'' Data'!$AO$4:$BO$7,2,FALSE)))</f>
        <v/>
      </c>
      <c r="U167" s="295" t="str">
        <f t="shared" si="26"/>
        <v xml:space="preserve"> </v>
      </c>
      <c r="V167" s="710" t="str">
        <f t="shared" si="27"/>
        <v/>
      </c>
      <c r="W167" s="32"/>
      <c r="X167" s="105"/>
      <c r="Y167" s="112"/>
      <c r="Z167" s="293" t="str">
        <f t="shared" si="28"/>
        <v/>
      </c>
      <c r="AA167" s="293" t="str">
        <f t="shared" si="29"/>
        <v/>
      </c>
      <c r="AB167" s="293" t="str">
        <f t="shared" si="30"/>
        <v/>
      </c>
      <c r="AC167" s="507" t="str">
        <f>IFERROR(IF(OR(E167="",R167=""),"", IF(AND(AB167&lt;&gt;"",S167=""), "Spatial risk category missing ▲", IF(AND(Q167='G-7 WaterC'' Data'!$G$4,AD167="Yes"),"Alternative Compensation ✓", IF(AND(AD167="Pending", Q167='G-7 WaterC'' Data'!$G$4),"Bespoke compensation must be agreed ▲", IF((Z167+AA167)&gt;=U167,0, U167-Z167-AA167))))),"Check Data ⚠")</f>
        <v/>
      </c>
      <c r="AD167" s="403"/>
      <c r="AE167" s="109"/>
      <c r="AF167" s="108"/>
      <c r="AG167" s="108"/>
      <c r="AH167" s="108"/>
      <c r="AI167" s="54" t="str">
        <f>IF(OR(Q167="",AD167="Yes"),"",IF(Q167='G-1 All Habitats'!$X$9,E167-Y167-X167,"None"))</f>
        <v/>
      </c>
      <c r="AJ167" s="55" t="str">
        <f>IF(Q167="","", IF(Q167='G-1 All Habitats'!$X$9, AI167*G167*I167*L167*N167*P167,"None"))</f>
        <v/>
      </c>
      <c r="AK167" s="30" t="str">
        <f>IFERROR(INDEX('G-7 WaterC'' Data'!$AZ$3:$AZ$7,MATCH(D167,'G-7 WaterC'' Data'!$AY$3:$AY$7,0)),"")</f>
        <v/>
      </c>
      <c r="AL167" s="30">
        <f t="shared" si="31"/>
        <v>0</v>
      </c>
      <c r="AM167" s="111" t="str">
        <f t="shared" si="32"/>
        <v/>
      </c>
      <c r="AN167" s="111" t="str">
        <f t="shared" si="33"/>
        <v/>
      </c>
      <c r="AP167" s="111">
        <v>158</v>
      </c>
      <c r="AR167" s="111" t="str">
        <f t="array" ref="AR167">IFERROR(INDEX($AP$10:$AP$258, MATCH(0, IF(TRUE=$AM$10:$AM$258, COUNTIF($AR$9:$AR166, $AP$10:$AP$258), ""), 0)),"")</f>
        <v/>
      </c>
      <c r="AS167" s="111" t="str">
        <f t="array" ref="AS167">IFERROR(INDEX($AP$10:$AP$258, MATCH(0, IF(TRUE=$AN$10:$AN$258, COUNTIF($AS$9:$AS166, $AP$10:$AP$258), ""), 0)),"")</f>
        <v/>
      </c>
      <c r="AT167" s="903" t="str">
        <f>IF(AND(OR(AD167="Yes",AD167="Pending"),Q167='G-7 WaterC'' Data'!$G$4),U167-AA167-Z167,"0")</f>
        <v>0</v>
      </c>
      <c r="AU167" s="30" t="str">
        <f>IF(D167="","",VLOOKUP(D167,'G-7 WaterC'' Data'!B$4:M$8,12,FALSE))</f>
        <v/>
      </c>
      <c r="AV167" s="30" t="str">
        <f t="shared" si="24"/>
        <v/>
      </c>
      <c r="AW167" s="30" t="str">
        <f t="shared" si="34"/>
        <v>No</v>
      </c>
      <c r="BA167" s="571" t="str">
        <f t="shared" si="35"/>
        <v/>
      </c>
    </row>
    <row r="168" spans="3:53" ht="14.4" thickBot="1" x14ac:dyDescent="0.3">
      <c r="C168" s="101">
        <v>159</v>
      </c>
      <c r="D168" s="269"/>
      <c r="E168" s="108"/>
      <c r="F168" s="281" t="str">
        <f>IF(D168="","",VLOOKUP(D168,'G-7 WaterC'' Data'!$B$2:$G$8,2,FALSE))</f>
        <v/>
      </c>
      <c r="G168" s="320" t="str">
        <f>IFERROR(VLOOKUP(F168,'G-7 WaterC'' Data'!$C$4:$D$8,2,FALSE),"")</f>
        <v/>
      </c>
      <c r="H168" s="109"/>
      <c r="I168" s="305" t="str">
        <f>IFERROR(INDEX('G-7 WaterC'' Data'!$H$4:$L$8,MATCH(D168,'G-7 WaterC'' Data'!$B$4:$B$8,0),MATCH(H168,'G-7 WaterC'' Data'!$H$3:$L$3,0)),"")</f>
        <v/>
      </c>
      <c r="J168" s="718"/>
      <c r="K168" s="301" t="str">
        <f>IF(J168="","",IF(VLOOKUP(J168,'G-7 WaterC'' Data'!$AK$4:$AM$9,2,FALSE)=0,"Spatial Data Missing ⚠",VLOOKUP(J168,'G-7 WaterC'' Data'!$AK$4:$AM$6,2,FALSE)))</f>
        <v/>
      </c>
      <c r="L168" s="305" t="str">
        <f>IF(J168="","",IF(VLOOKUP(J168,'G-7 WaterC'' Data'!$AK$4:$AM$9,3,FALSE)=0,"Spatial Data Missing ⚠",VLOOKUP(J168,'G-7 WaterC'' Data'!$AK$4:$AM$6,3,FALSE)))</f>
        <v/>
      </c>
      <c r="M168" s="106"/>
      <c r="N168" s="282" t="str">
        <f>IF(M168="","",IF(AND(M168="N/A - Culvert",D168&lt;&gt;"Culvert"),"Not possible ▲",IF(AND(D168="Culvert",M168&lt;&gt;"N/A - Culvert"),"Not possible ▲",IF(VLOOKUP(M168,'G-7 WaterC'' Data'!$AA$4:$AB$7,2,FALSE)=0,"Spatial Data Missing ⚠",VLOOKUP(M168,'G-7 WaterC'' Data'!$AA$4:$AB$7,2,FALSE)))))</f>
        <v/>
      </c>
      <c r="O168" s="56"/>
      <c r="P168" s="282" t="str">
        <f>IF(O168="","",IF(AND(O168="N/A - Culvert",D168&lt;&gt;"Culvert"),"Not possible ▲",IF(AND(D168="Culvert",O168&lt;&gt;"N/A - Culvert"),"Not possible ▲",IF(VLOOKUP(O168,'G-7 WaterC'' Data'!$AD$4:$AE$14,2,FALSE)=0,"Spatial Data Missing ⚠",VLOOKUP(O168,'G-7 WaterC'' Data'!$AD$4:$AE$14,2,FALSE)))))</f>
        <v/>
      </c>
      <c r="Q168" s="288" t="str">
        <f>IF(D168="","",VLOOKUP(D168,'G-7 WaterC'' Data'!$B$4:$G$8,6,FALSE))</f>
        <v/>
      </c>
      <c r="R168" s="295" t="str">
        <f t="shared" si="25"/>
        <v xml:space="preserve"> </v>
      </c>
      <c r="S168" s="403"/>
      <c r="T168" s="287" t="str">
        <f>IF(S168="","",IF(VLOOKUP(S168,'G-7 WaterC'' Data'!$AO$4:$BO$7,2,FALSE)=0,"Spatial Data Missing ⚠",VLOOKUP(S168,'G-7 WaterC'' Data'!$AO$4:$BO$7,2,FALSE)))</f>
        <v/>
      </c>
      <c r="U168" s="295" t="str">
        <f t="shared" si="26"/>
        <v xml:space="preserve"> </v>
      </c>
      <c r="V168" s="710" t="str">
        <f t="shared" si="27"/>
        <v/>
      </c>
      <c r="W168" s="32"/>
      <c r="X168" s="105"/>
      <c r="Y168" s="112"/>
      <c r="Z168" s="293" t="str">
        <f t="shared" si="28"/>
        <v/>
      </c>
      <c r="AA168" s="293" t="str">
        <f t="shared" si="29"/>
        <v/>
      </c>
      <c r="AB168" s="293" t="str">
        <f t="shared" si="30"/>
        <v/>
      </c>
      <c r="AC168" s="507" t="str">
        <f>IFERROR(IF(OR(E168="",R168=""),"", IF(AND(AB168&lt;&gt;"",S168=""), "Spatial risk category missing ▲", IF(AND(Q168='G-7 WaterC'' Data'!$G$4,AD168="Yes"),"Alternative Compensation ✓", IF(AND(AD168="Pending", Q168='G-7 WaterC'' Data'!$G$4),"Bespoke compensation must be agreed ▲", IF((Z168+AA168)&gt;=U168,0, U168-Z168-AA168))))),"Check Data ⚠")</f>
        <v/>
      </c>
      <c r="AD168" s="403"/>
      <c r="AE168" s="109"/>
      <c r="AF168" s="108"/>
      <c r="AG168" s="108"/>
      <c r="AH168" s="108"/>
      <c r="AI168" s="54" t="str">
        <f>IF(OR(Q168="",AD168="Yes"),"",IF(Q168='G-1 All Habitats'!$X$9,E168-Y168-X168,"None"))</f>
        <v/>
      </c>
      <c r="AJ168" s="55" t="str">
        <f>IF(Q168="","", IF(Q168='G-1 All Habitats'!$X$9, AI168*G168*I168*L168*N168*P168,"None"))</f>
        <v/>
      </c>
      <c r="AK168" s="30" t="str">
        <f>IFERROR(INDEX('G-7 WaterC'' Data'!$AZ$3:$AZ$7,MATCH(D168,'G-7 WaterC'' Data'!$AY$3:$AY$7,0)),"")</f>
        <v/>
      </c>
      <c r="AL168" s="30">
        <f t="shared" si="31"/>
        <v>0</v>
      </c>
      <c r="AM168" s="111" t="str">
        <f t="shared" si="32"/>
        <v/>
      </c>
      <c r="AN168" s="111" t="str">
        <f t="shared" si="33"/>
        <v/>
      </c>
      <c r="AP168" s="111">
        <v>159</v>
      </c>
      <c r="AR168" s="111" t="str">
        <f t="array" ref="AR168">IFERROR(INDEX($AP$10:$AP$258, MATCH(0, IF(TRUE=$AM$10:$AM$258, COUNTIF($AR$9:$AR167, $AP$10:$AP$258), ""), 0)),"")</f>
        <v/>
      </c>
      <c r="AS168" s="111" t="str">
        <f t="array" ref="AS168">IFERROR(INDEX($AP$10:$AP$258, MATCH(0, IF(TRUE=$AN$10:$AN$258, COUNTIF($AS$9:$AS167, $AP$10:$AP$258), ""), 0)),"")</f>
        <v/>
      </c>
      <c r="AT168" s="903" t="str">
        <f>IF(AND(OR(AD168="Yes",AD168="Pending"),Q168='G-7 WaterC'' Data'!$G$4),U168-AA168-Z168,"0")</f>
        <v>0</v>
      </c>
      <c r="AU168" s="30" t="str">
        <f>IF(D168="","",VLOOKUP(D168,'G-7 WaterC'' Data'!B$4:M$8,12,FALSE))</f>
        <v/>
      </c>
      <c r="AV168" s="30" t="str">
        <f t="shared" si="24"/>
        <v/>
      </c>
      <c r="AW168" s="30" t="str">
        <f t="shared" si="34"/>
        <v>No</v>
      </c>
      <c r="BA168" s="571" t="str">
        <f t="shared" si="35"/>
        <v/>
      </c>
    </row>
    <row r="169" spans="3:53" ht="14.4" thickBot="1" x14ac:dyDescent="0.3">
      <c r="C169" s="101">
        <v>160</v>
      </c>
      <c r="D169" s="269"/>
      <c r="E169" s="108"/>
      <c r="F169" s="281" t="str">
        <f>IF(D169="","",VLOOKUP(D169,'G-7 WaterC'' Data'!$B$2:$G$8,2,FALSE))</f>
        <v/>
      </c>
      <c r="G169" s="320" t="str">
        <f>IFERROR(VLOOKUP(F169,'G-7 WaterC'' Data'!$C$4:$D$8,2,FALSE),"")</f>
        <v/>
      </c>
      <c r="H169" s="109"/>
      <c r="I169" s="305" t="str">
        <f>IFERROR(INDEX('G-7 WaterC'' Data'!$H$4:$L$8,MATCH(D169,'G-7 WaterC'' Data'!$B$4:$B$8,0),MATCH(H169,'G-7 WaterC'' Data'!$H$3:$L$3,0)),"")</f>
        <v/>
      </c>
      <c r="J169" s="718"/>
      <c r="K169" s="301" t="str">
        <f>IF(J169="","",IF(VLOOKUP(J169,'G-7 WaterC'' Data'!$AK$4:$AM$9,2,FALSE)=0,"Spatial Data Missing ⚠",VLOOKUP(J169,'G-7 WaterC'' Data'!$AK$4:$AM$6,2,FALSE)))</f>
        <v/>
      </c>
      <c r="L169" s="305" t="str">
        <f>IF(J169="","",IF(VLOOKUP(J169,'G-7 WaterC'' Data'!$AK$4:$AM$9,3,FALSE)=0,"Spatial Data Missing ⚠",VLOOKUP(J169,'G-7 WaterC'' Data'!$AK$4:$AM$6,3,FALSE)))</f>
        <v/>
      </c>
      <c r="M169" s="106"/>
      <c r="N169" s="282" t="str">
        <f>IF(M169="","",IF(AND(M169="N/A - Culvert",D169&lt;&gt;"Culvert"),"Not possible ▲",IF(AND(D169="Culvert",M169&lt;&gt;"N/A - Culvert"),"Not possible ▲",IF(VLOOKUP(M169,'G-7 WaterC'' Data'!$AA$4:$AB$7,2,FALSE)=0,"Spatial Data Missing ⚠",VLOOKUP(M169,'G-7 WaterC'' Data'!$AA$4:$AB$7,2,FALSE)))))</f>
        <v/>
      </c>
      <c r="O169" s="56"/>
      <c r="P169" s="282" t="str">
        <f>IF(O169="","",IF(AND(O169="N/A - Culvert",D169&lt;&gt;"Culvert"),"Not possible ▲",IF(AND(D169="Culvert",O169&lt;&gt;"N/A - Culvert"),"Not possible ▲",IF(VLOOKUP(O169,'G-7 WaterC'' Data'!$AD$4:$AE$14,2,FALSE)=0,"Spatial Data Missing ⚠",VLOOKUP(O169,'G-7 WaterC'' Data'!$AD$4:$AE$14,2,FALSE)))))</f>
        <v/>
      </c>
      <c r="Q169" s="288" t="str">
        <f>IF(D169="","",VLOOKUP(D169,'G-7 WaterC'' Data'!$B$4:$G$8,6,FALSE))</f>
        <v/>
      </c>
      <c r="R169" s="295" t="str">
        <f t="shared" si="25"/>
        <v xml:space="preserve"> </v>
      </c>
      <c r="S169" s="403"/>
      <c r="T169" s="287" t="str">
        <f>IF(S169="","",IF(VLOOKUP(S169,'G-7 WaterC'' Data'!$AO$4:$BO$7,2,FALSE)=0,"Spatial Data Missing ⚠",VLOOKUP(S169,'G-7 WaterC'' Data'!$AO$4:$BO$7,2,FALSE)))</f>
        <v/>
      </c>
      <c r="U169" s="295" t="str">
        <f t="shared" si="26"/>
        <v xml:space="preserve"> </v>
      </c>
      <c r="V169" s="710" t="str">
        <f t="shared" si="27"/>
        <v/>
      </c>
      <c r="W169" s="32"/>
      <c r="X169" s="105"/>
      <c r="Y169" s="112"/>
      <c r="Z169" s="293" t="str">
        <f t="shared" si="28"/>
        <v/>
      </c>
      <c r="AA169" s="293" t="str">
        <f t="shared" si="29"/>
        <v/>
      </c>
      <c r="AB169" s="293" t="str">
        <f t="shared" si="30"/>
        <v/>
      </c>
      <c r="AC169" s="507" t="str">
        <f>IFERROR(IF(OR(E169="",R169=""),"", IF(AND(AB169&lt;&gt;"",S169=""), "Spatial risk category missing ▲", IF(AND(Q169='G-7 WaterC'' Data'!$G$4,AD169="Yes"),"Alternative Compensation ✓", IF(AND(AD169="Pending", Q169='G-7 WaterC'' Data'!$G$4),"Bespoke compensation must be agreed ▲", IF((Z169+AA169)&gt;=U169,0, U169-Z169-AA169))))),"Check Data ⚠")</f>
        <v/>
      </c>
      <c r="AD169" s="403"/>
      <c r="AE169" s="109"/>
      <c r="AF169" s="108"/>
      <c r="AG169" s="108"/>
      <c r="AH169" s="108"/>
      <c r="AI169" s="54" t="str">
        <f>IF(OR(Q169="",AD169="Yes"),"",IF(Q169='G-1 All Habitats'!$X$9,E169-Y169-X169,"None"))</f>
        <v/>
      </c>
      <c r="AJ169" s="55" t="str">
        <f>IF(Q169="","", IF(Q169='G-1 All Habitats'!$X$9, AI169*G169*I169*L169*N169*P169,"None"))</f>
        <v/>
      </c>
      <c r="AK169" s="30" t="str">
        <f>IFERROR(INDEX('G-7 WaterC'' Data'!$AZ$3:$AZ$7,MATCH(D169,'G-7 WaterC'' Data'!$AY$3:$AY$7,0)),"")</f>
        <v/>
      </c>
      <c r="AL169" s="30">
        <f t="shared" si="31"/>
        <v>0</v>
      </c>
      <c r="AM169" s="111" t="str">
        <f t="shared" si="32"/>
        <v/>
      </c>
      <c r="AN169" s="111" t="str">
        <f t="shared" si="33"/>
        <v/>
      </c>
      <c r="AP169" s="111">
        <v>160</v>
      </c>
      <c r="AR169" s="111" t="str">
        <f t="array" ref="AR169">IFERROR(INDEX($AP$10:$AP$258, MATCH(0, IF(TRUE=$AM$10:$AM$258, COUNTIF($AR$9:$AR168, $AP$10:$AP$258), ""), 0)),"")</f>
        <v/>
      </c>
      <c r="AS169" s="111" t="str">
        <f t="array" ref="AS169">IFERROR(INDEX($AP$10:$AP$258, MATCH(0, IF(TRUE=$AN$10:$AN$258, COUNTIF($AS$9:$AS168, $AP$10:$AP$258), ""), 0)),"")</f>
        <v/>
      </c>
      <c r="AT169" s="903" t="str">
        <f>IF(AND(OR(AD169="Yes",AD169="Pending"),Q169='G-7 WaterC'' Data'!$G$4),U169-AA169-Z169,"0")</f>
        <v>0</v>
      </c>
      <c r="AU169" s="30" t="str">
        <f>IF(D169="","",VLOOKUP(D169,'G-7 WaterC'' Data'!B$4:M$8,12,FALSE))</f>
        <v/>
      </c>
      <c r="AV169" s="30" t="str">
        <f t="shared" si="24"/>
        <v/>
      </c>
      <c r="AW169" s="30" t="str">
        <f t="shared" si="34"/>
        <v>No</v>
      </c>
      <c r="BA169" s="571" t="str">
        <f t="shared" si="35"/>
        <v/>
      </c>
    </row>
    <row r="170" spans="3:53" ht="14.4" thickBot="1" x14ac:dyDescent="0.3">
      <c r="C170" s="101">
        <v>161</v>
      </c>
      <c r="D170" s="269"/>
      <c r="E170" s="108"/>
      <c r="F170" s="281" t="str">
        <f>IF(D170="","",VLOOKUP(D170,'G-7 WaterC'' Data'!$B$2:$G$8,2,FALSE))</f>
        <v/>
      </c>
      <c r="G170" s="320" t="str">
        <f>IFERROR(VLOOKUP(F170,'G-7 WaterC'' Data'!$C$4:$D$8,2,FALSE),"")</f>
        <v/>
      </c>
      <c r="H170" s="109"/>
      <c r="I170" s="305" t="str">
        <f>IFERROR(INDEX('G-7 WaterC'' Data'!$H$4:$L$8,MATCH(D170,'G-7 WaterC'' Data'!$B$4:$B$8,0),MATCH(H170,'G-7 WaterC'' Data'!$H$3:$L$3,0)),"")</f>
        <v/>
      </c>
      <c r="J170" s="718"/>
      <c r="K170" s="301" t="str">
        <f>IF(J170="","",IF(VLOOKUP(J170,'G-7 WaterC'' Data'!$AK$4:$AM$9,2,FALSE)=0,"Spatial Data Missing ⚠",VLOOKUP(J170,'G-7 WaterC'' Data'!$AK$4:$AM$6,2,FALSE)))</f>
        <v/>
      </c>
      <c r="L170" s="305" t="str">
        <f>IF(J170="","",IF(VLOOKUP(J170,'G-7 WaterC'' Data'!$AK$4:$AM$9,3,FALSE)=0,"Spatial Data Missing ⚠",VLOOKUP(J170,'G-7 WaterC'' Data'!$AK$4:$AM$6,3,FALSE)))</f>
        <v/>
      </c>
      <c r="M170" s="106"/>
      <c r="N170" s="282" t="str">
        <f>IF(M170="","",IF(AND(M170="N/A - Culvert",D170&lt;&gt;"Culvert"),"Not possible ▲",IF(AND(D170="Culvert",M170&lt;&gt;"N/A - Culvert"),"Not possible ▲",IF(VLOOKUP(M170,'G-7 WaterC'' Data'!$AA$4:$AB$7,2,FALSE)=0,"Spatial Data Missing ⚠",VLOOKUP(M170,'G-7 WaterC'' Data'!$AA$4:$AB$7,2,FALSE)))))</f>
        <v/>
      </c>
      <c r="O170" s="56"/>
      <c r="P170" s="282" t="str">
        <f>IF(O170="","",IF(AND(O170="N/A - Culvert",D170&lt;&gt;"Culvert"),"Not possible ▲",IF(AND(D170="Culvert",O170&lt;&gt;"N/A - Culvert"),"Not possible ▲",IF(VLOOKUP(O170,'G-7 WaterC'' Data'!$AD$4:$AE$14,2,FALSE)=0,"Spatial Data Missing ⚠",VLOOKUP(O170,'G-7 WaterC'' Data'!$AD$4:$AE$14,2,FALSE)))))</f>
        <v/>
      </c>
      <c r="Q170" s="288" t="str">
        <f>IF(D170="","",VLOOKUP(D170,'G-7 WaterC'' Data'!$B$4:$G$8,6,FALSE))</f>
        <v/>
      </c>
      <c r="R170" s="295" t="str">
        <f t="shared" si="25"/>
        <v xml:space="preserve"> </v>
      </c>
      <c r="S170" s="403"/>
      <c r="T170" s="287" t="str">
        <f>IF(S170="","",IF(VLOOKUP(S170,'G-7 WaterC'' Data'!$AO$4:$BO$7,2,FALSE)=0,"Spatial Data Missing ⚠",VLOOKUP(S170,'G-7 WaterC'' Data'!$AO$4:$BO$7,2,FALSE)))</f>
        <v/>
      </c>
      <c r="U170" s="295" t="str">
        <f t="shared" si="26"/>
        <v xml:space="preserve"> </v>
      </c>
      <c r="V170" s="710" t="str">
        <f t="shared" si="27"/>
        <v/>
      </c>
      <c r="W170" s="32"/>
      <c r="X170" s="105"/>
      <c r="Y170" s="112"/>
      <c r="Z170" s="293" t="str">
        <f t="shared" si="28"/>
        <v/>
      </c>
      <c r="AA170" s="293" t="str">
        <f t="shared" si="29"/>
        <v/>
      </c>
      <c r="AB170" s="293" t="str">
        <f t="shared" si="30"/>
        <v/>
      </c>
      <c r="AC170" s="507" t="str">
        <f>IFERROR(IF(OR(E170="",R170=""),"", IF(AND(AB170&lt;&gt;"",S170=""), "Spatial risk category missing ▲", IF(AND(Q170='G-7 WaterC'' Data'!$G$4,AD170="Yes"),"Alternative Compensation ✓", IF(AND(AD170="Pending", Q170='G-7 WaterC'' Data'!$G$4),"Bespoke compensation must be agreed ▲", IF((Z170+AA170)&gt;=U170,0, U170-Z170-AA170))))),"Check Data ⚠")</f>
        <v/>
      </c>
      <c r="AD170" s="403"/>
      <c r="AE170" s="109"/>
      <c r="AF170" s="108"/>
      <c r="AG170" s="108"/>
      <c r="AH170" s="108"/>
      <c r="AI170" s="54" t="str">
        <f>IF(OR(Q170="",AD170="Yes"),"",IF(Q170='G-1 All Habitats'!$X$9,E170-Y170-X170,"None"))</f>
        <v/>
      </c>
      <c r="AJ170" s="55" t="str">
        <f>IF(Q170="","", IF(Q170='G-1 All Habitats'!$X$9, AI170*G170*I170*L170*N170*P170,"None"))</f>
        <v/>
      </c>
      <c r="AK170" s="30" t="str">
        <f>IFERROR(INDEX('G-7 WaterC'' Data'!$AZ$3:$AZ$7,MATCH(D170,'G-7 WaterC'' Data'!$AY$3:$AY$7,0)),"")</f>
        <v/>
      </c>
      <c r="AL170" s="30">
        <f t="shared" si="31"/>
        <v>0</v>
      </c>
      <c r="AM170" s="111" t="str">
        <f t="shared" si="32"/>
        <v/>
      </c>
      <c r="AN170" s="111" t="str">
        <f t="shared" si="33"/>
        <v/>
      </c>
      <c r="AP170" s="111">
        <v>161</v>
      </c>
      <c r="AR170" s="111" t="str">
        <f t="array" ref="AR170">IFERROR(INDEX($AP$10:$AP$258, MATCH(0, IF(TRUE=$AM$10:$AM$258, COUNTIF($AR$9:$AR169, $AP$10:$AP$258), ""), 0)),"")</f>
        <v/>
      </c>
      <c r="AS170" s="111" t="str">
        <f t="array" ref="AS170">IFERROR(INDEX($AP$10:$AP$258, MATCH(0, IF(TRUE=$AN$10:$AN$258, COUNTIF($AS$9:$AS169, $AP$10:$AP$258), ""), 0)),"")</f>
        <v/>
      </c>
      <c r="AT170" s="903" t="str">
        <f>IF(AND(OR(AD170="Yes",AD170="Pending"),Q170='G-7 WaterC'' Data'!$G$4),U170-AA170-Z170,"0")</f>
        <v>0</v>
      </c>
      <c r="AU170" s="30" t="str">
        <f>IF(D170="","",VLOOKUP(D170,'G-7 WaterC'' Data'!B$4:M$8,12,FALSE))</f>
        <v/>
      </c>
      <c r="AV170" s="30" t="str">
        <f t="shared" si="24"/>
        <v/>
      </c>
      <c r="AW170" s="30" t="str">
        <f t="shared" si="34"/>
        <v>No</v>
      </c>
      <c r="BA170" s="571" t="str">
        <f t="shared" si="35"/>
        <v/>
      </c>
    </row>
    <row r="171" spans="3:53" ht="14.4" thickBot="1" x14ac:dyDescent="0.3">
      <c r="C171" s="101">
        <v>162</v>
      </c>
      <c r="D171" s="269"/>
      <c r="E171" s="108"/>
      <c r="F171" s="281" t="str">
        <f>IF(D171="","",VLOOKUP(D171,'G-7 WaterC'' Data'!$B$2:$G$8,2,FALSE))</f>
        <v/>
      </c>
      <c r="G171" s="320" t="str">
        <f>IFERROR(VLOOKUP(F171,'G-7 WaterC'' Data'!$C$4:$D$8,2,FALSE),"")</f>
        <v/>
      </c>
      <c r="H171" s="109"/>
      <c r="I171" s="305" t="str">
        <f>IFERROR(INDEX('G-7 WaterC'' Data'!$H$4:$L$8,MATCH(D171,'G-7 WaterC'' Data'!$B$4:$B$8,0),MATCH(H171,'G-7 WaterC'' Data'!$H$3:$L$3,0)),"")</f>
        <v/>
      </c>
      <c r="J171" s="718"/>
      <c r="K171" s="301" t="str">
        <f>IF(J171="","",IF(VLOOKUP(J171,'G-7 WaterC'' Data'!$AK$4:$AM$9,2,FALSE)=0,"Spatial Data Missing ⚠",VLOOKUP(J171,'G-7 WaterC'' Data'!$AK$4:$AM$6,2,FALSE)))</f>
        <v/>
      </c>
      <c r="L171" s="305" t="str">
        <f>IF(J171="","",IF(VLOOKUP(J171,'G-7 WaterC'' Data'!$AK$4:$AM$9,3,FALSE)=0,"Spatial Data Missing ⚠",VLOOKUP(J171,'G-7 WaterC'' Data'!$AK$4:$AM$6,3,FALSE)))</f>
        <v/>
      </c>
      <c r="M171" s="106"/>
      <c r="N171" s="282" t="str">
        <f>IF(M171="","",IF(AND(M171="N/A - Culvert",D171&lt;&gt;"Culvert"),"Not possible ▲",IF(AND(D171="Culvert",M171&lt;&gt;"N/A - Culvert"),"Not possible ▲",IF(VLOOKUP(M171,'G-7 WaterC'' Data'!$AA$4:$AB$7,2,FALSE)=0,"Spatial Data Missing ⚠",VLOOKUP(M171,'G-7 WaterC'' Data'!$AA$4:$AB$7,2,FALSE)))))</f>
        <v/>
      </c>
      <c r="O171" s="56"/>
      <c r="P171" s="282" t="str">
        <f>IF(O171="","",IF(AND(O171="N/A - Culvert",D171&lt;&gt;"Culvert"),"Not possible ▲",IF(AND(D171="Culvert",O171&lt;&gt;"N/A - Culvert"),"Not possible ▲",IF(VLOOKUP(O171,'G-7 WaterC'' Data'!$AD$4:$AE$14,2,FALSE)=0,"Spatial Data Missing ⚠",VLOOKUP(O171,'G-7 WaterC'' Data'!$AD$4:$AE$14,2,FALSE)))))</f>
        <v/>
      </c>
      <c r="Q171" s="288" t="str">
        <f>IF(D171="","",VLOOKUP(D171,'G-7 WaterC'' Data'!$B$4:$G$8,6,FALSE))</f>
        <v/>
      </c>
      <c r="R171" s="295" t="str">
        <f t="shared" si="25"/>
        <v xml:space="preserve"> </v>
      </c>
      <c r="S171" s="403"/>
      <c r="T171" s="287" t="str">
        <f>IF(S171="","",IF(VLOOKUP(S171,'G-7 WaterC'' Data'!$AO$4:$BO$7,2,FALSE)=0,"Spatial Data Missing ⚠",VLOOKUP(S171,'G-7 WaterC'' Data'!$AO$4:$BO$7,2,FALSE)))</f>
        <v/>
      </c>
      <c r="U171" s="295" t="str">
        <f t="shared" si="26"/>
        <v xml:space="preserve"> </v>
      </c>
      <c r="V171" s="710" t="str">
        <f t="shared" si="27"/>
        <v/>
      </c>
      <c r="W171" s="32"/>
      <c r="X171" s="105"/>
      <c r="Y171" s="112"/>
      <c r="Z171" s="293" t="str">
        <f t="shared" si="28"/>
        <v/>
      </c>
      <c r="AA171" s="293" t="str">
        <f t="shared" si="29"/>
        <v/>
      </c>
      <c r="AB171" s="293" t="str">
        <f t="shared" si="30"/>
        <v/>
      </c>
      <c r="AC171" s="507" t="str">
        <f>IFERROR(IF(OR(E171="",R171=""),"", IF(AND(AB171&lt;&gt;"",S171=""), "Spatial risk category missing ▲", IF(AND(Q171='G-7 WaterC'' Data'!$G$4,AD171="Yes"),"Alternative Compensation ✓", IF(AND(AD171="Pending", Q171='G-7 WaterC'' Data'!$G$4),"Bespoke compensation must be agreed ▲", IF((Z171+AA171)&gt;=U171,0, U171-Z171-AA171))))),"Check Data ⚠")</f>
        <v/>
      </c>
      <c r="AD171" s="403"/>
      <c r="AE171" s="109"/>
      <c r="AF171" s="108"/>
      <c r="AG171" s="108"/>
      <c r="AH171" s="108"/>
      <c r="AI171" s="54" t="str">
        <f>IF(OR(Q171="",AD171="Yes"),"",IF(Q171='G-1 All Habitats'!$X$9,E171-Y171-X171,"None"))</f>
        <v/>
      </c>
      <c r="AJ171" s="55" t="str">
        <f>IF(Q171="","", IF(Q171='G-1 All Habitats'!$X$9, AI171*G171*I171*L171*N171*P171,"None"))</f>
        <v/>
      </c>
      <c r="AK171" s="30" t="str">
        <f>IFERROR(INDEX('G-7 WaterC'' Data'!$AZ$3:$AZ$7,MATCH(D171,'G-7 WaterC'' Data'!$AY$3:$AY$7,0)),"")</f>
        <v/>
      </c>
      <c r="AL171" s="30">
        <f t="shared" si="31"/>
        <v>0</v>
      </c>
      <c r="AM171" s="111" t="str">
        <f t="shared" si="32"/>
        <v/>
      </c>
      <c r="AN171" s="111" t="str">
        <f t="shared" si="33"/>
        <v/>
      </c>
      <c r="AP171" s="111">
        <v>162</v>
      </c>
      <c r="AR171" s="111" t="str">
        <f t="array" ref="AR171">IFERROR(INDEX($AP$10:$AP$258, MATCH(0, IF(TRUE=$AM$10:$AM$258, COUNTIF($AR$9:$AR170, $AP$10:$AP$258), ""), 0)),"")</f>
        <v/>
      </c>
      <c r="AS171" s="111" t="str">
        <f t="array" ref="AS171">IFERROR(INDEX($AP$10:$AP$258, MATCH(0, IF(TRUE=$AN$10:$AN$258, COUNTIF($AS$9:$AS170, $AP$10:$AP$258), ""), 0)),"")</f>
        <v/>
      </c>
      <c r="AT171" s="903" t="str">
        <f>IF(AND(OR(AD171="Yes",AD171="Pending"),Q171='G-7 WaterC'' Data'!$G$4),U171-AA171-Z171,"0")</f>
        <v>0</v>
      </c>
      <c r="AU171" s="30" t="str">
        <f>IF(D171="","",VLOOKUP(D171,'G-7 WaterC'' Data'!B$4:M$8,12,FALSE))</f>
        <v/>
      </c>
      <c r="AV171" s="30" t="str">
        <f t="shared" si="24"/>
        <v/>
      </c>
      <c r="AW171" s="30" t="str">
        <f t="shared" si="34"/>
        <v>No</v>
      </c>
      <c r="BA171" s="571" t="str">
        <f t="shared" si="35"/>
        <v/>
      </c>
    </row>
    <row r="172" spans="3:53" ht="14.4" thickBot="1" x14ac:dyDescent="0.3">
      <c r="C172" s="101">
        <v>163</v>
      </c>
      <c r="D172" s="269"/>
      <c r="E172" s="108"/>
      <c r="F172" s="281" t="str">
        <f>IF(D172="","",VLOOKUP(D172,'G-7 WaterC'' Data'!$B$2:$G$8,2,FALSE))</f>
        <v/>
      </c>
      <c r="G172" s="320" t="str">
        <f>IFERROR(VLOOKUP(F172,'G-7 WaterC'' Data'!$C$4:$D$8,2,FALSE),"")</f>
        <v/>
      </c>
      <c r="H172" s="109"/>
      <c r="I172" s="305" t="str">
        <f>IFERROR(INDEX('G-7 WaterC'' Data'!$H$4:$L$8,MATCH(D172,'G-7 WaterC'' Data'!$B$4:$B$8,0),MATCH(H172,'G-7 WaterC'' Data'!$H$3:$L$3,0)),"")</f>
        <v/>
      </c>
      <c r="J172" s="718"/>
      <c r="K172" s="301" t="str">
        <f>IF(J172="","",IF(VLOOKUP(J172,'G-7 WaterC'' Data'!$AK$4:$AM$9,2,FALSE)=0,"Spatial Data Missing ⚠",VLOOKUP(J172,'G-7 WaterC'' Data'!$AK$4:$AM$6,2,FALSE)))</f>
        <v/>
      </c>
      <c r="L172" s="305" t="str">
        <f>IF(J172="","",IF(VLOOKUP(J172,'G-7 WaterC'' Data'!$AK$4:$AM$9,3,FALSE)=0,"Spatial Data Missing ⚠",VLOOKUP(J172,'G-7 WaterC'' Data'!$AK$4:$AM$6,3,FALSE)))</f>
        <v/>
      </c>
      <c r="M172" s="106"/>
      <c r="N172" s="282" t="str">
        <f>IF(M172="","",IF(AND(M172="N/A - Culvert",D172&lt;&gt;"Culvert"),"Not possible ▲",IF(AND(D172="Culvert",M172&lt;&gt;"N/A - Culvert"),"Not possible ▲",IF(VLOOKUP(M172,'G-7 WaterC'' Data'!$AA$4:$AB$7,2,FALSE)=0,"Spatial Data Missing ⚠",VLOOKUP(M172,'G-7 WaterC'' Data'!$AA$4:$AB$7,2,FALSE)))))</f>
        <v/>
      </c>
      <c r="O172" s="56"/>
      <c r="P172" s="282" t="str">
        <f>IF(O172="","",IF(AND(O172="N/A - Culvert",D172&lt;&gt;"Culvert"),"Not possible ▲",IF(AND(D172="Culvert",O172&lt;&gt;"N/A - Culvert"),"Not possible ▲",IF(VLOOKUP(O172,'G-7 WaterC'' Data'!$AD$4:$AE$14,2,FALSE)=0,"Spatial Data Missing ⚠",VLOOKUP(O172,'G-7 WaterC'' Data'!$AD$4:$AE$14,2,FALSE)))))</f>
        <v/>
      </c>
      <c r="Q172" s="288" t="str">
        <f>IF(D172="","",VLOOKUP(D172,'G-7 WaterC'' Data'!$B$4:$G$8,6,FALSE))</f>
        <v/>
      </c>
      <c r="R172" s="295" t="str">
        <f t="shared" si="25"/>
        <v xml:space="preserve"> </v>
      </c>
      <c r="S172" s="403"/>
      <c r="T172" s="287" t="str">
        <f>IF(S172="","",IF(VLOOKUP(S172,'G-7 WaterC'' Data'!$AO$4:$BO$7,2,FALSE)=0,"Spatial Data Missing ⚠",VLOOKUP(S172,'G-7 WaterC'' Data'!$AO$4:$BO$7,2,FALSE)))</f>
        <v/>
      </c>
      <c r="U172" s="295" t="str">
        <f t="shared" si="26"/>
        <v xml:space="preserve"> </v>
      </c>
      <c r="V172" s="710" t="str">
        <f t="shared" si="27"/>
        <v/>
      </c>
      <c r="W172" s="32"/>
      <c r="X172" s="105"/>
      <c r="Y172" s="112"/>
      <c r="Z172" s="293" t="str">
        <f t="shared" si="28"/>
        <v/>
      </c>
      <c r="AA172" s="293" t="str">
        <f t="shared" si="29"/>
        <v/>
      </c>
      <c r="AB172" s="293" t="str">
        <f t="shared" si="30"/>
        <v/>
      </c>
      <c r="AC172" s="507" t="str">
        <f>IFERROR(IF(OR(E172="",R172=""),"", IF(AND(AB172&lt;&gt;"",S172=""), "Spatial risk category missing ▲", IF(AND(Q172='G-7 WaterC'' Data'!$G$4,AD172="Yes"),"Alternative Compensation ✓", IF(AND(AD172="Pending", Q172='G-7 WaterC'' Data'!$G$4),"Bespoke compensation must be agreed ▲", IF((Z172+AA172)&gt;=U172,0, U172-Z172-AA172))))),"Check Data ⚠")</f>
        <v/>
      </c>
      <c r="AD172" s="403"/>
      <c r="AE172" s="109"/>
      <c r="AF172" s="108"/>
      <c r="AG172" s="108"/>
      <c r="AH172" s="108"/>
      <c r="AI172" s="54" t="str">
        <f>IF(OR(Q172="",AD172="Yes"),"",IF(Q172='G-1 All Habitats'!$X$9,E172-Y172-X172,"None"))</f>
        <v/>
      </c>
      <c r="AJ172" s="55" t="str">
        <f>IF(Q172="","", IF(Q172='G-1 All Habitats'!$X$9, AI172*G172*I172*L172*N172*P172,"None"))</f>
        <v/>
      </c>
      <c r="AK172" s="30" t="str">
        <f>IFERROR(INDEX('G-7 WaterC'' Data'!$AZ$3:$AZ$7,MATCH(D172,'G-7 WaterC'' Data'!$AY$3:$AY$7,0)),"")</f>
        <v/>
      </c>
      <c r="AL172" s="30">
        <f t="shared" si="31"/>
        <v>0</v>
      </c>
      <c r="AM172" s="111" t="str">
        <f t="shared" si="32"/>
        <v/>
      </c>
      <c r="AN172" s="111" t="str">
        <f t="shared" si="33"/>
        <v/>
      </c>
      <c r="AP172" s="111">
        <v>163</v>
      </c>
      <c r="AR172" s="111" t="str">
        <f t="array" ref="AR172">IFERROR(INDEX($AP$10:$AP$258, MATCH(0, IF(TRUE=$AM$10:$AM$258, COUNTIF($AR$9:$AR171, $AP$10:$AP$258), ""), 0)),"")</f>
        <v/>
      </c>
      <c r="AS172" s="111" t="str">
        <f t="array" ref="AS172">IFERROR(INDEX($AP$10:$AP$258, MATCH(0, IF(TRUE=$AN$10:$AN$258, COUNTIF($AS$9:$AS171, $AP$10:$AP$258), ""), 0)),"")</f>
        <v/>
      </c>
      <c r="AT172" s="903" t="str">
        <f>IF(AND(OR(AD172="Yes",AD172="Pending"),Q172='G-7 WaterC'' Data'!$G$4),U172-AA172-Z172,"0")</f>
        <v>0</v>
      </c>
      <c r="AU172" s="30" t="str">
        <f>IF(D172="","",VLOOKUP(D172,'G-7 WaterC'' Data'!B$4:M$8,12,FALSE))</f>
        <v/>
      </c>
      <c r="AV172" s="30" t="str">
        <f t="shared" si="24"/>
        <v/>
      </c>
      <c r="AW172" s="30" t="str">
        <f t="shared" si="34"/>
        <v>No</v>
      </c>
      <c r="BA172" s="571" t="str">
        <f t="shared" si="35"/>
        <v/>
      </c>
    </row>
    <row r="173" spans="3:53" ht="14.4" thickBot="1" x14ac:dyDescent="0.3">
      <c r="C173" s="101">
        <v>164</v>
      </c>
      <c r="D173" s="269"/>
      <c r="E173" s="108"/>
      <c r="F173" s="281" t="str">
        <f>IF(D173="","",VLOOKUP(D173,'G-7 WaterC'' Data'!$B$2:$G$8,2,FALSE))</f>
        <v/>
      </c>
      <c r="G173" s="320" t="str">
        <f>IFERROR(VLOOKUP(F173,'G-7 WaterC'' Data'!$C$4:$D$8,2,FALSE),"")</f>
        <v/>
      </c>
      <c r="H173" s="109"/>
      <c r="I173" s="305" t="str">
        <f>IFERROR(INDEX('G-7 WaterC'' Data'!$H$4:$L$8,MATCH(D173,'G-7 WaterC'' Data'!$B$4:$B$8,0),MATCH(H173,'G-7 WaterC'' Data'!$H$3:$L$3,0)),"")</f>
        <v/>
      </c>
      <c r="J173" s="718"/>
      <c r="K173" s="301" t="str">
        <f>IF(J173="","",IF(VLOOKUP(J173,'G-7 WaterC'' Data'!$AK$4:$AM$9,2,FALSE)=0,"Spatial Data Missing ⚠",VLOOKUP(J173,'G-7 WaterC'' Data'!$AK$4:$AM$6,2,FALSE)))</f>
        <v/>
      </c>
      <c r="L173" s="305" t="str">
        <f>IF(J173="","",IF(VLOOKUP(J173,'G-7 WaterC'' Data'!$AK$4:$AM$9,3,FALSE)=0,"Spatial Data Missing ⚠",VLOOKUP(J173,'G-7 WaterC'' Data'!$AK$4:$AM$6,3,FALSE)))</f>
        <v/>
      </c>
      <c r="M173" s="106"/>
      <c r="N173" s="282" t="str">
        <f>IF(M173="","",IF(AND(M173="N/A - Culvert",D173&lt;&gt;"Culvert"),"Not possible ▲",IF(AND(D173="Culvert",M173&lt;&gt;"N/A - Culvert"),"Not possible ▲",IF(VLOOKUP(M173,'G-7 WaterC'' Data'!$AA$4:$AB$7,2,FALSE)=0,"Spatial Data Missing ⚠",VLOOKUP(M173,'G-7 WaterC'' Data'!$AA$4:$AB$7,2,FALSE)))))</f>
        <v/>
      </c>
      <c r="O173" s="56"/>
      <c r="P173" s="282" t="str">
        <f>IF(O173="","",IF(AND(O173="N/A - Culvert",D173&lt;&gt;"Culvert"),"Not possible ▲",IF(AND(D173="Culvert",O173&lt;&gt;"N/A - Culvert"),"Not possible ▲",IF(VLOOKUP(O173,'G-7 WaterC'' Data'!$AD$4:$AE$14,2,FALSE)=0,"Spatial Data Missing ⚠",VLOOKUP(O173,'G-7 WaterC'' Data'!$AD$4:$AE$14,2,FALSE)))))</f>
        <v/>
      </c>
      <c r="Q173" s="288" t="str">
        <f>IF(D173="","",VLOOKUP(D173,'G-7 WaterC'' Data'!$B$4:$G$8,6,FALSE))</f>
        <v/>
      </c>
      <c r="R173" s="295" t="str">
        <f t="shared" si="25"/>
        <v xml:space="preserve"> </v>
      </c>
      <c r="S173" s="403"/>
      <c r="T173" s="287" t="str">
        <f>IF(S173="","",IF(VLOOKUP(S173,'G-7 WaterC'' Data'!$AO$4:$BO$7,2,FALSE)=0,"Spatial Data Missing ⚠",VLOOKUP(S173,'G-7 WaterC'' Data'!$AO$4:$BO$7,2,FALSE)))</f>
        <v/>
      </c>
      <c r="U173" s="295" t="str">
        <f t="shared" si="26"/>
        <v xml:space="preserve"> </v>
      </c>
      <c r="V173" s="710" t="str">
        <f t="shared" si="27"/>
        <v/>
      </c>
      <c r="W173" s="32"/>
      <c r="X173" s="105"/>
      <c r="Y173" s="112"/>
      <c r="Z173" s="293" t="str">
        <f t="shared" si="28"/>
        <v/>
      </c>
      <c r="AA173" s="293" t="str">
        <f t="shared" si="29"/>
        <v/>
      </c>
      <c r="AB173" s="293" t="str">
        <f t="shared" si="30"/>
        <v/>
      </c>
      <c r="AC173" s="507" t="str">
        <f>IFERROR(IF(OR(E173="",R173=""),"", IF(AND(AB173&lt;&gt;"",S173=""), "Spatial risk category missing ▲", IF(AND(Q173='G-7 WaterC'' Data'!$G$4,AD173="Yes"),"Alternative Compensation ✓", IF(AND(AD173="Pending", Q173='G-7 WaterC'' Data'!$G$4),"Bespoke compensation must be agreed ▲", IF((Z173+AA173)&gt;=U173,0, U173-Z173-AA173))))),"Check Data ⚠")</f>
        <v/>
      </c>
      <c r="AD173" s="403"/>
      <c r="AE173" s="109"/>
      <c r="AF173" s="108"/>
      <c r="AG173" s="108"/>
      <c r="AH173" s="108"/>
      <c r="AI173" s="54" t="str">
        <f>IF(OR(Q173="",AD173="Yes"),"",IF(Q173='G-1 All Habitats'!$X$9,E173-Y173-X173,"None"))</f>
        <v/>
      </c>
      <c r="AJ173" s="55" t="str">
        <f>IF(Q173="","", IF(Q173='G-1 All Habitats'!$X$9, AI173*G173*I173*L173*N173*P173,"None"))</f>
        <v/>
      </c>
      <c r="AK173" s="30" t="str">
        <f>IFERROR(INDEX('G-7 WaterC'' Data'!$AZ$3:$AZ$7,MATCH(D173,'G-7 WaterC'' Data'!$AY$3:$AY$7,0)),"")</f>
        <v/>
      </c>
      <c r="AL173" s="30">
        <f t="shared" si="31"/>
        <v>0</v>
      </c>
      <c r="AM173" s="111" t="str">
        <f t="shared" si="32"/>
        <v/>
      </c>
      <c r="AN173" s="111" t="str">
        <f t="shared" si="33"/>
        <v/>
      </c>
      <c r="AP173" s="111">
        <v>164</v>
      </c>
      <c r="AR173" s="111" t="str">
        <f t="array" ref="AR173">IFERROR(INDEX($AP$10:$AP$258, MATCH(0, IF(TRUE=$AM$10:$AM$258, COUNTIF($AR$9:$AR172, $AP$10:$AP$258), ""), 0)),"")</f>
        <v/>
      </c>
      <c r="AS173" s="111" t="str">
        <f t="array" ref="AS173">IFERROR(INDEX($AP$10:$AP$258, MATCH(0, IF(TRUE=$AN$10:$AN$258, COUNTIF($AS$9:$AS172, $AP$10:$AP$258), ""), 0)),"")</f>
        <v/>
      </c>
      <c r="AT173" s="903" t="str">
        <f>IF(AND(OR(AD173="Yes",AD173="Pending"),Q173='G-7 WaterC'' Data'!$G$4),U173-AA173-Z173,"0")</f>
        <v>0</v>
      </c>
      <c r="AU173" s="30" t="str">
        <f>IF(D173="","",VLOOKUP(D173,'G-7 WaterC'' Data'!B$4:M$8,12,FALSE))</f>
        <v/>
      </c>
      <c r="AV173" s="30" t="str">
        <f t="shared" si="24"/>
        <v/>
      </c>
      <c r="AW173" s="30" t="str">
        <f t="shared" si="34"/>
        <v>No</v>
      </c>
      <c r="BA173" s="571" t="str">
        <f t="shared" si="35"/>
        <v/>
      </c>
    </row>
    <row r="174" spans="3:53" ht="14.4" thickBot="1" x14ac:dyDescent="0.3">
      <c r="C174" s="101">
        <v>165</v>
      </c>
      <c r="D174" s="269"/>
      <c r="E174" s="108"/>
      <c r="F174" s="281" t="str">
        <f>IF(D174="","",VLOOKUP(D174,'G-7 WaterC'' Data'!$B$2:$G$8,2,FALSE))</f>
        <v/>
      </c>
      <c r="G174" s="320" t="str">
        <f>IFERROR(VLOOKUP(F174,'G-7 WaterC'' Data'!$C$4:$D$8,2,FALSE),"")</f>
        <v/>
      </c>
      <c r="H174" s="109"/>
      <c r="I174" s="305" t="str">
        <f>IFERROR(INDEX('G-7 WaterC'' Data'!$H$4:$L$8,MATCH(D174,'G-7 WaterC'' Data'!$B$4:$B$8,0),MATCH(H174,'G-7 WaterC'' Data'!$H$3:$L$3,0)),"")</f>
        <v/>
      </c>
      <c r="J174" s="718"/>
      <c r="K174" s="301" t="str">
        <f>IF(J174="","",IF(VLOOKUP(J174,'G-7 WaterC'' Data'!$AK$4:$AM$9,2,FALSE)=0,"Spatial Data Missing ⚠",VLOOKUP(J174,'G-7 WaterC'' Data'!$AK$4:$AM$6,2,FALSE)))</f>
        <v/>
      </c>
      <c r="L174" s="305" t="str">
        <f>IF(J174="","",IF(VLOOKUP(J174,'G-7 WaterC'' Data'!$AK$4:$AM$9,3,FALSE)=0,"Spatial Data Missing ⚠",VLOOKUP(J174,'G-7 WaterC'' Data'!$AK$4:$AM$6,3,FALSE)))</f>
        <v/>
      </c>
      <c r="M174" s="106"/>
      <c r="N174" s="282" t="str">
        <f>IF(M174="","",IF(AND(M174="N/A - Culvert",D174&lt;&gt;"Culvert"),"Not possible ▲",IF(AND(D174="Culvert",M174&lt;&gt;"N/A - Culvert"),"Not possible ▲",IF(VLOOKUP(M174,'G-7 WaterC'' Data'!$AA$4:$AB$7,2,FALSE)=0,"Spatial Data Missing ⚠",VLOOKUP(M174,'G-7 WaterC'' Data'!$AA$4:$AB$7,2,FALSE)))))</f>
        <v/>
      </c>
      <c r="O174" s="56"/>
      <c r="P174" s="282" t="str">
        <f>IF(O174="","",IF(AND(O174="N/A - Culvert",D174&lt;&gt;"Culvert"),"Not possible ▲",IF(AND(D174="Culvert",O174&lt;&gt;"N/A - Culvert"),"Not possible ▲",IF(VLOOKUP(O174,'G-7 WaterC'' Data'!$AD$4:$AE$14,2,FALSE)=0,"Spatial Data Missing ⚠",VLOOKUP(O174,'G-7 WaterC'' Data'!$AD$4:$AE$14,2,FALSE)))))</f>
        <v/>
      </c>
      <c r="Q174" s="288" t="str">
        <f>IF(D174="","",VLOOKUP(D174,'G-7 WaterC'' Data'!$B$4:$G$8,6,FALSE))</f>
        <v/>
      </c>
      <c r="R174" s="295" t="str">
        <f t="shared" si="25"/>
        <v xml:space="preserve"> </v>
      </c>
      <c r="S174" s="403"/>
      <c r="T174" s="287" t="str">
        <f>IF(S174="","",IF(VLOOKUP(S174,'G-7 WaterC'' Data'!$AO$4:$BO$7,2,FALSE)=0,"Spatial Data Missing ⚠",VLOOKUP(S174,'G-7 WaterC'' Data'!$AO$4:$BO$7,2,FALSE)))</f>
        <v/>
      </c>
      <c r="U174" s="295" t="str">
        <f t="shared" si="26"/>
        <v xml:space="preserve"> </v>
      </c>
      <c r="V174" s="710" t="str">
        <f t="shared" si="27"/>
        <v/>
      </c>
      <c r="W174" s="32"/>
      <c r="X174" s="105"/>
      <c r="Y174" s="112"/>
      <c r="Z174" s="293" t="str">
        <f t="shared" si="28"/>
        <v/>
      </c>
      <c r="AA174" s="293" t="str">
        <f t="shared" si="29"/>
        <v/>
      </c>
      <c r="AB174" s="293" t="str">
        <f t="shared" si="30"/>
        <v/>
      </c>
      <c r="AC174" s="507" t="str">
        <f>IFERROR(IF(OR(E174="",R174=""),"", IF(AND(AB174&lt;&gt;"",S174=""), "Spatial risk category missing ▲", IF(AND(Q174='G-7 WaterC'' Data'!$G$4,AD174="Yes"),"Alternative Compensation ✓", IF(AND(AD174="Pending", Q174='G-7 WaterC'' Data'!$G$4),"Bespoke compensation must be agreed ▲", IF((Z174+AA174)&gt;=U174,0, U174-Z174-AA174))))),"Check Data ⚠")</f>
        <v/>
      </c>
      <c r="AD174" s="403"/>
      <c r="AE174" s="109"/>
      <c r="AF174" s="108"/>
      <c r="AG174" s="108"/>
      <c r="AH174" s="108"/>
      <c r="AI174" s="54" t="str">
        <f>IF(OR(Q174="",AD174="Yes"),"",IF(Q174='G-1 All Habitats'!$X$9,E174-Y174-X174,"None"))</f>
        <v/>
      </c>
      <c r="AJ174" s="55" t="str">
        <f>IF(Q174="","", IF(Q174='G-1 All Habitats'!$X$9, AI174*G174*I174*L174*N174*P174,"None"))</f>
        <v/>
      </c>
      <c r="AK174" s="30" t="str">
        <f>IFERROR(INDEX('G-7 WaterC'' Data'!$AZ$3:$AZ$7,MATCH(D174,'G-7 WaterC'' Data'!$AY$3:$AY$7,0)),"")</f>
        <v/>
      </c>
      <c r="AL174" s="30">
        <f t="shared" si="31"/>
        <v>0</v>
      </c>
      <c r="AM174" s="111" t="str">
        <f t="shared" si="32"/>
        <v/>
      </c>
      <c r="AN174" s="111" t="str">
        <f t="shared" si="33"/>
        <v/>
      </c>
      <c r="AP174" s="111">
        <v>165</v>
      </c>
      <c r="AR174" s="111" t="str">
        <f t="array" ref="AR174">IFERROR(INDEX($AP$10:$AP$258, MATCH(0, IF(TRUE=$AM$10:$AM$258, COUNTIF($AR$9:$AR173, $AP$10:$AP$258), ""), 0)),"")</f>
        <v/>
      </c>
      <c r="AS174" s="111" t="str">
        <f t="array" ref="AS174">IFERROR(INDEX($AP$10:$AP$258, MATCH(0, IF(TRUE=$AN$10:$AN$258, COUNTIF($AS$9:$AS173, $AP$10:$AP$258), ""), 0)),"")</f>
        <v/>
      </c>
      <c r="AT174" s="903" t="str">
        <f>IF(AND(OR(AD174="Yes",AD174="Pending"),Q174='G-7 WaterC'' Data'!$G$4),U174-AA174-Z174,"0")</f>
        <v>0</v>
      </c>
      <c r="AU174" s="30" t="str">
        <f>IF(D174="","",VLOOKUP(D174,'G-7 WaterC'' Data'!B$4:M$8,12,FALSE))</f>
        <v/>
      </c>
      <c r="AV174" s="30" t="str">
        <f t="shared" si="24"/>
        <v/>
      </c>
      <c r="AW174" s="30" t="str">
        <f t="shared" si="34"/>
        <v>No</v>
      </c>
      <c r="BA174" s="571" t="str">
        <f t="shared" si="35"/>
        <v/>
      </c>
    </row>
    <row r="175" spans="3:53" ht="14.4" thickBot="1" x14ac:dyDescent="0.3">
      <c r="C175" s="101">
        <v>166</v>
      </c>
      <c r="D175" s="269"/>
      <c r="E175" s="108"/>
      <c r="F175" s="281" t="str">
        <f>IF(D175="","",VLOOKUP(D175,'G-7 WaterC'' Data'!$B$2:$G$8,2,FALSE))</f>
        <v/>
      </c>
      <c r="G175" s="320" t="str">
        <f>IFERROR(VLOOKUP(F175,'G-7 WaterC'' Data'!$C$4:$D$8,2,FALSE),"")</f>
        <v/>
      </c>
      <c r="H175" s="109"/>
      <c r="I175" s="305" t="str">
        <f>IFERROR(INDEX('G-7 WaterC'' Data'!$H$4:$L$8,MATCH(D175,'G-7 WaterC'' Data'!$B$4:$B$8,0),MATCH(H175,'G-7 WaterC'' Data'!$H$3:$L$3,0)),"")</f>
        <v/>
      </c>
      <c r="J175" s="718"/>
      <c r="K175" s="301" t="str">
        <f>IF(J175="","",IF(VLOOKUP(J175,'G-7 WaterC'' Data'!$AK$4:$AM$9,2,FALSE)=0,"Spatial Data Missing ⚠",VLOOKUP(J175,'G-7 WaterC'' Data'!$AK$4:$AM$6,2,FALSE)))</f>
        <v/>
      </c>
      <c r="L175" s="305" t="str">
        <f>IF(J175="","",IF(VLOOKUP(J175,'G-7 WaterC'' Data'!$AK$4:$AM$9,3,FALSE)=0,"Spatial Data Missing ⚠",VLOOKUP(J175,'G-7 WaterC'' Data'!$AK$4:$AM$6,3,FALSE)))</f>
        <v/>
      </c>
      <c r="M175" s="106"/>
      <c r="N175" s="282" t="str">
        <f>IF(M175="","",IF(AND(M175="N/A - Culvert",D175&lt;&gt;"Culvert"),"Not possible ▲",IF(AND(D175="Culvert",M175&lt;&gt;"N/A - Culvert"),"Not possible ▲",IF(VLOOKUP(M175,'G-7 WaterC'' Data'!$AA$4:$AB$7,2,FALSE)=0,"Spatial Data Missing ⚠",VLOOKUP(M175,'G-7 WaterC'' Data'!$AA$4:$AB$7,2,FALSE)))))</f>
        <v/>
      </c>
      <c r="O175" s="56"/>
      <c r="P175" s="282" t="str">
        <f>IF(O175="","",IF(AND(O175="N/A - Culvert",D175&lt;&gt;"Culvert"),"Not possible ▲",IF(AND(D175="Culvert",O175&lt;&gt;"N/A - Culvert"),"Not possible ▲",IF(VLOOKUP(O175,'G-7 WaterC'' Data'!$AD$4:$AE$14,2,FALSE)=0,"Spatial Data Missing ⚠",VLOOKUP(O175,'G-7 WaterC'' Data'!$AD$4:$AE$14,2,FALSE)))))</f>
        <v/>
      </c>
      <c r="Q175" s="288" t="str">
        <f>IF(D175="","",VLOOKUP(D175,'G-7 WaterC'' Data'!$B$4:$G$8,6,FALSE))</f>
        <v/>
      </c>
      <c r="R175" s="295" t="str">
        <f t="shared" si="25"/>
        <v xml:space="preserve"> </v>
      </c>
      <c r="S175" s="403"/>
      <c r="T175" s="287" t="str">
        <f>IF(S175="","",IF(VLOOKUP(S175,'G-7 WaterC'' Data'!$AO$4:$BO$7,2,FALSE)=0,"Spatial Data Missing ⚠",VLOOKUP(S175,'G-7 WaterC'' Data'!$AO$4:$BO$7,2,FALSE)))</f>
        <v/>
      </c>
      <c r="U175" s="295" t="str">
        <f t="shared" si="26"/>
        <v xml:space="preserve"> </v>
      </c>
      <c r="V175" s="710" t="str">
        <f t="shared" si="27"/>
        <v/>
      </c>
      <c r="W175" s="32"/>
      <c r="X175" s="105"/>
      <c r="Y175" s="112"/>
      <c r="Z175" s="293" t="str">
        <f t="shared" si="28"/>
        <v/>
      </c>
      <c r="AA175" s="293" t="str">
        <f t="shared" si="29"/>
        <v/>
      </c>
      <c r="AB175" s="293" t="str">
        <f t="shared" si="30"/>
        <v/>
      </c>
      <c r="AC175" s="507" t="str">
        <f>IFERROR(IF(OR(E175="",R175=""),"", IF(AND(AB175&lt;&gt;"",S175=""), "Spatial risk category missing ▲", IF(AND(Q175='G-7 WaterC'' Data'!$G$4,AD175="Yes"),"Alternative Compensation ✓", IF(AND(AD175="Pending", Q175='G-7 WaterC'' Data'!$G$4),"Bespoke compensation must be agreed ▲", IF((Z175+AA175)&gt;=U175,0, U175-Z175-AA175))))),"Check Data ⚠")</f>
        <v/>
      </c>
      <c r="AD175" s="403"/>
      <c r="AE175" s="109"/>
      <c r="AF175" s="108"/>
      <c r="AG175" s="108"/>
      <c r="AH175" s="108"/>
      <c r="AI175" s="54" t="str">
        <f>IF(OR(Q175="",AD175="Yes"),"",IF(Q175='G-1 All Habitats'!$X$9,E175-Y175-X175,"None"))</f>
        <v/>
      </c>
      <c r="AJ175" s="55" t="str">
        <f>IF(Q175="","", IF(Q175='G-1 All Habitats'!$X$9, AI175*G175*I175*L175*N175*P175,"None"))</f>
        <v/>
      </c>
      <c r="AK175" s="30" t="str">
        <f>IFERROR(INDEX('G-7 WaterC'' Data'!$AZ$3:$AZ$7,MATCH(D175,'G-7 WaterC'' Data'!$AY$3:$AY$7,0)),"")</f>
        <v/>
      </c>
      <c r="AL175" s="30">
        <f t="shared" si="31"/>
        <v>0</v>
      </c>
      <c r="AM175" s="111" t="str">
        <f t="shared" si="32"/>
        <v/>
      </c>
      <c r="AN175" s="111" t="str">
        <f t="shared" si="33"/>
        <v/>
      </c>
      <c r="AP175" s="111">
        <v>166</v>
      </c>
      <c r="AR175" s="111" t="str">
        <f t="array" ref="AR175">IFERROR(INDEX($AP$10:$AP$258, MATCH(0, IF(TRUE=$AM$10:$AM$258, COUNTIF($AR$9:$AR174, $AP$10:$AP$258), ""), 0)),"")</f>
        <v/>
      </c>
      <c r="AS175" s="111" t="str">
        <f t="array" ref="AS175">IFERROR(INDEX($AP$10:$AP$258, MATCH(0, IF(TRUE=$AN$10:$AN$258, COUNTIF($AS$9:$AS174, $AP$10:$AP$258), ""), 0)),"")</f>
        <v/>
      </c>
      <c r="AT175" s="903" t="str">
        <f>IF(AND(OR(AD175="Yes",AD175="Pending"),Q175='G-7 WaterC'' Data'!$G$4),U175-AA175-Z175,"0")</f>
        <v>0</v>
      </c>
      <c r="AU175" s="30" t="str">
        <f>IF(D175="","",VLOOKUP(D175,'G-7 WaterC'' Data'!B$4:M$8,12,FALSE))</f>
        <v/>
      </c>
      <c r="AV175" s="30" t="str">
        <f t="shared" si="24"/>
        <v/>
      </c>
      <c r="AW175" s="30" t="str">
        <f t="shared" si="34"/>
        <v>No</v>
      </c>
      <c r="BA175" s="571" t="str">
        <f t="shared" si="35"/>
        <v/>
      </c>
    </row>
    <row r="176" spans="3:53" ht="14.4" thickBot="1" x14ac:dyDescent="0.3">
      <c r="C176" s="101">
        <v>167</v>
      </c>
      <c r="D176" s="269"/>
      <c r="E176" s="108"/>
      <c r="F176" s="281" t="str">
        <f>IF(D176="","",VLOOKUP(D176,'G-7 WaterC'' Data'!$B$2:$G$8,2,FALSE))</f>
        <v/>
      </c>
      <c r="G176" s="320" t="str">
        <f>IFERROR(VLOOKUP(F176,'G-7 WaterC'' Data'!$C$4:$D$8,2,FALSE),"")</f>
        <v/>
      </c>
      <c r="H176" s="109"/>
      <c r="I176" s="305" t="str">
        <f>IFERROR(INDEX('G-7 WaterC'' Data'!$H$4:$L$8,MATCH(D176,'G-7 WaterC'' Data'!$B$4:$B$8,0),MATCH(H176,'G-7 WaterC'' Data'!$H$3:$L$3,0)),"")</f>
        <v/>
      </c>
      <c r="J176" s="718"/>
      <c r="K176" s="301" t="str">
        <f>IF(J176="","",IF(VLOOKUP(J176,'G-7 WaterC'' Data'!$AK$4:$AM$9,2,FALSE)=0,"Spatial Data Missing ⚠",VLOOKUP(J176,'G-7 WaterC'' Data'!$AK$4:$AM$6,2,FALSE)))</f>
        <v/>
      </c>
      <c r="L176" s="305" t="str">
        <f>IF(J176="","",IF(VLOOKUP(J176,'G-7 WaterC'' Data'!$AK$4:$AM$9,3,FALSE)=0,"Spatial Data Missing ⚠",VLOOKUP(J176,'G-7 WaterC'' Data'!$AK$4:$AM$6,3,FALSE)))</f>
        <v/>
      </c>
      <c r="M176" s="106"/>
      <c r="N176" s="282" t="str">
        <f>IF(M176="","",IF(AND(M176="N/A - Culvert",D176&lt;&gt;"Culvert"),"Not possible ▲",IF(AND(D176="Culvert",M176&lt;&gt;"N/A - Culvert"),"Not possible ▲",IF(VLOOKUP(M176,'G-7 WaterC'' Data'!$AA$4:$AB$7,2,FALSE)=0,"Spatial Data Missing ⚠",VLOOKUP(M176,'G-7 WaterC'' Data'!$AA$4:$AB$7,2,FALSE)))))</f>
        <v/>
      </c>
      <c r="O176" s="56"/>
      <c r="P176" s="282" t="str">
        <f>IF(O176="","",IF(AND(O176="N/A - Culvert",D176&lt;&gt;"Culvert"),"Not possible ▲",IF(AND(D176="Culvert",O176&lt;&gt;"N/A - Culvert"),"Not possible ▲",IF(VLOOKUP(O176,'G-7 WaterC'' Data'!$AD$4:$AE$14,2,FALSE)=0,"Spatial Data Missing ⚠",VLOOKUP(O176,'G-7 WaterC'' Data'!$AD$4:$AE$14,2,FALSE)))))</f>
        <v/>
      </c>
      <c r="Q176" s="288" t="str">
        <f>IF(D176="","",VLOOKUP(D176,'G-7 WaterC'' Data'!$B$4:$G$8,6,FALSE))</f>
        <v/>
      </c>
      <c r="R176" s="295" t="str">
        <f t="shared" si="25"/>
        <v xml:space="preserve"> </v>
      </c>
      <c r="S176" s="403"/>
      <c r="T176" s="287" t="str">
        <f>IF(S176="","",IF(VLOOKUP(S176,'G-7 WaterC'' Data'!$AO$4:$BO$7,2,FALSE)=0,"Spatial Data Missing ⚠",VLOOKUP(S176,'G-7 WaterC'' Data'!$AO$4:$BO$7,2,FALSE)))</f>
        <v/>
      </c>
      <c r="U176" s="295" t="str">
        <f t="shared" si="26"/>
        <v xml:space="preserve"> </v>
      </c>
      <c r="V176" s="710" t="str">
        <f t="shared" si="27"/>
        <v/>
      </c>
      <c r="W176" s="32"/>
      <c r="X176" s="105"/>
      <c r="Y176" s="112"/>
      <c r="Z176" s="293" t="str">
        <f t="shared" si="28"/>
        <v/>
      </c>
      <c r="AA176" s="293" t="str">
        <f t="shared" si="29"/>
        <v/>
      </c>
      <c r="AB176" s="293" t="str">
        <f t="shared" si="30"/>
        <v/>
      </c>
      <c r="AC176" s="507" t="str">
        <f>IFERROR(IF(OR(E176="",R176=""),"", IF(AND(AB176&lt;&gt;"",S176=""), "Spatial risk category missing ▲", IF(AND(Q176='G-7 WaterC'' Data'!$G$4,AD176="Yes"),"Alternative Compensation ✓", IF(AND(AD176="Pending", Q176='G-7 WaterC'' Data'!$G$4),"Bespoke compensation must be agreed ▲", IF((Z176+AA176)&gt;=U176,0, U176-Z176-AA176))))),"Check Data ⚠")</f>
        <v/>
      </c>
      <c r="AD176" s="403"/>
      <c r="AE176" s="109"/>
      <c r="AF176" s="108"/>
      <c r="AG176" s="108"/>
      <c r="AH176" s="108"/>
      <c r="AI176" s="54" t="str">
        <f>IF(OR(Q176="",AD176="Yes"),"",IF(Q176='G-1 All Habitats'!$X$9,E176-Y176-X176,"None"))</f>
        <v/>
      </c>
      <c r="AJ176" s="55" t="str">
        <f>IF(Q176="","", IF(Q176='G-1 All Habitats'!$X$9, AI176*G176*I176*L176*N176*P176,"None"))</f>
        <v/>
      </c>
      <c r="AK176" s="30" t="str">
        <f>IFERROR(INDEX('G-7 WaterC'' Data'!$AZ$3:$AZ$7,MATCH(D176,'G-7 WaterC'' Data'!$AY$3:$AY$7,0)),"")</f>
        <v/>
      </c>
      <c r="AL176" s="30">
        <f t="shared" si="31"/>
        <v>0</v>
      </c>
      <c r="AM176" s="111" t="str">
        <f t="shared" si="32"/>
        <v/>
      </c>
      <c r="AN176" s="111" t="str">
        <f t="shared" si="33"/>
        <v/>
      </c>
      <c r="AP176" s="111">
        <v>167</v>
      </c>
      <c r="AR176" s="111" t="str">
        <f t="array" ref="AR176">IFERROR(INDEX($AP$10:$AP$258, MATCH(0, IF(TRUE=$AM$10:$AM$258, COUNTIF($AR$9:$AR175, $AP$10:$AP$258), ""), 0)),"")</f>
        <v/>
      </c>
      <c r="AS176" s="111" t="str">
        <f t="array" ref="AS176">IFERROR(INDEX($AP$10:$AP$258, MATCH(0, IF(TRUE=$AN$10:$AN$258, COUNTIF($AS$9:$AS175, $AP$10:$AP$258), ""), 0)),"")</f>
        <v/>
      </c>
      <c r="AT176" s="903" t="str">
        <f>IF(AND(OR(AD176="Yes",AD176="Pending"),Q176='G-7 WaterC'' Data'!$G$4),U176-AA176-Z176,"0")</f>
        <v>0</v>
      </c>
      <c r="AU176" s="30" t="str">
        <f>IF(D176="","",VLOOKUP(D176,'G-7 WaterC'' Data'!B$4:M$8,12,FALSE))</f>
        <v/>
      </c>
      <c r="AV176" s="30" t="str">
        <f t="shared" si="24"/>
        <v/>
      </c>
      <c r="AW176" s="30" t="str">
        <f t="shared" si="34"/>
        <v>No</v>
      </c>
      <c r="BA176" s="571" t="str">
        <f t="shared" si="35"/>
        <v/>
      </c>
    </row>
    <row r="177" spans="3:53" ht="14.4" thickBot="1" x14ac:dyDescent="0.3">
      <c r="C177" s="101">
        <v>168</v>
      </c>
      <c r="D177" s="269"/>
      <c r="E177" s="108"/>
      <c r="F177" s="281" t="str">
        <f>IF(D177="","",VLOOKUP(D177,'G-7 WaterC'' Data'!$B$2:$G$8,2,FALSE))</f>
        <v/>
      </c>
      <c r="G177" s="320" t="str">
        <f>IFERROR(VLOOKUP(F177,'G-7 WaterC'' Data'!$C$4:$D$8,2,FALSE),"")</f>
        <v/>
      </c>
      <c r="H177" s="109"/>
      <c r="I177" s="305" t="str">
        <f>IFERROR(INDEX('G-7 WaterC'' Data'!$H$4:$L$8,MATCH(D177,'G-7 WaterC'' Data'!$B$4:$B$8,0),MATCH(H177,'G-7 WaterC'' Data'!$H$3:$L$3,0)),"")</f>
        <v/>
      </c>
      <c r="J177" s="718"/>
      <c r="K177" s="301" t="str">
        <f>IF(J177="","",IF(VLOOKUP(J177,'G-7 WaterC'' Data'!$AK$4:$AM$9,2,FALSE)=0,"Spatial Data Missing ⚠",VLOOKUP(J177,'G-7 WaterC'' Data'!$AK$4:$AM$6,2,FALSE)))</f>
        <v/>
      </c>
      <c r="L177" s="305" t="str">
        <f>IF(J177="","",IF(VLOOKUP(J177,'G-7 WaterC'' Data'!$AK$4:$AM$9,3,FALSE)=0,"Spatial Data Missing ⚠",VLOOKUP(J177,'G-7 WaterC'' Data'!$AK$4:$AM$6,3,FALSE)))</f>
        <v/>
      </c>
      <c r="M177" s="106"/>
      <c r="N177" s="282" t="str">
        <f>IF(M177="","",IF(AND(M177="N/A - Culvert",D177&lt;&gt;"Culvert"),"Not possible ▲",IF(AND(D177="Culvert",M177&lt;&gt;"N/A - Culvert"),"Not possible ▲",IF(VLOOKUP(M177,'G-7 WaterC'' Data'!$AA$4:$AB$7,2,FALSE)=0,"Spatial Data Missing ⚠",VLOOKUP(M177,'G-7 WaterC'' Data'!$AA$4:$AB$7,2,FALSE)))))</f>
        <v/>
      </c>
      <c r="O177" s="56"/>
      <c r="P177" s="282" t="str">
        <f>IF(O177="","",IF(AND(O177="N/A - Culvert",D177&lt;&gt;"Culvert"),"Not possible ▲",IF(AND(D177="Culvert",O177&lt;&gt;"N/A - Culvert"),"Not possible ▲",IF(VLOOKUP(O177,'G-7 WaterC'' Data'!$AD$4:$AE$14,2,FALSE)=0,"Spatial Data Missing ⚠",VLOOKUP(O177,'G-7 WaterC'' Data'!$AD$4:$AE$14,2,FALSE)))))</f>
        <v/>
      </c>
      <c r="Q177" s="288" t="str">
        <f>IF(D177="","",VLOOKUP(D177,'G-7 WaterC'' Data'!$B$4:$G$8,6,FALSE))</f>
        <v/>
      </c>
      <c r="R177" s="295" t="str">
        <f t="shared" si="25"/>
        <v xml:space="preserve"> </v>
      </c>
      <c r="S177" s="403"/>
      <c r="T177" s="287" t="str">
        <f>IF(S177="","",IF(VLOOKUP(S177,'G-7 WaterC'' Data'!$AO$4:$BO$7,2,FALSE)=0,"Spatial Data Missing ⚠",VLOOKUP(S177,'G-7 WaterC'' Data'!$AO$4:$BO$7,2,FALSE)))</f>
        <v/>
      </c>
      <c r="U177" s="295" t="str">
        <f t="shared" si="26"/>
        <v xml:space="preserve"> </v>
      </c>
      <c r="V177" s="710" t="str">
        <f t="shared" si="27"/>
        <v/>
      </c>
      <c r="W177" s="32"/>
      <c r="X177" s="105"/>
      <c r="Y177" s="112"/>
      <c r="Z177" s="293" t="str">
        <f t="shared" si="28"/>
        <v/>
      </c>
      <c r="AA177" s="293" t="str">
        <f t="shared" si="29"/>
        <v/>
      </c>
      <c r="AB177" s="293" t="str">
        <f t="shared" si="30"/>
        <v/>
      </c>
      <c r="AC177" s="507" t="str">
        <f>IFERROR(IF(OR(E177="",R177=""),"", IF(AND(AB177&lt;&gt;"",S177=""), "Spatial risk category missing ▲", IF(AND(Q177='G-7 WaterC'' Data'!$G$4,AD177="Yes"),"Alternative Compensation ✓", IF(AND(AD177="Pending", Q177='G-7 WaterC'' Data'!$G$4),"Bespoke compensation must be agreed ▲", IF((Z177+AA177)&gt;=U177,0, U177-Z177-AA177))))),"Check Data ⚠")</f>
        <v/>
      </c>
      <c r="AD177" s="403"/>
      <c r="AE177" s="109"/>
      <c r="AF177" s="108"/>
      <c r="AG177" s="108"/>
      <c r="AH177" s="108"/>
      <c r="AI177" s="54" t="str">
        <f>IF(OR(Q177="",AD177="Yes"),"",IF(Q177='G-1 All Habitats'!$X$9,E177-Y177-X177,"None"))</f>
        <v/>
      </c>
      <c r="AJ177" s="55" t="str">
        <f>IF(Q177="","", IF(Q177='G-1 All Habitats'!$X$9, AI177*G177*I177*L177*N177*P177,"None"))</f>
        <v/>
      </c>
      <c r="AK177" s="30" t="str">
        <f>IFERROR(INDEX('G-7 WaterC'' Data'!$AZ$3:$AZ$7,MATCH(D177,'G-7 WaterC'' Data'!$AY$3:$AY$7,0)),"")</f>
        <v/>
      </c>
      <c r="AL177" s="30">
        <f t="shared" si="31"/>
        <v>0</v>
      </c>
      <c r="AM177" s="111" t="str">
        <f t="shared" si="32"/>
        <v/>
      </c>
      <c r="AN177" s="111" t="str">
        <f t="shared" si="33"/>
        <v/>
      </c>
      <c r="AP177" s="111">
        <v>168</v>
      </c>
      <c r="AR177" s="111" t="str">
        <f t="array" ref="AR177">IFERROR(INDEX($AP$10:$AP$258, MATCH(0, IF(TRUE=$AM$10:$AM$258, COUNTIF($AR$9:$AR176, $AP$10:$AP$258), ""), 0)),"")</f>
        <v/>
      </c>
      <c r="AS177" s="111" t="str">
        <f t="array" ref="AS177">IFERROR(INDEX($AP$10:$AP$258, MATCH(0, IF(TRUE=$AN$10:$AN$258, COUNTIF($AS$9:$AS176, $AP$10:$AP$258), ""), 0)),"")</f>
        <v/>
      </c>
      <c r="AT177" s="903" t="str">
        <f>IF(AND(OR(AD177="Yes",AD177="Pending"),Q177='G-7 WaterC'' Data'!$G$4),U177-AA177-Z177,"0")</f>
        <v>0</v>
      </c>
      <c r="AU177" s="30" t="str">
        <f>IF(D177="","",VLOOKUP(D177,'G-7 WaterC'' Data'!B$4:M$8,12,FALSE))</f>
        <v/>
      </c>
      <c r="AV177" s="30" t="str">
        <f t="shared" si="24"/>
        <v/>
      </c>
      <c r="AW177" s="30" t="str">
        <f t="shared" si="34"/>
        <v>No</v>
      </c>
      <c r="BA177" s="571" t="str">
        <f t="shared" si="35"/>
        <v/>
      </c>
    </row>
    <row r="178" spans="3:53" ht="14.4" thickBot="1" x14ac:dyDescent="0.3">
      <c r="C178" s="101">
        <v>169</v>
      </c>
      <c r="D178" s="269"/>
      <c r="E178" s="108"/>
      <c r="F178" s="281" t="str">
        <f>IF(D178="","",VLOOKUP(D178,'G-7 WaterC'' Data'!$B$2:$G$8,2,FALSE))</f>
        <v/>
      </c>
      <c r="G178" s="320" t="str">
        <f>IFERROR(VLOOKUP(F178,'G-7 WaterC'' Data'!$C$4:$D$8,2,FALSE),"")</f>
        <v/>
      </c>
      <c r="H178" s="109"/>
      <c r="I178" s="305" t="str">
        <f>IFERROR(INDEX('G-7 WaterC'' Data'!$H$4:$L$8,MATCH(D178,'G-7 WaterC'' Data'!$B$4:$B$8,0),MATCH(H178,'G-7 WaterC'' Data'!$H$3:$L$3,0)),"")</f>
        <v/>
      </c>
      <c r="J178" s="718"/>
      <c r="K178" s="301" t="str">
        <f>IF(J178="","",IF(VLOOKUP(J178,'G-7 WaterC'' Data'!$AK$4:$AM$9,2,FALSE)=0,"Spatial Data Missing ⚠",VLOOKUP(J178,'G-7 WaterC'' Data'!$AK$4:$AM$6,2,FALSE)))</f>
        <v/>
      </c>
      <c r="L178" s="305" t="str">
        <f>IF(J178="","",IF(VLOOKUP(J178,'G-7 WaterC'' Data'!$AK$4:$AM$9,3,FALSE)=0,"Spatial Data Missing ⚠",VLOOKUP(J178,'G-7 WaterC'' Data'!$AK$4:$AM$6,3,FALSE)))</f>
        <v/>
      </c>
      <c r="M178" s="106"/>
      <c r="N178" s="282" t="str">
        <f>IF(M178="","",IF(AND(M178="N/A - Culvert",D178&lt;&gt;"Culvert"),"Not possible ▲",IF(AND(D178="Culvert",M178&lt;&gt;"N/A - Culvert"),"Not possible ▲",IF(VLOOKUP(M178,'G-7 WaterC'' Data'!$AA$4:$AB$7,2,FALSE)=0,"Spatial Data Missing ⚠",VLOOKUP(M178,'G-7 WaterC'' Data'!$AA$4:$AB$7,2,FALSE)))))</f>
        <v/>
      </c>
      <c r="O178" s="56"/>
      <c r="P178" s="282" t="str">
        <f>IF(O178="","",IF(AND(O178="N/A - Culvert",D178&lt;&gt;"Culvert"),"Not possible ▲",IF(AND(D178="Culvert",O178&lt;&gt;"N/A - Culvert"),"Not possible ▲",IF(VLOOKUP(O178,'G-7 WaterC'' Data'!$AD$4:$AE$14,2,FALSE)=0,"Spatial Data Missing ⚠",VLOOKUP(O178,'G-7 WaterC'' Data'!$AD$4:$AE$14,2,FALSE)))))</f>
        <v/>
      </c>
      <c r="Q178" s="288" t="str">
        <f>IF(D178="","",VLOOKUP(D178,'G-7 WaterC'' Data'!$B$4:$G$8,6,FALSE))</f>
        <v/>
      </c>
      <c r="R178" s="295" t="str">
        <f t="shared" si="25"/>
        <v xml:space="preserve"> </v>
      </c>
      <c r="S178" s="403"/>
      <c r="T178" s="287" t="str">
        <f>IF(S178="","",IF(VLOOKUP(S178,'G-7 WaterC'' Data'!$AO$4:$BO$7,2,FALSE)=0,"Spatial Data Missing ⚠",VLOOKUP(S178,'G-7 WaterC'' Data'!$AO$4:$BO$7,2,FALSE)))</f>
        <v/>
      </c>
      <c r="U178" s="295" t="str">
        <f t="shared" si="26"/>
        <v xml:space="preserve"> </v>
      </c>
      <c r="V178" s="710" t="str">
        <f t="shared" si="27"/>
        <v/>
      </c>
      <c r="W178" s="32"/>
      <c r="X178" s="105"/>
      <c r="Y178" s="112"/>
      <c r="Z178" s="293" t="str">
        <f t="shared" si="28"/>
        <v/>
      </c>
      <c r="AA178" s="293" t="str">
        <f t="shared" si="29"/>
        <v/>
      </c>
      <c r="AB178" s="293" t="str">
        <f t="shared" si="30"/>
        <v/>
      </c>
      <c r="AC178" s="507" t="str">
        <f>IFERROR(IF(OR(E178="",R178=""),"", IF(AND(AB178&lt;&gt;"",S178=""), "Spatial risk category missing ▲", IF(AND(Q178='G-7 WaterC'' Data'!$G$4,AD178="Yes"),"Alternative Compensation ✓", IF(AND(AD178="Pending", Q178='G-7 WaterC'' Data'!$G$4),"Bespoke compensation must be agreed ▲", IF((Z178+AA178)&gt;=U178,0, U178-Z178-AA178))))),"Check Data ⚠")</f>
        <v/>
      </c>
      <c r="AD178" s="403"/>
      <c r="AE178" s="109"/>
      <c r="AF178" s="108"/>
      <c r="AG178" s="108"/>
      <c r="AH178" s="108"/>
      <c r="AI178" s="54" t="str">
        <f>IF(OR(Q178="",AD178="Yes"),"",IF(Q178='G-1 All Habitats'!$X$9,E178-Y178-X178,"None"))</f>
        <v/>
      </c>
      <c r="AJ178" s="55" t="str">
        <f>IF(Q178="","", IF(Q178='G-1 All Habitats'!$X$9, AI178*G178*I178*L178*N178*P178,"None"))</f>
        <v/>
      </c>
      <c r="AK178" s="30" t="str">
        <f>IFERROR(INDEX('G-7 WaterC'' Data'!$AZ$3:$AZ$7,MATCH(D178,'G-7 WaterC'' Data'!$AY$3:$AY$7,0)),"")</f>
        <v/>
      </c>
      <c r="AL178" s="30">
        <f t="shared" si="31"/>
        <v>0</v>
      </c>
      <c r="AM178" s="111" t="str">
        <f t="shared" si="32"/>
        <v/>
      </c>
      <c r="AN178" s="111" t="str">
        <f t="shared" si="33"/>
        <v/>
      </c>
      <c r="AP178" s="111">
        <v>169</v>
      </c>
      <c r="AR178" s="111" t="str">
        <f t="array" ref="AR178">IFERROR(INDEX($AP$10:$AP$258, MATCH(0, IF(TRUE=$AM$10:$AM$258, COUNTIF($AR$9:$AR177, $AP$10:$AP$258), ""), 0)),"")</f>
        <v/>
      </c>
      <c r="AS178" s="111" t="str">
        <f t="array" ref="AS178">IFERROR(INDEX($AP$10:$AP$258, MATCH(0, IF(TRUE=$AN$10:$AN$258, COUNTIF($AS$9:$AS177, $AP$10:$AP$258), ""), 0)),"")</f>
        <v/>
      </c>
      <c r="AT178" s="903" t="str">
        <f>IF(AND(OR(AD178="Yes",AD178="Pending"),Q178='G-7 WaterC'' Data'!$G$4),U178-AA178-Z178,"0")</f>
        <v>0</v>
      </c>
      <c r="AU178" s="30" t="str">
        <f>IF(D178="","",VLOOKUP(D178,'G-7 WaterC'' Data'!B$4:M$8,12,FALSE))</f>
        <v/>
      </c>
      <c r="AV178" s="30" t="str">
        <f t="shared" si="24"/>
        <v/>
      </c>
      <c r="AW178" s="30" t="str">
        <f t="shared" si="34"/>
        <v>No</v>
      </c>
      <c r="BA178" s="571" t="str">
        <f t="shared" si="35"/>
        <v/>
      </c>
    </row>
    <row r="179" spans="3:53" ht="14.4" thickBot="1" x14ac:dyDescent="0.3">
      <c r="C179" s="101">
        <v>170</v>
      </c>
      <c r="D179" s="269"/>
      <c r="E179" s="108"/>
      <c r="F179" s="281" t="str">
        <f>IF(D179="","",VLOOKUP(D179,'G-7 WaterC'' Data'!$B$2:$G$8,2,FALSE))</f>
        <v/>
      </c>
      <c r="G179" s="320" t="str">
        <f>IFERROR(VLOOKUP(F179,'G-7 WaterC'' Data'!$C$4:$D$8,2,FALSE),"")</f>
        <v/>
      </c>
      <c r="H179" s="109"/>
      <c r="I179" s="305" t="str">
        <f>IFERROR(INDEX('G-7 WaterC'' Data'!$H$4:$L$8,MATCH(D179,'G-7 WaterC'' Data'!$B$4:$B$8,0),MATCH(H179,'G-7 WaterC'' Data'!$H$3:$L$3,0)),"")</f>
        <v/>
      </c>
      <c r="J179" s="718"/>
      <c r="K179" s="301" t="str">
        <f>IF(J179="","",IF(VLOOKUP(J179,'G-7 WaterC'' Data'!$AK$4:$AM$9,2,FALSE)=0,"Spatial Data Missing ⚠",VLOOKUP(J179,'G-7 WaterC'' Data'!$AK$4:$AM$6,2,FALSE)))</f>
        <v/>
      </c>
      <c r="L179" s="305" t="str">
        <f>IF(J179="","",IF(VLOOKUP(J179,'G-7 WaterC'' Data'!$AK$4:$AM$9,3,FALSE)=0,"Spatial Data Missing ⚠",VLOOKUP(J179,'G-7 WaterC'' Data'!$AK$4:$AM$6,3,FALSE)))</f>
        <v/>
      </c>
      <c r="M179" s="106"/>
      <c r="N179" s="282" t="str">
        <f>IF(M179="","",IF(AND(M179="N/A - Culvert",D179&lt;&gt;"Culvert"),"Not possible ▲",IF(AND(D179="Culvert",M179&lt;&gt;"N/A - Culvert"),"Not possible ▲",IF(VLOOKUP(M179,'G-7 WaterC'' Data'!$AA$4:$AB$7,2,FALSE)=0,"Spatial Data Missing ⚠",VLOOKUP(M179,'G-7 WaterC'' Data'!$AA$4:$AB$7,2,FALSE)))))</f>
        <v/>
      </c>
      <c r="O179" s="56"/>
      <c r="P179" s="282" t="str">
        <f>IF(O179="","",IF(AND(O179="N/A - Culvert",D179&lt;&gt;"Culvert"),"Not possible ▲",IF(AND(D179="Culvert",O179&lt;&gt;"N/A - Culvert"),"Not possible ▲",IF(VLOOKUP(O179,'G-7 WaterC'' Data'!$AD$4:$AE$14,2,FALSE)=0,"Spatial Data Missing ⚠",VLOOKUP(O179,'G-7 WaterC'' Data'!$AD$4:$AE$14,2,FALSE)))))</f>
        <v/>
      </c>
      <c r="Q179" s="288" t="str">
        <f>IF(D179="","",VLOOKUP(D179,'G-7 WaterC'' Data'!$B$4:$G$8,6,FALSE))</f>
        <v/>
      </c>
      <c r="R179" s="295" t="str">
        <f t="shared" si="25"/>
        <v xml:space="preserve"> </v>
      </c>
      <c r="S179" s="403"/>
      <c r="T179" s="287" t="str">
        <f>IF(S179="","",IF(VLOOKUP(S179,'G-7 WaterC'' Data'!$AO$4:$BO$7,2,FALSE)=0,"Spatial Data Missing ⚠",VLOOKUP(S179,'G-7 WaterC'' Data'!$AO$4:$BO$7,2,FALSE)))</f>
        <v/>
      </c>
      <c r="U179" s="295" t="str">
        <f t="shared" si="26"/>
        <v xml:space="preserve"> </v>
      </c>
      <c r="V179" s="710" t="str">
        <f t="shared" si="27"/>
        <v/>
      </c>
      <c r="W179" s="32"/>
      <c r="X179" s="105"/>
      <c r="Y179" s="112"/>
      <c r="Z179" s="293" t="str">
        <f t="shared" si="28"/>
        <v/>
      </c>
      <c r="AA179" s="293" t="str">
        <f t="shared" si="29"/>
        <v/>
      </c>
      <c r="AB179" s="293" t="str">
        <f t="shared" si="30"/>
        <v/>
      </c>
      <c r="AC179" s="507" t="str">
        <f>IFERROR(IF(OR(E179="",R179=""),"", IF(AND(AB179&lt;&gt;"",S179=""), "Spatial risk category missing ▲", IF(AND(Q179='G-7 WaterC'' Data'!$G$4,AD179="Yes"),"Alternative Compensation ✓", IF(AND(AD179="Pending", Q179='G-7 WaterC'' Data'!$G$4),"Bespoke compensation must be agreed ▲", IF((Z179+AA179)&gt;=U179,0, U179-Z179-AA179))))),"Check Data ⚠")</f>
        <v/>
      </c>
      <c r="AD179" s="403"/>
      <c r="AE179" s="109"/>
      <c r="AF179" s="108"/>
      <c r="AG179" s="108"/>
      <c r="AH179" s="108"/>
      <c r="AI179" s="54" t="str">
        <f>IF(OR(Q179="",AD179="Yes"),"",IF(Q179='G-1 All Habitats'!$X$9,E179-Y179-X179,"None"))</f>
        <v/>
      </c>
      <c r="AJ179" s="55" t="str">
        <f>IF(Q179="","", IF(Q179='G-1 All Habitats'!$X$9, AI179*G179*I179*L179*N179*P179,"None"))</f>
        <v/>
      </c>
      <c r="AK179" s="30" t="str">
        <f>IFERROR(INDEX('G-7 WaterC'' Data'!$AZ$3:$AZ$7,MATCH(D179,'G-7 WaterC'' Data'!$AY$3:$AY$7,0)),"")</f>
        <v/>
      </c>
      <c r="AL179" s="30">
        <f t="shared" si="31"/>
        <v>0</v>
      </c>
      <c r="AM179" s="111" t="str">
        <f t="shared" si="32"/>
        <v/>
      </c>
      <c r="AN179" s="111" t="str">
        <f t="shared" si="33"/>
        <v/>
      </c>
      <c r="AP179" s="111">
        <v>170</v>
      </c>
      <c r="AR179" s="111" t="str">
        <f t="array" ref="AR179">IFERROR(INDEX($AP$10:$AP$258, MATCH(0, IF(TRUE=$AM$10:$AM$258, COUNTIF($AR$9:$AR178, $AP$10:$AP$258), ""), 0)),"")</f>
        <v/>
      </c>
      <c r="AS179" s="111" t="str">
        <f t="array" ref="AS179">IFERROR(INDEX($AP$10:$AP$258, MATCH(0, IF(TRUE=$AN$10:$AN$258, COUNTIF($AS$9:$AS178, $AP$10:$AP$258), ""), 0)),"")</f>
        <v/>
      </c>
      <c r="AT179" s="903" t="str">
        <f>IF(AND(OR(AD179="Yes",AD179="Pending"),Q179='G-7 WaterC'' Data'!$G$4),U179-AA179-Z179,"0")</f>
        <v>0</v>
      </c>
      <c r="AU179" s="30" t="str">
        <f>IF(D179="","",VLOOKUP(D179,'G-7 WaterC'' Data'!B$4:M$8,12,FALSE))</f>
        <v/>
      </c>
      <c r="AV179" s="30" t="str">
        <f t="shared" si="24"/>
        <v/>
      </c>
      <c r="AW179" s="30" t="str">
        <f t="shared" si="34"/>
        <v>No</v>
      </c>
      <c r="BA179" s="571" t="str">
        <f t="shared" si="35"/>
        <v/>
      </c>
    </row>
    <row r="180" spans="3:53" ht="14.4" thickBot="1" x14ac:dyDescent="0.3">
      <c r="C180" s="101">
        <v>171</v>
      </c>
      <c r="D180" s="269"/>
      <c r="E180" s="108"/>
      <c r="F180" s="281" t="str">
        <f>IF(D180="","",VLOOKUP(D180,'G-7 WaterC'' Data'!$B$2:$G$8,2,FALSE))</f>
        <v/>
      </c>
      <c r="G180" s="320" t="str">
        <f>IFERROR(VLOOKUP(F180,'G-7 WaterC'' Data'!$C$4:$D$8,2,FALSE),"")</f>
        <v/>
      </c>
      <c r="H180" s="109"/>
      <c r="I180" s="305" t="str">
        <f>IFERROR(INDEX('G-7 WaterC'' Data'!$H$4:$L$8,MATCH(D180,'G-7 WaterC'' Data'!$B$4:$B$8,0),MATCH(H180,'G-7 WaterC'' Data'!$H$3:$L$3,0)),"")</f>
        <v/>
      </c>
      <c r="J180" s="718"/>
      <c r="K180" s="301" t="str">
        <f>IF(J180="","",IF(VLOOKUP(J180,'G-7 WaterC'' Data'!$AK$4:$AM$9,2,FALSE)=0,"Spatial Data Missing ⚠",VLOOKUP(J180,'G-7 WaterC'' Data'!$AK$4:$AM$6,2,FALSE)))</f>
        <v/>
      </c>
      <c r="L180" s="305" t="str">
        <f>IF(J180="","",IF(VLOOKUP(J180,'G-7 WaterC'' Data'!$AK$4:$AM$9,3,FALSE)=0,"Spatial Data Missing ⚠",VLOOKUP(J180,'G-7 WaterC'' Data'!$AK$4:$AM$6,3,FALSE)))</f>
        <v/>
      </c>
      <c r="M180" s="106"/>
      <c r="N180" s="282" t="str">
        <f>IF(M180="","",IF(AND(M180="N/A - Culvert",D180&lt;&gt;"Culvert"),"Not possible ▲",IF(AND(D180="Culvert",M180&lt;&gt;"N/A - Culvert"),"Not possible ▲",IF(VLOOKUP(M180,'G-7 WaterC'' Data'!$AA$4:$AB$7,2,FALSE)=0,"Spatial Data Missing ⚠",VLOOKUP(M180,'G-7 WaterC'' Data'!$AA$4:$AB$7,2,FALSE)))))</f>
        <v/>
      </c>
      <c r="O180" s="56"/>
      <c r="P180" s="282" t="str">
        <f>IF(O180="","",IF(AND(O180="N/A - Culvert",D180&lt;&gt;"Culvert"),"Not possible ▲",IF(AND(D180="Culvert",O180&lt;&gt;"N/A - Culvert"),"Not possible ▲",IF(VLOOKUP(O180,'G-7 WaterC'' Data'!$AD$4:$AE$14,2,FALSE)=0,"Spatial Data Missing ⚠",VLOOKUP(O180,'G-7 WaterC'' Data'!$AD$4:$AE$14,2,FALSE)))))</f>
        <v/>
      </c>
      <c r="Q180" s="288" t="str">
        <f>IF(D180="","",VLOOKUP(D180,'G-7 WaterC'' Data'!$B$4:$G$8,6,FALSE))</f>
        <v/>
      </c>
      <c r="R180" s="295" t="str">
        <f t="shared" si="25"/>
        <v xml:space="preserve"> </v>
      </c>
      <c r="S180" s="403"/>
      <c r="T180" s="287" t="str">
        <f>IF(S180="","",IF(VLOOKUP(S180,'G-7 WaterC'' Data'!$AO$4:$BO$7,2,FALSE)=0,"Spatial Data Missing ⚠",VLOOKUP(S180,'G-7 WaterC'' Data'!$AO$4:$BO$7,2,FALSE)))</f>
        <v/>
      </c>
      <c r="U180" s="295" t="str">
        <f t="shared" si="26"/>
        <v xml:space="preserve"> </v>
      </c>
      <c r="V180" s="710" t="str">
        <f t="shared" si="27"/>
        <v/>
      </c>
      <c r="W180" s="32"/>
      <c r="X180" s="105"/>
      <c r="Y180" s="112"/>
      <c r="Z180" s="293" t="str">
        <f t="shared" si="28"/>
        <v/>
      </c>
      <c r="AA180" s="293" t="str">
        <f t="shared" si="29"/>
        <v/>
      </c>
      <c r="AB180" s="293" t="str">
        <f t="shared" si="30"/>
        <v/>
      </c>
      <c r="AC180" s="507" t="str">
        <f>IFERROR(IF(OR(E180="",R180=""),"", IF(AND(AB180&lt;&gt;"",S180=""), "Spatial risk category missing ▲", IF(AND(Q180='G-7 WaterC'' Data'!$G$4,AD180="Yes"),"Alternative Compensation ✓", IF(AND(AD180="Pending", Q180='G-7 WaterC'' Data'!$G$4),"Bespoke compensation must be agreed ▲", IF((Z180+AA180)&gt;=U180,0, U180-Z180-AA180))))),"Check Data ⚠")</f>
        <v/>
      </c>
      <c r="AD180" s="403"/>
      <c r="AE180" s="109"/>
      <c r="AF180" s="108"/>
      <c r="AG180" s="108"/>
      <c r="AH180" s="108"/>
      <c r="AI180" s="54" t="str">
        <f>IF(OR(Q180="",AD180="Yes"),"",IF(Q180='G-1 All Habitats'!$X$9,E180-Y180-X180,"None"))</f>
        <v/>
      </c>
      <c r="AJ180" s="55" t="str">
        <f>IF(Q180="","", IF(Q180='G-1 All Habitats'!$X$9, AI180*G180*I180*L180*N180*P180,"None"))</f>
        <v/>
      </c>
      <c r="AK180" s="30" t="str">
        <f>IFERROR(INDEX('G-7 WaterC'' Data'!$AZ$3:$AZ$7,MATCH(D180,'G-7 WaterC'' Data'!$AY$3:$AY$7,0)),"")</f>
        <v/>
      </c>
      <c r="AL180" s="30">
        <f t="shared" si="31"/>
        <v>0</v>
      </c>
      <c r="AM180" s="111" t="str">
        <f t="shared" si="32"/>
        <v/>
      </c>
      <c r="AN180" s="111" t="str">
        <f t="shared" si="33"/>
        <v/>
      </c>
      <c r="AP180" s="111">
        <v>171</v>
      </c>
      <c r="AR180" s="111" t="str">
        <f t="array" ref="AR180">IFERROR(INDEX($AP$10:$AP$258, MATCH(0, IF(TRUE=$AM$10:$AM$258, COUNTIF($AR$9:$AR179, $AP$10:$AP$258), ""), 0)),"")</f>
        <v/>
      </c>
      <c r="AS180" s="111" t="str">
        <f t="array" ref="AS180">IFERROR(INDEX($AP$10:$AP$258, MATCH(0, IF(TRUE=$AN$10:$AN$258, COUNTIF($AS$9:$AS179, $AP$10:$AP$258), ""), 0)),"")</f>
        <v/>
      </c>
      <c r="AT180" s="903" t="str">
        <f>IF(AND(OR(AD180="Yes",AD180="Pending"),Q180='G-7 WaterC'' Data'!$G$4),U180-AA180-Z180,"0")</f>
        <v>0</v>
      </c>
      <c r="AU180" s="30" t="str">
        <f>IF(D180="","",VLOOKUP(D180,'G-7 WaterC'' Data'!B$4:M$8,12,FALSE))</f>
        <v/>
      </c>
      <c r="AV180" s="30" t="str">
        <f t="shared" si="24"/>
        <v/>
      </c>
      <c r="AW180" s="30" t="str">
        <f t="shared" si="34"/>
        <v>No</v>
      </c>
      <c r="BA180" s="571" t="str">
        <f t="shared" si="35"/>
        <v/>
      </c>
    </row>
    <row r="181" spans="3:53" ht="14.4" thickBot="1" x14ac:dyDescent="0.3">
      <c r="C181" s="101">
        <v>172</v>
      </c>
      <c r="D181" s="269"/>
      <c r="E181" s="108"/>
      <c r="F181" s="281" t="str">
        <f>IF(D181="","",VLOOKUP(D181,'G-7 WaterC'' Data'!$B$2:$G$8,2,FALSE))</f>
        <v/>
      </c>
      <c r="G181" s="320" t="str">
        <f>IFERROR(VLOOKUP(F181,'G-7 WaterC'' Data'!$C$4:$D$8,2,FALSE),"")</f>
        <v/>
      </c>
      <c r="H181" s="109"/>
      <c r="I181" s="305" t="str">
        <f>IFERROR(INDEX('G-7 WaterC'' Data'!$H$4:$L$8,MATCH(D181,'G-7 WaterC'' Data'!$B$4:$B$8,0),MATCH(H181,'G-7 WaterC'' Data'!$H$3:$L$3,0)),"")</f>
        <v/>
      </c>
      <c r="J181" s="718"/>
      <c r="K181" s="301" t="str">
        <f>IF(J181="","",IF(VLOOKUP(J181,'G-7 WaterC'' Data'!$AK$4:$AM$9,2,FALSE)=0,"Spatial Data Missing ⚠",VLOOKUP(J181,'G-7 WaterC'' Data'!$AK$4:$AM$6,2,FALSE)))</f>
        <v/>
      </c>
      <c r="L181" s="305" t="str">
        <f>IF(J181="","",IF(VLOOKUP(J181,'G-7 WaterC'' Data'!$AK$4:$AM$9,3,FALSE)=0,"Spatial Data Missing ⚠",VLOOKUP(J181,'G-7 WaterC'' Data'!$AK$4:$AM$6,3,FALSE)))</f>
        <v/>
      </c>
      <c r="M181" s="106"/>
      <c r="N181" s="282" t="str">
        <f>IF(M181="","",IF(AND(M181="N/A - Culvert",D181&lt;&gt;"Culvert"),"Not possible ▲",IF(AND(D181="Culvert",M181&lt;&gt;"N/A - Culvert"),"Not possible ▲",IF(VLOOKUP(M181,'G-7 WaterC'' Data'!$AA$4:$AB$7,2,FALSE)=0,"Spatial Data Missing ⚠",VLOOKUP(M181,'G-7 WaterC'' Data'!$AA$4:$AB$7,2,FALSE)))))</f>
        <v/>
      </c>
      <c r="O181" s="56"/>
      <c r="P181" s="282" t="str">
        <f>IF(O181="","",IF(AND(O181="N/A - Culvert",D181&lt;&gt;"Culvert"),"Not possible ▲",IF(AND(D181="Culvert",O181&lt;&gt;"N/A - Culvert"),"Not possible ▲",IF(VLOOKUP(O181,'G-7 WaterC'' Data'!$AD$4:$AE$14,2,FALSE)=0,"Spatial Data Missing ⚠",VLOOKUP(O181,'G-7 WaterC'' Data'!$AD$4:$AE$14,2,FALSE)))))</f>
        <v/>
      </c>
      <c r="Q181" s="288" t="str">
        <f>IF(D181="","",VLOOKUP(D181,'G-7 WaterC'' Data'!$B$4:$G$8,6,FALSE))</f>
        <v/>
      </c>
      <c r="R181" s="295" t="str">
        <f t="shared" si="25"/>
        <v xml:space="preserve"> </v>
      </c>
      <c r="S181" s="403"/>
      <c r="T181" s="287" t="str">
        <f>IF(S181="","",IF(VLOOKUP(S181,'G-7 WaterC'' Data'!$AO$4:$BO$7,2,FALSE)=0,"Spatial Data Missing ⚠",VLOOKUP(S181,'G-7 WaterC'' Data'!$AO$4:$BO$7,2,FALSE)))</f>
        <v/>
      </c>
      <c r="U181" s="295" t="str">
        <f t="shared" si="26"/>
        <v xml:space="preserve"> </v>
      </c>
      <c r="V181" s="710" t="str">
        <f t="shared" si="27"/>
        <v/>
      </c>
      <c r="W181" s="32"/>
      <c r="X181" s="105"/>
      <c r="Y181" s="112"/>
      <c r="Z181" s="293" t="str">
        <f t="shared" si="28"/>
        <v/>
      </c>
      <c r="AA181" s="293" t="str">
        <f t="shared" si="29"/>
        <v/>
      </c>
      <c r="AB181" s="293" t="str">
        <f t="shared" si="30"/>
        <v/>
      </c>
      <c r="AC181" s="507" t="str">
        <f>IFERROR(IF(OR(E181="",R181=""),"", IF(AND(AB181&lt;&gt;"",S181=""), "Spatial risk category missing ▲", IF(AND(Q181='G-7 WaterC'' Data'!$G$4,AD181="Yes"),"Alternative Compensation ✓", IF(AND(AD181="Pending", Q181='G-7 WaterC'' Data'!$G$4),"Bespoke compensation must be agreed ▲", IF((Z181+AA181)&gt;=U181,0, U181-Z181-AA181))))),"Check Data ⚠")</f>
        <v/>
      </c>
      <c r="AD181" s="403"/>
      <c r="AE181" s="109"/>
      <c r="AF181" s="108"/>
      <c r="AG181" s="108"/>
      <c r="AH181" s="108"/>
      <c r="AI181" s="54" t="str">
        <f>IF(OR(Q181="",AD181="Yes"),"",IF(Q181='G-1 All Habitats'!$X$9,E181-Y181-X181,"None"))</f>
        <v/>
      </c>
      <c r="AJ181" s="55" t="str">
        <f>IF(Q181="","", IF(Q181='G-1 All Habitats'!$X$9, AI181*G181*I181*L181*N181*P181,"None"))</f>
        <v/>
      </c>
      <c r="AK181" s="30" t="str">
        <f>IFERROR(INDEX('G-7 WaterC'' Data'!$AZ$3:$AZ$7,MATCH(D181,'G-7 WaterC'' Data'!$AY$3:$AY$7,0)),"")</f>
        <v/>
      </c>
      <c r="AL181" s="30">
        <f t="shared" si="31"/>
        <v>0</v>
      </c>
      <c r="AM181" s="111" t="str">
        <f t="shared" si="32"/>
        <v/>
      </c>
      <c r="AN181" s="111" t="str">
        <f t="shared" si="33"/>
        <v/>
      </c>
      <c r="AP181" s="111">
        <v>172</v>
      </c>
      <c r="AR181" s="111" t="str">
        <f t="array" ref="AR181">IFERROR(INDEX($AP$10:$AP$258, MATCH(0, IF(TRUE=$AM$10:$AM$258, COUNTIF($AR$9:$AR180, $AP$10:$AP$258), ""), 0)),"")</f>
        <v/>
      </c>
      <c r="AS181" s="111" t="str">
        <f t="array" ref="AS181">IFERROR(INDEX($AP$10:$AP$258, MATCH(0, IF(TRUE=$AN$10:$AN$258, COUNTIF($AS$9:$AS180, $AP$10:$AP$258), ""), 0)),"")</f>
        <v/>
      </c>
      <c r="AT181" s="903" t="str">
        <f>IF(AND(OR(AD181="Yes",AD181="Pending"),Q181='G-7 WaterC'' Data'!$G$4),U181-AA181-Z181,"0")</f>
        <v>0</v>
      </c>
      <c r="AU181" s="30" t="str">
        <f>IF(D181="","",VLOOKUP(D181,'G-7 WaterC'' Data'!B$4:M$8,12,FALSE))</f>
        <v/>
      </c>
      <c r="AV181" s="30" t="str">
        <f t="shared" si="24"/>
        <v/>
      </c>
      <c r="AW181" s="30" t="str">
        <f t="shared" si="34"/>
        <v>No</v>
      </c>
      <c r="BA181" s="571" t="str">
        <f t="shared" si="35"/>
        <v/>
      </c>
    </row>
    <row r="182" spans="3:53" ht="14.4" thickBot="1" x14ac:dyDescent="0.3">
      <c r="C182" s="101">
        <v>173</v>
      </c>
      <c r="D182" s="269"/>
      <c r="E182" s="108"/>
      <c r="F182" s="281" t="str">
        <f>IF(D182="","",VLOOKUP(D182,'G-7 WaterC'' Data'!$B$2:$G$8,2,FALSE))</f>
        <v/>
      </c>
      <c r="G182" s="320" t="str">
        <f>IFERROR(VLOOKUP(F182,'G-7 WaterC'' Data'!$C$4:$D$8,2,FALSE),"")</f>
        <v/>
      </c>
      <c r="H182" s="109"/>
      <c r="I182" s="305" t="str">
        <f>IFERROR(INDEX('G-7 WaterC'' Data'!$H$4:$L$8,MATCH(D182,'G-7 WaterC'' Data'!$B$4:$B$8,0),MATCH(H182,'G-7 WaterC'' Data'!$H$3:$L$3,0)),"")</f>
        <v/>
      </c>
      <c r="J182" s="718"/>
      <c r="K182" s="301" t="str">
        <f>IF(J182="","",IF(VLOOKUP(J182,'G-7 WaterC'' Data'!$AK$4:$AM$9,2,FALSE)=0,"Spatial Data Missing ⚠",VLOOKUP(J182,'G-7 WaterC'' Data'!$AK$4:$AM$6,2,FALSE)))</f>
        <v/>
      </c>
      <c r="L182" s="305" t="str">
        <f>IF(J182="","",IF(VLOOKUP(J182,'G-7 WaterC'' Data'!$AK$4:$AM$9,3,FALSE)=0,"Spatial Data Missing ⚠",VLOOKUP(J182,'G-7 WaterC'' Data'!$AK$4:$AM$6,3,FALSE)))</f>
        <v/>
      </c>
      <c r="M182" s="106"/>
      <c r="N182" s="282" t="str">
        <f>IF(M182="","",IF(AND(M182="N/A - Culvert",D182&lt;&gt;"Culvert"),"Not possible ▲",IF(AND(D182="Culvert",M182&lt;&gt;"N/A - Culvert"),"Not possible ▲",IF(VLOOKUP(M182,'G-7 WaterC'' Data'!$AA$4:$AB$7,2,FALSE)=0,"Spatial Data Missing ⚠",VLOOKUP(M182,'G-7 WaterC'' Data'!$AA$4:$AB$7,2,FALSE)))))</f>
        <v/>
      </c>
      <c r="O182" s="56"/>
      <c r="P182" s="282" t="str">
        <f>IF(O182="","",IF(AND(O182="N/A - Culvert",D182&lt;&gt;"Culvert"),"Not possible ▲",IF(AND(D182="Culvert",O182&lt;&gt;"N/A - Culvert"),"Not possible ▲",IF(VLOOKUP(O182,'G-7 WaterC'' Data'!$AD$4:$AE$14,2,FALSE)=0,"Spatial Data Missing ⚠",VLOOKUP(O182,'G-7 WaterC'' Data'!$AD$4:$AE$14,2,FALSE)))))</f>
        <v/>
      </c>
      <c r="Q182" s="288" t="str">
        <f>IF(D182="","",VLOOKUP(D182,'G-7 WaterC'' Data'!$B$4:$G$8,6,FALSE))</f>
        <v/>
      </c>
      <c r="R182" s="295" t="str">
        <f t="shared" si="25"/>
        <v xml:space="preserve"> </v>
      </c>
      <c r="S182" s="403"/>
      <c r="T182" s="287" t="str">
        <f>IF(S182="","",IF(VLOOKUP(S182,'G-7 WaterC'' Data'!$AO$4:$BO$7,2,FALSE)=0,"Spatial Data Missing ⚠",VLOOKUP(S182,'G-7 WaterC'' Data'!$AO$4:$BO$7,2,FALSE)))</f>
        <v/>
      </c>
      <c r="U182" s="295" t="str">
        <f t="shared" si="26"/>
        <v xml:space="preserve"> </v>
      </c>
      <c r="V182" s="710" t="str">
        <f t="shared" si="27"/>
        <v/>
      </c>
      <c r="W182" s="32"/>
      <c r="X182" s="105"/>
      <c r="Y182" s="112"/>
      <c r="Z182" s="293" t="str">
        <f t="shared" si="28"/>
        <v/>
      </c>
      <c r="AA182" s="293" t="str">
        <f t="shared" si="29"/>
        <v/>
      </c>
      <c r="AB182" s="293" t="str">
        <f t="shared" si="30"/>
        <v/>
      </c>
      <c r="AC182" s="507" t="str">
        <f>IFERROR(IF(OR(E182="",R182=""),"", IF(AND(AB182&lt;&gt;"",S182=""), "Spatial risk category missing ▲", IF(AND(Q182='G-7 WaterC'' Data'!$G$4,AD182="Yes"),"Alternative Compensation ✓", IF(AND(AD182="Pending", Q182='G-7 WaterC'' Data'!$G$4),"Bespoke compensation must be agreed ▲", IF((Z182+AA182)&gt;=U182,0, U182-Z182-AA182))))),"Check Data ⚠")</f>
        <v/>
      </c>
      <c r="AD182" s="403"/>
      <c r="AE182" s="109"/>
      <c r="AF182" s="108"/>
      <c r="AG182" s="108"/>
      <c r="AH182" s="108"/>
      <c r="AI182" s="54" t="str">
        <f>IF(OR(Q182="",AD182="Yes"),"",IF(Q182='G-1 All Habitats'!$X$9,E182-Y182-X182,"None"))</f>
        <v/>
      </c>
      <c r="AJ182" s="55" t="str">
        <f>IF(Q182="","", IF(Q182='G-1 All Habitats'!$X$9, AI182*G182*I182*L182*N182*P182,"None"))</f>
        <v/>
      </c>
      <c r="AK182" s="30" t="str">
        <f>IFERROR(INDEX('G-7 WaterC'' Data'!$AZ$3:$AZ$7,MATCH(D182,'G-7 WaterC'' Data'!$AY$3:$AY$7,0)),"")</f>
        <v/>
      </c>
      <c r="AL182" s="30">
        <f t="shared" si="31"/>
        <v>0</v>
      </c>
      <c r="AM182" s="111" t="str">
        <f t="shared" si="32"/>
        <v/>
      </c>
      <c r="AN182" s="111" t="str">
        <f t="shared" si="33"/>
        <v/>
      </c>
      <c r="AP182" s="111">
        <v>173</v>
      </c>
      <c r="AR182" s="111" t="str">
        <f t="array" ref="AR182">IFERROR(INDEX($AP$10:$AP$258, MATCH(0, IF(TRUE=$AM$10:$AM$258, COUNTIF($AR$9:$AR181, $AP$10:$AP$258), ""), 0)),"")</f>
        <v/>
      </c>
      <c r="AS182" s="111" t="str">
        <f t="array" ref="AS182">IFERROR(INDEX($AP$10:$AP$258, MATCH(0, IF(TRUE=$AN$10:$AN$258, COUNTIF($AS$9:$AS181, $AP$10:$AP$258), ""), 0)),"")</f>
        <v/>
      </c>
      <c r="AT182" s="903" t="str">
        <f>IF(AND(OR(AD182="Yes",AD182="Pending"),Q182='G-7 WaterC'' Data'!$G$4),U182-AA182-Z182,"0")</f>
        <v>0</v>
      </c>
      <c r="AU182" s="30" t="str">
        <f>IF(D182="","",VLOOKUP(D182,'G-7 WaterC'' Data'!B$4:M$8,12,FALSE))</f>
        <v/>
      </c>
      <c r="AV182" s="30" t="str">
        <f t="shared" si="24"/>
        <v/>
      </c>
      <c r="AW182" s="30" t="str">
        <f t="shared" si="34"/>
        <v>No</v>
      </c>
      <c r="BA182" s="571" t="str">
        <f t="shared" si="35"/>
        <v/>
      </c>
    </row>
    <row r="183" spans="3:53" ht="14.4" thickBot="1" x14ac:dyDescent="0.3">
      <c r="C183" s="101">
        <v>174</v>
      </c>
      <c r="D183" s="269"/>
      <c r="E183" s="108"/>
      <c r="F183" s="281" t="str">
        <f>IF(D183="","",VLOOKUP(D183,'G-7 WaterC'' Data'!$B$2:$G$8,2,FALSE))</f>
        <v/>
      </c>
      <c r="G183" s="320" t="str">
        <f>IFERROR(VLOOKUP(F183,'G-7 WaterC'' Data'!$C$4:$D$8,2,FALSE),"")</f>
        <v/>
      </c>
      <c r="H183" s="109"/>
      <c r="I183" s="305" t="str">
        <f>IFERROR(INDEX('G-7 WaterC'' Data'!$H$4:$L$8,MATCH(D183,'G-7 WaterC'' Data'!$B$4:$B$8,0),MATCH(H183,'G-7 WaterC'' Data'!$H$3:$L$3,0)),"")</f>
        <v/>
      </c>
      <c r="J183" s="718"/>
      <c r="K183" s="301" t="str">
        <f>IF(J183="","",IF(VLOOKUP(J183,'G-7 WaterC'' Data'!$AK$4:$AM$9,2,FALSE)=0,"Spatial Data Missing ⚠",VLOOKUP(J183,'G-7 WaterC'' Data'!$AK$4:$AM$6,2,FALSE)))</f>
        <v/>
      </c>
      <c r="L183" s="305" t="str">
        <f>IF(J183="","",IF(VLOOKUP(J183,'G-7 WaterC'' Data'!$AK$4:$AM$9,3,FALSE)=0,"Spatial Data Missing ⚠",VLOOKUP(J183,'G-7 WaterC'' Data'!$AK$4:$AM$6,3,FALSE)))</f>
        <v/>
      </c>
      <c r="M183" s="106"/>
      <c r="N183" s="282" t="str">
        <f>IF(M183="","",IF(AND(M183="N/A - Culvert",D183&lt;&gt;"Culvert"),"Not possible ▲",IF(AND(D183="Culvert",M183&lt;&gt;"N/A - Culvert"),"Not possible ▲",IF(VLOOKUP(M183,'G-7 WaterC'' Data'!$AA$4:$AB$7,2,FALSE)=0,"Spatial Data Missing ⚠",VLOOKUP(M183,'G-7 WaterC'' Data'!$AA$4:$AB$7,2,FALSE)))))</f>
        <v/>
      </c>
      <c r="O183" s="56"/>
      <c r="P183" s="282" t="str">
        <f>IF(O183="","",IF(AND(O183="N/A - Culvert",D183&lt;&gt;"Culvert"),"Not possible ▲",IF(AND(D183="Culvert",O183&lt;&gt;"N/A - Culvert"),"Not possible ▲",IF(VLOOKUP(O183,'G-7 WaterC'' Data'!$AD$4:$AE$14,2,FALSE)=0,"Spatial Data Missing ⚠",VLOOKUP(O183,'G-7 WaterC'' Data'!$AD$4:$AE$14,2,FALSE)))))</f>
        <v/>
      </c>
      <c r="Q183" s="288" t="str">
        <f>IF(D183="","",VLOOKUP(D183,'G-7 WaterC'' Data'!$B$4:$G$8,6,FALSE))</f>
        <v/>
      </c>
      <c r="R183" s="295" t="str">
        <f t="shared" si="25"/>
        <v xml:space="preserve"> </v>
      </c>
      <c r="S183" s="403"/>
      <c r="T183" s="287" t="str">
        <f>IF(S183="","",IF(VLOOKUP(S183,'G-7 WaterC'' Data'!$AO$4:$BO$7,2,FALSE)=0,"Spatial Data Missing ⚠",VLOOKUP(S183,'G-7 WaterC'' Data'!$AO$4:$BO$7,2,FALSE)))</f>
        <v/>
      </c>
      <c r="U183" s="295" t="str">
        <f t="shared" si="26"/>
        <v xml:space="preserve"> </v>
      </c>
      <c r="V183" s="710" t="str">
        <f t="shared" si="27"/>
        <v/>
      </c>
      <c r="W183" s="32"/>
      <c r="X183" s="105"/>
      <c r="Y183" s="112"/>
      <c r="Z183" s="293" t="str">
        <f t="shared" si="28"/>
        <v/>
      </c>
      <c r="AA183" s="293" t="str">
        <f t="shared" si="29"/>
        <v/>
      </c>
      <c r="AB183" s="293" t="str">
        <f t="shared" si="30"/>
        <v/>
      </c>
      <c r="AC183" s="507" t="str">
        <f>IFERROR(IF(OR(E183="",R183=""),"", IF(AND(AB183&lt;&gt;"",S183=""), "Spatial risk category missing ▲", IF(AND(Q183='G-7 WaterC'' Data'!$G$4,AD183="Yes"),"Alternative Compensation ✓", IF(AND(AD183="Pending", Q183='G-7 WaterC'' Data'!$G$4),"Bespoke compensation must be agreed ▲", IF((Z183+AA183)&gt;=U183,0, U183-Z183-AA183))))),"Check Data ⚠")</f>
        <v/>
      </c>
      <c r="AD183" s="403"/>
      <c r="AE183" s="109"/>
      <c r="AF183" s="108"/>
      <c r="AG183" s="108"/>
      <c r="AH183" s="108"/>
      <c r="AI183" s="54" t="str">
        <f>IF(OR(Q183="",AD183="Yes"),"",IF(Q183='G-1 All Habitats'!$X$9,E183-Y183-X183,"None"))</f>
        <v/>
      </c>
      <c r="AJ183" s="55" t="str">
        <f>IF(Q183="","", IF(Q183='G-1 All Habitats'!$X$9, AI183*G183*I183*L183*N183*P183,"None"))</f>
        <v/>
      </c>
      <c r="AK183" s="30" t="str">
        <f>IFERROR(INDEX('G-7 WaterC'' Data'!$AZ$3:$AZ$7,MATCH(D183,'G-7 WaterC'' Data'!$AY$3:$AY$7,0)),"")</f>
        <v/>
      </c>
      <c r="AL183" s="30">
        <f t="shared" si="31"/>
        <v>0</v>
      </c>
      <c r="AM183" s="111" t="str">
        <f t="shared" si="32"/>
        <v/>
      </c>
      <c r="AN183" s="111" t="str">
        <f t="shared" si="33"/>
        <v/>
      </c>
      <c r="AP183" s="111">
        <v>174</v>
      </c>
      <c r="AR183" s="111" t="str">
        <f t="array" ref="AR183">IFERROR(INDEX($AP$10:$AP$258, MATCH(0, IF(TRUE=$AM$10:$AM$258, COUNTIF($AR$9:$AR182, $AP$10:$AP$258), ""), 0)),"")</f>
        <v/>
      </c>
      <c r="AS183" s="111" t="str">
        <f t="array" ref="AS183">IFERROR(INDEX($AP$10:$AP$258, MATCH(0, IF(TRUE=$AN$10:$AN$258, COUNTIF($AS$9:$AS182, $AP$10:$AP$258), ""), 0)),"")</f>
        <v/>
      </c>
      <c r="AT183" s="903" t="str">
        <f>IF(AND(OR(AD183="Yes",AD183="Pending"),Q183='G-7 WaterC'' Data'!$G$4),U183-AA183-Z183,"0")</f>
        <v>0</v>
      </c>
      <c r="AU183" s="30" t="str">
        <f>IF(D183="","",VLOOKUP(D183,'G-7 WaterC'' Data'!B$4:M$8,12,FALSE))</f>
        <v/>
      </c>
      <c r="AV183" s="30" t="str">
        <f t="shared" si="24"/>
        <v/>
      </c>
      <c r="AW183" s="30" t="str">
        <f t="shared" si="34"/>
        <v>No</v>
      </c>
      <c r="BA183" s="571" t="str">
        <f t="shared" si="35"/>
        <v/>
      </c>
    </row>
    <row r="184" spans="3:53" ht="14.4" thickBot="1" x14ac:dyDescent="0.3">
      <c r="C184" s="101">
        <v>175</v>
      </c>
      <c r="D184" s="269"/>
      <c r="E184" s="108"/>
      <c r="F184" s="281" t="str">
        <f>IF(D184="","",VLOOKUP(D184,'G-7 WaterC'' Data'!$B$2:$G$8,2,FALSE))</f>
        <v/>
      </c>
      <c r="G184" s="320" t="str">
        <f>IFERROR(VLOOKUP(F184,'G-7 WaterC'' Data'!$C$4:$D$8,2,FALSE),"")</f>
        <v/>
      </c>
      <c r="H184" s="109"/>
      <c r="I184" s="305" t="str">
        <f>IFERROR(INDEX('G-7 WaterC'' Data'!$H$4:$L$8,MATCH(D184,'G-7 WaterC'' Data'!$B$4:$B$8,0),MATCH(H184,'G-7 WaterC'' Data'!$H$3:$L$3,0)),"")</f>
        <v/>
      </c>
      <c r="J184" s="718"/>
      <c r="K184" s="301" t="str">
        <f>IF(J184="","",IF(VLOOKUP(J184,'G-7 WaterC'' Data'!$AK$4:$AM$9,2,FALSE)=0,"Spatial Data Missing ⚠",VLOOKUP(J184,'G-7 WaterC'' Data'!$AK$4:$AM$6,2,FALSE)))</f>
        <v/>
      </c>
      <c r="L184" s="305" t="str">
        <f>IF(J184="","",IF(VLOOKUP(J184,'G-7 WaterC'' Data'!$AK$4:$AM$9,3,FALSE)=0,"Spatial Data Missing ⚠",VLOOKUP(J184,'G-7 WaterC'' Data'!$AK$4:$AM$6,3,FALSE)))</f>
        <v/>
      </c>
      <c r="M184" s="106"/>
      <c r="N184" s="282" t="str">
        <f>IF(M184="","",IF(AND(M184="N/A - Culvert",D184&lt;&gt;"Culvert"),"Not possible ▲",IF(AND(D184="Culvert",M184&lt;&gt;"N/A - Culvert"),"Not possible ▲",IF(VLOOKUP(M184,'G-7 WaterC'' Data'!$AA$4:$AB$7,2,FALSE)=0,"Spatial Data Missing ⚠",VLOOKUP(M184,'G-7 WaterC'' Data'!$AA$4:$AB$7,2,FALSE)))))</f>
        <v/>
      </c>
      <c r="O184" s="56"/>
      <c r="P184" s="282" t="str">
        <f>IF(O184="","",IF(AND(O184="N/A - Culvert",D184&lt;&gt;"Culvert"),"Not possible ▲",IF(AND(D184="Culvert",O184&lt;&gt;"N/A - Culvert"),"Not possible ▲",IF(VLOOKUP(O184,'G-7 WaterC'' Data'!$AD$4:$AE$14,2,FALSE)=0,"Spatial Data Missing ⚠",VLOOKUP(O184,'G-7 WaterC'' Data'!$AD$4:$AE$14,2,FALSE)))))</f>
        <v/>
      </c>
      <c r="Q184" s="288" t="str">
        <f>IF(D184="","",VLOOKUP(D184,'G-7 WaterC'' Data'!$B$4:$G$8,6,FALSE))</f>
        <v/>
      </c>
      <c r="R184" s="295" t="str">
        <f t="shared" si="25"/>
        <v xml:space="preserve"> </v>
      </c>
      <c r="S184" s="403"/>
      <c r="T184" s="287" t="str">
        <f>IF(S184="","",IF(VLOOKUP(S184,'G-7 WaterC'' Data'!$AO$4:$BO$7,2,FALSE)=0,"Spatial Data Missing ⚠",VLOOKUP(S184,'G-7 WaterC'' Data'!$AO$4:$BO$7,2,FALSE)))</f>
        <v/>
      </c>
      <c r="U184" s="295" t="str">
        <f t="shared" si="26"/>
        <v xml:space="preserve"> </v>
      </c>
      <c r="V184" s="710" t="str">
        <f t="shared" si="27"/>
        <v/>
      </c>
      <c r="W184" s="32"/>
      <c r="X184" s="105"/>
      <c r="Y184" s="112"/>
      <c r="Z184" s="293" t="str">
        <f t="shared" si="28"/>
        <v/>
      </c>
      <c r="AA184" s="293" t="str">
        <f t="shared" si="29"/>
        <v/>
      </c>
      <c r="AB184" s="293" t="str">
        <f t="shared" si="30"/>
        <v/>
      </c>
      <c r="AC184" s="507" t="str">
        <f>IFERROR(IF(OR(E184="",R184=""),"", IF(AND(AB184&lt;&gt;"",S184=""), "Spatial risk category missing ▲", IF(AND(Q184='G-7 WaterC'' Data'!$G$4,AD184="Yes"),"Alternative Compensation ✓", IF(AND(AD184="Pending", Q184='G-7 WaterC'' Data'!$G$4),"Bespoke compensation must be agreed ▲", IF((Z184+AA184)&gt;=U184,0, U184-Z184-AA184))))),"Check Data ⚠")</f>
        <v/>
      </c>
      <c r="AD184" s="403"/>
      <c r="AE184" s="109"/>
      <c r="AF184" s="108"/>
      <c r="AG184" s="108"/>
      <c r="AH184" s="108"/>
      <c r="AI184" s="54" t="str">
        <f>IF(OR(Q184="",AD184="Yes"),"",IF(Q184='G-1 All Habitats'!$X$9,E184-Y184-X184,"None"))</f>
        <v/>
      </c>
      <c r="AJ184" s="55" t="str">
        <f>IF(Q184="","", IF(Q184='G-1 All Habitats'!$X$9, AI184*G184*I184*L184*N184*P184,"None"))</f>
        <v/>
      </c>
      <c r="AK184" s="30" t="str">
        <f>IFERROR(INDEX('G-7 WaterC'' Data'!$AZ$3:$AZ$7,MATCH(D184,'G-7 WaterC'' Data'!$AY$3:$AY$7,0)),"")</f>
        <v/>
      </c>
      <c r="AL184" s="30">
        <f t="shared" si="31"/>
        <v>0</v>
      </c>
      <c r="AM184" s="111" t="str">
        <f t="shared" si="32"/>
        <v/>
      </c>
      <c r="AN184" s="111" t="str">
        <f t="shared" si="33"/>
        <v/>
      </c>
      <c r="AP184" s="111">
        <v>175</v>
      </c>
      <c r="AR184" s="111" t="str">
        <f t="array" ref="AR184">IFERROR(INDEX($AP$10:$AP$258, MATCH(0, IF(TRUE=$AM$10:$AM$258, COUNTIF($AR$9:$AR183, $AP$10:$AP$258), ""), 0)),"")</f>
        <v/>
      </c>
      <c r="AS184" s="111" t="str">
        <f t="array" ref="AS184">IFERROR(INDEX($AP$10:$AP$258, MATCH(0, IF(TRUE=$AN$10:$AN$258, COUNTIF($AS$9:$AS183, $AP$10:$AP$258), ""), 0)),"")</f>
        <v/>
      </c>
      <c r="AT184" s="903" t="str">
        <f>IF(AND(OR(AD184="Yes",AD184="Pending"),Q184='G-7 WaterC'' Data'!$G$4),U184-AA184-Z184,"0")</f>
        <v>0</v>
      </c>
      <c r="AU184" s="30" t="str">
        <f>IF(D184="","",VLOOKUP(D184,'G-7 WaterC'' Data'!B$4:M$8,12,FALSE))</f>
        <v/>
      </c>
      <c r="AV184" s="30" t="str">
        <f t="shared" si="24"/>
        <v/>
      </c>
      <c r="AW184" s="30" t="str">
        <f t="shared" si="34"/>
        <v>No</v>
      </c>
      <c r="BA184" s="571" t="str">
        <f t="shared" si="35"/>
        <v/>
      </c>
    </row>
    <row r="185" spans="3:53" ht="14.4" thickBot="1" x14ac:dyDescent="0.3">
      <c r="C185" s="101">
        <v>176</v>
      </c>
      <c r="D185" s="269"/>
      <c r="E185" s="108"/>
      <c r="F185" s="281" t="str">
        <f>IF(D185="","",VLOOKUP(D185,'G-7 WaterC'' Data'!$B$2:$G$8,2,FALSE))</f>
        <v/>
      </c>
      <c r="G185" s="320" t="str">
        <f>IFERROR(VLOOKUP(F185,'G-7 WaterC'' Data'!$C$4:$D$8,2,FALSE),"")</f>
        <v/>
      </c>
      <c r="H185" s="109"/>
      <c r="I185" s="305" t="str">
        <f>IFERROR(INDEX('G-7 WaterC'' Data'!$H$4:$L$8,MATCH(D185,'G-7 WaterC'' Data'!$B$4:$B$8,0),MATCH(H185,'G-7 WaterC'' Data'!$H$3:$L$3,0)),"")</f>
        <v/>
      </c>
      <c r="J185" s="718"/>
      <c r="K185" s="301" t="str">
        <f>IF(J185="","",IF(VLOOKUP(J185,'G-7 WaterC'' Data'!$AK$4:$AM$9,2,FALSE)=0,"Spatial Data Missing ⚠",VLOOKUP(J185,'G-7 WaterC'' Data'!$AK$4:$AM$6,2,FALSE)))</f>
        <v/>
      </c>
      <c r="L185" s="305" t="str">
        <f>IF(J185="","",IF(VLOOKUP(J185,'G-7 WaterC'' Data'!$AK$4:$AM$9,3,FALSE)=0,"Spatial Data Missing ⚠",VLOOKUP(J185,'G-7 WaterC'' Data'!$AK$4:$AM$6,3,FALSE)))</f>
        <v/>
      </c>
      <c r="M185" s="106"/>
      <c r="N185" s="282" t="str">
        <f>IF(M185="","",IF(AND(M185="N/A - Culvert",D185&lt;&gt;"Culvert"),"Not possible ▲",IF(AND(D185="Culvert",M185&lt;&gt;"N/A - Culvert"),"Not possible ▲",IF(VLOOKUP(M185,'G-7 WaterC'' Data'!$AA$4:$AB$7,2,FALSE)=0,"Spatial Data Missing ⚠",VLOOKUP(M185,'G-7 WaterC'' Data'!$AA$4:$AB$7,2,FALSE)))))</f>
        <v/>
      </c>
      <c r="O185" s="56"/>
      <c r="P185" s="282" t="str">
        <f>IF(O185="","",IF(AND(O185="N/A - Culvert",D185&lt;&gt;"Culvert"),"Not possible ▲",IF(AND(D185="Culvert",O185&lt;&gt;"N/A - Culvert"),"Not possible ▲",IF(VLOOKUP(O185,'G-7 WaterC'' Data'!$AD$4:$AE$14,2,FALSE)=0,"Spatial Data Missing ⚠",VLOOKUP(O185,'G-7 WaterC'' Data'!$AD$4:$AE$14,2,FALSE)))))</f>
        <v/>
      </c>
      <c r="Q185" s="288" t="str">
        <f>IF(D185="","",VLOOKUP(D185,'G-7 WaterC'' Data'!$B$4:$G$8,6,FALSE))</f>
        <v/>
      </c>
      <c r="R185" s="295" t="str">
        <f t="shared" si="25"/>
        <v xml:space="preserve"> </v>
      </c>
      <c r="S185" s="403"/>
      <c r="T185" s="287" t="str">
        <f>IF(S185="","",IF(VLOOKUP(S185,'G-7 WaterC'' Data'!$AO$4:$BO$7,2,FALSE)=0,"Spatial Data Missing ⚠",VLOOKUP(S185,'G-7 WaterC'' Data'!$AO$4:$BO$7,2,FALSE)))</f>
        <v/>
      </c>
      <c r="U185" s="295" t="str">
        <f t="shared" si="26"/>
        <v xml:space="preserve"> </v>
      </c>
      <c r="V185" s="710" t="str">
        <f t="shared" si="27"/>
        <v/>
      </c>
      <c r="W185" s="32"/>
      <c r="X185" s="105"/>
      <c r="Y185" s="112"/>
      <c r="Z185" s="293" t="str">
        <f t="shared" si="28"/>
        <v/>
      </c>
      <c r="AA185" s="293" t="str">
        <f t="shared" si="29"/>
        <v/>
      </c>
      <c r="AB185" s="293" t="str">
        <f t="shared" si="30"/>
        <v/>
      </c>
      <c r="AC185" s="507" t="str">
        <f>IFERROR(IF(OR(E185="",R185=""),"", IF(AND(AB185&lt;&gt;"",S185=""), "Spatial risk category missing ▲", IF(AND(Q185='G-7 WaterC'' Data'!$G$4,AD185="Yes"),"Alternative Compensation ✓", IF(AND(AD185="Pending", Q185='G-7 WaterC'' Data'!$G$4),"Bespoke compensation must be agreed ▲", IF((Z185+AA185)&gt;=U185,0, U185-Z185-AA185))))),"Check Data ⚠")</f>
        <v/>
      </c>
      <c r="AD185" s="403"/>
      <c r="AE185" s="109"/>
      <c r="AF185" s="108"/>
      <c r="AG185" s="108"/>
      <c r="AH185" s="108"/>
      <c r="AI185" s="54" t="str">
        <f>IF(OR(Q185="",AD185="Yes"),"",IF(Q185='G-1 All Habitats'!$X$9,E185-Y185-X185,"None"))</f>
        <v/>
      </c>
      <c r="AJ185" s="55" t="str">
        <f>IF(Q185="","", IF(Q185='G-1 All Habitats'!$X$9, AI185*G185*I185*L185*N185*P185,"None"))</f>
        <v/>
      </c>
      <c r="AK185" s="30" t="str">
        <f>IFERROR(INDEX('G-7 WaterC'' Data'!$AZ$3:$AZ$7,MATCH(D185,'G-7 WaterC'' Data'!$AY$3:$AY$7,0)),"")</f>
        <v/>
      </c>
      <c r="AL185" s="30">
        <f t="shared" si="31"/>
        <v>0</v>
      </c>
      <c r="AM185" s="111" t="str">
        <f t="shared" si="32"/>
        <v/>
      </c>
      <c r="AN185" s="111" t="str">
        <f t="shared" si="33"/>
        <v/>
      </c>
      <c r="AP185" s="111">
        <v>176</v>
      </c>
      <c r="AR185" s="111" t="str">
        <f t="array" ref="AR185">IFERROR(INDEX($AP$10:$AP$258, MATCH(0, IF(TRUE=$AM$10:$AM$258, COUNTIF($AR$9:$AR184, $AP$10:$AP$258), ""), 0)),"")</f>
        <v/>
      </c>
      <c r="AS185" s="111" t="str">
        <f t="array" ref="AS185">IFERROR(INDEX($AP$10:$AP$258, MATCH(0, IF(TRUE=$AN$10:$AN$258, COUNTIF($AS$9:$AS184, $AP$10:$AP$258), ""), 0)),"")</f>
        <v/>
      </c>
      <c r="AT185" s="903" t="str">
        <f>IF(AND(OR(AD185="Yes",AD185="Pending"),Q185='G-7 WaterC'' Data'!$G$4),U185-AA185-Z185,"0")</f>
        <v>0</v>
      </c>
      <c r="AU185" s="30" t="str">
        <f>IF(D185="","",VLOOKUP(D185,'G-7 WaterC'' Data'!B$4:M$8,12,FALSE))</f>
        <v/>
      </c>
      <c r="AV185" s="30" t="str">
        <f t="shared" si="24"/>
        <v/>
      </c>
      <c r="AW185" s="30" t="str">
        <f t="shared" si="34"/>
        <v>No</v>
      </c>
      <c r="BA185" s="571" t="str">
        <f t="shared" si="35"/>
        <v/>
      </c>
    </row>
    <row r="186" spans="3:53" ht="14.4" thickBot="1" x14ac:dyDescent="0.3">
      <c r="C186" s="101">
        <v>177</v>
      </c>
      <c r="D186" s="269"/>
      <c r="E186" s="108"/>
      <c r="F186" s="281" t="str">
        <f>IF(D186="","",VLOOKUP(D186,'G-7 WaterC'' Data'!$B$2:$G$8,2,FALSE))</f>
        <v/>
      </c>
      <c r="G186" s="320" t="str">
        <f>IFERROR(VLOOKUP(F186,'G-7 WaterC'' Data'!$C$4:$D$8,2,FALSE),"")</f>
        <v/>
      </c>
      <c r="H186" s="109"/>
      <c r="I186" s="305" t="str">
        <f>IFERROR(INDEX('G-7 WaterC'' Data'!$H$4:$L$8,MATCH(D186,'G-7 WaterC'' Data'!$B$4:$B$8,0),MATCH(H186,'G-7 WaterC'' Data'!$H$3:$L$3,0)),"")</f>
        <v/>
      </c>
      <c r="J186" s="718"/>
      <c r="K186" s="301" t="str">
        <f>IF(J186="","",IF(VLOOKUP(J186,'G-7 WaterC'' Data'!$AK$4:$AM$9,2,FALSE)=0,"Spatial Data Missing ⚠",VLOOKUP(J186,'G-7 WaterC'' Data'!$AK$4:$AM$6,2,FALSE)))</f>
        <v/>
      </c>
      <c r="L186" s="305" t="str">
        <f>IF(J186="","",IF(VLOOKUP(J186,'G-7 WaterC'' Data'!$AK$4:$AM$9,3,FALSE)=0,"Spatial Data Missing ⚠",VLOOKUP(J186,'G-7 WaterC'' Data'!$AK$4:$AM$6,3,FALSE)))</f>
        <v/>
      </c>
      <c r="M186" s="106"/>
      <c r="N186" s="282" t="str">
        <f>IF(M186="","",IF(AND(M186="N/A - Culvert",D186&lt;&gt;"Culvert"),"Not possible ▲",IF(AND(D186="Culvert",M186&lt;&gt;"N/A - Culvert"),"Not possible ▲",IF(VLOOKUP(M186,'G-7 WaterC'' Data'!$AA$4:$AB$7,2,FALSE)=0,"Spatial Data Missing ⚠",VLOOKUP(M186,'G-7 WaterC'' Data'!$AA$4:$AB$7,2,FALSE)))))</f>
        <v/>
      </c>
      <c r="O186" s="56"/>
      <c r="P186" s="282" t="str">
        <f>IF(O186="","",IF(AND(O186="N/A - Culvert",D186&lt;&gt;"Culvert"),"Not possible ▲",IF(AND(D186="Culvert",O186&lt;&gt;"N/A - Culvert"),"Not possible ▲",IF(VLOOKUP(O186,'G-7 WaterC'' Data'!$AD$4:$AE$14,2,FALSE)=0,"Spatial Data Missing ⚠",VLOOKUP(O186,'G-7 WaterC'' Data'!$AD$4:$AE$14,2,FALSE)))))</f>
        <v/>
      </c>
      <c r="Q186" s="288" t="str">
        <f>IF(D186="","",VLOOKUP(D186,'G-7 WaterC'' Data'!$B$4:$G$8,6,FALSE))</f>
        <v/>
      </c>
      <c r="R186" s="295" t="str">
        <f t="shared" si="25"/>
        <v xml:space="preserve"> </v>
      </c>
      <c r="S186" s="403"/>
      <c r="T186" s="287" t="str">
        <f>IF(S186="","",IF(VLOOKUP(S186,'G-7 WaterC'' Data'!$AO$4:$BO$7,2,FALSE)=0,"Spatial Data Missing ⚠",VLOOKUP(S186,'G-7 WaterC'' Data'!$AO$4:$BO$7,2,FALSE)))</f>
        <v/>
      </c>
      <c r="U186" s="295" t="str">
        <f t="shared" si="26"/>
        <v xml:space="preserve"> </v>
      </c>
      <c r="V186" s="710" t="str">
        <f t="shared" si="27"/>
        <v/>
      </c>
      <c r="W186" s="32"/>
      <c r="X186" s="105"/>
      <c r="Y186" s="112"/>
      <c r="Z186" s="293" t="str">
        <f t="shared" si="28"/>
        <v/>
      </c>
      <c r="AA186" s="293" t="str">
        <f t="shared" si="29"/>
        <v/>
      </c>
      <c r="AB186" s="293" t="str">
        <f t="shared" si="30"/>
        <v/>
      </c>
      <c r="AC186" s="507" t="str">
        <f>IFERROR(IF(OR(E186="",R186=""),"", IF(AND(AB186&lt;&gt;"",S186=""), "Spatial risk category missing ▲", IF(AND(Q186='G-7 WaterC'' Data'!$G$4,AD186="Yes"),"Alternative Compensation ✓", IF(AND(AD186="Pending", Q186='G-7 WaterC'' Data'!$G$4),"Bespoke compensation must be agreed ▲", IF((Z186+AA186)&gt;=U186,0, U186-Z186-AA186))))),"Check Data ⚠")</f>
        <v/>
      </c>
      <c r="AD186" s="403"/>
      <c r="AE186" s="109"/>
      <c r="AF186" s="108"/>
      <c r="AG186" s="108"/>
      <c r="AH186" s="108"/>
      <c r="AI186" s="54" t="str">
        <f>IF(OR(Q186="",AD186="Yes"),"",IF(Q186='G-1 All Habitats'!$X$9,E186-Y186-X186,"None"))</f>
        <v/>
      </c>
      <c r="AJ186" s="55" t="str">
        <f>IF(Q186="","", IF(Q186='G-1 All Habitats'!$X$9, AI186*G186*I186*L186*N186*P186,"None"))</f>
        <v/>
      </c>
      <c r="AK186" s="30" t="str">
        <f>IFERROR(INDEX('G-7 WaterC'' Data'!$AZ$3:$AZ$7,MATCH(D186,'G-7 WaterC'' Data'!$AY$3:$AY$7,0)),"")</f>
        <v/>
      </c>
      <c r="AL186" s="30">
        <f t="shared" si="31"/>
        <v>0</v>
      </c>
      <c r="AM186" s="111" t="str">
        <f t="shared" si="32"/>
        <v/>
      </c>
      <c r="AN186" s="111" t="str">
        <f t="shared" si="33"/>
        <v/>
      </c>
      <c r="AP186" s="111">
        <v>177</v>
      </c>
      <c r="AR186" s="111" t="str">
        <f t="array" ref="AR186">IFERROR(INDEX($AP$10:$AP$258, MATCH(0, IF(TRUE=$AM$10:$AM$258, COUNTIF($AR$9:$AR185, $AP$10:$AP$258), ""), 0)),"")</f>
        <v/>
      </c>
      <c r="AS186" s="111" t="str">
        <f t="array" ref="AS186">IFERROR(INDEX($AP$10:$AP$258, MATCH(0, IF(TRUE=$AN$10:$AN$258, COUNTIF($AS$9:$AS185, $AP$10:$AP$258), ""), 0)),"")</f>
        <v/>
      </c>
      <c r="AT186" s="903" t="str">
        <f>IF(AND(OR(AD186="Yes",AD186="Pending"),Q186='G-7 WaterC'' Data'!$G$4),U186-AA186-Z186,"0")</f>
        <v>0</v>
      </c>
      <c r="AU186" s="30" t="str">
        <f>IF(D186="","",VLOOKUP(D186,'G-7 WaterC'' Data'!B$4:M$8,12,FALSE))</f>
        <v/>
      </c>
      <c r="AV186" s="30" t="str">
        <f t="shared" si="24"/>
        <v/>
      </c>
      <c r="AW186" s="30" t="str">
        <f t="shared" si="34"/>
        <v>No</v>
      </c>
      <c r="BA186" s="571" t="str">
        <f t="shared" si="35"/>
        <v/>
      </c>
    </row>
    <row r="187" spans="3:53" ht="14.4" thickBot="1" x14ac:dyDescent="0.3">
      <c r="C187" s="101">
        <v>178</v>
      </c>
      <c r="D187" s="269"/>
      <c r="E187" s="108"/>
      <c r="F187" s="281" t="str">
        <f>IF(D187="","",VLOOKUP(D187,'G-7 WaterC'' Data'!$B$2:$G$8,2,FALSE))</f>
        <v/>
      </c>
      <c r="G187" s="320" t="str">
        <f>IFERROR(VLOOKUP(F187,'G-7 WaterC'' Data'!$C$4:$D$8,2,FALSE),"")</f>
        <v/>
      </c>
      <c r="H187" s="109"/>
      <c r="I187" s="305" t="str">
        <f>IFERROR(INDEX('G-7 WaterC'' Data'!$H$4:$L$8,MATCH(D187,'G-7 WaterC'' Data'!$B$4:$B$8,0),MATCH(H187,'G-7 WaterC'' Data'!$H$3:$L$3,0)),"")</f>
        <v/>
      </c>
      <c r="J187" s="718"/>
      <c r="K187" s="301" t="str">
        <f>IF(J187="","",IF(VLOOKUP(J187,'G-7 WaterC'' Data'!$AK$4:$AM$9,2,FALSE)=0,"Spatial Data Missing ⚠",VLOOKUP(J187,'G-7 WaterC'' Data'!$AK$4:$AM$6,2,FALSE)))</f>
        <v/>
      </c>
      <c r="L187" s="305" t="str">
        <f>IF(J187="","",IF(VLOOKUP(J187,'G-7 WaterC'' Data'!$AK$4:$AM$9,3,FALSE)=0,"Spatial Data Missing ⚠",VLOOKUP(J187,'G-7 WaterC'' Data'!$AK$4:$AM$6,3,FALSE)))</f>
        <v/>
      </c>
      <c r="M187" s="106"/>
      <c r="N187" s="282" t="str">
        <f>IF(M187="","",IF(AND(M187="N/A - Culvert",D187&lt;&gt;"Culvert"),"Not possible ▲",IF(AND(D187="Culvert",M187&lt;&gt;"N/A - Culvert"),"Not possible ▲",IF(VLOOKUP(M187,'G-7 WaterC'' Data'!$AA$4:$AB$7,2,FALSE)=0,"Spatial Data Missing ⚠",VLOOKUP(M187,'G-7 WaterC'' Data'!$AA$4:$AB$7,2,FALSE)))))</f>
        <v/>
      </c>
      <c r="O187" s="56"/>
      <c r="P187" s="282" t="str">
        <f>IF(O187="","",IF(AND(O187="N/A - Culvert",D187&lt;&gt;"Culvert"),"Not possible ▲",IF(AND(D187="Culvert",O187&lt;&gt;"N/A - Culvert"),"Not possible ▲",IF(VLOOKUP(O187,'G-7 WaterC'' Data'!$AD$4:$AE$14,2,FALSE)=0,"Spatial Data Missing ⚠",VLOOKUP(O187,'G-7 WaterC'' Data'!$AD$4:$AE$14,2,FALSE)))))</f>
        <v/>
      </c>
      <c r="Q187" s="288" t="str">
        <f>IF(D187="","",VLOOKUP(D187,'G-7 WaterC'' Data'!$B$4:$G$8,6,FALSE))</f>
        <v/>
      </c>
      <c r="R187" s="295" t="str">
        <f t="shared" si="25"/>
        <v xml:space="preserve"> </v>
      </c>
      <c r="S187" s="403"/>
      <c r="T187" s="287" t="str">
        <f>IF(S187="","",IF(VLOOKUP(S187,'G-7 WaterC'' Data'!$AO$4:$BO$7,2,FALSE)=0,"Spatial Data Missing ⚠",VLOOKUP(S187,'G-7 WaterC'' Data'!$AO$4:$BO$7,2,FALSE)))</f>
        <v/>
      </c>
      <c r="U187" s="295" t="str">
        <f t="shared" si="26"/>
        <v xml:space="preserve"> </v>
      </c>
      <c r="V187" s="710" t="str">
        <f t="shared" si="27"/>
        <v/>
      </c>
      <c r="W187" s="32"/>
      <c r="X187" s="105"/>
      <c r="Y187" s="112"/>
      <c r="Z187" s="293" t="str">
        <f t="shared" si="28"/>
        <v/>
      </c>
      <c r="AA187" s="293" t="str">
        <f t="shared" si="29"/>
        <v/>
      </c>
      <c r="AB187" s="293" t="str">
        <f t="shared" si="30"/>
        <v/>
      </c>
      <c r="AC187" s="507" t="str">
        <f>IFERROR(IF(OR(E187="",R187=""),"", IF(AND(AB187&lt;&gt;"",S187=""), "Spatial risk category missing ▲", IF(AND(Q187='G-7 WaterC'' Data'!$G$4,AD187="Yes"),"Alternative Compensation ✓", IF(AND(AD187="Pending", Q187='G-7 WaterC'' Data'!$G$4),"Bespoke compensation must be agreed ▲", IF((Z187+AA187)&gt;=U187,0, U187-Z187-AA187))))),"Check Data ⚠")</f>
        <v/>
      </c>
      <c r="AD187" s="403"/>
      <c r="AE187" s="109"/>
      <c r="AF187" s="108"/>
      <c r="AG187" s="108"/>
      <c r="AH187" s="108"/>
      <c r="AI187" s="54" t="str">
        <f>IF(OR(Q187="",AD187="Yes"),"",IF(Q187='G-1 All Habitats'!$X$9,E187-Y187-X187,"None"))</f>
        <v/>
      </c>
      <c r="AJ187" s="55" t="str">
        <f>IF(Q187="","", IF(Q187='G-1 All Habitats'!$X$9, AI187*G187*I187*L187*N187*P187,"None"))</f>
        <v/>
      </c>
      <c r="AK187" s="30" t="str">
        <f>IFERROR(INDEX('G-7 WaterC'' Data'!$AZ$3:$AZ$7,MATCH(D187,'G-7 WaterC'' Data'!$AY$3:$AY$7,0)),"")</f>
        <v/>
      </c>
      <c r="AL187" s="30">
        <f t="shared" si="31"/>
        <v>0</v>
      </c>
      <c r="AM187" s="111" t="str">
        <f t="shared" si="32"/>
        <v/>
      </c>
      <c r="AN187" s="111" t="str">
        <f t="shared" si="33"/>
        <v/>
      </c>
      <c r="AP187" s="111">
        <v>178</v>
      </c>
      <c r="AR187" s="111" t="str">
        <f t="array" ref="AR187">IFERROR(INDEX($AP$10:$AP$258, MATCH(0, IF(TRUE=$AM$10:$AM$258, COUNTIF($AR$9:$AR186, $AP$10:$AP$258), ""), 0)),"")</f>
        <v/>
      </c>
      <c r="AS187" s="111" t="str">
        <f t="array" ref="AS187">IFERROR(INDEX($AP$10:$AP$258, MATCH(0, IF(TRUE=$AN$10:$AN$258, COUNTIF($AS$9:$AS186, $AP$10:$AP$258), ""), 0)),"")</f>
        <v/>
      </c>
      <c r="AT187" s="903" t="str">
        <f>IF(AND(OR(AD187="Yes",AD187="Pending"),Q187='G-7 WaterC'' Data'!$G$4),U187-AA187-Z187,"0")</f>
        <v>0</v>
      </c>
      <c r="AU187" s="30" t="str">
        <f>IF(D187="","",VLOOKUP(D187,'G-7 WaterC'' Data'!B$4:M$8,12,FALSE))</f>
        <v/>
      </c>
      <c r="AV187" s="30" t="str">
        <f t="shared" si="24"/>
        <v/>
      </c>
      <c r="AW187" s="30" t="str">
        <f t="shared" si="34"/>
        <v>No</v>
      </c>
      <c r="BA187" s="571" t="str">
        <f t="shared" si="35"/>
        <v/>
      </c>
    </row>
    <row r="188" spans="3:53" ht="14.4" thickBot="1" x14ac:dyDescent="0.3">
      <c r="C188" s="101">
        <v>179</v>
      </c>
      <c r="D188" s="269"/>
      <c r="E188" s="108"/>
      <c r="F188" s="281" t="str">
        <f>IF(D188="","",VLOOKUP(D188,'G-7 WaterC'' Data'!$B$2:$G$8,2,FALSE))</f>
        <v/>
      </c>
      <c r="G188" s="320" t="str">
        <f>IFERROR(VLOOKUP(F188,'G-7 WaterC'' Data'!$C$4:$D$8,2,FALSE),"")</f>
        <v/>
      </c>
      <c r="H188" s="109"/>
      <c r="I188" s="305" t="str">
        <f>IFERROR(INDEX('G-7 WaterC'' Data'!$H$4:$L$8,MATCH(D188,'G-7 WaterC'' Data'!$B$4:$B$8,0),MATCH(H188,'G-7 WaterC'' Data'!$H$3:$L$3,0)),"")</f>
        <v/>
      </c>
      <c r="J188" s="718"/>
      <c r="K188" s="301" t="str">
        <f>IF(J188="","",IF(VLOOKUP(J188,'G-7 WaterC'' Data'!$AK$4:$AM$9,2,FALSE)=0,"Spatial Data Missing ⚠",VLOOKUP(J188,'G-7 WaterC'' Data'!$AK$4:$AM$6,2,FALSE)))</f>
        <v/>
      </c>
      <c r="L188" s="305" t="str">
        <f>IF(J188="","",IF(VLOOKUP(J188,'G-7 WaterC'' Data'!$AK$4:$AM$9,3,FALSE)=0,"Spatial Data Missing ⚠",VLOOKUP(J188,'G-7 WaterC'' Data'!$AK$4:$AM$6,3,FALSE)))</f>
        <v/>
      </c>
      <c r="M188" s="106"/>
      <c r="N188" s="282" t="str">
        <f>IF(M188="","",IF(AND(M188="N/A - Culvert",D188&lt;&gt;"Culvert"),"Not possible ▲",IF(AND(D188="Culvert",M188&lt;&gt;"N/A - Culvert"),"Not possible ▲",IF(VLOOKUP(M188,'G-7 WaterC'' Data'!$AA$4:$AB$7,2,FALSE)=0,"Spatial Data Missing ⚠",VLOOKUP(M188,'G-7 WaterC'' Data'!$AA$4:$AB$7,2,FALSE)))))</f>
        <v/>
      </c>
      <c r="O188" s="56"/>
      <c r="P188" s="282" t="str">
        <f>IF(O188="","",IF(AND(O188="N/A - Culvert",D188&lt;&gt;"Culvert"),"Not possible ▲",IF(AND(D188="Culvert",O188&lt;&gt;"N/A - Culvert"),"Not possible ▲",IF(VLOOKUP(O188,'G-7 WaterC'' Data'!$AD$4:$AE$14,2,FALSE)=0,"Spatial Data Missing ⚠",VLOOKUP(O188,'G-7 WaterC'' Data'!$AD$4:$AE$14,2,FALSE)))))</f>
        <v/>
      </c>
      <c r="Q188" s="288" t="str">
        <f>IF(D188="","",VLOOKUP(D188,'G-7 WaterC'' Data'!$B$4:$G$8,6,FALSE))</f>
        <v/>
      </c>
      <c r="R188" s="295" t="str">
        <f t="shared" si="25"/>
        <v xml:space="preserve"> </v>
      </c>
      <c r="S188" s="403"/>
      <c r="T188" s="287" t="str">
        <f>IF(S188="","",IF(VLOOKUP(S188,'G-7 WaterC'' Data'!$AO$4:$BO$7,2,FALSE)=0,"Spatial Data Missing ⚠",VLOOKUP(S188,'G-7 WaterC'' Data'!$AO$4:$BO$7,2,FALSE)))</f>
        <v/>
      </c>
      <c r="U188" s="295" t="str">
        <f t="shared" si="26"/>
        <v xml:space="preserve"> </v>
      </c>
      <c r="V188" s="710" t="str">
        <f t="shared" si="27"/>
        <v/>
      </c>
      <c r="W188" s="32"/>
      <c r="X188" s="105"/>
      <c r="Y188" s="112"/>
      <c r="Z188" s="293" t="str">
        <f t="shared" si="28"/>
        <v/>
      </c>
      <c r="AA188" s="293" t="str">
        <f t="shared" si="29"/>
        <v/>
      </c>
      <c r="AB188" s="293" t="str">
        <f t="shared" si="30"/>
        <v/>
      </c>
      <c r="AC188" s="507" t="str">
        <f>IFERROR(IF(OR(E188="",R188=""),"", IF(AND(AB188&lt;&gt;"",S188=""), "Spatial risk category missing ▲", IF(AND(Q188='G-7 WaterC'' Data'!$G$4,AD188="Yes"),"Alternative Compensation ✓", IF(AND(AD188="Pending", Q188='G-7 WaterC'' Data'!$G$4),"Bespoke compensation must be agreed ▲", IF((Z188+AA188)&gt;=U188,0, U188-Z188-AA188))))),"Check Data ⚠")</f>
        <v/>
      </c>
      <c r="AD188" s="403"/>
      <c r="AE188" s="109"/>
      <c r="AF188" s="108"/>
      <c r="AG188" s="108"/>
      <c r="AH188" s="108"/>
      <c r="AI188" s="54" t="str">
        <f>IF(OR(Q188="",AD188="Yes"),"",IF(Q188='G-1 All Habitats'!$X$9,E188-Y188-X188,"None"))</f>
        <v/>
      </c>
      <c r="AJ188" s="55" t="str">
        <f>IF(Q188="","", IF(Q188='G-1 All Habitats'!$X$9, AI188*G188*I188*L188*N188*P188,"None"))</f>
        <v/>
      </c>
      <c r="AK188" s="30" t="str">
        <f>IFERROR(INDEX('G-7 WaterC'' Data'!$AZ$3:$AZ$7,MATCH(D188,'G-7 WaterC'' Data'!$AY$3:$AY$7,0)),"")</f>
        <v/>
      </c>
      <c r="AL188" s="30">
        <f t="shared" si="31"/>
        <v>0</v>
      </c>
      <c r="AM188" s="111" t="str">
        <f t="shared" si="32"/>
        <v/>
      </c>
      <c r="AN188" s="111" t="str">
        <f t="shared" si="33"/>
        <v/>
      </c>
      <c r="AP188" s="111">
        <v>179</v>
      </c>
      <c r="AR188" s="111" t="str">
        <f t="array" ref="AR188">IFERROR(INDEX($AP$10:$AP$258, MATCH(0, IF(TRUE=$AM$10:$AM$258, COUNTIF($AR$9:$AR187, $AP$10:$AP$258), ""), 0)),"")</f>
        <v/>
      </c>
      <c r="AS188" s="111" t="str">
        <f t="array" ref="AS188">IFERROR(INDEX($AP$10:$AP$258, MATCH(0, IF(TRUE=$AN$10:$AN$258, COUNTIF($AS$9:$AS187, $AP$10:$AP$258), ""), 0)),"")</f>
        <v/>
      </c>
      <c r="AT188" s="903" t="str">
        <f>IF(AND(OR(AD188="Yes",AD188="Pending"),Q188='G-7 WaterC'' Data'!$G$4),U188-AA188-Z188,"0")</f>
        <v>0</v>
      </c>
      <c r="AU188" s="30" t="str">
        <f>IF(D188="","",VLOOKUP(D188,'G-7 WaterC'' Data'!B$4:M$8,12,FALSE))</f>
        <v/>
      </c>
      <c r="AV188" s="30" t="str">
        <f t="shared" si="24"/>
        <v/>
      </c>
      <c r="AW188" s="30" t="str">
        <f t="shared" si="34"/>
        <v>No</v>
      </c>
      <c r="BA188" s="571" t="str">
        <f t="shared" si="35"/>
        <v/>
      </c>
    </row>
    <row r="189" spans="3:53" ht="14.4" thickBot="1" x14ac:dyDescent="0.3">
      <c r="C189" s="101">
        <v>180</v>
      </c>
      <c r="D189" s="269"/>
      <c r="E189" s="108"/>
      <c r="F189" s="281" t="str">
        <f>IF(D189="","",VLOOKUP(D189,'G-7 WaterC'' Data'!$B$2:$G$8,2,FALSE))</f>
        <v/>
      </c>
      <c r="G189" s="320" t="str">
        <f>IFERROR(VLOOKUP(F189,'G-7 WaterC'' Data'!$C$4:$D$8,2,FALSE),"")</f>
        <v/>
      </c>
      <c r="H189" s="109"/>
      <c r="I189" s="305" t="str">
        <f>IFERROR(INDEX('G-7 WaterC'' Data'!$H$4:$L$8,MATCH(D189,'G-7 WaterC'' Data'!$B$4:$B$8,0),MATCH(H189,'G-7 WaterC'' Data'!$H$3:$L$3,0)),"")</f>
        <v/>
      </c>
      <c r="J189" s="718"/>
      <c r="K189" s="301" t="str">
        <f>IF(J189="","",IF(VLOOKUP(J189,'G-7 WaterC'' Data'!$AK$4:$AM$9,2,FALSE)=0,"Spatial Data Missing ⚠",VLOOKUP(J189,'G-7 WaterC'' Data'!$AK$4:$AM$6,2,FALSE)))</f>
        <v/>
      </c>
      <c r="L189" s="305" t="str">
        <f>IF(J189="","",IF(VLOOKUP(J189,'G-7 WaterC'' Data'!$AK$4:$AM$9,3,FALSE)=0,"Spatial Data Missing ⚠",VLOOKUP(J189,'G-7 WaterC'' Data'!$AK$4:$AM$6,3,FALSE)))</f>
        <v/>
      </c>
      <c r="M189" s="106"/>
      <c r="N189" s="282" t="str">
        <f>IF(M189="","",IF(AND(M189="N/A - Culvert",D189&lt;&gt;"Culvert"),"Not possible ▲",IF(AND(D189="Culvert",M189&lt;&gt;"N/A - Culvert"),"Not possible ▲",IF(VLOOKUP(M189,'G-7 WaterC'' Data'!$AA$4:$AB$7,2,FALSE)=0,"Spatial Data Missing ⚠",VLOOKUP(M189,'G-7 WaterC'' Data'!$AA$4:$AB$7,2,FALSE)))))</f>
        <v/>
      </c>
      <c r="O189" s="56"/>
      <c r="P189" s="282" t="str">
        <f>IF(O189="","",IF(AND(O189="N/A - Culvert",D189&lt;&gt;"Culvert"),"Not possible ▲",IF(AND(D189="Culvert",O189&lt;&gt;"N/A - Culvert"),"Not possible ▲",IF(VLOOKUP(O189,'G-7 WaterC'' Data'!$AD$4:$AE$14,2,FALSE)=0,"Spatial Data Missing ⚠",VLOOKUP(O189,'G-7 WaterC'' Data'!$AD$4:$AE$14,2,FALSE)))))</f>
        <v/>
      </c>
      <c r="Q189" s="288" t="str">
        <f>IF(D189="","",VLOOKUP(D189,'G-7 WaterC'' Data'!$B$4:$G$8,6,FALSE))</f>
        <v/>
      </c>
      <c r="R189" s="295" t="str">
        <f t="shared" si="25"/>
        <v xml:space="preserve"> </v>
      </c>
      <c r="S189" s="403"/>
      <c r="T189" s="287" t="str">
        <f>IF(S189="","",IF(VLOOKUP(S189,'G-7 WaterC'' Data'!$AO$4:$BO$7,2,FALSE)=0,"Spatial Data Missing ⚠",VLOOKUP(S189,'G-7 WaterC'' Data'!$AO$4:$BO$7,2,FALSE)))</f>
        <v/>
      </c>
      <c r="U189" s="295" t="str">
        <f t="shared" si="26"/>
        <v xml:space="preserve"> </v>
      </c>
      <c r="V189" s="710" t="str">
        <f t="shared" si="27"/>
        <v/>
      </c>
      <c r="W189" s="32"/>
      <c r="X189" s="105"/>
      <c r="Y189" s="112"/>
      <c r="Z189" s="293" t="str">
        <f t="shared" si="28"/>
        <v/>
      </c>
      <c r="AA189" s="293" t="str">
        <f t="shared" si="29"/>
        <v/>
      </c>
      <c r="AB189" s="293" t="str">
        <f t="shared" si="30"/>
        <v/>
      </c>
      <c r="AC189" s="507" t="str">
        <f>IFERROR(IF(OR(E189="",R189=""),"", IF(AND(AB189&lt;&gt;"",S189=""), "Spatial risk category missing ▲", IF(AND(Q189='G-7 WaterC'' Data'!$G$4,AD189="Yes"),"Alternative Compensation ✓", IF(AND(AD189="Pending", Q189='G-7 WaterC'' Data'!$G$4),"Bespoke compensation must be agreed ▲", IF((Z189+AA189)&gt;=U189,0, U189-Z189-AA189))))),"Check Data ⚠")</f>
        <v/>
      </c>
      <c r="AD189" s="403"/>
      <c r="AE189" s="109"/>
      <c r="AF189" s="108"/>
      <c r="AG189" s="108"/>
      <c r="AH189" s="108"/>
      <c r="AI189" s="54" t="str">
        <f>IF(OR(Q189="",AD189="Yes"),"",IF(Q189='G-1 All Habitats'!$X$9,E189-Y189-X189,"None"))</f>
        <v/>
      </c>
      <c r="AJ189" s="55" t="str">
        <f>IF(Q189="","", IF(Q189='G-1 All Habitats'!$X$9, AI189*G189*I189*L189*N189*P189,"None"))</f>
        <v/>
      </c>
      <c r="AK189" s="30" t="str">
        <f>IFERROR(INDEX('G-7 WaterC'' Data'!$AZ$3:$AZ$7,MATCH(D189,'G-7 WaterC'' Data'!$AY$3:$AY$7,0)),"")</f>
        <v/>
      </c>
      <c r="AL189" s="30">
        <f t="shared" si="31"/>
        <v>0</v>
      </c>
      <c r="AM189" s="111" t="str">
        <f t="shared" si="32"/>
        <v/>
      </c>
      <c r="AN189" s="111" t="str">
        <f t="shared" si="33"/>
        <v/>
      </c>
      <c r="AP189" s="111">
        <v>180</v>
      </c>
      <c r="AR189" s="111" t="str">
        <f t="array" ref="AR189">IFERROR(INDEX($AP$10:$AP$258, MATCH(0, IF(TRUE=$AM$10:$AM$258, COUNTIF($AR$9:$AR188, $AP$10:$AP$258), ""), 0)),"")</f>
        <v/>
      </c>
      <c r="AS189" s="111" t="str">
        <f t="array" ref="AS189">IFERROR(INDEX($AP$10:$AP$258, MATCH(0, IF(TRUE=$AN$10:$AN$258, COUNTIF($AS$9:$AS188, $AP$10:$AP$258), ""), 0)),"")</f>
        <v/>
      </c>
      <c r="AT189" s="903" t="str">
        <f>IF(AND(OR(AD189="Yes",AD189="Pending"),Q189='G-7 WaterC'' Data'!$G$4),U189-AA189-Z189,"0")</f>
        <v>0</v>
      </c>
      <c r="AU189" s="30" t="str">
        <f>IF(D189="","",VLOOKUP(D189,'G-7 WaterC'' Data'!B$4:M$8,12,FALSE))</f>
        <v/>
      </c>
      <c r="AV189" s="30" t="str">
        <f t="shared" si="24"/>
        <v/>
      </c>
      <c r="AW189" s="30" t="str">
        <f t="shared" si="34"/>
        <v>No</v>
      </c>
      <c r="BA189" s="571" t="str">
        <f t="shared" si="35"/>
        <v/>
      </c>
    </row>
    <row r="190" spans="3:53" ht="14.4" thickBot="1" x14ac:dyDescent="0.3">
      <c r="C190" s="101">
        <v>181</v>
      </c>
      <c r="D190" s="269"/>
      <c r="E190" s="108"/>
      <c r="F190" s="281" t="str">
        <f>IF(D190="","",VLOOKUP(D190,'G-7 WaterC'' Data'!$B$2:$G$8,2,FALSE))</f>
        <v/>
      </c>
      <c r="G190" s="320" t="str">
        <f>IFERROR(VLOOKUP(F190,'G-7 WaterC'' Data'!$C$4:$D$8,2,FALSE),"")</f>
        <v/>
      </c>
      <c r="H190" s="109"/>
      <c r="I190" s="305" t="str">
        <f>IFERROR(INDEX('G-7 WaterC'' Data'!$H$4:$L$8,MATCH(D190,'G-7 WaterC'' Data'!$B$4:$B$8,0),MATCH(H190,'G-7 WaterC'' Data'!$H$3:$L$3,0)),"")</f>
        <v/>
      </c>
      <c r="J190" s="718"/>
      <c r="K190" s="301" t="str">
        <f>IF(J190="","",IF(VLOOKUP(J190,'G-7 WaterC'' Data'!$AK$4:$AM$9,2,FALSE)=0,"Spatial Data Missing ⚠",VLOOKUP(J190,'G-7 WaterC'' Data'!$AK$4:$AM$6,2,FALSE)))</f>
        <v/>
      </c>
      <c r="L190" s="305" t="str">
        <f>IF(J190="","",IF(VLOOKUP(J190,'G-7 WaterC'' Data'!$AK$4:$AM$9,3,FALSE)=0,"Spatial Data Missing ⚠",VLOOKUP(J190,'G-7 WaterC'' Data'!$AK$4:$AM$6,3,FALSE)))</f>
        <v/>
      </c>
      <c r="M190" s="106"/>
      <c r="N190" s="282" t="str">
        <f>IF(M190="","",IF(AND(M190="N/A - Culvert",D190&lt;&gt;"Culvert"),"Not possible ▲",IF(AND(D190="Culvert",M190&lt;&gt;"N/A - Culvert"),"Not possible ▲",IF(VLOOKUP(M190,'G-7 WaterC'' Data'!$AA$4:$AB$7,2,FALSE)=0,"Spatial Data Missing ⚠",VLOOKUP(M190,'G-7 WaterC'' Data'!$AA$4:$AB$7,2,FALSE)))))</f>
        <v/>
      </c>
      <c r="O190" s="56"/>
      <c r="P190" s="282" t="str">
        <f>IF(O190="","",IF(AND(O190="N/A - Culvert",D190&lt;&gt;"Culvert"),"Not possible ▲",IF(AND(D190="Culvert",O190&lt;&gt;"N/A - Culvert"),"Not possible ▲",IF(VLOOKUP(O190,'G-7 WaterC'' Data'!$AD$4:$AE$14,2,FALSE)=0,"Spatial Data Missing ⚠",VLOOKUP(O190,'G-7 WaterC'' Data'!$AD$4:$AE$14,2,FALSE)))))</f>
        <v/>
      </c>
      <c r="Q190" s="288" t="str">
        <f>IF(D190="","",VLOOKUP(D190,'G-7 WaterC'' Data'!$B$4:$G$8,6,FALSE))</f>
        <v/>
      </c>
      <c r="R190" s="295" t="str">
        <f t="shared" si="25"/>
        <v xml:space="preserve"> </v>
      </c>
      <c r="S190" s="403"/>
      <c r="T190" s="287" t="str">
        <f>IF(S190="","",IF(VLOOKUP(S190,'G-7 WaterC'' Data'!$AO$4:$BO$7,2,FALSE)=0,"Spatial Data Missing ⚠",VLOOKUP(S190,'G-7 WaterC'' Data'!$AO$4:$BO$7,2,FALSE)))</f>
        <v/>
      </c>
      <c r="U190" s="295" t="str">
        <f t="shared" si="26"/>
        <v xml:space="preserve"> </v>
      </c>
      <c r="V190" s="710" t="str">
        <f t="shared" si="27"/>
        <v/>
      </c>
      <c r="W190" s="32"/>
      <c r="X190" s="105"/>
      <c r="Y190" s="112"/>
      <c r="Z190" s="293" t="str">
        <f t="shared" si="28"/>
        <v/>
      </c>
      <c r="AA190" s="293" t="str">
        <f t="shared" si="29"/>
        <v/>
      </c>
      <c r="AB190" s="293" t="str">
        <f t="shared" si="30"/>
        <v/>
      </c>
      <c r="AC190" s="507" t="str">
        <f>IFERROR(IF(OR(E190="",R190=""),"", IF(AND(AB190&lt;&gt;"",S190=""), "Spatial risk category missing ▲", IF(AND(Q190='G-7 WaterC'' Data'!$G$4,AD190="Yes"),"Alternative Compensation ✓", IF(AND(AD190="Pending", Q190='G-7 WaterC'' Data'!$G$4),"Bespoke compensation must be agreed ▲", IF((Z190+AA190)&gt;=U190,0, U190-Z190-AA190))))),"Check Data ⚠")</f>
        <v/>
      </c>
      <c r="AD190" s="403"/>
      <c r="AE190" s="109"/>
      <c r="AF190" s="108"/>
      <c r="AG190" s="108"/>
      <c r="AH190" s="108"/>
      <c r="AI190" s="54" t="str">
        <f>IF(OR(Q190="",AD190="Yes"),"",IF(Q190='G-1 All Habitats'!$X$9,E190-Y190-X190,"None"))</f>
        <v/>
      </c>
      <c r="AJ190" s="55" t="str">
        <f>IF(Q190="","", IF(Q190='G-1 All Habitats'!$X$9, AI190*G190*I190*L190*N190*P190,"None"))</f>
        <v/>
      </c>
      <c r="AK190" s="30" t="str">
        <f>IFERROR(INDEX('G-7 WaterC'' Data'!$AZ$3:$AZ$7,MATCH(D190,'G-7 WaterC'' Data'!$AY$3:$AY$7,0)),"")</f>
        <v/>
      </c>
      <c r="AL190" s="30">
        <f t="shared" si="31"/>
        <v>0</v>
      </c>
      <c r="AM190" s="111" t="str">
        <f t="shared" si="32"/>
        <v/>
      </c>
      <c r="AN190" s="111" t="str">
        <f t="shared" si="33"/>
        <v/>
      </c>
      <c r="AP190" s="111">
        <v>181</v>
      </c>
      <c r="AR190" s="111" t="str">
        <f t="array" ref="AR190">IFERROR(INDEX($AP$10:$AP$258, MATCH(0, IF(TRUE=$AM$10:$AM$258, COUNTIF($AR$9:$AR189, $AP$10:$AP$258), ""), 0)),"")</f>
        <v/>
      </c>
      <c r="AS190" s="111" t="str">
        <f t="array" ref="AS190">IFERROR(INDEX($AP$10:$AP$258, MATCH(0, IF(TRUE=$AN$10:$AN$258, COUNTIF($AS$9:$AS189, $AP$10:$AP$258), ""), 0)),"")</f>
        <v/>
      </c>
      <c r="AT190" s="903" t="str">
        <f>IF(AND(OR(AD190="Yes",AD190="Pending"),Q190='G-7 WaterC'' Data'!$G$4),U190-AA190-Z190,"0")</f>
        <v>0</v>
      </c>
      <c r="AU190" s="30" t="str">
        <f>IF(D190="","",VLOOKUP(D190,'G-7 WaterC'' Data'!B$4:M$8,12,FALSE))</f>
        <v/>
      </c>
      <c r="AV190" s="30" t="str">
        <f t="shared" si="24"/>
        <v/>
      </c>
      <c r="AW190" s="30" t="str">
        <f t="shared" si="34"/>
        <v>No</v>
      </c>
      <c r="BA190" s="571" t="str">
        <f t="shared" si="35"/>
        <v/>
      </c>
    </row>
    <row r="191" spans="3:53" ht="14.4" thickBot="1" x14ac:dyDescent="0.3">
      <c r="C191" s="101">
        <v>182</v>
      </c>
      <c r="D191" s="269"/>
      <c r="E191" s="108"/>
      <c r="F191" s="281" t="str">
        <f>IF(D191="","",VLOOKUP(D191,'G-7 WaterC'' Data'!$B$2:$G$8,2,FALSE))</f>
        <v/>
      </c>
      <c r="G191" s="320" t="str">
        <f>IFERROR(VLOOKUP(F191,'G-7 WaterC'' Data'!$C$4:$D$8,2,FALSE),"")</f>
        <v/>
      </c>
      <c r="H191" s="109"/>
      <c r="I191" s="305" t="str">
        <f>IFERROR(INDEX('G-7 WaterC'' Data'!$H$4:$L$8,MATCH(D191,'G-7 WaterC'' Data'!$B$4:$B$8,0),MATCH(H191,'G-7 WaterC'' Data'!$H$3:$L$3,0)),"")</f>
        <v/>
      </c>
      <c r="J191" s="718"/>
      <c r="K191" s="301" t="str">
        <f>IF(J191="","",IF(VLOOKUP(J191,'G-7 WaterC'' Data'!$AK$4:$AM$9,2,FALSE)=0,"Spatial Data Missing ⚠",VLOOKUP(J191,'G-7 WaterC'' Data'!$AK$4:$AM$6,2,FALSE)))</f>
        <v/>
      </c>
      <c r="L191" s="305" t="str">
        <f>IF(J191="","",IF(VLOOKUP(J191,'G-7 WaterC'' Data'!$AK$4:$AM$9,3,FALSE)=0,"Spatial Data Missing ⚠",VLOOKUP(J191,'G-7 WaterC'' Data'!$AK$4:$AM$6,3,FALSE)))</f>
        <v/>
      </c>
      <c r="M191" s="106"/>
      <c r="N191" s="282" t="str">
        <f>IF(M191="","",IF(AND(M191="N/A - Culvert",D191&lt;&gt;"Culvert"),"Not possible ▲",IF(AND(D191="Culvert",M191&lt;&gt;"N/A - Culvert"),"Not possible ▲",IF(VLOOKUP(M191,'G-7 WaterC'' Data'!$AA$4:$AB$7,2,FALSE)=0,"Spatial Data Missing ⚠",VLOOKUP(M191,'G-7 WaterC'' Data'!$AA$4:$AB$7,2,FALSE)))))</f>
        <v/>
      </c>
      <c r="O191" s="56"/>
      <c r="P191" s="282" t="str">
        <f>IF(O191="","",IF(AND(O191="N/A - Culvert",D191&lt;&gt;"Culvert"),"Not possible ▲",IF(AND(D191="Culvert",O191&lt;&gt;"N/A - Culvert"),"Not possible ▲",IF(VLOOKUP(O191,'G-7 WaterC'' Data'!$AD$4:$AE$14,2,FALSE)=0,"Spatial Data Missing ⚠",VLOOKUP(O191,'G-7 WaterC'' Data'!$AD$4:$AE$14,2,FALSE)))))</f>
        <v/>
      </c>
      <c r="Q191" s="288" t="str">
        <f>IF(D191="","",VLOOKUP(D191,'G-7 WaterC'' Data'!$B$4:$G$8,6,FALSE))</f>
        <v/>
      </c>
      <c r="R191" s="295" t="str">
        <f t="shared" si="25"/>
        <v xml:space="preserve"> </v>
      </c>
      <c r="S191" s="403"/>
      <c r="T191" s="287" t="str">
        <f>IF(S191="","",IF(VLOOKUP(S191,'G-7 WaterC'' Data'!$AO$4:$BO$7,2,FALSE)=0,"Spatial Data Missing ⚠",VLOOKUP(S191,'G-7 WaterC'' Data'!$AO$4:$BO$7,2,FALSE)))</f>
        <v/>
      </c>
      <c r="U191" s="295" t="str">
        <f t="shared" si="26"/>
        <v xml:space="preserve"> </v>
      </c>
      <c r="V191" s="710" t="str">
        <f t="shared" si="27"/>
        <v/>
      </c>
      <c r="W191" s="32"/>
      <c r="X191" s="105"/>
      <c r="Y191" s="112"/>
      <c r="Z191" s="293" t="str">
        <f t="shared" si="28"/>
        <v/>
      </c>
      <c r="AA191" s="293" t="str">
        <f t="shared" si="29"/>
        <v/>
      </c>
      <c r="AB191" s="293" t="str">
        <f t="shared" si="30"/>
        <v/>
      </c>
      <c r="AC191" s="507" t="str">
        <f>IFERROR(IF(OR(E191="",R191=""),"", IF(AND(AB191&lt;&gt;"",S191=""), "Spatial risk category missing ▲", IF(AND(Q191='G-7 WaterC'' Data'!$G$4,AD191="Yes"),"Alternative Compensation ✓", IF(AND(AD191="Pending", Q191='G-7 WaterC'' Data'!$G$4),"Bespoke compensation must be agreed ▲", IF((Z191+AA191)&gt;=U191,0, U191-Z191-AA191))))),"Check Data ⚠")</f>
        <v/>
      </c>
      <c r="AD191" s="403"/>
      <c r="AE191" s="109"/>
      <c r="AF191" s="108"/>
      <c r="AG191" s="108"/>
      <c r="AH191" s="108"/>
      <c r="AI191" s="54" t="str">
        <f>IF(OR(Q191="",AD191="Yes"),"",IF(Q191='G-1 All Habitats'!$X$9,E191-Y191-X191,"None"))</f>
        <v/>
      </c>
      <c r="AJ191" s="55" t="str">
        <f>IF(Q191="","", IF(Q191='G-1 All Habitats'!$X$9, AI191*G191*I191*L191*N191*P191,"None"))</f>
        <v/>
      </c>
      <c r="AK191" s="30" t="str">
        <f>IFERROR(INDEX('G-7 WaterC'' Data'!$AZ$3:$AZ$7,MATCH(D191,'G-7 WaterC'' Data'!$AY$3:$AY$7,0)),"")</f>
        <v/>
      </c>
      <c r="AL191" s="30">
        <f t="shared" si="31"/>
        <v>0</v>
      </c>
      <c r="AM191" s="111" t="str">
        <f t="shared" si="32"/>
        <v/>
      </c>
      <c r="AN191" s="111" t="str">
        <f t="shared" si="33"/>
        <v/>
      </c>
      <c r="AP191" s="111">
        <v>182</v>
      </c>
      <c r="AR191" s="111" t="str">
        <f t="array" ref="AR191">IFERROR(INDEX($AP$10:$AP$258, MATCH(0, IF(TRUE=$AM$10:$AM$258, COUNTIF($AR$9:$AR190, $AP$10:$AP$258), ""), 0)),"")</f>
        <v/>
      </c>
      <c r="AS191" s="111" t="str">
        <f t="array" ref="AS191">IFERROR(INDEX($AP$10:$AP$258, MATCH(0, IF(TRUE=$AN$10:$AN$258, COUNTIF($AS$9:$AS190, $AP$10:$AP$258), ""), 0)),"")</f>
        <v/>
      </c>
      <c r="AT191" s="903" t="str">
        <f>IF(AND(OR(AD191="Yes",AD191="Pending"),Q191='G-7 WaterC'' Data'!$G$4),U191-AA191-Z191,"0")</f>
        <v>0</v>
      </c>
      <c r="AU191" s="30" t="str">
        <f>IF(D191="","",VLOOKUP(D191,'G-7 WaterC'' Data'!B$4:M$8,12,FALSE))</f>
        <v/>
      </c>
      <c r="AV191" s="30" t="str">
        <f t="shared" si="24"/>
        <v/>
      </c>
      <c r="AW191" s="30" t="str">
        <f t="shared" si="34"/>
        <v>No</v>
      </c>
      <c r="BA191" s="571" t="str">
        <f t="shared" si="35"/>
        <v/>
      </c>
    </row>
    <row r="192" spans="3:53" ht="14.4" thickBot="1" x14ac:dyDescent="0.3">
      <c r="C192" s="101">
        <v>183</v>
      </c>
      <c r="D192" s="269"/>
      <c r="E192" s="108"/>
      <c r="F192" s="281" t="str">
        <f>IF(D192="","",VLOOKUP(D192,'G-7 WaterC'' Data'!$B$2:$G$8,2,FALSE))</f>
        <v/>
      </c>
      <c r="G192" s="320" t="str">
        <f>IFERROR(VLOOKUP(F192,'G-7 WaterC'' Data'!$C$4:$D$8,2,FALSE),"")</f>
        <v/>
      </c>
      <c r="H192" s="109"/>
      <c r="I192" s="305" t="str">
        <f>IFERROR(INDEX('G-7 WaterC'' Data'!$H$4:$L$8,MATCH(D192,'G-7 WaterC'' Data'!$B$4:$B$8,0),MATCH(H192,'G-7 WaterC'' Data'!$H$3:$L$3,0)),"")</f>
        <v/>
      </c>
      <c r="J192" s="718"/>
      <c r="K192" s="301" t="str">
        <f>IF(J192="","",IF(VLOOKUP(J192,'G-7 WaterC'' Data'!$AK$4:$AM$9,2,FALSE)=0,"Spatial Data Missing ⚠",VLOOKUP(J192,'G-7 WaterC'' Data'!$AK$4:$AM$6,2,FALSE)))</f>
        <v/>
      </c>
      <c r="L192" s="305" t="str">
        <f>IF(J192="","",IF(VLOOKUP(J192,'G-7 WaterC'' Data'!$AK$4:$AM$9,3,FALSE)=0,"Spatial Data Missing ⚠",VLOOKUP(J192,'G-7 WaterC'' Data'!$AK$4:$AM$6,3,FALSE)))</f>
        <v/>
      </c>
      <c r="M192" s="106"/>
      <c r="N192" s="282" t="str">
        <f>IF(M192="","",IF(AND(M192="N/A - Culvert",D192&lt;&gt;"Culvert"),"Not possible ▲",IF(AND(D192="Culvert",M192&lt;&gt;"N/A - Culvert"),"Not possible ▲",IF(VLOOKUP(M192,'G-7 WaterC'' Data'!$AA$4:$AB$7,2,FALSE)=0,"Spatial Data Missing ⚠",VLOOKUP(M192,'G-7 WaterC'' Data'!$AA$4:$AB$7,2,FALSE)))))</f>
        <v/>
      </c>
      <c r="O192" s="56"/>
      <c r="P192" s="282" t="str">
        <f>IF(O192="","",IF(AND(O192="N/A - Culvert",D192&lt;&gt;"Culvert"),"Not possible ▲",IF(AND(D192="Culvert",O192&lt;&gt;"N/A - Culvert"),"Not possible ▲",IF(VLOOKUP(O192,'G-7 WaterC'' Data'!$AD$4:$AE$14,2,FALSE)=0,"Spatial Data Missing ⚠",VLOOKUP(O192,'G-7 WaterC'' Data'!$AD$4:$AE$14,2,FALSE)))))</f>
        <v/>
      </c>
      <c r="Q192" s="288" t="str">
        <f>IF(D192="","",VLOOKUP(D192,'G-7 WaterC'' Data'!$B$4:$G$8,6,FALSE))</f>
        <v/>
      </c>
      <c r="R192" s="295" t="str">
        <f t="shared" si="25"/>
        <v xml:space="preserve"> </v>
      </c>
      <c r="S192" s="403"/>
      <c r="T192" s="287" t="str">
        <f>IF(S192="","",IF(VLOOKUP(S192,'G-7 WaterC'' Data'!$AO$4:$BO$7,2,FALSE)=0,"Spatial Data Missing ⚠",VLOOKUP(S192,'G-7 WaterC'' Data'!$AO$4:$BO$7,2,FALSE)))</f>
        <v/>
      </c>
      <c r="U192" s="295" t="str">
        <f t="shared" si="26"/>
        <v xml:space="preserve"> </v>
      </c>
      <c r="V192" s="710" t="str">
        <f t="shared" si="27"/>
        <v/>
      </c>
      <c r="W192" s="32"/>
      <c r="X192" s="105"/>
      <c r="Y192" s="112"/>
      <c r="Z192" s="293" t="str">
        <f t="shared" si="28"/>
        <v/>
      </c>
      <c r="AA192" s="293" t="str">
        <f t="shared" si="29"/>
        <v/>
      </c>
      <c r="AB192" s="293" t="str">
        <f t="shared" si="30"/>
        <v/>
      </c>
      <c r="AC192" s="507" t="str">
        <f>IFERROR(IF(OR(E192="",R192=""),"", IF(AND(AB192&lt;&gt;"",S192=""), "Spatial risk category missing ▲", IF(AND(Q192='G-7 WaterC'' Data'!$G$4,AD192="Yes"),"Alternative Compensation ✓", IF(AND(AD192="Pending", Q192='G-7 WaterC'' Data'!$G$4),"Bespoke compensation must be agreed ▲", IF((Z192+AA192)&gt;=U192,0, U192-Z192-AA192))))),"Check Data ⚠")</f>
        <v/>
      </c>
      <c r="AD192" s="403"/>
      <c r="AE192" s="109"/>
      <c r="AF192" s="108"/>
      <c r="AG192" s="108"/>
      <c r="AH192" s="108"/>
      <c r="AI192" s="54" t="str">
        <f>IF(OR(Q192="",AD192="Yes"),"",IF(Q192='G-1 All Habitats'!$X$9,E192-Y192-X192,"None"))</f>
        <v/>
      </c>
      <c r="AJ192" s="55" t="str">
        <f>IF(Q192="","", IF(Q192='G-1 All Habitats'!$X$9, AI192*G192*I192*L192*N192*P192,"None"))</f>
        <v/>
      </c>
      <c r="AK192" s="30" t="str">
        <f>IFERROR(INDEX('G-7 WaterC'' Data'!$AZ$3:$AZ$7,MATCH(D192,'G-7 WaterC'' Data'!$AY$3:$AY$7,0)),"")</f>
        <v/>
      </c>
      <c r="AL192" s="30">
        <f t="shared" si="31"/>
        <v>0</v>
      </c>
      <c r="AM192" s="111" t="str">
        <f t="shared" si="32"/>
        <v/>
      </c>
      <c r="AN192" s="111" t="str">
        <f t="shared" si="33"/>
        <v/>
      </c>
      <c r="AP192" s="111">
        <v>183</v>
      </c>
      <c r="AR192" s="111" t="str">
        <f t="array" ref="AR192">IFERROR(INDEX($AP$10:$AP$258, MATCH(0, IF(TRUE=$AM$10:$AM$258, COUNTIF($AR$9:$AR191, $AP$10:$AP$258), ""), 0)),"")</f>
        <v/>
      </c>
      <c r="AS192" s="111" t="str">
        <f t="array" ref="AS192">IFERROR(INDEX($AP$10:$AP$258, MATCH(0, IF(TRUE=$AN$10:$AN$258, COUNTIF($AS$9:$AS191, $AP$10:$AP$258), ""), 0)),"")</f>
        <v/>
      </c>
      <c r="AT192" s="903" t="str">
        <f>IF(AND(OR(AD192="Yes",AD192="Pending"),Q192='G-7 WaterC'' Data'!$G$4),U192-AA192-Z192,"0")</f>
        <v>0</v>
      </c>
      <c r="AU192" s="30" t="str">
        <f>IF(D192="","",VLOOKUP(D192,'G-7 WaterC'' Data'!B$4:M$8,12,FALSE))</f>
        <v/>
      </c>
      <c r="AV192" s="30" t="str">
        <f t="shared" si="24"/>
        <v/>
      </c>
      <c r="AW192" s="30" t="str">
        <f t="shared" si="34"/>
        <v>No</v>
      </c>
      <c r="BA192" s="571" t="str">
        <f t="shared" si="35"/>
        <v/>
      </c>
    </row>
    <row r="193" spans="3:53" ht="14.4" thickBot="1" x14ac:dyDescent="0.3">
      <c r="C193" s="101">
        <v>184</v>
      </c>
      <c r="D193" s="269"/>
      <c r="E193" s="108"/>
      <c r="F193" s="281" t="str">
        <f>IF(D193="","",VLOOKUP(D193,'G-7 WaterC'' Data'!$B$2:$G$8,2,FALSE))</f>
        <v/>
      </c>
      <c r="G193" s="320" t="str">
        <f>IFERROR(VLOOKUP(F193,'G-7 WaterC'' Data'!$C$4:$D$8,2,FALSE),"")</f>
        <v/>
      </c>
      <c r="H193" s="109"/>
      <c r="I193" s="305" t="str">
        <f>IFERROR(INDEX('G-7 WaterC'' Data'!$H$4:$L$8,MATCH(D193,'G-7 WaterC'' Data'!$B$4:$B$8,0),MATCH(H193,'G-7 WaterC'' Data'!$H$3:$L$3,0)),"")</f>
        <v/>
      </c>
      <c r="J193" s="718"/>
      <c r="K193" s="301" t="str">
        <f>IF(J193="","",IF(VLOOKUP(J193,'G-7 WaterC'' Data'!$AK$4:$AM$9,2,FALSE)=0,"Spatial Data Missing ⚠",VLOOKUP(J193,'G-7 WaterC'' Data'!$AK$4:$AM$6,2,FALSE)))</f>
        <v/>
      </c>
      <c r="L193" s="305" t="str">
        <f>IF(J193="","",IF(VLOOKUP(J193,'G-7 WaterC'' Data'!$AK$4:$AM$9,3,FALSE)=0,"Spatial Data Missing ⚠",VLOOKUP(J193,'G-7 WaterC'' Data'!$AK$4:$AM$6,3,FALSE)))</f>
        <v/>
      </c>
      <c r="M193" s="106"/>
      <c r="N193" s="282" t="str">
        <f>IF(M193="","",IF(AND(M193="N/A - Culvert",D193&lt;&gt;"Culvert"),"Not possible ▲",IF(AND(D193="Culvert",M193&lt;&gt;"N/A - Culvert"),"Not possible ▲",IF(VLOOKUP(M193,'G-7 WaterC'' Data'!$AA$4:$AB$7,2,FALSE)=0,"Spatial Data Missing ⚠",VLOOKUP(M193,'G-7 WaterC'' Data'!$AA$4:$AB$7,2,FALSE)))))</f>
        <v/>
      </c>
      <c r="O193" s="56"/>
      <c r="P193" s="282" t="str">
        <f>IF(O193="","",IF(AND(O193="N/A - Culvert",D193&lt;&gt;"Culvert"),"Not possible ▲",IF(AND(D193="Culvert",O193&lt;&gt;"N/A - Culvert"),"Not possible ▲",IF(VLOOKUP(O193,'G-7 WaterC'' Data'!$AD$4:$AE$14,2,FALSE)=0,"Spatial Data Missing ⚠",VLOOKUP(O193,'G-7 WaterC'' Data'!$AD$4:$AE$14,2,FALSE)))))</f>
        <v/>
      </c>
      <c r="Q193" s="288" t="str">
        <f>IF(D193="","",VLOOKUP(D193,'G-7 WaterC'' Data'!$B$4:$G$8,6,FALSE))</f>
        <v/>
      </c>
      <c r="R193" s="295" t="str">
        <f t="shared" si="25"/>
        <v xml:space="preserve"> </v>
      </c>
      <c r="S193" s="403"/>
      <c r="T193" s="287" t="str">
        <f>IF(S193="","",IF(VLOOKUP(S193,'G-7 WaterC'' Data'!$AO$4:$BO$7,2,FALSE)=0,"Spatial Data Missing ⚠",VLOOKUP(S193,'G-7 WaterC'' Data'!$AO$4:$BO$7,2,FALSE)))</f>
        <v/>
      </c>
      <c r="U193" s="295" t="str">
        <f t="shared" si="26"/>
        <v xml:space="preserve"> </v>
      </c>
      <c r="V193" s="710" t="str">
        <f t="shared" si="27"/>
        <v/>
      </c>
      <c r="W193" s="32"/>
      <c r="X193" s="105"/>
      <c r="Y193" s="112"/>
      <c r="Z193" s="293" t="str">
        <f t="shared" si="28"/>
        <v/>
      </c>
      <c r="AA193" s="293" t="str">
        <f t="shared" si="29"/>
        <v/>
      </c>
      <c r="AB193" s="293" t="str">
        <f t="shared" si="30"/>
        <v/>
      </c>
      <c r="AC193" s="507" t="str">
        <f>IFERROR(IF(OR(E193="",R193=""),"", IF(AND(AB193&lt;&gt;"",S193=""), "Spatial risk category missing ▲", IF(AND(Q193='G-7 WaterC'' Data'!$G$4,AD193="Yes"),"Alternative Compensation ✓", IF(AND(AD193="Pending", Q193='G-7 WaterC'' Data'!$G$4),"Bespoke compensation must be agreed ▲", IF((Z193+AA193)&gt;=U193,0, U193-Z193-AA193))))),"Check Data ⚠")</f>
        <v/>
      </c>
      <c r="AD193" s="403"/>
      <c r="AE193" s="109"/>
      <c r="AF193" s="108"/>
      <c r="AG193" s="108"/>
      <c r="AH193" s="108"/>
      <c r="AI193" s="54" t="str">
        <f>IF(OR(Q193="",AD193="Yes"),"",IF(Q193='G-1 All Habitats'!$X$9,E193-Y193-X193,"None"))</f>
        <v/>
      </c>
      <c r="AJ193" s="55" t="str">
        <f>IF(Q193="","", IF(Q193='G-1 All Habitats'!$X$9, AI193*G193*I193*L193*N193*P193,"None"))</f>
        <v/>
      </c>
      <c r="AK193" s="30" t="str">
        <f>IFERROR(INDEX('G-7 WaterC'' Data'!$AZ$3:$AZ$7,MATCH(D193,'G-7 WaterC'' Data'!$AY$3:$AY$7,0)),"")</f>
        <v/>
      </c>
      <c r="AL193" s="30">
        <f t="shared" si="31"/>
        <v>0</v>
      </c>
      <c r="AM193" s="111" t="str">
        <f t="shared" si="32"/>
        <v/>
      </c>
      <c r="AN193" s="111" t="str">
        <f t="shared" si="33"/>
        <v/>
      </c>
      <c r="AP193" s="111">
        <v>184</v>
      </c>
      <c r="AR193" s="111" t="str">
        <f t="array" ref="AR193">IFERROR(INDEX($AP$10:$AP$258, MATCH(0, IF(TRUE=$AM$10:$AM$258, COUNTIF($AR$9:$AR192, $AP$10:$AP$258), ""), 0)),"")</f>
        <v/>
      </c>
      <c r="AS193" s="111" t="str">
        <f t="array" ref="AS193">IFERROR(INDEX($AP$10:$AP$258, MATCH(0, IF(TRUE=$AN$10:$AN$258, COUNTIF($AS$9:$AS192, $AP$10:$AP$258), ""), 0)),"")</f>
        <v/>
      </c>
      <c r="AT193" s="903" t="str">
        <f>IF(AND(OR(AD193="Yes",AD193="Pending"),Q193='G-7 WaterC'' Data'!$G$4),U193-AA193-Z193,"0")</f>
        <v>0</v>
      </c>
      <c r="AU193" s="30" t="str">
        <f>IF(D193="","",VLOOKUP(D193,'G-7 WaterC'' Data'!B$4:M$8,12,FALSE))</f>
        <v/>
      </c>
      <c r="AV193" s="30" t="str">
        <f t="shared" si="24"/>
        <v/>
      </c>
      <c r="AW193" s="30" t="str">
        <f t="shared" si="34"/>
        <v>No</v>
      </c>
      <c r="BA193" s="571" t="str">
        <f t="shared" si="35"/>
        <v/>
      </c>
    </row>
    <row r="194" spans="3:53" ht="14.4" thickBot="1" x14ac:dyDescent="0.3">
      <c r="C194" s="101">
        <v>185</v>
      </c>
      <c r="D194" s="269"/>
      <c r="E194" s="108"/>
      <c r="F194" s="281" t="str">
        <f>IF(D194="","",VLOOKUP(D194,'G-7 WaterC'' Data'!$B$2:$G$8,2,FALSE))</f>
        <v/>
      </c>
      <c r="G194" s="320" t="str">
        <f>IFERROR(VLOOKUP(F194,'G-7 WaterC'' Data'!$C$4:$D$8,2,FALSE),"")</f>
        <v/>
      </c>
      <c r="H194" s="109"/>
      <c r="I194" s="305" t="str">
        <f>IFERROR(INDEX('G-7 WaterC'' Data'!$H$4:$L$8,MATCH(D194,'G-7 WaterC'' Data'!$B$4:$B$8,0),MATCH(H194,'G-7 WaterC'' Data'!$H$3:$L$3,0)),"")</f>
        <v/>
      </c>
      <c r="J194" s="718"/>
      <c r="K194" s="301" t="str">
        <f>IF(J194="","",IF(VLOOKUP(J194,'G-7 WaterC'' Data'!$AK$4:$AM$9,2,FALSE)=0,"Spatial Data Missing ⚠",VLOOKUP(J194,'G-7 WaterC'' Data'!$AK$4:$AM$6,2,FALSE)))</f>
        <v/>
      </c>
      <c r="L194" s="305" t="str">
        <f>IF(J194="","",IF(VLOOKUP(J194,'G-7 WaterC'' Data'!$AK$4:$AM$9,3,FALSE)=0,"Spatial Data Missing ⚠",VLOOKUP(J194,'G-7 WaterC'' Data'!$AK$4:$AM$6,3,FALSE)))</f>
        <v/>
      </c>
      <c r="M194" s="106"/>
      <c r="N194" s="282" t="str">
        <f>IF(M194="","",IF(AND(M194="N/A - Culvert",D194&lt;&gt;"Culvert"),"Not possible ▲",IF(AND(D194="Culvert",M194&lt;&gt;"N/A - Culvert"),"Not possible ▲",IF(VLOOKUP(M194,'G-7 WaterC'' Data'!$AA$4:$AB$7,2,FALSE)=0,"Spatial Data Missing ⚠",VLOOKUP(M194,'G-7 WaterC'' Data'!$AA$4:$AB$7,2,FALSE)))))</f>
        <v/>
      </c>
      <c r="O194" s="56"/>
      <c r="P194" s="282" t="str">
        <f>IF(O194="","",IF(AND(O194="N/A - Culvert",D194&lt;&gt;"Culvert"),"Not possible ▲",IF(AND(D194="Culvert",O194&lt;&gt;"N/A - Culvert"),"Not possible ▲",IF(VLOOKUP(O194,'G-7 WaterC'' Data'!$AD$4:$AE$14,2,FALSE)=0,"Spatial Data Missing ⚠",VLOOKUP(O194,'G-7 WaterC'' Data'!$AD$4:$AE$14,2,FALSE)))))</f>
        <v/>
      </c>
      <c r="Q194" s="288" t="str">
        <f>IF(D194="","",VLOOKUP(D194,'G-7 WaterC'' Data'!$B$4:$G$8,6,FALSE))</f>
        <v/>
      </c>
      <c r="R194" s="295" t="str">
        <f t="shared" si="25"/>
        <v xml:space="preserve"> </v>
      </c>
      <c r="S194" s="403"/>
      <c r="T194" s="287" t="str">
        <f>IF(S194="","",IF(VLOOKUP(S194,'G-7 WaterC'' Data'!$AO$4:$BO$7,2,FALSE)=0,"Spatial Data Missing ⚠",VLOOKUP(S194,'G-7 WaterC'' Data'!$AO$4:$BO$7,2,FALSE)))</f>
        <v/>
      </c>
      <c r="U194" s="295" t="str">
        <f t="shared" si="26"/>
        <v xml:space="preserve"> </v>
      </c>
      <c r="V194" s="710" t="str">
        <f t="shared" si="27"/>
        <v/>
      </c>
      <c r="W194" s="32"/>
      <c r="X194" s="105"/>
      <c r="Y194" s="112"/>
      <c r="Z194" s="293" t="str">
        <f t="shared" si="28"/>
        <v/>
      </c>
      <c r="AA194" s="293" t="str">
        <f t="shared" si="29"/>
        <v/>
      </c>
      <c r="AB194" s="293" t="str">
        <f t="shared" si="30"/>
        <v/>
      </c>
      <c r="AC194" s="507" t="str">
        <f>IFERROR(IF(OR(E194="",R194=""),"", IF(AND(AB194&lt;&gt;"",S194=""), "Spatial risk category missing ▲", IF(AND(Q194='G-7 WaterC'' Data'!$G$4,AD194="Yes"),"Alternative Compensation ✓", IF(AND(AD194="Pending", Q194='G-7 WaterC'' Data'!$G$4),"Bespoke compensation must be agreed ▲", IF((Z194+AA194)&gt;=U194,0, U194-Z194-AA194))))),"Check Data ⚠")</f>
        <v/>
      </c>
      <c r="AD194" s="403"/>
      <c r="AE194" s="109"/>
      <c r="AF194" s="108"/>
      <c r="AG194" s="108"/>
      <c r="AH194" s="108"/>
      <c r="AI194" s="54" t="str">
        <f>IF(OR(Q194="",AD194="Yes"),"",IF(Q194='G-1 All Habitats'!$X$9,E194-Y194-X194,"None"))</f>
        <v/>
      </c>
      <c r="AJ194" s="55" t="str">
        <f>IF(Q194="","", IF(Q194='G-1 All Habitats'!$X$9, AI194*G194*I194*L194*N194*P194,"None"))</f>
        <v/>
      </c>
      <c r="AK194" s="30" t="str">
        <f>IFERROR(INDEX('G-7 WaterC'' Data'!$AZ$3:$AZ$7,MATCH(D194,'G-7 WaterC'' Data'!$AY$3:$AY$7,0)),"")</f>
        <v/>
      </c>
      <c r="AL194" s="30">
        <f t="shared" si="31"/>
        <v>0</v>
      </c>
      <c r="AM194" s="111" t="str">
        <f t="shared" si="32"/>
        <v/>
      </c>
      <c r="AN194" s="111" t="str">
        <f t="shared" si="33"/>
        <v/>
      </c>
      <c r="AP194" s="111">
        <v>185</v>
      </c>
      <c r="AR194" s="111" t="str">
        <f t="array" ref="AR194">IFERROR(INDEX($AP$10:$AP$258, MATCH(0, IF(TRUE=$AM$10:$AM$258, COUNTIF($AR$9:$AR193, $AP$10:$AP$258), ""), 0)),"")</f>
        <v/>
      </c>
      <c r="AS194" s="111" t="str">
        <f t="array" ref="AS194">IFERROR(INDEX($AP$10:$AP$258, MATCH(0, IF(TRUE=$AN$10:$AN$258, COUNTIF($AS$9:$AS193, $AP$10:$AP$258), ""), 0)),"")</f>
        <v/>
      </c>
      <c r="AT194" s="903" t="str">
        <f>IF(AND(OR(AD194="Yes",AD194="Pending"),Q194='G-7 WaterC'' Data'!$G$4),U194-AA194-Z194,"0")</f>
        <v>0</v>
      </c>
      <c r="AU194" s="30" t="str">
        <f>IF(D194="","",VLOOKUP(D194,'G-7 WaterC'' Data'!B$4:M$8,12,FALSE))</f>
        <v/>
      </c>
      <c r="AV194" s="30" t="str">
        <f t="shared" si="24"/>
        <v/>
      </c>
      <c r="AW194" s="30" t="str">
        <f t="shared" si="34"/>
        <v>No</v>
      </c>
      <c r="BA194" s="571" t="str">
        <f t="shared" si="35"/>
        <v/>
      </c>
    </row>
    <row r="195" spans="3:53" ht="14.4" thickBot="1" x14ac:dyDescent="0.3">
      <c r="C195" s="101">
        <v>186</v>
      </c>
      <c r="D195" s="269"/>
      <c r="E195" s="108"/>
      <c r="F195" s="281" t="str">
        <f>IF(D195="","",VLOOKUP(D195,'G-7 WaterC'' Data'!$B$2:$G$8,2,FALSE))</f>
        <v/>
      </c>
      <c r="G195" s="320" t="str">
        <f>IFERROR(VLOOKUP(F195,'G-7 WaterC'' Data'!$C$4:$D$8,2,FALSE),"")</f>
        <v/>
      </c>
      <c r="H195" s="109"/>
      <c r="I195" s="305" t="str">
        <f>IFERROR(INDEX('G-7 WaterC'' Data'!$H$4:$L$8,MATCH(D195,'G-7 WaterC'' Data'!$B$4:$B$8,0),MATCH(H195,'G-7 WaterC'' Data'!$H$3:$L$3,0)),"")</f>
        <v/>
      </c>
      <c r="J195" s="718"/>
      <c r="K195" s="301" t="str">
        <f>IF(J195="","",IF(VLOOKUP(J195,'G-7 WaterC'' Data'!$AK$4:$AM$9,2,FALSE)=0,"Spatial Data Missing ⚠",VLOOKUP(J195,'G-7 WaterC'' Data'!$AK$4:$AM$6,2,FALSE)))</f>
        <v/>
      </c>
      <c r="L195" s="305" t="str">
        <f>IF(J195="","",IF(VLOOKUP(J195,'G-7 WaterC'' Data'!$AK$4:$AM$9,3,FALSE)=0,"Spatial Data Missing ⚠",VLOOKUP(J195,'G-7 WaterC'' Data'!$AK$4:$AM$6,3,FALSE)))</f>
        <v/>
      </c>
      <c r="M195" s="106"/>
      <c r="N195" s="282" t="str">
        <f>IF(M195="","",IF(AND(M195="N/A - Culvert",D195&lt;&gt;"Culvert"),"Not possible ▲",IF(AND(D195="Culvert",M195&lt;&gt;"N/A - Culvert"),"Not possible ▲",IF(VLOOKUP(M195,'G-7 WaterC'' Data'!$AA$4:$AB$7,2,FALSE)=0,"Spatial Data Missing ⚠",VLOOKUP(M195,'G-7 WaterC'' Data'!$AA$4:$AB$7,2,FALSE)))))</f>
        <v/>
      </c>
      <c r="O195" s="56"/>
      <c r="P195" s="282" t="str">
        <f>IF(O195="","",IF(AND(O195="N/A - Culvert",D195&lt;&gt;"Culvert"),"Not possible ▲",IF(AND(D195="Culvert",O195&lt;&gt;"N/A - Culvert"),"Not possible ▲",IF(VLOOKUP(O195,'G-7 WaterC'' Data'!$AD$4:$AE$14,2,FALSE)=0,"Spatial Data Missing ⚠",VLOOKUP(O195,'G-7 WaterC'' Data'!$AD$4:$AE$14,2,FALSE)))))</f>
        <v/>
      </c>
      <c r="Q195" s="288" t="str">
        <f>IF(D195="","",VLOOKUP(D195,'G-7 WaterC'' Data'!$B$4:$G$8,6,FALSE))</f>
        <v/>
      </c>
      <c r="R195" s="295" t="str">
        <f t="shared" si="25"/>
        <v xml:space="preserve"> </v>
      </c>
      <c r="S195" s="403"/>
      <c r="T195" s="287" t="str">
        <f>IF(S195="","",IF(VLOOKUP(S195,'G-7 WaterC'' Data'!$AO$4:$BO$7,2,FALSE)=0,"Spatial Data Missing ⚠",VLOOKUP(S195,'G-7 WaterC'' Data'!$AO$4:$BO$7,2,FALSE)))</f>
        <v/>
      </c>
      <c r="U195" s="295" t="str">
        <f t="shared" si="26"/>
        <v xml:space="preserve"> </v>
      </c>
      <c r="V195" s="710" t="str">
        <f t="shared" si="27"/>
        <v/>
      </c>
      <c r="W195" s="32"/>
      <c r="X195" s="105"/>
      <c r="Y195" s="112"/>
      <c r="Z195" s="293" t="str">
        <f t="shared" si="28"/>
        <v/>
      </c>
      <c r="AA195" s="293" t="str">
        <f t="shared" si="29"/>
        <v/>
      </c>
      <c r="AB195" s="293" t="str">
        <f t="shared" si="30"/>
        <v/>
      </c>
      <c r="AC195" s="507" t="str">
        <f>IFERROR(IF(OR(E195="",R195=""),"", IF(AND(AB195&lt;&gt;"",S195=""), "Spatial risk category missing ▲", IF(AND(Q195='G-7 WaterC'' Data'!$G$4,AD195="Yes"),"Alternative Compensation ✓", IF(AND(AD195="Pending", Q195='G-7 WaterC'' Data'!$G$4),"Bespoke compensation must be agreed ▲", IF((Z195+AA195)&gt;=U195,0, U195-Z195-AA195))))),"Check Data ⚠")</f>
        <v/>
      </c>
      <c r="AD195" s="403"/>
      <c r="AE195" s="109"/>
      <c r="AF195" s="108"/>
      <c r="AG195" s="108"/>
      <c r="AH195" s="108"/>
      <c r="AI195" s="54" t="str">
        <f>IF(OR(Q195="",AD195="Yes"),"",IF(Q195='G-1 All Habitats'!$X$9,E195-Y195-X195,"None"))</f>
        <v/>
      </c>
      <c r="AJ195" s="55" t="str">
        <f>IF(Q195="","", IF(Q195='G-1 All Habitats'!$X$9, AI195*G195*I195*L195*N195*P195,"None"))</f>
        <v/>
      </c>
      <c r="AK195" s="30" t="str">
        <f>IFERROR(INDEX('G-7 WaterC'' Data'!$AZ$3:$AZ$7,MATCH(D195,'G-7 WaterC'' Data'!$AY$3:$AY$7,0)),"")</f>
        <v/>
      </c>
      <c r="AL195" s="30">
        <f t="shared" si="31"/>
        <v>0</v>
      </c>
      <c r="AM195" s="111" t="str">
        <f t="shared" si="32"/>
        <v/>
      </c>
      <c r="AN195" s="111" t="str">
        <f t="shared" si="33"/>
        <v/>
      </c>
      <c r="AP195" s="111">
        <v>186</v>
      </c>
      <c r="AR195" s="111" t="str">
        <f t="array" ref="AR195">IFERROR(INDEX($AP$10:$AP$258, MATCH(0, IF(TRUE=$AM$10:$AM$258, COUNTIF($AR$9:$AR194, $AP$10:$AP$258), ""), 0)),"")</f>
        <v/>
      </c>
      <c r="AS195" s="111" t="str">
        <f t="array" ref="AS195">IFERROR(INDEX($AP$10:$AP$258, MATCH(0, IF(TRUE=$AN$10:$AN$258, COUNTIF($AS$9:$AS194, $AP$10:$AP$258), ""), 0)),"")</f>
        <v/>
      </c>
      <c r="AT195" s="903" t="str">
        <f>IF(AND(OR(AD195="Yes",AD195="Pending"),Q195='G-7 WaterC'' Data'!$G$4),U195-AA195-Z195,"0")</f>
        <v>0</v>
      </c>
      <c r="AU195" s="30" t="str">
        <f>IF(D195="","",VLOOKUP(D195,'G-7 WaterC'' Data'!B$4:M$8,12,FALSE))</f>
        <v/>
      </c>
      <c r="AV195" s="30" t="str">
        <f t="shared" si="24"/>
        <v/>
      </c>
      <c r="AW195" s="30" t="str">
        <f t="shared" si="34"/>
        <v>No</v>
      </c>
      <c r="BA195" s="571" t="str">
        <f t="shared" si="35"/>
        <v/>
      </c>
    </row>
    <row r="196" spans="3:53" ht="14.4" thickBot="1" x14ac:dyDescent="0.3">
      <c r="C196" s="101">
        <v>187</v>
      </c>
      <c r="D196" s="269"/>
      <c r="E196" s="108"/>
      <c r="F196" s="281" t="str">
        <f>IF(D196="","",VLOOKUP(D196,'G-7 WaterC'' Data'!$B$2:$G$8,2,FALSE))</f>
        <v/>
      </c>
      <c r="G196" s="320" t="str">
        <f>IFERROR(VLOOKUP(F196,'G-7 WaterC'' Data'!$C$4:$D$8,2,FALSE),"")</f>
        <v/>
      </c>
      <c r="H196" s="109"/>
      <c r="I196" s="305" t="str">
        <f>IFERROR(INDEX('G-7 WaterC'' Data'!$H$4:$L$8,MATCH(D196,'G-7 WaterC'' Data'!$B$4:$B$8,0),MATCH(H196,'G-7 WaterC'' Data'!$H$3:$L$3,0)),"")</f>
        <v/>
      </c>
      <c r="J196" s="718"/>
      <c r="K196" s="301" t="str">
        <f>IF(J196="","",IF(VLOOKUP(J196,'G-7 WaterC'' Data'!$AK$4:$AM$9,2,FALSE)=0,"Spatial Data Missing ⚠",VLOOKUP(J196,'G-7 WaterC'' Data'!$AK$4:$AM$6,2,FALSE)))</f>
        <v/>
      </c>
      <c r="L196" s="305" t="str">
        <f>IF(J196="","",IF(VLOOKUP(J196,'G-7 WaterC'' Data'!$AK$4:$AM$9,3,FALSE)=0,"Spatial Data Missing ⚠",VLOOKUP(J196,'G-7 WaterC'' Data'!$AK$4:$AM$6,3,FALSE)))</f>
        <v/>
      </c>
      <c r="M196" s="106"/>
      <c r="N196" s="282" t="str">
        <f>IF(M196="","",IF(AND(M196="N/A - Culvert",D196&lt;&gt;"Culvert"),"Not possible ▲",IF(AND(D196="Culvert",M196&lt;&gt;"N/A - Culvert"),"Not possible ▲",IF(VLOOKUP(M196,'G-7 WaterC'' Data'!$AA$4:$AB$7,2,FALSE)=0,"Spatial Data Missing ⚠",VLOOKUP(M196,'G-7 WaterC'' Data'!$AA$4:$AB$7,2,FALSE)))))</f>
        <v/>
      </c>
      <c r="O196" s="56"/>
      <c r="P196" s="282" t="str">
        <f>IF(O196="","",IF(AND(O196="N/A - Culvert",D196&lt;&gt;"Culvert"),"Not possible ▲",IF(AND(D196="Culvert",O196&lt;&gt;"N/A - Culvert"),"Not possible ▲",IF(VLOOKUP(O196,'G-7 WaterC'' Data'!$AD$4:$AE$14,2,FALSE)=0,"Spatial Data Missing ⚠",VLOOKUP(O196,'G-7 WaterC'' Data'!$AD$4:$AE$14,2,FALSE)))))</f>
        <v/>
      </c>
      <c r="Q196" s="288" t="str">
        <f>IF(D196="","",VLOOKUP(D196,'G-7 WaterC'' Data'!$B$4:$G$8,6,FALSE))</f>
        <v/>
      </c>
      <c r="R196" s="295" t="str">
        <f t="shared" si="25"/>
        <v xml:space="preserve"> </v>
      </c>
      <c r="S196" s="403"/>
      <c r="T196" s="287" t="str">
        <f>IF(S196="","",IF(VLOOKUP(S196,'G-7 WaterC'' Data'!$AO$4:$BO$7,2,FALSE)=0,"Spatial Data Missing ⚠",VLOOKUP(S196,'G-7 WaterC'' Data'!$AO$4:$BO$7,2,FALSE)))</f>
        <v/>
      </c>
      <c r="U196" s="295" t="str">
        <f t="shared" si="26"/>
        <v xml:space="preserve"> </v>
      </c>
      <c r="V196" s="710" t="str">
        <f t="shared" si="27"/>
        <v/>
      </c>
      <c r="W196" s="32"/>
      <c r="X196" s="105"/>
      <c r="Y196" s="112"/>
      <c r="Z196" s="293" t="str">
        <f t="shared" si="28"/>
        <v/>
      </c>
      <c r="AA196" s="293" t="str">
        <f t="shared" si="29"/>
        <v/>
      </c>
      <c r="AB196" s="293" t="str">
        <f t="shared" si="30"/>
        <v/>
      </c>
      <c r="AC196" s="507" t="str">
        <f>IFERROR(IF(OR(E196="",R196=""),"", IF(AND(AB196&lt;&gt;"",S196=""), "Spatial risk category missing ▲", IF(AND(Q196='G-7 WaterC'' Data'!$G$4,AD196="Yes"),"Alternative Compensation ✓", IF(AND(AD196="Pending", Q196='G-7 WaterC'' Data'!$G$4),"Bespoke compensation must be agreed ▲", IF((Z196+AA196)&gt;=U196,0, U196-Z196-AA196))))),"Check Data ⚠")</f>
        <v/>
      </c>
      <c r="AD196" s="403"/>
      <c r="AE196" s="109"/>
      <c r="AF196" s="108"/>
      <c r="AG196" s="108"/>
      <c r="AH196" s="108"/>
      <c r="AI196" s="54" t="str">
        <f>IF(OR(Q196="",AD196="Yes"),"",IF(Q196='G-1 All Habitats'!$X$9,E196-Y196-X196,"None"))</f>
        <v/>
      </c>
      <c r="AJ196" s="55" t="str">
        <f>IF(Q196="","", IF(Q196='G-1 All Habitats'!$X$9, AI196*G196*I196*L196*N196*P196,"None"))</f>
        <v/>
      </c>
      <c r="AK196" s="30" t="str">
        <f>IFERROR(INDEX('G-7 WaterC'' Data'!$AZ$3:$AZ$7,MATCH(D196,'G-7 WaterC'' Data'!$AY$3:$AY$7,0)),"")</f>
        <v/>
      </c>
      <c r="AL196" s="30">
        <f t="shared" si="31"/>
        <v>0</v>
      </c>
      <c r="AM196" s="111" t="str">
        <f t="shared" si="32"/>
        <v/>
      </c>
      <c r="AN196" s="111" t="str">
        <f t="shared" si="33"/>
        <v/>
      </c>
      <c r="AP196" s="111">
        <v>187</v>
      </c>
      <c r="AR196" s="111" t="str">
        <f t="array" ref="AR196">IFERROR(INDEX($AP$10:$AP$258, MATCH(0, IF(TRUE=$AM$10:$AM$258, COUNTIF($AR$9:$AR195, $AP$10:$AP$258), ""), 0)),"")</f>
        <v/>
      </c>
      <c r="AS196" s="111" t="str">
        <f t="array" ref="AS196">IFERROR(INDEX($AP$10:$AP$258, MATCH(0, IF(TRUE=$AN$10:$AN$258, COUNTIF($AS$9:$AS195, $AP$10:$AP$258), ""), 0)),"")</f>
        <v/>
      </c>
      <c r="AT196" s="903" t="str">
        <f>IF(AND(OR(AD196="Yes",AD196="Pending"),Q196='G-7 WaterC'' Data'!$G$4),U196-AA196-Z196,"0")</f>
        <v>0</v>
      </c>
      <c r="AU196" s="30" t="str">
        <f>IF(D196="","",VLOOKUP(D196,'G-7 WaterC'' Data'!B$4:M$8,12,FALSE))</f>
        <v/>
      </c>
      <c r="AV196" s="30" t="str">
        <f t="shared" si="24"/>
        <v/>
      </c>
      <c r="AW196" s="30" t="str">
        <f t="shared" si="34"/>
        <v>No</v>
      </c>
      <c r="BA196" s="571" t="str">
        <f t="shared" si="35"/>
        <v/>
      </c>
    </row>
    <row r="197" spans="3:53" ht="14.4" thickBot="1" x14ac:dyDescent="0.3">
      <c r="C197" s="101">
        <v>188</v>
      </c>
      <c r="D197" s="269"/>
      <c r="E197" s="108"/>
      <c r="F197" s="281" t="str">
        <f>IF(D197="","",VLOOKUP(D197,'G-7 WaterC'' Data'!$B$2:$G$8,2,FALSE))</f>
        <v/>
      </c>
      <c r="G197" s="320" t="str">
        <f>IFERROR(VLOOKUP(F197,'G-7 WaterC'' Data'!$C$4:$D$8,2,FALSE),"")</f>
        <v/>
      </c>
      <c r="H197" s="109"/>
      <c r="I197" s="305" t="str">
        <f>IFERROR(INDEX('G-7 WaterC'' Data'!$H$4:$L$8,MATCH(D197,'G-7 WaterC'' Data'!$B$4:$B$8,0),MATCH(H197,'G-7 WaterC'' Data'!$H$3:$L$3,0)),"")</f>
        <v/>
      </c>
      <c r="J197" s="718"/>
      <c r="K197" s="301" t="str">
        <f>IF(J197="","",IF(VLOOKUP(J197,'G-7 WaterC'' Data'!$AK$4:$AM$9,2,FALSE)=0,"Spatial Data Missing ⚠",VLOOKUP(J197,'G-7 WaterC'' Data'!$AK$4:$AM$6,2,FALSE)))</f>
        <v/>
      </c>
      <c r="L197" s="305" t="str">
        <f>IF(J197="","",IF(VLOOKUP(J197,'G-7 WaterC'' Data'!$AK$4:$AM$9,3,FALSE)=0,"Spatial Data Missing ⚠",VLOOKUP(J197,'G-7 WaterC'' Data'!$AK$4:$AM$6,3,FALSE)))</f>
        <v/>
      </c>
      <c r="M197" s="106"/>
      <c r="N197" s="282" t="str">
        <f>IF(M197="","",IF(AND(M197="N/A - Culvert",D197&lt;&gt;"Culvert"),"Not possible ▲",IF(AND(D197="Culvert",M197&lt;&gt;"N/A - Culvert"),"Not possible ▲",IF(VLOOKUP(M197,'G-7 WaterC'' Data'!$AA$4:$AB$7,2,FALSE)=0,"Spatial Data Missing ⚠",VLOOKUP(M197,'G-7 WaterC'' Data'!$AA$4:$AB$7,2,FALSE)))))</f>
        <v/>
      </c>
      <c r="O197" s="56"/>
      <c r="P197" s="282" t="str">
        <f>IF(O197="","",IF(AND(O197="N/A - Culvert",D197&lt;&gt;"Culvert"),"Not possible ▲",IF(AND(D197="Culvert",O197&lt;&gt;"N/A - Culvert"),"Not possible ▲",IF(VLOOKUP(O197,'G-7 WaterC'' Data'!$AD$4:$AE$14,2,FALSE)=0,"Spatial Data Missing ⚠",VLOOKUP(O197,'G-7 WaterC'' Data'!$AD$4:$AE$14,2,FALSE)))))</f>
        <v/>
      </c>
      <c r="Q197" s="288" t="str">
        <f>IF(D197="","",VLOOKUP(D197,'G-7 WaterC'' Data'!$B$4:$G$8,6,FALSE))</f>
        <v/>
      </c>
      <c r="R197" s="295" t="str">
        <f t="shared" si="25"/>
        <v xml:space="preserve"> </v>
      </c>
      <c r="S197" s="403"/>
      <c r="T197" s="287" t="str">
        <f>IF(S197="","",IF(VLOOKUP(S197,'G-7 WaterC'' Data'!$AO$4:$BO$7,2,FALSE)=0,"Spatial Data Missing ⚠",VLOOKUP(S197,'G-7 WaterC'' Data'!$AO$4:$BO$7,2,FALSE)))</f>
        <v/>
      </c>
      <c r="U197" s="295" t="str">
        <f t="shared" si="26"/>
        <v xml:space="preserve"> </v>
      </c>
      <c r="V197" s="710" t="str">
        <f t="shared" si="27"/>
        <v/>
      </c>
      <c r="W197" s="32"/>
      <c r="X197" s="105"/>
      <c r="Y197" s="112"/>
      <c r="Z197" s="293" t="str">
        <f t="shared" si="28"/>
        <v/>
      </c>
      <c r="AA197" s="293" t="str">
        <f t="shared" si="29"/>
        <v/>
      </c>
      <c r="AB197" s="293" t="str">
        <f t="shared" si="30"/>
        <v/>
      </c>
      <c r="AC197" s="507" t="str">
        <f>IFERROR(IF(OR(E197="",R197=""),"", IF(AND(AB197&lt;&gt;"",S197=""), "Spatial risk category missing ▲", IF(AND(Q197='G-7 WaterC'' Data'!$G$4,AD197="Yes"),"Alternative Compensation ✓", IF(AND(AD197="Pending", Q197='G-7 WaterC'' Data'!$G$4),"Bespoke compensation must be agreed ▲", IF((Z197+AA197)&gt;=U197,0, U197-Z197-AA197))))),"Check Data ⚠")</f>
        <v/>
      </c>
      <c r="AD197" s="403"/>
      <c r="AE197" s="109"/>
      <c r="AF197" s="108"/>
      <c r="AG197" s="108"/>
      <c r="AH197" s="108"/>
      <c r="AI197" s="54" t="str">
        <f>IF(OR(Q197="",AD197="Yes"),"",IF(Q197='G-1 All Habitats'!$X$9,E197-Y197-X197,"None"))</f>
        <v/>
      </c>
      <c r="AJ197" s="55" t="str">
        <f>IF(Q197="","", IF(Q197='G-1 All Habitats'!$X$9, AI197*G197*I197*L197*N197*P197,"None"))</f>
        <v/>
      </c>
      <c r="AK197" s="30" t="str">
        <f>IFERROR(INDEX('G-7 WaterC'' Data'!$AZ$3:$AZ$7,MATCH(D197,'G-7 WaterC'' Data'!$AY$3:$AY$7,0)),"")</f>
        <v/>
      </c>
      <c r="AL197" s="30">
        <f t="shared" si="31"/>
        <v>0</v>
      </c>
      <c r="AM197" s="111" t="str">
        <f t="shared" si="32"/>
        <v/>
      </c>
      <c r="AN197" s="111" t="str">
        <f t="shared" si="33"/>
        <v/>
      </c>
      <c r="AP197" s="111">
        <v>188</v>
      </c>
      <c r="AR197" s="111" t="str">
        <f t="array" ref="AR197">IFERROR(INDEX($AP$10:$AP$258, MATCH(0, IF(TRUE=$AM$10:$AM$258, COUNTIF($AR$9:$AR196, $AP$10:$AP$258), ""), 0)),"")</f>
        <v/>
      </c>
      <c r="AS197" s="111" t="str">
        <f t="array" ref="AS197">IFERROR(INDEX($AP$10:$AP$258, MATCH(0, IF(TRUE=$AN$10:$AN$258, COUNTIF($AS$9:$AS196, $AP$10:$AP$258), ""), 0)),"")</f>
        <v/>
      </c>
      <c r="AT197" s="903" t="str">
        <f>IF(AND(OR(AD197="Yes",AD197="Pending"),Q197='G-7 WaterC'' Data'!$G$4),U197-AA197-Z197,"0")</f>
        <v>0</v>
      </c>
      <c r="AU197" s="30" t="str">
        <f>IF(D197="","",VLOOKUP(D197,'G-7 WaterC'' Data'!B$4:M$8,12,FALSE))</f>
        <v/>
      </c>
      <c r="AV197" s="30" t="str">
        <f t="shared" si="24"/>
        <v/>
      </c>
      <c r="AW197" s="30" t="str">
        <f t="shared" si="34"/>
        <v>No</v>
      </c>
      <c r="BA197" s="571" t="str">
        <f t="shared" si="35"/>
        <v/>
      </c>
    </row>
    <row r="198" spans="3:53" ht="14.4" thickBot="1" x14ac:dyDescent="0.3">
      <c r="C198" s="101">
        <v>189</v>
      </c>
      <c r="D198" s="269"/>
      <c r="E198" s="108"/>
      <c r="F198" s="281" t="str">
        <f>IF(D198="","",VLOOKUP(D198,'G-7 WaterC'' Data'!$B$2:$G$8,2,FALSE))</f>
        <v/>
      </c>
      <c r="G198" s="320" t="str">
        <f>IFERROR(VLOOKUP(F198,'G-7 WaterC'' Data'!$C$4:$D$8,2,FALSE),"")</f>
        <v/>
      </c>
      <c r="H198" s="109"/>
      <c r="I198" s="305" t="str">
        <f>IFERROR(INDEX('G-7 WaterC'' Data'!$H$4:$L$8,MATCH(D198,'G-7 WaterC'' Data'!$B$4:$B$8,0),MATCH(H198,'G-7 WaterC'' Data'!$H$3:$L$3,0)),"")</f>
        <v/>
      </c>
      <c r="J198" s="718"/>
      <c r="K198" s="301" t="str">
        <f>IF(J198="","",IF(VLOOKUP(J198,'G-7 WaterC'' Data'!$AK$4:$AM$9,2,FALSE)=0,"Spatial Data Missing ⚠",VLOOKUP(J198,'G-7 WaterC'' Data'!$AK$4:$AM$6,2,FALSE)))</f>
        <v/>
      </c>
      <c r="L198" s="305" t="str">
        <f>IF(J198="","",IF(VLOOKUP(J198,'G-7 WaterC'' Data'!$AK$4:$AM$9,3,FALSE)=0,"Spatial Data Missing ⚠",VLOOKUP(J198,'G-7 WaterC'' Data'!$AK$4:$AM$6,3,FALSE)))</f>
        <v/>
      </c>
      <c r="M198" s="106"/>
      <c r="N198" s="282" t="str">
        <f>IF(M198="","",IF(AND(M198="N/A - Culvert",D198&lt;&gt;"Culvert"),"Not possible ▲",IF(AND(D198="Culvert",M198&lt;&gt;"N/A - Culvert"),"Not possible ▲",IF(VLOOKUP(M198,'G-7 WaterC'' Data'!$AA$4:$AB$7,2,FALSE)=0,"Spatial Data Missing ⚠",VLOOKUP(M198,'G-7 WaterC'' Data'!$AA$4:$AB$7,2,FALSE)))))</f>
        <v/>
      </c>
      <c r="O198" s="56"/>
      <c r="P198" s="282" t="str">
        <f>IF(O198="","",IF(AND(O198="N/A - Culvert",D198&lt;&gt;"Culvert"),"Not possible ▲",IF(AND(D198="Culvert",O198&lt;&gt;"N/A - Culvert"),"Not possible ▲",IF(VLOOKUP(O198,'G-7 WaterC'' Data'!$AD$4:$AE$14,2,FALSE)=0,"Spatial Data Missing ⚠",VLOOKUP(O198,'G-7 WaterC'' Data'!$AD$4:$AE$14,2,FALSE)))))</f>
        <v/>
      </c>
      <c r="Q198" s="288" t="str">
        <f>IF(D198="","",VLOOKUP(D198,'G-7 WaterC'' Data'!$B$4:$G$8,6,FALSE))</f>
        <v/>
      </c>
      <c r="R198" s="295" t="str">
        <f t="shared" si="25"/>
        <v xml:space="preserve"> </v>
      </c>
      <c r="S198" s="403"/>
      <c r="T198" s="287" t="str">
        <f>IF(S198="","",IF(VLOOKUP(S198,'G-7 WaterC'' Data'!$AO$4:$BO$7,2,FALSE)=0,"Spatial Data Missing ⚠",VLOOKUP(S198,'G-7 WaterC'' Data'!$AO$4:$BO$7,2,FALSE)))</f>
        <v/>
      </c>
      <c r="U198" s="295" t="str">
        <f t="shared" si="26"/>
        <v xml:space="preserve"> </v>
      </c>
      <c r="V198" s="710" t="str">
        <f t="shared" si="27"/>
        <v/>
      </c>
      <c r="W198" s="32"/>
      <c r="X198" s="105"/>
      <c r="Y198" s="112"/>
      <c r="Z198" s="293" t="str">
        <f t="shared" si="28"/>
        <v/>
      </c>
      <c r="AA198" s="293" t="str">
        <f t="shared" si="29"/>
        <v/>
      </c>
      <c r="AB198" s="293" t="str">
        <f t="shared" si="30"/>
        <v/>
      </c>
      <c r="AC198" s="507" t="str">
        <f>IFERROR(IF(OR(E198="",R198=""),"", IF(AND(AB198&lt;&gt;"",S198=""), "Spatial risk category missing ▲", IF(AND(Q198='G-7 WaterC'' Data'!$G$4,AD198="Yes"),"Alternative Compensation ✓", IF(AND(AD198="Pending", Q198='G-7 WaterC'' Data'!$G$4),"Bespoke compensation must be agreed ▲", IF((Z198+AA198)&gt;=U198,0, U198-Z198-AA198))))),"Check Data ⚠")</f>
        <v/>
      </c>
      <c r="AD198" s="403"/>
      <c r="AE198" s="109"/>
      <c r="AF198" s="108"/>
      <c r="AG198" s="108"/>
      <c r="AH198" s="108"/>
      <c r="AI198" s="54" t="str">
        <f>IF(OR(Q198="",AD198="Yes"),"",IF(Q198='G-1 All Habitats'!$X$9,E198-Y198-X198,"None"))</f>
        <v/>
      </c>
      <c r="AJ198" s="55" t="str">
        <f>IF(Q198="","", IF(Q198='G-1 All Habitats'!$X$9, AI198*G198*I198*L198*N198*P198,"None"))</f>
        <v/>
      </c>
      <c r="AK198" s="30" t="str">
        <f>IFERROR(INDEX('G-7 WaterC'' Data'!$AZ$3:$AZ$7,MATCH(D198,'G-7 WaterC'' Data'!$AY$3:$AY$7,0)),"")</f>
        <v/>
      </c>
      <c r="AL198" s="30">
        <f t="shared" si="31"/>
        <v>0</v>
      </c>
      <c r="AM198" s="111" t="str">
        <f t="shared" si="32"/>
        <v/>
      </c>
      <c r="AN198" s="111" t="str">
        <f t="shared" si="33"/>
        <v/>
      </c>
      <c r="AP198" s="111">
        <v>189</v>
      </c>
      <c r="AR198" s="111" t="str">
        <f t="array" ref="AR198">IFERROR(INDEX($AP$10:$AP$258, MATCH(0, IF(TRUE=$AM$10:$AM$258, COUNTIF($AR$9:$AR197, $AP$10:$AP$258), ""), 0)),"")</f>
        <v/>
      </c>
      <c r="AS198" s="111" t="str">
        <f t="array" ref="AS198">IFERROR(INDEX($AP$10:$AP$258, MATCH(0, IF(TRUE=$AN$10:$AN$258, COUNTIF($AS$9:$AS197, $AP$10:$AP$258), ""), 0)),"")</f>
        <v/>
      </c>
      <c r="AT198" s="903" t="str">
        <f>IF(AND(OR(AD198="Yes",AD198="Pending"),Q198='G-7 WaterC'' Data'!$G$4),U198-AA198-Z198,"0")</f>
        <v>0</v>
      </c>
      <c r="AU198" s="30" t="str">
        <f>IF(D198="","",VLOOKUP(D198,'G-7 WaterC'' Data'!B$4:M$8,12,FALSE))</f>
        <v/>
      </c>
      <c r="AV198" s="30" t="str">
        <f t="shared" si="24"/>
        <v/>
      </c>
      <c r="AW198" s="30" t="str">
        <f t="shared" si="34"/>
        <v>No</v>
      </c>
      <c r="BA198" s="571" t="str">
        <f t="shared" si="35"/>
        <v/>
      </c>
    </row>
    <row r="199" spans="3:53" ht="14.4" thickBot="1" x14ac:dyDescent="0.3">
      <c r="C199" s="101">
        <v>190</v>
      </c>
      <c r="D199" s="269"/>
      <c r="E199" s="108"/>
      <c r="F199" s="281" t="str">
        <f>IF(D199="","",VLOOKUP(D199,'G-7 WaterC'' Data'!$B$2:$G$8,2,FALSE))</f>
        <v/>
      </c>
      <c r="G199" s="320" t="str">
        <f>IFERROR(VLOOKUP(F199,'G-7 WaterC'' Data'!$C$4:$D$8,2,FALSE),"")</f>
        <v/>
      </c>
      <c r="H199" s="109"/>
      <c r="I199" s="305" t="str">
        <f>IFERROR(INDEX('G-7 WaterC'' Data'!$H$4:$L$8,MATCH(D199,'G-7 WaterC'' Data'!$B$4:$B$8,0),MATCH(H199,'G-7 WaterC'' Data'!$H$3:$L$3,0)),"")</f>
        <v/>
      </c>
      <c r="J199" s="718"/>
      <c r="K199" s="301" t="str">
        <f>IF(J199="","",IF(VLOOKUP(J199,'G-7 WaterC'' Data'!$AK$4:$AM$9,2,FALSE)=0,"Spatial Data Missing ⚠",VLOOKUP(J199,'G-7 WaterC'' Data'!$AK$4:$AM$6,2,FALSE)))</f>
        <v/>
      </c>
      <c r="L199" s="305" t="str">
        <f>IF(J199="","",IF(VLOOKUP(J199,'G-7 WaterC'' Data'!$AK$4:$AM$9,3,FALSE)=0,"Spatial Data Missing ⚠",VLOOKUP(J199,'G-7 WaterC'' Data'!$AK$4:$AM$6,3,FALSE)))</f>
        <v/>
      </c>
      <c r="M199" s="106"/>
      <c r="N199" s="282" t="str">
        <f>IF(M199="","",IF(AND(M199="N/A - Culvert",D199&lt;&gt;"Culvert"),"Not possible ▲",IF(AND(D199="Culvert",M199&lt;&gt;"N/A - Culvert"),"Not possible ▲",IF(VLOOKUP(M199,'G-7 WaterC'' Data'!$AA$4:$AB$7,2,FALSE)=0,"Spatial Data Missing ⚠",VLOOKUP(M199,'G-7 WaterC'' Data'!$AA$4:$AB$7,2,FALSE)))))</f>
        <v/>
      </c>
      <c r="O199" s="56"/>
      <c r="P199" s="282" t="str">
        <f>IF(O199="","",IF(AND(O199="N/A - Culvert",D199&lt;&gt;"Culvert"),"Not possible ▲",IF(AND(D199="Culvert",O199&lt;&gt;"N/A - Culvert"),"Not possible ▲",IF(VLOOKUP(O199,'G-7 WaterC'' Data'!$AD$4:$AE$14,2,FALSE)=0,"Spatial Data Missing ⚠",VLOOKUP(O199,'G-7 WaterC'' Data'!$AD$4:$AE$14,2,FALSE)))))</f>
        <v/>
      </c>
      <c r="Q199" s="288" t="str">
        <f>IF(D199="","",VLOOKUP(D199,'G-7 WaterC'' Data'!$B$4:$G$8,6,FALSE))</f>
        <v/>
      </c>
      <c r="R199" s="295" t="str">
        <f t="shared" si="25"/>
        <v xml:space="preserve"> </v>
      </c>
      <c r="S199" s="403"/>
      <c r="T199" s="287" t="str">
        <f>IF(S199="","",IF(VLOOKUP(S199,'G-7 WaterC'' Data'!$AO$4:$BO$7,2,FALSE)=0,"Spatial Data Missing ⚠",VLOOKUP(S199,'G-7 WaterC'' Data'!$AO$4:$BO$7,2,FALSE)))</f>
        <v/>
      </c>
      <c r="U199" s="295" t="str">
        <f t="shared" si="26"/>
        <v xml:space="preserve"> </v>
      </c>
      <c r="V199" s="710" t="str">
        <f t="shared" si="27"/>
        <v/>
      </c>
      <c r="W199" s="32"/>
      <c r="X199" s="105"/>
      <c r="Y199" s="112"/>
      <c r="Z199" s="293" t="str">
        <f t="shared" si="28"/>
        <v/>
      </c>
      <c r="AA199" s="293" t="str">
        <f t="shared" si="29"/>
        <v/>
      </c>
      <c r="AB199" s="293" t="str">
        <f t="shared" si="30"/>
        <v/>
      </c>
      <c r="AC199" s="507" t="str">
        <f>IFERROR(IF(OR(E199="",R199=""),"", IF(AND(AB199&lt;&gt;"",S199=""), "Spatial risk category missing ▲", IF(AND(Q199='G-7 WaterC'' Data'!$G$4,AD199="Yes"),"Alternative Compensation ✓", IF(AND(AD199="Pending", Q199='G-7 WaterC'' Data'!$G$4),"Bespoke compensation must be agreed ▲", IF((Z199+AA199)&gt;=U199,0, U199-Z199-AA199))))),"Check Data ⚠")</f>
        <v/>
      </c>
      <c r="AD199" s="403"/>
      <c r="AE199" s="109"/>
      <c r="AF199" s="108"/>
      <c r="AG199" s="108"/>
      <c r="AH199" s="108"/>
      <c r="AI199" s="54" t="str">
        <f>IF(OR(Q199="",AD199="Yes"),"",IF(Q199='G-1 All Habitats'!$X$9,E199-Y199-X199,"None"))</f>
        <v/>
      </c>
      <c r="AJ199" s="55" t="str">
        <f>IF(Q199="","", IF(Q199='G-1 All Habitats'!$X$9, AI199*G199*I199*L199*N199*P199,"None"))</f>
        <v/>
      </c>
      <c r="AK199" s="30" t="str">
        <f>IFERROR(INDEX('G-7 WaterC'' Data'!$AZ$3:$AZ$7,MATCH(D199,'G-7 WaterC'' Data'!$AY$3:$AY$7,0)),"")</f>
        <v/>
      </c>
      <c r="AL199" s="30">
        <f t="shared" si="31"/>
        <v>0</v>
      </c>
      <c r="AM199" s="111" t="str">
        <f t="shared" si="32"/>
        <v/>
      </c>
      <c r="AN199" s="111" t="str">
        <f t="shared" si="33"/>
        <v/>
      </c>
      <c r="AP199" s="111">
        <v>190</v>
      </c>
      <c r="AR199" s="111" t="str">
        <f t="array" ref="AR199">IFERROR(INDEX($AP$10:$AP$258, MATCH(0, IF(TRUE=$AM$10:$AM$258, COUNTIF($AR$9:$AR198, $AP$10:$AP$258), ""), 0)),"")</f>
        <v/>
      </c>
      <c r="AS199" s="111" t="str">
        <f t="array" ref="AS199">IFERROR(INDEX($AP$10:$AP$258, MATCH(0, IF(TRUE=$AN$10:$AN$258, COUNTIF($AS$9:$AS198, $AP$10:$AP$258), ""), 0)),"")</f>
        <v/>
      </c>
      <c r="AT199" s="903" t="str">
        <f>IF(AND(OR(AD199="Yes",AD199="Pending"),Q199='G-7 WaterC'' Data'!$G$4),U199-AA199-Z199,"0")</f>
        <v>0</v>
      </c>
      <c r="AU199" s="30" t="str">
        <f>IF(D199="","",VLOOKUP(D199,'G-7 WaterC'' Data'!B$4:M$8,12,FALSE))</f>
        <v/>
      </c>
      <c r="AV199" s="30" t="str">
        <f t="shared" si="24"/>
        <v/>
      </c>
      <c r="AW199" s="30" t="str">
        <f t="shared" si="34"/>
        <v>No</v>
      </c>
      <c r="BA199" s="571" t="str">
        <f t="shared" si="35"/>
        <v/>
      </c>
    </row>
    <row r="200" spans="3:53" ht="14.4" thickBot="1" x14ac:dyDescent="0.3">
      <c r="C200" s="101">
        <v>191</v>
      </c>
      <c r="D200" s="269"/>
      <c r="E200" s="108"/>
      <c r="F200" s="281" t="str">
        <f>IF(D200="","",VLOOKUP(D200,'G-7 WaterC'' Data'!$B$2:$G$8,2,FALSE))</f>
        <v/>
      </c>
      <c r="G200" s="320" t="str">
        <f>IFERROR(VLOOKUP(F200,'G-7 WaterC'' Data'!$C$4:$D$8,2,FALSE),"")</f>
        <v/>
      </c>
      <c r="H200" s="109"/>
      <c r="I200" s="305" t="str">
        <f>IFERROR(INDEX('G-7 WaterC'' Data'!$H$4:$L$8,MATCH(D200,'G-7 WaterC'' Data'!$B$4:$B$8,0),MATCH(H200,'G-7 WaterC'' Data'!$H$3:$L$3,0)),"")</f>
        <v/>
      </c>
      <c r="J200" s="718"/>
      <c r="K200" s="301" t="str">
        <f>IF(J200="","",IF(VLOOKUP(J200,'G-7 WaterC'' Data'!$AK$4:$AM$9,2,FALSE)=0,"Spatial Data Missing ⚠",VLOOKUP(J200,'G-7 WaterC'' Data'!$AK$4:$AM$6,2,FALSE)))</f>
        <v/>
      </c>
      <c r="L200" s="305" t="str">
        <f>IF(J200="","",IF(VLOOKUP(J200,'G-7 WaterC'' Data'!$AK$4:$AM$9,3,FALSE)=0,"Spatial Data Missing ⚠",VLOOKUP(J200,'G-7 WaterC'' Data'!$AK$4:$AM$6,3,FALSE)))</f>
        <v/>
      </c>
      <c r="M200" s="106"/>
      <c r="N200" s="282" t="str">
        <f>IF(M200="","",IF(AND(M200="N/A - Culvert",D200&lt;&gt;"Culvert"),"Not possible ▲",IF(AND(D200="Culvert",M200&lt;&gt;"N/A - Culvert"),"Not possible ▲",IF(VLOOKUP(M200,'G-7 WaterC'' Data'!$AA$4:$AB$7,2,FALSE)=0,"Spatial Data Missing ⚠",VLOOKUP(M200,'G-7 WaterC'' Data'!$AA$4:$AB$7,2,FALSE)))))</f>
        <v/>
      </c>
      <c r="O200" s="56"/>
      <c r="P200" s="282" t="str">
        <f>IF(O200="","",IF(AND(O200="N/A - Culvert",D200&lt;&gt;"Culvert"),"Not possible ▲",IF(AND(D200="Culvert",O200&lt;&gt;"N/A - Culvert"),"Not possible ▲",IF(VLOOKUP(O200,'G-7 WaterC'' Data'!$AD$4:$AE$14,2,FALSE)=0,"Spatial Data Missing ⚠",VLOOKUP(O200,'G-7 WaterC'' Data'!$AD$4:$AE$14,2,FALSE)))))</f>
        <v/>
      </c>
      <c r="Q200" s="288" t="str">
        <f>IF(D200="","",VLOOKUP(D200,'G-7 WaterC'' Data'!$B$4:$G$8,6,FALSE))</f>
        <v/>
      </c>
      <c r="R200" s="295" t="str">
        <f t="shared" si="25"/>
        <v xml:space="preserve"> </v>
      </c>
      <c r="S200" s="403"/>
      <c r="T200" s="287" t="str">
        <f>IF(S200="","",IF(VLOOKUP(S200,'G-7 WaterC'' Data'!$AO$4:$BO$7,2,FALSE)=0,"Spatial Data Missing ⚠",VLOOKUP(S200,'G-7 WaterC'' Data'!$AO$4:$BO$7,2,FALSE)))</f>
        <v/>
      </c>
      <c r="U200" s="295" t="str">
        <f t="shared" si="26"/>
        <v xml:space="preserve"> </v>
      </c>
      <c r="V200" s="710" t="str">
        <f t="shared" si="27"/>
        <v/>
      </c>
      <c r="W200" s="32"/>
      <c r="X200" s="105"/>
      <c r="Y200" s="112"/>
      <c r="Z200" s="293" t="str">
        <f t="shared" si="28"/>
        <v/>
      </c>
      <c r="AA200" s="293" t="str">
        <f t="shared" si="29"/>
        <v/>
      </c>
      <c r="AB200" s="293" t="str">
        <f t="shared" si="30"/>
        <v/>
      </c>
      <c r="AC200" s="507" t="str">
        <f>IFERROR(IF(OR(E200="",R200=""),"", IF(AND(AB200&lt;&gt;"",S200=""), "Spatial risk category missing ▲", IF(AND(Q200='G-7 WaterC'' Data'!$G$4,AD200="Yes"),"Alternative Compensation ✓", IF(AND(AD200="Pending", Q200='G-7 WaterC'' Data'!$G$4),"Bespoke compensation must be agreed ▲", IF((Z200+AA200)&gt;=U200,0, U200-Z200-AA200))))),"Check Data ⚠")</f>
        <v/>
      </c>
      <c r="AD200" s="403"/>
      <c r="AE200" s="109"/>
      <c r="AF200" s="108"/>
      <c r="AG200" s="108"/>
      <c r="AH200" s="108"/>
      <c r="AI200" s="54" t="str">
        <f>IF(OR(Q200="",AD200="Yes"),"",IF(Q200='G-1 All Habitats'!$X$9,E200-Y200-X200,"None"))</f>
        <v/>
      </c>
      <c r="AJ200" s="55" t="str">
        <f>IF(Q200="","", IF(Q200='G-1 All Habitats'!$X$9, AI200*G200*I200*L200*N200*P200,"None"))</f>
        <v/>
      </c>
      <c r="AK200" s="30" t="str">
        <f>IFERROR(INDEX('G-7 WaterC'' Data'!$AZ$3:$AZ$7,MATCH(D200,'G-7 WaterC'' Data'!$AY$3:$AY$7,0)),"")</f>
        <v/>
      </c>
      <c r="AL200" s="30">
        <f t="shared" si="31"/>
        <v>0</v>
      </c>
      <c r="AM200" s="111" t="str">
        <f t="shared" si="32"/>
        <v/>
      </c>
      <c r="AN200" s="111" t="str">
        <f t="shared" si="33"/>
        <v/>
      </c>
      <c r="AP200" s="111">
        <v>191</v>
      </c>
      <c r="AR200" s="111" t="str">
        <f t="array" ref="AR200">IFERROR(INDEX($AP$10:$AP$258, MATCH(0, IF(TRUE=$AM$10:$AM$258, COUNTIF($AR$9:$AR199, $AP$10:$AP$258), ""), 0)),"")</f>
        <v/>
      </c>
      <c r="AS200" s="111" t="str">
        <f t="array" ref="AS200">IFERROR(INDEX($AP$10:$AP$258, MATCH(0, IF(TRUE=$AN$10:$AN$258, COUNTIF($AS$9:$AS199, $AP$10:$AP$258), ""), 0)),"")</f>
        <v/>
      </c>
      <c r="AT200" s="903" t="str">
        <f>IF(AND(OR(AD200="Yes",AD200="Pending"),Q200='G-7 WaterC'' Data'!$G$4),U200-AA200-Z200,"0")</f>
        <v>0</v>
      </c>
      <c r="AU200" s="30" t="str">
        <f>IF(D200="","",VLOOKUP(D200,'G-7 WaterC'' Data'!B$4:M$8,12,FALSE))</f>
        <v/>
      </c>
      <c r="AV200" s="30" t="str">
        <f t="shared" si="24"/>
        <v/>
      </c>
      <c r="AW200" s="30" t="str">
        <f t="shared" si="34"/>
        <v>No</v>
      </c>
      <c r="BA200" s="571" t="str">
        <f t="shared" si="35"/>
        <v/>
      </c>
    </row>
    <row r="201" spans="3:53" ht="14.4" thickBot="1" x14ac:dyDescent="0.3">
      <c r="C201" s="101">
        <v>192</v>
      </c>
      <c r="D201" s="269"/>
      <c r="E201" s="108"/>
      <c r="F201" s="281" t="str">
        <f>IF(D201="","",VLOOKUP(D201,'G-7 WaterC'' Data'!$B$2:$G$8,2,FALSE))</f>
        <v/>
      </c>
      <c r="G201" s="320" t="str">
        <f>IFERROR(VLOOKUP(F201,'G-7 WaterC'' Data'!$C$4:$D$8,2,FALSE),"")</f>
        <v/>
      </c>
      <c r="H201" s="109"/>
      <c r="I201" s="305" t="str">
        <f>IFERROR(INDEX('G-7 WaterC'' Data'!$H$4:$L$8,MATCH(D201,'G-7 WaterC'' Data'!$B$4:$B$8,0),MATCH(H201,'G-7 WaterC'' Data'!$H$3:$L$3,0)),"")</f>
        <v/>
      </c>
      <c r="J201" s="718"/>
      <c r="K201" s="301" t="str">
        <f>IF(J201="","",IF(VLOOKUP(J201,'G-7 WaterC'' Data'!$AK$4:$AM$9,2,FALSE)=0,"Spatial Data Missing ⚠",VLOOKUP(J201,'G-7 WaterC'' Data'!$AK$4:$AM$6,2,FALSE)))</f>
        <v/>
      </c>
      <c r="L201" s="305" t="str">
        <f>IF(J201="","",IF(VLOOKUP(J201,'G-7 WaterC'' Data'!$AK$4:$AM$9,3,FALSE)=0,"Spatial Data Missing ⚠",VLOOKUP(J201,'G-7 WaterC'' Data'!$AK$4:$AM$6,3,FALSE)))</f>
        <v/>
      </c>
      <c r="M201" s="106"/>
      <c r="N201" s="282" t="str">
        <f>IF(M201="","",IF(AND(M201="N/A - Culvert",D201&lt;&gt;"Culvert"),"Not possible ▲",IF(AND(D201="Culvert",M201&lt;&gt;"N/A - Culvert"),"Not possible ▲",IF(VLOOKUP(M201,'G-7 WaterC'' Data'!$AA$4:$AB$7,2,FALSE)=0,"Spatial Data Missing ⚠",VLOOKUP(M201,'G-7 WaterC'' Data'!$AA$4:$AB$7,2,FALSE)))))</f>
        <v/>
      </c>
      <c r="O201" s="56"/>
      <c r="P201" s="282" t="str">
        <f>IF(O201="","",IF(AND(O201="N/A - Culvert",D201&lt;&gt;"Culvert"),"Not possible ▲",IF(AND(D201="Culvert",O201&lt;&gt;"N/A - Culvert"),"Not possible ▲",IF(VLOOKUP(O201,'G-7 WaterC'' Data'!$AD$4:$AE$14,2,FALSE)=0,"Spatial Data Missing ⚠",VLOOKUP(O201,'G-7 WaterC'' Data'!$AD$4:$AE$14,2,FALSE)))))</f>
        <v/>
      </c>
      <c r="Q201" s="288" t="str">
        <f>IF(D201="","",VLOOKUP(D201,'G-7 WaterC'' Data'!$B$4:$G$8,6,FALSE))</f>
        <v/>
      </c>
      <c r="R201" s="295" t="str">
        <f t="shared" si="25"/>
        <v xml:space="preserve"> </v>
      </c>
      <c r="S201" s="403"/>
      <c r="T201" s="287" t="str">
        <f>IF(S201="","",IF(VLOOKUP(S201,'G-7 WaterC'' Data'!$AO$4:$BO$7,2,FALSE)=0,"Spatial Data Missing ⚠",VLOOKUP(S201,'G-7 WaterC'' Data'!$AO$4:$BO$7,2,FALSE)))</f>
        <v/>
      </c>
      <c r="U201" s="295" t="str">
        <f t="shared" si="26"/>
        <v xml:space="preserve"> </v>
      </c>
      <c r="V201" s="710" t="str">
        <f t="shared" si="27"/>
        <v/>
      </c>
      <c r="W201" s="32"/>
      <c r="X201" s="105"/>
      <c r="Y201" s="112"/>
      <c r="Z201" s="293" t="str">
        <f t="shared" si="28"/>
        <v/>
      </c>
      <c r="AA201" s="293" t="str">
        <f t="shared" si="29"/>
        <v/>
      </c>
      <c r="AB201" s="293" t="str">
        <f t="shared" si="30"/>
        <v/>
      </c>
      <c r="AC201" s="507" t="str">
        <f>IFERROR(IF(OR(E201="",R201=""),"", IF(AND(AB201&lt;&gt;"",S201=""), "Spatial risk category missing ▲", IF(AND(Q201='G-7 WaterC'' Data'!$G$4,AD201="Yes"),"Alternative Compensation ✓", IF(AND(AD201="Pending", Q201='G-7 WaterC'' Data'!$G$4),"Bespoke compensation must be agreed ▲", IF((Z201+AA201)&gt;=U201,0, U201-Z201-AA201))))),"Check Data ⚠")</f>
        <v/>
      </c>
      <c r="AD201" s="403"/>
      <c r="AE201" s="109"/>
      <c r="AF201" s="108"/>
      <c r="AG201" s="108"/>
      <c r="AH201" s="108"/>
      <c r="AI201" s="54" t="str">
        <f>IF(OR(Q201="",AD201="Yes"),"",IF(Q201='G-1 All Habitats'!$X$9,E201-Y201-X201,"None"))</f>
        <v/>
      </c>
      <c r="AJ201" s="55" t="str">
        <f>IF(Q201="","", IF(Q201='G-1 All Habitats'!$X$9, AI201*G201*I201*L201*N201*P201,"None"))</f>
        <v/>
      </c>
      <c r="AK201" s="30" t="str">
        <f>IFERROR(INDEX('G-7 WaterC'' Data'!$AZ$3:$AZ$7,MATCH(D201,'G-7 WaterC'' Data'!$AY$3:$AY$7,0)),"")</f>
        <v/>
      </c>
      <c r="AL201" s="30">
        <f t="shared" si="31"/>
        <v>0</v>
      </c>
      <c r="AM201" s="111" t="str">
        <f t="shared" si="32"/>
        <v/>
      </c>
      <c r="AN201" s="111" t="str">
        <f t="shared" si="33"/>
        <v/>
      </c>
      <c r="AP201" s="111">
        <v>192</v>
      </c>
      <c r="AR201" s="111" t="str">
        <f t="array" ref="AR201">IFERROR(INDEX($AP$10:$AP$258, MATCH(0, IF(TRUE=$AM$10:$AM$258, COUNTIF($AR$9:$AR200, $AP$10:$AP$258), ""), 0)),"")</f>
        <v/>
      </c>
      <c r="AS201" s="111" t="str">
        <f t="array" ref="AS201">IFERROR(INDEX($AP$10:$AP$258, MATCH(0, IF(TRUE=$AN$10:$AN$258, COUNTIF($AS$9:$AS200, $AP$10:$AP$258), ""), 0)),"")</f>
        <v/>
      </c>
      <c r="AT201" s="903" t="str">
        <f>IF(AND(OR(AD201="Yes",AD201="Pending"),Q201='G-7 WaterC'' Data'!$G$4),U201-AA201-Z201,"0")</f>
        <v>0</v>
      </c>
      <c r="AU201" s="30" t="str">
        <f>IF(D201="","",VLOOKUP(D201,'G-7 WaterC'' Data'!B$4:M$8,12,FALSE))</f>
        <v/>
      </c>
      <c r="AV201" s="30" t="str">
        <f t="shared" si="24"/>
        <v/>
      </c>
      <c r="AW201" s="30" t="str">
        <f t="shared" si="34"/>
        <v>No</v>
      </c>
      <c r="BA201" s="571" t="str">
        <f t="shared" si="35"/>
        <v/>
      </c>
    </row>
    <row r="202" spans="3:53" ht="14.4" thickBot="1" x14ac:dyDescent="0.3">
      <c r="C202" s="101">
        <v>193</v>
      </c>
      <c r="D202" s="269"/>
      <c r="E202" s="108"/>
      <c r="F202" s="281" t="str">
        <f>IF(D202="","",VLOOKUP(D202,'G-7 WaterC'' Data'!$B$2:$G$8,2,FALSE))</f>
        <v/>
      </c>
      <c r="G202" s="320" t="str">
        <f>IFERROR(VLOOKUP(F202,'G-7 WaterC'' Data'!$C$4:$D$8,2,FALSE),"")</f>
        <v/>
      </c>
      <c r="H202" s="109"/>
      <c r="I202" s="305" t="str">
        <f>IFERROR(INDEX('G-7 WaterC'' Data'!$H$4:$L$8,MATCH(D202,'G-7 WaterC'' Data'!$B$4:$B$8,0),MATCH(H202,'G-7 WaterC'' Data'!$H$3:$L$3,0)),"")</f>
        <v/>
      </c>
      <c r="J202" s="718"/>
      <c r="K202" s="301" t="str">
        <f>IF(J202="","",IF(VLOOKUP(J202,'G-7 WaterC'' Data'!$AK$4:$AM$9,2,FALSE)=0,"Spatial Data Missing ⚠",VLOOKUP(J202,'G-7 WaterC'' Data'!$AK$4:$AM$6,2,FALSE)))</f>
        <v/>
      </c>
      <c r="L202" s="305" t="str">
        <f>IF(J202="","",IF(VLOOKUP(J202,'G-7 WaterC'' Data'!$AK$4:$AM$9,3,FALSE)=0,"Spatial Data Missing ⚠",VLOOKUP(J202,'G-7 WaterC'' Data'!$AK$4:$AM$6,3,FALSE)))</f>
        <v/>
      </c>
      <c r="M202" s="106"/>
      <c r="N202" s="282" t="str">
        <f>IF(M202="","",IF(AND(M202="N/A - Culvert",D202&lt;&gt;"Culvert"),"Not possible ▲",IF(AND(D202="Culvert",M202&lt;&gt;"N/A - Culvert"),"Not possible ▲",IF(VLOOKUP(M202,'G-7 WaterC'' Data'!$AA$4:$AB$7,2,FALSE)=0,"Spatial Data Missing ⚠",VLOOKUP(M202,'G-7 WaterC'' Data'!$AA$4:$AB$7,2,FALSE)))))</f>
        <v/>
      </c>
      <c r="O202" s="56"/>
      <c r="P202" s="282" t="str">
        <f>IF(O202="","",IF(AND(O202="N/A - Culvert",D202&lt;&gt;"Culvert"),"Not possible ▲",IF(AND(D202="Culvert",O202&lt;&gt;"N/A - Culvert"),"Not possible ▲",IF(VLOOKUP(O202,'G-7 WaterC'' Data'!$AD$4:$AE$14,2,FALSE)=0,"Spatial Data Missing ⚠",VLOOKUP(O202,'G-7 WaterC'' Data'!$AD$4:$AE$14,2,FALSE)))))</f>
        <v/>
      </c>
      <c r="Q202" s="288" t="str">
        <f>IF(D202="","",VLOOKUP(D202,'G-7 WaterC'' Data'!$B$4:$G$8,6,FALSE))</f>
        <v/>
      </c>
      <c r="R202" s="295" t="str">
        <f t="shared" si="25"/>
        <v xml:space="preserve"> </v>
      </c>
      <c r="S202" s="403"/>
      <c r="T202" s="287" t="str">
        <f>IF(S202="","",IF(VLOOKUP(S202,'G-7 WaterC'' Data'!$AO$4:$BO$7,2,FALSE)=0,"Spatial Data Missing ⚠",VLOOKUP(S202,'G-7 WaterC'' Data'!$AO$4:$BO$7,2,FALSE)))</f>
        <v/>
      </c>
      <c r="U202" s="295" t="str">
        <f t="shared" si="26"/>
        <v xml:space="preserve"> </v>
      </c>
      <c r="V202" s="710" t="str">
        <f t="shared" si="27"/>
        <v/>
      </c>
      <c r="W202" s="32"/>
      <c r="X202" s="105"/>
      <c r="Y202" s="112"/>
      <c r="Z202" s="293" t="str">
        <f t="shared" si="28"/>
        <v/>
      </c>
      <c r="AA202" s="293" t="str">
        <f t="shared" si="29"/>
        <v/>
      </c>
      <c r="AB202" s="293" t="str">
        <f t="shared" si="30"/>
        <v/>
      </c>
      <c r="AC202" s="507" t="str">
        <f>IFERROR(IF(OR(E202="",R202=""),"", IF(AND(AB202&lt;&gt;"",S202=""), "Spatial risk category missing ▲", IF(AND(Q202='G-7 WaterC'' Data'!$G$4,AD202="Yes"),"Alternative Compensation ✓", IF(AND(AD202="Pending", Q202='G-7 WaterC'' Data'!$G$4),"Bespoke compensation must be agreed ▲", IF((Z202+AA202)&gt;=U202,0, U202-Z202-AA202))))),"Check Data ⚠")</f>
        <v/>
      </c>
      <c r="AD202" s="403"/>
      <c r="AE202" s="109"/>
      <c r="AF202" s="108"/>
      <c r="AG202" s="108"/>
      <c r="AH202" s="108"/>
      <c r="AI202" s="54" t="str">
        <f>IF(OR(Q202="",AD202="Yes"),"",IF(Q202='G-1 All Habitats'!$X$9,E202-Y202-X202,"None"))</f>
        <v/>
      </c>
      <c r="AJ202" s="55" t="str">
        <f>IF(Q202="","", IF(Q202='G-1 All Habitats'!$X$9, AI202*G202*I202*L202*N202*P202,"None"))</f>
        <v/>
      </c>
      <c r="AK202" s="30" t="str">
        <f>IFERROR(INDEX('G-7 WaterC'' Data'!$AZ$3:$AZ$7,MATCH(D202,'G-7 WaterC'' Data'!$AY$3:$AY$7,0)),"")</f>
        <v/>
      </c>
      <c r="AL202" s="30">
        <f t="shared" si="31"/>
        <v>0</v>
      </c>
      <c r="AM202" s="111" t="str">
        <f t="shared" si="32"/>
        <v/>
      </c>
      <c r="AN202" s="111" t="str">
        <f t="shared" si="33"/>
        <v/>
      </c>
      <c r="AP202" s="111">
        <v>193</v>
      </c>
      <c r="AR202" s="111" t="str">
        <f t="array" ref="AR202">IFERROR(INDEX($AP$10:$AP$258, MATCH(0, IF(TRUE=$AM$10:$AM$258, COUNTIF($AR$9:$AR201, $AP$10:$AP$258), ""), 0)),"")</f>
        <v/>
      </c>
      <c r="AS202" s="111" t="str">
        <f t="array" ref="AS202">IFERROR(INDEX($AP$10:$AP$258, MATCH(0, IF(TRUE=$AN$10:$AN$258, COUNTIF($AS$9:$AS201, $AP$10:$AP$258), ""), 0)),"")</f>
        <v/>
      </c>
      <c r="AT202" s="903" t="str">
        <f>IF(AND(OR(AD202="Yes",AD202="Pending"),Q202='G-7 WaterC'' Data'!$G$4),U202-AA202-Z202,"0")</f>
        <v>0</v>
      </c>
      <c r="AU202" s="30" t="str">
        <f>IF(D202="","",VLOOKUP(D202,'G-7 WaterC'' Data'!B$4:M$8,12,FALSE))</f>
        <v/>
      </c>
      <c r="AV202" s="30" t="str">
        <f t="shared" ref="AV202:AV257" si="36">IF(AD202="","", IF(AD202="Yes", "Yes ✓", "No ▲"))</f>
        <v/>
      </c>
      <c r="AW202" s="30" t="str">
        <f t="shared" si="34"/>
        <v>No</v>
      </c>
      <c r="BA202" s="571" t="str">
        <f t="shared" si="35"/>
        <v/>
      </c>
    </row>
    <row r="203" spans="3:53" ht="14.4" thickBot="1" x14ac:dyDescent="0.3">
      <c r="C203" s="101">
        <v>194</v>
      </c>
      <c r="D203" s="269"/>
      <c r="E203" s="108"/>
      <c r="F203" s="281" t="str">
        <f>IF(D203="","",VLOOKUP(D203,'G-7 WaterC'' Data'!$B$2:$G$8,2,FALSE))</f>
        <v/>
      </c>
      <c r="G203" s="320" t="str">
        <f>IFERROR(VLOOKUP(F203,'G-7 WaterC'' Data'!$C$4:$D$8,2,FALSE),"")</f>
        <v/>
      </c>
      <c r="H203" s="109"/>
      <c r="I203" s="305" t="str">
        <f>IFERROR(INDEX('G-7 WaterC'' Data'!$H$4:$L$8,MATCH(D203,'G-7 WaterC'' Data'!$B$4:$B$8,0),MATCH(H203,'G-7 WaterC'' Data'!$H$3:$L$3,0)),"")</f>
        <v/>
      </c>
      <c r="J203" s="718"/>
      <c r="K203" s="301" t="str">
        <f>IF(J203="","",IF(VLOOKUP(J203,'G-7 WaterC'' Data'!$AK$4:$AM$9,2,FALSE)=0,"Spatial Data Missing ⚠",VLOOKUP(J203,'G-7 WaterC'' Data'!$AK$4:$AM$6,2,FALSE)))</f>
        <v/>
      </c>
      <c r="L203" s="305" t="str">
        <f>IF(J203="","",IF(VLOOKUP(J203,'G-7 WaterC'' Data'!$AK$4:$AM$9,3,FALSE)=0,"Spatial Data Missing ⚠",VLOOKUP(J203,'G-7 WaterC'' Data'!$AK$4:$AM$6,3,FALSE)))</f>
        <v/>
      </c>
      <c r="M203" s="106"/>
      <c r="N203" s="282" t="str">
        <f>IF(M203="","",IF(AND(M203="N/A - Culvert",D203&lt;&gt;"Culvert"),"Not possible ▲",IF(AND(D203="Culvert",M203&lt;&gt;"N/A - Culvert"),"Not possible ▲",IF(VLOOKUP(M203,'G-7 WaterC'' Data'!$AA$4:$AB$7,2,FALSE)=0,"Spatial Data Missing ⚠",VLOOKUP(M203,'G-7 WaterC'' Data'!$AA$4:$AB$7,2,FALSE)))))</f>
        <v/>
      </c>
      <c r="O203" s="56"/>
      <c r="P203" s="282" t="str">
        <f>IF(O203="","",IF(AND(O203="N/A - Culvert",D203&lt;&gt;"Culvert"),"Not possible ▲",IF(AND(D203="Culvert",O203&lt;&gt;"N/A - Culvert"),"Not possible ▲",IF(VLOOKUP(O203,'G-7 WaterC'' Data'!$AD$4:$AE$14,2,FALSE)=0,"Spatial Data Missing ⚠",VLOOKUP(O203,'G-7 WaterC'' Data'!$AD$4:$AE$14,2,FALSE)))))</f>
        <v/>
      </c>
      <c r="Q203" s="288" t="str">
        <f>IF(D203="","",VLOOKUP(D203,'G-7 WaterC'' Data'!$B$4:$G$8,6,FALSE))</f>
        <v/>
      </c>
      <c r="R203" s="295" t="str">
        <f t="shared" ref="R203:R257" si="37">IFERROR(IF(AND(X203&gt;0, Y203&gt;0, X203+Y203&gt;E203), "Split retained and enhanced into separate entries ▲", IF(OR(K203="Check data ⚠",I203="Check data ⚠"), "Check data ▲", E203*G203*I203*L203*N203*P203*T203 ))," ")</f>
        <v xml:space="preserve"> </v>
      </c>
      <c r="S203" s="403"/>
      <c r="T203" s="287" t="str">
        <f>IF(S203="","",IF(VLOOKUP(S203,'G-7 WaterC'' Data'!$AO$4:$BO$7,2,FALSE)=0,"Spatial Data Missing ⚠",VLOOKUP(S203,'G-7 WaterC'' Data'!$AO$4:$BO$7,2,FALSE)))</f>
        <v/>
      </c>
      <c r="U203" s="295" t="str">
        <f t="shared" ref="U203:U257" si="38">IFERROR(IF(AND(X203&gt;0, Y203&gt;0, X203+Y203&gt;E203), "Split retained and enhanced into separate entries ▲", IF(AND(S203&lt;&gt;"",AH203=""), "Off-site reference required ▲",IF(OR(K203="Check data ⚠",I203="Check data ⚠"), "Check data ▲", E203*G203*I203*L203*N203*P203 )))," ")</f>
        <v xml:space="preserve"> </v>
      </c>
      <c r="V203" s="710" t="str">
        <f t="shared" ref="V203:V257" si="39">AU203</f>
        <v/>
      </c>
      <c r="W203" s="32"/>
      <c r="X203" s="105"/>
      <c r="Y203" s="112"/>
      <c r="Z203" s="293" t="str">
        <f t="shared" ref="Z203:Z257" si="40">IFERROR(IF(X203&gt;E203,"Error in Lengths ▲",X203*G203*I203*L203*N203*P203),"")</f>
        <v/>
      </c>
      <c r="AA203" s="293" t="str">
        <f t="shared" ref="AA203:AA257" si="41">IFERROR(IF(D203="","",Y203*G203*I203*L203*N203*P203),"")</f>
        <v/>
      </c>
      <c r="AB203" s="293" t="str">
        <f t="shared" ref="AB203:AB257" si="42">IFERROR(IF(D203="","",IF(E203&gt;(X203+Y203),E203-X203-Y203,0)),"")</f>
        <v/>
      </c>
      <c r="AC203" s="507" t="str">
        <f>IFERROR(IF(OR(E203="",R203=""),"", IF(AND(AB203&lt;&gt;"",S203=""), "Spatial risk category missing ▲", IF(AND(Q203='G-7 WaterC'' Data'!$G$4,AD203="Yes"),"Alternative Compensation ✓", IF(AND(AD203="Pending", Q203='G-7 WaterC'' Data'!$G$4),"Bespoke compensation must be agreed ▲", IF((Z203+AA203)&gt;=U203,0, U203-Z203-AA203))))),"Check Data ⚠")</f>
        <v/>
      </c>
      <c r="AD203" s="403"/>
      <c r="AE203" s="109"/>
      <c r="AF203" s="108"/>
      <c r="AG203" s="108"/>
      <c r="AH203" s="108"/>
      <c r="AI203" s="54" t="str">
        <f>IF(OR(Q203="",AD203="Yes"),"",IF(Q203='G-1 All Habitats'!$X$9,E203-Y203-X203,"None"))</f>
        <v/>
      </c>
      <c r="AJ203" s="55" t="str">
        <f>IF(Q203="","", IF(Q203='G-1 All Habitats'!$X$9, AI203*G203*I203*L203*N203*P203,"None"))</f>
        <v/>
      </c>
      <c r="AK203" s="30" t="str">
        <f>IFERROR(INDEX('G-7 WaterC'' Data'!$AZ$3:$AZ$7,MATCH(D203,'G-7 WaterC'' Data'!$AY$3:$AY$7,0)),"")</f>
        <v/>
      </c>
      <c r="AL203" s="30">
        <f t="shared" ref="AL203:AL257" si="43">IFERROR(IF(X203+Y203&gt;E203,1,0),"")</f>
        <v>0</v>
      </c>
      <c r="AM203" s="111" t="str">
        <f t="shared" ref="AM203:AM257" si="44">IF(D203="","",IF(X203&gt;0,TRUE,FALSE))</f>
        <v/>
      </c>
      <c r="AN203" s="111" t="str">
        <f t="shared" ref="AN203:AN257" si="45">IF(D203="","",IF(Y203&gt;0,TRUE,FALSE))</f>
        <v/>
      </c>
      <c r="AP203" s="111">
        <v>194</v>
      </c>
      <c r="AR203" s="111" t="str">
        <f t="array" ref="AR203">IFERROR(INDEX($AP$10:$AP$258, MATCH(0, IF(TRUE=$AM$10:$AM$258, COUNTIF($AR$9:$AR202, $AP$10:$AP$258), ""), 0)),"")</f>
        <v/>
      </c>
      <c r="AS203" s="111" t="str">
        <f t="array" ref="AS203">IFERROR(INDEX($AP$10:$AP$258, MATCH(0, IF(TRUE=$AN$10:$AN$258, COUNTIF($AS$9:$AS202, $AP$10:$AP$258), ""), 0)),"")</f>
        <v/>
      </c>
      <c r="AT203" s="903" t="str">
        <f>IF(AND(OR(AD203="Yes",AD203="Pending"),Q203='G-7 WaterC'' Data'!$G$4),U203-AA203-Z203,"0")</f>
        <v>0</v>
      </c>
      <c r="AU203" s="30" t="str">
        <f>IF(D203="","",VLOOKUP(D203,'G-7 WaterC'' Data'!B$4:M$8,12,FALSE))</f>
        <v/>
      </c>
      <c r="AV203" s="30" t="str">
        <f t="shared" si="36"/>
        <v/>
      </c>
      <c r="AW203" s="30" t="str">
        <f t="shared" ref="AW203:AW257" si="46">IF(AND(D203="Ditches",(OR(H203="Fairly Poor",H203="Fairly Good"))), "Yes", "No")</f>
        <v>No</v>
      </c>
      <c r="BA203" s="571" t="str">
        <f t="shared" ref="BA203:BA257" si="47">IFERROR(IF(X203&gt;E203,"Error in Lengths ▲",IF(Z203="Irreplaceable habitat - no units generated ⚠","0",X203*G203*I203*L203*N203*P203*T203)+(AT203*T203)),"")</f>
        <v/>
      </c>
    </row>
    <row r="204" spans="3:53" ht="14.4" thickBot="1" x14ac:dyDescent="0.3">
      <c r="C204" s="101">
        <v>195</v>
      </c>
      <c r="D204" s="269"/>
      <c r="E204" s="108"/>
      <c r="F204" s="281" t="str">
        <f>IF(D204="","",VLOOKUP(D204,'G-7 WaterC'' Data'!$B$2:$G$8,2,FALSE))</f>
        <v/>
      </c>
      <c r="G204" s="320" t="str">
        <f>IFERROR(VLOOKUP(F204,'G-7 WaterC'' Data'!$C$4:$D$8,2,FALSE),"")</f>
        <v/>
      </c>
      <c r="H204" s="109"/>
      <c r="I204" s="305" t="str">
        <f>IFERROR(INDEX('G-7 WaterC'' Data'!$H$4:$L$8,MATCH(D204,'G-7 WaterC'' Data'!$B$4:$B$8,0),MATCH(H204,'G-7 WaterC'' Data'!$H$3:$L$3,0)),"")</f>
        <v/>
      </c>
      <c r="J204" s="718"/>
      <c r="K204" s="301" t="str">
        <f>IF(J204="","",IF(VLOOKUP(J204,'G-7 WaterC'' Data'!$AK$4:$AM$9,2,FALSE)=0,"Spatial Data Missing ⚠",VLOOKUP(J204,'G-7 WaterC'' Data'!$AK$4:$AM$6,2,FALSE)))</f>
        <v/>
      </c>
      <c r="L204" s="305" t="str">
        <f>IF(J204="","",IF(VLOOKUP(J204,'G-7 WaterC'' Data'!$AK$4:$AM$9,3,FALSE)=0,"Spatial Data Missing ⚠",VLOOKUP(J204,'G-7 WaterC'' Data'!$AK$4:$AM$6,3,FALSE)))</f>
        <v/>
      </c>
      <c r="M204" s="106"/>
      <c r="N204" s="282" t="str">
        <f>IF(M204="","",IF(AND(M204="N/A - Culvert",D204&lt;&gt;"Culvert"),"Not possible ▲",IF(AND(D204="Culvert",M204&lt;&gt;"N/A - Culvert"),"Not possible ▲",IF(VLOOKUP(M204,'G-7 WaterC'' Data'!$AA$4:$AB$7,2,FALSE)=0,"Spatial Data Missing ⚠",VLOOKUP(M204,'G-7 WaterC'' Data'!$AA$4:$AB$7,2,FALSE)))))</f>
        <v/>
      </c>
      <c r="O204" s="56"/>
      <c r="P204" s="282" t="str">
        <f>IF(O204="","",IF(AND(O204="N/A - Culvert",D204&lt;&gt;"Culvert"),"Not possible ▲",IF(AND(D204="Culvert",O204&lt;&gt;"N/A - Culvert"),"Not possible ▲",IF(VLOOKUP(O204,'G-7 WaterC'' Data'!$AD$4:$AE$14,2,FALSE)=0,"Spatial Data Missing ⚠",VLOOKUP(O204,'G-7 WaterC'' Data'!$AD$4:$AE$14,2,FALSE)))))</f>
        <v/>
      </c>
      <c r="Q204" s="288" t="str">
        <f>IF(D204="","",VLOOKUP(D204,'G-7 WaterC'' Data'!$B$4:$G$8,6,FALSE))</f>
        <v/>
      </c>
      <c r="R204" s="295" t="str">
        <f t="shared" si="37"/>
        <v xml:space="preserve"> </v>
      </c>
      <c r="S204" s="403"/>
      <c r="T204" s="287" t="str">
        <f>IF(S204="","",IF(VLOOKUP(S204,'G-7 WaterC'' Data'!$AO$4:$BO$7,2,FALSE)=0,"Spatial Data Missing ⚠",VLOOKUP(S204,'G-7 WaterC'' Data'!$AO$4:$BO$7,2,FALSE)))</f>
        <v/>
      </c>
      <c r="U204" s="295" t="str">
        <f t="shared" si="38"/>
        <v xml:space="preserve"> </v>
      </c>
      <c r="V204" s="710" t="str">
        <f t="shared" si="39"/>
        <v/>
      </c>
      <c r="W204" s="32"/>
      <c r="X204" s="105"/>
      <c r="Y204" s="112"/>
      <c r="Z204" s="293" t="str">
        <f t="shared" si="40"/>
        <v/>
      </c>
      <c r="AA204" s="293" t="str">
        <f t="shared" si="41"/>
        <v/>
      </c>
      <c r="AB204" s="293" t="str">
        <f t="shared" si="42"/>
        <v/>
      </c>
      <c r="AC204" s="507" t="str">
        <f>IFERROR(IF(OR(E204="",R204=""),"", IF(AND(AB204&lt;&gt;"",S204=""), "Spatial risk category missing ▲", IF(AND(Q204='G-7 WaterC'' Data'!$G$4,AD204="Yes"),"Alternative Compensation ✓", IF(AND(AD204="Pending", Q204='G-7 WaterC'' Data'!$G$4),"Bespoke compensation must be agreed ▲", IF((Z204+AA204)&gt;=U204,0, U204-Z204-AA204))))),"Check Data ⚠")</f>
        <v/>
      </c>
      <c r="AD204" s="403"/>
      <c r="AE204" s="109"/>
      <c r="AF204" s="108"/>
      <c r="AG204" s="108"/>
      <c r="AH204" s="108"/>
      <c r="AI204" s="54" t="str">
        <f>IF(OR(Q204="",AD204="Yes"),"",IF(Q204='G-1 All Habitats'!$X$9,E204-Y204-X204,"None"))</f>
        <v/>
      </c>
      <c r="AJ204" s="55" t="str">
        <f>IF(Q204="","", IF(Q204='G-1 All Habitats'!$X$9, AI204*G204*I204*L204*N204*P204,"None"))</f>
        <v/>
      </c>
      <c r="AK204" s="30" t="str">
        <f>IFERROR(INDEX('G-7 WaterC'' Data'!$AZ$3:$AZ$7,MATCH(D204,'G-7 WaterC'' Data'!$AY$3:$AY$7,0)),"")</f>
        <v/>
      </c>
      <c r="AL204" s="30">
        <f t="shared" si="43"/>
        <v>0</v>
      </c>
      <c r="AM204" s="111" t="str">
        <f t="shared" si="44"/>
        <v/>
      </c>
      <c r="AN204" s="111" t="str">
        <f t="shared" si="45"/>
        <v/>
      </c>
      <c r="AP204" s="111">
        <v>195</v>
      </c>
      <c r="AR204" s="111" t="str">
        <f t="array" ref="AR204">IFERROR(INDEX($AP$10:$AP$258, MATCH(0, IF(TRUE=$AM$10:$AM$258, COUNTIF($AR$9:$AR203, $AP$10:$AP$258), ""), 0)),"")</f>
        <v/>
      </c>
      <c r="AS204" s="111" t="str">
        <f t="array" ref="AS204">IFERROR(INDEX($AP$10:$AP$258, MATCH(0, IF(TRUE=$AN$10:$AN$258, COUNTIF($AS$9:$AS203, $AP$10:$AP$258), ""), 0)),"")</f>
        <v/>
      </c>
      <c r="AT204" s="903" t="str">
        <f>IF(AND(OR(AD204="Yes",AD204="Pending"),Q204='G-7 WaterC'' Data'!$G$4),U204-AA204-Z204,"0")</f>
        <v>0</v>
      </c>
      <c r="AU204" s="30" t="str">
        <f>IF(D204="","",VLOOKUP(D204,'G-7 WaterC'' Data'!B$4:M$8,12,FALSE))</f>
        <v/>
      </c>
      <c r="AV204" s="30" t="str">
        <f t="shared" si="36"/>
        <v/>
      </c>
      <c r="AW204" s="30" t="str">
        <f t="shared" si="46"/>
        <v>No</v>
      </c>
      <c r="BA204" s="571" t="str">
        <f t="shared" si="47"/>
        <v/>
      </c>
    </row>
    <row r="205" spans="3:53" ht="14.4" thickBot="1" x14ac:dyDescent="0.3">
      <c r="C205" s="101">
        <v>196</v>
      </c>
      <c r="D205" s="269"/>
      <c r="E205" s="108"/>
      <c r="F205" s="281" t="str">
        <f>IF(D205="","",VLOOKUP(D205,'G-7 WaterC'' Data'!$B$2:$G$8,2,FALSE))</f>
        <v/>
      </c>
      <c r="G205" s="320" t="str">
        <f>IFERROR(VLOOKUP(F205,'G-7 WaterC'' Data'!$C$4:$D$8,2,FALSE),"")</f>
        <v/>
      </c>
      <c r="H205" s="109"/>
      <c r="I205" s="305" t="str">
        <f>IFERROR(INDEX('G-7 WaterC'' Data'!$H$4:$L$8,MATCH(D205,'G-7 WaterC'' Data'!$B$4:$B$8,0),MATCH(H205,'G-7 WaterC'' Data'!$H$3:$L$3,0)),"")</f>
        <v/>
      </c>
      <c r="J205" s="718"/>
      <c r="K205" s="301" t="str">
        <f>IF(J205="","",IF(VLOOKUP(J205,'G-7 WaterC'' Data'!$AK$4:$AM$9,2,FALSE)=0,"Spatial Data Missing ⚠",VLOOKUP(J205,'G-7 WaterC'' Data'!$AK$4:$AM$6,2,FALSE)))</f>
        <v/>
      </c>
      <c r="L205" s="305" t="str">
        <f>IF(J205="","",IF(VLOOKUP(J205,'G-7 WaterC'' Data'!$AK$4:$AM$9,3,FALSE)=0,"Spatial Data Missing ⚠",VLOOKUP(J205,'G-7 WaterC'' Data'!$AK$4:$AM$6,3,FALSE)))</f>
        <v/>
      </c>
      <c r="M205" s="106"/>
      <c r="N205" s="282" t="str">
        <f>IF(M205="","",IF(AND(M205="N/A - Culvert",D205&lt;&gt;"Culvert"),"Not possible ▲",IF(AND(D205="Culvert",M205&lt;&gt;"N/A - Culvert"),"Not possible ▲",IF(VLOOKUP(M205,'G-7 WaterC'' Data'!$AA$4:$AB$7,2,FALSE)=0,"Spatial Data Missing ⚠",VLOOKUP(M205,'G-7 WaterC'' Data'!$AA$4:$AB$7,2,FALSE)))))</f>
        <v/>
      </c>
      <c r="O205" s="56"/>
      <c r="P205" s="282" t="str">
        <f>IF(O205="","",IF(AND(O205="N/A - Culvert",D205&lt;&gt;"Culvert"),"Not possible ▲",IF(AND(D205="Culvert",O205&lt;&gt;"N/A - Culvert"),"Not possible ▲",IF(VLOOKUP(O205,'G-7 WaterC'' Data'!$AD$4:$AE$14,2,FALSE)=0,"Spatial Data Missing ⚠",VLOOKUP(O205,'G-7 WaterC'' Data'!$AD$4:$AE$14,2,FALSE)))))</f>
        <v/>
      </c>
      <c r="Q205" s="288" t="str">
        <f>IF(D205="","",VLOOKUP(D205,'G-7 WaterC'' Data'!$B$4:$G$8,6,FALSE))</f>
        <v/>
      </c>
      <c r="R205" s="295" t="str">
        <f t="shared" si="37"/>
        <v xml:space="preserve"> </v>
      </c>
      <c r="S205" s="403"/>
      <c r="T205" s="287" t="str">
        <f>IF(S205="","",IF(VLOOKUP(S205,'G-7 WaterC'' Data'!$AO$4:$BO$7,2,FALSE)=0,"Spatial Data Missing ⚠",VLOOKUP(S205,'G-7 WaterC'' Data'!$AO$4:$BO$7,2,FALSE)))</f>
        <v/>
      </c>
      <c r="U205" s="295" t="str">
        <f t="shared" si="38"/>
        <v xml:space="preserve"> </v>
      </c>
      <c r="V205" s="710" t="str">
        <f t="shared" si="39"/>
        <v/>
      </c>
      <c r="W205" s="32"/>
      <c r="X205" s="105"/>
      <c r="Y205" s="112"/>
      <c r="Z205" s="293" t="str">
        <f t="shared" si="40"/>
        <v/>
      </c>
      <c r="AA205" s="293" t="str">
        <f t="shared" si="41"/>
        <v/>
      </c>
      <c r="AB205" s="293" t="str">
        <f t="shared" si="42"/>
        <v/>
      </c>
      <c r="AC205" s="507" t="str">
        <f>IFERROR(IF(OR(E205="",R205=""),"", IF(AND(AB205&lt;&gt;"",S205=""), "Spatial risk category missing ▲", IF(AND(Q205='G-7 WaterC'' Data'!$G$4,AD205="Yes"),"Alternative Compensation ✓", IF(AND(AD205="Pending", Q205='G-7 WaterC'' Data'!$G$4),"Bespoke compensation must be agreed ▲", IF((Z205+AA205)&gt;=U205,0, U205-Z205-AA205))))),"Check Data ⚠")</f>
        <v/>
      </c>
      <c r="AD205" s="403"/>
      <c r="AE205" s="109"/>
      <c r="AF205" s="108"/>
      <c r="AG205" s="108"/>
      <c r="AH205" s="108"/>
      <c r="AI205" s="54" t="str">
        <f>IF(OR(Q205="",AD205="Yes"),"",IF(Q205='G-1 All Habitats'!$X$9,E205-Y205-X205,"None"))</f>
        <v/>
      </c>
      <c r="AJ205" s="55" t="str">
        <f>IF(Q205="","", IF(Q205='G-1 All Habitats'!$X$9, AI205*G205*I205*L205*N205*P205,"None"))</f>
        <v/>
      </c>
      <c r="AK205" s="30" t="str">
        <f>IFERROR(INDEX('G-7 WaterC'' Data'!$AZ$3:$AZ$7,MATCH(D205,'G-7 WaterC'' Data'!$AY$3:$AY$7,0)),"")</f>
        <v/>
      </c>
      <c r="AL205" s="30">
        <f t="shared" si="43"/>
        <v>0</v>
      </c>
      <c r="AM205" s="111" t="str">
        <f t="shared" si="44"/>
        <v/>
      </c>
      <c r="AN205" s="111" t="str">
        <f t="shared" si="45"/>
        <v/>
      </c>
      <c r="AP205" s="111">
        <v>196</v>
      </c>
      <c r="AR205" s="111" t="str">
        <f t="array" ref="AR205">IFERROR(INDEX($AP$10:$AP$258, MATCH(0, IF(TRUE=$AM$10:$AM$258, COUNTIF($AR$9:$AR204, $AP$10:$AP$258), ""), 0)),"")</f>
        <v/>
      </c>
      <c r="AS205" s="111" t="str">
        <f t="array" ref="AS205">IFERROR(INDEX($AP$10:$AP$258, MATCH(0, IF(TRUE=$AN$10:$AN$258, COUNTIF($AS$9:$AS204, $AP$10:$AP$258), ""), 0)),"")</f>
        <v/>
      </c>
      <c r="AT205" s="903" t="str">
        <f>IF(AND(OR(AD205="Yes",AD205="Pending"),Q205='G-7 WaterC'' Data'!$G$4),U205-AA205-Z205,"0")</f>
        <v>0</v>
      </c>
      <c r="AU205" s="30" t="str">
        <f>IF(D205="","",VLOOKUP(D205,'G-7 WaterC'' Data'!B$4:M$8,12,FALSE))</f>
        <v/>
      </c>
      <c r="AV205" s="30" t="str">
        <f t="shared" si="36"/>
        <v/>
      </c>
      <c r="AW205" s="30" t="str">
        <f t="shared" si="46"/>
        <v>No</v>
      </c>
      <c r="BA205" s="571" t="str">
        <f t="shared" si="47"/>
        <v/>
      </c>
    </row>
    <row r="206" spans="3:53" ht="14.4" thickBot="1" x14ac:dyDescent="0.3">
      <c r="C206" s="101">
        <v>197</v>
      </c>
      <c r="D206" s="269"/>
      <c r="E206" s="108"/>
      <c r="F206" s="281" t="str">
        <f>IF(D206="","",VLOOKUP(D206,'G-7 WaterC'' Data'!$B$2:$G$8,2,FALSE))</f>
        <v/>
      </c>
      <c r="G206" s="320" t="str">
        <f>IFERROR(VLOOKUP(F206,'G-7 WaterC'' Data'!$C$4:$D$8,2,FALSE),"")</f>
        <v/>
      </c>
      <c r="H206" s="109"/>
      <c r="I206" s="305" t="str">
        <f>IFERROR(INDEX('G-7 WaterC'' Data'!$H$4:$L$8,MATCH(D206,'G-7 WaterC'' Data'!$B$4:$B$8,0),MATCH(H206,'G-7 WaterC'' Data'!$H$3:$L$3,0)),"")</f>
        <v/>
      </c>
      <c r="J206" s="718"/>
      <c r="K206" s="301" t="str">
        <f>IF(J206="","",IF(VLOOKUP(J206,'G-7 WaterC'' Data'!$AK$4:$AM$9,2,FALSE)=0,"Spatial Data Missing ⚠",VLOOKUP(J206,'G-7 WaterC'' Data'!$AK$4:$AM$6,2,FALSE)))</f>
        <v/>
      </c>
      <c r="L206" s="305" t="str">
        <f>IF(J206="","",IF(VLOOKUP(J206,'G-7 WaterC'' Data'!$AK$4:$AM$9,3,FALSE)=0,"Spatial Data Missing ⚠",VLOOKUP(J206,'G-7 WaterC'' Data'!$AK$4:$AM$6,3,FALSE)))</f>
        <v/>
      </c>
      <c r="M206" s="106"/>
      <c r="N206" s="282" t="str">
        <f>IF(M206="","",IF(AND(M206="N/A - Culvert",D206&lt;&gt;"Culvert"),"Not possible ▲",IF(AND(D206="Culvert",M206&lt;&gt;"N/A - Culvert"),"Not possible ▲",IF(VLOOKUP(M206,'G-7 WaterC'' Data'!$AA$4:$AB$7,2,FALSE)=0,"Spatial Data Missing ⚠",VLOOKUP(M206,'G-7 WaterC'' Data'!$AA$4:$AB$7,2,FALSE)))))</f>
        <v/>
      </c>
      <c r="O206" s="56"/>
      <c r="P206" s="282" t="str">
        <f>IF(O206="","",IF(AND(O206="N/A - Culvert",D206&lt;&gt;"Culvert"),"Not possible ▲",IF(AND(D206="Culvert",O206&lt;&gt;"N/A - Culvert"),"Not possible ▲",IF(VLOOKUP(O206,'G-7 WaterC'' Data'!$AD$4:$AE$14,2,FALSE)=0,"Spatial Data Missing ⚠",VLOOKUP(O206,'G-7 WaterC'' Data'!$AD$4:$AE$14,2,FALSE)))))</f>
        <v/>
      </c>
      <c r="Q206" s="288" t="str">
        <f>IF(D206="","",VLOOKUP(D206,'G-7 WaterC'' Data'!$B$4:$G$8,6,FALSE))</f>
        <v/>
      </c>
      <c r="R206" s="295" t="str">
        <f t="shared" si="37"/>
        <v xml:space="preserve"> </v>
      </c>
      <c r="S206" s="403"/>
      <c r="T206" s="287" t="str">
        <f>IF(S206="","",IF(VLOOKUP(S206,'G-7 WaterC'' Data'!$AO$4:$BO$7,2,FALSE)=0,"Spatial Data Missing ⚠",VLOOKUP(S206,'G-7 WaterC'' Data'!$AO$4:$BO$7,2,FALSE)))</f>
        <v/>
      </c>
      <c r="U206" s="295" t="str">
        <f t="shared" si="38"/>
        <v xml:space="preserve"> </v>
      </c>
      <c r="V206" s="710" t="str">
        <f t="shared" si="39"/>
        <v/>
      </c>
      <c r="W206" s="32"/>
      <c r="X206" s="105"/>
      <c r="Y206" s="112"/>
      <c r="Z206" s="293" t="str">
        <f t="shared" si="40"/>
        <v/>
      </c>
      <c r="AA206" s="293" t="str">
        <f t="shared" si="41"/>
        <v/>
      </c>
      <c r="AB206" s="293" t="str">
        <f t="shared" si="42"/>
        <v/>
      </c>
      <c r="AC206" s="507" t="str">
        <f>IFERROR(IF(OR(E206="",R206=""),"", IF(AND(AB206&lt;&gt;"",S206=""), "Spatial risk category missing ▲", IF(AND(Q206='G-7 WaterC'' Data'!$G$4,AD206="Yes"),"Alternative Compensation ✓", IF(AND(AD206="Pending", Q206='G-7 WaterC'' Data'!$G$4),"Bespoke compensation must be agreed ▲", IF((Z206+AA206)&gt;=U206,0, U206-Z206-AA206))))),"Check Data ⚠")</f>
        <v/>
      </c>
      <c r="AD206" s="403"/>
      <c r="AE206" s="109"/>
      <c r="AF206" s="108"/>
      <c r="AG206" s="108"/>
      <c r="AH206" s="108"/>
      <c r="AI206" s="54" t="str">
        <f>IF(OR(Q206="",AD206="Yes"),"",IF(Q206='G-1 All Habitats'!$X$9,E206-Y206-X206,"None"))</f>
        <v/>
      </c>
      <c r="AJ206" s="55" t="str">
        <f>IF(Q206="","", IF(Q206='G-1 All Habitats'!$X$9, AI206*G206*I206*L206*N206*P206,"None"))</f>
        <v/>
      </c>
      <c r="AK206" s="30" t="str">
        <f>IFERROR(INDEX('G-7 WaterC'' Data'!$AZ$3:$AZ$7,MATCH(D206,'G-7 WaterC'' Data'!$AY$3:$AY$7,0)),"")</f>
        <v/>
      </c>
      <c r="AL206" s="30">
        <f t="shared" si="43"/>
        <v>0</v>
      </c>
      <c r="AM206" s="111" t="str">
        <f t="shared" si="44"/>
        <v/>
      </c>
      <c r="AN206" s="111" t="str">
        <f t="shared" si="45"/>
        <v/>
      </c>
      <c r="AP206" s="111">
        <v>197</v>
      </c>
      <c r="AR206" s="111" t="str">
        <f t="array" ref="AR206">IFERROR(INDEX($AP$10:$AP$258, MATCH(0, IF(TRUE=$AM$10:$AM$258, COUNTIF($AR$9:$AR205, $AP$10:$AP$258), ""), 0)),"")</f>
        <v/>
      </c>
      <c r="AS206" s="111" t="str">
        <f t="array" ref="AS206">IFERROR(INDEX($AP$10:$AP$258, MATCH(0, IF(TRUE=$AN$10:$AN$258, COUNTIF($AS$9:$AS205, $AP$10:$AP$258), ""), 0)),"")</f>
        <v/>
      </c>
      <c r="AT206" s="903" t="str">
        <f>IF(AND(OR(AD206="Yes",AD206="Pending"),Q206='G-7 WaterC'' Data'!$G$4),U206-AA206-Z206,"0")</f>
        <v>0</v>
      </c>
      <c r="AU206" s="30" t="str">
        <f>IF(D206="","",VLOOKUP(D206,'G-7 WaterC'' Data'!B$4:M$8,12,FALSE))</f>
        <v/>
      </c>
      <c r="AV206" s="30" t="str">
        <f t="shared" si="36"/>
        <v/>
      </c>
      <c r="AW206" s="30" t="str">
        <f t="shared" si="46"/>
        <v>No</v>
      </c>
      <c r="BA206" s="571" t="str">
        <f t="shared" si="47"/>
        <v/>
      </c>
    </row>
    <row r="207" spans="3:53" ht="14.4" thickBot="1" x14ac:dyDescent="0.3">
      <c r="C207" s="101">
        <v>198</v>
      </c>
      <c r="D207" s="269"/>
      <c r="E207" s="108"/>
      <c r="F207" s="281" t="str">
        <f>IF(D207="","",VLOOKUP(D207,'G-7 WaterC'' Data'!$B$2:$G$8,2,FALSE))</f>
        <v/>
      </c>
      <c r="G207" s="320" t="str">
        <f>IFERROR(VLOOKUP(F207,'G-7 WaterC'' Data'!$C$4:$D$8,2,FALSE),"")</f>
        <v/>
      </c>
      <c r="H207" s="109"/>
      <c r="I207" s="305" t="str">
        <f>IFERROR(INDEX('G-7 WaterC'' Data'!$H$4:$L$8,MATCH(D207,'G-7 WaterC'' Data'!$B$4:$B$8,0),MATCH(H207,'G-7 WaterC'' Data'!$H$3:$L$3,0)),"")</f>
        <v/>
      </c>
      <c r="J207" s="718"/>
      <c r="K207" s="301" t="str">
        <f>IF(J207="","",IF(VLOOKUP(J207,'G-7 WaterC'' Data'!$AK$4:$AM$9,2,FALSE)=0,"Spatial Data Missing ⚠",VLOOKUP(J207,'G-7 WaterC'' Data'!$AK$4:$AM$6,2,FALSE)))</f>
        <v/>
      </c>
      <c r="L207" s="305" t="str">
        <f>IF(J207="","",IF(VLOOKUP(J207,'G-7 WaterC'' Data'!$AK$4:$AM$9,3,FALSE)=0,"Spatial Data Missing ⚠",VLOOKUP(J207,'G-7 WaterC'' Data'!$AK$4:$AM$6,3,FALSE)))</f>
        <v/>
      </c>
      <c r="M207" s="106"/>
      <c r="N207" s="282" t="str">
        <f>IF(M207="","",IF(AND(M207="N/A - Culvert",D207&lt;&gt;"Culvert"),"Not possible ▲",IF(AND(D207="Culvert",M207&lt;&gt;"N/A - Culvert"),"Not possible ▲",IF(VLOOKUP(M207,'G-7 WaterC'' Data'!$AA$4:$AB$7,2,FALSE)=0,"Spatial Data Missing ⚠",VLOOKUP(M207,'G-7 WaterC'' Data'!$AA$4:$AB$7,2,FALSE)))))</f>
        <v/>
      </c>
      <c r="O207" s="56"/>
      <c r="P207" s="282" t="str">
        <f>IF(O207="","",IF(AND(O207="N/A - Culvert",D207&lt;&gt;"Culvert"),"Not possible ▲",IF(AND(D207="Culvert",O207&lt;&gt;"N/A - Culvert"),"Not possible ▲",IF(VLOOKUP(O207,'G-7 WaterC'' Data'!$AD$4:$AE$14,2,FALSE)=0,"Spatial Data Missing ⚠",VLOOKUP(O207,'G-7 WaterC'' Data'!$AD$4:$AE$14,2,FALSE)))))</f>
        <v/>
      </c>
      <c r="Q207" s="288" t="str">
        <f>IF(D207="","",VLOOKUP(D207,'G-7 WaterC'' Data'!$B$4:$G$8,6,FALSE))</f>
        <v/>
      </c>
      <c r="R207" s="295" t="str">
        <f t="shared" si="37"/>
        <v xml:space="preserve"> </v>
      </c>
      <c r="S207" s="403"/>
      <c r="T207" s="287" t="str">
        <f>IF(S207="","",IF(VLOOKUP(S207,'G-7 WaterC'' Data'!$AO$4:$BO$7,2,FALSE)=0,"Spatial Data Missing ⚠",VLOOKUP(S207,'G-7 WaterC'' Data'!$AO$4:$BO$7,2,FALSE)))</f>
        <v/>
      </c>
      <c r="U207" s="295" t="str">
        <f t="shared" si="38"/>
        <v xml:space="preserve"> </v>
      </c>
      <c r="V207" s="710" t="str">
        <f t="shared" si="39"/>
        <v/>
      </c>
      <c r="W207" s="32"/>
      <c r="X207" s="105"/>
      <c r="Y207" s="112"/>
      <c r="Z207" s="293" t="str">
        <f t="shared" si="40"/>
        <v/>
      </c>
      <c r="AA207" s="293" t="str">
        <f t="shared" si="41"/>
        <v/>
      </c>
      <c r="AB207" s="293" t="str">
        <f t="shared" si="42"/>
        <v/>
      </c>
      <c r="AC207" s="507" t="str">
        <f>IFERROR(IF(OR(E207="",R207=""),"", IF(AND(AB207&lt;&gt;"",S207=""), "Spatial risk category missing ▲", IF(AND(Q207='G-7 WaterC'' Data'!$G$4,AD207="Yes"),"Alternative Compensation ✓", IF(AND(AD207="Pending", Q207='G-7 WaterC'' Data'!$G$4),"Bespoke compensation must be agreed ▲", IF((Z207+AA207)&gt;=U207,0, U207-Z207-AA207))))),"Check Data ⚠")</f>
        <v/>
      </c>
      <c r="AD207" s="403"/>
      <c r="AE207" s="109"/>
      <c r="AF207" s="108"/>
      <c r="AG207" s="108"/>
      <c r="AH207" s="108"/>
      <c r="AI207" s="54" t="str">
        <f>IF(OR(Q207="",AD207="Yes"),"",IF(Q207='G-1 All Habitats'!$X$9,E207-Y207-X207,"None"))</f>
        <v/>
      </c>
      <c r="AJ207" s="55" t="str">
        <f>IF(Q207="","", IF(Q207='G-1 All Habitats'!$X$9, AI207*G207*I207*L207*N207*P207,"None"))</f>
        <v/>
      </c>
      <c r="AK207" s="30" t="str">
        <f>IFERROR(INDEX('G-7 WaterC'' Data'!$AZ$3:$AZ$7,MATCH(D207,'G-7 WaterC'' Data'!$AY$3:$AY$7,0)),"")</f>
        <v/>
      </c>
      <c r="AL207" s="30">
        <f t="shared" si="43"/>
        <v>0</v>
      </c>
      <c r="AM207" s="111" t="str">
        <f t="shared" si="44"/>
        <v/>
      </c>
      <c r="AN207" s="111" t="str">
        <f t="shared" si="45"/>
        <v/>
      </c>
      <c r="AP207" s="111">
        <v>198</v>
      </c>
      <c r="AR207" s="111" t="str">
        <f t="array" ref="AR207">IFERROR(INDEX($AP$10:$AP$258, MATCH(0, IF(TRUE=$AM$10:$AM$258, COUNTIF($AR$9:$AR206, $AP$10:$AP$258), ""), 0)),"")</f>
        <v/>
      </c>
      <c r="AS207" s="111" t="str">
        <f t="array" ref="AS207">IFERROR(INDEX($AP$10:$AP$258, MATCH(0, IF(TRUE=$AN$10:$AN$258, COUNTIF($AS$9:$AS206, $AP$10:$AP$258), ""), 0)),"")</f>
        <v/>
      </c>
      <c r="AT207" s="903" t="str">
        <f>IF(AND(OR(AD207="Yes",AD207="Pending"),Q207='G-7 WaterC'' Data'!$G$4),U207-AA207-Z207,"0")</f>
        <v>0</v>
      </c>
      <c r="AU207" s="30" t="str">
        <f>IF(D207="","",VLOOKUP(D207,'G-7 WaterC'' Data'!B$4:M$8,12,FALSE))</f>
        <v/>
      </c>
      <c r="AV207" s="30" t="str">
        <f t="shared" si="36"/>
        <v/>
      </c>
      <c r="AW207" s="30" t="str">
        <f t="shared" si="46"/>
        <v>No</v>
      </c>
      <c r="BA207" s="571" t="str">
        <f t="shared" si="47"/>
        <v/>
      </c>
    </row>
    <row r="208" spans="3:53" ht="14.4" thickBot="1" x14ac:dyDescent="0.3">
      <c r="C208" s="101">
        <v>199</v>
      </c>
      <c r="D208" s="269"/>
      <c r="E208" s="108"/>
      <c r="F208" s="281" t="str">
        <f>IF(D208="","",VLOOKUP(D208,'G-7 WaterC'' Data'!$B$2:$G$8,2,FALSE))</f>
        <v/>
      </c>
      <c r="G208" s="320" t="str">
        <f>IFERROR(VLOOKUP(F208,'G-7 WaterC'' Data'!$C$4:$D$8,2,FALSE),"")</f>
        <v/>
      </c>
      <c r="H208" s="109"/>
      <c r="I208" s="305" t="str">
        <f>IFERROR(INDEX('G-7 WaterC'' Data'!$H$4:$L$8,MATCH(D208,'G-7 WaterC'' Data'!$B$4:$B$8,0),MATCH(H208,'G-7 WaterC'' Data'!$H$3:$L$3,0)),"")</f>
        <v/>
      </c>
      <c r="J208" s="718"/>
      <c r="K208" s="301" t="str">
        <f>IF(J208="","",IF(VLOOKUP(J208,'G-7 WaterC'' Data'!$AK$4:$AM$9,2,FALSE)=0,"Spatial Data Missing ⚠",VLOOKUP(J208,'G-7 WaterC'' Data'!$AK$4:$AM$6,2,FALSE)))</f>
        <v/>
      </c>
      <c r="L208" s="305" t="str">
        <f>IF(J208="","",IF(VLOOKUP(J208,'G-7 WaterC'' Data'!$AK$4:$AM$9,3,FALSE)=0,"Spatial Data Missing ⚠",VLOOKUP(J208,'G-7 WaterC'' Data'!$AK$4:$AM$6,3,FALSE)))</f>
        <v/>
      </c>
      <c r="M208" s="106"/>
      <c r="N208" s="282" t="str">
        <f>IF(M208="","",IF(AND(M208="N/A - Culvert",D208&lt;&gt;"Culvert"),"Not possible ▲",IF(AND(D208="Culvert",M208&lt;&gt;"N/A - Culvert"),"Not possible ▲",IF(VLOOKUP(M208,'G-7 WaterC'' Data'!$AA$4:$AB$7,2,FALSE)=0,"Spatial Data Missing ⚠",VLOOKUP(M208,'G-7 WaterC'' Data'!$AA$4:$AB$7,2,FALSE)))))</f>
        <v/>
      </c>
      <c r="O208" s="56"/>
      <c r="P208" s="282" t="str">
        <f>IF(O208="","",IF(AND(O208="N/A - Culvert",D208&lt;&gt;"Culvert"),"Not possible ▲",IF(AND(D208="Culvert",O208&lt;&gt;"N/A - Culvert"),"Not possible ▲",IF(VLOOKUP(O208,'G-7 WaterC'' Data'!$AD$4:$AE$14,2,FALSE)=0,"Spatial Data Missing ⚠",VLOOKUP(O208,'G-7 WaterC'' Data'!$AD$4:$AE$14,2,FALSE)))))</f>
        <v/>
      </c>
      <c r="Q208" s="288" t="str">
        <f>IF(D208="","",VLOOKUP(D208,'G-7 WaterC'' Data'!$B$4:$G$8,6,FALSE))</f>
        <v/>
      </c>
      <c r="R208" s="295" t="str">
        <f t="shared" si="37"/>
        <v xml:space="preserve"> </v>
      </c>
      <c r="S208" s="403"/>
      <c r="T208" s="287" t="str">
        <f>IF(S208="","",IF(VLOOKUP(S208,'G-7 WaterC'' Data'!$AO$4:$BO$7,2,FALSE)=0,"Spatial Data Missing ⚠",VLOOKUP(S208,'G-7 WaterC'' Data'!$AO$4:$BO$7,2,FALSE)))</f>
        <v/>
      </c>
      <c r="U208" s="295" t="str">
        <f t="shared" si="38"/>
        <v xml:space="preserve"> </v>
      </c>
      <c r="V208" s="710" t="str">
        <f t="shared" si="39"/>
        <v/>
      </c>
      <c r="W208" s="32"/>
      <c r="X208" s="105"/>
      <c r="Y208" s="112"/>
      <c r="Z208" s="293" t="str">
        <f t="shared" si="40"/>
        <v/>
      </c>
      <c r="AA208" s="293" t="str">
        <f t="shared" si="41"/>
        <v/>
      </c>
      <c r="AB208" s="293" t="str">
        <f t="shared" si="42"/>
        <v/>
      </c>
      <c r="AC208" s="507" t="str">
        <f>IFERROR(IF(OR(E208="",R208=""),"", IF(AND(AB208&lt;&gt;"",S208=""), "Spatial risk category missing ▲", IF(AND(Q208='G-7 WaterC'' Data'!$G$4,AD208="Yes"),"Alternative Compensation ✓", IF(AND(AD208="Pending", Q208='G-7 WaterC'' Data'!$G$4),"Bespoke compensation must be agreed ▲", IF((Z208+AA208)&gt;=U208,0, U208-Z208-AA208))))),"Check Data ⚠")</f>
        <v/>
      </c>
      <c r="AD208" s="403"/>
      <c r="AE208" s="109"/>
      <c r="AF208" s="108"/>
      <c r="AG208" s="108"/>
      <c r="AH208" s="108"/>
      <c r="AI208" s="54" t="str">
        <f>IF(OR(Q208="",AD208="Yes"),"",IF(Q208='G-1 All Habitats'!$X$9,E208-Y208-X208,"None"))</f>
        <v/>
      </c>
      <c r="AJ208" s="55" t="str">
        <f>IF(Q208="","", IF(Q208='G-1 All Habitats'!$X$9, AI208*G208*I208*L208*N208*P208,"None"))</f>
        <v/>
      </c>
      <c r="AK208" s="30" t="str">
        <f>IFERROR(INDEX('G-7 WaterC'' Data'!$AZ$3:$AZ$7,MATCH(D208,'G-7 WaterC'' Data'!$AY$3:$AY$7,0)),"")</f>
        <v/>
      </c>
      <c r="AL208" s="30">
        <f t="shared" si="43"/>
        <v>0</v>
      </c>
      <c r="AM208" s="111" t="str">
        <f t="shared" si="44"/>
        <v/>
      </c>
      <c r="AN208" s="111" t="str">
        <f t="shared" si="45"/>
        <v/>
      </c>
      <c r="AP208" s="111">
        <v>199</v>
      </c>
      <c r="AR208" s="111" t="str">
        <f t="array" ref="AR208">IFERROR(INDEX($AP$10:$AP$258, MATCH(0, IF(TRUE=$AM$10:$AM$258, COUNTIF($AR$9:$AR207, $AP$10:$AP$258), ""), 0)),"")</f>
        <v/>
      </c>
      <c r="AS208" s="111" t="str">
        <f t="array" ref="AS208">IFERROR(INDEX($AP$10:$AP$258, MATCH(0, IF(TRUE=$AN$10:$AN$258, COUNTIF($AS$9:$AS207, $AP$10:$AP$258), ""), 0)),"")</f>
        <v/>
      </c>
      <c r="AT208" s="903" t="str">
        <f>IF(AND(OR(AD208="Yes",AD208="Pending"),Q208='G-7 WaterC'' Data'!$G$4),U208-AA208-Z208,"0")</f>
        <v>0</v>
      </c>
      <c r="AU208" s="30" t="str">
        <f>IF(D208="","",VLOOKUP(D208,'G-7 WaterC'' Data'!B$4:M$8,12,FALSE))</f>
        <v/>
      </c>
      <c r="AV208" s="30" t="str">
        <f t="shared" si="36"/>
        <v/>
      </c>
      <c r="AW208" s="30" t="str">
        <f t="shared" si="46"/>
        <v>No</v>
      </c>
      <c r="BA208" s="571" t="str">
        <f t="shared" si="47"/>
        <v/>
      </c>
    </row>
    <row r="209" spans="3:53" ht="14.4" thickBot="1" x14ac:dyDescent="0.3">
      <c r="C209" s="101">
        <v>200</v>
      </c>
      <c r="D209" s="269"/>
      <c r="E209" s="108"/>
      <c r="F209" s="281" t="str">
        <f>IF(D209="","",VLOOKUP(D209,'G-7 WaterC'' Data'!$B$2:$G$8,2,FALSE))</f>
        <v/>
      </c>
      <c r="G209" s="320" t="str">
        <f>IFERROR(VLOOKUP(F209,'G-7 WaterC'' Data'!$C$4:$D$8,2,FALSE),"")</f>
        <v/>
      </c>
      <c r="H209" s="109"/>
      <c r="I209" s="305" t="str">
        <f>IFERROR(INDEX('G-7 WaterC'' Data'!$H$4:$L$8,MATCH(D209,'G-7 WaterC'' Data'!$B$4:$B$8,0),MATCH(H209,'G-7 WaterC'' Data'!$H$3:$L$3,0)),"")</f>
        <v/>
      </c>
      <c r="J209" s="718"/>
      <c r="K209" s="301" t="str">
        <f>IF(J209="","",IF(VLOOKUP(J209,'G-7 WaterC'' Data'!$AK$4:$AM$9,2,FALSE)=0,"Spatial Data Missing ⚠",VLOOKUP(J209,'G-7 WaterC'' Data'!$AK$4:$AM$6,2,FALSE)))</f>
        <v/>
      </c>
      <c r="L209" s="305" t="str">
        <f>IF(J209="","",IF(VLOOKUP(J209,'G-7 WaterC'' Data'!$AK$4:$AM$9,3,FALSE)=0,"Spatial Data Missing ⚠",VLOOKUP(J209,'G-7 WaterC'' Data'!$AK$4:$AM$6,3,FALSE)))</f>
        <v/>
      </c>
      <c r="M209" s="106"/>
      <c r="N209" s="282" t="str">
        <f>IF(M209="","",IF(AND(M209="N/A - Culvert",D209&lt;&gt;"Culvert"),"Not possible ▲",IF(AND(D209="Culvert",M209&lt;&gt;"N/A - Culvert"),"Not possible ▲",IF(VLOOKUP(M209,'G-7 WaterC'' Data'!$AA$4:$AB$7,2,FALSE)=0,"Spatial Data Missing ⚠",VLOOKUP(M209,'G-7 WaterC'' Data'!$AA$4:$AB$7,2,FALSE)))))</f>
        <v/>
      </c>
      <c r="O209" s="56"/>
      <c r="P209" s="282" t="str">
        <f>IF(O209="","",IF(AND(O209="N/A - Culvert",D209&lt;&gt;"Culvert"),"Not possible ▲",IF(AND(D209="Culvert",O209&lt;&gt;"N/A - Culvert"),"Not possible ▲",IF(VLOOKUP(O209,'G-7 WaterC'' Data'!$AD$4:$AE$14,2,FALSE)=0,"Spatial Data Missing ⚠",VLOOKUP(O209,'G-7 WaterC'' Data'!$AD$4:$AE$14,2,FALSE)))))</f>
        <v/>
      </c>
      <c r="Q209" s="288" t="str">
        <f>IF(D209="","",VLOOKUP(D209,'G-7 WaterC'' Data'!$B$4:$G$8,6,FALSE))</f>
        <v/>
      </c>
      <c r="R209" s="295" t="str">
        <f t="shared" si="37"/>
        <v xml:space="preserve"> </v>
      </c>
      <c r="S209" s="403"/>
      <c r="T209" s="287" t="str">
        <f>IF(S209="","",IF(VLOOKUP(S209,'G-7 WaterC'' Data'!$AO$4:$BO$7,2,FALSE)=0,"Spatial Data Missing ⚠",VLOOKUP(S209,'G-7 WaterC'' Data'!$AO$4:$BO$7,2,FALSE)))</f>
        <v/>
      </c>
      <c r="U209" s="295" t="str">
        <f t="shared" si="38"/>
        <v xml:space="preserve"> </v>
      </c>
      <c r="V209" s="710" t="str">
        <f t="shared" si="39"/>
        <v/>
      </c>
      <c r="W209" s="32"/>
      <c r="X209" s="105"/>
      <c r="Y209" s="112"/>
      <c r="Z209" s="293" t="str">
        <f t="shared" si="40"/>
        <v/>
      </c>
      <c r="AA209" s="293" t="str">
        <f t="shared" si="41"/>
        <v/>
      </c>
      <c r="AB209" s="293" t="str">
        <f t="shared" si="42"/>
        <v/>
      </c>
      <c r="AC209" s="507" t="str">
        <f>IFERROR(IF(OR(E209="",R209=""),"", IF(AND(AB209&lt;&gt;"",S209=""), "Spatial risk category missing ▲", IF(AND(Q209='G-7 WaterC'' Data'!$G$4,AD209="Yes"),"Alternative Compensation ✓", IF(AND(AD209="Pending", Q209='G-7 WaterC'' Data'!$G$4),"Bespoke compensation must be agreed ▲", IF((Z209+AA209)&gt;=U209,0, U209-Z209-AA209))))),"Check Data ⚠")</f>
        <v/>
      </c>
      <c r="AD209" s="403"/>
      <c r="AE209" s="109"/>
      <c r="AF209" s="108"/>
      <c r="AG209" s="108"/>
      <c r="AH209" s="108"/>
      <c r="AI209" s="54" t="str">
        <f>IF(OR(Q209="",AD209="Yes"),"",IF(Q209='G-1 All Habitats'!$X$9,E209-Y209-X209,"None"))</f>
        <v/>
      </c>
      <c r="AJ209" s="55" t="str">
        <f>IF(Q209="","", IF(Q209='G-1 All Habitats'!$X$9, AI209*G209*I209*L209*N209*P209,"None"))</f>
        <v/>
      </c>
      <c r="AK209" s="30" t="str">
        <f>IFERROR(INDEX('G-7 WaterC'' Data'!$AZ$3:$AZ$7,MATCH(D209,'G-7 WaterC'' Data'!$AY$3:$AY$7,0)),"")</f>
        <v/>
      </c>
      <c r="AL209" s="30">
        <f t="shared" si="43"/>
        <v>0</v>
      </c>
      <c r="AM209" s="111" t="str">
        <f t="shared" si="44"/>
        <v/>
      </c>
      <c r="AN209" s="111" t="str">
        <f t="shared" si="45"/>
        <v/>
      </c>
      <c r="AP209" s="111">
        <v>200</v>
      </c>
      <c r="AR209" s="111" t="str">
        <f t="array" ref="AR209">IFERROR(INDEX($AP$10:$AP$258, MATCH(0, IF(TRUE=$AM$10:$AM$258, COUNTIF($AR$9:$AR208, $AP$10:$AP$258), ""), 0)),"")</f>
        <v/>
      </c>
      <c r="AS209" s="111" t="str">
        <f t="array" ref="AS209">IFERROR(INDEX($AP$10:$AP$258, MATCH(0, IF(TRUE=$AN$10:$AN$258, COUNTIF($AS$9:$AS208, $AP$10:$AP$258), ""), 0)),"")</f>
        <v/>
      </c>
      <c r="AT209" s="903" t="str">
        <f>IF(AND(OR(AD209="Yes",AD209="Pending"),Q209='G-7 WaterC'' Data'!$G$4),U209-AA209-Z209,"0")</f>
        <v>0</v>
      </c>
      <c r="AU209" s="30" t="str">
        <f>IF(D209="","",VLOOKUP(D209,'G-7 WaterC'' Data'!B$4:M$8,12,FALSE))</f>
        <v/>
      </c>
      <c r="AV209" s="30" t="str">
        <f t="shared" si="36"/>
        <v/>
      </c>
      <c r="AW209" s="30" t="str">
        <f t="shared" si="46"/>
        <v>No</v>
      </c>
      <c r="BA209" s="571" t="str">
        <f t="shared" si="47"/>
        <v/>
      </c>
    </row>
    <row r="210" spans="3:53" ht="14.4" thickBot="1" x14ac:dyDescent="0.3">
      <c r="C210" s="101">
        <v>201</v>
      </c>
      <c r="D210" s="269"/>
      <c r="E210" s="108"/>
      <c r="F210" s="281" t="str">
        <f>IF(D210="","",VLOOKUP(D210,'G-7 WaterC'' Data'!$B$2:$G$8,2,FALSE))</f>
        <v/>
      </c>
      <c r="G210" s="320" t="str">
        <f>IFERROR(VLOOKUP(F210,'G-7 WaterC'' Data'!$C$4:$D$8,2,FALSE),"")</f>
        <v/>
      </c>
      <c r="H210" s="109"/>
      <c r="I210" s="305" t="str">
        <f>IFERROR(INDEX('G-7 WaterC'' Data'!$H$4:$L$8,MATCH(D210,'G-7 WaterC'' Data'!$B$4:$B$8,0),MATCH(H210,'G-7 WaterC'' Data'!$H$3:$L$3,0)),"")</f>
        <v/>
      </c>
      <c r="J210" s="718"/>
      <c r="K210" s="301" t="str">
        <f>IF(J210="","",IF(VLOOKUP(J210,'G-7 WaterC'' Data'!$AK$4:$AM$9,2,FALSE)=0,"Spatial Data Missing ⚠",VLOOKUP(J210,'G-7 WaterC'' Data'!$AK$4:$AM$6,2,FALSE)))</f>
        <v/>
      </c>
      <c r="L210" s="305" t="str">
        <f>IF(J210="","",IF(VLOOKUP(J210,'G-7 WaterC'' Data'!$AK$4:$AM$9,3,FALSE)=0,"Spatial Data Missing ⚠",VLOOKUP(J210,'G-7 WaterC'' Data'!$AK$4:$AM$6,3,FALSE)))</f>
        <v/>
      </c>
      <c r="M210" s="106"/>
      <c r="N210" s="282" t="str">
        <f>IF(M210="","",IF(AND(M210="N/A - Culvert",D210&lt;&gt;"Culvert"),"Not possible ▲",IF(AND(D210="Culvert",M210&lt;&gt;"N/A - Culvert"),"Not possible ▲",IF(VLOOKUP(M210,'G-7 WaterC'' Data'!$AA$4:$AB$7,2,FALSE)=0,"Spatial Data Missing ⚠",VLOOKUP(M210,'G-7 WaterC'' Data'!$AA$4:$AB$7,2,FALSE)))))</f>
        <v/>
      </c>
      <c r="O210" s="56"/>
      <c r="P210" s="282" t="str">
        <f>IF(O210="","",IF(AND(O210="N/A - Culvert",D210&lt;&gt;"Culvert"),"Not possible ▲",IF(AND(D210="Culvert",O210&lt;&gt;"N/A - Culvert"),"Not possible ▲",IF(VLOOKUP(O210,'G-7 WaterC'' Data'!$AD$4:$AE$14,2,FALSE)=0,"Spatial Data Missing ⚠",VLOOKUP(O210,'G-7 WaterC'' Data'!$AD$4:$AE$14,2,FALSE)))))</f>
        <v/>
      </c>
      <c r="Q210" s="288" t="str">
        <f>IF(D210="","",VLOOKUP(D210,'G-7 WaterC'' Data'!$B$4:$G$8,6,FALSE))</f>
        <v/>
      </c>
      <c r="R210" s="295" t="str">
        <f t="shared" si="37"/>
        <v xml:space="preserve"> </v>
      </c>
      <c r="S210" s="403"/>
      <c r="T210" s="287" t="str">
        <f>IF(S210="","",IF(VLOOKUP(S210,'G-7 WaterC'' Data'!$AO$4:$BO$7,2,FALSE)=0,"Spatial Data Missing ⚠",VLOOKUP(S210,'G-7 WaterC'' Data'!$AO$4:$BO$7,2,FALSE)))</f>
        <v/>
      </c>
      <c r="U210" s="295" t="str">
        <f t="shared" si="38"/>
        <v xml:space="preserve"> </v>
      </c>
      <c r="V210" s="710" t="str">
        <f t="shared" si="39"/>
        <v/>
      </c>
      <c r="W210" s="32"/>
      <c r="X210" s="105"/>
      <c r="Y210" s="112"/>
      <c r="Z210" s="293" t="str">
        <f t="shared" si="40"/>
        <v/>
      </c>
      <c r="AA210" s="293" t="str">
        <f t="shared" si="41"/>
        <v/>
      </c>
      <c r="AB210" s="293" t="str">
        <f t="shared" si="42"/>
        <v/>
      </c>
      <c r="AC210" s="507" t="str">
        <f>IFERROR(IF(OR(E210="",R210=""),"", IF(AND(AB210&lt;&gt;"",S210=""), "Spatial risk category missing ▲", IF(AND(Q210='G-7 WaterC'' Data'!$G$4,AD210="Yes"),"Alternative Compensation ✓", IF(AND(AD210="Pending", Q210='G-7 WaterC'' Data'!$G$4),"Bespoke compensation must be agreed ▲", IF((Z210+AA210)&gt;=U210,0, U210-Z210-AA210))))),"Check Data ⚠")</f>
        <v/>
      </c>
      <c r="AD210" s="403"/>
      <c r="AE210" s="109"/>
      <c r="AF210" s="108"/>
      <c r="AG210" s="108"/>
      <c r="AH210" s="108"/>
      <c r="AI210" s="54" t="str">
        <f>IF(OR(Q210="",AD210="Yes"),"",IF(Q210='G-1 All Habitats'!$X$9,E210-Y210-X210,"None"))</f>
        <v/>
      </c>
      <c r="AJ210" s="55" t="str">
        <f>IF(Q210="","", IF(Q210='G-1 All Habitats'!$X$9, AI210*G210*I210*L210*N210*P210,"None"))</f>
        <v/>
      </c>
      <c r="AK210" s="30" t="str">
        <f>IFERROR(INDEX('G-7 WaterC'' Data'!$AZ$3:$AZ$7,MATCH(D210,'G-7 WaterC'' Data'!$AY$3:$AY$7,0)),"")</f>
        <v/>
      </c>
      <c r="AL210" s="30">
        <f t="shared" si="43"/>
        <v>0</v>
      </c>
      <c r="AM210" s="111" t="str">
        <f t="shared" si="44"/>
        <v/>
      </c>
      <c r="AN210" s="111" t="str">
        <f t="shared" si="45"/>
        <v/>
      </c>
      <c r="AP210" s="111">
        <v>201</v>
      </c>
      <c r="AR210" s="111" t="str">
        <f t="array" ref="AR210">IFERROR(INDEX($AP$10:$AP$258, MATCH(0, IF(TRUE=$AM$10:$AM$258, COUNTIF($AR$9:$AR209, $AP$10:$AP$258), ""), 0)),"")</f>
        <v/>
      </c>
      <c r="AS210" s="111" t="str">
        <f t="array" ref="AS210">IFERROR(INDEX($AP$10:$AP$258, MATCH(0, IF(TRUE=$AN$10:$AN$258, COUNTIF($AS$9:$AS209, $AP$10:$AP$258), ""), 0)),"")</f>
        <v/>
      </c>
      <c r="AT210" s="903" t="str">
        <f>IF(AND(OR(AD210="Yes",AD210="Pending"),Q210='G-7 WaterC'' Data'!$G$4),U210-AA210-Z210,"0")</f>
        <v>0</v>
      </c>
      <c r="AU210" s="30" t="str">
        <f>IF(D210="","",VLOOKUP(D210,'G-7 WaterC'' Data'!B$4:M$8,12,FALSE))</f>
        <v/>
      </c>
      <c r="AV210" s="30" t="str">
        <f t="shared" si="36"/>
        <v/>
      </c>
      <c r="AW210" s="30" t="str">
        <f t="shared" si="46"/>
        <v>No</v>
      </c>
      <c r="BA210" s="571" t="str">
        <f t="shared" si="47"/>
        <v/>
      </c>
    </row>
    <row r="211" spans="3:53" ht="14.4" thickBot="1" x14ac:dyDescent="0.3">
      <c r="C211" s="101">
        <v>202</v>
      </c>
      <c r="D211" s="269"/>
      <c r="E211" s="108"/>
      <c r="F211" s="281" t="str">
        <f>IF(D211="","",VLOOKUP(D211,'G-7 WaterC'' Data'!$B$2:$G$8,2,FALSE))</f>
        <v/>
      </c>
      <c r="G211" s="320" t="str">
        <f>IFERROR(VLOOKUP(F211,'G-7 WaterC'' Data'!$C$4:$D$8,2,FALSE),"")</f>
        <v/>
      </c>
      <c r="H211" s="109"/>
      <c r="I211" s="305" t="str">
        <f>IFERROR(INDEX('G-7 WaterC'' Data'!$H$4:$L$8,MATCH(D211,'G-7 WaterC'' Data'!$B$4:$B$8,0),MATCH(H211,'G-7 WaterC'' Data'!$H$3:$L$3,0)),"")</f>
        <v/>
      </c>
      <c r="J211" s="718"/>
      <c r="K211" s="301" t="str">
        <f>IF(J211="","",IF(VLOOKUP(J211,'G-7 WaterC'' Data'!$AK$4:$AM$9,2,FALSE)=0,"Spatial Data Missing ⚠",VLOOKUP(J211,'G-7 WaterC'' Data'!$AK$4:$AM$6,2,FALSE)))</f>
        <v/>
      </c>
      <c r="L211" s="305" t="str">
        <f>IF(J211="","",IF(VLOOKUP(J211,'G-7 WaterC'' Data'!$AK$4:$AM$9,3,FALSE)=0,"Spatial Data Missing ⚠",VLOOKUP(J211,'G-7 WaterC'' Data'!$AK$4:$AM$6,3,FALSE)))</f>
        <v/>
      </c>
      <c r="M211" s="106"/>
      <c r="N211" s="282" t="str">
        <f>IF(M211="","",IF(AND(M211="N/A - Culvert",D211&lt;&gt;"Culvert"),"Not possible ▲",IF(AND(D211="Culvert",M211&lt;&gt;"N/A - Culvert"),"Not possible ▲",IF(VLOOKUP(M211,'G-7 WaterC'' Data'!$AA$4:$AB$7,2,FALSE)=0,"Spatial Data Missing ⚠",VLOOKUP(M211,'G-7 WaterC'' Data'!$AA$4:$AB$7,2,FALSE)))))</f>
        <v/>
      </c>
      <c r="O211" s="56"/>
      <c r="P211" s="282" t="str">
        <f>IF(O211="","",IF(AND(O211="N/A - Culvert",D211&lt;&gt;"Culvert"),"Not possible ▲",IF(AND(D211="Culvert",O211&lt;&gt;"N/A - Culvert"),"Not possible ▲",IF(VLOOKUP(O211,'G-7 WaterC'' Data'!$AD$4:$AE$14,2,FALSE)=0,"Spatial Data Missing ⚠",VLOOKUP(O211,'G-7 WaterC'' Data'!$AD$4:$AE$14,2,FALSE)))))</f>
        <v/>
      </c>
      <c r="Q211" s="288" t="str">
        <f>IF(D211="","",VLOOKUP(D211,'G-7 WaterC'' Data'!$B$4:$G$8,6,FALSE))</f>
        <v/>
      </c>
      <c r="R211" s="295" t="str">
        <f t="shared" si="37"/>
        <v xml:space="preserve"> </v>
      </c>
      <c r="S211" s="403"/>
      <c r="T211" s="287" t="str">
        <f>IF(S211="","",IF(VLOOKUP(S211,'G-7 WaterC'' Data'!$AO$4:$BO$7,2,FALSE)=0,"Spatial Data Missing ⚠",VLOOKUP(S211,'G-7 WaterC'' Data'!$AO$4:$BO$7,2,FALSE)))</f>
        <v/>
      </c>
      <c r="U211" s="295" t="str">
        <f t="shared" si="38"/>
        <v xml:space="preserve"> </v>
      </c>
      <c r="V211" s="710" t="str">
        <f t="shared" si="39"/>
        <v/>
      </c>
      <c r="W211" s="32"/>
      <c r="X211" s="105"/>
      <c r="Y211" s="112"/>
      <c r="Z211" s="293" t="str">
        <f t="shared" si="40"/>
        <v/>
      </c>
      <c r="AA211" s="293" t="str">
        <f t="shared" si="41"/>
        <v/>
      </c>
      <c r="AB211" s="293" t="str">
        <f t="shared" si="42"/>
        <v/>
      </c>
      <c r="AC211" s="507" t="str">
        <f>IFERROR(IF(OR(E211="",R211=""),"", IF(AND(AB211&lt;&gt;"",S211=""), "Spatial risk category missing ▲", IF(AND(Q211='G-7 WaterC'' Data'!$G$4,AD211="Yes"),"Alternative Compensation ✓", IF(AND(AD211="Pending", Q211='G-7 WaterC'' Data'!$G$4),"Bespoke compensation must be agreed ▲", IF((Z211+AA211)&gt;=U211,0, U211-Z211-AA211))))),"Check Data ⚠")</f>
        <v/>
      </c>
      <c r="AD211" s="403"/>
      <c r="AE211" s="109"/>
      <c r="AF211" s="108"/>
      <c r="AG211" s="108"/>
      <c r="AH211" s="108"/>
      <c r="AI211" s="54" t="str">
        <f>IF(OR(Q211="",AD211="Yes"),"",IF(Q211='G-1 All Habitats'!$X$9,E211-Y211-X211,"None"))</f>
        <v/>
      </c>
      <c r="AJ211" s="55" t="str">
        <f>IF(Q211="","", IF(Q211='G-1 All Habitats'!$X$9, AI211*G211*I211*L211*N211*P211,"None"))</f>
        <v/>
      </c>
      <c r="AK211" s="30" t="str">
        <f>IFERROR(INDEX('G-7 WaterC'' Data'!$AZ$3:$AZ$7,MATCH(D211,'G-7 WaterC'' Data'!$AY$3:$AY$7,0)),"")</f>
        <v/>
      </c>
      <c r="AL211" s="30">
        <f t="shared" si="43"/>
        <v>0</v>
      </c>
      <c r="AM211" s="111" t="str">
        <f t="shared" si="44"/>
        <v/>
      </c>
      <c r="AN211" s="111" t="str">
        <f t="shared" si="45"/>
        <v/>
      </c>
      <c r="AP211" s="111">
        <v>202</v>
      </c>
      <c r="AR211" s="111" t="str">
        <f t="array" ref="AR211">IFERROR(INDEX($AP$10:$AP$258, MATCH(0, IF(TRUE=$AM$10:$AM$258, COUNTIF($AR$9:$AR210, $AP$10:$AP$258), ""), 0)),"")</f>
        <v/>
      </c>
      <c r="AS211" s="111" t="str">
        <f t="array" ref="AS211">IFERROR(INDEX($AP$10:$AP$258, MATCH(0, IF(TRUE=$AN$10:$AN$258, COUNTIF($AS$9:$AS210, $AP$10:$AP$258), ""), 0)),"")</f>
        <v/>
      </c>
      <c r="AT211" s="903" t="str">
        <f>IF(AND(OR(AD211="Yes",AD211="Pending"),Q211='G-7 WaterC'' Data'!$G$4),U211-AA211-Z211,"0")</f>
        <v>0</v>
      </c>
      <c r="AU211" s="30" t="str">
        <f>IF(D211="","",VLOOKUP(D211,'G-7 WaterC'' Data'!B$4:M$8,12,FALSE))</f>
        <v/>
      </c>
      <c r="AV211" s="30" t="str">
        <f t="shared" si="36"/>
        <v/>
      </c>
      <c r="AW211" s="30" t="str">
        <f t="shared" si="46"/>
        <v>No</v>
      </c>
      <c r="BA211" s="571" t="str">
        <f t="shared" si="47"/>
        <v/>
      </c>
    </row>
    <row r="212" spans="3:53" ht="14.4" thickBot="1" x14ac:dyDescent="0.3">
      <c r="C212" s="101">
        <v>203</v>
      </c>
      <c r="D212" s="269"/>
      <c r="E212" s="108"/>
      <c r="F212" s="281" t="str">
        <f>IF(D212="","",VLOOKUP(D212,'G-7 WaterC'' Data'!$B$2:$G$8,2,FALSE))</f>
        <v/>
      </c>
      <c r="G212" s="320" t="str">
        <f>IFERROR(VLOOKUP(F212,'G-7 WaterC'' Data'!$C$4:$D$8,2,FALSE),"")</f>
        <v/>
      </c>
      <c r="H212" s="109"/>
      <c r="I212" s="305" t="str">
        <f>IFERROR(INDEX('G-7 WaterC'' Data'!$H$4:$L$8,MATCH(D212,'G-7 WaterC'' Data'!$B$4:$B$8,0),MATCH(H212,'G-7 WaterC'' Data'!$H$3:$L$3,0)),"")</f>
        <v/>
      </c>
      <c r="J212" s="718"/>
      <c r="K212" s="301" t="str">
        <f>IF(J212="","",IF(VLOOKUP(J212,'G-7 WaterC'' Data'!$AK$4:$AM$9,2,FALSE)=0,"Spatial Data Missing ⚠",VLOOKUP(J212,'G-7 WaterC'' Data'!$AK$4:$AM$6,2,FALSE)))</f>
        <v/>
      </c>
      <c r="L212" s="305" t="str">
        <f>IF(J212="","",IF(VLOOKUP(J212,'G-7 WaterC'' Data'!$AK$4:$AM$9,3,FALSE)=0,"Spatial Data Missing ⚠",VLOOKUP(J212,'G-7 WaterC'' Data'!$AK$4:$AM$6,3,FALSE)))</f>
        <v/>
      </c>
      <c r="M212" s="106"/>
      <c r="N212" s="282" t="str">
        <f>IF(M212="","",IF(AND(M212="N/A - Culvert",D212&lt;&gt;"Culvert"),"Not possible ▲",IF(AND(D212="Culvert",M212&lt;&gt;"N/A - Culvert"),"Not possible ▲",IF(VLOOKUP(M212,'G-7 WaterC'' Data'!$AA$4:$AB$7,2,FALSE)=0,"Spatial Data Missing ⚠",VLOOKUP(M212,'G-7 WaterC'' Data'!$AA$4:$AB$7,2,FALSE)))))</f>
        <v/>
      </c>
      <c r="O212" s="56"/>
      <c r="P212" s="282" t="str">
        <f>IF(O212="","",IF(AND(O212="N/A - Culvert",D212&lt;&gt;"Culvert"),"Not possible ▲",IF(AND(D212="Culvert",O212&lt;&gt;"N/A - Culvert"),"Not possible ▲",IF(VLOOKUP(O212,'G-7 WaterC'' Data'!$AD$4:$AE$14,2,FALSE)=0,"Spatial Data Missing ⚠",VLOOKUP(O212,'G-7 WaterC'' Data'!$AD$4:$AE$14,2,FALSE)))))</f>
        <v/>
      </c>
      <c r="Q212" s="288" t="str">
        <f>IF(D212="","",VLOOKUP(D212,'G-7 WaterC'' Data'!$B$4:$G$8,6,FALSE))</f>
        <v/>
      </c>
      <c r="R212" s="295" t="str">
        <f t="shared" si="37"/>
        <v xml:space="preserve"> </v>
      </c>
      <c r="S212" s="403"/>
      <c r="T212" s="287" t="str">
        <f>IF(S212="","",IF(VLOOKUP(S212,'G-7 WaterC'' Data'!$AO$4:$BO$7,2,FALSE)=0,"Spatial Data Missing ⚠",VLOOKUP(S212,'G-7 WaterC'' Data'!$AO$4:$BO$7,2,FALSE)))</f>
        <v/>
      </c>
      <c r="U212" s="295" t="str">
        <f t="shared" si="38"/>
        <v xml:space="preserve"> </v>
      </c>
      <c r="V212" s="710" t="str">
        <f t="shared" si="39"/>
        <v/>
      </c>
      <c r="W212" s="32"/>
      <c r="X212" s="105"/>
      <c r="Y212" s="112"/>
      <c r="Z212" s="293" t="str">
        <f t="shared" si="40"/>
        <v/>
      </c>
      <c r="AA212" s="293" t="str">
        <f t="shared" si="41"/>
        <v/>
      </c>
      <c r="AB212" s="293" t="str">
        <f t="shared" si="42"/>
        <v/>
      </c>
      <c r="AC212" s="507" t="str">
        <f>IFERROR(IF(OR(E212="",R212=""),"", IF(AND(AB212&lt;&gt;"",S212=""), "Spatial risk category missing ▲", IF(AND(Q212='G-7 WaterC'' Data'!$G$4,AD212="Yes"),"Alternative Compensation ✓", IF(AND(AD212="Pending", Q212='G-7 WaterC'' Data'!$G$4),"Bespoke compensation must be agreed ▲", IF((Z212+AA212)&gt;=U212,0, U212-Z212-AA212))))),"Check Data ⚠")</f>
        <v/>
      </c>
      <c r="AD212" s="403"/>
      <c r="AE212" s="109"/>
      <c r="AF212" s="108"/>
      <c r="AG212" s="108"/>
      <c r="AH212" s="108"/>
      <c r="AI212" s="54" t="str">
        <f>IF(OR(Q212="",AD212="Yes"),"",IF(Q212='G-1 All Habitats'!$X$9,E212-Y212-X212,"None"))</f>
        <v/>
      </c>
      <c r="AJ212" s="55" t="str">
        <f>IF(Q212="","", IF(Q212='G-1 All Habitats'!$X$9, AI212*G212*I212*L212*N212*P212,"None"))</f>
        <v/>
      </c>
      <c r="AK212" s="30" t="str">
        <f>IFERROR(INDEX('G-7 WaterC'' Data'!$AZ$3:$AZ$7,MATCH(D212,'G-7 WaterC'' Data'!$AY$3:$AY$7,0)),"")</f>
        <v/>
      </c>
      <c r="AL212" s="30">
        <f t="shared" si="43"/>
        <v>0</v>
      </c>
      <c r="AM212" s="111" t="str">
        <f t="shared" si="44"/>
        <v/>
      </c>
      <c r="AN212" s="111" t="str">
        <f t="shared" si="45"/>
        <v/>
      </c>
      <c r="AP212" s="111">
        <v>203</v>
      </c>
      <c r="AR212" s="111" t="str">
        <f t="array" ref="AR212">IFERROR(INDEX($AP$10:$AP$258, MATCH(0, IF(TRUE=$AM$10:$AM$258, COUNTIF($AR$9:$AR211, $AP$10:$AP$258), ""), 0)),"")</f>
        <v/>
      </c>
      <c r="AS212" s="111" t="str">
        <f t="array" ref="AS212">IFERROR(INDEX($AP$10:$AP$258, MATCH(0, IF(TRUE=$AN$10:$AN$258, COUNTIF($AS$9:$AS211, $AP$10:$AP$258), ""), 0)),"")</f>
        <v/>
      </c>
      <c r="AT212" s="903" t="str">
        <f>IF(AND(OR(AD212="Yes",AD212="Pending"),Q212='G-7 WaterC'' Data'!$G$4),U212-AA212-Z212,"0")</f>
        <v>0</v>
      </c>
      <c r="AU212" s="30" t="str">
        <f>IF(D212="","",VLOOKUP(D212,'G-7 WaterC'' Data'!B$4:M$8,12,FALSE))</f>
        <v/>
      </c>
      <c r="AV212" s="30" t="str">
        <f t="shared" si="36"/>
        <v/>
      </c>
      <c r="AW212" s="30" t="str">
        <f t="shared" si="46"/>
        <v>No</v>
      </c>
      <c r="BA212" s="571" t="str">
        <f t="shared" si="47"/>
        <v/>
      </c>
    </row>
    <row r="213" spans="3:53" ht="14.4" thickBot="1" x14ac:dyDescent="0.3">
      <c r="C213" s="101">
        <v>204</v>
      </c>
      <c r="D213" s="269"/>
      <c r="E213" s="108"/>
      <c r="F213" s="281" t="str">
        <f>IF(D213="","",VLOOKUP(D213,'G-7 WaterC'' Data'!$B$2:$G$8,2,FALSE))</f>
        <v/>
      </c>
      <c r="G213" s="320" t="str">
        <f>IFERROR(VLOOKUP(F213,'G-7 WaterC'' Data'!$C$4:$D$8,2,FALSE),"")</f>
        <v/>
      </c>
      <c r="H213" s="109"/>
      <c r="I213" s="305" t="str">
        <f>IFERROR(INDEX('G-7 WaterC'' Data'!$H$4:$L$8,MATCH(D213,'G-7 WaterC'' Data'!$B$4:$B$8,0),MATCH(H213,'G-7 WaterC'' Data'!$H$3:$L$3,0)),"")</f>
        <v/>
      </c>
      <c r="J213" s="718"/>
      <c r="K213" s="301" t="str">
        <f>IF(J213="","",IF(VLOOKUP(J213,'G-7 WaterC'' Data'!$AK$4:$AM$9,2,FALSE)=0,"Spatial Data Missing ⚠",VLOOKUP(J213,'G-7 WaterC'' Data'!$AK$4:$AM$6,2,FALSE)))</f>
        <v/>
      </c>
      <c r="L213" s="305" t="str">
        <f>IF(J213="","",IF(VLOOKUP(J213,'G-7 WaterC'' Data'!$AK$4:$AM$9,3,FALSE)=0,"Spatial Data Missing ⚠",VLOOKUP(J213,'G-7 WaterC'' Data'!$AK$4:$AM$6,3,FALSE)))</f>
        <v/>
      </c>
      <c r="M213" s="106"/>
      <c r="N213" s="282" t="str">
        <f>IF(M213="","",IF(AND(M213="N/A - Culvert",D213&lt;&gt;"Culvert"),"Not possible ▲",IF(AND(D213="Culvert",M213&lt;&gt;"N/A - Culvert"),"Not possible ▲",IF(VLOOKUP(M213,'G-7 WaterC'' Data'!$AA$4:$AB$7,2,FALSE)=0,"Spatial Data Missing ⚠",VLOOKUP(M213,'G-7 WaterC'' Data'!$AA$4:$AB$7,2,FALSE)))))</f>
        <v/>
      </c>
      <c r="O213" s="56"/>
      <c r="P213" s="282" t="str">
        <f>IF(O213="","",IF(AND(O213="N/A - Culvert",D213&lt;&gt;"Culvert"),"Not possible ▲",IF(AND(D213="Culvert",O213&lt;&gt;"N/A - Culvert"),"Not possible ▲",IF(VLOOKUP(O213,'G-7 WaterC'' Data'!$AD$4:$AE$14,2,FALSE)=0,"Spatial Data Missing ⚠",VLOOKUP(O213,'G-7 WaterC'' Data'!$AD$4:$AE$14,2,FALSE)))))</f>
        <v/>
      </c>
      <c r="Q213" s="288" t="str">
        <f>IF(D213="","",VLOOKUP(D213,'G-7 WaterC'' Data'!$B$4:$G$8,6,FALSE))</f>
        <v/>
      </c>
      <c r="R213" s="295" t="str">
        <f t="shared" si="37"/>
        <v xml:space="preserve"> </v>
      </c>
      <c r="S213" s="403"/>
      <c r="T213" s="287" t="str">
        <f>IF(S213="","",IF(VLOOKUP(S213,'G-7 WaterC'' Data'!$AO$4:$BO$7,2,FALSE)=0,"Spatial Data Missing ⚠",VLOOKUP(S213,'G-7 WaterC'' Data'!$AO$4:$BO$7,2,FALSE)))</f>
        <v/>
      </c>
      <c r="U213" s="295" t="str">
        <f t="shared" si="38"/>
        <v xml:space="preserve"> </v>
      </c>
      <c r="V213" s="710" t="str">
        <f t="shared" si="39"/>
        <v/>
      </c>
      <c r="W213" s="32"/>
      <c r="X213" s="105"/>
      <c r="Y213" s="112"/>
      <c r="Z213" s="293" t="str">
        <f t="shared" si="40"/>
        <v/>
      </c>
      <c r="AA213" s="293" t="str">
        <f t="shared" si="41"/>
        <v/>
      </c>
      <c r="AB213" s="293" t="str">
        <f t="shared" si="42"/>
        <v/>
      </c>
      <c r="AC213" s="507" t="str">
        <f>IFERROR(IF(OR(E213="",R213=""),"", IF(AND(AB213&lt;&gt;"",S213=""), "Spatial risk category missing ▲", IF(AND(Q213='G-7 WaterC'' Data'!$G$4,AD213="Yes"),"Alternative Compensation ✓", IF(AND(AD213="Pending", Q213='G-7 WaterC'' Data'!$G$4),"Bespoke compensation must be agreed ▲", IF((Z213+AA213)&gt;=U213,0, U213-Z213-AA213))))),"Check Data ⚠")</f>
        <v/>
      </c>
      <c r="AD213" s="403"/>
      <c r="AE213" s="109"/>
      <c r="AF213" s="108"/>
      <c r="AG213" s="108"/>
      <c r="AH213" s="108"/>
      <c r="AI213" s="54" t="str">
        <f>IF(OR(Q213="",AD213="Yes"),"",IF(Q213='G-1 All Habitats'!$X$9,E213-Y213-X213,"None"))</f>
        <v/>
      </c>
      <c r="AJ213" s="55" t="str">
        <f>IF(Q213="","", IF(Q213='G-1 All Habitats'!$X$9, AI213*G213*I213*L213*N213*P213,"None"))</f>
        <v/>
      </c>
      <c r="AK213" s="30" t="str">
        <f>IFERROR(INDEX('G-7 WaterC'' Data'!$AZ$3:$AZ$7,MATCH(D213,'G-7 WaterC'' Data'!$AY$3:$AY$7,0)),"")</f>
        <v/>
      </c>
      <c r="AL213" s="30">
        <f t="shared" si="43"/>
        <v>0</v>
      </c>
      <c r="AM213" s="111" t="str">
        <f t="shared" si="44"/>
        <v/>
      </c>
      <c r="AN213" s="111" t="str">
        <f t="shared" si="45"/>
        <v/>
      </c>
      <c r="AP213" s="111">
        <v>204</v>
      </c>
      <c r="AR213" s="111" t="str">
        <f t="array" ref="AR213">IFERROR(INDEX($AP$10:$AP$258, MATCH(0, IF(TRUE=$AM$10:$AM$258, COUNTIF($AR$9:$AR212, $AP$10:$AP$258), ""), 0)),"")</f>
        <v/>
      </c>
      <c r="AS213" s="111" t="str">
        <f t="array" ref="AS213">IFERROR(INDEX($AP$10:$AP$258, MATCH(0, IF(TRUE=$AN$10:$AN$258, COUNTIF($AS$9:$AS212, $AP$10:$AP$258), ""), 0)),"")</f>
        <v/>
      </c>
      <c r="AT213" s="903" t="str">
        <f>IF(AND(OR(AD213="Yes",AD213="Pending"),Q213='G-7 WaterC'' Data'!$G$4),U213-AA213-Z213,"0")</f>
        <v>0</v>
      </c>
      <c r="AU213" s="30" t="str">
        <f>IF(D213="","",VLOOKUP(D213,'G-7 WaterC'' Data'!B$4:M$8,12,FALSE))</f>
        <v/>
      </c>
      <c r="AV213" s="30" t="str">
        <f t="shared" si="36"/>
        <v/>
      </c>
      <c r="AW213" s="30" t="str">
        <f t="shared" si="46"/>
        <v>No</v>
      </c>
      <c r="BA213" s="571" t="str">
        <f t="shared" si="47"/>
        <v/>
      </c>
    </row>
    <row r="214" spans="3:53" ht="14.4" thickBot="1" x14ac:dyDescent="0.3">
      <c r="C214" s="101">
        <v>205</v>
      </c>
      <c r="D214" s="269"/>
      <c r="E214" s="108"/>
      <c r="F214" s="281" t="str">
        <f>IF(D214="","",VLOOKUP(D214,'G-7 WaterC'' Data'!$B$2:$G$8,2,FALSE))</f>
        <v/>
      </c>
      <c r="G214" s="320" t="str">
        <f>IFERROR(VLOOKUP(F214,'G-7 WaterC'' Data'!$C$4:$D$8,2,FALSE),"")</f>
        <v/>
      </c>
      <c r="H214" s="109"/>
      <c r="I214" s="305" t="str">
        <f>IFERROR(INDEX('G-7 WaterC'' Data'!$H$4:$L$8,MATCH(D214,'G-7 WaterC'' Data'!$B$4:$B$8,0),MATCH(H214,'G-7 WaterC'' Data'!$H$3:$L$3,0)),"")</f>
        <v/>
      </c>
      <c r="J214" s="718"/>
      <c r="K214" s="301" t="str">
        <f>IF(J214="","",IF(VLOOKUP(J214,'G-7 WaterC'' Data'!$AK$4:$AM$9,2,FALSE)=0,"Spatial Data Missing ⚠",VLOOKUP(J214,'G-7 WaterC'' Data'!$AK$4:$AM$6,2,FALSE)))</f>
        <v/>
      </c>
      <c r="L214" s="305" t="str">
        <f>IF(J214="","",IF(VLOOKUP(J214,'G-7 WaterC'' Data'!$AK$4:$AM$9,3,FALSE)=0,"Spatial Data Missing ⚠",VLOOKUP(J214,'G-7 WaterC'' Data'!$AK$4:$AM$6,3,FALSE)))</f>
        <v/>
      </c>
      <c r="M214" s="106"/>
      <c r="N214" s="282" t="str">
        <f>IF(M214="","",IF(AND(M214="N/A - Culvert",D214&lt;&gt;"Culvert"),"Not possible ▲",IF(AND(D214="Culvert",M214&lt;&gt;"N/A - Culvert"),"Not possible ▲",IF(VLOOKUP(M214,'G-7 WaterC'' Data'!$AA$4:$AB$7,2,FALSE)=0,"Spatial Data Missing ⚠",VLOOKUP(M214,'G-7 WaterC'' Data'!$AA$4:$AB$7,2,FALSE)))))</f>
        <v/>
      </c>
      <c r="O214" s="56"/>
      <c r="P214" s="282" t="str">
        <f>IF(O214="","",IF(AND(O214="N/A - Culvert",D214&lt;&gt;"Culvert"),"Not possible ▲",IF(AND(D214="Culvert",O214&lt;&gt;"N/A - Culvert"),"Not possible ▲",IF(VLOOKUP(O214,'G-7 WaterC'' Data'!$AD$4:$AE$14,2,FALSE)=0,"Spatial Data Missing ⚠",VLOOKUP(O214,'G-7 WaterC'' Data'!$AD$4:$AE$14,2,FALSE)))))</f>
        <v/>
      </c>
      <c r="Q214" s="288" t="str">
        <f>IF(D214="","",VLOOKUP(D214,'G-7 WaterC'' Data'!$B$4:$G$8,6,FALSE))</f>
        <v/>
      </c>
      <c r="R214" s="295" t="str">
        <f t="shared" si="37"/>
        <v xml:space="preserve"> </v>
      </c>
      <c r="S214" s="403"/>
      <c r="T214" s="287" t="str">
        <f>IF(S214="","",IF(VLOOKUP(S214,'G-7 WaterC'' Data'!$AO$4:$BO$7,2,FALSE)=0,"Spatial Data Missing ⚠",VLOOKUP(S214,'G-7 WaterC'' Data'!$AO$4:$BO$7,2,FALSE)))</f>
        <v/>
      </c>
      <c r="U214" s="295" t="str">
        <f t="shared" si="38"/>
        <v xml:space="preserve"> </v>
      </c>
      <c r="V214" s="710" t="str">
        <f t="shared" si="39"/>
        <v/>
      </c>
      <c r="W214" s="32"/>
      <c r="X214" s="105"/>
      <c r="Y214" s="112"/>
      <c r="Z214" s="293" t="str">
        <f t="shared" si="40"/>
        <v/>
      </c>
      <c r="AA214" s="293" t="str">
        <f t="shared" si="41"/>
        <v/>
      </c>
      <c r="AB214" s="293" t="str">
        <f t="shared" si="42"/>
        <v/>
      </c>
      <c r="AC214" s="507" t="str">
        <f>IFERROR(IF(OR(E214="",R214=""),"", IF(AND(AB214&lt;&gt;"",S214=""), "Spatial risk category missing ▲", IF(AND(Q214='G-7 WaterC'' Data'!$G$4,AD214="Yes"),"Alternative Compensation ✓", IF(AND(AD214="Pending", Q214='G-7 WaterC'' Data'!$G$4),"Bespoke compensation must be agreed ▲", IF((Z214+AA214)&gt;=U214,0, U214-Z214-AA214))))),"Check Data ⚠")</f>
        <v/>
      </c>
      <c r="AD214" s="403"/>
      <c r="AE214" s="109"/>
      <c r="AF214" s="108"/>
      <c r="AG214" s="108"/>
      <c r="AH214" s="108"/>
      <c r="AI214" s="54" t="str">
        <f>IF(OR(Q214="",AD214="Yes"),"",IF(Q214='G-1 All Habitats'!$X$9,E214-Y214-X214,"None"))</f>
        <v/>
      </c>
      <c r="AJ214" s="55" t="str">
        <f>IF(Q214="","", IF(Q214='G-1 All Habitats'!$X$9, AI214*G214*I214*L214*N214*P214,"None"))</f>
        <v/>
      </c>
      <c r="AK214" s="30" t="str">
        <f>IFERROR(INDEX('G-7 WaterC'' Data'!$AZ$3:$AZ$7,MATCH(D214,'G-7 WaterC'' Data'!$AY$3:$AY$7,0)),"")</f>
        <v/>
      </c>
      <c r="AL214" s="30">
        <f t="shared" si="43"/>
        <v>0</v>
      </c>
      <c r="AM214" s="111" t="str">
        <f t="shared" si="44"/>
        <v/>
      </c>
      <c r="AN214" s="111" t="str">
        <f t="shared" si="45"/>
        <v/>
      </c>
      <c r="AP214" s="111">
        <v>205</v>
      </c>
      <c r="AR214" s="111" t="str">
        <f t="array" ref="AR214">IFERROR(INDEX($AP$10:$AP$258, MATCH(0, IF(TRUE=$AM$10:$AM$258, COUNTIF($AR$9:$AR213, $AP$10:$AP$258), ""), 0)),"")</f>
        <v/>
      </c>
      <c r="AS214" s="111" t="str">
        <f t="array" ref="AS214">IFERROR(INDEX($AP$10:$AP$258, MATCH(0, IF(TRUE=$AN$10:$AN$258, COUNTIF($AS$9:$AS213, $AP$10:$AP$258), ""), 0)),"")</f>
        <v/>
      </c>
      <c r="AT214" s="903" t="str">
        <f>IF(AND(OR(AD214="Yes",AD214="Pending"),Q214='G-7 WaterC'' Data'!$G$4),U214-AA214-Z214,"0")</f>
        <v>0</v>
      </c>
      <c r="AU214" s="30" t="str">
        <f>IF(D214="","",VLOOKUP(D214,'G-7 WaterC'' Data'!B$4:M$8,12,FALSE))</f>
        <v/>
      </c>
      <c r="AV214" s="30" t="str">
        <f t="shared" si="36"/>
        <v/>
      </c>
      <c r="AW214" s="30" t="str">
        <f t="shared" si="46"/>
        <v>No</v>
      </c>
      <c r="BA214" s="571" t="str">
        <f t="shared" si="47"/>
        <v/>
      </c>
    </row>
    <row r="215" spans="3:53" ht="14.4" thickBot="1" x14ac:dyDescent="0.3">
      <c r="C215" s="101">
        <v>206</v>
      </c>
      <c r="D215" s="269"/>
      <c r="E215" s="108"/>
      <c r="F215" s="281" t="str">
        <f>IF(D215="","",VLOOKUP(D215,'G-7 WaterC'' Data'!$B$2:$G$8,2,FALSE))</f>
        <v/>
      </c>
      <c r="G215" s="320" t="str">
        <f>IFERROR(VLOOKUP(F215,'G-7 WaterC'' Data'!$C$4:$D$8,2,FALSE),"")</f>
        <v/>
      </c>
      <c r="H215" s="109"/>
      <c r="I215" s="305" t="str">
        <f>IFERROR(INDEX('G-7 WaterC'' Data'!$H$4:$L$8,MATCH(D215,'G-7 WaterC'' Data'!$B$4:$B$8,0),MATCH(H215,'G-7 WaterC'' Data'!$H$3:$L$3,0)),"")</f>
        <v/>
      </c>
      <c r="J215" s="718"/>
      <c r="K215" s="301" t="str">
        <f>IF(J215="","",IF(VLOOKUP(J215,'G-7 WaterC'' Data'!$AK$4:$AM$9,2,FALSE)=0,"Spatial Data Missing ⚠",VLOOKUP(J215,'G-7 WaterC'' Data'!$AK$4:$AM$6,2,FALSE)))</f>
        <v/>
      </c>
      <c r="L215" s="305" t="str">
        <f>IF(J215="","",IF(VLOOKUP(J215,'G-7 WaterC'' Data'!$AK$4:$AM$9,3,FALSE)=0,"Spatial Data Missing ⚠",VLOOKUP(J215,'G-7 WaterC'' Data'!$AK$4:$AM$6,3,FALSE)))</f>
        <v/>
      </c>
      <c r="M215" s="106"/>
      <c r="N215" s="282" t="str">
        <f>IF(M215="","",IF(AND(M215="N/A - Culvert",D215&lt;&gt;"Culvert"),"Not possible ▲",IF(AND(D215="Culvert",M215&lt;&gt;"N/A - Culvert"),"Not possible ▲",IF(VLOOKUP(M215,'G-7 WaterC'' Data'!$AA$4:$AB$7,2,FALSE)=0,"Spatial Data Missing ⚠",VLOOKUP(M215,'G-7 WaterC'' Data'!$AA$4:$AB$7,2,FALSE)))))</f>
        <v/>
      </c>
      <c r="O215" s="56"/>
      <c r="P215" s="282" t="str">
        <f>IF(O215="","",IF(AND(O215="N/A - Culvert",D215&lt;&gt;"Culvert"),"Not possible ▲",IF(AND(D215="Culvert",O215&lt;&gt;"N/A - Culvert"),"Not possible ▲",IF(VLOOKUP(O215,'G-7 WaterC'' Data'!$AD$4:$AE$14,2,FALSE)=0,"Spatial Data Missing ⚠",VLOOKUP(O215,'G-7 WaterC'' Data'!$AD$4:$AE$14,2,FALSE)))))</f>
        <v/>
      </c>
      <c r="Q215" s="288" t="str">
        <f>IF(D215="","",VLOOKUP(D215,'G-7 WaterC'' Data'!$B$4:$G$8,6,FALSE))</f>
        <v/>
      </c>
      <c r="R215" s="295" t="str">
        <f t="shared" si="37"/>
        <v xml:space="preserve"> </v>
      </c>
      <c r="S215" s="403"/>
      <c r="T215" s="287" t="str">
        <f>IF(S215="","",IF(VLOOKUP(S215,'G-7 WaterC'' Data'!$AO$4:$BO$7,2,FALSE)=0,"Spatial Data Missing ⚠",VLOOKUP(S215,'G-7 WaterC'' Data'!$AO$4:$BO$7,2,FALSE)))</f>
        <v/>
      </c>
      <c r="U215" s="295" t="str">
        <f t="shared" si="38"/>
        <v xml:space="preserve"> </v>
      </c>
      <c r="V215" s="710" t="str">
        <f t="shared" si="39"/>
        <v/>
      </c>
      <c r="W215" s="32"/>
      <c r="X215" s="105"/>
      <c r="Y215" s="112"/>
      <c r="Z215" s="293" t="str">
        <f t="shared" si="40"/>
        <v/>
      </c>
      <c r="AA215" s="293" t="str">
        <f t="shared" si="41"/>
        <v/>
      </c>
      <c r="AB215" s="293" t="str">
        <f t="shared" si="42"/>
        <v/>
      </c>
      <c r="AC215" s="507" t="str">
        <f>IFERROR(IF(OR(E215="",R215=""),"", IF(AND(AB215&lt;&gt;"",S215=""), "Spatial risk category missing ▲", IF(AND(Q215='G-7 WaterC'' Data'!$G$4,AD215="Yes"),"Alternative Compensation ✓", IF(AND(AD215="Pending", Q215='G-7 WaterC'' Data'!$G$4),"Bespoke compensation must be agreed ▲", IF((Z215+AA215)&gt;=U215,0, U215-Z215-AA215))))),"Check Data ⚠")</f>
        <v/>
      </c>
      <c r="AD215" s="403"/>
      <c r="AE215" s="109"/>
      <c r="AF215" s="108"/>
      <c r="AG215" s="108"/>
      <c r="AH215" s="108"/>
      <c r="AI215" s="54" t="str">
        <f>IF(OR(Q215="",AD215="Yes"),"",IF(Q215='G-1 All Habitats'!$X$9,E215-Y215-X215,"None"))</f>
        <v/>
      </c>
      <c r="AJ215" s="55" t="str">
        <f>IF(Q215="","", IF(Q215='G-1 All Habitats'!$X$9, AI215*G215*I215*L215*N215*P215,"None"))</f>
        <v/>
      </c>
      <c r="AK215" s="30" t="str">
        <f>IFERROR(INDEX('G-7 WaterC'' Data'!$AZ$3:$AZ$7,MATCH(D215,'G-7 WaterC'' Data'!$AY$3:$AY$7,0)),"")</f>
        <v/>
      </c>
      <c r="AL215" s="30">
        <f t="shared" si="43"/>
        <v>0</v>
      </c>
      <c r="AM215" s="111" t="str">
        <f t="shared" si="44"/>
        <v/>
      </c>
      <c r="AN215" s="111" t="str">
        <f t="shared" si="45"/>
        <v/>
      </c>
      <c r="AP215" s="111">
        <v>206</v>
      </c>
      <c r="AR215" s="111" t="str">
        <f t="array" ref="AR215">IFERROR(INDEX($AP$10:$AP$258, MATCH(0, IF(TRUE=$AM$10:$AM$258, COUNTIF($AR$9:$AR214, $AP$10:$AP$258), ""), 0)),"")</f>
        <v/>
      </c>
      <c r="AS215" s="111" t="str">
        <f t="array" ref="AS215">IFERROR(INDEX($AP$10:$AP$258, MATCH(0, IF(TRUE=$AN$10:$AN$258, COUNTIF($AS$9:$AS214, $AP$10:$AP$258), ""), 0)),"")</f>
        <v/>
      </c>
      <c r="AT215" s="903" t="str">
        <f>IF(AND(OR(AD215="Yes",AD215="Pending"),Q215='G-7 WaterC'' Data'!$G$4),U215-AA215-Z215,"0")</f>
        <v>0</v>
      </c>
      <c r="AU215" s="30" t="str">
        <f>IF(D215="","",VLOOKUP(D215,'G-7 WaterC'' Data'!B$4:M$8,12,FALSE))</f>
        <v/>
      </c>
      <c r="AV215" s="30" t="str">
        <f t="shared" si="36"/>
        <v/>
      </c>
      <c r="AW215" s="30" t="str">
        <f t="shared" si="46"/>
        <v>No</v>
      </c>
      <c r="BA215" s="571" t="str">
        <f t="shared" si="47"/>
        <v/>
      </c>
    </row>
    <row r="216" spans="3:53" ht="14.4" thickBot="1" x14ac:dyDescent="0.3">
      <c r="C216" s="101">
        <v>207</v>
      </c>
      <c r="D216" s="269"/>
      <c r="E216" s="108"/>
      <c r="F216" s="281" t="str">
        <f>IF(D216="","",VLOOKUP(D216,'G-7 WaterC'' Data'!$B$2:$G$8,2,FALSE))</f>
        <v/>
      </c>
      <c r="G216" s="320" t="str">
        <f>IFERROR(VLOOKUP(F216,'G-7 WaterC'' Data'!$C$4:$D$8,2,FALSE),"")</f>
        <v/>
      </c>
      <c r="H216" s="109"/>
      <c r="I216" s="305" t="str">
        <f>IFERROR(INDEX('G-7 WaterC'' Data'!$H$4:$L$8,MATCH(D216,'G-7 WaterC'' Data'!$B$4:$B$8,0),MATCH(H216,'G-7 WaterC'' Data'!$H$3:$L$3,0)),"")</f>
        <v/>
      </c>
      <c r="J216" s="718"/>
      <c r="K216" s="301" t="str">
        <f>IF(J216="","",IF(VLOOKUP(J216,'G-7 WaterC'' Data'!$AK$4:$AM$9,2,FALSE)=0,"Spatial Data Missing ⚠",VLOOKUP(J216,'G-7 WaterC'' Data'!$AK$4:$AM$6,2,FALSE)))</f>
        <v/>
      </c>
      <c r="L216" s="305" t="str">
        <f>IF(J216="","",IF(VLOOKUP(J216,'G-7 WaterC'' Data'!$AK$4:$AM$9,3,FALSE)=0,"Spatial Data Missing ⚠",VLOOKUP(J216,'G-7 WaterC'' Data'!$AK$4:$AM$6,3,FALSE)))</f>
        <v/>
      </c>
      <c r="M216" s="106"/>
      <c r="N216" s="282" t="str">
        <f>IF(M216="","",IF(AND(M216="N/A - Culvert",D216&lt;&gt;"Culvert"),"Not possible ▲",IF(AND(D216="Culvert",M216&lt;&gt;"N/A - Culvert"),"Not possible ▲",IF(VLOOKUP(M216,'G-7 WaterC'' Data'!$AA$4:$AB$7,2,FALSE)=0,"Spatial Data Missing ⚠",VLOOKUP(M216,'G-7 WaterC'' Data'!$AA$4:$AB$7,2,FALSE)))))</f>
        <v/>
      </c>
      <c r="O216" s="56"/>
      <c r="P216" s="282" t="str">
        <f>IF(O216="","",IF(AND(O216="N/A - Culvert",D216&lt;&gt;"Culvert"),"Not possible ▲",IF(AND(D216="Culvert",O216&lt;&gt;"N/A - Culvert"),"Not possible ▲",IF(VLOOKUP(O216,'G-7 WaterC'' Data'!$AD$4:$AE$14,2,FALSE)=0,"Spatial Data Missing ⚠",VLOOKUP(O216,'G-7 WaterC'' Data'!$AD$4:$AE$14,2,FALSE)))))</f>
        <v/>
      </c>
      <c r="Q216" s="288" t="str">
        <f>IF(D216="","",VLOOKUP(D216,'G-7 WaterC'' Data'!$B$4:$G$8,6,FALSE))</f>
        <v/>
      </c>
      <c r="R216" s="295" t="str">
        <f t="shared" si="37"/>
        <v xml:space="preserve"> </v>
      </c>
      <c r="S216" s="403"/>
      <c r="T216" s="287" t="str">
        <f>IF(S216="","",IF(VLOOKUP(S216,'G-7 WaterC'' Data'!$AO$4:$BO$7,2,FALSE)=0,"Spatial Data Missing ⚠",VLOOKUP(S216,'G-7 WaterC'' Data'!$AO$4:$BO$7,2,FALSE)))</f>
        <v/>
      </c>
      <c r="U216" s="295" t="str">
        <f t="shared" si="38"/>
        <v xml:space="preserve"> </v>
      </c>
      <c r="V216" s="710" t="str">
        <f t="shared" si="39"/>
        <v/>
      </c>
      <c r="W216" s="32"/>
      <c r="X216" s="105"/>
      <c r="Y216" s="112"/>
      <c r="Z216" s="293" t="str">
        <f t="shared" si="40"/>
        <v/>
      </c>
      <c r="AA216" s="293" t="str">
        <f t="shared" si="41"/>
        <v/>
      </c>
      <c r="AB216" s="293" t="str">
        <f t="shared" si="42"/>
        <v/>
      </c>
      <c r="AC216" s="507" t="str">
        <f>IFERROR(IF(OR(E216="",R216=""),"", IF(AND(AB216&lt;&gt;"",S216=""), "Spatial risk category missing ▲", IF(AND(Q216='G-7 WaterC'' Data'!$G$4,AD216="Yes"),"Alternative Compensation ✓", IF(AND(AD216="Pending", Q216='G-7 WaterC'' Data'!$G$4),"Bespoke compensation must be agreed ▲", IF((Z216+AA216)&gt;=U216,0, U216-Z216-AA216))))),"Check Data ⚠")</f>
        <v/>
      </c>
      <c r="AD216" s="403"/>
      <c r="AE216" s="109"/>
      <c r="AF216" s="108"/>
      <c r="AG216" s="108"/>
      <c r="AH216" s="108"/>
      <c r="AI216" s="54" t="str">
        <f>IF(OR(Q216="",AD216="Yes"),"",IF(Q216='G-1 All Habitats'!$X$9,E216-Y216-X216,"None"))</f>
        <v/>
      </c>
      <c r="AJ216" s="55" t="str">
        <f>IF(Q216="","", IF(Q216='G-1 All Habitats'!$X$9, AI216*G216*I216*L216*N216*P216,"None"))</f>
        <v/>
      </c>
      <c r="AK216" s="30" t="str">
        <f>IFERROR(INDEX('G-7 WaterC'' Data'!$AZ$3:$AZ$7,MATCH(D216,'G-7 WaterC'' Data'!$AY$3:$AY$7,0)),"")</f>
        <v/>
      </c>
      <c r="AL216" s="30">
        <f t="shared" si="43"/>
        <v>0</v>
      </c>
      <c r="AM216" s="111" t="str">
        <f t="shared" si="44"/>
        <v/>
      </c>
      <c r="AN216" s="111" t="str">
        <f t="shared" si="45"/>
        <v/>
      </c>
      <c r="AP216" s="111">
        <v>207</v>
      </c>
      <c r="AR216" s="111" t="str">
        <f t="array" ref="AR216">IFERROR(INDEX($AP$10:$AP$258, MATCH(0, IF(TRUE=$AM$10:$AM$258, COUNTIF($AR$9:$AR215, $AP$10:$AP$258), ""), 0)),"")</f>
        <v/>
      </c>
      <c r="AS216" s="111" t="str">
        <f t="array" ref="AS216">IFERROR(INDEX($AP$10:$AP$258, MATCH(0, IF(TRUE=$AN$10:$AN$258, COUNTIF($AS$9:$AS215, $AP$10:$AP$258), ""), 0)),"")</f>
        <v/>
      </c>
      <c r="AT216" s="903" t="str">
        <f>IF(AND(OR(AD216="Yes",AD216="Pending"),Q216='G-7 WaterC'' Data'!$G$4),U216-AA216-Z216,"0")</f>
        <v>0</v>
      </c>
      <c r="AU216" s="30" t="str">
        <f>IF(D216="","",VLOOKUP(D216,'G-7 WaterC'' Data'!B$4:M$8,12,FALSE))</f>
        <v/>
      </c>
      <c r="AV216" s="30" t="str">
        <f t="shared" si="36"/>
        <v/>
      </c>
      <c r="AW216" s="30" t="str">
        <f t="shared" si="46"/>
        <v>No</v>
      </c>
      <c r="BA216" s="571" t="str">
        <f t="shared" si="47"/>
        <v/>
      </c>
    </row>
    <row r="217" spans="3:53" ht="14.4" thickBot="1" x14ac:dyDescent="0.3">
      <c r="C217" s="101">
        <v>208</v>
      </c>
      <c r="D217" s="269"/>
      <c r="E217" s="108"/>
      <c r="F217" s="281" t="str">
        <f>IF(D217="","",VLOOKUP(D217,'G-7 WaterC'' Data'!$B$2:$G$8,2,FALSE))</f>
        <v/>
      </c>
      <c r="G217" s="320" t="str">
        <f>IFERROR(VLOOKUP(F217,'G-7 WaterC'' Data'!$C$4:$D$8,2,FALSE),"")</f>
        <v/>
      </c>
      <c r="H217" s="109"/>
      <c r="I217" s="305" t="str">
        <f>IFERROR(INDEX('G-7 WaterC'' Data'!$H$4:$L$8,MATCH(D217,'G-7 WaterC'' Data'!$B$4:$B$8,0),MATCH(H217,'G-7 WaterC'' Data'!$H$3:$L$3,0)),"")</f>
        <v/>
      </c>
      <c r="J217" s="718"/>
      <c r="K217" s="301" t="str">
        <f>IF(J217="","",IF(VLOOKUP(J217,'G-7 WaterC'' Data'!$AK$4:$AM$9,2,FALSE)=0,"Spatial Data Missing ⚠",VLOOKUP(J217,'G-7 WaterC'' Data'!$AK$4:$AM$6,2,FALSE)))</f>
        <v/>
      </c>
      <c r="L217" s="305" t="str">
        <f>IF(J217="","",IF(VLOOKUP(J217,'G-7 WaterC'' Data'!$AK$4:$AM$9,3,FALSE)=0,"Spatial Data Missing ⚠",VLOOKUP(J217,'G-7 WaterC'' Data'!$AK$4:$AM$6,3,FALSE)))</f>
        <v/>
      </c>
      <c r="M217" s="106"/>
      <c r="N217" s="282" t="str">
        <f>IF(M217="","",IF(AND(M217="N/A - Culvert",D217&lt;&gt;"Culvert"),"Not possible ▲",IF(AND(D217="Culvert",M217&lt;&gt;"N/A - Culvert"),"Not possible ▲",IF(VLOOKUP(M217,'G-7 WaterC'' Data'!$AA$4:$AB$7,2,FALSE)=0,"Spatial Data Missing ⚠",VLOOKUP(M217,'G-7 WaterC'' Data'!$AA$4:$AB$7,2,FALSE)))))</f>
        <v/>
      </c>
      <c r="O217" s="56"/>
      <c r="P217" s="282" t="str">
        <f>IF(O217="","",IF(AND(O217="N/A - Culvert",D217&lt;&gt;"Culvert"),"Not possible ▲",IF(AND(D217="Culvert",O217&lt;&gt;"N/A - Culvert"),"Not possible ▲",IF(VLOOKUP(O217,'G-7 WaterC'' Data'!$AD$4:$AE$14,2,FALSE)=0,"Spatial Data Missing ⚠",VLOOKUP(O217,'G-7 WaterC'' Data'!$AD$4:$AE$14,2,FALSE)))))</f>
        <v/>
      </c>
      <c r="Q217" s="288" t="str">
        <f>IF(D217="","",VLOOKUP(D217,'G-7 WaterC'' Data'!$B$4:$G$8,6,FALSE))</f>
        <v/>
      </c>
      <c r="R217" s="295" t="str">
        <f t="shared" si="37"/>
        <v xml:space="preserve"> </v>
      </c>
      <c r="S217" s="403"/>
      <c r="T217" s="287" t="str">
        <f>IF(S217="","",IF(VLOOKUP(S217,'G-7 WaterC'' Data'!$AO$4:$BO$7,2,FALSE)=0,"Spatial Data Missing ⚠",VLOOKUP(S217,'G-7 WaterC'' Data'!$AO$4:$BO$7,2,FALSE)))</f>
        <v/>
      </c>
      <c r="U217" s="295" t="str">
        <f t="shared" si="38"/>
        <v xml:space="preserve"> </v>
      </c>
      <c r="V217" s="710" t="str">
        <f t="shared" si="39"/>
        <v/>
      </c>
      <c r="W217" s="32"/>
      <c r="X217" s="105"/>
      <c r="Y217" s="112"/>
      <c r="Z217" s="293" t="str">
        <f t="shared" si="40"/>
        <v/>
      </c>
      <c r="AA217" s="293" t="str">
        <f t="shared" si="41"/>
        <v/>
      </c>
      <c r="AB217" s="293" t="str">
        <f t="shared" si="42"/>
        <v/>
      </c>
      <c r="AC217" s="507" t="str">
        <f>IFERROR(IF(OR(E217="",R217=""),"", IF(AND(AB217&lt;&gt;"",S217=""), "Spatial risk category missing ▲", IF(AND(Q217='G-7 WaterC'' Data'!$G$4,AD217="Yes"),"Alternative Compensation ✓", IF(AND(AD217="Pending", Q217='G-7 WaterC'' Data'!$G$4),"Bespoke compensation must be agreed ▲", IF((Z217+AA217)&gt;=U217,0, U217-Z217-AA217))))),"Check Data ⚠")</f>
        <v/>
      </c>
      <c r="AD217" s="403"/>
      <c r="AE217" s="109"/>
      <c r="AF217" s="108"/>
      <c r="AG217" s="108"/>
      <c r="AH217" s="108"/>
      <c r="AI217" s="54" t="str">
        <f>IF(OR(Q217="",AD217="Yes"),"",IF(Q217='G-1 All Habitats'!$X$9,E217-Y217-X217,"None"))</f>
        <v/>
      </c>
      <c r="AJ217" s="55" t="str">
        <f>IF(Q217="","", IF(Q217='G-1 All Habitats'!$X$9, AI217*G217*I217*L217*N217*P217,"None"))</f>
        <v/>
      </c>
      <c r="AK217" s="30" t="str">
        <f>IFERROR(INDEX('G-7 WaterC'' Data'!$AZ$3:$AZ$7,MATCH(D217,'G-7 WaterC'' Data'!$AY$3:$AY$7,0)),"")</f>
        <v/>
      </c>
      <c r="AL217" s="30">
        <f t="shared" si="43"/>
        <v>0</v>
      </c>
      <c r="AM217" s="111" t="str">
        <f t="shared" si="44"/>
        <v/>
      </c>
      <c r="AN217" s="111" t="str">
        <f t="shared" si="45"/>
        <v/>
      </c>
      <c r="AP217" s="111">
        <v>208</v>
      </c>
      <c r="AR217" s="111" t="str">
        <f t="array" ref="AR217">IFERROR(INDEX($AP$10:$AP$258, MATCH(0, IF(TRUE=$AM$10:$AM$258, COUNTIF($AR$9:$AR216, $AP$10:$AP$258), ""), 0)),"")</f>
        <v/>
      </c>
      <c r="AS217" s="111" t="str">
        <f t="array" ref="AS217">IFERROR(INDEX($AP$10:$AP$258, MATCH(0, IF(TRUE=$AN$10:$AN$258, COUNTIF($AS$9:$AS216, $AP$10:$AP$258), ""), 0)),"")</f>
        <v/>
      </c>
      <c r="AT217" s="903" t="str">
        <f>IF(AND(OR(AD217="Yes",AD217="Pending"),Q217='G-7 WaterC'' Data'!$G$4),U217-AA217-Z217,"0")</f>
        <v>0</v>
      </c>
      <c r="AU217" s="30" t="str">
        <f>IF(D217="","",VLOOKUP(D217,'G-7 WaterC'' Data'!B$4:M$8,12,FALSE))</f>
        <v/>
      </c>
      <c r="AV217" s="30" t="str">
        <f t="shared" si="36"/>
        <v/>
      </c>
      <c r="AW217" s="30" t="str">
        <f t="shared" si="46"/>
        <v>No</v>
      </c>
      <c r="BA217" s="571" t="str">
        <f t="shared" si="47"/>
        <v/>
      </c>
    </row>
    <row r="218" spans="3:53" ht="14.4" thickBot="1" x14ac:dyDescent="0.3">
      <c r="C218" s="101">
        <v>209</v>
      </c>
      <c r="D218" s="269"/>
      <c r="E218" s="108"/>
      <c r="F218" s="281" t="str">
        <f>IF(D218="","",VLOOKUP(D218,'G-7 WaterC'' Data'!$B$2:$G$8,2,FALSE))</f>
        <v/>
      </c>
      <c r="G218" s="320" t="str">
        <f>IFERROR(VLOOKUP(F218,'G-7 WaterC'' Data'!$C$4:$D$8,2,FALSE),"")</f>
        <v/>
      </c>
      <c r="H218" s="109"/>
      <c r="I218" s="305" t="str">
        <f>IFERROR(INDEX('G-7 WaterC'' Data'!$H$4:$L$8,MATCH(D218,'G-7 WaterC'' Data'!$B$4:$B$8,0),MATCH(H218,'G-7 WaterC'' Data'!$H$3:$L$3,0)),"")</f>
        <v/>
      </c>
      <c r="J218" s="718"/>
      <c r="K218" s="301" t="str">
        <f>IF(J218="","",IF(VLOOKUP(J218,'G-7 WaterC'' Data'!$AK$4:$AM$9,2,FALSE)=0,"Spatial Data Missing ⚠",VLOOKUP(J218,'G-7 WaterC'' Data'!$AK$4:$AM$6,2,FALSE)))</f>
        <v/>
      </c>
      <c r="L218" s="305" t="str">
        <f>IF(J218="","",IF(VLOOKUP(J218,'G-7 WaterC'' Data'!$AK$4:$AM$9,3,FALSE)=0,"Spatial Data Missing ⚠",VLOOKUP(J218,'G-7 WaterC'' Data'!$AK$4:$AM$6,3,FALSE)))</f>
        <v/>
      </c>
      <c r="M218" s="106"/>
      <c r="N218" s="282" t="str">
        <f>IF(M218="","",IF(AND(M218="N/A - Culvert",D218&lt;&gt;"Culvert"),"Not possible ▲",IF(AND(D218="Culvert",M218&lt;&gt;"N/A - Culvert"),"Not possible ▲",IF(VLOOKUP(M218,'G-7 WaterC'' Data'!$AA$4:$AB$7,2,FALSE)=0,"Spatial Data Missing ⚠",VLOOKUP(M218,'G-7 WaterC'' Data'!$AA$4:$AB$7,2,FALSE)))))</f>
        <v/>
      </c>
      <c r="O218" s="56"/>
      <c r="P218" s="282" t="str">
        <f>IF(O218="","",IF(AND(O218="N/A - Culvert",D218&lt;&gt;"Culvert"),"Not possible ▲",IF(AND(D218="Culvert",O218&lt;&gt;"N/A - Culvert"),"Not possible ▲",IF(VLOOKUP(O218,'G-7 WaterC'' Data'!$AD$4:$AE$14,2,FALSE)=0,"Spatial Data Missing ⚠",VLOOKUP(O218,'G-7 WaterC'' Data'!$AD$4:$AE$14,2,FALSE)))))</f>
        <v/>
      </c>
      <c r="Q218" s="288" t="str">
        <f>IF(D218="","",VLOOKUP(D218,'G-7 WaterC'' Data'!$B$4:$G$8,6,FALSE))</f>
        <v/>
      </c>
      <c r="R218" s="295" t="str">
        <f t="shared" si="37"/>
        <v xml:space="preserve"> </v>
      </c>
      <c r="S218" s="403"/>
      <c r="T218" s="287" t="str">
        <f>IF(S218="","",IF(VLOOKUP(S218,'G-7 WaterC'' Data'!$AO$4:$BO$7,2,FALSE)=0,"Spatial Data Missing ⚠",VLOOKUP(S218,'G-7 WaterC'' Data'!$AO$4:$BO$7,2,FALSE)))</f>
        <v/>
      </c>
      <c r="U218" s="295" t="str">
        <f t="shared" si="38"/>
        <v xml:space="preserve"> </v>
      </c>
      <c r="V218" s="710" t="str">
        <f t="shared" si="39"/>
        <v/>
      </c>
      <c r="W218" s="32"/>
      <c r="X218" s="105"/>
      <c r="Y218" s="112"/>
      <c r="Z218" s="293" t="str">
        <f t="shared" si="40"/>
        <v/>
      </c>
      <c r="AA218" s="293" t="str">
        <f t="shared" si="41"/>
        <v/>
      </c>
      <c r="AB218" s="293" t="str">
        <f t="shared" si="42"/>
        <v/>
      </c>
      <c r="AC218" s="507" t="str">
        <f>IFERROR(IF(OR(E218="",R218=""),"", IF(AND(AB218&lt;&gt;"",S218=""), "Spatial risk category missing ▲", IF(AND(Q218='G-7 WaterC'' Data'!$G$4,AD218="Yes"),"Alternative Compensation ✓", IF(AND(AD218="Pending", Q218='G-7 WaterC'' Data'!$G$4),"Bespoke compensation must be agreed ▲", IF((Z218+AA218)&gt;=U218,0, U218-Z218-AA218))))),"Check Data ⚠")</f>
        <v/>
      </c>
      <c r="AD218" s="403"/>
      <c r="AE218" s="109"/>
      <c r="AF218" s="108"/>
      <c r="AG218" s="108"/>
      <c r="AH218" s="108"/>
      <c r="AI218" s="54" t="str">
        <f>IF(OR(Q218="",AD218="Yes"),"",IF(Q218='G-1 All Habitats'!$X$9,E218-Y218-X218,"None"))</f>
        <v/>
      </c>
      <c r="AJ218" s="55" t="str">
        <f>IF(Q218="","", IF(Q218='G-1 All Habitats'!$X$9, AI218*G218*I218*L218*N218*P218,"None"))</f>
        <v/>
      </c>
      <c r="AK218" s="30" t="str">
        <f>IFERROR(INDEX('G-7 WaterC'' Data'!$AZ$3:$AZ$7,MATCH(D218,'G-7 WaterC'' Data'!$AY$3:$AY$7,0)),"")</f>
        <v/>
      </c>
      <c r="AL218" s="30">
        <f t="shared" si="43"/>
        <v>0</v>
      </c>
      <c r="AM218" s="111" t="str">
        <f t="shared" si="44"/>
        <v/>
      </c>
      <c r="AN218" s="111" t="str">
        <f t="shared" si="45"/>
        <v/>
      </c>
      <c r="AP218" s="111">
        <v>209</v>
      </c>
      <c r="AR218" s="111" t="str">
        <f t="array" ref="AR218">IFERROR(INDEX($AP$10:$AP$258, MATCH(0, IF(TRUE=$AM$10:$AM$258, COUNTIF($AR$9:$AR217, $AP$10:$AP$258), ""), 0)),"")</f>
        <v/>
      </c>
      <c r="AS218" s="111" t="str">
        <f t="array" ref="AS218">IFERROR(INDEX($AP$10:$AP$258, MATCH(0, IF(TRUE=$AN$10:$AN$258, COUNTIF($AS$9:$AS217, $AP$10:$AP$258), ""), 0)),"")</f>
        <v/>
      </c>
      <c r="AT218" s="903" t="str">
        <f>IF(AND(OR(AD218="Yes",AD218="Pending"),Q218='G-7 WaterC'' Data'!$G$4),U218-AA218-Z218,"0")</f>
        <v>0</v>
      </c>
      <c r="AU218" s="30" t="str">
        <f>IF(D218="","",VLOOKUP(D218,'G-7 WaterC'' Data'!B$4:M$8,12,FALSE))</f>
        <v/>
      </c>
      <c r="AV218" s="30" t="str">
        <f t="shared" si="36"/>
        <v/>
      </c>
      <c r="AW218" s="30" t="str">
        <f t="shared" si="46"/>
        <v>No</v>
      </c>
      <c r="BA218" s="571" t="str">
        <f t="shared" si="47"/>
        <v/>
      </c>
    </row>
    <row r="219" spans="3:53" ht="14.4" thickBot="1" x14ac:dyDescent="0.3">
      <c r="C219" s="101">
        <v>210</v>
      </c>
      <c r="D219" s="269"/>
      <c r="E219" s="108"/>
      <c r="F219" s="281" t="str">
        <f>IF(D219="","",VLOOKUP(D219,'G-7 WaterC'' Data'!$B$2:$G$8,2,FALSE))</f>
        <v/>
      </c>
      <c r="G219" s="320" t="str">
        <f>IFERROR(VLOOKUP(F219,'G-7 WaterC'' Data'!$C$4:$D$8,2,FALSE),"")</f>
        <v/>
      </c>
      <c r="H219" s="109"/>
      <c r="I219" s="305" t="str">
        <f>IFERROR(INDEX('G-7 WaterC'' Data'!$H$4:$L$8,MATCH(D219,'G-7 WaterC'' Data'!$B$4:$B$8,0),MATCH(H219,'G-7 WaterC'' Data'!$H$3:$L$3,0)),"")</f>
        <v/>
      </c>
      <c r="J219" s="718"/>
      <c r="K219" s="301" t="str">
        <f>IF(J219="","",IF(VLOOKUP(J219,'G-7 WaterC'' Data'!$AK$4:$AM$9,2,FALSE)=0,"Spatial Data Missing ⚠",VLOOKUP(J219,'G-7 WaterC'' Data'!$AK$4:$AM$6,2,FALSE)))</f>
        <v/>
      </c>
      <c r="L219" s="305" t="str">
        <f>IF(J219="","",IF(VLOOKUP(J219,'G-7 WaterC'' Data'!$AK$4:$AM$9,3,FALSE)=0,"Spatial Data Missing ⚠",VLOOKUP(J219,'G-7 WaterC'' Data'!$AK$4:$AM$6,3,FALSE)))</f>
        <v/>
      </c>
      <c r="M219" s="106"/>
      <c r="N219" s="282" t="str">
        <f>IF(M219="","",IF(AND(M219="N/A - Culvert",D219&lt;&gt;"Culvert"),"Not possible ▲",IF(AND(D219="Culvert",M219&lt;&gt;"N/A - Culvert"),"Not possible ▲",IF(VLOOKUP(M219,'G-7 WaterC'' Data'!$AA$4:$AB$7,2,FALSE)=0,"Spatial Data Missing ⚠",VLOOKUP(M219,'G-7 WaterC'' Data'!$AA$4:$AB$7,2,FALSE)))))</f>
        <v/>
      </c>
      <c r="O219" s="56"/>
      <c r="P219" s="282" t="str">
        <f>IF(O219="","",IF(AND(O219="N/A - Culvert",D219&lt;&gt;"Culvert"),"Not possible ▲",IF(AND(D219="Culvert",O219&lt;&gt;"N/A - Culvert"),"Not possible ▲",IF(VLOOKUP(O219,'G-7 WaterC'' Data'!$AD$4:$AE$14,2,FALSE)=0,"Spatial Data Missing ⚠",VLOOKUP(O219,'G-7 WaterC'' Data'!$AD$4:$AE$14,2,FALSE)))))</f>
        <v/>
      </c>
      <c r="Q219" s="288" t="str">
        <f>IF(D219="","",VLOOKUP(D219,'G-7 WaterC'' Data'!$B$4:$G$8,6,FALSE))</f>
        <v/>
      </c>
      <c r="R219" s="295" t="str">
        <f t="shared" si="37"/>
        <v xml:space="preserve"> </v>
      </c>
      <c r="S219" s="403"/>
      <c r="T219" s="287" t="str">
        <f>IF(S219="","",IF(VLOOKUP(S219,'G-7 WaterC'' Data'!$AO$4:$BO$7,2,FALSE)=0,"Spatial Data Missing ⚠",VLOOKUP(S219,'G-7 WaterC'' Data'!$AO$4:$BO$7,2,FALSE)))</f>
        <v/>
      </c>
      <c r="U219" s="295" t="str">
        <f t="shared" si="38"/>
        <v xml:space="preserve"> </v>
      </c>
      <c r="V219" s="710" t="str">
        <f t="shared" si="39"/>
        <v/>
      </c>
      <c r="W219" s="32"/>
      <c r="X219" s="105"/>
      <c r="Y219" s="112"/>
      <c r="Z219" s="293" t="str">
        <f t="shared" si="40"/>
        <v/>
      </c>
      <c r="AA219" s="293" t="str">
        <f t="shared" si="41"/>
        <v/>
      </c>
      <c r="AB219" s="293" t="str">
        <f t="shared" si="42"/>
        <v/>
      </c>
      <c r="AC219" s="507" t="str">
        <f>IFERROR(IF(OR(E219="",R219=""),"", IF(AND(AB219&lt;&gt;"",S219=""), "Spatial risk category missing ▲", IF(AND(Q219='G-7 WaterC'' Data'!$G$4,AD219="Yes"),"Alternative Compensation ✓", IF(AND(AD219="Pending", Q219='G-7 WaterC'' Data'!$G$4),"Bespoke compensation must be agreed ▲", IF((Z219+AA219)&gt;=U219,0, U219-Z219-AA219))))),"Check Data ⚠")</f>
        <v/>
      </c>
      <c r="AD219" s="403"/>
      <c r="AE219" s="109"/>
      <c r="AF219" s="108"/>
      <c r="AG219" s="108"/>
      <c r="AH219" s="108"/>
      <c r="AI219" s="54" t="str">
        <f>IF(OR(Q219="",AD219="Yes"),"",IF(Q219='G-1 All Habitats'!$X$9,E219-Y219-X219,"None"))</f>
        <v/>
      </c>
      <c r="AJ219" s="55" t="str">
        <f>IF(Q219="","", IF(Q219='G-1 All Habitats'!$X$9, AI219*G219*I219*L219*N219*P219,"None"))</f>
        <v/>
      </c>
      <c r="AK219" s="30" t="str">
        <f>IFERROR(INDEX('G-7 WaterC'' Data'!$AZ$3:$AZ$7,MATCH(D219,'G-7 WaterC'' Data'!$AY$3:$AY$7,0)),"")</f>
        <v/>
      </c>
      <c r="AL219" s="30">
        <f t="shared" si="43"/>
        <v>0</v>
      </c>
      <c r="AM219" s="111" t="str">
        <f t="shared" si="44"/>
        <v/>
      </c>
      <c r="AN219" s="111" t="str">
        <f t="shared" si="45"/>
        <v/>
      </c>
      <c r="AP219" s="111">
        <v>210</v>
      </c>
      <c r="AR219" s="111" t="str">
        <f t="array" ref="AR219">IFERROR(INDEX($AP$10:$AP$258, MATCH(0, IF(TRUE=$AM$10:$AM$258, COUNTIF($AR$9:$AR218, $AP$10:$AP$258), ""), 0)),"")</f>
        <v/>
      </c>
      <c r="AS219" s="111" t="str">
        <f t="array" ref="AS219">IFERROR(INDEX($AP$10:$AP$258, MATCH(0, IF(TRUE=$AN$10:$AN$258, COUNTIF($AS$9:$AS218, $AP$10:$AP$258), ""), 0)),"")</f>
        <v/>
      </c>
      <c r="AT219" s="903" t="str">
        <f>IF(AND(OR(AD219="Yes",AD219="Pending"),Q219='G-7 WaterC'' Data'!$G$4),U219-AA219-Z219,"0")</f>
        <v>0</v>
      </c>
      <c r="AU219" s="30" t="str">
        <f>IF(D219="","",VLOOKUP(D219,'G-7 WaterC'' Data'!B$4:M$8,12,FALSE))</f>
        <v/>
      </c>
      <c r="AV219" s="30" t="str">
        <f t="shared" si="36"/>
        <v/>
      </c>
      <c r="AW219" s="30" t="str">
        <f t="shared" si="46"/>
        <v>No</v>
      </c>
      <c r="BA219" s="571" t="str">
        <f t="shared" si="47"/>
        <v/>
      </c>
    </row>
    <row r="220" spans="3:53" ht="14.4" thickBot="1" x14ac:dyDescent="0.3">
      <c r="C220" s="101">
        <v>211</v>
      </c>
      <c r="D220" s="269"/>
      <c r="E220" s="108"/>
      <c r="F220" s="281" t="str">
        <f>IF(D220="","",VLOOKUP(D220,'G-7 WaterC'' Data'!$B$2:$G$8,2,FALSE))</f>
        <v/>
      </c>
      <c r="G220" s="320" t="str">
        <f>IFERROR(VLOOKUP(F220,'G-7 WaterC'' Data'!$C$4:$D$8,2,FALSE),"")</f>
        <v/>
      </c>
      <c r="H220" s="109"/>
      <c r="I220" s="305" t="str">
        <f>IFERROR(INDEX('G-7 WaterC'' Data'!$H$4:$L$8,MATCH(D220,'G-7 WaterC'' Data'!$B$4:$B$8,0),MATCH(H220,'G-7 WaterC'' Data'!$H$3:$L$3,0)),"")</f>
        <v/>
      </c>
      <c r="J220" s="718"/>
      <c r="K220" s="301" t="str">
        <f>IF(J220="","",IF(VLOOKUP(J220,'G-7 WaterC'' Data'!$AK$4:$AM$9,2,FALSE)=0,"Spatial Data Missing ⚠",VLOOKUP(J220,'G-7 WaterC'' Data'!$AK$4:$AM$6,2,FALSE)))</f>
        <v/>
      </c>
      <c r="L220" s="305" t="str">
        <f>IF(J220="","",IF(VLOOKUP(J220,'G-7 WaterC'' Data'!$AK$4:$AM$9,3,FALSE)=0,"Spatial Data Missing ⚠",VLOOKUP(J220,'G-7 WaterC'' Data'!$AK$4:$AM$6,3,FALSE)))</f>
        <v/>
      </c>
      <c r="M220" s="106"/>
      <c r="N220" s="282" t="str">
        <f>IF(M220="","",IF(AND(M220="N/A - Culvert",D220&lt;&gt;"Culvert"),"Not possible ▲",IF(AND(D220="Culvert",M220&lt;&gt;"N/A - Culvert"),"Not possible ▲",IF(VLOOKUP(M220,'G-7 WaterC'' Data'!$AA$4:$AB$7,2,FALSE)=0,"Spatial Data Missing ⚠",VLOOKUP(M220,'G-7 WaterC'' Data'!$AA$4:$AB$7,2,FALSE)))))</f>
        <v/>
      </c>
      <c r="O220" s="56"/>
      <c r="P220" s="282" t="str">
        <f>IF(O220="","",IF(AND(O220="N/A - Culvert",D220&lt;&gt;"Culvert"),"Not possible ▲",IF(AND(D220="Culvert",O220&lt;&gt;"N/A - Culvert"),"Not possible ▲",IF(VLOOKUP(O220,'G-7 WaterC'' Data'!$AD$4:$AE$14,2,FALSE)=0,"Spatial Data Missing ⚠",VLOOKUP(O220,'G-7 WaterC'' Data'!$AD$4:$AE$14,2,FALSE)))))</f>
        <v/>
      </c>
      <c r="Q220" s="288" t="str">
        <f>IF(D220="","",VLOOKUP(D220,'G-7 WaterC'' Data'!$B$4:$G$8,6,FALSE))</f>
        <v/>
      </c>
      <c r="R220" s="295" t="str">
        <f t="shared" si="37"/>
        <v xml:space="preserve"> </v>
      </c>
      <c r="S220" s="403"/>
      <c r="T220" s="287" t="str">
        <f>IF(S220="","",IF(VLOOKUP(S220,'G-7 WaterC'' Data'!$AO$4:$BO$7,2,FALSE)=0,"Spatial Data Missing ⚠",VLOOKUP(S220,'G-7 WaterC'' Data'!$AO$4:$BO$7,2,FALSE)))</f>
        <v/>
      </c>
      <c r="U220" s="295" t="str">
        <f t="shared" si="38"/>
        <v xml:space="preserve"> </v>
      </c>
      <c r="V220" s="710" t="str">
        <f t="shared" si="39"/>
        <v/>
      </c>
      <c r="W220" s="32"/>
      <c r="X220" s="105"/>
      <c r="Y220" s="112"/>
      <c r="Z220" s="293" t="str">
        <f t="shared" si="40"/>
        <v/>
      </c>
      <c r="AA220" s="293" t="str">
        <f t="shared" si="41"/>
        <v/>
      </c>
      <c r="AB220" s="293" t="str">
        <f t="shared" si="42"/>
        <v/>
      </c>
      <c r="AC220" s="507" t="str">
        <f>IFERROR(IF(OR(E220="",R220=""),"", IF(AND(AB220&lt;&gt;"",S220=""), "Spatial risk category missing ▲", IF(AND(Q220='G-7 WaterC'' Data'!$G$4,AD220="Yes"),"Alternative Compensation ✓", IF(AND(AD220="Pending", Q220='G-7 WaterC'' Data'!$G$4),"Bespoke compensation must be agreed ▲", IF((Z220+AA220)&gt;=U220,0, U220-Z220-AA220))))),"Check Data ⚠")</f>
        <v/>
      </c>
      <c r="AD220" s="403"/>
      <c r="AE220" s="109"/>
      <c r="AF220" s="108"/>
      <c r="AG220" s="108"/>
      <c r="AH220" s="108"/>
      <c r="AI220" s="54" t="str">
        <f>IF(OR(Q220="",AD220="Yes"),"",IF(Q220='G-1 All Habitats'!$X$9,E220-Y220-X220,"None"))</f>
        <v/>
      </c>
      <c r="AJ220" s="55" t="str">
        <f>IF(Q220="","", IF(Q220='G-1 All Habitats'!$X$9, AI220*G220*I220*L220*N220*P220,"None"))</f>
        <v/>
      </c>
      <c r="AK220" s="30" t="str">
        <f>IFERROR(INDEX('G-7 WaterC'' Data'!$AZ$3:$AZ$7,MATCH(D220,'G-7 WaterC'' Data'!$AY$3:$AY$7,0)),"")</f>
        <v/>
      </c>
      <c r="AL220" s="30">
        <f t="shared" si="43"/>
        <v>0</v>
      </c>
      <c r="AM220" s="111" t="str">
        <f t="shared" si="44"/>
        <v/>
      </c>
      <c r="AN220" s="111" t="str">
        <f t="shared" si="45"/>
        <v/>
      </c>
      <c r="AP220" s="111">
        <v>211</v>
      </c>
      <c r="AR220" s="111" t="str">
        <f t="array" ref="AR220">IFERROR(INDEX($AP$10:$AP$258, MATCH(0, IF(TRUE=$AM$10:$AM$258, COUNTIF($AR$9:$AR219, $AP$10:$AP$258), ""), 0)),"")</f>
        <v/>
      </c>
      <c r="AS220" s="111" t="str">
        <f t="array" ref="AS220">IFERROR(INDEX($AP$10:$AP$258, MATCH(0, IF(TRUE=$AN$10:$AN$258, COUNTIF($AS$9:$AS219, $AP$10:$AP$258), ""), 0)),"")</f>
        <v/>
      </c>
      <c r="AT220" s="903" t="str">
        <f>IF(AND(OR(AD220="Yes",AD220="Pending"),Q220='G-7 WaterC'' Data'!$G$4),U220-AA220-Z220,"0")</f>
        <v>0</v>
      </c>
      <c r="AU220" s="30" t="str">
        <f>IF(D220="","",VLOOKUP(D220,'G-7 WaterC'' Data'!B$4:M$8,12,FALSE))</f>
        <v/>
      </c>
      <c r="AV220" s="30" t="str">
        <f t="shared" si="36"/>
        <v/>
      </c>
      <c r="AW220" s="30" t="str">
        <f t="shared" si="46"/>
        <v>No</v>
      </c>
      <c r="BA220" s="571" t="str">
        <f t="shared" si="47"/>
        <v/>
      </c>
    </row>
    <row r="221" spans="3:53" ht="14.4" thickBot="1" x14ac:dyDescent="0.3">
      <c r="C221" s="101">
        <v>212</v>
      </c>
      <c r="D221" s="269"/>
      <c r="E221" s="108"/>
      <c r="F221" s="281" t="str">
        <f>IF(D221="","",VLOOKUP(D221,'G-7 WaterC'' Data'!$B$2:$G$8,2,FALSE))</f>
        <v/>
      </c>
      <c r="G221" s="320" t="str">
        <f>IFERROR(VLOOKUP(F221,'G-7 WaterC'' Data'!$C$4:$D$8,2,FALSE),"")</f>
        <v/>
      </c>
      <c r="H221" s="109"/>
      <c r="I221" s="305" t="str">
        <f>IFERROR(INDEX('G-7 WaterC'' Data'!$H$4:$L$8,MATCH(D221,'G-7 WaterC'' Data'!$B$4:$B$8,0),MATCH(H221,'G-7 WaterC'' Data'!$H$3:$L$3,0)),"")</f>
        <v/>
      </c>
      <c r="J221" s="718"/>
      <c r="K221" s="301" t="str">
        <f>IF(J221="","",IF(VLOOKUP(J221,'G-7 WaterC'' Data'!$AK$4:$AM$9,2,FALSE)=0,"Spatial Data Missing ⚠",VLOOKUP(J221,'G-7 WaterC'' Data'!$AK$4:$AM$6,2,FALSE)))</f>
        <v/>
      </c>
      <c r="L221" s="305" t="str">
        <f>IF(J221="","",IF(VLOOKUP(J221,'G-7 WaterC'' Data'!$AK$4:$AM$9,3,FALSE)=0,"Spatial Data Missing ⚠",VLOOKUP(J221,'G-7 WaterC'' Data'!$AK$4:$AM$6,3,FALSE)))</f>
        <v/>
      </c>
      <c r="M221" s="106"/>
      <c r="N221" s="282" t="str">
        <f>IF(M221="","",IF(AND(M221="N/A - Culvert",D221&lt;&gt;"Culvert"),"Not possible ▲",IF(AND(D221="Culvert",M221&lt;&gt;"N/A - Culvert"),"Not possible ▲",IF(VLOOKUP(M221,'G-7 WaterC'' Data'!$AA$4:$AB$7,2,FALSE)=0,"Spatial Data Missing ⚠",VLOOKUP(M221,'G-7 WaterC'' Data'!$AA$4:$AB$7,2,FALSE)))))</f>
        <v/>
      </c>
      <c r="O221" s="56"/>
      <c r="P221" s="282" t="str">
        <f>IF(O221="","",IF(AND(O221="N/A - Culvert",D221&lt;&gt;"Culvert"),"Not possible ▲",IF(AND(D221="Culvert",O221&lt;&gt;"N/A - Culvert"),"Not possible ▲",IF(VLOOKUP(O221,'G-7 WaterC'' Data'!$AD$4:$AE$14,2,FALSE)=0,"Spatial Data Missing ⚠",VLOOKUP(O221,'G-7 WaterC'' Data'!$AD$4:$AE$14,2,FALSE)))))</f>
        <v/>
      </c>
      <c r="Q221" s="288" t="str">
        <f>IF(D221="","",VLOOKUP(D221,'G-7 WaterC'' Data'!$B$4:$G$8,6,FALSE))</f>
        <v/>
      </c>
      <c r="R221" s="295" t="str">
        <f t="shared" si="37"/>
        <v xml:space="preserve"> </v>
      </c>
      <c r="S221" s="403"/>
      <c r="T221" s="287" t="str">
        <f>IF(S221="","",IF(VLOOKUP(S221,'G-7 WaterC'' Data'!$AO$4:$BO$7,2,FALSE)=0,"Spatial Data Missing ⚠",VLOOKUP(S221,'G-7 WaterC'' Data'!$AO$4:$BO$7,2,FALSE)))</f>
        <v/>
      </c>
      <c r="U221" s="295" t="str">
        <f t="shared" si="38"/>
        <v xml:space="preserve"> </v>
      </c>
      <c r="V221" s="710" t="str">
        <f t="shared" si="39"/>
        <v/>
      </c>
      <c r="W221" s="32"/>
      <c r="X221" s="105"/>
      <c r="Y221" s="112"/>
      <c r="Z221" s="293" t="str">
        <f t="shared" si="40"/>
        <v/>
      </c>
      <c r="AA221" s="293" t="str">
        <f t="shared" si="41"/>
        <v/>
      </c>
      <c r="AB221" s="293" t="str">
        <f t="shared" si="42"/>
        <v/>
      </c>
      <c r="AC221" s="507" t="str">
        <f>IFERROR(IF(OR(E221="",R221=""),"", IF(AND(AB221&lt;&gt;"",S221=""), "Spatial risk category missing ▲", IF(AND(Q221='G-7 WaterC'' Data'!$G$4,AD221="Yes"),"Alternative Compensation ✓", IF(AND(AD221="Pending", Q221='G-7 WaterC'' Data'!$G$4),"Bespoke compensation must be agreed ▲", IF((Z221+AA221)&gt;=U221,0, U221-Z221-AA221))))),"Check Data ⚠")</f>
        <v/>
      </c>
      <c r="AD221" s="403"/>
      <c r="AE221" s="109"/>
      <c r="AF221" s="108"/>
      <c r="AG221" s="108"/>
      <c r="AH221" s="108"/>
      <c r="AI221" s="54" t="str">
        <f>IF(OR(Q221="",AD221="Yes"),"",IF(Q221='G-1 All Habitats'!$X$9,E221-Y221-X221,"None"))</f>
        <v/>
      </c>
      <c r="AJ221" s="55" t="str">
        <f>IF(Q221="","", IF(Q221='G-1 All Habitats'!$X$9, AI221*G221*I221*L221*N221*P221,"None"))</f>
        <v/>
      </c>
      <c r="AK221" s="30" t="str">
        <f>IFERROR(INDEX('G-7 WaterC'' Data'!$AZ$3:$AZ$7,MATCH(D221,'G-7 WaterC'' Data'!$AY$3:$AY$7,0)),"")</f>
        <v/>
      </c>
      <c r="AL221" s="30">
        <f t="shared" si="43"/>
        <v>0</v>
      </c>
      <c r="AM221" s="111" t="str">
        <f t="shared" si="44"/>
        <v/>
      </c>
      <c r="AN221" s="111" t="str">
        <f t="shared" si="45"/>
        <v/>
      </c>
      <c r="AP221" s="111">
        <v>212</v>
      </c>
      <c r="AR221" s="111" t="str">
        <f t="array" ref="AR221">IFERROR(INDEX($AP$10:$AP$258, MATCH(0, IF(TRUE=$AM$10:$AM$258, COUNTIF($AR$9:$AR220, $AP$10:$AP$258), ""), 0)),"")</f>
        <v/>
      </c>
      <c r="AS221" s="111" t="str">
        <f t="array" ref="AS221">IFERROR(INDEX($AP$10:$AP$258, MATCH(0, IF(TRUE=$AN$10:$AN$258, COUNTIF($AS$9:$AS220, $AP$10:$AP$258), ""), 0)),"")</f>
        <v/>
      </c>
      <c r="AT221" s="903" t="str">
        <f>IF(AND(OR(AD221="Yes",AD221="Pending"),Q221='G-7 WaterC'' Data'!$G$4),U221-AA221-Z221,"0")</f>
        <v>0</v>
      </c>
      <c r="AU221" s="30" t="str">
        <f>IF(D221="","",VLOOKUP(D221,'G-7 WaterC'' Data'!B$4:M$8,12,FALSE))</f>
        <v/>
      </c>
      <c r="AV221" s="30" t="str">
        <f t="shared" si="36"/>
        <v/>
      </c>
      <c r="AW221" s="30" t="str">
        <f t="shared" si="46"/>
        <v>No</v>
      </c>
      <c r="BA221" s="571" t="str">
        <f t="shared" si="47"/>
        <v/>
      </c>
    </row>
    <row r="222" spans="3:53" ht="14.4" thickBot="1" x14ac:dyDescent="0.3">
      <c r="C222" s="101">
        <v>213</v>
      </c>
      <c r="D222" s="269"/>
      <c r="E222" s="108"/>
      <c r="F222" s="281" t="str">
        <f>IF(D222="","",VLOOKUP(D222,'G-7 WaterC'' Data'!$B$2:$G$8,2,FALSE))</f>
        <v/>
      </c>
      <c r="G222" s="320" t="str">
        <f>IFERROR(VLOOKUP(F222,'G-7 WaterC'' Data'!$C$4:$D$8,2,FALSE),"")</f>
        <v/>
      </c>
      <c r="H222" s="109"/>
      <c r="I222" s="305" t="str">
        <f>IFERROR(INDEX('G-7 WaterC'' Data'!$H$4:$L$8,MATCH(D222,'G-7 WaterC'' Data'!$B$4:$B$8,0),MATCH(H222,'G-7 WaterC'' Data'!$H$3:$L$3,0)),"")</f>
        <v/>
      </c>
      <c r="J222" s="718"/>
      <c r="K222" s="301" t="str">
        <f>IF(J222="","",IF(VLOOKUP(J222,'G-7 WaterC'' Data'!$AK$4:$AM$9,2,FALSE)=0,"Spatial Data Missing ⚠",VLOOKUP(J222,'G-7 WaterC'' Data'!$AK$4:$AM$6,2,FALSE)))</f>
        <v/>
      </c>
      <c r="L222" s="305" t="str">
        <f>IF(J222="","",IF(VLOOKUP(J222,'G-7 WaterC'' Data'!$AK$4:$AM$9,3,FALSE)=0,"Spatial Data Missing ⚠",VLOOKUP(J222,'G-7 WaterC'' Data'!$AK$4:$AM$6,3,FALSE)))</f>
        <v/>
      </c>
      <c r="M222" s="106"/>
      <c r="N222" s="282" t="str">
        <f>IF(M222="","",IF(AND(M222="N/A - Culvert",D222&lt;&gt;"Culvert"),"Not possible ▲",IF(AND(D222="Culvert",M222&lt;&gt;"N/A - Culvert"),"Not possible ▲",IF(VLOOKUP(M222,'G-7 WaterC'' Data'!$AA$4:$AB$7,2,FALSE)=0,"Spatial Data Missing ⚠",VLOOKUP(M222,'G-7 WaterC'' Data'!$AA$4:$AB$7,2,FALSE)))))</f>
        <v/>
      </c>
      <c r="O222" s="56"/>
      <c r="P222" s="282" t="str">
        <f>IF(O222="","",IF(AND(O222="N/A - Culvert",D222&lt;&gt;"Culvert"),"Not possible ▲",IF(AND(D222="Culvert",O222&lt;&gt;"N/A - Culvert"),"Not possible ▲",IF(VLOOKUP(O222,'G-7 WaterC'' Data'!$AD$4:$AE$14,2,FALSE)=0,"Spatial Data Missing ⚠",VLOOKUP(O222,'G-7 WaterC'' Data'!$AD$4:$AE$14,2,FALSE)))))</f>
        <v/>
      </c>
      <c r="Q222" s="288" t="str">
        <f>IF(D222="","",VLOOKUP(D222,'G-7 WaterC'' Data'!$B$4:$G$8,6,FALSE))</f>
        <v/>
      </c>
      <c r="R222" s="295" t="str">
        <f t="shared" si="37"/>
        <v xml:space="preserve"> </v>
      </c>
      <c r="S222" s="403"/>
      <c r="T222" s="287" t="str">
        <f>IF(S222="","",IF(VLOOKUP(S222,'G-7 WaterC'' Data'!$AO$4:$BO$7,2,FALSE)=0,"Spatial Data Missing ⚠",VLOOKUP(S222,'G-7 WaterC'' Data'!$AO$4:$BO$7,2,FALSE)))</f>
        <v/>
      </c>
      <c r="U222" s="295" t="str">
        <f t="shared" si="38"/>
        <v xml:space="preserve"> </v>
      </c>
      <c r="V222" s="710" t="str">
        <f t="shared" si="39"/>
        <v/>
      </c>
      <c r="W222" s="32"/>
      <c r="X222" s="105"/>
      <c r="Y222" s="112"/>
      <c r="Z222" s="293" t="str">
        <f t="shared" si="40"/>
        <v/>
      </c>
      <c r="AA222" s="293" t="str">
        <f t="shared" si="41"/>
        <v/>
      </c>
      <c r="AB222" s="293" t="str">
        <f t="shared" si="42"/>
        <v/>
      </c>
      <c r="AC222" s="507" t="str">
        <f>IFERROR(IF(OR(E222="",R222=""),"", IF(AND(AB222&lt;&gt;"",S222=""), "Spatial risk category missing ▲", IF(AND(Q222='G-7 WaterC'' Data'!$G$4,AD222="Yes"),"Alternative Compensation ✓", IF(AND(AD222="Pending", Q222='G-7 WaterC'' Data'!$G$4),"Bespoke compensation must be agreed ▲", IF((Z222+AA222)&gt;=U222,0, U222-Z222-AA222))))),"Check Data ⚠")</f>
        <v/>
      </c>
      <c r="AD222" s="403"/>
      <c r="AE222" s="109"/>
      <c r="AF222" s="108"/>
      <c r="AG222" s="108"/>
      <c r="AH222" s="108"/>
      <c r="AI222" s="54" t="str">
        <f>IF(OR(Q222="",AD222="Yes"),"",IF(Q222='G-1 All Habitats'!$X$9,E222-Y222-X222,"None"))</f>
        <v/>
      </c>
      <c r="AJ222" s="55" t="str">
        <f>IF(Q222="","", IF(Q222='G-1 All Habitats'!$X$9, AI222*G222*I222*L222*N222*P222,"None"))</f>
        <v/>
      </c>
      <c r="AK222" s="30" t="str">
        <f>IFERROR(INDEX('G-7 WaterC'' Data'!$AZ$3:$AZ$7,MATCH(D222,'G-7 WaterC'' Data'!$AY$3:$AY$7,0)),"")</f>
        <v/>
      </c>
      <c r="AL222" s="30">
        <f t="shared" si="43"/>
        <v>0</v>
      </c>
      <c r="AM222" s="111" t="str">
        <f t="shared" si="44"/>
        <v/>
      </c>
      <c r="AN222" s="111" t="str">
        <f t="shared" si="45"/>
        <v/>
      </c>
      <c r="AP222" s="111">
        <v>213</v>
      </c>
      <c r="AR222" s="111" t="str">
        <f t="array" ref="AR222">IFERROR(INDEX($AP$10:$AP$258, MATCH(0, IF(TRUE=$AM$10:$AM$258, COUNTIF($AR$9:$AR221, $AP$10:$AP$258), ""), 0)),"")</f>
        <v/>
      </c>
      <c r="AS222" s="111" t="str">
        <f t="array" ref="AS222">IFERROR(INDEX($AP$10:$AP$258, MATCH(0, IF(TRUE=$AN$10:$AN$258, COUNTIF($AS$9:$AS221, $AP$10:$AP$258), ""), 0)),"")</f>
        <v/>
      </c>
      <c r="AT222" s="903" t="str">
        <f>IF(AND(OR(AD222="Yes",AD222="Pending"),Q222='G-7 WaterC'' Data'!$G$4),U222-AA222-Z222,"0")</f>
        <v>0</v>
      </c>
      <c r="AU222" s="30" t="str">
        <f>IF(D222="","",VLOOKUP(D222,'G-7 WaterC'' Data'!B$4:M$8,12,FALSE))</f>
        <v/>
      </c>
      <c r="AV222" s="30" t="str">
        <f t="shared" si="36"/>
        <v/>
      </c>
      <c r="AW222" s="30" t="str">
        <f t="shared" si="46"/>
        <v>No</v>
      </c>
      <c r="BA222" s="571" t="str">
        <f t="shared" si="47"/>
        <v/>
      </c>
    </row>
    <row r="223" spans="3:53" ht="14.4" thickBot="1" x14ac:dyDescent="0.3">
      <c r="C223" s="101">
        <v>214</v>
      </c>
      <c r="D223" s="269"/>
      <c r="E223" s="108"/>
      <c r="F223" s="281" t="str">
        <f>IF(D223="","",VLOOKUP(D223,'G-7 WaterC'' Data'!$B$2:$G$8,2,FALSE))</f>
        <v/>
      </c>
      <c r="G223" s="320" t="str">
        <f>IFERROR(VLOOKUP(F223,'G-7 WaterC'' Data'!$C$4:$D$8,2,FALSE),"")</f>
        <v/>
      </c>
      <c r="H223" s="109"/>
      <c r="I223" s="305" t="str">
        <f>IFERROR(INDEX('G-7 WaterC'' Data'!$H$4:$L$8,MATCH(D223,'G-7 WaterC'' Data'!$B$4:$B$8,0),MATCH(H223,'G-7 WaterC'' Data'!$H$3:$L$3,0)),"")</f>
        <v/>
      </c>
      <c r="J223" s="718"/>
      <c r="K223" s="301" t="str">
        <f>IF(J223="","",IF(VLOOKUP(J223,'G-7 WaterC'' Data'!$AK$4:$AM$9,2,FALSE)=0,"Spatial Data Missing ⚠",VLOOKUP(J223,'G-7 WaterC'' Data'!$AK$4:$AM$6,2,FALSE)))</f>
        <v/>
      </c>
      <c r="L223" s="305" t="str">
        <f>IF(J223="","",IF(VLOOKUP(J223,'G-7 WaterC'' Data'!$AK$4:$AM$9,3,FALSE)=0,"Spatial Data Missing ⚠",VLOOKUP(J223,'G-7 WaterC'' Data'!$AK$4:$AM$6,3,FALSE)))</f>
        <v/>
      </c>
      <c r="M223" s="106"/>
      <c r="N223" s="282" t="str">
        <f>IF(M223="","",IF(AND(M223="N/A - Culvert",D223&lt;&gt;"Culvert"),"Not possible ▲",IF(AND(D223="Culvert",M223&lt;&gt;"N/A - Culvert"),"Not possible ▲",IF(VLOOKUP(M223,'G-7 WaterC'' Data'!$AA$4:$AB$7,2,FALSE)=0,"Spatial Data Missing ⚠",VLOOKUP(M223,'G-7 WaterC'' Data'!$AA$4:$AB$7,2,FALSE)))))</f>
        <v/>
      </c>
      <c r="O223" s="56"/>
      <c r="P223" s="282" t="str">
        <f>IF(O223="","",IF(AND(O223="N/A - Culvert",D223&lt;&gt;"Culvert"),"Not possible ▲",IF(AND(D223="Culvert",O223&lt;&gt;"N/A - Culvert"),"Not possible ▲",IF(VLOOKUP(O223,'G-7 WaterC'' Data'!$AD$4:$AE$14,2,FALSE)=0,"Spatial Data Missing ⚠",VLOOKUP(O223,'G-7 WaterC'' Data'!$AD$4:$AE$14,2,FALSE)))))</f>
        <v/>
      </c>
      <c r="Q223" s="288" t="str">
        <f>IF(D223="","",VLOOKUP(D223,'G-7 WaterC'' Data'!$B$4:$G$8,6,FALSE))</f>
        <v/>
      </c>
      <c r="R223" s="295" t="str">
        <f t="shared" si="37"/>
        <v xml:space="preserve"> </v>
      </c>
      <c r="S223" s="403"/>
      <c r="T223" s="287" t="str">
        <f>IF(S223="","",IF(VLOOKUP(S223,'G-7 WaterC'' Data'!$AO$4:$BO$7,2,FALSE)=0,"Spatial Data Missing ⚠",VLOOKUP(S223,'G-7 WaterC'' Data'!$AO$4:$BO$7,2,FALSE)))</f>
        <v/>
      </c>
      <c r="U223" s="295" t="str">
        <f t="shared" si="38"/>
        <v xml:space="preserve"> </v>
      </c>
      <c r="V223" s="710" t="str">
        <f t="shared" si="39"/>
        <v/>
      </c>
      <c r="W223" s="32"/>
      <c r="X223" s="105"/>
      <c r="Y223" s="112"/>
      <c r="Z223" s="293" t="str">
        <f t="shared" si="40"/>
        <v/>
      </c>
      <c r="AA223" s="293" t="str">
        <f t="shared" si="41"/>
        <v/>
      </c>
      <c r="AB223" s="293" t="str">
        <f t="shared" si="42"/>
        <v/>
      </c>
      <c r="AC223" s="507" t="str">
        <f>IFERROR(IF(OR(E223="",R223=""),"", IF(AND(AB223&lt;&gt;"",S223=""), "Spatial risk category missing ▲", IF(AND(Q223='G-7 WaterC'' Data'!$G$4,AD223="Yes"),"Alternative Compensation ✓", IF(AND(AD223="Pending", Q223='G-7 WaterC'' Data'!$G$4),"Bespoke compensation must be agreed ▲", IF((Z223+AA223)&gt;=U223,0, U223-Z223-AA223))))),"Check Data ⚠")</f>
        <v/>
      </c>
      <c r="AD223" s="403"/>
      <c r="AE223" s="109"/>
      <c r="AF223" s="108"/>
      <c r="AG223" s="108"/>
      <c r="AH223" s="108"/>
      <c r="AI223" s="54" t="str">
        <f>IF(OR(Q223="",AD223="Yes"),"",IF(Q223='G-1 All Habitats'!$X$9,E223-Y223-X223,"None"))</f>
        <v/>
      </c>
      <c r="AJ223" s="55" t="str">
        <f>IF(Q223="","", IF(Q223='G-1 All Habitats'!$X$9, AI223*G223*I223*L223*N223*P223,"None"))</f>
        <v/>
      </c>
      <c r="AK223" s="30" t="str">
        <f>IFERROR(INDEX('G-7 WaterC'' Data'!$AZ$3:$AZ$7,MATCH(D223,'G-7 WaterC'' Data'!$AY$3:$AY$7,0)),"")</f>
        <v/>
      </c>
      <c r="AL223" s="30">
        <f t="shared" si="43"/>
        <v>0</v>
      </c>
      <c r="AM223" s="111" t="str">
        <f t="shared" si="44"/>
        <v/>
      </c>
      <c r="AN223" s="111" t="str">
        <f t="shared" si="45"/>
        <v/>
      </c>
      <c r="AP223" s="111">
        <v>214</v>
      </c>
      <c r="AR223" s="111" t="str">
        <f t="array" ref="AR223">IFERROR(INDEX($AP$10:$AP$258, MATCH(0, IF(TRUE=$AM$10:$AM$258, COUNTIF($AR$9:$AR222, $AP$10:$AP$258), ""), 0)),"")</f>
        <v/>
      </c>
      <c r="AS223" s="111" t="str">
        <f t="array" ref="AS223">IFERROR(INDEX($AP$10:$AP$258, MATCH(0, IF(TRUE=$AN$10:$AN$258, COUNTIF($AS$9:$AS222, $AP$10:$AP$258), ""), 0)),"")</f>
        <v/>
      </c>
      <c r="AT223" s="903" t="str">
        <f>IF(AND(OR(AD223="Yes",AD223="Pending"),Q223='G-7 WaterC'' Data'!$G$4),U223-AA223-Z223,"0")</f>
        <v>0</v>
      </c>
      <c r="AU223" s="30" t="str">
        <f>IF(D223="","",VLOOKUP(D223,'G-7 WaterC'' Data'!B$4:M$8,12,FALSE))</f>
        <v/>
      </c>
      <c r="AV223" s="30" t="str">
        <f t="shared" si="36"/>
        <v/>
      </c>
      <c r="AW223" s="30" t="str">
        <f t="shared" si="46"/>
        <v>No</v>
      </c>
      <c r="BA223" s="571" t="str">
        <f t="shared" si="47"/>
        <v/>
      </c>
    </row>
    <row r="224" spans="3:53" ht="14.4" thickBot="1" x14ac:dyDescent="0.3">
      <c r="C224" s="101">
        <v>215</v>
      </c>
      <c r="D224" s="269"/>
      <c r="E224" s="108"/>
      <c r="F224" s="281" t="str">
        <f>IF(D224="","",VLOOKUP(D224,'G-7 WaterC'' Data'!$B$2:$G$8,2,FALSE))</f>
        <v/>
      </c>
      <c r="G224" s="320" t="str">
        <f>IFERROR(VLOOKUP(F224,'G-7 WaterC'' Data'!$C$4:$D$8,2,FALSE),"")</f>
        <v/>
      </c>
      <c r="H224" s="109"/>
      <c r="I224" s="305" t="str">
        <f>IFERROR(INDEX('G-7 WaterC'' Data'!$H$4:$L$8,MATCH(D224,'G-7 WaterC'' Data'!$B$4:$B$8,0),MATCH(H224,'G-7 WaterC'' Data'!$H$3:$L$3,0)),"")</f>
        <v/>
      </c>
      <c r="J224" s="718"/>
      <c r="K224" s="301" t="str">
        <f>IF(J224="","",IF(VLOOKUP(J224,'G-7 WaterC'' Data'!$AK$4:$AM$9,2,FALSE)=0,"Spatial Data Missing ⚠",VLOOKUP(J224,'G-7 WaterC'' Data'!$AK$4:$AM$6,2,FALSE)))</f>
        <v/>
      </c>
      <c r="L224" s="305" t="str">
        <f>IF(J224="","",IF(VLOOKUP(J224,'G-7 WaterC'' Data'!$AK$4:$AM$9,3,FALSE)=0,"Spatial Data Missing ⚠",VLOOKUP(J224,'G-7 WaterC'' Data'!$AK$4:$AM$6,3,FALSE)))</f>
        <v/>
      </c>
      <c r="M224" s="106"/>
      <c r="N224" s="282" t="str">
        <f>IF(M224="","",IF(AND(M224="N/A - Culvert",D224&lt;&gt;"Culvert"),"Not possible ▲",IF(AND(D224="Culvert",M224&lt;&gt;"N/A - Culvert"),"Not possible ▲",IF(VLOOKUP(M224,'G-7 WaterC'' Data'!$AA$4:$AB$7,2,FALSE)=0,"Spatial Data Missing ⚠",VLOOKUP(M224,'G-7 WaterC'' Data'!$AA$4:$AB$7,2,FALSE)))))</f>
        <v/>
      </c>
      <c r="O224" s="56"/>
      <c r="P224" s="282" t="str">
        <f>IF(O224="","",IF(AND(O224="N/A - Culvert",D224&lt;&gt;"Culvert"),"Not possible ▲",IF(AND(D224="Culvert",O224&lt;&gt;"N/A - Culvert"),"Not possible ▲",IF(VLOOKUP(O224,'G-7 WaterC'' Data'!$AD$4:$AE$14,2,FALSE)=0,"Spatial Data Missing ⚠",VLOOKUP(O224,'G-7 WaterC'' Data'!$AD$4:$AE$14,2,FALSE)))))</f>
        <v/>
      </c>
      <c r="Q224" s="288" t="str">
        <f>IF(D224="","",VLOOKUP(D224,'G-7 WaterC'' Data'!$B$4:$G$8,6,FALSE))</f>
        <v/>
      </c>
      <c r="R224" s="295" t="str">
        <f t="shared" si="37"/>
        <v xml:space="preserve"> </v>
      </c>
      <c r="S224" s="403"/>
      <c r="T224" s="287" t="str">
        <f>IF(S224="","",IF(VLOOKUP(S224,'G-7 WaterC'' Data'!$AO$4:$BO$7,2,FALSE)=0,"Spatial Data Missing ⚠",VLOOKUP(S224,'G-7 WaterC'' Data'!$AO$4:$BO$7,2,FALSE)))</f>
        <v/>
      </c>
      <c r="U224" s="295" t="str">
        <f t="shared" si="38"/>
        <v xml:space="preserve"> </v>
      </c>
      <c r="V224" s="710" t="str">
        <f t="shared" si="39"/>
        <v/>
      </c>
      <c r="W224" s="32"/>
      <c r="X224" s="105"/>
      <c r="Y224" s="112"/>
      <c r="Z224" s="293" t="str">
        <f t="shared" si="40"/>
        <v/>
      </c>
      <c r="AA224" s="293" t="str">
        <f t="shared" si="41"/>
        <v/>
      </c>
      <c r="AB224" s="293" t="str">
        <f t="shared" si="42"/>
        <v/>
      </c>
      <c r="AC224" s="507" t="str">
        <f>IFERROR(IF(OR(E224="",R224=""),"", IF(AND(AB224&lt;&gt;"",S224=""), "Spatial risk category missing ▲", IF(AND(Q224='G-7 WaterC'' Data'!$G$4,AD224="Yes"),"Alternative Compensation ✓", IF(AND(AD224="Pending", Q224='G-7 WaterC'' Data'!$G$4),"Bespoke compensation must be agreed ▲", IF((Z224+AA224)&gt;=U224,0, U224-Z224-AA224))))),"Check Data ⚠")</f>
        <v/>
      </c>
      <c r="AD224" s="403"/>
      <c r="AE224" s="109"/>
      <c r="AF224" s="108"/>
      <c r="AG224" s="108"/>
      <c r="AH224" s="108"/>
      <c r="AI224" s="54" t="str">
        <f>IF(OR(Q224="",AD224="Yes"),"",IF(Q224='G-1 All Habitats'!$X$9,E224-Y224-X224,"None"))</f>
        <v/>
      </c>
      <c r="AJ224" s="55" t="str">
        <f>IF(Q224="","", IF(Q224='G-1 All Habitats'!$X$9, AI224*G224*I224*L224*N224*P224,"None"))</f>
        <v/>
      </c>
      <c r="AK224" s="30" t="str">
        <f>IFERROR(INDEX('G-7 WaterC'' Data'!$AZ$3:$AZ$7,MATCH(D224,'G-7 WaterC'' Data'!$AY$3:$AY$7,0)),"")</f>
        <v/>
      </c>
      <c r="AL224" s="30">
        <f t="shared" si="43"/>
        <v>0</v>
      </c>
      <c r="AM224" s="111" t="str">
        <f t="shared" si="44"/>
        <v/>
      </c>
      <c r="AN224" s="111" t="str">
        <f t="shared" si="45"/>
        <v/>
      </c>
      <c r="AP224" s="111">
        <v>215</v>
      </c>
      <c r="AR224" s="111" t="str">
        <f t="array" ref="AR224">IFERROR(INDEX($AP$10:$AP$258, MATCH(0, IF(TRUE=$AM$10:$AM$258, COUNTIF($AR$9:$AR223, $AP$10:$AP$258), ""), 0)),"")</f>
        <v/>
      </c>
      <c r="AS224" s="111" t="str">
        <f t="array" ref="AS224">IFERROR(INDEX($AP$10:$AP$258, MATCH(0, IF(TRUE=$AN$10:$AN$258, COUNTIF($AS$9:$AS223, $AP$10:$AP$258), ""), 0)),"")</f>
        <v/>
      </c>
      <c r="AT224" s="903" t="str">
        <f>IF(AND(OR(AD224="Yes",AD224="Pending"),Q224='G-7 WaterC'' Data'!$G$4),U224-AA224-Z224,"0")</f>
        <v>0</v>
      </c>
      <c r="AU224" s="30" t="str">
        <f>IF(D224="","",VLOOKUP(D224,'G-7 WaterC'' Data'!B$4:M$8,12,FALSE))</f>
        <v/>
      </c>
      <c r="AV224" s="30" t="str">
        <f t="shared" si="36"/>
        <v/>
      </c>
      <c r="AW224" s="30" t="str">
        <f t="shared" si="46"/>
        <v>No</v>
      </c>
      <c r="BA224" s="571" t="str">
        <f t="shared" si="47"/>
        <v/>
      </c>
    </row>
    <row r="225" spans="3:53" ht="14.4" thickBot="1" x14ac:dyDescent="0.3">
      <c r="C225" s="101">
        <v>216</v>
      </c>
      <c r="D225" s="269"/>
      <c r="E225" s="108"/>
      <c r="F225" s="281" t="str">
        <f>IF(D225="","",VLOOKUP(D225,'G-7 WaterC'' Data'!$B$2:$G$8,2,FALSE))</f>
        <v/>
      </c>
      <c r="G225" s="320" t="str">
        <f>IFERROR(VLOOKUP(F225,'G-7 WaterC'' Data'!$C$4:$D$8,2,FALSE),"")</f>
        <v/>
      </c>
      <c r="H225" s="109"/>
      <c r="I225" s="305" t="str">
        <f>IFERROR(INDEX('G-7 WaterC'' Data'!$H$4:$L$8,MATCH(D225,'G-7 WaterC'' Data'!$B$4:$B$8,0),MATCH(H225,'G-7 WaterC'' Data'!$H$3:$L$3,0)),"")</f>
        <v/>
      </c>
      <c r="J225" s="718"/>
      <c r="K225" s="301" t="str">
        <f>IF(J225="","",IF(VLOOKUP(J225,'G-7 WaterC'' Data'!$AK$4:$AM$9,2,FALSE)=0,"Spatial Data Missing ⚠",VLOOKUP(J225,'G-7 WaterC'' Data'!$AK$4:$AM$6,2,FALSE)))</f>
        <v/>
      </c>
      <c r="L225" s="305" t="str">
        <f>IF(J225="","",IF(VLOOKUP(J225,'G-7 WaterC'' Data'!$AK$4:$AM$9,3,FALSE)=0,"Spatial Data Missing ⚠",VLOOKUP(J225,'G-7 WaterC'' Data'!$AK$4:$AM$6,3,FALSE)))</f>
        <v/>
      </c>
      <c r="M225" s="106"/>
      <c r="N225" s="282" t="str">
        <f>IF(M225="","",IF(AND(M225="N/A - Culvert",D225&lt;&gt;"Culvert"),"Not possible ▲",IF(AND(D225="Culvert",M225&lt;&gt;"N/A - Culvert"),"Not possible ▲",IF(VLOOKUP(M225,'G-7 WaterC'' Data'!$AA$4:$AB$7,2,FALSE)=0,"Spatial Data Missing ⚠",VLOOKUP(M225,'G-7 WaterC'' Data'!$AA$4:$AB$7,2,FALSE)))))</f>
        <v/>
      </c>
      <c r="O225" s="56"/>
      <c r="P225" s="282" t="str">
        <f>IF(O225="","",IF(AND(O225="N/A - Culvert",D225&lt;&gt;"Culvert"),"Not possible ▲",IF(AND(D225="Culvert",O225&lt;&gt;"N/A - Culvert"),"Not possible ▲",IF(VLOOKUP(O225,'G-7 WaterC'' Data'!$AD$4:$AE$14,2,FALSE)=0,"Spatial Data Missing ⚠",VLOOKUP(O225,'G-7 WaterC'' Data'!$AD$4:$AE$14,2,FALSE)))))</f>
        <v/>
      </c>
      <c r="Q225" s="288" t="str">
        <f>IF(D225="","",VLOOKUP(D225,'G-7 WaterC'' Data'!$B$4:$G$8,6,FALSE))</f>
        <v/>
      </c>
      <c r="R225" s="295" t="str">
        <f t="shared" si="37"/>
        <v xml:space="preserve"> </v>
      </c>
      <c r="S225" s="403"/>
      <c r="T225" s="287" t="str">
        <f>IF(S225="","",IF(VLOOKUP(S225,'G-7 WaterC'' Data'!$AO$4:$BO$7,2,FALSE)=0,"Spatial Data Missing ⚠",VLOOKUP(S225,'G-7 WaterC'' Data'!$AO$4:$BO$7,2,FALSE)))</f>
        <v/>
      </c>
      <c r="U225" s="295" t="str">
        <f t="shared" si="38"/>
        <v xml:space="preserve"> </v>
      </c>
      <c r="V225" s="710" t="str">
        <f t="shared" si="39"/>
        <v/>
      </c>
      <c r="W225" s="32"/>
      <c r="X225" s="105"/>
      <c r="Y225" s="112"/>
      <c r="Z225" s="293" t="str">
        <f t="shared" si="40"/>
        <v/>
      </c>
      <c r="AA225" s="293" t="str">
        <f t="shared" si="41"/>
        <v/>
      </c>
      <c r="AB225" s="293" t="str">
        <f t="shared" si="42"/>
        <v/>
      </c>
      <c r="AC225" s="507" t="str">
        <f>IFERROR(IF(OR(E225="",R225=""),"", IF(AND(AB225&lt;&gt;"",S225=""), "Spatial risk category missing ▲", IF(AND(Q225='G-7 WaterC'' Data'!$G$4,AD225="Yes"),"Alternative Compensation ✓", IF(AND(AD225="Pending", Q225='G-7 WaterC'' Data'!$G$4),"Bespoke compensation must be agreed ▲", IF((Z225+AA225)&gt;=U225,0, U225-Z225-AA225))))),"Check Data ⚠")</f>
        <v/>
      </c>
      <c r="AD225" s="403"/>
      <c r="AE225" s="109"/>
      <c r="AF225" s="108"/>
      <c r="AG225" s="108"/>
      <c r="AH225" s="108"/>
      <c r="AI225" s="54" t="str">
        <f>IF(OR(Q225="",AD225="Yes"),"",IF(Q225='G-1 All Habitats'!$X$9,E225-Y225-X225,"None"))</f>
        <v/>
      </c>
      <c r="AJ225" s="55" t="str">
        <f>IF(Q225="","", IF(Q225='G-1 All Habitats'!$X$9, AI225*G225*I225*L225*N225*P225,"None"))</f>
        <v/>
      </c>
      <c r="AK225" s="30" t="str">
        <f>IFERROR(INDEX('G-7 WaterC'' Data'!$AZ$3:$AZ$7,MATCH(D225,'G-7 WaterC'' Data'!$AY$3:$AY$7,0)),"")</f>
        <v/>
      </c>
      <c r="AL225" s="30">
        <f t="shared" si="43"/>
        <v>0</v>
      </c>
      <c r="AM225" s="111" t="str">
        <f t="shared" si="44"/>
        <v/>
      </c>
      <c r="AN225" s="111" t="str">
        <f t="shared" si="45"/>
        <v/>
      </c>
      <c r="AP225" s="111">
        <v>216</v>
      </c>
      <c r="AR225" s="111" t="str">
        <f t="array" ref="AR225">IFERROR(INDEX($AP$10:$AP$258, MATCH(0, IF(TRUE=$AM$10:$AM$258, COUNTIF($AR$9:$AR224, $AP$10:$AP$258), ""), 0)),"")</f>
        <v/>
      </c>
      <c r="AS225" s="111" t="str">
        <f t="array" ref="AS225">IFERROR(INDEX($AP$10:$AP$258, MATCH(0, IF(TRUE=$AN$10:$AN$258, COUNTIF($AS$9:$AS224, $AP$10:$AP$258), ""), 0)),"")</f>
        <v/>
      </c>
      <c r="AT225" s="903" t="str">
        <f>IF(AND(OR(AD225="Yes",AD225="Pending"),Q225='G-7 WaterC'' Data'!$G$4),U225-AA225-Z225,"0")</f>
        <v>0</v>
      </c>
      <c r="AU225" s="30" t="str">
        <f>IF(D225="","",VLOOKUP(D225,'G-7 WaterC'' Data'!B$4:M$8,12,FALSE))</f>
        <v/>
      </c>
      <c r="AV225" s="30" t="str">
        <f t="shared" si="36"/>
        <v/>
      </c>
      <c r="AW225" s="30" t="str">
        <f t="shared" si="46"/>
        <v>No</v>
      </c>
      <c r="BA225" s="571" t="str">
        <f t="shared" si="47"/>
        <v/>
      </c>
    </row>
    <row r="226" spans="3:53" ht="14.4" thickBot="1" x14ac:dyDescent="0.3">
      <c r="C226" s="101">
        <v>217</v>
      </c>
      <c r="D226" s="269"/>
      <c r="E226" s="108"/>
      <c r="F226" s="281" t="str">
        <f>IF(D226="","",VLOOKUP(D226,'G-7 WaterC'' Data'!$B$2:$G$8,2,FALSE))</f>
        <v/>
      </c>
      <c r="G226" s="320" t="str">
        <f>IFERROR(VLOOKUP(F226,'G-7 WaterC'' Data'!$C$4:$D$8,2,FALSE),"")</f>
        <v/>
      </c>
      <c r="H226" s="109"/>
      <c r="I226" s="305" t="str">
        <f>IFERROR(INDEX('G-7 WaterC'' Data'!$H$4:$L$8,MATCH(D226,'G-7 WaterC'' Data'!$B$4:$B$8,0),MATCH(H226,'G-7 WaterC'' Data'!$H$3:$L$3,0)),"")</f>
        <v/>
      </c>
      <c r="J226" s="718"/>
      <c r="K226" s="301" t="str">
        <f>IF(J226="","",IF(VLOOKUP(J226,'G-7 WaterC'' Data'!$AK$4:$AM$9,2,FALSE)=0,"Spatial Data Missing ⚠",VLOOKUP(J226,'G-7 WaterC'' Data'!$AK$4:$AM$6,2,FALSE)))</f>
        <v/>
      </c>
      <c r="L226" s="305" t="str">
        <f>IF(J226="","",IF(VLOOKUP(J226,'G-7 WaterC'' Data'!$AK$4:$AM$9,3,FALSE)=0,"Spatial Data Missing ⚠",VLOOKUP(J226,'G-7 WaterC'' Data'!$AK$4:$AM$6,3,FALSE)))</f>
        <v/>
      </c>
      <c r="M226" s="106"/>
      <c r="N226" s="282" t="str">
        <f>IF(M226="","",IF(AND(M226="N/A - Culvert",D226&lt;&gt;"Culvert"),"Not possible ▲",IF(AND(D226="Culvert",M226&lt;&gt;"N/A - Culvert"),"Not possible ▲",IF(VLOOKUP(M226,'G-7 WaterC'' Data'!$AA$4:$AB$7,2,FALSE)=0,"Spatial Data Missing ⚠",VLOOKUP(M226,'G-7 WaterC'' Data'!$AA$4:$AB$7,2,FALSE)))))</f>
        <v/>
      </c>
      <c r="O226" s="56"/>
      <c r="P226" s="282" t="str">
        <f>IF(O226="","",IF(AND(O226="N/A - Culvert",D226&lt;&gt;"Culvert"),"Not possible ▲",IF(AND(D226="Culvert",O226&lt;&gt;"N/A - Culvert"),"Not possible ▲",IF(VLOOKUP(O226,'G-7 WaterC'' Data'!$AD$4:$AE$14,2,FALSE)=0,"Spatial Data Missing ⚠",VLOOKUP(O226,'G-7 WaterC'' Data'!$AD$4:$AE$14,2,FALSE)))))</f>
        <v/>
      </c>
      <c r="Q226" s="288" t="str">
        <f>IF(D226="","",VLOOKUP(D226,'G-7 WaterC'' Data'!$B$4:$G$8,6,FALSE))</f>
        <v/>
      </c>
      <c r="R226" s="295" t="str">
        <f t="shared" si="37"/>
        <v xml:space="preserve"> </v>
      </c>
      <c r="S226" s="403"/>
      <c r="T226" s="287" t="str">
        <f>IF(S226="","",IF(VLOOKUP(S226,'G-7 WaterC'' Data'!$AO$4:$BO$7,2,FALSE)=0,"Spatial Data Missing ⚠",VLOOKUP(S226,'G-7 WaterC'' Data'!$AO$4:$BO$7,2,FALSE)))</f>
        <v/>
      </c>
      <c r="U226" s="295" t="str">
        <f t="shared" si="38"/>
        <v xml:space="preserve"> </v>
      </c>
      <c r="V226" s="710" t="str">
        <f t="shared" si="39"/>
        <v/>
      </c>
      <c r="W226" s="32"/>
      <c r="X226" s="105"/>
      <c r="Y226" s="112"/>
      <c r="Z226" s="293" t="str">
        <f t="shared" si="40"/>
        <v/>
      </c>
      <c r="AA226" s="293" t="str">
        <f t="shared" si="41"/>
        <v/>
      </c>
      <c r="AB226" s="293" t="str">
        <f t="shared" si="42"/>
        <v/>
      </c>
      <c r="AC226" s="507" t="str">
        <f>IFERROR(IF(OR(E226="",R226=""),"", IF(AND(AB226&lt;&gt;"",S226=""), "Spatial risk category missing ▲", IF(AND(Q226='G-7 WaterC'' Data'!$G$4,AD226="Yes"),"Alternative Compensation ✓", IF(AND(AD226="Pending", Q226='G-7 WaterC'' Data'!$G$4),"Bespoke compensation must be agreed ▲", IF((Z226+AA226)&gt;=U226,0, U226-Z226-AA226))))),"Check Data ⚠")</f>
        <v/>
      </c>
      <c r="AD226" s="403"/>
      <c r="AE226" s="109"/>
      <c r="AF226" s="108"/>
      <c r="AG226" s="108"/>
      <c r="AH226" s="108"/>
      <c r="AI226" s="54" t="str">
        <f>IF(OR(Q226="",AD226="Yes"),"",IF(Q226='G-1 All Habitats'!$X$9,E226-Y226-X226,"None"))</f>
        <v/>
      </c>
      <c r="AJ226" s="55" t="str">
        <f>IF(Q226="","", IF(Q226='G-1 All Habitats'!$X$9, AI226*G226*I226*L226*N226*P226,"None"))</f>
        <v/>
      </c>
      <c r="AK226" s="30" t="str">
        <f>IFERROR(INDEX('G-7 WaterC'' Data'!$AZ$3:$AZ$7,MATCH(D226,'G-7 WaterC'' Data'!$AY$3:$AY$7,0)),"")</f>
        <v/>
      </c>
      <c r="AL226" s="30">
        <f t="shared" si="43"/>
        <v>0</v>
      </c>
      <c r="AM226" s="111" t="str">
        <f t="shared" si="44"/>
        <v/>
      </c>
      <c r="AN226" s="111" t="str">
        <f t="shared" si="45"/>
        <v/>
      </c>
      <c r="AP226" s="111">
        <v>217</v>
      </c>
      <c r="AR226" s="111" t="str">
        <f t="array" ref="AR226">IFERROR(INDEX($AP$10:$AP$258, MATCH(0, IF(TRUE=$AM$10:$AM$258, COUNTIF($AR$9:$AR225, $AP$10:$AP$258), ""), 0)),"")</f>
        <v/>
      </c>
      <c r="AS226" s="111" t="str">
        <f t="array" ref="AS226">IFERROR(INDEX($AP$10:$AP$258, MATCH(0, IF(TRUE=$AN$10:$AN$258, COUNTIF($AS$9:$AS225, $AP$10:$AP$258), ""), 0)),"")</f>
        <v/>
      </c>
      <c r="AT226" s="903" t="str">
        <f>IF(AND(OR(AD226="Yes",AD226="Pending"),Q226='G-7 WaterC'' Data'!$G$4),U226-AA226-Z226,"0")</f>
        <v>0</v>
      </c>
      <c r="AU226" s="30" t="str">
        <f>IF(D226="","",VLOOKUP(D226,'G-7 WaterC'' Data'!B$4:M$8,12,FALSE))</f>
        <v/>
      </c>
      <c r="AV226" s="30" t="str">
        <f t="shared" si="36"/>
        <v/>
      </c>
      <c r="AW226" s="30" t="str">
        <f t="shared" si="46"/>
        <v>No</v>
      </c>
      <c r="BA226" s="571" t="str">
        <f t="shared" si="47"/>
        <v/>
      </c>
    </row>
    <row r="227" spans="3:53" ht="14.4" thickBot="1" x14ac:dyDescent="0.3">
      <c r="C227" s="101">
        <v>218</v>
      </c>
      <c r="D227" s="269"/>
      <c r="E227" s="108"/>
      <c r="F227" s="281" t="str">
        <f>IF(D227="","",VLOOKUP(D227,'G-7 WaterC'' Data'!$B$2:$G$8,2,FALSE))</f>
        <v/>
      </c>
      <c r="G227" s="320" t="str">
        <f>IFERROR(VLOOKUP(F227,'G-7 WaterC'' Data'!$C$4:$D$8,2,FALSE),"")</f>
        <v/>
      </c>
      <c r="H227" s="109"/>
      <c r="I227" s="305" t="str">
        <f>IFERROR(INDEX('G-7 WaterC'' Data'!$H$4:$L$8,MATCH(D227,'G-7 WaterC'' Data'!$B$4:$B$8,0),MATCH(H227,'G-7 WaterC'' Data'!$H$3:$L$3,0)),"")</f>
        <v/>
      </c>
      <c r="J227" s="718"/>
      <c r="K227" s="301" t="str">
        <f>IF(J227="","",IF(VLOOKUP(J227,'G-7 WaterC'' Data'!$AK$4:$AM$9,2,FALSE)=0,"Spatial Data Missing ⚠",VLOOKUP(J227,'G-7 WaterC'' Data'!$AK$4:$AM$6,2,FALSE)))</f>
        <v/>
      </c>
      <c r="L227" s="305" t="str">
        <f>IF(J227="","",IF(VLOOKUP(J227,'G-7 WaterC'' Data'!$AK$4:$AM$9,3,FALSE)=0,"Spatial Data Missing ⚠",VLOOKUP(J227,'G-7 WaterC'' Data'!$AK$4:$AM$6,3,FALSE)))</f>
        <v/>
      </c>
      <c r="M227" s="106"/>
      <c r="N227" s="282" t="str">
        <f>IF(M227="","",IF(AND(M227="N/A - Culvert",D227&lt;&gt;"Culvert"),"Not possible ▲",IF(AND(D227="Culvert",M227&lt;&gt;"N/A - Culvert"),"Not possible ▲",IF(VLOOKUP(M227,'G-7 WaterC'' Data'!$AA$4:$AB$7,2,FALSE)=0,"Spatial Data Missing ⚠",VLOOKUP(M227,'G-7 WaterC'' Data'!$AA$4:$AB$7,2,FALSE)))))</f>
        <v/>
      </c>
      <c r="O227" s="56"/>
      <c r="P227" s="282" t="str">
        <f>IF(O227="","",IF(AND(O227="N/A - Culvert",D227&lt;&gt;"Culvert"),"Not possible ▲",IF(AND(D227="Culvert",O227&lt;&gt;"N/A - Culvert"),"Not possible ▲",IF(VLOOKUP(O227,'G-7 WaterC'' Data'!$AD$4:$AE$14,2,FALSE)=0,"Spatial Data Missing ⚠",VLOOKUP(O227,'G-7 WaterC'' Data'!$AD$4:$AE$14,2,FALSE)))))</f>
        <v/>
      </c>
      <c r="Q227" s="288" t="str">
        <f>IF(D227="","",VLOOKUP(D227,'G-7 WaterC'' Data'!$B$4:$G$8,6,FALSE))</f>
        <v/>
      </c>
      <c r="R227" s="295" t="str">
        <f t="shared" si="37"/>
        <v xml:space="preserve"> </v>
      </c>
      <c r="S227" s="403"/>
      <c r="T227" s="287" t="str">
        <f>IF(S227="","",IF(VLOOKUP(S227,'G-7 WaterC'' Data'!$AO$4:$BO$7,2,FALSE)=0,"Spatial Data Missing ⚠",VLOOKUP(S227,'G-7 WaterC'' Data'!$AO$4:$BO$7,2,FALSE)))</f>
        <v/>
      </c>
      <c r="U227" s="295" t="str">
        <f t="shared" si="38"/>
        <v xml:space="preserve"> </v>
      </c>
      <c r="V227" s="710" t="str">
        <f t="shared" si="39"/>
        <v/>
      </c>
      <c r="W227" s="32"/>
      <c r="X227" s="105"/>
      <c r="Y227" s="112"/>
      <c r="Z227" s="293" t="str">
        <f t="shared" si="40"/>
        <v/>
      </c>
      <c r="AA227" s="293" t="str">
        <f t="shared" si="41"/>
        <v/>
      </c>
      <c r="AB227" s="293" t="str">
        <f t="shared" si="42"/>
        <v/>
      </c>
      <c r="AC227" s="507" t="str">
        <f>IFERROR(IF(OR(E227="",R227=""),"", IF(AND(AB227&lt;&gt;"",S227=""), "Spatial risk category missing ▲", IF(AND(Q227='G-7 WaterC'' Data'!$G$4,AD227="Yes"),"Alternative Compensation ✓", IF(AND(AD227="Pending", Q227='G-7 WaterC'' Data'!$G$4),"Bespoke compensation must be agreed ▲", IF((Z227+AA227)&gt;=U227,0, U227-Z227-AA227))))),"Check Data ⚠")</f>
        <v/>
      </c>
      <c r="AD227" s="403"/>
      <c r="AE227" s="109"/>
      <c r="AF227" s="108"/>
      <c r="AG227" s="108"/>
      <c r="AH227" s="108"/>
      <c r="AI227" s="54" t="str">
        <f>IF(OR(Q227="",AD227="Yes"),"",IF(Q227='G-1 All Habitats'!$X$9,E227-Y227-X227,"None"))</f>
        <v/>
      </c>
      <c r="AJ227" s="55" t="str">
        <f>IF(Q227="","", IF(Q227='G-1 All Habitats'!$X$9, AI227*G227*I227*L227*N227*P227,"None"))</f>
        <v/>
      </c>
      <c r="AK227" s="30" t="str">
        <f>IFERROR(INDEX('G-7 WaterC'' Data'!$AZ$3:$AZ$7,MATCH(D227,'G-7 WaterC'' Data'!$AY$3:$AY$7,0)),"")</f>
        <v/>
      </c>
      <c r="AL227" s="30">
        <f t="shared" si="43"/>
        <v>0</v>
      </c>
      <c r="AM227" s="111" t="str">
        <f t="shared" si="44"/>
        <v/>
      </c>
      <c r="AN227" s="111" t="str">
        <f t="shared" si="45"/>
        <v/>
      </c>
      <c r="AP227" s="111">
        <v>218</v>
      </c>
      <c r="AR227" s="111" t="str">
        <f t="array" ref="AR227">IFERROR(INDEX($AP$10:$AP$258, MATCH(0, IF(TRUE=$AM$10:$AM$258, COUNTIF($AR$9:$AR226, $AP$10:$AP$258), ""), 0)),"")</f>
        <v/>
      </c>
      <c r="AS227" s="111" t="str">
        <f t="array" ref="AS227">IFERROR(INDEX($AP$10:$AP$258, MATCH(0, IF(TRUE=$AN$10:$AN$258, COUNTIF($AS$9:$AS226, $AP$10:$AP$258), ""), 0)),"")</f>
        <v/>
      </c>
      <c r="AT227" s="903" t="str">
        <f>IF(AND(OR(AD227="Yes",AD227="Pending"),Q227='G-7 WaterC'' Data'!$G$4),U227-AA227-Z227,"0")</f>
        <v>0</v>
      </c>
      <c r="AU227" s="30" t="str">
        <f>IF(D227="","",VLOOKUP(D227,'G-7 WaterC'' Data'!B$4:M$8,12,FALSE))</f>
        <v/>
      </c>
      <c r="AV227" s="30" t="str">
        <f t="shared" si="36"/>
        <v/>
      </c>
      <c r="AW227" s="30" t="str">
        <f t="shared" si="46"/>
        <v>No</v>
      </c>
      <c r="BA227" s="571" t="str">
        <f t="shared" si="47"/>
        <v/>
      </c>
    </row>
    <row r="228" spans="3:53" ht="14.4" thickBot="1" x14ac:dyDescent="0.3">
      <c r="C228" s="101">
        <v>219</v>
      </c>
      <c r="D228" s="269"/>
      <c r="E228" s="108"/>
      <c r="F228" s="281" t="str">
        <f>IF(D228="","",VLOOKUP(D228,'G-7 WaterC'' Data'!$B$2:$G$8,2,FALSE))</f>
        <v/>
      </c>
      <c r="G228" s="320" t="str">
        <f>IFERROR(VLOOKUP(F228,'G-7 WaterC'' Data'!$C$4:$D$8,2,FALSE),"")</f>
        <v/>
      </c>
      <c r="H228" s="109"/>
      <c r="I228" s="305" t="str">
        <f>IFERROR(INDEX('G-7 WaterC'' Data'!$H$4:$L$8,MATCH(D228,'G-7 WaterC'' Data'!$B$4:$B$8,0),MATCH(H228,'G-7 WaterC'' Data'!$H$3:$L$3,0)),"")</f>
        <v/>
      </c>
      <c r="J228" s="718"/>
      <c r="K228" s="301" t="str">
        <f>IF(J228="","",IF(VLOOKUP(J228,'G-7 WaterC'' Data'!$AK$4:$AM$9,2,FALSE)=0,"Spatial Data Missing ⚠",VLOOKUP(J228,'G-7 WaterC'' Data'!$AK$4:$AM$6,2,FALSE)))</f>
        <v/>
      </c>
      <c r="L228" s="305" t="str">
        <f>IF(J228="","",IF(VLOOKUP(J228,'G-7 WaterC'' Data'!$AK$4:$AM$9,3,FALSE)=0,"Spatial Data Missing ⚠",VLOOKUP(J228,'G-7 WaterC'' Data'!$AK$4:$AM$6,3,FALSE)))</f>
        <v/>
      </c>
      <c r="M228" s="106"/>
      <c r="N228" s="282" t="str">
        <f>IF(M228="","",IF(AND(M228="N/A - Culvert",D228&lt;&gt;"Culvert"),"Not possible ▲",IF(AND(D228="Culvert",M228&lt;&gt;"N/A - Culvert"),"Not possible ▲",IF(VLOOKUP(M228,'G-7 WaterC'' Data'!$AA$4:$AB$7,2,FALSE)=0,"Spatial Data Missing ⚠",VLOOKUP(M228,'G-7 WaterC'' Data'!$AA$4:$AB$7,2,FALSE)))))</f>
        <v/>
      </c>
      <c r="O228" s="56"/>
      <c r="P228" s="282" t="str">
        <f>IF(O228="","",IF(AND(O228="N/A - Culvert",D228&lt;&gt;"Culvert"),"Not possible ▲",IF(AND(D228="Culvert",O228&lt;&gt;"N/A - Culvert"),"Not possible ▲",IF(VLOOKUP(O228,'G-7 WaterC'' Data'!$AD$4:$AE$14,2,FALSE)=0,"Spatial Data Missing ⚠",VLOOKUP(O228,'G-7 WaterC'' Data'!$AD$4:$AE$14,2,FALSE)))))</f>
        <v/>
      </c>
      <c r="Q228" s="288" t="str">
        <f>IF(D228="","",VLOOKUP(D228,'G-7 WaterC'' Data'!$B$4:$G$8,6,FALSE))</f>
        <v/>
      </c>
      <c r="R228" s="295" t="str">
        <f t="shared" si="37"/>
        <v xml:space="preserve"> </v>
      </c>
      <c r="S228" s="403"/>
      <c r="T228" s="287" t="str">
        <f>IF(S228="","",IF(VLOOKUP(S228,'G-7 WaterC'' Data'!$AO$4:$BO$7,2,FALSE)=0,"Spatial Data Missing ⚠",VLOOKUP(S228,'G-7 WaterC'' Data'!$AO$4:$BO$7,2,FALSE)))</f>
        <v/>
      </c>
      <c r="U228" s="295" t="str">
        <f t="shared" si="38"/>
        <v xml:space="preserve"> </v>
      </c>
      <c r="V228" s="710" t="str">
        <f t="shared" si="39"/>
        <v/>
      </c>
      <c r="W228" s="32"/>
      <c r="X228" s="105"/>
      <c r="Y228" s="112"/>
      <c r="Z228" s="293" t="str">
        <f t="shared" si="40"/>
        <v/>
      </c>
      <c r="AA228" s="293" t="str">
        <f t="shared" si="41"/>
        <v/>
      </c>
      <c r="AB228" s="293" t="str">
        <f t="shared" si="42"/>
        <v/>
      </c>
      <c r="AC228" s="507" t="str">
        <f>IFERROR(IF(OR(E228="",R228=""),"", IF(AND(AB228&lt;&gt;"",S228=""), "Spatial risk category missing ▲", IF(AND(Q228='G-7 WaterC'' Data'!$G$4,AD228="Yes"),"Alternative Compensation ✓", IF(AND(AD228="Pending", Q228='G-7 WaterC'' Data'!$G$4),"Bespoke compensation must be agreed ▲", IF((Z228+AA228)&gt;=U228,0, U228-Z228-AA228))))),"Check Data ⚠")</f>
        <v/>
      </c>
      <c r="AD228" s="403"/>
      <c r="AE228" s="109"/>
      <c r="AF228" s="108"/>
      <c r="AG228" s="108"/>
      <c r="AH228" s="108"/>
      <c r="AI228" s="54" t="str">
        <f>IF(OR(Q228="",AD228="Yes"),"",IF(Q228='G-1 All Habitats'!$X$9,E228-Y228-X228,"None"))</f>
        <v/>
      </c>
      <c r="AJ228" s="55" t="str">
        <f>IF(Q228="","", IF(Q228='G-1 All Habitats'!$X$9, AI228*G228*I228*L228*N228*P228,"None"))</f>
        <v/>
      </c>
      <c r="AK228" s="30" t="str">
        <f>IFERROR(INDEX('G-7 WaterC'' Data'!$AZ$3:$AZ$7,MATCH(D228,'G-7 WaterC'' Data'!$AY$3:$AY$7,0)),"")</f>
        <v/>
      </c>
      <c r="AL228" s="30">
        <f t="shared" si="43"/>
        <v>0</v>
      </c>
      <c r="AM228" s="111" t="str">
        <f t="shared" si="44"/>
        <v/>
      </c>
      <c r="AN228" s="111" t="str">
        <f t="shared" si="45"/>
        <v/>
      </c>
      <c r="AP228" s="111">
        <v>219</v>
      </c>
      <c r="AR228" s="111" t="str">
        <f t="array" ref="AR228">IFERROR(INDEX($AP$10:$AP$258, MATCH(0, IF(TRUE=$AM$10:$AM$258, COUNTIF($AR$9:$AR227, $AP$10:$AP$258), ""), 0)),"")</f>
        <v/>
      </c>
      <c r="AS228" s="111" t="str">
        <f t="array" ref="AS228">IFERROR(INDEX($AP$10:$AP$258, MATCH(0, IF(TRUE=$AN$10:$AN$258, COUNTIF($AS$9:$AS227, $AP$10:$AP$258), ""), 0)),"")</f>
        <v/>
      </c>
      <c r="AT228" s="903" t="str">
        <f>IF(AND(OR(AD228="Yes",AD228="Pending"),Q228='G-7 WaterC'' Data'!$G$4),U228-AA228-Z228,"0")</f>
        <v>0</v>
      </c>
      <c r="AU228" s="30" t="str">
        <f>IF(D228="","",VLOOKUP(D228,'G-7 WaterC'' Data'!B$4:M$8,12,FALSE))</f>
        <v/>
      </c>
      <c r="AV228" s="30" t="str">
        <f t="shared" si="36"/>
        <v/>
      </c>
      <c r="AW228" s="30" t="str">
        <f t="shared" si="46"/>
        <v>No</v>
      </c>
      <c r="BA228" s="571" t="str">
        <f t="shared" si="47"/>
        <v/>
      </c>
    </row>
    <row r="229" spans="3:53" ht="14.4" thickBot="1" x14ac:dyDescent="0.3">
      <c r="C229" s="101">
        <v>220</v>
      </c>
      <c r="D229" s="269"/>
      <c r="E229" s="108"/>
      <c r="F229" s="281" t="str">
        <f>IF(D229="","",VLOOKUP(D229,'G-7 WaterC'' Data'!$B$2:$G$8,2,FALSE))</f>
        <v/>
      </c>
      <c r="G229" s="320" t="str">
        <f>IFERROR(VLOOKUP(F229,'G-7 WaterC'' Data'!$C$4:$D$8,2,FALSE),"")</f>
        <v/>
      </c>
      <c r="H229" s="109"/>
      <c r="I229" s="305" t="str">
        <f>IFERROR(INDEX('G-7 WaterC'' Data'!$H$4:$L$8,MATCH(D229,'G-7 WaterC'' Data'!$B$4:$B$8,0),MATCH(H229,'G-7 WaterC'' Data'!$H$3:$L$3,0)),"")</f>
        <v/>
      </c>
      <c r="J229" s="718"/>
      <c r="K229" s="301" t="str">
        <f>IF(J229="","",IF(VLOOKUP(J229,'G-7 WaterC'' Data'!$AK$4:$AM$9,2,FALSE)=0,"Spatial Data Missing ⚠",VLOOKUP(J229,'G-7 WaterC'' Data'!$AK$4:$AM$6,2,FALSE)))</f>
        <v/>
      </c>
      <c r="L229" s="305" t="str">
        <f>IF(J229="","",IF(VLOOKUP(J229,'G-7 WaterC'' Data'!$AK$4:$AM$9,3,FALSE)=0,"Spatial Data Missing ⚠",VLOOKUP(J229,'G-7 WaterC'' Data'!$AK$4:$AM$6,3,FALSE)))</f>
        <v/>
      </c>
      <c r="M229" s="106"/>
      <c r="N229" s="282" t="str">
        <f>IF(M229="","",IF(AND(M229="N/A - Culvert",D229&lt;&gt;"Culvert"),"Not possible ▲",IF(AND(D229="Culvert",M229&lt;&gt;"N/A - Culvert"),"Not possible ▲",IF(VLOOKUP(M229,'G-7 WaterC'' Data'!$AA$4:$AB$7,2,FALSE)=0,"Spatial Data Missing ⚠",VLOOKUP(M229,'G-7 WaterC'' Data'!$AA$4:$AB$7,2,FALSE)))))</f>
        <v/>
      </c>
      <c r="O229" s="56"/>
      <c r="P229" s="282" t="str">
        <f>IF(O229="","",IF(AND(O229="N/A - Culvert",D229&lt;&gt;"Culvert"),"Not possible ▲",IF(AND(D229="Culvert",O229&lt;&gt;"N/A - Culvert"),"Not possible ▲",IF(VLOOKUP(O229,'G-7 WaterC'' Data'!$AD$4:$AE$14,2,FALSE)=0,"Spatial Data Missing ⚠",VLOOKUP(O229,'G-7 WaterC'' Data'!$AD$4:$AE$14,2,FALSE)))))</f>
        <v/>
      </c>
      <c r="Q229" s="288" t="str">
        <f>IF(D229="","",VLOOKUP(D229,'G-7 WaterC'' Data'!$B$4:$G$8,6,FALSE))</f>
        <v/>
      </c>
      <c r="R229" s="295" t="str">
        <f t="shared" si="37"/>
        <v xml:space="preserve"> </v>
      </c>
      <c r="S229" s="403"/>
      <c r="T229" s="287" t="str">
        <f>IF(S229="","",IF(VLOOKUP(S229,'G-7 WaterC'' Data'!$AO$4:$BO$7,2,FALSE)=0,"Spatial Data Missing ⚠",VLOOKUP(S229,'G-7 WaterC'' Data'!$AO$4:$BO$7,2,FALSE)))</f>
        <v/>
      </c>
      <c r="U229" s="295" t="str">
        <f t="shared" si="38"/>
        <v xml:space="preserve"> </v>
      </c>
      <c r="V229" s="710" t="str">
        <f t="shared" si="39"/>
        <v/>
      </c>
      <c r="W229" s="32"/>
      <c r="X229" s="105"/>
      <c r="Y229" s="112"/>
      <c r="Z229" s="293" t="str">
        <f t="shared" si="40"/>
        <v/>
      </c>
      <c r="AA229" s="293" t="str">
        <f t="shared" si="41"/>
        <v/>
      </c>
      <c r="AB229" s="293" t="str">
        <f t="shared" si="42"/>
        <v/>
      </c>
      <c r="AC229" s="507" t="str">
        <f>IFERROR(IF(OR(E229="",R229=""),"", IF(AND(AB229&lt;&gt;"",S229=""), "Spatial risk category missing ▲", IF(AND(Q229='G-7 WaterC'' Data'!$G$4,AD229="Yes"),"Alternative Compensation ✓", IF(AND(AD229="Pending", Q229='G-7 WaterC'' Data'!$G$4),"Bespoke compensation must be agreed ▲", IF((Z229+AA229)&gt;=U229,0, U229-Z229-AA229))))),"Check Data ⚠")</f>
        <v/>
      </c>
      <c r="AD229" s="403"/>
      <c r="AE229" s="109"/>
      <c r="AF229" s="108"/>
      <c r="AG229" s="108"/>
      <c r="AH229" s="108"/>
      <c r="AI229" s="54" t="str">
        <f>IF(OR(Q229="",AD229="Yes"),"",IF(Q229='G-1 All Habitats'!$X$9,E229-Y229-X229,"None"))</f>
        <v/>
      </c>
      <c r="AJ229" s="55" t="str">
        <f>IF(Q229="","", IF(Q229='G-1 All Habitats'!$X$9, AI229*G229*I229*L229*N229*P229,"None"))</f>
        <v/>
      </c>
      <c r="AK229" s="30" t="str">
        <f>IFERROR(INDEX('G-7 WaterC'' Data'!$AZ$3:$AZ$7,MATCH(D229,'G-7 WaterC'' Data'!$AY$3:$AY$7,0)),"")</f>
        <v/>
      </c>
      <c r="AL229" s="30">
        <f t="shared" si="43"/>
        <v>0</v>
      </c>
      <c r="AM229" s="111" t="str">
        <f t="shared" si="44"/>
        <v/>
      </c>
      <c r="AN229" s="111" t="str">
        <f t="shared" si="45"/>
        <v/>
      </c>
      <c r="AP229" s="111">
        <v>220</v>
      </c>
      <c r="AR229" s="111" t="str">
        <f t="array" ref="AR229">IFERROR(INDEX($AP$10:$AP$258, MATCH(0, IF(TRUE=$AM$10:$AM$258, COUNTIF($AR$9:$AR228, $AP$10:$AP$258), ""), 0)),"")</f>
        <v/>
      </c>
      <c r="AS229" s="111" t="str">
        <f t="array" ref="AS229">IFERROR(INDEX($AP$10:$AP$258, MATCH(0, IF(TRUE=$AN$10:$AN$258, COUNTIF($AS$9:$AS228, $AP$10:$AP$258), ""), 0)),"")</f>
        <v/>
      </c>
      <c r="AT229" s="903" t="str">
        <f>IF(AND(OR(AD229="Yes",AD229="Pending"),Q229='G-7 WaterC'' Data'!$G$4),U229-AA229-Z229,"0")</f>
        <v>0</v>
      </c>
      <c r="AU229" s="30" t="str">
        <f>IF(D229="","",VLOOKUP(D229,'G-7 WaterC'' Data'!B$4:M$8,12,FALSE))</f>
        <v/>
      </c>
      <c r="AV229" s="30" t="str">
        <f t="shared" si="36"/>
        <v/>
      </c>
      <c r="AW229" s="30" t="str">
        <f t="shared" si="46"/>
        <v>No</v>
      </c>
      <c r="BA229" s="571" t="str">
        <f t="shared" si="47"/>
        <v/>
      </c>
    </row>
    <row r="230" spans="3:53" ht="14.4" thickBot="1" x14ac:dyDescent="0.3">
      <c r="C230" s="101">
        <v>221</v>
      </c>
      <c r="D230" s="269"/>
      <c r="E230" s="108"/>
      <c r="F230" s="281" t="str">
        <f>IF(D230="","",VLOOKUP(D230,'G-7 WaterC'' Data'!$B$2:$G$8,2,FALSE))</f>
        <v/>
      </c>
      <c r="G230" s="320" t="str">
        <f>IFERROR(VLOOKUP(F230,'G-7 WaterC'' Data'!$C$4:$D$8,2,FALSE),"")</f>
        <v/>
      </c>
      <c r="H230" s="109"/>
      <c r="I230" s="305" t="str">
        <f>IFERROR(INDEX('G-7 WaterC'' Data'!$H$4:$L$8,MATCH(D230,'G-7 WaterC'' Data'!$B$4:$B$8,0),MATCH(H230,'G-7 WaterC'' Data'!$H$3:$L$3,0)),"")</f>
        <v/>
      </c>
      <c r="J230" s="718"/>
      <c r="K230" s="301" t="str">
        <f>IF(J230="","",IF(VLOOKUP(J230,'G-7 WaterC'' Data'!$AK$4:$AM$9,2,FALSE)=0,"Spatial Data Missing ⚠",VLOOKUP(J230,'G-7 WaterC'' Data'!$AK$4:$AM$6,2,FALSE)))</f>
        <v/>
      </c>
      <c r="L230" s="305" t="str">
        <f>IF(J230="","",IF(VLOOKUP(J230,'G-7 WaterC'' Data'!$AK$4:$AM$9,3,FALSE)=0,"Spatial Data Missing ⚠",VLOOKUP(J230,'G-7 WaterC'' Data'!$AK$4:$AM$6,3,FALSE)))</f>
        <v/>
      </c>
      <c r="M230" s="106"/>
      <c r="N230" s="282" t="str">
        <f>IF(M230="","",IF(AND(M230="N/A - Culvert",D230&lt;&gt;"Culvert"),"Not possible ▲",IF(AND(D230="Culvert",M230&lt;&gt;"N/A - Culvert"),"Not possible ▲",IF(VLOOKUP(M230,'G-7 WaterC'' Data'!$AA$4:$AB$7,2,FALSE)=0,"Spatial Data Missing ⚠",VLOOKUP(M230,'G-7 WaterC'' Data'!$AA$4:$AB$7,2,FALSE)))))</f>
        <v/>
      </c>
      <c r="O230" s="56"/>
      <c r="P230" s="282" t="str">
        <f>IF(O230="","",IF(AND(O230="N/A - Culvert",D230&lt;&gt;"Culvert"),"Not possible ▲",IF(AND(D230="Culvert",O230&lt;&gt;"N/A - Culvert"),"Not possible ▲",IF(VLOOKUP(O230,'G-7 WaterC'' Data'!$AD$4:$AE$14,2,FALSE)=0,"Spatial Data Missing ⚠",VLOOKUP(O230,'G-7 WaterC'' Data'!$AD$4:$AE$14,2,FALSE)))))</f>
        <v/>
      </c>
      <c r="Q230" s="288" t="str">
        <f>IF(D230="","",VLOOKUP(D230,'G-7 WaterC'' Data'!$B$4:$G$8,6,FALSE))</f>
        <v/>
      </c>
      <c r="R230" s="295" t="str">
        <f t="shared" si="37"/>
        <v xml:space="preserve"> </v>
      </c>
      <c r="S230" s="403"/>
      <c r="T230" s="287" t="str">
        <f>IF(S230="","",IF(VLOOKUP(S230,'G-7 WaterC'' Data'!$AO$4:$BO$7,2,FALSE)=0,"Spatial Data Missing ⚠",VLOOKUP(S230,'G-7 WaterC'' Data'!$AO$4:$BO$7,2,FALSE)))</f>
        <v/>
      </c>
      <c r="U230" s="295" t="str">
        <f t="shared" si="38"/>
        <v xml:space="preserve"> </v>
      </c>
      <c r="V230" s="710" t="str">
        <f t="shared" si="39"/>
        <v/>
      </c>
      <c r="W230" s="32"/>
      <c r="X230" s="105"/>
      <c r="Y230" s="112"/>
      <c r="Z230" s="293" t="str">
        <f t="shared" si="40"/>
        <v/>
      </c>
      <c r="AA230" s="293" t="str">
        <f t="shared" si="41"/>
        <v/>
      </c>
      <c r="AB230" s="293" t="str">
        <f t="shared" si="42"/>
        <v/>
      </c>
      <c r="AC230" s="507" t="str">
        <f>IFERROR(IF(OR(E230="",R230=""),"", IF(AND(AB230&lt;&gt;"",S230=""), "Spatial risk category missing ▲", IF(AND(Q230='G-7 WaterC'' Data'!$G$4,AD230="Yes"),"Alternative Compensation ✓", IF(AND(AD230="Pending", Q230='G-7 WaterC'' Data'!$G$4),"Bespoke compensation must be agreed ▲", IF((Z230+AA230)&gt;=U230,0, U230-Z230-AA230))))),"Check Data ⚠")</f>
        <v/>
      </c>
      <c r="AD230" s="403"/>
      <c r="AE230" s="109"/>
      <c r="AF230" s="108"/>
      <c r="AG230" s="108"/>
      <c r="AH230" s="108"/>
      <c r="AI230" s="54" t="str">
        <f>IF(OR(Q230="",AD230="Yes"),"",IF(Q230='G-1 All Habitats'!$X$9,E230-Y230-X230,"None"))</f>
        <v/>
      </c>
      <c r="AJ230" s="55" t="str">
        <f>IF(Q230="","", IF(Q230='G-1 All Habitats'!$X$9, AI230*G230*I230*L230*N230*P230,"None"))</f>
        <v/>
      </c>
      <c r="AK230" s="30" t="str">
        <f>IFERROR(INDEX('G-7 WaterC'' Data'!$AZ$3:$AZ$7,MATCH(D230,'G-7 WaterC'' Data'!$AY$3:$AY$7,0)),"")</f>
        <v/>
      </c>
      <c r="AL230" s="30">
        <f t="shared" si="43"/>
        <v>0</v>
      </c>
      <c r="AM230" s="111" t="str">
        <f t="shared" si="44"/>
        <v/>
      </c>
      <c r="AN230" s="111" t="str">
        <f t="shared" si="45"/>
        <v/>
      </c>
      <c r="AP230" s="111">
        <v>221</v>
      </c>
      <c r="AR230" s="111" t="str">
        <f t="array" ref="AR230">IFERROR(INDEX($AP$10:$AP$258, MATCH(0, IF(TRUE=$AM$10:$AM$258, COUNTIF($AR$9:$AR229, $AP$10:$AP$258), ""), 0)),"")</f>
        <v/>
      </c>
      <c r="AS230" s="111" t="str">
        <f t="array" ref="AS230">IFERROR(INDEX($AP$10:$AP$258, MATCH(0, IF(TRUE=$AN$10:$AN$258, COUNTIF($AS$9:$AS229, $AP$10:$AP$258), ""), 0)),"")</f>
        <v/>
      </c>
      <c r="AT230" s="903" t="str">
        <f>IF(AND(OR(AD230="Yes",AD230="Pending"),Q230='G-7 WaterC'' Data'!$G$4),U230-AA230-Z230,"0")</f>
        <v>0</v>
      </c>
      <c r="AU230" s="30" t="str">
        <f>IF(D230="","",VLOOKUP(D230,'G-7 WaterC'' Data'!B$4:M$8,12,FALSE))</f>
        <v/>
      </c>
      <c r="AV230" s="30" t="str">
        <f t="shared" si="36"/>
        <v/>
      </c>
      <c r="AW230" s="30" t="str">
        <f t="shared" si="46"/>
        <v>No</v>
      </c>
      <c r="BA230" s="571" t="str">
        <f t="shared" si="47"/>
        <v/>
      </c>
    </row>
    <row r="231" spans="3:53" ht="14.4" thickBot="1" x14ac:dyDescent="0.3">
      <c r="C231" s="101">
        <v>222</v>
      </c>
      <c r="D231" s="269"/>
      <c r="E231" s="108"/>
      <c r="F231" s="281" t="str">
        <f>IF(D231="","",VLOOKUP(D231,'G-7 WaterC'' Data'!$B$2:$G$8,2,FALSE))</f>
        <v/>
      </c>
      <c r="G231" s="320" t="str">
        <f>IFERROR(VLOOKUP(F231,'G-7 WaterC'' Data'!$C$4:$D$8,2,FALSE),"")</f>
        <v/>
      </c>
      <c r="H231" s="109"/>
      <c r="I231" s="305" t="str">
        <f>IFERROR(INDEX('G-7 WaterC'' Data'!$H$4:$L$8,MATCH(D231,'G-7 WaterC'' Data'!$B$4:$B$8,0),MATCH(H231,'G-7 WaterC'' Data'!$H$3:$L$3,0)),"")</f>
        <v/>
      </c>
      <c r="J231" s="718"/>
      <c r="K231" s="301" t="str">
        <f>IF(J231="","",IF(VLOOKUP(J231,'G-7 WaterC'' Data'!$AK$4:$AM$9,2,FALSE)=0,"Spatial Data Missing ⚠",VLOOKUP(J231,'G-7 WaterC'' Data'!$AK$4:$AM$6,2,FALSE)))</f>
        <v/>
      </c>
      <c r="L231" s="305" t="str">
        <f>IF(J231="","",IF(VLOOKUP(J231,'G-7 WaterC'' Data'!$AK$4:$AM$9,3,FALSE)=0,"Spatial Data Missing ⚠",VLOOKUP(J231,'G-7 WaterC'' Data'!$AK$4:$AM$6,3,FALSE)))</f>
        <v/>
      </c>
      <c r="M231" s="106"/>
      <c r="N231" s="282" t="str">
        <f>IF(M231="","",IF(AND(M231="N/A - Culvert",D231&lt;&gt;"Culvert"),"Not possible ▲",IF(AND(D231="Culvert",M231&lt;&gt;"N/A - Culvert"),"Not possible ▲",IF(VLOOKUP(M231,'G-7 WaterC'' Data'!$AA$4:$AB$7,2,FALSE)=0,"Spatial Data Missing ⚠",VLOOKUP(M231,'G-7 WaterC'' Data'!$AA$4:$AB$7,2,FALSE)))))</f>
        <v/>
      </c>
      <c r="O231" s="56"/>
      <c r="P231" s="282" t="str">
        <f>IF(O231="","",IF(AND(O231="N/A - Culvert",D231&lt;&gt;"Culvert"),"Not possible ▲",IF(AND(D231="Culvert",O231&lt;&gt;"N/A - Culvert"),"Not possible ▲",IF(VLOOKUP(O231,'G-7 WaterC'' Data'!$AD$4:$AE$14,2,FALSE)=0,"Spatial Data Missing ⚠",VLOOKUP(O231,'G-7 WaterC'' Data'!$AD$4:$AE$14,2,FALSE)))))</f>
        <v/>
      </c>
      <c r="Q231" s="288" t="str">
        <f>IF(D231="","",VLOOKUP(D231,'G-7 WaterC'' Data'!$B$4:$G$8,6,FALSE))</f>
        <v/>
      </c>
      <c r="R231" s="295" t="str">
        <f t="shared" si="37"/>
        <v xml:space="preserve"> </v>
      </c>
      <c r="S231" s="403"/>
      <c r="T231" s="287" t="str">
        <f>IF(S231="","",IF(VLOOKUP(S231,'G-7 WaterC'' Data'!$AO$4:$BO$7,2,FALSE)=0,"Spatial Data Missing ⚠",VLOOKUP(S231,'G-7 WaterC'' Data'!$AO$4:$BO$7,2,FALSE)))</f>
        <v/>
      </c>
      <c r="U231" s="295" t="str">
        <f t="shared" si="38"/>
        <v xml:space="preserve"> </v>
      </c>
      <c r="V231" s="710" t="str">
        <f t="shared" si="39"/>
        <v/>
      </c>
      <c r="W231" s="32"/>
      <c r="X231" s="105"/>
      <c r="Y231" s="112"/>
      <c r="Z231" s="293" t="str">
        <f t="shared" si="40"/>
        <v/>
      </c>
      <c r="AA231" s="293" t="str">
        <f t="shared" si="41"/>
        <v/>
      </c>
      <c r="AB231" s="293" t="str">
        <f t="shared" si="42"/>
        <v/>
      </c>
      <c r="AC231" s="507" t="str">
        <f>IFERROR(IF(OR(E231="",R231=""),"", IF(AND(AB231&lt;&gt;"",S231=""), "Spatial risk category missing ▲", IF(AND(Q231='G-7 WaterC'' Data'!$G$4,AD231="Yes"),"Alternative Compensation ✓", IF(AND(AD231="Pending", Q231='G-7 WaterC'' Data'!$G$4),"Bespoke compensation must be agreed ▲", IF((Z231+AA231)&gt;=U231,0, U231-Z231-AA231))))),"Check Data ⚠")</f>
        <v/>
      </c>
      <c r="AD231" s="403"/>
      <c r="AE231" s="109"/>
      <c r="AF231" s="108"/>
      <c r="AG231" s="108"/>
      <c r="AH231" s="108"/>
      <c r="AI231" s="54" t="str">
        <f>IF(OR(Q231="",AD231="Yes"),"",IF(Q231='G-1 All Habitats'!$X$9,E231-Y231-X231,"None"))</f>
        <v/>
      </c>
      <c r="AJ231" s="55" t="str">
        <f>IF(Q231="","", IF(Q231='G-1 All Habitats'!$X$9, AI231*G231*I231*L231*N231*P231,"None"))</f>
        <v/>
      </c>
      <c r="AK231" s="30" t="str">
        <f>IFERROR(INDEX('G-7 WaterC'' Data'!$AZ$3:$AZ$7,MATCH(D231,'G-7 WaterC'' Data'!$AY$3:$AY$7,0)),"")</f>
        <v/>
      </c>
      <c r="AL231" s="30">
        <f t="shared" si="43"/>
        <v>0</v>
      </c>
      <c r="AM231" s="111" t="str">
        <f t="shared" si="44"/>
        <v/>
      </c>
      <c r="AN231" s="111" t="str">
        <f t="shared" si="45"/>
        <v/>
      </c>
      <c r="AP231" s="111">
        <v>222</v>
      </c>
      <c r="AR231" s="111" t="str">
        <f t="array" ref="AR231">IFERROR(INDEX($AP$10:$AP$258, MATCH(0, IF(TRUE=$AM$10:$AM$258, COUNTIF($AR$9:$AR230, $AP$10:$AP$258), ""), 0)),"")</f>
        <v/>
      </c>
      <c r="AS231" s="111" t="str">
        <f t="array" ref="AS231">IFERROR(INDEX($AP$10:$AP$258, MATCH(0, IF(TRUE=$AN$10:$AN$258, COUNTIF($AS$9:$AS230, $AP$10:$AP$258), ""), 0)),"")</f>
        <v/>
      </c>
      <c r="AT231" s="903" t="str">
        <f>IF(AND(OR(AD231="Yes",AD231="Pending"),Q231='G-7 WaterC'' Data'!$G$4),U231-AA231-Z231,"0")</f>
        <v>0</v>
      </c>
      <c r="AU231" s="30" t="str">
        <f>IF(D231="","",VLOOKUP(D231,'G-7 WaterC'' Data'!B$4:M$8,12,FALSE))</f>
        <v/>
      </c>
      <c r="AV231" s="30" t="str">
        <f t="shared" si="36"/>
        <v/>
      </c>
      <c r="AW231" s="30" t="str">
        <f t="shared" si="46"/>
        <v>No</v>
      </c>
      <c r="BA231" s="571" t="str">
        <f t="shared" si="47"/>
        <v/>
      </c>
    </row>
    <row r="232" spans="3:53" ht="14.4" thickBot="1" x14ac:dyDescent="0.3">
      <c r="C232" s="101">
        <v>223</v>
      </c>
      <c r="D232" s="269"/>
      <c r="E232" s="108"/>
      <c r="F232" s="281" t="str">
        <f>IF(D232="","",VLOOKUP(D232,'G-7 WaterC'' Data'!$B$2:$G$8,2,FALSE))</f>
        <v/>
      </c>
      <c r="G232" s="320" t="str">
        <f>IFERROR(VLOOKUP(F232,'G-7 WaterC'' Data'!$C$4:$D$8,2,FALSE),"")</f>
        <v/>
      </c>
      <c r="H232" s="109"/>
      <c r="I232" s="305" t="str">
        <f>IFERROR(INDEX('G-7 WaterC'' Data'!$H$4:$L$8,MATCH(D232,'G-7 WaterC'' Data'!$B$4:$B$8,0),MATCH(H232,'G-7 WaterC'' Data'!$H$3:$L$3,0)),"")</f>
        <v/>
      </c>
      <c r="J232" s="718"/>
      <c r="K232" s="301" t="str">
        <f>IF(J232="","",IF(VLOOKUP(J232,'G-7 WaterC'' Data'!$AK$4:$AM$9,2,FALSE)=0,"Spatial Data Missing ⚠",VLOOKUP(J232,'G-7 WaterC'' Data'!$AK$4:$AM$6,2,FALSE)))</f>
        <v/>
      </c>
      <c r="L232" s="305" t="str">
        <f>IF(J232="","",IF(VLOOKUP(J232,'G-7 WaterC'' Data'!$AK$4:$AM$9,3,FALSE)=0,"Spatial Data Missing ⚠",VLOOKUP(J232,'G-7 WaterC'' Data'!$AK$4:$AM$6,3,FALSE)))</f>
        <v/>
      </c>
      <c r="M232" s="106"/>
      <c r="N232" s="282" t="str">
        <f>IF(M232="","",IF(AND(M232="N/A - Culvert",D232&lt;&gt;"Culvert"),"Not possible ▲",IF(AND(D232="Culvert",M232&lt;&gt;"N/A - Culvert"),"Not possible ▲",IF(VLOOKUP(M232,'G-7 WaterC'' Data'!$AA$4:$AB$7,2,FALSE)=0,"Spatial Data Missing ⚠",VLOOKUP(M232,'G-7 WaterC'' Data'!$AA$4:$AB$7,2,FALSE)))))</f>
        <v/>
      </c>
      <c r="O232" s="56"/>
      <c r="P232" s="282" t="str">
        <f>IF(O232="","",IF(AND(O232="N/A - Culvert",D232&lt;&gt;"Culvert"),"Not possible ▲",IF(AND(D232="Culvert",O232&lt;&gt;"N/A - Culvert"),"Not possible ▲",IF(VLOOKUP(O232,'G-7 WaterC'' Data'!$AD$4:$AE$14,2,FALSE)=0,"Spatial Data Missing ⚠",VLOOKUP(O232,'G-7 WaterC'' Data'!$AD$4:$AE$14,2,FALSE)))))</f>
        <v/>
      </c>
      <c r="Q232" s="288" t="str">
        <f>IF(D232="","",VLOOKUP(D232,'G-7 WaterC'' Data'!$B$4:$G$8,6,FALSE))</f>
        <v/>
      </c>
      <c r="R232" s="295" t="str">
        <f t="shared" si="37"/>
        <v xml:space="preserve"> </v>
      </c>
      <c r="S232" s="403"/>
      <c r="T232" s="287" t="str">
        <f>IF(S232="","",IF(VLOOKUP(S232,'G-7 WaterC'' Data'!$AO$4:$BO$7,2,FALSE)=0,"Spatial Data Missing ⚠",VLOOKUP(S232,'G-7 WaterC'' Data'!$AO$4:$BO$7,2,FALSE)))</f>
        <v/>
      </c>
      <c r="U232" s="295" t="str">
        <f t="shared" si="38"/>
        <v xml:space="preserve"> </v>
      </c>
      <c r="V232" s="710" t="str">
        <f t="shared" si="39"/>
        <v/>
      </c>
      <c r="W232" s="32"/>
      <c r="X232" s="105"/>
      <c r="Y232" s="112"/>
      <c r="Z232" s="293" t="str">
        <f t="shared" si="40"/>
        <v/>
      </c>
      <c r="AA232" s="293" t="str">
        <f t="shared" si="41"/>
        <v/>
      </c>
      <c r="AB232" s="293" t="str">
        <f t="shared" si="42"/>
        <v/>
      </c>
      <c r="AC232" s="507" t="str">
        <f>IFERROR(IF(OR(E232="",R232=""),"", IF(AND(AB232&lt;&gt;"",S232=""), "Spatial risk category missing ▲", IF(AND(Q232='G-7 WaterC'' Data'!$G$4,AD232="Yes"),"Alternative Compensation ✓", IF(AND(AD232="Pending", Q232='G-7 WaterC'' Data'!$G$4),"Bespoke compensation must be agreed ▲", IF((Z232+AA232)&gt;=U232,0, U232-Z232-AA232))))),"Check Data ⚠")</f>
        <v/>
      </c>
      <c r="AD232" s="403"/>
      <c r="AE232" s="109"/>
      <c r="AF232" s="108"/>
      <c r="AG232" s="108"/>
      <c r="AH232" s="108"/>
      <c r="AI232" s="54" t="str">
        <f>IF(OR(Q232="",AD232="Yes"),"",IF(Q232='G-1 All Habitats'!$X$9,E232-Y232-X232,"None"))</f>
        <v/>
      </c>
      <c r="AJ232" s="55" t="str">
        <f>IF(Q232="","", IF(Q232='G-1 All Habitats'!$X$9, AI232*G232*I232*L232*N232*P232,"None"))</f>
        <v/>
      </c>
      <c r="AK232" s="30" t="str">
        <f>IFERROR(INDEX('G-7 WaterC'' Data'!$AZ$3:$AZ$7,MATCH(D232,'G-7 WaterC'' Data'!$AY$3:$AY$7,0)),"")</f>
        <v/>
      </c>
      <c r="AL232" s="30">
        <f t="shared" si="43"/>
        <v>0</v>
      </c>
      <c r="AM232" s="111" t="str">
        <f t="shared" si="44"/>
        <v/>
      </c>
      <c r="AN232" s="111" t="str">
        <f t="shared" si="45"/>
        <v/>
      </c>
      <c r="AP232" s="111">
        <v>223</v>
      </c>
      <c r="AR232" s="111" t="str">
        <f t="array" ref="AR232">IFERROR(INDEX($AP$10:$AP$258, MATCH(0, IF(TRUE=$AM$10:$AM$258, COUNTIF($AR$9:$AR231, $AP$10:$AP$258), ""), 0)),"")</f>
        <v/>
      </c>
      <c r="AS232" s="111" t="str">
        <f t="array" ref="AS232">IFERROR(INDEX($AP$10:$AP$258, MATCH(0, IF(TRUE=$AN$10:$AN$258, COUNTIF($AS$9:$AS231, $AP$10:$AP$258), ""), 0)),"")</f>
        <v/>
      </c>
      <c r="AT232" s="903" t="str">
        <f>IF(AND(OR(AD232="Yes",AD232="Pending"),Q232='G-7 WaterC'' Data'!$G$4),U232-AA232-Z232,"0")</f>
        <v>0</v>
      </c>
      <c r="AU232" s="30" t="str">
        <f>IF(D232="","",VLOOKUP(D232,'G-7 WaterC'' Data'!B$4:M$8,12,FALSE))</f>
        <v/>
      </c>
      <c r="AV232" s="30" t="str">
        <f t="shared" si="36"/>
        <v/>
      </c>
      <c r="AW232" s="30" t="str">
        <f t="shared" si="46"/>
        <v>No</v>
      </c>
      <c r="BA232" s="571" t="str">
        <f t="shared" si="47"/>
        <v/>
      </c>
    </row>
    <row r="233" spans="3:53" ht="14.4" thickBot="1" x14ac:dyDescent="0.3">
      <c r="C233" s="101">
        <v>224</v>
      </c>
      <c r="D233" s="269"/>
      <c r="E233" s="108"/>
      <c r="F233" s="281" t="str">
        <f>IF(D233="","",VLOOKUP(D233,'G-7 WaterC'' Data'!$B$2:$G$8,2,FALSE))</f>
        <v/>
      </c>
      <c r="G233" s="320" t="str">
        <f>IFERROR(VLOOKUP(F233,'G-7 WaterC'' Data'!$C$4:$D$8,2,FALSE),"")</f>
        <v/>
      </c>
      <c r="H233" s="109"/>
      <c r="I233" s="305" t="str">
        <f>IFERROR(INDEX('G-7 WaterC'' Data'!$H$4:$L$8,MATCH(D233,'G-7 WaterC'' Data'!$B$4:$B$8,0),MATCH(H233,'G-7 WaterC'' Data'!$H$3:$L$3,0)),"")</f>
        <v/>
      </c>
      <c r="J233" s="718"/>
      <c r="K233" s="301" t="str">
        <f>IF(J233="","",IF(VLOOKUP(J233,'G-7 WaterC'' Data'!$AK$4:$AM$9,2,FALSE)=0,"Spatial Data Missing ⚠",VLOOKUP(J233,'G-7 WaterC'' Data'!$AK$4:$AM$6,2,FALSE)))</f>
        <v/>
      </c>
      <c r="L233" s="305" t="str">
        <f>IF(J233="","",IF(VLOOKUP(J233,'G-7 WaterC'' Data'!$AK$4:$AM$9,3,FALSE)=0,"Spatial Data Missing ⚠",VLOOKUP(J233,'G-7 WaterC'' Data'!$AK$4:$AM$6,3,FALSE)))</f>
        <v/>
      </c>
      <c r="M233" s="106"/>
      <c r="N233" s="282" t="str">
        <f>IF(M233="","",IF(AND(M233="N/A - Culvert",D233&lt;&gt;"Culvert"),"Not possible ▲",IF(AND(D233="Culvert",M233&lt;&gt;"N/A - Culvert"),"Not possible ▲",IF(VLOOKUP(M233,'G-7 WaterC'' Data'!$AA$4:$AB$7,2,FALSE)=0,"Spatial Data Missing ⚠",VLOOKUP(M233,'G-7 WaterC'' Data'!$AA$4:$AB$7,2,FALSE)))))</f>
        <v/>
      </c>
      <c r="O233" s="56"/>
      <c r="P233" s="282" t="str">
        <f>IF(O233="","",IF(AND(O233="N/A - Culvert",D233&lt;&gt;"Culvert"),"Not possible ▲",IF(AND(D233="Culvert",O233&lt;&gt;"N/A - Culvert"),"Not possible ▲",IF(VLOOKUP(O233,'G-7 WaterC'' Data'!$AD$4:$AE$14,2,FALSE)=0,"Spatial Data Missing ⚠",VLOOKUP(O233,'G-7 WaterC'' Data'!$AD$4:$AE$14,2,FALSE)))))</f>
        <v/>
      </c>
      <c r="Q233" s="288" t="str">
        <f>IF(D233="","",VLOOKUP(D233,'G-7 WaterC'' Data'!$B$4:$G$8,6,FALSE))</f>
        <v/>
      </c>
      <c r="R233" s="295" t="str">
        <f t="shared" si="37"/>
        <v xml:space="preserve"> </v>
      </c>
      <c r="S233" s="403"/>
      <c r="T233" s="287" t="str">
        <f>IF(S233="","",IF(VLOOKUP(S233,'G-7 WaterC'' Data'!$AO$4:$BO$7,2,FALSE)=0,"Spatial Data Missing ⚠",VLOOKUP(S233,'G-7 WaterC'' Data'!$AO$4:$BO$7,2,FALSE)))</f>
        <v/>
      </c>
      <c r="U233" s="295" t="str">
        <f t="shared" si="38"/>
        <v xml:space="preserve"> </v>
      </c>
      <c r="V233" s="710" t="str">
        <f t="shared" si="39"/>
        <v/>
      </c>
      <c r="W233" s="32"/>
      <c r="X233" s="105"/>
      <c r="Y233" s="112"/>
      <c r="Z233" s="293" t="str">
        <f t="shared" si="40"/>
        <v/>
      </c>
      <c r="AA233" s="293" t="str">
        <f t="shared" si="41"/>
        <v/>
      </c>
      <c r="AB233" s="293" t="str">
        <f t="shared" si="42"/>
        <v/>
      </c>
      <c r="AC233" s="507" t="str">
        <f>IFERROR(IF(OR(E233="",R233=""),"", IF(AND(AB233&lt;&gt;"",S233=""), "Spatial risk category missing ▲", IF(AND(Q233='G-7 WaterC'' Data'!$G$4,AD233="Yes"),"Alternative Compensation ✓", IF(AND(AD233="Pending", Q233='G-7 WaterC'' Data'!$G$4),"Bespoke compensation must be agreed ▲", IF((Z233+AA233)&gt;=U233,0, U233-Z233-AA233))))),"Check Data ⚠")</f>
        <v/>
      </c>
      <c r="AD233" s="403"/>
      <c r="AE233" s="109"/>
      <c r="AF233" s="108"/>
      <c r="AG233" s="108"/>
      <c r="AH233" s="108"/>
      <c r="AI233" s="54" t="str">
        <f>IF(OR(Q233="",AD233="Yes"),"",IF(Q233='G-1 All Habitats'!$X$9,E233-Y233-X233,"None"))</f>
        <v/>
      </c>
      <c r="AJ233" s="55" t="str">
        <f>IF(Q233="","", IF(Q233='G-1 All Habitats'!$X$9, AI233*G233*I233*L233*N233*P233,"None"))</f>
        <v/>
      </c>
      <c r="AK233" s="30" t="str">
        <f>IFERROR(INDEX('G-7 WaterC'' Data'!$AZ$3:$AZ$7,MATCH(D233,'G-7 WaterC'' Data'!$AY$3:$AY$7,0)),"")</f>
        <v/>
      </c>
      <c r="AL233" s="30">
        <f t="shared" si="43"/>
        <v>0</v>
      </c>
      <c r="AM233" s="111" t="str">
        <f t="shared" si="44"/>
        <v/>
      </c>
      <c r="AN233" s="111" t="str">
        <f t="shared" si="45"/>
        <v/>
      </c>
      <c r="AP233" s="111">
        <v>224</v>
      </c>
      <c r="AR233" s="111" t="str">
        <f t="array" ref="AR233">IFERROR(INDEX($AP$10:$AP$258, MATCH(0, IF(TRUE=$AM$10:$AM$258, COUNTIF($AR$9:$AR232, $AP$10:$AP$258), ""), 0)),"")</f>
        <v/>
      </c>
      <c r="AS233" s="111" t="str">
        <f t="array" ref="AS233">IFERROR(INDEX($AP$10:$AP$258, MATCH(0, IF(TRUE=$AN$10:$AN$258, COUNTIF($AS$9:$AS232, $AP$10:$AP$258), ""), 0)),"")</f>
        <v/>
      </c>
      <c r="AT233" s="903" t="str">
        <f>IF(AND(OR(AD233="Yes",AD233="Pending"),Q233='G-7 WaterC'' Data'!$G$4),U233-AA233-Z233,"0")</f>
        <v>0</v>
      </c>
      <c r="AU233" s="30" t="str">
        <f>IF(D233="","",VLOOKUP(D233,'G-7 WaterC'' Data'!B$4:M$8,12,FALSE))</f>
        <v/>
      </c>
      <c r="AV233" s="30" t="str">
        <f t="shared" si="36"/>
        <v/>
      </c>
      <c r="AW233" s="30" t="str">
        <f t="shared" si="46"/>
        <v>No</v>
      </c>
      <c r="BA233" s="571" t="str">
        <f t="shared" si="47"/>
        <v/>
      </c>
    </row>
    <row r="234" spans="3:53" ht="14.4" thickBot="1" x14ac:dyDescent="0.3">
      <c r="C234" s="101">
        <v>225</v>
      </c>
      <c r="D234" s="269"/>
      <c r="E234" s="108"/>
      <c r="F234" s="281" t="str">
        <f>IF(D234="","",VLOOKUP(D234,'G-7 WaterC'' Data'!$B$2:$G$8,2,FALSE))</f>
        <v/>
      </c>
      <c r="G234" s="320" t="str">
        <f>IFERROR(VLOOKUP(F234,'G-7 WaterC'' Data'!$C$4:$D$8,2,FALSE),"")</f>
        <v/>
      </c>
      <c r="H234" s="109"/>
      <c r="I234" s="305" t="str">
        <f>IFERROR(INDEX('G-7 WaterC'' Data'!$H$4:$L$8,MATCH(D234,'G-7 WaterC'' Data'!$B$4:$B$8,0),MATCH(H234,'G-7 WaterC'' Data'!$H$3:$L$3,0)),"")</f>
        <v/>
      </c>
      <c r="J234" s="718"/>
      <c r="K234" s="301" t="str">
        <f>IF(J234="","",IF(VLOOKUP(J234,'G-7 WaterC'' Data'!$AK$4:$AM$9,2,FALSE)=0,"Spatial Data Missing ⚠",VLOOKUP(J234,'G-7 WaterC'' Data'!$AK$4:$AM$6,2,FALSE)))</f>
        <v/>
      </c>
      <c r="L234" s="305" t="str">
        <f>IF(J234="","",IF(VLOOKUP(J234,'G-7 WaterC'' Data'!$AK$4:$AM$9,3,FALSE)=0,"Spatial Data Missing ⚠",VLOOKUP(J234,'G-7 WaterC'' Data'!$AK$4:$AM$6,3,FALSE)))</f>
        <v/>
      </c>
      <c r="M234" s="106"/>
      <c r="N234" s="282" t="str">
        <f>IF(M234="","",IF(AND(M234="N/A - Culvert",D234&lt;&gt;"Culvert"),"Not possible ▲",IF(AND(D234="Culvert",M234&lt;&gt;"N/A - Culvert"),"Not possible ▲",IF(VLOOKUP(M234,'G-7 WaterC'' Data'!$AA$4:$AB$7,2,FALSE)=0,"Spatial Data Missing ⚠",VLOOKUP(M234,'G-7 WaterC'' Data'!$AA$4:$AB$7,2,FALSE)))))</f>
        <v/>
      </c>
      <c r="O234" s="56"/>
      <c r="P234" s="282" t="str">
        <f>IF(O234="","",IF(AND(O234="N/A - Culvert",D234&lt;&gt;"Culvert"),"Not possible ▲",IF(AND(D234="Culvert",O234&lt;&gt;"N/A - Culvert"),"Not possible ▲",IF(VLOOKUP(O234,'G-7 WaterC'' Data'!$AD$4:$AE$14,2,FALSE)=0,"Spatial Data Missing ⚠",VLOOKUP(O234,'G-7 WaterC'' Data'!$AD$4:$AE$14,2,FALSE)))))</f>
        <v/>
      </c>
      <c r="Q234" s="288" t="str">
        <f>IF(D234="","",VLOOKUP(D234,'G-7 WaterC'' Data'!$B$4:$G$8,6,FALSE))</f>
        <v/>
      </c>
      <c r="R234" s="295" t="str">
        <f t="shared" si="37"/>
        <v xml:space="preserve"> </v>
      </c>
      <c r="S234" s="403"/>
      <c r="T234" s="287" t="str">
        <f>IF(S234="","",IF(VLOOKUP(S234,'G-7 WaterC'' Data'!$AO$4:$BO$7,2,FALSE)=0,"Spatial Data Missing ⚠",VLOOKUP(S234,'G-7 WaterC'' Data'!$AO$4:$BO$7,2,FALSE)))</f>
        <v/>
      </c>
      <c r="U234" s="295" t="str">
        <f t="shared" si="38"/>
        <v xml:space="preserve"> </v>
      </c>
      <c r="V234" s="710" t="str">
        <f t="shared" si="39"/>
        <v/>
      </c>
      <c r="W234" s="32"/>
      <c r="X234" s="105"/>
      <c r="Y234" s="112"/>
      <c r="Z234" s="293" t="str">
        <f t="shared" si="40"/>
        <v/>
      </c>
      <c r="AA234" s="293" t="str">
        <f t="shared" si="41"/>
        <v/>
      </c>
      <c r="AB234" s="293" t="str">
        <f t="shared" si="42"/>
        <v/>
      </c>
      <c r="AC234" s="507" t="str">
        <f>IFERROR(IF(OR(E234="",R234=""),"", IF(AND(AB234&lt;&gt;"",S234=""), "Spatial risk category missing ▲", IF(AND(Q234='G-7 WaterC'' Data'!$G$4,AD234="Yes"),"Alternative Compensation ✓", IF(AND(AD234="Pending", Q234='G-7 WaterC'' Data'!$G$4),"Bespoke compensation must be agreed ▲", IF((Z234+AA234)&gt;=U234,0, U234-Z234-AA234))))),"Check Data ⚠")</f>
        <v/>
      </c>
      <c r="AD234" s="403"/>
      <c r="AE234" s="109"/>
      <c r="AF234" s="108"/>
      <c r="AG234" s="108"/>
      <c r="AH234" s="108"/>
      <c r="AI234" s="54" t="str">
        <f>IF(OR(Q234="",AD234="Yes"),"",IF(Q234='G-1 All Habitats'!$X$9,E234-Y234-X234,"None"))</f>
        <v/>
      </c>
      <c r="AJ234" s="55" t="str">
        <f>IF(Q234="","", IF(Q234='G-1 All Habitats'!$X$9, AI234*G234*I234*L234*N234*P234,"None"))</f>
        <v/>
      </c>
      <c r="AK234" s="30" t="str">
        <f>IFERROR(INDEX('G-7 WaterC'' Data'!$AZ$3:$AZ$7,MATCH(D234,'G-7 WaterC'' Data'!$AY$3:$AY$7,0)),"")</f>
        <v/>
      </c>
      <c r="AL234" s="30">
        <f t="shared" si="43"/>
        <v>0</v>
      </c>
      <c r="AM234" s="111" t="str">
        <f t="shared" si="44"/>
        <v/>
      </c>
      <c r="AN234" s="111" t="str">
        <f t="shared" si="45"/>
        <v/>
      </c>
      <c r="AP234" s="111">
        <v>225</v>
      </c>
      <c r="AR234" s="111" t="str">
        <f t="array" ref="AR234">IFERROR(INDEX($AP$10:$AP$258, MATCH(0, IF(TRUE=$AM$10:$AM$258, COUNTIF($AR$9:$AR233, $AP$10:$AP$258), ""), 0)),"")</f>
        <v/>
      </c>
      <c r="AS234" s="111" t="str">
        <f t="array" ref="AS234">IFERROR(INDEX($AP$10:$AP$258, MATCH(0, IF(TRUE=$AN$10:$AN$258, COUNTIF($AS$9:$AS233, $AP$10:$AP$258), ""), 0)),"")</f>
        <v/>
      </c>
      <c r="AT234" s="903" t="str">
        <f>IF(AND(OR(AD234="Yes",AD234="Pending"),Q234='G-7 WaterC'' Data'!$G$4),U234-AA234-Z234,"0")</f>
        <v>0</v>
      </c>
      <c r="AU234" s="30" t="str">
        <f>IF(D234="","",VLOOKUP(D234,'G-7 WaterC'' Data'!B$4:M$8,12,FALSE))</f>
        <v/>
      </c>
      <c r="AV234" s="30" t="str">
        <f t="shared" si="36"/>
        <v/>
      </c>
      <c r="AW234" s="30" t="str">
        <f t="shared" si="46"/>
        <v>No</v>
      </c>
      <c r="BA234" s="571" t="str">
        <f t="shared" si="47"/>
        <v/>
      </c>
    </row>
    <row r="235" spans="3:53" ht="14.4" thickBot="1" x14ac:dyDescent="0.3">
      <c r="C235" s="101">
        <v>226</v>
      </c>
      <c r="D235" s="269"/>
      <c r="E235" s="108"/>
      <c r="F235" s="281" t="str">
        <f>IF(D235="","",VLOOKUP(D235,'G-7 WaterC'' Data'!$B$2:$G$8,2,FALSE))</f>
        <v/>
      </c>
      <c r="G235" s="320" t="str">
        <f>IFERROR(VLOOKUP(F235,'G-7 WaterC'' Data'!$C$4:$D$8,2,FALSE),"")</f>
        <v/>
      </c>
      <c r="H235" s="109"/>
      <c r="I235" s="305" t="str">
        <f>IFERROR(INDEX('G-7 WaterC'' Data'!$H$4:$L$8,MATCH(D235,'G-7 WaterC'' Data'!$B$4:$B$8,0),MATCH(H235,'G-7 WaterC'' Data'!$H$3:$L$3,0)),"")</f>
        <v/>
      </c>
      <c r="J235" s="718"/>
      <c r="K235" s="301" t="str">
        <f>IF(J235="","",IF(VLOOKUP(J235,'G-7 WaterC'' Data'!$AK$4:$AM$9,2,FALSE)=0,"Spatial Data Missing ⚠",VLOOKUP(J235,'G-7 WaterC'' Data'!$AK$4:$AM$6,2,FALSE)))</f>
        <v/>
      </c>
      <c r="L235" s="305" t="str">
        <f>IF(J235="","",IF(VLOOKUP(J235,'G-7 WaterC'' Data'!$AK$4:$AM$9,3,FALSE)=0,"Spatial Data Missing ⚠",VLOOKUP(J235,'G-7 WaterC'' Data'!$AK$4:$AM$6,3,FALSE)))</f>
        <v/>
      </c>
      <c r="M235" s="106"/>
      <c r="N235" s="282" t="str">
        <f>IF(M235="","",IF(AND(M235="N/A - Culvert",D235&lt;&gt;"Culvert"),"Not possible ▲",IF(AND(D235="Culvert",M235&lt;&gt;"N/A - Culvert"),"Not possible ▲",IF(VLOOKUP(M235,'G-7 WaterC'' Data'!$AA$4:$AB$7,2,FALSE)=0,"Spatial Data Missing ⚠",VLOOKUP(M235,'G-7 WaterC'' Data'!$AA$4:$AB$7,2,FALSE)))))</f>
        <v/>
      </c>
      <c r="O235" s="56"/>
      <c r="P235" s="282" t="str">
        <f>IF(O235="","",IF(AND(O235="N/A - Culvert",D235&lt;&gt;"Culvert"),"Not possible ▲",IF(AND(D235="Culvert",O235&lt;&gt;"N/A - Culvert"),"Not possible ▲",IF(VLOOKUP(O235,'G-7 WaterC'' Data'!$AD$4:$AE$14,2,FALSE)=0,"Spatial Data Missing ⚠",VLOOKUP(O235,'G-7 WaterC'' Data'!$AD$4:$AE$14,2,FALSE)))))</f>
        <v/>
      </c>
      <c r="Q235" s="288" t="str">
        <f>IF(D235="","",VLOOKUP(D235,'G-7 WaterC'' Data'!$B$4:$G$8,6,FALSE))</f>
        <v/>
      </c>
      <c r="R235" s="295" t="str">
        <f t="shared" si="37"/>
        <v xml:space="preserve"> </v>
      </c>
      <c r="S235" s="403"/>
      <c r="T235" s="287" t="str">
        <f>IF(S235="","",IF(VLOOKUP(S235,'G-7 WaterC'' Data'!$AO$4:$BO$7,2,FALSE)=0,"Spatial Data Missing ⚠",VLOOKUP(S235,'G-7 WaterC'' Data'!$AO$4:$BO$7,2,FALSE)))</f>
        <v/>
      </c>
      <c r="U235" s="295" t="str">
        <f t="shared" si="38"/>
        <v xml:space="preserve"> </v>
      </c>
      <c r="V235" s="710" t="str">
        <f t="shared" si="39"/>
        <v/>
      </c>
      <c r="W235" s="32"/>
      <c r="X235" s="105"/>
      <c r="Y235" s="112"/>
      <c r="Z235" s="293" t="str">
        <f t="shared" si="40"/>
        <v/>
      </c>
      <c r="AA235" s="293" t="str">
        <f t="shared" si="41"/>
        <v/>
      </c>
      <c r="AB235" s="293" t="str">
        <f t="shared" si="42"/>
        <v/>
      </c>
      <c r="AC235" s="507" t="str">
        <f>IFERROR(IF(OR(E235="",R235=""),"", IF(AND(AB235&lt;&gt;"",S235=""), "Spatial risk category missing ▲", IF(AND(Q235='G-7 WaterC'' Data'!$G$4,AD235="Yes"),"Alternative Compensation ✓", IF(AND(AD235="Pending", Q235='G-7 WaterC'' Data'!$G$4),"Bespoke compensation must be agreed ▲", IF((Z235+AA235)&gt;=U235,0, U235-Z235-AA235))))),"Check Data ⚠")</f>
        <v/>
      </c>
      <c r="AD235" s="403"/>
      <c r="AE235" s="109"/>
      <c r="AF235" s="108"/>
      <c r="AG235" s="108"/>
      <c r="AH235" s="108"/>
      <c r="AI235" s="54" t="str">
        <f>IF(OR(Q235="",AD235="Yes"),"",IF(Q235='G-1 All Habitats'!$X$9,E235-Y235-X235,"None"))</f>
        <v/>
      </c>
      <c r="AJ235" s="55" t="str">
        <f>IF(Q235="","", IF(Q235='G-1 All Habitats'!$X$9, AI235*G235*I235*L235*N235*P235,"None"))</f>
        <v/>
      </c>
      <c r="AK235" s="30" t="str">
        <f>IFERROR(INDEX('G-7 WaterC'' Data'!$AZ$3:$AZ$7,MATCH(D235,'G-7 WaterC'' Data'!$AY$3:$AY$7,0)),"")</f>
        <v/>
      </c>
      <c r="AL235" s="30">
        <f t="shared" si="43"/>
        <v>0</v>
      </c>
      <c r="AM235" s="111" t="str">
        <f t="shared" si="44"/>
        <v/>
      </c>
      <c r="AN235" s="111" t="str">
        <f t="shared" si="45"/>
        <v/>
      </c>
      <c r="AP235" s="111">
        <v>226</v>
      </c>
      <c r="AR235" s="111" t="str">
        <f t="array" ref="AR235">IFERROR(INDEX($AP$10:$AP$258, MATCH(0, IF(TRUE=$AM$10:$AM$258, COUNTIF($AR$9:$AR234, $AP$10:$AP$258), ""), 0)),"")</f>
        <v/>
      </c>
      <c r="AS235" s="111" t="str">
        <f t="array" ref="AS235">IFERROR(INDEX($AP$10:$AP$258, MATCH(0, IF(TRUE=$AN$10:$AN$258, COUNTIF($AS$9:$AS234, $AP$10:$AP$258), ""), 0)),"")</f>
        <v/>
      </c>
      <c r="AT235" s="903" t="str">
        <f>IF(AND(OR(AD235="Yes",AD235="Pending"),Q235='G-7 WaterC'' Data'!$G$4),U235-AA235-Z235,"0")</f>
        <v>0</v>
      </c>
      <c r="AU235" s="30" t="str">
        <f>IF(D235="","",VLOOKUP(D235,'G-7 WaterC'' Data'!B$4:M$8,12,FALSE))</f>
        <v/>
      </c>
      <c r="AV235" s="30" t="str">
        <f t="shared" si="36"/>
        <v/>
      </c>
      <c r="AW235" s="30" t="str">
        <f t="shared" si="46"/>
        <v>No</v>
      </c>
      <c r="BA235" s="571" t="str">
        <f t="shared" si="47"/>
        <v/>
      </c>
    </row>
    <row r="236" spans="3:53" ht="14.4" thickBot="1" x14ac:dyDescent="0.3">
      <c r="C236" s="101">
        <v>227</v>
      </c>
      <c r="D236" s="269"/>
      <c r="E236" s="108"/>
      <c r="F236" s="281" t="str">
        <f>IF(D236="","",VLOOKUP(D236,'G-7 WaterC'' Data'!$B$2:$G$8,2,FALSE))</f>
        <v/>
      </c>
      <c r="G236" s="320" t="str">
        <f>IFERROR(VLOOKUP(F236,'G-7 WaterC'' Data'!$C$4:$D$8,2,FALSE),"")</f>
        <v/>
      </c>
      <c r="H236" s="109"/>
      <c r="I236" s="305" t="str">
        <f>IFERROR(INDEX('G-7 WaterC'' Data'!$H$4:$L$8,MATCH(D236,'G-7 WaterC'' Data'!$B$4:$B$8,0),MATCH(H236,'G-7 WaterC'' Data'!$H$3:$L$3,0)),"")</f>
        <v/>
      </c>
      <c r="J236" s="718"/>
      <c r="K236" s="301" t="str">
        <f>IF(J236="","",IF(VLOOKUP(J236,'G-7 WaterC'' Data'!$AK$4:$AM$9,2,FALSE)=0,"Spatial Data Missing ⚠",VLOOKUP(J236,'G-7 WaterC'' Data'!$AK$4:$AM$6,2,FALSE)))</f>
        <v/>
      </c>
      <c r="L236" s="305" t="str">
        <f>IF(J236="","",IF(VLOOKUP(J236,'G-7 WaterC'' Data'!$AK$4:$AM$9,3,FALSE)=0,"Spatial Data Missing ⚠",VLOOKUP(J236,'G-7 WaterC'' Data'!$AK$4:$AM$6,3,FALSE)))</f>
        <v/>
      </c>
      <c r="M236" s="106"/>
      <c r="N236" s="282" t="str">
        <f>IF(M236="","",IF(AND(M236="N/A - Culvert",D236&lt;&gt;"Culvert"),"Not possible ▲",IF(AND(D236="Culvert",M236&lt;&gt;"N/A - Culvert"),"Not possible ▲",IF(VLOOKUP(M236,'G-7 WaterC'' Data'!$AA$4:$AB$7,2,FALSE)=0,"Spatial Data Missing ⚠",VLOOKUP(M236,'G-7 WaterC'' Data'!$AA$4:$AB$7,2,FALSE)))))</f>
        <v/>
      </c>
      <c r="O236" s="56"/>
      <c r="P236" s="282" t="str">
        <f>IF(O236="","",IF(AND(O236="N/A - Culvert",D236&lt;&gt;"Culvert"),"Not possible ▲",IF(AND(D236="Culvert",O236&lt;&gt;"N/A - Culvert"),"Not possible ▲",IF(VLOOKUP(O236,'G-7 WaterC'' Data'!$AD$4:$AE$14,2,FALSE)=0,"Spatial Data Missing ⚠",VLOOKUP(O236,'G-7 WaterC'' Data'!$AD$4:$AE$14,2,FALSE)))))</f>
        <v/>
      </c>
      <c r="Q236" s="288" t="str">
        <f>IF(D236="","",VLOOKUP(D236,'G-7 WaterC'' Data'!$B$4:$G$8,6,FALSE))</f>
        <v/>
      </c>
      <c r="R236" s="295" t="str">
        <f t="shared" si="37"/>
        <v xml:space="preserve"> </v>
      </c>
      <c r="S236" s="403"/>
      <c r="T236" s="287" t="str">
        <f>IF(S236="","",IF(VLOOKUP(S236,'G-7 WaterC'' Data'!$AO$4:$BO$7,2,FALSE)=0,"Spatial Data Missing ⚠",VLOOKUP(S236,'G-7 WaterC'' Data'!$AO$4:$BO$7,2,FALSE)))</f>
        <v/>
      </c>
      <c r="U236" s="295" t="str">
        <f t="shared" si="38"/>
        <v xml:space="preserve"> </v>
      </c>
      <c r="V236" s="710" t="str">
        <f t="shared" si="39"/>
        <v/>
      </c>
      <c r="W236" s="32"/>
      <c r="X236" s="105"/>
      <c r="Y236" s="112"/>
      <c r="Z236" s="293" t="str">
        <f t="shared" si="40"/>
        <v/>
      </c>
      <c r="AA236" s="293" t="str">
        <f t="shared" si="41"/>
        <v/>
      </c>
      <c r="AB236" s="293" t="str">
        <f t="shared" si="42"/>
        <v/>
      </c>
      <c r="AC236" s="507" t="str">
        <f>IFERROR(IF(OR(E236="",R236=""),"", IF(AND(AB236&lt;&gt;"",S236=""), "Spatial risk category missing ▲", IF(AND(Q236='G-7 WaterC'' Data'!$G$4,AD236="Yes"),"Alternative Compensation ✓", IF(AND(AD236="Pending", Q236='G-7 WaterC'' Data'!$G$4),"Bespoke compensation must be agreed ▲", IF((Z236+AA236)&gt;=U236,0, U236-Z236-AA236))))),"Check Data ⚠")</f>
        <v/>
      </c>
      <c r="AD236" s="403"/>
      <c r="AE236" s="109"/>
      <c r="AF236" s="108"/>
      <c r="AG236" s="108"/>
      <c r="AH236" s="108"/>
      <c r="AI236" s="54" t="str">
        <f>IF(OR(Q236="",AD236="Yes"),"",IF(Q236='G-1 All Habitats'!$X$9,E236-Y236-X236,"None"))</f>
        <v/>
      </c>
      <c r="AJ236" s="55" t="str">
        <f>IF(Q236="","", IF(Q236='G-1 All Habitats'!$X$9, AI236*G236*I236*L236*N236*P236,"None"))</f>
        <v/>
      </c>
      <c r="AK236" s="30" t="str">
        <f>IFERROR(INDEX('G-7 WaterC'' Data'!$AZ$3:$AZ$7,MATCH(D236,'G-7 WaterC'' Data'!$AY$3:$AY$7,0)),"")</f>
        <v/>
      </c>
      <c r="AL236" s="30">
        <f t="shared" si="43"/>
        <v>0</v>
      </c>
      <c r="AM236" s="111" t="str">
        <f t="shared" si="44"/>
        <v/>
      </c>
      <c r="AN236" s="111" t="str">
        <f t="shared" si="45"/>
        <v/>
      </c>
      <c r="AP236" s="111">
        <v>227</v>
      </c>
      <c r="AR236" s="111" t="str">
        <f t="array" ref="AR236">IFERROR(INDEX($AP$10:$AP$258, MATCH(0, IF(TRUE=$AM$10:$AM$258, COUNTIF($AR$9:$AR235, $AP$10:$AP$258), ""), 0)),"")</f>
        <v/>
      </c>
      <c r="AS236" s="111" t="str">
        <f t="array" ref="AS236">IFERROR(INDEX($AP$10:$AP$258, MATCH(0, IF(TRUE=$AN$10:$AN$258, COUNTIF($AS$9:$AS235, $AP$10:$AP$258), ""), 0)),"")</f>
        <v/>
      </c>
      <c r="AT236" s="903" t="str">
        <f>IF(AND(OR(AD236="Yes",AD236="Pending"),Q236='G-7 WaterC'' Data'!$G$4),U236-AA236-Z236,"0")</f>
        <v>0</v>
      </c>
      <c r="AU236" s="30" t="str">
        <f>IF(D236="","",VLOOKUP(D236,'G-7 WaterC'' Data'!B$4:M$8,12,FALSE))</f>
        <v/>
      </c>
      <c r="AV236" s="30" t="str">
        <f t="shared" si="36"/>
        <v/>
      </c>
      <c r="AW236" s="30" t="str">
        <f t="shared" si="46"/>
        <v>No</v>
      </c>
      <c r="BA236" s="571" t="str">
        <f t="shared" si="47"/>
        <v/>
      </c>
    </row>
    <row r="237" spans="3:53" ht="14.4" thickBot="1" x14ac:dyDescent="0.3">
      <c r="C237" s="101">
        <v>228</v>
      </c>
      <c r="D237" s="269"/>
      <c r="E237" s="108"/>
      <c r="F237" s="281" t="str">
        <f>IF(D237="","",VLOOKUP(D237,'G-7 WaterC'' Data'!$B$2:$G$8,2,FALSE))</f>
        <v/>
      </c>
      <c r="G237" s="320" t="str">
        <f>IFERROR(VLOOKUP(F237,'G-7 WaterC'' Data'!$C$4:$D$8,2,FALSE),"")</f>
        <v/>
      </c>
      <c r="H237" s="109"/>
      <c r="I237" s="305" t="str">
        <f>IFERROR(INDEX('G-7 WaterC'' Data'!$H$4:$L$8,MATCH(D237,'G-7 WaterC'' Data'!$B$4:$B$8,0),MATCH(H237,'G-7 WaterC'' Data'!$H$3:$L$3,0)),"")</f>
        <v/>
      </c>
      <c r="J237" s="718"/>
      <c r="K237" s="301" t="str">
        <f>IF(J237="","",IF(VLOOKUP(J237,'G-7 WaterC'' Data'!$AK$4:$AM$9,2,FALSE)=0,"Spatial Data Missing ⚠",VLOOKUP(J237,'G-7 WaterC'' Data'!$AK$4:$AM$6,2,FALSE)))</f>
        <v/>
      </c>
      <c r="L237" s="305" t="str">
        <f>IF(J237="","",IF(VLOOKUP(J237,'G-7 WaterC'' Data'!$AK$4:$AM$9,3,FALSE)=0,"Spatial Data Missing ⚠",VLOOKUP(J237,'G-7 WaterC'' Data'!$AK$4:$AM$6,3,FALSE)))</f>
        <v/>
      </c>
      <c r="M237" s="106"/>
      <c r="N237" s="282" t="str">
        <f>IF(M237="","",IF(AND(M237="N/A - Culvert",D237&lt;&gt;"Culvert"),"Not possible ▲",IF(AND(D237="Culvert",M237&lt;&gt;"N/A - Culvert"),"Not possible ▲",IF(VLOOKUP(M237,'G-7 WaterC'' Data'!$AA$4:$AB$7,2,FALSE)=0,"Spatial Data Missing ⚠",VLOOKUP(M237,'G-7 WaterC'' Data'!$AA$4:$AB$7,2,FALSE)))))</f>
        <v/>
      </c>
      <c r="O237" s="56"/>
      <c r="P237" s="282" t="str">
        <f>IF(O237="","",IF(AND(O237="N/A - Culvert",D237&lt;&gt;"Culvert"),"Not possible ▲",IF(AND(D237="Culvert",O237&lt;&gt;"N/A - Culvert"),"Not possible ▲",IF(VLOOKUP(O237,'G-7 WaterC'' Data'!$AD$4:$AE$14,2,FALSE)=0,"Spatial Data Missing ⚠",VLOOKUP(O237,'G-7 WaterC'' Data'!$AD$4:$AE$14,2,FALSE)))))</f>
        <v/>
      </c>
      <c r="Q237" s="288" t="str">
        <f>IF(D237="","",VLOOKUP(D237,'G-7 WaterC'' Data'!$B$4:$G$8,6,FALSE))</f>
        <v/>
      </c>
      <c r="R237" s="295" t="str">
        <f t="shared" si="37"/>
        <v xml:space="preserve"> </v>
      </c>
      <c r="S237" s="403"/>
      <c r="T237" s="287" t="str">
        <f>IF(S237="","",IF(VLOOKUP(S237,'G-7 WaterC'' Data'!$AO$4:$BO$7,2,FALSE)=0,"Spatial Data Missing ⚠",VLOOKUP(S237,'G-7 WaterC'' Data'!$AO$4:$BO$7,2,FALSE)))</f>
        <v/>
      </c>
      <c r="U237" s="295" t="str">
        <f t="shared" si="38"/>
        <v xml:space="preserve"> </v>
      </c>
      <c r="V237" s="710" t="str">
        <f t="shared" si="39"/>
        <v/>
      </c>
      <c r="W237" s="32"/>
      <c r="X237" s="105"/>
      <c r="Y237" s="112"/>
      <c r="Z237" s="293" t="str">
        <f t="shared" si="40"/>
        <v/>
      </c>
      <c r="AA237" s="293" t="str">
        <f t="shared" si="41"/>
        <v/>
      </c>
      <c r="AB237" s="293" t="str">
        <f t="shared" si="42"/>
        <v/>
      </c>
      <c r="AC237" s="507" t="str">
        <f>IFERROR(IF(OR(E237="",R237=""),"", IF(AND(AB237&lt;&gt;"",S237=""), "Spatial risk category missing ▲", IF(AND(Q237='G-7 WaterC'' Data'!$G$4,AD237="Yes"),"Alternative Compensation ✓", IF(AND(AD237="Pending", Q237='G-7 WaterC'' Data'!$G$4),"Bespoke compensation must be agreed ▲", IF((Z237+AA237)&gt;=U237,0, U237-Z237-AA237))))),"Check Data ⚠")</f>
        <v/>
      </c>
      <c r="AD237" s="403"/>
      <c r="AE237" s="109"/>
      <c r="AF237" s="108"/>
      <c r="AG237" s="108"/>
      <c r="AH237" s="108"/>
      <c r="AI237" s="54" t="str">
        <f>IF(OR(Q237="",AD237="Yes"),"",IF(Q237='G-1 All Habitats'!$X$9,E237-Y237-X237,"None"))</f>
        <v/>
      </c>
      <c r="AJ237" s="55" t="str">
        <f>IF(Q237="","", IF(Q237='G-1 All Habitats'!$X$9, AI237*G237*I237*L237*N237*P237,"None"))</f>
        <v/>
      </c>
      <c r="AK237" s="30" t="str">
        <f>IFERROR(INDEX('G-7 WaterC'' Data'!$AZ$3:$AZ$7,MATCH(D237,'G-7 WaterC'' Data'!$AY$3:$AY$7,0)),"")</f>
        <v/>
      </c>
      <c r="AL237" s="30">
        <f t="shared" si="43"/>
        <v>0</v>
      </c>
      <c r="AM237" s="111" t="str">
        <f t="shared" si="44"/>
        <v/>
      </c>
      <c r="AN237" s="111" t="str">
        <f t="shared" si="45"/>
        <v/>
      </c>
      <c r="AP237" s="111">
        <v>228</v>
      </c>
      <c r="AR237" s="111" t="str">
        <f t="array" ref="AR237">IFERROR(INDEX($AP$10:$AP$258, MATCH(0, IF(TRUE=$AM$10:$AM$258, COUNTIF($AR$9:$AR236, $AP$10:$AP$258), ""), 0)),"")</f>
        <v/>
      </c>
      <c r="AS237" s="111" t="str">
        <f t="array" ref="AS237">IFERROR(INDEX($AP$10:$AP$258, MATCH(0, IF(TRUE=$AN$10:$AN$258, COUNTIF($AS$9:$AS236, $AP$10:$AP$258), ""), 0)),"")</f>
        <v/>
      </c>
      <c r="AT237" s="903" t="str">
        <f>IF(AND(OR(AD237="Yes",AD237="Pending"),Q237='G-7 WaterC'' Data'!$G$4),U237-AA237-Z237,"0")</f>
        <v>0</v>
      </c>
      <c r="AU237" s="30" t="str">
        <f>IF(D237="","",VLOOKUP(D237,'G-7 WaterC'' Data'!B$4:M$8,12,FALSE))</f>
        <v/>
      </c>
      <c r="AV237" s="30" t="str">
        <f t="shared" si="36"/>
        <v/>
      </c>
      <c r="AW237" s="30" t="str">
        <f t="shared" si="46"/>
        <v>No</v>
      </c>
      <c r="BA237" s="571" t="str">
        <f t="shared" si="47"/>
        <v/>
      </c>
    </row>
    <row r="238" spans="3:53" ht="14.4" thickBot="1" x14ac:dyDescent="0.3">
      <c r="C238" s="101">
        <v>229</v>
      </c>
      <c r="D238" s="269"/>
      <c r="E238" s="108"/>
      <c r="F238" s="281" t="str">
        <f>IF(D238="","",VLOOKUP(D238,'G-7 WaterC'' Data'!$B$2:$G$8,2,FALSE))</f>
        <v/>
      </c>
      <c r="G238" s="320" t="str">
        <f>IFERROR(VLOOKUP(F238,'G-7 WaterC'' Data'!$C$4:$D$8,2,FALSE),"")</f>
        <v/>
      </c>
      <c r="H238" s="109"/>
      <c r="I238" s="305" t="str">
        <f>IFERROR(INDEX('G-7 WaterC'' Data'!$H$4:$L$8,MATCH(D238,'G-7 WaterC'' Data'!$B$4:$B$8,0),MATCH(H238,'G-7 WaterC'' Data'!$H$3:$L$3,0)),"")</f>
        <v/>
      </c>
      <c r="J238" s="718"/>
      <c r="K238" s="301" t="str">
        <f>IF(J238="","",IF(VLOOKUP(J238,'G-7 WaterC'' Data'!$AK$4:$AM$9,2,FALSE)=0,"Spatial Data Missing ⚠",VLOOKUP(J238,'G-7 WaterC'' Data'!$AK$4:$AM$6,2,FALSE)))</f>
        <v/>
      </c>
      <c r="L238" s="305" t="str">
        <f>IF(J238="","",IF(VLOOKUP(J238,'G-7 WaterC'' Data'!$AK$4:$AM$9,3,FALSE)=0,"Spatial Data Missing ⚠",VLOOKUP(J238,'G-7 WaterC'' Data'!$AK$4:$AM$6,3,FALSE)))</f>
        <v/>
      </c>
      <c r="M238" s="106"/>
      <c r="N238" s="282" t="str">
        <f>IF(M238="","",IF(AND(M238="N/A - Culvert",D238&lt;&gt;"Culvert"),"Not possible ▲",IF(AND(D238="Culvert",M238&lt;&gt;"N/A - Culvert"),"Not possible ▲",IF(VLOOKUP(M238,'G-7 WaterC'' Data'!$AA$4:$AB$7,2,FALSE)=0,"Spatial Data Missing ⚠",VLOOKUP(M238,'G-7 WaterC'' Data'!$AA$4:$AB$7,2,FALSE)))))</f>
        <v/>
      </c>
      <c r="O238" s="56"/>
      <c r="P238" s="282" t="str">
        <f>IF(O238="","",IF(AND(O238="N/A - Culvert",D238&lt;&gt;"Culvert"),"Not possible ▲",IF(AND(D238="Culvert",O238&lt;&gt;"N/A - Culvert"),"Not possible ▲",IF(VLOOKUP(O238,'G-7 WaterC'' Data'!$AD$4:$AE$14,2,FALSE)=0,"Spatial Data Missing ⚠",VLOOKUP(O238,'G-7 WaterC'' Data'!$AD$4:$AE$14,2,FALSE)))))</f>
        <v/>
      </c>
      <c r="Q238" s="288" t="str">
        <f>IF(D238="","",VLOOKUP(D238,'G-7 WaterC'' Data'!$B$4:$G$8,6,FALSE))</f>
        <v/>
      </c>
      <c r="R238" s="295" t="str">
        <f t="shared" si="37"/>
        <v xml:space="preserve"> </v>
      </c>
      <c r="S238" s="403"/>
      <c r="T238" s="287" t="str">
        <f>IF(S238="","",IF(VLOOKUP(S238,'G-7 WaterC'' Data'!$AO$4:$BO$7,2,FALSE)=0,"Spatial Data Missing ⚠",VLOOKUP(S238,'G-7 WaterC'' Data'!$AO$4:$BO$7,2,FALSE)))</f>
        <v/>
      </c>
      <c r="U238" s="295" t="str">
        <f t="shared" si="38"/>
        <v xml:space="preserve"> </v>
      </c>
      <c r="V238" s="710" t="str">
        <f t="shared" si="39"/>
        <v/>
      </c>
      <c r="W238" s="32"/>
      <c r="X238" s="105"/>
      <c r="Y238" s="112"/>
      <c r="Z238" s="293" t="str">
        <f t="shared" si="40"/>
        <v/>
      </c>
      <c r="AA238" s="293" t="str">
        <f t="shared" si="41"/>
        <v/>
      </c>
      <c r="AB238" s="293" t="str">
        <f t="shared" si="42"/>
        <v/>
      </c>
      <c r="AC238" s="507" t="str">
        <f>IFERROR(IF(OR(E238="",R238=""),"", IF(AND(AB238&lt;&gt;"",S238=""), "Spatial risk category missing ▲", IF(AND(Q238='G-7 WaterC'' Data'!$G$4,AD238="Yes"),"Alternative Compensation ✓", IF(AND(AD238="Pending", Q238='G-7 WaterC'' Data'!$G$4),"Bespoke compensation must be agreed ▲", IF((Z238+AA238)&gt;=U238,0, U238-Z238-AA238))))),"Check Data ⚠")</f>
        <v/>
      </c>
      <c r="AD238" s="403"/>
      <c r="AE238" s="109"/>
      <c r="AF238" s="108"/>
      <c r="AG238" s="108"/>
      <c r="AH238" s="108"/>
      <c r="AI238" s="54" t="str">
        <f>IF(OR(Q238="",AD238="Yes"),"",IF(Q238='G-1 All Habitats'!$X$9,E238-Y238-X238,"None"))</f>
        <v/>
      </c>
      <c r="AJ238" s="55" t="str">
        <f>IF(Q238="","", IF(Q238='G-1 All Habitats'!$X$9, AI238*G238*I238*L238*N238*P238,"None"))</f>
        <v/>
      </c>
      <c r="AK238" s="30" t="str">
        <f>IFERROR(INDEX('G-7 WaterC'' Data'!$AZ$3:$AZ$7,MATCH(D238,'G-7 WaterC'' Data'!$AY$3:$AY$7,0)),"")</f>
        <v/>
      </c>
      <c r="AL238" s="30">
        <f t="shared" si="43"/>
        <v>0</v>
      </c>
      <c r="AM238" s="111" t="str">
        <f t="shared" si="44"/>
        <v/>
      </c>
      <c r="AN238" s="111" t="str">
        <f t="shared" si="45"/>
        <v/>
      </c>
      <c r="AP238" s="111">
        <v>229</v>
      </c>
      <c r="AR238" s="111" t="str">
        <f t="array" ref="AR238">IFERROR(INDEX($AP$10:$AP$258, MATCH(0, IF(TRUE=$AM$10:$AM$258, COUNTIF($AR$9:$AR237, $AP$10:$AP$258), ""), 0)),"")</f>
        <v/>
      </c>
      <c r="AS238" s="111" t="str">
        <f t="array" ref="AS238">IFERROR(INDEX($AP$10:$AP$258, MATCH(0, IF(TRUE=$AN$10:$AN$258, COUNTIF($AS$9:$AS237, $AP$10:$AP$258), ""), 0)),"")</f>
        <v/>
      </c>
      <c r="AT238" s="903" t="str">
        <f>IF(AND(OR(AD238="Yes",AD238="Pending"),Q238='G-7 WaterC'' Data'!$G$4),U238-AA238-Z238,"0")</f>
        <v>0</v>
      </c>
      <c r="AU238" s="30" t="str">
        <f>IF(D238="","",VLOOKUP(D238,'G-7 WaterC'' Data'!B$4:M$8,12,FALSE))</f>
        <v/>
      </c>
      <c r="AV238" s="30" t="str">
        <f t="shared" si="36"/>
        <v/>
      </c>
      <c r="AW238" s="30" t="str">
        <f t="shared" si="46"/>
        <v>No</v>
      </c>
      <c r="BA238" s="571" t="str">
        <f t="shared" si="47"/>
        <v/>
      </c>
    </row>
    <row r="239" spans="3:53" ht="14.4" thickBot="1" x14ac:dyDescent="0.3">
      <c r="C239" s="101">
        <v>230</v>
      </c>
      <c r="D239" s="269"/>
      <c r="E239" s="108"/>
      <c r="F239" s="281" t="str">
        <f>IF(D239="","",VLOOKUP(D239,'G-7 WaterC'' Data'!$B$2:$G$8,2,FALSE))</f>
        <v/>
      </c>
      <c r="G239" s="320" t="str">
        <f>IFERROR(VLOOKUP(F239,'G-7 WaterC'' Data'!$C$4:$D$8,2,FALSE),"")</f>
        <v/>
      </c>
      <c r="H239" s="109"/>
      <c r="I239" s="305" t="str">
        <f>IFERROR(INDEX('G-7 WaterC'' Data'!$H$4:$L$8,MATCH(D239,'G-7 WaterC'' Data'!$B$4:$B$8,0),MATCH(H239,'G-7 WaterC'' Data'!$H$3:$L$3,0)),"")</f>
        <v/>
      </c>
      <c r="J239" s="718"/>
      <c r="K239" s="301" t="str">
        <f>IF(J239="","",IF(VLOOKUP(J239,'G-7 WaterC'' Data'!$AK$4:$AM$9,2,FALSE)=0,"Spatial Data Missing ⚠",VLOOKUP(J239,'G-7 WaterC'' Data'!$AK$4:$AM$6,2,FALSE)))</f>
        <v/>
      </c>
      <c r="L239" s="305" t="str">
        <f>IF(J239="","",IF(VLOOKUP(J239,'G-7 WaterC'' Data'!$AK$4:$AM$9,3,FALSE)=0,"Spatial Data Missing ⚠",VLOOKUP(J239,'G-7 WaterC'' Data'!$AK$4:$AM$6,3,FALSE)))</f>
        <v/>
      </c>
      <c r="M239" s="106"/>
      <c r="N239" s="282" t="str">
        <f>IF(M239="","",IF(AND(M239="N/A - Culvert",D239&lt;&gt;"Culvert"),"Not possible ▲",IF(AND(D239="Culvert",M239&lt;&gt;"N/A - Culvert"),"Not possible ▲",IF(VLOOKUP(M239,'G-7 WaterC'' Data'!$AA$4:$AB$7,2,FALSE)=0,"Spatial Data Missing ⚠",VLOOKUP(M239,'G-7 WaterC'' Data'!$AA$4:$AB$7,2,FALSE)))))</f>
        <v/>
      </c>
      <c r="O239" s="56"/>
      <c r="P239" s="282" t="str">
        <f>IF(O239="","",IF(AND(O239="N/A - Culvert",D239&lt;&gt;"Culvert"),"Not possible ▲",IF(AND(D239="Culvert",O239&lt;&gt;"N/A - Culvert"),"Not possible ▲",IF(VLOOKUP(O239,'G-7 WaterC'' Data'!$AD$4:$AE$14,2,FALSE)=0,"Spatial Data Missing ⚠",VLOOKUP(O239,'G-7 WaterC'' Data'!$AD$4:$AE$14,2,FALSE)))))</f>
        <v/>
      </c>
      <c r="Q239" s="288" t="str">
        <f>IF(D239="","",VLOOKUP(D239,'G-7 WaterC'' Data'!$B$4:$G$8,6,FALSE))</f>
        <v/>
      </c>
      <c r="R239" s="295" t="str">
        <f t="shared" si="37"/>
        <v xml:space="preserve"> </v>
      </c>
      <c r="S239" s="403"/>
      <c r="T239" s="287" t="str">
        <f>IF(S239="","",IF(VLOOKUP(S239,'G-7 WaterC'' Data'!$AO$4:$BO$7,2,FALSE)=0,"Spatial Data Missing ⚠",VLOOKUP(S239,'G-7 WaterC'' Data'!$AO$4:$BO$7,2,FALSE)))</f>
        <v/>
      </c>
      <c r="U239" s="295" t="str">
        <f t="shared" si="38"/>
        <v xml:space="preserve"> </v>
      </c>
      <c r="V239" s="710" t="str">
        <f t="shared" si="39"/>
        <v/>
      </c>
      <c r="W239" s="32"/>
      <c r="X239" s="105"/>
      <c r="Y239" s="112"/>
      <c r="Z239" s="293" t="str">
        <f t="shared" si="40"/>
        <v/>
      </c>
      <c r="AA239" s="293" t="str">
        <f t="shared" si="41"/>
        <v/>
      </c>
      <c r="AB239" s="293" t="str">
        <f t="shared" si="42"/>
        <v/>
      </c>
      <c r="AC239" s="507" t="str">
        <f>IFERROR(IF(OR(E239="",R239=""),"", IF(AND(AB239&lt;&gt;"",S239=""), "Spatial risk category missing ▲", IF(AND(Q239='G-7 WaterC'' Data'!$G$4,AD239="Yes"),"Alternative Compensation ✓", IF(AND(AD239="Pending", Q239='G-7 WaterC'' Data'!$G$4),"Bespoke compensation must be agreed ▲", IF((Z239+AA239)&gt;=U239,0, U239-Z239-AA239))))),"Check Data ⚠")</f>
        <v/>
      </c>
      <c r="AD239" s="403"/>
      <c r="AE239" s="109"/>
      <c r="AF239" s="108"/>
      <c r="AG239" s="108"/>
      <c r="AH239" s="108"/>
      <c r="AI239" s="54" t="str">
        <f>IF(OR(Q239="",AD239="Yes"),"",IF(Q239='G-1 All Habitats'!$X$9,E239-Y239-X239,"None"))</f>
        <v/>
      </c>
      <c r="AJ239" s="55" t="str">
        <f>IF(Q239="","", IF(Q239='G-1 All Habitats'!$X$9, AI239*G239*I239*L239*N239*P239,"None"))</f>
        <v/>
      </c>
      <c r="AK239" s="30" t="str">
        <f>IFERROR(INDEX('G-7 WaterC'' Data'!$AZ$3:$AZ$7,MATCH(D239,'G-7 WaterC'' Data'!$AY$3:$AY$7,0)),"")</f>
        <v/>
      </c>
      <c r="AL239" s="30">
        <f t="shared" si="43"/>
        <v>0</v>
      </c>
      <c r="AM239" s="111" t="str">
        <f t="shared" si="44"/>
        <v/>
      </c>
      <c r="AN239" s="111" t="str">
        <f t="shared" si="45"/>
        <v/>
      </c>
      <c r="AP239" s="111">
        <v>230</v>
      </c>
      <c r="AR239" s="111" t="str">
        <f t="array" ref="AR239">IFERROR(INDEX($AP$10:$AP$258, MATCH(0, IF(TRUE=$AM$10:$AM$258, COUNTIF($AR$9:$AR238, $AP$10:$AP$258), ""), 0)),"")</f>
        <v/>
      </c>
      <c r="AS239" s="111" t="str">
        <f t="array" ref="AS239">IFERROR(INDEX($AP$10:$AP$258, MATCH(0, IF(TRUE=$AN$10:$AN$258, COUNTIF($AS$9:$AS238, $AP$10:$AP$258), ""), 0)),"")</f>
        <v/>
      </c>
      <c r="AT239" s="903" t="str">
        <f>IF(AND(OR(AD239="Yes",AD239="Pending"),Q239='G-7 WaterC'' Data'!$G$4),U239-AA239-Z239,"0")</f>
        <v>0</v>
      </c>
      <c r="AU239" s="30" t="str">
        <f>IF(D239="","",VLOOKUP(D239,'G-7 WaterC'' Data'!B$4:M$8,12,FALSE))</f>
        <v/>
      </c>
      <c r="AV239" s="30" t="str">
        <f t="shared" si="36"/>
        <v/>
      </c>
      <c r="AW239" s="30" t="str">
        <f t="shared" si="46"/>
        <v>No</v>
      </c>
      <c r="BA239" s="571" t="str">
        <f t="shared" si="47"/>
        <v/>
      </c>
    </row>
    <row r="240" spans="3:53" ht="14.4" thickBot="1" x14ac:dyDescent="0.3">
      <c r="C240" s="101">
        <v>231</v>
      </c>
      <c r="D240" s="269"/>
      <c r="E240" s="108"/>
      <c r="F240" s="281" t="str">
        <f>IF(D240="","",VLOOKUP(D240,'G-7 WaterC'' Data'!$B$2:$G$8,2,FALSE))</f>
        <v/>
      </c>
      <c r="G240" s="320" t="str">
        <f>IFERROR(VLOOKUP(F240,'G-7 WaterC'' Data'!$C$4:$D$8,2,FALSE),"")</f>
        <v/>
      </c>
      <c r="H240" s="109"/>
      <c r="I240" s="305" t="str">
        <f>IFERROR(INDEX('G-7 WaterC'' Data'!$H$4:$L$8,MATCH(D240,'G-7 WaterC'' Data'!$B$4:$B$8,0),MATCH(H240,'G-7 WaterC'' Data'!$H$3:$L$3,0)),"")</f>
        <v/>
      </c>
      <c r="J240" s="718"/>
      <c r="K240" s="301" t="str">
        <f>IF(J240="","",IF(VLOOKUP(J240,'G-7 WaterC'' Data'!$AK$4:$AM$9,2,FALSE)=0,"Spatial Data Missing ⚠",VLOOKUP(J240,'G-7 WaterC'' Data'!$AK$4:$AM$6,2,FALSE)))</f>
        <v/>
      </c>
      <c r="L240" s="305" t="str">
        <f>IF(J240="","",IF(VLOOKUP(J240,'G-7 WaterC'' Data'!$AK$4:$AM$9,3,FALSE)=0,"Spatial Data Missing ⚠",VLOOKUP(J240,'G-7 WaterC'' Data'!$AK$4:$AM$6,3,FALSE)))</f>
        <v/>
      </c>
      <c r="M240" s="106"/>
      <c r="N240" s="282" t="str">
        <f>IF(M240="","",IF(AND(M240="N/A - Culvert",D240&lt;&gt;"Culvert"),"Not possible ▲",IF(AND(D240="Culvert",M240&lt;&gt;"N/A - Culvert"),"Not possible ▲",IF(VLOOKUP(M240,'G-7 WaterC'' Data'!$AA$4:$AB$7,2,FALSE)=0,"Spatial Data Missing ⚠",VLOOKUP(M240,'G-7 WaterC'' Data'!$AA$4:$AB$7,2,FALSE)))))</f>
        <v/>
      </c>
      <c r="O240" s="56"/>
      <c r="P240" s="282" t="str">
        <f>IF(O240="","",IF(AND(O240="N/A - Culvert",D240&lt;&gt;"Culvert"),"Not possible ▲",IF(AND(D240="Culvert",O240&lt;&gt;"N/A - Culvert"),"Not possible ▲",IF(VLOOKUP(O240,'G-7 WaterC'' Data'!$AD$4:$AE$14,2,FALSE)=0,"Spatial Data Missing ⚠",VLOOKUP(O240,'G-7 WaterC'' Data'!$AD$4:$AE$14,2,FALSE)))))</f>
        <v/>
      </c>
      <c r="Q240" s="288" t="str">
        <f>IF(D240="","",VLOOKUP(D240,'G-7 WaterC'' Data'!$B$4:$G$8,6,FALSE))</f>
        <v/>
      </c>
      <c r="R240" s="295" t="str">
        <f t="shared" si="37"/>
        <v xml:space="preserve"> </v>
      </c>
      <c r="S240" s="403"/>
      <c r="T240" s="287" t="str">
        <f>IF(S240="","",IF(VLOOKUP(S240,'G-7 WaterC'' Data'!$AO$4:$BO$7,2,FALSE)=0,"Spatial Data Missing ⚠",VLOOKUP(S240,'G-7 WaterC'' Data'!$AO$4:$BO$7,2,FALSE)))</f>
        <v/>
      </c>
      <c r="U240" s="295" t="str">
        <f t="shared" si="38"/>
        <v xml:space="preserve"> </v>
      </c>
      <c r="V240" s="710" t="str">
        <f t="shared" si="39"/>
        <v/>
      </c>
      <c r="W240" s="32"/>
      <c r="X240" s="105"/>
      <c r="Y240" s="112"/>
      <c r="Z240" s="293" t="str">
        <f t="shared" si="40"/>
        <v/>
      </c>
      <c r="AA240" s="293" t="str">
        <f t="shared" si="41"/>
        <v/>
      </c>
      <c r="AB240" s="293" t="str">
        <f t="shared" si="42"/>
        <v/>
      </c>
      <c r="AC240" s="507" t="str">
        <f>IFERROR(IF(OR(E240="",R240=""),"", IF(AND(AB240&lt;&gt;"",S240=""), "Spatial risk category missing ▲", IF(AND(Q240='G-7 WaterC'' Data'!$G$4,AD240="Yes"),"Alternative Compensation ✓", IF(AND(AD240="Pending", Q240='G-7 WaterC'' Data'!$G$4),"Bespoke compensation must be agreed ▲", IF((Z240+AA240)&gt;=U240,0, U240-Z240-AA240))))),"Check Data ⚠")</f>
        <v/>
      </c>
      <c r="AD240" s="403"/>
      <c r="AE240" s="109"/>
      <c r="AF240" s="108"/>
      <c r="AG240" s="108"/>
      <c r="AH240" s="108"/>
      <c r="AI240" s="54" t="str">
        <f>IF(OR(Q240="",AD240="Yes"),"",IF(Q240='G-1 All Habitats'!$X$9,E240-Y240-X240,"None"))</f>
        <v/>
      </c>
      <c r="AJ240" s="55" t="str">
        <f>IF(Q240="","", IF(Q240='G-1 All Habitats'!$X$9, AI240*G240*I240*L240*N240*P240,"None"))</f>
        <v/>
      </c>
      <c r="AK240" s="30" t="str">
        <f>IFERROR(INDEX('G-7 WaterC'' Data'!$AZ$3:$AZ$7,MATCH(D240,'G-7 WaterC'' Data'!$AY$3:$AY$7,0)),"")</f>
        <v/>
      </c>
      <c r="AL240" s="30">
        <f t="shared" si="43"/>
        <v>0</v>
      </c>
      <c r="AM240" s="111" t="str">
        <f t="shared" si="44"/>
        <v/>
      </c>
      <c r="AN240" s="111" t="str">
        <f t="shared" si="45"/>
        <v/>
      </c>
      <c r="AP240" s="111">
        <v>231</v>
      </c>
      <c r="AR240" s="111" t="str">
        <f t="array" ref="AR240">IFERROR(INDEX($AP$10:$AP$258, MATCH(0, IF(TRUE=$AM$10:$AM$258, COUNTIF($AR$9:$AR239, $AP$10:$AP$258), ""), 0)),"")</f>
        <v/>
      </c>
      <c r="AS240" s="111" t="str">
        <f t="array" ref="AS240">IFERROR(INDEX($AP$10:$AP$258, MATCH(0, IF(TRUE=$AN$10:$AN$258, COUNTIF($AS$9:$AS239, $AP$10:$AP$258), ""), 0)),"")</f>
        <v/>
      </c>
      <c r="AT240" s="903" t="str">
        <f>IF(AND(OR(AD240="Yes",AD240="Pending"),Q240='G-7 WaterC'' Data'!$G$4),U240-AA240-Z240,"0")</f>
        <v>0</v>
      </c>
      <c r="AU240" s="30" t="str">
        <f>IF(D240="","",VLOOKUP(D240,'G-7 WaterC'' Data'!B$4:M$8,12,FALSE))</f>
        <v/>
      </c>
      <c r="AV240" s="30" t="str">
        <f t="shared" si="36"/>
        <v/>
      </c>
      <c r="AW240" s="30" t="str">
        <f t="shared" si="46"/>
        <v>No</v>
      </c>
      <c r="BA240" s="571" t="str">
        <f t="shared" si="47"/>
        <v/>
      </c>
    </row>
    <row r="241" spans="3:53" ht="14.4" thickBot="1" x14ac:dyDescent="0.3">
      <c r="C241" s="101">
        <v>232</v>
      </c>
      <c r="D241" s="269"/>
      <c r="E241" s="108"/>
      <c r="F241" s="281" t="str">
        <f>IF(D241="","",VLOOKUP(D241,'G-7 WaterC'' Data'!$B$2:$G$8,2,FALSE))</f>
        <v/>
      </c>
      <c r="G241" s="320" t="str">
        <f>IFERROR(VLOOKUP(F241,'G-7 WaterC'' Data'!$C$4:$D$8,2,FALSE),"")</f>
        <v/>
      </c>
      <c r="H241" s="109"/>
      <c r="I241" s="305" t="str">
        <f>IFERROR(INDEX('G-7 WaterC'' Data'!$H$4:$L$8,MATCH(D241,'G-7 WaterC'' Data'!$B$4:$B$8,0),MATCH(H241,'G-7 WaterC'' Data'!$H$3:$L$3,0)),"")</f>
        <v/>
      </c>
      <c r="J241" s="718"/>
      <c r="K241" s="301" t="str">
        <f>IF(J241="","",IF(VLOOKUP(J241,'G-7 WaterC'' Data'!$AK$4:$AM$9,2,FALSE)=0,"Spatial Data Missing ⚠",VLOOKUP(J241,'G-7 WaterC'' Data'!$AK$4:$AM$6,2,FALSE)))</f>
        <v/>
      </c>
      <c r="L241" s="305" t="str">
        <f>IF(J241="","",IF(VLOOKUP(J241,'G-7 WaterC'' Data'!$AK$4:$AM$9,3,FALSE)=0,"Spatial Data Missing ⚠",VLOOKUP(J241,'G-7 WaterC'' Data'!$AK$4:$AM$6,3,FALSE)))</f>
        <v/>
      </c>
      <c r="M241" s="106"/>
      <c r="N241" s="282" t="str">
        <f>IF(M241="","",IF(AND(M241="N/A - Culvert",D241&lt;&gt;"Culvert"),"Not possible ▲",IF(AND(D241="Culvert",M241&lt;&gt;"N/A - Culvert"),"Not possible ▲",IF(VLOOKUP(M241,'G-7 WaterC'' Data'!$AA$4:$AB$7,2,FALSE)=0,"Spatial Data Missing ⚠",VLOOKUP(M241,'G-7 WaterC'' Data'!$AA$4:$AB$7,2,FALSE)))))</f>
        <v/>
      </c>
      <c r="O241" s="56"/>
      <c r="P241" s="282" t="str">
        <f>IF(O241="","",IF(AND(O241="N/A - Culvert",D241&lt;&gt;"Culvert"),"Not possible ▲",IF(AND(D241="Culvert",O241&lt;&gt;"N/A - Culvert"),"Not possible ▲",IF(VLOOKUP(O241,'G-7 WaterC'' Data'!$AD$4:$AE$14,2,FALSE)=0,"Spatial Data Missing ⚠",VLOOKUP(O241,'G-7 WaterC'' Data'!$AD$4:$AE$14,2,FALSE)))))</f>
        <v/>
      </c>
      <c r="Q241" s="288" t="str">
        <f>IF(D241="","",VLOOKUP(D241,'G-7 WaterC'' Data'!$B$4:$G$8,6,FALSE))</f>
        <v/>
      </c>
      <c r="R241" s="295" t="str">
        <f t="shared" si="37"/>
        <v xml:space="preserve"> </v>
      </c>
      <c r="S241" s="403"/>
      <c r="T241" s="287" t="str">
        <f>IF(S241="","",IF(VLOOKUP(S241,'G-7 WaterC'' Data'!$AO$4:$BO$7,2,FALSE)=0,"Spatial Data Missing ⚠",VLOOKUP(S241,'G-7 WaterC'' Data'!$AO$4:$BO$7,2,FALSE)))</f>
        <v/>
      </c>
      <c r="U241" s="295" t="str">
        <f t="shared" si="38"/>
        <v xml:space="preserve"> </v>
      </c>
      <c r="V241" s="710" t="str">
        <f t="shared" si="39"/>
        <v/>
      </c>
      <c r="W241" s="32"/>
      <c r="X241" s="105"/>
      <c r="Y241" s="112"/>
      <c r="Z241" s="293" t="str">
        <f t="shared" si="40"/>
        <v/>
      </c>
      <c r="AA241" s="293" t="str">
        <f t="shared" si="41"/>
        <v/>
      </c>
      <c r="AB241" s="293" t="str">
        <f t="shared" si="42"/>
        <v/>
      </c>
      <c r="AC241" s="507" t="str">
        <f>IFERROR(IF(OR(E241="",R241=""),"", IF(AND(AB241&lt;&gt;"",S241=""), "Spatial risk category missing ▲", IF(AND(Q241='G-7 WaterC'' Data'!$G$4,AD241="Yes"),"Alternative Compensation ✓", IF(AND(AD241="Pending", Q241='G-7 WaterC'' Data'!$G$4),"Bespoke compensation must be agreed ▲", IF((Z241+AA241)&gt;=U241,0, U241-Z241-AA241))))),"Check Data ⚠")</f>
        <v/>
      </c>
      <c r="AD241" s="403"/>
      <c r="AE241" s="109"/>
      <c r="AF241" s="108"/>
      <c r="AG241" s="108"/>
      <c r="AH241" s="108"/>
      <c r="AI241" s="54" t="str">
        <f>IF(OR(Q241="",AD241="Yes"),"",IF(Q241='G-1 All Habitats'!$X$9,E241-Y241-X241,"None"))</f>
        <v/>
      </c>
      <c r="AJ241" s="55" t="str">
        <f>IF(Q241="","", IF(Q241='G-1 All Habitats'!$X$9, AI241*G241*I241*L241*N241*P241,"None"))</f>
        <v/>
      </c>
      <c r="AK241" s="30" t="str">
        <f>IFERROR(INDEX('G-7 WaterC'' Data'!$AZ$3:$AZ$7,MATCH(D241,'G-7 WaterC'' Data'!$AY$3:$AY$7,0)),"")</f>
        <v/>
      </c>
      <c r="AL241" s="30">
        <f t="shared" si="43"/>
        <v>0</v>
      </c>
      <c r="AM241" s="111" t="str">
        <f t="shared" si="44"/>
        <v/>
      </c>
      <c r="AN241" s="111" t="str">
        <f t="shared" si="45"/>
        <v/>
      </c>
      <c r="AP241" s="111">
        <v>232</v>
      </c>
      <c r="AR241" s="111" t="str">
        <f t="array" ref="AR241">IFERROR(INDEX($AP$10:$AP$258, MATCH(0, IF(TRUE=$AM$10:$AM$258, COUNTIF($AR$9:$AR240, $AP$10:$AP$258), ""), 0)),"")</f>
        <v/>
      </c>
      <c r="AS241" s="111" t="str">
        <f t="array" ref="AS241">IFERROR(INDEX($AP$10:$AP$258, MATCH(0, IF(TRUE=$AN$10:$AN$258, COUNTIF($AS$9:$AS240, $AP$10:$AP$258), ""), 0)),"")</f>
        <v/>
      </c>
      <c r="AT241" s="903" t="str">
        <f>IF(AND(OR(AD241="Yes",AD241="Pending"),Q241='G-7 WaterC'' Data'!$G$4),U241-AA241-Z241,"0")</f>
        <v>0</v>
      </c>
      <c r="AU241" s="30" t="str">
        <f>IF(D241="","",VLOOKUP(D241,'G-7 WaterC'' Data'!B$4:M$8,12,FALSE))</f>
        <v/>
      </c>
      <c r="AV241" s="30" t="str">
        <f t="shared" si="36"/>
        <v/>
      </c>
      <c r="AW241" s="30" t="str">
        <f t="shared" si="46"/>
        <v>No</v>
      </c>
      <c r="BA241" s="571" t="str">
        <f t="shared" si="47"/>
        <v/>
      </c>
    </row>
    <row r="242" spans="3:53" ht="14.4" thickBot="1" x14ac:dyDescent="0.3">
      <c r="C242" s="101">
        <v>233</v>
      </c>
      <c r="D242" s="269"/>
      <c r="E242" s="108"/>
      <c r="F242" s="281" t="str">
        <f>IF(D242="","",VLOOKUP(D242,'G-7 WaterC'' Data'!$B$2:$G$8,2,FALSE))</f>
        <v/>
      </c>
      <c r="G242" s="320" t="str">
        <f>IFERROR(VLOOKUP(F242,'G-7 WaterC'' Data'!$C$4:$D$8,2,FALSE),"")</f>
        <v/>
      </c>
      <c r="H242" s="109"/>
      <c r="I242" s="305" t="str">
        <f>IFERROR(INDEX('G-7 WaterC'' Data'!$H$4:$L$8,MATCH(D242,'G-7 WaterC'' Data'!$B$4:$B$8,0),MATCH(H242,'G-7 WaterC'' Data'!$H$3:$L$3,0)),"")</f>
        <v/>
      </c>
      <c r="J242" s="718"/>
      <c r="K242" s="301" t="str">
        <f>IF(J242="","",IF(VLOOKUP(J242,'G-7 WaterC'' Data'!$AK$4:$AM$9,2,FALSE)=0,"Spatial Data Missing ⚠",VLOOKUP(J242,'G-7 WaterC'' Data'!$AK$4:$AM$6,2,FALSE)))</f>
        <v/>
      </c>
      <c r="L242" s="305" t="str">
        <f>IF(J242="","",IF(VLOOKUP(J242,'G-7 WaterC'' Data'!$AK$4:$AM$9,3,FALSE)=0,"Spatial Data Missing ⚠",VLOOKUP(J242,'G-7 WaterC'' Data'!$AK$4:$AM$6,3,FALSE)))</f>
        <v/>
      </c>
      <c r="M242" s="106"/>
      <c r="N242" s="282" t="str">
        <f>IF(M242="","",IF(AND(M242="N/A - Culvert",D242&lt;&gt;"Culvert"),"Not possible ▲",IF(AND(D242="Culvert",M242&lt;&gt;"N/A - Culvert"),"Not possible ▲",IF(VLOOKUP(M242,'G-7 WaterC'' Data'!$AA$4:$AB$7,2,FALSE)=0,"Spatial Data Missing ⚠",VLOOKUP(M242,'G-7 WaterC'' Data'!$AA$4:$AB$7,2,FALSE)))))</f>
        <v/>
      </c>
      <c r="O242" s="56"/>
      <c r="P242" s="282" t="str">
        <f>IF(O242="","",IF(AND(O242="N/A - Culvert",D242&lt;&gt;"Culvert"),"Not possible ▲",IF(AND(D242="Culvert",O242&lt;&gt;"N/A - Culvert"),"Not possible ▲",IF(VLOOKUP(O242,'G-7 WaterC'' Data'!$AD$4:$AE$14,2,FALSE)=0,"Spatial Data Missing ⚠",VLOOKUP(O242,'G-7 WaterC'' Data'!$AD$4:$AE$14,2,FALSE)))))</f>
        <v/>
      </c>
      <c r="Q242" s="288" t="str">
        <f>IF(D242="","",VLOOKUP(D242,'G-7 WaterC'' Data'!$B$4:$G$8,6,FALSE))</f>
        <v/>
      </c>
      <c r="R242" s="295" t="str">
        <f t="shared" si="37"/>
        <v xml:space="preserve"> </v>
      </c>
      <c r="S242" s="403"/>
      <c r="T242" s="287" t="str">
        <f>IF(S242="","",IF(VLOOKUP(S242,'G-7 WaterC'' Data'!$AO$4:$BO$7,2,FALSE)=0,"Spatial Data Missing ⚠",VLOOKUP(S242,'G-7 WaterC'' Data'!$AO$4:$BO$7,2,FALSE)))</f>
        <v/>
      </c>
      <c r="U242" s="295" t="str">
        <f t="shared" si="38"/>
        <v xml:space="preserve"> </v>
      </c>
      <c r="V242" s="710" t="str">
        <f t="shared" si="39"/>
        <v/>
      </c>
      <c r="W242" s="32"/>
      <c r="X242" s="105"/>
      <c r="Y242" s="112"/>
      <c r="Z242" s="293" t="str">
        <f t="shared" si="40"/>
        <v/>
      </c>
      <c r="AA242" s="293" t="str">
        <f t="shared" si="41"/>
        <v/>
      </c>
      <c r="AB242" s="293" t="str">
        <f t="shared" si="42"/>
        <v/>
      </c>
      <c r="AC242" s="507" t="str">
        <f>IFERROR(IF(OR(E242="",R242=""),"", IF(AND(AB242&lt;&gt;"",S242=""), "Spatial risk category missing ▲", IF(AND(Q242='G-7 WaterC'' Data'!$G$4,AD242="Yes"),"Alternative Compensation ✓", IF(AND(AD242="Pending", Q242='G-7 WaterC'' Data'!$G$4),"Bespoke compensation must be agreed ▲", IF((Z242+AA242)&gt;=U242,0, U242-Z242-AA242))))),"Check Data ⚠")</f>
        <v/>
      </c>
      <c r="AD242" s="403"/>
      <c r="AE242" s="109"/>
      <c r="AF242" s="108"/>
      <c r="AG242" s="108"/>
      <c r="AH242" s="108"/>
      <c r="AI242" s="54" t="str">
        <f>IF(OR(Q242="",AD242="Yes"),"",IF(Q242='G-1 All Habitats'!$X$9,E242-Y242-X242,"None"))</f>
        <v/>
      </c>
      <c r="AJ242" s="55" t="str">
        <f>IF(Q242="","", IF(Q242='G-1 All Habitats'!$X$9, AI242*G242*I242*L242*N242*P242,"None"))</f>
        <v/>
      </c>
      <c r="AK242" s="30" t="str">
        <f>IFERROR(INDEX('G-7 WaterC'' Data'!$AZ$3:$AZ$7,MATCH(D242,'G-7 WaterC'' Data'!$AY$3:$AY$7,0)),"")</f>
        <v/>
      </c>
      <c r="AL242" s="30">
        <f t="shared" si="43"/>
        <v>0</v>
      </c>
      <c r="AM242" s="111" t="str">
        <f t="shared" si="44"/>
        <v/>
      </c>
      <c r="AN242" s="111" t="str">
        <f t="shared" si="45"/>
        <v/>
      </c>
      <c r="AP242" s="111">
        <v>233</v>
      </c>
      <c r="AR242" s="111" t="str">
        <f t="array" ref="AR242">IFERROR(INDEX($AP$10:$AP$258, MATCH(0, IF(TRUE=$AM$10:$AM$258, COUNTIF($AR$9:$AR241, $AP$10:$AP$258), ""), 0)),"")</f>
        <v/>
      </c>
      <c r="AS242" s="111" t="str">
        <f t="array" ref="AS242">IFERROR(INDEX($AP$10:$AP$258, MATCH(0, IF(TRUE=$AN$10:$AN$258, COUNTIF($AS$9:$AS241, $AP$10:$AP$258), ""), 0)),"")</f>
        <v/>
      </c>
      <c r="AT242" s="903" t="str">
        <f>IF(AND(OR(AD242="Yes",AD242="Pending"),Q242='G-7 WaterC'' Data'!$G$4),U242-AA242-Z242,"0")</f>
        <v>0</v>
      </c>
      <c r="AU242" s="30" t="str">
        <f>IF(D242="","",VLOOKUP(D242,'G-7 WaterC'' Data'!B$4:M$8,12,FALSE))</f>
        <v/>
      </c>
      <c r="AV242" s="30" t="str">
        <f t="shared" si="36"/>
        <v/>
      </c>
      <c r="AW242" s="30" t="str">
        <f t="shared" si="46"/>
        <v>No</v>
      </c>
      <c r="BA242" s="571" t="str">
        <f t="shared" si="47"/>
        <v/>
      </c>
    </row>
    <row r="243" spans="3:53" ht="14.4" thickBot="1" x14ac:dyDescent="0.3">
      <c r="C243" s="101">
        <v>234</v>
      </c>
      <c r="D243" s="269"/>
      <c r="E243" s="108"/>
      <c r="F243" s="281" t="str">
        <f>IF(D243="","",VLOOKUP(D243,'G-7 WaterC'' Data'!$B$2:$G$8,2,FALSE))</f>
        <v/>
      </c>
      <c r="G243" s="320" t="str">
        <f>IFERROR(VLOOKUP(F243,'G-7 WaterC'' Data'!$C$4:$D$8,2,FALSE),"")</f>
        <v/>
      </c>
      <c r="H243" s="109"/>
      <c r="I243" s="305" t="str">
        <f>IFERROR(INDEX('G-7 WaterC'' Data'!$H$4:$L$8,MATCH(D243,'G-7 WaterC'' Data'!$B$4:$B$8,0),MATCH(H243,'G-7 WaterC'' Data'!$H$3:$L$3,0)),"")</f>
        <v/>
      </c>
      <c r="J243" s="718"/>
      <c r="K243" s="301" t="str">
        <f>IF(J243="","",IF(VLOOKUP(J243,'G-7 WaterC'' Data'!$AK$4:$AM$9,2,FALSE)=0,"Spatial Data Missing ⚠",VLOOKUP(J243,'G-7 WaterC'' Data'!$AK$4:$AM$6,2,FALSE)))</f>
        <v/>
      </c>
      <c r="L243" s="305" t="str">
        <f>IF(J243="","",IF(VLOOKUP(J243,'G-7 WaterC'' Data'!$AK$4:$AM$9,3,FALSE)=0,"Spatial Data Missing ⚠",VLOOKUP(J243,'G-7 WaterC'' Data'!$AK$4:$AM$6,3,FALSE)))</f>
        <v/>
      </c>
      <c r="M243" s="106"/>
      <c r="N243" s="282" t="str">
        <f>IF(M243="","",IF(AND(M243="N/A - Culvert",D243&lt;&gt;"Culvert"),"Not possible ▲",IF(AND(D243="Culvert",M243&lt;&gt;"N/A - Culvert"),"Not possible ▲",IF(VLOOKUP(M243,'G-7 WaterC'' Data'!$AA$4:$AB$7,2,FALSE)=0,"Spatial Data Missing ⚠",VLOOKUP(M243,'G-7 WaterC'' Data'!$AA$4:$AB$7,2,FALSE)))))</f>
        <v/>
      </c>
      <c r="O243" s="56"/>
      <c r="P243" s="282" t="str">
        <f>IF(O243="","",IF(AND(O243="N/A - Culvert",D243&lt;&gt;"Culvert"),"Not possible ▲",IF(AND(D243="Culvert",O243&lt;&gt;"N/A - Culvert"),"Not possible ▲",IF(VLOOKUP(O243,'G-7 WaterC'' Data'!$AD$4:$AE$14,2,FALSE)=0,"Spatial Data Missing ⚠",VLOOKUP(O243,'G-7 WaterC'' Data'!$AD$4:$AE$14,2,FALSE)))))</f>
        <v/>
      </c>
      <c r="Q243" s="288" t="str">
        <f>IF(D243="","",VLOOKUP(D243,'G-7 WaterC'' Data'!$B$4:$G$8,6,FALSE))</f>
        <v/>
      </c>
      <c r="R243" s="295" t="str">
        <f t="shared" si="37"/>
        <v xml:space="preserve"> </v>
      </c>
      <c r="S243" s="403"/>
      <c r="T243" s="287" t="str">
        <f>IF(S243="","",IF(VLOOKUP(S243,'G-7 WaterC'' Data'!$AO$4:$BO$7,2,FALSE)=0,"Spatial Data Missing ⚠",VLOOKUP(S243,'G-7 WaterC'' Data'!$AO$4:$BO$7,2,FALSE)))</f>
        <v/>
      </c>
      <c r="U243" s="295" t="str">
        <f t="shared" si="38"/>
        <v xml:space="preserve"> </v>
      </c>
      <c r="V243" s="710" t="str">
        <f t="shared" si="39"/>
        <v/>
      </c>
      <c r="W243" s="32"/>
      <c r="X243" s="105"/>
      <c r="Y243" s="112"/>
      <c r="Z243" s="293" t="str">
        <f t="shared" si="40"/>
        <v/>
      </c>
      <c r="AA243" s="293" t="str">
        <f t="shared" si="41"/>
        <v/>
      </c>
      <c r="AB243" s="293" t="str">
        <f t="shared" si="42"/>
        <v/>
      </c>
      <c r="AC243" s="507" t="str">
        <f>IFERROR(IF(OR(E243="",R243=""),"", IF(AND(AB243&lt;&gt;"",S243=""), "Spatial risk category missing ▲", IF(AND(Q243='G-7 WaterC'' Data'!$G$4,AD243="Yes"),"Alternative Compensation ✓", IF(AND(AD243="Pending", Q243='G-7 WaterC'' Data'!$G$4),"Bespoke compensation must be agreed ▲", IF((Z243+AA243)&gt;=U243,0, U243-Z243-AA243))))),"Check Data ⚠")</f>
        <v/>
      </c>
      <c r="AD243" s="403"/>
      <c r="AE243" s="109"/>
      <c r="AF243" s="108"/>
      <c r="AG243" s="108"/>
      <c r="AH243" s="108"/>
      <c r="AI243" s="54" t="str">
        <f>IF(OR(Q243="",AD243="Yes"),"",IF(Q243='G-1 All Habitats'!$X$9,E243-Y243-X243,"None"))</f>
        <v/>
      </c>
      <c r="AJ243" s="55" t="str">
        <f>IF(Q243="","", IF(Q243='G-1 All Habitats'!$X$9, AI243*G243*I243*L243*N243*P243,"None"))</f>
        <v/>
      </c>
      <c r="AK243" s="30" t="str">
        <f>IFERROR(INDEX('G-7 WaterC'' Data'!$AZ$3:$AZ$7,MATCH(D243,'G-7 WaterC'' Data'!$AY$3:$AY$7,0)),"")</f>
        <v/>
      </c>
      <c r="AL243" s="30">
        <f t="shared" si="43"/>
        <v>0</v>
      </c>
      <c r="AM243" s="111" t="str">
        <f t="shared" si="44"/>
        <v/>
      </c>
      <c r="AN243" s="111" t="str">
        <f t="shared" si="45"/>
        <v/>
      </c>
      <c r="AP243" s="111">
        <v>234</v>
      </c>
      <c r="AR243" s="111" t="str">
        <f t="array" ref="AR243">IFERROR(INDEX($AP$10:$AP$258, MATCH(0, IF(TRUE=$AM$10:$AM$258, COUNTIF($AR$9:$AR242, $AP$10:$AP$258), ""), 0)),"")</f>
        <v/>
      </c>
      <c r="AS243" s="111" t="str">
        <f t="array" ref="AS243">IFERROR(INDEX($AP$10:$AP$258, MATCH(0, IF(TRUE=$AN$10:$AN$258, COUNTIF($AS$9:$AS242, $AP$10:$AP$258), ""), 0)),"")</f>
        <v/>
      </c>
      <c r="AT243" s="903" t="str">
        <f>IF(AND(OR(AD243="Yes",AD243="Pending"),Q243='G-7 WaterC'' Data'!$G$4),U243-AA243-Z243,"0")</f>
        <v>0</v>
      </c>
      <c r="AU243" s="30" t="str">
        <f>IF(D243="","",VLOOKUP(D243,'G-7 WaterC'' Data'!B$4:M$8,12,FALSE))</f>
        <v/>
      </c>
      <c r="AV243" s="30" t="str">
        <f t="shared" si="36"/>
        <v/>
      </c>
      <c r="AW243" s="30" t="str">
        <f t="shared" si="46"/>
        <v>No</v>
      </c>
      <c r="BA243" s="571" t="str">
        <f t="shared" si="47"/>
        <v/>
      </c>
    </row>
    <row r="244" spans="3:53" ht="14.4" thickBot="1" x14ac:dyDescent="0.3">
      <c r="C244" s="101">
        <v>235</v>
      </c>
      <c r="D244" s="269"/>
      <c r="E244" s="108"/>
      <c r="F244" s="281" t="str">
        <f>IF(D244="","",VLOOKUP(D244,'G-7 WaterC'' Data'!$B$2:$G$8,2,FALSE))</f>
        <v/>
      </c>
      <c r="G244" s="320" t="str">
        <f>IFERROR(VLOOKUP(F244,'G-7 WaterC'' Data'!$C$4:$D$8,2,FALSE),"")</f>
        <v/>
      </c>
      <c r="H244" s="109"/>
      <c r="I244" s="305" t="str">
        <f>IFERROR(INDEX('G-7 WaterC'' Data'!$H$4:$L$8,MATCH(D244,'G-7 WaterC'' Data'!$B$4:$B$8,0),MATCH(H244,'G-7 WaterC'' Data'!$H$3:$L$3,0)),"")</f>
        <v/>
      </c>
      <c r="J244" s="718"/>
      <c r="K244" s="301" t="str">
        <f>IF(J244="","",IF(VLOOKUP(J244,'G-7 WaterC'' Data'!$AK$4:$AM$9,2,FALSE)=0,"Spatial Data Missing ⚠",VLOOKUP(J244,'G-7 WaterC'' Data'!$AK$4:$AM$6,2,FALSE)))</f>
        <v/>
      </c>
      <c r="L244" s="305" t="str">
        <f>IF(J244="","",IF(VLOOKUP(J244,'G-7 WaterC'' Data'!$AK$4:$AM$9,3,FALSE)=0,"Spatial Data Missing ⚠",VLOOKUP(J244,'G-7 WaterC'' Data'!$AK$4:$AM$6,3,FALSE)))</f>
        <v/>
      </c>
      <c r="M244" s="106"/>
      <c r="N244" s="282" t="str">
        <f>IF(M244="","",IF(AND(M244="N/A - Culvert",D244&lt;&gt;"Culvert"),"Not possible ▲",IF(AND(D244="Culvert",M244&lt;&gt;"N/A - Culvert"),"Not possible ▲",IF(VLOOKUP(M244,'G-7 WaterC'' Data'!$AA$4:$AB$7,2,FALSE)=0,"Spatial Data Missing ⚠",VLOOKUP(M244,'G-7 WaterC'' Data'!$AA$4:$AB$7,2,FALSE)))))</f>
        <v/>
      </c>
      <c r="O244" s="56"/>
      <c r="P244" s="282" t="str">
        <f>IF(O244="","",IF(AND(O244="N/A - Culvert",D244&lt;&gt;"Culvert"),"Not possible ▲",IF(AND(D244="Culvert",O244&lt;&gt;"N/A - Culvert"),"Not possible ▲",IF(VLOOKUP(O244,'G-7 WaterC'' Data'!$AD$4:$AE$14,2,FALSE)=0,"Spatial Data Missing ⚠",VLOOKUP(O244,'G-7 WaterC'' Data'!$AD$4:$AE$14,2,FALSE)))))</f>
        <v/>
      </c>
      <c r="Q244" s="288" t="str">
        <f>IF(D244="","",VLOOKUP(D244,'G-7 WaterC'' Data'!$B$4:$G$8,6,FALSE))</f>
        <v/>
      </c>
      <c r="R244" s="295" t="str">
        <f t="shared" si="37"/>
        <v xml:space="preserve"> </v>
      </c>
      <c r="S244" s="403"/>
      <c r="T244" s="287" t="str">
        <f>IF(S244="","",IF(VLOOKUP(S244,'G-7 WaterC'' Data'!$AO$4:$BO$7,2,FALSE)=0,"Spatial Data Missing ⚠",VLOOKUP(S244,'G-7 WaterC'' Data'!$AO$4:$BO$7,2,FALSE)))</f>
        <v/>
      </c>
      <c r="U244" s="295" t="str">
        <f t="shared" si="38"/>
        <v xml:space="preserve"> </v>
      </c>
      <c r="V244" s="710" t="str">
        <f t="shared" si="39"/>
        <v/>
      </c>
      <c r="W244" s="32"/>
      <c r="X244" s="105"/>
      <c r="Y244" s="112"/>
      <c r="Z244" s="293" t="str">
        <f t="shared" si="40"/>
        <v/>
      </c>
      <c r="AA244" s="293" t="str">
        <f t="shared" si="41"/>
        <v/>
      </c>
      <c r="AB244" s="293" t="str">
        <f t="shared" si="42"/>
        <v/>
      </c>
      <c r="AC244" s="507" t="str">
        <f>IFERROR(IF(OR(E244="",R244=""),"", IF(AND(AB244&lt;&gt;"",S244=""), "Spatial risk category missing ▲", IF(AND(Q244='G-7 WaterC'' Data'!$G$4,AD244="Yes"),"Alternative Compensation ✓", IF(AND(AD244="Pending", Q244='G-7 WaterC'' Data'!$G$4),"Bespoke compensation must be agreed ▲", IF((Z244+AA244)&gt;=U244,0, U244-Z244-AA244))))),"Check Data ⚠")</f>
        <v/>
      </c>
      <c r="AD244" s="403"/>
      <c r="AE244" s="109"/>
      <c r="AF244" s="108"/>
      <c r="AG244" s="108"/>
      <c r="AH244" s="108"/>
      <c r="AI244" s="54" t="str">
        <f>IF(OR(Q244="",AD244="Yes"),"",IF(Q244='G-1 All Habitats'!$X$9,E244-Y244-X244,"None"))</f>
        <v/>
      </c>
      <c r="AJ244" s="55" t="str">
        <f>IF(Q244="","", IF(Q244='G-1 All Habitats'!$X$9, AI244*G244*I244*L244*N244*P244,"None"))</f>
        <v/>
      </c>
      <c r="AK244" s="30" t="str">
        <f>IFERROR(INDEX('G-7 WaterC'' Data'!$AZ$3:$AZ$7,MATCH(D244,'G-7 WaterC'' Data'!$AY$3:$AY$7,0)),"")</f>
        <v/>
      </c>
      <c r="AL244" s="30">
        <f t="shared" si="43"/>
        <v>0</v>
      </c>
      <c r="AM244" s="111" t="str">
        <f t="shared" si="44"/>
        <v/>
      </c>
      <c r="AN244" s="111" t="str">
        <f t="shared" si="45"/>
        <v/>
      </c>
      <c r="AP244" s="111">
        <v>235</v>
      </c>
      <c r="AR244" s="111" t="str">
        <f t="array" ref="AR244">IFERROR(INDEX($AP$10:$AP$258, MATCH(0, IF(TRUE=$AM$10:$AM$258, COUNTIF($AR$9:$AR243, $AP$10:$AP$258), ""), 0)),"")</f>
        <v/>
      </c>
      <c r="AS244" s="111" t="str">
        <f t="array" ref="AS244">IFERROR(INDEX($AP$10:$AP$258, MATCH(0, IF(TRUE=$AN$10:$AN$258, COUNTIF($AS$9:$AS243, $AP$10:$AP$258), ""), 0)),"")</f>
        <v/>
      </c>
      <c r="AT244" s="903" t="str">
        <f>IF(AND(OR(AD244="Yes",AD244="Pending"),Q244='G-7 WaterC'' Data'!$G$4),U244-AA244-Z244,"0")</f>
        <v>0</v>
      </c>
      <c r="AU244" s="30" t="str">
        <f>IF(D244="","",VLOOKUP(D244,'G-7 WaterC'' Data'!B$4:M$8,12,FALSE))</f>
        <v/>
      </c>
      <c r="AV244" s="30" t="str">
        <f t="shared" si="36"/>
        <v/>
      </c>
      <c r="AW244" s="30" t="str">
        <f t="shared" si="46"/>
        <v>No</v>
      </c>
      <c r="BA244" s="571" t="str">
        <f t="shared" si="47"/>
        <v/>
      </c>
    </row>
    <row r="245" spans="3:53" ht="14.4" thickBot="1" x14ac:dyDescent="0.3">
      <c r="C245" s="101">
        <v>236</v>
      </c>
      <c r="D245" s="269"/>
      <c r="E245" s="108"/>
      <c r="F245" s="281" t="str">
        <f>IF(D245="","",VLOOKUP(D245,'G-7 WaterC'' Data'!$B$2:$G$8,2,FALSE))</f>
        <v/>
      </c>
      <c r="G245" s="320" t="str">
        <f>IFERROR(VLOOKUP(F245,'G-7 WaterC'' Data'!$C$4:$D$8,2,FALSE),"")</f>
        <v/>
      </c>
      <c r="H245" s="109"/>
      <c r="I245" s="305" t="str">
        <f>IFERROR(INDEX('G-7 WaterC'' Data'!$H$4:$L$8,MATCH(D245,'G-7 WaterC'' Data'!$B$4:$B$8,0),MATCH(H245,'G-7 WaterC'' Data'!$H$3:$L$3,0)),"")</f>
        <v/>
      </c>
      <c r="J245" s="718"/>
      <c r="K245" s="301" t="str">
        <f>IF(J245="","",IF(VLOOKUP(J245,'G-7 WaterC'' Data'!$AK$4:$AM$9,2,FALSE)=0,"Spatial Data Missing ⚠",VLOOKUP(J245,'G-7 WaterC'' Data'!$AK$4:$AM$6,2,FALSE)))</f>
        <v/>
      </c>
      <c r="L245" s="305" t="str">
        <f>IF(J245="","",IF(VLOOKUP(J245,'G-7 WaterC'' Data'!$AK$4:$AM$9,3,FALSE)=0,"Spatial Data Missing ⚠",VLOOKUP(J245,'G-7 WaterC'' Data'!$AK$4:$AM$6,3,FALSE)))</f>
        <v/>
      </c>
      <c r="M245" s="106"/>
      <c r="N245" s="282" t="str">
        <f>IF(M245="","",IF(AND(M245="N/A - Culvert",D245&lt;&gt;"Culvert"),"Not possible ▲",IF(AND(D245="Culvert",M245&lt;&gt;"N/A - Culvert"),"Not possible ▲",IF(VLOOKUP(M245,'G-7 WaterC'' Data'!$AA$4:$AB$7,2,FALSE)=0,"Spatial Data Missing ⚠",VLOOKUP(M245,'G-7 WaterC'' Data'!$AA$4:$AB$7,2,FALSE)))))</f>
        <v/>
      </c>
      <c r="O245" s="56"/>
      <c r="P245" s="282" t="str">
        <f>IF(O245="","",IF(AND(O245="N/A - Culvert",D245&lt;&gt;"Culvert"),"Not possible ▲",IF(AND(D245="Culvert",O245&lt;&gt;"N/A - Culvert"),"Not possible ▲",IF(VLOOKUP(O245,'G-7 WaterC'' Data'!$AD$4:$AE$14,2,FALSE)=0,"Spatial Data Missing ⚠",VLOOKUP(O245,'G-7 WaterC'' Data'!$AD$4:$AE$14,2,FALSE)))))</f>
        <v/>
      </c>
      <c r="Q245" s="288" t="str">
        <f>IF(D245="","",VLOOKUP(D245,'G-7 WaterC'' Data'!$B$4:$G$8,6,FALSE))</f>
        <v/>
      </c>
      <c r="R245" s="295" t="str">
        <f t="shared" si="37"/>
        <v xml:space="preserve"> </v>
      </c>
      <c r="S245" s="403"/>
      <c r="T245" s="287" t="str">
        <f>IF(S245="","",IF(VLOOKUP(S245,'G-7 WaterC'' Data'!$AO$4:$BO$7,2,FALSE)=0,"Spatial Data Missing ⚠",VLOOKUP(S245,'G-7 WaterC'' Data'!$AO$4:$BO$7,2,FALSE)))</f>
        <v/>
      </c>
      <c r="U245" s="295" t="str">
        <f t="shared" si="38"/>
        <v xml:space="preserve"> </v>
      </c>
      <c r="V245" s="710" t="str">
        <f t="shared" si="39"/>
        <v/>
      </c>
      <c r="W245" s="32"/>
      <c r="X245" s="105"/>
      <c r="Y245" s="112"/>
      <c r="Z245" s="293" t="str">
        <f t="shared" si="40"/>
        <v/>
      </c>
      <c r="AA245" s="293" t="str">
        <f t="shared" si="41"/>
        <v/>
      </c>
      <c r="AB245" s="293" t="str">
        <f t="shared" si="42"/>
        <v/>
      </c>
      <c r="AC245" s="507" t="str">
        <f>IFERROR(IF(OR(E245="",R245=""),"", IF(AND(AB245&lt;&gt;"",S245=""), "Spatial risk category missing ▲", IF(AND(Q245='G-7 WaterC'' Data'!$G$4,AD245="Yes"),"Alternative Compensation ✓", IF(AND(AD245="Pending", Q245='G-7 WaterC'' Data'!$G$4),"Bespoke compensation must be agreed ▲", IF((Z245+AA245)&gt;=U245,0, U245-Z245-AA245))))),"Check Data ⚠")</f>
        <v/>
      </c>
      <c r="AD245" s="403"/>
      <c r="AE245" s="109"/>
      <c r="AF245" s="108"/>
      <c r="AG245" s="108"/>
      <c r="AH245" s="108"/>
      <c r="AI245" s="54" t="str">
        <f>IF(OR(Q245="",AD245="Yes"),"",IF(Q245='G-1 All Habitats'!$X$9,E245-Y245-X245,"None"))</f>
        <v/>
      </c>
      <c r="AJ245" s="55" t="str">
        <f>IF(Q245="","", IF(Q245='G-1 All Habitats'!$X$9, AI245*G245*I245*L245*N245*P245,"None"))</f>
        <v/>
      </c>
      <c r="AK245" s="30" t="str">
        <f>IFERROR(INDEX('G-7 WaterC'' Data'!$AZ$3:$AZ$7,MATCH(D245,'G-7 WaterC'' Data'!$AY$3:$AY$7,0)),"")</f>
        <v/>
      </c>
      <c r="AL245" s="30">
        <f t="shared" si="43"/>
        <v>0</v>
      </c>
      <c r="AM245" s="99" t="str">
        <f t="shared" si="44"/>
        <v/>
      </c>
      <c r="AN245" s="99" t="str">
        <f t="shared" si="45"/>
        <v/>
      </c>
      <c r="AO245" s="100"/>
      <c r="AP245" s="99">
        <v>236</v>
      </c>
      <c r="AQ245" s="100"/>
      <c r="AR245" s="99" t="str">
        <f t="array" ref="AR245">IFERROR(INDEX($AP$10:$AP$258, MATCH(0, IF(TRUE=$AM$10:$AM$258, COUNTIF($AR$9:$AR244, $AP$10:$AP$258), ""), 0)),"")</f>
        <v/>
      </c>
      <c r="AS245" s="99" t="str">
        <f t="array" ref="AS245">IFERROR(INDEX($AP$10:$AP$258, MATCH(0, IF(TRUE=$AN$10:$AN$258, COUNTIF($AS$9:$AS244, $AP$10:$AP$258), ""), 0)),"")</f>
        <v/>
      </c>
      <c r="AT245" s="903" t="str">
        <f>IF(AND(OR(AD245="Yes",AD245="Pending"),Q245='G-7 WaterC'' Data'!$G$4),U245-AA245-Z245,"0")</f>
        <v>0</v>
      </c>
      <c r="AU245" s="30" t="str">
        <f>IF(D245="","",VLOOKUP(D245,'G-7 WaterC'' Data'!B$4:M$8,12,FALSE))</f>
        <v/>
      </c>
      <c r="AV245" s="30" t="str">
        <f t="shared" si="36"/>
        <v/>
      </c>
      <c r="AW245" s="30" t="str">
        <f t="shared" si="46"/>
        <v>No</v>
      </c>
      <c r="BA245" s="571" t="str">
        <f t="shared" si="47"/>
        <v/>
      </c>
    </row>
    <row r="246" spans="3:53" ht="14.4" thickBot="1" x14ac:dyDescent="0.3">
      <c r="C246" s="101">
        <v>237</v>
      </c>
      <c r="D246" s="269"/>
      <c r="E246" s="108"/>
      <c r="F246" s="281" t="str">
        <f>IF(D246="","",VLOOKUP(D246,'G-7 WaterC'' Data'!$B$2:$G$8,2,FALSE))</f>
        <v/>
      </c>
      <c r="G246" s="320" t="str">
        <f>IFERROR(VLOOKUP(F246,'G-7 WaterC'' Data'!$C$4:$D$8,2,FALSE),"")</f>
        <v/>
      </c>
      <c r="H246" s="109"/>
      <c r="I246" s="305" t="str">
        <f>IFERROR(INDEX('G-7 WaterC'' Data'!$H$4:$L$8,MATCH(D246,'G-7 WaterC'' Data'!$B$4:$B$8,0),MATCH(H246,'G-7 WaterC'' Data'!$H$3:$L$3,0)),"")</f>
        <v/>
      </c>
      <c r="J246" s="718"/>
      <c r="K246" s="301" t="str">
        <f>IF(J246="","",IF(VLOOKUP(J246,'G-7 WaterC'' Data'!$AK$4:$AM$9,2,FALSE)=0,"Spatial Data Missing ⚠",VLOOKUP(J246,'G-7 WaterC'' Data'!$AK$4:$AM$6,2,FALSE)))</f>
        <v/>
      </c>
      <c r="L246" s="305" t="str">
        <f>IF(J246="","",IF(VLOOKUP(J246,'G-7 WaterC'' Data'!$AK$4:$AM$9,3,FALSE)=0,"Spatial Data Missing ⚠",VLOOKUP(J246,'G-7 WaterC'' Data'!$AK$4:$AM$6,3,FALSE)))</f>
        <v/>
      </c>
      <c r="M246" s="106"/>
      <c r="N246" s="282" t="str">
        <f>IF(M246="","",IF(AND(M246="N/A - Culvert",D246&lt;&gt;"Culvert"),"Not possible ▲",IF(AND(D246="Culvert",M246&lt;&gt;"N/A - Culvert"),"Not possible ▲",IF(VLOOKUP(M246,'G-7 WaterC'' Data'!$AA$4:$AB$7,2,FALSE)=0,"Spatial Data Missing ⚠",VLOOKUP(M246,'G-7 WaterC'' Data'!$AA$4:$AB$7,2,FALSE)))))</f>
        <v/>
      </c>
      <c r="O246" s="56"/>
      <c r="P246" s="282" t="str">
        <f>IF(O246="","",IF(AND(O246="N/A - Culvert",D246&lt;&gt;"Culvert"),"Not possible ▲",IF(AND(D246="Culvert",O246&lt;&gt;"N/A - Culvert"),"Not possible ▲",IF(VLOOKUP(O246,'G-7 WaterC'' Data'!$AD$4:$AE$14,2,FALSE)=0,"Spatial Data Missing ⚠",VLOOKUP(O246,'G-7 WaterC'' Data'!$AD$4:$AE$14,2,FALSE)))))</f>
        <v/>
      </c>
      <c r="Q246" s="288" t="str">
        <f>IF(D246="","",VLOOKUP(D246,'G-7 WaterC'' Data'!$B$4:$G$8,6,FALSE))</f>
        <v/>
      </c>
      <c r="R246" s="295" t="str">
        <f t="shared" si="37"/>
        <v xml:space="preserve"> </v>
      </c>
      <c r="S246" s="403"/>
      <c r="T246" s="287" t="str">
        <f>IF(S246="","",IF(VLOOKUP(S246,'G-7 WaterC'' Data'!$AO$4:$BO$7,2,FALSE)=0,"Spatial Data Missing ⚠",VLOOKUP(S246,'G-7 WaterC'' Data'!$AO$4:$BO$7,2,FALSE)))</f>
        <v/>
      </c>
      <c r="U246" s="295" t="str">
        <f t="shared" si="38"/>
        <v xml:space="preserve"> </v>
      </c>
      <c r="V246" s="710" t="str">
        <f t="shared" si="39"/>
        <v/>
      </c>
      <c r="W246" s="32"/>
      <c r="X246" s="105"/>
      <c r="Y246" s="112"/>
      <c r="Z246" s="293" t="str">
        <f t="shared" si="40"/>
        <v/>
      </c>
      <c r="AA246" s="293" t="str">
        <f t="shared" si="41"/>
        <v/>
      </c>
      <c r="AB246" s="293" t="str">
        <f t="shared" si="42"/>
        <v/>
      </c>
      <c r="AC246" s="507" t="str">
        <f>IFERROR(IF(OR(E246="",R246=""),"", IF(AND(AB246&lt;&gt;"",S246=""), "Spatial risk category missing ▲", IF(AND(Q246='G-7 WaterC'' Data'!$G$4,AD246="Yes"),"Alternative Compensation ✓", IF(AND(AD246="Pending", Q246='G-7 WaterC'' Data'!$G$4),"Bespoke compensation must be agreed ▲", IF((Z246+AA246)&gt;=U246,0, U246-Z246-AA246))))),"Check Data ⚠")</f>
        <v/>
      </c>
      <c r="AD246" s="403"/>
      <c r="AE246" s="109"/>
      <c r="AF246" s="108"/>
      <c r="AG246" s="108"/>
      <c r="AH246" s="108"/>
      <c r="AI246" s="54" t="str">
        <f>IF(OR(Q246="",AD246="Yes"),"",IF(Q246='G-1 All Habitats'!$X$9,E246-Y246-X246,"None"))</f>
        <v/>
      </c>
      <c r="AJ246" s="55" t="str">
        <f>IF(Q246="","", IF(Q246='G-1 All Habitats'!$X$9, AI246*G246*I246*L246*N246*P246,"None"))</f>
        <v/>
      </c>
      <c r="AK246" s="30" t="str">
        <f>IFERROR(INDEX('G-7 WaterC'' Data'!$AZ$3:$AZ$7,MATCH(D246,'G-7 WaterC'' Data'!$AY$3:$AY$7,0)),"")</f>
        <v/>
      </c>
      <c r="AL246" s="30">
        <f t="shared" si="43"/>
        <v>0</v>
      </c>
      <c r="AM246" s="99" t="str">
        <f t="shared" si="44"/>
        <v/>
      </c>
      <c r="AN246" s="99" t="str">
        <f t="shared" si="45"/>
        <v/>
      </c>
      <c r="AO246" s="100"/>
      <c r="AP246" s="99">
        <v>237</v>
      </c>
      <c r="AQ246" s="100"/>
      <c r="AR246" s="99" t="str">
        <f t="array" ref="AR246">IFERROR(INDEX($AP$10:$AP$258, MATCH(0, IF(TRUE=$AM$10:$AM$258, COUNTIF($AR$9:$AR245, $AP$10:$AP$258), ""), 0)),"")</f>
        <v/>
      </c>
      <c r="AS246" s="99" t="str">
        <f t="array" ref="AS246">IFERROR(INDEX($AP$10:$AP$258, MATCH(0, IF(TRUE=$AN$10:$AN$258, COUNTIF($AS$9:$AS245, $AP$10:$AP$258), ""), 0)),"")</f>
        <v/>
      </c>
      <c r="AT246" s="903" t="str">
        <f>IF(AND(OR(AD246="Yes",AD246="Pending"),Q246='G-7 WaterC'' Data'!$G$4),U246-AA246-Z246,"0")</f>
        <v>0</v>
      </c>
      <c r="AU246" s="30" t="str">
        <f>IF(D246="","",VLOOKUP(D246,'G-7 WaterC'' Data'!B$4:M$8,12,FALSE))</f>
        <v/>
      </c>
      <c r="AV246" s="30" t="str">
        <f t="shared" si="36"/>
        <v/>
      </c>
      <c r="AW246" s="30" t="str">
        <f t="shared" si="46"/>
        <v>No</v>
      </c>
      <c r="BA246" s="571" t="str">
        <f t="shared" si="47"/>
        <v/>
      </c>
    </row>
    <row r="247" spans="3:53" ht="14.4" thickBot="1" x14ac:dyDescent="0.3">
      <c r="C247" s="101">
        <v>238</v>
      </c>
      <c r="D247" s="269"/>
      <c r="E247" s="108"/>
      <c r="F247" s="281" t="str">
        <f>IF(D247="","",VLOOKUP(D247,'G-7 WaterC'' Data'!$B$2:$G$8,2,FALSE))</f>
        <v/>
      </c>
      <c r="G247" s="320" t="str">
        <f>IFERROR(VLOOKUP(F247,'G-7 WaterC'' Data'!$C$4:$D$8,2,FALSE),"")</f>
        <v/>
      </c>
      <c r="H247" s="109"/>
      <c r="I247" s="305" t="str">
        <f>IFERROR(INDEX('G-7 WaterC'' Data'!$H$4:$L$8,MATCH(D247,'G-7 WaterC'' Data'!$B$4:$B$8,0),MATCH(H247,'G-7 WaterC'' Data'!$H$3:$L$3,0)),"")</f>
        <v/>
      </c>
      <c r="J247" s="718"/>
      <c r="K247" s="301" t="str">
        <f>IF(J247="","",IF(VLOOKUP(J247,'G-7 WaterC'' Data'!$AK$4:$AM$9,2,FALSE)=0,"Spatial Data Missing ⚠",VLOOKUP(J247,'G-7 WaterC'' Data'!$AK$4:$AM$6,2,FALSE)))</f>
        <v/>
      </c>
      <c r="L247" s="305" t="str">
        <f>IF(J247="","",IF(VLOOKUP(J247,'G-7 WaterC'' Data'!$AK$4:$AM$9,3,FALSE)=0,"Spatial Data Missing ⚠",VLOOKUP(J247,'G-7 WaterC'' Data'!$AK$4:$AM$6,3,FALSE)))</f>
        <v/>
      </c>
      <c r="M247" s="106"/>
      <c r="N247" s="282" t="str">
        <f>IF(M247="","",IF(AND(M247="N/A - Culvert",D247&lt;&gt;"Culvert"),"Not possible ▲",IF(AND(D247="Culvert",M247&lt;&gt;"N/A - Culvert"),"Not possible ▲",IF(VLOOKUP(M247,'G-7 WaterC'' Data'!$AA$4:$AB$7,2,FALSE)=0,"Spatial Data Missing ⚠",VLOOKUP(M247,'G-7 WaterC'' Data'!$AA$4:$AB$7,2,FALSE)))))</f>
        <v/>
      </c>
      <c r="O247" s="56"/>
      <c r="P247" s="282" t="str">
        <f>IF(O247="","",IF(AND(O247="N/A - Culvert",D247&lt;&gt;"Culvert"),"Not possible ▲",IF(AND(D247="Culvert",O247&lt;&gt;"N/A - Culvert"),"Not possible ▲",IF(VLOOKUP(O247,'G-7 WaterC'' Data'!$AD$4:$AE$14,2,FALSE)=0,"Spatial Data Missing ⚠",VLOOKUP(O247,'G-7 WaterC'' Data'!$AD$4:$AE$14,2,FALSE)))))</f>
        <v/>
      </c>
      <c r="Q247" s="288" t="str">
        <f>IF(D247="","",VLOOKUP(D247,'G-7 WaterC'' Data'!$B$4:$G$8,6,FALSE))</f>
        <v/>
      </c>
      <c r="R247" s="295" t="str">
        <f t="shared" si="37"/>
        <v xml:space="preserve"> </v>
      </c>
      <c r="S247" s="403"/>
      <c r="T247" s="287" t="str">
        <f>IF(S247="","",IF(VLOOKUP(S247,'G-7 WaterC'' Data'!$AO$4:$BO$7,2,FALSE)=0,"Spatial Data Missing ⚠",VLOOKUP(S247,'G-7 WaterC'' Data'!$AO$4:$BO$7,2,FALSE)))</f>
        <v/>
      </c>
      <c r="U247" s="295" t="str">
        <f t="shared" si="38"/>
        <v xml:space="preserve"> </v>
      </c>
      <c r="V247" s="710" t="str">
        <f t="shared" si="39"/>
        <v/>
      </c>
      <c r="W247" s="32"/>
      <c r="X247" s="105"/>
      <c r="Y247" s="112"/>
      <c r="Z247" s="293" t="str">
        <f t="shared" si="40"/>
        <v/>
      </c>
      <c r="AA247" s="293" t="str">
        <f t="shared" si="41"/>
        <v/>
      </c>
      <c r="AB247" s="293" t="str">
        <f t="shared" si="42"/>
        <v/>
      </c>
      <c r="AC247" s="507" t="str">
        <f>IFERROR(IF(OR(E247="",R247=""),"", IF(AND(AB247&lt;&gt;"",S247=""), "Spatial risk category missing ▲", IF(AND(Q247='G-7 WaterC'' Data'!$G$4,AD247="Yes"),"Alternative Compensation ✓", IF(AND(AD247="Pending", Q247='G-7 WaterC'' Data'!$G$4),"Bespoke compensation must be agreed ▲", IF((Z247+AA247)&gt;=U247,0, U247-Z247-AA247))))),"Check Data ⚠")</f>
        <v/>
      </c>
      <c r="AD247" s="403"/>
      <c r="AE247" s="109"/>
      <c r="AF247" s="108"/>
      <c r="AG247" s="108"/>
      <c r="AH247" s="108"/>
      <c r="AI247" s="54" t="str">
        <f>IF(OR(Q247="",AD247="Yes"),"",IF(Q247='G-1 All Habitats'!$X$9,E247-Y247-X247,"None"))</f>
        <v/>
      </c>
      <c r="AJ247" s="55" t="str">
        <f>IF(Q247="","", IF(Q247='G-1 All Habitats'!$X$9, AI247*G247*I247*L247*N247*P247,"None"))</f>
        <v/>
      </c>
      <c r="AK247" s="30" t="str">
        <f>IFERROR(INDEX('G-7 WaterC'' Data'!$AZ$3:$AZ$7,MATCH(D247,'G-7 WaterC'' Data'!$AY$3:$AY$7,0)),"")</f>
        <v/>
      </c>
      <c r="AL247" s="30">
        <f t="shared" si="43"/>
        <v>0</v>
      </c>
      <c r="AM247" s="99" t="str">
        <f t="shared" si="44"/>
        <v/>
      </c>
      <c r="AN247" s="99" t="str">
        <f t="shared" si="45"/>
        <v/>
      </c>
      <c r="AO247" s="100"/>
      <c r="AP247" s="99">
        <v>238</v>
      </c>
      <c r="AQ247" s="100"/>
      <c r="AR247" s="99" t="str">
        <f t="array" ref="AR247">IFERROR(INDEX($AP$10:$AP$258, MATCH(0, IF(TRUE=$AM$10:$AM$258, COUNTIF($AR$9:$AR246, $AP$10:$AP$258), ""), 0)),"")</f>
        <v/>
      </c>
      <c r="AS247" s="99" t="str">
        <f t="array" ref="AS247">IFERROR(INDEX($AP$10:$AP$258, MATCH(0, IF(TRUE=$AN$10:$AN$258, COUNTIF($AS$9:$AS246, $AP$10:$AP$258), ""), 0)),"")</f>
        <v/>
      </c>
      <c r="AT247" s="903" t="str">
        <f>IF(AND(OR(AD247="Yes",AD247="Pending"),Q247='G-7 WaterC'' Data'!$G$4),U247-AA247-Z247,"0")</f>
        <v>0</v>
      </c>
      <c r="AU247" s="30" t="str">
        <f>IF(D247="","",VLOOKUP(D247,'G-7 WaterC'' Data'!B$4:M$8,12,FALSE))</f>
        <v/>
      </c>
      <c r="AV247" s="30" t="str">
        <f t="shared" si="36"/>
        <v/>
      </c>
      <c r="AW247" s="30" t="str">
        <f t="shared" si="46"/>
        <v>No</v>
      </c>
      <c r="BA247" s="571" t="str">
        <f t="shared" si="47"/>
        <v/>
      </c>
    </row>
    <row r="248" spans="3:53" ht="14.4" thickBot="1" x14ac:dyDescent="0.3">
      <c r="C248" s="101">
        <v>239</v>
      </c>
      <c r="D248" s="269"/>
      <c r="E248" s="108"/>
      <c r="F248" s="281" t="str">
        <f>IF(D248="","",VLOOKUP(D248,'G-7 WaterC'' Data'!$B$2:$G$8,2,FALSE))</f>
        <v/>
      </c>
      <c r="G248" s="320" t="str">
        <f>IFERROR(VLOOKUP(F248,'G-7 WaterC'' Data'!$C$4:$D$8,2,FALSE),"")</f>
        <v/>
      </c>
      <c r="H248" s="109"/>
      <c r="I248" s="305" t="str">
        <f>IFERROR(INDEX('G-7 WaterC'' Data'!$H$4:$L$8,MATCH(D248,'G-7 WaterC'' Data'!$B$4:$B$8,0),MATCH(H248,'G-7 WaterC'' Data'!$H$3:$L$3,0)),"")</f>
        <v/>
      </c>
      <c r="J248" s="718"/>
      <c r="K248" s="301" t="str">
        <f>IF(J248="","",IF(VLOOKUP(J248,'G-7 WaterC'' Data'!$AK$4:$AM$9,2,FALSE)=0,"Spatial Data Missing ⚠",VLOOKUP(J248,'G-7 WaterC'' Data'!$AK$4:$AM$6,2,FALSE)))</f>
        <v/>
      </c>
      <c r="L248" s="305" t="str">
        <f>IF(J248="","",IF(VLOOKUP(J248,'G-7 WaterC'' Data'!$AK$4:$AM$9,3,FALSE)=0,"Spatial Data Missing ⚠",VLOOKUP(J248,'G-7 WaterC'' Data'!$AK$4:$AM$6,3,FALSE)))</f>
        <v/>
      </c>
      <c r="M248" s="106"/>
      <c r="N248" s="282" t="str">
        <f>IF(M248="","",IF(AND(M248="N/A - Culvert",D248&lt;&gt;"Culvert"),"Not possible ▲",IF(AND(D248="Culvert",M248&lt;&gt;"N/A - Culvert"),"Not possible ▲",IF(VLOOKUP(M248,'G-7 WaterC'' Data'!$AA$4:$AB$7,2,FALSE)=0,"Spatial Data Missing ⚠",VLOOKUP(M248,'G-7 WaterC'' Data'!$AA$4:$AB$7,2,FALSE)))))</f>
        <v/>
      </c>
      <c r="O248" s="56"/>
      <c r="P248" s="282" t="str">
        <f>IF(O248="","",IF(AND(O248="N/A - Culvert",D248&lt;&gt;"Culvert"),"Not possible ▲",IF(AND(D248="Culvert",O248&lt;&gt;"N/A - Culvert"),"Not possible ▲",IF(VLOOKUP(O248,'G-7 WaterC'' Data'!$AD$4:$AE$14,2,FALSE)=0,"Spatial Data Missing ⚠",VLOOKUP(O248,'G-7 WaterC'' Data'!$AD$4:$AE$14,2,FALSE)))))</f>
        <v/>
      </c>
      <c r="Q248" s="288" t="str">
        <f>IF(D248="","",VLOOKUP(D248,'G-7 WaterC'' Data'!$B$4:$G$8,6,FALSE))</f>
        <v/>
      </c>
      <c r="R248" s="295" t="str">
        <f t="shared" si="37"/>
        <v xml:space="preserve"> </v>
      </c>
      <c r="S248" s="403"/>
      <c r="T248" s="287" t="str">
        <f>IF(S248="","",IF(VLOOKUP(S248,'G-7 WaterC'' Data'!$AO$4:$BO$7,2,FALSE)=0,"Spatial Data Missing ⚠",VLOOKUP(S248,'G-7 WaterC'' Data'!$AO$4:$BO$7,2,FALSE)))</f>
        <v/>
      </c>
      <c r="U248" s="295" t="str">
        <f t="shared" si="38"/>
        <v xml:space="preserve"> </v>
      </c>
      <c r="V248" s="710" t="str">
        <f t="shared" si="39"/>
        <v/>
      </c>
      <c r="W248" s="32"/>
      <c r="X248" s="105"/>
      <c r="Y248" s="112"/>
      <c r="Z248" s="293" t="str">
        <f t="shared" si="40"/>
        <v/>
      </c>
      <c r="AA248" s="293" t="str">
        <f t="shared" si="41"/>
        <v/>
      </c>
      <c r="AB248" s="293" t="str">
        <f t="shared" si="42"/>
        <v/>
      </c>
      <c r="AC248" s="507" t="str">
        <f>IFERROR(IF(OR(E248="",R248=""),"", IF(AND(AB248&lt;&gt;"",S248=""), "Spatial risk category missing ▲", IF(AND(Q248='G-7 WaterC'' Data'!$G$4,AD248="Yes"),"Alternative Compensation ✓", IF(AND(AD248="Pending", Q248='G-7 WaterC'' Data'!$G$4),"Bespoke compensation must be agreed ▲", IF((Z248+AA248)&gt;=U248,0, U248-Z248-AA248))))),"Check Data ⚠")</f>
        <v/>
      </c>
      <c r="AD248" s="403"/>
      <c r="AE248" s="109"/>
      <c r="AF248" s="108"/>
      <c r="AG248" s="108"/>
      <c r="AH248" s="108"/>
      <c r="AI248" s="54" t="str">
        <f>IF(OR(Q248="",AD248="Yes"),"",IF(Q248='G-1 All Habitats'!$X$9,E248-Y248-X248,"None"))</f>
        <v/>
      </c>
      <c r="AJ248" s="55" t="str">
        <f>IF(Q248="","", IF(Q248='G-1 All Habitats'!$X$9, AI248*G248*I248*L248*N248*P248,"None"))</f>
        <v/>
      </c>
      <c r="AK248" s="30" t="str">
        <f>IFERROR(INDEX('G-7 WaterC'' Data'!$AZ$3:$AZ$7,MATCH(D248,'G-7 WaterC'' Data'!$AY$3:$AY$7,0)),"")</f>
        <v/>
      </c>
      <c r="AL248" s="30">
        <f t="shared" si="43"/>
        <v>0</v>
      </c>
      <c r="AM248" s="99" t="str">
        <f t="shared" si="44"/>
        <v/>
      </c>
      <c r="AN248" s="99" t="str">
        <f t="shared" si="45"/>
        <v/>
      </c>
      <c r="AO248" s="100"/>
      <c r="AP248" s="99">
        <v>239</v>
      </c>
      <c r="AQ248" s="100"/>
      <c r="AR248" s="99" t="str">
        <f t="array" ref="AR248">IFERROR(INDEX($AP$10:$AP$258, MATCH(0, IF(TRUE=$AM$10:$AM$258, COUNTIF($AR$9:$AR247, $AP$10:$AP$258), ""), 0)),"")</f>
        <v/>
      </c>
      <c r="AS248" s="99" t="str">
        <f t="array" ref="AS248">IFERROR(INDEX($AP$10:$AP$258, MATCH(0, IF(TRUE=$AN$10:$AN$258, COUNTIF($AS$9:$AS247, $AP$10:$AP$258), ""), 0)),"")</f>
        <v/>
      </c>
      <c r="AT248" s="903" t="str">
        <f>IF(AND(OR(AD248="Yes",AD248="Pending"),Q248='G-7 WaterC'' Data'!$G$4),U248-AA248-Z248,"0")</f>
        <v>0</v>
      </c>
      <c r="AU248" s="30" t="str">
        <f>IF(D248="","",VLOOKUP(D248,'G-7 WaterC'' Data'!B$4:M$8,12,FALSE))</f>
        <v/>
      </c>
      <c r="AV248" s="30" t="str">
        <f t="shared" si="36"/>
        <v/>
      </c>
      <c r="AW248" s="30" t="str">
        <f t="shared" si="46"/>
        <v>No</v>
      </c>
      <c r="BA248" s="571" t="str">
        <f t="shared" si="47"/>
        <v/>
      </c>
    </row>
    <row r="249" spans="3:53" ht="14.4" thickBot="1" x14ac:dyDescent="0.3">
      <c r="C249" s="101">
        <v>240</v>
      </c>
      <c r="D249" s="269"/>
      <c r="E249" s="108"/>
      <c r="F249" s="281" t="str">
        <f>IF(D249="","",VLOOKUP(D249,'G-7 WaterC'' Data'!$B$2:$G$8,2,FALSE))</f>
        <v/>
      </c>
      <c r="G249" s="320" t="str">
        <f>IFERROR(VLOOKUP(F249,'G-7 WaterC'' Data'!$C$4:$D$8,2,FALSE),"")</f>
        <v/>
      </c>
      <c r="H249" s="109"/>
      <c r="I249" s="305" t="str">
        <f>IFERROR(INDEX('G-7 WaterC'' Data'!$H$4:$L$8,MATCH(D249,'G-7 WaterC'' Data'!$B$4:$B$8,0),MATCH(H249,'G-7 WaterC'' Data'!$H$3:$L$3,0)),"")</f>
        <v/>
      </c>
      <c r="J249" s="718"/>
      <c r="K249" s="301" t="str">
        <f>IF(J249="","",IF(VLOOKUP(J249,'G-7 WaterC'' Data'!$AK$4:$AM$9,2,FALSE)=0,"Spatial Data Missing ⚠",VLOOKUP(J249,'G-7 WaterC'' Data'!$AK$4:$AM$6,2,FALSE)))</f>
        <v/>
      </c>
      <c r="L249" s="305" t="str">
        <f>IF(J249="","",IF(VLOOKUP(J249,'G-7 WaterC'' Data'!$AK$4:$AM$9,3,FALSE)=0,"Spatial Data Missing ⚠",VLOOKUP(J249,'G-7 WaterC'' Data'!$AK$4:$AM$6,3,FALSE)))</f>
        <v/>
      </c>
      <c r="M249" s="106"/>
      <c r="N249" s="282" t="str">
        <f>IF(M249="","",IF(AND(M249="N/A - Culvert",D249&lt;&gt;"Culvert"),"Not possible ▲",IF(AND(D249="Culvert",M249&lt;&gt;"N/A - Culvert"),"Not possible ▲",IF(VLOOKUP(M249,'G-7 WaterC'' Data'!$AA$4:$AB$7,2,FALSE)=0,"Spatial Data Missing ⚠",VLOOKUP(M249,'G-7 WaterC'' Data'!$AA$4:$AB$7,2,FALSE)))))</f>
        <v/>
      </c>
      <c r="O249" s="56"/>
      <c r="P249" s="282" t="str">
        <f>IF(O249="","",IF(AND(O249="N/A - Culvert",D249&lt;&gt;"Culvert"),"Not possible ▲",IF(AND(D249="Culvert",O249&lt;&gt;"N/A - Culvert"),"Not possible ▲",IF(VLOOKUP(O249,'G-7 WaterC'' Data'!$AD$4:$AE$14,2,FALSE)=0,"Spatial Data Missing ⚠",VLOOKUP(O249,'G-7 WaterC'' Data'!$AD$4:$AE$14,2,FALSE)))))</f>
        <v/>
      </c>
      <c r="Q249" s="288" t="str">
        <f>IF(D249="","",VLOOKUP(D249,'G-7 WaterC'' Data'!$B$4:$G$8,6,FALSE))</f>
        <v/>
      </c>
      <c r="R249" s="295" t="str">
        <f t="shared" si="37"/>
        <v xml:space="preserve"> </v>
      </c>
      <c r="S249" s="403"/>
      <c r="T249" s="287" t="str">
        <f>IF(S249="","",IF(VLOOKUP(S249,'G-7 WaterC'' Data'!$AO$4:$BO$7,2,FALSE)=0,"Spatial Data Missing ⚠",VLOOKUP(S249,'G-7 WaterC'' Data'!$AO$4:$BO$7,2,FALSE)))</f>
        <v/>
      </c>
      <c r="U249" s="295" t="str">
        <f t="shared" si="38"/>
        <v xml:space="preserve"> </v>
      </c>
      <c r="V249" s="710" t="str">
        <f t="shared" si="39"/>
        <v/>
      </c>
      <c r="W249" s="32"/>
      <c r="X249" s="105"/>
      <c r="Y249" s="112"/>
      <c r="Z249" s="293" t="str">
        <f t="shared" si="40"/>
        <v/>
      </c>
      <c r="AA249" s="293" t="str">
        <f t="shared" si="41"/>
        <v/>
      </c>
      <c r="AB249" s="293" t="str">
        <f t="shared" si="42"/>
        <v/>
      </c>
      <c r="AC249" s="507" t="str">
        <f>IFERROR(IF(OR(E249="",R249=""),"", IF(AND(AB249&lt;&gt;"",S249=""), "Spatial risk category missing ▲", IF(AND(Q249='G-7 WaterC'' Data'!$G$4,AD249="Yes"),"Alternative Compensation ✓", IF(AND(AD249="Pending", Q249='G-7 WaterC'' Data'!$G$4),"Bespoke compensation must be agreed ▲", IF((Z249+AA249)&gt;=U249,0, U249-Z249-AA249))))),"Check Data ⚠")</f>
        <v/>
      </c>
      <c r="AD249" s="403"/>
      <c r="AE249" s="109"/>
      <c r="AF249" s="108"/>
      <c r="AG249" s="108"/>
      <c r="AH249" s="108"/>
      <c r="AI249" s="54" t="str">
        <f>IF(OR(Q249="",AD249="Yes"),"",IF(Q249='G-1 All Habitats'!$X$9,E249-Y249-X249,"None"))</f>
        <v/>
      </c>
      <c r="AJ249" s="55" t="str">
        <f>IF(Q249="","", IF(Q249='G-1 All Habitats'!$X$9, AI249*G249*I249*L249*N249*P249,"None"))</f>
        <v/>
      </c>
      <c r="AK249" s="30" t="str">
        <f>IFERROR(INDEX('G-7 WaterC'' Data'!$AZ$3:$AZ$7,MATCH(D249,'G-7 WaterC'' Data'!$AY$3:$AY$7,0)),"")</f>
        <v/>
      </c>
      <c r="AL249" s="30">
        <f t="shared" si="43"/>
        <v>0</v>
      </c>
      <c r="AM249" s="99" t="str">
        <f t="shared" si="44"/>
        <v/>
      </c>
      <c r="AN249" s="99" t="str">
        <f t="shared" si="45"/>
        <v/>
      </c>
      <c r="AO249" s="100"/>
      <c r="AP249" s="99">
        <v>240</v>
      </c>
      <c r="AQ249" s="100"/>
      <c r="AR249" s="99" t="str">
        <f t="array" ref="AR249">IFERROR(INDEX($AP$10:$AP$258, MATCH(0, IF(TRUE=$AM$10:$AM$258, COUNTIF($AR$9:$AR248, $AP$10:$AP$258), ""), 0)),"")</f>
        <v/>
      </c>
      <c r="AS249" s="99" t="str">
        <f t="array" ref="AS249">IFERROR(INDEX($AP$10:$AP$258, MATCH(0, IF(TRUE=$AN$10:$AN$258, COUNTIF($AS$9:$AS248, $AP$10:$AP$258), ""), 0)),"")</f>
        <v/>
      </c>
      <c r="AT249" s="903" t="str">
        <f>IF(AND(OR(AD249="Yes",AD249="Pending"),Q249='G-7 WaterC'' Data'!$G$4),U249-AA249-Z249,"0")</f>
        <v>0</v>
      </c>
      <c r="AU249" s="30" t="str">
        <f>IF(D249="","",VLOOKUP(D249,'G-7 WaterC'' Data'!B$4:M$8,12,FALSE))</f>
        <v/>
      </c>
      <c r="AV249" s="30" t="str">
        <f t="shared" si="36"/>
        <v/>
      </c>
      <c r="AW249" s="30" t="str">
        <f t="shared" si="46"/>
        <v>No</v>
      </c>
      <c r="BA249" s="571" t="str">
        <f t="shared" si="47"/>
        <v/>
      </c>
    </row>
    <row r="250" spans="3:53" ht="14.4" thickBot="1" x14ac:dyDescent="0.3">
      <c r="C250" s="101">
        <v>241</v>
      </c>
      <c r="D250" s="269"/>
      <c r="E250" s="108"/>
      <c r="F250" s="281" t="str">
        <f>IF(D250="","",VLOOKUP(D250,'G-7 WaterC'' Data'!$B$2:$G$8,2,FALSE))</f>
        <v/>
      </c>
      <c r="G250" s="320" t="str">
        <f>IFERROR(VLOOKUP(F250,'G-7 WaterC'' Data'!$C$4:$D$8,2,FALSE),"")</f>
        <v/>
      </c>
      <c r="H250" s="109"/>
      <c r="I250" s="305" t="str">
        <f>IFERROR(INDEX('G-7 WaterC'' Data'!$H$4:$L$8,MATCH(D250,'G-7 WaterC'' Data'!$B$4:$B$8,0),MATCH(H250,'G-7 WaterC'' Data'!$H$3:$L$3,0)),"")</f>
        <v/>
      </c>
      <c r="J250" s="718"/>
      <c r="K250" s="301" t="str">
        <f>IF(J250="","",IF(VLOOKUP(J250,'G-7 WaterC'' Data'!$AK$4:$AM$9,2,FALSE)=0,"Spatial Data Missing ⚠",VLOOKUP(J250,'G-7 WaterC'' Data'!$AK$4:$AM$6,2,FALSE)))</f>
        <v/>
      </c>
      <c r="L250" s="305" t="str">
        <f>IF(J250="","",IF(VLOOKUP(J250,'G-7 WaterC'' Data'!$AK$4:$AM$9,3,FALSE)=0,"Spatial Data Missing ⚠",VLOOKUP(J250,'G-7 WaterC'' Data'!$AK$4:$AM$6,3,FALSE)))</f>
        <v/>
      </c>
      <c r="M250" s="106"/>
      <c r="N250" s="282" t="str">
        <f>IF(M250="","",IF(AND(M250="N/A - Culvert",D250&lt;&gt;"Culvert"),"Not possible ▲",IF(AND(D250="Culvert",M250&lt;&gt;"N/A - Culvert"),"Not possible ▲",IF(VLOOKUP(M250,'G-7 WaterC'' Data'!$AA$4:$AB$7,2,FALSE)=0,"Spatial Data Missing ⚠",VLOOKUP(M250,'G-7 WaterC'' Data'!$AA$4:$AB$7,2,FALSE)))))</f>
        <v/>
      </c>
      <c r="O250" s="56"/>
      <c r="P250" s="282" t="str">
        <f>IF(O250="","",IF(AND(O250="N/A - Culvert",D250&lt;&gt;"Culvert"),"Not possible ▲",IF(AND(D250="Culvert",O250&lt;&gt;"N/A - Culvert"),"Not possible ▲",IF(VLOOKUP(O250,'G-7 WaterC'' Data'!$AD$4:$AE$14,2,FALSE)=0,"Spatial Data Missing ⚠",VLOOKUP(O250,'G-7 WaterC'' Data'!$AD$4:$AE$14,2,FALSE)))))</f>
        <v/>
      </c>
      <c r="Q250" s="288" t="str">
        <f>IF(D250="","",VLOOKUP(D250,'G-7 WaterC'' Data'!$B$4:$G$8,6,FALSE))</f>
        <v/>
      </c>
      <c r="R250" s="295" t="str">
        <f t="shared" si="37"/>
        <v xml:space="preserve"> </v>
      </c>
      <c r="S250" s="403"/>
      <c r="T250" s="287" t="str">
        <f>IF(S250="","",IF(VLOOKUP(S250,'G-7 WaterC'' Data'!$AO$4:$BO$7,2,FALSE)=0,"Spatial Data Missing ⚠",VLOOKUP(S250,'G-7 WaterC'' Data'!$AO$4:$BO$7,2,FALSE)))</f>
        <v/>
      </c>
      <c r="U250" s="295" t="str">
        <f t="shared" si="38"/>
        <v xml:space="preserve"> </v>
      </c>
      <c r="V250" s="710" t="str">
        <f t="shared" si="39"/>
        <v/>
      </c>
      <c r="W250" s="32"/>
      <c r="X250" s="105"/>
      <c r="Y250" s="112"/>
      <c r="Z250" s="293" t="str">
        <f t="shared" si="40"/>
        <v/>
      </c>
      <c r="AA250" s="293" t="str">
        <f t="shared" si="41"/>
        <v/>
      </c>
      <c r="AB250" s="293" t="str">
        <f t="shared" si="42"/>
        <v/>
      </c>
      <c r="AC250" s="507" t="str">
        <f>IFERROR(IF(OR(E250="",R250=""),"", IF(AND(AB250&lt;&gt;"",S250=""), "Spatial risk category missing ▲", IF(AND(Q250='G-7 WaterC'' Data'!$G$4,AD250="Yes"),"Alternative Compensation ✓", IF(AND(AD250="Pending", Q250='G-7 WaterC'' Data'!$G$4),"Bespoke compensation must be agreed ▲", IF((Z250+AA250)&gt;=U250,0, U250-Z250-AA250))))),"Check Data ⚠")</f>
        <v/>
      </c>
      <c r="AD250" s="403"/>
      <c r="AE250" s="109"/>
      <c r="AF250" s="108"/>
      <c r="AG250" s="108"/>
      <c r="AH250" s="108"/>
      <c r="AI250" s="54" t="str">
        <f>IF(OR(Q250="",AD250="Yes"),"",IF(Q250='G-1 All Habitats'!$X$9,E250-Y250-X250,"None"))</f>
        <v/>
      </c>
      <c r="AJ250" s="55" t="str">
        <f>IF(Q250="","", IF(Q250='G-1 All Habitats'!$X$9, AI250*G250*I250*L250*N250*P250,"None"))</f>
        <v/>
      </c>
      <c r="AK250" s="30" t="str">
        <f>IFERROR(INDEX('G-7 WaterC'' Data'!$AZ$3:$AZ$7,MATCH(D250,'G-7 WaterC'' Data'!$AY$3:$AY$7,0)),"")</f>
        <v/>
      </c>
      <c r="AL250" s="30">
        <f t="shared" si="43"/>
        <v>0</v>
      </c>
      <c r="AM250" s="99" t="str">
        <f t="shared" si="44"/>
        <v/>
      </c>
      <c r="AN250" s="99" t="str">
        <f t="shared" si="45"/>
        <v/>
      </c>
      <c r="AO250" s="100"/>
      <c r="AP250" s="99">
        <v>241</v>
      </c>
      <c r="AQ250" s="100"/>
      <c r="AR250" s="99" t="str">
        <f t="array" ref="AR250">IFERROR(INDEX($AP$10:$AP$258, MATCH(0, IF(TRUE=$AM$10:$AM$258, COUNTIF($AR$9:$AR249, $AP$10:$AP$258), ""), 0)),"")</f>
        <v/>
      </c>
      <c r="AS250" s="99" t="str">
        <f t="array" ref="AS250">IFERROR(INDEX($AP$10:$AP$258, MATCH(0, IF(TRUE=$AN$10:$AN$258, COUNTIF($AS$9:$AS249, $AP$10:$AP$258), ""), 0)),"")</f>
        <v/>
      </c>
      <c r="AT250" s="903" t="str">
        <f>IF(AND(OR(AD250="Yes",AD250="Pending"),Q250='G-7 WaterC'' Data'!$G$4),U250-AA250-Z250,"0")</f>
        <v>0</v>
      </c>
      <c r="AU250" s="30" t="str">
        <f>IF(D250="","",VLOOKUP(D250,'G-7 WaterC'' Data'!B$4:M$8,12,FALSE))</f>
        <v/>
      </c>
      <c r="AV250" s="30" t="str">
        <f t="shared" si="36"/>
        <v/>
      </c>
      <c r="AW250" s="30" t="str">
        <f t="shared" si="46"/>
        <v>No</v>
      </c>
      <c r="BA250" s="571" t="str">
        <f t="shared" si="47"/>
        <v/>
      </c>
    </row>
    <row r="251" spans="3:53" ht="14.4" thickBot="1" x14ac:dyDescent="0.3">
      <c r="C251" s="101">
        <v>242</v>
      </c>
      <c r="D251" s="269"/>
      <c r="E251" s="108"/>
      <c r="F251" s="281" t="str">
        <f>IF(D251="","",VLOOKUP(D251,'G-7 WaterC'' Data'!$B$2:$G$8,2,FALSE))</f>
        <v/>
      </c>
      <c r="G251" s="320" t="str">
        <f>IFERROR(VLOOKUP(F251,'G-7 WaterC'' Data'!$C$4:$D$8,2,FALSE),"")</f>
        <v/>
      </c>
      <c r="H251" s="109"/>
      <c r="I251" s="305" t="str">
        <f>IFERROR(INDEX('G-7 WaterC'' Data'!$H$4:$L$8,MATCH(D251,'G-7 WaterC'' Data'!$B$4:$B$8,0),MATCH(H251,'G-7 WaterC'' Data'!$H$3:$L$3,0)),"")</f>
        <v/>
      </c>
      <c r="J251" s="718"/>
      <c r="K251" s="301" t="str">
        <f>IF(J251="","",IF(VLOOKUP(J251,'G-7 WaterC'' Data'!$AK$4:$AM$9,2,FALSE)=0,"Spatial Data Missing ⚠",VLOOKUP(J251,'G-7 WaterC'' Data'!$AK$4:$AM$6,2,FALSE)))</f>
        <v/>
      </c>
      <c r="L251" s="305" t="str">
        <f>IF(J251="","",IF(VLOOKUP(J251,'G-7 WaterC'' Data'!$AK$4:$AM$9,3,FALSE)=0,"Spatial Data Missing ⚠",VLOOKUP(J251,'G-7 WaterC'' Data'!$AK$4:$AM$6,3,FALSE)))</f>
        <v/>
      </c>
      <c r="M251" s="106"/>
      <c r="N251" s="282" t="str">
        <f>IF(M251="","",IF(AND(M251="N/A - Culvert",D251&lt;&gt;"Culvert"),"Not possible ▲",IF(AND(D251="Culvert",M251&lt;&gt;"N/A - Culvert"),"Not possible ▲",IF(VLOOKUP(M251,'G-7 WaterC'' Data'!$AA$4:$AB$7,2,FALSE)=0,"Spatial Data Missing ⚠",VLOOKUP(M251,'G-7 WaterC'' Data'!$AA$4:$AB$7,2,FALSE)))))</f>
        <v/>
      </c>
      <c r="O251" s="56"/>
      <c r="P251" s="282" t="str">
        <f>IF(O251="","",IF(AND(O251="N/A - Culvert",D251&lt;&gt;"Culvert"),"Not possible ▲",IF(AND(D251="Culvert",O251&lt;&gt;"N/A - Culvert"),"Not possible ▲",IF(VLOOKUP(O251,'G-7 WaterC'' Data'!$AD$4:$AE$14,2,FALSE)=0,"Spatial Data Missing ⚠",VLOOKUP(O251,'G-7 WaterC'' Data'!$AD$4:$AE$14,2,FALSE)))))</f>
        <v/>
      </c>
      <c r="Q251" s="288" t="str">
        <f>IF(D251="","",VLOOKUP(D251,'G-7 WaterC'' Data'!$B$4:$G$8,6,FALSE))</f>
        <v/>
      </c>
      <c r="R251" s="295" t="str">
        <f t="shared" si="37"/>
        <v xml:space="preserve"> </v>
      </c>
      <c r="S251" s="403"/>
      <c r="T251" s="287" t="str">
        <f>IF(S251="","",IF(VLOOKUP(S251,'G-7 WaterC'' Data'!$AO$4:$BO$7,2,FALSE)=0,"Spatial Data Missing ⚠",VLOOKUP(S251,'G-7 WaterC'' Data'!$AO$4:$BO$7,2,FALSE)))</f>
        <v/>
      </c>
      <c r="U251" s="295" t="str">
        <f t="shared" si="38"/>
        <v xml:space="preserve"> </v>
      </c>
      <c r="V251" s="710" t="str">
        <f t="shared" si="39"/>
        <v/>
      </c>
      <c r="W251" s="32"/>
      <c r="X251" s="105"/>
      <c r="Y251" s="112"/>
      <c r="Z251" s="293" t="str">
        <f t="shared" si="40"/>
        <v/>
      </c>
      <c r="AA251" s="293" t="str">
        <f t="shared" si="41"/>
        <v/>
      </c>
      <c r="AB251" s="293" t="str">
        <f t="shared" si="42"/>
        <v/>
      </c>
      <c r="AC251" s="507" t="str">
        <f>IFERROR(IF(OR(E251="",R251=""),"", IF(AND(AB251&lt;&gt;"",S251=""), "Spatial risk category missing ▲", IF(AND(Q251='G-7 WaterC'' Data'!$G$4,AD251="Yes"),"Alternative Compensation ✓", IF(AND(AD251="Pending", Q251='G-7 WaterC'' Data'!$G$4),"Bespoke compensation must be agreed ▲", IF((Z251+AA251)&gt;=U251,0, U251-Z251-AA251))))),"Check Data ⚠")</f>
        <v/>
      </c>
      <c r="AD251" s="403"/>
      <c r="AE251" s="109"/>
      <c r="AF251" s="108"/>
      <c r="AG251" s="108"/>
      <c r="AH251" s="108"/>
      <c r="AI251" s="54" t="str">
        <f>IF(OR(Q251="",AD251="Yes"),"",IF(Q251='G-1 All Habitats'!$X$9,E251-Y251-X251,"None"))</f>
        <v/>
      </c>
      <c r="AJ251" s="55" t="str">
        <f>IF(Q251="","", IF(Q251='G-1 All Habitats'!$X$9, AI251*G251*I251*L251*N251*P251,"None"))</f>
        <v/>
      </c>
      <c r="AK251" s="30" t="str">
        <f>IFERROR(INDEX('G-7 WaterC'' Data'!$AZ$3:$AZ$7,MATCH(D251,'G-7 WaterC'' Data'!$AY$3:$AY$7,0)),"")</f>
        <v/>
      </c>
      <c r="AL251" s="30">
        <f t="shared" si="43"/>
        <v>0</v>
      </c>
      <c r="AM251" s="99" t="str">
        <f t="shared" si="44"/>
        <v/>
      </c>
      <c r="AN251" s="99" t="str">
        <f t="shared" si="45"/>
        <v/>
      </c>
      <c r="AO251" s="100"/>
      <c r="AP251" s="99">
        <v>242</v>
      </c>
      <c r="AQ251" s="100"/>
      <c r="AR251" s="99" t="str">
        <f t="array" ref="AR251">IFERROR(INDEX($AP$10:$AP$258, MATCH(0, IF(TRUE=$AM$10:$AM$258, COUNTIF($AR$9:$AR250, $AP$10:$AP$258), ""), 0)),"")</f>
        <v/>
      </c>
      <c r="AS251" s="99" t="str">
        <f t="array" ref="AS251">IFERROR(INDEX($AP$10:$AP$258, MATCH(0, IF(TRUE=$AN$10:$AN$258, COUNTIF($AS$9:$AS250, $AP$10:$AP$258), ""), 0)),"")</f>
        <v/>
      </c>
      <c r="AT251" s="903" t="str">
        <f>IF(AND(OR(AD251="Yes",AD251="Pending"),Q251='G-7 WaterC'' Data'!$G$4),U251-AA251-Z251,"0")</f>
        <v>0</v>
      </c>
      <c r="AU251" s="30" t="str">
        <f>IF(D251="","",VLOOKUP(D251,'G-7 WaterC'' Data'!B$4:M$8,12,FALSE))</f>
        <v/>
      </c>
      <c r="AV251" s="30" t="str">
        <f t="shared" si="36"/>
        <v/>
      </c>
      <c r="AW251" s="30" t="str">
        <f t="shared" si="46"/>
        <v>No</v>
      </c>
      <c r="BA251" s="571" t="str">
        <f t="shared" si="47"/>
        <v/>
      </c>
    </row>
    <row r="252" spans="3:53" ht="14.4" thickBot="1" x14ac:dyDescent="0.3">
      <c r="C252" s="101">
        <v>243</v>
      </c>
      <c r="D252" s="269"/>
      <c r="E252" s="108"/>
      <c r="F252" s="281" t="str">
        <f>IF(D252="","",VLOOKUP(D252,'G-7 WaterC'' Data'!$B$2:$G$8,2,FALSE))</f>
        <v/>
      </c>
      <c r="G252" s="320" t="str">
        <f>IFERROR(VLOOKUP(F252,'G-7 WaterC'' Data'!$C$4:$D$8,2,FALSE),"")</f>
        <v/>
      </c>
      <c r="H252" s="109"/>
      <c r="I252" s="305" t="str">
        <f>IFERROR(INDEX('G-7 WaterC'' Data'!$H$4:$L$8,MATCH(D252,'G-7 WaterC'' Data'!$B$4:$B$8,0),MATCH(H252,'G-7 WaterC'' Data'!$H$3:$L$3,0)),"")</f>
        <v/>
      </c>
      <c r="J252" s="718"/>
      <c r="K252" s="301" t="str">
        <f>IF(J252="","",IF(VLOOKUP(J252,'G-7 WaterC'' Data'!$AK$4:$AM$9,2,FALSE)=0,"Spatial Data Missing ⚠",VLOOKUP(J252,'G-7 WaterC'' Data'!$AK$4:$AM$6,2,FALSE)))</f>
        <v/>
      </c>
      <c r="L252" s="305" t="str">
        <f>IF(J252="","",IF(VLOOKUP(J252,'G-7 WaterC'' Data'!$AK$4:$AM$9,3,FALSE)=0,"Spatial Data Missing ⚠",VLOOKUP(J252,'G-7 WaterC'' Data'!$AK$4:$AM$6,3,FALSE)))</f>
        <v/>
      </c>
      <c r="M252" s="106"/>
      <c r="N252" s="282" t="str">
        <f>IF(M252="","",IF(AND(M252="N/A - Culvert",D252&lt;&gt;"Culvert"),"Not possible ▲",IF(AND(D252="Culvert",M252&lt;&gt;"N/A - Culvert"),"Not possible ▲",IF(VLOOKUP(M252,'G-7 WaterC'' Data'!$AA$4:$AB$7,2,FALSE)=0,"Spatial Data Missing ⚠",VLOOKUP(M252,'G-7 WaterC'' Data'!$AA$4:$AB$7,2,FALSE)))))</f>
        <v/>
      </c>
      <c r="O252" s="56"/>
      <c r="P252" s="282" t="str">
        <f>IF(O252="","",IF(AND(O252="N/A - Culvert",D252&lt;&gt;"Culvert"),"Not possible ▲",IF(AND(D252="Culvert",O252&lt;&gt;"N/A - Culvert"),"Not possible ▲",IF(VLOOKUP(O252,'G-7 WaterC'' Data'!$AD$4:$AE$14,2,FALSE)=0,"Spatial Data Missing ⚠",VLOOKUP(O252,'G-7 WaterC'' Data'!$AD$4:$AE$14,2,FALSE)))))</f>
        <v/>
      </c>
      <c r="Q252" s="288" t="str">
        <f>IF(D252="","",VLOOKUP(D252,'G-7 WaterC'' Data'!$B$4:$G$8,6,FALSE))</f>
        <v/>
      </c>
      <c r="R252" s="295" t="str">
        <f t="shared" si="37"/>
        <v xml:space="preserve"> </v>
      </c>
      <c r="S252" s="403"/>
      <c r="T252" s="287" t="str">
        <f>IF(S252="","",IF(VLOOKUP(S252,'G-7 WaterC'' Data'!$AO$4:$BO$7,2,FALSE)=0,"Spatial Data Missing ⚠",VLOOKUP(S252,'G-7 WaterC'' Data'!$AO$4:$BO$7,2,FALSE)))</f>
        <v/>
      </c>
      <c r="U252" s="295" t="str">
        <f t="shared" si="38"/>
        <v xml:space="preserve"> </v>
      </c>
      <c r="V252" s="710" t="str">
        <f t="shared" si="39"/>
        <v/>
      </c>
      <c r="W252" s="32"/>
      <c r="X252" s="105"/>
      <c r="Y252" s="112"/>
      <c r="Z252" s="293" t="str">
        <f t="shared" si="40"/>
        <v/>
      </c>
      <c r="AA252" s="293" t="str">
        <f t="shared" si="41"/>
        <v/>
      </c>
      <c r="AB252" s="293" t="str">
        <f t="shared" si="42"/>
        <v/>
      </c>
      <c r="AC252" s="507" t="str">
        <f>IFERROR(IF(OR(E252="",R252=""),"", IF(AND(AB252&lt;&gt;"",S252=""), "Spatial risk category missing ▲", IF(AND(Q252='G-7 WaterC'' Data'!$G$4,AD252="Yes"),"Alternative Compensation ✓", IF(AND(AD252="Pending", Q252='G-7 WaterC'' Data'!$G$4),"Bespoke compensation must be agreed ▲", IF((Z252+AA252)&gt;=U252,0, U252-Z252-AA252))))),"Check Data ⚠")</f>
        <v/>
      </c>
      <c r="AD252" s="403"/>
      <c r="AE252" s="109"/>
      <c r="AF252" s="108"/>
      <c r="AG252" s="108"/>
      <c r="AH252" s="108"/>
      <c r="AI252" s="54" t="str">
        <f>IF(OR(Q252="",AD252="Yes"),"",IF(Q252='G-1 All Habitats'!$X$9,E252-Y252-X252,"None"))</f>
        <v/>
      </c>
      <c r="AJ252" s="55" t="str">
        <f>IF(Q252="","", IF(Q252='G-1 All Habitats'!$X$9, AI252*G252*I252*L252*N252*P252,"None"))</f>
        <v/>
      </c>
      <c r="AK252" s="30" t="str">
        <f>IFERROR(INDEX('G-7 WaterC'' Data'!$AZ$3:$AZ$7,MATCH(D252,'G-7 WaterC'' Data'!$AY$3:$AY$7,0)),"")</f>
        <v/>
      </c>
      <c r="AL252" s="30">
        <f t="shared" si="43"/>
        <v>0</v>
      </c>
      <c r="AM252" s="99" t="str">
        <f t="shared" si="44"/>
        <v/>
      </c>
      <c r="AN252" s="99" t="str">
        <f t="shared" si="45"/>
        <v/>
      </c>
      <c r="AO252" s="100"/>
      <c r="AP252" s="99">
        <v>243</v>
      </c>
      <c r="AQ252" s="100"/>
      <c r="AR252" s="99" t="str">
        <f t="array" ref="AR252">IFERROR(INDEX($AP$10:$AP$258, MATCH(0, IF(TRUE=$AM$10:$AM$258, COUNTIF($AR$9:$AR251, $AP$10:$AP$258), ""), 0)),"")</f>
        <v/>
      </c>
      <c r="AS252" s="99" t="str">
        <f t="array" ref="AS252">IFERROR(INDEX($AP$10:$AP$258, MATCH(0, IF(TRUE=$AN$10:$AN$258, COUNTIF($AS$9:$AS251, $AP$10:$AP$258), ""), 0)),"")</f>
        <v/>
      </c>
      <c r="AT252" s="903" t="str">
        <f>IF(AND(OR(AD252="Yes",AD252="Pending"),Q252='G-7 WaterC'' Data'!$G$4),U252-AA252-Z252,"0")</f>
        <v>0</v>
      </c>
      <c r="AU252" s="30" t="str">
        <f>IF(D252="","",VLOOKUP(D252,'G-7 WaterC'' Data'!B$4:M$8,12,FALSE))</f>
        <v/>
      </c>
      <c r="AV252" s="30" t="str">
        <f t="shared" si="36"/>
        <v/>
      </c>
      <c r="AW252" s="30" t="str">
        <f t="shared" si="46"/>
        <v>No</v>
      </c>
      <c r="BA252" s="571" t="str">
        <f t="shared" si="47"/>
        <v/>
      </c>
    </row>
    <row r="253" spans="3:53" ht="14.4" thickBot="1" x14ac:dyDescent="0.3">
      <c r="C253" s="101">
        <v>244</v>
      </c>
      <c r="D253" s="269"/>
      <c r="E253" s="108"/>
      <c r="F253" s="281" t="str">
        <f>IF(D253="","",VLOOKUP(D253,'G-7 WaterC'' Data'!$B$2:$G$8,2,FALSE))</f>
        <v/>
      </c>
      <c r="G253" s="320" t="str">
        <f>IFERROR(VLOOKUP(F253,'G-7 WaterC'' Data'!$C$4:$D$8,2,FALSE),"")</f>
        <v/>
      </c>
      <c r="H253" s="109"/>
      <c r="I253" s="305" t="str">
        <f>IFERROR(INDEX('G-7 WaterC'' Data'!$H$4:$L$8,MATCH(D253,'G-7 WaterC'' Data'!$B$4:$B$8,0),MATCH(H253,'G-7 WaterC'' Data'!$H$3:$L$3,0)),"")</f>
        <v/>
      </c>
      <c r="J253" s="718"/>
      <c r="K253" s="301" t="str">
        <f>IF(J253="","",IF(VLOOKUP(J253,'G-7 WaterC'' Data'!$AK$4:$AM$9,2,FALSE)=0,"Spatial Data Missing ⚠",VLOOKUP(J253,'G-7 WaterC'' Data'!$AK$4:$AM$6,2,FALSE)))</f>
        <v/>
      </c>
      <c r="L253" s="305" t="str">
        <f>IF(J253="","",IF(VLOOKUP(J253,'G-7 WaterC'' Data'!$AK$4:$AM$9,3,FALSE)=0,"Spatial Data Missing ⚠",VLOOKUP(J253,'G-7 WaterC'' Data'!$AK$4:$AM$6,3,FALSE)))</f>
        <v/>
      </c>
      <c r="M253" s="106"/>
      <c r="N253" s="282" t="str">
        <f>IF(M253="","",IF(AND(M253="N/A - Culvert",D253&lt;&gt;"Culvert"),"Not possible ▲",IF(AND(D253="Culvert",M253&lt;&gt;"N/A - Culvert"),"Not possible ▲",IF(VLOOKUP(M253,'G-7 WaterC'' Data'!$AA$4:$AB$7,2,FALSE)=0,"Spatial Data Missing ⚠",VLOOKUP(M253,'G-7 WaterC'' Data'!$AA$4:$AB$7,2,FALSE)))))</f>
        <v/>
      </c>
      <c r="O253" s="56"/>
      <c r="P253" s="282" t="str">
        <f>IF(O253="","",IF(AND(O253="N/A - Culvert",D253&lt;&gt;"Culvert"),"Not possible ▲",IF(AND(D253="Culvert",O253&lt;&gt;"N/A - Culvert"),"Not possible ▲",IF(VLOOKUP(O253,'G-7 WaterC'' Data'!$AD$4:$AE$14,2,FALSE)=0,"Spatial Data Missing ⚠",VLOOKUP(O253,'G-7 WaterC'' Data'!$AD$4:$AE$14,2,FALSE)))))</f>
        <v/>
      </c>
      <c r="Q253" s="288" t="str">
        <f>IF(D253="","",VLOOKUP(D253,'G-7 WaterC'' Data'!$B$4:$G$8,6,FALSE))</f>
        <v/>
      </c>
      <c r="R253" s="295" t="str">
        <f t="shared" si="37"/>
        <v xml:space="preserve"> </v>
      </c>
      <c r="S253" s="403"/>
      <c r="T253" s="287" t="str">
        <f>IF(S253="","",IF(VLOOKUP(S253,'G-7 WaterC'' Data'!$AO$4:$BO$7,2,FALSE)=0,"Spatial Data Missing ⚠",VLOOKUP(S253,'G-7 WaterC'' Data'!$AO$4:$BO$7,2,FALSE)))</f>
        <v/>
      </c>
      <c r="U253" s="295" t="str">
        <f t="shared" si="38"/>
        <v xml:space="preserve"> </v>
      </c>
      <c r="V253" s="710" t="str">
        <f t="shared" si="39"/>
        <v/>
      </c>
      <c r="W253" s="32"/>
      <c r="X253" s="105"/>
      <c r="Y253" s="112"/>
      <c r="Z253" s="293" t="str">
        <f t="shared" si="40"/>
        <v/>
      </c>
      <c r="AA253" s="293" t="str">
        <f t="shared" si="41"/>
        <v/>
      </c>
      <c r="AB253" s="293" t="str">
        <f t="shared" si="42"/>
        <v/>
      </c>
      <c r="AC253" s="507" t="str">
        <f>IFERROR(IF(OR(E253="",R253=""),"", IF(AND(AB253&lt;&gt;"",S253=""), "Spatial risk category missing ▲", IF(AND(Q253='G-7 WaterC'' Data'!$G$4,AD253="Yes"),"Alternative Compensation ✓", IF(AND(AD253="Pending", Q253='G-7 WaterC'' Data'!$G$4),"Bespoke compensation must be agreed ▲", IF((Z253+AA253)&gt;=U253,0, U253-Z253-AA253))))),"Check Data ⚠")</f>
        <v/>
      </c>
      <c r="AD253" s="403"/>
      <c r="AE253" s="109"/>
      <c r="AF253" s="108"/>
      <c r="AG253" s="108"/>
      <c r="AH253" s="108"/>
      <c r="AI253" s="54" t="str">
        <f>IF(OR(Q253="",AD253="Yes"),"",IF(Q253='G-1 All Habitats'!$X$9,E253-Y253-X253,"None"))</f>
        <v/>
      </c>
      <c r="AJ253" s="55" t="str">
        <f>IF(Q253="","", IF(Q253='G-1 All Habitats'!$X$9, AI253*G253*I253*L253*N253*P253,"None"))</f>
        <v/>
      </c>
      <c r="AK253" s="30" t="str">
        <f>IFERROR(INDEX('G-7 WaterC'' Data'!$AZ$3:$AZ$7,MATCH(D253,'G-7 WaterC'' Data'!$AY$3:$AY$7,0)),"")</f>
        <v/>
      </c>
      <c r="AL253" s="30">
        <f t="shared" si="43"/>
        <v>0</v>
      </c>
      <c r="AM253" s="99" t="str">
        <f t="shared" si="44"/>
        <v/>
      </c>
      <c r="AN253" s="99" t="str">
        <f t="shared" si="45"/>
        <v/>
      </c>
      <c r="AO253" s="100"/>
      <c r="AP253" s="99">
        <v>244</v>
      </c>
      <c r="AQ253" s="100"/>
      <c r="AR253" s="99" t="str">
        <f t="array" ref="AR253">IFERROR(INDEX($AP$10:$AP$258, MATCH(0, IF(TRUE=$AM$10:$AM$258, COUNTIF($AR$9:$AR252, $AP$10:$AP$258), ""), 0)),"")</f>
        <v/>
      </c>
      <c r="AS253" s="99" t="str">
        <f t="array" ref="AS253">IFERROR(INDEX($AP$10:$AP$258, MATCH(0, IF(TRUE=$AN$10:$AN$258, COUNTIF($AS$9:$AS252, $AP$10:$AP$258), ""), 0)),"")</f>
        <v/>
      </c>
      <c r="AT253" s="903" t="str">
        <f>IF(AND(OR(AD253="Yes",AD253="Pending"),Q253='G-7 WaterC'' Data'!$G$4),U253-AA253-Z253,"0")</f>
        <v>0</v>
      </c>
      <c r="AU253" s="30" t="str">
        <f>IF(D253="","",VLOOKUP(D253,'G-7 WaterC'' Data'!B$4:M$8,12,FALSE))</f>
        <v/>
      </c>
      <c r="AV253" s="30" t="str">
        <f t="shared" si="36"/>
        <v/>
      </c>
      <c r="AW253" s="30" t="str">
        <f t="shared" si="46"/>
        <v>No</v>
      </c>
      <c r="BA253" s="571" t="str">
        <f t="shared" si="47"/>
        <v/>
      </c>
    </row>
    <row r="254" spans="3:53" ht="14.4" thickBot="1" x14ac:dyDescent="0.3">
      <c r="C254" s="101">
        <v>245</v>
      </c>
      <c r="D254" s="269"/>
      <c r="E254" s="108"/>
      <c r="F254" s="281" t="str">
        <f>IF(D254="","",VLOOKUP(D254,'G-7 WaterC'' Data'!$B$2:$G$8,2,FALSE))</f>
        <v/>
      </c>
      <c r="G254" s="320" t="str">
        <f>IFERROR(VLOOKUP(F254,'G-7 WaterC'' Data'!$C$4:$D$8,2,FALSE),"")</f>
        <v/>
      </c>
      <c r="H254" s="109"/>
      <c r="I254" s="305" t="str">
        <f>IFERROR(INDEX('G-7 WaterC'' Data'!$H$4:$L$8,MATCH(D254,'G-7 WaterC'' Data'!$B$4:$B$8,0),MATCH(H254,'G-7 WaterC'' Data'!$H$3:$L$3,0)),"")</f>
        <v/>
      </c>
      <c r="J254" s="718"/>
      <c r="K254" s="301" t="str">
        <f>IF(J254="","",IF(VLOOKUP(J254,'G-7 WaterC'' Data'!$AK$4:$AM$9,2,FALSE)=0,"Spatial Data Missing ⚠",VLOOKUP(J254,'G-7 WaterC'' Data'!$AK$4:$AM$6,2,FALSE)))</f>
        <v/>
      </c>
      <c r="L254" s="305" t="str">
        <f>IF(J254="","",IF(VLOOKUP(J254,'G-7 WaterC'' Data'!$AK$4:$AM$9,3,FALSE)=0,"Spatial Data Missing ⚠",VLOOKUP(J254,'G-7 WaterC'' Data'!$AK$4:$AM$6,3,FALSE)))</f>
        <v/>
      </c>
      <c r="M254" s="106"/>
      <c r="N254" s="282" t="str">
        <f>IF(M254="","",IF(AND(M254="N/A - Culvert",D254&lt;&gt;"Culvert"),"Not possible ▲",IF(AND(D254="Culvert",M254&lt;&gt;"N/A - Culvert"),"Not possible ▲",IF(VLOOKUP(M254,'G-7 WaterC'' Data'!$AA$4:$AB$7,2,FALSE)=0,"Spatial Data Missing ⚠",VLOOKUP(M254,'G-7 WaterC'' Data'!$AA$4:$AB$7,2,FALSE)))))</f>
        <v/>
      </c>
      <c r="O254" s="56"/>
      <c r="P254" s="282" t="str">
        <f>IF(O254="","",IF(AND(O254="N/A - Culvert",D254&lt;&gt;"Culvert"),"Not possible ▲",IF(AND(D254="Culvert",O254&lt;&gt;"N/A - Culvert"),"Not possible ▲",IF(VLOOKUP(O254,'G-7 WaterC'' Data'!$AD$4:$AE$14,2,FALSE)=0,"Spatial Data Missing ⚠",VLOOKUP(O254,'G-7 WaterC'' Data'!$AD$4:$AE$14,2,FALSE)))))</f>
        <v/>
      </c>
      <c r="Q254" s="288" t="str">
        <f>IF(D254="","",VLOOKUP(D254,'G-7 WaterC'' Data'!$B$4:$G$8,6,FALSE))</f>
        <v/>
      </c>
      <c r="R254" s="295" t="str">
        <f t="shared" si="37"/>
        <v xml:space="preserve"> </v>
      </c>
      <c r="S254" s="403"/>
      <c r="T254" s="287" t="str">
        <f>IF(S254="","",IF(VLOOKUP(S254,'G-7 WaterC'' Data'!$AO$4:$BO$7,2,FALSE)=0,"Spatial Data Missing ⚠",VLOOKUP(S254,'G-7 WaterC'' Data'!$AO$4:$BO$7,2,FALSE)))</f>
        <v/>
      </c>
      <c r="U254" s="295" t="str">
        <f t="shared" si="38"/>
        <v xml:space="preserve"> </v>
      </c>
      <c r="V254" s="710" t="str">
        <f t="shared" si="39"/>
        <v/>
      </c>
      <c r="W254" s="32"/>
      <c r="X254" s="105"/>
      <c r="Y254" s="112"/>
      <c r="Z254" s="293" t="str">
        <f t="shared" si="40"/>
        <v/>
      </c>
      <c r="AA254" s="293" t="str">
        <f t="shared" si="41"/>
        <v/>
      </c>
      <c r="AB254" s="293" t="str">
        <f t="shared" si="42"/>
        <v/>
      </c>
      <c r="AC254" s="507" t="str">
        <f>IFERROR(IF(OR(E254="",R254=""),"", IF(AND(AB254&lt;&gt;"",S254=""), "Spatial risk category missing ▲", IF(AND(Q254='G-7 WaterC'' Data'!$G$4,AD254="Yes"),"Alternative Compensation ✓", IF(AND(AD254="Pending", Q254='G-7 WaterC'' Data'!$G$4),"Bespoke compensation must be agreed ▲", IF((Z254+AA254)&gt;=U254,0, U254-Z254-AA254))))),"Check Data ⚠")</f>
        <v/>
      </c>
      <c r="AD254" s="403"/>
      <c r="AE254" s="109"/>
      <c r="AF254" s="108"/>
      <c r="AG254" s="108"/>
      <c r="AH254" s="108"/>
      <c r="AI254" s="54" t="str">
        <f>IF(OR(Q254="",AD254="Yes"),"",IF(Q254='G-1 All Habitats'!$X$9,E254-Y254-X254,"None"))</f>
        <v/>
      </c>
      <c r="AJ254" s="55" t="str">
        <f>IF(Q254="","", IF(Q254='G-1 All Habitats'!$X$9, AI254*G254*I254*L254*N254*P254,"None"))</f>
        <v/>
      </c>
      <c r="AK254" s="30" t="str">
        <f>IFERROR(INDEX('G-7 WaterC'' Data'!$AZ$3:$AZ$7,MATCH(D254,'G-7 WaterC'' Data'!$AY$3:$AY$7,0)),"")</f>
        <v/>
      </c>
      <c r="AL254" s="30">
        <f t="shared" si="43"/>
        <v>0</v>
      </c>
      <c r="AM254" s="99" t="str">
        <f t="shared" si="44"/>
        <v/>
      </c>
      <c r="AN254" s="99" t="str">
        <f t="shared" si="45"/>
        <v/>
      </c>
      <c r="AO254" s="100"/>
      <c r="AP254" s="99">
        <v>245</v>
      </c>
      <c r="AQ254" s="100"/>
      <c r="AR254" s="99" t="str">
        <f t="array" ref="AR254">IFERROR(INDEX($AP$10:$AP$258, MATCH(0, IF(TRUE=$AM$10:$AM$258, COUNTIF($AR$9:$AR253, $AP$10:$AP$258), ""), 0)),"")</f>
        <v/>
      </c>
      <c r="AS254" s="99" t="str">
        <f t="array" ref="AS254">IFERROR(INDEX($AP$10:$AP$258, MATCH(0, IF(TRUE=$AN$10:$AN$258, COUNTIF($AS$9:$AS253, $AP$10:$AP$258), ""), 0)),"")</f>
        <v/>
      </c>
      <c r="AT254" s="903" t="str">
        <f>IF(AND(OR(AD254="Yes",AD254="Pending"),Q254='G-7 WaterC'' Data'!$G$4),U254-AA254-Z254,"0")</f>
        <v>0</v>
      </c>
      <c r="AU254" s="30" t="str">
        <f>IF(D254="","",VLOOKUP(D254,'G-7 WaterC'' Data'!B$4:M$8,12,FALSE))</f>
        <v/>
      </c>
      <c r="AV254" s="30" t="str">
        <f t="shared" si="36"/>
        <v/>
      </c>
      <c r="AW254" s="30" t="str">
        <f t="shared" si="46"/>
        <v>No</v>
      </c>
      <c r="BA254" s="571" t="str">
        <f t="shared" si="47"/>
        <v/>
      </c>
    </row>
    <row r="255" spans="3:53" ht="14.4" thickBot="1" x14ac:dyDescent="0.3">
      <c r="C255" s="101">
        <v>246</v>
      </c>
      <c r="D255" s="269"/>
      <c r="E255" s="108"/>
      <c r="F255" s="281" t="str">
        <f>IF(D255="","",VLOOKUP(D255,'G-7 WaterC'' Data'!$B$2:$G$8,2,FALSE))</f>
        <v/>
      </c>
      <c r="G255" s="320" t="str">
        <f>IFERROR(VLOOKUP(F255,'G-7 WaterC'' Data'!$C$4:$D$8,2,FALSE),"")</f>
        <v/>
      </c>
      <c r="H255" s="109"/>
      <c r="I255" s="305" t="str">
        <f>IFERROR(INDEX('G-7 WaterC'' Data'!$H$4:$L$8,MATCH(D255,'G-7 WaterC'' Data'!$B$4:$B$8,0),MATCH(H255,'G-7 WaterC'' Data'!$H$3:$L$3,0)),"")</f>
        <v/>
      </c>
      <c r="J255" s="718"/>
      <c r="K255" s="301" t="str">
        <f>IF(J255="","",IF(VLOOKUP(J255,'G-7 WaterC'' Data'!$AK$4:$AM$9,2,FALSE)=0,"Spatial Data Missing ⚠",VLOOKUP(J255,'G-7 WaterC'' Data'!$AK$4:$AM$6,2,FALSE)))</f>
        <v/>
      </c>
      <c r="L255" s="305" t="str">
        <f>IF(J255="","",IF(VLOOKUP(J255,'G-7 WaterC'' Data'!$AK$4:$AM$9,3,FALSE)=0,"Spatial Data Missing ⚠",VLOOKUP(J255,'G-7 WaterC'' Data'!$AK$4:$AM$6,3,FALSE)))</f>
        <v/>
      </c>
      <c r="M255" s="106"/>
      <c r="N255" s="282" t="str">
        <f>IF(M255="","",IF(AND(M255="N/A - Culvert",D255&lt;&gt;"Culvert"),"Not possible ▲",IF(AND(D255="Culvert",M255&lt;&gt;"N/A - Culvert"),"Not possible ▲",IF(VLOOKUP(M255,'G-7 WaterC'' Data'!$AA$4:$AB$7,2,FALSE)=0,"Spatial Data Missing ⚠",VLOOKUP(M255,'G-7 WaterC'' Data'!$AA$4:$AB$7,2,FALSE)))))</f>
        <v/>
      </c>
      <c r="O255" s="56"/>
      <c r="P255" s="282" t="str">
        <f>IF(O255="","",IF(AND(O255="N/A - Culvert",D255&lt;&gt;"Culvert"),"Not possible ▲",IF(AND(D255="Culvert",O255&lt;&gt;"N/A - Culvert"),"Not possible ▲",IF(VLOOKUP(O255,'G-7 WaterC'' Data'!$AD$4:$AE$14,2,FALSE)=0,"Spatial Data Missing ⚠",VLOOKUP(O255,'G-7 WaterC'' Data'!$AD$4:$AE$14,2,FALSE)))))</f>
        <v/>
      </c>
      <c r="Q255" s="288" t="str">
        <f>IF(D255="","",VLOOKUP(D255,'G-7 WaterC'' Data'!$B$4:$G$8,6,FALSE))</f>
        <v/>
      </c>
      <c r="R255" s="295" t="str">
        <f t="shared" si="37"/>
        <v xml:space="preserve"> </v>
      </c>
      <c r="S255" s="403"/>
      <c r="T255" s="287" t="str">
        <f>IF(S255="","",IF(VLOOKUP(S255,'G-7 WaterC'' Data'!$AO$4:$BO$7,2,FALSE)=0,"Spatial Data Missing ⚠",VLOOKUP(S255,'G-7 WaterC'' Data'!$AO$4:$BO$7,2,FALSE)))</f>
        <v/>
      </c>
      <c r="U255" s="295" t="str">
        <f t="shared" si="38"/>
        <v xml:space="preserve"> </v>
      </c>
      <c r="V255" s="710" t="str">
        <f t="shared" si="39"/>
        <v/>
      </c>
      <c r="W255" s="32"/>
      <c r="X255" s="105"/>
      <c r="Y255" s="112"/>
      <c r="Z255" s="293" t="str">
        <f t="shared" si="40"/>
        <v/>
      </c>
      <c r="AA255" s="293" t="str">
        <f t="shared" si="41"/>
        <v/>
      </c>
      <c r="AB255" s="293" t="str">
        <f t="shared" si="42"/>
        <v/>
      </c>
      <c r="AC255" s="507" t="str">
        <f>IFERROR(IF(OR(E255="",R255=""),"", IF(AND(AB255&lt;&gt;"",S255=""), "Spatial risk category missing ▲", IF(AND(Q255='G-7 WaterC'' Data'!$G$4,AD255="Yes"),"Alternative Compensation ✓", IF(AND(AD255="Pending", Q255='G-7 WaterC'' Data'!$G$4),"Bespoke compensation must be agreed ▲", IF((Z255+AA255)&gt;=U255,0, U255-Z255-AA255))))),"Check Data ⚠")</f>
        <v/>
      </c>
      <c r="AD255" s="403"/>
      <c r="AE255" s="109"/>
      <c r="AF255" s="108"/>
      <c r="AG255" s="108"/>
      <c r="AH255" s="108"/>
      <c r="AI255" s="54" t="str">
        <f>IF(OR(Q255="",AD255="Yes"),"",IF(Q255='G-1 All Habitats'!$X$9,E255-Y255-X255,"None"))</f>
        <v/>
      </c>
      <c r="AJ255" s="55" t="str">
        <f>IF(Q255="","", IF(Q255='G-1 All Habitats'!$X$9, AI255*G255*I255*L255*N255*P255,"None"))</f>
        <v/>
      </c>
      <c r="AK255" s="30" t="str">
        <f>IFERROR(INDEX('G-7 WaterC'' Data'!$AZ$3:$AZ$7,MATCH(D255,'G-7 WaterC'' Data'!$AY$3:$AY$7,0)),"")</f>
        <v/>
      </c>
      <c r="AL255" s="30">
        <f t="shared" si="43"/>
        <v>0</v>
      </c>
      <c r="AM255" s="99" t="str">
        <f t="shared" si="44"/>
        <v/>
      </c>
      <c r="AN255" s="99" t="str">
        <f t="shared" si="45"/>
        <v/>
      </c>
      <c r="AO255" s="100"/>
      <c r="AP255" s="99">
        <v>246</v>
      </c>
      <c r="AQ255" s="100"/>
      <c r="AR255" s="99" t="str">
        <f t="array" ref="AR255">IFERROR(INDEX($AP$10:$AP$258, MATCH(0, IF(TRUE=$AM$10:$AM$258, COUNTIF($AR$9:$AR254, $AP$10:$AP$258), ""), 0)),"")</f>
        <v/>
      </c>
      <c r="AS255" s="99" t="str">
        <f t="array" ref="AS255">IFERROR(INDEX($AP$10:$AP$258, MATCH(0, IF(TRUE=$AN$10:$AN$258, COUNTIF($AS$9:$AS254, $AP$10:$AP$258), ""), 0)),"")</f>
        <v/>
      </c>
      <c r="AT255" s="903" t="str">
        <f>IF(AND(OR(AD255="Yes",AD255="Pending"),Q255='G-7 WaterC'' Data'!$G$4),U255-AA255-Z255,"0")</f>
        <v>0</v>
      </c>
      <c r="AU255" s="30" t="str">
        <f>IF(D255="","",VLOOKUP(D255,'G-7 WaterC'' Data'!B$4:M$8,12,FALSE))</f>
        <v/>
      </c>
      <c r="AV255" s="30" t="str">
        <f t="shared" si="36"/>
        <v/>
      </c>
      <c r="AW255" s="30" t="str">
        <f t="shared" si="46"/>
        <v>No</v>
      </c>
      <c r="BA255" s="571" t="str">
        <f t="shared" si="47"/>
        <v/>
      </c>
    </row>
    <row r="256" spans="3:53" ht="14.4" thickBot="1" x14ac:dyDescent="0.3">
      <c r="C256" s="101">
        <v>247</v>
      </c>
      <c r="D256" s="269"/>
      <c r="E256" s="108"/>
      <c r="F256" s="281" t="str">
        <f>IF(D256="","",VLOOKUP(D256,'G-7 WaterC'' Data'!$B$2:$G$8,2,FALSE))</f>
        <v/>
      </c>
      <c r="G256" s="320" t="str">
        <f>IFERROR(VLOOKUP(F256,'G-7 WaterC'' Data'!$C$4:$D$8,2,FALSE),"")</f>
        <v/>
      </c>
      <c r="H256" s="109"/>
      <c r="I256" s="305" t="str">
        <f>IFERROR(INDEX('G-7 WaterC'' Data'!$H$4:$L$8,MATCH(D256,'G-7 WaterC'' Data'!$B$4:$B$8,0),MATCH(H256,'G-7 WaterC'' Data'!$H$3:$L$3,0)),"")</f>
        <v/>
      </c>
      <c r="J256" s="718"/>
      <c r="K256" s="301" t="str">
        <f>IF(J256="","",IF(VLOOKUP(J256,'G-7 WaterC'' Data'!$AK$4:$AM$9,2,FALSE)=0,"Spatial Data Missing ⚠",VLOOKUP(J256,'G-7 WaterC'' Data'!$AK$4:$AM$6,2,FALSE)))</f>
        <v/>
      </c>
      <c r="L256" s="305" t="str">
        <f>IF(J256="","",IF(VLOOKUP(J256,'G-7 WaterC'' Data'!$AK$4:$AM$9,3,FALSE)=0,"Spatial Data Missing ⚠",VLOOKUP(J256,'G-7 WaterC'' Data'!$AK$4:$AM$6,3,FALSE)))</f>
        <v/>
      </c>
      <c r="M256" s="106"/>
      <c r="N256" s="282" t="str">
        <f>IF(M256="","",IF(AND(M256="N/A - Culvert",D256&lt;&gt;"Culvert"),"Not possible ▲",IF(AND(D256="Culvert",M256&lt;&gt;"N/A - Culvert"),"Not possible ▲",IF(VLOOKUP(M256,'G-7 WaterC'' Data'!$AA$4:$AB$7,2,FALSE)=0,"Spatial Data Missing ⚠",VLOOKUP(M256,'G-7 WaterC'' Data'!$AA$4:$AB$7,2,FALSE)))))</f>
        <v/>
      </c>
      <c r="O256" s="56"/>
      <c r="P256" s="282" t="str">
        <f>IF(O256="","",IF(AND(O256="N/A - Culvert",D256&lt;&gt;"Culvert"),"Not possible ▲",IF(AND(D256="Culvert",O256&lt;&gt;"N/A - Culvert"),"Not possible ▲",IF(VLOOKUP(O256,'G-7 WaterC'' Data'!$AD$4:$AE$14,2,FALSE)=0,"Spatial Data Missing ⚠",VLOOKUP(O256,'G-7 WaterC'' Data'!$AD$4:$AE$14,2,FALSE)))))</f>
        <v/>
      </c>
      <c r="Q256" s="288" t="str">
        <f>IF(D256="","",VLOOKUP(D256,'G-7 WaterC'' Data'!$B$4:$G$8,6,FALSE))</f>
        <v/>
      </c>
      <c r="R256" s="295" t="str">
        <f t="shared" si="37"/>
        <v xml:space="preserve"> </v>
      </c>
      <c r="S256" s="403"/>
      <c r="T256" s="287" t="str">
        <f>IF(S256="","",IF(VLOOKUP(S256,'G-7 WaterC'' Data'!$AO$4:$BO$7,2,FALSE)=0,"Spatial Data Missing ⚠",VLOOKUP(S256,'G-7 WaterC'' Data'!$AO$4:$BO$7,2,FALSE)))</f>
        <v/>
      </c>
      <c r="U256" s="295" t="str">
        <f t="shared" si="38"/>
        <v xml:space="preserve"> </v>
      </c>
      <c r="V256" s="710" t="str">
        <f t="shared" si="39"/>
        <v/>
      </c>
      <c r="W256" s="32"/>
      <c r="X256" s="105"/>
      <c r="Y256" s="112"/>
      <c r="Z256" s="293" t="str">
        <f t="shared" si="40"/>
        <v/>
      </c>
      <c r="AA256" s="293" t="str">
        <f t="shared" si="41"/>
        <v/>
      </c>
      <c r="AB256" s="293" t="str">
        <f t="shared" si="42"/>
        <v/>
      </c>
      <c r="AC256" s="507" t="str">
        <f>IFERROR(IF(OR(E256="",R256=""),"", IF(AND(AB256&lt;&gt;"",S256=""), "Spatial risk category missing ▲", IF(AND(Q256='G-7 WaterC'' Data'!$G$4,AD256="Yes"),"Alternative Compensation ✓", IF(AND(AD256="Pending", Q256='G-7 WaterC'' Data'!$G$4),"Bespoke compensation must be agreed ▲", IF((Z256+AA256)&gt;=U256,0, U256-Z256-AA256))))),"Check Data ⚠")</f>
        <v/>
      </c>
      <c r="AD256" s="403"/>
      <c r="AE256" s="109"/>
      <c r="AF256" s="108"/>
      <c r="AG256" s="972"/>
      <c r="AH256" s="972"/>
      <c r="AI256" s="54" t="str">
        <f>IF(OR(Q256="",AD256="Yes"),"",IF(Q256='G-1 All Habitats'!$X$9,E256-Y256-X256,"None"))</f>
        <v/>
      </c>
      <c r="AJ256" s="55" t="str">
        <f>IF(Q256="","", IF(Q256='G-1 All Habitats'!$X$9, AI256*G256*I256*L256*N256*P256,"None"))</f>
        <v/>
      </c>
      <c r="AK256" s="30" t="str">
        <f>IFERROR(INDEX('G-7 WaterC'' Data'!$AZ$3:$AZ$7,MATCH(D256,'G-7 WaterC'' Data'!$AY$3:$AY$7,0)),"")</f>
        <v/>
      </c>
      <c r="AL256" s="30">
        <f t="shared" si="43"/>
        <v>0</v>
      </c>
      <c r="AM256" s="99" t="str">
        <f t="shared" si="44"/>
        <v/>
      </c>
      <c r="AN256" s="99" t="str">
        <f t="shared" si="45"/>
        <v/>
      </c>
      <c r="AO256" s="100"/>
      <c r="AP256" s="99">
        <v>247</v>
      </c>
      <c r="AQ256" s="100"/>
      <c r="AR256" s="99" t="str">
        <f t="array" ref="AR256">IFERROR(INDEX($AP$10:$AP$258, MATCH(0, IF(TRUE=$AM$10:$AM$258, COUNTIF($AR$9:$AR255, $AP$10:$AP$258), ""), 0)),"")</f>
        <v/>
      </c>
      <c r="AS256" s="99" t="str">
        <f t="array" ref="AS256">IFERROR(INDEX($AP$10:$AP$258, MATCH(0, IF(TRUE=$AN$10:$AN$258, COUNTIF($AS$9:$AS255, $AP$10:$AP$258), ""), 0)),"")</f>
        <v/>
      </c>
      <c r="AT256" s="903" t="str">
        <f>IF(AND(OR(AD256="Yes",AD256="Pending"),Q256='G-7 WaterC'' Data'!$G$4),U256-AA256-Z256,"0")</f>
        <v>0</v>
      </c>
      <c r="AU256" s="30" t="str">
        <f>IF(D256="","",VLOOKUP(D256,'G-7 WaterC'' Data'!B$4:M$8,12,FALSE))</f>
        <v/>
      </c>
      <c r="AV256" s="30" t="str">
        <f t="shared" si="36"/>
        <v/>
      </c>
      <c r="AW256" s="30" t="str">
        <f t="shared" si="46"/>
        <v>No</v>
      </c>
      <c r="BA256" s="571" t="str">
        <f t="shared" si="47"/>
        <v/>
      </c>
    </row>
    <row r="257" spans="2:53" ht="14.4" thickBot="1" x14ac:dyDescent="0.3">
      <c r="C257" s="113">
        <v>248</v>
      </c>
      <c r="D257" s="270"/>
      <c r="E257" s="114"/>
      <c r="F257" s="283" t="str">
        <f>IF(D257="","",VLOOKUP(D257,'G-7 WaterC'' Data'!$B$2:$G$8,2,FALSE))</f>
        <v/>
      </c>
      <c r="G257" s="717" t="str">
        <f>IFERROR(VLOOKUP(F257,'G-7 WaterC'' Data'!$C$4:$D$8,2,FALSE),"")</f>
        <v/>
      </c>
      <c r="H257" s="115"/>
      <c r="I257" s="284" t="str">
        <f>IFERROR(INDEX('G-7 WaterC'' Data'!$H$4:$L$8,MATCH(D257,'G-7 WaterC'' Data'!$B$4:$B$8,0),MATCH(H257,'G-7 WaterC'' Data'!$H$3:$L$3,0)),"")</f>
        <v/>
      </c>
      <c r="J257" s="210"/>
      <c r="K257" s="290" t="str">
        <f>IF(J257="","",IF(VLOOKUP(J257,'G-7 WaterC'' Data'!$AK$4:$AM$9,2,FALSE)=0,"Spatial Data Missing ⚠",VLOOKUP(J257,'G-7 WaterC'' Data'!$AK$4:$AM$6,2,FALSE)))</f>
        <v/>
      </c>
      <c r="L257" s="284" t="str">
        <f>IF(J257="","",IF(VLOOKUP(J257,'G-7 WaterC'' Data'!$AK$4:$AM$9,3,FALSE)=0,"Spatial Data Missing ⚠",VLOOKUP(J257,'G-7 WaterC'' Data'!$AK$4:$AM$6,3,FALSE)))</f>
        <v/>
      </c>
      <c r="M257" s="209"/>
      <c r="N257" s="566" t="str">
        <f>IF(M257="","",IF(AND(M257="N/A - Culvert",D257&lt;&gt;"Culvert"),"Not possible ▲",IF(AND(D257="Culvert",M257&lt;&gt;"N/A - Culvert"),"Not possible ▲",IF(VLOOKUP(M257,'G-7 WaterC'' Data'!$AA$4:$AB$7,2,FALSE)=0,"Spatial Data Missing ⚠",VLOOKUP(M257,'G-7 WaterC'' Data'!$AA$4:$AB$7,2,FALSE)))))</f>
        <v/>
      </c>
      <c r="O257" s="643"/>
      <c r="P257" s="566" t="str">
        <f>IF(O257="","",IF(AND(O257="N/A - Culvert",D257&lt;&gt;"Culvert"),"Not possible ▲",IF(AND(D257="Culvert",O257&lt;&gt;"N/A - Culvert"),"Not possible ▲",IF(VLOOKUP(O257,'G-7 WaterC'' Data'!$AD$4:$AE$14,2,FALSE)=0,"Spatial Data Missing ⚠",VLOOKUP(O257,'G-7 WaterC'' Data'!$AD$4:$AE$14,2,FALSE)))))</f>
        <v/>
      </c>
      <c r="Q257" s="568" t="str">
        <f>IF(D257="","",VLOOKUP(D257,'G-7 WaterC'' Data'!$B$4:$G$8,6,FALSE))</f>
        <v/>
      </c>
      <c r="R257" s="273" t="str">
        <f t="shared" si="37"/>
        <v xml:space="preserve"> </v>
      </c>
      <c r="S257" s="444"/>
      <c r="T257" s="587" t="str">
        <f>IF(S257="","",IF(VLOOKUP(S257,'G-7 WaterC'' Data'!$AO$4:$BO$7,2,FALSE)=0,"Spatial Data Missing ⚠",VLOOKUP(S257,'G-7 WaterC'' Data'!$AO$4:$BO$7,2,FALSE)))</f>
        <v/>
      </c>
      <c r="U257" s="273" t="str">
        <f t="shared" si="38"/>
        <v xml:space="preserve"> </v>
      </c>
      <c r="V257" s="711" t="str">
        <f t="shared" si="39"/>
        <v/>
      </c>
      <c r="W257" s="32"/>
      <c r="X257" s="635"/>
      <c r="Y257" s="637"/>
      <c r="Z257" s="573" t="str">
        <f t="shared" si="40"/>
        <v/>
      </c>
      <c r="AA257" s="573" t="str">
        <f t="shared" si="41"/>
        <v/>
      </c>
      <c r="AB257" s="573" t="str">
        <f t="shared" si="42"/>
        <v/>
      </c>
      <c r="AC257" s="507" t="str">
        <f>IFERROR(IF(OR(E257="",R257=""),"", IF(AND(AB257&lt;&gt;"",S257=""), "Spatial risk category missing ▲", IF(AND(Q257='G-7 WaterC'' Data'!$G$4,AD257="Yes"),"Alternative Compensation ✓", IF(AND(AD257="Pending", Q257='G-7 WaterC'' Data'!$G$4),"Bespoke compensation must be agreed ▲", IF((Z257+AA257)&gt;=U257,0, U257-Z257-AA257))))),"Check Data ⚠")</f>
        <v/>
      </c>
      <c r="AD257" s="444"/>
      <c r="AE257" s="115"/>
      <c r="AF257" s="114"/>
      <c r="AG257" s="959"/>
      <c r="AH257" s="114"/>
      <c r="AI257" s="54" t="str">
        <f>IF(OR(Q257="",AD257="Yes"),"",IF(Q257='G-1 All Habitats'!$X$9,E257-Y257-X257,"None"))</f>
        <v/>
      </c>
      <c r="AJ257" s="55" t="str">
        <f>IF(Q257="","", IF(Q257='G-1 All Habitats'!$X$9, AI257*G257*I257*L257*N257*P257,"None"))</f>
        <v/>
      </c>
      <c r="AK257" s="30" t="str">
        <f>IFERROR(INDEX('G-7 WaterC'' Data'!$AZ$3:$AZ$7,MATCH(D257,'G-7 WaterC'' Data'!$AY$3:$AY$7,0)),"")</f>
        <v/>
      </c>
      <c r="AL257" s="30">
        <f t="shared" si="43"/>
        <v>0</v>
      </c>
      <c r="AM257" s="99" t="str">
        <f t="shared" si="44"/>
        <v/>
      </c>
      <c r="AN257" s="99" t="str">
        <f t="shared" si="45"/>
        <v/>
      </c>
      <c r="AO257" s="100"/>
      <c r="AP257" s="99">
        <v>248</v>
      </c>
      <c r="AQ257" s="100"/>
      <c r="AR257" s="99" t="str">
        <f t="array" ref="AR257">IFERROR(INDEX($AP$10:$AP$258, MATCH(0, IF(TRUE=$AM$10:$AM$258, COUNTIF($AR$9:$AR256, $AP$10:$AP$258), ""), 0)),"")</f>
        <v/>
      </c>
      <c r="AS257" s="99" t="str">
        <f t="array" ref="AS257">IFERROR(INDEX($AP$10:$AP$258, MATCH(0, IF(TRUE=$AN$10:$AN$258, COUNTIF($AS$9:$AS256, $AP$10:$AP$258), ""), 0)),"")</f>
        <v/>
      </c>
      <c r="AT257" s="903" t="str">
        <f>IF(AND(OR(AD257="Yes",AD257="Pending"),Q257='G-7 WaterC'' Data'!$G$4),U257-AA257-Z257,"0")</f>
        <v>0</v>
      </c>
      <c r="AU257" s="30" t="str">
        <f>IF(D257="","",VLOOKUP(D257,'G-7 WaterC'' Data'!B$4:M$8,12,FALSE))</f>
        <v/>
      </c>
      <c r="AV257" s="30" t="str">
        <f t="shared" si="36"/>
        <v/>
      </c>
      <c r="AW257" s="30" t="str">
        <f t="shared" si="46"/>
        <v>No</v>
      </c>
      <c r="BA257" s="571" t="str">
        <f t="shared" si="47"/>
        <v/>
      </c>
    </row>
    <row r="258" spans="2:53" ht="15.75" customHeight="1" thickBot="1" x14ac:dyDescent="0.3">
      <c r="B258" s="30"/>
      <c r="C258" s="30"/>
      <c r="D258" s="622"/>
      <c r="E258" s="330">
        <f>SUM(E10:E257)</f>
        <v>0.14899999999999999</v>
      </c>
      <c r="P258" s="1683"/>
      <c r="Q258" s="1683"/>
      <c r="R258" s="332">
        <f>SUM(R10:R257)</f>
        <v>1.598868</v>
      </c>
      <c r="S258" s="59"/>
      <c r="T258" s="421"/>
      <c r="U258" s="332">
        <f>SUM(U10:U257)</f>
        <v>1.598868</v>
      </c>
      <c r="V258" s="59"/>
      <c r="W258" s="117"/>
      <c r="X258" s="298">
        <f>SUM(X10:X257)</f>
        <v>0</v>
      </c>
      <c r="Y258" s="299">
        <f>SUM(Y10:Y257)</f>
        <v>0.14899999999999999</v>
      </c>
      <c r="Z258" s="299" cm="1">
        <f t="array" ref="Z258">IF(OR(Z10:Z257="Error in Lengths ▲",Z10:Z257="Check data"),"Error ▲",SUM(Z10:Z257))</f>
        <v>0</v>
      </c>
      <c r="AA258" s="299" cm="1">
        <f t="array" ref="AA258">IF(OR(Z10:Z257="Error in Lengths ▲", AA10:AA257="Check data"), "Error ▲", SUM(AA10:AA257))</f>
        <v>1.598868</v>
      </c>
      <c r="AB258" s="299">
        <f>SUM(AB10:AB257)</f>
        <v>0</v>
      </c>
      <c r="AC258" s="300">
        <f>IFERROR(IF(E258="","", SUMIF(AC10:AC257, "&gt;0", AC10:AC257)),"Check Data ⚠")</f>
        <v>0</v>
      </c>
      <c r="AD258" s="491"/>
      <c r="AI258" s="722">
        <f>SUM(AI10:AI257)</f>
        <v>0</v>
      </c>
      <c r="AT258" s="903">
        <f>SUM(AT10:AT257)</f>
        <v>0</v>
      </c>
      <c r="BA258" s="299" cm="1">
        <f t="array" ref="BA258">IF(OR(Z10:Z257="Error in Lengths ▲",Z10:Z257="Check data"),"Error ▲",SUM(BA10:BA257))</f>
        <v>0</v>
      </c>
    </row>
    <row r="259" spans="2:53" ht="13.8" x14ac:dyDescent="0.25">
      <c r="B259" s="30"/>
      <c r="C259" s="30"/>
      <c r="W259" s="117"/>
      <c r="X259" s="117"/>
      <c r="Y259" s="117"/>
      <c r="Z259" s="117"/>
      <c r="AA259" s="117"/>
      <c r="AB259" s="117"/>
      <c r="AC259" s="117"/>
      <c r="AD259" s="117"/>
      <c r="BA259" s="117"/>
    </row>
    <row r="260" spans="2:53" ht="13.8" x14ac:dyDescent="0.25"/>
    <row r="261" spans="2:53" ht="13.8" x14ac:dyDescent="0.25"/>
    <row r="262" spans="2:53" ht="13.8" x14ac:dyDescent="0.25"/>
    <row r="263" spans="2:53" ht="13.8" x14ac:dyDescent="0.25"/>
    <row r="264" spans="2:53" ht="13.8" x14ac:dyDescent="0.25"/>
    <row r="265" spans="2:53" ht="13.8" hidden="1" x14ac:dyDescent="0.25"/>
    <row r="266" spans="2:53" ht="13.8" hidden="1" x14ac:dyDescent="0.25"/>
    <row r="267" spans="2:53" ht="13.8" hidden="1" x14ac:dyDescent="0.25"/>
    <row r="268" spans="2:53" ht="13.8" hidden="1" x14ac:dyDescent="0.25"/>
    <row r="269" spans="2:53" ht="13.8" hidden="1" x14ac:dyDescent="0.25"/>
    <row r="270" spans="2:53" ht="13.8" hidden="1" x14ac:dyDescent="0.25"/>
    <row r="271" spans="2:53" ht="13.8" hidden="1" x14ac:dyDescent="0.25"/>
  </sheetData>
  <sheetProtection algorithmName="SHA-512" hashValue="DviZmqOzSEt01ODpkS0Jz+vybcVzjRjFp/vI0WMyosu70aYBV7gjKwpCu6aaoIc9qiSeH5ZdyIEys3h+EU88nA==" saltValue="qIKuqGVUMAX3zWQJtCzCv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4">
    <mergeCell ref="B2:E2"/>
    <mergeCell ref="B3:E4"/>
    <mergeCell ref="C8:E8"/>
    <mergeCell ref="F8:G8"/>
    <mergeCell ref="H8:I8"/>
    <mergeCell ref="H2:M2"/>
    <mergeCell ref="K3:M3"/>
    <mergeCell ref="K4:M4"/>
    <mergeCell ref="H3:J3"/>
    <mergeCell ref="H4:J4"/>
    <mergeCell ref="H5:J5"/>
    <mergeCell ref="K5:M5"/>
    <mergeCell ref="J8:L8"/>
    <mergeCell ref="M8:N8"/>
    <mergeCell ref="AE8:AH8"/>
    <mergeCell ref="X4:AC5"/>
    <mergeCell ref="P258:Q258"/>
    <mergeCell ref="O2:W4"/>
    <mergeCell ref="O8:P8"/>
    <mergeCell ref="Q8:Q9"/>
    <mergeCell ref="X8:AC8"/>
    <mergeCell ref="S8:T8"/>
    <mergeCell ref="AD8:AD9"/>
    <mergeCell ref="V8:V9"/>
  </mergeCells>
  <conditionalFormatting sqref="Q10:Q257">
    <cfRule type="containsText" dxfId="213" priority="11" operator="containsText" text="Same">
      <formula>NOT(ISERROR(SEARCH("Same",Q10)))</formula>
    </cfRule>
    <cfRule type="containsText" dxfId="212" priority="46" operator="containsText" text="Bespoke">
      <formula>NOT(ISERROR(SEARCH("Bespoke",Q10)))</formula>
    </cfRule>
    <cfRule type="containsText" dxfId="211" priority="94" operator="containsText" text="Restore">
      <formula>NOT(ISERROR(SEARCH("Restore",Q10)))</formula>
    </cfRule>
  </conditionalFormatting>
  <conditionalFormatting sqref="K10:Q257">
    <cfRule type="containsText" dxfId="210" priority="95" operator="containsText" text="Spatial">
      <formula>NOT(ISERROR(SEARCH("Spatial",K10)))</formula>
    </cfRule>
  </conditionalFormatting>
  <conditionalFormatting sqref="AB10:AB257">
    <cfRule type="containsText" dxfId="209" priority="91" operator="containsText" text="Error">
      <formula>NOT(ISERROR(SEARCH("Error",AB10)))</formula>
    </cfRule>
  </conditionalFormatting>
  <conditionalFormatting sqref="AC10:AD258">
    <cfRule type="containsText" dxfId="208" priority="89" operator="containsText" text="Check">
      <formula>NOT(ISERROR(SEARCH("Check",AC10)))</formula>
    </cfRule>
    <cfRule type="containsText" dxfId="207" priority="90" operator="containsText" text="Error">
      <formula>NOT(ISERROR(SEARCH("Error",AC10)))</formula>
    </cfRule>
  </conditionalFormatting>
  <conditionalFormatting sqref="W5 X4">
    <cfRule type="containsText" dxfId="206" priority="88" operator="containsText" text="Check">
      <formula>NOT(ISERROR(SEARCH("Check",W4)))</formula>
    </cfRule>
  </conditionalFormatting>
  <conditionalFormatting sqref="K3">
    <cfRule type="containsText" dxfId="205" priority="86" operator="containsText" text="Error">
      <formula>NOT(ISERROR(SEARCH("Error",K3)))</formula>
    </cfRule>
    <cfRule type="containsText" dxfId="204" priority="87" operator="containsText" text="Check">
      <formula>NOT(ISERROR(SEARCH("Check",K3)))</formula>
    </cfRule>
  </conditionalFormatting>
  <conditionalFormatting sqref="K4">
    <cfRule type="containsText" dxfId="203" priority="5" operator="containsText" text="Error">
      <formula>NOT(ISERROR(SEARCH("Error",K4)))</formula>
    </cfRule>
    <cfRule type="containsText" dxfId="202" priority="54" operator="containsText" text="Check">
      <formula>NOT(ISERROR(SEARCH("Check",K4)))</formula>
    </cfRule>
  </conditionalFormatting>
  <conditionalFormatting sqref="O2:W4">
    <cfRule type="containsText" dxfId="201" priority="81" operator="containsText" text="Check">
      <formula>NOT(ISERROR(SEARCH("Check",O2)))</formula>
    </cfRule>
  </conditionalFormatting>
  <conditionalFormatting sqref="K5">
    <cfRule type="containsText" dxfId="200" priority="79" operator="containsText" text="No">
      <formula>NOT(ISERROR(SEARCH("No",K5)))</formula>
    </cfRule>
    <cfRule type="containsText" dxfId="199" priority="80" operator="containsText" text="Yes">
      <formula>NOT(ISERROR(SEARCH("Yes",K5)))</formula>
    </cfRule>
  </conditionalFormatting>
  <conditionalFormatting sqref="S10:S257">
    <cfRule type="containsText" dxfId="198" priority="77" operator="containsText" text="Existing Value Not Required">
      <formula>NOT(ISERROR(SEARCH("Existing Value Not Required",S10)))</formula>
    </cfRule>
    <cfRule type="containsText" dxfId="197" priority="78" operator="containsText" text="Existing Value Required">
      <formula>NOT(ISERROR(SEARCH("Existing Value Required",S10)))</formula>
    </cfRule>
  </conditionalFormatting>
  <conditionalFormatting sqref="S10:T257">
    <cfRule type="containsText" dxfId="196" priority="73" operator="containsText" text="Check">
      <formula>NOT(ISERROR(SEARCH("Check",S10)))</formula>
    </cfRule>
    <cfRule type="containsText" dxfId="195" priority="74" operator="containsText" text="Error">
      <formula>NOT(ISERROR(SEARCH("Error",S10)))</formula>
    </cfRule>
  </conditionalFormatting>
  <conditionalFormatting sqref="T10:T257">
    <cfRule type="containsText" dxfId="194" priority="72" operator="containsText" text="Spatial">
      <formula>NOT(ISERROR(SEARCH("Spatial",T10)))</formula>
    </cfRule>
  </conditionalFormatting>
  <conditionalFormatting sqref="I10:I257">
    <cfRule type="containsText" dxfId="193" priority="57" operator="containsText" text="Not possible">
      <formula>NOT(ISERROR(SEARCH("Not possible",I10)))</formula>
    </cfRule>
  </conditionalFormatting>
  <conditionalFormatting sqref="Z258:AA258">
    <cfRule type="containsText" dxfId="192" priority="56" operator="containsText" text="Error">
      <formula>NOT(ISERROR(SEARCH("Error",Z258)))</formula>
    </cfRule>
  </conditionalFormatting>
  <conditionalFormatting sqref="Z10:Z257">
    <cfRule type="containsText" dxfId="191" priority="13" operator="containsText" text="⚠">
      <formula>NOT(ISERROR(SEARCH("⚠",Z10)))</formula>
    </cfRule>
    <cfRule type="containsText" dxfId="190" priority="55" operator="containsText" text="Error">
      <formula>NOT(ISERROR(SEARCH("Error",Z10)))</formula>
    </cfRule>
  </conditionalFormatting>
  <conditionalFormatting sqref="K4:M4">
    <cfRule type="cellIs" dxfId="189" priority="53" operator="equal">
      <formula>0</formula>
    </cfRule>
    <cfRule type="cellIs" dxfId="188" priority="495" operator="lessThan">
      <formula>0</formula>
    </cfRule>
  </conditionalFormatting>
  <conditionalFormatting sqref="AD1:AD1048576">
    <cfRule type="containsText" dxfId="187" priority="4" operator="containsText" text="Pending">
      <formula>NOT(ISERROR(SEARCH("Pending",AD1)))</formula>
    </cfRule>
    <cfRule type="containsText" dxfId="186" priority="49" operator="containsText" text="Yes">
      <formula>NOT(ISERROR(SEARCH("Yes",AD1)))</formula>
    </cfRule>
    <cfRule type="containsText" dxfId="185" priority="50" operator="containsText" text="No">
      <formula>NOT(ISERROR(SEARCH("No",AD1)))</formula>
    </cfRule>
  </conditionalFormatting>
  <conditionalFormatting sqref="AC1:AC1048576">
    <cfRule type="containsText" dxfId="184" priority="47" operator="containsText" text="✓">
      <formula>NOT(ISERROR(SEARCH("✓",AC1)))</formula>
    </cfRule>
    <cfRule type="containsText" dxfId="183" priority="48" operator="containsText" text="▲">
      <formula>NOT(ISERROR(SEARCH("▲",AC1)))</formula>
    </cfRule>
  </conditionalFormatting>
  <conditionalFormatting sqref="U10:V257">
    <cfRule type="containsText" dxfId="182" priority="45" operator="containsText" text="⚠">
      <formula>NOT(ISERROR(SEARCH("⚠",U10)))</formula>
    </cfRule>
  </conditionalFormatting>
  <conditionalFormatting sqref="AB10:AB257">
    <cfRule type="containsText" dxfId="181" priority="44" operator="containsText" text="⚠">
      <formula>NOT(ISERROR(SEARCH("⚠",AB10)))</formula>
    </cfRule>
  </conditionalFormatting>
  <conditionalFormatting sqref="X258:AC258">
    <cfRule type="containsText" dxfId="180" priority="41" operator="containsText" text="▲">
      <formula>NOT(ISERROR(SEARCH("▲",X258)))</formula>
    </cfRule>
  </conditionalFormatting>
  <conditionalFormatting sqref="AB258">
    <cfRule type="containsText" dxfId="179" priority="42" operator="containsText" text="▲">
      <formula>NOT(ISERROR(SEARCH("▲",AB258)))</formula>
    </cfRule>
  </conditionalFormatting>
  <conditionalFormatting sqref="U258:V258">
    <cfRule type="containsText" dxfId="178" priority="40" operator="containsText" text="▲">
      <formula>NOT(ISERROR(SEARCH("▲",U258)))</formula>
    </cfRule>
  </conditionalFormatting>
  <conditionalFormatting sqref="E258">
    <cfRule type="containsText" dxfId="177" priority="39" operator="containsText" text="▲">
      <formula>NOT(ISERROR(SEARCH("▲",E258)))</formula>
    </cfRule>
  </conditionalFormatting>
  <conditionalFormatting sqref="AI10:AI257">
    <cfRule type="cellIs" dxfId="176" priority="35" operator="equal">
      <formula>""</formula>
    </cfRule>
    <cfRule type="cellIs" dxfId="175" priority="36" operator="equal">
      <formula>"None"</formula>
    </cfRule>
    <cfRule type="cellIs" dxfId="174" priority="38" operator="greaterThan">
      <formula>0</formula>
    </cfRule>
  </conditionalFormatting>
  <conditionalFormatting sqref="AJ11">
    <cfRule type="cellIs" dxfId="173" priority="33" operator="equal">
      <formula>"None"</formula>
    </cfRule>
    <cfRule type="cellIs" dxfId="172" priority="34" operator="equal">
      <formula>""</formula>
    </cfRule>
    <cfRule type="cellIs" dxfId="171" priority="37" operator="greaterThan">
      <formula>0</formula>
    </cfRule>
  </conditionalFormatting>
  <conditionalFormatting sqref="AI10:AI257">
    <cfRule type="cellIs" dxfId="170" priority="29" operator="equal">
      <formula>""</formula>
    </cfRule>
    <cfRule type="cellIs" dxfId="169" priority="30" operator="equal">
      <formula>"None"</formula>
    </cfRule>
    <cfRule type="cellIs" dxfId="168" priority="32" operator="greaterThan">
      <formula>0</formula>
    </cfRule>
  </conditionalFormatting>
  <conditionalFormatting sqref="AJ10:AJ257">
    <cfRule type="cellIs" dxfId="167" priority="27" operator="equal">
      <formula>"None"</formula>
    </cfRule>
    <cfRule type="cellIs" dxfId="166" priority="28" operator="equal">
      <formula>""</formula>
    </cfRule>
    <cfRule type="cellIs" dxfId="165" priority="31" operator="greaterThan">
      <formula>0</formula>
    </cfRule>
  </conditionalFormatting>
  <conditionalFormatting sqref="AI10:AI257">
    <cfRule type="cellIs" dxfId="164" priority="23" operator="equal">
      <formula>""</formula>
    </cfRule>
    <cfRule type="cellIs" dxfId="163" priority="24" operator="equal">
      <formula>"None"</formula>
    </cfRule>
    <cfRule type="cellIs" dxfId="162" priority="26" operator="greaterThan">
      <formula>0</formula>
    </cfRule>
  </conditionalFormatting>
  <conditionalFormatting sqref="AJ12:AJ257">
    <cfRule type="cellIs" dxfId="161" priority="21" operator="equal">
      <formula>"None"</formula>
    </cfRule>
    <cfRule type="cellIs" dxfId="160" priority="22" operator="equal">
      <formula>""</formula>
    </cfRule>
    <cfRule type="cellIs" dxfId="159" priority="25" operator="greaterThan">
      <formula>0</formula>
    </cfRule>
  </conditionalFormatting>
  <conditionalFormatting sqref="AI10:AI257">
    <cfRule type="cellIs" dxfId="158" priority="20" operator="equal">
      <formula>0</formula>
    </cfRule>
  </conditionalFormatting>
  <conditionalFormatting sqref="BA258">
    <cfRule type="containsText" dxfId="157" priority="19" operator="containsText" text="Error">
      <formula>NOT(ISERROR(SEARCH("Error",BA258)))</formula>
    </cfRule>
  </conditionalFormatting>
  <conditionalFormatting sqref="BA10:BA257">
    <cfRule type="containsText" dxfId="156" priority="18" operator="containsText" text="Error">
      <formula>NOT(ISERROR(SEARCH("Error",BA10)))</formula>
    </cfRule>
  </conditionalFormatting>
  <conditionalFormatting sqref="BA258">
    <cfRule type="containsText" dxfId="155" priority="16" operator="containsText" text="▲">
      <formula>NOT(ISERROR(SEARCH("▲",BA258)))</formula>
    </cfRule>
  </conditionalFormatting>
  <conditionalFormatting sqref="K3:M5">
    <cfRule type="containsText" dxfId="154" priority="52" operator="containsText" text="N/A">
      <formula>NOT(ISERROR(SEARCH("N/A",K3)))</formula>
    </cfRule>
  </conditionalFormatting>
  <conditionalFormatting sqref="V1:V1048576">
    <cfRule type="containsText" dxfId="153" priority="14" operator="containsText" text="Yes">
      <formula>NOT(ISERROR(SEARCH("Yes",V1)))</formula>
    </cfRule>
  </conditionalFormatting>
  <conditionalFormatting sqref="U1:U1048576">
    <cfRule type="containsText" dxfId="152" priority="12" operator="containsText" text="▲">
      <formula>NOT(ISERROR(SEARCH("▲",U1)))</formula>
    </cfRule>
  </conditionalFormatting>
  <conditionalFormatting sqref="AC10:AC257">
    <cfRule type="containsText" dxfId="151" priority="10" operator="containsText" text="⚠">
      <formula>NOT(ISERROR(SEARCH("⚠",AC10)))</formula>
    </cfRule>
  </conditionalFormatting>
  <conditionalFormatting sqref="R1:R1048576">
    <cfRule type="containsText" dxfId="150" priority="9" operator="containsText" text="unacceptable">
      <formula>NOT(ISERROR(SEARCH("unacceptable",R1)))</formula>
    </cfRule>
  </conditionalFormatting>
  <conditionalFormatting sqref="N1:N1048576">
    <cfRule type="containsText" dxfId="149" priority="8" operator="containsText" text="Not possible">
      <formula>NOT(ISERROR(SEARCH("Not possible",N1)))</formula>
    </cfRule>
  </conditionalFormatting>
  <conditionalFormatting sqref="P1:P1048576">
    <cfRule type="containsText" dxfId="148" priority="7" operator="containsText" text="Not possible">
      <formula>NOT(ISERROR(SEARCH("Not possible",P1)))</formula>
    </cfRule>
  </conditionalFormatting>
  <conditionalFormatting sqref="K1:K1048576">
    <cfRule type="containsText" dxfId="147" priority="6" operator="containsText" text="Possible">
      <formula>NOT(ISERROR(SEARCH("Possible",K1)))</formula>
    </cfRule>
  </conditionalFormatting>
  <conditionalFormatting sqref="Q1:Q1048576">
    <cfRule type="containsText" dxfId="146" priority="1" operator="containsText" text="Better">
      <formula>NOT(ISERROR(SEARCH("Better",Q1)))</formula>
    </cfRule>
    <cfRule type="containsText" dxfId="145" priority="3" operator="containsText" text="⚠">
      <formula>NOT(ISERROR(SEARCH("⚠",Q1)))</formula>
    </cfRule>
  </conditionalFormatting>
  <conditionalFormatting sqref="AH10:AH257">
    <cfRule type="expression" dxfId="144" priority="2">
      <formula>$U10="Off-site reference required ▲"</formula>
    </cfRule>
  </conditionalFormatting>
  <dataValidations count="4">
    <dataValidation type="list" allowBlank="1" showInputMessage="1" showErrorMessage="1" sqref="H10:H257" xr:uid="{00000000-0002-0000-1800-000000000000}">
      <formula1>INDIRECT(AK10)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O10:O257" xr:uid="{992FF488-5483-4234-B169-A25B32BCD193}">
      <formula1>IF(D10="Culvert",Encroachment2,Encroachment1)</formula1>
    </dataValidation>
    <dataValidation type="list" allowBlank="1" showInputMessage="1" showErrorMessage="1" sqref="AD10:AD257" xr:uid="{4B56DA72-2CD0-417E-B96E-1D350CFE0A3B}">
      <formula1>"Yes, No, Pending"</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15" id="{A5156E1F-D9FB-4ED7-A322-68BD80C71C18}">
            <xm:f>'Headline Results'!$H$10:$I$10=0</xm:f>
            <x14:dxf>
              <font>
                <color auto="1"/>
              </font>
              <fill>
                <patternFill>
                  <bgColor rgb="FFE0DCD3"/>
                </patternFill>
              </fill>
            </x14:dxf>
          </x14:cfRule>
          <xm:sqref>K4:M4</xm:sqref>
        </x14:conditionalFormatting>
        <x14:conditionalFormatting xmlns:xm="http://schemas.microsoft.com/office/excel/2006/main">
          <x14:cfRule type="cellIs" priority="51" operator="lessThan" id="{B0CC3A41-3BA3-464F-80F6-EA546015E284}">
            <xm:f>Start!$F$22</xm:f>
            <x14:dxf>
              <font>
                <color rgb="FF383745"/>
              </font>
              <fill>
                <patternFill>
                  <bgColor rgb="FFFFC000"/>
                </patternFill>
              </fill>
            </x14:dxf>
          </x14:cfRule>
          <x14:cfRule type="cellIs" priority="496"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43" operator="containsText" id="{C9DF6C2D-1BD0-40A6-8AC1-61A97B405095}">
            <xm:f>NOT(ISERROR(SEARCH(IF('Detailed Results'!L164&gt;0,"Error ▲"),X258)))</xm:f>
            <xm:f>IF('Detailed Results'!L164&gt;0,"Error ▲")</xm:f>
            <x14:dxf>
              <font>
                <color theme="0"/>
              </font>
              <fill>
                <patternFill>
                  <bgColor rgb="FFC00000"/>
                </patternFill>
              </fill>
            </x14:dxf>
          </x14:cfRule>
          <xm:sqref>X258:AC258 BA258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D3C002D9-3D24-4191-B436-0EEE13FCC6B7}">
          <x14:formula1>
            <xm:f>'G-7 WaterC'' Data'!$AO$4:$AO$7</xm:f>
          </x14:formula1>
          <xm:sqref>S10:S257</xm:sqref>
        </x14:dataValidation>
        <x14:dataValidation type="list" allowBlank="1" showInputMessage="1" showErrorMessage="1" xr:uid="{50C9AA41-886F-40B2-9F2E-EA4B4B76AFB0}">
          <x14:formula1>
            <xm:f>'G-7 WaterC'' Data'!$AK$4:$AK$6</xm:f>
          </x14:formula1>
          <xm:sqref>J10:J257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B1:AN267"/>
  <sheetViews>
    <sheetView zoomScale="80" zoomScaleNormal="80" workbookViewId="0">
      <pane ySplit="11" topLeftCell="A12" activePane="bottomLeft" state="frozen"/>
      <selection pane="bottomLeft"/>
    </sheetView>
  </sheetViews>
  <sheetFormatPr defaultColWidth="16.6640625" defaultRowHeight="15" customHeight="1" zeroHeight="1" x14ac:dyDescent="0.25"/>
  <cols>
    <col min="1" max="1" width="2.6640625" style="30" customWidth="1"/>
    <col min="2" max="2" width="10.6640625" style="30" customWidth="1"/>
    <col min="3" max="3" width="47.33203125" style="30" customWidth="1"/>
    <col min="4" max="4" width="10.44140625" style="30" customWidth="1"/>
    <col min="5" max="5" width="17.44140625" style="30" customWidth="1"/>
    <col min="6" max="6" width="13.33203125" style="30" customWidth="1"/>
    <col min="7" max="7" width="12.5546875" style="30" bestFit="1" customWidth="1"/>
    <col min="8" max="8" width="12.5546875" style="30" customWidth="1"/>
    <col min="9" max="9" width="33.6640625" style="30" customWidth="1"/>
    <col min="10" max="10" width="15.44140625" style="30" customWidth="1"/>
    <col min="11" max="11" width="13.5546875" style="30" customWidth="1"/>
    <col min="12" max="14" width="17.6640625" style="30" customWidth="1"/>
    <col min="15" max="15" width="34.5546875" style="30" customWidth="1"/>
    <col min="16" max="16" width="17.6640625" style="30" customWidth="1"/>
    <col min="17" max="17" width="15.33203125" style="30" customWidth="1"/>
    <col min="18" max="18" width="14.6640625" style="30" customWidth="1"/>
    <col min="19" max="19" width="26.33203125" style="30" customWidth="1"/>
    <col min="20" max="20" width="13.44140625" style="30" customWidth="1"/>
    <col min="21" max="21" width="12.33203125" style="30" customWidth="1"/>
    <col min="22" max="22" width="16.44140625" style="30" customWidth="1"/>
    <col min="23" max="23" width="12.44140625" style="30" customWidth="1"/>
    <col min="24" max="24" width="17" style="30" customWidth="1"/>
    <col min="25" max="25" width="12.5546875" style="30" customWidth="1"/>
    <col min="26" max="26" width="42.6640625" style="30" customWidth="1"/>
    <col min="27" max="27" width="12.6640625" style="30" hidden="1" customWidth="1"/>
    <col min="28" max="28" width="12" style="30" hidden="1" customWidth="1"/>
    <col min="29" max="29" width="17.33203125" style="30" customWidth="1"/>
    <col min="30" max="31" width="34.6640625" style="30" customWidth="1"/>
    <col min="32" max="32" width="12.5546875" style="30" customWidth="1"/>
    <col min="33" max="34" width="12" style="30" customWidth="1"/>
    <col min="35" max="35" width="8.6640625" style="30" customWidth="1"/>
    <col min="36" max="36" width="16.6640625" style="30" hidden="1" customWidth="1"/>
    <col min="37" max="16382" width="0" style="30" hidden="1" customWidth="1"/>
    <col min="16383" max="16384" width="16.6640625" style="30"/>
  </cols>
  <sheetData>
    <row r="1" spans="2:40" ht="14.4" thickBot="1" x14ac:dyDescent="0.3"/>
    <row r="2" spans="2:40" ht="21" customHeight="1" thickBot="1" x14ac:dyDescent="0.3">
      <c r="B2" s="1764" t="str">
        <f>CONCATENATE("Project Name:", " ", Start!F12, "     ", "Map Reference:", " ", Start!K66)</f>
        <v xml:space="preserve">Project Name: Chickenhall Lane     Map Reference: </v>
      </c>
      <c r="C2" s="1768"/>
      <c r="D2" s="1765"/>
      <c r="F2" s="1591" t="s">
        <v>526</v>
      </c>
      <c r="G2" s="1592"/>
      <c r="H2" s="1592"/>
      <c r="I2" s="1592"/>
      <c r="J2" s="1592"/>
      <c r="K2" s="1592"/>
      <c r="L2" s="1592"/>
      <c r="M2" s="1592"/>
      <c r="N2" s="1592"/>
      <c r="O2" s="1593"/>
      <c r="P2" s="1653" t="str">
        <f>IF(OR(COUNTIF(L$12:$L259,"*30+*")&gt;0,COUNTIF(P$12:$P259,"*30+*")&gt;0),"Note; Habitat selected has a time to target condition greater than 30 years. Non standard agreement may be required.","")</f>
        <v/>
      </c>
      <c r="Q2" s="1653"/>
      <c r="R2" s="1653"/>
      <c r="S2" s="1653"/>
      <c r="T2" s="1653"/>
      <c r="U2" s="1653"/>
      <c r="V2" s="1772" t="str" cm="1">
        <f t="array" ref="V2">IF(OR(AN12:AN260="Yes"),"A 'Fairly' Category has been used for ditches - check evidence to ensure this is appropriate ⚠", "")</f>
        <v/>
      </c>
      <c r="W2" s="1772"/>
      <c r="X2" s="1772"/>
      <c r="Y2" s="1772"/>
      <c r="Z2" s="1772"/>
      <c r="AA2" s="1772"/>
      <c r="AB2" s="1772"/>
      <c r="AC2" s="424"/>
    </row>
    <row r="3" spans="2:40" ht="15.6" customHeight="1" thickBot="1" x14ac:dyDescent="0.3">
      <c r="B3" s="1357" t="str">
        <f ca="1">MID(CELL("filename",A1),FIND("]",CELL("filename",A1))+1,256)</f>
        <v>F-2 Off-Site WaterC' Creation</v>
      </c>
      <c r="C3" s="1358"/>
      <c r="D3" s="1359"/>
      <c r="F3" s="1659" t="s">
        <v>389</v>
      </c>
      <c r="G3" s="1660"/>
      <c r="H3" s="1660"/>
      <c r="I3" s="1660"/>
      <c r="J3" s="1660"/>
      <c r="K3" s="1660"/>
      <c r="L3" s="1676">
        <f>'Headline Results'!H49</f>
        <v>0.26578800000000014</v>
      </c>
      <c r="M3" s="1676"/>
      <c r="N3" s="1676"/>
      <c r="O3" s="1677"/>
      <c r="P3" s="1653"/>
      <c r="Q3" s="1653"/>
      <c r="R3" s="1653"/>
      <c r="S3" s="1653"/>
      <c r="T3" s="1653"/>
      <c r="U3" s="1653"/>
      <c r="V3" s="1772"/>
      <c r="W3" s="1772"/>
      <c r="X3" s="1772"/>
      <c r="Y3" s="1772"/>
      <c r="Z3" s="1772"/>
      <c r="AA3" s="1772"/>
      <c r="AB3" s="1772"/>
      <c r="AC3" s="424"/>
    </row>
    <row r="4" spans="2:40" ht="16.5" customHeight="1" thickBot="1" x14ac:dyDescent="0.3">
      <c r="B4" s="1357"/>
      <c r="C4" s="1358"/>
      <c r="D4" s="1359"/>
      <c r="F4" s="1752" t="s">
        <v>391</v>
      </c>
      <c r="G4" s="1753"/>
      <c r="H4" s="1753"/>
      <c r="I4" s="1753"/>
      <c r="J4" s="1753"/>
      <c r="K4" s="1753"/>
      <c r="L4" s="1678" t="str">
        <f>'Headline Results'!H53</f>
        <v>N/A</v>
      </c>
      <c r="M4" s="1678"/>
      <c r="N4" s="1678"/>
      <c r="O4" s="1679"/>
      <c r="P4" s="1653"/>
      <c r="Q4" s="1653"/>
      <c r="R4" s="1653"/>
      <c r="S4" s="1653"/>
      <c r="T4" s="1653"/>
      <c r="U4" s="1653"/>
      <c r="V4" s="1772"/>
      <c r="W4" s="1772"/>
      <c r="X4" s="1772"/>
      <c r="Y4" s="1772"/>
      <c r="Z4" s="1772"/>
      <c r="AA4" s="1772"/>
      <c r="AB4" s="1772"/>
      <c r="AC4" s="424"/>
    </row>
    <row r="5" spans="2:40" ht="26.7" customHeight="1" thickBot="1" x14ac:dyDescent="0.3">
      <c r="F5" s="1754" t="s">
        <v>393</v>
      </c>
      <c r="G5" s="1729"/>
      <c r="H5" s="1729"/>
      <c r="I5" s="1729"/>
      <c r="J5" s="1729"/>
      <c r="K5" s="1729"/>
      <c r="L5" s="1729" t="str" cm="1">
        <f t="array" ref="L5">IF(OR('Trading Summary WaterC''s'!G5:H8="No ▲"), "No - check trading summary ▲", "Yes ✓")</f>
        <v>Yes ✓</v>
      </c>
      <c r="M5" s="1729"/>
      <c r="N5" s="1729"/>
      <c r="O5" s="1730"/>
      <c r="P5" s="1653"/>
      <c r="Q5" s="1653"/>
      <c r="R5" s="1653"/>
      <c r="S5" s="1653"/>
      <c r="T5" s="1653"/>
      <c r="U5" s="1653"/>
      <c r="V5" s="1772"/>
      <c r="W5" s="1772"/>
      <c r="X5" s="1772"/>
      <c r="Y5" s="1772"/>
      <c r="Z5" s="1772"/>
      <c r="AA5" s="1772"/>
      <c r="AB5" s="1772"/>
      <c r="AC5" s="424"/>
    </row>
    <row r="6" spans="2:40" ht="23.25" customHeight="1" x14ac:dyDescent="0.25">
      <c r="D6" s="92"/>
      <c r="L6" s="247"/>
      <c r="M6" s="247"/>
      <c r="N6" s="247"/>
      <c r="O6" s="247"/>
      <c r="P6" s="1653"/>
      <c r="Q6" s="1653"/>
      <c r="R6" s="1653"/>
      <c r="S6" s="1653"/>
      <c r="T6" s="1653"/>
      <c r="U6" s="1653"/>
    </row>
    <row r="7" spans="2:40" ht="13.8" x14ac:dyDescent="0.25"/>
    <row r="8" spans="2:40" ht="13.8" x14ac:dyDescent="0.25"/>
    <row r="9" spans="2:40" ht="15.75" customHeight="1" thickBot="1" x14ac:dyDescent="0.3"/>
    <row r="10" spans="2:40" s="33" customFormat="1" ht="29.25" customHeight="1" thickBot="1" x14ac:dyDescent="0.3">
      <c r="B10" s="994"/>
      <c r="C10" s="1711" t="s">
        <v>512</v>
      </c>
      <c r="D10" s="1425"/>
      <c r="E10" s="1711" t="s">
        <v>395</v>
      </c>
      <c r="F10" s="1425"/>
      <c r="G10" s="1711" t="s">
        <v>396</v>
      </c>
      <c r="H10" s="1425"/>
      <c r="I10" s="1688" t="s">
        <v>397</v>
      </c>
      <c r="J10" s="1688"/>
      <c r="K10" s="1688"/>
      <c r="L10" s="1688" t="s">
        <v>440</v>
      </c>
      <c r="M10" s="1688"/>
      <c r="N10" s="1688"/>
      <c r="O10" s="1688"/>
      <c r="P10" s="1688"/>
      <c r="Q10" s="1688"/>
      <c r="R10" s="1711" t="s">
        <v>441</v>
      </c>
      <c r="S10" s="1432"/>
      <c r="T10" s="1432"/>
      <c r="U10" s="1425"/>
      <c r="V10" s="1688" t="s">
        <v>528</v>
      </c>
      <c r="W10" s="1688"/>
      <c r="X10" s="1688" t="s">
        <v>529</v>
      </c>
      <c r="Y10" s="1688"/>
      <c r="Z10" s="1688" t="s">
        <v>483</v>
      </c>
      <c r="AA10" s="1716"/>
      <c r="AB10" s="1685" t="s">
        <v>557</v>
      </c>
      <c r="AC10" s="1685" t="s">
        <v>541</v>
      </c>
      <c r="AD10" s="1711" t="s">
        <v>401</v>
      </c>
      <c r="AE10" s="1432"/>
      <c r="AF10" s="1432"/>
      <c r="AG10" s="1432"/>
      <c r="AH10" s="1425"/>
    </row>
    <row r="11" spans="2:40" s="33" customFormat="1" ht="62.7" customHeight="1" thickBot="1" x14ac:dyDescent="0.3">
      <c r="B11" s="522" t="s">
        <v>406</v>
      </c>
      <c r="C11" s="120" t="s">
        <v>273</v>
      </c>
      <c r="D11" s="124" t="s">
        <v>505</v>
      </c>
      <c r="E11" s="120" t="s">
        <v>395</v>
      </c>
      <c r="F11" s="124" t="s">
        <v>411</v>
      </c>
      <c r="G11" s="120" t="s">
        <v>396</v>
      </c>
      <c r="H11" s="124" t="s">
        <v>411</v>
      </c>
      <c r="I11" s="120" t="s">
        <v>397</v>
      </c>
      <c r="J11" s="125" t="s">
        <v>397</v>
      </c>
      <c r="K11" s="124" t="s">
        <v>412</v>
      </c>
      <c r="L11" s="120" t="s">
        <v>515</v>
      </c>
      <c r="M11" s="125" t="s">
        <v>444</v>
      </c>
      <c r="N11" s="125" t="s">
        <v>445</v>
      </c>
      <c r="O11" s="125" t="s">
        <v>446</v>
      </c>
      <c r="P11" s="125" t="s">
        <v>558</v>
      </c>
      <c r="Q11" s="124" t="s">
        <v>559</v>
      </c>
      <c r="R11" s="120" t="s">
        <v>449</v>
      </c>
      <c r="S11" s="125" t="s">
        <v>450</v>
      </c>
      <c r="T11" s="125" t="s">
        <v>451</v>
      </c>
      <c r="U11" s="124" t="s">
        <v>452</v>
      </c>
      <c r="V11" s="120" t="s">
        <v>531</v>
      </c>
      <c r="W11" s="124" t="s">
        <v>532</v>
      </c>
      <c r="X11" s="120" t="s">
        <v>533</v>
      </c>
      <c r="Y11" s="124" t="s">
        <v>532</v>
      </c>
      <c r="Z11" s="522" t="s">
        <v>486</v>
      </c>
      <c r="AA11" s="621" t="s">
        <v>532</v>
      </c>
      <c r="AB11" s="1685"/>
      <c r="AC11" s="1685"/>
      <c r="AD11" s="120" t="s">
        <v>385</v>
      </c>
      <c r="AE11" s="738" t="s">
        <v>362</v>
      </c>
      <c r="AF11" s="740" t="s">
        <v>363</v>
      </c>
      <c r="AG11" s="739" t="s">
        <v>488</v>
      </c>
      <c r="AH11" s="732" t="s">
        <v>463</v>
      </c>
      <c r="AL11" s="172" t="s">
        <v>405</v>
      </c>
      <c r="AN11" s="33" t="s">
        <v>560</v>
      </c>
    </row>
    <row r="12" spans="2:40" ht="13.8" x14ac:dyDescent="0.25">
      <c r="B12" s="232">
        <v>1</v>
      </c>
      <c r="C12" s="948"/>
      <c r="D12" s="51"/>
      <c r="E12" s="281" t="str">
        <f>IF(C12="","",VLOOKUP(C12,'G-7 WaterC'' Data'!$B$2:$Z$9,2,FALSE))</f>
        <v/>
      </c>
      <c r="F12" s="282" t="str">
        <f>IFERROR(VLOOKUP(E12,'G-7 WaterC'' Data'!$C$4:$D$8,2,FALSE),"")</f>
        <v/>
      </c>
      <c r="G12" s="52"/>
      <c r="H12" s="282" t="str">
        <f>IFERROR(INDEX('G-7 WaterC'' Data'!$H$4:$L$8,MATCH(C12,'G-7 WaterC'' Data'!$B$4:$B$8,0),MATCH(G12,'G-7 WaterC'' Data'!$H$3:$L$3,0)),"")</f>
        <v/>
      </c>
      <c r="I12" s="52"/>
      <c r="J12" s="320" t="str">
        <f>IF(I12="","",IF(VLOOKUP(I12,'G-7 WaterC'' Data'!$AK$4:$AM$6,2,FALSE)=0,"Spatial Data Missing ⚠",VLOOKUP(I12,'G-7 WaterC'' Data'!$AK$4:$AM$6,2,FALSE)))</f>
        <v/>
      </c>
      <c r="K12" s="282" t="str">
        <f>IF(I12="","",IF(VLOOKUP(I12,'G-7 WaterC'' Data'!$AK$4:$AM$6,3,FALSE)=0,"Spatial Data Missing ⚠",VLOOKUP(I12,'G-7 WaterC'' Data'!$AK$4:$AM$6,3,FALSE)))</f>
        <v/>
      </c>
      <c r="L12" s="382" t="str">
        <f>IFERROR(INDEX('G-7 WaterC'' Data'!$O$3:$O$7,MATCH(G12,'G-7 WaterC'' Data'!$N$3:$N$7,0)),"")</f>
        <v/>
      </c>
      <c r="M12" s="53"/>
      <c r="N12" s="58"/>
      <c r="O12" s="289"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02" t="str">
        <f>IF(O12="Error -both advance and delayed habitat creation ▲","Check Data ⚠",IF(L12="","",IF(M12="30+",0,IF(N12="30+","30+",IF(L12+N12&gt;30,"30+",IF(L12+N12-M12&gt;0,L12+N12-M12,IF(L12-M12&lt;0,0,L12+N12-M12)))))))</f>
        <v/>
      </c>
      <c r="Q12" s="340" t="str">
        <f>IFERROR(IF(P12="Check Data ⚠","Check Data ⚠",VLOOKUP(P12,'G-4 Temporal multipliers'!$A$4:$C$37,3,FALSE)),"")</f>
        <v/>
      </c>
      <c r="R12" s="281" t="str">
        <f>IF(C12="","",VLOOKUP(C12,'G-7 WaterC'' Data'!$B$4:$G$8,4,FALSE))</f>
        <v/>
      </c>
      <c r="S12" s="289" t="str">
        <f>IF(C12="","",IF(P12="Check Data ⚠","Check Data ⚠",IF(G12="","",IF($O12="Check details - Is there evidence that habitat has reached target condition? ⚠","No - Low Difficulty - only applicable if all habitat created before losses ⚠","Standard difficulty applied"))))</f>
        <v/>
      </c>
      <c r="T12" s="320" t="str">
        <f>(IF(AND(S12="Standard difficulty applied",L12&gt;M12),R12,IF(AND(S12="No - Low Difficulty - only applicable if all habitat created before losses ⚠",M12&gt;=L12),"Low",R12)))</f>
        <v/>
      </c>
      <c r="U12" s="282" t="str">
        <f>IF(C12="","",VLOOKUP(T12,'G-3 Multipliers'!$P$2:$Q$6,2,FALSE))</f>
        <v/>
      </c>
      <c r="V12" s="52"/>
      <c r="W12" s="282" t="str">
        <f>IF(V12="","",IF(AND(V12="N/A - Culvert",C12&lt;&gt;"Culvert"),"Not possible ▲",IF(AND(C12="Culvert",V12&lt;&gt;"N/A - Culvert"),"Not possible ▲",IF(VLOOKUP(V12,'G-7 WaterC'' Data'!$AA$4:$AB$7,2,FALSE)=0,"Spatial Data Missing ⚠",VLOOKUP(V12,'G-7 WaterC'' Data'!$AA$4:$AB$7,2,FALSE)))))</f>
        <v/>
      </c>
      <c r="X12" s="56"/>
      <c r="Y12" s="282" t="str">
        <f>IF(X12="","",IF(AND(X12="N/A - Culvert", C12&lt;&gt;"Culvert"), "Not possible ▲",IF(AND(C12="Culvert",X12&lt;&gt;"N/A - Culvert"),"Not possible ▲",IF(VLOOKUP(X12,'G-7 WaterC'' Data'!$AD$4:$AE$14,2,FALSE)=0,"Enrcoachment Data Missing ⚠",VLOOKUP(X12,'G-7 WaterC'' Data'!$AD$4:$AE$14,2,FALSE)))))</f>
        <v/>
      </c>
      <c r="Z12" s="52"/>
      <c r="AA12" s="282" t="str">
        <f>IF(Z12="","",IF(VLOOKUP(Z12,'G-7 WaterC'' Data'!$AO$4:$BO$7,2,FALSE)=0,"Spatial Data Missing ⚠",VLOOKUP(Z12,'G-7 WaterC'' Data'!$AO$4:$BO$7,2,FALSE)))</f>
        <v/>
      </c>
      <c r="AB12" s="323" t="str">
        <f>IFERROR(D12*F12*H12*K12*Q12*U12*W12*Y12*AA12,"")</f>
        <v/>
      </c>
      <c r="AC12" s="323" t="str">
        <f>IFERROR(IF(AND(Z12&lt;&gt;"",AG12=""),"Off-site reference required ▲",(IF(Z12="","",D12*F12*H12*K12*Q12*U12*W12*Y12))),"")</f>
        <v/>
      </c>
      <c r="AD12" s="52"/>
      <c r="AE12" s="973"/>
      <c r="AF12" s="137"/>
      <c r="AG12" s="137"/>
      <c r="AH12" s="969"/>
      <c r="AL12" s="30" t="str">
        <f>IFERROR(INDEX('G-7 WaterC'' Data'!$AZ$3:$AZ$7,MATCH(C12,'G-7 WaterC'' Data'!$AY$3:$AY$7,0)),"")</f>
        <v/>
      </c>
      <c r="AN12" s="30" t="str">
        <f>IF(AND(C12="Ditches",(OR(G12="Fairly Poor",G12="Fairly Good"))), "Yes", "No")</f>
        <v>No</v>
      </c>
    </row>
    <row r="13" spans="2:40" ht="13.8" x14ac:dyDescent="0.25">
      <c r="B13" s="101">
        <v>2</v>
      </c>
      <c r="C13" s="952"/>
      <c r="D13" s="51"/>
      <c r="E13" s="281" t="str">
        <f>IF(C13="","",VLOOKUP(C13,'G-7 WaterC'' Data'!$B$2:$Z$9,2,FALSE))</f>
        <v/>
      </c>
      <c r="F13" s="282" t="str">
        <f>IFERROR(VLOOKUP(E13,'G-7 WaterC'' Data'!$C$4:$D$8,2,FALSE),"")</f>
        <v/>
      </c>
      <c r="G13" s="52"/>
      <c r="H13" s="282" t="str">
        <f>IFERROR(INDEX('G-7 WaterC'' Data'!$H$4:$L$8,MATCH(C13,'G-7 WaterC'' Data'!$B$4:$B$8,0),MATCH(G13,'G-7 WaterC'' Data'!$H$3:$L$3,0)),"")</f>
        <v/>
      </c>
      <c r="I13" s="52"/>
      <c r="J13" s="320" t="str">
        <f>IF(I13="","",IF(VLOOKUP(I13,'G-7 WaterC'' Data'!$AK$4:$AM$6,2,FALSE)=0,"Spatial Data Missing ⚠",VLOOKUP(I13,'G-7 WaterC'' Data'!$AK$4:$AM$6,2,FALSE)))</f>
        <v/>
      </c>
      <c r="K13" s="282" t="str">
        <f>IF(I13="","",IF(VLOOKUP(I13,'G-7 WaterC'' Data'!$AK$4:$AM$6,3,FALSE)=0,"Spatial Data Missing ⚠",VLOOKUP(I13,'G-7 WaterC'' Data'!$AK$4:$AM$6,3,FALSE)))</f>
        <v/>
      </c>
      <c r="L13" s="382" t="str">
        <f>IFERROR(INDEX('G-7 WaterC'' Data'!$O$3:$O$7,MATCH(G13,'G-7 WaterC'' Data'!$N$3:$N$7,0)),"")</f>
        <v/>
      </c>
      <c r="M13" s="53"/>
      <c r="N13" s="58"/>
      <c r="O13" s="289"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02" t="str">
        <f t="shared" ref="P13:P76" si="1">IF(O13="Error -both advance and delayed habitat creation ▲","Check Data ⚠",IF(L13="","",IF(M13="30+",0,IF(N13="30+","30+",IF(L13+N13&gt;30,"30+",IF(L13+N13-M13&gt;0,L13+N13-M13,IF(L13-M13&lt;0,0,L13+N13-M13)))))))</f>
        <v/>
      </c>
      <c r="Q13" s="340" t="str">
        <f>IFERROR(IF(P13="Check Data ⚠","Check Data ⚠",VLOOKUP(P13,'G-4 Temporal multipliers'!$A$4:$C$37,3,FALSE)),"")</f>
        <v/>
      </c>
      <c r="R13" s="281" t="str">
        <f>IF(C13="","",VLOOKUP(C13,'G-7 WaterC'' Data'!$B$4:$G$8,4,FALSE))</f>
        <v/>
      </c>
      <c r="S13" s="289" t="str">
        <f t="shared" ref="S13:S76" si="2">IF(C13="","",IF(P13="Check Data ⚠","Check Data ⚠",IF(G13="","",IF($O13="Check details - Is there evidence that habitat has reached target condition? ⚠","No - Low Difficulty - only applicable if all habitat created before losses ⚠","Standard difficulty applied"))))</f>
        <v/>
      </c>
      <c r="T13" s="320" t="str">
        <f t="shared" ref="T13:T76" si="3">(IF(AND(S13="Standard difficulty applied",L13&gt;M13),R13,IF(AND(S13="No - Low Difficulty - only applicable if all habitat created before losses ⚠",M13&gt;=L13),"Low",R13)))</f>
        <v/>
      </c>
      <c r="U13" s="282" t="str">
        <f>IF(C13="","",VLOOKUP(T13,'G-3 Multipliers'!$P$2:$Q$6,2,FALSE))</f>
        <v/>
      </c>
      <c r="V13" s="106"/>
      <c r="W13" s="282" t="str">
        <f>IF(V13="","",IF(AND(V13="N/A - Culvert",C13&lt;&gt;"Culvert"),"Not possible ▲",IF(AND(C13="Culvert",V13&lt;&gt;"N/A - Culvert"),"Not possible ▲",IF(VLOOKUP(V13,'G-7 WaterC'' Data'!$AA$4:$AB$7,2,FALSE)=0,"Spatial Data Missing ⚠",VLOOKUP(V13,'G-7 WaterC'' Data'!$AA$4:$AB$7,2,FALSE)))))</f>
        <v/>
      </c>
      <c r="X13" s="56"/>
      <c r="Y13" s="282" t="str">
        <f>IF(X13="","",IF(AND(X13="N/A - Culvert", C13&lt;&gt;"Culvert"), "Not possible ▲",IF(AND(C13="Culvert",X13&lt;&gt;"N/A - Culvert"),"Not possible ▲",IF(VLOOKUP(X13,'G-7 WaterC'' Data'!$AD$4:$AE$14,2,FALSE)=0,"Enrcoachment Data Missing ⚠",VLOOKUP(X13,'G-7 WaterC'' Data'!$AD$4:$AE$14,2,FALSE)))))</f>
        <v/>
      </c>
      <c r="Z13" s="106"/>
      <c r="AA13" s="282" t="str">
        <f>IF(Z13="","",IF(VLOOKUP(Z13,'G-7 WaterC'' Data'!$AO$4:$BO$7,2,FALSE)=0,"Spatial Data Missing ⚠",VLOOKUP(Z13,'G-7 WaterC'' Data'!$AO$4:$BO$7,2,FALSE)))</f>
        <v/>
      </c>
      <c r="AB13" s="323" t="str">
        <f t="shared" ref="AB13:AB76" si="4">IFERROR(D13*F13*H13*K13*Q13*U13*W13*Y13*AA13,"")</f>
        <v/>
      </c>
      <c r="AC13" s="323" t="str">
        <f t="shared" ref="AC13:AC76" si="5">IFERROR(IF(AND(Z13&lt;&gt;"",AG13=""),"Off-site reference required ▲",(IF(Z13="","",D13*F13*H13*K13*Q13*U13*W13*Y13))),"")</f>
        <v/>
      </c>
      <c r="AD13" s="52"/>
      <c r="AE13" s="973"/>
      <c r="AF13" s="142"/>
      <c r="AG13" s="142"/>
      <c r="AH13" s="964"/>
      <c r="AL13" s="30" t="str">
        <f>IFERROR(INDEX('G-7 WaterC'' Data'!$AZ$3:$AZ$7,MATCH(C13,'G-7 WaterC'' Data'!$AY$3:$AY$7,0)),"")</f>
        <v/>
      </c>
      <c r="AN13" s="30" t="str">
        <f t="shared" ref="AN13:AN76" si="6">IF(AND(C13="Ditches",(OR(G13="Fairly Poor",G13="Fairly Good"))), "Yes", "No")</f>
        <v>No</v>
      </c>
    </row>
    <row r="14" spans="2:40" ht="13.8" x14ac:dyDescent="0.25">
      <c r="B14" s="101">
        <v>3</v>
      </c>
      <c r="C14" s="952"/>
      <c r="D14" s="51"/>
      <c r="E14" s="281" t="str">
        <f>IF(C14="","",VLOOKUP(C14,'G-7 WaterC'' Data'!$B$2:$Z$9,2,FALSE))</f>
        <v/>
      </c>
      <c r="F14" s="282" t="str">
        <f>IFERROR(VLOOKUP(E14,'G-7 WaterC'' Data'!$C$4:$D$8,2,FALSE),"")</f>
        <v/>
      </c>
      <c r="G14" s="52"/>
      <c r="H14" s="282" t="str">
        <f>IFERROR(INDEX('G-7 WaterC'' Data'!$H$4:$L$8,MATCH(C14,'G-7 WaterC'' Data'!$B$4:$B$8,0),MATCH(G14,'G-7 WaterC'' Data'!$H$3:$L$3,0)),"")</f>
        <v/>
      </c>
      <c r="I14" s="52"/>
      <c r="J14" s="320" t="str">
        <f>IF(I14="","",IF(VLOOKUP(I14,'G-7 WaterC'' Data'!$AK$4:$AM$6,2,FALSE)=0,"Spatial Data Missing ⚠",VLOOKUP(I14,'G-7 WaterC'' Data'!$AK$4:$AM$6,2,FALSE)))</f>
        <v/>
      </c>
      <c r="K14" s="282" t="str">
        <f>IF(I14="","",IF(VLOOKUP(I14,'G-7 WaterC'' Data'!$AK$4:$AM$6,3,FALSE)=0,"Spatial Data Missing ⚠",VLOOKUP(I14,'G-7 WaterC'' Data'!$AK$4:$AM$6,3,FALSE)))</f>
        <v/>
      </c>
      <c r="L14" s="382" t="str">
        <f>IFERROR(INDEX('G-7 WaterC'' Data'!$O$3:$O$7,MATCH(G14,'G-7 WaterC'' Data'!$N$3:$N$7,0)),"")</f>
        <v/>
      </c>
      <c r="M14" s="53"/>
      <c r="N14" s="58"/>
      <c r="O14" s="289" t="str">
        <f t="shared" si="0"/>
        <v/>
      </c>
      <c r="P14" s="302" t="str">
        <f t="shared" si="1"/>
        <v/>
      </c>
      <c r="Q14" s="340" t="str">
        <f>IFERROR(IF(P14="Check Data ⚠","Check Data ⚠",VLOOKUP(P14,'G-4 Temporal multipliers'!$A$4:$C$37,3,FALSE)),"")</f>
        <v/>
      </c>
      <c r="R14" s="281" t="str">
        <f>IF(C14="","",VLOOKUP(C14,'G-7 WaterC'' Data'!$B$4:$G$8,4,FALSE))</f>
        <v/>
      </c>
      <c r="S14" s="289" t="str">
        <f t="shared" si="2"/>
        <v/>
      </c>
      <c r="T14" s="320" t="str">
        <f t="shared" si="3"/>
        <v/>
      </c>
      <c r="U14" s="282" t="str">
        <f>IF(C14="","",VLOOKUP(T14,'G-3 Multipliers'!$P$2:$Q$6,2,FALSE))</f>
        <v/>
      </c>
      <c r="V14" s="106"/>
      <c r="W14" s="282" t="str">
        <f>IF(V14="","",IF(AND(V14="N/A - Culvert",C14&lt;&gt;"Culvert"),"Not possible ▲",IF(AND(C14="Culvert",V14&lt;&gt;"N/A - Culvert"),"Not possible ▲",IF(VLOOKUP(V14,'G-7 WaterC'' Data'!$AA$4:$AB$7,2,FALSE)=0,"Spatial Data Missing ⚠",VLOOKUP(V14,'G-7 WaterC'' Data'!$AA$4:$AB$7,2,FALSE)))))</f>
        <v/>
      </c>
      <c r="X14" s="56"/>
      <c r="Y14" s="282" t="str">
        <f>IF(X14="","",IF(AND(X14="N/A - Culvert", C14&lt;&gt;"Culvert"), "Not possible ▲",IF(AND(C14="Culvert",X14&lt;&gt;"N/A - Culvert"),"Not possible ▲",IF(VLOOKUP(X14,'G-7 WaterC'' Data'!$AD$4:$AE$14,2,FALSE)=0,"Enrcoachment Data Missing ⚠",VLOOKUP(X14,'G-7 WaterC'' Data'!$AD$4:$AE$14,2,FALSE)))))</f>
        <v/>
      </c>
      <c r="Z14" s="106"/>
      <c r="AA14" s="282" t="str">
        <f>IF(Z14="","",IF(VLOOKUP(Z14,'G-7 WaterC'' Data'!$AO$4:$BO$7,2,FALSE)=0,"Spatial Data Missing ⚠",VLOOKUP(Z14,'G-7 WaterC'' Data'!$AO$4:$BO$7,2,FALSE)))</f>
        <v/>
      </c>
      <c r="AB14" s="323" t="str">
        <f t="shared" si="4"/>
        <v/>
      </c>
      <c r="AC14" s="323" t="str">
        <f t="shared" si="5"/>
        <v/>
      </c>
      <c r="AD14" s="52"/>
      <c r="AE14" s="973"/>
      <c r="AF14" s="142"/>
      <c r="AG14" s="142"/>
      <c r="AH14" s="964"/>
      <c r="AL14" s="30" t="str">
        <f>IFERROR(INDEX('G-7 WaterC'' Data'!$AZ$3:$AZ$7,MATCH(C14,'G-7 WaterC'' Data'!$AY$3:$AY$7,0)),"")</f>
        <v/>
      </c>
      <c r="AN14" s="30" t="str">
        <f t="shared" si="6"/>
        <v>No</v>
      </c>
    </row>
    <row r="15" spans="2:40" ht="13.8" x14ac:dyDescent="0.25">
      <c r="B15" s="101">
        <v>4</v>
      </c>
      <c r="C15" s="952"/>
      <c r="D15" s="51"/>
      <c r="E15" s="281" t="str">
        <f>IF(C15="","",VLOOKUP(C15,'G-7 WaterC'' Data'!$B$2:$Z$9,2,FALSE))</f>
        <v/>
      </c>
      <c r="F15" s="282" t="str">
        <f>IFERROR(VLOOKUP(E15,'G-7 WaterC'' Data'!$C$4:$D$8,2,FALSE),"")</f>
        <v/>
      </c>
      <c r="G15" s="52"/>
      <c r="H15" s="282" t="str">
        <f>IFERROR(INDEX('G-7 WaterC'' Data'!$H$4:$L$8,MATCH(C15,'G-7 WaterC'' Data'!$B$4:$B$8,0),MATCH(G15,'G-7 WaterC'' Data'!$H$3:$L$3,0)),"")</f>
        <v/>
      </c>
      <c r="I15" s="52"/>
      <c r="J15" s="320" t="str">
        <f>IF(I15="","",IF(VLOOKUP(I15,'G-7 WaterC'' Data'!$AK$4:$AM$6,2,FALSE)=0,"Spatial Data Missing ⚠",VLOOKUP(I15,'G-7 WaterC'' Data'!$AK$4:$AM$6,2,FALSE)))</f>
        <v/>
      </c>
      <c r="K15" s="282" t="str">
        <f>IF(I15="","",IF(VLOOKUP(I15,'G-7 WaterC'' Data'!$AK$4:$AM$6,3,FALSE)=0,"Spatial Data Missing ⚠",VLOOKUP(I15,'G-7 WaterC'' Data'!$AK$4:$AM$6,3,FALSE)))</f>
        <v/>
      </c>
      <c r="L15" s="382" t="str">
        <f>IFERROR(INDEX('G-7 WaterC'' Data'!$O$3:$O$7,MATCH(G15,'G-7 WaterC'' Data'!$N$3:$N$7,0)),"")</f>
        <v/>
      </c>
      <c r="M15" s="53"/>
      <c r="N15" s="58"/>
      <c r="O15" s="289" t="str">
        <f t="shared" si="0"/>
        <v/>
      </c>
      <c r="P15" s="302" t="str">
        <f t="shared" si="1"/>
        <v/>
      </c>
      <c r="Q15" s="340" t="str">
        <f>IFERROR(IF(P15="Check Data ⚠","Check Data ⚠",VLOOKUP(P15,'G-4 Temporal multipliers'!$A$4:$C$37,3,FALSE)),"")</f>
        <v/>
      </c>
      <c r="R15" s="281" t="str">
        <f>IF(C15="","",VLOOKUP(C15,'G-7 WaterC'' Data'!$B$4:$G$8,4,FALSE))</f>
        <v/>
      </c>
      <c r="S15" s="289" t="str">
        <f t="shared" si="2"/>
        <v/>
      </c>
      <c r="T15" s="320" t="str">
        <f t="shared" si="3"/>
        <v/>
      </c>
      <c r="U15" s="282" t="str">
        <f>IF(C15="","",VLOOKUP(T15,'G-3 Multipliers'!$P$2:$Q$6,2,FALSE))</f>
        <v/>
      </c>
      <c r="V15" s="106"/>
      <c r="W15" s="282" t="str">
        <f>IF(V15="","",IF(AND(V15="N/A - Culvert",C15&lt;&gt;"Culvert"),"Not possible ▲",IF(AND(C15="Culvert",V15&lt;&gt;"N/A - Culvert"),"Not possible ▲",IF(VLOOKUP(V15,'G-7 WaterC'' Data'!$AA$4:$AB$7,2,FALSE)=0,"Spatial Data Missing ⚠",VLOOKUP(V15,'G-7 WaterC'' Data'!$AA$4:$AB$7,2,FALSE)))))</f>
        <v/>
      </c>
      <c r="X15" s="56"/>
      <c r="Y15" s="282" t="str">
        <f>IF(X15="","",IF(AND(X15="N/A - Culvert", C15&lt;&gt;"Culvert"), "Not possible ▲",IF(AND(C15="Culvert",X15&lt;&gt;"N/A - Culvert"),"Not possible ▲",IF(VLOOKUP(X15,'G-7 WaterC'' Data'!$AD$4:$AE$14,2,FALSE)=0,"Enrcoachment Data Missing ⚠",VLOOKUP(X15,'G-7 WaterC'' Data'!$AD$4:$AE$14,2,FALSE)))))</f>
        <v/>
      </c>
      <c r="Z15" s="106"/>
      <c r="AA15" s="282" t="str">
        <f>IF(Z15="","",IF(VLOOKUP(Z15,'G-7 WaterC'' Data'!$AO$4:$BO$7,2,FALSE)=0,"Spatial Data Missing ⚠",VLOOKUP(Z15,'G-7 WaterC'' Data'!$AO$4:$BO$7,2,FALSE)))</f>
        <v/>
      </c>
      <c r="AB15" s="323" t="str">
        <f t="shared" si="4"/>
        <v/>
      </c>
      <c r="AC15" s="323" t="str">
        <f t="shared" si="5"/>
        <v/>
      </c>
      <c r="AD15" s="52"/>
      <c r="AE15" s="973"/>
      <c r="AF15" s="142"/>
      <c r="AG15" s="142"/>
      <c r="AH15" s="964"/>
      <c r="AL15" s="30" t="str">
        <f>IFERROR(INDEX('G-7 WaterC'' Data'!$AZ$3:$AZ$7,MATCH(C15,'G-7 WaterC'' Data'!$AY$3:$AY$7,0)),"")</f>
        <v/>
      </c>
      <c r="AN15" s="30" t="str">
        <f t="shared" si="6"/>
        <v>No</v>
      </c>
    </row>
    <row r="16" spans="2:40" ht="13.8" x14ac:dyDescent="0.25">
      <c r="B16" s="101">
        <v>5</v>
      </c>
      <c r="C16" s="953"/>
      <c r="D16" s="119"/>
      <c r="E16" s="281" t="str">
        <f>IF(C16="","",VLOOKUP(C16,'G-7 WaterC'' Data'!$B$2:$Z$9,2,FALSE))</f>
        <v/>
      </c>
      <c r="F16" s="282" t="str">
        <f>IFERROR(VLOOKUP(E16,'G-7 WaterC'' Data'!$C$4:$D$8,2,FALSE),"")</f>
        <v/>
      </c>
      <c r="G16" s="52"/>
      <c r="H16" s="282" t="str">
        <f>IFERROR(INDEX('G-7 WaterC'' Data'!$H$4:$L$8,MATCH(C16,'G-7 WaterC'' Data'!$B$4:$B$8,0),MATCH(G16,'G-7 WaterC'' Data'!$H$3:$L$3,0)),"")</f>
        <v/>
      </c>
      <c r="I16" s="52"/>
      <c r="J16" s="320" t="str">
        <f>IF(I16="","",IF(VLOOKUP(I16,'G-7 WaterC'' Data'!$AK$4:$AM$6,2,FALSE)=0,"Spatial Data Missing ⚠",VLOOKUP(I16,'G-7 WaterC'' Data'!$AK$4:$AM$6,2,FALSE)))</f>
        <v/>
      </c>
      <c r="K16" s="282" t="str">
        <f>IF(I16="","",IF(VLOOKUP(I16,'G-7 WaterC'' Data'!$AK$4:$AM$6,3,FALSE)=0,"Spatial Data Missing ⚠",VLOOKUP(I16,'G-7 WaterC'' Data'!$AK$4:$AM$6,3,FALSE)))</f>
        <v/>
      </c>
      <c r="L16" s="382" t="str">
        <f>IFERROR(INDEX('G-7 WaterC'' Data'!$O$3:$O$7,MATCH(G16,'G-7 WaterC'' Data'!$N$3:$N$7,0)),"")</f>
        <v/>
      </c>
      <c r="M16" s="53"/>
      <c r="N16" s="137"/>
      <c r="O16" s="289" t="str">
        <f t="shared" si="0"/>
        <v/>
      </c>
      <c r="P16" s="302" t="str">
        <f t="shared" si="1"/>
        <v/>
      </c>
      <c r="Q16" s="340" t="str">
        <f>IFERROR(IF(P16="Check Data ⚠","Check Data ⚠",VLOOKUP(P16,'G-4 Temporal multipliers'!$A$4:$C$37,3,FALSE)),"")</f>
        <v/>
      </c>
      <c r="R16" s="281" t="str">
        <f>IF(C16="","",VLOOKUP(C16,'G-7 WaterC'' Data'!$B$4:$G$8,4,FALSE))</f>
        <v/>
      </c>
      <c r="S16" s="289" t="str">
        <f t="shared" si="2"/>
        <v/>
      </c>
      <c r="T16" s="320" t="str">
        <f t="shared" si="3"/>
        <v/>
      </c>
      <c r="U16" s="282" t="str">
        <f>IF(C16="","",VLOOKUP(T16,'G-3 Multipliers'!$P$2:$Q$6,2,FALSE))</f>
        <v/>
      </c>
      <c r="V16" s="106"/>
      <c r="W16" s="282" t="str">
        <f>IF(V16="","",IF(AND(V16="N/A - Culvert",C16&lt;&gt;"Culvert"),"Not possible ▲",IF(AND(C16="Culvert",V16&lt;&gt;"N/A - Culvert"),"Not possible ▲",IF(VLOOKUP(V16,'G-7 WaterC'' Data'!$AA$4:$AB$7,2,FALSE)=0,"Spatial Data Missing ⚠",VLOOKUP(V16,'G-7 WaterC'' Data'!$AA$4:$AB$7,2,FALSE)))))</f>
        <v/>
      </c>
      <c r="X16" s="56"/>
      <c r="Y16" s="282" t="str">
        <f>IF(X16="","",IF(AND(X16="N/A - Culvert", C16&lt;&gt;"Culvert"), "Not possible ▲",IF(AND(C16="Culvert",X16&lt;&gt;"N/A - Culvert"),"Not possible ▲",IF(VLOOKUP(X16,'G-7 WaterC'' Data'!$AD$4:$AE$14,2,FALSE)=0,"Enrcoachment Data Missing ⚠",VLOOKUP(X16,'G-7 WaterC'' Data'!$AD$4:$AE$14,2,FALSE)))))</f>
        <v/>
      </c>
      <c r="Z16" s="106"/>
      <c r="AA16" s="282" t="str">
        <f>IF(Z16="","",IF(VLOOKUP(Z16,'G-7 WaterC'' Data'!$AO$4:$BO$7,2,FALSE)=0,"Spatial Data Missing ⚠",VLOOKUP(Z16,'G-7 WaterC'' Data'!$AO$4:$BO$7,2,FALSE)))</f>
        <v/>
      </c>
      <c r="AB16" s="323" t="str">
        <f t="shared" si="4"/>
        <v/>
      </c>
      <c r="AC16" s="323" t="str">
        <f t="shared" si="5"/>
        <v/>
      </c>
      <c r="AD16" s="105"/>
      <c r="AE16" s="968"/>
      <c r="AF16" s="142"/>
      <c r="AG16" s="142"/>
      <c r="AH16" s="964"/>
      <c r="AL16" s="30" t="str">
        <f>IFERROR(INDEX('G-7 WaterC'' Data'!$AZ$3:$AZ$7,MATCH(C16,'G-7 WaterC'' Data'!$AY$3:$AY$7,0)),"")</f>
        <v/>
      </c>
      <c r="AN16" s="30" t="str">
        <f t="shared" si="6"/>
        <v>No</v>
      </c>
    </row>
    <row r="17" spans="2:40" ht="13.8" x14ac:dyDescent="0.25">
      <c r="B17" s="101">
        <v>6</v>
      </c>
      <c r="C17" s="953"/>
      <c r="D17" s="119"/>
      <c r="E17" s="281" t="str">
        <f>IF(C17="","",VLOOKUP(C17,'G-7 WaterC'' Data'!$B$2:$Z$9,2,FALSE))</f>
        <v/>
      </c>
      <c r="F17" s="282" t="str">
        <f>IFERROR(VLOOKUP(E17,'G-7 WaterC'' Data'!$C$4:$D$8,2,FALSE),"")</f>
        <v/>
      </c>
      <c r="G17" s="52"/>
      <c r="H17" s="282" t="str">
        <f>IFERROR(INDEX('G-7 WaterC'' Data'!$H$4:$L$8,MATCH(C17,'G-7 WaterC'' Data'!$B$4:$B$8,0),MATCH(G17,'G-7 WaterC'' Data'!$H$3:$L$3,0)),"")</f>
        <v/>
      </c>
      <c r="I17" s="52"/>
      <c r="J17" s="320" t="str">
        <f>IF(I17="","",IF(VLOOKUP(I17,'G-7 WaterC'' Data'!$AK$4:$AM$6,2,FALSE)=0,"Spatial Data Missing ⚠",VLOOKUP(I17,'G-7 WaterC'' Data'!$AK$4:$AM$6,2,FALSE)))</f>
        <v/>
      </c>
      <c r="K17" s="282" t="str">
        <f>IF(I17="","",IF(VLOOKUP(I17,'G-7 WaterC'' Data'!$AK$4:$AM$6,3,FALSE)=0,"Spatial Data Missing ⚠",VLOOKUP(I17,'G-7 WaterC'' Data'!$AK$4:$AM$6,3,FALSE)))</f>
        <v/>
      </c>
      <c r="L17" s="382" t="str">
        <f>IFERROR(INDEX('G-7 WaterC'' Data'!$O$3:$O$7,MATCH(G17,'G-7 WaterC'' Data'!$N$3:$N$7,0)),"")</f>
        <v/>
      </c>
      <c r="M17" s="53"/>
      <c r="N17" s="137"/>
      <c r="O17" s="289" t="str">
        <f t="shared" si="0"/>
        <v/>
      </c>
      <c r="P17" s="302" t="str">
        <f t="shared" si="1"/>
        <v/>
      </c>
      <c r="Q17" s="340" t="str">
        <f>IFERROR(IF(P17="Check Data ⚠","Check Data ⚠",VLOOKUP(P17,'G-4 Temporal multipliers'!$A$4:$C$37,3,FALSE)),"")</f>
        <v/>
      </c>
      <c r="R17" s="281" t="str">
        <f>IF(C17="","",VLOOKUP(C17,'G-7 WaterC'' Data'!$B$4:$G$8,4,FALSE))</f>
        <v/>
      </c>
      <c r="S17" s="289" t="str">
        <f t="shared" si="2"/>
        <v/>
      </c>
      <c r="T17" s="320" t="str">
        <f t="shared" si="3"/>
        <v/>
      </c>
      <c r="U17" s="282" t="str">
        <f>IF(C17="","",VLOOKUP(T17,'G-3 Multipliers'!$P$2:$Q$6,2,FALSE))</f>
        <v/>
      </c>
      <c r="V17" s="106"/>
      <c r="W17" s="282" t="str">
        <f>IF(V17="","",IF(AND(V17="N/A - Culvert",C17&lt;&gt;"Culvert"),"Not possible ▲",IF(AND(C17="Culvert",V17&lt;&gt;"N/A - Culvert"),"Not possible ▲",IF(VLOOKUP(V17,'G-7 WaterC'' Data'!$AA$4:$AB$7,2,FALSE)=0,"Spatial Data Missing ⚠",VLOOKUP(V17,'G-7 WaterC'' Data'!$AA$4:$AB$7,2,FALSE)))))</f>
        <v/>
      </c>
      <c r="X17" s="56"/>
      <c r="Y17" s="282" t="str">
        <f>IF(X17="","",IF(AND(X17="N/A - Culvert", C17&lt;&gt;"Culvert"), "Not possible ▲",IF(AND(C17="Culvert",X17&lt;&gt;"N/A - Culvert"),"Not possible ▲",IF(VLOOKUP(X17,'G-7 WaterC'' Data'!$AD$4:$AE$14,2,FALSE)=0,"Enrcoachment Data Missing ⚠",VLOOKUP(X17,'G-7 WaterC'' Data'!$AD$4:$AE$14,2,FALSE)))))</f>
        <v/>
      </c>
      <c r="Z17" s="106"/>
      <c r="AA17" s="282" t="str">
        <f>IF(Z17="","",IF(VLOOKUP(Z17,'G-7 WaterC'' Data'!$AO$4:$BO$7,2,FALSE)=0,"Spatial Data Missing ⚠",VLOOKUP(Z17,'G-7 WaterC'' Data'!$AO$4:$BO$7,2,FALSE)))</f>
        <v/>
      </c>
      <c r="AB17" s="323" t="str">
        <f t="shared" si="4"/>
        <v/>
      </c>
      <c r="AC17" s="323" t="str">
        <f t="shared" si="5"/>
        <v/>
      </c>
      <c r="AD17" s="105"/>
      <c r="AE17" s="968"/>
      <c r="AF17" s="142"/>
      <c r="AG17" s="142"/>
      <c r="AH17" s="964"/>
      <c r="AL17" s="30" t="str">
        <f>IFERROR(INDEX('G-7 WaterC'' Data'!$AZ$3:$AZ$7,MATCH(C17,'G-7 WaterC'' Data'!$AY$3:$AY$7,0)),"")</f>
        <v/>
      </c>
      <c r="AN17" s="30" t="str">
        <f t="shared" si="6"/>
        <v>No</v>
      </c>
    </row>
    <row r="18" spans="2:40" ht="13.8" x14ac:dyDescent="0.25">
      <c r="B18" s="101">
        <v>7</v>
      </c>
      <c r="C18" s="953"/>
      <c r="D18" s="119"/>
      <c r="E18" s="281" t="str">
        <f>IF(C18="","",VLOOKUP(C18,'G-7 WaterC'' Data'!$B$2:$Z$9,2,FALSE))</f>
        <v/>
      </c>
      <c r="F18" s="282" t="str">
        <f>IFERROR(VLOOKUP(E18,'G-7 WaterC'' Data'!$C$4:$D$8,2,FALSE),"")</f>
        <v/>
      </c>
      <c r="G18" s="52"/>
      <c r="H18" s="282" t="str">
        <f>IFERROR(INDEX('G-7 WaterC'' Data'!$H$4:$L$8,MATCH(C18,'G-7 WaterC'' Data'!$B$4:$B$8,0),MATCH(G18,'G-7 WaterC'' Data'!$H$3:$L$3,0)),"")</f>
        <v/>
      </c>
      <c r="I18" s="52"/>
      <c r="J18" s="320" t="str">
        <f>IF(I18="","",IF(VLOOKUP(I18,'G-7 WaterC'' Data'!$AK$4:$AM$6,2,FALSE)=0,"Spatial Data Missing ⚠",VLOOKUP(I18,'G-7 WaterC'' Data'!$AK$4:$AM$6,2,FALSE)))</f>
        <v/>
      </c>
      <c r="K18" s="282" t="str">
        <f>IF(I18="","",IF(VLOOKUP(I18,'G-7 WaterC'' Data'!$AK$4:$AM$6,3,FALSE)=0,"Spatial Data Missing ⚠",VLOOKUP(I18,'G-7 WaterC'' Data'!$AK$4:$AM$6,3,FALSE)))</f>
        <v/>
      </c>
      <c r="L18" s="382" t="str">
        <f>IFERROR(INDEX('G-7 WaterC'' Data'!$O$3:$O$7,MATCH(G18,'G-7 WaterC'' Data'!$N$3:$N$7,0)),"")</f>
        <v/>
      </c>
      <c r="M18" s="53"/>
      <c r="N18" s="137"/>
      <c r="O18" s="289" t="str">
        <f t="shared" si="0"/>
        <v/>
      </c>
      <c r="P18" s="302" t="str">
        <f t="shared" si="1"/>
        <v/>
      </c>
      <c r="Q18" s="340" t="str">
        <f>IFERROR(IF(P18="Check Data ⚠","Check Data ⚠",VLOOKUP(P18,'G-4 Temporal multipliers'!$A$4:$C$37,3,FALSE)),"")</f>
        <v/>
      </c>
      <c r="R18" s="281" t="str">
        <f>IF(C18="","",VLOOKUP(C18,'G-7 WaterC'' Data'!$B$4:$G$8,4,FALSE))</f>
        <v/>
      </c>
      <c r="S18" s="289" t="str">
        <f t="shared" si="2"/>
        <v/>
      </c>
      <c r="T18" s="320" t="str">
        <f t="shared" si="3"/>
        <v/>
      </c>
      <c r="U18" s="282" t="str">
        <f>IF(C18="","",VLOOKUP(T18,'G-3 Multipliers'!$P$2:$Q$6,2,FALSE))</f>
        <v/>
      </c>
      <c r="V18" s="106"/>
      <c r="W18" s="282" t="str">
        <f>IF(V18="","",IF(AND(V18="N/A - Culvert",C18&lt;&gt;"Culvert"),"Not possible ▲",IF(AND(C18="Culvert",V18&lt;&gt;"N/A - Culvert"),"Not possible ▲",IF(VLOOKUP(V18,'G-7 WaterC'' Data'!$AA$4:$AB$7,2,FALSE)=0,"Spatial Data Missing ⚠",VLOOKUP(V18,'G-7 WaterC'' Data'!$AA$4:$AB$7,2,FALSE)))))</f>
        <v/>
      </c>
      <c r="X18" s="56"/>
      <c r="Y18" s="282" t="str">
        <f>IF(X18="","",IF(AND(X18="N/A - Culvert", C18&lt;&gt;"Culvert"), "Not possible ▲",IF(AND(C18="Culvert",X18&lt;&gt;"N/A - Culvert"),"Not possible ▲",IF(VLOOKUP(X18,'G-7 WaterC'' Data'!$AD$4:$AE$14,2,FALSE)=0,"Enrcoachment Data Missing ⚠",VLOOKUP(X18,'G-7 WaterC'' Data'!$AD$4:$AE$14,2,FALSE)))))</f>
        <v/>
      </c>
      <c r="Z18" s="106"/>
      <c r="AA18" s="282" t="str">
        <f>IF(Z18="","",IF(VLOOKUP(Z18,'G-7 WaterC'' Data'!$AO$4:$BO$7,2,FALSE)=0,"Spatial Data Missing ⚠",VLOOKUP(Z18,'G-7 WaterC'' Data'!$AO$4:$BO$7,2,FALSE)))</f>
        <v/>
      </c>
      <c r="AB18" s="323" t="str">
        <f t="shared" si="4"/>
        <v/>
      </c>
      <c r="AC18" s="323" t="str">
        <f t="shared" si="5"/>
        <v/>
      </c>
      <c r="AD18" s="105"/>
      <c r="AE18" s="968"/>
      <c r="AF18" s="142"/>
      <c r="AG18" s="142"/>
      <c r="AH18" s="964"/>
      <c r="AL18" s="30" t="str">
        <f>IFERROR(INDEX('G-7 WaterC'' Data'!$AZ$3:$AZ$7,MATCH(C18,'G-7 WaterC'' Data'!$AY$3:$AY$7,0)),"")</f>
        <v/>
      </c>
      <c r="AN18" s="30" t="str">
        <f t="shared" si="6"/>
        <v>No</v>
      </c>
    </row>
    <row r="19" spans="2:40" ht="13.8" x14ac:dyDescent="0.25">
      <c r="B19" s="101">
        <v>8</v>
      </c>
      <c r="C19" s="953"/>
      <c r="D19" s="119"/>
      <c r="E19" s="281" t="str">
        <f>IF(C19="","",VLOOKUP(C19,'G-7 WaterC'' Data'!$B$2:$Z$9,2,FALSE))</f>
        <v/>
      </c>
      <c r="F19" s="282" t="str">
        <f>IFERROR(VLOOKUP(E19,'G-7 WaterC'' Data'!$C$4:$D$8,2,FALSE),"")</f>
        <v/>
      </c>
      <c r="G19" s="52"/>
      <c r="H19" s="282" t="str">
        <f>IFERROR(INDEX('G-7 WaterC'' Data'!$H$4:$L$8,MATCH(C19,'G-7 WaterC'' Data'!$B$4:$B$8,0),MATCH(G19,'G-7 WaterC'' Data'!$H$3:$L$3,0)),"")</f>
        <v/>
      </c>
      <c r="I19" s="52"/>
      <c r="J19" s="320" t="str">
        <f>IF(I19="","",IF(VLOOKUP(I19,'G-7 WaterC'' Data'!$AK$4:$AM$6,2,FALSE)=0,"Spatial Data Missing ⚠",VLOOKUP(I19,'G-7 WaterC'' Data'!$AK$4:$AM$6,2,FALSE)))</f>
        <v/>
      </c>
      <c r="K19" s="282" t="str">
        <f>IF(I19="","",IF(VLOOKUP(I19,'G-7 WaterC'' Data'!$AK$4:$AM$6,3,FALSE)=0,"Spatial Data Missing ⚠",VLOOKUP(I19,'G-7 WaterC'' Data'!$AK$4:$AM$6,3,FALSE)))</f>
        <v/>
      </c>
      <c r="L19" s="382" t="str">
        <f>IFERROR(INDEX('G-7 WaterC'' Data'!$O$3:$O$7,MATCH(G19,'G-7 WaterC'' Data'!$N$3:$N$7,0)),"")</f>
        <v/>
      </c>
      <c r="M19" s="53"/>
      <c r="N19" s="137"/>
      <c r="O19" s="289" t="str">
        <f t="shared" si="0"/>
        <v/>
      </c>
      <c r="P19" s="302" t="str">
        <f t="shared" si="1"/>
        <v/>
      </c>
      <c r="Q19" s="340" t="str">
        <f>IFERROR(IF(P19="Check Data ⚠","Check Data ⚠",VLOOKUP(P19,'G-4 Temporal multipliers'!$A$4:$C$37,3,FALSE)),"")</f>
        <v/>
      </c>
      <c r="R19" s="281" t="str">
        <f>IF(C19="","",VLOOKUP(C19,'G-7 WaterC'' Data'!$B$4:$G$8,4,FALSE))</f>
        <v/>
      </c>
      <c r="S19" s="289" t="str">
        <f t="shared" si="2"/>
        <v/>
      </c>
      <c r="T19" s="320" t="str">
        <f t="shared" si="3"/>
        <v/>
      </c>
      <c r="U19" s="282" t="str">
        <f>IF(C19="","",VLOOKUP(T19,'G-3 Multipliers'!$P$2:$Q$6,2,FALSE))</f>
        <v/>
      </c>
      <c r="V19" s="106"/>
      <c r="W19" s="282" t="str">
        <f>IF(V19="","",IF(AND(V19="N/A - Culvert",C19&lt;&gt;"Culvert"),"Not possible ▲",IF(AND(C19="Culvert",V19&lt;&gt;"N/A - Culvert"),"Not possible ▲",IF(VLOOKUP(V19,'G-7 WaterC'' Data'!$AA$4:$AB$7,2,FALSE)=0,"Spatial Data Missing ⚠",VLOOKUP(V19,'G-7 WaterC'' Data'!$AA$4:$AB$7,2,FALSE)))))</f>
        <v/>
      </c>
      <c r="X19" s="56"/>
      <c r="Y19" s="282" t="str">
        <f>IF(X19="","",IF(AND(X19="N/A - Culvert", C19&lt;&gt;"Culvert"), "Not possible ▲",IF(AND(C19="Culvert",X19&lt;&gt;"N/A - Culvert"),"Not possible ▲",IF(VLOOKUP(X19,'G-7 WaterC'' Data'!$AD$4:$AE$14,2,FALSE)=0,"Enrcoachment Data Missing ⚠",VLOOKUP(X19,'G-7 WaterC'' Data'!$AD$4:$AE$14,2,FALSE)))))</f>
        <v/>
      </c>
      <c r="Z19" s="106"/>
      <c r="AA19" s="282" t="str">
        <f>IF(Z19="","",IF(VLOOKUP(Z19,'G-7 WaterC'' Data'!$AO$4:$BO$7,2,FALSE)=0,"Spatial Data Missing ⚠",VLOOKUP(Z19,'G-7 WaterC'' Data'!$AO$4:$BO$7,2,FALSE)))</f>
        <v/>
      </c>
      <c r="AB19" s="323" t="str">
        <f t="shared" si="4"/>
        <v/>
      </c>
      <c r="AC19" s="323" t="str">
        <f t="shared" si="5"/>
        <v/>
      </c>
      <c r="AD19" s="105"/>
      <c r="AE19" s="968"/>
      <c r="AF19" s="142"/>
      <c r="AG19" s="142"/>
      <c r="AH19" s="964"/>
      <c r="AL19" s="30" t="str">
        <f>IFERROR(INDEX('G-7 WaterC'' Data'!$AZ$3:$AZ$7,MATCH(C19,'G-7 WaterC'' Data'!$AY$3:$AY$7,0)),"")</f>
        <v/>
      </c>
      <c r="AN19" s="30" t="str">
        <f t="shared" si="6"/>
        <v>No</v>
      </c>
    </row>
    <row r="20" spans="2:40" ht="13.8" x14ac:dyDescent="0.25">
      <c r="B20" s="101">
        <v>9</v>
      </c>
      <c r="C20" s="953"/>
      <c r="D20" s="119"/>
      <c r="E20" s="281" t="str">
        <f>IF(C20="","",VLOOKUP(C20,'G-7 WaterC'' Data'!$B$2:$Z$9,2,FALSE))</f>
        <v/>
      </c>
      <c r="F20" s="282" t="str">
        <f>IFERROR(VLOOKUP(E20,'G-7 WaterC'' Data'!$C$4:$D$8,2,FALSE),"")</f>
        <v/>
      </c>
      <c r="G20" s="52"/>
      <c r="H20" s="282" t="str">
        <f>IFERROR(INDEX('G-7 WaterC'' Data'!$H$4:$L$8,MATCH(C20,'G-7 WaterC'' Data'!$B$4:$B$8,0),MATCH(G20,'G-7 WaterC'' Data'!$H$3:$L$3,0)),"")</f>
        <v/>
      </c>
      <c r="I20" s="52"/>
      <c r="J20" s="320" t="str">
        <f>IF(I20="","",IF(VLOOKUP(I20,'G-7 WaterC'' Data'!$AK$4:$AM$6,2,FALSE)=0,"Spatial Data Missing ⚠",VLOOKUP(I20,'G-7 WaterC'' Data'!$AK$4:$AM$6,2,FALSE)))</f>
        <v/>
      </c>
      <c r="K20" s="282" t="str">
        <f>IF(I20="","",IF(VLOOKUP(I20,'G-7 WaterC'' Data'!$AK$4:$AM$6,3,FALSE)=0,"Spatial Data Missing ⚠",VLOOKUP(I20,'G-7 WaterC'' Data'!$AK$4:$AM$6,3,FALSE)))</f>
        <v/>
      </c>
      <c r="L20" s="382" t="str">
        <f>IFERROR(INDEX('G-7 WaterC'' Data'!$O$3:$O$7,MATCH(G20,'G-7 WaterC'' Data'!$N$3:$N$7,0)),"")</f>
        <v/>
      </c>
      <c r="M20" s="53"/>
      <c r="N20" s="137"/>
      <c r="O20" s="289" t="str">
        <f t="shared" si="0"/>
        <v/>
      </c>
      <c r="P20" s="302" t="str">
        <f t="shared" si="1"/>
        <v/>
      </c>
      <c r="Q20" s="340" t="str">
        <f>IFERROR(IF(P20="Check Data ⚠","Check Data ⚠",VLOOKUP(P20,'G-4 Temporal multipliers'!$A$4:$C$37,3,FALSE)),"")</f>
        <v/>
      </c>
      <c r="R20" s="281" t="str">
        <f>IF(C20="","",VLOOKUP(C20,'G-7 WaterC'' Data'!$B$4:$G$8,4,FALSE))</f>
        <v/>
      </c>
      <c r="S20" s="289" t="str">
        <f t="shared" si="2"/>
        <v/>
      </c>
      <c r="T20" s="320" t="str">
        <f t="shared" si="3"/>
        <v/>
      </c>
      <c r="U20" s="282" t="str">
        <f>IF(C20="","",VLOOKUP(T20,'G-3 Multipliers'!$P$2:$Q$6,2,FALSE))</f>
        <v/>
      </c>
      <c r="V20" s="106"/>
      <c r="W20" s="282" t="str">
        <f>IF(V20="","",IF(AND(V20="N/A - Culvert",C20&lt;&gt;"Culvert"),"Not possible ▲",IF(AND(C20="Culvert",V20&lt;&gt;"N/A - Culvert"),"Not possible ▲",IF(VLOOKUP(V20,'G-7 WaterC'' Data'!$AA$4:$AB$7,2,FALSE)=0,"Spatial Data Missing ⚠",VLOOKUP(V20,'G-7 WaterC'' Data'!$AA$4:$AB$7,2,FALSE)))))</f>
        <v/>
      </c>
      <c r="X20" s="56"/>
      <c r="Y20" s="282" t="str">
        <f>IF(X20="","",IF(AND(X20="N/A - Culvert", C20&lt;&gt;"Culvert"), "Not possible ▲",IF(AND(C20="Culvert",X20&lt;&gt;"N/A - Culvert"),"Not possible ▲",IF(VLOOKUP(X20,'G-7 WaterC'' Data'!$AD$4:$AE$14,2,FALSE)=0,"Enrcoachment Data Missing ⚠",VLOOKUP(X20,'G-7 WaterC'' Data'!$AD$4:$AE$14,2,FALSE)))))</f>
        <v/>
      </c>
      <c r="Z20" s="106"/>
      <c r="AA20" s="282" t="str">
        <f>IF(Z20="","",IF(VLOOKUP(Z20,'G-7 WaterC'' Data'!$AO$4:$BO$7,2,FALSE)=0,"Spatial Data Missing ⚠",VLOOKUP(Z20,'G-7 WaterC'' Data'!$AO$4:$BO$7,2,FALSE)))</f>
        <v/>
      </c>
      <c r="AB20" s="323" t="str">
        <f t="shared" si="4"/>
        <v/>
      </c>
      <c r="AC20" s="323" t="str">
        <f t="shared" si="5"/>
        <v/>
      </c>
      <c r="AD20" s="105"/>
      <c r="AE20" s="968"/>
      <c r="AF20" s="142"/>
      <c r="AG20" s="142"/>
      <c r="AH20" s="964"/>
      <c r="AL20" s="30" t="str">
        <f>IFERROR(INDEX('G-7 WaterC'' Data'!$AZ$3:$AZ$7,MATCH(C20,'G-7 WaterC'' Data'!$AY$3:$AY$7,0)),"")</f>
        <v/>
      </c>
      <c r="AN20" s="30" t="str">
        <f t="shared" si="6"/>
        <v>No</v>
      </c>
    </row>
    <row r="21" spans="2:40" ht="13.8" x14ac:dyDescent="0.25">
      <c r="B21" s="101">
        <v>10</v>
      </c>
      <c r="C21" s="953"/>
      <c r="D21" s="119"/>
      <c r="E21" s="281" t="str">
        <f>IF(C21="","",VLOOKUP(C21,'G-7 WaterC'' Data'!$B$2:$Z$9,2,FALSE))</f>
        <v/>
      </c>
      <c r="F21" s="282" t="str">
        <f>IFERROR(VLOOKUP(E21,'G-7 WaterC'' Data'!$C$4:$D$8,2,FALSE),"")</f>
        <v/>
      </c>
      <c r="G21" s="52"/>
      <c r="H21" s="282" t="str">
        <f>IFERROR(INDEX('G-7 WaterC'' Data'!$H$4:$L$8,MATCH(C21,'G-7 WaterC'' Data'!$B$4:$B$8,0),MATCH(G21,'G-7 WaterC'' Data'!$H$3:$L$3,0)),"")</f>
        <v/>
      </c>
      <c r="I21" s="52"/>
      <c r="J21" s="320" t="str">
        <f>IF(I21="","",IF(VLOOKUP(I21,'G-7 WaterC'' Data'!$AK$4:$AM$6,2,FALSE)=0,"Spatial Data Missing ⚠",VLOOKUP(I21,'G-7 WaterC'' Data'!$AK$4:$AM$6,2,FALSE)))</f>
        <v/>
      </c>
      <c r="K21" s="282" t="str">
        <f>IF(I21="","",IF(VLOOKUP(I21,'G-7 WaterC'' Data'!$AK$4:$AM$6,3,FALSE)=0,"Spatial Data Missing ⚠",VLOOKUP(I21,'G-7 WaterC'' Data'!$AK$4:$AM$6,3,FALSE)))</f>
        <v/>
      </c>
      <c r="L21" s="382" t="str">
        <f>IFERROR(INDEX('G-7 WaterC'' Data'!$O$3:$O$7,MATCH(G21,'G-7 WaterC'' Data'!$N$3:$N$7,0)),"")</f>
        <v/>
      </c>
      <c r="M21" s="53"/>
      <c r="N21" s="137"/>
      <c r="O21" s="289" t="str">
        <f t="shared" si="0"/>
        <v/>
      </c>
      <c r="P21" s="302" t="str">
        <f t="shared" si="1"/>
        <v/>
      </c>
      <c r="Q21" s="340" t="str">
        <f>IFERROR(IF(P21="Check Data ⚠","Check Data ⚠",VLOOKUP(P21,'G-4 Temporal multipliers'!$A$4:$C$37,3,FALSE)),"")</f>
        <v/>
      </c>
      <c r="R21" s="281" t="str">
        <f>IF(C21="","",VLOOKUP(C21,'G-7 WaterC'' Data'!$B$4:$G$8,4,FALSE))</f>
        <v/>
      </c>
      <c r="S21" s="289" t="str">
        <f t="shared" si="2"/>
        <v/>
      </c>
      <c r="T21" s="320" t="str">
        <f t="shared" si="3"/>
        <v/>
      </c>
      <c r="U21" s="282" t="str">
        <f>IF(C21="","",VLOOKUP(T21,'G-3 Multipliers'!$P$2:$Q$6,2,FALSE))</f>
        <v/>
      </c>
      <c r="V21" s="106"/>
      <c r="W21" s="282" t="str">
        <f>IF(V21="","",IF(AND(V21="N/A - Culvert",C21&lt;&gt;"Culvert"),"Not possible ▲",IF(AND(C21="Culvert",V21&lt;&gt;"N/A - Culvert"),"Not possible ▲",IF(VLOOKUP(V21,'G-7 WaterC'' Data'!$AA$4:$AB$7,2,FALSE)=0,"Spatial Data Missing ⚠",VLOOKUP(V21,'G-7 WaterC'' Data'!$AA$4:$AB$7,2,FALSE)))))</f>
        <v/>
      </c>
      <c r="X21" s="56"/>
      <c r="Y21" s="282" t="str">
        <f>IF(X21="","",IF(AND(X21="N/A - Culvert", C21&lt;&gt;"Culvert"), "Not possible ▲",IF(AND(C21="Culvert",X21&lt;&gt;"N/A - Culvert"),"Not possible ▲",IF(VLOOKUP(X21,'G-7 WaterC'' Data'!$AD$4:$AE$14,2,FALSE)=0,"Enrcoachment Data Missing ⚠",VLOOKUP(X21,'G-7 WaterC'' Data'!$AD$4:$AE$14,2,FALSE)))))</f>
        <v/>
      </c>
      <c r="Z21" s="106"/>
      <c r="AA21" s="282" t="str">
        <f>IF(Z21="","",IF(VLOOKUP(Z21,'G-7 WaterC'' Data'!$AO$4:$BO$7,2,FALSE)=0,"Spatial Data Missing ⚠",VLOOKUP(Z21,'G-7 WaterC'' Data'!$AO$4:$BO$7,2,FALSE)))</f>
        <v/>
      </c>
      <c r="AB21" s="323" t="str">
        <f t="shared" si="4"/>
        <v/>
      </c>
      <c r="AC21" s="323" t="str">
        <f t="shared" si="5"/>
        <v/>
      </c>
      <c r="AD21" s="105"/>
      <c r="AE21" s="968"/>
      <c r="AF21" s="142"/>
      <c r="AG21" s="142"/>
      <c r="AH21" s="964"/>
      <c r="AL21" s="30" t="str">
        <f>IFERROR(INDEX('G-7 WaterC'' Data'!$AZ$3:$AZ$7,MATCH(C21,'G-7 WaterC'' Data'!$AY$3:$AY$7,0)),"")</f>
        <v/>
      </c>
      <c r="AN21" s="30" t="str">
        <f t="shared" si="6"/>
        <v>No</v>
      </c>
    </row>
    <row r="22" spans="2:40" ht="13.8" x14ac:dyDescent="0.25">
      <c r="B22" s="101">
        <v>11</v>
      </c>
      <c r="C22" s="953"/>
      <c r="D22" s="119"/>
      <c r="E22" s="281" t="str">
        <f>IF(C22="","",VLOOKUP(C22,'G-7 WaterC'' Data'!$B$2:$Z$9,2,FALSE))</f>
        <v/>
      </c>
      <c r="F22" s="282" t="str">
        <f>IFERROR(VLOOKUP(E22,'G-7 WaterC'' Data'!$C$4:$D$8,2,FALSE),"")</f>
        <v/>
      </c>
      <c r="G22" s="52"/>
      <c r="H22" s="282" t="str">
        <f>IFERROR(INDEX('G-7 WaterC'' Data'!$H$4:$L$8,MATCH(C22,'G-7 WaterC'' Data'!$B$4:$B$8,0),MATCH(G22,'G-7 WaterC'' Data'!$H$3:$L$3,0)),"")</f>
        <v/>
      </c>
      <c r="I22" s="52"/>
      <c r="J22" s="320" t="str">
        <f>IF(I22="","",IF(VLOOKUP(I22,'G-7 WaterC'' Data'!$AK$4:$AM$6,2,FALSE)=0,"Spatial Data Missing ⚠",VLOOKUP(I22,'G-7 WaterC'' Data'!$AK$4:$AM$6,2,FALSE)))</f>
        <v/>
      </c>
      <c r="K22" s="282" t="str">
        <f>IF(I22="","",IF(VLOOKUP(I22,'G-7 WaterC'' Data'!$AK$4:$AM$6,3,FALSE)=0,"Spatial Data Missing ⚠",VLOOKUP(I22,'G-7 WaterC'' Data'!$AK$4:$AM$6,3,FALSE)))</f>
        <v/>
      </c>
      <c r="L22" s="382" t="str">
        <f>IFERROR(INDEX('G-7 WaterC'' Data'!$O$3:$O$7,MATCH(G22,'G-7 WaterC'' Data'!$N$3:$N$7,0)),"")</f>
        <v/>
      </c>
      <c r="M22" s="53"/>
      <c r="N22" s="137"/>
      <c r="O22" s="289" t="str">
        <f t="shared" si="0"/>
        <v/>
      </c>
      <c r="P22" s="302" t="str">
        <f t="shared" si="1"/>
        <v/>
      </c>
      <c r="Q22" s="340" t="str">
        <f>IFERROR(IF(P22="Check Data ⚠","Check Data ⚠",VLOOKUP(P22,'G-4 Temporal multipliers'!$A$4:$C$37,3,FALSE)),"")</f>
        <v/>
      </c>
      <c r="R22" s="281" t="str">
        <f>IF(C22="","",VLOOKUP(C22,'G-7 WaterC'' Data'!$B$4:$G$8,4,FALSE))</f>
        <v/>
      </c>
      <c r="S22" s="289" t="str">
        <f t="shared" si="2"/>
        <v/>
      </c>
      <c r="T22" s="320" t="str">
        <f t="shared" si="3"/>
        <v/>
      </c>
      <c r="U22" s="282" t="str">
        <f>IF(C22="","",VLOOKUP(T22,'G-3 Multipliers'!$P$2:$Q$6,2,FALSE))</f>
        <v/>
      </c>
      <c r="V22" s="106"/>
      <c r="W22" s="282" t="str">
        <f>IF(V22="","",IF(AND(V22="N/A - Culvert",C22&lt;&gt;"Culvert"),"Not possible ▲",IF(AND(C22="Culvert",V22&lt;&gt;"N/A - Culvert"),"Not possible ▲",IF(VLOOKUP(V22,'G-7 WaterC'' Data'!$AA$4:$AB$7,2,FALSE)=0,"Spatial Data Missing ⚠",VLOOKUP(V22,'G-7 WaterC'' Data'!$AA$4:$AB$7,2,FALSE)))))</f>
        <v/>
      </c>
      <c r="X22" s="56"/>
      <c r="Y22" s="282" t="str">
        <f>IF(X22="","",IF(AND(X22="N/A - Culvert", C22&lt;&gt;"Culvert"), "Not possible ▲",IF(AND(C22="Culvert",X22&lt;&gt;"N/A - Culvert"),"Not possible ▲",IF(VLOOKUP(X22,'G-7 WaterC'' Data'!$AD$4:$AE$14,2,FALSE)=0,"Enrcoachment Data Missing ⚠",VLOOKUP(X22,'G-7 WaterC'' Data'!$AD$4:$AE$14,2,FALSE)))))</f>
        <v/>
      </c>
      <c r="Z22" s="106"/>
      <c r="AA22" s="282" t="str">
        <f>IF(Z22="","",IF(VLOOKUP(Z22,'G-7 WaterC'' Data'!$AO$4:$BO$7,2,FALSE)=0,"Spatial Data Missing ⚠",VLOOKUP(Z22,'G-7 WaterC'' Data'!$AO$4:$BO$7,2,FALSE)))</f>
        <v/>
      </c>
      <c r="AB22" s="323" t="str">
        <f t="shared" si="4"/>
        <v/>
      </c>
      <c r="AC22" s="323" t="str">
        <f t="shared" si="5"/>
        <v/>
      </c>
      <c r="AD22" s="105"/>
      <c r="AE22" s="968"/>
      <c r="AF22" s="142"/>
      <c r="AG22" s="142"/>
      <c r="AH22" s="964"/>
      <c r="AL22" s="30" t="str">
        <f>IFERROR(INDEX('G-7 WaterC'' Data'!$AZ$3:$AZ$7,MATCH(C22,'G-7 WaterC'' Data'!$AY$3:$AY$7,0)),"")</f>
        <v/>
      </c>
      <c r="AN22" s="30" t="str">
        <f t="shared" si="6"/>
        <v>No</v>
      </c>
    </row>
    <row r="23" spans="2:40" ht="13.8" x14ac:dyDescent="0.25">
      <c r="B23" s="101">
        <v>12</v>
      </c>
      <c r="C23" s="953"/>
      <c r="D23" s="119"/>
      <c r="E23" s="281" t="str">
        <f>IF(C23="","",VLOOKUP(C23,'G-7 WaterC'' Data'!$B$2:$Z$9,2,FALSE))</f>
        <v/>
      </c>
      <c r="F23" s="282" t="str">
        <f>IFERROR(VLOOKUP(E23,'G-7 WaterC'' Data'!$C$4:$D$8,2,FALSE),"")</f>
        <v/>
      </c>
      <c r="G23" s="52"/>
      <c r="H23" s="282" t="str">
        <f>IFERROR(INDEX('G-7 WaterC'' Data'!$H$4:$L$8,MATCH(C23,'G-7 WaterC'' Data'!$B$4:$B$8,0),MATCH(G23,'G-7 WaterC'' Data'!$H$3:$L$3,0)),"")</f>
        <v/>
      </c>
      <c r="I23" s="52"/>
      <c r="J23" s="320" t="str">
        <f>IF(I23="","",IF(VLOOKUP(I23,'G-7 WaterC'' Data'!$AK$4:$AM$6,2,FALSE)=0,"Spatial Data Missing ⚠",VLOOKUP(I23,'G-7 WaterC'' Data'!$AK$4:$AM$6,2,FALSE)))</f>
        <v/>
      </c>
      <c r="K23" s="282" t="str">
        <f>IF(I23="","",IF(VLOOKUP(I23,'G-7 WaterC'' Data'!$AK$4:$AM$6,3,FALSE)=0,"Spatial Data Missing ⚠",VLOOKUP(I23,'G-7 WaterC'' Data'!$AK$4:$AM$6,3,FALSE)))</f>
        <v/>
      </c>
      <c r="L23" s="382" t="str">
        <f>IFERROR(INDEX('G-7 WaterC'' Data'!$O$3:$O$7,MATCH(G23,'G-7 WaterC'' Data'!$N$3:$N$7,0)),"")</f>
        <v/>
      </c>
      <c r="M23" s="53"/>
      <c r="N23" s="137"/>
      <c r="O23" s="289" t="str">
        <f t="shared" si="0"/>
        <v/>
      </c>
      <c r="P23" s="302" t="str">
        <f t="shared" si="1"/>
        <v/>
      </c>
      <c r="Q23" s="340" t="str">
        <f>IFERROR(IF(P23="Check Data ⚠","Check Data ⚠",VLOOKUP(P23,'G-4 Temporal multipliers'!$A$4:$C$37,3,FALSE)),"")</f>
        <v/>
      </c>
      <c r="R23" s="281" t="str">
        <f>IF(C23="","",VLOOKUP(C23,'G-7 WaterC'' Data'!$B$4:$G$8,4,FALSE))</f>
        <v/>
      </c>
      <c r="S23" s="289" t="str">
        <f t="shared" si="2"/>
        <v/>
      </c>
      <c r="T23" s="320" t="str">
        <f t="shared" si="3"/>
        <v/>
      </c>
      <c r="U23" s="282" t="str">
        <f>IF(C23="","",VLOOKUP(T23,'G-3 Multipliers'!$P$2:$Q$6,2,FALSE))</f>
        <v/>
      </c>
      <c r="V23" s="106"/>
      <c r="W23" s="282" t="str">
        <f>IF(V23="","",IF(AND(V23="N/A - Culvert",C23&lt;&gt;"Culvert"),"Not possible ▲",IF(AND(C23="Culvert",V23&lt;&gt;"N/A - Culvert"),"Not possible ▲",IF(VLOOKUP(V23,'G-7 WaterC'' Data'!$AA$4:$AB$7,2,FALSE)=0,"Spatial Data Missing ⚠",VLOOKUP(V23,'G-7 WaterC'' Data'!$AA$4:$AB$7,2,FALSE)))))</f>
        <v/>
      </c>
      <c r="X23" s="56"/>
      <c r="Y23" s="282" t="str">
        <f>IF(X23="","",IF(AND(X23="N/A - Culvert", C23&lt;&gt;"Culvert"), "Not possible ▲",IF(AND(C23="Culvert",X23&lt;&gt;"N/A - Culvert"),"Not possible ▲",IF(VLOOKUP(X23,'G-7 WaterC'' Data'!$AD$4:$AE$14,2,FALSE)=0,"Enrcoachment Data Missing ⚠",VLOOKUP(X23,'G-7 WaterC'' Data'!$AD$4:$AE$14,2,FALSE)))))</f>
        <v/>
      </c>
      <c r="Z23" s="106"/>
      <c r="AA23" s="282" t="str">
        <f>IF(Z23="","",IF(VLOOKUP(Z23,'G-7 WaterC'' Data'!$AO$4:$BO$7,2,FALSE)=0,"Spatial Data Missing ⚠",VLOOKUP(Z23,'G-7 WaterC'' Data'!$AO$4:$BO$7,2,FALSE)))</f>
        <v/>
      </c>
      <c r="AB23" s="323" t="str">
        <f t="shared" si="4"/>
        <v/>
      </c>
      <c r="AC23" s="323" t="str">
        <f t="shared" si="5"/>
        <v/>
      </c>
      <c r="AD23" s="105"/>
      <c r="AE23" s="968"/>
      <c r="AF23" s="142"/>
      <c r="AG23" s="142"/>
      <c r="AH23" s="964"/>
      <c r="AL23" s="30" t="str">
        <f>IFERROR(INDEX('G-7 WaterC'' Data'!$AZ$3:$AZ$7,MATCH(C23,'G-7 WaterC'' Data'!$AY$3:$AY$7,0)),"")</f>
        <v/>
      </c>
      <c r="AN23" s="30" t="str">
        <f t="shared" si="6"/>
        <v>No</v>
      </c>
    </row>
    <row r="24" spans="2:40" ht="13.8" x14ac:dyDescent="0.25">
      <c r="B24" s="101">
        <v>13</v>
      </c>
      <c r="C24" s="953"/>
      <c r="D24" s="119"/>
      <c r="E24" s="281" t="str">
        <f>IF(C24="","",VLOOKUP(C24,'G-7 WaterC'' Data'!$B$2:$Z$9,2,FALSE))</f>
        <v/>
      </c>
      <c r="F24" s="282" t="str">
        <f>IFERROR(VLOOKUP(E24,'G-7 WaterC'' Data'!$C$4:$D$8,2,FALSE),"")</f>
        <v/>
      </c>
      <c r="G24" s="52"/>
      <c r="H24" s="282" t="str">
        <f>IFERROR(INDEX('G-7 WaterC'' Data'!$H$4:$L$8,MATCH(C24,'G-7 WaterC'' Data'!$B$4:$B$8,0),MATCH(G24,'G-7 WaterC'' Data'!$H$3:$L$3,0)),"")</f>
        <v/>
      </c>
      <c r="I24" s="52"/>
      <c r="J24" s="320" t="str">
        <f>IF(I24="","",IF(VLOOKUP(I24,'G-7 WaterC'' Data'!$AK$4:$AM$6,2,FALSE)=0,"Spatial Data Missing ⚠",VLOOKUP(I24,'G-7 WaterC'' Data'!$AK$4:$AM$6,2,FALSE)))</f>
        <v/>
      </c>
      <c r="K24" s="282" t="str">
        <f>IF(I24="","",IF(VLOOKUP(I24,'G-7 WaterC'' Data'!$AK$4:$AM$6,3,FALSE)=0,"Spatial Data Missing ⚠",VLOOKUP(I24,'G-7 WaterC'' Data'!$AK$4:$AM$6,3,FALSE)))</f>
        <v/>
      </c>
      <c r="L24" s="382" t="str">
        <f>IFERROR(INDEX('G-7 WaterC'' Data'!$O$3:$O$7,MATCH(G24,'G-7 WaterC'' Data'!$N$3:$N$7,0)),"")</f>
        <v/>
      </c>
      <c r="M24" s="53"/>
      <c r="N24" s="137"/>
      <c r="O24" s="289" t="str">
        <f t="shared" si="0"/>
        <v/>
      </c>
      <c r="P24" s="302" t="str">
        <f t="shared" si="1"/>
        <v/>
      </c>
      <c r="Q24" s="340" t="str">
        <f>IFERROR(IF(P24="Check Data ⚠","Check Data ⚠",VLOOKUP(P24,'G-4 Temporal multipliers'!$A$4:$C$37,3,FALSE)),"")</f>
        <v/>
      </c>
      <c r="R24" s="281" t="str">
        <f>IF(C24="","",VLOOKUP(C24,'G-7 WaterC'' Data'!$B$4:$G$8,4,FALSE))</f>
        <v/>
      </c>
      <c r="S24" s="289" t="str">
        <f t="shared" si="2"/>
        <v/>
      </c>
      <c r="T24" s="320" t="str">
        <f t="shared" si="3"/>
        <v/>
      </c>
      <c r="U24" s="282" t="str">
        <f>IF(C24="","",VLOOKUP(T24,'G-3 Multipliers'!$P$2:$Q$6,2,FALSE))</f>
        <v/>
      </c>
      <c r="V24" s="106"/>
      <c r="W24" s="282" t="str">
        <f>IF(V24="","",IF(AND(V24="N/A - Culvert",C24&lt;&gt;"Culvert"),"Not possible ▲",IF(AND(C24="Culvert",V24&lt;&gt;"N/A - Culvert"),"Not possible ▲",IF(VLOOKUP(V24,'G-7 WaterC'' Data'!$AA$4:$AB$7,2,FALSE)=0,"Spatial Data Missing ⚠",VLOOKUP(V24,'G-7 WaterC'' Data'!$AA$4:$AB$7,2,FALSE)))))</f>
        <v/>
      </c>
      <c r="X24" s="56"/>
      <c r="Y24" s="282" t="str">
        <f>IF(X24="","",IF(AND(X24="N/A - Culvert", C24&lt;&gt;"Culvert"), "Not possible ▲",IF(AND(C24="Culvert",X24&lt;&gt;"N/A - Culvert"),"Not possible ▲",IF(VLOOKUP(X24,'G-7 WaterC'' Data'!$AD$4:$AE$14,2,FALSE)=0,"Enrcoachment Data Missing ⚠",VLOOKUP(X24,'G-7 WaterC'' Data'!$AD$4:$AE$14,2,FALSE)))))</f>
        <v/>
      </c>
      <c r="Z24" s="106"/>
      <c r="AA24" s="282" t="str">
        <f>IF(Z24="","",IF(VLOOKUP(Z24,'G-7 WaterC'' Data'!$AO$4:$BO$7,2,FALSE)=0,"Spatial Data Missing ⚠",VLOOKUP(Z24,'G-7 WaterC'' Data'!$AO$4:$BO$7,2,FALSE)))</f>
        <v/>
      </c>
      <c r="AB24" s="323" t="str">
        <f t="shared" si="4"/>
        <v/>
      </c>
      <c r="AC24" s="323" t="str">
        <f t="shared" si="5"/>
        <v/>
      </c>
      <c r="AD24" s="105"/>
      <c r="AE24" s="968"/>
      <c r="AF24" s="142"/>
      <c r="AG24" s="142"/>
      <c r="AH24" s="964"/>
      <c r="AL24" s="30" t="str">
        <f>IFERROR(INDEX('G-7 WaterC'' Data'!$AZ$3:$AZ$7,MATCH(C24,'G-7 WaterC'' Data'!$AY$3:$AY$7,0)),"")</f>
        <v/>
      </c>
      <c r="AN24" s="30" t="str">
        <f t="shared" si="6"/>
        <v>No</v>
      </c>
    </row>
    <row r="25" spans="2:40" ht="13.8" x14ac:dyDescent="0.25">
      <c r="B25" s="101">
        <v>14</v>
      </c>
      <c r="C25" s="953"/>
      <c r="D25" s="119"/>
      <c r="E25" s="281" t="str">
        <f>IF(C25="","",VLOOKUP(C25,'G-7 WaterC'' Data'!$B$2:$Z$9,2,FALSE))</f>
        <v/>
      </c>
      <c r="F25" s="282" t="str">
        <f>IFERROR(VLOOKUP(E25,'G-7 WaterC'' Data'!$C$4:$D$8,2,FALSE),"")</f>
        <v/>
      </c>
      <c r="G25" s="52"/>
      <c r="H25" s="282" t="str">
        <f>IFERROR(INDEX('G-7 WaterC'' Data'!$H$4:$L$8,MATCH(C25,'G-7 WaterC'' Data'!$B$4:$B$8,0),MATCH(G25,'G-7 WaterC'' Data'!$H$3:$L$3,0)),"")</f>
        <v/>
      </c>
      <c r="I25" s="52"/>
      <c r="J25" s="320" t="str">
        <f>IF(I25="","",IF(VLOOKUP(I25,'G-7 WaterC'' Data'!$AK$4:$AM$6,2,FALSE)=0,"Spatial Data Missing ⚠",VLOOKUP(I25,'G-7 WaterC'' Data'!$AK$4:$AM$6,2,FALSE)))</f>
        <v/>
      </c>
      <c r="K25" s="282" t="str">
        <f>IF(I25="","",IF(VLOOKUP(I25,'G-7 WaterC'' Data'!$AK$4:$AM$6,3,FALSE)=0,"Spatial Data Missing ⚠",VLOOKUP(I25,'G-7 WaterC'' Data'!$AK$4:$AM$6,3,FALSE)))</f>
        <v/>
      </c>
      <c r="L25" s="382" t="str">
        <f>IFERROR(INDEX('G-7 WaterC'' Data'!$O$3:$O$7,MATCH(G25,'G-7 WaterC'' Data'!$N$3:$N$7,0)),"")</f>
        <v/>
      </c>
      <c r="M25" s="53"/>
      <c r="N25" s="137"/>
      <c r="O25" s="289" t="str">
        <f t="shared" si="0"/>
        <v/>
      </c>
      <c r="P25" s="302" t="str">
        <f t="shared" si="1"/>
        <v/>
      </c>
      <c r="Q25" s="340" t="str">
        <f>IFERROR(IF(P25="Check Data ⚠","Check Data ⚠",VLOOKUP(P25,'G-4 Temporal multipliers'!$A$4:$C$37,3,FALSE)),"")</f>
        <v/>
      </c>
      <c r="R25" s="281" t="str">
        <f>IF(C25="","",VLOOKUP(C25,'G-7 WaterC'' Data'!$B$4:$G$8,4,FALSE))</f>
        <v/>
      </c>
      <c r="S25" s="289" t="str">
        <f t="shared" si="2"/>
        <v/>
      </c>
      <c r="T25" s="320" t="str">
        <f t="shared" si="3"/>
        <v/>
      </c>
      <c r="U25" s="282" t="str">
        <f>IF(C25="","",VLOOKUP(T25,'G-3 Multipliers'!$P$2:$Q$6,2,FALSE))</f>
        <v/>
      </c>
      <c r="V25" s="106"/>
      <c r="W25" s="282" t="str">
        <f>IF(V25="","",IF(AND(V25="N/A - Culvert",C25&lt;&gt;"Culvert"),"Not possible ▲",IF(AND(C25="Culvert",V25&lt;&gt;"N/A - Culvert"),"Not possible ▲",IF(VLOOKUP(V25,'G-7 WaterC'' Data'!$AA$4:$AB$7,2,FALSE)=0,"Spatial Data Missing ⚠",VLOOKUP(V25,'G-7 WaterC'' Data'!$AA$4:$AB$7,2,FALSE)))))</f>
        <v/>
      </c>
      <c r="X25" s="56"/>
      <c r="Y25" s="282" t="str">
        <f>IF(X25="","",IF(AND(X25="N/A - Culvert", C25&lt;&gt;"Culvert"), "Not possible ▲",IF(AND(C25="Culvert",X25&lt;&gt;"N/A - Culvert"),"Not possible ▲",IF(VLOOKUP(X25,'G-7 WaterC'' Data'!$AD$4:$AE$14,2,FALSE)=0,"Enrcoachment Data Missing ⚠",VLOOKUP(X25,'G-7 WaterC'' Data'!$AD$4:$AE$14,2,FALSE)))))</f>
        <v/>
      </c>
      <c r="Z25" s="106"/>
      <c r="AA25" s="282" t="str">
        <f>IF(Z25="","",IF(VLOOKUP(Z25,'G-7 WaterC'' Data'!$AO$4:$BO$7,2,FALSE)=0,"Spatial Data Missing ⚠",VLOOKUP(Z25,'G-7 WaterC'' Data'!$AO$4:$BO$7,2,FALSE)))</f>
        <v/>
      </c>
      <c r="AB25" s="323" t="str">
        <f t="shared" si="4"/>
        <v/>
      </c>
      <c r="AC25" s="323" t="str">
        <f t="shared" si="5"/>
        <v/>
      </c>
      <c r="AD25" s="105"/>
      <c r="AE25" s="968"/>
      <c r="AF25" s="142"/>
      <c r="AG25" s="142"/>
      <c r="AH25" s="964"/>
      <c r="AL25" s="30" t="str">
        <f>IFERROR(INDEX('G-7 WaterC'' Data'!$AZ$3:$AZ$7,MATCH(C25,'G-7 WaterC'' Data'!$AY$3:$AY$7,0)),"")</f>
        <v/>
      </c>
      <c r="AN25" s="30" t="str">
        <f t="shared" si="6"/>
        <v>No</v>
      </c>
    </row>
    <row r="26" spans="2:40" ht="13.8" x14ac:dyDescent="0.25">
      <c r="B26" s="101">
        <v>15</v>
      </c>
      <c r="C26" s="953"/>
      <c r="D26" s="119"/>
      <c r="E26" s="281" t="str">
        <f>IF(C26="","",VLOOKUP(C26,'G-7 WaterC'' Data'!$B$2:$Z$9,2,FALSE))</f>
        <v/>
      </c>
      <c r="F26" s="282" t="str">
        <f>IFERROR(VLOOKUP(E26,'G-7 WaterC'' Data'!$C$4:$D$8,2,FALSE),"")</f>
        <v/>
      </c>
      <c r="G26" s="52"/>
      <c r="H26" s="282" t="str">
        <f>IFERROR(INDEX('G-7 WaterC'' Data'!$H$4:$L$8,MATCH(C26,'G-7 WaterC'' Data'!$B$4:$B$8,0),MATCH(G26,'G-7 WaterC'' Data'!$H$3:$L$3,0)),"")</f>
        <v/>
      </c>
      <c r="I26" s="52"/>
      <c r="J26" s="320" t="str">
        <f>IF(I26="","",IF(VLOOKUP(I26,'G-7 WaterC'' Data'!$AK$4:$AM$6,2,FALSE)=0,"Spatial Data Missing ⚠",VLOOKUP(I26,'G-7 WaterC'' Data'!$AK$4:$AM$6,2,FALSE)))</f>
        <v/>
      </c>
      <c r="K26" s="282" t="str">
        <f>IF(I26="","",IF(VLOOKUP(I26,'G-7 WaterC'' Data'!$AK$4:$AM$6,3,FALSE)=0,"Spatial Data Missing ⚠",VLOOKUP(I26,'G-7 WaterC'' Data'!$AK$4:$AM$6,3,FALSE)))</f>
        <v/>
      </c>
      <c r="L26" s="382" t="str">
        <f>IFERROR(INDEX('G-7 WaterC'' Data'!$O$3:$O$7,MATCH(G26,'G-7 WaterC'' Data'!$N$3:$N$7,0)),"")</f>
        <v/>
      </c>
      <c r="M26" s="53"/>
      <c r="N26" s="137"/>
      <c r="O26" s="289" t="str">
        <f t="shared" si="0"/>
        <v/>
      </c>
      <c r="P26" s="302" t="str">
        <f t="shared" si="1"/>
        <v/>
      </c>
      <c r="Q26" s="340" t="str">
        <f>IFERROR(IF(P26="Check Data ⚠","Check Data ⚠",VLOOKUP(P26,'G-4 Temporal multipliers'!$A$4:$C$37,3,FALSE)),"")</f>
        <v/>
      </c>
      <c r="R26" s="281" t="str">
        <f>IF(C26="","",VLOOKUP(C26,'G-7 WaterC'' Data'!$B$4:$G$8,4,FALSE))</f>
        <v/>
      </c>
      <c r="S26" s="289" t="str">
        <f t="shared" si="2"/>
        <v/>
      </c>
      <c r="T26" s="320" t="str">
        <f t="shared" si="3"/>
        <v/>
      </c>
      <c r="U26" s="282" t="str">
        <f>IF(C26="","",VLOOKUP(T26,'G-3 Multipliers'!$P$2:$Q$6,2,FALSE))</f>
        <v/>
      </c>
      <c r="V26" s="106"/>
      <c r="W26" s="282" t="str">
        <f>IF(V26="","",IF(AND(V26="N/A - Culvert",C26&lt;&gt;"Culvert"),"Not possible ▲",IF(AND(C26="Culvert",V26&lt;&gt;"N/A - Culvert"),"Not possible ▲",IF(VLOOKUP(V26,'G-7 WaterC'' Data'!$AA$4:$AB$7,2,FALSE)=0,"Spatial Data Missing ⚠",VLOOKUP(V26,'G-7 WaterC'' Data'!$AA$4:$AB$7,2,FALSE)))))</f>
        <v/>
      </c>
      <c r="X26" s="56"/>
      <c r="Y26" s="282" t="str">
        <f>IF(X26="","",IF(AND(X26="N/A - Culvert", C26&lt;&gt;"Culvert"), "Not possible ▲",IF(AND(C26="Culvert",X26&lt;&gt;"N/A - Culvert"),"Not possible ▲",IF(VLOOKUP(X26,'G-7 WaterC'' Data'!$AD$4:$AE$14,2,FALSE)=0,"Enrcoachment Data Missing ⚠",VLOOKUP(X26,'G-7 WaterC'' Data'!$AD$4:$AE$14,2,FALSE)))))</f>
        <v/>
      </c>
      <c r="Z26" s="106"/>
      <c r="AA26" s="282" t="str">
        <f>IF(Z26="","",IF(VLOOKUP(Z26,'G-7 WaterC'' Data'!$AO$4:$BO$7,2,FALSE)=0,"Spatial Data Missing ⚠",VLOOKUP(Z26,'G-7 WaterC'' Data'!$AO$4:$BO$7,2,FALSE)))</f>
        <v/>
      </c>
      <c r="AB26" s="323" t="str">
        <f t="shared" si="4"/>
        <v/>
      </c>
      <c r="AC26" s="323" t="str">
        <f t="shared" si="5"/>
        <v/>
      </c>
      <c r="AD26" s="105"/>
      <c r="AE26" s="968"/>
      <c r="AF26" s="142"/>
      <c r="AG26" s="142"/>
      <c r="AH26" s="964"/>
      <c r="AL26" s="30" t="str">
        <f>IFERROR(INDEX('G-7 WaterC'' Data'!$AZ$3:$AZ$7,MATCH(C26,'G-7 WaterC'' Data'!$AY$3:$AY$7,0)),"")</f>
        <v/>
      </c>
      <c r="AN26" s="30" t="str">
        <f t="shared" si="6"/>
        <v>No</v>
      </c>
    </row>
    <row r="27" spans="2:40" ht="13.8" x14ac:dyDescent="0.25">
      <c r="B27" s="101">
        <v>16</v>
      </c>
      <c r="C27" s="953"/>
      <c r="D27" s="119"/>
      <c r="E27" s="281" t="str">
        <f>IF(C27="","",VLOOKUP(C27,'G-7 WaterC'' Data'!$B$2:$Z$9,2,FALSE))</f>
        <v/>
      </c>
      <c r="F27" s="282" t="str">
        <f>IFERROR(VLOOKUP(E27,'G-7 WaterC'' Data'!$C$4:$D$8,2,FALSE),"")</f>
        <v/>
      </c>
      <c r="G27" s="52"/>
      <c r="H27" s="282" t="str">
        <f>IFERROR(INDEX('G-7 WaterC'' Data'!$H$4:$L$8,MATCH(C27,'G-7 WaterC'' Data'!$B$4:$B$8,0),MATCH(G27,'G-7 WaterC'' Data'!$H$3:$L$3,0)),"")</f>
        <v/>
      </c>
      <c r="I27" s="52"/>
      <c r="J27" s="320" t="str">
        <f>IF(I27="","",IF(VLOOKUP(I27,'G-7 WaterC'' Data'!$AK$4:$AM$6,2,FALSE)=0,"Spatial Data Missing ⚠",VLOOKUP(I27,'G-7 WaterC'' Data'!$AK$4:$AM$6,2,FALSE)))</f>
        <v/>
      </c>
      <c r="K27" s="282" t="str">
        <f>IF(I27="","",IF(VLOOKUP(I27,'G-7 WaterC'' Data'!$AK$4:$AM$6,3,FALSE)=0,"Spatial Data Missing ⚠",VLOOKUP(I27,'G-7 WaterC'' Data'!$AK$4:$AM$6,3,FALSE)))</f>
        <v/>
      </c>
      <c r="L27" s="382" t="str">
        <f>IFERROR(INDEX('G-7 WaterC'' Data'!$O$3:$O$7,MATCH(G27,'G-7 WaterC'' Data'!$N$3:$N$7,0)),"")</f>
        <v/>
      </c>
      <c r="M27" s="53"/>
      <c r="N27" s="137"/>
      <c r="O27" s="289" t="str">
        <f t="shared" si="0"/>
        <v/>
      </c>
      <c r="P27" s="302" t="str">
        <f t="shared" si="1"/>
        <v/>
      </c>
      <c r="Q27" s="340" t="str">
        <f>IFERROR(IF(P27="Check Data ⚠","Check Data ⚠",VLOOKUP(P27,'G-4 Temporal multipliers'!$A$4:$C$37,3,FALSE)),"")</f>
        <v/>
      </c>
      <c r="R27" s="281" t="str">
        <f>IF(C27="","",VLOOKUP(C27,'G-7 WaterC'' Data'!$B$4:$G$8,4,FALSE))</f>
        <v/>
      </c>
      <c r="S27" s="289" t="str">
        <f t="shared" si="2"/>
        <v/>
      </c>
      <c r="T27" s="320" t="str">
        <f t="shared" si="3"/>
        <v/>
      </c>
      <c r="U27" s="282" t="str">
        <f>IF(C27="","",VLOOKUP(T27,'G-3 Multipliers'!$P$2:$Q$6,2,FALSE))</f>
        <v/>
      </c>
      <c r="V27" s="106"/>
      <c r="W27" s="282" t="str">
        <f>IF(V27="","",IF(AND(V27="N/A - Culvert",C27&lt;&gt;"Culvert"),"Not possible ▲",IF(AND(C27="Culvert",V27&lt;&gt;"N/A - Culvert"),"Not possible ▲",IF(VLOOKUP(V27,'G-7 WaterC'' Data'!$AA$4:$AB$7,2,FALSE)=0,"Spatial Data Missing ⚠",VLOOKUP(V27,'G-7 WaterC'' Data'!$AA$4:$AB$7,2,FALSE)))))</f>
        <v/>
      </c>
      <c r="X27" s="56"/>
      <c r="Y27" s="282" t="str">
        <f>IF(X27="","",IF(AND(X27="N/A - Culvert", C27&lt;&gt;"Culvert"), "Not possible ▲",IF(AND(C27="Culvert",X27&lt;&gt;"N/A - Culvert"),"Not possible ▲",IF(VLOOKUP(X27,'G-7 WaterC'' Data'!$AD$4:$AE$14,2,FALSE)=0,"Enrcoachment Data Missing ⚠",VLOOKUP(X27,'G-7 WaterC'' Data'!$AD$4:$AE$14,2,FALSE)))))</f>
        <v/>
      </c>
      <c r="Z27" s="106"/>
      <c r="AA27" s="282" t="str">
        <f>IF(Z27="","",IF(VLOOKUP(Z27,'G-7 WaterC'' Data'!$AO$4:$BO$7,2,FALSE)=0,"Spatial Data Missing ⚠",VLOOKUP(Z27,'G-7 WaterC'' Data'!$AO$4:$BO$7,2,FALSE)))</f>
        <v/>
      </c>
      <c r="AB27" s="323" t="str">
        <f t="shared" si="4"/>
        <v/>
      </c>
      <c r="AC27" s="323" t="str">
        <f t="shared" si="5"/>
        <v/>
      </c>
      <c r="AD27" s="105"/>
      <c r="AE27" s="968"/>
      <c r="AF27" s="142"/>
      <c r="AG27" s="142"/>
      <c r="AH27" s="964"/>
      <c r="AL27" s="30" t="str">
        <f>IFERROR(INDEX('G-7 WaterC'' Data'!$AZ$3:$AZ$7,MATCH(C27,'G-7 WaterC'' Data'!$AY$3:$AY$7,0)),"")</f>
        <v/>
      </c>
      <c r="AN27" s="30" t="str">
        <f t="shared" si="6"/>
        <v>No</v>
      </c>
    </row>
    <row r="28" spans="2:40" ht="13.8" x14ac:dyDescent="0.25">
      <c r="B28" s="101">
        <v>17</v>
      </c>
      <c r="C28" s="953"/>
      <c r="D28" s="119"/>
      <c r="E28" s="281" t="str">
        <f>IF(C28="","",VLOOKUP(C28,'G-7 WaterC'' Data'!$B$2:$Z$9,2,FALSE))</f>
        <v/>
      </c>
      <c r="F28" s="282" t="str">
        <f>IFERROR(VLOOKUP(E28,'G-7 WaterC'' Data'!$C$4:$D$8,2,FALSE),"")</f>
        <v/>
      </c>
      <c r="G28" s="52"/>
      <c r="H28" s="282" t="str">
        <f>IFERROR(INDEX('G-7 WaterC'' Data'!$H$4:$L$8,MATCH(C28,'G-7 WaterC'' Data'!$B$4:$B$8,0),MATCH(G28,'G-7 WaterC'' Data'!$H$3:$L$3,0)),"")</f>
        <v/>
      </c>
      <c r="I28" s="52"/>
      <c r="J28" s="320" t="str">
        <f>IF(I28="","",IF(VLOOKUP(I28,'G-7 WaterC'' Data'!$AK$4:$AM$6,2,FALSE)=0,"Spatial Data Missing ⚠",VLOOKUP(I28,'G-7 WaterC'' Data'!$AK$4:$AM$6,2,FALSE)))</f>
        <v/>
      </c>
      <c r="K28" s="282" t="str">
        <f>IF(I28="","",IF(VLOOKUP(I28,'G-7 WaterC'' Data'!$AK$4:$AM$6,3,FALSE)=0,"Spatial Data Missing ⚠",VLOOKUP(I28,'G-7 WaterC'' Data'!$AK$4:$AM$6,3,FALSE)))</f>
        <v/>
      </c>
      <c r="L28" s="382" t="str">
        <f>IFERROR(INDEX('G-7 WaterC'' Data'!$O$3:$O$7,MATCH(G28,'G-7 WaterC'' Data'!$N$3:$N$7,0)),"")</f>
        <v/>
      </c>
      <c r="M28" s="53"/>
      <c r="N28" s="137"/>
      <c r="O28" s="289" t="str">
        <f t="shared" si="0"/>
        <v/>
      </c>
      <c r="P28" s="302" t="str">
        <f t="shared" si="1"/>
        <v/>
      </c>
      <c r="Q28" s="340" t="str">
        <f>IFERROR(IF(P28="Check Data ⚠","Check Data ⚠",VLOOKUP(P28,'G-4 Temporal multipliers'!$A$4:$C$37,3,FALSE)),"")</f>
        <v/>
      </c>
      <c r="R28" s="281" t="str">
        <f>IF(C28="","",VLOOKUP(C28,'G-7 WaterC'' Data'!$B$4:$G$8,4,FALSE))</f>
        <v/>
      </c>
      <c r="S28" s="289" t="str">
        <f t="shared" si="2"/>
        <v/>
      </c>
      <c r="T28" s="320" t="str">
        <f t="shared" si="3"/>
        <v/>
      </c>
      <c r="U28" s="282" t="str">
        <f>IF(C28="","",VLOOKUP(T28,'G-3 Multipliers'!$P$2:$Q$6,2,FALSE))</f>
        <v/>
      </c>
      <c r="V28" s="106"/>
      <c r="W28" s="282" t="str">
        <f>IF(V28="","",IF(AND(V28="N/A - Culvert",C28&lt;&gt;"Culvert"),"Not possible ▲",IF(AND(C28="Culvert",V28&lt;&gt;"N/A - Culvert"),"Not possible ▲",IF(VLOOKUP(V28,'G-7 WaterC'' Data'!$AA$4:$AB$7,2,FALSE)=0,"Spatial Data Missing ⚠",VLOOKUP(V28,'G-7 WaterC'' Data'!$AA$4:$AB$7,2,FALSE)))))</f>
        <v/>
      </c>
      <c r="X28" s="56"/>
      <c r="Y28" s="282" t="str">
        <f>IF(X28="","",IF(AND(X28="N/A - Culvert", C28&lt;&gt;"Culvert"), "Not possible ▲",IF(AND(C28="Culvert",X28&lt;&gt;"N/A - Culvert"),"Not possible ▲",IF(VLOOKUP(X28,'G-7 WaterC'' Data'!$AD$4:$AE$14,2,FALSE)=0,"Enrcoachment Data Missing ⚠",VLOOKUP(X28,'G-7 WaterC'' Data'!$AD$4:$AE$14,2,FALSE)))))</f>
        <v/>
      </c>
      <c r="Z28" s="106"/>
      <c r="AA28" s="282" t="str">
        <f>IF(Z28="","",IF(VLOOKUP(Z28,'G-7 WaterC'' Data'!$AO$4:$BO$7,2,FALSE)=0,"Spatial Data Missing ⚠",VLOOKUP(Z28,'G-7 WaterC'' Data'!$AO$4:$BO$7,2,FALSE)))</f>
        <v/>
      </c>
      <c r="AB28" s="323" t="str">
        <f t="shared" si="4"/>
        <v/>
      </c>
      <c r="AC28" s="323" t="str">
        <f t="shared" si="5"/>
        <v/>
      </c>
      <c r="AD28" s="105"/>
      <c r="AE28" s="968"/>
      <c r="AF28" s="142"/>
      <c r="AG28" s="142"/>
      <c r="AH28" s="964"/>
      <c r="AL28" s="30" t="str">
        <f>IFERROR(INDEX('G-7 WaterC'' Data'!$AZ$3:$AZ$7,MATCH(C28,'G-7 WaterC'' Data'!$AY$3:$AY$7,0)),"")</f>
        <v/>
      </c>
      <c r="AN28" s="30" t="str">
        <f t="shared" si="6"/>
        <v>No</v>
      </c>
    </row>
    <row r="29" spans="2:40" ht="13.8" x14ac:dyDescent="0.25">
      <c r="B29" s="101">
        <v>18</v>
      </c>
      <c r="C29" s="953"/>
      <c r="D29" s="119"/>
      <c r="E29" s="281" t="str">
        <f>IF(C29="","",VLOOKUP(C29,'G-7 WaterC'' Data'!$B$2:$Z$9,2,FALSE))</f>
        <v/>
      </c>
      <c r="F29" s="282" t="str">
        <f>IFERROR(VLOOKUP(E29,'G-7 WaterC'' Data'!$C$4:$D$8,2,FALSE),"")</f>
        <v/>
      </c>
      <c r="G29" s="52"/>
      <c r="H29" s="282" t="str">
        <f>IFERROR(INDEX('G-7 WaterC'' Data'!$H$4:$L$8,MATCH(C29,'G-7 WaterC'' Data'!$B$4:$B$8,0),MATCH(G29,'G-7 WaterC'' Data'!$H$3:$L$3,0)),"")</f>
        <v/>
      </c>
      <c r="I29" s="52"/>
      <c r="J29" s="320" t="str">
        <f>IF(I29="","",IF(VLOOKUP(I29,'G-7 WaterC'' Data'!$AK$4:$AM$6,2,FALSE)=0,"Spatial Data Missing ⚠",VLOOKUP(I29,'G-7 WaterC'' Data'!$AK$4:$AM$6,2,FALSE)))</f>
        <v/>
      </c>
      <c r="K29" s="282" t="str">
        <f>IF(I29="","",IF(VLOOKUP(I29,'G-7 WaterC'' Data'!$AK$4:$AM$6,3,FALSE)=0,"Spatial Data Missing ⚠",VLOOKUP(I29,'G-7 WaterC'' Data'!$AK$4:$AM$6,3,FALSE)))</f>
        <v/>
      </c>
      <c r="L29" s="382" t="str">
        <f>IFERROR(INDEX('G-7 WaterC'' Data'!$O$3:$O$7,MATCH(G29,'G-7 WaterC'' Data'!$N$3:$N$7,0)),"")</f>
        <v/>
      </c>
      <c r="M29" s="53"/>
      <c r="N29" s="137"/>
      <c r="O29" s="289" t="str">
        <f t="shared" si="0"/>
        <v/>
      </c>
      <c r="P29" s="302" t="str">
        <f t="shared" si="1"/>
        <v/>
      </c>
      <c r="Q29" s="340" t="str">
        <f>IFERROR(IF(P29="Check Data ⚠","Check Data ⚠",VLOOKUP(P29,'G-4 Temporal multipliers'!$A$4:$C$37,3,FALSE)),"")</f>
        <v/>
      </c>
      <c r="R29" s="281" t="str">
        <f>IF(C29="","",VLOOKUP(C29,'G-7 WaterC'' Data'!$B$4:$G$8,4,FALSE))</f>
        <v/>
      </c>
      <c r="S29" s="289" t="str">
        <f t="shared" si="2"/>
        <v/>
      </c>
      <c r="T29" s="320" t="str">
        <f t="shared" si="3"/>
        <v/>
      </c>
      <c r="U29" s="282" t="str">
        <f>IF(C29="","",VLOOKUP(T29,'G-3 Multipliers'!$P$2:$Q$6,2,FALSE))</f>
        <v/>
      </c>
      <c r="V29" s="106"/>
      <c r="W29" s="282" t="str">
        <f>IF(V29="","",IF(AND(V29="N/A - Culvert",C29&lt;&gt;"Culvert"),"Not possible ▲",IF(AND(C29="Culvert",V29&lt;&gt;"N/A - Culvert"),"Not possible ▲",IF(VLOOKUP(V29,'G-7 WaterC'' Data'!$AA$4:$AB$7,2,FALSE)=0,"Spatial Data Missing ⚠",VLOOKUP(V29,'G-7 WaterC'' Data'!$AA$4:$AB$7,2,FALSE)))))</f>
        <v/>
      </c>
      <c r="X29" s="56"/>
      <c r="Y29" s="282" t="str">
        <f>IF(X29="","",IF(AND(X29="N/A - Culvert", C29&lt;&gt;"Culvert"), "Not possible ▲",IF(AND(C29="Culvert",X29&lt;&gt;"N/A - Culvert"),"Not possible ▲",IF(VLOOKUP(X29,'G-7 WaterC'' Data'!$AD$4:$AE$14,2,FALSE)=0,"Enrcoachment Data Missing ⚠",VLOOKUP(X29,'G-7 WaterC'' Data'!$AD$4:$AE$14,2,FALSE)))))</f>
        <v/>
      </c>
      <c r="Z29" s="106"/>
      <c r="AA29" s="282" t="str">
        <f>IF(Z29="","",IF(VLOOKUP(Z29,'G-7 WaterC'' Data'!$AO$4:$BO$7,2,FALSE)=0,"Spatial Data Missing ⚠",VLOOKUP(Z29,'G-7 WaterC'' Data'!$AO$4:$BO$7,2,FALSE)))</f>
        <v/>
      </c>
      <c r="AB29" s="323" t="str">
        <f t="shared" si="4"/>
        <v/>
      </c>
      <c r="AC29" s="323" t="str">
        <f t="shared" si="5"/>
        <v/>
      </c>
      <c r="AD29" s="105"/>
      <c r="AE29" s="968"/>
      <c r="AF29" s="142"/>
      <c r="AG29" s="142"/>
      <c r="AH29" s="964"/>
      <c r="AL29" s="30" t="str">
        <f>IFERROR(INDEX('G-7 WaterC'' Data'!$AZ$3:$AZ$7,MATCH(C29,'G-7 WaterC'' Data'!$AY$3:$AY$7,0)),"")</f>
        <v/>
      </c>
      <c r="AN29" s="30" t="str">
        <f t="shared" si="6"/>
        <v>No</v>
      </c>
    </row>
    <row r="30" spans="2:40" ht="13.8" x14ac:dyDescent="0.25">
      <c r="B30" s="101">
        <v>19</v>
      </c>
      <c r="C30" s="953"/>
      <c r="D30" s="119"/>
      <c r="E30" s="281" t="str">
        <f>IF(C30="","",VLOOKUP(C30,'G-7 WaterC'' Data'!$B$2:$Z$9,2,FALSE))</f>
        <v/>
      </c>
      <c r="F30" s="282" t="str">
        <f>IFERROR(VLOOKUP(E30,'G-7 WaterC'' Data'!$C$4:$D$8,2,FALSE),"")</f>
        <v/>
      </c>
      <c r="G30" s="52"/>
      <c r="H30" s="282" t="str">
        <f>IFERROR(INDEX('G-7 WaterC'' Data'!$H$4:$L$8,MATCH(C30,'G-7 WaterC'' Data'!$B$4:$B$8,0),MATCH(G30,'G-7 WaterC'' Data'!$H$3:$L$3,0)),"")</f>
        <v/>
      </c>
      <c r="I30" s="52"/>
      <c r="J30" s="320" t="str">
        <f>IF(I30="","",IF(VLOOKUP(I30,'G-7 WaterC'' Data'!$AK$4:$AM$6,2,FALSE)=0,"Spatial Data Missing ⚠",VLOOKUP(I30,'G-7 WaterC'' Data'!$AK$4:$AM$6,2,FALSE)))</f>
        <v/>
      </c>
      <c r="K30" s="282" t="str">
        <f>IF(I30="","",IF(VLOOKUP(I30,'G-7 WaterC'' Data'!$AK$4:$AM$6,3,FALSE)=0,"Spatial Data Missing ⚠",VLOOKUP(I30,'G-7 WaterC'' Data'!$AK$4:$AM$6,3,FALSE)))</f>
        <v/>
      </c>
      <c r="L30" s="382" t="str">
        <f>IFERROR(INDEX('G-7 WaterC'' Data'!$O$3:$O$7,MATCH(G30,'G-7 WaterC'' Data'!$N$3:$N$7,0)),"")</f>
        <v/>
      </c>
      <c r="M30" s="53"/>
      <c r="N30" s="137"/>
      <c r="O30" s="289" t="str">
        <f t="shared" si="0"/>
        <v/>
      </c>
      <c r="P30" s="302" t="str">
        <f t="shared" si="1"/>
        <v/>
      </c>
      <c r="Q30" s="340" t="str">
        <f>IFERROR(IF(P30="Check Data ⚠","Check Data ⚠",VLOOKUP(P30,'G-4 Temporal multipliers'!$A$4:$C$37,3,FALSE)),"")</f>
        <v/>
      </c>
      <c r="R30" s="281" t="str">
        <f>IF(C30="","",VLOOKUP(C30,'G-7 WaterC'' Data'!$B$4:$G$8,4,FALSE))</f>
        <v/>
      </c>
      <c r="S30" s="289" t="str">
        <f t="shared" si="2"/>
        <v/>
      </c>
      <c r="T30" s="320" t="str">
        <f t="shared" si="3"/>
        <v/>
      </c>
      <c r="U30" s="282" t="str">
        <f>IF(C30="","",VLOOKUP(T30,'G-3 Multipliers'!$P$2:$Q$6,2,FALSE))</f>
        <v/>
      </c>
      <c r="V30" s="106"/>
      <c r="W30" s="282" t="str">
        <f>IF(V30="","",IF(AND(V30="N/A - Culvert",C30&lt;&gt;"Culvert"),"Not possible ▲",IF(AND(C30="Culvert",V30&lt;&gt;"N/A - Culvert"),"Not possible ▲",IF(VLOOKUP(V30,'G-7 WaterC'' Data'!$AA$4:$AB$7,2,FALSE)=0,"Spatial Data Missing ⚠",VLOOKUP(V30,'G-7 WaterC'' Data'!$AA$4:$AB$7,2,FALSE)))))</f>
        <v/>
      </c>
      <c r="X30" s="56"/>
      <c r="Y30" s="282" t="str">
        <f>IF(X30="","",IF(AND(X30="N/A - Culvert", C30&lt;&gt;"Culvert"), "Not possible ▲",IF(AND(C30="Culvert",X30&lt;&gt;"N/A - Culvert"),"Not possible ▲",IF(VLOOKUP(X30,'G-7 WaterC'' Data'!$AD$4:$AE$14,2,FALSE)=0,"Enrcoachment Data Missing ⚠",VLOOKUP(X30,'G-7 WaterC'' Data'!$AD$4:$AE$14,2,FALSE)))))</f>
        <v/>
      </c>
      <c r="Z30" s="106"/>
      <c r="AA30" s="282" t="str">
        <f>IF(Z30="","",IF(VLOOKUP(Z30,'G-7 WaterC'' Data'!$AO$4:$BO$7,2,FALSE)=0,"Spatial Data Missing ⚠",VLOOKUP(Z30,'G-7 WaterC'' Data'!$AO$4:$BO$7,2,FALSE)))</f>
        <v/>
      </c>
      <c r="AB30" s="323" t="str">
        <f t="shared" si="4"/>
        <v/>
      </c>
      <c r="AC30" s="323" t="str">
        <f t="shared" si="5"/>
        <v/>
      </c>
      <c r="AD30" s="105"/>
      <c r="AE30" s="968"/>
      <c r="AF30" s="142"/>
      <c r="AG30" s="142"/>
      <c r="AH30" s="964"/>
      <c r="AL30" s="30" t="str">
        <f>IFERROR(INDEX('G-7 WaterC'' Data'!$AZ$3:$AZ$7,MATCH(C30,'G-7 WaterC'' Data'!$AY$3:$AY$7,0)),"")</f>
        <v/>
      </c>
      <c r="AN30" s="30" t="str">
        <f t="shared" si="6"/>
        <v>No</v>
      </c>
    </row>
    <row r="31" spans="2:40" ht="13.8" x14ac:dyDescent="0.25">
      <c r="B31" s="101">
        <v>20</v>
      </c>
      <c r="C31" s="953"/>
      <c r="D31" s="119"/>
      <c r="E31" s="281" t="str">
        <f>IF(C31="","",VLOOKUP(C31,'G-7 WaterC'' Data'!$B$2:$Z$9,2,FALSE))</f>
        <v/>
      </c>
      <c r="F31" s="282" t="str">
        <f>IFERROR(VLOOKUP(E31,'G-7 WaterC'' Data'!$C$4:$D$8,2,FALSE),"")</f>
        <v/>
      </c>
      <c r="G31" s="52"/>
      <c r="H31" s="282" t="str">
        <f>IFERROR(INDEX('G-7 WaterC'' Data'!$H$4:$L$8,MATCH(C31,'G-7 WaterC'' Data'!$B$4:$B$8,0),MATCH(G31,'G-7 WaterC'' Data'!$H$3:$L$3,0)),"")</f>
        <v/>
      </c>
      <c r="I31" s="52"/>
      <c r="J31" s="320" t="str">
        <f>IF(I31="","",IF(VLOOKUP(I31,'G-7 WaterC'' Data'!$AK$4:$AM$6,2,FALSE)=0,"Spatial Data Missing ⚠",VLOOKUP(I31,'G-7 WaterC'' Data'!$AK$4:$AM$6,2,FALSE)))</f>
        <v/>
      </c>
      <c r="K31" s="282" t="str">
        <f>IF(I31="","",IF(VLOOKUP(I31,'G-7 WaterC'' Data'!$AK$4:$AM$6,3,FALSE)=0,"Spatial Data Missing ⚠",VLOOKUP(I31,'G-7 WaterC'' Data'!$AK$4:$AM$6,3,FALSE)))</f>
        <v/>
      </c>
      <c r="L31" s="382" t="str">
        <f>IFERROR(INDEX('G-7 WaterC'' Data'!$O$3:$O$7,MATCH(G31,'G-7 WaterC'' Data'!$N$3:$N$7,0)),"")</f>
        <v/>
      </c>
      <c r="M31" s="53"/>
      <c r="N31" s="137"/>
      <c r="O31" s="289" t="str">
        <f t="shared" si="0"/>
        <v/>
      </c>
      <c r="P31" s="302" t="str">
        <f t="shared" si="1"/>
        <v/>
      </c>
      <c r="Q31" s="340" t="str">
        <f>IFERROR(IF(P31="Check Data ⚠","Check Data ⚠",VLOOKUP(P31,'G-4 Temporal multipliers'!$A$4:$C$37,3,FALSE)),"")</f>
        <v/>
      </c>
      <c r="R31" s="281" t="str">
        <f>IF(C31="","",VLOOKUP(C31,'G-7 WaterC'' Data'!$B$4:$G$8,4,FALSE))</f>
        <v/>
      </c>
      <c r="S31" s="289" t="str">
        <f t="shared" si="2"/>
        <v/>
      </c>
      <c r="T31" s="320" t="str">
        <f t="shared" si="3"/>
        <v/>
      </c>
      <c r="U31" s="282" t="str">
        <f>IF(C31="","",VLOOKUP(T31,'G-3 Multipliers'!$P$2:$Q$6,2,FALSE))</f>
        <v/>
      </c>
      <c r="V31" s="106"/>
      <c r="W31" s="282" t="str">
        <f>IF(V31="","",IF(AND(V31="N/A - Culvert",C31&lt;&gt;"Culvert"),"Not possible ▲",IF(AND(C31="Culvert",V31&lt;&gt;"N/A - Culvert"),"Not possible ▲",IF(VLOOKUP(V31,'G-7 WaterC'' Data'!$AA$4:$AB$7,2,FALSE)=0,"Spatial Data Missing ⚠",VLOOKUP(V31,'G-7 WaterC'' Data'!$AA$4:$AB$7,2,FALSE)))))</f>
        <v/>
      </c>
      <c r="X31" s="56"/>
      <c r="Y31" s="282" t="str">
        <f>IF(X31="","",IF(AND(X31="N/A - Culvert", C31&lt;&gt;"Culvert"), "Not possible ▲",IF(AND(C31="Culvert",X31&lt;&gt;"N/A - Culvert"),"Not possible ▲",IF(VLOOKUP(X31,'G-7 WaterC'' Data'!$AD$4:$AE$14,2,FALSE)=0,"Enrcoachment Data Missing ⚠",VLOOKUP(X31,'G-7 WaterC'' Data'!$AD$4:$AE$14,2,FALSE)))))</f>
        <v/>
      </c>
      <c r="Z31" s="106"/>
      <c r="AA31" s="282" t="str">
        <f>IF(Z31="","",IF(VLOOKUP(Z31,'G-7 WaterC'' Data'!$AO$4:$BO$7,2,FALSE)=0,"Spatial Data Missing ⚠",VLOOKUP(Z31,'G-7 WaterC'' Data'!$AO$4:$BO$7,2,FALSE)))</f>
        <v/>
      </c>
      <c r="AB31" s="323" t="str">
        <f t="shared" si="4"/>
        <v/>
      </c>
      <c r="AC31" s="323" t="str">
        <f t="shared" si="5"/>
        <v/>
      </c>
      <c r="AD31" s="105"/>
      <c r="AE31" s="968"/>
      <c r="AF31" s="142"/>
      <c r="AG31" s="142"/>
      <c r="AH31" s="964"/>
      <c r="AL31" s="30" t="str">
        <f>IFERROR(INDEX('G-7 WaterC'' Data'!$AZ$3:$AZ$7,MATCH(C31,'G-7 WaterC'' Data'!$AY$3:$AY$7,0)),"")</f>
        <v/>
      </c>
      <c r="AN31" s="30" t="str">
        <f t="shared" si="6"/>
        <v>No</v>
      </c>
    </row>
    <row r="32" spans="2:40" ht="13.8" x14ac:dyDescent="0.25">
      <c r="B32" s="101">
        <v>21</v>
      </c>
      <c r="C32" s="953"/>
      <c r="D32" s="119"/>
      <c r="E32" s="281" t="str">
        <f>IF(C32="","",VLOOKUP(C32,'G-7 WaterC'' Data'!$B$2:$Z$9,2,FALSE))</f>
        <v/>
      </c>
      <c r="F32" s="282" t="str">
        <f>IFERROR(VLOOKUP(E32,'G-7 WaterC'' Data'!$C$4:$D$8,2,FALSE),"")</f>
        <v/>
      </c>
      <c r="G32" s="52"/>
      <c r="H32" s="282" t="str">
        <f>IFERROR(INDEX('G-7 WaterC'' Data'!$H$4:$L$8,MATCH(C32,'G-7 WaterC'' Data'!$B$4:$B$8,0),MATCH(G32,'G-7 WaterC'' Data'!$H$3:$L$3,0)),"")</f>
        <v/>
      </c>
      <c r="I32" s="52"/>
      <c r="J32" s="320" t="str">
        <f>IF(I32="","",IF(VLOOKUP(I32,'G-7 WaterC'' Data'!$AK$4:$AM$6,2,FALSE)=0,"Spatial Data Missing ⚠",VLOOKUP(I32,'G-7 WaterC'' Data'!$AK$4:$AM$6,2,FALSE)))</f>
        <v/>
      </c>
      <c r="K32" s="282" t="str">
        <f>IF(I32="","",IF(VLOOKUP(I32,'G-7 WaterC'' Data'!$AK$4:$AM$6,3,FALSE)=0,"Spatial Data Missing ⚠",VLOOKUP(I32,'G-7 WaterC'' Data'!$AK$4:$AM$6,3,FALSE)))</f>
        <v/>
      </c>
      <c r="L32" s="382" t="str">
        <f>IFERROR(INDEX('G-7 WaterC'' Data'!$O$3:$O$7,MATCH(G32,'G-7 WaterC'' Data'!$N$3:$N$7,0)),"")</f>
        <v/>
      </c>
      <c r="M32" s="53"/>
      <c r="N32" s="137"/>
      <c r="O32" s="289" t="str">
        <f t="shared" si="0"/>
        <v/>
      </c>
      <c r="P32" s="302" t="str">
        <f t="shared" si="1"/>
        <v/>
      </c>
      <c r="Q32" s="340" t="str">
        <f>IFERROR(IF(P32="Check Data ⚠","Check Data ⚠",VLOOKUP(P32,'G-4 Temporal multipliers'!$A$4:$C$37,3,FALSE)),"")</f>
        <v/>
      </c>
      <c r="R32" s="281" t="str">
        <f>IF(C32="","",VLOOKUP(C32,'G-7 WaterC'' Data'!$B$4:$G$8,4,FALSE))</f>
        <v/>
      </c>
      <c r="S32" s="289" t="str">
        <f t="shared" si="2"/>
        <v/>
      </c>
      <c r="T32" s="320" t="str">
        <f t="shared" si="3"/>
        <v/>
      </c>
      <c r="U32" s="282" t="str">
        <f>IF(C32="","",VLOOKUP(T32,'G-3 Multipliers'!$P$2:$Q$6,2,FALSE))</f>
        <v/>
      </c>
      <c r="V32" s="106"/>
      <c r="W32" s="282" t="str">
        <f>IF(V32="","",IF(AND(V32="N/A - Culvert",C32&lt;&gt;"Culvert"),"Not possible ▲",IF(AND(C32="Culvert",V32&lt;&gt;"N/A - Culvert"),"Not possible ▲",IF(VLOOKUP(V32,'G-7 WaterC'' Data'!$AA$4:$AB$7,2,FALSE)=0,"Spatial Data Missing ⚠",VLOOKUP(V32,'G-7 WaterC'' Data'!$AA$4:$AB$7,2,FALSE)))))</f>
        <v/>
      </c>
      <c r="X32" s="56"/>
      <c r="Y32" s="282" t="str">
        <f>IF(X32="","",IF(AND(X32="N/A - Culvert", C32&lt;&gt;"Culvert"), "Not possible ▲",IF(AND(C32="Culvert",X32&lt;&gt;"N/A - Culvert"),"Not possible ▲",IF(VLOOKUP(X32,'G-7 WaterC'' Data'!$AD$4:$AE$14,2,FALSE)=0,"Enrcoachment Data Missing ⚠",VLOOKUP(X32,'G-7 WaterC'' Data'!$AD$4:$AE$14,2,FALSE)))))</f>
        <v/>
      </c>
      <c r="Z32" s="106"/>
      <c r="AA32" s="282" t="str">
        <f>IF(Z32="","",IF(VLOOKUP(Z32,'G-7 WaterC'' Data'!$AO$4:$BO$7,2,FALSE)=0,"Spatial Data Missing ⚠",VLOOKUP(Z32,'G-7 WaterC'' Data'!$AO$4:$BO$7,2,FALSE)))</f>
        <v/>
      </c>
      <c r="AB32" s="323" t="str">
        <f t="shared" si="4"/>
        <v/>
      </c>
      <c r="AC32" s="323" t="str">
        <f t="shared" si="5"/>
        <v/>
      </c>
      <c r="AD32" s="105"/>
      <c r="AE32" s="968"/>
      <c r="AF32" s="142"/>
      <c r="AG32" s="142"/>
      <c r="AH32" s="964"/>
      <c r="AL32" s="30" t="str">
        <f>IFERROR(INDEX('G-7 WaterC'' Data'!$AZ$3:$AZ$7,MATCH(C32,'G-7 WaterC'' Data'!$AY$3:$AY$7,0)),"")</f>
        <v/>
      </c>
      <c r="AN32" s="30" t="str">
        <f t="shared" si="6"/>
        <v>No</v>
      </c>
    </row>
    <row r="33" spans="2:40" ht="13.8" x14ac:dyDescent="0.25">
      <c r="B33" s="101">
        <v>22</v>
      </c>
      <c r="C33" s="953"/>
      <c r="D33" s="119"/>
      <c r="E33" s="281" t="str">
        <f>IF(C33="","",VLOOKUP(C33,'G-7 WaterC'' Data'!$B$2:$Z$9,2,FALSE))</f>
        <v/>
      </c>
      <c r="F33" s="282" t="str">
        <f>IFERROR(VLOOKUP(E33,'G-7 WaterC'' Data'!$C$4:$D$8,2,FALSE),"")</f>
        <v/>
      </c>
      <c r="G33" s="52"/>
      <c r="H33" s="282" t="str">
        <f>IFERROR(INDEX('G-7 WaterC'' Data'!$H$4:$L$8,MATCH(C33,'G-7 WaterC'' Data'!$B$4:$B$8,0),MATCH(G33,'G-7 WaterC'' Data'!$H$3:$L$3,0)),"")</f>
        <v/>
      </c>
      <c r="I33" s="52"/>
      <c r="J33" s="320" t="str">
        <f>IF(I33="","",IF(VLOOKUP(I33,'G-7 WaterC'' Data'!$AK$4:$AM$6,2,FALSE)=0,"Spatial Data Missing ⚠",VLOOKUP(I33,'G-7 WaterC'' Data'!$AK$4:$AM$6,2,FALSE)))</f>
        <v/>
      </c>
      <c r="K33" s="282" t="str">
        <f>IF(I33="","",IF(VLOOKUP(I33,'G-7 WaterC'' Data'!$AK$4:$AM$6,3,FALSE)=0,"Spatial Data Missing ⚠",VLOOKUP(I33,'G-7 WaterC'' Data'!$AK$4:$AM$6,3,FALSE)))</f>
        <v/>
      </c>
      <c r="L33" s="382" t="str">
        <f>IFERROR(INDEX('G-7 WaterC'' Data'!$O$3:$O$7,MATCH(G33,'G-7 WaterC'' Data'!$N$3:$N$7,0)),"")</f>
        <v/>
      </c>
      <c r="M33" s="53"/>
      <c r="N33" s="137"/>
      <c r="O33" s="289" t="str">
        <f t="shared" si="0"/>
        <v/>
      </c>
      <c r="P33" s="302" t="str">
        <f t="shared" si="1"/>
        <v/>
      </c>
      <c r="Q33" s="340" t="str">
        <f>IFERROR(IF(P33="Check Data ⚠","Check Data ⚠",VLOOKUP(P33,'G-4 Temporal multipliers'!$A$4:$C$37,3,FALSE)),"")</f>
        <v/>
      </c>
      <c r="R33" s="281" t="str">
        <f>IF(C33="","",VLOOKUP(C33,'G-7 WaterC'' Data'!$B$4:$G$8,4,FALSE))</f>
        <v/>
      </c>
      <c r="S33" s="289" t="str">
        <f t="shared" si="2"/>
        <v/>
      </c>
      <c r="T33" s="320" t="str">
        <f t="shared" si="3"/>
        <v/>
      </c>
      <c r="U33" s="282" t="str">
        <f>IF(C33="","",VLOOKUP(T33,'G-3 Multipliers'!$P$2:$Q$6,2,FALSE))</f>
        <v/>
      </c>
      <c r="V33" s="106"/>
      <c r="W33" s="282" t="str">
        <f>IF(V33="","",IF(AND(V33="N/A - Culvert",C33&lt;&gt;"Culvert"),"Not possible ▲",IF(AND(C33="Culvert",V33&lt;&gt;"N/A - Culvert"),"Not possible ▲",IF(VLOOKUP(V33,'G-7 WaterC'' Data'!$AA$4:$AB$7,2,FALSE)=0,"Spatial Data Missing ⚠",VLOOKUP(V33,'G-7 WaterC'' Data'!$AA$4:$AB$7,2,FALSE)))))</f>
        <v/>
      </c>
      <c r="X33" s="56"/>
      <c r="Y33" s="282" t="str">
        <f>IF(X33="","",IF(AND(X33="N/A - Culvert", C33&lt;&gt;"Culvert"), "Not possible ▲",IF(AND(C33="Culvert",X33&lt;&gt;"N/A - Culvert"),"Not possible ▲",IF(VLOOKUP(X33,'G-7 WaterC'' Data'!$AD$4:$AE$14,2,FALSE)=0,"Enrcoachment Data Missing ⚠",VLOOKUP(X33,'G-7 WaterC'' Data'!$AD$4:$AE$14,2,FALSE)))))</f>
        <v/>
      </c>
      <c r="Z33" s="106"/>
      <c r="AA33" s="282" t="str">
        <f>IF(Z33="","",IF(VLOOKUP(Z33,'G-7 WaterC'' Data'!$AO$4:$BO$7,2,FALSE)=0,"Spatial Data Missing ⚠",VLOOKUP(Z33,'G-7 WaterC'' Data'!$AO$4:$BO$7,2,FALSE)))</f>
        <v/>
      </c>
      <c r="AB33" s="323" t="str">
        <f t="shared" si="4"/>
        <v/>
      </c>
      <c r="AC33" s="323" t="str">
        <f t="shared" si="5"/>
        <v/>
      </c>
      <c r="AD33" s="105"/>
      <c r="AE33" s="968"/>
      <c r="AF33" s="142"/>
      <c r="AG33" s="142"/>
      <c r="AH33" s="964"/>
      <c r="AL33" s="30" t="str">
        <f>IFERROR(INDEX('G-7 WaterC'' Data'!$AZ$3:$AZ$7,MATCH(C33,'G-7 WaterC'' Data'!$AY$3:$AY$7,0)),"")</f>
        <v/>
      </c>
      <c r="AN33" s="30" t="str">
        <f t="shared" si="6"/>
        <v>No</v>
      </c>
    </row>
    <row r="34" spans="2:40" ht="13.8" x14ac:dyDescent="0.25">
      <c r="B34" s="101">
        <v>23</v>
      </c>
      <c r="C34" s="953"/>
      <c r="D34" s="119"/>
      <c r="E34" s="281" t="str">
        <f>IF(C34="","",VLOOKUP(C34,'G-7 WaterC'' Data'!$B$2:$Z$9,2,FALSE))</f>
        <v/>
      </c>
      <c r="F34" s="282" t="str">
        <f>IFERROR(VLOOKUP(E34,'G-7 WaterC'' Data'!$C$4:$D$8,2,FALSE),"")</f>
        <v/>
      </c>
      <c r="G34" s="52"/>
      <c r="H34" s="282" t="str">
        <f>IFERROR(INDEX('G-7 WaterC'' Data'!$H$4:$L$8,MATCH(C34,'G-7 WaterC'' Data'!$B$4:$B$8,0),MATCH(G34,'G-7 WaterC'' Data'!$H$3:$L$3,0)),"")</f>
        <v/>
      </c>
      <c r="I34" s="52"/>
      <c r="J34" s="320" t="str">
        <f>IF(I34="","",IF(VLOOKUP(I34,'G-7 WaterC'' Data'!$AK$4:$AM$6,2,FALSE)=0,"Spatial Data Missing ⚠",VLOOKUP(I34,'G-7 WaterC'' Data'!$AK$4:$AM$6,2,FALSE)))</f>
        <v/>
      </c>
      <c r="K34" s="282" t="str">
        <f>IF(I34="","",IF(VLOOKUP(I34,'G-7 WaterC'' Data'!$AK$4:$AM$6,3,FALSE)=0,"Spatial Data Missing ⚠",VLOOKUP(I34,'G-7 WaterC'' Data'!$AK$4:$AM$6,3,FALSE)))</f>
        <v/>
      </c>
      <c r="L34" s="382" t="str">
        <f>IFERROR(INDEX('G-7 WaterC'' Data'!$O$3:$O$7,MATCH(G34,'G-7 WaterC'' Data'!$N$3:$N$7,0)),"")</f>
        <v/>
      </c>
      <c r="M34" s="53"/>
      <c r="N34" s="137"/>
      <c r="O34" s="289" t="str">
        <f t="shared" si="0"/>
        <v/>
      </c>
      <c r="P34" s="302" t="str">
        <f t="shared" si="1"/>
        <v/>
      </c>
      <c r="Q34" s="340" t="str">
        <f>IFERROR(IF(P34="Check Data ⚠","Check Data ⚠",VLOOKUP(P34,'G-4 Temporal multipliers'!$A$4:$C$37,3,FALSE)),"")</f>
        <v/>
      </c>
      <c r="R34" s="281" t="str">
        <f>IF(C34="","",VLOOKUP(C34,'G-7 WaterC'' Data'!$B$4:$G$8,4,FALSE))</f>
        <v/>
      </c>
      <c r="S34" s="289" t="str">
        <f t="shared" si="2"/>
        <v/>
      </c>
      <c r="T34" s="320" t="str">
        <f t="shared" si="3"/>
        <v/>
      </c>
      <c r="U34" s="282" t="str">
        <f>IF(C34="","",VLOOKUP(T34,'G-3 Multipliers'!$P$2:$Q$6,2,FALSE))</f>
        <v/>
      </c>
      <c r="V34" s="106"/>
      <c r="W34" s="282" t="str">
        <f>IF(V34="","",IF(AND(V34="N/A - Culvert",C34&lt;&gt;"Culvert"),"Not possible ▲",IF(AND(C34="Culvert",V34&lt;&gt;"N/A - Culvert"),"Not possible ▲",IF(VLOOKUP(V34,'G-7 WaterC'' Data'!$AA$4:$AB$7,2,FALSE)=0,"Spatial Data Missing ⚠",VLOOKUP(V34,'G-7 WaterC'' Data'!$AA$4:$AB$7,2,FALSE)))))</f>
        <v/>
      </c>
      <c r="X34" s="56"/>
      <c r="Y34" s="282" t="str">
        <f>IF(X34="","",IF(AND(X34="N/A - Culvert", C34&lt;&gt;"Culvert"), "Not possible ▲",IF(AND(C34="Culvert",X34&lt;&gt;"N/A - Culvert"),"Not possible ▲",IF(VLOOKUP(X34,'G-7 WaterC'' Data'!$AD$4:$AE$14,2,FALSE)=0,"Enrcoachment Data Missing ⚠",VLOOKUP(X34,'G-7 WaterC'' Data'!$AD$4:$AE$14,2,FALSE)))))</f>
        <v/>
      </c>
      <c r="Z34" s="106"/>
      <c r="AA34" s="282" t="str">
        <f>IF(Z34="","",IF(VLOOKUP(Z34,'G-7 WaterC'' Data'!$AO$4:$BO$7,2,FALSE)=0,"Spatial Data Missing ⚠",VLOOKUP(Z34,'G-7 WaterC'' Data'!$AO$4:$BO$7,2,FALSE)))</f>
        <v/>
      </c>
      <c r="AB34" s="323" t="str">
        <f t="shared" si="4"/>
        <v/>
      </c>
      <c r="AC34" s="323" t="str">
        <f t="shared" si="5"/>
        <v/>
      </c>
      <c r="AD34" s="105"/>
      <c r="AE34" s="968"/>
      <c r="AF34" s="142"/>
      <c r="AG34" s="142"/>
      <c r="AH34" s="964"/>
      <c r="AL34" s="30" t="str">
        <f>IFERROR(INDEX('G-7 WaterC'' Data'!$AZ$3:$AZ$7,MATCH(C34,'G-7 WaterC'' Data'!$AY$3:$AY$7,0)),"")</f>
        <v/>
      </c>
      <c r="AN34" s="30" t="str">
        <f t="shared" si="6"/>
        <v>No</v>
      </c>
    </row>
    <row r="35" spans="2:40" ht="13.8" x14ac:dyDescent="0.25">
      <c r="B35" s="101">
        <v>24</v>
      </c>
      <c r="C35" s="953"/>
      <c r="D35" s="119"/>
      <c r="E35" s="281" t="str">
        <f>IF(C35="","",VLOOKUP(C35,'G-7 WaterC'' Data'!$B$2:$Z$9,2,FALSE))</f>
        <v/>
      </c>
      <c r="F35" s="282" t="str">
        <f>IFERROR(VLOOKUP(E35,'G-7 WaterC'' Data'!$C$4:$D$8,2,FALSE),"")</f>
        <v/>
      </c>
      <c r="G35" s="52"/>
      <c r="H35" s="282" t="str">
        <f>IFERROR(INDEX('G-7 WaterC'' Data'!$H$4:$L$8,MATCH(C35,'G-7 WaterC'' Data'!$B$4:$B$8,0),MATCH(G35,'G-7 WaterC'' Data'!$H$3:$L$3,0)),"")</f>
        <v/>
      </c>
      <c r="I35" s="52"/>
      <c r="J35" s="320" t="str">
        <f>IF(I35="","",IF(VLOOKUP(I35,'G-7 WaterC'' Data'!$AK$4:$AM$6,2,FALSE)=0,"Spatial Data Missing ⚠",VLOOKUP(I35,'G-7 WaterC'' Data'!$AK$4:$AM$6,2,FALSE)))</f>
        <v/>
      </c>
      <c r="K35" s="282" t="str">
        <f>IF(I35="","",IF(VLOOKUP(I35,'G-7 WaterC'' Data'!$AK$4:$AM$6,3,FALSE)=0,"Spatial Data Missing ⚠",VLOOKUP(I35,'G-7 WaterC'' Data'!$AK$4:$AM$6,3,FALSE)))</f>
        <v/>
      </c>
      <c r="L35" s="382" t="str">
        <f>IFERROR(INDEX('G-7 WaterC'' Data'!$O$3:$O$7,MATCH(G35,'G-7 WaterC'' Data'!$N$3:$N$7,0)),"")</f>
        <v/>
      </c>
      <c r="M35" s="53"/>
      <c r="N35" s="137"/>
      <c r="O35" s="289" t="str">
        <f t="shared" si="0"/>
        <v/>
      </c>
      <c r="P35" s="302" t="str">
        <f t="shared" si="1"/>
        <v/>
      </c>
      <c r="Q35" s="340" t="str">
        <f>IFERROR(IF(P35="Check Data ⚠","Check Data ⚠",VLOOKUP(P35,'G-4 Temporal multipliers'!$A$4:$C$37,3,FALSE)),"")</f>
        <v/>
      </c>
      <c r="R35" s="281" t="str">
        <f>IF(C35="","",VLOOKUP(C35,'G-7 WaterC'' Data'!$B$4:$G$8,4,FALSE))</f>
        <v/>
      </c>
      <c r="S35" s="289" t="str">
        <f t="shared" si="2"/>
        <v/>
      </c>
      <c r="T35" s="320" t="str">
        <f t="shared" si="3"/>
        <v/>
      </c>
      <c r="U35" s="282" t="str">
        <f>IF(C35="","",VLOOKUP(T35,'G-3 Multipliers'!$P$2:$Q$6,2,FALSE))</f>
        <v/>
      </c>
      <c r="V35" s="106"/>
      <c r="W35" s="282" t="str">
        <f>IF(V35="","",IF(AND(V35="N/A - Culvert",C35&lt;&gt;"Culvert"),"Not possible ▲",IF(AND(C35="Culvert",V35&lt;&gt;"N/A - Culvert"),"Not possible ▲",IF(VLOOKUP(V35,'G-7 WaterC'' Data'!$AA$4:$AB$7,2,FALSE)=0,"Spatial Data Missing ⚠",VLOOKUP(V35,'G-7 WaterC'' Data'!$AA$4:$AB$7,2,FALSE)))))</f>
        <v/>
      </c>
      <c r="X35" s="56"/>
      <c r="Y35" s="282" t="str">
        <f>IF(X35="","",IF(AND(X35="N/A - Culvert", C35&lt;&gt;"Culvert"), "Not possible ▲",IF(AND(C35="Culvert",X35&lt;&gt;"N/A - Culvert"),"Not possible ▲",IF(VLOOKUP(X35,'G-7 WaterC'' Data'!$AD$4:$AE$14,2,FALSE)=0,"Enrcoachment Data Missing ⚠",VLOOKUP(X35,'G-7 WaterC'' Data'!$AD$4:$AE$14,2,FALSE)))))</f>
        <v/>
      </c>
      <c r="Z35" s="106"/>
      <c r="AA35" s="282" t="str">
        <f>IF(Z35="","",IF(VLOOKUP(Z35,'G-7 WaterC'' Data'!$AO$4:$BO$7,2,FALSE)=0,"Spatial Data Missing ⚠",VLOOKUP(Z35,'G-7 WaterC'' Data'!$AO$4:$BO$7,2,FALSE)))</f>
        <v/>
      </c>
      <c r="AB35" s="323" t="str">
        <f t="shared" si="4"/>
        <v/>
      </c>
      <c r="AC35" s="323" t="str">
        <f t="shared" si="5"/>
        <v/>
      </c>
      <c r="AD35" s="105"/>
      <c r="AE35" s="968"/>
      <c r="AF35" s="142"/>
      <c r="AG35" s="142"/>
      <c r="AH35" s="964"/>
      <c r="AL35" s="30" t="str">
        <f>IFERROR(INDEX('G-7 WaterC'' Data'!$AZ$3:$AZ$7,MATCH(C35,'G-7 WaterC'' Data'!$AY$3:$AY$7,0)),"")</f>
        <v/>
      </c>
      <c r="AN35" s="30" t="str">
        <f t="shared" si="6"/>
        <v>No</v>
      </c>
    </row>
    <row r="36" spans="2:40" ht="13.8" x14ac:dyDescent="0.25">
      <c r="B36" s="101">
        <v>25</v>
      </c>
      <c r="C36" s="953"/>
      <c r="D36" s="119"/>
      <c r="E36" s="281" t="str">
        <f>IF(C36="","",VLOOKUP(C36,'G-7 WaterC'' Data'!$B$2:$Z$9,2,FALSE))</f>
        <v/>
      </c>
      <c r="F36" s="282" t="str">
        <f>IFERROR(VLOOKUP(E36,'G-7 WaterC'' Data'!$C$4:$D$8,2,FALSE),"")</f>
        <v/>
      </c>
      <c r="G36" s="52"/>
      <c r="H36" s="282" t="str">
        <f>IFERROR(INDEX('G-7 WaterC'' Data'!$H$4:$L$8,MATCH(C36,'G-7 WaterC'' Data'!$B$4:$B$8,0),MATCH(G36,'G-7 WaterC'' Data'!$H$3:$L$3,0)),"")</f>
        <v/>
      </c>
      <c r="I36" s="52"/>
      <c r="J36" s="320" t="str">
        <f>IF(I36="","",IF(VLOOKUP(I36,'G-7 WaterC'' Data'!$AK$4:$AM$6,2,FALSE)=0,"Spatial Data Missing ⚠",VLOOKUP(I36,'G-7 WaterC'' Data'!$AK$4:$AM$6,2,FALSE)))</f>
        <v/>
      </c>
      <c r="K36" s="282" t="str">
        <f>IF(I36="","",IF(VLOOKUP(I36,'G-7 WaterC'' Data'!$AK$4:$AM$6,3,FALSE)=0,"Spatial Data Missing ⚠",VLOOKUP(I36,'G-7 WaterC'' Data'!$AK$4:$AM$6,3,FALSE)))</f>
        <v/>
      </c>
      <c r="L36" s="382" t="str">
        <f>IFERROR(INDEX('G-7 WaterC'' Data'!$O$3:$O$7,MATCH(G36,'G-7 WaterC'' Data'!$N$3:$N$7,0)),"")</f>
        <v/>
      </c>
      <c r="M36" s="53"/>
      <c r="N36" s="137"/>
      <c r="O36" s="289" t="str">
        <f t="shared" si="0"/>
        <v/>
      </c>
      <c r="P36" s="302" t="str">
        <f t="shared" si="1"/>
        <v/>
      </c>
      <c r="Q36" s="340" t="str">
        <f>IFERROR(IF(P36="Check Data ⚠","Check Data ⚠",VLOOKUP(P36,'G-4 Temporal multipliers'!$A$4:$C$37,3,FALSE)),"")</f>
        <v/>
      </c>
      <c r="R36" s="281" t="str">
        <f>IF(C36="","",VLOOKUP(C36,'G-7 WaterC'' Data'!$B$4:$G$8,4,FALSE))</f>
        <v/>
      </c>
      <c r="S36" s="289" t="str">
        <f t="shared" si="2"/>
        <v/>
      </c>
      <c r="T36" s="320" t="str">
        <f t="shared" si="3"/>
        <v/>
      </c>
      <c r="U36" s="282" t="str">
        <f>IF(C36="","",VLOOKUP(T36,'G-3 Multipliers'!$P$2:$Q$6,2,FALSE))</f>
        <v/>
      </c>
      <c r="V36" s="106"/>
      <c r="W36" s="282" t="str">
        <f>IF(V36="","",IF(AND(V36="N/A - Culvert",C36&lt;&gt;"Culvert"),"Not possible ▲",IF(AND(C36="Culvert",V36&lt;&gt;"N/A - Culvert"),"Not possible ▲",IF(VLOOKUP(V36,'G-7 WaterC'' Data'!$AA$4:$AB$7,2,FALSE)=0,"Spatial Data Missing ⚠",VLOOKUP(V36,'G-7 WaterC'' Data'!$AA$4:$AB$7,2,FALSE)))))</f>
        <v/>
      </c>
      <c r="X36" s="56"/>
      <c r="Y36" s="282" t="str">
        <f>IF(X36="","",IF(AND(X36="N/A - Culvert", C36&lt;&gt;"Culvert"), "Not possible ▲",IF(AND(C36="Culvert",X36&lt;&gt;"N/A - Culvert"),"Not possible ▲",IF(VLOOKUP(X36,'G-7 WaterC'' Data'!$AD$4:$AE$14,2,FALSE)=0,"Enrcoachment Data Missing ⚠",VLOOKUP(X36,'G-7 WaterC'' Data'!$AD$4:$AE$14,2,FALSE)))))</f>
        <v/>
      </c>
      <c r="Z36" s="106"/>
      <c r="AA36" s="282" t="str">
        <f>IF(Z36="","",IF(VLOOKUP(Z36,'G-7 WaterC'' Data'!$AO$4:$BO$7,2,FALSE)=0,"Spatial Data Missing ⚠",VLOOKUP(Z36,'G-7 WaterC'' Data'!$AO$4:$BO$7,2,FALSE)))</f>
        <v/>
      </c>
      <c r="AB36" s="323" t="str">
        <f t="shared" si="4"/>
        <v/>
      </c>
      <c r="AC36" s="323" t="str">
        <f t="shared" si="5"/>
        <v/>
      </c>
      <c r="AD36" s="105"/>
      <c r="AE36" s="968"/>
      <c r="AF36" s="142"/>
      <c r="AG36" s="142"/>
      <c r="AH36" s="964"/>
      <c r="AL36" s="30" t="str">
        <f>IFERROR(INDEX('G-7 WaterC'' Data'!$AZ$3:$AZ$7,MATCH(C36,'G-7 WaterC'' Data'!$AY$3:$AY$7,0)),"")</f>
        <v/>
      </c>
      <c r="AN36" s="30" t="str">
        <f t="shared" si="6"/>
        <v>No</v>
      </c>
    </row>
    <row r="37" spans="2:40" ht="13.8" x14ac:dyDescent="0.25">
      <c r="B37" s="101">
        <v>26</v>
      </c>
      <c r="C37" s="953"/>
      <c r="D37" s="119"/>
      <c r="E37" s="281" t="str">
        <f>IF(C37="","",VLOOKUP(C37,'G-7 WaterC'' Data'!$B$2:$Z$9,2,FALSE))</f>
        <v/>
      </c>
      <c r="F37" s="282" t="str">
        <f>IFERROR(VLOOKUP(E37,'G-7 WaterC'' Data'!$C$4:$D$8,2,FALSE),"")</f>
        <v/>
      </c>
      <c r="G37" s="52"/>
      <c r="H37" s="282" t="str">
        <f>IFERROR(INDEX('G-7 WaterC'' Data'!$H$4:$L$8,MATCH(C37,'G-7 WaterC'' Data'!$B$4:$B$8,0),MATCH(G37,'G-7 WaterC'' Data'!$H$3:$L$3,0)),"")</f>
        <v/>
      </c>
      <c r="I37" s="52"/>
      <c r="J37" s="320" t="str">
        <f>IF(I37="","",IF(VLOOKUP(I37,'G-7 WaterC'' Data'!$AK$4:$AM$6,2,FALSE)=0,"Spatial Data Missing ⚠",VLOOKUP(I37,'G-7 WaterC'' Data'!$AK$4:$AM$6,2,FALSE)))</f>
        <v/>
      </c>
      <c r="K37" s="282" t="str">
        <f>IF(I37="","",IF(VLOOKUP(I37,'G-7 WaterC'' Data'!$AK$4:$AM$6,3,FALSE)=0,"Spatial Data Missing ⚠",VLOOKUP(I37,'G-7 WaterC'' Data'!$AK$4:$AM$6,3,FALSE)))</f>
        <v/>
      </c>
      <c r="L37" s="382" t="str">
        <f>IFERROR(INDEX('G-7 WaterC'' Data'!$O$3:$O$7,MATCH(G37,'G-7 WaterC'' Data'!$N$3:$N$7,0)),"")</f>
        <v/>
      </c>
      <c r="M37" s="53"/>
      <c r="N37" s="137"/>
      <c r="O37" s="289" t="str">
        <f t="shared" si="0"/>
        <v/>
      </c>
      <c r="P37" s="302" t="str">
        <f t="shared" si="1"/>
        <v/>
      </c>
      <c r="Q37" s="340" t="str">
        <f>IFERROR(IF(P37="Check Data ⚠","Check Data ⚠",VLOOKUP(P37,'G-4 Temporal multipliers'!$A$4:$C$37,3,FALSE)),"")</f>
        <v/>
      </c>
      <c r="R37" s="281" t="str">
        <f>IF(C37="","",VLOOKUP(C37,'G-7 WaterC'' Data'!$B$4:$G$8,4,FALSE))</f>
        <v/>
      </c>
      <c r="S37" s="289" t="str">
        <f t="shared" si="2"/>
        <v/>
      </c>
      <c r="T37" s="320" t="str">
        <f t="shared" si="3"/>
        <v/>
      </c>
      <c r="U37" s="282" t="str">
        <f>IF(C37="","",VLOOKUP(T37,'G-3 Multipliers'!$P$2:$Q$6,2,FALSE))</f>
        <v/>
      </c>
      <c r="V37" s="106"/>
      <c r="W37" s="282" t="str">
        <f>IF(V37="","",IF(AND(V37="N/A - Culvert",C37&lt;&gt;"Culvert"),"Not possible ▲",IF(AND(C37="Culvert",V37&lt;&gt;"N/A - Culvert"),"Not possible ▲",IF(VLOOKUP(V37,'G-7 WaterC'' Data'!$AA$4:$AB$7,2,FALSE)=0,"Spatial Data Missing ⚠",VLOOKUP(V37,'G-7 WaterC'' Data'!$AA$4:$AB$7,2,FALSE)))))</f>
        <v/>
      </c>
      <c r="X37" s="56"/>
      <c r="Y37" s="282" t="str">
        <f>IF(X37="","",IF(AND(X37="N/A - Culvert", C37&lt;&gt;"Culvert"), "Not possible ▲",IF(AND(C37="Culvert",X37&lt;&gt;"N/A - Culvert"),"Not possible ▲",IF(VLOOKUP(X37,'G-7 WaterC'' Data'!$AD$4:$AE$14,2,FALSE)=0,"Enrcoachment Data Missing ⚠",VLOOKUP(X37,'G-7 WaterC'' Data'!$AD$4:$AE$14,2,FALSE)))))</f>
        <v/>
      </c>
      <c r="Z37" s="106"/>
      <c r="AA37" s="282" t="str">
        <f>IF(Z37="","",IF(VLOOKUP(Z37,'G-7 WaterC'' Data'!$AO$4:$BO$7,2,FALSE)=0,"Spatial Data Missing ⚠",VLOOKUP(Z37,'G-7 WaterC'' Data'!$AO$4:$BO$7,2,FALSE)))</f>
        <v/>
      </c>
      <c r="AB37" s="323" t="str">
        <f t="shared" si="4"/>
        <v/>
      </c>
      <c r="AC37" s="323" t="str">
        <f t="shared" si="5"/>
        <v/>
      </c>
      <c r="AD37" s="105"/>
      <c r="AE37" s="968"/>
      <c r="AF37" s="142"/>
      <c r="AG37" s="142"/>
      <c r="AH37" s="964"/>
      <c r="AL37" s="30" t="str">
        <f>IFERROR(INDEX('G-7 WaterC'' Data'!$AZ$3:$AZ$7,MATCH(C37,'G-7 WaterC'' Data'!$AY$3:$AY$7,0)),"")</f>
        <v/>
      </c>
      <c r="AN37" s="30" t="str">
        <f t="shared" si="6"/>
        <v>No</v>
      </c>
    </row>
    <row r="38" spans="2:40" ht="13.8" x14ac:dyDescent="0.25">
      <c r="B38" s="101">
        <v>27</v>
      </c>
      <c r="C38" s="953"/>
      <c r="D38" s="119"/>
      <c r="E38" s="281" t="str">
        <f>IF(C38="","",VLOOKUP(C38,'G-7 WaterC'' Data'!$B$2:$Z$9,2,FALSE))</f>
        <v/>
      </c>
      <c r="F38" s="282" t="str">
        <f>IFERROR(VLOOKUP(E38,'G-7 WaterC'' Data'!$C$4:$D$8,2,FALSE),"")</f>
        <v/>
      </c>
      <c r="G38" s="52"/>
      <c r="H38" s="282" t="str">
        <f>IFERROR(INDEX('G-7 WaterC'' Data'!$H$4:$L$8,MATCH(C38,'G-7 WaterC'' Data'!$B$4:$B$8,0),MATCH(G38,'G-7 WaterC'' Data'!$H$3:$L$3,0)),"")</f>
        <v/>
      </c>
      <c r="I38" s="52"/>
      <c r="J38" s="320" t="str">
        <f>IF(I38="","",IF(VLOOKUP(I38,'G-7 WaterC'' Data'!$AK$4:$AM$6,2,FALSE)=0,"Spatial Data Missing ⚠",VLOOKUP(I38,'G-7 WaterC'' Data'!$AK$4:$AM$6,2,FALSE)))</f>
        <v/>
      </c>
      <c r="K38" s="282" t="str">
        <f>IF(I38="","",IF(VLOOKUP(I38,'G-7 WaterC'' Data'!$AK$4:$AM$6,3,FALSE)=0,"Spatial Data Missing ⚠",VLOOKUP(I38,'G-7 WaterC'' Data'!$AK$4:$AM$6,3,FALSE)))</f>
        <v/>
      </c>
      <c r="L38" s="382" t="str">
        <f>IFERROR(INDEX('G-7 WaterC'' Data'!$O$3:$O$7,MATCH(G38,'G-7 WaterC'' Data'!$N$3:$N$7,0)),"")</f>
        <v/>
      </c>
      <c r="M38" s="53"/>
      <c r="N38" s="137"/>
      <c r="O38" s="289" t="str">
        <f t="shared" si="0"/>
        <v/>
      </c>
      <c r="P38" s="302" t="str">
        <f t="shared" si="1"/>
        <v/>
      </c>
      <c r="Q38" s="340" t="str">
        <f>IFERROR(IF(P38="Check Data ⚠","Check Data ⚠",VLOOKUP(P38,'G-4 Temporal multipliers'!$A$4:$C$37,3,FALSE)),"")</f>
        <v/>
      </c>
      <c r="R38" s="281" t="str">
        <f>IF(C38="","",VLOOKUP(C38,'G-7 WaterC'' Data'!$B$4:$G$8,4,FALSE))</f>
        <v/>
      </c>
      <c r="S38" s="289" t="str">
        <f t="shared" si="2"/>
        <v/>
      </c>
      <c r="T38" s="320" t="str">
        <f t="shared" si="3"/>
        <v/>
      </c>
      <c r="U38" s="282" t="str">
        <f>IF(C38="","",VLOOKUP(T38,'G-3 Multipliers'!$P$2:$Q$6,2,FALSE))</f>
        <v/>
      </c>
      <c r="V38" s="106"/>
      <c r="W38" s="282" t="str">
        <f>IF(V38="","",IF(AND(V38="N/A - Culvert",C38&lt;&gt;"Culvert"),"Not possible ▲",IF(AND(C38="Culvert",V38&lt;&gt;"N/A - Culvert"),"Not possible ▲",IF(VLOOKUP(V38,'G-7 WaterC'' Data'!$AA$4:$AB$7,2,FALSE)=0,"Spatial Data Missing ⚠",VLOOKUP(V38,'G-7 WaterC'' Data'!$AA$4:$AB$7,2,FALSE)))))</f>
        <v/>
      </c>
      <c r="X38" s="56"/>
      <c r="Y38" s="282" t="str">
        <f>IF(X38="","",IF(AND(X38="N/A - Culvert", C38&lt;&gt;"Culvert"), "Not possible ▲",IF(AND(C38="Culvert",X38&lt;&gt;"N/A - Culvert"),"Not possible ▲",IF(VLOOKUP(X38,'G-7 WaterC'' Data'!$AD$4:$AE$14,2,FALSE)=0,"Enrcoachment Data Missing ⚠",VLOOKUP(X38,'G-7 WaterC'' Data'!$AD$4:$AE$14,2,FALSE)))))</f>
        <v/>
      </c>
      <c r="Z38" s="106"/>
      <c r="AA38" s="282" t="str">
        <f>IF(Z38="","",IF(VLOOKUP(Z38,'G-7 WaterC'' Data'!$AO$4:$BO$7,2,FALSE)=0,"Spatial Data Missing ⚠",VLOOKUP(Z38,'G-7 WaterC'' Data'!$AO$4:$BO$7,2,FALSE)))</f>
        <v/>
      </c>
      <c r="AB38" s="323" t="str">
        <f t="shared" si="4"/>
        <v/>
      </c>
      <c r="AC38" s="323" t="str">
        <f t="shared" si="5"/>
        <v/>
      </c>
      <c r="AD38" s="105"/>
      <c r="AE38" s="968"/>
      <c r="AF38" s="142"/>
      <c r="AG38" s="142"/>
      <c r="AH38" s="964"/>
      <c r="AL38" s="30" t="str">
        <f>IFERROR(INDEX('G-7 WaterC'' Data'!$AZ$3:$AZ$7,MATCH(C38,'G-7 WaterC'' Data'!$AY$3:$AY$7,0)),"")</f>
        <v/>
      </c>
      <c r="AN38" s="30" t="str">
        <f t="shared" si="6"/>
        <v>No</v>
      </c>
    </row>
    <row r="39" spans="2:40" ht="13.8" x14ac:dyDescent="0.25">
      <c r="B39" s="101">
        <v>28</v>
      </c>
      <c r="C39" s="953"/>
      <c r="D39" s="119"/>
      <c r="E39" s="281" t="str">
        <f>IF(C39="","",VLOOKUP(C39,'G-7 WaterC'' Data'!$B$2:$Z$9,2,FALSE))</f>
        <v/>
      </c>
      <c r="F39" s="282" t="str">
        <f>IFERROR(VLOOKUP(E39,'G-7 WaterC'' Data'!$C$4:$D$8,2,FALSE),"")</f>
        <v/>
      </c>
      <c r="G39" s="52"/>
      <c r="H39" s="282" t="str">
        <f>IFERROR(INDEX('G-7 WaterC'' Data'!$H$4:$L$8,MATCH(C39,'G-7 WaterC'' Data'!$B$4:$B$8,0),MATCH(G39,'G-7 WaterC'' Data'!$H$3:$L$3,0)),"")</f>
        <v/>
      </c>
      <c r="I39" s="52"/>
      <c r="J39" s="320" t="str">
        <f>IF(I39="","",IF(VLOOKUP(I39,'G-7 WaterC'' Data'!$AK$4:$AM$6,2,FALSE)=0,"Spatial Data Missing ⚠",VLOOKUP(I39,'G-7 WaterC'' Data'!$AK$4:$AM$6,2,FALSE)))</f>
        <v/>
      </c>
      <c r="K39" s="282" t="str">
        <f>IF(I39="","",IF(VLOOKUP(I39,'G-7 WaterC'' Data'!$AK$4:$AM$6,3,FALSE)=0,"Spatial Data Missing ⚠",VLOOKUP(I39,'G-7 WaterC'' Data'!$AK$4:$AM$6,3,FALSE)))</f>
        <v/>
      </c>
      <c r="L39" s="382" t="str">
        <f>IFERROR(INDEX('G-7 WaterC'' Data'!$O$3:$O$7,MATCH(G39,'G-7 WaterC'' Data'!$N$3:$N$7,0)),"")</f>
        <v/>
      </c>
      <c r="M39" s="53"/>
      <c r="N39" s="137"/>
      <c r="O39" s="289" t="str">
        <f t="shared" si="0"/>
        <v/>
      </c>
      <c r="P39" s="302" t="str">
        <f t="shared" si="1"/>
        <v/>
      </c>
      <c r="Q39" s="340" t="str">
        <f>IFERROR(IF(P39="Check Data ⚠","Check Data ⚠",VLOOKUP(P39,'G-4 Temporal multipliers'!$A$4:$C$37,3,FALSE)),"")</f>
        <v/>
      </c>
      <c r="R39" s="281" t="str">
        <f>IF(C39="","",VLOOKUP(C39,'G-7 WaterC'' Data'!$B$4:$G$8,4,FALSE))</f>
        <v/>
      </c>
      <c r="S39" s="289" t="str">
        <f t="shared" si="2"/>
        <v/>
      </c>
      <c r="T39" s="320" t="str">
        <f t="shared" si="3"/>
        <v/>
      </c>
      <c r="U39" s="282" t="str">
        <f>IF(C39="","",VLOOKUP(T39,'G-3 Multipliers'!$P$2:$Q$6,2,FALSE))</f>
        <v/>
      </c>
      <c r="V39" s="106"/>
      <c r="W39" s="282" t="str">
        <f>IF(V39="","",IF(AND(V39="N/A - Culvert",C39&lt;&gt;"Culvert"),"Not possible ▲",IF(AND(C39="Culvert",V39&lt;&gt;"N/A - Culvert"),"Not possible ▲",IF(VLOOKUP(V39,'G-7 WaterC'' Data'!$AA$4:$AB$7,2,FALSE)=0,"Spatial Data Missing ⚠",VLOOKUP(V39,'G-7 WaterC'' Data'!$AA$4:$AB$7,2,FALSE)))))</f>
        <v/>
      </c>
      <c r="X39" s="56"/>
      <c r="Y39" s="282" t="str">
        <f>IF(X39="","",IF(AND(X39="N/A - Culvert", C39&lt;&gt;"Culvert"), "Not possible ▲",IF(AND(C39="Culvert",X39&lt;&gt;"N/A - Culvert"),"Not possible ▲",IF(VLOOKUP(X39,'G-7 WaterC'' Data'!$AD$4:$AE$14,2,FALSE)=0,"Enrcoachment Data Missing ⚠",VLOOKUP(X39,'G-7 WaterC'' Data'!$AD$4:$AE$14,2,FALSE)))))</f>
        <v/>
      </c>
      <c r="Z39" s="106"/>
      <c r="AA39" s="282" t="str">
        <f>IF(Z39="","",IF(VLOOKUP(Z39,'G-7 WaterC'' Data'!$AO$4:$BO$7,2,FALSE)=0,"Spatial Data Missing ⚠",VLOOKUP(Z39,'G-7 WaterC'' Data'!$AO$4:$BO$7,2,FALSE)))</f>
        <v/>
      </c>
      <c r="AB39" s="323" t="str">
        <f t="shared" si="4"/>
        <v/>
      </c>
      <c r="AC39" s="323" t="str">
        <f t="shared" si="5"/>
        <v/>
      </c>
      <c r="AD39" s="105"/>
      <c r="AE39" s="968"/>
      <c r="AF39" s="142"/>
      <c r="AG39" s="142"/>
      <c r="AH39" s="964"/>
      <c r="AL39" s="30" t="str">
        <f>IFERROR(INDEX('G-7 WaterC'' Data'!$AZ$3:$AZ$7,MATCH(C39,'G-7 WaterC'' Data'!$AY$3:$AY$7,0)),"")</f>
        <v/>
      </c>
      <c r="AN39" s="30" t="str">
        <f t="shared" si="6"/>
        <v>No</v>
      </c>
    </row>
    <row r="40" spans="2:40" ht="13.8" x14ac:dyDescent="0.25">
      <c r="B40" s="101">
        <v>29</v>
      </c>
      <c r="C40" s="953"/>
      <c r="D40" s="119"/>
      <c r="E40" s="281" t="str">
        <f>IF(C40="","",VLOOKUP(C40,'G-7 WaterC'' Data'!$B$2:$Z$9,2,FALSE))</f>
        <v/>
      </c>
      <c r="F40" s="282" t="str">
        <f>IFERROR(VLOOKUP(E40,'G-7 WaterC'' Data'!$C$4:$D$8,2,FALSE),"")</f>
        <v/>
      </c>
      <c r="G40" s="52"/>
      <c r="H40" s="282" t="str">
        <f>IFERROR(INDEX('G-7 WaterC'' Data'!$H$4:$L$8,MATCH(C40,'G-7 WaterC'' Data'!$B$4:$B$8,0),MATCH(G40,'G-7 WaterC'' Data'!$H$3:$L$3,0)),"")</f>
        <v/>
      </c>
      <c r="I40" s="52"/>
      <c r="J40" s="320" t="str">
        <f>IF(I40="","",IF(VLOOKUP(I40,'G-7 WaterC'' Data'!$AK$4:$AM$6,2,FALSE)=0,"Spatial Data Missing ⚠",VLOOKUP(I40,'G-7 WaterC'' Data'!$AK$4:$AM$6,2,FALSE)))</f>
        <v/>
      </c>
      <c r="K40" s="282" t="str">
        <f>IF(I40="","",IF(VLOOKUP(I40,'G-7 WaterC'' Data'!$AK$4:$AM$6,3,FALSE)=0,"Spatial Data Missing ⚠",VLOOKUP(I40,'G-7 WaterC'' Data'!$AK$4:$AM$6,3,FALSE)))</f>
        <v/>
      </c>
      <c r="L40" s="382" t="str">
        <f>IFERROR(INDEX('G-7 WaterC'' Data'!$O$3:$O$7,MATCH(G40,'G-7 WaterC'' Data'!$N$3:$N$7,0)),"")</f>
        <v/>
      </c>
      <c r="M40" s="53"/>
      <c r="N40" s="137"/>
      <c r="O40" s="289" t="str">
        <f t="shared" si="0"/>
        <v/>
      </c>
      <c r="P40" s="302" t="str">
        <f t="shared" si="1"/>
        <v/>
      </c>
      <c r="Q40" s="340" t="str">
        <f>IFERROR(IF(P40="Check Data ⚠","Check Data ⚠",VLOOKUP(P40,'G-4 Temporal multipliers'!$A$4:$C$37,3,FALSE)),"")</f>
        <v/>
      </c>
      <c r="R40" s="281" t="str">
        <f>IF(C40="","",VLOOKUP(C40,'G-7 WaterC'' Data'!$B$4:$G$8,4,FALSE))</f>
        <v/>
      </c>
      <c r="S40" s="289" t="str">
        <f t="shared" si="2"/>
        <v/>
      </c>
      <c r="T40" s="320" t="str">
        <f t="shared" si="3"/>
        <v/>
      </c>
      <c r="U40" s="282" t="str">
        <f>IF(C40="","",VLOOKUP(T40,'G-3 Multipliers'!$P$2:$Q$6,2,FALSE))</f>
        <v/>
      </c>
      <c r="V40" s="106"/>
      <c r="W40" s="282" t="str">
        <f>IF(V40="","",IF(AND(V40="N/A - Culvert",C40&lt;&gt;"Culvert"),"Not possible ▲",IF(AND(C40="Culvert",V40&lt;&gt;"N/A - Culvert"),"Not possible ▲",IF(VLOOKUP(V40,'G-7 WaterC'' Data'!$AA$4:$AB$7,2,FALSE)=0,"Spatial Data Missing ⚠",VLOOKUP(V40,'G-7 WaterC'' Data'!$AA$4:$AB$7,2,FALSE)))))</f>
        <v/>
      </c>
      <c r="X40" s="56"/>
      <c r="Y40" s="282" t="str">
        <f>IF(X40="","",IF(AND(X40="N/A - Culvert", C40&lt;&gt;"Culvert"), "Not possible ▲",IF(AND(C40="Culvert",X40&lt;&gt;"N/A - Culvert"),"Not possible ▲",IF(VLOOKUP(X40,'G-7 WaterC'' Data'!$AD$4:$AE$14,2,FALSE)=0,"Enrcoachment Data Missing ⚠",VLOOKUP(X40,'G-7 WaterC'' Data'!$AD$4:$AE$14,2,FALSE)))))</f>
        <v/>
      </c>
      <c r="Z40" s="106"/>
      <c r="AA40" s="282" t="str">
        <f>IF(Z40="","",IF(VLOOKUP(Z40,'G-7 WaterC'' Data'!$AO$4:$BO$7,2,FALSE)=0,"Spatial Data Missing ⚠",VLOOKUP(Z40,'G-7 WaterC'' Data'!$AO$4:$BO$7,2,FALSE)))</f>
        <v/>
      </c>
      <c r="AB40" s="323" t="str">
        <f t="shared" si="4"/>
        <v/>
      </c>
      <c r="AC40" s="323" t="str">
        <f t="shared" si="5"/>
        <v/>
      </c>
      <c r="AD40" s="105"/>
      <c r="AE40" s="968"/>
      <c r="AF40" s="142"/>
      <c r="AG40" s="142"/>
      <c r="AH40" s="964"/>
      <c r="AL40" s="30" t="str">
        <f>IFERROR(INDEX('G-7 WaterC'' Data'!$AZ$3:$AZ$7,MATCH(C40,'G-7 WaterC'' Data'!$AY$3:$AY$7,0)),"")</f>
        <v/>
      </c>
      <c r="AN40" s="30" t="str">
        <f t="shared" si="6"/>
        <v>No</v>
      </c>
    </row>
    <row r="41" spans="2:40" ht="13.8" x14ac:dyDescent="0.25">
      <c r="B41" s="101">
        <v>30</v>
      </c>
      <c r="C41" s="953"/>
      <c r="D41" s="119"/>
      <c r="E41" s="281" t="str">
        <f>IF(C41="","",VLOOKUP(C41,'G-7 WaterC'' Data'!$B$2:$Z$9,2,FALSE))</f>
        <v/>
      </c>
      <c r="F41" s="282" t="str">
        <f>IFERROR(VLOOKUP(E41,'G-7 WaterC'' Data'!$C$4:$D$8,2,FALSE),"")</f>
        <v/>
      </c>
      <c r="G41" s="52"/>
      <c r="H41" s="282" t="str">
        <f>IFERROR(INDEX('G-7 WaterC'' Data'!$H$4:$L$8,MATCH(C41,'G-7 WaterC'' Data'!$B$4:$B$8,0),MATCH(G41,'G-7 WaterC'' Data'!$H$3:$L$3,0)),"")</f>
        <v/>
      </c>
      <c r="I41" s="52"/>
      <c r="J41" s="320" t="str">
        <f>IF(I41="","",IF(VLOOKUP(I41,'G-7 WaterC'' Data'!$AK$4:$AM$6,2,FALSE)=0,"Spatial Data Missing ⚠",VLOOKUP(I41,'G-7 WaterC'' Data'!$AK$4:$AM$6,2,FALSE)))</f>
        <v/>
      </c>
      <c r="K41" s="282" t="str">
        <f>IF(I41="","",IF(VLOOKUP(I41,'G-7 WaterC'' Data'!$AK$4:$AM$6,3,FALSE)=0,"Spatial Data Missing ⚠",VLOOKUP(I41,'G-7 WaterC'' Data'!$AK$4:$AM$6,3,FALSE)))</f>
        <v/>
      </c>
      <c r="L41" s="382" t="str">
        <f>IFERROR(INDEX('G-7 WaterC'' Data'!$O$3:$O$7,MATCH(G41,'G-7 WaterC'' Data'!$N$3:$N$7,0)),"")</f>
        <v/>
      </c>
      <c r="M41" s="53"/>
      <c r="N41" s="137"/>
      <c r="O41" s="289" t="str">
        <f t="shared" si="0"/>
        <v/>
      </c>
      <c r="P41" s="302" t="str">
        <f t="shared" si="1"/>
        <v/>
      </c>
      <c r="Q41" s="340" t="str">
        <f>IFERROR(IF(P41="Check Data ⚠","Check Data ⚠",VLOOKUP(P41,'G-4 Temporal multipliers'!$A$4:$C$37,3,FALSE)),"")</f>
        <v/>
      </c>
      <c r="R41" s="281" t="str">
        <f>IF(C41="","",VLOOKUP(C41,'G-7 WaterC'' Data'!$B$4:$G$8,4,FALSE))</f>
        <v/>
      </c>
      <c r="S41" s="289" t="str">
        <f t="shared" si="2"/>
        <v/>
      </c>
      <c r="T41" s="320" t="str">
        <f t="shared" si="3"/>
        <v/>
      </c>
      <c r="U41" s="282" t="str">
        <f>IF(C41="","",VLOOKUP(T41,'G-3 Multipliers'!$P$2:$Q$6,2,FALSE))</f>
        <v/>
      </c>
      <c r="V41" s="106"/>
      <c r="W41" s="282" t="str">
        <f>IF(V41="","",IF(AND(V41="N/A - Culvert",C41&lt;&gt;"Culvert"),"Not possible ▲",IF(AND(C41="Culvert",V41&lt;&gt;"N/A - Culvert"),"Not possible ▲",IF(VLOOKUP(V41,'G-7 WaterC'' Data'!$AA$4:$AB$7,2,FALSE)=0,"Spatial Data Missing ⚠",VLOOKUP(V41,'G-7 WaterC'' Data'!$AA$4:$AB$7,2,FALSE)))))</f>
        <v/>
      </c>
      <c r="X41" s="56"/>
      <c r="Y41" s="282" t="str">
        <f>IF(X41="","",IF(AND(X41="N/A - Culvert", C41&lt;&gt;"Culvert"), "Not possible ▲",IF(AND(C41="Culvert",X41&lt;&gt;"N/A - Culvert"),"Not possible ▲",IF(VLOOKUP(X41,'G-7 WaterC'' Data'!$AD$4:$AE$14,2,FALSE)=0,"Enrcoachment Data Missing ⚠",VLOOKUP(X41,'G-7 WaterC'' Data'!$AD$4:$AE$14,2,FALSE)))))</f>
        <v/>
      </c>
      <c r="Z41" s="106"/>
      <c r="AA41" s="282" t="str">
        <f>IF(Z41="","",IF(VLOOKUP(Z41,'G-7 WaterC'' Data'!$AO$4:$BO$7,2,FALSE)=0,"Spatial Data Missing ⚠",VLOOKUP(Z41,'G-7 WaterC'' Data'!$AO$4:$BO$7,2,FALSE)))</f>
        <v/>
      </c>
      <c r="AB41" s="323" t="str">
        <f t="shared" si="4"/>
        <v/>
      </c>
      <c r="AC41" s="323" t="str">
        <f t="shared" si="5"/>
        <v/>
      </c>
      <c r="AD41" s="105"/>
      <c r="AE41" s="968"/>
      <c r="AF41" s="142"/>
      <c r="AG41" s="142"/>
      <c r="AH41" s="964"/>
      <c r="AL41" s="30" t="str">
        <f>IFERROR(INDEX('G-7 WaterC'' Data'!$AZ$3:$AZ$7,MATCH(C41,'G-7 WaterC'' Data'!$AY$3:$AY$7,0)),"")</f>
        <v/>
      </c>
      <c r="AN41" s="30" t="str">
        <f t="shared" si="6"/>
        <v>No</v>
      </c>
    </row>
    <row r="42" spans="2:40" ht="13.8" x14ac:dyDescent="0.25">
      <c r="B42" s="101">
        <v>31</v>
      </c>
      <c r="C42" s="953"/>
      <c r="D42" s="119"/>
      <c r="E42" s="281" t="str">
        <f>IF(C42="","",VLOOKUP(C42,'G-7 WaterC'' Data'!$B$2:$Z$9,2,FALSE))</f>
        <v/>
      </c>
      <c r="F42" s="282" t="str">
        <f>IFERROR(VLOOKUP(E42,'G-7 WaterC'' Data'!$C$4:$D$8,2,FALSE),"")</f>
        <v/>
      </c>
      <c r="G42" s="52"/>
      <c r="H42" s="282" t="str">
        <f>IFERROR(INDEX('G-7 WaterC'' Data'!$H$4:$L$8,MATCH(C42,'G-7 WaterC'' Data'!$B$4:$B$8,0),MATCH(G42,'G-7 WaterC'' Data'!$H$3:$L$3,0)),"")</f>
        <v/>
      </c>
      <c r="I42" s="52"/>
      <c r="J42" s="320" t="str">
        <f>IF(I42="","",IF(VLOOKUP(I42,'G-7 WaterC'' Data'!$AK$4:$AM$6,2,FALSE)=0,"Spatial Data Missing ⚠",VLOOKUP(I42,'G-7 WaterC'' Data'!$AK$4:$AM$6,2,FALSE)))</f>
        <v/>
      </c>
      <c r="K42" s="282" t="str">
        <f>IF(I42="","",IF(VLOOKUP(I42,'G-7 WaterC'' Data'!$AK$4:$AM$6,3,FALSE)=0,"Spatial Data Missing ⚠",VLOOKUP(I42,'G-7 WaterC'' Data'!$AK$4:$AM$6,3,FALSE)))</f>
        <v/>
      </c>
      <c r="L42" s="382" t="str">
        <f>IFERROR(INDEX('G-7 WaterC'' Data'!$O$3:$O$7,MATCH(G42,'G-7 WaterC'' Data'!$N$3:$N$7,0)),"")</f>
        <v/>
      </c>
      <c r="M42" s="53"/>
      <c r="N42" s="137"/>
      <c r="O42" s="289" t="str">
        <f t="shared" si="0"/>
        <v/>
      </c>
      <c r="P42" s="302" t="str">
        <f t="shared" si="1"/>
        <v/>
      </c>
      <c r="Q42" s="340" t="str">
        <f>IFERROR(IF(P42="Check Data ⚠","Check Data ⚠",VLOOKUP(P42,'G-4 Temporal multipliers'!$A$4:$C$37,3,FALSE)),"")</f>
        <v/>
      </c>
      <c r="R42" s="281" t="str">
        <f>IF(C42="","",VLOOKUP(C42,'G-7 WaterC'' Data'!$B$4:$G$8,4,FALSE))</f>
        <v/>
      </c>
      <c r="S42" s="289" t="str">
        <f t="shared" si="2"/>
        <v/>
      </c>
      <c r="T42" s="320" t="str">
        <f t="shared" si="3"/>
        <v/>
      </c>
      <c r="U42" s="282" t="str">
        <f>IF(C42="","",VLOOKUP(T42,'G-3 Multipliers'!$P$2:$Q$6,2,FALSE))</f>
        <v/>
      </c>
      <c r="V42" s="106"/>
      <c r="W42" s="282" t="str">
        <f>IF(V42="","",IF(AND(V42="N/A - Culvert",C42&lt;&gt;"Culvert"),"Not possible ▲",IF(AND(C42="Culvert",V42&lt;&gt;"N/A - Culvert"),"Not possible ▲",IF(VLOOKUP(V42,'G-7 WaterC'' Data'!$AA$4:$AB$7,2,FALSE)=0,"Spatial Data Missing ⚠",VLOOKUP(V42,'G-7 WaterC'' Data'!$AA$4:$AB$7,2,FALSE)))))</f>
        <v/>
      </c>
      <c r="X42" s="56"/>
      <c r="Y42" s="282" t="str">
        <f>IF(X42="","",IF(AND(X42="N/A - Culvert", C42&lt;&gt;"Culvert"), "Not possible ▲",IF(AND(C42="Culvert",X42&lt;&gt;"N/A - Culvert"),"Not possible ▲",IF(VLOOKUP(X42,'G-7 WaterC'' Data'!$AD$4:$AE$14,2,FALSE)=0,"Enrcoachment Data Missing ⚠",VLOOKUP(X42,'G-7 WaterC'' Data'!$AD$4:$AE$14,2,FALSE)))))</f>
        <v/>
      </c>
      <c r="Z42" s="106"/>
      <c r="AA42" s="282" t="str">
        <f>IF(Z42="","",IF(VLOOKUP(Z42,'G-7 WaterC'' Data'!$AO$4:$BO$7,2,FALSE)=0,"Spatial Data Missing ⚠",VLOOKUP(Z42,'G-7 WaterC'' Data'!$AO$4:$BO$7,2,FALSE)))</f>
        <v/>
      </c>
      <c r="AB42" s="323" t="str">
        <f t="shared" si="4"/>
        <v/>
      </c>
      <c r="AC42" s="323" t="str">
        <f t="shared" si="5"/>
        <v/>
      </c>
      <c r="AD42" s="105"/>
      <c r="AE42" s="968"/>
      <c r="AF42" s="142"/>
      <c r="AG42" s="142"/>
      <c r="AH42" s="964"/>
      <c r="AL42" s="30" t="str">
        <f>IFERROR(INDEX('G-7 WaterC'' Data'!$AZ$3:$AZ$7,MATCH(C42,'G-7 WaterC'' Data'!$AY$3:$AY$7,0)),"")</f>
        <v/>
      </c>
      <c r="AN42" s="30" t="str">
        <f t="shared" si="6"/>
        <v>No</v>
      </c>
    </row>
    <row r="43" spans="2:40" ht="13.8" x14ac:dyDescent="0.25">
      <c r="B43" s="101">
        <v>32</v>
      </c>
      <c r="C43" s="953"/>
      <c r="D43" s="119"/>
      <c r="E43" s="281" t="str">
        <f>IF(C43="","",VLOOKUP(C43,'G-7 WaterC'' Data'!$B$2:$Z$9,2,FALSE))</f>
        <v/>
      </c>
      <c r="F43" s="282" t="str">
        <f>IFERROR(VLOOKUP(E43,'G-7 WaterC'' Data'!$C$4:$D$8,2,FALSE),"")</f>
        <v/>
      </c>
      <c r="G43" s="52"/>
      <c r="H43" s="282" t="str">
        <f>IFERROR(INDEX('G-7 WaterC'' Data'!$H$4:$L$8,MATCH(C43,'G-7 WaterC'' Data'!$B$4:$B$8,0),MATCH(G43,'G-7 WaterC'' Data'!$H$3:$L$3,0)),"")</f>
        <v/>
      </c>
      <c r="I43" s="52"/>
      <c r="J43" s="320" t="str">
        <f>IF(I43="","",IF(VLOOKUP(I43,'G-7 WaterC'' Data'!$AK$4:$AM$6,2,FALSE)=0,"Spatial Data Missing ⚠",VLOOKUP(I43,'G-7 WaterC'' Data'!$AK$4:$AM$6,2,FALSE)))</f>
        <v/>
      </c>
      <c r="K43" s="282" t="str">
        <f>IF(I43="","",IF(VLOOKUP(I43,'G-7 WaterC'' Data'!$AK$4:$AM$6,3,FALSE)=0,"Spatial Data Missing ⚠",VLOOKUP(I43,'G-7 WaterC'' Data'!$AK$4:$AM$6,3,FALSE)))</f>
        <v/>
      </c>
      <c r="L43" s="382" t="str">
        <f>IFERROR(INDEX('G-7 WaterC'' Data'!$O$3:$O$7,MATCH(G43,'G-7 WaterC'' Data'!$N$3:$N$7,0)),"")</f>
        <v/>
      </c>
      <c r="M43" s="53"/>
      <c r="N43" s="137"/>
      <c r="O43" s="289" t="str">
        <f t="shared" si="0"/>
        <v/>
      </c>
      <c r="P43" s="302" t="str">
        <f t="shared" si="1"/>
        <v/>
      </c>
      <c r="Q43" s="340" t="str">
        <f>IFERROR(IF(P43="Check Data ⚠","Check Data ⚠",VLOOKUP(P43,'G-4 Temporal multipliers'!$A$4:$C$37,3,FALSE)),"")</f>
        <v/>
      </c>
      <c r="R43" s="281" t="str">
        <f>IF(C43="","",VLOOKUP(C43,'G-7 WaterC'' Data'!$B$4:$G$8,4,FALSE))</f>
        <v/>
      </c>
      <c r="S43" s="289" t="str">
        <f t="shared" si="2"/>
        <v/>
      </c>
      <c r="T43" s="320" t="str">
        <f t="shared" si="3"/>
        <v/>
      </c>
      <c r="U43" s="282" t="str">
        <f>IF(C43="","",VLOOKUP(T43,'G-3 Multipliers'!$P$2:$Q$6,2,FALSE))</f>
        <v/>
      </c>
      <c r="V43" s="106"/>
      <c r="W43" s="282" t="str">
        <f>IF(V43="","",IF(AND(V43="N/A - Culvert",C43&lt;&gt;"Culvert"),"Not possible ▲",IF(AND(C43="Culvert",V43&lt;&gt;"N/A - Culvert"),"Not possible ▲",IF(VLOOKUP(V43,'G-7 WaterC'' Data'!$AA$4:$AB$7,2,FALSE)=0,"Spatial Data Missing ⚠",VLOOKUP(V43,'G-7 WaterC'' Data'!$AA$4:$AB$7,2,FALSE)))))</f>
        <v/>
      </c>
      <c r="X43" s="56"/>
      <c r="Y43" s="282" t="str">
        <f>IF(X43="","",IF(AND(X43="N/A - Culvert", C43&lt;&gt;"Culvert"), "Not possible ▲",IF(AND(C43="Culvert",X43&lt;&gt;"N/A - Culvert"),"Not possible ▲",IF(VLOOKUP(X43,'G-7 WaterC'' Data'!$AD$4:$AE$14,2,FALSE)=0,"Enrcoachment Data Missing ⚠",VLOOKUP(X43,'G-7 WaterC'' Data'!$AD$4:$AE$14,2,FALSE)))))</f>
        <v/>
      </c>
      <c r="Z43" s="106"/>
      <c r="AA43" s="282" t="str">
        <f>IF(Z43="","",IF(VLOOKUP(Z43,'G-7 WaterC'' Data'!$AO$4:$BO$7,2,FALSE)=0,"Spatial Data Missing ⚠",VLOOKUP(Z43,'G-7 WaterC'' Data'!$AO$4:$BO$7,2,FALSE)))</f>
        <v/>
      </c>
      <c r="AB43" s="323" t="str">
        <f t="shared" si="4"/>
        <v/>
      </c>
      <c r="AC43" s="323" t="str">
        <f t="shared" si="5"/>
        <v/>
      </c>
      <c r="AD43" s="105"/>
      <c r="AE43" s="968"/>
      <c r="AF43" s="142"/>
      <c r="AG43" s="142"/>
      <c r="AH43" s="964"/>
      <c r="AL43" s="30" t="str">
        <f>IFERROR(INDEX('G-7 WaterC'' Data'!$AZ$3:$AZ$7,MATCH(C43,'G-7 WaterC'' Data'!$AY$3:$AY$7,0)),"")</f>
        <v/>
      </c>
      <c r="AN43" s="30" t="str">
        <f t="shared" si="6"/>
        <v>No</v>
      </c>
    </row>
    <row r="44" spans="2:40" ht="13.8" x14ac:dyDescent="0.25">
      <c r="B44" s="101">
        <v>33</v>
      </c>
      <c r="C44" s="953"/>
      <c r="D44" s="119"/>
      <c r="E44" s="281" t="str">
        <f>IF(C44="","",VLOOKUP(C44,'G-7 WaterC'' Data'!$B$2:$Z$9,2,FALSE))</f>
        <v/>
      </c>
      <c r="F44" s="282" t="str">
        <f>IFERROR(VLOOKUP(E44,'G-7 WaterC'' Data'!$C$4:$D$8,2,FALSE),"")</f>
        <v/>
      </c>
      <c r="G44" s="52"/>
      <c r="H44" s="282" t="str">
        <f>IFERROR(INDEX('G-7 WaterC'' Data'!$H$4:$L$8,MATCH(C44,'G-7 WaterC'' Data'!$B$4:$B$8,0),MATCH(G44,'G-7 WaterC'' Data'!$H$3:$L$3,0)),"")</f>
        <v/>
      </c>
      <c r="I44" s="52"/>
      <c r="J44" s="320" t="str">
        <f>IF(I44="","",IF(VLOOKUP(I44,'G-7 WaterC'' Data'!$AK$4:$AM$6,2,FALSE)=0,"Spatial Data Missing ⚠",VLOOKUP(I44,'G-7 WaterC'' Data'!$AK$4:$AM$6,2,FALSE)))</f>
        <v/>
      </c>
      <c r="K44" s="282" t="str">
        <f>IF(I44="","",IF(VLOOKUP(I44,'G-7 WaterC'' Data'!$AK$4:$AM$6,3,FALSE)=0,"Spatial Data Missing ⚠",VLOOKUP(I44,'G-7 WaterC'' Data'!$AK$4:$AM$6,3,FALSE)))</f>
        <v/>
      </c>
      <c r="L44" s="382" t="str">
        <f>IFERROR(INDEX('G-7 WaterC'' Data'!$O$3:$O$7,MATCH(G44,'G-7 WaterC'' Data'!$N$3:$N$7,0)),"")</f>
        <v/>
      </c>
      <c r="M44" s="53"/>
      <c r="N44" s="137"/>
      <c r="O44" s="289" t="str">
        <f t="shared" si="0"/>
        <v/>
      </c>
      <c r="P44" s="302" t="str">
        <f t="shared" si="1"/>
        <v/>
      </c>
      <c r="Q44" s="340" t="str">
        <f>IFERROR(IF(P44="Check Data ⚠","Check Data ⚠",VLOOKUP(P44,'G-4 Temporal multipliers'!$A$4:$C$37,3,FALSE)),"")</f>
        <v/>
      </c>
      <c r="R44" s="281" t="str">
        <f>IF(C44="","",VLOOKUP(C44,'G-7 WaterC'' Data'!$B$4:$G$8,4,FALSE))</f>
        <v/>
      </c>
      <c r="S44" s="289" t="str">
        <f t="shared" si="2"/>
        <v/>
      </c>
      <c r="T44" s="320" t="str">
        <f t="shared" si="3"/>
        <v/>
      </c>
      <c r="U44" s="282" t="str">
        <f>IF(C44="","",VLOOKUP(T44,'G-3 Multipliers'!$P$2:$Q$6,2,FALSE))</f>
        <v/>
      </c>
      <c r="V44" s="106"/>
      <c r="W44" s="282" t="str">
        <f>IF(V44="","",IF(AND(V44="N/A - Culvert",C44&lt;&gt;"Culvert"),"Not possible ▲",IF(AND(C44="Culvert",V44&lt;&gt;"N/A - Culvert"),"Not possible ▲",IF(VLOOKUP(V44,'G-7 WaterC'' Data'!$AA$4:$AB$7,2,FALSE)=0,"Spatial Data Missing ⚠",VLOOKUP(V44,'G-7 WaterC'' Data'!$AA$4:$AB$7,2,FALSE)))))</f>
        <v/>
      </c>
      <c r="X44" s="56"/>
      <c r="Y44" s="282" t="str">
        <f>IF(X44="","",IF(AND(X44="N/A - Culvert", C44&lt;&gt;"Culvert"), "Not possible ▲",IF(AND(C44="Culvert",X44&lt;&gt;"N/A - Culvert"),"Not possible ▲",IF(VLOOKUP(X44,'G-7 WaterC'' Data'!$AD$4:$AE$14,2,FALSE)=0,"Enrcoachment Data Missing ⚠",VLOOKUP(X44,'G-7 WaterC'' Data'!$AD$4:$AE$14,2,FALSE)))))</f>
        <v/>
      </c>
      <c r="Z44" s="106"/>
      <c r="AA44" s="282" t="str">
        <f>IF(Z44="","",IF(VLOOKUP(Z44,'G-7 WaterC'' Data'!$AO$4:$BO$7,2,FALSE)=0,"Spatial Data Missing ⚠",VLOOKUP(Z44,'G-7 WaterC'' Data'!$AO$4:$BO$7,2,FALSE)))</f>
        <v/>
      </c>
      <c r="AB44" s="323" t="str">
        <f t="shared" si="4"/>
        <v/>
      </c>
      <c r="AC44" s="323" t="str">
        <f t="shared" si="5"/>
        <v/>
      </c>
      <c r="AD44" s="105"/>
      <c r="AE44" s="968"/>
      <c r="AF44" s="142"/>
      <c r="AG44" s="142"/>
      <c r="AH44" s="964"/>
      <c r="AL44" s="30" t="str">
        <f>IFERROR(INDEX('G-7 WaterC'' Data'!$AZ$3:$AZ$7,MATCH(C44,'G-7 WaterC'' Data'!$AY$3:$AY$7,0)),"")</f>
        <v/>
      </c>
      <c r="AN44" s="30" t="str">
        <f t="shared" si="6"/>
        <v>No</v>
      </c>
    </row>
    <row r="45" spans="2:40" ht="13.8" x14ac:dyDescent="0.25">
      <c r="B45" s="101">
        <v>34</v>
      </c>
      <c r="C45" s="953"/>
      <c r="D45" s="119"/>
      <c r="E45" s="281" t="str">
        <f>IF(C45="","",VLOOKUP(C45,'G-7 WaterC'' Data'!$B$2:$Z$9,2,FALSE))</f>
        <v/>
      </c>
      <c r="F45" s="282" t="str">
        <f>IFERROR(VLOOKUP(E45,'G-7 WaterC'' Data'!$C$4:$D$8,2,FALSE),"")</f>
        <v/>
      </c>
      <c r="G45" s="52"/>
      <c r="H45" s="282" t="str">
        <f>IFERROR(INDEX('G-7 WaterC'' Data'!$H$4:$L$8,MATCH(C45,'G-7 WaterC'' Data'!$B$4:$B$8,0),MATCH(G45,'G-7 WaterC'' Data'!$H$3:$L$3,0)),"")</f>
        <v/>
      </c>
      <c r="I45" s="52"/>
      <c r="J45" s="320" t="str">
        <f>IF(I45="","",IF(VLOOKUP(I45,'G-7 WaterC'' Data'!$AK$4:$AM$6,2,FALSE)=0,"Spatial Data Missing ⚠",VLOOKUP(I45,'G-7 WaterC'' Data'!$AK$4:$AM$6,2,FALSE)))</f>
        <v/>
      </c>
      <c r="K45" s="282" t="str">
        <f>IF(I45="","",IF(VLOOKUP(I45,'G-7 WaterC'' Data'!$AK$4:$AM$6,3,FALSE)=0,"Spatial Data Missing ⚠",VLOOKUP(I45,'G-7 WaterC'' Data'!$AK$4:$AM$6,3,FALSE)))</f>
        <v/>
      </c>
      <c r="L45" s="382" t="str">
        <f>IFERROR(INDEX('G-7 WaterC'' Data'!$O$3:$O$7,MATCH(G45,'G-7 WaterC'' Data'!$N$3:$N$7,0)),"")</f>
        <v/>
      </c>
      <c r="M45" s="53"/>
      <c r="N45" s="137"/>
      <c r="O45" s="289" t="str">
        <f t="shared" si="0"/>
        <v/>
      </c>
      <c r="P45" s="302" t="str">
        <f t="shared" si="1"/>
        <v/>
      </c>
      <c r="Q45" s="340" t="str">
        <f>IFERROR(IF(P45="Check Data ⚠","Check Data ⚠",VLOOKUP(P45,'G-4 Temporal multipliers'!$A$4:$C$37,3,FALSE)),"")</f>
        <v/>
      </c>
      <c r="R45" s="281" t="str">
        <f>IF(C45="","",VLOOKUP(C45,'G-7 WaterC'' Data'!$B$4:$G$8,4,FALSE))</f>
        <v/>
      </c>
      <c r="S45" s="289" t="str">
        <f t="shared" si="2"/>
        <v/>
      </c>
      <c r="T45" s="320" t="str">
        <f t="shared" si="3"/>
        <v/>
      </c>
      <c r="U45" s="282" t="str">
        <f>IF(C45="","",VLOOKUP(T45,'G-3 Multipliers'!$P$2:$Q$6,2,FALSE))</f>
        <v/>
      </c>
      <c r="V45" s="106"/>
      <c r="W45" s="282" t="str">
        <f>IF(V45="","",IF(AND(V45="N/A - Culvert",C45&lt;&gt;"Culvert"),"Not possible ▲",IF(AND(C45="Culvert",V45&lt;&gt;"N/A - Culvert"),"Not possible ▲",IF(VLOOKUP(V45,'G-7 WaterC'' Data'!$AA$4:$AB$7,2,FALSE)=0,"Spatial Data Missing ⚠",VLOOKUP(V45,'G-7 WaterC'' Data'!$AA$4:$AB$7,2,FALSE)))))</f>
        <v/>
      </c>
      <c r="X45" s="56"/>
      <c r="Y45" s="282" t="str">
        <f>IF(X45="","",IF(AND(X45="N/A - Culvert", C45&lt;&gt;"Culvert"), "Not possible ▲",IF(AND(C45="Culvert",X45&lt;&gt;"N/A - Culvert"),"Not possible ▲",IF(VLOOKUP(X45,'G-7 WaterC'' Data'!$AD$4:$AE$14,2,FALSE)=0,"Enrcoachment Data Missing ⚠",VLOOKUP(X45,'G-7 WaterC'' Data'!$AD$4:$AE$14,2,FALSE)))))</f>
        <v/>
      </c>
      <c r="Z45" s="106"/>
      <c r="AA45" s="282" t="str">
        <f>IF(Z45="","",IF(VLOOKUP(Z45,'G-7 WaterC'' Data'!$AO$4:$BO$7,2,FALSE)=0,"Spatial Data Missing ⚠",VLOOKUP(Z45,'G-7 WaterC'' Data'!$AO$4:$BO$7,2,FALSE)))</f>
        <v/>
      </c>
      <c r="AB45" s="323" t="str">
        <f t="shared" si="4"/>
        <v/>
      </c>
      <c r="AC45" s="323" t="str">
        <f t="shared" si="5"/>
        <v/>
      </c>
      <c r="AD45" s="105"/>
      <c r="AE45" s="968"/>
      <c r="AF45" s="142"/>
      <c r="AG45" s="142"/>
      <c r="AH45" s="964"/>
      <c r="AL45" s="30" t="str">
        <f>IFERROR(INDEX('G-7 WaterC'' Data'!$AZ$3:$AZ$7,MATCH(C45,'G-7 WaterC'' Data'!$AY$3:$AY$7,0)),"")</f>
        <v/>
      </c>
      <c r="AN45" s="30" t="str">
        <f t="shared" si="6"/>
        <v>No</v>
      </c>
    </row>
    <row r="46" spans="2:40" ht="13.8" x14ac:dyDescent="0.25">
      <c r="B46" s="101">
        <v>35</v>
      </c>
      <c r="C46" s="953"/>
      <c r="D46" s="119"/>
      <c r="E46" s="281" t="str">
        <f>IF(C46="","",VLOOKUP(C46,'G-7 WaterC'' Data'!$B$2:$Z$9,2,FALSE))</f>
        <v/>
      </c>
      <c r="F46" s="282" t="str">
        <f>IFERROR(VLOOKUP(E46,'G-7 WaterC'' Data'!$C$4:$D$8,2,FALSE),"")</f>
        <v/>
      </c>
      <c r="G46" s="52"/>
      <c r="H46" s="282" t="str">
        <f>IFERROR(INDEX('G-7 WaterC'' Data'!$H$4:$L$8,MATCH(C46,'G-7 WaterC'' Data'!$B$4:$B$8,0),MATCH(G46,'G-7 WaterC'' Data'!$H$3:$L$3,0)),"")</f>
        <v/>
      </c>
      <c r="I46" s="52"/>
      <c r="J46" s="320" t="str">
        <f>IF(I46="","",IF(VLOOKUP(I46,'G-7 WaterC'' Data'!$AK$4:$AM$6,2,FALSE)=0,"Spatial Data Missing ⚠",VLOOKUP(I46,'G-7 WaterC'' Data'!$AK$4:$AM$6,2,FALSE)))</f>
        <v/>
      </c>
      <c r="K46" s="282" t="str">
        <f>IF(I46="","",IF(VLOOKUP(I46,'G-7 WaterC'' Data'!$AK$4:$AM$6,3,FALSE)=0,"Spatial Data Missing ⚠",VLOOKUP(I46,'G-7 WaterC'' Data'!$AK$4:$AM$6,3,FALSE)))</f>
        <v/>
      </c>
      <c r="L46" s="382" t="str">
        <f>IFERROR(INDEX('G-7 WaterC'' Data'!$O$3:$O$7,MATCH(G46,'G-7 WaterC'' Data'!$N$3:$N$7,0)),"")</f>
        <v/>
      </c>
      <c r="M46" s="53"/>
      <c r="N46" s="137"/>
      <c r="O46" s="289" t="str">
        <f t="shared" si="0"/>
        <v/>
      </c>
      <c r="P46" s="302" t="str">
        <f t="shared" si="1"/>
        <v/>
      </c>
      <c r="Q46" s="340" t="str">
        <f>IFERROR(IF(P46="Check Data ⚠","Check Data ⚠",VLOOKUP(P46,'G-4 Temporal multipliers'!$A$4:$C$37,3,FALSE)),"")</f>
        <v/>
      </c>
      <c r="R46" s="281" t="str">
        <f>IF(C46="","",VLOOKUP(C46,'G-7 WaterC'' Data'!$B$4:$G$8,4,FALSE))</f>
        <v/>
      </c>
      <c r="S46" s="289" t="str">
        <f t="shared" si="2"/>
        <v/>
      </c>
      <c r="T46" s="320" t="str">
        <f t="shared" si="3"/>
        <v/>
      </c>
      <c r="U46" s="282" t="str">
        <f>IF(C46="","",VLOOKUP(T46,'G-3 Multipliers'!$P$2:$Q$6,2,FALSE))</f>
        <v/>
      </c>
      <c r="V46" s="106"/>
      <c r="W46" s="282" t="str">
        <f>IF(V46="","",IF(AND(V46="N/A - Culvert",C46&lt;&gt;"Culvert"),"Not possible ▲",IF(AND(C46="Culvert",V46&lt;&gt;"N/A - Culvert"),"Not possible ▲",IF(VLOOKUP(V46,'G-7 WaterC'' Data'!$AA$4:$AB$7,2,FALSE)=0,"Spatial Data Missing ⚠",VLOOKUP(V46,'G-7 WaterC'' Data'!$AA$4:$AB$7,2,FALSE)))))</f>
        <v/>
      </c>
      <c r="X46" s="56"/>
      <c r="Y46" s="282" t="str">
        <f>IF(X46="","",IF(AND(X46="N/A - Culvert", C46&lt;&gt;"Culvert"), "Not possible ▲",IF(AND(C46="Culvert",X46&lt;&gt;"N/A - Culvert"),"Not possible ▲",IF(VLOOKUP(X46,'G-7 WaterC'' Data'!$AD$4:$AE$14,2,FALSE)=0,"Enrcoachment Data Missing ⚠",VLOOKUP(X46,'G-7 WaterC'' Data'!$AD$4:$AE$14,2,FALSE)))))</f>
        <v/>
      </c>
      <c r="Z46" s="106"/>
      <c r="AA46" s="282" t="str">
        <f>IF(Z46="","",IF(VLOOKUP(Z46,'G-7 WaterC'' Data'!$AO$4:$BO$7,2,FALSE)=0,"Spatial Data Missing ⚠",VLOOKUP(Z46,'G-7 WaterC'' Data'!$AO$4:$BO$7,2,FALSE)))</f>
        <v/>
      </c>
      <c r="AB46" s="323" t="str">
        <f t="shared" si="4"/>
        <v/>
      </c>
      <c r="AC46" s="323" t="str">
        <f t="shared" si="5"/>
        <v/>
      </c>
      <c r="AD46" s="105"/>
      <c r="AE46" s="968"/>
      <c r="AF46" s="142"/>
      <c r="AG46" s="142"/>
      <c r="AH46" s="964"/>
      <c r="AL46" s="30" t="str">
        <f>IFERROR(INDEX('G-7 WaterC'' Data'!$AZ$3:$AZ$7,MATCH(C46,'G-7 WaterC'' Data'!$AY$3:$AY$7,0)),"")</f>
        <v/>
      </c>
      <c r="AN46" s="30" t="str">
        <f t="shared" si="6"/>
        <v>No</v>
      </c>
    </row>
    <row r="47" spans="2:40" ht="13.8" x14ac:dyDescent="0.25">
      <c r="B47" s="101">
        <v>36</v>
      </c>
      <c r="C47" s="953"/>
      <c r="D47" s="119"/>
      <c r="E47" s="281" t="str">
        <f>IF(C47="","",VLOOKUP(C47,'G-7 WaterC'' Data'!$B$2:$Z$9,2,FALSE))</f>
        <v/>
      </c>
      <c r="F47" s="282" t="str">
        <f>IFERROR(VLOOKUP(E47,'G-7 WaterC'' Data'!$C$4:$D$8,2,FALSE),"")</f>
        <v/>
      </c>
      <c r="G47" s="52"/>
      <c r="H47" s="282" t="str">
        <f>IFERROR(INDEX('G-7 WaterC'' Data'!$H$4:$L$8,MATCH(C47,'G-7 WaterC'' Data'!$B$4:$B$8,0),MATCH(G47,'G-7 WaterC'' Data'!$H$3:$L$3,0)),"")</f>
        <v/>
      </c>
      <c r="I47" s="52"/>
      <c r="J47" s="320" t="str">
        <f>IF(I47="","",IF(VLOOKUP(I47,'G-7 WaterC'' Data'!$AK$4:$AM$6,2,FALSE)=0,"Spatial Data Missing ⚠",VLOOKUP(I47,'G-7 WaterC'' Data'!$AK$4:$AM$6,2,FALSE)))</f>
        <v/>
      </c>
      <c r="K47" s="282" t="str">
        <f>IF(I47="","",IF(VLOOKUP(I47,'G-7 WaterC'' Data'!$AK$4:$AM$6,3,FALSE)=0,"Spatial Data Missing ⚠",VLOOKUP(I47,'G-7 WaterC'' Data'!$AK$4:$AM$6,3,FALSE)))</f>
        <v/>
      </c>
      <c r="L47" s="382" t="str">
        <f>IFERROR(INDEX('G-7 WaterC'' Data'!$O$3:$O$7,MATCH(G47,'G-7 WaterC'' Data'!$N$3:$N$7,0)),"")</f>
        <v/>
      </c>
      <c r="M47" s="53"/>
      <c r="N47" s="137"/>
      <c r="O47" s="289" t="str">
        <f t="shared" si="0"/>
        <v/>
      </c>
      <c r="P47" s="302" t="str">
        <f t="shared" si="1"/>
        <v/>
      </c>
      <c r="Q47" s="340" t="str">
        <f>IFERROR(IF(P47="Check Data ⚠","Check Data ⚠",VLOOKUP(P47,'G-4 Temporal multipliers'!$A$4:$C$37,3,FALSE)),"")</f>
        <v/>
      </c>
      <c r="R47" s="281" t="str">
        <f>IF(C47="","",VLOOKUP(C47,'G-7 WaterC'' Data'!$B$4:$G$8,4,FALSE))</f>
        <v/>
      </c>
      <c r="S47" s="289" t="str">
        <f t="shared" si="2"/>
        <v/>
      </c>
      <c r="T47" s="320" t="str">
        <f t="shared" si="3"/>
        <v/>
      </c>
      <c r="U47" s="282" t="str">
        <f>IF(C47="","",VLOOKUP(T47,'G-3 Multipliers'!$P$2:$Q$6,2,FALSE))</f>
        <v/>
      </c>
      <c r="V47" s="106"/>
      <c r="W47" s="282" t="str">
        <f>IF(V47="","",IF(AND(V47="N/A - Culvert",C47&lt;&gt;"Culvert"),"Not possible ▲",IF(AND(C47="Culvert",V47&lt;&gt;"N/A - Culvert"),"Not possible ▲",IF(VLOOKUP(V47,'G-7 WaterC'' Data'!$AA$4:$AB$7,2,FALSE)=0,"Spatial Data Missing ⚠",VLOOKUP(V47,'G-7 WaterC'' Data'!$AA$4:$AB$7,2,FALSE)))))</f>
        <v/>
      </c>
      <c r="X47" s="56"/>
      <c r="Y47" s="282" t="str">
        <f>IF(X47="","",IF(AND(X47="N/A - Culvert", C47&lt;&gt;"Culvert"), "Not possible ▲",IF(AND(C47="Culvert",X47&lt;&gt;"N/A - Culvert"),"Not possible ▲",IF(VLOOKUP(X47,'G-7 WaterC'' Data'!$AD$4:$AE$14,2,FALSE)=0,"Enrcoachment Data Missing ⚠",VLOOKUP(X47,'G-7 WaterC'' Data'!$AD$4:$AE$14,2,FALSE)))))</f>
        <v/>
      </c>
      <c r="Z47" s="106"/>
      <c r="AA47" s="282" t="str">
        <f>IF(Z47="","",IF(VLOOKUP(Z47,'G-7 WaterC'' Data'!$AO$4:$BO$7,2,FALSE)=0,"Spatial Data Missing ⚠",VLOOKUP(Z47,'G-7 WaterC'' Data'!$AO$4:$BO$7,2,FALSE)))</f>
        <v/>
      </c>
      <c r="AB47" s="323" t="str">
        <f t="shared" si="4"/>
        <v/>
      </c>
      <c r="AC47" s="323" t="str">
        <f t="shared" si="5"/>
        <v/>
      </c>
      <c r="AD47" s="105"/>
      <c r="AE47" s="968"/>
      <c r="AF47" s="142"/>
      <c r="AG47" s="142"/>
      <c r="AH47" s="964"/>
      <c r="AL47" s="30" t="str">
        <f>IFERROR(INDEX('G-7 WaterC'' Data'!$AZ$3:$AZ$7,MATCH(C47,'G-7 WaterC'' Data'!$AY$3:$AY$7,0)),"")</f>
        <v/>
      </c>
      <c r="AN47" s="30" t="str">
        <f t="shared" si="6"/>
        <v>No</v>
      </c>
    </row>
    <row r="48" spans="2:40" ht="13.8" x14ac:dyDescent="0.25">
      <c r="B48" s="101">
        <v>37</v>
      </c>
      <c r="C48" s="953"/>
      <c r="D48" s="119"/>
      <c r="E48" s="281" t="str">
        <f>IF(C48="","",VLOOKUP(C48,'G-7 WaterC'' Data'!$B$2:$Z$9,2,FALSE))</f>
        <v/>
      </c>
      <c r="F48" s="282" t="str">
        <f>IFERROR(VLOOKUP(E48,'G-7 WaterC'' Data'!$C$4:$D$8,2,FALSE),"")</f>
        <v/>
      </c>
      <c r="G48" s="52"/>
      <c r="H48" s="282" t="str">
        <f>IFERROR(INDEX('G-7 WaterC'' Data'!$H$4:$L$8,MATCH(C48,'G-7 WaterC'' Data'!$B$4:$B$8,0),MATCH(G48,'G-7 WaterC'' Data'!$H$3:$L$3,0)),"")</f>
        <v/>
      </c>
      <c r="I48" s="52"/>
      <c r="J48" s="320" t="str">
        <f>IF(I48="","",IF(VLOOKUP(I48,'G-7 WaterC'' Data'!$AK$4:$AM$6,2,FALSE)=0,"Spatial Data Missing ⚠",VLOOKUP(I48,'G-7 WaterC'' Data'!$AK$4:$AM$6,2,FALSE)))</f>
        <v/>
      </c>
      <c r="K48" s="282" t="str">
        <f>IF(I48="","",IF(VLOOKUP(I48,'G-7 WaterC'' Data'!$AK$4:$AM$6,3,FALSE)=0,"Spatial Data Missing ⚠",VLOOKUP(I48,'G-7 WaterC'' Data'!$AK$4:$AM$6,3,FALSE)))</f>
        <v/>
      </c>
      <c r="L48" s="382" t="str">
        <f>IFERROR(INDEX('G-7 WaterC'' Data'!$O$3:$O$7,MATCH(G48,'G-7 WaterC'' Data'!$N$3:$N$7,0)),"")</f>
        <v/>
      </c>
      <c r="M48" s="53"/>
      <c r="N48" s="137"/>
      <c r="O48" s="289" t="str">
        <f t="shared" si="0"/>
        <v/>
      </c>
      <c r="P48" s="302" t="str">
        <f t="shared" si="1"/>
        <v/>
      </c>
      <c r="Q48" s="340" t="str">
        <f>IFERROR(IF(P48="Check Data ⚠","Check Data ⚠",VLOOKUP(P48,'G-4 Temporal multipliers'!$A$4:$C$37,3,FALSE)),"")</f>
        <v/>
      </c>
      <c r="R48" s="281" t="str">
        <f>IF(C48="","",VLOOKUP(C48,'G-7 WaterC'' Data'!$B$4:$G$8,4,FALSE))</f>
        <v/>
      </c>
      <c r="S48" s="289" t="str">
        <f t="shared" si="2"/>
        <v/>
      </c>
      <c r="T48" s="320" t="str">
        <f t="shared" si="3"/>
        <v/>
      </c>
      <c r="U48" s="282" t="str">
        <f>IF(C48="","",VLOOKUP(T48,'G-3 Multipliers'!$P$2:$Q$6,2,FALSE))</f>
        <v/>
      </c>
      <c r="V48" s="106"/>
      <c r="W48" s="282" t="str">
        <f>IF(V48="","",IF(AND(V48="N/A - Culvert",C48&lt;&gt;"Culvert"),"Not possible ▲",IF(AND(C48="Culvert",V48&lt;&gt;"N/A - Culvert"),"Not possible ▲",IF(VLOOKUP(V48,'G-7 WaterC'' Data'!$AA$4:$AB$7,2,FALSE)=0,"Spatial Data Missing ⚠",VLOOKUP(V48,'G-7 WaterC'' Data'!$AA$4:$AB$7,2,FALSE)))))</f>
        <v/>
      </c>
      <c r="X48" s="56"/>
      <c r="Y48" s="282" t="str">
        <f>IF(X48="","",IF(AND(X48="N/A - Culvert", C48&lt;&gt;"Culvert"), "Not possible ▲",IF(AND(C48="Culvert",X48&lt;&gt;"N/A - Culvert"),"Not possible ▲",IF(VLOOKUP(X48,'G-7 WaterC'' Data'!$AD$4:$AE$14,2,FALSE)=0,"Enrcoachment Data Missing ⚠",VLOOKUP(X48,'G-7 WaterC'' Data'!$AD$4:$AE$14,2,FALSE)))))</f>
        <v/>
      </c>
      <c r="Z48" s="106"/>
      <c r="AA48" s="282" t="str">
        <f>IF(Z48="","",IF(VLOOKUP(Z48,'G-7 WaterC'' Data'!$AO$4:$BO$7,2,FALSE)=0,"Spatial Data Missing ⚠",VLOOKUP(Z48,'G-7 WaterC'' Data'!$AO$4:$BO$7,2,FALSE)))</f>
        <v/>
      </c>
      <c r="AB48" s="323" t="str">
        <f t="shared" si="4"/>
        <v/>
      </c>
      <c r="AC48" s="323" t="str">
        <f t="shared" si="5"/>
        <v/>
      </c>
      <c r="AD48" s="105"/>
      <c r="AE48" s="968"/>
      <c r="AF48" s="142"/>
      <c r="AG48" s="142"/>
      <c r="AH48" s="964"/>
      <c r="AL48" s="30" t="str">
        <f>IFERROR(INDEX('G-7 WaterC'' Data'!$AZ$3:$AZ$7,MATCH(C48,'G-7 WaterC'' Data'!$AY$3:$AY$7,0)),"")</f>
        <v/>
      </c>
      <c r="AN48" s="30" t="str">
        <f t="shared" si="6"/>
        <v>No</v>
      </c>
    </row>
    <row r="49" spans="2:40" ht="13.8" x14ac:dyDescent="0.25">
      <c r="B49" s="101">
        <v>38</v>
      </c>
      <c r="C49" s="953"/>
      <c r="D49" s="119"/>
      <c r="E49" s="281" t="str">
        <f>IF(C49="","",VLOOKUP(C49,'G-7 WaterC'' Data'!$B$2:$Z$9,2,FALSE))</f>
        <v/>
      </c>
      <c r="F49" s="282" t="str">
        <f>IFERROR(VLOOKUP(E49,'G-7 WaterC'' Data'!$C$4:$D$8,2,FALSE),"")</f>
        <v/>
      </c>
      <c r="G49" s="52"/>
      <c r="H49" s="282" t="str">
        <f>IFERROR(INDEX('G-7 WaterC'' Data'!$H$4:$L$8,MATCH(C49,'G-7 WaterC'' Data'!$B$4:$B$8,0),MATCH(G49,'G-7 WaterC'' Data'!$H$3:$L$3,0)),"")</f>
        <v/>
      </c>
      <c r="I49" s="52"/>
      <c r="J49" s="320" t="str">
        <f>IF(I49="","",IF(VLOOKUP(I49,'G-7 WaterC'' Data'!$AK$4:$AM$6,2,FALSE)=0,"Spatial Data Missing ⚠",VLOOKUP(I49,'G-7 WaterC'' Data'!$AK$4:$AM$6,2,FALSE)))</f>
        <v/>
      </c>
      <c r="K49" s="282" t="str">
        <f>IF(I49="","",IF(VLOOKUP(I49,'G-7 WaterC'' Data'!$AK$4:$AM$6,3,FALSE)=0,"Spatial Data Missing ⚠",VLOOKUP(I49,'G-7 WaterC'' Data'!$AK$4:$AM$6,3,FALSE)))</f>
        <v/>
      </c>
      <c r="L49" s="382" t="str">
        <f>IFERROR(INDEX('G-7 WaterC'' Data'!$O$3:$O$7,MATCH(G49,'G-7 WaterC'' Data'!$N$3:$N$7,0)),"")</f>
        <v/>
      </c>
      <c r="M49" s="53"/>
      <c r="N49" s="137"/>
      <c r="O49" s="289" t="str">
        <f t="shared" si="0"/>
        <v/>
      </c>
      <c r="P49" s="302" t="str">
        <f t="shared" si="1"/>
        <v/>
      </c>
      <c r="Q49" s="340" t="str">
        <f>IFERROR(IF(P49="Check Data ⚠","Check Data ⚠",VLOOKUP(P49,'G-4 Temporal multipliers'!$A$4:$C$37,3,FALSE)),"")</f>
        <v/>
      </c>
      <c r="R49" s="281" t="str">
        <f>IF(C49="","",VLOOKUP(C49,'G-7 WaterC'' Data'!$B$4:$G$8,4,FALSE))</f>
        <v/>
      </c>
      <c r="S49" s="289" t="str">
        <f t="shared" si="2"/>
        <v/>
      </c>
      <c r="T49" s="320" t="str">
        <f t="shared" si="3"/>
        <v/>
      </c>
      <c r="U49" s="282" t="str">
        <f>IF(C49="","",VLOOKUP(T49,'G-3 Multipliers'!$P$2:$Q$6,2,FALSE))</f>
        <v/>
      </c>
      <c r="V49" s="106"/>
      <c r="W49" s="282" t="str">
        <f>IF(V49="","",IF(AND(V49="N/A - Culvert",C49&lt;&gt;"Culvert"),"Not possible ▲",IF(AND(C49="Culvert",V49&lt;&gt;"N/A - Culvert"),"Not possible ▲",IF(VLOOKUP(V49,'G-7 WaterC'' Data'!$AA$4:$AB$7,2,FALSE)=0,"Spatial Data Missing ⚠",VLOOKUP(V49,'G-7 WaterC'' Data'!$AA$4:$AB$7,2,FALSE)))))</f>
        <v/>
      </c>
      <c r="X49" s="56"/>
      <c r="Y49" s="282" t="str">
        <f>IF(X49="","",IF(AND(X49="N/A - Culvert", C49&lt;&gt;"Culvert"), "Not possible ▲",IF(AND(C49="Culvert",X49&lt;&gt;"N/A - Culvert"),"Not possible ▲",IF(VLOOKUP(X49,'G-7 WaterC'' Data'!$AD$4:$AE$14,2,FALSE)=0,"Enrcoachment Data Missing ⚠",VLOOKUP(X49,'G-7 WaterC'' Data'!$AD$4:$AE$14,2,FALSE)))))</f>
        <v/>
      </c>
      <c r="Z49" s="106"/>
      <c r="AA49" s="282" t="str">
        <f>IF(Z49="","",IF(VLOOKUP(Z49,'G-7 WaterC'' Data'!$AO$4:$BO$7,2,FALSE)=0,"Spatial Data Missing ⚠",VLOOKUP(Z49,'G-7 WaterC'' Data'!$AO$4:$BO$7,2,FALSE)))</f>
        <v/>
      </c>
      <c r="AB49" s="323" t="str">
        <f t="shared" si="4"/>
        <v/>
      </c>
      <c r="AC49" s="323" t="str">
        <f t="shared" si="5"/>
        <v/>
      </c>
      <c r="AD49" s="105"/>
      <c r="AE49" s="968"/>
      <c r="AF49" s="142"/>
      <c r="AG49" s="142"/>
      <c r="AH49" s="964"/>
      <c r="AL49" s="30" t="str">
        <f>IFERROR(INDEX('G-7 WaterC'' Data'!$AZ$3:$AZ$7,MATCH(C49,'G-7 WaterC'' Data'!$AY$3:$AY$7,0)),"")</f>
        <v/>
      </c>
      <c r="AN49" s="30" t="str">
        <f t="shared" si="6"/>
        <v>No</v>
      </c>
    </row>
    <row r="50" spans="2:40" ht="13.8" x14ac:dyDescent="0.25">
      <c r="B50" s="101">
        <v>39</v>
      </c>
      <c r="C50" s="953"/>
      <c r="D50" s="119"/>
      <c r="E50" s="281" t="str">
        <f>IF(C50="","",VLOOKUP(C50,'G-7 WaterC'' Data'!$B$2:$Z$9,2,FALSE))</f>
        <v/>
      </c>
      <c r="F50" s="282" t="str">
        <f>IFERROR(VLOOKUP(E50,'G-7 WaterC'' Data'!$C$4:$D$8,2,FALSE),"")</f>
        <v/>
      </c>
      <c r="G50" s="52"/>
      <c r="H50" s="282" t="str">
        <f>IFERROR(INDEX('G-7 WaterC'' Data'!$H$4:$L$8,MATCH(C50,'G-7 WaterC'' Data'!$B$4:$B$8,0),MATCH(G50,'G-7 WaterC'' Data'!$H$3:$L$3,0)),"")</f>
        <v/>
      </c>
      <c r="I50" s="52"/>
      <c r="J50" s="320" t="str">
        <f>IF(I50="","",IF(VLOOKUP(I50,'G-7 WaterC'' Data'!$AK$4:$AM$6,2,FALSE)=0,"Spatial Data Missing ⚠",VLOOKUP(I50,'G-7 WaterC'' Data'!$AK$4:$AM$6,2,FALSE)))</f>
        <v/>
      </c>
      <c r="K50" s="282" t="str">
        <f>IF(I50="","",IF(VLOOKUP(I50,'G-7 WaterC'' Data'!$AK$4:$AM$6,3,FALSE)=0,"Spatial Data Missing ⚠",VLOOKUP(I50,'G-7 WaterC'' Data'!$AK$4:$AM$6,3,FALSE)))</f>
        <v/>
      </c>
      <c r="L50" s="382" t="str">
        <f>IFERROR(INDEX('G-7 WaterC'' Data'!$O$3:$O$7,MATCH(G50,'G-7 WaterC'' Data'!$N$3:$N$7,0)),"")</f>
        <v/>
      </c>
      <c r="M50" s="53"/>
      <c r="N50" s="137"/>
      <c r="O50" s="289" t="str">
        <f t="shared" si="0"/>
        <v/>
      </c>
      <c r="P50" s="302" t="str">
        <f t="shared" si="1"/>
        <v/>
      </c>
      <c r="Q50" s="340" t="str">
        <f>IFERROR(IF(P50="Check Data ⚠","Check Data ⚠",VLOOKUP(P50,'G-4 Temporal multipliers'!$A$4:$C$37,3,FALSE)),"")</f>
        <v/>
      </c>
      <c r="R50" s="281" t="str">
        <f>IF(C50="","",VLOOKUP(C50,'G-7 WaterC'' Data'!$B$4:$G$8,4,FALSE))</f>
        <v/>
      </c>
      <c r="S50" s="289" t="str">
        <f t="shared" si="2"/>
        <v/>
      </c>
      <c r="T50" s="320" t="str">
        <f t="shared" si="3"/>
        <v/>
      </c>
      <c r="U50" s="282" t="str">
        <f>IF(C50="","",VLOOKUP(T50,'G-3 Multipliers'!$P$2:$Q$6,2,FALSE))</f>
        <v/>
      </c>
      <c r="V50" s="106"/>
      <c r="W50" s="282" t="str">
        <f>IF(V50="","",IF(AND(V50="N/A - Culvert",C50&lt;&gt;"Culvert"),"Not possible ▲",IF(AND(C50="Culvert",V50&lt;&gt;"N/A - Culvert"),"Not possible ▲",IF(VLOOKUP(V50,'G-7 WaterC'' Data'!$AA$4:$AB$7,2,FALSE)=0,"Spatial Data Missing ⚠",VLOOKUP(V50,'G-7 WaterC'' Data'!$AA$4:$AB$7,2,FALSE)))))</f>
        <v/>
      </c>
      <c r="X50" s="56"/>
      <c r="Y50" s="282" t="str">
        <f>IF(X50="","",IF(AND(X50="N/A - Culvert", C50&lt;&gt;"Culvert"), "Not possible ▲",IF(AND(C50="Culvert",X50&lt;&gt;"N/A - Culvert"),"Not possible ▲",IF(VLOOKUP(X50,'G-7 WaterC'' Data'!$AD$4:$AE$14,2,FALSE)=0,"Enrcoachment Data Missing ⚠",VLOOKUP(X50,'G-7 WaterC'' Data'!$AD$4:$AE$14,2,FALSE)))))</f>
        <v/>
      </c>
      <c r="Z50" s="106"/>
      <c r="AA50" s="282" t="str">
        <f>IF(Z50="","",IF(VLOOKUP(Z50,'G-7 WaterC'' Data'!$AO$4:$BO$7,2,FALSE)=0,"Spatial Data Missing ⚠",VLOOKUP(Z50,'G-7 WaterC'' Data'!$AO$4:$BO$7,2,FALSE)))</f>
        <v/>
      </c>
      <c r="AB50" s="323" t="str">
        <f t="shared" si="4"/>
        <v/>
      </c>
      <c r="AC50" s="323" t="str">
        <f t="shared" si="5"/>
        <v/>
      </c>
      <c r="AD50" s="105"/>
      <c r="AE50" s="968"/>
      <c r="AF50" s="142"/>
      <c r="AG50" s="142"/>
      <c r="AH50" s="964"/>
      <c r="AL50" s="30" t="str">
        <f>IFERROR(INDEX('G-7 WaterC'' Data'!$AZ$3:$AZ$7,MATCH(C50,'G-7 WaterC'' Data'!$AY$3:$AY$7,0)),"")</f>
        <v/>
      </c>
      <c r="AN50" s="30" t="str">
        <f t="shared" si="6"/>
        <v>No</v>
      </c>
    </row>
    <row r="51" spans="2:40" ht="13.8" x14ac:dyDescent="0.25">
      <c r="B51" s="101">
        <v>40</v>
      </c>
      <c r="C51" s="953"/>
      <c r="D51" s="119"/>
      <c r="E51" s="281" t="str">
        <f>IF(C51="","",VLOOKUP(C51,'G-7 WaterC'' Data'!$B$2:$Z$9,2,FALSE))</f>
        <v/>
      </c>
      <c r="F51" s="282" t="str">
        <f>IFERROR(VLOOKUP(E51,'G-7 WaterC'' Data'!$C$4:$D$8,2,FALSE),"")</f>
        <v/>
      </c>
      <c r="G51" s="52"/>
      <c r="H51" s="282" t="str">
        <f>IFERROR(INDEX('G-7 WaterC'' Data'!$H$4:$L$8,MATCH(C51,'G-7 WaterC'' Data'!$B$4:$B$8,0),MATCH(G51,'G-7 WaterC'' Data'!$H$3:$L$3,0)),"")</f>
        <v/>
      </c>
      <c r="I51" s="52"/>
      <c r="J51" s="320" t="str">
        <f>IF(I51="","",IF(VLOOKUP(I51,'G-7 WaterC'' Data'!$AK$4:$AM$6,2,FALSE)=0,"Spatial Data Missing ⚠",VLOOKUP(I51,'G-7 WaterC'' Data'!$AK$4:$AM$6,2,FALSE)))</f>
        <v/>
      </c>
      <c r="K51" s="282" t="str">
        <f>IF(I51="","",IF(VLOOKUP(I51,'G-7 WaterC'' Data'!$AK$4:$AM$6,3,FALSE)=0,"Spatial Data Missing ⚠",VLOOKUP(I51,'G-7 WaterC'' Data'!$AK$4:$AM$6,3,FALSE)))</f>
        <v/>
      </c>
      <c r="L51" s="382" t="str">
        <f>IFERROR(INDEX('G-7 WaterC'' Data'!$O$3:$O$7,MATCH(G51,'G-7 WaterC'' Data'!$N$3:$N$7,0)),"")</f>
        <v/>
      </c>
      <c r="M51" s="53"/>
      <c r="N51" s="137"/>
      <c r="O51" s="289" t="str">
        <f t="shared" si="0"/>
        <v/>
      </c>
      <c r="P51" s="302" t="str">
        <f t="shared" si="1"/>
        <v/>
      </c>
      <c r="Q51" s="340" t="str">
        <f>IFERROR(IF(P51="Check Data ⚠","Check Data ⚠",VLOOKUP(P51,'G-4 Temporal multipliers'!$A$4:$C$37,3,FALSE)),"")</f>
        <v/>
      </c>
      <c r="R51" s="281" t="str">
        <f>IF(C51="","",VLOOKUP(C51,'G-7 WaterC'' Data'!$B$4:$G$8,4,FALSE))</f>
        <v/>
      </c>
      <c r="S51" s="289" t="str">
        <f t="shared" si="2"/>
        <v/>
      </c>
      <c r="T51" s="320" t="str">
        <f t="shared" si="3"/>
        <v/>
      </c>
      <c r="U51" s="282" t="str">
        <f>IF(C51="","",VLOOKUP(T51,'G-3 Multipliers'!$P$2:$Q$6,2,FALSE))</f>
        <v/>
      </c>
      <c r="V51" s="106"/>
      <c r="W51" s="282" t="str">
        <f>IF(V51="","",IF(AND(V51="N/A - Culvert",C51&lt;&gt;"Culvert"),"Not possible ▲",IF(AND(C51="Culvert",V51&lt;&gt;"N/A - Culvert"),"Not possible ▲",IF(VLOOKUP(V51,'G-7 WaterC'' Data'!$AA$4:$AB$7,2,FALSE)=0,"Spatial Data Missing ⚠",VLOOKUP(V51,'G-7 WaterC'' Data'!$AA$4:$AB$7,2,FALSE)))))</f>
        <v/>
      </c>
      <c r="X51" s="56"/>
      <c r="Y51" s="282" t="str">
        <f>IF(X51="","",IF(AND(X51="N/A - Culvert", C51&lt;&gt;"Culvert"), "Not possible ▲",IF(AND(C51="Culvert",X51&lt;&gt;"N/A - Culvert"),"Not possible ▲",IF(VLOOKUP(X51,'G-7 WaterC'' Data'!$AD$4:$AE$14,2,FALSE)=0,"Enrcoachment Data Missing ⚠",VLOOKUP(X51,'G-7 WaterC'' Data'!$AD$4:$AE$14,2,FALSE)))))</f>
        <v/>
      </c>
      <c r="Z51" s="106"/>
      <c r="AA51" s="282" t="str">
        <f>IF(Z51="","",IF(VLOOKUP(Z51,'G-7 WaterC'' Data'!$AO$4:$BO$7,2,FALSE)=0,"Spatial Data Missing ⚠",VLOOKUP(Z51,'G-7 WaterC'' Data'!$AO$4:$BO$7,2,FALSE)))</f>
        <v/>
      </c>
      <c r="AB51" s="323" t="str">
        <f t="shared" si="4"/>
        <v/>
      </c>
      <c r="AC51" s="323" t="str">
        <f t="shared" si="5"/>
        <v/>
      </c>
      <c r="AD51" s="105"/>
      <c r="AE51" s="968"/>
      <c r="AF51" s="142"/>
      <c r="AG51" s="142"/>
      <c r="AH51" s="964"/>
      <c r="AL51" s="30" t="str">
        <f>IFERROR(INDEX('G-7 WaterC'' Data'!$AZ$3:$AZ$7,MATCH(C51,'G-7 WaterC'' Data'!$AY$3:$AY$7,0)),"")</f>
        <v/>
      </c>
      <c r="AN51" s="30" t="str">
        <f t="shared" si="6"/>
        <v>No</v>
      </c>
    </row>
    <row r="52" spans="2:40" ht="13.8" x14ac:dyDescent="0.25">
      <c r="B52" s="101">
        <v>41</v>
      </c>
      <c r="C52" s="953"/>
      <c r="D52" s="119"/>
      <c r="E52" s="281" t="str">
        <f>IF(C52="","",VLOOKUP(C52,'G-7 WaterC'' Data'!$B$2:$Z$9,2,FALSE))</f>
        <v/>
      </c>
      <c r="F52" s="282" t="str">
        <f>IFERROR(VLOOKUP(E52,'G-7 WaterC'' Data'!$C$4:$D$8,2,FALSE),"")</f>
        <v/>
      </c>
      <c r="G52" s="52"/>
      <c r="H52" s="282" t="str">
        <f>IFERROR(INDEX('G-7 WaterC'' Data'!$H$4:$L$8,MATCH(C52,'G-7 WaterC'' Data'!$B$4:$B$8,0),MATCH(G52,'G-7 WaterC'' Data'!$H$3:$L$3,0)),"")</f>
        <v/>
      </c>
      <c r="I52" s="52"/>
      <c r="J52" s="320" t="str">
        <f>IF(I52="","",IF(VLOOKUP(I52,'G-7 WaterC'' Data'!$AK$4:$AM$6,2,FALSE)=0,"Spatial Data Missing ⚠",VLOOKUP(I52,'G-7 WaterC'' Data'!$AK$4:$AM$6,2,FALSE)))</f>
        <v/>
      </c>
      <c r="K52" s="282" t="str">
        <f>IF(I52="","",IF(VLOOKUP(I52,'G-7 WaterC'' Data'!$AK$4:$AM$6,3,FALSE)=0,"Spatial Data Missing ⚠",VLOOKUP(I52,'G-7 WaterC'' Data'!$AK$4:$AM$6,3,FALSE)))</f>
        <v/>
      </c>
      <c r="L52" s="382" t="str">
        <f>IFERROR(INDEX('G-7 WaterC'' Data'!$O$3:$O$7,MATCH(G52,'G-7 WaterC'' Data'!$N$3:$N$7,0)),"")</f>
        <v/>
      </c>
      <c r="M52" s="53"/>
      <c r="N52" s="137"/>
      <c r="O52" s="289" t="str">
        <f t="shared" si="0"/>
        <v/>
      </c>
      <c r="P52" s="302" t="str">
        <f t="shared" si="1"/>
        <v/>
      </c>
      <c r="Q52" s="340" t="str">
        <f>IFERROR(IF(P52="Check Data ⚠","Check Data ⚠",VLOOKUP(P52,'G-4 Temporal multipliers'!$A$4:$C$37,3,FALSE)),"")</f>
        <v/>
      </c>
      <c r="R52" s="281" t="str">
        <f>IF(C52="","",VLOOKUP(C52,'G-7 WaterC'' Data'!$B$4:$G$8,4,FALSE))</f>
        <v/>
      </c>
      <c r="S52" s="289" t="str">
        <f t="shared" si="2"/>
        <v/>
      </c>
      <c r="T52" s="320" t="str">
        <f t="shared" si="3"/>
        <v/>
      </c>
      <c r="U52" s="282" t="str">
        <f>IF(C52="","",VLOOKUP(T52,'G-3 Multipliers'!$P$2:$Q$6,2,FALSE))</f>
        <v/>
      </c>
      <c r="V52" s="106"/>
      <c r="W52" s="282" t="str">
        <f>IF(V52="","",IF(AND(V52="N/A - Culvert",C52&lt;&gt;"Culvert"),"Not possible ▲",IF(AND(C52="Culvert",V52&lt;&gt;"N/A - Culvert"),"Not possible ▲",IF(VLOOKUP(V52,'G-7 WaterC'' Data'!$AA$4:$AB$7,2,FALSE)=0,"Spatial Data Missing ⚠",VLOOKUP(V52,'G-7 WaterC'' Data'!$AA$4:$AB$7,2,FALSE)))))</f>
        <v/>
      </c>
      <c r="X52" s="56"/>
      <c r="Y52" s="282" t="str">
        <f>IF(X52="","",IF(AND(X52="N/A - Culvert", C52&lt;&gt;"Culvert"), "Not possible ▲",IF(AND(C52="Culvert",X52&lt;&gt;"N/A - Culvert"),"Not possible ▲",IF(VLOOKUP(X52,'G-7 WaterC'' Data'!$AD$4:$AE$14,2,FALSE)=0,"Enrcoachment Data Missing ⚠",VLOOKUP(X52,'G-7 WaterC'' Data'!$AD$4:$AE$14,2,FALSE)))))</f>
        <v/>
      </c>
      <c r="Z52" s="106"/>
      <c r="AA52" s="282" t="str">
        <f>IF(Z52="","",IF(VLOOKUP(Z52,'G-7 WaterC'' Data'!$AO$4:$BO$7,2,FALSE)=0,"Spatial Data Missing ⚠",VLOOKUP(Z52,'G-7 WaterC'' Data'!$AO$4:$BO$7,2,FALSE)))</f>
        <v/>
      </c>
      <c r="AB52" s="323" t="str">
        <f t="shared" si="4"/>
        <v/>
      </c>
      <c r="AC52" s="323" t="str">
        <f t="shared" si="5"/>
        <v/>
      </c>
      <c r="AD52" s="105"/>
      <c r="AE52" s="968"/>
      <c r="AF52" s="142"/>
      <c r="AG52" s="142"/>
      <c r="AH52" s="964"/>
      <c r="AL52" s="30" t="str">
        <f>IFERROR(INDEX('G-7 WaterC'' Data'!$AZ$3:$AZ$7,MATCH(C52,'G-7 WaterC'' Data'!$AY$3:$AY$7,0)),"")</f>
        <v/>
      </c>
      <c r="AN52" s="30" t="str">
        <f t="shared" si="6"/>
        <v>No</v>
      </c>
    </row>
    <row r="53" spans="2:40" ht="13.8" x14ac:dyDescent="0.25">
      <c r="B53" s="101">
        <v>42</v>
      </c>
      <c r="C53" s="953"/>
      <c r="D53" s="119"/>
      <c r="E53" s="281" t="str">
        <f>IF(C53="","",VLOOKUP(C53,'G-7 WaterC'' Data'!$B$2:$Z$9,2,FALSE))</f>
        <v/>
      </c>
      <c r="F53" s="282" t="str">
        <f>IFERROR(VLOOKUP(E53,'G-7 WaterC'' Data'!$C$4:$D$8,2,FALSE),"")</f>
        <v/>
      </c>
      <c r="G53" s="52"/>
      <c r="H53" s="282" t="str">
        <f>IFERROR(INDEX('G-7 WaterC'' Data'!$H$4:$L$8,MATCH(C53,'G-7 WaterC'' Data'!$B$4:$B$8,0),MATCH(G53,'G-7 WaterC'' Data'!$H$3:$L$3,0)),"")</f>
        <v/>
      </c>
      <c r="I53" s="52"/>
      <c r="J53" s="320" t="str">
        <f>IF(I53="","",IF(VLOOKUP(I53,'G-7 WaterC'' Data'!$AK$4:$AM$6,2,FALSE)=0,"Spatial Data Missing ⚠",VLOOKUP(I53,'G-7 WaterC'' Data'!$AK$4:$AM$6,2,FALSE)))</f>
        <v/>
      </c>
      <c r="K53" s="282" t="str">
        <f>IF(I53="","",IF(VLOOKUP(I53,'G-7 WaterC'' Data'!$AK$4:$AM$6,3,FALSE)=0,"Spatial Data Missing ⚠",VLOOKUP(I53,'G-7 WaterC'' Data'!$AK$4:$AM$6,3,FALSE)))</f>
        <v/>
      </c>
      <c r="L53" s="382" t="str">
        <f>IFERROR(INDEX('G-7 WaterC'' Data'!$O$3:$O$7,MATCH(G53,'G-7 WaterC'' Data'!$N$3:$N$7,0)),"")</f>
        <v/>
      </c>
      <c r="M53" s="53"/>
      <c r="N53" s="137"/>
      <c r="O53" s="289" t="str">
        <f t="shared" si="0"/>
        <v/>
      </c>
      <c r="P53" s="302" t="str">
        <f t="shared" si="1"/>
        <v/>
      </c>
      <c r="Q53" s="340" t="str">
        <f>IFERROR(IF(P53="Check Data ⚠","Check Data ⚠",VLOOKUP(P53,'G-4 Temporal multipliers'!$A$4:$C$37,3,FALSE)),"")</f>
        <v/>
      </c>
      <c r="R53" s="281" t="str">
        <f>IF(C53="","",VLOOKUP(C53,'G-7 WaterC'' Data'!$B$4:$G$8,4,FALSE))</f>
        <v/>
      </c>
      <c r="S53" s="289" t="str">
        <f t="shared" si="2"/>
        <v/>
      </c>
      <c r="T53" s="320" t="str">
        <f t="shared" si="3"/>
        <v/>
      </c>
      <c r="U53" s="282" t="str">
        <f>IF(C53="","",VLOOKUP(T53,'G-3 Multipliers'!$P$2:$Q$6,2,FALSE))</f>
        <v/>
      </c>
      <c r="V53" s="106"/>
      <c r="W53" s="282" t="str">
        <f>IF(V53="","",IF(AND(V53="N/A - Culvert",C53&lt;&gt;"Culvert"),"Not possible ▲",IF(AND(C53="Culvert",V53&lt;&gt;"N/A - Culvert"),"Not possible ▲",IF(VLOOKUP(V53,'G-7 WaterC'' Data'!$AA$4:$AB$7,2,FALSE)=0,"Spatial Data Missing ⚠",VLOOKUP(V53,'G-7 WaterC'' Data'!$AA$4:$AB$7,2,FALSE)))))</f>
        <v/>
      </c>
      <c r="X53" s="56"/>
      <c r="Y53" s="282" t="str">
        <f>IF(X53="","",IF(AND(X53="N/A - Culvert", C53&lt;&gt;"Culvert"), "Not possible ▲",IF(AND(C53="Culvert",X53&lt;&gt;"N/A - Culvert"),"Not possible ▲",IF(VLOOKUP(X53,'G-7 WaterC'' Data'!$AD$4:$AE$14,2,FALSE)=0,"Enrcoachment Data Missing ⚠",VLOOKUP(X53,'G-7 WaterC'' Data'!$AD$4:$AE$14,2,FALSE)))))</f>
        <v/>
      </c>
      <c r="Z53" s="106"/>
      <c r="AA53" s="282" t="str">
        <f>IF(Z53="","",IF(VLOOKUP(Z53,'G-7 WaterC'' Data'!$AO$4:$BO$7,2,FALSE)=0,"Spatial Data Missing ⚠",VLOOKUP(Z53,'G-7 WaterC'' Data'!$AO$4:$BO$7,2,FALSE)))</f>
        <v/>
      </c>
      <c r="AB53" s="323" t="str">
        <f t="shared" si="4"/>
        <v/>
      </c>
      <c r="AC53" s="323" t="str">
        <f t="shared" si="5"/>
        <v/>
      </c>
      <c r="AD53" s="105"/>
      <c r="AE53" s="968"/>
      <c r="AF53" s="142"/>
      <c r="AG53" s="142"/>
      <c r="AH53" s="964"/>
      <c r="AL53" s="30" t="str">
        <f>IFERROR(INDEX('G-7 WaterC'' Data'!$AZ$3:$AZ$7,MATCH(C53,'G-7 WaterC'' Data'!$AY$3:$AY$7,0)),"")</f>
        <v/>
      </c>
      <c r="AN53" s="30" t="str">
        <f t="shared" si="6"/>
        <v>No</v>
      </c>
    </row>
    <row r="54" spans="2:40" ht="13.8" x14ac:dyDescent="0.25">
      <c r="B54" s="101">
        <v>43</v>
      </c>
      <c r="C54" s="953"/>
      <c r="D54" s="119"/>
      <c r="E54" s="281" t="str">
        <f>IF(C54="","",VLOOKUP(C54,'G-7 WaterC'' Data'!$B$2:$Z$9,2,FALSE))</f>
        <v/>
      </c>
      <c r="F54" s="282" t="str">
        <f>IFERROR(VLOOKUP(E54,'G-7 WaterC'' Data'!$C$4:$D$8,2,FALSE),"")</f>
        <v/>
      </c>
      <c r="G54" s="52"/>
      <c r="H54" s="282" t="str">
        <f>IFERROR(INDEX('G-7 WaterC'' Data'!$H$4:$L$8,MATCH(C54,'G-7 WaterC'' Data'!$B$4:$B$8,0),MATCH(G54,'G-7 WaterC'' Data'!$H$3:$L$3,0)),"")</f>
        <v/>
      </c>
      <c r="I54" s="52"/>
      <c r="J54" s="320" t="str">
        <f>IF(I54="","",IF(VLOOKUP(I54,'G-7 WaterC'' Data'!$AK$4:$AM$6,2,FALSE)=0,"Spatial Data Missing ⚠",VLOOKUP(I54,'G-7 WaterC'' Data'!$AK$4:$AM$6,2,FALSE)))</f>
        <v/>
      </c>
      <c r="K54" s="282" t="str">
        <f>IF(I54="","",IF(VLOOKUP(I54,'G-7 WaterC'' Data'!$AK$4:$AM$6,3,FALSE)=0,"Spatial Data Missing ⚠",VLOOKUP(I54,'G-7 WaterC'' Data'!$AK$4:$AM$6,3,FALSE)))</f>
        <v/>
      </c>
      <c r="L54" s="382" t="str">
        <f>IFERROR(INDEX('G-7 WaterC'' Data'!$O$3:$O$7,MATCH(G54,'G-7 WaterC'' Data'!$N$3:$N$7,0)),"")</f>
        <v/>
      </c>
      <c r="M54" s="53"/>
      <c r="N54" s="137"/>
      <c r="O54" s="289" t="str">
        <f t="shared" si="0"/>
        <v/>
      </c>
      <c r="P54" s="302" t="str">
        <f t="shared" si="1"/>
        <v/>
      </c>
      <c r="Q54" s="340" t="str">
        <f>IFERROR(IF(P54="Check Data ⚠","Check Data ⚠",VLOOKUP(P54,'G-4 Temporal multipliers'!$A$4:$C$37,3,FALSE)),"")</f>
        <v/>
      </c>
      <c r="R54" s="281" t="str">
        <f>IF(C54="","",VLOOKUP(C54,'G-7 WaterC'' Data'!$B$4:$G$8,4,FALSE))</f>
        <v/>
      </c>
      <c r="S54" s="289" t="str">
        <f t="shared" si="2"/>
        <v/>
      </c>
      <c r="T54" s="320" t="str">
        <f t="shared" si="3"/>
        <v/>
      </c>
      <c r="U54" s="282" t="str">
        <f>IF(C54="","",VLOOKUP(T54,'G-3 Multipliers'!$P$2:$Q$6,2,FALSE))</f>
        <v/>
      </c>
      <c r="V54" s="106"/>
      <c r="W54" s="282" t="str">
        <f>IF(V54="","",IF(AND(V54="N/A - Culvert",C54&lt;&gt;"Culvert"),"Not possible ▲",IF(AND(C54="Culvert",V54&lt;&gt;"N/A - Culvert"),"Not possible ▲",IF(VLOOKUP(V54,'G-7 WaterC'' Data'!$AA$4:$AB$7,2,FALSE)=0,"Spatial Data Missing ⚠",VLOOKUP(V54,'G-7 WaterC'' Data'!$AA$4:$AB$7,2,FALSE)))))</f>
        <v/>
      </c>
      <c r="X54" s="56"/>
      <c r="Y54" s="282" t="str">
        <f>IF(X54="","",IF(AND(X54="N/A - Culvert", C54&lt;&gt;"Culvert"), "Not possible ▲",IF(AND(C54="Culvert",X54&lt;&gt;"N/A - Culvert"),"Not possible ▲",IF(VLOOKUP(X54,'G-7 WaterC'' Data'!$AD$4:$AE$14,2,FALSE)=0,"Enrcoachment Data Missing ⚠",VLOOKUP(X54,'G-7 WaterC'' Data'!$AD$4:$AE$14,2,FALSE)))))</f>
        <v/>
      </c>
      <c r="Z54" s="106"/>
      <c r="AA54" s="282" t="str">
        <f>IF(Z54="","",IF(VLOOKUP(Z54,'G-7 WaterC'' Data'!$AO$4:$BO$7,2,FALSE)=0,"Spatial Data Missing ⚠",VLOOKUP(Z54,'G-7 WaterC'' Data'!$AO$4:$BO$7,2,FALSE)))</f>
        <v/>
      </c>
      <c r="AB54" s="323" t="str">
        <f t="shared" si="4"/>
        <v/>
      </c>
      <c r="AC54" s="323" t="str">
        <f t="shared" si="5"/>
        <v/>
      </c>
      <c r="AD54" s="105"/>
      <c r="AE54" s="968"/>
      <c r="AF54" s="142"/>
      <c r="AG54" s="142"/>
      <c r="AH54" s="964"/>
      <c r="AL54" s="30" t="str">
        <f>IFERROR(INDEX('G-7 WaterC'' Data'!$AZ$3:$AZ$7,MATCH(C54,'G-7 WaterC'' Data'!$AY$3:$AY$7,0)),"")</f>
        <v/>
      </c>
      <c r="AN54" s="30" t="str">
        <f t="shared" si="6"/>
        <v>No</v>
      </c>
    </row>
    <row r="55" spans="2:40" ht="13.8" x14ac:dyDescent="0.25">
      <c r="B55" s="101">
        <v>44</v>
      </c>
      <c r="C55" s="953"/>
      <c r="D55" s="119"/>
      <c r="E55" s="281" t="str">
        <f>IF(C55="","",VLOOKUP(C55,'G-7 WaterC'' Data'!$B$2:$Z$9,2,FALSE))</f>
        <v/>
      </c>
      <c r="F55" s="282" t="str">
        <f>IFERROR(VLOOKUP(E55,'G-7 WaterC'' Data'!$C$4:$D$8,2,FALSE),"")</f>
        <v/>
      </c>
      <c r="G55" s="52"/>
      <c r="H55" s="282" t="str">
        <f>IFERROR(INDEX('G-7 WaterC'' Data'!$H$4:$L$8,MATCH(C55,'G-7 WaterC'' Data'!$B$4:$B$8,0),MATCH(G55,'G-7 WaterC'' Data'!$H$3:$L$3,0)),"")</f>
        <v/>
      </c>
      <c r="I55" s="52"/>
      <c r="J55" s="320" t="str">
        <f>IF(I55="","",IF(VLOOKUP(I55,'G-7 WaterC'' Data'!$AK$4:$AM$6,2,FALSE)=0,"Spatial Data Missing ⚠",VLOOKUP(I55,'G-7 WaterC'' Data'!$AK$4:$AM$6,2,FALSE)))</f>
        <v/>
      </c>
      <c r="K55" s="282" t="str">
        <f>IF(I55="","",IF(VLOOKUP(I55,'G-7 WaterC'' Data'!$AK$4:$AM$6,3,FALSE)=0,"Spatial Data Missing ⚠",VLOOKUP(I55,'G-7 WaterC'' Data'!$AK$4:$AM$6,3,FALSE)))</f>
        <v/>
      </c>
      <c r="L55" s="382" t="str">
        <f>IFERROR(INDEX('G-7 WaterC'' Data'!$O$3:$O$7,MATCH(G55,'G-7 WaterC'' Data'!$N$3:$N$7,0)),"")</f>
        <v/>
      </c>
      <c r="M55" s="53"/>
      <c r="N55" s="137"/>
      <c r="O55" s="289" t="str">
        <f t="shared" si="0"/>
        <v/>
      </c>
      <c r="P55" s="302" t="str">
        <f t="shared" si="1"/>
        <v/>
      </c>
      <c r="Q55" s="340" t="str">
        <f>IFERROR(IF(P55="Check Data ⚠","Check Data ⚠",VLOOKUP(P55,'G-4 Temporal multipliers'!$A$4:$C$37,3,FALSE)),"")</f>
        <v/>
      </c>
      <c r="R55" s="281" t="str">
        <f>IF(C55="","",VLOOKUP(C55,'G-7 WaterC'' Data'!$B$4:$G$8,4,FALSE))</f>
        <v/>
      </c>
      <c r="S55" s="289" t="str">
        <f t="shared" si="2"/>
        <v/>
      </c>
      <c r="T55" s="320" t="str">
        <f t="shared" si="3"/>
        <v/>
      </c>
      <c r="U55" s="282" t="str">
        <f>IF(C55="","",VLOOKUP(T55,'G-3 Multipliers'!$P$2:$Q$6,2,FALSE))</f>
        <v/>
      </c>
      <c r="V55" s="106"/>
      <c r="W55" s="282" t="str">
        <f>IF(V55="","",IF(AND(V55="N/A - Culvert",C55&lt;&gt;"Culvert"),"Not possible ▲",IF(AND(C55="Culvert",V55&lt;&gt;"N/A - Culvert"),"Not possible ▲",IF(VLOOKUP(V55,'G-7 WaterC'' Data'!$AA$4:$AB$7,2,FALSE)=0,"Spatial Data Missing ⚠",VLOOKUP(V55,'G-7 WaterC'' Data'!$AA$4:$AB$7,2,FALSE)))))</f>
        <v/>
      </c>
      <c r="X55" s="56"/>
      <c r="Y55" s="282" t="str">
        <f>IF(X55="","",IF(AND(X55="N/A - Culvert", C55&lt;&gt;"Culvert"), "Not possible ▲",IF(AND(C55="Culvert",X55&lt;&gt;"N/A - Culvert"),"Not possible ▲",IF(VLOOKUP(X55,'G-7 WaterC'' Data'!$AD$4:$AE$14,2,FALSE)=0,"Enrcoachment Data Missing ⚠",VLOOKUP(X55,'G-7 WaterC'' Data'!$AD$4:$AE$14,2,FALSE)))))</f>
        <v/>
      </c>
      <c r="Z55" s="106"/>
      <c r="AA55" s="282" t="str">
        <f>IF(Z55="","",IF(VLOOKUP(Z55,'G-7 WaterC'' Data'!$AO$4:$BO$7,2,FALSE)=0,"Spatial Data Missing ⚠",VLOOKUP(Z55,'G-7 WaterC'' Data'!$AO$4:$BO$7,2,FALSE)))</f>
        <v/>
      </c>
      <c r="AB55" s="323" t="str">
        <f t="shared" si="4"/>
        <v/>
      </c>
      <c r="AC55" s="323" t="str">
        <f t="shared" si="5"/>
        <v/>
      </c>
      <c r="AD55" s="105"/>
      <c r="AE55" s="968"/>
      <c r="AF55" s="142"/>
      <c r="AG55" s="142"/>
      <c r="AH55" s="964"/>
      <c r="AL55" s="30" t="str">
        <f>IFERROR(INDEX('G-7 WaterC'' Data'!$AZ$3:$AZ$7,MATCH(C55,'G-7 WaterC'' Data'!$AY$3:$AY$7,0)),"")</f>
        <v/>
      </c>
      <c r="AN55" s="30" t="str">
        <f t="shared" si="6"/>
        <v>No</v>
      </c>
    </row>
    <row r="56" spans="2:40" ht="13.8" x14ac:dyDescent="0.25">
      <c r="B56" s="101">
        <v>45</v>
      </c>
      <c r="C56" s="953"/>
      <c r="D56" s="119"/>
      <c r="E56" s="281" t="str">
        <f>IF(C56="","",VLOOKUP(C56,'G-7 WaterC'' Data'!$B$2:$Z$9,2,FALSE))</f>
        <v/>
      </c>
      <c r="F56" s="282" t="str">
        <f>IFERROR(VLOOKUP(E56,'G-7 WaterC'' Data'!$C$4:$D$8,2,FALSE),"")</f>
        <v/>
      </c>
      <c r="G56" s="52"/>
      <c r="H56" s="282" t="str">
        <f>IFERROR(INDEX('G-7 WaterC'' Data'!$H$4:$L$8,MATCH(C56,'G-7 WaterC'' Data'!$B$4:$B$8,0),MATCH(G56,'G-7 WaterC'' Data'!$H$3:$L$3,0)),"")</f>
        <v/>
      </c>
      <c r="I56" s="52"/>
      <c r="J56" s="320" t="str">
        <f>IF(I56="","",IF(VLOOKUP(I56,'G-7 WaterC'' Data'!$AK$4:$AM$6,2,FALSE)=0,"Spatial Data Missing ⚠",VLOOKUP(I56,'G-7 WaterC'' Data'!$AK$4:$AM$6,2,FALSE)))</f>
        <v/>
      </c>
      <c r="K56" s="282" t="str">
        <f>IF(I56="","",IF(VLOOKUP(I56,'G-7 WaterC'' Data'!$AK$4:$AM$6,3,FALSE)=0,"Spatial Data Missing ⚠",VLOOKUP(I56,'G-7 WaterC'' Data'!$AK$4:$AM$6,3,FALSE)))</f>
        <v/>
      </c>
      <c r="L56" s="382" t="str">
        <f>IFERROR(INDEX('G-7 WaterC'' Data'!$O$3:$O$7,MATCH(G56,'G-7 WaterC'' Data'!$N$3:$N$7,0)),"")</f>
        <v/>
      </c>
      <c r="M56" s="53"/>
      <c r="N56" s="137"/>
      <c r="O56" s="289" t="str">
        <f t="shared" si="0"/>
        <v/>
      </c>
      <c r="P56" s="302" t="str">
        <f t="shared" si="1"/>
        <v/>
      </c>
      <c r="Q56" s="340" t="str">
        <f>IFERROR(IF(P56="Check Data ⚠","Check Data ⚠",VLOOKUP(P56,'G-4 Temporal multipliers'!$A$4:$C$37,3,FALSE)),"")</f>
        <v/>
      </c>
      <c r="R56" s="281" t="str">
        <f>IF(C56="","",VLOOKUP(C56,'G-7 WaterC'' Data'!$B$4:$G$8,4,FALSE))</f>
        <v/>
      </c>
      <c r="S56" s="289" t="str">
        <f t="shared" si="2"/>
        <v/>
      </c>
      <c r="T56" s="320" t="str">
        <f t="shared" si="3"/>
        <v/>
      </c>
      <c r="U56" s="282" t="str">
        <f>IF(C56="","",VLOOKUP(T56,'G-3 Multipliers'!$P$2:$Q$6,2,FALSE))</f>
        <v/>
      </c>
      <c r="V56" s="106"/>
      <c r="W56" s="282" t="str">
        <f>IF(V56="","",IF(AND(V56="N/A - Culvert",C56&lt;&gt;"Culvert"),"Not possible ▲",IF(AND(C56="Culvert",V56&lt;&gt;"N/A - Culvert"),"Not possible ▲",IF(VLOOKUP(V56,'G-7 WaterC'' Data'!$AA$4:$AB$7,2,FALSE)=0,"Spatial Data Missing ⚠",VLOOKUP(V56,'G-7 WaterC'' Data'!$AA$4:$AB$7,2,FALSE)))))</f>
        <v/>
      </c>
      <c r="X56" s="56"/>
      <c r="Y56" s="282" t="str">
        <f>IF(X56="","",IF(AND(X56="N/A - Culvert", C56&lt;&gt;"Culvert"), "Not possible ▲",IF(AND(C56="Culvert",X56&lt;&gt;"N/A - Culvert"),"Not possible ▲",IF(VLOOKUP(X56,'G-7 WaterC'' Data'!$AD$4:$AE$14,2,FALSE)=0,"Enrcoachment Data Missing ⚠",VLOOKUP(X56,'G-7 WaterC'' Data'!$AD$4:$AE$14,2,FALSE)))))</f>
        <v/>
      </c>
      <c r="Z56" s="106"/>
      <c r="AA56" s="282" t="str">
        <f>IF(Z56="","",IF(VLOOKUP(Z56,'G-7 WaterC'' Data'!$AO$4:$BO$7,2,FALSE)=0,"Spatial Data Missing ⚠",VLOOKUP(Z56,'G-7 WaterC'' Data'!$AO$4:$BO$7,2,FALSE)))</f>
        <v/>
      </c>
      <c r="AB56" s="323" t="str">
        <f t="shared" si="4"/>
        <v/>
      </c>
      <c r="AC56" s="323" t="str">
        <f t="shared" si="5"/>
        <v/>
      </c>
      <c r="AD56" s="105"/>
      <c r="AE56" s="968"/>
      <c r="AF56" s="142"/>
      <c r="AG56" s="142"/>
      <c r="AH56" s="964"/>
      <c r="AL56" s="30" t="str">
        <f>IFERROR(INDEX('G-7 WaterC'' Data'!$AZ$3:$AZ$7,MATCH(C56,'G-7 WaterC'' Data'!$AY$3:$AY$7,0)),"")</f>
        <v/>
      </c>
      <c r="AN56" s="30" t="str">
        <f t="shared" si="6"/>
        <v>No</v>
      </c>
    </row>
    <row r="57" spans="2:40" ht="13.8" x14ac:dyDescent="0.25">
      <c r="B57" s="101">
        <v>46</v>
      </c>
      <c r="C57" s="953"/>
      <c r="D57" s="119"/>
      <c r="E57" s="281" t="str">
        <f>IF(C57="","",VLOOKUP(C57,'G-7 WaterC'' Data'!$B$2:$Z$9,2,FALSE))</f>
        <v/>
      </c>
      <c r="F57" s="282" t="str">
        <f>IFERROR(VLOOKUP(E57,'G-7 WaterC'' Data'!$C$4:$D$8,2,FALSE),"")</f>
        <v/>
      </c>
      <c r="G57" s="52"/>
      <c r="H57" s="282" t="str">
        <f>IFERROR(INDEX('G-7 WaterC'' Data'!$H$4:$L$8,MATCH(C57,'G-7 WaterC'' Data'!$B$4:$B$8,0),MATCH(G57,'G-7 WaterC'' Data'!$H$3:$L$3,0)),"")</f>
        <v/>
      </c>
      <c r="I57" s="52"/>
      <c r="J57" s="320" t="str">
        <f>IF(I57="","",IF(VLOOKUP(I57,'G-7 WaterC'' Data'!$AK$4:$AM$6,2,FALSE)=0,"Spatial Data Missing ⚠",VLOOKUP(I57,'G-7 WaterC'' Data'!$AK$4:$AM$6,2,FALSE)))</f>
        <v/>
      </c>
      <c r="K57" s="282" t="str">
        <f>IF(I57="","",IF(VLOOKUP(I57,'G-7 WaterC'' Data'!$AK$4:$AM$6,3,FALSE)=0,"Spatial Data Missing ⚠",VLOOKUP(I57,'G-7 WaterC'' Data'!$AK$4:$AM$6,3,FALSE)))</f>
        <v/>
      </c>
      <c r="L57" s="382" t="str">
        <f>IFERROR(INDEX('G-7 WaterC'' Data'!$O$3:$O$7,MATCH(G57,'G-7 WaterC'' Data'!$N$3:$N$7,0)),"")</f>
        <v/>
      </c>
      <c r="M57" s="53"/>
      <c r="N57" s="137"/>
      <c r="O57" s="289" t="str">
        <f t="shared" si="0"/>
        <v/>
      </c>
      <c r="P57" s="302" t="str">
        <f t="shared" si="1"/>
        <v/>
      </c>
      <c r="Q57" s="340" t="str">
        <f>IFERROR(IF(P57="Check Data ⚠","Check Data ⚠",VLOOKUP(P57,'G-4 Temporal multipliers'!$A$4:$C$37,3,FALSE)),"")</f>
        <v/>
      </c>
      <c r="R57" s="281" t="str">
        <f>IF(C57="","",VLOOKUP(C57,'G-7 WaterC'' Data'!$B$4:$G$8,4,FALSE))</f>
        <v/>
      </c>
      <c r="S57" s="289" t="str">
        <f t="shared" si="2"/>
        <v/>
      </c>
      <c r="T57" s="320" t="str">
        <f t="shared" si="3"/>
        <v/>
      </c>
      <c r="U57" s="282" t="str">
        <f>IF(C57="","",VLOOKUP(T57,'G-3 Multipliers'!$P$2:$Q$6,2,FALSE))</f>
        <v/>
      </c>
      <c r="V57" s="106"/>
      <c r="W57" s="282" t="str">
        <f>IF(V57="","",IF(AND(V57="N/A - Culvert",C57&lt;&gt;"Culvert"),"Not possible ▲",IF(AND(C57="Culvert",V57&lt;&gt;"N/A - Culvert"),"Not possible ▲",IF(VLOOKUP(V57,'G-7 WaterC'' Data'!$AA$4:$AB$7,2,FALSE)=0,"Spatial Data Missing ⚠",VLOOKUP(V57,'G-7 WaterC'' Data'!$AA$4:$AB$7,2,FALSE)))))</f>
        <v/>
      </c>
      <c r="X57" s="56"/>
      <c r="Y57" s="282" t="str">
        <f>IF(X57="","",IF(AND(X57="N/A - Culvert", C57&lt;&gt;"Culvert"), "Not possible ▲",IF(AND(C57="Culvert",X57&lt;&gt;"N/A - Culvert"),"Not possible ▲",IF(VLOOKUP(X57,'G-7 WaterC'' Data'!$AD$4:$AE$14,2,FALSE)=0,"Enrcoachment Data Missing ⚠",VLOOKUP(X57,'G-7 WaterC'' Data'!$AD$4:$AE$14,2,FALSE)))))</f>
        <v/>
      </c>
      <c r="Z57" s="106"/>
      <c r="AA57" s="282" t="str">
        <f>IF(Z57="","",IF(VLOOKUP(Z57,'G-7 WaterC'' Data'!$AO$4:$BO$7,2,FALSE)=0,"Spatial Data Missing ⚠",VLOOKUP(Z57,'G-7 WaterC'' Data'!$AO$4:$BO$7,2,FALSE)))</f>
        <v/>
      </c>
      <c r="AB57" s="323" t="str">
        <f t="shared" si="4"/>
        <v/>
      </c>
      <c r="AC57" s="323" t="str">
        <f t="shared" si="5"/>
        <v/>
      </c>
      <c r="AD57" s="105"/>
      <c r="AE57" s="968"/>
      <c r="AF57" s="142"/>
      <c r="AG57" s="142"/>
      <c r="AH57" s="964"/>
      <c r="AL57" s="30" t="str">
        <f>IFERROR(INDEX('G-7 WaterC'' Data'!$AZ$3:$AZ$7,MATCH(C57,'G-7 WaterC'' Data'!$AY$3:$AY$7,0)),"")</f>
        <v/>
      </c>
      <c r="AN57" s="30" t="str">
        <f t="shared" si="6"/>
        <v>No</v>
      </c>
    </row>
    <row r="58" spans="2:40" ht="13.8" x14ac:dyDescent="0.25">
      <c r="B58" s="101">
        <v>47</v>
      </c>
      <c r="C58" s="953"/>
      <c r="D58" s="119"/>
      <c r="E58" s="281" t="str">
        <f>IF(C58="","",VLOOKUP(C58,'G-7 WaterC'' Data'!$B$2:$Z$9,2,FALSE))</f>
        <v/>
      </c>
      <c r="F58" s="282" t="str">
        <f>IFERROR(VLOOKUP(E58,'G-7 WaterC'' Data'!$C$4:$D$8,2,FALSE),"")</f>
        <v/>
      </c>
      <c r="G58" s="52"/>
      <c r="H58" s="282" t="str">
        <f>IFERROR(INDEX('G-7 WaterC'' Data'!$H$4:$L$8,MATCH(C58,'G-7 WaterC'' Data'!$B$4:$B$8,0),MATCH(G58,'G-7 WaterC'' Data'!$H$3:$L$3,0)),"")</f>
        <v/>
      </c>
      <c r="I58" s="52"/>
      <c r="J58" s="320" t="str">
        <f>IF(I58="","",IF(VLOOKUP(I58,'G-7 WaterC'' Data'!$AK$4:$AM$6,2,FALSE)=0,"Spatial Data Missing ⚠",VLOOKUP(I58,'G-7 WaterC'' Data'!$AK$4:$AM$6,2,FALSE)))</f>
        <v/>
      </c>
      <c r="K58" s="282" t="str">
        <f>IF(I58="","",IF(VLOOKUP(I58,'G-7 WaterC'' Data'!$AK$4:$AM$6,3,FALSE)=0,"Spatial Data Missing ⚠",VLOOKUP(I58,'G-7 WaterC'' Data'!$AK$4:$AM$6,3,FALSE)))</f>
        <v/>
      </c>
      <c r="L58" s="382" t="str">
        <f>IFERROR(INDEX('G-7 WaterC'' Data'!$O$3:$O$7,MATCH(G58,'G-7 WaterC'' Data'!$N$3:$N$7,0)),"")</f>
        <v/>
      </c>
      <c r="M58" s="53"/>
      <c r="N58" s="137"/>
      <c r="O58" s="289" t="str">
        <f t="shared" si="0"/>
        <v/>
      </c>
      <c r="P58" s="302" t="str">
        <f t="shared" si="1"/>
        <v/>
      </c>
      <c r="Q58" s="340" t="str">
        <f>IFERROR(IF(P58="Check Data ⚠","Check Data ⚠",VLOOKUP(P58,'G-4 Temporal multipliers'!$A$4:$C$37,3,FALSE)),"")</f>
        <v/>
      </c>
      <c r="R58" s="281" t="str">
        <f>IF(C58="","",VLOOKUP(C58,'G-7 WaterC'' Data'!$B$4:$G$8,4,FALSE))</f>
        <v/>
      </c>
      <c r="S58" s="289" t="str">
        <f t="shared" si="2"/>
        <v/>
      </c>
      <c r="T58" s="320" t="str">
        <f t="shared" si="3"/>
        <v/>
      </c>
      <c r="U58" s="282" t="str">
        <f>IF(C58="","",VLOOKUP(T58,'G-3 Multipliers'!$P$2:$Q$6,2,FALSE))</f>
        <v/>
      </c>
      <c r="V58" s="106"/>
      <c r="W58" s="282" t="str">
        <f>IF(V58="","",IF(AND(V58="N/A - Culvert",C58&lt;&gt;"Culvert"),"Not possible ▲",IF(AND(C58="Culvert",V58&lt;&gt;"N/A - Culvert"),"Not possible ▲",IF(VLOOKUP(V58,'G-7 WaterC'' Data'!$AA$4:$AB$7,2,FALSE)=0,"Spatial Data Missing ⚠",VLOOKUP(V58,'G-7 WaterC'' Data'!$AA$4:$AB$7,2,FALSE)))))</f>
        <v/>
      </c>
      <c r="X58" s="56"/>
      <c r="Y58" s="282" t="str">
        <f>IF(X58="","",IF(AND(X58="N/A - Culvert", C58&lt;&gt;"Culvert"), "Not possible ▲",IF(AND(C58="Culvert",X58&lt;&gt;"N/A - Culvert"),"Not possible ▲",IF(VLOOKUP(X58,'G-7 WaterC'' Data'!$AD$4:$AE$14,2,FALSE)=0,"Enrcoachment Data Missing ⚠",VLOOKUP(X58,'G-7 WaterC'' Data'!$AD$4:$AE$14,2,FALSE)))))</f>
        <v/>
      </c>
      <c r="Z58" s="106"/>
      <c r="AA58" s="282" t="str">
        <f>IF(Z58="","",IF(VLOOKUP(Z58,'G-7 WaterC'' Data'!$AO$4:$BO$7,2,FALSE)=0,"Spatial Data Missing ⚠",VLOOKUP(Z58,'G-7 WaterC'' Data'!$AO$4:$BO$7,2,FALSE)))</f>
        <v/>
      </c>
      <c r="AB58" s="323" t="str">
        <f t="shared" si="4"/>
        <v/>
      </c>
      <c r="AC58" s="323" t="str">
        <f t="shared" si="5"/>
        <v/>
      </c>
      <c r="AD58" s="105"/>
      <c r="AE58" s="968"/>
      <c r="AF58" s="142"/>
      <c r="AG58" s="142"/>
      <c r="AH58" s="964"/>
      <c r="AL58" s="30" t="str">
        <f>IFERROR(INDEX('G-7 WaterC'' Data'!$AZ$3:$AZ$7,MATCH(C58,'G-7 WaterC'' Data'!$AY$3:$AY$7,0)),"")</f>
        <v/>
      </c>
      <c r="AN58" s="30" t="str">
        <f t="shared" si="6"/>
        <v>No</v>
      </c>
    </row>
    <row r="59" spans="2:40" ht="13.8" x14ac:dyDescent="0.25">
      <c r="B59" s="101">
        <v>48</v>
      </c>
      <c r="C59" s="953"/>
      <c r="D59" s="119"/>
      <c r="E59" s="281" t="str">
        <f>IF(C59="","",VLOOKUP(C59,'G-7 WaterC'' Data'!$B$2:$Z$9,2,FALSE))</f>
        <v/>
      </c>
      <c r="F59" s="282" t="str">
        <f>IFERROR(VLOOKUP(E59,'G-7 WaterC'' Data'!$C$4:$D$8,2,FALSE),"")</f>
        <v/>
      </c>
      <c r="G59" s="52"/>
      <c r="H59" s="282" t="str">
        <f>IFERROR(INDEX('G-7 WaterC'' Data'!$H$4:$L$8,MATCH(C59,'G-7 WaterC'' Data'!$B$4:$B$8,0),MATCH(G59,'G-7 WaterC'' Data'!$H$3:$L$3,0)),"")</f>
        <v/>
      </c>
      <c r="I59" s="52"/>
      <c r="J59" s="320" t="str">
        <f>IF(I59="","",IF(VLOOKUP(I59,'G-7 WaterC'' Data'!$AK$4:$AM$6,2,FALSE)=0,"Spatial Data Missing ⚠",VLOOKUP(I59,'G-7 WaterC'' Data'!$AK$4:$AM$6,2,FALSE)))</f>
        <v/>
      </c>
      <c r="K59" s="282" t="str">
        <f>IF(I59="","",IF(VLOOKUP(I59,'G-7 WaterC'' Data'!$AK$4:$AM$6,3,FALSE)=0,"Spatial Data Missing ⚠",VLOOKUP(I59,'G-7 WaterC'' Data'!$AK$4:$AM$6,3,FALSE)))</f>
        <v/>
      </c>
      <c r="L59" s="382" t="str">
        <f>IFERROR(INDEX('G-7 WaterC'' Data'!$O$3:$O$7,MATCH(G59,'G-7 WaterC'' Data'!$N$3:$N$7,0)),"")</f>
        <v/>
      </c>
      <c r="M59" s="53"/>
      <c r="N59" s="137"/>
      <c r="O59" s="289" t="str">
        <f t="shared" si="0"/>
        <v/>
      </c>
      <c r="P59" s="302" t="str">
        <f t="shared" si="1"/>
        <v/>
      </c>
      <c r="Q59" s="340" t="str">
        <f>IFERROR(IF(P59="Check Data ⚠","Check Data ⚠",VLOOKUP(P59,'G-4 Temporal multipliers'!$A$4:$C$37,3,FALSE)),"")</f>
        <v/>
      </c>
      <c r="R59" s="281" t="str">
        <f>IF(C59="","",VLOOKUP(C59,'G-7 WaterC'' Data'!$B$4:$G$8,4,FALSE))</f>
        <v/>
      </c>
      <c r="S59" s="289" t="str">
        <f t="shared" si="2"/>
        <v/>
      </c>
      <c r="T59" s="320" t="str">
        <f t="shared" si="3"/>
        <v/>
      </c>
      <c r="U59" s="282" t="str">
        <f>IF(C59="","",VLOOKUP(T59,'G-3 Multipliers'!$P$2:$Q$6,2,FALSE))</f>
        <v/>
      </c>
      <c r="V59" s="106"/>
      <c r="W59" s="282" t="str">
        <f>IF(V59="","",IF(AND(V59="N/A - Culvert",C59&lt;&gt;"Culvert"),"Not possible ▲",IF(AND(C59="Culvert",V59&lt;&gt;"N/A - Culvert"),"Not possible ▲",IF(VLOOKUP(V59,'G-7 WaterC'' Data'!$AA$4:$AB$7,2,FALSE)=0,"Spatial Data Missing ⚠",VLOOKUP(V59,'G-7 WaterC'' Data'!$AA$4:$AB$7,2,FALSE)))))</f>
        <v/>
      </c>
      <c r="X59" s="56"/>
      <c r="Y59" s="282" t="str">
        <f>IF(X59="","",IF(AND(X59="N/A - Culvert", C59&lt;&gt;"Culvert"), "Not possible ▲",IF(AND(C59="Culvert",X59&lt;&gt;"N/A - Culvert"),"Not possible ▲",IF(VLOOKUP(X59,'G-7 WaterC'' Data'!$AD$4:$AE$14,2,FALSE)=0,"Enrcoachment Data Missing ⚠",VLOOKUP(X59,'G-7 WaterC'' Data'!$AD$4:$AE$14,2,FALSE)))))</f>
        <v/>
      </c>
      <c r="Z59" s="106"/>
      <c r="AA59" s="282" t="str">
        <f>IF(Z59="","",IF(VLOOKUP(Z59,'G-7 WaterC'' Data'!$AO$4:$BO$7,2,FALSE)=0,"Spatial Data Missing ⚠",VLOOKUP(Z59,'G-7 WaterC'' Data'!$AO$4:$BO$7,2,FALSE)))</f>
        <v/>
      </c>
      <c r="AB59" s="323" t="str">
        <f t="shared" si="4"/>
        <v/>
      </c>
      <c r="AC59" s="323" t="str">
        <f t="shared" si="5"/>
        <v/>
      </c>
      <c r="AD59" s="105"/>
      <c r="AE59" s="968"/>
      <c r="AF59" s="142"/>
      <c r="AG59" s="142"/>
      <c r="AH59" s="964"/>
      <c r="AL59" s="30" t="str">
        <f>IFERROR(INDEX('G-7 WaterC'' Data'!$AZ$3:$AZ$7,MATCH(C59,'G-7 WaterC'' Data'!$AY$3:$AY$7,0)),"")</f>
        <v/>
      </c>
      <c r="AN59" s="30" t="str">
        <f t="shared" si="6"/>
        <v>No</v>
      </c>
    </row>
    <row r="60" spans="2:40" ht="13.8" x14ac:dyDescent="0.25">
      <c r="B60" s="101">
        <v>49</v>
      </c>
      <c r="C60" s="953"/>
      <c r="D60" s="119"/>
      <c r="E60" s="281" t="str">
        <f>IF(C60="","",VLOOKUP(C60,'G-7 WaterC'' Data'!$B$2:$Z$9,2,FALSE))</f>
        <v/>
      </c>
      <c r="F60" s="282" t="str">
        <f>IFERROR(VLOOKUP(E60,'G-7 WaterC'' Data'!$C$4:$D$8,2,FALSE),"")</f>
        <v/>
      </c>
      <c r="G60" s="52"/>
      <c r="H60" s="282" t="str">
        <f>IFERROR(INDEX('G-7 WaterC'' Data'!$H$4:$L$8,MATCH(C60,'G-7 WaterC'' Data'!$B$4:$B$8,0),MATCH(G60,'G-7 WaterC'' Data'!$H$3:$L$3,0)),"")</f>
        <v/>
      </c>
      <c r="I60" s="52"/>
      <c r="J60" s="320" t="str">
        <f>IF(I60="","",IF(VLOOKUP(I60,'G-7 WaterC'' Data'!$AK$4:$AM$6,2,FALSE)=0,"Spatial Data Missing ⚠",VLOOKUP(I60,'G-7 WaterC'' Data'!$AK$4:$AM$6,2,FALSE)))</f>
        <v/>
      </c>
      <c r="K60" s="282" t="str">
        <f>IF(I60="","",IF(VLOOKUP(I60,'G-7 WaterC'' Data'!$AK$4:$AM$6,3,FALSE)=0,"Spatial Data Missing ⚠",VLOOKUP(I60,'G-7 WaterC'' Data'!$AK$4:$AM$6,3,FALSE)))</f>
        <v/>
      </c>
      <c r="L60" s="382" t="str">
        <f>IFERROR(INDEX('G-7 WaterC'' Data'!$O$3:$O$7,MATCH(G60,'G-7 WaterC'' Data'!$N$3:$N$7,0)),"")</f>
        <v/>
      </c>
      <c r="M60" s="53"/>
      <c r="N60" s="137"/>
      <c r="O60" s="289" t="str">
        <f t="shared" si="0"/>
        <v/>
      </c>
      <c r="P60" s="302" t="str">
        <f t="shared" si="1"/>
        <v/>
      </c>
      <c r="Q60" s="340" t="str">
        <f>IFERROR(IF(P60="Check Data ⚠","Check Data ⚠",VLOOKUP(P60,'G-4 Temporal multipliers'!$A$4:$C$37,3,FALSE)),"")</f>
        <v/>
      </c>
      <c r="R60" s="281" t="str">
        <f>IF(C60="","",VLOOKUP(C60,'G-7 WaterC'' Data'!$B$4:$G$8,4,FALSE))</f>
        <v/>
      </c>
      <c r="S60" s="289" t="str">
        <f t="shared" si="2"/>
        <v/>
      </c>
      <c r="T60" s="320" t="str">
        <f t="shared" si="3"/>
        <v/>
      </c>
      <c r="U60" s="282" t="str">
        <f>IF(C60="","",VLOOKUP(T60,'G-3 Multipliers'!$P$2:$Q$6,2,FALSE))</f>
        <v/>
      </c>
      <c r="V60" s="106"/>
      <c r="W60" s="282" t="str">
        <f>IF(V60="","",IF(AND(V60="N/A - Culvert",C60&lt;&gt;"Culvert"),"Not possible ▲",IF(AND(C60="Culvert",V60&lt;&gt;"N/A - Culvert"),"Not possible ▲",IF(VLOOKUP(V60,'G-7 WaterC'' Data'!$AA$4:$AB$7,2,FALSE)=0,"Spatial Data Missing ⚠",VLOOKUP(V60,'G-7 WaterC'' Data'!$AA$4:$AB$7,2,FALSE)))))</f>
        <v/>
      </c>
      <c r="X60" s="56"/>
      <c r="Y60" s="282" t="str">
        <f>IF(X60="","",IF(AND(X60="N/A - Culvert", C60&lt;&gt;"Culvert"), "Not possible ▲",IF(AND(C60="Culvert",X60&lt;&gt;"N/A - Culvert"),"Not possible ▲",IF(VLOOKUP(X60,'G-7 WaterC'' Data'!$AD$4:$AE$14,2,FALSE)=0,"Enrcoachment Data Missing ⚠",VLOOKUP(X60,'G-7 WaterC'' Data'!$AD$4:$AE$14,2,FALSE)))))</f>
        <v/>
      </c>
      <c r="Z60" s="106"/>
      <c r="AA60" s="282" t="str">
        <f>IF(Z60="","",IF(VLOOKUP(Z60,'G-7 WaterC'' Data'!$AO$4:$BO$7,2,FALSE)=0,"Spatial Data Missing ⚠",VLOOKUP(Z60,'G-7 WaterC'' Data'!$AO$4:$BO$7,2,FALSE)))</f>
        <v/>
      </c>
      <c r="AB60" s="323" t="str">
        <f t="shared" si="4"/>
        <v/>
      </c>
      <c r="AC60" s="323" t="str">
        <f t="shared" si="5"/>
        <v/>
      </c>
      <c r="AD60" s="105"/>
      <c r="AE60" s="968"/>
      <c r="AF60" s="142"/>
      <c r="AG60" s="142"/>
      <c r="AH60" s="964"/>
      <c r="AL60" s="30" t="str">
        <f>IFERROR(INDEX('G-7 WaterC'' Data'!$AZ$3:$AZ$7,MATCH(C60,'G-7 WaterC'' Data'!$AY$3:$AY$7,0)),"")</f>
        <v/>
      </c>
      <c r="AN60" s="30" t="str">
        <f t="shared" si="6"/>
        <v>No</v>
      </c>
    </row>
    <row r="61" spans="2:40" ht="13.8" x14ac:dyDescent="0.25">
      <c r="B61" s="101">
        <v>50</v>
      </c>
      <c r="C61" s="953"/>
      <c r="D61" s="119"/>
      <c r="E61" s="281" t="str">
        <f>IF(C61="","",VLOOKUP(C61,'G-7 WaterC'' Data'!$B$2:$Z$9,2,FALSE))</f>
        <v/>
      </c>
      <c r="F61" s="282" t="str">
        <f>IFERROR(VLOOKUP(E61,'G-7 WaterC'' Data'!$C$4:$D$8,2,FALSE),"")</f>
        <v/>
      </c>
      <c r="G61" s="52"/>
      <c r="H61" s="282" t="str">
        <f>IFERROR(INDEX('G-7 WaterC'' Data'!$H$4:$L$8,MATCH(C61,'G-7 WaterC'' Data'!$B$4:$B$8,0),MATCH(G61,'G-7 WaterC'' Data'!$H$3:$L$3,0)),"")</f>
        <v/>
      </c>
      <c r="I61" s="52"/>
      <c r="J61" s="320" t="str">
        <f>IF(I61="","",IF(VLOOKUP(I61,'G-7 WaterC'' Data'!$AK$4:$AM$6,2,FALSE)=0,"Spatial Data Missing ⚠",VLOOKUP(I61,'G-7 WaterC'' Data'!$AK$4:$AM$6,2,FALSE)))</f>
        <v/>
      </c>
      <c r="K61" s="282" t="str">
        <f>IF(I61="","",IF(VLOOKUP(I61,'G-7 WaterC'' Data'!$AK$4:$AM$6,3,FALSE)=0,"Spatial Data Missing ⚠",VLOOKUP(I61,'G-7 WaterC'' Data'!$AK$4:$AM$6,3,FALSE)))</f>
        <v/>
      </c>
      <c r="L61" s="382" t="str">
        <f>IFERROR(INDEX('G-7 WaterC'' Data'!$O$3:$O$7,MATCH(G61,'G-7 WaterC'' Data'!$N$3:$N$7,0)),"")</f>
        <v/>
      </c>
      <c r="M61" s="53"/>
      <c r="N61" s="137"/>
      <c r="O61" s="289" t="str">
        <f t="shared" si="0"/>
        <v/>
      </c>
      <c r="P61" s="302" t="str">
        <f t="shared" si="1"/>
        <v/>
      </c>
      <c r="Q61" s="340" t="str">
        <f>IFERROR(IF(P61="Check Data ⚠","Check Data ⚠",VLOOKUP(P61,'G-4 Temporal multipliers'!$A$4:$C$37,3,FALSE)),"")</f>
        <v/>
      </c>
      <c r="R61" s="281" t="str">
        <f>IF(C61="","",VLOOKUP(C61,'G-7 WaterC'' Data'!$B$4:$G$8,4,FALSE))</f>
        <v/>
      </c>
      <c r="S61" s="289" t="str">
        <f t="shared" si="2"/>
        <v/>
      </c>
      <c r="T61" s="320" t="str">
        <f t="shared" si="3"/>
        <v/>
      </c>
      <c r="U61" s="282" t="str">
        <f>IF(C61="","",VLOOKUP(T61,'G-3 Multipliers'!$P$2:$Q$6,2,FALSE))</f>
        <v/>
      </c>
      <c r="V61" s="106"/>
      <c r="W61" s="282" t="str">
        <f>IF(V61="","",IF(AND(V61="N/A - Culvert",C61&lt;&gt;"Culvert"),"Not possible ▲",IF(AND(C61="Culvert",V61&lt;&gt;"N/A - Culvert"),"Not possible ▲",IF(VLOOKUP(V61,'G-7 WaterC'' Data'!$AA$4:$AB$7,2,FALSE)=0,"Spatial Data Missing ⚠",VLOOKUP(V61,'G-7 WaterC'' Data'!$AA$4:$AB$7,2,FALSE)))))</f>
        <v/>
      </c>
      <c r="X61" s="56"/>
      <c r="Y61" s="282" t="str">
        <f>IF(X61="","",IF(AND(X61="N/A - Culvert", C61&lt;&gt;"Culvert"), "Not possible ▲",IF(AND(C61="Culvert",X61&lt;&gt;"N/A - Culvert"),"Not possible ▲",IF(VLOOKUP(X61,'G-7 WaterC'' Data'!$AD$4:$AE$14,2,FALSE)=0,"Enrcoachment Data Missing ⚠",VLOOKUP(X61,'G-7 WaterC'' Data'!$AD$4:$AE$14,2,FALSE)))))</f>
        <v/>
      </c>
      <c r="Z61" s="106"/>
      <c r="AA61" s="282" t="str">
        <f>IF(Z61="","",IF(VLOOKUP(Z61,'G-7 WaterC'' Data'!$AO$4:$BO$7,2,FALSE)=0,"Spatial Data Missing ⚠",VLOOKUP(Z61,'G-7 WaterC'' Data'!$AO$4:$BO$7,2,FALSE)))</f>
        <v/>
      </c>
      <c r="AB61" s="323" t="str">
        <f t="shared" si="4"/>
        <v/>
      </c>
      <c r="AC61" s="323" t="str">
        <f t="shared" si="5"/>
        <v/>
      </c>
      <c r="AD61" s="105"/>
      <c r="AE61" s="968"/>
      <c r="AF61" s="142"/>
      <c r="AG61" s="142"/>
      <c r="AH61" s="964"/>
      <c r="AL61" s="30" t="str">
        <f>IFERROR(INDEX('G-7 WaterC'' Data'!$AZ$3:$AZ$7,MATCH(C61,'G-7 WaterC'' Data'!$AY$3:$AY$7,0)),"")</f>
        <v/>
      </c>
      <c r="AN61" s="30" t="str">
        <f t="shared" si="6"/>
        <v>No</v>
      </c>
    </row>
    <row r="62" spans="2:40" ht="13.8" x14ac:dyDescent="0.25">
      <c r="B62" s="101">
        <v>51</v>
      </c>
      <c r="C62" s="953"/>
      <c r="D62" s="119"/>
      <c r="E62" s="281" t="str">
        <f>IF(C62="","",VLOOKUP(C62,'G-7 WaterC'' Data'!$B$2:$Z$9,2,FALSE))</f>
        <v/>
      </c>
      <c r="F62" s="282" t="str">
        <f>IFERROR(VLOOKUP(E62,'G-7 WaterC'' Data'!$C$4:$D$8,2,FALSE),"")</f>
        <v/>
      </c>
      <c r="G62" s="52"/>
      <c r="H62" s="282" t="str">
        <f>IFERROR(INDEX('G-7 WaterC'' Data'!$H$4:$L$8,MATCH(C62,'G-7 WaterC'' Data'!$B$4:$B$8,0),MATCH(G62,'G-7 WaterC'' Data'!$H$3:$L$3,0)),"")</f>
        <v/>
      </c>
      <c r="I62" s="52"/>
      <c r="J62" s="320" t="str">
        <f>IF(I62="","",IF(VLOOKUP(I62,'G-7 WaterC'' Data'!$AK$4:$AM$6,2,FALSE)=0,"Spatial Data Missing ⚠",VLOOKUP(I62,'G-7 WaterC'' Data'!$AK$4:$AM$6,2,FALSE)))</f>
        <v/>
      </c>
      <c r="K62" s="282" t="str">
        <f>IF(I62="","",IF(VLOOKUP(I62,'G-7 WaterC'' Data'!$AK$4:$AM$6,3,FALSE)=0,"Spatial Data Missing ⚠",VLOOKUP(I62,'G-7 WaterC'' Data'!$AK$4:$AM$6,3,FALSE)))</f>
        <v/>
      </c>
      <c r="L62" s="382" t="str">
        <f>IFERROR(INDEX('G-7 WaterC'' Data'!$O$3:$O$7,MATCH(G62,'G-7 WaterC'' Data'!$N$3:$N$7,0)),"")</f>
        <v/>
      </c>
      <c r="M62" s="53"/>
      <c r="N62" s="137"/>
      <c r="O62" s="289" t="str">
        <f t="shared" si="0"/>
        <v/>
      </c>
      <c r="P62" s="302" t="str">
        <f t="shared" si="1"/>
        <v/>
      </c>
      <c r="Q62" s="340" t="str">
        <f>IFERROR(IF(P62="Check Data ⚠","Check Data ⚠",VLOOKUP(P62,'G-4 Temporal multipliers'!$A$4:$C$37,3,FALSE)),"")</f>
        <v/>
      </c>
      <c r="R62" s="281" t="str">
        <f>IF(C62="","",VLOOKUP(C62,'G-7 WaterC'' Data'!$B$4:$G$8,4,FALSE))</f>
        <v/>
      </c>
      <c r="S62" s="289" t="str">
        <f t="shared" si="2"/>
        <v/>
      </c>
      <c r="T62" s="320" t="str">
        <f t="shared" si="3"/>
        <v/>
      </c>
      <c r="U62" s="282" t="str">
        <f>IF(C62="","",VLOOKUP(T62,'G-3 Multipliers'!$P$2:$Q$6,2,FALSE))</f>
        <v/>
      </c>
      <c r="V62" s="106"/>
      <c r="W62" s="282" t="str">
        <f>IF(V62="","",IF(AND(V62="N/A - Culvert",C62&lt;&gt;"Culvert"),"Not possible ▲",IF(AND(C62="Culvert",V62&lt;&gt;"N/A - Culvert"),"Not possible ▲",IF(VLOOKUP(V62,'G-7 WaterC'' Data'!$AA$4:$AB$7,2,FALSE)=0,"Spatial Data Missing ⚠",VLOOKUP(V62,'G-7 WaterC'' Data'!$AA$4:$AB$7,2,FALSE)))))</f>
        <v/>
      </c>
      <c r="X62" s="56"/>
      <c r="Y62" s="282" t="str">
        <f>IF(X62="","",IF(AND(X62="N/A - Culvert", C62&lt;&gt;"Culvert"), "Not possible ▲",IF(AND(C62="Culvert",X62&lt;&gt;"N/A - Culvert"),"Not possible ▲",IF(VLOOKUP(X62,'G-7 WaterC'' Data'!$AD$4:$AE$14,2,FALSE)=0,"Enrcoachment Data Missing ⚠",VLOOKUP(X62,'G-7 WaterC'' Data'!$AD$4:$AE$14,2,FALSE)))))</f>
        <v/>
      </c>
      <c r="Z62" s="106"/>
      <c r="AA62" s="282" t="str">
        <f>IF(Z62="","",IF(VLOOKUP(Z62,'G-7 WaterC'' Data'!$AO$4:$BO$7,2,FALSE)=0,"Spatial Data Missing ⚠",VLOOKUP(Z62,'G-7 WaterC'' Data'!$AO$4:$BO$7,2,FALSE)))</f>
        <v/>
      </c>
      <c r="AB62" s="323" t="str">
        <f t="shared" si="4"/>
        <v/>
      </c>
      <c r="AC62" s="323" t="str">
        <f t="shared" si="5"/>
        <v/>
      </c>
      <c r="AD62" s="105"/>
      <c r="AE62" s="968"/>
      <c r="AF62" s="142"/>
      <c r="AG62" s="142"/>
      <c r="AH62" s="964"/>
      <c r="AL62" s="30" t="str">
        <f>IFERROR(INDEX('G-7 WaterC'' Data'!$AZ$3:$AZ$7,MATCH(C62,'G-7 WaterC'' Data'!$AY$3:$AY$7,0)),"")</f>
        <v/>
      </c>
      <c r="AN62" s="30" t="str">
        <f t="shared" si="6"/>
        <v>No</v>
      </c>
    </row>
    <row r="63" spans="2:40" ht="13.8" x14ac:dyDescent="0.25">
      <c r="B63" s="101">
        <v>52</v>
      </c>
      <c r="C63" s="953"/>
      <c r="D63" s="119"/>
      <c r="E63" s="281" t="str">
        <f>IF(C63="","",VLOOKUP(C63,'G-7 WaterC'' Data'!$B$2:$Z$9,2,FALSE))</f>
        <v/>
      </c>
      <c r="F63" s="282" t="str">
        <f>IFERROR(VLOOKUP(E63,'G-7 WaterC'' Data'!$C$4:$D$8,2,FALSE),"")</f>
        <v/>
      </c>
      <c r="G63" s="52"/>
      <c r="H63" s="282" t="str">
        <f>IFERROR(INDEX('G-7 WaterC'' Data'!$H$4:$L$8,MATCH(C63,'G-7 WaterC'' Data'!$B$4:$B$8,0),MATCH(G63,'G-7 WaterC'' Data'!$H$3:$L$3,0)),"")</f>
        <v/>
      </c>
      <c r="I63" s="52"/>
      <c r="J63" s="320" t="str">
        <f>IF(I63="","",IF(VLOOKUP(I63,'G-7 WaterC'' Data'!$AK$4:$AM$6,2,FALSE)=0,"Spatial Data Missing ⚠",VLOOKUP(I63,'G-7 WaterC'' Data'!$AK$4:$AM$6,2,FALSE)))</f>
        <v/>
      </c>
      <c r="K63" s="282" t="str">
        <f>IF(I63="","",IF(VLOOKUP(I63,'G-7 WaterC'' Data'!$AK$4:$AM$6,3,FALSE)=0,"Spatial Data Missing ⚠",VLOOKUP(I63,'G-7 WaterC'' Data'!$AK$4:$AM$6,3,FALSE)))</f>
        <v/>
      </c>
      <c r="L63" s="382" t="str">
        <f>IFERROR(INDEX('G-7 WaterC'' Data'!$O$3:$O$7,MATCH(G63,'G-7 WaterC'' Data'!$N$3:$N$7,0)),"")</f>
        <v/>
      </c>
      <c r="M63" s="53"/>
      <c r="N63" s="137"/>
      <c r="O63" s="289" t="str">
        <f t="shared" si="0"/>
        <v/>
      </c>
      <c r="P63" s="302" t="str">
        <f t="shared" si="1"/>
        <v/>
      </c>
      <c r="Q63" s="340" t="str">
        <f>IFERROR(IF(P63="Check Data ⚠","Check Data ⚠",VLOOKUP(P63,'G-4 Temporal multipliers'!$A$4:$C$37,3,FALSE)),"")</f>
        <v/>
      </c>
      <c r="R63" s="281" t="str">
        <f>IF(C63="","",VLOOKUP(C63,'G-7 WaterC'' Data'!$B$4:$G$8,4,FALSE))</f>
        <v/>
      </c>
      <c r="S63" s="289" t="str">
        <f t="shared" si="2"/>
        <v/>
      </c>
      <c r="T63" s="320" t="str">
        <f t="shared" si="3"/>
        <v/>
      </c>
      <c r="U63" s="282" t="str">
        <f>IF(C63="","",VLOOKUP(T63,'G-3 Multipliers'!$P$2:$Q$6,2,FALSE))</f>
        <v/>
      </c>
      <c r="V63" s="106"/>
      <c r="W63" s="282" t="str">
        <f>IF(V63="","",IF(AND(V63="N/A - Culvert",C63&lt;&gt;"Culvert"),"Not possible ▲",IF(AND(C63="Culvert",V63&lt;&gt;"N/A - Culvert"),"Not possible ▲",IF(VLOOKUP(V63,'G-7 WaterC'' Data'!$AA$4:$AB$7,2,FALSE)=0,"Spatial Data Missing ⚠",VLOOKUP(V63,'G-7 WaterC'' Data'!$AA$4:$AB$7,2,FALSE)))))</f>
        <v/>
      </c>
      <c r="X63" s="56"/>
      <c r="Y63" s="282" t="str">
        <f>IF(X63="","",IF(AND(X63="N/A - Culvert", C63&lt;&gt;"Culvert"), "Not possible ▲",IF(AND(C63="Culvert",X63&lt;&gt;"N/A - Culvert"),"Not possible ▲",IF(VLOOKUP(X63,'G-7 WaterC'' Data'!$AD$4:$AE$14,2,FALSE)=0,"Enrcoachment Data Missing ⚠",VLOOKUP(X63,'G-7 WaterC'' Data'!$AD$4:$AE$14,2,FALSE)))))</f>
        <v/>
      </c>
      <c r="Z63" s="106"/>
      <c r="AA63" s="282" t="str">
        <f>IF(Z63="","",IF(VLOOKUP(Z63,'G-7 WaterC'' Data'!$AO$4:$BO$7,2,FALSE)=0,"Spatial Data Missing ⚠",VLOOKUP(Z63,'G-7 WaterC'' Data'!$AO$4:$BO$7,2,FALSE)))</f>
        <v/>
      </c>
      <c r="AB63" s="323" t="str">
        <f t="shared" si="4"/>
        <v/>
      </c>
      <c r="AC63" s="323" t="str">
        <f t="shared" si="5"/>
        <v/>
      </c>
      <c r="AD63" s="105"/>
      <c r="AE63" s="968"/>
      <c r="AF63" s="142"/>
      <c r="AG63" s="142"/>
      <c r="AH63" s="964"/>
      <c r="AL63" s="30" t="str">
        <f>IFERROR(INDEX('G-7 WaterC'' Data'!$AZ$3:$AZ$7,MATCH(C63,'G-7 WaterC'' Data'!$AY$3:$AY$7,0)),"")</f>
        <v/>
      </c>
      <c r="AN63" s="30" t="str">
        <f t="shared" si="6"/>
        <v>No</v>
      </c>
    </row>
    <row r="64" spans="2:40" ht="13.8" x14ac:dyDescent="0.25">
      <c r="B64" s="101">
        <v>53</v>
      </c>
      <c r="C64" s="953"/>
      <c r="D64" s="119"/>
      <c r="E64" s="281" t="str">
        <f>IF(C64="","",VLOOKUP(C64,'G-7 WaterC'' Data'!$B$2:$Z$9,2,FALSE))</f>
        <v/>
      </c>
      <c r="F64" s="282" t="str">
        <f>IFERROR(VLOOKUP(E64,'G-7 WaterC'' Data'!$C$4:$D$8,2,FALSE),"")</f>
        <v/>
      </c>
      <c r="G64" s="52"/>
      <c r="H64" s="282" t="str">
        <f>IFERROR(INDEX('G-7 WaterC'' Data'!$H$4:$L$8,MATCH(C64,'G-7 WaterC'' Data'!$B$4:$B$8,0),MATCH(G64,'G-7 WaterC'' Data'!$H$3:$L$3,0)),"")</f>
        <v/>
      </c>
      <c r="I64" s="52"/>
      <c r="J64" s="320" t="str">
        <f>IF(I64="","",IF(VLOOKUP(I64,'G-7 WaterC'' Data'!$AK$4:$AM$6,2,FALSE)=0,"Spatial Data Missing ⚠",VLOOKUP(I64,'G-7 WaterC'' Data'!$AK$4:$AM$6,2,FALSE)))</f>
        <v/>
      </c>
      <c r="K64" s="282" t="str">
        <f>IF(I64="","",IF(VLOOKUP(I64,'G-7 WaterC'' Data'!$AK$4:$AM$6,3,FALSE)=0,"Spatial Data Missing ⚠",VLOOKUP(I64,'G-7 WaterC'' Data'!$AK$4:$AM$6,3,FALSE)))</f>
        <v/>
      </c>
      <c r="L64" s="382" t="str">
        <f>IFERROR(INDEX('G-7 WaterC'' Data'!$O$3:$O$7,MATCH(G64,'G-7 WaterC'' Data'!$N$3:$N$7,0)),"")</f>
        <v/>
      </c>
      <c r="M64" s="53"/>
      <c r="N64" s="137"/>
      <c r="O64" s="289" t="str">
        <f t="shared" si="0"/>
        <v/>
      </c>
      <c r="P64" s="302" t="str">
        <f t="shared" si="1"/>
        <v/>
      </c>
      <c r="Q64" s="340" t="str">
        <f>IFERROR(IF(P64="Check Data ⚠","Check Data ⚠",VLOOKUP(P64,'G-4 Temporal multipliers'!$A$4:$C$37,3,FALSE)),"")</f>
        <v/>
      </c>
      <c r="R64" s="281" t="str">
        <f>IF(C64="","",VLOOKUP(C64,'G-7 WaterC'' Data'!$B$4:$G$8,4,FALSE))</f>
        <v/>
      </c>
      <c r="S64" s="289" t="str">
        <f t="shared" si="2"/>
        <v/>
      </c>
      <c r="T64" s="320" t="str">
        <f t="shared" si="3"/>
        <v/>
      </c>
      <c r="U64" s="282" t="str">
        <f>IF(C64="","",VLOOKUP(T64,'G-3 Multipliers'!$P$2:$Q$6,2,FALSE))</f>
        <v/>
      </c>
      <c r="V64" s="106"/>
      <c r="W64" s="282" t="str">
        <f>IF(V64="","",IF(AND(V64="N/A - Culvert",C64&lt;&gt;"Culvert"),"Not possible ▲",IF(AND(C64="Culvert",V64&lt;&gt;"N/A - Culvert"),"Not possible ▲",IF(VLOOKUP(V64,'G-7 WaterC'' Data'!$AA$4:$AB$7,2,FALSE)=0,"Spatial Data Missing ⚠",VLOOKUP(V64,'G-7 WaterC'' Data'!$AA$4:$AB$7,2,FALSE)))))</f>
        <v/>
      </c>
      <c r="X64" s="56"/>
      <c r="Y64" s="282" t="str">
        <f>IF(X64="","",IF(AND(X64="N/A - Culvert", C64&lt;&gt;"Culvert"), "Not possible ▲",IF(AND(C64="Culvert",X64&lt;&gt;"N/A - Culvert"),"Not possible ▲",IF(VLOOKUP(X64,'G-7 WaterC'' Data'!$AD$4:$AE$14,2,FALSE)=0,"Enrcoachment Data Missing ⚠",VLOOKUP(X64,'G-7 WaterC'' Data'!$AD$4:$AE$14,2,FALSE)))))</f>
        <v/>
      </c>
      <c r="Z64" s="106"/>
      <c r="AA64" s="282" t="str">
        <f>IF(Z64="","",IF(VLOOKUP(Z64,'G-7 WaterC'' Data'!$AO$4:$BO$7,2,FALSE)=0,"Spatial Data Missing ⚠",VLOOKUP(Z64,'G-7 WaterC'' Data'!$AO$4:$BO$7,2,FALSE)))</f>
        <v/>
      </c>
      <c r="AB64" s="323" t="str">
        <f t="shared" si="4"/>
        <v/>
      </c>
      <c r="AC64" s="323" t="str">
        <f t="shared" si="5"/>
        <v/>
      </c>
      <c r="AD64" s="105"/>
      <c r="AE64" s="968"/>
      <c r="AF64" s="142"/>
      <c r="AG64" s="142"/>
      <c r="AH64" s="964"/>
      <c r="AL64" s="30" t="str">
        <f>IFERROR(INDEX('G-7 WaterC'' Data'!$AZ$3:$AZ$7,MATCH(C64,'G-7 WaterC'' Data'!$AY$3:$AY$7,0)),"")</f>
        <v/>
      </c>
      <c r="AN64" s="30" t="str">
        <f t="shared" si="6"/>
        <v>No</v>
      </c>
    </row>
    <row r="65" spans="2:40" ht="13.8" x14ac:dyDescent="0.25">
      <c r="B65" s="101">
        <v>54</v>
      </c>
      <c r="C65" s="953"/>
      <c r="D65" s="119"/>
      <c r="E65" s="281" t="str">
        <f>IF(C65="","",VLOOKUP(C65,'G-7 WaterC'' Data'!$B$2:$Z$9,2,FALSE))</f>
        <v/>
      </c>
      <c r="F65" s="282" t="str">
        <f>IFERROR(VLOOKUP(E65,'G-7 WaterC'' Data'!$C$4:$D$8,2,FALSE),"")</f>
        <v/>
      </c>
      <c r="G65" s="52"/>
      <c r="H65" s="282" t="str">
        <f>IFERROR(INDEX('G-7 WaterC'' Data'!$H$4:$L$8,MATCH(C65,'G-7 WaterC'' Data'!$B$4:$B$8,0),MATCH(G65,'G-7 WaterC'' Data'!$H$3:$L$3,0)),"")</f>
        <v/>
      </c>
      <c r="I65" s="52"/>
      <c r="J65" s="320" t="str">
        <f>IF(I65="","",IF(VLOOKUP(I65,'G-7 WaterC'' Data'!$AK$4:$AM$6,2,FALSE)=0,"Spatial Data Missing ⚠",VLOOKUP(I65,'G-7 WaterC'' Data'!$AK$4:$AM$6,2,FALSE)))</f>
        <v/>
      </c>
      <c r="K65" s="282" t="str">
        <f>IF(I65="","",IF(VLOOKUP(I65,'G-7 WaterC'' Data'!$AK$4:$AM$6,3,FALSE)=0,"Spatial Data Missing ⚠",VLOOKUP(I65,'G-7 WaterC'' Data'!$AK$4:$AM$6,3,FALSE)))</f>
        <v/>
      </c>
      <c r="L65" s="382" t="str">
        <f>IFERROR(INDEX('G-7 WaterC'' Data'!$O$3:$O$7,MATCH(G65,'G-7 WaterC'' Data'!$N$3:$N$7,0)),"")</f>
        <v/>
      </c>
      <c r="M65" s="53"/>
      <c r="N65" s="137"/>
      <c r="O65" s="289" t="str">
        <f t="shared" si="0"/>
        <v/>
      </c>
      <c r="P65" s="302" t="str">
        <f t="shared" si="1"/>
        <v/>
      </c>
      <c r="Q65" s="340" t="str">
        <f>IFERROR(IF(P65="Check Data ⚠","Check Data ⚠",VLOOKUP(P65,'G-4 Temporal multipliers'!$A$4:$C$37,3,FALSE)),"")</f>
        <v/>
      </c>
      <c r="R65" s="281" t="str">
        <f>IF(C65="","",VLOOKUP(C65,'G-7 WaterC'' Data'!$B$4:$G$8,4,FALSE))</f>
        <v/>
      </c>
      <c r="S65" s="289" t="str">
        <f t="shared" si="2"/>
        <v/>
      </c>
      <c r="T65" s="320" t="str">
        <f t="shared" si="3"/>
        <v/>
      </c>
      <c r="U65" s="282" t="str">
        <f>IF(C65="","",VLOOKUP(T65,'G-3 Multipliers'!$P$2:$Q$6,2,FALSE))</f>
        <v/>
      </c>
      <c r="V65" s="106"/>
      <c r="W65" s="282" t="str">
        <f>IF(V65="","",IF(AND(V65="N/A - Culvert",C65&lt;&gt;"Culvert"),"Not possible ▲",IF(AND(C65="Culvert",V65&lt;&gt;"N/A - Culvert"),"Not possible ▲",IF(VLOOKUP(V65,'G-7 WaterC'' Data'!$AA$4:$AB$7,2,FALSE)=0,"Spatial Data Missing ⚠",VLOOKUP(V65,'G-7 WaterC'' Data'!$AA$4:$AB$7,2,FALSE)))))</f>
        <v/>
      </c>
      <c r="X65" s="56"/>
      <c r="Y65" s="282" t="str">
        <f>IF(X65="","",IF(AND(X65="N/A - Culvert", C65&lt;&gt;"Culvert"), "Not possible ▲",IF(AND(C65="Culvert",X65&lt;&gt;"N/A - Culvert"),"Not possible ▲",IF(VLOOKUP(X65,'G-7 WaterC'' Data'!$AD$4:$AE$14,2,FALSE)=0,"Enrcoachment Data Missing ⚠",VLOOKUP(X65,'G-7 WaterC'' Data'!$AD$4:$AE$14,2,FALSE)))))</f>
        <v/>
      </c>
      <c r="Z65" s="106"/>
      <c r="AA65" s="282" t="str">
        <f>IF(Z65="","",IF(VLOOKUP(Z65,'G-7 WaterC'' Data'!$AO$4:$BO$7,2,FALSE)=0,"Spatial Data Missing ⚠",VLOOKUP(Z65,'G-7 WaterC'' Data'!$AO$4:$BO$7,2,FALSE)))</f>
        <v/>
      </c>
      <c r="AB65" s="323" t="str">
        <f t="shared" si="4"/>
        <v/>
      </c>
      <c r="AC65" s="323" t="str">
        <f t="shared" si="5"/>
        <v/>
      </c>
      <c r="AD65" s="105"/>
      <c r="AE65" s="968"/>
      <c r="AF65" s="142"/>
      <c r="AG65" s="142"/>
      <c r="AH65" s="964"/>
      <c r="AL65" s="30" t="str">
        <f>IFERROR(INDEX('G-7 WaterC'' Data'!$AZ$3:$AZ$7,MATCH(C65,'G-7 WaterC'' Data'!$AY$3:$AY$7,0)),"")</f>
        <v/>
      </c>
      <c r="AN65" s="30" t="str">
        <f t="shared" si="6"/>
        <v>No</v>
      </c>
    </row>
    <row r="66" spans="2:40" ht="13.8" x14ac:dyDescent="0.25">
      <c r="B66" s="101">
        <v>55</v>
      </c>
      <c r="C66" s="953"/>
      <c r="D66" s="119"/>
      <c r="E66" s="281" t="str">
        <f>IF(C66="","",VLOOKUP(C66,'G-7 WaterC'' Data'!$B$2:$Z$9,2,FALSE))</f>
        <v/>
      </c>
      <c r="F66" s="282" t="str">
        <f>IFERROR(VLOOKUP(E66,'G-7 WaterC'' Data'!$C$4:$D$8,2,FALSE),"")</f>
        <v/>
      </c>
      <c r="G66" s="52"/>
      <c r="H66" s="282" t="str">
        <f>IFERROR(INDEX('G-7 WaterC'' Data'!$H$4:$L$8,MATCH(C66,'G-7 WaterC'' Data'!$B$4:$B$8,0),MATCH(G66,'G-7 WaterC'' Data'!$H$3:$L$3,0)),"")</f>
        <v/>
      </c>
      <c r="I66" s="52"/>
      <c r="J66" s="320" t="str">
        <f>IF(I66="","",IF(VLOOKUP(I66,'G-7 WaterC'' Data'!$AK$4:$AM$6,2,FALSE)=0,"Spatial Data Missing ⚠",VLOOKUP(I66,'G-7 WaterC'' Data'!$AK$4:$AM$6,2,FALSE)))</f>
        <v/>
      </c>
      <c r="K66" s="282" t="str">
        <f>IF(I66="","",IF(VLOOKUP(I66,'G-7 WaterC'' Data'!$AK$4:$AM$6,3,FALSE)=0,"Spatial Data Missing ⚠",VLOOKUP(I66,'G-7 WaterC'' Data'!$AK$4:$AM$6,3,FALSE)))</f>
        <v/>
      </c>
      <c r="L66" s="382" t="str">
        <f>IFERROR(INDEX('G-7 WaterC'' Data'!$O$3:$O$7,MATCH(G66,'G-7 WaterC'' Data'!$N$3:$N$7,0)),"")</f>
        <v/>
      </c>
      <c r="M66" s="53"/>
      <c r="N66" s="137"/>
      <c r="O66" s="289" t="str">
        <f t="shared" si="0"/>
        <v/>
      </c>
      <c r="P66" s="302" t="str">
        <f t="shared" si="1"/>
        <v/>
      </c>
      <c r="Q66" s="340" t="str">
        <f>IFERROR(IF(P66="Check Data ⚠","Check Data ⚠",VLOOKUP(P66,'G-4 Temporal multipliers'!$A$4:$C$37,3,FALSE)),"")</f>
        <v/>
      </c>
      <c r="R66" s="281" t="str">
        <f>IF(C66="","",VLOOKUP(C66,'G-7 WaterC'' Data'!$B$4:$G$8,4,FALSE))</f>
        <v/>
      </c>
      <c r="S66" s="289" t="str">
        <f t="shared" si="2"/>
        <v/>
      </c>
      <c r="T66" s="320" t="str">
        <f t="shared" si="3"/>
        <v/>
      </c>
      <c r="U66" s="282" t="str">
        <f>IF(C66="","",VLOOKUP(T66,'G-3 Multipliers'!$P$2:$Q$6,2,FALSE))</f>
        <v/>
      </c>
      <c r="V66" s="106"/>
      <c r="W66" s="282" t="str">
        <f>IF(V66="","",IF(AND(V66="N/A - Culvert",C66&lt;&gt;"Culvert"),"Not possible ▲",IF(AND(C66="Culvert",V66&lt;&gt;"N/A - Culvert"),"Not possible ▲",IF(VLOOKUP(V66,'G-7 WaterC'' Data'!$AA$4:$AB$7,2,FALSE)=0,"Spatial Data Missing ⚠",VLOOKUP(V66,'G-7 WaterC'' Data'!$AA$4:$AB$7,2,FALSE)))))</f>
        <v/>
      </c>
      <c r="X66" s="56"/>
      <c r="Y66" s="282" t="str">
        <f>IF(X66="","",IF(AND(X66="N/A - Culvert", C66&lt;&gt;"Culvert"), "Not possible ▲",IF(AND(C66="Culvert",X66&lt;&gt;"N/A - Culvert"),"Not possible ▲",IF(VLOOKUP(X66,'G-7 WaterC'' Data'!$AD$4:$AE$14,2,FALSE)=0,"Enrcoachment Data Missing ⚠",VLOOKUP(X66,'G-7 WaterC'' Data'!$AD$4:$AE$14,2,FALSE)))))</f>
        <v/>
      </c>
      <c r="Z66" s="106"/>
      <c r="AA66" s="282" t="str">
        <f>IF(Z66="","",IF(VLOOKUP(Z66,'G-7 WaterC'' Data'!$AO$4:$BO$7,2,FALSE)=0,"Spatial Data Missing ⚠",VLOOKUP(Z66,'G-7 WaterC'' Data'!$AO$4:$BO$7,2,FALSE)))</f>
        <v/>
      </c>
      <c r="AB66" s="323" t="str">
        <f t="shared" si="4"/>
        <v/>
      </c>
      <c r="AC66" s="323" t="str">
        <f t="shared" si="5"/>
        <v/>
      </c>
      <c r="AD66" s="105"/>
      <c r="AE66" s="968"/>
      <c r="AF66" s="142"/>
      <c r="AG66" s="142"/>
      <c r="AH66" s="964"/>
      <c r="AL66" s="30" t="str">
        <f>IFERROR(INDEX('G-7 WaterC'' Data'!$AZ$3:$AZ$7,MATCH(C66,'G-7 WaterC'' Data'!$AY$3:$AY$7,0)),"")</f>
        <v/>
      </c>
      <c r="AN66" s="30" t="str">
        <f t="shared" si="6"/>
        <v>No</v>
      </c>
    </row>
    <row r="67" spans="2:40" ht="13.8" x14ac:dyDescent="0.25">
      <c r="B67" s="101">
        <v>56</v>
      </c>
      <c r="C67" s="953"/>
      <c r="D67" s="119"/>
      <c r="E67" s="281" t="str">
        <f>IF(C67="","",VLOOKUP(C67,'G-7 WaterC'' Data'!$B$2:$Z$9,2,FALSE))</f>
        <v/>
      </c>
      <c r="F67" s="282" t="str">
        <f>IFERROR(VLOOKUP(E67,'G-7 WaterC'' Data'!$C$4:$D$8,2,FALSE),"")</f>
        <v/>
      </c>
      <c r="G67" s="52"/>
      <c r="H67" s="282" t="str">
        <f>IFERROR(INDEX('G-7 WaterC'' Data'!$H$4:$L$8,MATCH(C67,'G-7 WaterC'' Data'!$B$4:$B$8,0),MATCH(G67,'G-7 WaterC'' Data'!$H$3:$L$3,0)),"")</f>
        <v/>
      </c>
      <c r="I67" s="52"/>
      <c r="J67" s="320" t="str">
        <f>IF(I67="","",IF(VLOOKUP(I67,'G-7 WaterC'' Data'!$AK$4:$AM$6,2,FALSE)=0,"Spatial Data Missing ⚠",VLOOKUP(I67,'G-7 WaterC'' Data'!$AK$4:$AM$6,2,FALSE)))</f>
        <v/>
      </c>
      <c r="K67" s="282" t="str">
        <f>IF(I67="","",IF(VLOOKUP(I67,'G-7 WaterC'' Data'!$AK$4:$AM$6,3,FALSE)=0,"Spatial Data Missing ⚠",VLOOKUP(I67,'G-7 WaterC'' Data'!$AK$4:$AM$6,3,FALSE)))</f>
        <v/>
      </c>
      <c r="L67" s="382" t="str">
        <f>IFERROR(INDEX('G-7 WaterC'' Data'!$O$3:$O$7,MATCH(G67,'G-7 WaterC'' Data'!$N$3:$N$7,0)),"")</f>
        <v/>
      </c>
      <c r="M67" s="53"/>
      <c r="N67" s="137"/>
      <c r="O67" s="289" t="str">
        <f t="shared" si="0"/>
        <v/>
      </c>
      <c r="P67" s="302" t="str">
        <f t="shared" si="1"/>
        <v/>
      </c>
      <c r="Q67" s="340" t="str">
        <f>IFERROR(IF(P67="Check Data ⚠","Check Data ⚠",VLOOKUP(P67,'G-4 Temporal multipliers'!$A$4:$C$37,3,FALSE)),"")</f>
        <v/>
      </c>
      <c r="R67" s="281" t="str">
        <f>IF(C67="","",VLOOKUP(C67,'G-7 WaterC'' Data'!$B$4:$G$8,4,FALSE))</f>
        <v/>
      </c>
      <c r="S67" s="289" t="str">
        <f t="shared" si="2"/>
        <v/>
      </c>
      <c r="T67" s="320" t="str">
        <f t="shared" si="3"/>
        <v/>
      </c>
      <c r="U67" s="282" t="str">
        <f>IF(C67="","",VLOOKUP(T67,'G-3 Multipliers'!$P$2:$Q$6,2,FALSE))</f>
        <v/>
      </c>
      <c r="V67" s="106"/>
      <c r="W67" s="282" t="str">
        <f>IF(V67="","",IF(AND(V67="N/A - Culvert",C67&lt;&gt;"Culvert"),"Not possible ▲",IF(AND(C67="Culvert",V67&lt;&gt;"N/A - Culvert"),"Not possible ▲",IF(VLOOKUP(V67,'G-7 WaterC'' Data'!$AA$4:$AB$7,2,FALSE)=0,"Spatial Data Missing ⚠",VLOOKUP(V67,'G-7 WaterC'' Data'!$AA$4:$AB$7,2,FALSE)))))</f>
        <v/>
      </c>
      <c r="X67" s="56"/>
      <c r="Y67" s="282" t="str">
        <f>IF(X67="","",IF(AND(X67="N/A - Culvert", C67&lt;&gt;"Culvert"), "Not possible ▲",IF(AND(C67="Culvert",X67&lt;&gt;"N/A - Culvert"),"Not possible ▲",IF(VLOOKUP(X67,'G-7 WaterC'' Data'!$AD$4:$AE$14,2,FALSE)=0,"Enrcoachment Data Missing ⚠",VLOOKUP(X67,'G-7 WaterC'' Data'!$AD$4:$AE$14,2,FALSE)))))</f>
        <v/>
      </c>
      <c r="Z67" s="106"/>
      <c r="AA67" s="282" t="str">
        <f>IF(Z67="","",IF(VLOOKUP(Z67,'G-7 WaterC'' Data'!$AO$4:$BO$7,2,FALSE)=0,"Spatial Data Missing ⚠",VLOOKUP(Z67,'G-7 WaterC'' Data'!$AO$4:$BO$7,2,FALSE)))</f>
        <v/>
      </c>
      <c r="AB67" s="323" t="str">
        <f t="shared" si="4"/>
        <v/>
      </c>
      <c r="AC67" s="323" t="str">
        <f t="shared" si="5"/>
        <v/>
      </c>
      <c r="AD67" s="105"/>
      <c r="AE67" s="968"/>
      <c r="AF67" s="142"/>
      <c r="AG67" s="142"/>
      <c r="AH67" s="964"/>
      <c r="AL67" s="30" t="str">
        <f>IFERROR(INDEX('G-7 WaterC'' Data'!$AZ$3:$AZ$7,MATCH(C67,'G-7 WaterC'' Data'!$AY$3:$AY$7,0)),"")</f>
        <v/>
      </c>
      <c r="AN67" s="30" t="str">
        <f t="shared" si="6"/>
        <v>No</v>
      </c>
    </row>
    <row r="68" spans="2:40" ht="13.8" x14ac:dyDescent="0.25">
      <c r="B68" s="101">
        <v>57</v>
      </c>
      <c r="C68" s="953"/>
      <c r="D68" s="119"/>
      <c r="E68" s="281" t="str">
        <f>IF(C68="","",VLOOKUP(C68,'G-7 WaterC'' Data'!$B$2:$Z$9,2,FALSE))</f>
        <v/>
      </c>
      <c r="F68" s="282" t="str">
        <f>IFERROR(VLOOKUP(E68,'G-7 WaterC'' Data'!$C$4:$D$8,2,FALSE),"")</f>
        <v/>
      </c>
      <c r="G68" s="52"/>
      <c r="H68" s="282" t="str">
        <f>IFERROR(INDEX('G-7 WaterC'' Data'!$H$4:$L$8,MATCH(C68,'G-7 WaterC'' Data'!$B$4:$B$8,0),MATCH(G68,'G-7 WaterC'' Data'!$H$3:$L$3,0)),"")</f>
        <v/>
      </c>
      <c r="I68" s="52"/>
      <c r="J68" s="320" t="str">
        <f>IF(I68="","",IF(VLOOKUP(I68,'G-7 WaterC'' Data'!$AK$4:$AM$6,2,FALSE)=0,"Spatial Data Missing ⚠",VLOOKUP(I68,'G-7 WaterC'' Data'!$AK$4:$AM$6,2,FALSE)))</f>
        <v/>
      </c>
      <c r="K68" s="282" t="str">
        <f>IF(I68="","",IF(VLOOKUP(I68,'G-7 WaterC'' Data'!$AK$4:$AM$6,3,FALSE)=0,"Spatial Data Missing ⚠",VLOOKUP(I68,'G-7 WaterC'' Data'!$AK$4:$AM$6,3,FALSE)))</f>
        <v/>
      </c>
      <c r="L68" s="382" t="str">
        <f>IFERROR(INDEX('G-7 WaterC'' Data'!$O$3:$O$7,MATCH(G68,'G-7 WaterC'' Data'!$N$3:$N$7,0)),"")</f>
        <v/>
      </c>
      <c r="M68" s="53"/>
      <c r="N68" s="137"/>
      <c r="O68" s="289" t="str">
        <f t="shared" si="0"/>
        <v/>
      </c>
      <c r="P68" s="302" t="str">
        <f t="shared" si="1"/>
        <v/>
      </c>
      <c r="Q68" s="340" t="str">
        <f>IFERROR(IF(P68="Check Data ⚠","Check Data ⚠",VLOOKUP(P68,'G-4 Temporal multipliers'!$A$4:$C$37,3,FALSE)),"")</f>
        <v/>
      </c>
      <c r="R68" s="281" t="str">
        <f>IF(C68="","",VLOOKUP(C68,'G-7 WaterC'' Data'!$B$4:$G$8,4,FALSE))</f>
        <v/>
      </c>
      <c r="S68" s="289" t="str">
        <f t="shared" si="2"/>
        <v/>
      </c>
      <c r="T68" s="320" t="str">
        <f t="shared" si="3"/>
        <v/>
      </c>
      <c r="U68" s="282" t="str">
        <f>IF(C68="","",VLOOKUP(T68,'G-3 Multipliers'!$P$2:$Q$6,2,FALSE))</f>
        <v/>
      </c>
      <c r="V68" s="106"/>
      <c r="W68" s="282" t="str">
        <f>IF(V68="","",IF(AND(V68="N/A - Culvert",C68&lt;&gt;"Culvert"),"Not possible ▲",IF(AND(C68="Culvert",V68&lt;&gt;"N/A - Culvert"),"Not possible ▲",IF(VLOOKUP(V68,'G-7 WaterC'' Data'!$AA$4:$AB$7,2,FALSE)=0,"Spatial Data Missing ⚠",VLOOKUP(V68,'G-7 WaterC'' Data'!$AA$4:$AB$7,2,FALSE)))))</f>
        <v/>
      </c>
      <c r="X68" s="56"/>
      <c r="Y68" s="282" t="str">
        <f>IF(X68="","",IF(AND(X68="N/A - Culvert", C68&lt;&gt;"Culvert"), "Not possible ▲",IF(AND(C68="Culvert",X68&lt;&gt;"N/A - Culvert"),"Not possible ▲",IF(VLOOKUP(X68,'G-7 WaterC'' Data'!$AD$4:$AE$14,2,FALSE)=0,"Enrcoachment Data Missing ⚠",VLOOKUP(X68,'G-7 WaterC'' Data'!$AD$4:$AE$14,2,FALSE)))))</f>
        <v/>
      </c>
      <c r="Z68" s="106"/>
      <c r="AA68" s="282" t="str">
        <f>IF(Z68="","",IF(VLOOKUP(Z68,'G-7 WaterC'' Data'!$AO$4:$BO$7,2,FALSE)=0,"Spatial Data Missing ⚠",VLOOKUP(Z68,'G-7 WaterC'' Data'!$AO$4:$BO$7,2,FALSE)))</f>
        <v/>
      </c>
      <c r="AB68" s="323" t="str">
        <f t="shared" si="4"/>
        <v/>
      </c>
      <c r="AC68" s="323" t="str">
        <f t="shared" si="5"/>
        <v/>
      </c>
      <c r="AD68" s="105"/>
      <c r="AE68" s="968"/>
      <c r="AF68" s="142"/>
      <c r="AG68" s="142"/>
      <c r="AH68" s="964"/>
      <c r="AL68" s="30" t="str">
        <f>IFERROR(INDEX('G-7 WaterC'' Data'!$AZ$3:$AZ$7,MATCH(C68,'G-7 WaterC'' Data'!$AY$3:$AY$7,0)),"")</f>
        <v/>
      </c>
      <c r="AN68" s="30" t="str">
        <f t="shared" si="6"/>
        <v>No</v>
      </c>
    </row>
    <row r="69" spans="2:40" ht="13.8" x14ac:dyDescent="0.25">
      <c r="B69" s="101">
        <v>58</v>
      </c>
      <c r="C69" s="953"/>
      <c r="D69" s="119"/>
      <c r="E69" s="281" t="str">
        <f>IF(C69="","",VLOOKUP(C69,'G-7 WaterC'' Data'!$B$2:$Z$9,2,FALSE))</f>
        <v/>
      </c>
      <c r="F69" s="282" t="str">
        <f>IFERROR(VLOOKUP(E69,'G-7 WaterC'' Data'!$C$4:$D$8,2,FALSE),"")</f>
        <v/>
      </c>
      <c r="G69" s="52"/>
      <c r="H69" s="282" t="str">
        <f>IFERROR(INDEX('G-7 WaterC'' Data'!$H$4:$L$8,MATCH(C69,'G-7 WaterC'' Data'!$B$4:$B$8,0),MATCH(G69,'G-7 WaterC'' Data'!$H$3:$L$3,0)),"")</f>
        <v/>
      </c>
      <c r="I69" s="52"/>
      <c r="J69" s="320" t="str">
        <f>IF(I69="","",IF(VLOOKUP(I69,'G-7 WaterC'' Data'!$AK$4:$AM$6,2,FALSE)=0,"Spatial Data Missing ⚠",VLOOKUP(I69,'G-7 WaterC'' Data'!$AK$4:$AM$6,2,FALSE)))</f>
        <v/>
      </c>
      <c r="K69" s="282" t="str">
        <f>IF(I69="","",IF(VLOOKUP(I69,'G-7 WaterC'' Data'!$AK$4:$AM$6,3,FALSE)=0,"Spatial Data Missing ⚠",VLOOKUP(I69,'G-7 WaterC'' Data'!$AK$4:$AM$6,3,FALSE)))</f>
        <v/>
      </c>
      <c r="L69" s="382" t="str">
        <f>IFERROR(INDEX('G-7 WaterC'' Data'!$O$3:$O$7,MATCH(G69,'G-7 WaterC'' Data'!$N$3:$N$7,0)),"")</f>
        <v/>
      </c>
      <c r="M69" s="53"/>
      <c r="N69" s="137"/>
      <c r="O69" s="289" t="str">
        <f t="shared" si="0"/>
        <v/>
      </c>
      <c r="P69" s="302" t="str">
        <f t="shared" si="1"/>
        <v/>
      </c>
      <c r="Q69" s="340" t="str">
        <f>IFERROR(IF(P69="Check Data ⚠","Check Data ⚠",VLOOKUP(P69,'G-4 Temporal multipliers'!$A$4:$C$37,3,FALSE)),"")</f>
        <v/>
      </c>
      <c r="R69" s="281" t="str">
        <f>IF(C69="","",VLOOKUP(C69,'G-7 WaterC'' Data'!$B$4:$G$8,4,FALSE))</f>
        <v/>
      </c>
      <c r="S69" s="289" t="str">
        <f t="shared" si="2"/>
        <v/>
      </c>
      <c r="T69" s="320" t="str">
        <f t="shared" si="3"/>
        <v/>
      </c>
      <c r="U69" s="282" t="str">
        <f>IF(C69="","",VLOOKUP(T69,'G-3 Multipliers'!$P$2:$Q$6,2,FALSE))</f>
        <v/>
      </c>
      <c r="V69" s="106"/>
      <c r="W69" s="282" t="str">
        <f>IF(V69="","",IF(AND(V69="N/A - Culvert",C69&lt;&gt;"Culvert"),"Not possible ▲",IF(AND(C69="Culvert",V69&lt;&gt;"N/A - Culvert"),"Not possible ▲",IF(VLOOKUP(V69,'G-7 WaterC'' Data'!$AA$4:$AB$7,2,FALSE)=0,"Spatial Data Missing ⚠",VLOOKUP(V69,'G-7 WaterC'' Data'!$AA$4:$AB$7,2,FALSE)))))</f>
        <v/>
      </c>
      <c r="X69" s="56"/>
      <c r="Y69" s="282" t="str">
        <f>IF(X69="","",IF(AND(X69="N/A - Culvert", C69&lt;&gt;"Culvert"), "Not possible ▲",IF(AND(C69="Culvert",X69&lt;&gt;"N/A - Culvert"),"Not possible ▲",IF(VLOOKUP(X69,'G-7 WaterC'' Data'!$AD$4:$AE$14,2,FALSE)=0,"Enrcoachment Data Missing ⚠",VLOOKUP(X69,'G-7 WaterC'' Data'!$AD$4:$AE$14,2,FALSE)))))</f>
        <v/>
      </c>
      <c r="Z69" s="106"/>
      <c r="AA69" s="282" t="str">
        <f>IF(Z69="","",IF(VLOOKUP(Z69,'G-7 WaterC'' Data'!$AO$4:$BO$7,2,FALSE)=0,"Spatial Data Missing ⚠",VLOOKUP(Z69,'G-7 WaterC'' Data'!$AO$4:$BO$7,2,FALSE)))</f>
        <v/>
      </c>
      <c r="AB69" s="323" t="str">
        <f t="shared" si="4"/>
        <v/>
      </c>
      <c r="AC69" s="323" t="str">
        <f t="shared" si="5"/>
        <v/>
      </c>
      <c r="AD69" s="105"/>
      <c r="AE69" s="968"/>
      <c r="AF69" s="142"/>
      <c r="AG69" s="142"/>
      <c r="AH69" s="964"/>
      <c r="AL69" s="30" t="str">
        <f>IFERROR(INDEX('G-7 WaterC'' Data'!$AZ$3:$AZ$7,MATCH(C69,'G-7 WaterC'' Data'!$AY$3:$AY$7,0)),"")</f>
        <v/>
      </c>
      <c r="AN69" s="30" t="str">
        <f t="shared" si="6"/>
        <v>No</v>
      </c>
    </row>
    <row r="70" spans="2:40" ht="13.8" x14ac:dyDescent="0.25">
      <c r="B70" s="101">
        <v>59</v>
      </c>
      <c r="C70" s="953"/>
      <c r="D70" s="119"/>
      <c r="E70" s="281" t="str">
        <f>IF(C70="","",VLOOKUP(C70,'G-7 WaterC'' Data'!$B$2:$Z$9,2,FALSE))</f>
        <v/>
      </c>
      <c r="F70" s="282" t="str">
        <f>IFERROR(VLOOKUP(E70,'G-7 WaterC'' Data'!$C$4:$D$8,2,FALSE),"")</f>
        <v/>
      </c>
      <c r="G70" s="52"/>
      <c r="H70" s="282" t="str">
        <f>IFERROR(INDEX('G-7 WaterC'' Data'!$H$4:$L$8,MATCH(C70,'G-7 WaterC'' Data'!$B$4:$B$8,0),MATCH(G70,'G-7 WaterC'' Data'!$H$3:$L$3,0)),"")</f>
        <v/>
      </c>
      <c r="I70" s="52"/>
      <c r="J70" s="320" t="str">
        <f>IF(I70="","",IF(VLOOKUP(I70,'G-7 WaterC'' Data'!$AK$4:$AM$6,2,FALSE)=0,"Spatial Data Missing ⚠",VLOOKUP(I70,'G-7 WaterC'' Data'!$AK$4:$AM$6,2,FALSE)))</f>
        <v/>
      </c>
      <c r="K70" s="282" t="str">
        <f>IF(I70="","",IF(VLOOKUP(I70,'G-7 WaterC'' Data'!$AK$4:$AM$6,3,FALSE)=0,"Spatial Data Missing ⚠",VLOOKUP(I70,'G-7 WaterC'' Data'!$AK$4:$AM$6,3,FALSE)))</f>
        <v/>
      </c>
      <c r="L70" s="382" t="str">
        <f>IFERROR(INDEX('G-7 WaterC'' Data'!$O$3:$O$7,MATCH(G70,'G-7 WaterC'' Data'!$N$3:$N$7,0)),"")</f>
        <v/>
      </c>
      <c r="M70" s="53"/>
      <c r="N70" s="137"/>
      <c r="O70" s="289" t="str">
        <f t="shared" si="0"/>
        <v/>
      </c>
      <c r="P70" s="302" t="str">
        <f t="shared" si="1"/>
        <v/>
      </c>
      <c r="Q70" s="340" t="str">
        <f>IFERROR(IF(P70="Check Data ⚠","Check Data ⚠",VLOOKUP(P70,'G-4 Temporal multipliers'!$A$4:$C$37,3,FALSE)),"")</f>
        <v/>
      </c>
      <c r="R70" s="281" t="str">
        <f>IF(C70="","",VLOOKUP(C70,'G-7 WaterC'' Data'!$B$4:$G$8,4,FALSE))</f>
        <v/>
      </c>
      <c r="S70" s="289" t="str">
        <f t="shared" si="2"/>
        <v/>
      </c>
      <c r="T70" s="320" t="str">
        <f t="shared" si="3"/>
        <v/>
      </c>
      <c r="U70" s="282" t="str">
        <f>IF(C70="","",VLOOKUP(T70,'G-3 Multipliers'!$P$2:$Q$6,2,FALSE))</f>
        <v/>
      </c>
      <c r="V70" s="106"/>
      <c r="W70" s="282" t="str">
        <f>IF(V70="","",IF(AND(V70="N/A - Culvert",C70&lt;&gt;"Culvert"),"Not possible ▲",IF(AND(C70="Culvert",V70&lt;&gt;"N/A - Culvert"),"Not possible ▲",IF(VLOOKUP(V70,'G-7 WaterC'' Data'!$AA$4:$AB$7,2,FALSE)=0,"Spatial Data Missing ⚠",VLOOKUP(V70,'G-7 WaterC'' Data'!$AA$4:$AB$7,2,FALSE)))))</f>
        <v/>
      </c>
      <c r="X70" s="56"/>
      <c r="Y70" s="282" t="str">
        <f>IF(X70="","",IF(AND(X70="N/A - Culvert", C70&lt;&gt;"Culvert"), "Not possible ▲",IF(AND(C70="Culvert",X70&lt;&gt;"N/A - Culvert"),"Not possible ▲",IF(VLOOKUP(X70,'G-7 WaterC'' Data'!$AD$4:$AE$14,2,FALSE)=0,"Enrcoachment Data Missing ⚠",VLOOKUP(X70,'G-7 WaterC'' Data'!$AD$4:$AE$14,2,FALSE)))))</f>
        <v/>
      </c>
      <c r="Z70" s="106"/>
      <c r="AA70" s="282" t="str">
        <f>IF(Z70="","",IF(VLOOKUP(Z70,'G-7 WaterC'' Data'!$AO$4:$BO$7,2,FALSE)=0,"Spatial Data Missing ⚠",VLOOKUP(Z70,'G-7 WaterC'' Data'!$AO$4:$BO$7,2,FALSE)))</f>
        <v/>
      </c>
      <c r="AB70" s="323" t="str">
        <f t="shared" si="4"/>
        <v/>
      </c>
      <c r="AC70" s="323" t="str">
        <f t="shared" si="5"/>
        <v/>
      </c>
      <c r="AD70" s="105"/>
      <c r="AE70" s="968"/>
      <c r="AF70" s="142"/>
      <c r="AG70" s="142"/>
      <c r="AH70" s="964"/>
      <c r="AL70" s="30" t="str">
        <f>IFERROR(INDEX('G-7 WaterC'' Data'!$AZ$3:$AZ$7,MATCH(C70,'G-7 WaterC'' Data'!$AY$3:$AY$7,0)),"")</f>
        <v/>
      </c>
      <c r="AN70" s="30" t="str">
        <f t="shared" si="6"/>
        <v>No</v>
      </c>
    </row>
    <row r="71" spans="2:40" ht="13.8" x14ac:dyDescent="0.25">
      <c r="B71" s="101">
        <v>60</v>
      </c>
      <c r="C71" s="953"/>
      <c r="D71" s="119"/>
      <c r="E71" s="281" t="str">
        <f>IF(C71="","",VLOOKUP(C71,'G-7 WaterC'' Data'!$B$2:$Z$9,2,FALSE))</f>
        <v/>
      </c>
      <c r="F71" s="282" t="str">
        <f>IFERROR(VLOOKUP(E71,'G-7 WaterC'' Data'!$C$4:$D$8,2,FALSE),"")</f>
        <v/>
      </c>
      <c r="G71" s="52"/>
      <c r="H71" s="282" t="str">
        <f>IFERROR(INDEX('G-7 WaterC'' Data'!$H$4:$L$8,MATCH(C71,'G-7 WaterC'' Data'!$B$4:$B$8,0),MATCH(G71,'G-7 WaterC'' Data'!$H$3:$L$3,0)),"")</f>
        <v/>
      </c>
      <c r="I71" s="52"/>
      <c r="J71" s="320" t="str">
        <f>IF(I71="","",IF(VLOOKUP(I71,'G-7 WaterC'' Data'!$AK$4:$AM$6,2,FALSE)=0,"Spatial Data Missing ⚠",VLOOKUP(I71,'G-7 WaterC'' Data'!$AK$4:$AM$6,2,FALSE)))</f>
        <v/>
      </c>
      <c r="K71" s="282" t="str">
        <f>IF(I71="","",IF(VLOOKUP(I71,'G-7 WaterC'' Data'!$AK$4:$AM$6,3,FALSE)=0,"Spatial Data Missing ⚠",VLOOKUP(I71,'G-7 WaterC'' Data'!$AK$4:$AM$6,3,FALSE)))</f>
        <v/>
      </c>
      <c r="L71" s="382" t="str">
        <f>IFERROR(INDEX('G-7 WaterC'' Data'!$O$3:$O$7,MATCH(G71,'G-7 WaterC'' Data'!$N$3:$N$7,0)),"")</f>
        <v/>
      </c>
      <c r="M71" s="53"/>
      <c r="N71" s="137"/>
      <c r="O71" s="289" t="str">
        <f t="shared" si="0"/>
        <v/>
      </c>
      <c r="P71" s="302" t="str">
        <f t="shared" si="1"/>
        <v/>
      </c>
      <c r="Q71" s="340" t="str">
        <f>IFERROR(IF(P71="Check Data ⚠","Check Data ⚠",VLOOKUP(P71,'G-4 Temporal multipliers'!$A$4:$C$37,3,FALSE)),"")</f>
        <v/>
      </c>
      <c r="R71" s="281" t="str">
        <f>IF(C71="","",VLOOKUP(C71,'G-7 WaterC'' Data'!$B$4:$G$8,4,FALSE))</f>
        <v/>
      </c>
      <c r="S71" s="289" t="str">
        <f t="shared" si="2"/>
        <v/>
      </c>
      <c r="T71" s="320" t="str">
        <f t="shared" si="3"/>
        <v/>
      </c>
      <c r="U71" s="282" t="str">
        <f>IF(C71="","",VLOOKUP(T71,'G-3 Multipliers'!$P$2:$Q$6,2,FALSE))</f>
        <v/>
      </c>
      <c r="V71" s="106"/>
      <c r="W71" s="282" t="str">
        <f>IF(V71="","",IF(AND(V71="N/A - Culvert",C71&lt;&gt;"Culvert"),"Not possible ▲",IF(AND(C71="Culvert",V71&lt;&gt;"N/A - Culvert"),"Not possible ▲",IF(VLOOKUP(V71,'G-7 WaterC'' Data'!$AA$4:$AB$7,2,FALSE)=0,"Spatial Data Missing ⚠",VLOOKUP(V71,'G-7 WaterC'' Data'!$AA$4:$AB$7,2,FALSE)))))</f>
        <v/>
      </c>
      <c r="X71" s="56"/>
      <c r="Y71" s="282" t="str">
        <f>IF(X71="","",IF(AND(X71="N/A - Culvert", C71&lt;&gt;"Culvert"), "Not possible ▲",IF(AND(C71="Culvert",X71&lt;&gt;"N/A - Culvert"),"Not possible ▲",IF(VLOOKUP(X71,'G-7 WaterC'' Data'!$AD$4:$AE$14,2,FALSE)=0,"Enrcoachment Data Missing ⚠",VLOOKUP(X71,'G-7 WaterC'' Data'!$AD$4:$AE$14,2,FALSE)))))</f>
        <v/>
      </c>
      <c r="Z71" s="106"/>
      <c r="AA71" s="282" t="str">
        <f>IF(Z71="","",IF(VLOOKUP(Z71,'G-7 WaterC'' Data'!$AO$4:$BO$7,2,FALSE)=0,"Spatial Data Missing ⚠",VLOOKUP(Z71,'G-7 WaterC'' Data'!$AO$4:$BO$7,2,FALSE)))</f>
        <v/>
      </c>
      <c r="AB71" s="323" t="str">
        <f t="shared" si="4"/>
        <v/>
      </c>
      <c r="AC71" s="323" t="str">
        <f t="shared" si="5"/>
        <v/>
      </c>
      <c r="AD71" s="105"/>
      <c r="AE71" s="968"/>
      <c r="AF71" s="142"/>
      <c r="AG71" s="142"/>
      <c r="AH71" s="964"/>
      <c r="AL71" s="30" t="str">
        <f>IFERROR(INDEX('G-7 WaterC'' Data'!$AZ$3:$AZ$7,MATCH(C71,'G-7 WaterC'' Data'!$AY$3:$AY$7,0)),"")</f>
        <v/>
      </c>
      <c r="AN71" s="30" t="str">
        <f t="shared" si="6"/>
        <v>No</v>
      </c>
    </row>
    <row r="72" spans="2:40" ht="13.8" x14ac:dyDescent="0.25">
      <c r="B72" s="101">
        <v>61</v>
      </c>
      <c r="C72" s="953"/>
      <c r="D72" s="119"/>
      <c r="E72" s="281" t="str">
        <f>IF(C72="","",VLOOKUP(C72,'G-7 WaterC'' Data'!$B$2:$Z$9,2,FALSE))</f>
        <v/>
      </c>
      <c r="F72" s="282" t="str">
        <f>IFERROR(VLOOKUP(E72,'G-7 WaterC'' Data'!$C$4:$D$8,2,FALSE),"")</f>
        <v/>
      </c>
      <c r="G72" s="52"/>
      <c r="H72" s="282" t="str">
        <f>IFERROR(INDEX('G-7 WaterC'' Data'!$H$4:$L$8,MATCH(C72,'G-7 WaterC'' Data'!$B$4:$B$8,0),MATCH(G72,'G-7 WaterC'' Data'!$H$3:$L$3,0)),"")</f>
        <v/>
      </c>
      <c r="I72" s="52"/>
      <c r="J72" s="320" t="str">
        <f>IF(I72="","",IF(VLOOKUP(I72,'G-7 WaterC'' Data'!$AK$4:$AM$6,2,FALSE)=0,"Spatial Data Missing ⚠",VLOOKUP(I72,'G-7 WaterC'' Data'!$AK$4:$AM$6,2,FALSE)))</f>
        <v/>
      </c>
      <c r="K72" s="282" t="str">
        <f>IF(I72="","",IF(VLOOKUP(I72,'G-7 WaterC'' Data'!$AK$4:$AM$6,3,FALSE)=0,"Spatial Data Missing ⚠",VLOOKUP(I72,'G-7 WaterC'' Data'!$AK$4:$AM$6,3,FALSE)))</f>
        <v/>
      </c>
      <c r="L72" s="382" t="str">
        <f>IFERROR(INDEX('G-7 WaterC'' Data'!$O$3:$O$7,MATCH(G72,'G-7 WaterC'' Data'!$N$3:$N$7,0)),"")</f>
        <v/>
      </c>
      <c r="M72" s="53"/>
      <c r="N72" s="137"/>
      <c r="O72" s="289" t="str">
        <f t="shared" si="0"/>
        <v/>
      </c>
      <c r="P72" s="302" t="str">
        <f t="shared" si="1"/>
        <v/>
      </c>
      <c r="Q72" s="340" t="str">
        <f>IFERROR(IF(P72="Check Data ⚠","Check Data ⚠",VLOOKUP(P72,'G-4 Temporal multipliers'!$A$4:$C$37,3,FALSE)),"")</f>
        <v/>
      </c>
      <c r="R72" s="281" t="str">
        <f>IF(C72="","",VLOOKUP(C72,'G-7 WaterC'' Data'!$B$4:$G$8,4,FALSE))</f>
        <v/>
      </c>
      <c r="S72" s="289" t="str">
        <f t="shared" si="2"/>
        <v/>
      </c>
      <c r="T72" s="320" t="str">
        <f t="shared" si="3"/>
        <v/>
      </c>
      <c r="U72" s="282" t="str">
        <f>IF(C72="","",VLOOKUP(T72,'G-3 Multipliers'!$P$2:$Q$6,2,FALSE))</f>
        <v/>
      </c>
      <c r="V72" s="106"/>
      <c r="W72" s="282" t="str">
        <f>IF(V72="","",IF(AND(V72="N/A - Culvert",C72&lt;&gt;"Culvert"),"Not possible ▲",IF(AND(C72="Culvert",V72&lt;&gt;"N/A - Culvert"),"Not possible ▲",IF(VLOOKUP(V72,'G-7 WaterC'' Data'!$AA$4:$AB$7,2,FALSE)=0,"Spatial Data Missing ⚠",VLOOKUP(V72,'G-7 WaterC'' Data'!$AA$4:$AB$7,2,FALSE)))))</f>
        <v/>
      </c>
      <c r="X72" s="56"/>
      <c r="Y72" s="282" t="str">
        <f>IF(X72="","",IF(AND(X72="N/A - Culvert", C72&lt;&gt;"Culvert"), "Not possible ▲",IF(AND(C72="Culvert",X72&lt;&gt;"N/A - Culvert"),"Not possible ▲",IF(VLOOKUP(X72,'G-7 WaterC'' Data'!$AD$4:$AE$14,2,FALSE)=0,"Enrcoachment Data Missing ⚠",VLOOKUP(X72,'G-7 WaterC'' Data'!$AD$4:$AE$14,2,FALSE)))))</f>
        <v/>
      </c>
      <c r="Z72" s="106"/>
      <c r="AA72" s="282" t="str">
        <f>IF(Z72="","",IF(VLOOKUP(Z72,'G-7 WaterC'' Data'!$AO$4:$BO$7,2,FALSE)=0,"Spatial Data Missing ⚠",VLOOKUP(Z72,'G-7 WaterC'' Data'!$AO$4:$BO$7,2,FALSE)))</f>
        <v/>
      </c>
      <c r="AB72" s="323" t="str">
        <f t="shared" si="4"/>
        <v/>
      </c>
      <c r="AC72" s="323" t="str">
        <f t="shared" si="5"/>
        <v/>
      </c>
      <c r="AD72" s="105"/>
      <c r="AE72" s="968"/>
      <c r="AF72" s="142"/>
      <c r="AG72" s="142"/>
      <c r="AH72" s="964"/>
      <c r="AL72" s="30" t="str">
        <f>IFERROR(INDEX('G-7 WaterC'' Data'!$AZ$3:$AZ$7,MATCH(C72,'G-7 WaterC'' Data'!$AY$3:$AY$7,0)),"")</f>
        <v/>
      </c>
      <c r="AN72" s="30" t="str">
        <f t="shared" si="6"/>
        <v>No</v>
      </c>
    </row>
    <row r="73" spans="2:40" ht="13.8" x14ac:dyDescent="0.25">
      <c r="B73" s="101">
        <v>62</v>
      </c>
      <c r="C73" s="953"/>
      <c r="D73" s="119"/>
      <c r="E73" s="281" t="str">
        <f>IF(C73="","",VLOOKUP(C73,'G-7 WaterC'' Data'!$B$2:$Z$9,2,FALSE))</f>
        <v/>
      </c>
      <c r="F73" s="282" t="str">
        <f>IFERROR(VLOOKUP(E73,'G-7 WaterC'' Data'!$C$4:$D$8,2,FALSE),"")</f>
        <v/>
      </c>
      <c r="G73" s="52"/>
      <c r="H73" s="282" t="str">
        <f>IFERROR(INDEX('G-7 WaterC'' Data'!$H$4:$L$8,MATCH(C73,'G-7 WaterC'' Data'!$B$4:$B$8,0),MATCH(G73,'G-7 WaterC'' Data'!$H$3:$L$3,0)),"")</f>
        <v/>
      </c>
      <c r="I73" s="52"/>
      <c r="J73" s="320" t="str">
        <f>IF(I73="","",IF(VLOOKUP(I73,'G-7 WaterC'' Data'!$AK$4:$AM$6,2,FALSE)=0,"Spatial Data Missing ⚠",VLOOKUP(I73,'G-7 WaterC'' Data'!$AK$4:$AM$6,2,FALSE)))</f>
        <v/>
      </c>
      <c r="K73" s="282" t="str">
        <f>IF(I73="","",IF(VLOOKUP(I73,'G-7 WaterC'' Data'!$AK$4:$AM$6,3,FALSE)=0,"Spatial Data Missing ⚠",VLOOKUP(I73,'G-7 WaterC'' Data'!$AK$4:$AM$6,3,FALSE)))</f>
        <v/>
      </c>
      <c r="L73" s="382" t="str">
        <f>IFERROR(INDEX('G-7 WaterC'' Data'!$O$3:$O$7,MATCH(G73,'G-7 WaterC'' Data'!$N$3:$N$7,0)),"")</f>
        <v/>
      </c>
      <c r="M73" s="53"/>
      <c r="N73" s="137"/>
      <c r="O73" s="289" t="str">
        <f t="shared" si="0"/>
        <v/>
      </c>
      <c r="P73" s="302" t="str">
        <f t="shared" si="1"/>
        <v/>
      </c>
      <c r="Q73" s="340" t="str">
        <f>IFERROR(IF(P73="Check Data ⚠","Check Data ⚠",VLOOKUP(P73,'G-4 Temporal multipliers'!$A$4:$C$37,3,FALSE)),"")</f>
        <v/>
      </c>
      <c r="R73" s="281" t="str">
        <f>IF(C73="","",VLOOKUP(C73,'G-7 WaterC'' Data'!$B$4:$G$8,4,FALSE))</f>
        <v/>
      </c>
      <c r="S73" s="289" t="str">
        <f t="shared" si="2"/>
        <v/>
      </c>
      <c r="T73" s="320" t="str">
        <f t="shared" si="3"/>
        <v/>
      </c>
      <c r="U73" s="282" t="str">
        <f>IF(C73="","",VLOOKUP(T73,'G-3 Multipliers'!$P$2:$Q$6,2,FALSE))</f>
        <v/>
      </c>
      <c r="V73" s="106"/>
      <c r="W73" s="282" t="str">
        <f>IF(V73="","",IF(AND(V73="N/A - Culvert",C73&lt;&gt;"Culvert"),"Not possible ▲",IF(AND(C73="Culvert",V73&lt;&gt;"N/A - Culvert"),"Not possible ▲",IF(VLOOKUP(V73,'G-7 WaterC'' Data'!$AA$4:$AB$7,2,FALSE)=0,"Spatial Data Missing ⚠",VLOOKUP(V73,'G-7 WaterC'' Data'!$AA$4:$AB$7,2,FALSE)))))</f>
        <v/>
      </c>
      <c r="X73" s="56"/>
      <c r="Y73" s="282" t="str">
        <f>IF(X73="","",IF(AND(X73="N/A - Culvert", C73&lt;&gt;"Culvert"), "Not possible ▲",IF(AND(C73="Culvert",X73&lt;&gt;"N/A - Culvert"),"Not possible ▲",IF(VLOOKUP(X73,'G-7 WaterC'' Data'!$AD$4:$AE$14,2,FALSE)=0,"Enrcoachment Data Missing ⚠",VLOOKUP(X73,'G-7 WaterC'' Data'!$AD$4:$AE$14,2,FALSE)))))</f>
        <v/>
      </c>
      <c r="Z73" s="106"/>
      <c r="AA73" s="282" t="str">
        <f>IF(Z73="","",IF(VLOOKUP(Z73,'G-7 WaterC'' Data'!$AO$4:$BO$7,2,FALSE)=0,"Spatial Data Missing ⚠",VLOOKUP(Z73,'G-7 WaterC'' Data'!$AO$4:$BO$7,2,FALSE)))</f>
        <v/>
      </c>
      <c r="AB73" s="323" t="str">
        <f t="shared" si="4"/>
        <v/>
      </c>
      <c r="AC73" s="323" t="str">
        <f t="shared" si="5"/>
        <v/>
      </c>
      <c r="AD73" s="105"/>
      <c r="AE73" s="968"/>
      <c r="AF73" s="142"/>
      <c r="AG73" s="142"/>
      <c r="AH73" s="964"/>
      <c r="AL73" s="30" t="str">
        <f>IFERROR(INDEX('G-7 WaterC'' Data'!$AZ$3:$AZ$7,MATCH(C73,'G-7 WaterC'' Data'!$AY$3:$AY$7,0)),"")</f>
        <v/>
      </c>
      <c r="AN73" s="30" t="str">
        <f t="shared" si="6"/>
        <v>No</v>
      </c>
    </row>
    <row r="74" spans="2:40" ht="13.8" x14ac:dyDescent="0.25">
      <c r="B74" s="101">
        <v>63</v>
      </c>
      <c r="C74" s="953"/>
      <c r="D74" s="119"/>
      <c r="E74" s="281" t="str">
        <f>IF(C74="","",VLOOKUP(C74,'G-7 WaterC'' Data'!$B$2:$Z$9,2,FALSE))</f>
        <v/>
      </c>
      <c r="F74" s="282" t="str">
        <f>IFERROR(VLOOKUP(E74,'G-7 WaterC'' Data'!$C$4:$D$8,2,FALSE),"")</f>
        <v/>
      </c>
      <c r="G74" s="52"/>
      <c r="H74" s="282" t="str">
        <f>IFERROR(INDEX('G-7 WaterC'' Data'!$H$4:$L$8,MATCH(C74,'G-7 WaterC'' Data'!$B$4:$B$8,0),MATCH(G74,'G-7 WaterC'' Data'!$H$3:$L$3,0)),"")</f>
        <v/>
      </c>
      <c r="I74" s="52"/>
      <c r="J74" s="320" t="str">
        <f>IF(I74="","",IF(VLOOKUP(I74,'G-7 WaterC'' Data'!$AK$4:$AM$6,2,FALSE)=0,"Spatial Data Missing ⚠",VLOOKUP(I74,'G-7 WaterC'' Data'!$AK$4:$AM$6,2,FALSE)))</f>
        <v/>
      </c>
      <c r="K74" s="282" t="str">
        <f>IF(I74="","",IF(VLOOKUP(I74,'G-7 WaterC'' Data'!$AK$4:$AM$6,3,FALSE)=0,"Spatial Data Missing ⚠",VLOOKUP(I74,'G-7 WaterC'' Data'!$AK$4:$AM$6,3,FALSE)))</f>
        <v/>
      </c>
      <c r="L74" s="382" t="str">
        <f>IFERROR(INDEX('G-7 WaterC'' Data'!$O$3:$O$7,MATCH(G74,'G-7 WaterC'' Data'!$N$3:$N$7,0)),"")</f>
        <v/>
      </c>
      <c r="M74" s="53"/>
      <c r="N74" s="137"/>
      <c r="O74" s="289" t="str">
        <f t="shared" si="0"/>
        <v/>
      </c>
      <c r="P74" s="302" t="str">
        <f t="shared" si="1"/>
        <v/>
      </c>
      <c r="Q74" s="340" t="str">
        <f>IFERROR(IF(P74="Check Data ⚠","Check Data ⚠",VLOOKUP(P74,'G-4 Temporal multipliers'!$A$4:$C$37,3,FALSE)),"")</f>
        <v/>
      </c>
      <c r="R74" s="281" t="str">
        <f>IF(C74="","",VLOOKUP(C74,'G-7 WaterC'' Data'!$B$4:$G$8,4,FALSE))</f>
        <v/>
      </c>
      <c r="S74" s="289" t="str">
        <f t="shared" si="2"/>
        <v/>
      </c>
      <c r="T74" s="320" t="str">
        <f t="shared" si="3"/>
        <v/>
      </c>
      <c r="U74" s="282" t="str">
        <f>IF(C74="","",VLOOKUP(T74,'G-3 Multipliers'!$P$2:$Q$6,2,FALSE))</f>
        <v/>
      </c>
      <c r="V74" s="106"/>
      <c r="W74" s="282" t="str">
        <f>IF(V74="","",IF(AND(V74="N/A - Culvert",C74&lt;&gt;"Culvert"),"Not possible ▲",IF(AND(C74="Culvert",V74&lt;&gt;"N/A - Culvert"),"Not possible ▲",IF(VLOOKUP(V74,'G-7 WaterC'' Data'!$AA$4:$AB$7,2,FALSE)=0,"Spatial Data Missing ⚠",VLOOKUP(V74,'G-7 WaterC'' Data'!$AA$4:$AB$7,2,FALSE)))))</f>
        <v/>
      </c>
      <c r="X74" s="56"/>
      <c r="Y74" s="282" t="str">
        <f>IF(X74="","",IF(AND(X74="N/A - Culvert", C74&lt;&gt;"Culvert"), "Not possible ▲",IF(AND(C74="Culvert",X74&lt;&gt;"N/A - Culvert"),"Not possible ▲",IF(VLOOKUP(X74,'G-7 WaterC'' Data'!$AD$4:$AE$14,2,FALSE)=0,"Enrcoachment Data Missing ⚠",VLOOKUP(X74,'G-7 WaterC'' Data'!$AD$4:$AE$14,2,FALSE)))))</f>
        <v/>
      </c>
      <c r="Z74" s="106"/>
      <c r="AA74" s="282" t="str">
        <f>IF(Z74="","",IF(VLOOKUP(Z74,'G-7 WaterC'' Data'!$AO$4:$BO$7,2,FALSE)=0,"Spatial Data Missing ⚠",VLOOKUP(Z74,'G-7 WaterC'' Data'!$AO$4:$BO$7,2,FALSE)))</f>
        <v/>
      </c>
      <c r="AB74" s="323" t="str">
        <f t="shared" si="4"/>
        <v/>
      </c>
      <c r="AC74" s="323" t="str">
        <f t="shared" si="5"/>
        <v/>
      </c>
      <c r="AD74" s="105"/>
      <c r="AE74" s="968"/>
      <c r="AF74" s="142"/>
      <c r="AG74" s="142"/>
      <c r="AH74" s="964"/>
      <c r="AL74" s="30" t="str">
        <f>IFERROR(INDEX('G-7 WaterC'' Data'!$AZ$3:$AZ$7,MATCH(C74,'G-7 WaterC'' Data'!$AY$3:$AY$7,0)),"")</f>
        <v/>
      </c>
      <c r="AN74" s="30" t="str">
        <f t="shared" si="6"/>
        <v>No</v>
      </c>
    </row>
    <row r="75" spans="2:40" ht="13.8" x14ac:dyDescent="0.25">
      <c r="B75" s="101">
        <v>64</v>
      </c>
      <c r="C75" s="953"/>
      <c r="D75" s="119"/>
      <c r="E75" s="281" t="str">
        <f>IF(C75="","",VLOOKUP(C75,'G-7 WaterC'' Data'!$B$2:$Z$9,2,FALSE))</f>
        <v/>
      </c>
      <c r="F75" s="282" t="str">
        <f>IFERROR(VLOOKUP(E75,'G-7 WaterC'' Data'!$C$4:$D$8,2,FALSE),"")</f>
        <v/>
      </c>
      <c r="G75" s="52"/>
      <c r="H75" s="282" t="str">
        <f>IFERROR(INDEX('G-7 WaterC'' Data'!$H$4:$L$8,MATCH(C75,'G-7 WaterC'' Data'!$B$4:$B$8,0),MATCH(G75,'G-7 WaterC'' Data'!$H$3:$L$3,0)),"")</f>
        <v/>
      </c>
      <c r="I75" s="52"/>
      <c r="J75" s="320" t="str">
        <f>IF(I75="","",IF(VLOOKUP(I75,'G-7 WaterC'' Data'!$AK$4:$AM$6,2,FALSE)=0,"Spatial Data Missing ⚠",VLOOKUP(I75,'G-7 WaterC'' Data'!$AK$4:$AM$6,2,FALSE)))</f>
        <v/>
      </c>
      <c r="K75" s="282" t="str">
        <f>IF(I75="","",IF(VLOOKUP(I75,'G-7 WaterC'' Data'!$AK$4:$AM$6,3,FALSE)=0,"Spatial Data Missing ⚠",VLOOKUP(I75,'G-7 WaterC'' Data'!$AK$4:$AM$6,3,FALSE)))</f>
        <v/>
      </c>
      <c r="L75" s="382" t="str">
        <f>IFERROR(INDEX('G-7 WaterC'' Data'!$O$3:$O$7,MATCH(G75,'G-7 WaterC'' Data'!$N$3:$N$7,0)),"")</f>
        <v/>
      </c>
      <c r="M75" s="53"/>
      <c r="N75" s="137"/>
      <c r="O75" s="289" t="str">
        <f t="shared" si="0"/>
        <v/>
      </c>
      <c r="P75" s="302" t="str">
        <f t="shared" si="1"/>
        <v/>
      </c>
      <c r="Q75" s="340" t="str">
        <f>IFERROR(IF(P75="Check Data ⚠","Check Data ⚠",VLOOKUP(P75,'G-4 Temporal multipliers'!$A$4:$C$37,3,FALSE)),"")</f>
        <v/>
      </c>
      <c r="R75" s="281" t="str">
        <f>IF(C75="","",VLOOKUP(C75,'G-7 WaterC'' Data'!$B$4:$G$8,4,FALSE))</f>
        <v/>
      </c>
      <c r="S75" s="289" t="str">
        <f t="shared" si="2"/>
        <v/>
      </c>
      <c r="T75" s="320" t="str">
        <f t="shared" si="3"/>
        <v/>
      </c>
      <c r="U75" s="282" t="str">
        <f>IF(C75="","",VLOOKUP(T75,'G-3 Multipliers'!$P$2:$Q$6,2,FALSE))</f>
        <v/>
      </c>
      <c r="V75" s="106"/>
      <c r="W75" s="282" t="str">
        <f>IF(V75="","",IF(AND(V75="N/A - Culvert",C75&lt;&gt;"Culvert"),"Not possible ▲",IF(AND(C75="Culvert",V75&lt;&gt;"N/A - Culvert"),"Not possible ▲",IF(VLOOKUP(V75,'G-7 WaterC'' Data'!$AA$4:$AB$7,2,FALSE)=0,"Spatial Data Missing ⚠",VLOOKUP(V75,'G-7 WaterC'' Data'!$AA$4:$AB$7,2,FALSE)))))</f>
        <v/>
      </c>
      <c r="X75" s="56"/>
      <c r="Y75" s="282" t="str">
        <f>IF(X75="","",IF(AND(X75="N/A - Culvert", C75&lt;&gt;"Culvert"), "Not possible ▲",IF(AND(C75="Culvert",X75&lt;&gt;"N/A - Culvert"),"Not possible ▲",IF(VLOOKUP(X75,'G-7 WaterC'' Data'!$AD$4:$AE$14,2,FALSE)=0,"Enrcoachment Data Missing ⚠",VLOOKUP(X75,'G-7 WaterC'' Data'!$AD$4:$AE$14,2,FALSE)))))</f>
        <v/>
      </c>
      <c r="Z75" s="106"/>
      <c r="AA75" s="282" t="str">
        <f>IF(Z75="","",IF(VLOOKUP(Z75,'G-7 WaterC'' Data'!$AO$4:$BO$7,2,FALSE)=0,"Spatial Data Missing ⚠",VLOOKUP(Z75,'G-7 WaterC'' Data'!$AO$4:$BO$7,2,FALSE)))</f>
        <v/>
      </c>
      <c r="AB75" s="323" t="str">
        <f t="shared" si="4"/>
        <v/>
      </c>
      <c r="AC75" s="323" t="str">
        <f t="shared" si="5"/>
        <v/>
      </c>
      <c r="AD75" s="105"/>
      <c r="AE75" s="968"/>
      <c r="AF75" s="142"/>
      <c r="AG75" s="142"/>
      <c r="AH75" s="964"/>
      <c r="AL75" s="30" t="str">
        <f>IFERROR(INDEX('G-7 WaterC'' Data'!$AZ$3:$AZ$7,MATCH(C75,'G-7 WaterC'' Data'!$AY$3:$AY$7,0)),"")</f>
        <v/>
      </c>
      <c r="AN75" s="30" t="str">
        <f t="shared" si="6"/>
        <v>No</v>
      </c>
    </row>
    <row r="76" spans="2:40" ht="13.8" x14ac:dyDescent="0.25">
      <c r="B76" s="101">
        <v>65</v>
      </c>
      <c r="C76" s="953"/>
      <c r="D76" s="119"/>
      <c r="E76" s="281" t="str">
        <f>IF(C76="","",VLOOKUP(C76,'G-7 WaterC'' Data'!$B$2:$Z$9,2,FALSE))</f>
        <v/>
      </c>
      <c r="F76" s="282" t="str">
        <f>IFERROR(VLOOKUP(E76,'G-7 WaterC'' Data'!$C$4:$D$8,2,FALSE),"")</f>
        <v/>
      </c>
      <c r="G76" s="52"/>
      <c r="H76" s="282" t="str">
        <f>IFERROR(INDEX('G-7 WaterC'' Data'!$H$4:$L$8,MATCH(C76,'G-7 WaterC'' Data'!$B$4:$B$8,0),MATCH(G76,'G-7 WaterC'' Data'!$H$3:$L$3,0)),"")</f>
        <v/>
      </c>
      <c r="I76" s="52"/>
      <c r="J76" s="320" t="str">
        <f>IF(I76="","",IF(VLOOKUP(I76,'G-7 WaterC'' Data'!$AK$4:$AM$6,2,FALSE)=0,"Spatial Data Missing ⚠",VLOOKUP(I76,'G-7 WaterC'' Data'!$AK$4:$AM$6,2,FALSE)))</f>
        <v/>
      </c>
      <c r="K76" s="282" t="str">
        <f>IF(I76="","",IF(VLOOKUP(I76,'G-7 WaterC'' Data'!$AK$4:$AM$6,3,FALSE)=0,"Spatial Data Missing ⚠",VLOOKUP(I76,'G-7 WaterC'' Data'!$AK$4:$AM$6,3,FALSE)))</f>
        <v/>
      </c>
      <c r="L76" s="382" t="str">
        <f>IFERROR(INDEX('G-7 WaterC'' Data'!$O$3:$O$7,MATCH(G76,'G-7 WaterC'' Data'!$N$3:$N$7,0)),"")</f>
        <v/>
      </c>
      <c r="M76" s="53"/>
      <c r="N76" s="137"/>
      <c r="O76" s="289" t="str">
        <f t="shared" si="0"/>
        <v/>
      </c>
      <c r="P76" s="302" t="str">
        <f t="shared" si="1"/>
        <v/>
      </c>
      <c r="Q76" s="340" t="str">
        <f>IFERROR(IF(P76="Check Data ⚠","Check Data ⚠",VLOOKUP(P76,'G-4 Temporal multipliers'!$A$4:$C$37,3,FALSE)),"")</f>
        <v/>
      </c>
      <c r="R76" s="281" t="str">
        <f>IF(C76="","",VLOOKUP(C76,'G-7 WaterC'' Data'!$B$4:$G$8,4,FALSE))</f>
        <v/>
      </c>
      <c r="S76" s="289" t="str">
        <f t="shared" si="2"/>
        <v/>
      </c>
      <c r="T76" s="320" t="str">
        <f t="shared" si="3"/>
        <v/>
      </c>
      <c r="U76" s="282" t="str">
        <f>IF(C76="","",VLOOKUP(T76,'G-3 Multipliers'!$P$2:$Q$6,2,FALSE))</f>
        <v/>
      </c>
      <c r="V76" s="106"/>
      <c r="W76" s="282" t="str">
        <f>IF(V76="","",IF(AND(V76="N/A - Culvert",C76&lt;&gt;"Culvert"),"Not possible ▲",IF(AND(C76="Culvert",V76&lt;&gt;"N/A - Culvert"),"Not possible ▲",IF(VLOOKUP(V76,'G-7 WaterC'' Data'!$AA$4:$AB$7,2,FALSE)=0,"Spatial Data Missing ⚠",VLOOKUP(V76,'G-7 WaterC'' Data'!$AA$4:$AB$7,2,FALSE)))))</f>
        <v/>
      </c>
      <c r="X76" s="56"/>
      <c r="Y76" s="282" t="str">
        <f>IF(X76="","",IF(AND(X76="N/A - Culvert", C76&lt;&gt;"Culvert"), "Not possible ▲",IF(AND(C76="Culvert",X76&lt;&gt;"N/A - Culvert"),"Not possible ▲",IF(VLOOKUP(X76,'G-7 WaterC'' Data'!$AD$4:$AE$14,2,FALSE)=0,"Enrcoachment Data Missing ⚠",VLOOKUP(X76,'G-7 WaterC'' Data'!$AD$4:$AE$14,2,FALSE)))))</f>
        <v/>
      </c>
      <c r="Z76" s="106"/>
      <c r="AA76" s="282" t="str">
        <f>IF(Z76="","",IF(VLOOKUP(Z76,'G-7 WaterC'' Data'!$AO$4:$BO$7,2,FALSE)=0,"Spatial Data Missing ⚠",VLOOKUP(Z76,'G-7 WaterC'' Data'!$AO$4:$BO$7,2,FALSE)))</f>
        <v/>
      </c>
      <c r="AB76" s="323" t="str">
        <f t="shared" si="4"/>
        <v/>
      </c>
      <c r="AC76" s="323" t="str">
        <f t="shared" si="5"/>
        <v/>
      </c>
      <c r="AD76" s="105"/>
      <c r="AE76" s="968"/>
      <c r="AF76" s="142"/>
      <c r="AG76" s="142"/>
      <c r="AH76" s="964"/>
      <c r="AL76" s="30" t="str">
        <f>IFERROR(INDEX('G-7 WaterC'' Data'!$AZ$3:$AZ$7,MATCH(C76,'G-7 WaterC'' Data'!$AY$3:$AY$7,0)),"")</f>
        <v/>
      </c>
      <c r="AN76" s="30" t="str">
        <f t="shared" si="6"/>
        <v>No</v>
      </c>
    </row>
    <row r="77" spans="2:40" ht="13.8" x14ac:dyDescent="0.25">
      <c r="B77" s="101">
        <v>66</v>
      </c>
      <c r="C77" s="953"/>
      <c r="D77" s="119"/>
      <c r="E77" s="281" t="str">
        <f>IF(C77="","",VLOOKUP(C77,'G-7 WaterC'' Data'!$B$2:$Z$9,2,FALSE))</f>
        <v/>
      </c>
      <c r="F77" s="282" t="str">
        <f>IFERROR(VLOOKUP(E77,'G-7 WaterC'' Data'!$C$4:$D$8,2,FALSE),"")</f>
        <v/>
      </c>
      <c r="G77" s="52"/>
      <c r="H77" s="282" t="str">
        <f>IFERROR(INDEX('G-7 WaterC'' Data'!$H$4:$L$8,MATCH(C77,'G-7 WaterC'' Data'!$B$4:$B$8,0),MATCH(G77,'G-7 WaterC'' Data'!$H$3:$L$3,0)),"")</f>
        <v/>
      </c>
      <c r="I77" s="52"/>
      <c r="J77" s="320" t="str">
        <f>IF(I77="","",IF(VLOOKUP(I77,'G-7 WaterC'' Data'!$AK$4:$AM$6,2,FALSE)=0,"Spatial Data Missing ⚠",VLOOKUP(I77,'G-7 WaterC'' Data'!$AK$4:$AM$6,2,FALSE)))</f>
        <v/>
      </c>
      <c r="K77" s="282" t="str">
        <f>IF(I77="","",IF(VLOOKUP(I77,'G-7 WaterC'' Data'!$AK$4:$AM$6,3,FALSE)=0,"Spatial Data Missing ⚠",VLOOKUP(I77,'G-7 WaterC'' Data'!$AK$4:$AM$6,3,FALSE)))</f>
        <v/>
      </c>
      <c r="L77" s="382" t="str">
        <f>IFERROR(INDEX('G-7 WaterC'' Data'!$O$3:$O$7,MATCH(G77,'G-7 WaterC'' Data'!$N$3:$N$7,0)),"")</f>
        <v/>
      </c>
      <c r="M77" s="53"/>
      <c r="N77" s="137"/>
      <c r="O77" s="289"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02" t="str">
        <f t="shared" ref="P77:P140" si="8">IF(O77="Error -both advance and delayed habitat creation ▲","Check Data ⚠",IF(L77="","",IF(M77="30+",0,IF(N77="30+","30+",IF(L77+N77&gt;30,"30+",IF(L77+N77-M77&gt;0,L77+N77-M77,IF(L77-M77&lt;0,0,L77+N77-M77)))))))</f>
        <v/>
      </c>
      <c r="Q77" s="340" t="str">
        <f>IFERROR(IF(P77="Check Data ⚠","Check Data ⚠",VLOOKUP(P77,'G-4 Temporal multipliers'!$A$4:$C$37,3,FALSE)),"")</f>
        <v/>
      </c>
      <c r="R77" s="281" t="str">
        <f>IF(C77="","",VLOOKUP(C77,'G-7 WaterC'' Data'!$B$4:$G$8,4,FALSE))</f>
        <v/>
      </c>
      <c r="S77" s="289" t="str">
        <f t="shared" ref="S77:S140" si="9">IF(C77="","",IF(P77="Check Data ⚠","Check Data ⚠",IF(G77="","",IF($O77="Check details - Is there evidence that habitat has reached target condition? ⚠","No - Low Difficulty - only applicable if all habitat created before losses ⚠","Standard difficulty applied"))))</f>
        <v/>
      </c>
      <c r="T77" s="320" t="str">
        <f t="shared" ref="T77:T140" si="10">(IF(AND(S77="Standard difficulty applied",L77&gt;M77),R77,IF(AND(S77="No - Low Difficulty - only applicable if all habitat created before losses ⚠",M77&gt;=L77),"Low",R77)))</f>
        <v/>
      </c>
      <c r="U77" s="282" t="str">
        <f>IF(C77="","",VLOOKUP(T77,'G-3 Multipliers'!$P$2:$Q$6,2,FALSE))</f>
        <v/>
      </c>
      <c r="V77" s="106"/>
      <c r="W77" s="282" t="str">
        <f>IF(V77="","",IF(AND(V77="N/A - Culvert",C77&lt;&gt;"Culvert"),"Not possible ▲",IF(AND(C77="Culvert",V77&lt;&gt;"N/A - Culvert"),"Not possible ▲",IF(VLOOKUP(V77,'G-7 WaterC'' Data'!$AA$4:$AB$7,2,FALSE)=0,"Spatial Data Missing ⚠",VLOOKUP(V77,'G-7 WaterC'' Data'!$AA$4:$AB$7,2,FALSE)))))</f>
        <v/>
      </c>
      <c r="X77" s="56"/>
      <c r="Y77" s="282" t="str">
        <f>IF(X77="","",IF(AND(X77="N/A - Culvert", C77&lt;&gt;"Culvert"), "Not possible ▲",IF(AND(C77="Culvert",X77&lt;&gt;"N/A - Culvert"),"Not possible ▲",IF(VLOOKUP(X77,'G-7 WaterC'' Data'!$AD$4:$AE$14,2,FALSE)=0,"Enrcoachment Data Missing ⚠",VLOOKUP(X77,'G-7 WaterC'' Data'!$AD$4:$AE$14,2,FALSE)))))</f>
        <v/>
      </c>
      <c r="Z77" s="106"/>
      <c r="AA77" s="282" t="str">
        <f>IF(Z77="","",IF(VLOOKUP(Z77,'G-7 WaterC'' Data'!$AO$4:$BO$7,2,FALSE)=0,"Spatial Data Missing ⚠",VLOOKUP(Z77,'G-7 WaterC'' Data'!$AO$4:$BO$7,2,FALSE)))</f>
        <v/>
      </c>
      <c r="AB77" s="323" t="str">
        <f t="shared" ref="AB77:AB140" si="11">IFERROR(D77*F77*H77*K77*Q77*U77*W77*Y77*AA77,"")</f>
        <v/>
      </c>
      <c r="AC77" s="323" t="str">
        <f t="shared" ref="AC77:AC140" si="12">IFERROR(IF(AND(Z77&lt;&gt;"",AG77=""),"Off-site reference required ▲",(IF(Z77="","",D77*F77*H77*K77*Q77*U77*W77*Y77))),"")</f>
        <v/>
      </c>
      <c r="AD77" s="105"/>
      <c r="AE77" s="968"/>
      <c r="AF77" s="142"/>
      <c r="AG77" s="142"/>
      <c r="AH77" s="964"/>
      <c r="AL77" s="30" t="str">
        <f>IFERROR(INDEX('G-7 WaterC'' Data'!$AZ$3:$AZ$7,MATCH(C77,'G-7 WaterC'' Data'!$AY$3:$AY$7,0)),"")</f>
        <v/>
      </c>
      <c r="AN77" s="30" t="str">
        <f t="shared" ref="AN77:AN140" si="13">IF(AND(C77="Ditches",(OR(G77="Fairly Poor",G77="Fairly Good"))), "Yes", "No")</f>
        <v>No</v>
      </c>
    </row>
    <row r="78" spans="2:40" ht="13.8" x14ac:dyDescent="0.25">
      <c r="B78" s="101">
        <v>67</v>
      </c>
      <c r="C78" s="953"/>
      <c r="D78" s="119"/>
      <c r="E78" s="281" t="str">
        <f>IF(C78="","",VLOOKUP(C78,'G-7 WaterC'' Data'!$B$2:$Z$9,2,FALSE))</f>
        <v/>
      </c>
      <c r="F78" s="282" t="str">
        <f>IFERROR(VLOOKUP(E78,'G-7 WaterC'' Data'!$C$4:$D$8,2,FALSE),"")</f>
        <v/>
      </c>
      <c r="G78" s="52"/>
      <c r="H78" s="282" t="str">
        <f>IFERROR(INDEX('G-7 WaterC'' Data'!$H$4:$L$8,MATCH(C78,'G-7 WaterC'' Data'!$B$4:$B$8,0),MATCH(G78,'G-7 WaterC'' Data'!$H$3:$L$3,0)),"")</f>
        <v/>
      </c>
      <c r="I78" s="52"/>
      <c r="J78" s="320" t="str">
        <f>IF(I78="","",IF(VLOOKUP(I78,'G-7 WaterC'' Data'!$AK$4:$AM$6,2,FALSE)=0,"Spatial Data Missing ⚠",VLOOKUP(I78,'G-7 WaterC'' Data'!$AK$4:$AM$6,2,FALSE)))</f>
        <v/>
      </c>
      <c r="K78" s="282" t="str">
        <f>IF(I78="","",IF(VLOOKUP(I78,'G-7 WaterC'' Data'!$AK$4:$AM$6,3,FALSE)=0,"Spatial Data Missing ⚠",VLOOKUP(I78,'G-7 WaterC'' Data'!$AK$4:$AM$6,3,FALSE)))</f>
        <v/>
      </c>
      <c r="L78" s="382" t="str">
        <f>IFERROR(INDEX('G-7 WaterC'' Data'!$O$3:$O$7,MATCH(G78,'G-7 WaterC'' Data'!$N$3:$N$7,0)),"")</f>
        <v/>
      </c>
      <c r="M78" s="53"/>
      <c r="N78" s="137"/>
      <c r="O78" s="289" t="str">
        <f t="shared" si="7"/>
        <v/>
      </c>
      <c r="P78" s="302" t="str">
        <f t="shared" si="8"/>
        <v/>
      </c>
      <c r="Q78" s="340" t="str">
        <f>IFERROR(IF(P78="Check Data ⚠","Check Data ⚠",VLOOKUP(P78,'G-4 Temporal multipliers'!$A$4:$C$37,3,FALSE)),"")</f>
        <v/>
      </c>
      <c r="R78" s="281" t="str">
        <f>IF(C78="","",VLOOKUP(C78,'G-7 WaterC'' Data'!$B$4:$G$8,4,FALSE))</f>
        <v/>
      </c>
      <c r="S78" s="289" t="str">
        <f t="shared" si="9"/>
        <v/>
      </c>
      <c r="T78" s="320" t="str">
        <f t="shared" si="10"/>
        <v/>
      </c>
      <c r="U78" s="282" t="str">
        <f>IF(C78="","",VLOOKUP(T78,'G-3 Multipliers'!$P$2:$Q$6,2,FALSE))</f>
        <v/>
      </c>
      <c r="V78" s="106"/>
      <c r="W78" s="282" t="str">
        <f>IF(V78="","",IF(AND(V78="N/A - Culvert",C78&lt;&gt;"Culvert"),"Not possible ▲",IF(AND(C78="Culvert",V78&lt;&gt;"N/A - Culvert"),"Not possible ▲",IF(VLOOKUP(V78,'G-7 WaterC'' Data'!$AA$4:$AB$7,2,FALSE)=0,"Spatial Data Missing ⚠",VLOOKUP(V78,'G-7 WaterC'' Data'!$AA$4:$AB$7,2,FALSE)))))</f>
        <v/>
      </c>
      <c r="X78" s="56"/>
      <c r="Y78" s="282" t="str">
        <f>IF(X78="","",IF(AND(X78="N/A - Culvert", C78&lt;&gt;"Culvert"), "Not possible ▲",IF(AND(C78="Culvert",X78&lt;&gt;"N/A - Culvert"),"Not possible ▲",IF(VLOOKUP(X78,'G-7 WaterC'' Data'!$AD$4:$AE$14,2,FALSE)=0,"Enrcoachment Data Missing ⚠",VLOOKUP(X78,'G-7 WaterC'' Data'!$AD$4:$AE$14,2,FALSE)))))</f>
        <v/>
      </c>
      <c r="Z78" s="106"/>
      <c r="AA78" s="282" t="str">
        <f>IF(Z78="","",IF(VLOOKUP(Z78,'G-7 WaterC'' Data'!$AO$4:$BO$7,2,FALSE)=0,"Spatial Data Missing ⚠",VLOOKUP(Z78,'G-7 WaterC'' Data'!$AO$4:$BO$7,2,FALSE)))</f>
        <v/>
      </c>
      <c r="AB78" s="323" t="str">
        <f t="shared" si="11"/>
        <v/>
      </c>
      <c r="AC78" s="323" t="str">
        <f t="shared" si="12"/>
        <v/>
      </c>
      <c r="AD78" s="105"/>
      <c r="AE78" s="968"/>
      <c r="AF78" s="142"/>
      <c r="AG78" s="142"/>
      <c r="AH78" s="964"/>
      <c r="AL78" s="30" t="str">
        <f>IFERROR(INDEX('G-7 WaterC'' Data'!$AZ$3:$AZ$7,MATCH(C78,'G-7 WaterC'' Data'!$AY$3:$AY$7,0)),"")</f>
        <v/>
      </c>
      <c r="AN78" s="30" t="str">
        <f t="shared" si="13"/>
        <v>No</v>
      </c>
    </row>
    <row r="79" spans="2:40" ht="13.8" x14ac:dyDescent="0.25">
      <c r="B79" s="101">
        <v>68</v>
      </c>
      <c r="C79" s="953"/>
      <c r="D79" s="119"/>
      <c r="E79" s="281" t="str">
        <f>IF(C79="","",VLOOKUP(C79,'G-7 WaterC'' Data'!$B$2:$Z$9,2,FALSE))</f>
        <v/>
      </c>
      <c r="F79" s="282" t="str">
        <f>IFERROR(VLOOKUP(E79,'G-7 WaterC'' Data'!$C$4:$D$8,2,FALSE),"")</f>
        <v/>
      </c>
      <c r="G79" s="52"/>
      <c r="H79" s="282" t="str">
        <f>IFERROR(INDEX('G-7 WaterC'' Data'!$H$4:$L$8,MATCH(C79,'G-7 WaterC'' Data'!$B$4:$B$8,0),MATCH(G79,'G-7 WaterC'' Data'!$H$3:$L$3,0)),"")</f>
        <v/>
      </c>
      <c r="I79" s="52"/>
      <c r="J79" s="320" t="str">
        <f>IF(I79="","",IF(VLOOKUP(I79,'G-7 WaterC'' Data'!$AK$4:$AM$6,2,FALSE)=0,"Spatial Data Missing ⚠",VLOOKUP(I79,'G-7 WaterC'' Data'!$AK$4:$AM$6,2,FALSE)))</f>
        <v/>
      </c>
      <c r="K79" s="282" t="str">
        <f>IF(I79="","",IF(VLOOKUP(I79,'G-7 WaterC'' Data'!$AK$4:$AM$6,3,FALSE)=0,"Spatial Data Missing ⚠",VLOOKUP(I79,'G-7 WaterC'' Data'!$AK$4:$AM$6,3,FALSE)))</f>
        <v/>
      </c>
      <c r="L79" s="382" t="str">
        <f>IFERROR(INDEX('G-7 WaterC'' Data'!$O$3:$O$7,MATCH(G79,'G-7 WaterC'' Data'!$N$3:$N$7,0)),"")</f>
        <v/>
      </c>
      <c r="M79" s="53"/>
      <c r="N79" s="137"/>
      <c r="O79" s="289" t="str">
        <f t="shared" si="7"/>
        <v/>
      </c>
      <c r="P79" s="302" t="str">
        <f t="shared" si="8"/>
        <v/>
      </c>
      <c r="Q79" s="340" t="str">
        <f>IFERROR(IF(P79="Check Data ⚠","Check Data ⚠",VLOOKUP(P79,'G-4 Temporal multipliers'!$A$4:$C$37,3,FALSE)),"")</f>
        <v/>
      </c>
      <c r="R79" s="281" t="str">
        <f>IF(C79="","",VLOOKUP(C79,'G-7 WaterC'' Data'!$B$4:$G$8,4,FALSE))</f>
        <v/>
      </c>
      <c r="S79" s="289" t="str">
        <f t="shared" si="9"/>
        <v/>
      </c>
      <c r="T79" s="320" t="str">
        <f t="shared" si="10"/>
        <v/>
      </c>
      <c r="U79" s="282" t="str">
        <f>IF(C79="","",VLOOKUP(T79,'G-3 Multipliers'!$P$2:$Q$6,2,FALSE))</f>
        <v/>
      </c>
      <c r="V79" s="106"/>
      <c r="W79" s="282" t="str">
        <f>IF(V79="","",IF(AND(V79="N/A - Culvert",C79&lt;&gt;"Culvert"),"Not possible ▲",IF(AND(C79="Culvert",V79&lt;&gt;"N/A - Culvert"),"Not possible ▲",IF(VLOOKUP(V79,'G-7 WaterC'' Data'!$AA$4:$AB$7,2,FALSE)=0,"Spatial Data Missing ⚠",VLOOKUP(V79,'G-7 WaterC'' Data'!$AA$4:$AB$7,2,FALSE)))))</f>
        <v/>
      </c>
      <c r="X79" s="56"/>
      <c r="Y79" s="282" t="str">
        <f>IF(X79="","",IF(AND(X79="N/A - Culvert", C79&lt;&gt;"Culvert"), "Not possible ▲",IF(AND(C79="Culvert",X79&lt;&gt;"N/A - Culvert"),"Not possible ▲",IF(VLOOKUP(X79,'G-7 WaterC'' Data'!$AD$4:$AE$14,2,FALSE)=0,"Enrcoachment Data Missing ⚠",VLOOKUP(X79,'G-7 WaterC'' Data'!$AD$4:$AE$14,2,FALSE)))))</f>
        <v/>
      </c>
      <c r="Z79" s="106"/>
      <c r="AA79" s="282" t="str">
        <f>IF(Z79="","",IF(VLOOKUP(Z79,'G-7 WaterC'' Data'!$AO$4:$BO$7,2,FALSE)=0,"Spatial Data Missing ⚠",VLOOKUP(Z79,'G-7 WaterC'' Data'!$AO$4:$BO$7,2,FALSE)))</f>
        <v/>
      </c>
      <c r="AB79" s="323" t="str">
        <f t="shared" si="11"/>
        <v/>
      </c>
      <c r="AC79" s="323" t="str">
        <f t="shared" si="12"/>
        <v/>
      </c>
      <c r="AD79" s="105"/>
      <c r="AE79" s="968"/>
      <c r="AF79" s="142"/>
      <c r="AG79" s="142"/>
      <c r="AH79" s="964"/>
      <c r="AL79" s="30" t="str">
        <f>IFERROR(INDEX('G-7 WaterC'' Data'!$AZ$3:$AZ$7,MATCH(C79,'G-7 WaterC'' Data'!$AY$3:$AY$7,0)),"")</f>
        <v/>
      </c>
      <c r="AN79" s="30" t="str">
        <f t="shared" si="13"/>
        <v>No</v>
      </c>
    </row>
    <row r="80" spans="2:40" ht="13.8" x14ac:dyDescent="0.25">
      <c r="B80" s="101">
        <v>69</v>
      </c>
      <c r="C80" s="953"/>
      <c r="D80" s="119"/>
      <c r="E80" s="281" t="str">
        <f>IF(C80="","",VLOOKUP(C80,'G-7 WaterC'' Data'!$B$2:$Z$9,2,FALSE))</f>
        <v/>
      </c>
      <c r="F80" s="282" t="str">
        <f>IFERROR(VLOOKUP(E80,'G-7 WaterC'' Data'!$C$4:$D$8,2,FALSE),"")</f>
        <v/>
      </c>
      <c r="G80" s="52"/>
      <c r="H80" s="282" t="str">
        <f>IFERROR(INDEX('G-7 WaterC'' Data'!$H$4:$L$8,MATCH(C80,'G-7 WaterC'' Data'!$B$4:$B$8,0),MATCH(G80,'G-7 WaterC'' Data'!$H$3:$L$3,0)),"")</f>
        <v/>
      </c>
      <c r="I80" s="52"/>
      <c r="J80" s="320" t="str">
        <f>IF(I80="","",IF(VLOOKUP(I80,'G-7 WaterC'' Data'!$AK$4:$AM$6,2,FALSE)=0,"Spatial Data Missing ⚠",VLOOKUP(I80,'G-7 WaterC'' Data'!$AK$4:$AM$6,2,FALSE)))</f>
        <v/>
      </c>
      <c r="K80" s="282" t="str">
        <f>IF(I80="","",IF(VLOOKUP(I80,'G-7 WaterC'' Data'!$AK$4:$AM$6,3,FALSE)=0,"Spatial Data Missing ⚠",VLOOKUP(I80,'G-7 WaterC'' Data'!$AK$4:$AM$6,3,FALSE)))</f>
        <v/>
      </c>
      <c r="L80" s="382" t="str">
        <f>IFERROR(INDEX('G-7 WaterC'' Data'!$O$3:$O$7,MATCH(G80,'G-7 WaterC'' Data'!$N$3:$N$7,0)),"")</f>
        <v/>
      </c>
      <c r="M80" s="53"/>
      <c r="N80" s="137"/>
      <c r="O80" s="289" t="str">
        <f t="shared" si="7"/>
        <v/>
      </c>
      <c r="P80" s="302" t="str">
        <f t="shared" si="8"/>
        <v/>
      </c>
      <c r="Q80" s="340" t="str">
        <f>IFERROR(IF(P80="Check Data ⚠","Check Data ⚠",VLOOKUP(P80,'G-4 Temporal multipliers'!$A$4:$C$37,3,FALSE)),"")</f>
        <v/>
      </c>
      <c r="R80" s="281" t="str">
        <f>IF(C80="","",VLOOKUP(C80,'G-7 WaterC'' Data'!$B$4:$G$8,4,FALSE))</f>
        <v/>
      </c>
      <c r="S80" s="289" t="str">
        <f t="shared" si="9"/>
        <v/>
      </c>
      <c r="T80" s="320" t="str">
        <f t="shared" si="10"/>
        <v/>
      </c>
      <c r="U80" s="282" t="str">
        <f>IF(C80="","",VLOOKUP(T80,'G-3 Multipliers'!$P$2:$Q$6,2,FALSE))</f>
        <v/>
      </c>
      <c r="V80" s="106"/>
      <c r="W80" s="282" t="str">
        <f>IF(V80="","",IF(AND(V80="N/A - Culvert",C80&lt;&gt;"Culvert"),"Not possible ▲",IF(AND(C80="Culvert",V80&lt;&gt;"N/A - Culvert"),"Not possible ▲",IF(VLOOKUP(V80,'G-7 WaterC'' Data'!$AA$4:$AB$7,2,FALSE)=0,"Spatial Data Missing ⚠",VLOOKUP(V80,'G-7 WaterC'' Data'!$AA$4:$AB$7,2,FALSE)))))</f>
        <v/>
      </c>
      <c r="X80" s="56"/>
      <c r="Y80" s="282" t="str">
        <f>IF(X80="","",IF(AND(X80="N/A - Culvert", C80&lt;&gt;"Culvert"), "Not possible ▲",IF(AND(C80="Culvert",X80&lt;&gt;"N/A - Culvert"),"Not possible ▲",IF(VLOOKUP(X80,'G-7 WaterC'' Data'!$AD$4:$AE$14,2,FALSE)=0,"Enrcoachment Data Missing ⚠",VLOOKUP(X80,'G-7 WaterC'' Data'!$AD$4:$AE$14,2,FALSE)))))</f>
        <v/>
      </c>
      <c r="Z80" s="106"/>
      <c r="AA80" s="282" t="str">
        <f>IF(Z80="","",IF(VLOOKUP(Z80,'G-7 WaterC'' Data'!$AO$4:$BO$7,2,FALSE)=0,"Spatial Data Missing ⚠",VLOOKUP(Z80,'G-7 WaterC'' Data'!$AO$4:$BO$7,2,FALSE)))</f>
        <v/>
      </c>
      <c r="AB80" s="323" t="str">
        <f t="shared" si="11"/>
        <v/>
      </c>
      <c r="AC80" s="323" t="str">
        <f t="shared" si="12"/>
        <v/>
      </c>
      <c r="AD80" s="105"/>
      <c r="AE80" s="968"/>
      <c r="AF80" s="142"/>
      <c r="AG80" s="142"/>
      <c r="AH80" s="964"/>
      <c r="AL80" s="30" t="str">
        <f>IFERROR(INDEX('G-7 WaterC'' Data'!$AZ$3:$AZ$7,MATCH(C80,'G-7 WaterC'' Data'!$AY$3:$AY$7,0)),"")</f>
        <v/>
      </c>
      <c r="AN80" s="30" t="str">
        <f t="shared" si="13"/>
        <v>No</v>
      </c>
    </row>
    <row r="81" spans="2:40" ht="13.8" x14ac:dyDescent="0.25">
      <c r="B81" s="101">
        <v>70</v>
      </c>
      <c r="C81" s="953"/>
      <c r="D81" s="119"/>
      <c r="E81" s="281" t="str">
        <f>IF(C81="","",VLOOKUP(C81,'G-7 WaterC'' Data'!$B$2:$Z$9,2,FALSE))</f>
        <v/>
      </c>
      <c r="F81" s="282" t="str">
        <f>IFERROR(VLOOKUP(E81,'G-7 WaterC'' Data'!$C$4:$D$8,2,FALSE),"")</f>
        <v/>
      </c>
      <c r="G81" s="52"/>
      <c r="H81" s="282" t="str">
        <f>IFERROR(INDEX('G-7 WaterC'' Data'!$H$4:$L$8,MATCH(C81,'G-7 WaterC'' Data'!$B$4:$B$8,0),MATCH(G81,'G-7 WaterC'' Data'!$H$3:$L$3,0)),"")</f>
        <v/>
      </c>
      <c r="I81" s="52"/>
      <c r="J81" s="320" t="str">
        <f>IF(I81="","",IF(VLOOKUP(I81,'G-7 WaterC'' Data'!$AK$4:$AM$6,2,FALSE)=0,"Spatial Data Missing ⚠",VLOOKUP(I81,'G-7 WaterC'' Data'!$AK$4:$AM$6,2,FALSE)))</f>
        <v/>
      </c>
      <c r="K81" s="282" t="str">
        <f>IF(I81="","",IF(VLOOKUP(I81,'G-7 WaterC'' Data'!$AK$4:$AM$6,3,FALSE)=0,"Spatial Data Missing ⚠",VLOOKUP(I81,'G-7 WaterC'' Data'!$AK$4:$AM$6,3,FALSE)))</f>
        <v/>
      </c>
      <c r="L81" s="382" t="str">
        <f>IFERROR(INDEX('G-7 WaterC'' Data'!$O$3:$O$7,MATCH(G81,'G-7 WaterC'' Data'!$N$3:$N$7,0)),"")</f>
        <v/>
      </c>
      <c r="M81" s="53"/>
      <c r="N81" s="137"/>
      <c r="O81" s="289" t="str">
        <f t="shared" si="7"/>
        <v/>
      </c>
      <c r="P81" s="302" t="str">
        <f t="shared" si="8"/>
        <v/>
      </c>
      <c r="Q81" s="340" t="str">
        <f>IFERROR(IF(P81="Check Data ⚠","Check Data ⚠",VLOOKUP(P81,'G-4 Temporal multipliers'!$A$4:$C$37,3,FALSE)),"")</f>
        <v/>
      </c>
      <c r="R81" s="281" t="str">
        <f>IF(C81="","",VLOOKUP(C81,'G-7 WaterC'' Data'!$B$4:$G$8,4,FALSE))</f>
        <v/>
      </c>
      <c r="S81" s="289" t="str">
        <f t="shared" si="9"/>
        <v/>
      </c>
      <c r="T81" s="320" t="str">
        <f t="shared" si="10"/>
        <v/>
      </c>
      <c r="U81" s="282" t="str">
        <f>IF(C81="","",VLOOKUP(T81,'G-3 Multipliers'!$P$2:$Q$6,2,FALSE))</f>
        <v/>
      </c>
      <c r="V81" s="106"/>
      <c r="W81" s="282" t="str">
        <f>IF(V81="","",IF(AND(V81="N/A - Culvert",C81&lt;&gt;"Culvert"),"Not possible ▲",IF(AND(C81="Culvert",V81&lt;&gt;"N/A - Culvert"),"Not possible ▲",IF(VLOOKUP(V81,'G-7 WaterC'' Data'!$AA$4:$AB$7,2,FALSE)=0,"Spatial Data Missing ⚠",VLOOKUP(V81,'G-7 WaterC'' Data'!$AA$4:$AB$7,2,FALSE)))))</f>
        <v/>
      </c>
      <c r="X81" s="56"/>
      <c r="Y81" s="282" t="str">
        <f>IF(X81="","",IF(AND(X81="N/A - Culvert", C81&lt;&gt;"Culvert"), "Not possible ▲",IF(AND(C81="Culvert",X81&lt;&gt;"N/A - Culvert"),"Not possible ▲",IF(VLOOKUP(X81,'G-7 WaterC'' Data'!$AD$4:$AE$14,2,FALSE)=0,"Enrcoachment Data Missing ⚠",VLOOKUP(X81,'G-7 WaterC'' Data'!$AD$4:$AE$14,2,FALSE)))))</f>
        <v/>
      </c>
      <c r="Z81" s="106"/>
      <c r="AA81" s="282" t="str">
        <f>IF(Z81="","",IF(VLOOKUP(Z81,'G-7 WaterC'' Data'!$AO$4:$BO$7,2,FALSE)=0,"Spatial Data Missing ⚠",VLOOKUP(Z81,'G-7 WaterC'' Data'!$AO$4:$BO$7,2,FALSE)))</f>
        <v/>
      </c>
      <c r="AB81" s="323" t="str">
        <f t="shared" si="11"/>
        <v/>
      </c>
      <c r="AC81" s="323" t="str">
        <f t="shared" si="12"/>
        <v/>
      </c>
      <c r="AD81" s="105"/>
      <c r="AE81" s="968"/>
      <c r="AF81" s="142"/>
      <c r="AG81" s="142"/>
      <c r="AH81" s="964"/>
      <c r="AL81" s="30" t="str">
        <f>IFERROR(INDEX('G-7 WaterC'' Data'!$AZ$3:$AZ$7,MATCH(C81,'G-7 WaterC'' Data'!$AY$3:$AY$7,0)),"")</f>
        <v/>
      </c>
      <c r="AN81" s="30" t="str">
        <f t="shared" si="13"/>
        <v>No</v>
      </c>
    </row>
    <row r="82" spans="2:40" ht="13.8" x14ac:dyDescent="0.25">
      <c r="B82" s="101">
        <v>71</v>
      </c>
      <c r="C82" s="953"/>
      <c r="D82" s="119"/>
      <c r="E82" s="281" t="str">
        <f>IF(C82="","",VLOOKUP(C82,'G-7 WaterC'' Data'!$B$2:$Z$9,2,FALSE))</f>
        <v/>
      </c>
      <c r="F82" s="282" t="str">
        <f>IFERROR(VLOOKUP(E82,'G-7 WaterC'' Data'!$C$4:$D$8,2,FALSE),"")</f>
        <v/>
      </c>
      <c r="G82" s="52"/>
      <c r="H82" s="282" t="str">
        <f>IFERROR(INDEX('G-7 WaterC'' Data'!$H$4:$L$8,MATCH(C82,'G-7 WaterC'' Data'!$B$4:$B$8,0),MATCH(G82,'G-7 WaterC'' Data'!$H$3:$L$3,0)),"")</f>
        <v/>
      </c>
      <c r="I82" s="52"/>
      <c r="J82" s="320" t="str">
        <f>IF(I82="","",IF(VLOOKUP(I82,'G-7 WaterC'' Data'!$AK$4:$AM$6,2,FALSE)=0,"Spatial Data Missing ⚠",VLOOKUP(I82,'G-7 WaterC'' Data'!$AK$4:$AM$6,2,FALSE)))</f>
        <v/>
      </c>
      <c r="K82" s="282" t="str">
        <f>IF(I82="","",IF(VLOOKUP(I82,'G-7 WaterC'' Data'!$AK$4:$AM$6,3,FALSE)=0,"Spatial Data Missing ⚠",VLOOKUP(I82,'G-7 WaterC'' Data'!$AK$4:$AM$6,3,FALSE)))</f>
        <v/>
      </c>
      <c r="L82" s="382" t="str">
        <f>IFERROR(INDEX('G-7 WaterC'' Data'!$O$3:$O$7,MATCH(G82,'G-7 WaterC'' Data'!$N$3:$N$7,0)),"")</f>
        <v/>
      </c>
      <c r="M82" s="53"/>
      <c r="N82" s="137"/>
      <c r="O82" s="289" t="str">
        <f t="shared" si="7"/>
        <v/>
      </c>
      <c r="P82" s="302" t="str">
        <f t="shared" si="8"/>
        <v/>
      </c>
      <c r="Q82" s="340" t="str">
        <f>IFERROR(IF(P82="Check Data ⚠","Check Data ⚠",VLOOKUP(P82,'G-4 Temporal multipliers'!$A$4:$C$37,3,FALSE)),"")</f>
        <v/>
      </c>
      <c r="R82" s="281" t="str">
        <f>IF(C82="","",VLOOKUP(C82,'G-7 WaterC'' Data'!$B$4:$G$8,4,FALSE))</f>
        <v/>
      </c>
      <c r="S82" s="289" t="str">
        <f t="shared" si="9"/>
        <v/>
      </c>
      <c r="T82" s="320" t="str">
        <f t="shared" si="10"/>
        <v/>
      </c>
      <c r="U82" s="282" t="str">
        <f>IF(C82="","",VLOOKUP(T82,'G-3 Multipliers'!$P$2:$Q$6,2,FALSE))</f>
        <v/>
      </c>
      <c r="V82" s="106"/>
      <c r="W82" s="282" t="str">
        <f>IF(V82="","",IF(AND(V82="N/A - Culvert",C82&lt;&gt;"Culvert"),"Not possible ▲",IF(AND(C82="Culvert",V82&lt;&gt;"N/A - Culvert"),"Not possible ▲",IF(VLOOKUP(V82,'G-7 WaterC'' Data'!$AA$4:$AB$7,2,FALSE)=0,"Spatial Data Missing ⚠",VLOOKUP(V82,'G-7 WaterC'' Data'!$AA$4:$AB$7,2,FALSE)))))</f>
        <v/>
      </c>
      <c r="X82" s="56"/>
      <c r="Y82" s="282" t="str">
        <f>IF(X82="","",IF(AND(X82="N/A - Culvert", C82&lt;&gt;"Culvert"), "Not possible ▲",IF(AND(C82="Culvert",X82&lt;&gt;"N/A - Culvert"),"Not possible ▲",IF(VLOOKUP(X82,'G-7 WaterC'' Data'!$AD$4:$AE$14,2,FALSE)=0,"Enrcoachment Data Missing ⚠",VLOOKUP(X82,'G-7 WaterC'' Data'!$AD$4:$AE$14,2,FALSE)))))</f>
        <v/>
      </c>
      <c r="Z82" s="106"/>
      <c r="AA82" s="282" t="str">
        <f>IF(Z82="","",IF(VLOOKUP(Z82,'G-7 WaterC'' Data'!$AO$4:$BO$7,2,FALSE)=0,"Spatial Data Missing ⚠",VLOOKUP(Z82,'G-7 WaterC'' Data'!$AO$4:$BO$7,2,FALSE)))</f>
        <v/>
      </c>
      <c r="AB82" s="323" t="str">
        <f t="shared" si="11"/>
        <v/>
      </c>
      <c r="AC82" s="323" t="str">
        <f t="shared" si="12"/>
        <v/>
      </c>
      <c r="AD82" s="105"/>
      <c r="AE82" s="968"/>
      <c r="AF82" s="142"/>
      <c r="AG82" s="142"/>
      <c r="AH82" s="964"/>
      <c r="AL82" s="30" t="str">
        <f>IFERROR(INDEX('G-7 WaterC'' Data'!$AZ$3:$AZ$7,MATCH(C82,'G-7 WaterC'' Data'!$AY$3:$AY$7,0)),"")</f>
        <v/>
      </c>
      <c r="AN82" s="30" t="str">
        <f t="shared" si="13"/>
        <v>No</v>
      </c>
    </row>
    <row r="83" spans="2:40" ht="13.8" x14ac:dyDescent="0.25">
      <c r="B83" s="101">
        <v>72</v>
      </c>
      <c r="C83" s="953"/>
      <c r="D83" s="119"/>
      <c r="E83" s="281" t="str">
        <f>IF(C83="","",VLOOKUP(C83,'G-7 WaterC'' Data'!$B$2:$Z$9,2,FALSE))</f>
        <v/>
      </c>
      <c r="F83" s="282" t="str">
        <f>IFERROR(VLOOKUP(E83,'G-7 WaterC'' Data'!$C$4:$D$8,2,FALSE),"")</f>
        <v/>
      </c>
      <c r="G83" s="52"/>
      <c r="H83" s="282" t="str">
        <f>IFERROR(INDEX('G-7 WaterC'' Data'!$H$4:$L$8,MATCH(C83,'G-7 WaterC'' Data'!$B$4:$B$8,0),MATCH(G83,'G-7 WaterC'' Data'!$H$3:$L$3,0)),"")</f>
        <v/>
      </c>
      <c r="I83" s="52"/>
      <c r="J83" s="320" t="str">
        <f>IF(I83="","",IF(VLOOKUP(I83,'G-7 WaterC'' Data'!$AK$4:$AM$6,2,FALSE)=0,"Spatial Data Missing ⚠",VLOOKUP(I83,'G-7 WaterC'' Data'!$AK$4:$AM$6,2,FALSE)))</f>
        <v/>
      </c>
      <c r="K83" s="282" t="str">
        <f>IF(I83="","",IF(VLOOKUP(I83,'G-7 WaterC'' Data'!$AK$4:$AM$6,3,FALSE)=0,"Spatial Data Missing ⚠",VLOOKUP(I83,'G-7 WaterC'' Data'!$AK$4:$AM$6,3,FALSE)))</f>
        <v/>
      </c>
      <c r="L83" s="382" t="str">
        <f>IFERROR(INDEX('G-7 WaterC'' Data'!$O$3:$O$7,MATCH(G83,'G-7 WaterC'' Data'!$N$3:$N$7,0)),"")</f>
        <v/>
      </c>
      <c r="M83" s="53"/>
      <c r="N83" s="137"/>
      <c r="O83" s="289" t="str">
        <f t="shared" si="7"/>
        <v/>
      </c>
      <c r="P83" s="302" t="str">
        <f t="shared" si="8"/>
        <v/>
      </c>
      <c r="Q83" s="340" t="str">
        <f>IFERROR(IF(P83="Check Data ⚠","Check Data ⚠",VLOOKUP(P83,'G-4 Temporal multipliers'!$A$4:$C$37,3,FALSE)),"")</f>
        <v/>
      </c>
      <c r="R83" s="281" t="str">
        <f>IF(C83="","",VLOOKUP(C83,'G-7 WaterC'' Data'!$B$4:$G$8,4,FALSE))</f>
        <v/>
      </c>
      <c r="S83" s="289" t="str">
        <f t="shared" si="9"/>
        <v/>
      </c>
      <c r="T83" s="320" t="str">
        <f t="shared" si="10"/>
        <v/>
      </c>
      <c r="U83" s="282" t="str">
        <f>IF(C83="","",VLOOKUP(T83,'G-3 Multipliers'!$P$2:$Q$6,2,FALSE))</f>
        <v/>
      </c>
      <c r="V83" s="106"/>
      <c r="W83" s="282" t="str">
        <f>IF(V83="","",IF(AND(V83="N/A - Culvert",C83&lt;&gt;"Culvert"),"Not possible ▲",IF(AND(C83="Culvert",V83&lt;&gt;"N/A - Culvert"),"Not possible ▲",IF(VLOOKUP(V83,'G-7 WaterC'' Data'!$AA$4:$AB$7,2,FALSE)=0,"Spatial Data Missing ⚠",VLOOKUP(V83,'G-7 WaterC'' Data'!$AA$4:$AB$7,2,FALSE)))))</f>
        <v/>
      </c>
      <c r="X83" s="56"/>
      <c r="Y83" s="282" t="str">
        <f>IF(X83="","",IF(AND(X83="N/A - Culvert", C83&lt;&gt;"Culvert"), "Not possible ▲",IF(AND(C83="Culvert",X83&lt;&gt;"N/A - Culvert"),"Not possible ▲",IF(VLOOKUP(X83,'G-7 WaterC'' Data'!$AD$4:$AE$14,2,FALSE)=0,"Enrcoachment Data Missing ⚠",VLOOKUP(X83,'G-7 WaterC'' Data'!$AD$4:$AE$14,2,FALSE)))))</f>
        <v/>
      </c>
      <c r="Z83" s="106"/>
      <c r="AA83" s="282" t="str">
        <f>IF(Z83="","",IF(VLOOKUP(Z83,'G-7 WaterC'' Data'!$AO$4:$BO$7,2,FALSE)=0,"Spatial Data Missing ⚠",VLOOKUP(Z83,'G-7 WaterC'' Data'!$AO$4:$BO$7,2,FALSE)))</f>
        <v/>
      </c>
      <c r="AB83" s="323" t="str">
        <f t="shared" si="11"/>
        <v/>
      </c>
      <c r="AC83" s="323" t="str">
        <f t="shared" si="12"/>
        <v/>
      </c>
      <c r="AD83" s="105"/>
      <c r="AE83" s="968"/>
      <c r="AF83" s="142"/>
      <c r="AG83" s="142"/>
      <c r="AH83" s="964"/>
      <c r="AL83" s="30" t="str">
        <f>IFERROR(INDEX('G-7 WaterC'' Data'!$AZ$3:$AZ$7,MATCH(C83,'G-7 WaterC'' Data'!$AY$3:$AY$7,0)),"")</f>
        <v/>
      </c>
      <c r="AN83" s="30" t="str">
        <f t="shared" si="13"/>
        <v>No</v>
      </c>
    </row>
    <row r="84" spans="2:40" ht="13.8" x14ac:dyDescent="0.25">
      <c r="B84" s="101">
        <v>73</v>
      </c>
      <c r="C84" s="953"/>
      <c r="D84" s="119"/>
      <c r="E84" s="281" t="str">
        <f>IF(C84="","",VLOOKUP(C84,'G-7 WaterC'' Data'!$B$2:$Z$9,2,FALSE))</f>
        <v/>
      </c>
      <c r="F84" s="282" t="str">
        <f>IFERROR(VLOOKUP(E84,'G-7 WaterC'' Data'!$C$4:$D$8,2,FALSE),"")</f>
        <v/>
      </c>
      <c r="G84" s="52"/>
      <c r="H84" s="282" t="str">
        <f>IFERROR(INDEX('G-7 WaterC'' Data'!$H$4:$L$8,MATCH(C84,'G-7 WaterC'' Data'!$B$4:$B$8,0),MATCH(G84,'G-7 WaterC'' Data'!$H$3:$L$3,0)),"")</f>
        <v/>
      </c>
      <c r="I84" s="52"/>
      <c r="J84" s="320" t="str">
        <f>IF(I84="","",IF(VLOOKUP(I84,'G-7 WaterC'' Data'!$AK$4:$AM$6,2,FALSE)=0,"Spatial Data Missing ⚠",VLOOKUP(I84,'G-7 WaterC'' Data'!$AK$4:$AM$6,2,FALSE)))</f>
        <v/>
      </c>
      <c r="K84" s="282" t="str">
        <f>IF(I84="","",IF(VLOOKUP(I84,'G-7 WaterC'' Data'!$AK$4:$AM$6,3,FALSE)=0,"Spatial Data Missing ⚠",VLOOKUP(I84,'G-7 WaterC'' Data'!$AK$4:$AM$6,3,FALSE)))</f>
        <v/>
      </c>
      <c r="L84" s="382" t="str">
        <f>IFERROR(INDEX('G-7 WaterC'' Data'!$O$3:$O$7,MATCH(G84,'G-7 WaterC'' Data'!$N$3:$N$7,0)),"")</f>
        <v/>
      </c>
      <c r="M84" s="53"/>
      <c r="N84" s="137"/>
      <c r="O84" s="289" t="str">
        <f t="shared" si="7"/>
        <v/>
      </c>
      <c r="P84" s="302" t="str">
        <f t="shared" si="8"/>
        <v/>
      </c>
      <c r="Q84" s="340" t="str">
        <f>IFERROR(IF(P84="Check Data ⚠","Check Data ⚠",VLOOKUP(P84,'G-4 Temporal multipliers'!$A$4:$C$37,3,FALSE)),"")</f>
        <v/>
      </c>
      <c r="R84" s="281" t="str">
        <f>IF(C84="","",VLOOKUP(C84,'G-7 WaterC'' Data'!$B$4:$G$8,4,FALSE))</f>
        <v/>
      </c>
      <c r="S84" s="289" t="str">
        <f t="shared" si="9"/>
        <v/>
      </c>
      <c r="T84" s="320" t="str">
        <f t="shared" si="10"/>
        <v/>
      </c>
      <c r="U84" s="282" t="str">
        <f>IF(C84="","",VLOOKUP(T84,'G-3 Multipliers'!$P$2:$Q$6,2,FALSE))</f>
        <v/>
      </c>
      <c r="V84" s="106"/>
      <c r="W84" s="282" t="str">
        <f>IF(V84="","",IF(AND(V84="N/A - Culvert",C84&lt;&gt;"Culvert"),"Not possible ▲",IF(AND(C84="Culvert",V84&lt;&gt;"N/A - Culvert"),"Not possible ▲",IF(VLOOKUP(V84,'G-7 WaterC'' Data'!$AA$4:$AB$7,2,FALSE)=0,"Spatial Data Missing ⚠",VLOOKUP(V84,'G-7 WaterC'' Data'!$AA$4:$AB$7,2,FALSE)))))</f>
        <v/>
      </c>
      <c r="X84" s="56"/>
      <c r="Y84" s="282" t="str">
        <f>IF(X84="","",IF(AND(X84="N/A - Culvert", C84&lt;&gt;"Culvert"), "Not possible ▲",IF(AND(C84="Culvert",X84&lt;&gt;"N/A - Culvert"),"Not possible ▲",IF(VLOOKUP(X84,'G-7 WaterC'' Data'!$AD$4:$AE$14,2,FALSE)=0,"Enrcoachment Data Missing ⚠",VLOOKUP(X84,'G-7 WaterC'' Data'!$AD$4:$AE$14,2,FALSE)))))</f>
        <v/>
      </c>
      <c r="Z84" s="106"/>
      <c r="AA84" s="282" t="str">
        <f>IF(Z84="","",IF(VLOOKUP(Z84,'G-7 WaterC'' Data'!$AO$4:$BO$7,2,FALSE)=0,"Spatial Data Missing ⚠",VLOOKUP(Z84,'G-7 WaterC'' Data'!$AO$4:$BO$7,2,FALSE)))</f>
        <v/>
      </c>
      <c r="AB84" s="323" t="str">
        <f t="shared" si="11"/>
        <v/>
      </c>
      <c r="AC84" s="323" t="str">
        <f t="shared" si="12"/>
        <v/>
      </c>
      <c r="AD84" s="105"/>
      <c r="AE84" s="968"/>
      <c r="AF84" s="142"/>
      <c r="AG84" s="142"/>
      <c r="AH84" s="964"/>
      <c r="AL84" s="30" t="str">
        <f>IFERROR(INDEX('G-7 WaterC'' Data'!$AZ$3:$AZ$7,MATCH(C84,'G-7 WaterC'' Data'!$AY$3:$AY$7,0)),"")</f>
        <v/>
      </c>
      <c r="AN84" s="30" t="str">
        <f t="shared" si="13"/>
        <v>No</v>
      </c>
    </row>
    <row r="85" spans="2:40" ht="13.8" x14ac:dyDescent="0.25">
      <c r="B85" s="101">
        <v>74</v>
      </c>
      <c r="C85" s="953"/>
      <c r="D85" s="119"/>
      <c r="E85" s="281" t="str">
        <f>IF(C85="","",VLOOKUP(C85,'G-7 WaterC'' Data'!$B$2:$Z$9,2,FALSE))</f>
        <v/>
      </c>
      <c r="F85" s="282" t="str">
        <f>IFERROR(VLOOKUP(E85,'G-7 WaterC'' Data'!$C$4:$D$8,2,FALSE),"")</f>
        <v/>
      </c>
      <c r="G85" s="52"/>
      <c r="H85" s="282" t="str">
        <f>IFERROR(INDEX('G-7 WaterC'' Data'!$H$4:$L$8,MATCH(C85,'G-7 WaterC'' Data'!$B$4:$B$8,0),MATCH(G85,'G-7 WaterC'' Data'!$H$3:$L$3,0)),"")</f>
        <v/>
      </c>
      <c r="I85" s="52"/>
      <c r="J85" s="320" t="str">
        <f>IF(I85="","",IF(VLOOKUP(I85,'G-7 WaterC'' Data'!$AK$4:$AM$6,2,FALSE)=0,"Spatial Data Missing ⚠",VLOOKUP(I85,'G-7 WaterC'' Data'!$AK$4:$AM$6,2,FALSE)))</f>
        <v/>
      </c>
      <c r="K85" s="282" t="str">
        <f>IF(I85="","",IF(VLOOKUP(I85,'G-7 WaterC'' Data'!$AK$4:$AM$6,3,FALSE)=0,"Spatial Data Missing ⚠",VLOOKUP(I85,'G-7 WaterC'' Data'!$AK$4:$AM$6,3,FALSE)))</f>
        <v/>
      </c>
      <c r="L85" s="382" t="str">
        <f>IFERROR(INDEX('G-7 WaterC'' Data'!$O$3:$O$7,MATCH(G85,'G-7 WaterC'' Data'!$N$3:$N$7,0)),"")</f>
        <v/>
      </c>
      <c r="M85" s="53"/>
      <c r="N85" s="137"/>
      <c r="O85" s="289" t="str">
        <f t="shared" si="7"/>
        <v/>
      </c>
      <c r="P85" s="302" t="str">
        <f t="shared" si="8"/>
        <v/>
      </c>
      <c r="Q85" s="340" t="str">
        <f>IFERROR(IF(P85="Check Data ⚠","Check Data ⚠",VLOOKUP(P85,'G-4 Temporal multipliers'!$A$4:$C$37,3,FALSE)),"")</f>
        <v/>
      </c>
      <c r="R85" s="281" t="str">
        <f>IF(C85="","",VLOOKUP(C85,'G-7 WaterC'' Data'!$B$4:$G$8,4,FALSE))</f>
        <v/>
      </c>
      <c r="S85" s="289" t="str">
        <f t="shared" si="9"/>
        <v/>
      </c>
      <c r="T85" s="320" t="str">
        <f t="shared" si="10"/>
        <v/>
      </c>
      <c r="U85" s="282" t="str">
        <f>IF(C85="","",VLOOKUP(T85,'G-3 Multipliers'!$P$2:$Q$6,2,FALSE))</f>
        <v/>
      </c>
      <c r="V85" s="106"/>
      <c r="W85" s="282" t="str">
        <f>IF(V85="","",IF(AND(V85="N/A - Culvert",C85&lt;&gt;"Culvert"),"Not possible ▲",IF(AND(C85="Culvert",V85&lt;&gt;"N/A - Culvert"),"Not possible ▲",IF(VLOOKUP(V85,'G-7 WaterC'' Data'!$AA$4:$AB$7,2,FALSE)=0,"Spatial Data Missing ⚠",VLOOKUP(V85,'G-7 WaterC'' Data'!$AA$4:$AB$7,2,FALSE)))))</f>
        <v/>
      </c>
      <c r="X85" s="56"/>
      <c r="Y85" s="282" t="str">
        <f>IF(X85="","",IF(AND(X85="N/A - Culvert", C85&lt;&gt;"Culvert"), "Not possible ▲",IF(AND(C85="Culvert",X85&lt;&gt;"N/A - Culvert"),"Not possible ▲",IF(VLOOKUP(X85,'G-7 WaterC'' Data'!$AD$4:$AE$14,2,FALSE)=0,"Enrcoachment Data Missing ⚠",VLOOKUP(X85,'G-7 WaterC'' Data'!$AD$4:$AE$14,2,FALSE)))))</f>
        <v/>
      </c>
      <c r="Z85" s="106"/>
      <c r="AA85" s="282" t="str">
        <f>IF(Z85="","",IF(VLOOKUP(Z85,'G-7 WaterC'' Data'!$AO$4:$BO$7,2,FALSE)=0,"Spatial Data Missing ⚠",VLOOKUP(Z85,'G-7 WaterC'' Data'!$AO$4:$BO$7,2,FALSE)))</f>
        <v/>
      </c>
      <c r="AB85" s="323" t="str">
        <f t="shared" si="11"/>
        <v/>
      </c>
      <c r="AC85" s="323" t="str">
        <f t="shared" si="12"/>
        <v/>
      </c>
      <c r="AD85" s="105"/>
      <c r="AE85" s="968"/>
      <c r="AF85" s="142"/>
      <c r="AG85" s="142"/>
      <c r="AH85" s="964"/>
      <c r="AL85" s="30" t="str">
        <f>IFERROR(INDEX('G-7 WaterC'' Data'!$AZ$3:$AZ$7,MATCH(C85,'G-7 WaterC'' Data'!$AY$3:$AY$7,0)),"")</f>
        <v/>
      </c>
      <c r="AN85" s="30" t="str">
        <f t="shared" si="13"/>
        <v>No</v>
      </c>
    </row>
    <row r="86" spans="2:40" ht="13.8" x14ac:dyDescent="0.25">
      <c r="B86" s="101">
        <v>75</v>
      </c>
      <c r="C86" s="953"/>
      <c r="D86" s="119"/>
      <c r="E86" s="281" t="str">
        <f>IF(C86="","",VLOOKUP(C86,'G-7 WaterC'' Data'!$B$2:$Z$9,2,FALSE))</f>
        <v/>
      </c>
      <c r="F86" s="282" t="str">
        <f>IFERROR(VLOOKUP(E86,'G-7 WaterC'' Data'!$C$4:$D$8,2,FALSE),"")</f>
        <v/>
      </c>
      <c r="G86" s="52"/>
      <c r="H86" s="282" t="str">
        <f>IFERROR(INDEX('G-7 WaterC'' Data'!$H$4:$L$8,MATCH(C86,'G-7 WaterC'' Data'!$B$4:$B$8,0),MATCH(G86,'G-7 WaterC'' Data'!$H$3:$L$3,0)),"")</f>
        <v/>
      </c>
      <c r="I86" s="52"/>
      <c r="J86" s="320" t="str">
        <f>IF(I86="","",IF(VLOOKUP(I86,'G-7 WaterC'' Data'!$AK$4:$AM$6,2,FALSE)=0,"Spatial Data Missing ⚠",VLOOKUP(I86,'G-7 WaterC'' Data'!$AK$4:$AM$6,2,FALSE)))</f>
        <v/>
      </c>
      <c r="K86" s="282" t="str">
        <f>IF(I86="","",IF(VLOOKUP(I86,'G-7 WaterC'' Data'!$AK$4:$AM$6,3,FALSE)=0,"Spatial Data Missing ⚠",VLOOKUP(I86,'G-7 WaterC'' Data'!$AK$4:$AM$6,3,FALSE)))</f>
        <v/>
      </c>
      <c r="L86" s="382" t="str">
        <f>IFERROR(INDEX('G-7 WaterC'' Data'!$O$3:$O$7,MATCH(G86,'G-7 WaterC'' Data'!$N$3:$N$7,0)),"")</f>
        <v/>
      </c>
      <c r="M86" s="53"/>
      <c r="N86" s="137"/>
      <c r="O86" s="289" t="str">
        <f t="shared" si="7"/>
        <v/>
      </c>
      <c r="P86" s="302" t="str">
        <f t="shared" si="8"/>
        <v/>
      </c>
      <c r="Q86" s="340" t="str">
        <f>IFERROR(IF(P86="Check Data ⚠","Check Data ⚠",VLOOKUP(P86,'G-4 Temporal multipliers'!$A$4:$C$37,3,FALSE)),"")</f>
        <v/>
      </c>
      <c r="R86" s="281" t="str">
        <f>IF(C86="","",VLOOKUP(C86,'G-7 WaterC'' Data'!$B$4:$G$8,4,FALSE))</f>
        <v/>
      </c>
      <c r="S86" s="289" t="str">
        <f t="shared" si="9"/>
        <v/>
      </c>
      <c r="T86" s="320" t="str">
        <f t="shared" si="10"/>
        <v/>
      </c>
      <c r="U86" s="282" t="str">
        <f>IF(C86="","",VLOOKUP(T86,'G-3 Multipliers'!$P$2:$Q$6,2,FALSE))</f>
        <v/>
      </c>
      <c r="V86" s="106"/>
      <c r="W86" s="282" t="str">
        <f>IF(V86="","",IF(AND(V86="N/A - Culvert",C86&lt;&gt;"Culvert"),"Not possible ▲",IF(AND(C86="Culvert",V86&lt;&gt;"N/A - Culvert"),"Not possible ▲",IF(VLOOKUP(V86,'G-7 WaterC'' Data'!$AA$4:$AB$7,2,FALSE)=0,"Spatial Data Missing ⚠",VLOOKUP(V86,'G-7 WaterC'' Data'!$AA$4:$AB$7,2,FALSE)))))</f>
        <v/>
      </c>
      <c r="X86" s="56"/>
      <c r="Y86" s="282" t="str">
        <f>IF(X86="","",IF(AND(X86="N/A - Culvert", C86&lt;&gt;"Culvert"), "Not possible ▲",IF(AND(C86="Culvert",X86&lt;&gt;"N/A - Culvert"),"Not possible ▲",IF(VLOOKUP(X86,'G-7 WaterC'' Data'!$AD$4:$AE$14,2,FALSE)=0,"Enrcoachment Data Missing ⚠",VLOOKUP(X86,'G-7 WaterC'' Data'!$AD$4:$AE$14,2,FALSE)))))</f>
        <v/>
      </c>
      <c r="Z86" s="106"/>
      <c r="AA86" s="282" t="str">
        <f>IF(Z86="","",IF(VLOOKUP(Z86,'G-7 WaterC'' Data'!$AO$4:$BO$7,2,FALSE)=0,"Spatial Data Missing ⚠",VLOOKUP(Z86,'G-7 WaterC'' Data'!$AO$4:$BO$7,2,FALSE)))</f>
        <v/>
      </c>
      <c r="AB86" s="323" t="str">
        <f t="shared" si="11"/>
        <v/>
      </c>
      <c r="AC86" s="323" t="str">
        <f t="shared" si="12"/>
        <v/>
      </c>
      <c r="AD86" s="105"/>
      <c r="AE86" s="968"/>
      <c r="AF86" s="142"/>
      <c r="AG86" s="142"/>
      <c r="AH86" s="964"/>
      <c r="AL86" s="30" t="str">
        <f>IFERROR(INDEX('G-7 WaterC'' Data'!$AZ$3:$AZ$7,MATCH(C86,'G-7 WaterC'' Data'!$AY$3:$AY$7,0)),"")</f>
        <v/>
      </c>
      <c r="AN86" s="30" t="str">
        <f t="shared" si="13"/>
        <v>No</v>
      </c>
    </row>
    <row r="87" spans="2:40" ht="13.8" x14ac:dyDescent="0.25">
      <c r="B87" s="101">
        <v>76</v>
      </c>
      <c r="C87" s="953"/>
      <c r="D87" s="119"/>
      <c r="E87" s="281" t="str">
        <f>IF(C87="","",VLOOKUP(C87,'G-7 WaterC'' Data'!$B$2:$Z$9,2,FALSE))</f>
        <v/>
      </c>
      <c r="F87" s="282" t="str">
        <f>IFERROR(VLOOKUP(E87,'G-7 WaterC'' Data'!$C$4:$D$8,2,FALSE),"")</f>
        <v/>
      </c>
      <c r="G87" s="52"/>
      <c r="H87" s="282" t="str">
        <f>IFERROR(INDEX('G-7 WaterC'' Data'!$H$4:$L$8,MATCH(C87,'G-7 WaterC'' Data'!$B$4:$B$8,0),MATCH(G87,'G-7 WaterC'' Data'!$H$3:$L$3,0)),"")</f>
        <v/>
      </c>
      <c r="I87" s="52"/>
      <c r="J87" s="320" t="str">
        <f>IF(I87="","",IF(VLOOKUP(I87,'G-7 WaterC'' Data'!$AK$4:$AM$6,2,FALSE)=0,"Spatial Data Missing ⚠",VLOOKUP(I87,'G-7 WaterC'' Data'!$AK$4:$AM$6,2,FALSE)))</f>
        <v/>
      </c>
      <c r="K87" s="282" t="str">
        <f>IF(I87="","",IF(VLOOKUP(I87,'G-7 WaterC'' Data'!$AK$4:$AM$6,3,FALSE)=0,"Spatial Data Missing ⚠",VLOOKUP(I87,'G-7 WaterC'' Data'!$AK$4:$AM$6,3,FALSE)))</f>
        <v/>
      </c>
      <c r="L87" s="382" t="str">
        <f>IFERROR(INDEX('G-7 WaterC'' Data'!$O$3:$O$7,MATCH(G87,'G-7 WaterC'' Data'!$N$3:$N$7,0)),"")</f>
        <v/>
      </c>
      <c r="M87" s="53"/>
      <c r="N87" s="137"/>
      <c r="O87" s="289" t="str">
        <f t="shared" si="7"/>
        <v/>
      </c>
      <c r="P87" s="302" t="str">
        <f t="shared" si="8"/>
        <v/>
      </c>
      <c r="Q87" s="340" t="str">
        <f>IFERROR(IF(P87="Check Data ⚠","Check Data ⚠",VLOOKUP(P87,'G-4 Temporal multipliers'!$A$4:$C$37,3,FALSE)),"")</f>
        <v/>
      </c>
      <c r="R87" s="281" t="str">
        <f>IF(C87="","",VLOOKUP(C87,'G-7 WaterC'' Data'!$B$4:$G$8,4,FALSE))</f>
        <v/>
      </c>
      <c r="S87" s="289" t="str">
        <f t="shared" si="9"/>
        <v/>
      </c>
      <c r="T87" s="320" t="str">
        <f t="shared" si="10"/>
        <v/>
      </c>
      <c r="U87" s="282" t="str">
        <f>IF(C87="","",VLOOKUP(T87,'G-3 Multipliers'!$P$2:$Q$6,2,FALSE))</f>
        <v/>
      </c>
      <c r="V87" s="106"/>
      <c r="W87" s="282" t="str">
        <f>IF(V87="","",IF(AND(V87="N/A - Culvert",C87&lt;&gt;"Culvert"),"Not possible ▲",IF(AND(C87="Culvert",V87&lt;&gt;"N/A - Culvert"),"Not possible ▲",IF(VLOOKUP(V87,'G-7 WaterC'' Data'!$AA$4:$AB$7,2,FALSE)=0,"Spatial Data Missing ⚠",VLOOKUP(V87,'G-7 WaterC'' Data'!$AA$4:$AB$7,2,FALSE)))))</f>
        <v/>
      </c>
      <c r="X87" s="56"/>
      <c r="Y87" s="282" t="str">
        <f>IF(X87="","",IF(AND(X87="N/A - Culvert", C87&lt;&gt;"Culvert"), "Not possible ▲",IF(AND(C87="Culvert",X87&lt;&gt;"N/A - Culvert"),"Not possible ▲",IF(VLOOKUP(X87,'G-7 WaterC'' Data'!$AD$4:$AE$14,2,FALSE)=0,"Enrcoachment Data Missing ⚠",VLOOKUP(X87,'G-7 WaterC'' Data'!$AD$4:$AE$14,2,FALSE)))))</f>
        <v/>
      </c>
      <c r="Z87" s="106"/>
      <c r="AA87" s="282" t="str">
        <f>IF(Z87="","",IF(VLOOKUP(Z87,'G-7 WaterC'' Data'!$AO$4:$BO$7,2,FALSE)=0,"Spatial Data Missing ⚠",VLOOKUP(Z87,'G-7 WaterC'' Data'!$AO$4:$BO$7,2,FALSE)))</f>
        <v/>
      </c>
      <c r="AB87" s="323" t="str">
        <f t="shared" si="11"/>
        <v/>
      </c>
      <c r="AC87" s="323" t="str">
        <f t="shared" si="12"/>
        <v/>
      </c>
      <c r="AD87" s="105"/>
      <c r="AE87" s="968"/>
      <c r="AF87" s="142"/>
      <c r="AG87" s="142"/>
      <c r="AH87" s="964"/>
      <c r="AL87" s="30" t="str">
        <f>IFERROR(INDEX('G-7 WaterC'' Data'!$AZ$3:$AZ$7,MATCH(C87,'G-7 WaterC'' Data'!$AY$3:$AY$7,0)),"")</f>
        <v/>
      </c>
      <c r="AN87" s="30" t="str">
        <f t="shared" si="13"/>
        <v>No</v>
      </c>
    </row>
    <row r="88" spans="2:40" ht="13.8" x14ac:dyDescent="0.25">
      <c r="B88" s="101">
        <v>77</v>
      </c>
      <c r="C88" s="953"/>
      <c r="D88" s="119"/>
      <c r="E88" s="281" t="str">
        <f>IF(C88="","",VLOOKUP(C88,'G-7 WaterC'' Data'!$B$2:$Z$9,2,FALSE))</f>
        <v/>
      </c>
      <c r="F88" s="282" t="str">
        <f>IFERROR(VLOOKUP(E88,'G-7 WaterC'' Data'!$C$4:$D$8,2,FALSE),"")</f>
        <v/>
      </c>
      <c r="G88" s="52"/>
      <c r="H88" s="282" t="str">
        <f>IFERROR(INDEX('G-7 WaterC'' Data'!$H$4:$L$8,MATCH(C88,'G-7 WaterC'' Data'!$B$4:$B$8,0),MATCH(G88,'G-7 WaterC'' Data'!$H$3:$L$3,0)),"")</f>
        <v/>
      </c>
      <c r="I88" s="52"/>
      <c r="J88" s="320" t="str">
        <f>IF(I88="","",IF(VLOOKUP(I88,'G-7 WaterC'' Data'!$AK$4:$AM$6,2,FALSE)=0,"Spatial Data Missing ⚠",VLOOKUP(I88,'G-7 WaterC'' Data'!$AK$4:$AM$6,2,FALSE)))</f>
        <v/>
      </c>
      <c r="K88" s="282" t="str">
        <f>IF(I88="","",IF(VLOOKUP(I88,'G-7 WaterC'' Data'!$AK$4:$AM$6,3,FALSE)=0,"Spatial Data Missing ⚠",VLOOKUP(I88,'G-7 WaterC'' Data'!$AK$4:$AM$6,3,FALSE)))</f>
        <v/>
      </c>
      <c r="L88" s="382" t="str">
        <f>IFERROR(INDEX('G-7 WaterC'' Data'!$O$3:$O$7,MATCH(G88,'G-7 WaterC'' Data'!$N$3:$N$7,0)),"")</f>
        <v/>
      </c>
      <c r="M88" s="53"/>
      <c r="N88" s="137"/>
      <c r="O88" s="289" t="str">
        <f t="shared" si="7"/>
        <v/>
      </c>
      <c r="P88" s="302" t="str">
        <f t="shared" si="8"/>
        <v/>
      </c>
      <c r="Q88" s="340" t="str">
        <f>IFERROR(IF(P88="Check Data ⚠","Check Data ⚠",VLOOKUP(P88,'G-4 Temporal multipliers'!$A$4:$C$37,3,FALSE)),"")</f>
        <v/>
      </c>
      <c r="R88" s="281" t="str">
        <f>IF(C88="","",VLOOKUP(C88,'G-7 WaterC'' Data'!$B$4:$G$8,4,FALSE))</f>
        <v/>
      </c>
      <c r="S88" s="289" t="str">
        <f t="shared" si="9"/>
        <v/>
      </c>
      <c r="T88" s="320" t="str">
        <f t="shared" si="10"/>
        <v/>
      </c>
      <c r="U88" s="282" t="str">
        <f>IF(C88="","",VLOOKUP(T88,'G-3 Multipliers'!$P$2:$Q$6,2,FALSE))</f>
        <v/>
      </c>
      <c r="V88" s="106"/>
      <c r="W88" s="282" t="str">
        <f>IF(V88="","",IF(AND(V88="N/A - Culvert",C88&lt;&gt;"Culvert"),"Not possible ▲",IF(AND(C88="Culvert",V88&lt;&gt;"N/A - Culvert"),"Not possible ▲",IF(VLOOKUP(V88,'G-7 WaterC'' Data'!$AA$4:$AB$7,2,FALSE)=0,"Spatial Data Missing ⚠",VLOOKUP(V88,'G-7 WaterC'' Data'!$AA$4:$AB$7,2,FALSE)))))</f>
        <v/>
      </c>
      <c r="X88" s="56"/>
      <c r="Y88" s="282" t="str">
        <f>IF(X88="","",IF(AND(X88="N/A - Culvert", C88&lt;&gt;"Culvert"), "Not possible ▲",IF(AND(C88="Culvert",X88&lt;&gt;"N/A - Culvert"),"Not possible ▲",IF(VLOOKUP(X88,'G-7 WaterC'' Data'!$AD$4:$AE$14,2,FALSE)=0,"Enrcoachment Data Missing ⚠",VLOOKUP(X88,'G-7 WaterC'' Data'!$AD$4:$AE$14,2,FALSE)))))</f>
        <v/>
      </c>
      <c r="Z88" s="106"/>
      <c r="AA88" s="282" t="str">
        <f>IF(Z88="","",IF(VLOOKUP(Z88,'G-7 WaterC'' Data'!$AO$4:$BO$7,2,FALSE)=0,"Spatial Data Missing ⚠",VLOOKUP(Z88,'G-7 WaterC'' Data'!$AO$4:$BO$7,2,FALSE)))</f>
        <v/>
      </c>
      <c r="AB88" s="323" t="str">
        <f t="shared" si="11"/>
        <v/>
      </c>
      <c r="AC88" s="323" t="str">
        <f t="shared" si="12"/>
        <v/>
      </c>
      <c r="AD88" s="105"/>
      <c r="AE88" s="968"/>
      <c r="AF88" s="142"/>
      <c r="AG88" s="142"/>
      <c r="AH88" s="964"/>
      <c r="AL88" s="30" t="str">
        <f>IFERROR(INDEX('G-7 WaterC'' Data'!$AZ$3:$AZ$7,MATCH(C88,'G-7 WaterC'' Data'!$AY$3:$AY$7,0)),"")</f>
        <v/>
      </c>
      <c r="AN88" s="30" t="str">
        <f t="shared" si="13"/>
        <v>No</v>
      </c>
    </row>
    <row r="89" spans="2:40" ht="13.8" x14ac:dyDescent="0.25">
      <c r="B89" s="101">
        <v>78</v>
      </c>
      <c r="C89" s="953"/>
      <c r="D89" s="119"/>
      <c r="E89" s="281" t="str">
        <f>IF(C89="","",VLOOKUP(C89,'G-7 WaterC'' Data'!$B$2:$Z$9,2,FALSE))</f>
        <v/>
      </c>
      <c r="F89" s="282" t="str">
        <f>IFERROR(VLOOKUP(E89,'G-7 WaterC'' Data'!$C$4:$D$8,2,FALSE),"")</f>
        <v/>
      </c>
      <c r="G89" s="52"/>
      <c r="H89" s="282" t="str">
        <f>IFERROR(INDEX('G-7 WaterC'' Data'!$H$4:$L$8,MATCH(C89,'G-7 WaterC'' Data'!$B$4:$B$8,0),MATCH(G89,'G-7 WaterC'' Data'!$H$3:$L$3,0)),"")</f>
        <v/>
      </c>
      <c r="I89" s="52"/>
      <c r="J89" s="320" t="str">
        <f>IF(I89="","",IF(VLOOKUP(I89,'G-7 WaterC'' Data'!$AK$4:$AM$6,2,FALSE)=0,"Spatial Data Missing ⚠",VLOOKUP(I89,'G-7 WaterC'' Data'!$AK$4:$AM$6,2,FALSE)))</f>
        <v/>
      </c>
      <c r="K89" s="282" t="str">
        <f>IF(I89="","",IF(VLOOKUP(I89,'G-7 WaterC'' Data'!$AK$4:$AM$6,3,FALSE)=0,"Spatial Data Missing ⚠",VLOOKUP(I89,'G-7 WaterC'' Data'!$AK$4:$AM$6,3,FALSE)))</f>
        <v/>
      </c>
      <c r="L89" s="382" t="str">
        <f>IFERROR(INDEX('G-7 WaterC'' Data'!$O$3:$O$7,MATCH(G89,'G-7 WaterC'' Data'!$N$3:$N$7,0)),"")</f>
        <v/>
      </c>
      <c r="M89" s="53"/>
      <c r="N89" s="137"/>
      <c r="O89" s="289" t="str">
        <f t="shared" si="7"/>
        <v/>
      </c>
      <c r="P89" s="302" t="str">
        <f t="shared" si="8"/>
        <v/>
      </c>
      <c r="Q89" s="340" t="str">
        <f>IFERROR(IF(P89="Check Data ⚠","Check Data ⚠",VLOOKUP(P89,'G-4 Temporal multipliers'!$A$4:$C$37,3,FALSE)),"")</f>
        <v/>
      </c>
      <c r="R89" s="281" t="str">
        <f>IF(C89="","",VLOOKUP(C89,'G-7 WaterC'' Data'!$B$4:$G$8,4,FALSE))</f>
        <v/>
      </c>
      <c r="S89" s="289" t="str">
        <f t="shared" si="9"/>
        <v/>
      </c>
      <c r="T89" s="320" t="str">
        <f t="shared" si="10"/>
        <v/>
      </c>
      <c r="U89" s="282" t="str">
        <f>IF(C89="","",VLOOKUP(T89,'G-3 Multipliers'!$P$2:$Q$6,2,FALSE))</f>
        <v/>
      </c>
      <c r="V89" s="106"/>
      <c r="W89" s="282" t="str">
        <f>IF(V89="","",IF(AND(V89="N/A - Culvert",C89&lt;&gt;"Culvert"),"Not possible ▲",IF(AND(C89="Culvert",V89&lt;&gt;"N/A - Culvert"),"Not possible ▲",IF(VLOOKUP(V89,'G-7 WaterC'' Data'!$AA$4:$AB$7,2,FALSE)=0,"Spatial Data Missing ⚠",VLOOKUP(V89,'G-7 WaterC'' Data'!$AA$4:$AB$7,2,FALSE)))))</f>
        <v/>
      </c>
      <c r="X89" s="56"/>
      <c r="Y89" s="282" t="str">
        <f>IF(X89="","",IF(AND(X89="N/A - Culvert", C89&lt;&gt;"Culvert"), "Not possible ▲",IF(AND(C89="Culvert",X89&lt;&gt;"N/A - Culvert"),"Not possible ▲",IF(VLOOKUP(X89,'G-7 WaterC'' Data'!$AD$4:$AE$14,2,FALSE)=0,"Enrcoachment Data Missing ⚠",VLOOKUP(X89,'G-7 WaterC'' Data'!$AD$4:$AE$14,2,FALSE)))))</f>
        <v/>
      </c>
      <c r="Z89" s="106"/>
      <c r="AA89" s="282" t="str">
        <f>IF(Z89="","",IF(VLOOKUP(Z89,'G-7 WaterC'' Data'!$AO$4:$BO$7,2,FALSE)=0,"Spatial Data Missing ⚠",VLOOKUP(Z89,'G-7 WaterC'' Data'!$AO$4:$BO$7,2,FALSE)))</f>
        <v/>
      </c>
      <c r="AB89" s="323" t="str">
        <f t="shared" si="11"/>
        <v/>
      </c>
      <c r="AC89" s="323" t="str">
        <f t="shared" si="12"/>
        <v/>
      </c>
      <c r="AD89" s="105"/>
      <c r="AE89" s="968"/>
      <c r="AF89" s="142"/>
      <c r="AG89" s="142"/>
      <c r="AH89" s="964"/>
      <c r="AL89" s="30" t="str">
        <f>IFERROR(INDEX('G-7 WaterC'' Data'!$AZ$3:$AZ$7,MATCH(C89,'G-7 WaterC'' Data'!$AY$3:$AY$7,0)),"")</f>
        <v/>
      </c>
      <c r="AN89" s="30" t="str">
        <f t="shared" si="13"/>
        <v>No</v>
      </c>
    </row>
    <row r="90" spans="2:40" ht="13.8" x14ac:dyDescent="0.25">
      <c r="B90" s="101">
        <v>79</v>
      </c>
      <c r="C90" s="953"/>
      <c r="D90" s="119"/>
      <c r="E90" s="281" t="str">
        <f>IF(C90="","",VLOOKUP(C90,'G-7 WaterC'' Data'!$B$2:$Z$9,2,FALSE))</f>
        <v/>
      </c>
      <c r="F90" s="282" t="str">
        <f>IFERROR(VLOOKUP(E90,'G-7 WaterC'' Data'!$C$4:$D$8,2,FALSE),"")</f>
        <v/>
      </c>
      <c r="G90" s="52"/>
      <c r="H90" s="282" t="str">
        <f>IFERROR(INDEX('G-7 WaterC'' Data'!$H$4:$L$8,MATCH(C90,'G-7 WaterC'' Data'!$B$4:$B$8,0),MATCH(G90,'G-7 WaterC'' Data'!$H$3:$L$3,0)),"")</f>
        <v/>
      </c>
      <c r="I90" s="52"/>
      <c r="J90" s="320" t="str">
        <f>IF(I90="","",IF(VLOOKUP(I90,'G-7 WaterC'' Data'!$AK$4:$AM$6,2,FALSE)=0,"Spatial Data Missing ⚠",VLOOKUP(I90,'G-7 WaterC'' Data'!$AK$4:$AM$6,2,FALSE)))</f>
        <v/>
      </c>
      <c r="K90" s="282" t="str">
        <f>IF(I90="","",IF(VLOOKUP(I90,'G-7 WaterC'' Data'!$AK$4:$AM$6,3,FALSE)=0,"Spatial Data Missing ⚠",VLOOKUP(I90,'G-7 WaterC'' Data'!$AK$4:$AM$6,3,FALSE)))</f>
        <v/>
      </c>
      <c r="L90" s="382" t="str">
        <f>IFERROR(INDEX('G-7 WaterC'' Data'!$O$3:$O$7,MATCH(G90,'G-7 WaterC'' Data'!$N$3:$N$7,0)),"")</f>
        <v/>
      </c>
      <c r="M90" s="53"/>
      <c r="N90" s="137"/>
      <c r="O90" s="289" t="str">
        <f t="shared" si="7"/>
        <v/>
      </c>
      <c r="P90" s="302" t="str">
        <f t="shared" si="8"/>
        <v/>
      </c>
      <c r="Q90" s="340" t="str">
        <f>IFERROR(IF(P90="Check Data ⚠","Check Data ⚠",VLOOKUP(P90,'G-4 Temporal multipliers'!$A$4:$C$37,3,FALSE)),"")</f>
        <v/>
      </c>
      <c r="R90" s="281" t="str">
        <f>IF(C90="","",VLOOKUP(C90,'G-7 WaterC'' Data'!$B$4:$G$8,4,FALSE))</f>
        <v/>
      </c>
      <c r="S90" s="289" t="str">
        <f t="shared" si="9"/>
        <v/>
      </c>
      <c r="T90" s="320" t="str">
        <f t="shared" si="10"/>
        <v/>
      </c>
      <c r="U90" s="282" t="str">
        <f>IF(C90="","",VLOOKUP(T90,'G-3 Multipliers'!$P$2:$Q$6,2,FALSE))</f>
        <v/>
      </c>
      <c r="V90" s="106"/>
      <c r="W90" s="282" t="str">
        <f>IF(V90="","",IF(AND(V90="N/A - Culvert",C90&lt;&gt;"Culvert"),"Not possible ▲",IF(AND(C90="Culvert",V90&lt;&gt;"N/A - Culvert"),"Not possible ▲",IF(VLOOKUP(V90,'G-7 WaterC'' Data'!$AA$4:$AB$7,2,FALSE)=0,"Spatial Data Missing ⚠",VLOOKUP(V90,'G-7 WaterC'' Data'!$AA$4:$AB$7,2,FALSE)))))</f>
        <v/>
      </c>
      <c r="X90" s="56"/>
      <c r="Y90" s="282" t="str">
        <f>IF(X90="","",IF(AND(X90="N/A - Culvert", C90&lt;&gt;"Culvert"), "Not possible ▲",IF(AND(C90="Culvert",X90&lt;&gt;"N/A - Culvert"),"Not possible ▲",IF(VLOOKUP(X90,'G-7 WaterC'' Data'!$AD$4:$AE$14,2,FALSE)=0,"Enrcoachment Data Missing ⚠",VLOOKUP(X90,'G-7 WaterC'' Data'!$AD$4:$AE$14,2,FALSE)))))</f>
        <v/>
      </c>
      <c r="Z90" s="106"/>
      <c r="AA90" s="282" t="str">
        <f>IF(Z90="","",IF(VLOOKUP(Z90,'G-7 WaterC'' Data'!$AO$4:$BO$7,2,FALSE)=0,"Spatial Data Missing ⚠",VLOOKUP(Z90,'G-7 WaterC'' Data'!$AO$4:$BO$7,2,FALSE)))</f>
        <v/>
      </c>
      <c r="AB90" s="323" t="str">
        <f t="shared" si="11"/>
        <v/>
      </c>
      <c r="AC90" s="323" t="str">
        <f t="shared" si="12"/>
        <v/>
      </c>
      <c r="AD90" s="105"/>
      <c r="AE90" s="968"/>
      <c r="AF90" s="142"/>
      <c r="AG90" s="142"/>
      <c r="AH90" s="964"/>
      <c r="AL90" s="30" t="str">
        <f>IFERROR(INDEX('G-7 WaterC'' Data'!$AZ$3:$AZ$7,MATCH(C90,'G-7 WaterC'' Data'!$AY$3:$AY$7,0)),"")</f>
        <v/>
      </c>
      <c r="AN90" s="30" t="str">
        <f t="shared" si="13"/>
        <v>No</v>
      </c>
    </row>
    <row r="91" spans="2:40" ht="13.8" x14ac:dyDescent="0.25">
      <c r="B91" s="101">
        <v>80</v>
      </c>
      <c r="C91" s="953"/>
      <c r="D91" s="119"/>
      <c r="E91" s="281" t="str">
        <f>IF(C91="","",VLOOKUP(C91,'G-7 WaterC'' Data'!$B$2:$Z$9,2,FALSE))</f>
        <v/>
      </c>
      <c r="F91" s="282" t="str">
        <f>IFERROR(VLOOKUP(E91,'G-7 WaterC'' Data'!$C$4:$D$8,2,FALSE),"")</f>
        <v/>
      </c>
      <c r="G91" s="52"/>
      <c r="H91" s="282" t="str">
        <f>IFERROR(INDEX('G-7 WaterC'' Data'!$H$4:$L$8,MATCH(C91,'G-7 WaterC'' Data'!$B$4:$B$8,0),MATCH(G91,'G-7 WaterC'' Data'!$H$3:$L$3,0)),"")</f>
        <v/>
      </c>
      <c r="I91" s="52"/>
      <c r="J91" s="320" t="str">
        <f>IF(I91="","",IF(VLOOKUP(I91,'G-7 WaterC'' Data'!$AK$4:$AM$6,2,FALSE)=0,"Spatial Data Missing ⚠",VLOOKUP(I91,'G-7 WaterC'' Data'!$AK$4:$AM$6,2,FALSE)))</f>
        <v/>
      </c>
      <c r="K91" s="282" t="str">
        <f>IF(I91="","",IF(VLOOKUP(I91,'G-7 WaterC'' Data'!$AK$4:$AM$6,3,FALSE)=0,"Spatial Data Missing ⚠",VLOOKUP(I91,'G-7 WaterC'' Data'!$AK$4:$AM$6,3,FALSE)))</f>
        <v/>
      </c>
      <c r="L91" s="382" t="str">
        <f>IFERROR(INDEX('G-7 WaterC'' Data'!$O$3:$O$7,MATCH(G91,'G-7 WaterC'' Data'!$N$3:$N$7,0)),"")</f>
        <v/>
      </c>
      <c r="M91" s="53"/>
      <c r="N91" s="137"/>
      <c r="O91" s="289" t="str">
        <f t="shared" si="7"/>
        <v/>
      </c>
      <c r="P91" s="302" t="str">
        <f t="shared" si="8"/>
        <v/>
      </c>
      <c r="Q91" s="340" t="str">
        <f>IFERROR(IF(P91="Check Data ⚠","Check Data ⚠",VLOOKUP(P91,'G-4 Temporal multipliers'!$A$4:$C$37,3,FALSE)),"")</f>
        <v/>
      </c>
      <c r="R91" s="281" t="str">
        <f>IF(C91="","",VLOOKUP(C91,'G-7 WaterC'' Data'!$B$4:$G$8,4,FALSE))</f>
        <v/>
      </c>
      <c r="S91" s="289" t="str">
        <f t="shared" si="9"/>
        <v/>
      </c>
      <c r="T91" s="320" t="str">
        <f t="shared" si="10"/>
        <v/>
      </c>
      <c r="U91" s="282" t="str">
        <f>IF(C91="","",VLOOKUP(T91,'G-3 Multipliers'!$P$2:$Q$6,2,FALSE))</f>
        <v/>
      </c>
      <c r="V91" s="106"/>
      <c r="W91" s="282" t="str">
        <f>IF(V91="","",IF(AND(V91="N/A - Culvert",C91&lt;&gt;"Culvert"),"Not possible ▲",IF(AND(C91="Culvert",V91&lt;&gt;"N/A - Culvert"),"Not possible ▲",IF(VLOOKUP(V91,'G-7 WaterC'' Data'!$AA$4:$AB$7,2,FALSE)=0,"Spatial Data Missing ⚠",VLOOKUP(V91,'G-7 WaterC'' Data'!$AA$4:$AB$7,2,FALSE)))))</f>
        <v/>
      </c>
      <c r="X91" s="56"/>
      <c r="Y91" s="282" t="str">
        <f>IF(X91="","",IF(AND(X91="N/A - Culvert", C91&lt;&gt;"Culvert"), "Not possible ▲",IF(AND(C91="Culvert",X91&lt;&gt;"N/A - Culvert"),"Not possible ▲",IF(VLOOKUP(X91,'G-7 WaterC'' Data'!$AD$4:$AE$14,2,FALSE)=0,"Enrcoachment Data Missing ⚠",VLOOKUP(X91,'G-7 WaterC'' Data'!$AD$4:$AE$14,2,FALSE)))))</f>
        <v/>
      </c>
      <c r="Z91" s="106"/>
      <c r="AA91" s="282" t="str">
        <f>IF(Z91="","",IF(VLOOKUP(Z91,'G-7 WaterC'' Data'!$AO$4:$BO$7,2,FALSE)=0,"Spatial Data Missing ⚠",VLOOKUP(Z91,'G-7 WaterC'' Data'!$AO$4:$BO$7,2,FALSE)))</f>
        <v/>
      </c>
      <c r="AB91" s="323" t="str">
        <f t="shared" si="11"/>
        <v/>
      </c>
      <c r="AC91" s="323" t="str">
        <f t="shared" si="12"/>
        <v/>
      </c>
      <c r="AD91" s="105"/>
      <c r="AE91" s="968"/>
      <c r="AF91" s="142"/>
      <c r="AG91" s="142"/>
      <c r="AH91" s="964"/>
      <c r="AL91" s="30" t="str">
        <f>IFERROR(INDEX('G-7 WaterC'' Data'!$AZ$3:$AZ$7,MATCH(C91,'G-7 WaterC'' Data'!$AY$3:$AY$7,0)),"")</f>
        <v/>
      </c>
      <c r="AN91" s="30" t="str">
        <f t="shared" si="13"/>
        <v>No</v>
      </c>
    </row>
    <row r="92" spans="2:40" ht="13.8" x14ac:dyDescent="0.25">
      <c r="B92" s="101">
        <v>81</v>
      </c>
      <c r="C92" s="953"/>
      <c r="D92" s="119"/>
      <c r="E92" s="281" t="str">
        <f>IF(C92="","",VLOOKUP(C92,'G-7 WaterC'' Data'!$B$2:$Z$9,2,FALSE))</f>
        <v/>
      </c>
      <c r="F92" s="282" t="str">
        <f>IFERROR(VLOOKUP(E92,'G-7 WaterC'' Data'!$C$4:$D$8,2,FALSE),"")</f>
        <v/>
      </c>
      <c r="G92" s="52"/>
      <c r="H92" s="282" t="str">
        <f>IFERROR(INDEX('G-7 WaterC'' Data'!$H$4:$L$8,MATCH(C92,'G-7 WaterC'' Data'!$B$4:$B$8,0),MATCH(G92,'G-7 WaterC'' Data'!$H$3:$L$3,0)),"")</f>
        <v/>
      </c>
      <c r="I92" s="52"/>
      <c r="J92" s="320" t="str">
        <f>IF(I92="","",IF(VLOOKUP(I92,'G-7 WaterC'' Data'!$AK$4:$AM$6,2,FALSE)=0,"Spatial Data Missing ⚠",VLOOKUP(I92,'G-7 WaterC'' Data'!$AK$4:$AM$6,2,FALSE)))</f>
        <v/>
      </c>
      <c r="K92" s="282" t="str">
        <f>IF(I92="","",IF(VLOOKUP(I92,'G-7 WaterC'' Data'!$AK$4:$AM$6,3,FALSE)=0,"Spatial Data Missing ⚠",VLOOKUP(I92,'G-7 WaterC'' Data'!$AK$4:$AM$6,3,FALSE)))</f>
        <v/>
      </c>
      <c r="L92" s="382" t="str">
        <f>IFERROR(INDEX('G-7 WaterC'' Data'!$O$3:$O$7,MATCH(G92,'G-7 WaterC'' Data'!$N$3:$N$7,0)),"")</f>
        <v/>
      </c>
      <c r="M92" s="53"/>
      <c r="N92" s="137"/>
      <c r="O92" s="289" t="str">
        <f t="shared" si="7"/>
        <v/>
      </c>
      <c r="P92" s="302" t="str">
        <f t="shared" si="8"/>
        <v/>
      </c>
      <c r="Q92" s="340" t="str">
        <f>IFERROR(IF(P92="Check Data ⚠","Check Data ⚠",VLOOKUP(P92,'G-4 Temporal multipliers'!$A$4:$C$37,3,FALSE)),"")</f>
        <v/>
      </c>
      <c r="R92" s="281" t="str">
        <f>IF(C92="","",VLOOKUP(C92,'G-7 WaterC'' Data'!$B$4:$G$8,4,FALSE))</f>
        <v/>
      </c>
      <c r="S92" s="289" t="str">
        <f t="shared" si="9"/>
        <v/>
      </c>
      <c r="T92" s="320" t="str">
        <f t="shared" si="10"/>
        <v/>
      </c>
      <c r="U92" s="282" t="str">
        <f>IF(C92="","",VLOOKUP(T92,'G-3 Multipliers'!$P$2:$Q$6,2,FALSE))</f>
        <v/>
      </c>
      <c r="V92" s="106"/>
      <c r="W92" s="282" t="str">
        <f>IF(V92="","",IF(AND(V92="N/A - Culvert",C92&lt;&gt;"Culvert"),"Not possible ▲",IF(AND(C92="Culvert",V92&lt;&gt;"N/A - Culvert"),"Not possible ▲",IF(VLOOKUP(V92,'G-7 WaterC'' Data'!$AA$4:$AB$7,2,FALSE)=0,"Spatial Data Missing ⚠",VLOOKUP(V92,'G-7 WaterC'' Data'!$AA$4:$AB$7,2,FALSE)))))</f>
        <v/>
      </c>
      <c r="X92" s="56"/>
      <c r="Y92" s="282" t="str">
        <f>IF(X92="","",IF(AND(X92="N/A - Culvert", C92&lt;&gt;"Culvert"), "Not possible ▲",IF(AND(C92="Culvert",X92&lt;&gt;"N/A - Culvert"),"Not possible ▲",IF(VLOOKUP(X92,'G-7 WaterC'' Data'!$AD$4:$AE$14,2,FALSE)=0,"Enrcoachment Data Missing ⚠",VLOOKUP(X92,'G-7 WaterC'' Data'!$AD$4:$AE$14,2,FALSE)))))</f>
        <v/>
      </c>
      <c r="Z92" s="106"/>
      <c r="AA92" s="282" t="str">
        <f>IF(Z92="","",IF(VLOOKUP(Z92,'G-7 WaterC'' Data'!$AO$4:$BO$7,2,FALSE)=0,"Spatial Data Missing ⚠",VLOOKUP(Z92,'G-7 WaterC'' Data'!$AO$4:$BO$7,2,FALSE)))</f>
        <v/>
      </c>
      <c r="AB92" s="323" t="str">
        <f t="shared" si="11"/>
        <v/>
      </c>
      <c r="AC92" s="323" t="str">
        <f t="shared" si="12"/>
        <v/>
      </c>
      <c r="AD92" s="105"/>
      <c r="AE92" s="968"/>
      <c r="AF92" s="142"/>
      <c r="AG92" s="142"/>
      <c r="AH92" s="964"/>
      <c r="AL92" s="30" t="str">
        <f>IFERROR(INDEX('G-7 WaterC'' Data'!$AZ$3:$AZ$7,MATCH(C92,'G-7 WaterC'' Data'!$AY$3:$AY$7,0)),"")</f>
        <v/>
      </c>
      <c r="AN92" s="30" t="str">
        <f t="shared" si="13"/>
        <v>No</v>
      </c>
    </row>
    <row r="93" spans="2:40" ht="13.8" x14ac:dyDescent="0.25">
      <c r="B93" s="101">
        <v>82</v>
      </c>
      <c r="C93" s="953"/>
      <c r="D93" s="119"/>
      <c r="E93" s="281" t="str">
        <f>IF(C93="","",VLOOKUP(C93,'G-7 WaterC'' Data'!$B$2:$Z$9,2,FALSE))</f>
        <v/>
      </c>
      <c r="F93" s="282" t="str">
        <f>IFERROR(VLOOKUP(E93,'G-7 WaterC'' Data'!$C$4:$D$8,2,FALSE),"")</f>
        <v/>
      </c>
      <c r="G93" s="52"/>
      <c r="H93" s="282" t="str">
        <f>IFERROR(INDEX('G-7 WaterC'' Data'!$H$4:$L$8,MATCH(C93,'G-7 WaterC'' Data'!$B$4:$B$8,0),MATCH(G93,'G-7 WaterC'' Data'!$H$3:$L$3,0)),"")</f>
        <v/>
      </c>
      <c r="I93" s="52"/>
      <c r="J93" s="320" t="str">
        <f>IF(I93="","",IF(VLOOKUP(I93,'G-7 WaterC'' Data'!$AK$4:$AM$6,2,FALSE)=0,"Spatial Data Missing ⚠",VLOOKUP(I93,'G-7 WaterC'' Data'!$AK$4:$AM$6,2,FALSE)))</f>
        <v/>
      </c>
      <c r="K93" s="282" t="str">
        <f>IF(I93="","",IF(VLOOKUP(I93,'G-7 WaterC'' Data'!$AK$4:$AM$6,3,FALSE)=0,"Spatial Data Missing ⚠",VLOOKUP(I93,'G-7 WaterC'' Data'!$AK$4:$AM$6,3,FALSE)))</f>
        <v/>
      </c>
      <c r="L93" s="382" t="str">
        <f>IFERROR(INDEX('G-7 WaterC'' Data'!$O$3:$O$7,MATCH(G93,'G-7 WaterC'' Data'!$N$3:$N$7,0)),"")</f>
        <v/>
      </c>
      <c r="M93" s="53"/>
      <c r="N93" s="137"/>
      <c r="O93" s="289" t="str">
        <f t="shared" si="7"/>
        <v/>
      </c>
      <c r="P93" s="302" t="str">
        <f t="shared" si="8"/>
        <v/>
      </c>
      <c r="Q93" s="340" t="str">
        <f>IFERROR(IF(P93="Check Data ⚠","Check Data ⚠",VLOOKUP(P93,'G-4 Temporal multipliers'!$A$4:$C$37,3,FALSE)),"")</f>
        <v/>
      </c>
      <c r="R93" s="281" t="str">
        <f>IF(C93="","",VLOOKUP(C93,'G-7 WaterC'' Data'!$B$4:$G$8,4,FALSE))</f>
        <v/>
      </c>
      <c r="S93" s="289" t="str">
        <f t="shared" si="9"/>
        <v/>
      </c>
      <c r="T93" s="320" t="str">
        <f t="shared" si="10"/>
        <v/>
      </c>
      <c r="U93" s="282" t="str">
        <f>IF(C93="","",VLOOKUP(T93,'G-3 Multipliers'!$P$2:$Q$6,2,FALSE))</f>
        <v/>
      </c>
      <c r="V93" s="106"/>
      <c r="W93" s="282" t="str">
        <f>IF(V93="","",IF(AND(V93="N/A - Culvert",C93&lt;&gt;"Culvert"),"Not possible ▲",IF(AND(C93="Culvert",V93&lt;&gt;"N/A - Culvert"),"Not possible ▲",IF(VLOOKUP(V93,'G-7 WaterC'' Data'!$AA$4:$AB$7,2,FALSE)=0,"Spatial Data Missing ⚠",VLOOKUP(V93,'G-7 WaterC'' Data'!$AA$4:$AB$7,2,FALSE)))))</f>
        <v/>
      </c>
      <c r="X93" s="56"/>
      <c r="Y93" s="282" t="str">
        <f>IF(X93="","",IF(AND(X93="N/A - Culvert", C93&lt;&gt;"Culvert"), "Not possible ▲",IF(AND(C93="Culvert",X93&lt;&gt;"N/A - Culvert"),"Not possible ▲",IF(VLOOKUP(X93,'G-7 WaterC'' Data'!$AD$4:$AE$14,2,FALSE)=0,"Enrcoachment Data Missing ⚠",VLOOKUP(X93,'G-7 WaterC'' Data'!$AD$4:$AE$14,2,FALSE)))))</f>
        <v/>
      </c>
      <c r="Z93" s="106"/>
      <c r="AA93" s="282" t="str">
        <f>IF(Z93="","",IF(VLOOKUP(Z93,'G-7 WaterC'' Data'!$AO$4:$BO$7,2,FALSE)=0,"Spatial Data Missing ⚠",VLOOKUP(Z93,'G-7 WaterC'' Data'!$AO$4:$BO$7,2,FALSE)))</f>
        <v/>
      </c>
      <c r="AB93" s="323" t="str">
        <f t="shared" si="11"/>
        <v/>
      </c>
      <c r="AC93" s="323" t="str">
        <f t="shared" si="12"/>
        <v/>
      </c>
      <c r="AD93" s="105"/>
      <c r="AE93" s="968"/>
      <c r="AF93" s="142"/>
      <c r="AG93" s="142"/>
      <c r="AH93" s="964"/>
      <c r="AL93" s="30" t="str">
        <f>IFERROR(INDEX('G-7 WaterC'' Data'!$AZ$3:$AZ$7,MATCH(C93,'G-7 WaterC'' Data'!$AY$3:$AY$7,0)),"")</f>
        <v/>
      </c>
      <c r="AN93" s="30" t="str">
        <f t="shared" si="13"/>
        <v>No</v>
      </c>
    </row>
    <row r="94" spans="2:40" ht="13.8" x14ac:dyDescent="0.25">
      <c r="B94" s="101">
        <v>83</v>
      </c>
      <c r="C94" s="953"/>
      <c r="D94" s="119"/>
      <c r="E94" s="281" t="str">
        <f>IF(C94="","",VLOOKUP(C94,'G-7 WaterC'' Data'!$B$2:$Z$9,2,FALSE))</f>
        <v/>
      </c>
      <c r="F94" s="282" t="str">
        <f>IFERROR(VLOOKUP(E94,'G-7 WaterC'' Data'!$C$4:$D$8,2,FALSE),"")</f>
        <v/>
      </c>
      <c r="G94" s="52"/>
      <c r="H94" s="282" t="str">
        <f>IFERROR(INDEX('G-7 WaterC'' Data'!$H$4:$L$8,MATCH(C94,'G-7 WaterC'' Data'!$B$4:$B$8,0),MATCH(G94,'G-7 WaterC'' Data'!$H$3:$L$3,0)),"")</f>
        <v/>
      </c>
      <c r="I94" s="52"/>
      <c r="J94" s="320" t="str">
        <f>IF(I94="","",IF(VLOOKUP(I94,'G-7 WaterC'' Data'!$AK$4:$AM$6,2,FALSE)=0,"Spatial Data Missing ⚠",VLOOKUP(I94,'G-7 WaterC'' Data'!$AK$4:$AM$6,2,FALSE)))</f>
        <v/>
      </c>
      <c r="K94" s="282" t="str">
        <f>IF(I94="","",IF(VLOOKUP(I94,'G-7 WaterC'' Data'!$AK$4:$AM$6,3,FALSE)=0,"Spatial Data Missing ⚠",VLOOKUP(I94,'G-7 WaterC'' Data'!$AK$4:$AM$6,3,FALSE)))</f>
        <v/>
      </c>
      <c r="L94" s="382" t="str">
        <f>IFERROR(INDEX('G-7 WaterC'' Data'!$O$3:$O$7,MATCH(G94,'G-7 WaterC'' Data'!$N$3:$N$7,0)),"")</f>
        <v/>
      </c>
      <c r="M94" s="53"/>
      <c r="N94" s="137"/>
      <c r="O94" s="289" t="str">
        <f t="shared" si="7"/>
        <v/>
      </c>
      <c r="P94" s="302" t="str">
        <f t="shared" si="8"/>
        <v/>
      </c>
      <c r="Q94" s="340" t="str">
        <f>IFERROR(IF(P94="Check Data ⚠","Check Data ⚠",VLOOKUP(P94,'G-4 Temporal multipliers'!$A$4:$C$37,3,FALSE)),"")</f>
        <v/>
      </c>
      <c r="R94" s="281" t="str">
        <f>IF(C94="","",VLOOKUP(C94,'G-7 WaterC'' Data'!$B$4:$G$8,4,FALSE))</f>
        <v/>
      </c>
      <c r="S94" s="289" t="str">
        <f t="shared" si="9"/>
        <v/>
      </c>
      <c r="T94" s="320" t="str">
        <f t="shared" si="10"/>
        <v/>
      </c>
      <c r="U94" s="282" t="str">
        <f>IF(C94="","",VLOOKUP(T94,'G-3 Multipliers'!$P$2:$Q$6,2,FALSE))</f>
        <v/>
      </c>
      <c r="V94" s="106"/>
      <c r="W94" s="282" t="str">
        <f>IF(V94="","",IF(AND(V94="N/A - Culvert",C94&lt;&gt;"Culvert"),"Not possible ▲",IF(AND(C94="Culvert",V94&lt;&gt;"N/A - Culvert"),"Not possible ▲",IF(VLOOKUP(V94,'G-7 WaterC'' Data'!$AA$4:$AB$7,2,FALSE)=0,"Spatial Data Missing ⚠",VLOOKUP(V94,'G-7 WaterC'' Data'!$AA$4:$AB$7,2,FALSE)))))</f>
        <v/>
      </c>
      <c r="X94" s="56"/>
      <c r="Y94" s="282" t="str">
        <f>IF(X94="","",IF(AND(X94="N/A - Culvert", C94&lt;&gt;"Culvert"), "Not possible ▲",IF(AND(C94="Culvert",X94&lt;&gt;"N/A - Culvert"),"Not possible ▲",IF(VLOOKUP(X94,'G-7 WaterC'' Data'!$AD$4:$AE$14,2,FALSE)=0,"Enrcoachment Data Missing ⚠",VLOOKUP(X94,'G-7 WaterC'' Data'!$AD$4:$AE$14,2,FALSE)))))</f>
        <v/>
      </c>
      <c r="Z94" s="106"/>
      <c r="AA94" s="282" t="str">
        <f>IF(Z94="","",IF(VLOOKUP(Z94,'G-7 WaterC'' Data'!$AO$4:$BO$7,2,FALSE)=0,"Spatial Data Missing ⚠",VLOOKUP(Z94,'G-7 WaterC'' Data'!$AO$4:$BO$7,2,FALSE)))</f>
        <v/>
      </c>
      <c r="AB94" s="323" t="str">
        <f t="shared" si="11"/>
        <v/>
      </c>
      <c r="AC94" s="323" t="str">
        <f t="shared" si="12"/>
        <v/>
      </c>
      <c r="AD94" s="105"/>
      <c r="AE94" s="968"/>
      <c r="AF94" s="142"/>
      <c r="AG94" s="142"/>
      <c r="AH94" s="964"/>
      <c r="AL94" s="30" t="str">
        <f>IFERROR(INDEX('G-7 WaterC'' Data'!$AZ$3:$AZ$7,MATCH(C94,'G-7 WaterC'' Data'!$AY$3:$AY$7,0)),"")</f>
        <v/>
      </c>
      <c r="AN94" s="30" t="str">
        <f t="shared" si="13"/>
        <v>No</v>
      </c>
    </row>
    <row r="95" spans="2:40" ht="13.8" x14ac:dyDescent="0.25">
      <c r="B95" s="101">
        <v>84</v>
      </c>
      <c r="C95" s="953"/>
      <c r="D95" s="119"/>
      <c r="E95" s="281" t="str">
        <f>IF(C95="","",VLOOKUP(C95,'G-7 WaterC'' Data'!$B$2:$Z$9,2,FALSE))</f>
        <v/>
      </c>
      <c r="F95" s="282" t="str">
        <f>IFERROR(VLOOKUP(E95,'G-7 WaterC'' Data'!$C$4:$D$8,2,FALSE),"")</f>
        <v/>
      </c>
      <c r="G95" s="52"/>
      <c r="H95" s="282" t="str">
        <f>IFERROR(INDEX('G-7 WaterC'' Data'!$H$4:$L$8,MATCH(C95,'G-7 WaterC'' Data'!$B$4:$B$8,0),MATCH(G95,'G-7 WaterC'' Data'!$H$3:$L$3,0)),"")</f>
        <v/>
      </c>
      <c r="I95" s="52"/>
      <c r="J95" s="320" t="str">
        <f>IF(I95="","",IF(VLOOKUP(I95,'G-7 WaterC'' Data'!$AK$4:$AM$6,2,FALSE)=0,"Spatial Data Missing ⚠",VLOOKUP(I95,'G-7 WaterC'' Data'!$AK$4:$AM$6,2,FALSE)))</f>
        <v/>
      </c>
      <c r="K95" s="282" t="str">
        <f>IF(I95="","",IF(VLOOKUP(I95,'G-7 WaterC'' Data'!$AK$4:$AM$6,3,FALSE)=0,"Spatial Data Missing ⚠",VLOOKUP(I95,'G-7 WaterC'' Data'!$AK$4:$AM$6,3,FALSE)))</f>
        <v/>
      </c>
      <c r="L95" s="382" t="str">
        <f>IFERROR(INDEX('G-7 WaterC'' Data'!$O$3:$O$7,MATCH(G95,'G-7 WaterC'' Data'!$N$3:$N$7,0)),"")</f>
        <v/>
      </c>
      <c r="M95" s="53"/>
      <c r="N95" s="137"/>
      <c r="O95" s="289" t="str">
        <f t="shared" si="7"/>
        <v/>
      </c>
      <c r="P95" s="302" t="str">
        <f t="shared" si="8"/>
        <v/>
      </c>
      <c r="Q95" s="340" t="str">
        <f>IFERROR(IF(P95="Check Data ⚠","Check Data ⚠",VLOOKUP(P95,'G-4 Temporal multipliers'!$A$4:$C$37,3,FALSE)),"")</f>
        <v/>
      </c>
      <c r="R95" s="281" t="str">
        <f>IF(C95="","",VLOOKUP(C95,'G-7 WaterC'' Data'!$B$4:$G$8,4,FALSE))</f>
        <v/>
      </c>
      <c r="S95" s="289" t="str">
        <f t="shared" si="9"/>
        <v/>
      </c>
      <c r="T95" s="320" t="str">
        <f t="shared" si="10"/>
        <v/>
      </c>
      <c r="U95" s="282" t="str">
        <f>IF(C95="","",VLOOKUP(T95,'G-3 Multipliers'!$P$2:$Q$6,2,FALSE))</f>
        <v/>
      </c>
      <c r="V95" s="106"/>
      <c r="W95" s="282" t="str">
        <f>IF(V95="","",IF(AND(V95="N/A - Culvert",C95&lt;&gt;"Culvert"),"Not possible ▲",IF(AND(C95="Culvert",V95&lt;&gt;"N/A - Culvert"),"Not possible ▲",IF(VLOOKUP(V95,'G-7 WaterC'' Data'!$AA$4:$AB$7,2,FALSE)=0,"Spatial Data Missing ⚠",VLOOKUP(V95,'G-7 WaterC'' Data'!$AA$4:$AB$7,2,FALSE)))))</f>
        <v/>
      </c>
      <c r="X95" s="56"/>
      <c r="Y95" s="282" t="str">
        <f>IF(X95="","",IF(AND(X95="N/A - Culvert", C95&lt;&gt;"Culvert"), "Not possible ▲",IF(AND(C95="Culvert",X95&lt;&gt;"N/A - Culvert"),"Not possible ▲",IF(VLOOKUP(X95,'G-7 WaterC'' Data'!$AD$4:$AE$14,2,FALSE)=0,"Enrcoachment Data Missing ⚠",VLOOKUP(X95,'G-7 WaterC'' Data'!$AD$4:$AE$14,2,FALSE)))))</f>
        <v/>
      </c>
      <c r="Z95" s="106"/>
      <c r="AA95" s="282" t="str">
        <f>IF(Z95="","",IF(VLOOKUP(Z95,'G-7 WaterC'' Data'!$AO$4:$BO$7,2,FALSE)=0,"Spatial Data Missing ⚠",VLOOKUP(Z95,'G-7 WaterC'' Data'!$AO$4:$BO$7,2,FALSE)))</f>
        <v/>
      </c>
      <c r="AB95" s="323" t="str">
        <f t="shared" si="11"/>
        <v/>
      </c>
      <c r="AC95" s="323" t="str">
        <f t="shared" si="12"/>
        <v/>
      </c>
      <c r="AD95" s="105"/>
      <c r="AE95" s="968"/>
      <c r="AF95" s="142"/>
      <c r="AG95" s="142"/>
      <c r="AH95" s="964"/>
      <c r="AL95" s="30" t="str">
        <f>IFERROR(INDEX('G-7 WaterC'' Data'!$AZ$3:$AZ$7,MATCH(C95,'G-7 WaterC'' Data'!$AY$3:$AY$7,0)),"")</f>
        <v/>
      </c>
      <c r="AN95" s="30" t="str">
        <f t="shared" si="13"/>
        <v>No</v>
      </c>
    </row>
    <row r="96" spans="2:40" ht="13.8" x14ac:dyDescent="0.25">
      <c r="B96" s="101">
        <v>85</v>
      </c>
      <c r="C96" s="953"/>
      <c r="D96" s="119"/>
      <c r="E96" s="281" t="str">
        <f>IF(C96="","",VLOOKUP(C96,'G-7 WaterC'' Data'!$B$2:$Z$9,2,FALSE))</f>
        <v/>
      </c>
      <c r="F96" s="282" t="str">
        <f>IFERROR(VLOOKUP(E96,'G-7 WaterC'' Data'!$C$4:$D$8,2,FALSE),"")</f>
        <v/>
      </c>
      <c r="G96" s="52"/>
      <c r="H96" s="282" t="str">
        <f>IFERROR(INDEX('G-7 WaterC'' Data'!$H$4:$L$8,MATCH(C96,'G-7 WaterC'' Data'!$B$4:$B$8,0),MATCH(G96,'G-7 WaterC'' Data'!$H$3:$L$3,0)),"")</f>
        <v/>
      </c>
      <c r="I96" s="52"/>
      <c r="J96" s="320" t="str">
        <f>IF(I96="","",IF(VLOOKUP(I96,'G-7 WaterC'' Data'!$AK$4:$AM$6,2,FALSE)=0,"Spatial Data Missing ⚠",VLOOKUP(I96,'G-7 WaterC'' Data'!$AK$4:$AM$6,2,FALSE)))</f>
        <v/>
      </c>
      <c r="K96" s="282" t="str">
        <f>IF(I96="","",IF(VLOOKUP(I96,'G-7 WaterC'' Data'!$AK$4:$AM$6,3,FALSE)=0,"Spatial Data Missing ⚠",VLOOKUP(I96,'G-7 WaterC'' Data'!$AK$4:$AM$6,3,FALSE)))</f>
        <v/>
      </c>
      <c r="L96" s="382" t="str">
        <f>IFERROR(INDEX('G-7 WaterC'' Data'!$O$3:$O$7,MATCH(G96,'G-7 WaterC'' Data'!$N$3:$N$7,0)),"")</f>
        <v/>
      </c>
      <c r="M96" s="53"/>
      <c r="N96" s="137"/>
      <c r="O96" s="289" t="str">
        <f t="shared" si="7"/>
        <v/>
      </c>
      <c r="P96" s="302" t="str">
        <f t="shared" si="8"/>
        <v/>
      </c>
      <c r="Q96" s="340" t="str">
        <f>IFERROR(IF(P96="Check Data ⚠","Check Data ⚠",VLOOKUP(P96,'G-4 Temporal multipliers'!$A$4:$C$37,3,FALSE)),"")</f>
        <v/>
      </c>
      <c r="R96" s="281" t="str">
        <f>IF(C96="","",VLOOKUP(C96,'G-7 WaterC'' Data'!$B$4:$G$8,4,FALSE))</f>
        <v/>
      </c>
      <c r="S96" s="289" t="str">
        <f t="shared" si="9"/>
        <v/>
      </c>
      <c r="T96" s="320" t="str">
        <f t="shared" si="10"/>
        <v/>
      </c>
      <c r="U96" s="282" t="str">
        <f>IF(C96="","",VLOOKUP(T96,'G-3 Multipliers'!$P$2:$Q$6,2,FALSE))</f>
        <v/>
      </c>
      <c r="V96" s="106"/>
      <c r="W96" s="282" t="str">
        <f>IF(V96="","",IF(AND(V96="N/A - Culvert",C96&lt;&gt;"Culvert"),"Not possible ▲",IF(AND(C96="Culvert",V96&lt;&gt;"N/A - Culvert"),"Not possible ▲",IF(VLOOKUP(V96,'G-7 WaterC'' Data'!$AA$4:$AB$7,2,FALSE)=0,"Spatial Data Missing ⚠",VLOOKUP(V96,'G-7 WaterC'' Data'!$AA$4:$AB$7,2,FALSE)))))</f>
        <v/>
      </c>
      <c r="X96" s="56"/>
      <c r="Y96" s="282" t="str">
        <f>IF(X96="","",IF(AND(X96="N/A - Culvert", C96&lt;&gt;"Culvert"), "Not possible ▲",IF(AND(C96="Culvert",X96&lt;&gt;"N/A - Culvert"),"Not possible ▲",IF(VLOOKUP(X96,'G-7 WaterC'' Data'!$AD$4:$AE$14,2,FALSE)=0,"Enrcoachment Data Missing ⚠",VLOOKUP(X96,'G-7 WaterC'' Data'!$AD$4:$AE$14,2,FALSE)))))</f>
        <v/>
      </c>
      <c r="Z96" s="106"/>
      <c r="AA96" s="282" t="str">
        <f>IF(Z96="","",IF(VLOOKUP(Z96,'G-7 WaterC'' Data'!$AO$4:$BO$7,2,FALSE)=0,"Spatial Data Missing ⚠",VLOOKUP(Z96,'G-7 WaterC'' Data'!$AO$4:$BO$7,2,FALSE)))</f>
        <v/>
      </c>
      <c r="AB96" s="323" t="str">
        <f t="shared" si="11"/>
        <v/>
      </c>
      <c r="AC96" s="323" t="str">
        <f t="shared" si="12"/>
        <v/>
      </c>
      <c r="AD96" s="105"/>
      <c r="AE96" s="968"/>
      <c r="AF96" s="142"/>
      <c r="AG96" s="142"/>
      <c r="AH96" s="964"/>
      <c r="AL96" s="30" t="str">
        <f>IFERROR(INDEX('G-7 WaterC'' Data'!$AZ$3:$AZ$7,MATCH(C96,'G-7 WaterC'' Data'!$AY$3:$AY$7,0)),"")</f>
        <v/>
      </c>
      <c r="AN96" s="30" t="str">
        <f t="shared" si="13"/>
        <v>No</v>
      </c>
    </row>
    <row r="97" spans="2:40" ht="13.8" x14ac:dyDescent="0.25">
      <c r="B97" s="101">
        <v>86</v>
      </c>
      <c r="C97" s="953"/>
      <c r="D97" s="119"/>
      <c r="E97" s="281" t="str">
        <f>IF(C97="","",VLOOKUP(C97,'G-7 WaterC'' Data'!$B$2:$Z$9,2,FALSE))</f>
        <v/>
      </c>
      <c r="F97" s="282" t="str">
        <f>IFERROR(VLOOKUP(E97,'G-7 WaterC'' Data'!$C$4:$D$8,2,FALSE),"")</f>
        <v/>
      </c>
      <c r="G97" s="52"/>
      <c r="H97" s="282" t="str">
        <f>IFERROR(INDEX('G-7 WaterC'' Data'!$H$4:$L$8,MATCH(C97,'G-7 WaterC'' Data'!$B$4:$B$8,0),MATCH(G97,'G-7 WaterC'' Data'!$H$3:$L$3,0)),"")</f>
        <v/>
      </c>
      <c r="I97" s="52"/>
      <c r="J97" s="320" t="str">
        <f>IF(I97="","",IF(VLOOKUP(I97,'G-7 WaterC'' Data'!$AK$4:$AM$6,2,FALSE)=0,"Spatial Data Missing ⚠",VLOOKUP(I97,'G-7 WaterC'' Data'!$AK$4:$AM$6,2,FALSE)))</f>
        <v/>
      </c>
      <c r="K97" s="282" t="str">
        <f>IF(I97="","",IF(VLOOKUP(I97,'G-7 WaterC'' Data'!$AK$4:$AM$6,3,FALSE)=0,"Spatial Data Missing ⚠",VLOOKUP(I97,'G-7 WaterC'' Data'!$AK$4:$AM$6,3,FALSE)))</f>
        <v/>
      </c>
      <c r="L97" s="382" t="str">
        <f>IFERROR(INDEX('G-7 WaterC'' Data'!$O$3:$O$7,MATCH(G97,'G-7 WaterC'' Data'!$N$3:$N$7,0)),"")</f>
        <v/>
      </c>
      <c r="M97" s="53"/>
      <c r="N97" s="137"/>
      <c r="O97" s="289" t="str">
        <f t="shared" si="7"/>
        <v/>
      </c>
      <c r="P97" s="302" t="str">
        <f t="shared" si="8"/>
        <v/>
      </c>
      <c r="Q97" s="340" t="str">
        <f>IFERROR(IF(P97="Check Data ⚠","Check Data ⚠",VLOOKUP(P97,'G-4 Temporal multipliers'!$A$4:$C$37,3,FALSE)),"")</f>
        <v/>
      </c>
      <c r="R97" s="281" t="str">
        <f>IF(C97="","",VLOOKUP(C97,'G-7 WaterC'' Data'!$B$4:$G$8,4,FALSE))</f>
        <v/>
      </c>
      <c r="S97" s="289" t="str">
        <f t="shared" si="9"/>
        <v/>
      </c>
      <c r="T97" s="320" t="str">
        <f t="shared" si="10"/>
        <v/>
      </c>
      <c r="U97" s="282" t="str">
        <f>IF(C97="","",VLOOKUP(T97,'G-3 Multipliers'!$P$2:$Q$6,2,FALSE))</f>
        <v/>
      </c>
      <c r="V97" s="106"/>
      <c r="W97" s="282" t="str">
        <f>IF(V97="","",IF(AND(V97="N/A - Culvert",C97&lt;&gt;"Culvert"),"Not possible ▲",IF(AND(C97="Culvert",V97&lt;&gt;"N/A - Culvert"),"Not possible ▲",IF(VLOOKUP(V97,'G-7 WaterC'' Data'!$AA$4:$AB$7,2,FALSE)=0,"Spatial Data Missing ⚠",VLOOKUP(V97,'G-7 WaterC'' Data'!$AA$4:$AB$7,2,FALSE)))))</f>
        <v/>
      </c>
      <c r="X97" s="56"/>
      <c r="Y97" s="282" t="str">
        <f>IF(X97="","",IF(AND(X97="N/A - Culvert", C97&lt;&gt;"Culvert"), "Not possible ▲",IF(AND(C97="Culvert",X97&lt;&gt;"N/A - Culvert"),"Not possible ▲",IF(VLOOKUP(X97,'G-7 WaterC'' Data'!$AD$4:$AE$14,2,FALSE)=0,"Enrcoachment Data Missing ⚠",VLOOKUP(X97,'G-7 WaterC'' Data'!$AD$4:$AE$14,2,FALSE)))))</f>
        <v/>
      </c>
      <c r="Z97" s="106"/>
      <c r="AA97" s="282" t="str">
        <f>IF(Z97="","",IF(VLOOKUP(Z97,'G-7 WaterC'' Data'!$AO$4:$BO$7,2,FALSE)=0,"Spatial Data Missing ⚠",VLOOKUP(Z97,'G-7 WaterC'' Data'!$AO$4:$BO$7,2,FALSE)))</f>
        <v/>
      </c>
      <c r="AB97" s="323" t="str">
        <f t="shared" si="11"/>
        <v/>
      </c>
      <c r="AC97" s="323" t="str">
        <f t="shared" si="12"/>
        <v/>
      </c>
      <c r="AD97" s="105"/>
      <c r="AE97" s="968"/>
      <c r="AF97" s="142"/>
      <c r="AG97" s="142"/>
      <c r="AH97" s="964"/>
      <c r="AL97" s="30" t="str">
        <f>IFERROR(INDEX('G-7 WaterC'' Data'!$AZ$3:$AZ$7,MATCH(C97,'G-7 WaterC'' Data'!$AY$3:$AY$7,0)),"")</f>
        <v/>
      </c>
      <c r="AN97" s="30" t="str">
        <f t="shared" si="13"/>
        <v>No</v>
      </c>
    </row>
    <row r="98" spans="2:40" ht="13.8" x14ac:dyDescent="0.25">
      <c r="B98" s="101">
        <v>87</v>
      </c>
      <c r="C98" s="953"/>
      <c r="D98" s="119"/>
      <c r="E98" s="281" t="str">
        <f>IF(C98="","",VLOOKUP(C98,'G-7 WaterC'' Data'!$B$2:$Z$9,2,FALSE))</f>
        <v/>
      </c>
      <c r="F98" s="282" t="str">
        <f>IFERROR(VLOOKUP(E98,'G-7 WaterC'' Data'!$C$4:$D$8,2,FALSE),"")</f>
        <v/>
      </c>
      <c r="G98" s="52"/>
      <c r="H98" s="282" t="str">
        <f>IFERROR(INDEX('G-7 WaterC'' Data'!$H$4:$L$8,MATCH(C98,'G-7 WaterC'' Data'!$B$4:$B$8,0),MATCH(G98,'G-7 WaterC'' Data'!$H$3:$L$3,0)),"")</f>
        <v/>
      </c>
      <c r="I98" s="52"/>
      <c r="J98" s="320" t="str">
        <f>IF(I98="","",IF(VLOOKUP(I98,'G-7 WaterC'' Data'!$AK$4:$AM$6,2,FALSE)=0,"Spatial Data Missing ⚠",VLOOKUP(I98,'G-7 WaterC'' Data'!$AK$4:$AM$6,2,FALSE)))</f>
        <v/>
      </c>
      <c r="K98" s="282" t="str">
        <f>IF(I98="","",IF(VLOOKUP(I98,'G-7 WaterC'' Data'!$AK$4:$AM$6,3,FALSE)=0,"Spatial Data Missing ⚠",VLOOKUP(I98,'G-7 WaterC'' Data'!$AK$4:$AM$6,3,FALSE)))</f>
        <v/>
      </c>
      <c r="L98" s="382" t="str">
        <f>IFERROR(INDEX('G-7 WaterC'' Data'!$O$3:$O$7,MATCH(G98,'G-7 WaterC'' Data'!$N$3:$N$7,0)),"")</f>
        <v/>
      </c>
      <c r="M98" s="53"/>
      <c r="N98" s="137"/>
      <c r="O98" s="289" t="str">
        <f t="shared" si="7"/>
        <v/>
      </c>
      <c r="P98" s="302" t="str">
        <f t="shared" si="8"/>
        <v/>
      </c>
      <c r="Q98" s="340" t="str">
        <f>IFERROR(IF(P98="Check Data ⚠","Check Data ⚠",VLOOKUP(P98,'G-4 Temporal multipliers'!$A$4:$C$37,3,FALSE)),"")</f>
        <v/>
      </c>
      <c r="R98" s="281" t="str">
        <f>IF(C98="","",VLOOKUP(C98,'G-7 WaterC'' Data'!$B$4:$G$8,4,FALSE))</f>
        <v/>
      </c>
      <c r="S98" s="289" t="str">
        <f t="shared" si="9"/>
        <v/>
      </c>
      <c r="T98" s="320" t="str">
        <f t="shared" si="10"/>
        <v/>
      </c>
      <c r="U98" s="282" t="str">
        <f>IF(C98="","",VLOOKUP(T98,'G-3 Multipliers'!$P$2:$Q$6,2,FALSE))</f>
        <v/>
      </c>
      <c r="V98" s="106"/>
      <c r="W98" s="282" t="str">
        <f>IF(V98="","",IF(AND(V98="N/A - Culvert",C98&lt;&gt;"Culvert"),"Not possible ▲",IF(AND(C98="Culvert",V98&lt;&gt;"N/A - Culvert"),"Not possible ▲",IF(VLOOKUP(V98,'G-7 WaterC'' Data'!$AA$4:$AB$7,2,FALSE)=0,"Spatial Data Missing ⚠",VLOOKUP(V98,'G-7 WaterC'' Data'!$AA$4:$AB$7,2,FALSE)))))</f>
        <v/>
      </c>
      <c r="X98" s="56"/>
      <c r="Y98" s="282" t="str">
        <f>IF(X98="","",IF(AND(X98="N/A - Culvert", C98&lt;&gt;"Culvert"), "Not possible ▲",IF(AND(C98="Culvert",X98&lt;&gt;"N/A - Culvert"),"Not possible ▲",IF(VLOOKUP(X98,'G-7 WaterC'' Data'!$AD$4:$AE$14,2,FALSE)=0,"Enrcoachment Data Missing ⚠",VLOOKUP(X98,'G-7 WaterC'' Data'!$AD$4:$AE$14,2,FALSE)))))</f>
        <v/>
      </c>
      <c r="Z98" s="106"/>
      <c r="AA98" s="282" t="str">
        <f>IF(Z98="","",IF(VLOOKUP(Z98,'G-7 WaterC'' Data'!$AO$4:$BO$7,2,FALSE)=0,"Spatial Data Missing ⚠",VLOOKUP(Z98,'G-7 WaterC'' Data'!$AO$4:$BO$7,2,FALSE)))</f>
        <v/>
      </c>
      <c r="AB98" s="323" t="str">
        <f t="shared" si="11"/>
        <v/>
      </c>
      <c r="AC98" s="323" t="str">
        <f t="shared" si="12"/>
        <v/>
      </c>
      <c r="AD98" s="105"/>
      <c r="AE98" s="968"/>
      <c r="AF98" s="142"/>
      <c r="AG98" s="142"/>
      <c r="AH98" s="964"/>
      <c r="AL98" s="30" t="str">
        <f>IFERROR(INDEX('G-7 WaterC'' Data'!$AZ$3:$AZ$7,MATCH(C98,'G-7 WaterC'' Data'!$AY$3:$AY$7,0)),"")</f>
        <v/>
      </c>
      <c r="AN98" s="30" t="str">
        <f t="shared" si="13"/>
        <v>No</v>
      </c>
    </row>
    <row r="99" spans="2:40" ht="13.8" x14ac:dyDescent="0.25">
      <c r="B99" s="101">
        <v>88</v>
      </c>
      <c r="C99" s="953"/>
      <c r="D99" s="119"/>
      <c r="E99" s="281" t="str">
        <f>IF(C99="","",VLOOKUP(C99,'G-7 WaterC'' Data'!$B$2:$Z$9,2,FALSE))</f>
        <v/>
      </c>
      <c r="F99" s="282" t="str">
        <f>IFERROR(VLOOKUP(E99,'G-7 WaterC'' Data'!$C$4:$D$8,2,FALSE),"")</f>
        <v/>
      </c>
      <c r="G99" s="52"/>
      <c r="H99" s="282" t="str">
        <f>IFERROR(INDEX('G-7 WaterC'' Data'!$H$4:$L$8,MATCH(C99,'G-7 WaterC'' Data'!$B$4:$B$8,0),MATCH(G99,'G-7 WaterC'' Data'!$H$3:$L$3,0)),"")</f>
        <v/>
      </c>
      <c r="I99" s="52"/>
      <c r="J99" s="320" t="str">
        <f>IF(I99="","",IF(VLOOKUP(I99,'G-7 WaterC'' Data'!$AK$4:$AM$6,2,FALSE)=0,"Spatial Data Missing ⚠",VLOOKUP(I99,'G-7 WaterC'' Data'!$AK$4:$AM$6,2,FALSE)))</f>
        <v/>
      </c>
      <c r="K99" s="282" t="str">
        <f>IF(I99="","",IF(VLOOKUP(I99,'G-7 WaterC'' Data'!$AK$4:$AM$6,3,FALSE)=0,"Spatial Data Missing ⚠",VLOOKUP(I99,'G-7 WaterC'' Data'!$AK$4:$AM$6,3,FALSE)))</f>
        <v/>
      </c>
      <c r="L99" s="382" t="str">
        <f>IFERROR(INDEX('G-7 WaterC'' Data'!$O$3:$O$7,MATCH(G99,'G-7 WaterC'' Data'!$N$3:$N$7,0)),"")</f>
        <v/>
      </c>
      <c r="M99" s="53"/>
      <c r="N99" s="137"/>
      <c r="O99" s="289" t="str">
        <f t="shared" si="7"/>
        <v/>
      </c>
      <c r="P99" s="302" t="str">
        <f t="shared" si="8"/>
        <v/>
      </c>
      <c r="Q99" s="340" t="str">
        <f>IFERROR(IF(P99="Check Data ⚠","Check Data ⚠",VLOOKUP(P99,'G-4 Temporal multipliers'!$A$4:$C$37,3,FALSE)),"")</f>
        <v/>
      </c>
      <c r="R99" s="281" t="str">
        <f>IF(C99="","",VLOOKUP(C99,'G-7 WaterC'' Data'!$B$4:$G$8,4,FALSE))</f>
        <v/>
      </c>
      <c r="S99" s="289" t="str">
        <f t="shared" si="9"/>
        <v/>
      </c>
      <c r="T99" s="320" t="str">
        <f t="shared" si="10"/>
        <v/>
      </c>
      <c r="U99" s="282" t="str">
        <f>IF(C99="","",VLOOKUP(T99,'G-3 Multipliers'!$P$2:$Q$6,2,FALSE))</f>
        <v/>
      </c>
      <c r="V99" s="106"/>
      <c r="W99" s="282" t="str">
        <f>IF(V99="","",IF(AND(V99="N/A - Culvert",C99&lt;&gt;"Culvert"),"Not possible ▲",IF(AND(C99="Culvert",V99&lt;&gt;"N/A - Culvert"),"Not possible ▲",IF(VLOOKUP(V99,'G-7 WaterC'' Data'!$AA$4:$AB$7,2,FALSE)=0,"Spatial Data Missing ⚠",VLOOKUP(V99,'G-7 WaterC'' Data'!$AA$4:$AB$7,2,FALSE)))))</f>
        <v/>
      </c>
      <c r="X99" s="56"/>
      <c r="Y99" s="282" t="str">
        <f>IF(X99="","",IF(AND(X99="N/A - Culvert", C99&lt;&gt;"Culvert"), "Not possible ▲",IF(AND(C99="Culvert",X99&lt;&gt;"N/A - Culvert"),"Not possible ▲",IF(VLOOKUP(X99,'G-7 WaterC'' Data'!$AD$4:$AE$14,2,FALSE)=0,"Enrcoachment Data Missing ⚠",VLOOKUP(X99,'G-7 WaterC'' Data'!$AD$4:$AE$14,2,FALSE)))))</f>
        <v/>
      </c>
      <c r="Z99" s="106"/>
      <c r="AA99" s="282" t="str">
        <f>IF(Z99="","",IF(VLOOKUP(Z99,'G-7 WaterC'' Data'!$AO$4:$BO$7,2,FALSE)=0,"Spatial Data Missing ⚠",VLOOKUP(Z99,'G-7 WaterC'' Data'!$AO$4:$BO$7,2,FALSE)))</f>
        <v/>
      </c>
      <c r="AB99" s="323" t="str">
        <f t="shared" si="11"/>
        <v/>
      </c>
      <c r="AC99" s="323" t="str">
        <f t="shared" si="12"/>
        <v/>
      </c>
      <c r="AD99" s="105"/>
      <c r="AE99" s="968"/>
      <c r="AF99" s="142"/>
      <c r="AG99" s="142"/>
      <c r="AH99" s="964"/>
      <c r="AL99" s="30" t="str">
        <f>IFERROR(INDEX('G-7 WaterC'' Data'!$AZ$3:$AZ$7,MATCH(C99,'G-7 WaterC'' Data'!$AY$3:$AY$7,0)),"")</f>
        <v/>
      </c>
      <c r="AN99" s="30" t="str">
        <f t="shared" si="13"/>
        <v>No</v>
      </c>
    </row>
    <row r="100" spans="2:40" ht="13.8" x14ac:dyDescent="0.25">
      <c r="B100" s="101">
        <v>89</v>
      </c>
      <c r="C100" s="953"/>
      <c r="D100" s="119"/>
      <c r="E100" s="281" t="str">
        <f>IF(C100="","",VLOOKUP(C100,'G-7 WaterC'' Data'!$B$2:$Z$9,2,FALSE))</f>
        <v/>
      </c>
      <c r="F100" s="282" t="str">
        <f>IFERROR(VLOOKUP(E100,'G-7 WaterC'' Data'!$C$4:$D$8,2,FALSE),"")</f>
        <v/>
      </c>
      <c r="G100" s="52"/>
      <c r="H100" s="282" t="str">
        <f>IFERROR(INDEX('G-7 WaterC'' Data'!$H$4:$L$8,MATCH(C100,'G-7 WaterC'' Data'!$B$4:$B$8,0),MATCH(G100,'G-7 WaterC'' Data'!$H$3:$L$3,0)),"")</f>
        <v/>
      </c>
      <c r="I100" s="52"/>
      <c r="J100" s="320" t="str">
        <f>IF(I100="","",IF(VLOOKUP(I100,'G-7 WaterC'' Data'!$AK$4:$AM$6,2,FALSE)=0,"Spatial Data Missing ⚠",VLOOKUP(I100,'G-7 WaterC'' Data'!$AK$4:$AM$6,2,FALSE)))</f>
        <v/>
      </c>
      <c r="K100" s="282" t="str">
        <f>IF(I100="","",IF(VLOOKUP(I100,'G-7 WaterC'' Data'!$AK$4:$AM$6,3,FALSE)=0,"Spatial Data Missing ⚠",VLOOKUP(I100,'G-7 WaterC'' Data'!$AK$4:$AM$6,3,FALSE)))</f>
        <v/>
      </c>
      <c r="L100" s="382" t="str">
        <f>IFERROR(INDEX('G-7 WaterC'' Data'!$O$3:$O$7,MATCH(G100,'G-7 WaterC'' Data'!$N$3:$N$7,0)),"")</f>
        <v/>
      </c>
      <c r="M100" s="53"/>
      <c r="N100" s="137"/>
      <c r="O100" s="289" t="str">
        <f t="shared" si="7"/>
        <v/>
      </c>
      <c r="P100" s="302" t="str">
        <f t="shared" si="8"/>
        <v/>
      </c>
      <c r="Q100" s="340" t="str">
        <f>IFERROR(IF(P100="Check Data ⚠","Check Data ⚠",VLOOKUP(P100,'G-4 Temporal multipliers'!$A$4:$C$37,3,FALSE)),"")</f>
        <v/>
      </c>
      <c r="R100" s="281" t="str">
        <f>IF(C100="","",VLOOKUP(C100,'G-7 WaterC'' Data'!$B$4:$G$8,4,FALSE))</f>
        <v/>
      </c>
      <c r="S100" s="289" t="str">
        <f t="shared" si="9"/>
        <v/>
      </c>
      <c r="T100" s="320" t="str">
        <f t="shared" si="10"/>
        <v/>
      </c>
      <c r="U100" s="282" t="str">
        <f>IF(C100="","",VLOOKUP(T100,'G-3 Multipliers'!$P$2:$Q$6,2,FALSE))</f>
        <v/>
      </c>
      <c r="V100" s="106"/>
      <c r="W100" s="282" t="str">
        <f>IF(V100="","",IF(AND(V100="N/A - Culvert",C100&lt;&gt;"Culvert"),"Not possible ▲",IF(AND(C100="Culvert",V100&lt;&gt;"N/A - Culvert"),"Not possible ▲",IF(VLOOKUP(V100,'G-7 WaterC'' Data'!$AA$4:$AB$7,2,FALSE)=0,"Spatial Data Missing ⚠",VLOOKUP(V100,'G-7 WaterC'' Data'!$AA$4:$AB$7,2,FALSE)))))</f>
        <v/>
      </c>
      <c r="X100" s="56"/>
      <c r="Y100" s="282" t="str">
        <f>IF(X100="","",IF(AND(X100="N/A - Culvert", C100&lt;&gt;"Culvert"), "Not possible ▲",IF(AND(C100="Culvert",X100&lt;&gt;"N/A - Culvert"),"Not possible ▲",IF(VLOOKUP(X100,'G-7 WaterC'' Data'!$AD$4:$AE$14,2,FALSE)=0,"Enrcoachment Data Missing ⚠",VLOOKUP(X100,'G-7 WaterC'' Data'!$AD$4:$AE$14,2,FALSE)))))</f>
        <v/>
      </c>
      <c r="Z100" s="106"/>
      <c r="AA100" s="282" t="str">
        <f>IF(Z100="","",IF(VLOOKUP(Z100,'G-7 WaterC'' Data'!$AO$4:$BO$7,2,FALSE)=0,"Spatial Data Missing ⚠",VLOOKUP(Z100,'G-7 WaterC'' Data'!$AO$4:$BO$7,2,FALSE)))</f>
        <v/>
      </c>
      <c r="AB100" s="323" t="str">
        <f t="shared" si="11"/>
        <v/>
      </c>
      <c r="AC100" s="323" t="str">
        <f t="shared" si="12"/>
        <v/>
      </c>
      <c r="AD100" s="105"/>
      <c r="AE100" s="968"/>
      <c r="AF100" s="142"/>
      <c r="AG100" s="142"/>
      <c r="AH100" s="964"/>
      <c r="AL100" s="30" t="str">
        <f>IFERROR(INDEX('G-7 WaterC'' Data'!$AZ$3:$AZ$7,MATCH(C100,'G-7 WaterC'' Data'!$AY$3:$AY$7,0)),"")</f>
        <v/>
      </c>
      <c r="AN100" s="30" t="str">
        <f t="shared" si="13"/>
        <v>No</v>
      </c>
    </row>
    <row r="101" spans="2:40" ht="13.8" x14ac:dyDescent="0.25">
      <c r="B101" s="101">
        <v>90</v>
      </c>
      <c r="C101" s="953"/>
      <c r="D101" s="119"/>
      <c r="E101" s="281" t="str">
        <f>IF(C101="","",VLOOKUP(C101,'G-7 WaterC'' Data'!$B$2:$Z$9,2,FALSE))</f>
        <v/>
      </c>
      <c r="F101" s="282" t="str">
        <f>IFERROR(VLOOKUP(E101,'G-7 WaterC'' Data'!$C$4:$D$8,2,FALSE),"")</f>
        <v/>
      </c>
      <c r="G101" s="52"/>
      <c r="H101" s="282" t="str">
        <f>IFERROR(INDEX('G-7 WaterC'' Data'!$H$4:$L$8,MATCH(C101,'G-7 WaterC'' Data'!$B$4:$B$8,0),MATCH(G101,'G-7 WaterC'' Data'!$H$3:$L$3,0)),"")</f>
        <v/>
      </c>
      <c r="I101" s="52"/>
      <c r="J101" s="320" t="str">
        <f>IF(I101="","",IF(VLOOKUP(I101,'G-7 WaterC'' Data'!$AK$4:$AM$6,2,FALSE)=0,"Spatial Data Missing ⚠",VLOOKUP(I101,'G-7 WaterC'' Data'!$AK$4:$AM$6,2,FALSE)))</f>
        <v/>
      </c>
      <c r="K101" s="282" t="str">
        <f>IF(I101="","",IF(VLOOKUP(I101,'G-7 WaterC'' Data'!$AK$4:$AM$6,3,FALSE)=0,"Spatial Data Missing ⚠",VLOOKUP(I101,'G-7 WaterC'' Data'!$AK$4:$AM$6,3,FALSE)))</f>
        <v/>
      </c>
      <c r="L101" s="382" t="str">
        <f>IFERROR(INDEX('G-7 WaterC'' Data'!$O$3:$O$7,MATCH(G101,'G-7 WaterC'' Data'!$N$3:$N$7,0)),"")</f>
        <v/>
      </c>
      <c r="M101" s="53"/>
      <c r="N101" s="137"/>
      <c r="O101" s="289" t="str">
        <f t="shared" si="7"/>
        <v/>
      </c>
      <c r="P101" s="302" t="str">
        <f t="shared" si="8"/>
        <v/>
      </c>
      <c r="Q101" s="340" t="str">
        <f>IFERROR(IF(P101="Check Data ⚠","Check Data ⚠",VLOOKUP(P101,'G-4 Temporal multipliers'!$A$4:$C$37,3,FALSE)),"")</f>
        <v/>
      </c>
      <c r="R101" s="281" t="str">
        <f>IF(C101="","",VLOOKUP(C101,'G-7 WaterC'' Data'!$B$4:$G$8,4,FALSE))</f>
        <v/>
      </c>
      <c r="S101" s="289" t="str">
        <f t="shared" si="9"/>
        <v/>
      </c>
      <c r="T101" s="320" t="str">
        <f t="shared" si="10"/>
        <v/>
      </c>
      <c r="U101" s="282" t="str">
        <f>IF(C101="","",VLOOKUP(T101,'G-3 Multipliers'!$P$2:$Q$6,2,FALSE))</f>
        <v/>
      </c>
      <c r="V101" s="106"/>
      <c r="W101" s="282" t="str">
        <f>IF(V101="","",IF(AND(V101="N/A - Culvert",C101&lt;&gt;"Culvert"),"Not possible ▲",IF(AND(C101="Culvert",V101&lt;&gt;"N/A - Culvert"),"Not possible ▲",IF(VLOOKUP(V101,'G-7 WaterC'' Data'!$AA$4:$AB$7,2,FALSE)=0,"Spatial Data Missing ⚠",VLOOKUP(V101,'G-7 WaterC'' Data'!$AA$4:$AB$7,2,FALSE)))))</f>
        <v/>
      </c>
      <c r="X101" s="56"/>
      <c r="Y101" s="282" t="str">
        <f>IF(X101="","",IF(AND(X101="N/A - Culvert", C101&lt;&gt;"Culvert"), "Not possible ▲",IF(AND(C101="Culvert",X101&lt;&gt;"N/A - Culvert"),"Not possible ▲",IF(VLOOKUP(X101,'G-7 WaterC'' Data'!$AD$4:$AE$14,2,FALSE)=0,"Enrcoachment Data Missing ⚠",VLOOKUP(X101,'G-7 WaterC'' Data'!$AD$4:$AE$14,2,FALSE)))))</f>
        <v/>
      </c>
      <c r="Z101" s="106"/>
      <c r="AA101" s="282" t="str">
        <f>IF(Z101="","",IF(VLOOKUP(Z101,'G-7 WaterC'' Data'!$AO$4:$BO$7,2,FALSE)=0,"Spatial Data Missing ⚠",VLOOKUP(Z101,'G-7 WaterC'' Data'!$AO$4:$BO$7,2,FALSE)))</f>
        <v/>
      </c>
      <c r="AB101" s="323" t="str">
        <f t="shared" si="11"/>
        <v/>
      </c>
      <c r="AC101" s="323" t="str">
        <f t="shared" si="12"/>
        <v/>
      </c>
      <c r="AD101" s="105"/>
      <c r="AE101" s="968"/>
      <c r="AF101" s="142"/>
      <c r="AG101" s="142"/>
      <c r="AH101" s="964"/>
      <c r="AL101" s="30" t="str">
        <f>IFERROR(INDEX('G-7 WaterC'' Data'!$AZ$3:$AZ$7,MATCH(C101,'G-7 WaterC'' Data'!$AY$3:$AY$7,0)),"")</f>
        <v/>
      </c>
      <c r="AN101" s="30" t="str">
        <f t="shared" si="13"/>
        <v>No</v>
      </c>
    </row>
    <row r="102" spans="2:40" ht="13.8" x14ac:dyDescent="0.25">
      <c r="B102" s="101">
        <v>91</v>
      </c>
      <c r="C102" s="953"/>
      <c r="D102" s="119"/>
      <c r="E102" s="281" t="str">
        <f>IF(C102="","",VLOOKUP(C102,'G-7 WaterC'' Data'!$B$2:$Z$9,2,FALSE))</f>
        <v/>
      </c>
      <c r="F102" s="282" t="str">
        <f>IFERROR(VLOOKUP(E102,'G-7 WaterC'' Data'!$C$4:$D$8,2,FALSE),"")</f>
        <v/>
      </c>
      <c r="G102" s="52"/>
      <c r="H102" s="282" t="str">
        <f>IFERROR(INDEX('G-7 WaterC'' Data'!$H$4:$L$8,MATCH(C102,'G-7 WaterC'' Data'!$B$4:$B$8,0),MATCH(G102,'G-7 WaterC'' Data'!$H$3:$L$3,0)),"")</f>
        <v/>
      </c>
      <c r="I102" s="52"/>
      <c r="J102" s="320" t="str">
        <f>IF(I102="","",IF(VLOOKUP(I102,'G-7 WaterC'' Data'!$AK$4:$AM$6,2,FALSE)=0,"Spatial Data Missing ⚠",VLOOKUP(I102,'G-7 WaterC'' Data'!$AK$4:$AM$6,2,FALSE)))</f>
        <v/>
      </c>
      <c r="K102" s="282" t="str">
        <f>IF(I102="","",IF(VLOOKUP(I102,'G-7 WaterC'' Data'!$AK$4:$AM$6,3,FALSE)=0,"Spatial Data Missing ⚠",VLOOKUP(I102,'G-7 WaterC'' Data'!$AK$4:$AM$6,3,FALSE)))</f>
        <v/>
      </c>
      <c r="L102" s="382" t="str">
        <f>IFERROR(INDEX('G-7 WaterC'' Data'!$O$3:$O$7,MATCH(G102,'G-7 WaterC'' Data'!$N$3:$N$7,0)),"")</f>
        <v/>
      </c>
      <c r="M102" s="53"/>
      <c r="N102" s="137"/>
      <c r="O102" s="289" t="str">
        <f t="shared" si="7"/>
        <v/>
      </c>
      <c r="P102" s="302" t="str">
        <f t="shared" si="8"/>
        <v/>
      </c>
      <c r="Q102" s="340" t="str">
        <f>IFERROR(IF(P102="Check Data ⚠","Check Data ⚠",VLOOKUP(P102,'G-4 Temporal multipliers'!$A$4:$C$37,3,FALSE)),"")</f>
        <v/>
      </c>
      <c r="R102" s="281" t="str">
        <f>IF(C102="","",VLOOKUP(C102,'G-7 WaterC'' Data'!$B$4:$G$8,4,FALSE))</f>
        <v/>
      </c>
      <c r="S102" s="289" t="str">
        <f t="shared" si="9"/>
        <v/>
      </c>
      <c r="T102" s="320" t="str">
        <f t="shared" si="10"/>
        <v/>
      </c>
      <c r="U102" s="282" t="str">
        <f>IF(C102="","",VLOOKUP(T102,'G-3 Multipliers'!$P$2:$Q$6,2,FALSE))</f>
        <v/>
      </c>
      <c r="V102" s="106"/>
      <c r="W102" s="282" t="str">
        <f>IF(V102="","",IF(AND(V102="N/A - Culvert",C102&lt;&gt;"Culvert"),"Not possible ▲",IF(AND(C102="Culvert",V102&lt;&gt;"N/A - Culvert"),"Not possible ▲",IF(VLOOKUP(V102,'G-7 WaterC'' Data'!$AA$4:$AB$7,2,FALSE)=0,"Spatial Data Missing ⚠",VLOOKUP(V102,'G-7 WaterC'' Data'!$AA$4:$AB$7,2,FALSE)))))</f>
        <v/>
      </c>
      <c r="X102" s="56"/>
      <c r="Y102" s="282" t="str">
        <f>IF(X102="","",IF(AND(X102="N/A - Culvert", C102&lt;&gt;"Culvert"), "Not possible ▲",IF(AND(C102="Culvert",X102&lt;&gt;"N/A - Culvert"),"Not possible ▲",IF(VLOOKUP(X102,'G-7 WaterC'' Data'!$AD$4:$AE$14,2,FALSE)=0,"Enrcoachment Data Missing ⚠",VLOOKUP(X102,'G-7 WaterC'' Data'!$AD$4:$AE$14,2,FALSE)))))</f>
        <v/>
      </c>
      <c r="Z102" s="106"/>
      <c r="AA102" s="282" t="str">
        <f>IF(Z102="","",IF(VLOOKUP(Z102,'G-7 WaterC'' Data'!$AO$4:$BO$7,2,FALSE)=0,"Spatial Data Missing ⚠",VLOOKUP(Z102,'G-7 WaterC'' Data'!$AO$4:$BO$7,2,FALSE)))</f>
        <v/>
      </c>
      <c r="AB102" s="323" t="str">
        <f t="shared" si="11"/>
        <v/>
      </c>
      <c r="AC102" s="323" t="str">
        <f t="shared" si="12"/>
        <v/>
      </c>
      <c r="AD102" s="105"/>
      <c r="AE102" s="968"/>
      <c r="AF102" s="142"/>
      <c r="AG102" s="142"/>
      <c r="AH102" s="964"/>
      <c r="AL102" s="30" t="str">
        <f>IFERROR(INDEX('G-7 WaterC'' Data'!$AZ$3:$AZ$7,MATCH(C102,'G-7 WaterC'' Data'!$AY$3:$AY$7,0)),"")</f>
        <v/>
      </c>
      <c r="AN102" s="30" t="str">
        <f t="shared" si="13"/>
        <v>No</v>
      </c>
    </row>
    <row r="103" spans="2:40" ht="13.8" x14ac:dyDescent="0.25">
      <c r="B103" s="101">
        <v>92</v>
      </c>
      <c r="C103" s="953"/>
      <c r="D103" s="119"/>
      <c r="E103" s="281" t="str">
        <f>IF(C103="","",VLOOKUP(C103,'G-7 WaterC'' Data'!$B$2:$Z$9,2,FALSE))</f>
        <v/>
      </c>
      <c r="F103" s="282" t="str">
        <f>IFERROR(VLOOKUP(E103,'G-7 WaterC'' Data'!$C$4:$D$8,2,FALSE),"")</f>
        <v/>
      </c>
      <c r="G103" s="52"/>
      <c r="H103" s="282" t="str">
        <f>IFERROR(INDEX('G-7 WaterC'' Data'!$H$4:$L$8,MATCH(C103,'G-7 WaterC'' Data'!$B$4:$B$8,0),MATCH(G103,'G-7 WaterC'' Data'!$H$3:$L$3,0)),"")</f>
        <v/>
      </c>
      <c r="I103" s="52"/>
      <c r="J103" s="320" t="str">
        <f>IF(I103="","",IF(VLOOKUP(I103,'G-7 WaterC'' Data'!$AK$4:$AM$6,2,FALSE)=0,"Spatial Data Missing ⚠",VLOOKUP(I103,'G-7 WaterC'' Data'!$AK$4:$AM$6,2,FALSE)))</f>
        <v/>
      </c>
      <c r="K103" s="282" t="str">
        <f>IF(I103="","",IF(VLOOKUP(I103,'G-7 WaterC'' Data'!$AK$4:$AM$6,3,FALSE)=0,"Spatial Data Missing ⚠",VLOOKUP(I103,'G-7 WaterC'' Data'!$AK$4:$AM$6,3,FALSE)))</f>
        <v/>
      </c>
      <c r="L103" s="382" t="str">
        <f>IFERROR(INDEX('G-7 WaterC'' Data'!$O$3:$O$7,MATCH(G103,'G-7 WaterC'' Data'!$N$3:$N$7,0)),"")</f>
        <v/>
      </c>
      <c r="M103" s="53"/>
      <c r="N103" s="137"/>
      <c r="O103" s="289" t="str">
        <f t="shared" si="7"/>
        <v/>
      </c>
      <c r="P103" s="302" t="str">
        <f t="shared" si="8"/>
        <v/>
      </c>
      <c r="Q103" s="340" t="str">
        <f>IFERROR(IF(P103="Check Data ⚠","Check Data ⚠",VLOOKUP(P103,'G-4 Temporal multipliers'!$A$4:$C$37,3,FALSE)),"")</f>
        <v/>
      </c>
      <c r="R103" s="281" t="str">
        <f>IF(C103="","",VLOOKUP(C103,'G-7 WaterC'' Data'!$B$4:$G$8,4,FALSE))</f>
        <v/>
      </c>
      <c r="S103" s="289" t="str">
        <f t="shared" si="9"/>
        <v/>
      </c>
      <c r="T103" s="320" t="str">
        <f t="shared" si="10"/>
        <v/>
      </c>
      <c r="U103" s="282" t="str">
        <f>IF(C103="","",VLOOKUP(T103,'G-3 Multipliers'!$P$2:$Q$6,2,FALSE))</f>
        <v/>
      </c>
      <c r="V103" s="106"/>
      <c r="W103" s="282" t="str">
        <f>IF(V103="","",IF(AND(V103="N/A - Culvert",C103&lt;&gt;"Culvert"),"Not possible ▲",IF(AND(C103="Culvert",V103&lt;&gt;"N/A - Culvert"),"Not possible ▲",IF(VLOOKUP(V103,'G-7 WaterC'' Data'!$AA$4:$AB$7,2,FALSE)=0,"Spatial Data Missing ⚠",VLOOKUP(V103,'G-7 WaterC'' Data'!$AA$4:$AB$7,2,FALSE)))))</f>
        <v/>
      </c>
      <c r="X103" s="56"/>
      <c r="Y103" s="282" t="str">
        <f>IF(X103="","",IF(AND(X103="N/A - Culvert", C103&lt;&gt;"Culvert"), "Not possible ▲",IF(AND(C103="Culvert",X103&lt;&gt;"N/A - Culvert"),"Not possible ▲",IF(VLOOKUP(X103,'G-7 WaterC'' Data'!$AD$4:$AE$14,2,FALSE)=0,"Enrcoachment Data Missing ⚠",VLOOKUP(X103,'G-7 WaterC'' Data'!$AD$4:$AE$14,2,FALSE)))))</f>
        <v/>
      </c>
      <c r="Z103" s="106"/>
      <c r="AA103" s="282" t="str">
        <f>IF(Z103="","",IF(VLOOKUP(Z103,'G-7 WaterC'' Data'!$AO$4:$BO$7,2,FALSE)=0,"Spatial Data Missing ⚠",VLOOKUP(Z103,'G-7 WaterC'' Data'!$AO$4:$BO$7,2,FALSE)))</f>
        <v/>
      </c>
      <c r="AB103" s="323" t="str">
        <f t="shared" si="11"/>
        <v/>
      </c>
      <c r="AC103" s="323" t="str">
        <f t="shared" si="12"/>
        <v/>
      </c>
      <c r="AD103" s="105"/>
      <c r="AE103" s="968"/>
      <c r="AF103" s="142"/>
      <c r="AG103" s="142"/>
      <c r="AH103" s="964"/>
      <c r="AL103" s="30" t="str">
        <f>IFERROR(INDEX('G-7 WaterC'' Data'!$AZ$3:$AZ$7,MATCH(C103,'G-7 WaterC'' Data'!$AY$3:$AY$7,0)),"")</f>
        <v/>
      </c>
      <c r="AN103" s="30" t="str">
        <f t="shared" si="13"/>
        <v>No</v>
      </c>
    </row>
    <row r="104" spans="2:40" ht="13.8" x14ac:dyDescent="0.25">
      <c r="B104" s="101">
        <v>93</v>
      </c>
      <c r="C104" s="953"/>
      <c r="D104" s="119"/>
      <c r="E104" s="281" t="str">
        <f>IF(C104="","",VLOOKUP(C104,'G-7 WaterC'' Data'!$B$2:$Z$9,2,FALSE))</f>
        <v/>
      </c>
      <c r="F104" s="282" t="str">
        <f>IFERROR(VLOOKUP(E104,'G-7 WaterC'' Data'!$C$4:$D$8,2,FALSE),"")</f>
        <v/>
      </c>
      <c r="G104" s="52"/>
      <c r="H104" s="282" t="str">
        <f>IFERROR(INDEX('G-7 WaterC'' Data'!$H$4:$L$8,MATCH(C104,'G-7 WaterC'' Data'!$B$4:$B$8,0),MATCH(G104,'G-7 WaterC'' Data'!$H$3:$L$3,0)),"")</f>
        <v/>
      </c>
      <c r="I104" s="52"/>
      <c r="J104" s="320" t="str">
        <f>IF(I104="","",IF(VLOOKUP(I104,'G-7 WaterC'' Data'!$AK$4:$AM$6,2,FALSE)=0,"Spatial Data Missing ⚠",VLOOKUP(I104,'G-7 WaterC'' Data'!$AK$4:$AM$6,2,FALSE)))</f>
        <v/>
      </c>
      <c r="K104" s="282" t="str">
        <f>IF(I104="","",IF(VLOOKUP(I104,'G-7 WaterC'' Data'!$AK$4:$AM$6,3,FALSE)=0,"Spatial Data Missing ⚠",VLOOKUP(I104,'G-7 WaterC'' Data'!$AK$4:$AM$6,3,FALSE)))</f>
        <v/>
      </c>
      <c r="L104" s="382" t="str">
        <f>IFERROR(INDEX('G-7 WaterC'' Data'!$O$3:$O$7,MATCH(G104,'G-7 WaterC'' Data'!$N$3:$N$7,0)),"")</f>
        <v/>
      </c>
      <c r="M104" s="53"/>
      <c r="N104" s="137"/>
      <c r="O104" s="289" t="str">
        <f t="shared" si="7"/>
        <v/>
      </c>
      <c r="P104" s="302" t="str">
        <f t="shared" si="8"/>
        <v/>
      </c>
      <c r="Q104" s="340" t="str">
        <f>IFERROR(IF(P104="Check Data ⚠","Check Data ⚠",VLOOKUP(P104,'G-4 Temporal multipliers'!$A$4:$C$37,3,FALSE)),"")</f>
        <v/>
      </c>
      <c r="R104" s="281" t="str">
        <f>IF(C104="","",VLOOKUP(C104,'G-7 WaterC'' Data'!$B$4:$G$8,4,FALSE))</f>
        <v/>
      </c>
      <c r="S104" s="289" t="str">
        <f t="shared" si="9"/>
        <v/>
      </c>
      <c r="T104" s="320" t="str">
        <f t="shared" si="10"/>
        <v/>
      </c>
      <c r="U104" s="282" t="str">
        <f>IF(C104="","",VLOOKUP(T104,'G-3 Multipliers'!$P$2:$Q$6,2,FALSE))</f>
        <v/>
      </c>
      <c r="V104" s="106"/>
      <c r="W104" s="282" t="str">
        <f>IF(V104="","",IF(AND(V104="N/A - Culvert",C104&lt;&gt;"Culvert"),"Not possible ▲",IF(AND(C104="Culvert",V104&lt;&gt;"N/A - Culvert"),"Not possible ▲",IF(VLOOKUP(V104,'G-7 WaterC'' Data'!$AA$4:$AB$7,2,FALSE)=0,"Spatial Data Missing ⚠",VLOOKUP(V104,'G-7 WaterC'' Data'!$AA$4:$AB$7,2,FALSE)))))</f>
        <v/>
      </c>
      <c r="X104" s="56"/>
      <c r="Y104" s="282" t="str">
        <f>IF(X104="","",IF(AND(X104="N/A - Culvert", C104&lt;&gt;"Culvert"), "Not possible ▲",IF(AND(C104="Culvert",X104&lt;&gt;"N/A - Culvert"),"Not possible ▲",IF(VLOOKUP(X104,'G-7 WaterC'' Data'!$AD$4:$AE$14,2,FALSE)=0,"Enrcoachment Data Missing ⚠",VLOOKUP(X104,'G-7 WaterC'' Data'!$AD$4:$AE$14,2,FALSE)))))</f>
        <v/>
      </c>
      <c r="Z104" s="106"/>
      <c r="AA104" s="282" t="str">
        <f>IF(Z104="","",IF(VLOOKUP(Z104,'G-7 WaterC'' Data'!$AO$4:$BO$7,2,FALSE)=0,"Spatial Data Missing ⚠",VLOOKUP(Z104,'G-7 WaterC'' Data'!$AO$4:$BO$7,2,FALSE)))</f>
        <v/>
      </c>
      <c r="AB104" s="323" t="str">
        <f t="shared" si="11"/>
        <v/>
      </c>
      <c r="AC104" s="323" t="str">
        <f t="shared" si="12"/>
        <v/>
      </c>
      <c r="AD104" s="105"/>
      <c r="AE104" s="968"/>
      <c r="AF104" s="142"/>
      <c r="AG104" s="142"/>
      <c r="AH104" s="964"/>
      <c r="AL104" s="30" t="str">
        <f>IFERROR(INDEX('G-7 WaterC'' Data'!$AZ$3:$AZ$7,MATCH(C104,'G-7 WaterC'' Data'!$AY$3:$AY$7,0)),"")</f>
        <v/>
      </c>
      <c r="AN104" s="30" t="str">
        <f t="shared" si="13"/>
        <v>No</v>
      </c>
    </row>
    <row r="105" spans="2:40" ht="13.8" x14ac:dyDescent="0.25">
      <c r="B105" s="101">
        <v>94</v>
      </c>
      <c r="C105" s="953"/>
      <c r="D105" s="119"/>
      <c r="E105" s="281" t="str">
        <f>IF(C105="","",VLOOKUP(C105,'G-7 WaterC'' Data'!$B$2:$Z$9,2,FALSE))</f>
        <v/>
      </c>
      <c r="F105" s="282" t="str">
        <f>IFERROR(VLOOKUP(E105,'G-7 WaterC'' Data'!$C$4:$D$8,2,FALSE),"")</f>
        <v/>
      </c>
      <c r="G105" s="52"/>
      <c r="H105" s="282" t="str">
        <f>IFERROR(INDEX('G-7 WaterC'' Data'!$H$4:$L$8,MATCH(C105,'G-7 WaterC'' Data'!$B$4:$B$8,0),MATCH(G105,'G-7 WaterC'' Data'!$H$3:$L$3,0)),"")</f>
        <v/>
      </c>
      <c r="I105" s="52"/>
      <c r="J105" s="320" t="str">
        <f>IF(I105="","",IF(VLOOKUP(I105,'G-7 WaterC'' Data'!$AK$4:$AM$6,2,FALSE)=0,"Spatial Data Missing ⚠",VLOOKUP(I105,'G-7 WaterC'' Data'!$AK$4:$AM$6,2,FALSE)))</f>
        <v/>
      </c>
      <c r="K105" s="282" t="str">
        <f>IF(I105="","",IF(VLOOKUP(I105,'G-7 WaterC'' Data'!$AK$4:$AM$6,3,FALSE)=0,"Spatial Data Missing ⚠",VLOOKUP(I105,'G-7 WaterC'' Data'!$AK$4:$AM$6,3,FALSE)))</f>
        <v/>
      </c>
      <c r="L105" s="382" t="str">
        <f>IFERROR(INDEX('G-7 WaterC'' Data'!$O$3:$O$7,MATCH(G105,'G-7 WaterC'' Data'!$N$3:$N$7,0)),"")</f>
        <v/>
      </c>
      <c r="M105" s="53"/>
      <c r="N105" s="137"/>
      <c r="O105" s="289" t="str">
        <f t="shared" si="7"/>
        <v/>
      </c>
      <c r="P105" s="302" t="str">
        <f t="shared" si="8"/>
        <v/>
      </c>
      <c r="Q105" s="340" t="str">
        <f>IFERROR(IF(P105="Check Data ⚠","Check Data ⚠",VLOOKUP(P105,'G-4 Temporal multipliers'!$A$4:$C$37,3,FALSE)),"")</f>
        <v/>
      </c>
      <c r="R105" s="281" t="str">
        <f>IF(C105="","",VLOOKUP(C105,'G-7 WaterC'' Data'!$B$4:$G$8,4,FALSE))</f>
        <v/>
      </c>
      <c r="S105" s="289" t="str">
        <f t="shared" si="9"/>
        <v/>
      </c>
      <c r="T105" s="320" t="str">
        <f t="shared" si="10"/>
        <v/>
      </c>
      <c r="U105" s="282" t="str">
        <f>IF(C105="","",VLOOKUP(T105,'G-3 Multipliers'!$P$2:$Q$6,2,FALSE))</f>
        <v/>
      </c>
      <c r="V105" s="106"/>
      <c r="W105" s="282" t="str">
        <f>IF(V105="","",IF(AND(V105="N/A - Culvert",C105&lt;&gt;"Culvert"),"Not possible ▲",IF(AND(C105="Culvert",V105&lt;&gt;"N/A - Culvert"),"Not possible ▲",IF(VLOOKUP(V105,'G-7 WaterC'' Data'!$AA$4:$AB$7,2,FALSE)=0,"Spatial Data Missing ⚠",VLOOKUP(V105,'G-7 WaterC'' Data'!$AA$4:$AB$7,2,FALSE)))))</f>
        <v/>
      </c>
      <c r="X105" s="56"/>
      <c r="Y105" s="282" t="str">
        <f>IF(X105="","",IF(AND(X105="N/A - Culvert", C105&lt;&gt;"Culvert"), "Not possible ▲",IF(AND(C105="Culvert",X105&lt;&gt;"N/A - Culvert"),"Not possible ▲",IF(VLOOKUP(X105,'G-7 WaterC'' Data'!$AD$4:$AE$14,2,FALSE)=0,"Enrcoachment Data Missing ⚠",VLOOKUP(X105,'G-7 WaterC'' Data'!$AD$4:$AE$14,2,FALSE)))))</f>
        <v/>
      </c>
      <c r="Z105" s="106"/>
      <c r="AA105" s="282" t="str">
        <f>IF(Z105="","",IF(VLOOKUP(Z105,'G-7 WaterC'' Data'!$AO$4:$BO$7,2,FALSE)=0,"Spatial Data Missing ⚠",VLOOKUP(Z105,'G-7 WaterC'' Data'!$AO$4:$BO$7,2,FALSE)))</f>
        <v/>
      </c>
      <c r="AB105" s="323" t="str">
        <f t="shared" si="11"/>
        <v/>
      </c>
      <c r="AC105" s="323" t="str">
        <f t="shared" si="12"/>
        <v/>
      </c>
      <c r="AD105" s="105"/>
      <c r="AE105" s="968"/>
      <c r="AF105" s="142"/>
      <c r="AG105" s="142"/>
      <c r="AH105" s="964"/>
      <c r="AL105" s="30" t="str">
        <f>IFERROR(INDEX('G-7 WaterC'' Data'!$AZ$3:$AZ$7,MATCH(C105,'G-7 WaterC'' Data'!$AY$3:$AY$7,0)),"")</f>
        <v/>
      </c>
      <c r="AN105" s="30" t="str">
        <f t="shared" si="13"/>
        <v>No</v>
      </c>
    </row>
    <row r="106" spans="2:40" ht="13.8" x14ac:dyDescent="0.25">
      <c r="B106" s="101">
        <v>95</v>
      </c>
      <c r="C106" s="953"/>
      <c r="D106" s="119"/>
      <c r="E106" s="281" t="str">
        <f>IF(C106="","",VLOOKUP(C106,'G-7 WaterC'' Data'!$B$2:$Z$9,2,FALSE))</f>
        <v/>
      </c>
      <c r="F106" s="282" t="str">
        <f>IFERROR(VLOOKUP(E106,'G-7 WaterC'' Data'!$C$4:$D$8,2,FALSE),"")</f>
        <v/>
      </c>
      <c r="G106" s="52"/>
      <c r="H106" s="282" t="str">
        <f>IFERROR(INDEX('G-7 WaterC'' Data'!$H$4:$L$8,MATCH(C106,'G-7 WaterC'' Data'!$B$4:$B$8,0),MATCH(G106,'G-7 WaterC'' Data'!$H$3:$L$3,0)),"")</f>
        <v/>
      </c>
      <c r="I106" s="52"/>
      <c r="J106" s="320" t="str">
        <f>IF(I106="","",IF(VLOOKUP(I106,'G-7 WaterC'' Data'!$AK$4:$AM$6,2,FALSE)=0,"Spatial Data Missing ⚠",VLOOKUP(I106,'G-7 WaterC'' Data'!$AK$4:$AM$6,2,FALSE)))</f>
        <v/>
      </c>
      <c r="K106" s="282" t="str">
        <f>IF(I106="","",IF(VLOOKUP(I106,'G-7 WaterC'' Data'!$AK$4:$AM$6,3,FALSE)=0,"Spatial Data Missing ⚠",VLOOKUP(I106,'G-7 WaterC'' Data'!$AK$4:$AM$6,3,FALSE)))</f>
        <v/>
      </c>
      <c r="L106" s="382" t="str">
        <f>IFERROR(INDEX('G-7 WaterC'' Data'!$O$3:$O$7,MATCH(G106,'G-7 WaterC'' Data'!$N$3:$N$7,0)),"")</f>
        <v/>
      </c>
      <c r="M106" s="53"/>
      <c r="N106" s="137"/>
      <c r="O106" s="289" t="str">
        <f t="shared" si="7"/>
        <v/>
      </c>
      <c r="P106" s="302" t="str">
        <f t="shared" si="8"/>
        <v/>
      </c>
      <c r="Q106" s="340" t="str">
        <f>IFERROR(IF(P106="Check Data ⚠","Check Data ⚠",VLOOKUP(P106,'G-4 Temporal multipliers'!$A$4:$C$37,3,FALSE)),"")</f>
        <v/>
      </c>
      <c r="R106" s="281" t="str">
        <f>IF(C106="","",VLOOKUP(C106,'G-7 WaterC'' Data'!$B$4:$G$8,4,FALSE))</f>
        <v/>
      </c>
      <c r="S106" s="289" t="str">
        <f t="shared" si="9"/>
        <v/>
      </c>
      <c r="T106" s="320" t="str">
        <f t="shared" si="10"/>
        <v/>
      </c>
      <c r="U106" s="282" t="str">
        <f>IF(C106="","",VLOOKUP(T106,'G-3 Multipliers'!$P$2:$Q$6,2,FALSE))</f>
        <v/>
      </c>
      <c r="V106" s="106"/>
      <c r="W106" s="282" t="str">
        <f>IF(V106="","",IF(AND(V106="N/A - Culvert",C106&lt;&gt;"Culvert"),"Not possible ▲",IF(AND(C106="Culvert",V106&lt;&gt;"N/A - Culvert"),"Not possible ▲",IF(VLOOKUP(V106,'G-7 WaterC'' Data'!$AA$4:$AB$7,2,FALSE)=0,"Spatial Data Missing ⚠",VLOOKUP(V106,'G-7 WaterC'' Data'!$AA$4:$AB$7,2,FALSE)))))</f>
        <v/>
      </c>
      <c r="X106" s="56"/>
      <c r="Y106" s="282" t="str">
        <f>IF(X106="","",IF(AND(X106="N/A - Culvert", C106&lt;&gt;"Culvert"), "Not possible ▲",IF(AND(C106="Culvert",X106&lt;&gt;"N/A - Culvert"),"Not possible ▲",IF(VLOOKUP(X106,'G-7 WaterC'' Data'!$AD$4:$AE$14,2,FALSE)=0,"Enrcoachment Data Missing ⚠",VLOOKUP(X106,'G-7 WaterC'' Data'!$AD$4:$AE$14,2,FALSE)))))</f>
        <v/>
      </c>
      <c r="Z106" s="106"/>
      <c r="AA106" s="282" t="str">
        <f>IF(Z106="","",IF(VLOOKUP(Z106,'G-7 WaterC'' Data'!$AO$4:$BO$7,2,FALSE)=0,"Spatial Data Missing ⚠",VLOOKUP(Z106,'G-7 WaterC'' Data'!$AO$4:$BO$7,2,FALSE)))</f>
        <v/>
      </c>
      <c r="AB106" s="323" t="str">
        <f t="shared" si="11"/>
        <v/>
      </c>
      <c r="AC106" s="323" t="str">
        <f t="shared" si="12"/>
        <v/>
      </c>
      <c r="AD106" s="105"/>
      <c r="AE106" s="968"/>
      <c r="AF106" s="142"/>
      <c r="AG106" s="142"/>
      <c r="AH106" s="964"/>
      <c r="AL106" s="30" t="str">
        <f>IFERROR(INDEX('G-7 WaterC'' Data'!$AZ$3:$AZ$7,MATCH(C106,'G-7 WaterC'' Data'!$AY$3:$AY$7,0)),"")</f>
        <v/>
      </c>
      <c r="AN106" s="30" t="str">
        <f t="shared" si="13"/>
        <v>No</v>
      </c>
    </row>
    <row r="107" spans="2:40" ht="13.8" x14ac:dyDescent="0.25">
      <c r="B107" s="101">
        <v>96</v>
      </c>
      <c r="C107" s="953"/>
      <c r="D107" s="119"/>
      <c r="E107" s="281" t="str">
        <f>IF(C107="","",VLOOKUP(C107,'G-7 WaterC'' Data'!$B$2:$Z$9,2,FALSE))</f>
        <v/>
      </c>
      <c r="F107" s="282" t="str">
        <f>IFERROR(VLOOKUP(E107,'G-7 WaterC'' Data'!$C$4:$D$8,2,FALSE),"")</f>
        <v/>
      </c>
      <c r="G107" s="52"/>
      <c r="H107" s="282" t="str">
        <f>IFERROR(INDEX('G-7 WaterC'' Data'!$H$4:$L$8,MATCH(C107,'G-7 WaterC'' Data'!$B$4:$B$8,0),MATCH(G107,'G-7 WaterC'' Data'!$H$3:$L$3,0)),"")</f>
        <v/>
      </c>
      <c r="I107" s="52"/>
      <c r="J107" s="320" t="str">
        <f>IF(I107="","",IF(VLOOKUP(I107,'G-7 WaterC'' Data'!$AK$4:$AM$6,2,FALSE)=0,"Spatial Data Missing ⚠",VLOOKUP(I107,'G-7 WaterC'' Data'!$AK$4:$AM$6,2,FALSE)))</f>
        <v/>
      </c>
      <c r="K107" s="282" t="str">
        <f>IF(I107="","",IF(VLOOKUP(I107,'G-7 WaterC'' Data'!$AK$4:$AM$6,3,FALSE)=0,"Spatial Data Missing ⚠",VLOOKUP(I107,'G-7 WaterC'' Data'!$AK$4:$AM$6,3,FALSE)))</f>
        <v/>
      </c>
      <c r="L107" s="382" t="str">
        <f>IFERROR(INDEX('G-7 WaterC'' Data'!$O$3:$O$7,MATCH(G107,'G-7 WaterC'' Data'!$N$3:$N$7,0)),"")</f>
        <v/>
      </c>
      <c r="M107" s="53"/>
      <c r="N107" s="137"/>
      <c r="O107" s="289" t="str">
        <f t="shared" si="7"/>
        <v/>
      </c>
      <c r="P107" s="302" t="str">
        <f t="shared" si="8"/>
        <v/>
      </c>
      <c r="Q107" s="340" t="str">
        <f>IFERROR(IF(P107="Check Data ⚠","Check Data ⚠",VLOOKUP(P107,'G-4 Temporal multipliers'!$A$4:$C$37,3,FALSE)),"")</f>
        <v/>
      </c>
      <c r="R107" s="281" t="str">
        <f>IF(C107="","",VLOOKUP(C107,'G-7 WaterC'' Data'!$B$4:$G$8,4,FALSE))</f>
        <v/>
      </c>
      <c r="S107" s="289" t="str">
        <f t="shared" si="9"/>
        <v/>
      </c>
      <c r="T107" s="320" t="str">
        <f t="shared" si="10"/>
        <v/>
      </c>
      <c r="U107" s="282" t="str">
        <f>IF(C107="","",VLOOKUP(T107,'G-3 Multipliers'!$P$2:$Q$6,2,FALSE))</f>
        <v/>
      </c>
      <c r="V107" s="106"/>
      <c r="W107" s="282" t="str">
        <f>IF(V107="","",IF(AND(V107="N/A - Culvert",C107&lt;&gt;"Culvert"),"Not possible ▲",IF(AND(C107="Culvert",V107&lt;&gt;"N/A - Culvert"),"Not possible ▲",IF(VLOOKUP(V107,'G-7 WaterC'' Data'!$AA$4:$AB$7,2,FALSE)=0,"Spatial Data Missing ⚠",VLOOKUP(V107,'G-7 WaterC'' Data'!$AA$4:$AB$7,2,FALSE)))))</f>
        <v/>
      </c>
      <c r="X107" s="56"/>
      <c r="Y107" s="282" t="str">
        <f>IF(X107="","",IF(AND(X107="N/A - Culvert", C107&lt;&gt;"Culvert"), "Not possible ▲",IF(AND(C107="Culvert",X107&lt;&gt;"N/A - Culvert"),"Not possible ▲",IF(VLOOKUP(X107,'G-7 WaterC'' Data'!$AD$4:$AE$14,2,FALSE)=0,"Enrcoachment Data Missing ⚠",VLOOKUP(X107,'G-7 WaterC'' Data'!$AD$4:$AE$14,2,FALSE)))))</f>
        <v/>
      </c>
      <c r="Z107" s="106"/>
      <c r="AA107" s="282" t="str">
        <f>IF(Z107="","",IF(VLOOKUP(Z107,'G-7 WaterC'' Data'!$AO$4:$BO$7,2,FALSE)=0,"Spatial Data Missing ⚠",VLOOKUP(Z107,'G-7 WaterC'' Data'!$AO$4:$BO$7,2,FALSE)))</f>
        <v/>
      </c>
      <c r="AB107" s="323" t="str">
        <f t="shared" si="11"/>
        <v/>
      </c>
      <c r="AC107" s="323" t="str">
        <f t="shared" si="12"/>
        <v/>
      </c>
      <c r="AD107" s="105"/>
      <c r="AE107" s="968"/>
      <c r="AF107" s="142"/>
      <c r="AG107" s="142"/>
      <c r="AH107" s="964"/>
      <c r="AL107" s="30" t="str">
        <f>IFERROR(INDEX('G-7 WaterC'' Data'!$AZ$3:$AZ$7,MATCH(C107,'G-7 WaterC'' Data'!$AY$3:$AY$7,0)),"")</f>
        <v/>
      </c>
      <c r="AN107" s="30" t="str">
        <f t="shared" si="13"/>
        <v>No</v>
      </c>
    </row>
    <row r="108" spans="2:40" ht="13.8" x14ac:dyDescent="0.25">
      <c r="B108" s="101">
        <v>97</v>
      </c>
      <c r="C108" s="953"/>
      <c r="D108" s="119"/>
      <c r="E108" s="281" t="str">
        <f>IF(C108="","",VLOOKUP(C108,'G-7 WaterC'' Data'!$B$2:$Z$9,2,FALSE))</f>
        <v/>
      </c>
      <c r="F108" s="282" t="str">
        <f>IFERROR(VLOOKUP(E108,'G-7 WaterC'' Data'!$C$4:$D$8,2,FALSE),"")</f>
        <v/>
      </c>
      <c r="G108" s="52"/>
      <c r="H108" s="282" t="str">
        <f>IFERROR(INDEX('G-7 WaterC'' Data'!$H$4:$L$8,MATCH(C108,'G-7 WaterC'' Data'!$B$4:$B$8,0),MATCH(G108,'G-7 WaterC'' Data'!$H$3:$L$3,0)),"")</f>
        <v/>
      </c>
      <c r="I108" s="52"/>
      <c r="J108" s="320" t="str">
        <f>IF(I108="","",IF(VLOOKUP(I108,'G-7 WaterC'' Data'!$AK$4:$AM$6,2,FALSE)=0,"Spatial Data Missing ⚠",VLOOKUP(I108,'G-7 WaterC'' Data'!$AK$4:$AM$6,2,FALSE)))</f>
        <v/>
      </c>
      <c r="K108" s="282" t="str">
        <f>IF(I108="","",IF(VLOOKUP(I108,'G-7 WaterC'' Data'!$AK$4:$AM$6,3,FALSE)=0,"Spatial Data Missing ⚠",VLOOKUP(I108,'G-7 WaterC'' Data'!$AK$4:$AM$6,3,FALSE)))</f>
        <v/>
      </c>
      <c r="L108" s="382" t="str">
        <f>IFERROR(INDEX('G-7 WaterC'' Data'!$O$3:$O$7,MATCH(G108,'G-7 WaterC'' Data'!$N$3:$N$7,0)),"")</f>
        <v/>
      </c>
      <c r="M108" s="53"/>
      <c r="N108" s="137"/>
      <c r="O108" s="289" t="str">
        <f t="shared" si="7"/>
        <v/>
      </c>
      <c r="P108" s="302" t="str">
        <f t="shared" si="8"/>
        <v/>
      </c>
      <c r="Q108" s="340" t="str">
        <f>IFERROR(IF(P108="Check Data ⚠","Check Data ⚠",VLOOKUP(P108,'G-4 Temporal multipliers'!$A$4:$C$37,3,FALSE)),"")</f>
        <v/>
      </c>
      <c r="R108" s="281" t="str">
        <f>IF(C108="","",VLOOKUP(C108,'G-7 WaterC'' Data'!$B$4:$G$8,4,FALSE))</f>
        <v/>
      </c>
      <c r="S108" s="289" t="str">
        <f t="shared" si="9"/>
        <v/>
      </c>
      <c r="T108" s="320" t="str">
        <f t="shared" si="10"/>
        <v/>
      </c>
      <c r="U108" s="282" t="str">
        <f>IF(C108="","",VLOOKUP(T108,'G-3 Multipliers'!$P$2:$Q$6,2,FALSE))</f>
        <v/>
      </c>
      <c r="V108" s="106"/>
      <c r="W108" s="282" t="str">
        <f>IF(V108="","",IF(AND(V108="N/A - Culvert",C108&lt;&gt;"Culvert"),"Not possible ▲",IF(AND(C108="Culvert",V108&lt;&gt;"N/A - Culvert"),"Not possible ▲",IF(VLOOKUP(V108,'G-7 WaterC'' Data'!$AA$4:$AB$7,2,FALSE)=0,"Spatial Data Missing ⚠",VLOOKUP(V108,'G-7 WaterC'' Data'!$AA$4:$AB$7,2,FALSE)))))</f>
        <v/>
      </c>
      <c r="X108" s="56"/>
      <c r="Y108" s="282" t="str">
        <f>IF(X108="","",IF(AND(X108="N/A - Culvert", C108&lt;&gt;"Culvert"), "Not possible ▲",IF(AND(C108="Culvert",X108&lt;&gt;"N/A - Culvert"),"Not possible ▲",IF(VLOOKUP(X108,'G-7 WaterC'' Data'!$AD$4:$AE$14,2,FALSE)=0,"Enrcoachment Data Missing ⚠",VLOOKUP(X108,'G-7 WaterC'' Data'!$AD$4:$AE$14,2,FALSE)))))</f>
        <v/>
      </c>
      <c r="Z108" s="106"/>
      <c r="AA108" s="282" t="str">
        <f>IF(Z108="","",IF(VLOOKUP(Z108,'G-7 WaterC'' Data'!$AO$4:$BO$7,2,FALSE)=0,"Spatial Data Missing ⚠",VLOOKUP(Z108,'G-7 WaterC'' Data'!$AO$4:$BO$7,2,FALSE)))</f>
        <v/>
      </c>
      <c r="AB108" s="323" t="str">
        <f t="shared" si="11"/>
        <v/>
      </c>
      <c r="AC108" s="323" t="str">
        <f t="shared" si="12"/>
        <v/>
      </c>
      <c r="AD108" s="105"/>
      <c r="AE108" s="968"/>
      <c r="AF108" s="142"/>
      <c r="AG108" s="142"/>
      <c r="AH108" s="964"/>
      <c r="AL108" s="30" t="str">
        <f>IFERROR(INDEX('G-7 WaterC'' Data'!$AZ$3:$AZ$7,MATCH(C108,'G-7 WaterC'' Data'!$AY$3:$AY$7,0)),"")</f>
        <v/>
      </c>
      <c r="AN108" s="30" t="str">
        <f t="shared" si="13"/>
        <v>No</v>
      </c>
    </row>
    <row r="109" spans="2:40" ht="13.8" x14ac:dyDescent="0.25">
      <c r="B109" s="101">
        <v>98</v>
      </c>
      <c r="C109" s="953"/>
      <c r="D109" s="119"/>
      <c r="E109" s="281" t="str">
        <f>IF(C109="","",VLOOKUP(C109,'G-7 WaterC'' Data'!$B$2:$Z$9,2,FALSE))</f>
        <v/>
      </c>
      <c r="F109" s="282" t="str">
        <f>IFERROR(VLOOKUP(E109,'G-7 WaterC'' Data'!$C$4:$D$8,2,FALSE),"")</f>
        <v/>
      </c>
      <c r="G109" s="52"/>
      <c r="H109" s="282" t="str">
        <f>IFERROR(INDEX('G-7 WaterC'' Data'!$H$4:$L$8,MATCH(C109,'G-7 WaterC'' Data'!$B$4:$B$8,0),MATCH(G109,'G-7 WaterC'' Data'!$H$3:$L$3,0)),"")</f>
        <v/>
      </c>
      <c r="I109" s="52"/>
      <c r="J109" s="320" t="str">
        <f>IF(I109="","",IF(VLOOKUP(I109,'G-7 WaterC'' Data'!$AK$4:$AM$6,2,FALSE)=0,"Spatial Data Missing ⚠",VLOOKUP(I109,'G-7 WaterC'' Data'!$AK$4:$AM$6,2,FALSE)))</f>
        <v/>
      </c>
      <c r="K109" s="282" t="str">
        <f>IF(I109="","",IF(VLOOKUP(I109,'G-7 WaterC'' Data'!$AK$4:$AM$6,3,FALSE)=0,"Spatial Data Missing ⚠",VLOOKUP(I109,'G-7 WaterC'' Data'!$AK$4:$AM$6,3,FALSE)))</f>
        <v/>
      </c>
      <c r="L109" s="382" t="str">
        <f>IFERROR(INDEX('G-7 WaterC'' Data'!$O$3:$O$7,MATCH(G109,'G-7 WaterC'' Data'!$N$3:$N$7,0)),"")</f>
        <v/>
      </c>
      <c r="M109" s="53"/>
      <c r="N109" s="137"/>
      <c r="O109" s="289" t="str">
        <f t="shared" si="7"/>
        <v/>
      </c>
      <c r="P109" s="302" t="str">
        <f t="shared" si="8"/>
        <v/>
      </c>
      <c r="Q109" s="340" t="str">
        <f>IFERROR(IF(P109="Check Data ⚠","Check Data ⚠",VLOOKUP(P109,'G-4 Temporal multipliers'!$A$4:$C$37,3,FALSE)),"")</f>
        <v/>
      </c>
      <c r="R109" s="281" t="str">
        <f>IF(C109="","",VLOOKUP(C109,'G-7 WaterC'' Data'!$B$4:$G$8,4,FALSE))</f>
        <v/>
      </c>
      <c r="S109" s="289" t="str">
        <f t="shared" si="9"/>
        <v/>
      </c>
      <c r="T109" s="320" t="str">
        <f t="shared" si="10"/>
        <v/>
      </c>
      <c r="U109" s="282" t="str">
        <f>IF(C109="","",VLOOKUP(T109,'G-3 Multipliers'!$P$2:$Q$6,2,FALSE))</f>
        <v/>
      </c>
      <c r="V109" s="106"/>
      <c r="W109" s="282" t="str">
        <f>IF(V109="","",IF(AND(V109="N/A - Culvert",C109&lt;&gt;"Culvert"),"Not possible ▲",IF(AND(C109="Culvert",V109&lt;&gt;"N/A - Culvert"),"Not possible ▲",IF(VLOOKUP(V109,'G-7 WaterC'' Data'!$AA$4:$AB$7,2,FALSE)=0,"Spatial Data Missing ⚠",VLOOKUP(V109,'G-7 WaterC'' Data'!$AA$4:$AB$7,2,FALSE)))))</f>
        <v/>
      </c>
      <c r="X109" s="56"/>
      <c r="Y109" s="282" t="str">
        <f>IF(X109="","",IF(AND(X109="N/A - Culvert", C109&lt;&gt;"Culvert"), "Not possible ▲",IF(AND(C109="Culvert",X109&lt;&gt;"N/A - Culvert"),"Not possible ▲",IF(VLOOKUP(X109,'G-7 WaterC'' Data'!$AD$4:$AE$14,2,FALSE)=0,"Enrcoachment Data Missing ⚠",VLOOKUP(X109,'G-7 WaterC'' Data'!$AD$4:$AE$14,2,FALSE)))))</f>
        <v/>
      </c>
      <c r="Z109" s="106"/>
      <c r="AA109" s="282" t="str">
        <f>IF(Z109="","",IF(VLOOKUP(Z109,'G-7 WaterC'' Data'!$AO$4:$BO$7,2,FALSE)=0,"Spatial Data Missing ⚠",VLOOKUP(Z109,'G-7 WaterC'' Data'!$AO$4:$BO$7,2,FALSE)))</f>
        <v/>
      </c>
      <c r="AB109" s="323" t="str">
        <f t="shared" si="11"/>
        <v/>
      </c>
      <c r="AC109" s="323" t="str">
        <f t="shared" si="12"/>
        <v/>
      </c>
      <c r="AD109" s="105"/>
      <c r="AE109" s="968"/>
      <c r="AF109" s="142"/>
      <c r="AG109" s="142"/>
      <c r="AH109" s="964"/>
      <c r="AL109" s="30" t="str">
        <f>IFERROR(INDEX('G-7 WaterC'' Data'!$AZ$3:$AZ$7,MATCH(C109,'G-7 WaterC'' Data'!$AY$3:$AY$7,0)),"")</f>
        <v/>
      </c>
      <c r="AN109" s="30" t="str">
        <f t="shared" si="13"/>
        <v>No</v>
      </c>
    </row>
    <row r="110" spans="2:40" ht="13.8" x14ac:dyDescent="0.25">
      <c r="B110" s="101">
        <v>99</v>
      </c>
      <c r="C110" s="953"/>
      <c r="D110" s="119"/>
      <c r="E110" s="281" t="str">
        <f>IF(C110="","",VLOOKUP(C110,'G-7 WaterC'' Data'!$B$2:$Z$9,2,FALSE))</f>
        <v/>
      </c>
      <c r="F110" s="282" t="str">
        <f>IFERROR(VLOOKUP(E110,'G-7 WaterC'' Data'!$C$4:$D$8,2,FALSE),"")</f>
        <v/>
      </c>
      <c r="G110" s="52"/>
      <c r="H110" s="282" t="str">
        <f>IFERROR(INDEX('G-7 WaterC'' Data'!$H$4:$L$8,MATCH(C110,'G-7 WaterC'' Data'!$B$4:$B$8,0),MATCH(G110,'G-7 WaterC'' Data'!$H$3:$L$3,0)),"")</f>
        <v/>
      </c>
      <c r="I110" s="52"/>
      <c r="J110" s="320" t="str">
        <f>IF(I110="","",IF(VLOOKUP(I110,'G-7 WaterC'' Data'!$AK$4:$AM$6,2,FALSE)=0,"Spatial Data Missing ⚠",VLOOKUP(I110,'G-7 WaterC'' Data'!$AK$4:$AM$6,2,FALSE)))</f>
        <v/>
      </c>
      <c r="K110" s="282" t="str">
        <f>IF(I110="","",IF(VLOOKUP(I110,'G-7 WaterC'' Data'!$AK$4:$AM$6,3,FALSE)=0,"Spatial Data Missing ⚠",VLOOKUP(I110,'G-7 WaterC'' Data'!$AK$4:$AM$6,3,FALSE)))</f>
        <v/>
      </c>
      <c r="L110" s="382" t="str">
        <f>IFERROR(INDEX('G-7 WaterC'' Data'!$O$3:$O$7,MATCH(G110,'G-7 WaterC'' Data'!$N$3:$N$7,0)),"")</f>
        <v/>
      </c>
      <c r="M110" s="53"/>
      <c r="N110" s="137"/>
      <c r="O110" s="289" t="str">
        <f t="shared" si="7"/>
        <v/>
      </c>
      <c r="P110" s="302" t="str">
        <f t="shared" si="8"/>
        <v/>
      </c>
      <c r="Q110" s="340" t="str">
        <f>IFERROR(IF(P110="Check Data ⚠","Check Data ⚠",VLOOKUP(P110,'G-4 Temporal multipliers'!$A$4:$C$37,3,FALSE)),"")</f>
        <v/>
      </c>
      <c r="R110" s="281" t="str">
        <f>IF(C110="","",VLOOKUP(C110,'G-7 WaterC'' Data'!$B$4:$G$8,4,FALSE))</f>
        <v/>
      </c>
      <c r="S110" s="289" t="str">
        <f t="shared" si="9"/>
        <v/>
      </c>
      <c r="T110" s="320" t="str">
        <f t="shared" si="10"/>
        <v/>
      </c>
      <c r="U110" s="282" t="str">
        <f>IF(C110="","",VLOOKUP(T110,'G-3 Multipliers'!$P$2:$Q$6,2,FALSE))</f>
        <v/>
      </c>
      <c r="V110" s="106"/>
      <c r="W110" s="282" t="str">
        <f>IF(V110="","",IF(AND(V110="N/A - Culvert",C110&lt;&gt;"Culvert"),"Not possible ▲",IF(AND(C110="Culvert",V110&lt;&gt;"N/A - Culvert"),"Not possible ▲",IF(VLOOKUP(V110,'G-7 WaterC'' Data'!$AA$4:$AB$7,2,FALSE)=0,"Spatial Data Missing ⚠",VLOOKUP(V110,'G-7 WaterC'' Data'!$AA$4:$AB$7,2,FALSE)))))</f>
        <v/>
      </c>
      <c r="X110" s="56"/>
      <c r="Y110" s="282" t="str">
        <f>IF(X110="","",IF(AND(X110="N/A - Culvert", C110&lt;&gt;"Culvert"), "Not possible ▲",IF(AND(C110="Culvert",X110&lt;&gt;"N/A - Culvert"),"Not possible ▲",IF(VLOOKUP(X110,'G-7 WaterC'' Data'!$AD$4:$AE$14,2,FALSE)=0,"Enrcoachment Data Missing ⚠",VLOOKUP(X110,'G-7 WaterC'' Data'!$AD$4:$AE$14,2,FALSE)))))</f>
        <v/>
      </c>
      <c r="Z110" s="106"/>
      <c r="AA110" s="282" t="str">
        <f>IF(Z110="","",IF(VLOOKUP(Z110,'G-7 WaterC'' Data'!$AO$4:$BO$7,2,FALSE)=0,"Spatial Data Missing ⚠",VLOOKUP(Z110,'G-7 WaterC'' Data'!$AO$4:$BO$7,2,FALSE)))</f>
        <v/>
      </c>
      <c r="AB110" s="323" t="str">
        <f t="shared" si="11"/>
        <v/>
      </c>
      <c r="AC110" s="323" t="str">
        <f t="shared" si="12"/>
        <v/>
      </c>
      <c r="AD110" s="105"/>
      <c r="AE110" s="968"/>
      <c r="AF110" s="142"/>
      <c r="AG110" s="142"/>
      <c r="AH110" s="964"/>
      <c r="AL110" s="30" t="str">
        <f>IFERROR(INDEX('G-7 WaterC'' Data'!$AZ$3:$AZ$7,MATCH(C110,'G-7 WaterC'' Data'!$AY$3:$AY$7,0)),"")</f>
        <v/>
      </c>
      <c r="AN110" s="30" t="str">
        <f t="shared" si="13"/>
        <v>No</v>
      </c>
    </row>
    <row r="111" spans="2:40" ht="13.8" x14ac:dyDescent="0.25">
      <c r="B111" s="101">
        <v>100</v>
      </c>
      <c r="C111" s="953"/>
      <c r="D111" s="119"/>
      <c r="E111" s="281" t="str">
        <f>IF(C111="","",VLOOKUP(C111,'G-7 WaterC'' Data'!$B$2:$Z$9,2,FALSE))</f>
        <v/>
      </c>
      <c r="F111" s="282" t="str">
        <f>IFERROR(VLOOKUP(E111,'G-7 WaterC'' Data'!$C$4:$D$8,2,FALSE),"")</f>
        <v/>
      </c>
      <c r="G111" s="52"/>
      <c r="H111" s="282" t="str">
        <f>IFERROR(INDEX('G-7 WaterC'' Data'!$H$4:$L$8,MATCH(C111,'G-7 WaterC'' Data'!$B$4:$B$8,0),MATCH(G111,'G-7 WaterC'' Data'!$H$3:$L$3,0)),"")</f>
        <v/>
      </c>
      <c r="I111" s="52"/>
      <c r="J111" s="320" t="str">
        <f>IF(I111="","",IF(VLOOKUP(I111,'G-7 WaterC'' Data'!$AK$4:$AM$6,2,FALSE)=0,"Spatial Data Missing ⚠",VLOOKUP(I111,'G-7 WaterC'' Data'!$AK$4:$AM$6,2,FALSE)))</f>
        <v/>
      </c>
      <c r="K111" s="282" t="str">
        <f>IF(I111="","",IF(VLOOKUP(I111,'G-7 WaterC'' Data'!$AK$4:$AM$6,3,FALSE)=0,"Spatial Data Missing ⚠",VLOOKUP(I111,'G-7 WaterC'' Data'!$AK$4:$AM$6,3,FALSE)))</f>
        <v/>
      </c>
      <c r="L111" s="382" t="str">
        <f>IFERROR(INDEX('G-7 WaterC'' Data'!$O$3:$O$7,MATCH(G111,'G-7 WaterC'' Data'!$N$3:$N$7,0)),"")</f>
        <v/>
      </c>
      <c r="M111" s="53"/>
      <c r="N111" s="137"/>
      <c r="O111" s="289" t="str">
        <f t="shared" si="7"/>
        <v/>
      </c>
      <c r="P111" s="302" t="str">
        <f t="shared" si="8"/>
        <v/>
      </c>
      <c r="Q111" s="340" t="str">
        <f>IFERROR(IF(P111="Check Data ⚠","Check Data ⚠",VLOOKUP(P111,'G-4 Temporal multipliers'!$A$4:$C$37,3,FALSE)),"")</f>
        <v/>
      </c>
      <c r="R111" s="281" t="str">
        <f>IF(C111="","",VLOOKUP(C111,'G-7 WaterC'' Data'!$B$4:$G$8,4,FALSE))</f>
        <v/>
      </c>
      <c r="S111" s="289" t="str">
        <f t="shared" si="9"/>
        <v/>
      </c>
      <c r="T111" s="320" t="str">
        <f t="shared" si="10"/>
        <v/>
      </c>
      <c r="U111" s="282" t="str">
        <f>IF(C111="","",VLOOKUP(T111,'G-3 Multipliers'!$P$2:$Q$6,2,FALSE))</f>
        <v/>
      </c>
      <c r="V111" s="106"/>
      <c r="W111" s="282" t="str">
        <f>IF(V111="","",IF(AND(V111="N/A - Culvert",C111&lt;&gt;"Culvert"),"Not possible ▲",IF(AND(C111="Culvert",V111&lt;&gt;"N/A - Culvert"),"Not possible ▲",IF(VLOOKUP(V111,'G-7 WaterC'' Data'!$AA$4:$AB$7,2,FALSE)=0,"Spatial Data Missing ⚠",VLOOKUP(V111,'G-7 WaterC'' Data'!$AA$4:$AB$7,2,FALSE)))))</f>
        <v/>
      </c>
      <c r="X111" s="56"/>
      <c r="Y111" s="282" t="str">
        <f>IF(X111="","",IF(AND(X111="N/A - Culvert", C111&lt;&gt;"Culvert"), "Not possible ▲",IF(AND(C111="Culvert",X111&lt;&gt;"N/A - Culvert"),"Not possible ▲",IF(VLOOKUP(X111,'G-7 WaterC'' Data'!$AD$4:$AE$14,2,FALSE)=0,"Enrcoachment Data Missing ⚠",VLOOKUP(X111,'G-7 WaterC'' Data'!$AD$4:$AE$14,2,FALSE)))))</f>
        <v/>
      </c>
      <c r="Z111" s="106"/>
      <c r="AA111" s="282" t="str">
        <f>IF(Z111="","",IF(VLOOKUP(Z111,'G-7 WaterC'' Data'!$AO$4:$BO$7,2,FALSE)=0,"Spatial Data Missing ⚠",VLOOKUP(Z111,'G-7 WaterC'' Data'!$AO$4:$BO$7,2,FALSE)))</f>
        <v/>
      </c>
      <c r="AB111" s="323" t="str">
        <f t="shared" si="11"/>
        <v/>
      </c>
      <c r="AC111" s="323" t="str">
        <f t="shared" si="12"/>
        <v/>
      </c>
      <c r="AD111" s="105"/>
      <c r="AE111" s="968"/>
      <c r="AF111" s="142"/>
      <c r="AG111" s="142"/>
      <c r="AH111" s="964"/>
      <c r="AL111" s="30" t="str">
        <f>IFERROR(INDEX('G-7 WaterC'' Data'!$AZ$3:$AZ$7,MATCH(C111,'G-7 WaterC'' Data'!$AY$3:$AY$7,0)),"")</f>
        <v/>
      </c>
      <c r="AN111" s="30" t="str">
        <f t="shared" si="13"/>
        <v>No</v>
      </c>
    </row>
    <row r="112" spans="2:40" ht="13.8" x14ac:dyDescent="0.25">
      <c r="B112" s="101">
        <v>101</v>
      </c>
      <c r="C112" s="953"/>
      <c r="D112" s="119"/>
      <c r="E112" s="281" t="str">
        <f>IF(C112="","",VLOOKUP(C112,'G-7 WaterC'' Data'!$B$2:$Z$9,2,FALSE))</f>
        <v/>
      </c>
      <c r="F112" s="282" t="str">
        <f>IFERROR(VLOOKUP(E112,'G-7 WaterC'' Data'!$C$4:$D$8,2,FALSE),"")</f>
        <v/>
      </c>
      <c r="G112" s="52"/>
      <c r="H112" s="282" t="str">
        <f>IFERROR(INDEX('G-7 WaterC'' Data'!$H$4:$L$8,MATCH(C112,'G-7 WaterC'' Data'!$B$4:$B$8,0),MATCH(G112,'G-7 WaterC'' Data'!$H$3:$L$3,0)),"")</f>
        <v/>
      </c>
      <c r="I112" s="52"/>
      <c r="J112" s="320" t="str">
        <f>IF(I112="","",IF(VLOOKUP(I112,'G-7 WaterC'' Data'!$AK$4:$AM$6,2,FALSE)=0,"Spatial Data Missing ⚠",VLOOKUP(I112,'G-7 WaterC'' Data'!$AK$4:$AM$6,2,FALSE)))</f>
        <v/>
      </c>
      <c r="K112" s="282" t="str">
        <f>IF(I112="","",IF(VLOOKUP(I112,'G-7 WaterC'' Data'!$AK$4:$AM$6,3,FALSE)=0,"Spatial Data Missing ⚠",VLOOKUP(I112,'G-7 WaterC'' Data'!$AK$4:$AM$6,3,FALSE)))</f>
        <v/>
      </c>
      <c r="L112" s="382" t="str">
        <f>IFERROR(INDEX('G-7 WaterC'' Data'!$O$3:$O$7,MATCH(G112,'G-7 WaterC'' Data'!$N$3:$N$7,0)),"")</f>
        <v/>
      </c>
      <c r="M112" s="53"/>
      <c r="N112" s="137"/>
      <c r="O112" s="289" t="str">
        <f t="shared" si="7"/>
        <v/>
      </c>
      <c r="P112" s="302" t="str">
        <f t="shared" si="8"/>
        <v/>
      </c>
      <c r="Q112" s="340" t="str">
        <f>IFERROR(IF(P112="Check Data ⚠","Check Data ⚠",VLOOKUP(P112,'G-4 Temporal multipliers'!$A$4:$C$37,3,FALSE)),"")</f>
        <v/>
      </c>
      <c r="R112" s="281" t="str">
        <f>IF(C112="","",VLOOKUP(C112,'G-7 WaterC'' Data'!$B$4:$G$8,4,FALSE))</f>
        <v/>
      </c>
      <c r="S112" s="289" t="str">
        <f t="shared" si="9"/>
        <v/>
      </c>
      <c r="T112" s="320" t="str">
        <f t="shared" si="10"/>
        <v/>
      </c>
      <c r="U112" s="282" t="str">
        <f>IF(C112="","",VLOOKUP(T112,'G-3 Multipliers'!$P$2:$Q$6,2,FALSE))</f>
        <v/>
      </c>
      <c r="V112" s="106"/>
      <c r="W112" s="282" t="str">
        <f>IF(V112="","",IF(AND(V112="N/A - Culvert",C112&lt;&gt;"Culvert"),"Not possible ▲",IF(AND(C112="Culvert",V112&lt;&gt;"N/A - Culvert"),"Not possible ▲",IF(VLOOKUP(V112,'G-7 WaterC'' Data'!$AA$4:$AB$7,2,FALSE)=0,"Spatial Data Missing ⚠",VLOOKUP(V112,'G-7 WaterC'' Data'!$AA$4:$AB$7,2,FALSE)))))</f>
        <v/>
      </c>
      <c r="X112" s="56"/>
      <c r="Y112" s="282" t="str">
        <f>IF(X112="","",IF(AND(X112="N/A - Culvert", C112&lt;&gt;"Culvert"), "Not possible ▲",IF(AND(C112="Culvert",X112&lt;&gt;"N/A - Culvert"),"Not possible ▲",IF(VLOOKUP(X112,'G-7 WaterC'' Data'!$AD$4:$AE$14,2,FALSE)=0,"Enrcoachment Data Missing ⚠",VLOOKUP(X112,'G-7 WaterC'' Data'!$AD$4:$AE$14,2,FALSE)))))</f>
        <v/>
      </c>
      <c r="Z112" s="106"/>
      <c r="AA112" s="282" t="str">
        <f>IF(Z112="","",IF(VLOOKUP(Z112,'G-7 WaterC'' Data'!$AO$4:$BO$7,2,FALSE)=0,"Spatial Data Missing ⚠",VLOOKUP(Z112,'G-7 WaterC'' Data'!$AO$4:$BO$7,2,FALSE)))</f>
        <v/>
      </c>
      <c r="AB112" s="323" t="str">
        <f t="shared" si="11"/>
        <v/>
      </c>
      <c r="AC112" s="323" t="str">
        <f t="shared" si="12"/>
        <v/>
      </c>
      <c r="AD112" s="105"/>
      <c r="AE112" s="968"/>
      <c r="AF112" s="142"/>
      <c r="AG112" s="142"/>
      <c r="AH112" s="964"/>
      <c r="AL112" s="30" t="str">
        <f>IFERROR(INDEX('G-7 WaterC'' Data'!$AZ$3:$AZ$7,MATCH(C112,'G-7 WaterC'' Data'!$AY$3:$AY$7,0)),"")</f>
        <v/>
      </c>
      <c r="AN112" s="30" t="str">
        <f t="shared" si="13"/>
        <v>No</v>
      </c>
    </row>
    <row r="113" spans="2:40" ht="13.8" x14ac:dyDescent="0.25">
      <c r="B113" s="101">
        <v>102</v>
      </c>
      <c r="C113" s="953"/>
      <c r="D113" s="119"/>
      <c r="E113" s="281" t="str">
        <f>IF(C113="","",VLOOKUP(C113,'G-7 WaterC'' Data'!$B$2:$Z$9,2,FALSE))</f>
        <v/>
      </c>
      <c r="F113" s="282" t="str">
        <f>IFERROR(VLOOKUP(E113,'G-7 WaterC'' Data'!$C$4:$D$8,2,FALSE),"")</f>
        <v/>
      </c>
      <c r="G113" s="52"/>
      <c r="H113" s="282" t="str">
        <f>IFERROR(INDEX('G-7 WaterC'' Data'!$H$4:$L$8,MATCH(C113,'G-7 WaterC'' Data'!$B$4:$B$8,0),MATCH(G113,'G-7 WaterC'' Data'!$H$3:$L$3,0)),"")</f>
        <v/>
      </c>
      <c r="I113" s="52"/>
      <c r="J113" s="320" t="str">
        <f>IF(I113="","",IF(VLOOKUP(I113,'G-7 WaterC'' Data'!$AK$4:$AM$6,2,FALSE)=0,"Spatial Data Missing ⚠",VLOOKUP(I113,'G-7 WaterC'' Data'!$AK$4:$AM$6,2,FALSE)))</f>
        <v/>
      </c>
      <c r="K113" s="282" t="str">
        <f>IF(I113="","",IF(VLOOKUP(I113,'G-7 WaterC'' Data'!$AK$4:$AM$6,3,FALSE)=0,"Spatial Data Missing ⚠",VLOOKUP(I113,'G-7 WaterC'' Data'!$AK$4:$AM$6,3,FALSE)))</f>
        <v/>
      </c>
      <c r="L113" s="382" t="str">
        <f>IFERROR(INDEX('G-7 WaterC'' Data'!$O$3:$O$7,MATCH(G113,'G-7 WaterC'' Data'!$N$3:$N$7,0)),"")</f>
        <v/>
      </c>
      <c r="M113" s="53"/>
      <c r="N113" s="137"/>
      <c r="O113" s="289" t="str">
        <f t="shared" si="7"/>
        <v/>
      </c>
      <c r="P113" s="302" t="str">
        <f t="shared" si="8"/>
        <v/>
      </c>
      <c r="Q113" s="340" t="str">
        <f>IFERROR(IF(P113="Check Data ⚠","Check Data ⚠",VLOOKUP(P113,'G-4 Temporal multipliers'!$A$4:$C$37,3,FALSE)),"")</f>
        <v/>
      </c>
      <c r="R113" s="281" t="str">
        <f>IF(C113="","",VLOOKUP(C113,'G-7 WaterC'' Data'!$B$4:$G$8,4,FALSE))</f>
        <v/>
      </c>
      <c r="S113" s="289" t="str">
        <f t="shared" si="9"/>
        <v/>
      </c>
      <c r="T113" s="320" t="str">
        <f t="shared" si="10"/>
        <v/>
      </c>
      <c r="U113" s="282" t="str">
        <f>IF(C113="","",VLOOKUP(T113,'G-3 Multipliers'!$P$2:$Q$6,2,FALSE))</f>
        <v/>
      </c>
      <c r="V113" s="106"/>
      <c r="W113" s="282" t="str">
        <f>IF(V113="","",IF(AND(V113="N/A - Culvert",C113&lt;&gt;"Culvert"),"Not possible ▲",IF(AND(C113="Culvert",V113&lt;&gt;"N/A - Culvert"),"Not possible ▲",IF(VLOOKUP(V113,'G-7 WaterC'' Data'!$AA$4:$AB$7,2,FALSE)=0,"Spatial Data Missing ⚠",VLOOKUP(V113,'G-7 WaterC'' Data'!$AA$4:$AB$7,2,FALSE)))))</f>
        <v/>
      </c>
      <c r="X113" s="56"/>
      <c r="Y113" s="282" t="str">
        <f>IF(X113="","",IF(AND(X113="N/A - Culvert", C113&lt;&gt;"Culvert"), "Not possible ▲",IF(AND(C113="Culvert",X113&lt;&gt;"N/A - Culvert"),"Not possible ▲",IF(VLOOKUP(X113,'G-7 WaterC'' Data'!$AD$4:$AE$14,2,FALSE)=0,"Enrcoachment Data Missing ⚠",VLOOKUP(X113,'G-7 WaterC'' Data'!$AD$4:$AE$14,2,FALSE)))))</f>
        <v/>
      </c>
      <c r="Z113" s="106"/>
      <c r="AA113" s="282" t="str">
        <f>IF(Z113="","",IF(VLOOKUP(Z113,'G-7 WaterC'' Data'!$AO$4:$BO$7,2,FALSE)=0,"Spatial Data Missing ⚠",VLOOKUP(Z113,'G-7 WaterC'' Data'!$AO$4:$BO$7,2,FALSE)))</f>
        <v/>
      </c>
      <c r="AB113" s="323" t="str">
        <f t="shared" si="11"/>
        <v/>
      </c>
      <c r="AC113" s="323" t="str">
        <f t="shared" si="12"/>
        <v/>
      </c>
      <c r="AD113" s="105"/>
      <c r="AE113" s="968"/>
      <c r="AF113" s="142"/>
      <c r="AG113" s="142"/>
      <c r="AH113" s="964"/>
      <c r="AL113" s="30" t="str">
        <f>IFERROR(INDEX('G-7 WaterC'' Data'!$AZ$3:$AZ$7,MATCH(C113,'G-7 WaterC'' Data'!$AY$3:$AY$7,0)),"")</f>
        <v/>
      </c>
      <c r="AN113" s="30" t="str">
        <f t="shared" si="13"/>
        <v>No</v>
      </c>
    </row>
    <row r="114" spans="2:40" ht="13.8" x14ac:dyDescent="0.25">
      <c r="B114" s="101">
        <v>103</v>
      </c>
      <c r="C114" s="953"/>
      <c r="D114" s="119"/>
      <c r="E114" s="281" t="str">
        <f>IF(C114="","",VLOOKUP(C114,'G-7 WaterC'' Data'!$B$2:$Z$9,2,FALSE))</f>
        <v/>
      </c>
      <c r="F114" s="282" t="str">
        <f>IFERROR(VLOOKUP(E114,'G-7 WaterC'' Data'!$C$4:$D$8,2,FALSE),"")</f>
        <v/>
      </c>
      <c r="G114" s="52"/>
      <c r="H114" s="282" t="str">
        <f>IFERROR(INDEX('G-7 WaterC'' Data'!$H$4:$L$8,MATCH(C114,'G-7 WaterC'' Data'!$B$4:$B$8,0),MATCH(G114,'G-7 WaterC'' Data'!$H$3:$L$3,0)),"")</f>
        <v/>
      </c>
      <c r="I114" s="52"/>
      <c r="J114" s="320" t="str">
        <f>IF(I114="","",IF(VLOOKUP(I114,'G-7 WaterC'' Data'!$AK$4:$AM$6,2,FALSE)=0,"Spatial Data Missing ⚠",VLOOKUP(I114,'G-7 WaterC'' Data'!$AK$4:$AM$6,2,FALSE)))</f>
        <v/>
      </c>
      <c r="K114" s="282" t="str">
        <f>IF(I114="","",IF(VLOOKUP(I114,'G-7 WaterC'' Data'!$AK$4:$AM$6,3,FALSE)=0,"Spatial Data Missing ⚠",VLOOKUP(I114,'G-7 WaterC'' Data'!$AK$4:$AM$6,3,FALSE)))</f>
        <v/>
      </c>
      <c r="L114" s="382" t="str">
        <f>IFERROR(INDEX('G-7 WaterC'' Data'!$O$3:$O$7,MATCH(G114,'G-7 WaterC'' Data'!$N$3:$N$7,0)),"")</f>
        <v/>
      </c>
      <c r="M114" s="53"/>
      <c r="N114" s="137"/>
      <c r="O114" s="289" t="str">
        <f t="shared" si="7"/>
        <v/>
      </c>
      <c r="P114" s="302" t="str">
        <f t="shared" si="8"/>
        <v/>
      </c>
      <c r="Q114" s="340" t="str">
        <f>IFERROR(IF(P114="Check Data ⚠","Check Data ⚠",VLOOKUP(P114,'G-4 Temporal multipliers'!$A$4:$C$37,3,FALSE)),"")</f>
        <v/>
      </c>
      <c r="R114" s="281" t="str">
        <f>IF(C114="","",VLOOKUP(C114,'G-7 WaterC'' Data'!$B$4:$G$8,4,FALSE))</f>
        <v/>
      </c>
      <c r="S114" s="289" t="str">
        <f t="shared" si="9"/>
        <v/>
      </c>
      <c r="T114" s="320" t="str">
        <f t="shared" si="10"/>
        <v/>
      </c>
      <c r="U114" s="282" t="str">
        <f>IF(C114="","",VLOOKUP(T114,'G-3 Multipliers'!$P$2:$Q$6,2,FALSE))</f>
        <v/>
      </c>
      <c r="V114" s="106"/>
      <c r="W114" s="282" t="str">
        <f>IF(V114="","",IF(AND(V114="N/A - Culvert",C114&lt;&gt;"Culvert"),"Not possible ▲",IF(AND(C114="Culvert",V114&lt;&gt;"N/A - Culvert"),"Not possible ▲",IF(VLOOKUP(V114,'G-7 WaterC'' Data'!$AA$4:$AB$7,2,FALSE)=0,"Spatial Data Missing ⚠",VLOOKUP(V114,'G-7 WaterC'' Data'!$AA$4:$AB$7,2,FALSE)))))</f>
        <v/>
      </c>
      <c r="X114" s="56"/>
      <c r="Y114" s="282" t="str">
        <f>IF(X114="","",IF(AND(X114="N/A - Culvert", C114&lt;&gt;"Culvert"), "Not possible ▲",IF(AND(C114="Culvert",X114&lt;&gt;"N/A - Culvert"),"Not possible ▲",IF(VLOOKUP(X114,'G-7 WaterC'' Data'!$AD$4:$AE$14,2,FALSE)=0,"Enrcoachment Data Missing ⚠",VLOOKUP(X114,'G-7 WaterC'' Data'!$AD$4:$AE$14,2,FALSE)))))</f>
        <v/>
      </c>
      <c r="Z114" s="106"/>
      <c r="AA114" s="282" t="str">
        <f>IF(Z114="","",IF(VLOOKUP(Z114,'G-7 WaterC'' Data'!$AO$4:$BO$7,2,FALSE)=0,"Spatial Data Missing ⚠",VLOOKUP(Z114,'G-7 WaterC'' Data'!$AO$4:$BO$7,2,FALSE)))</f>
        <v/>
      </c>
      <c r="AB114" s="323" t="str">
        <f t="shared" si="11"/>
        <v/>
      </c>
      <c r="AC114" s="323" t="str">
        <f t="shared" si="12"/>
        <v/>
      </c>
      <c r="AD114" s="105"/>
      <c r="AE114" s="968"/>
      <c r="AF114" s="142"/>
      <c r="AG114" s="142"/>
      <c r="AH114" s="964"/>
      <c r="AL114" s="30" t="str">
        <f>IFERROR(INDEX('G-7 WaterC'' Data'!$AZ$3:$AZ$7,MATCH(C114,'G-7 WaterC'' Data'!$AY$3:$AY$7,0)),"")</f>
        <v/>
      </c>
      <c r="AN114" s="30" t="str">
        <f t="shared" si="13"/>
        <v>No</v>
      </c>
    </row>
    <row r="115" spans="2:40" ht="13.8" x14ac:dyDescent="0.25">
      <c r="B115" s="101">
        <v>104</v>
      </c>
      <c r="C115" s="953"/>
      <c r="D115" s="119"/>
      <c r="E115" s="281" t="str">
        <f>IF(C115="","",VLOOKUP(C115,'G-7 WaterC'' Data'!$B$2:$Z$9,2,FALSE))</f>
        <v/>
      </c>
      <c r="F115" s="282" t="str">
        <f>IFERROR(VLOOKUP(E115,'G-7 WaterC'' Data'!$C$4:$D$8,2,FALSE),"")</f>
        <v/>
      </c>
      <c r="G115" s="52"/>
      <c r="H115" s="282" t="str">
        <f>IFERROR(INDEX('G-7 WaterC'' Data'!$H$4:$L$8,MATCH(C115,'G-7 WaterC'' Data'!$B$4:$B$8,0),MATCH(G115,'G-7 WaterC'' Data'!$H$3:$L$3,0)),"")</f>
        <v/>
      </c>
      <c r="I115" s="52"/>
      <c r="J115" s="320" t="str">
        <f>IF(I115="","",IF(VLOOKUP(I115,'G-7 WaterC'' Data'!$AK$4:$AM$6,2,FALSE)=0,"Spatial Data Missing ⚠",VLOOKUP(I115,'G-7 WaterC'' Data'!$AK$4:$AM$6,2,FALSE)))</f>
        <v/>
      </c>
      <c r="K115" s="282" t="str">
        <f>IF(I115="","",IF(VLOOKUP(I115,'G-7 WaterC'' Data'!$AK$4:$AM$6,3,FALSE)=0,"Spatial Data Missing ⚠",VLOOKUP(I115,'G-7 WaterC'' Data'!$AK$4:$AM$6,3,FALSE)))</f>
        <v/>
      </c>
      <c r="L115" s="382" t="str">
        <f>IFERROR(INDEX('G-7 WaterC'' Data'!$O$3:$O$7,MATCH(G115,'G-7 WaterC'' Data'!$N$3:$N$7,0)),"")</f>
        <v/>
      </c>
      <c r="M115" s="53"/>
      <c r="N115" s="137"/>
      <c r="O115" s="289" t="str">
        <f t="shared" si="7"/>
        <v/>
      </c>
      <c r="P115" s="302" t="str">
        <f t="shared" si="8"/>
        <v/>
      </c>
      <c r="Q115" s="340" t="str">
        <f>IFERROR(IF(P115="Check Data ⚠","Check Data ⚠",VLOOKUP(P115,'G-4 Temporal multipliers'!$A$4:$C$37,3,FALSE)),"")</f>
        <v/>
      </c>
      <c r="R115" s="281" t="str">
        <f>IF(C115="","",VLOOKUP(C115,'G-7 WaterC'' Data'!$B$4:$G$8,4,FALSE))</f>
        <v/>
      </c>
      <c r="S115" s="289" t="str">
        <f t="shared" si="9"/>
        <v/>
      </c>
      <c r="T115" s="320" t="str">
        <f t="shared" si="10"/>
        <v/>
      </c>
      <c r="U115" s="282" t="str">
        <f>IF(C115="","",VLOOKUP(T115,'G-3 Multipliers'!$P$2:$Q$6,2,FALSE))</f>
        <v/>
      </c>
      <c r="V115" s="106"/>
      <c r="W115" s="282" t="str">
        <f>IF(V115="","",IF(AND(V115="N/A - Culvert",C115&lt;&gt;"Culvert"),"Not possible ▲",IF(AND(C115="Culvert",V115&lt;&gt;"N/A - Culvert"),"Not possible ▲",IF(VLOOKUP(V115,'G-7 WaterC'' Data'!$AA$4:$AB$7,2,FALSE)=0,"Spatial Data Missing ⚠",VLOOKUP(V115,'G-7 WaterC'' Data'!$AA$4:$AB$7,2,FALSE)))))</f>
        <v/>
      </c>
      <c r="X115" s="56"/>
      <c r="Y115" s="282" t="str">
        <f>IF(X115="","",IF(AND(X115="N/A - Culvert", C115&lt;&gt;"Culvert"), "Not possible ▲",IF(AND(C115="Culvert",X115&lt;&gt;"N/A - Culvert"),"Not possible ▲",IF(VLOOKUP(X115,'G-7 WaterC'' Data'!$AD$4:$AE$14,2,FALSE)=0,"Enrcoachment Data Missing ⚠",VLOOKUP(X115,'G-7 WaterC'' Data'!$AD$4:$AE$14,2,FALSE)))))</f>
        <v/>
      </c>
      <c r="Z115" s="106"/>
      <c r="AA115" s="282" t="str">
        <f>IF(Z115="","",IF(VLOOKUP(Z115,'G-7 WaterC'' Data'!$AO$4:$BO$7,2,FALSE)=0,"Spatial Data Missing ⚠",VLOOKUP(Z115,'G-7 WaterC'' Data'!$AO$4:$BO$7,2,FALSE)))</f>
        <v/>
      </c>
      <c r="AB115" s="323" t="str">
        <f t="shared" si="11"/>
        <v/>
      </c>
      <c r="AC115" s="323" t="str">
        <f t="shared" si="12"/>
        <v/>
      </c>
      <c r="AD115" s="105"/>
      <c r="AE115" s="968"/>
      <c r="AF115" s="142"/>
      <c r="AG115" s="142"/>
      <c r="AH115" s="964"/>
      <c r="AL115" s="30" t="str">
        <f>IFERROR(INDEX('G-7 WaterC'' Data'!$AZ$3:$AZ$7,MATCH(C115,'G-7 WaterC'' Data'!$AY$3:$AY$7,0)),"")</f>
        <v/>
      </c>
      <c r="AN115" s="30" t="str">
        <f t="shared" si="13"/>
        <v>No</v>
      </c>
    </row>
    <row r="116" spans="2:40" ht="13.8" x14ac:dyDescent="0.25">
      <c r="B116" s="101">
        <v>105</v>
      </c>
      <c r="C116" s="953"/>
      <c r="D116" s="119"/>
      <c r="E116" s="281" t="str">
        <f>IF(C116="","",VLOOKUP(C116,'G-7 WaterC'' Data'!$B$2:$Z$9,2,FALSE))</f>
        <v/>
      </c>
      <c r="F116" s="282" t="str">
        <f>IFERROR(VLOOKUP(E116,'G-7 WaterC'' Data'!$C$4:$D$8,2,FALSE),"")</f>
        <v/>
      </c>
      <c r="G116" s="52"/>
      <c r="H116" s="282" t="str">
        <f>IFERROR(INDEX('G-7 WaterC'' Data'!$H$4:$L$8,MATCH(C116,'G-7 WaterC'' Data'!$B$4:$B$8,0),MATCH(G116,'G-7 WaterC'' Data'!$H$3:$L$3,0)),"")</f>
        <v/>
      </c>
      <c r="I116" s="52"/>
      <c r="J116" s="320" t="str">
        <f>IF(I116="","",IF(VLOOKUP(I116,'G-7 WaterC'' Data'!$AK$4:$AM$6,2,FALSE)=0,"Spatial Data Missing ⚠",VLOOKUP(I116,'G-7 WaterC'' Data'!$AK$4:$AM$6,2,FALSE)))</f>
        <v/>
      </c>
      <c r="K116" s="282" t="str">
        <f>IF(I116="","",IF(VLOOKUP(I116,'G-7 WaterC'' Data'!$AK$4:$AM$6,3,FALSE)=0,"Spatial Data Missing ⚠",VLOOKUP(I116,'G-7 WaterC'' Data'!$AK$4:$AM$6,3,FALSE)))</f>
        <v/>
      </c>
      <c r="L116" s="382" t="str">
        <f>IFERROR(INDEX('G-7 WaterC'' Data'!$O$3:$O$7,MATCH(G116,'G-7 WaterC'' Data'!$N$3:$N$7,0)),"")</f>
        <v/>
      </c>
      <c r="M116" s="53"/>
      <c r="N116" s="137"/>
      <c r="O116" s="289" t="str">
        <f t="shared" si="7"/>
        <v/>
      </c>
      <c r="P116" s="302" t="str">
        <f t="shared" si="8"/>
        <v/>
      </c>
      <c r="Q116" s="340" t="str">
        <f>IFERROR(IF(P116="Check Data ⚠","Check Data ⚠",VLOOKUP(P116,'G-4 Temporal multipliers'!$A$4:$C$37,3,FALSE)),"")</f>
        <v/>
      </c>
      <c r="R116" s="281" t="str">
        <f>IF(C116="","",VLOOKUP(C116,'G-7 WaterC'' Data'!$B$4:$G$8,4,FALSE))</f>
        <v/>
      </c>
      <c r="S116" s="289" t="str">
        <f t="shared" si="9"/>
        <v/>
      </c>
      <c r="T116" s="320" t="str">
        <f t="shared" si="10"/>
        <v/>
      </c>
      <c r="U116" s="282" t="str">
        <f>IF(C116="","",VLOOKUP(T116,'G-3 Multipliers'!$P$2:$Q$6,2,FALSE))</f>
        <v/>
      </c>
      <c r="V116" s="106"/>
      <c r="W116" s="282" t="str">
        <f>IF(V116="","",IF(AND(V116="N/A - Culvert",C116&lt;&gt;"Culvert"),"Not possible ▲",IF(AND(C116="Culvert",V116&lt;&gt;"N/A - Culvert"),"Not possible ▲",IF(VLOOKUP(V116,'G-7 WaterC'' Data'!$AA$4:$AB$7,2,FALSE)=0,"Spatial Data Missing ⚠",VLOOKUP(V116,'G-7 WaterC'' Data'!$AA$4:$AB$7,2,FALSE)))))</f>
        <v/>
      </c>
      <c r="X116" s="56"/>
      <c r="Y116" s="282" t="str">
        <f>IF(X116="","",IF(AND(X116="N/A - Culvert", C116&lt;&gt;"Culvert"), "Not possible ▲",IF(AND(C116="Culvert",X116&lt;&gt;"N/A - Culvert"),"Not possible ▲",IF(VLOOKUP(X116,'G-7 WaterC'' Data'!$AD$4:$AE$14,2,FALSE)=0,"Enrcoachment Data Missing ⚠",VLOOKUP(X116,'G-7 WaterC'' Data'!$AD$4:$AE$14,2,FALSE)))))</f>
        <v/>
      </c>
      <c r="Z116" s="106"/>
      <c r="AA116" s="282" t="str">
        <f>IF(Z116="","",IF(VLOOKUP(Z116,'G-7 WaterC'' Data'!$AO$4:$BO$7,2,FALSE)=0,"Spatial Data Missing ⚠",VLOOKUP(Z116,'G-7 WaterC'' Data'!$AO$4:$BO$7,2,FALSE)))</f>
        <v/>
      </c>
      <c r="AB116" s="323" t="str">
        <f t="shared" si="11"/>
        <v/>
      </c>
      <c r="AC116" s="323" t="str">
        <f t="shared" si="12"/>
        <v/>
      </c>
      <c r="AD116" s="105"/>
      <c r="AE116" s="968"/>
      <c r="AF116" s="142"/>
      <c r="AG116" s="142"/>
      <c r="AH116" s="964"/>
      <c r="AL116" s="30" t="str">
        <f>IFERROR(INDEX('G-7 WaterC'' Data'!$AZ$3:$AZ$7,MATCH(C116,'G-7 WaterC'' Data'!$AY$3:$AY$7,0)),"")</f>
        <v/>
      </c>
      <c r="AN116" s="30" t="str">
        <f t="shared" si="13"/>
        <v>No</v>
      </c>
    </row>
    <row r="117" spans="2:40" ht="13.8" x14ac:dyDescent="0.25">
      <c r="B117" s="101">
        <v>106</v>
      </c>
      <c r="C117" s="953"/>
      <c r="D117" s="119"/>
      <c r="E117" s="281" t="str">
        <f>IF(C117="","",VLOOKUP(C117,'G-7 WaterC'' Data'!$B$2:$Z$9,2,FALSE))</f>
        <v/>
      </c>
      <c r="F117" s="282" t="str">
        <f>IFERROR(VLOOKUP(E117,'G-7 WaterC'' Data'!$C$4:$D$8,2,FALSE),"")</f>
        <v/>
      </c>
      <c r="G117" s="52"/>
      <c r="H117" s="282" t="str">
        <f>IFERROR(INDEX('G-7 WaterC'' Data'!$H$4:$L$8,MATCH(C117,'G-7 WaterC'' Data'!$B$4:$B$8,0),MATCH(G117,'G-7 WaterC'' Data'!$H$3:$L$3,0)),"")</f>
        <v/>
      </c>
      <c r="I117" s="52"/>
      <c r="J117" s="320" t="str">
        <f>IF(I117="","",IF(VLOOKUP(I117,'G-7 WaterC'' Data'!$AK$4:$AM$6,2,FALSE)=0,"Spatial Data Missing ⚠",VLOOKUP(I117,'G-7 WaterC'' Data'!$AK$4:$AM$6,2,FALSE)))</f>
        <v/>
      </c>
      <c r="K117" s="282" t="str">
        <f>IF(I117="","",IF(VLOOKUP(I117,'G-7 WaterC'' Data'!$AK$4:$AM$6,3,FALSE)=0,"Spatial Data Missing ⚠",VLOOKUP(I117,'G-7 WaterC'' Data'!$AK$4:$AM$6,3,FALSE)))</f>
        <v/>
      </c>
      <c r="L117" s="382" t="str">
        <f>IFERROR(INDEX('G-7 WaterC'' Data'!$O$3:$O$7,MATCH(G117,'G-7 WaterC'' Data'!$N$3:$N$7,0)),"")</f>
        <v/>
      </c>
      <c r="M117" s="53"/>
      <c r="N117" s="137"/>
      <c r="O117" s="289" t="str">
        <f t="shared" si="7"/>
        <v/>
      </c>
      <c r="P117" s="302" t="str">
        <f t="shared" si="8"/>
        <v/>
      </c>
      <c r="Q117" s="340" t="str">
        <f>IFERROR(IF(P117="Check Data ⚠","Check Data ⚠",VLOOKUP(P117,'G-4 Temporal multipliers'!$A$4:$C$37,3,FALSE)),"")</f>
        <v/>
      </c>
      <c r="R117" s="281" t="str">
        <f>IF(C117="","",VLOOKUP(C117,'G-7 WaterC'' Data'!$B$4:$G$8,4,FALSE))</f>
        <v/>
      </c>
      <c r="S117" s="289" t="str">
        <f t="shared" si="9"/>
        <v/>
      </c>
      <c r="T117" s="320" t="str">
        <f t="shared" si="10"/>
        <v/>
      </c>
      <c r="U117" s="282" t="str">
        <f>IF(C117="","",VLOOKUP(T117,'G-3 Multipliers'!$P$2:$Q$6,2,FALSE))</f>
        <v/>
      </c>
      <c r="V117" s="106"/>
      <c r="W117" s="282" t="str">
        <f>IF(V117="","",IF(AND(V117="N/A - Culvert",C117&lt;&gt;"Culvert"),"Not possible ▲",IF(AND(C117="Culvert",V117&lt;&gt;"N/A - Culvert"),"Not possible ▲",IF(VLOOKUP(V117,'G-7 WaterC'' Data'!$AA$4:$AB$7,2,FALSE)=0,"Spatial Data Missing ⚠",VLOOKUP(V117,'G-7 WaterC'' Data'!$AA$4:$AB$7,2,FALSE)))))</f>
        <v/>
      </c>
      <c r="X117" s="56"/>
      <c r="Y117" s="282" t="str">
        <f>IF(X117="","",IF(AND(X117="N/A - Culvert", C117&lt;&gt;"Culvert"), "Not possible ▲",IF(AND(C117="Culvert",X117&lt;&gt;"N/A - Culvert"),"Not possible ▲",IF(VLOOKUP(X117,'G-7 WaterC'' Data'!$AD$4:$AE$14,2,FALSE)=0,"Enrcoachment Data Missing ⚠",VLOOKUP(X117,'G-7 WaterC'' Data'!$AD$4:$AE$14,2,FALSE)))))</f>
        <v/>
      </c>
      <c r="Z117" s="106"/>
      <c r="AA117" s="282" t="str">
        <f>IF(Z117="","",IF(VLOOKUP(Z117,'G-7 WaterC'' Data'!$AO$4:$BO$7,2,FALSE)=0,"Spatial Data Missing ⚠",VLOOKUP(Z117,'G-7 WaterC'' Data'!$AO$4:$BO$7,2,FALSE)))</f>
        <v/>
      </c>
      <c r="AB117" s="323" t="str">
        <f t="shared" si="11"/>
        <v/>
      </c>
      <c r="AC117" s="323" t="str">
        <f t="shared" si="12"/>
        <v/>
      </c>
      <c r="AD117" s="105"/>
      <c r="AE117" s="968"/>
      <c r="AF117" s="142"/>
      <c r="AG117" s="142"/>
      <c r="AH117" s="964"/>
      <c r="AL117" s="30" t="str">
        <f>IFERROR(INDEX('G-7 WaterC'' Data'!$AZ$3:$AZ$7,MATCH(C117,'G-7 WaterC'' Data'!$AY$3:$AY$7,0)),"")</f>
        <v/>
      </c>
      <c r="AN117" s="30" t="str">
        <f t="shared" si="13"/>
        <v>No</v>
      </c>
    </row>
    <row r="118" spans="2:40" ht="13.8" x14ac:dyDescent="0.25">
      <c r="B118" s="101">
        <v>107</v>
      </c>
      <c r="C118" s="953"/>
      <c r="D118" s="119"/>
      <c r="E118" s="281" t="str">
        <f>IF(C118="","",VLOOKUP(C118,'G-7 WaterC'' Data'!$B$2:$Z$9,2,FALSE))</f>
        <v/>
      </c>
      <c r="F118" s="282" t="str">
        <f>IFERROR(VLOOKUP(E118,'G-7 WaterC'' Data'!$C$4:$D$8,2,FALSE),"")</f>
        <v/>
      </c>
      <c r="G118" s="52"/>
      <c r="H118" s="282" t="str">
        <f>IFERROR(INDEX('G-7 WaterC'' Data'!$H$4:$L$8,MATCH(C118,'G-7 WaterC'' Data'!$B$4:$B$8,0),MATCH(G118,'G-7 WaterC'' Data'!$H$3:$L$3,0)),"")</f>
        <v/>
      </c>
      <c r="I118" s="52"/>
      <c r="J118" s="320" t="str">
        <f>IF(I118="","",IF(VLOOKUP(I118,'G-7 WaterC'' Data'!$AK$4:$AM$6,2,FALSE)=0,"Spatial Data Missing ⚠",VLOOKUP(I118,'G-7 WaterC'' Data'!$AK$4:$AM$6,2,FALSE)))</f>
        <v/>
      </c>
      <c r="K118" s="282" t="str">
        <f>IF(I118="","",IF(VLOOKUP(I118,'G-7 WaterC'' Data'!$AK$4:$AM$6,3,FALSE)=0,"Spatial Data Missing ⚠",VLOOKUP(I118,'G-7 WaterC'' Data'!$AK$4:$AM$6,3,FALSE)))</f>
        <v/>
      </c>
      <c r="L118" s="382" t="str">
        <f>IFERROR(INDEX('G-7 WaterC'' Data'!$O$3:$O$7,MATCH(G118,'G-7 WaterC'' Data'!$N$3:$N$7,0)),"")</f>
        <v/>
      </c>
      <c r="M118" s="53"/>
      <c r="N118" s="137"/>
      <c r="O118" s="289" t="str">
        <f t="shared" si="7"/>
        <v/>
      </c>
      <c r="P118" s="302" t="str">
        <f t="shared" si="8"/>
        <v/>
      </c>
      <c r="Q118" s="340" t="str">
        <f>IFERROR(IF(P118="Check Data ⚠","Check Data ⚠",VLOOKUP(P118,'G-4 Temporal multipliers'!$A$4:$C$37,3,FALSE)),"")</f>
        <v/>
      </c>
      <c r="R118" s="281" t="str">
        <f>IF(C118="","",VLOOKUP(C118,'G-7 WaterC'' Data'!$B$4:$G$8,4,FALSE))</f>
        <v/>
      </c>
      <c r="S118" s="289" t="str">
        <f t="shared" si="9"/>
        <v/>
      </c>
      <c r="T118" s="320" t="str">
        <f t="shared" si="10"/>
        <v/>
      </c>
      <c r="U118" s="282" t="str">
        <f>IF(C118="","",VLOOKUP(T118,'G-3 Multipliers'!$P$2:$Q$6,2,FALSE))</f>
        <v/>
      </c>
      <c r="V118" s="106"/>
      <c r="W118" s="282" t="str">
        <f>IF(V118="","",IF(AND(V118="N/A - Culvert",C118&lt;&gt;"Culvert"),"Not possible ▲",IF(AND(C118="Culvert",V118&lt;&gt;"N/A - Culvert"),"Not possible ▲",IF(VLOOKUP(V118,'G-7 WaterC'' Data'!$AA$4:$AB$7,2,FALSE)=0,"Spatial Data Missing ⚠",VLOOKUP(V118,'G-7 WaterC'' Data'!$AA$4:$AB$7,2,FALSE)))))</f>
        <v/>
      </c>
      <c r="X118" s="56"/>
      <c r="Y118" s="282" t="str">
        <f>IF(X118="","",IF(AND(X118="N/A - Culvert", C118&lt;&gt;"Culvert"), "Not possible ▲",IF(AND(C118="Culvert",X118&lt;&gt;"N/A - Culvert"),"Not possible ▲",IF(VLOOKUP(X118,'G-7 WaterC'' Data'!$AD$4:$AE$14,2,FALSE)=0,"Enrcoachment Data Missing ⚠",VLOOKUP(X118,'G-7 WaterC'' Data'!$AD$4:$AE$14,2,FALSE)))))</f>
        <v/>
      </c>
      <c r="Z118" s="106"/>
      <c r="AA118" s="282" t="str">
        <f>IF(Z118="","",IF(VLOOKUP(Z118,'G-7 WaterC'' Data'!$AO$4:$BO$7,2,FALSE)=0,"Spatial Data Missing ⚠",VLOOKUP(Z118,'G-7 WaterC'' Data'!$AO$4:$BO$7,2,FALSE)))</f>
        <v/>
      </c>
      <c r="AB118" s="323" t="str">
        <f t="shared" si="11"/>
        <v/>
      </c>
      <c r="AC118" s="323" t="str">
        <f t="shared" si="12"/>
        <v/>
      </c>
      <c r="AD118" s="105"/>
      <c r="AE118" s="968"/>
      <c r="AF118" s="142"/>
      <c r="AG118" s="142"/>
      <c r="AH118" s="964"/>
      <c r="AL118" s="30" t="str">
        <f>IFERROR(INDEX('G-7 WaterC'' Data'!$AZ$3:$AZ$7,MATCH(C118,'G-7 WaterC'' Data'!$AY$3:$AY$7,0)),"")</f>
        <v/>
      </c>
      <c r="AN118" s="30" t="str">
        <f t="shared" si="13"/>
        <v>No</v>
      </c>
    </row>
    <row r="119" spans="2:40" ht="13.8" x14ac:dyDescent="0.25">
      <c r="B119" s="101">
        <v>108</v>
      </c>
      <c r="C119" s="953"/>
      <c r="D119" s="119"/>
      <c r="E119" s="281" t="str">
        <f>IF(C119="","",VLOOKUP(C119,'G-7 WaterC'' Data'!$B$2:$Z$9,2,FALSE))</f>
        <v/>
      </c>
      <c r="F119" s="282" t="str">
        <f>IFERROR(VLOOKUP(E119,'G-7 WaterC'' Data'!$C$4:$D$8,2,FALSE),"")</f>
        <v/>
      </c>
      <c r="G119" s="52"/>
      <c r="H119" s="282" t="str">
        <f>IFERROR(INDEX('G-7 WaterC'' Data'!$H$4:$L$8,MATCH(C119,'G-7 WaterC'' Data'!$B$4:$B$8,0),MATCH(G119,'G-7 WaterC'' Data'!$H$3:$L$3,0)),"")</f>
        <v/>
      </c>
      <c r="I119" s="52"/>
      <c r="J119" s="320" t="str">
        <f>IF(I119="","",IF(VLOOKUP(I119,'G-7 WaterC'' Data'!$AK$4:$AM$6,2,FALSE)=0,"Spatial Data Missing ⚠",VLOOKUP(I119,'G-7 WaterC'' Data'!$AK$4:$AM$6,2,FALSE)))</f>
        <v/>
      </c>
      <c r="K119" s="282" t="str">
        <f>IF(I119="","",IF(VLOOKUP(I119,'G-7 WaterC'' Data'!$AK$4:$AM$6,3,FALSE)=0,"Spatial Data Missing ⚠",VLOOKUP(I119,'G-7 WaterC'' Data'!$AK$4:$AM$6,3,FALSE)))</f>
        <v/>
      </c>
      <c r="L119" s="382" t="str">
        <f>IFERROR(INDEX('G-7 WaterC'' Data'!$O$3:$O$7,MATCH(G119,'G-7 WaterC'' Data'!$N$3:$N$7,0)),"")</f>
        <v/>
      </c>
      <c r="M119" s="53"/>
      <c r="N119" s="137"/>
      <c r="O119" s="289" t="str">
        <f t="shared" si="7"/>
        <v/>
      </c>
      <c r="P119" s="302" t="str">
        <f t="shared" si="8"/>
        <v/>
      </c>
      <c r="Q119" s="340" t="str">
        <f>IFERROR(IF(P119="Check Data ⚠","Check Data ⚠",VLOOKUP(P119,'G-4 Temporal multipliers'!$A$4:$C$37,3,FALSE)),"")</f>
        <v/>
      </c>
      <c r="R119" s="281" t="str">
        <f>IF(C119="","",VLOOKUP(C119,'G-7 WaterC'' Data'!$B$4:$G$8,4,FALSE))</f>
        <v/>
      </c>
      <c r="S119" s="289" t="str">
        <f t="shared" si="9"/>
        <v/>
      </c>
      <c r="T119" s="320" t="str">
        <f t="shared" si="10"/>
        <v/>
      </c>
      <c r="U119" s="282" t="str">
        <f>IF(C119="","",VLOOKUP(T119,'G-3 Multipliers'!$P$2:$Q$6,2,FALSE))</f>
        <v/>
      </c>
      <c r="V119" s="106"/>
      <c r="W119" s="282" t="str">
        <f>IF(V119="","",IF(AND(V119="N/A - Culvert",C119&lt;&gt;"Culvert"),"Not possible ▲",IF(AND(C119="Culvert",V119&lt;&gt;"N/A - Culvert"),"Not possible ▲",IF(VLOOKUP(V119,'G-7 WaterC'' Data'!$AA$4:$AB$7,2,FALSE)=0,"Spatial Data Missing ⚠",VLOOKUP(V119,'G-7 WaterC'' Data'!$AA$4:$AB$7,2,FALSE)))))</f>
        <v/>
      </c>
      <c r="X119" s="56"/>
      <c r="Y119" s="282" t="str">
        <f>IF(X119="","",IF(AND(X119="N/A - Culvert", C119&lt;&gt;"Culvert"), "Not possible ▲",IF(AND(C119="Culvert",X119&lt;&gt;"N/A - Culvert"),"Not possible ▲",IF(VLOOKUP(X119,'G-7 WaterC'' Data'!$AD$4:$AE$14,2,FALSE)=0,"Enrcoachment Data Missing ⚠",VLOOKUP(X119,'G-7 WaterC'' Data'!$AD$4:$AE$14,2,FALSE)))))</f>
        <v/>
      </c>
      <c r="Z119" s="106"/>
      <c r="AA119" s="282" t="str">
        <f>IF(Z119="","",IF(VLOOKUP(Z119,'G-7 WaterC'' Data'!$AO$4:$BO$7,2,FALSE)=0,"Spatial Data Missing ⚠",VLOOKUP(Z119,'G-7 WaterC'' Data'!$AO$4:$BO$7,2,FALSE)))</f>
        <v/>
      </c>
      <c r="AB119" s="323" t="str">
        <f t="shared" si="11"/>
        <v/>
      </c>
      <c r="AC119" s="323" t="str">
        <f t="shared" si="12"/>
        <v/>
      </c>
      <c r="AD119" s="105"/>
      <c r="AE119" s="968"/>
      <c r="AF119" s="142"/>
      <c r="AG119" s="142"/>
      <c r="AH119" s="964"/>
      <c r="AL119" s="30" t="str">
        <f>IFERROR(INDEX('G-7 WaterC'' Data'!$AZ$3:$AZ$7,MATCH(C119,'G-7 WaterC'' Data'!$AY$3:$AY$7,0)),"")</f>
        <v/>
      </c>
      <c r="AN119" s="30" t="str">
        <f t="shared" si="13"/>
        <v>No</v>
      </c>
    </row>
    <row r="120" spans="2:40" ht="13.8" x14ac:dyDescent="0.25">
      <c r="B120" s="101">
        <v>109</v>
      </c>
      <c r="C120" s="953"/>
      <c r="D120" s="119"/>
      <c r="E120" s="281" t="str">
        <f>IF(C120="","",VLOOKUP(C120,'G-7 WaterC'' Data'!$B$2:$Z$9,2,FALSE))</f>
        <v/>
      </c>
      <c r="F120" s="282" t="str">
        <f>IFERROR(VLOOKUP(E120,'G-7 WaterC'' Data'!$C$4:$D$8,2,FALSE),"")</f>
        <v/>
      </c>
      <c r="G120" s="52"/>
      <c r="H120" s="282" t="str">
        <f>IFERROR(INDEX('G-7 WaterC'' Data'!$H$4:$L$8,MATCH(C120,'G-7 WaterC'' Data'!$B$4:$B$8,0),MATCH(G120,'G-7 WaterC'' Data'!$H$3:$L$3,0)),"")</f>
        <v/>
      </c>
      <c r="I120" s="52"/>
      <c r="J120" s="320" t="str">
        <f>IF(I120="","",IF(VLOOKUP(I120,'G-7 WaterC'' Data'!$AK$4:$AM$6,2,FALSE)=0,"Spatial Data Missing ⚠",VLOOKUP(I120,'G-7 WaterC'' Data'!$AK$4:$AM$6,2,FALSE)))</f>
        <v/>
      </c>
      <c r="K120" s="282" t="str">
        <f>IF(I120="","",IF(VLOOKUP(I120,'G-7 WaterC'' Data'!$AK$4:$AM$6,3,FALSE)=0,"Spatial Data Missing ⚠",VLOOKUP(I120,'G-7 WaterC'' Data'!$AK$4:$AM$6,3,FALSE)))</f>
        <v/>
      </c>
      <c r="L120" s="382" t="str">
        <f>IFERROR(INDEX('G-7 WaterC'' Data'!$O$3:$O$7,MATCH(G120,'G-7 WaterC'' Data'!$N$3:$N$7,0)),"")</f>
        <v/>
      </c>
      <c r="M120" s="53"/>
      <c r="N120" s="137"/>
      <c r="O120" s="289" t="str">
        <f t="shared" si="7"/>
        <v/>
      </c>
      <c r="P120" s="302" t="str">
        <f t="shared" si="8"/>
        <v/>
      </c>
      <c r="Q120" s="340" t="str">
        <f>IFERROR(IF(P120="Check Data ⚠","Check Data ⚠",VLOOKUP(P120,'G-4 Temporal multipliers'!$A$4:$C$37,3,FALSE)),"")</f>
        <v/>
      </c>
      <c r="R120" s="281" t="str">
        <f>IF(C120="","",VLOOKUP(C120,'G-7 WaterC'' Data'!$B$4:$G$8,4,FALSE))</f>
        <v/>
      </c>
      <c r="S120" s="289" t="str">
        <f t="shared" si="9"/>
        <v/>
      </c>
      <c r="T120" s="320" t="str">
        <f t="shared" si="10"/>
        <v/>
      </c>
      <c r="U120" s="282" t="str">
        <f>IF(C120="","",VLOOKUP(T120,'G-3 Multipliers'!$P$2:$Q$6,2,FALSE))</f>
        <v/>
      </c>
      <c r="V120" s="106"/>
      <c r="W120" s="282" t="str">
        <f>IF(V120="","",IF(AND(V120="N/A - Culvert",C120&lt;&gt;"Culvert"),"Not possible ▲",IF(AND(C120="Culvert",V120&lt;&gt;"N/A - Culvert"),"Not possible ▲",IF(VLOOKUP(V120,'G-7 WaterC'' Data'!$AA$4:$AB$7,2,FALSE)=0,"Spatial Data Missing ⚠",VLOOKUP(V120,'G-7 WaterC'' Data'!$AA$4:$AB$7,2,FALSE)))))</f>
        <v/>
      </c>
      <c r="X120" s="56"/>
      <c r="Y120" s="282" t="str">
        <f>IF(X120="","",IF(AND(X120="N/A - Culvert", C120&lt;&gt;"Culvert"), "Not possible ▲",IF(AND(C120="Culvert",X120&lt;&gt;"N/A - Culvert"),"Not possible ▲",IF(VLOOKUP(X120,'G-7 WaterC'' Data'!$AD$4:$AE$14,2,FALSE)=0,"Enrcoachment Data Missing ⚠",VLOOKUP(X120,'G-7 WaterC'' Data'!$AD$4:$AE$14,2,FALSE)))))</f>
        <v/>
      </c>
      <c r="Z120" s="106"/>
      <c r="AA120" s="282" t="str">
        <f>IF(Z120="","",IF(VLOOKUP(Z120,'G-7 WaterC'' Data'!$AO$4:$BO$7,2,FALSE)=0,"Spatial Data Missing ⚠",VLOOKUP(Z120,'G-7 WaterC'' Data'!$AO$4:$BO$7,2,FALSE)))</f>
        <v/>
      </c>
      <c r="AB120" s="323" t="str">
        <f t="shared" si="11"/>
        <v/>
      </c>
      <c r="AC120" s="323" t="str">
        <f t="shared" si="12"/>
        <v/>
      </c>
      <c r="AD120" s="105"/>
      <c r="AE120" s="968"/>
      <c r="AF120" s="142"/>
      <c r="AG120" s="142"/>
      <c r="AH120" s="964"/>
      <c r="AL120" s="30" t="str">
        <f>IFERROR(INDEX('G-7 WaterC'' Data'!$AZ$3:$AZ$7,MATCH(C120,'G-7 WaterC'' Data'!$AY$3:$AY$7,0)),"")</f>
        <v/>
      </c>
      <c r="AN120" s="30" t="str">
        <f t="shared" si="13"/>
        <v>No</v>
      </c>
    </row>
    <row r="121" spans="2:40" ht="13.8" x14ac:dyDescent="0.25">
      <c r="B121" s="101">
        <v>110</v>
      </c>
      <c r="C121" s="953"/>
      <c r="D121" s="119"/>
      <c r="E121" s="281" t="str">
        <f>IF(C121="","",VLOOKUP(C121,'G-7 WaterC'' Data'!$B$2:$Z$9,2,FALSE))</f>
        <v/>
      </c>
      <c r="F121" s="282" t="str">
        <f>IFERROR(VLOOKUP(E121,'G-7 WaterC'' Data'!$C$4:$D$8,2,FALSE),"")</f>
        <v/>
      </c>
      <c r="G121" s="52"/>
      <c r="H121" s="282" t="str">
        <f>IFERROR(INDEX('G-7 WaterC'' Data'!$H$4:$L$8,MATCH(C121,'G-7 WaterC'' Data'!$B$4:$B$8,0),MATCH(G121,'G-7 WaterC'' Data'!$H$3:$L$3,0)),"")</f>
        <v/>
      </c>
      <c r="I121" s="52"/>
      <c r="J121" s="320" t="str">
        <f>IF(I121="","",IF(VLOOKUP(I121,'G-7 WaterC'' Data'!$AK$4:$AM$6,2,FALSE)=0,"Spatial Data Missing ⚠",VLOOKUP(I121,'G-7 WaterC'' Data'!$AK$4:$AM$6,2,FALSE)))</f>
        <v/>
      </c>
      <c r="K121" s="282" t="str">
        <f>IF(I121="","",IF(VLOOKUP(I121,'G-7 WaterC'' Data'!$AK$4:$AM$6,3,FALSE)=0,"Spatial Data Missing ⚠",VLOOKUP(I121,'G-7 WaterC'' Data'!$AK$4:$AM$6,3,FALSE)))</f>
        <v/>
      </c>
      <c r="L121" s="382" t="str">
        <f>IFERROR(INDEX('G-7 WaterC'' Data'!$O$3:$O$7,MATCH(G121,'G-7 WaterC'' Data'!$N$3:$N$7,0)),"")</f>
        <v/>
      </c>
      <c r="M121" s="53"/>
      <c r="N121" s="137"/>
      <c r="O121" s="289" t="str">
        <f t="shared" si="7"/>
        <v/>
      </c>
      <c r="P121" s="302" t="str">
        <f t="shared" si="8"/>
        <v/>
      </c>
      <c r="Q121" s="340" t="str">
        <f>IFERROR(IF(P121="Check Data ⚠","Check Data ⚠",VLOOKUP(P121,'G-4 Temporal multipliers'!$A$4:$C$37,3,FALSE)),"")</f>
        <v/>
      </c>
      <c r="R121" s="281" t="str">
        <f>IF(C121="","",VLOOKUP(C121,'G-7 WaterC'' Data'!$B$4:$G$8,4,FALSE))</f>
        <v/>
      </c>
      <c r="S121" s="289" t="str">
        <f t="shared" si="9"/>
        <v/>
      </c>
      <c r="T121" s="320" t="str">
        <f t="shared" si="10"/>
        <v/>
      </c>
      <c r="U121" s="282" t="str">
        <f>IF(C121="","",VLOOKUP(T121,'G-3 Multipliers'!$P$2:$Q$6,2,FALSE))</f>
        <v/>
      </c>
      <c r="V121" s="106"/>
      <c r="W121" s="282" t="str">
        <f>IF(V121="","",IF(AND(V121="N/A - Culvert",C121&lt;&gt;"Culvert"),"Not possible ▲",IF(AND(C121="Culvert",V121&lt;&gt;"N/A - Culvert"),"Not possible ▲",IF(VLOOKUP(V121,'G-7 WaterC'' Data'!$AA$4:$AB$7,2,FALSE)=0,"Spatial Data Missing ⚠",VLOOKUP(V121,'G-7 WaterC'' Data'!$AA$4:$AB$7,2,FALSE)))))</f>
        <v/>
      </c>
      <c r="X121" s="56"/>
      <c r="Y121" s="282" t="str">
        <f>IF(X121="","",IF(AND(X121="N/A - Culvert", C121&lt;&gt;"Culvert"), "Not possible ▲",IF(AND(C121="Culvert",X121&lt;&gt;"N/A - Culvert"),"Not possible ▲",IF(VLOOKUP(X121,'G-7 WaterC'' Data'!$AD$4:$AE$14,2,FALSE)=0,"Enrcoachment Data Missing ⚠",VLOOKUP(X121,'G-7 WaterC'' Data'!$AD$4:$AE$14,2,FALSE)))))</f>
        <v/>
      </c>
      <c r="Z121" s="106"/>
      <c r="AA121" s="282" t="str">
        <f>IF(Z121="","",IF(VLOOKUP(Z121,'G-7 WaterC'' Data'!$AO$4:$BO$7,2,FALSE)=0,"Spatial Data Missing ⚠",VLOOKUP(Z121,'G-7 WaterC'' Data'!$AO$4:$BO$7,2,FALSE)))</f>
        <v/>
      </c>
      <c r="AB121" s="323" t="str">
        <f t="shared" si="11"/>
        <v/>
      </c>
      <c r="AC121" s="323" t="str">
        <f t="shared" si="12"/>
        <v/>
      </c>
      <c r="AD121" s="105"/>
      <c r="AE121" s="968"/>
      <c r="AF121" s="142"/>
      <c r="AG121" s="142"/>
      <c r="AH121" s="964"/>
      <c r="AL121" s="30" t="str">
        <f>IFERROR(INDEX('G-7 WaterC'' Data'!$AZ$3:$AZ$7,MATCH(C121,'G-7 WaterC'' Data'!$AY$3:$AY$7,0)),"")</f>
        <v/>
      </c>
      <c r="AN121" s="30" t="str">
        <f t="shared" si="13"/>
        <v>No</v>
      </c>
    </row>
    <row r="122" spans="2:40" ht="13.8" x14ac:dyDescent="0.25">
      <c r="B122" s="101">
        <v>111</v>
      </c>
      <c r="C122" s="953"/>
      <c r="D122" s="119"/>
      <c r="E122" s="281" t="str">
        <f>IF(C122="","",VLOOKUP(C122,'G-7 WaterC'' Data'!$B$2:$Z$9,2,FALSE))</f>
        <v/>
      </c>
      <c r="F122" s="282" t="str">
        <f>IFERROR(VLOOKUP(E122,'G-7 WaterC'' Data'!$C$4:$D$8,2,FALSE),"")</f>
        <v/>
      </c>
      <c r="G122" s="52"/>
      <c r="H122" s="282" t="str">
        <f>IFERROR(INDEX('G-7 WaterC'' Data'!$H$4:$L$8,MATCH(C122,'G-7 WaterC'' Data'!$B$4:$B$8,0),MATCH(G122,'G-7 WaterC'' Data'!$H$3:$L$3,0)),"")</f>
        <v/>
      </c>
      <c r="I122" s="52"/>
      <c r="J122" s="320" t="str">
        <f>IF(I122="","",IF(VLOOKUP(I122,'G-7 WaterC'' Data'!$AK$4:$AM$6,2,FALSE)=0,"Spatial Data Missing ⚠",VLOOKUP(I122,'G-7 WaterC'' Data'!$AK$4:$AM$6,2,FALSE)))</f>
        <v/>
      </c>
      <c r="K122" s="282" t="str">
        <f>IF(I122="","",IF(VLOOKUP(I122,'G-7 WaterC'' Data'!$AK$4:$AM$6,3,FALSE)=0,"Spatial Data Missing ⚠",VLOOKUP(I122,'G-7 WaterC'' Data'!$AK$4:$AM$6,3,FALSE)))</f>
        <v/>
      </c>
      <c r="L122" s="382" t="str">
        <f>IFERROR(INDEX('G-7 WaterC'' Data'!$O$3:$O$7,MATCH(G122,'G-7 WaterC'' Data'!$N$3:$N$7,0)),"")</f>
        <v/>
      </c>
      <c r="M122" s="53"/>
      <c r="N122" s="137"/>
      <c r="O122" s="289" t="str">
        <f t="shared" si="7"/>
        <v/>
      </c>
      <c r="P122" s="302" t="str">
        <f t="shared" si="8"/>
        <v/>
      </c>
      <c r="Q122" s="340" t="str">
        <f>IFERROR(IF(P122="Check Data ⚠","Check Data ⚠",VLOOKUP(P122,'G-4 Temporal multipliers'!$A$4:$C$37,3,FALSE)),"")</f>
        <v/>
      </c>
      <c r="R122" s="281" t="str">
        <f>IF(C122="","",VLOOKUP(C122,'G-7 WaterC'' Data'!$B$4:$G$8,4,FALSE))</f>
        <v/>
      </c>
      <c r="S122" s="289" t="str">
        <f t="shared" si="9"/>
        <v/>
      </c>
      <c r="T122" s="320" t="str">
        <f t="shared" si="10"/>
        <v/>
      </c>
      <c r="U122" s="282" t="str">
        <f>IF(C122="","",VLOOKUP(T122,'G-3 Multipliers'!$P$2:$Q$6,2,FALSE))</f>
        <v/>
      </c>
      <c r="V122" s="106"/>
      <c r="W122" s="282" t="str">
        <f>IF(V122="","",IF(AND(V122="N/A - Culvert",C122&lt;&gt;"Culvert"),"Not possible ▲",IF(AND(C122="Culvert",V122&lt;&gt;"N/A - Culvert"),"Not possible ▲",IF(VLOOKUP(V122,'G-7 WaterC'' Data'!$AA$4:$AB$7,2,FALSE)=0,"Spatial Data Missing ⚠",VLOOKUP(V122,'G-7 WaterC'' Data'!$AA$4:$AB$7,2,FALSE)))))</f>
        <v/>
      </c>
      <c r="X122" s="56"/>
      <c r="Y122" s="282" t="str">
        <f>IF(X122="","",IF(AND(X122="N/A - Culvert", C122&lt;&gt;"Culvert"), "Not possible ▲",IF(AND(C122="Culvert",X122&lt;&gt;"N/A - Culvert"),"Not possible ▲",IF(VLOOKUP(X122,'G-7 WaterC'' Data'!$AD$4:$AE$14,2,FALSE)=0,"Enrcoachment Data Missing ⚠",VLOOKUP(X122,'G-7 WaterC'' Data'!$AD$4:$AE$14,2,FALSE)))))</f>
        <v/>
      </c>
      <c r="Z122" s="106"/>
      <c r="AA122" s="282" t="str">
        <f>IF(Z122="","",IF(VLOOKUP(Z122,'G-7 WaterC'' Data'!$AO$4:$BO$7,2,FALSE)=0,"Spatial Data Missing ⚠",VLOOKUP(Z122,'G-7 WaterC'' Data'!$AO$4:$BO$7,2,FALSE)))</f>
        <v/>
      </c>
      <c r="AB122" s="323" t="str">
        <f t="shared" si="11"/>
        <v/>
      </c>
      <c r="AC122" s="323" t="str">
        <f t="shared" si="12"/>
        <v/>
      </c>
      <c r="AD122" s="105"/>
      <c r="AE122" s="968"/>
      <c r="AF122" s="142"/>
      <c r="AG122" s="142"/>
      <c r="AH122" s="964"/>
      <c r="AL122" s="30" t="str">
        <f>IFERROR(INDEX('G-7 WaterC'' Data'!$AZ$3:$AZ$7,MATCH(C122,'G-7 WaterC'' Data'!$AY$3:$AY$7,0)),"")</f>
        <v/>
      </c>
      <c r="AN122" s="30" t="str">
        <f t="shared" si="13"/>
        <v>No</v>
      </c>
    </row>
    <row r="123" spans="2:40" ht="13.8" x14ac:dyDescent="0.25">
      <c r="B123" s="101">
        <v>112</v>
      </c>
      <c r="C123" s="953"/>
      <c r="D123" s="119"/>
      <c r="E123" s="281" t="str">
        <f>IF(C123="","",VLOOKUP(C123,'G-7 WaterC'' Data'!$B$2:$Z$9,2,FALSE))</f>
        <v/>
      </c>
      <c r="F123" s="282" t="str">
        <f>IFERROR(VLOOKUP(E123,'G-7 WaterC'' Data'!$C$4:$D$8,2,FALSE),"")</f>
        <v/>
      </c>
      <c r="G123" s="52"/>
      <c r="H123" s="282" t="str">
        <f>IFERROR(INDEX('G-7 WaterC'' Data'!$H$4:$L$8,MATCH(C123,'G-7 WaterC'' Data'!$B$4:$B$8,0),MATCH(G123,'G-7 WaterC'' Data'!$H$3:$L$3,0)),"")</f>
        <v/>
      </c>
      <c r="I123" s="52"/>
      <c r="J123" s="320" t="str">
        <f>IF(I123="","",IF(VLOOKUP(I123,'G-7 WaterC'' Data'!$AK$4:$AM$6,2,FALSE)=0,"Spatial Data Missing ⚠",VLOOKUP(I123,'G-7 WaterC'' Data'!$AK$4:$AM$6,2,FALSE)))</f>
        <v/>
      </c>
      <c r="K123" s="282" t="str">
        <f>IF(I123="","",IF(VLOOKUP(I123,'G-7 WaterC'' Data'!$AK$4:$AM$6,3,FALSE)=0,"Spatial Data Missing ⚠",VLOOKUP(I123,'G-7 WaterC'' Data'!$AK$4:$AM$6,3,FALSE)))</f>
        <v/>
      </c>
      <c r="L123" s="382" t="str">
        <f>IFERROR(INDEX('G-7 WaterC'' Data'!$O$3:$O$7,MATCH(G123,'G-7 WaterC'' Data'!$N$3:$N$7,0)),"")</f>
        <v/>
      </c>
      <c r="M123" s="53"/>
      <c r="N123" s="137"/>
      <c r="O123" s="289" t="str">
        <f t="shared" si="7"/>
        <v/>
      </c>
      <c r="P123" s="302" t="str">
        <f t="shared" si="8"/>
        <v/>
      </c>
      <c r="Q123" s="340" t="str">
        <f>IFERROR(IF(P123="Check Data ⚠","Check Data ⚠",VLOOKUP(P123,'G-4 Temporal multipliers'!$A$4:$C$37,3,FALSE)),"")</f>
        <v/>
      </c>
      <c r="R123" s="281" t="str">
        <f>IF(C123="","",VLOOKUP(C123,'G-7 WaterC'' Data'!$B$4:$G$8,4,FALSE))</f>
        <v/>
      </c>
      <c r="S123" s="289" t="str">
        <f t="shared" si="9"/>
        <v/>
      </c>
      <c r="T123" s="320" t="str">
        <f t="shared" si="10"/>
        <v/>
      </c>
      <c r="U123" s="282" t="str">
        <f>IF(C123="","",VLOOKUP(T123,'G-3 Multipliers'!$P$2:$Q$6,2,FALSE))</f>
        <v/>
      </c>
      <c r="V123" s="106"/>
      <c r="W123" s="282" t="str">
        <f>IF(V123="","",IF(AND(V123="N/A - Culvert",C123&lt;&gt;"Culvert"),"Not possible ▲",IF(AND(C123="Culvert",V123&lt;&gt;"N/A - Culvert"),"Not possible ▲",IF(VLOOKUP(V123,'G-7 WaterC'' Data'!$AA$4:$AB$7,2,FALSE)=0,"Spatial Data Missing ⚠",VLOOKUP(V123,'G-7 WaterC'' Data'!$AA$4:$AB$7,2,FALSE)))))</f>
        <v/>
      </c>
      <c r="X123" s="56"/>
      <c r="Y123" s="282" t="str">
        <f>IF(X123="","",IF(AND(X123="N/A - Culvert", C123&lt;&gt;"Culvert"), "Not possible ▲",IF(AND(C123="Culvert",X123&lt;&gt;"N/A - Culvert"),"Not possible ▲",IF(VLOOKUP(X123,'G-7 WaterC'' Data'!$AD$4:$AE$14,2,FALSE)=0,"Enrcoachment Data Missing ⚠",VLOOKUP(X123,'G-7 WaterC'' Data'!$AD$4:$AE$14,2,FALSE)))))</f>
        <v/>
      </c>
      <c r="Z123" s="106"/>
      <c r="AA123" s="282" t="str">
        <f>IF(Z123="","",IF(VLOOKUP(Z123,'G-7 WaterC'' Data'!$AO$4:$BO$7,2,FALSE)=0,"Spatial Data Missing ⚠",VLOOKUP(Z123,'G-7 WaterC'' Data'!$AO$4:$BO$7,2,FALSE)))</f>
        <v/>
      </c>
      <c r="AB123" s="323" t="str">
        <f t="shared" si="11"/>
        <v/>
      </c>
      <c r="AC123" s="323" t="str">
        <f t="shared" si="12"/>
        <v/>
      </c>
      <c r="AD123" s="105"/>
      <c r="AE123" s="968"/>
      <c r="AF123" s="142"/>
      <c r="AG123" s="142"/>
      <c r="AH123" s="964"/>
      <c r="AL123" s="30" t="str">
        <f>IFERROR(INDEX('G-7 WaterC'' Data'!$AZ$3:$AZ$7,MATCH(C123,'G-7 WaterC'' Data'!$AY$3:$AY$7,0)),"")</f>
        <v/>
      </c>
      <c r="AN123" s="30" t="str">
        <f t="shared" si="13"/>
        <v>No</v>
      </c>
    </row>
    <row r="124" spans="2:40" ht="13.8" x14ac:dyDescent="0.25">
      <c r="B124" s="101">
        <v>113</v>
      </c>
      <c r="C124" s="953"/>
      <c r="D124" s="119"/>
      <c r="E124" s="281" t="str">
        <f>IF(C124="","",VLOOKUP(C124,'G-7 WaterC'' Data'!$B$2:$Z$9,2,FALSE))</f>
        <v/>
      </c>
      <c r="F124" s="282" t="str">
        <f>IFERROR(VLOOKUP(E124,'G-7 WaterC'' Data'!$C$4:$D$8,2,FALSE),"")</f>
        <v/>
      </c>
      <c r="G124" s="52"/>
      <c r="H124" s="282" t="str">
        <f>IFERROR(INDEX('G-7 WaterC'' Data'!$H$4:$L$8,MATCH(C124,'G-7 WaterC'' Data'!$B$4:$B$8,0),MATCH(G124,'G-7 WaterC'' Data'!$H$3:$L$3,0)),"")</f>
        <v/>
      </c>
      <c r="I124" s="52"/>
      <c r="J124" s="320" t="str">
        <f>IF(I124="","",IF(VLOOKUP(I124,'G-7 WaterC'' Data'!$AK$4:$AM$6,2,FALSE)=0,"Spatial Data Missing ⚠",VLOOKUP(I124,'G-7 WaterC'' Data'!$AK$4:$AM$6,2,FALSE)))</f>
        <v/>
      </c>
      <c r="K124" s="282" t="str">
        <f>IF(I124="","",IF(VLOOKUP(I124,'G-7 WaterC'' Data'!$AK$4:$AM$6,3,FALSE)=0,"Spatial Data Missing ⚠",VLOOKUP(I124,'G-7 WaterC'' Data'!$AK$4:$AM$6,3,FALSE)))</f>
        <v/>
      </c>
      <c r="L124" s="382" t="str">
        <f>IFERROR(INDEX('G-7 WaterC'' Data'!$O$3:$O$7,MATCH(G124,'G-7 WaterC'' Data'!$N$3:$N$7,0)),"")</f>
        <v/>
      </c>
      <c r="M124" s="53"/>
      <c r="N124" s="137"/>
      <c r="O124" s="289" t="str">
        <f t="shared" si="7"/>
        <v/>
      </c>
      <c r="P124" s="302" t="str">
        <f t="shared" si="8"/>
        <v/>
      </c>
      <c r="Q124" s="340" t="str">
        <f>IFERROR(IF(P124="Check Data ⚠","Check Data ⚠",VLOOKUP(P124,'G-4 Temporal multipliers'!$A$4:$C$37,3,FALSE)),"")</f>
        <v/>
      </c>
      <c r="R124" s="281" t="str">
        <f>IF(C124="","",VLOOKUP(C124,'G-7 WaterC'' Data'!$B$4:$G$8,4,FALSE))</f>
        <v/>
      </c>
      <c r="S124" s="289" t="str">
        <f t="shared" si="9"/>
        <v/>
      </c>
      <c r="T124" s="320" t="str">
        <f t="shared" si="10"/>
        <v/>
      </c>
      <c r="U124" s="282" t="str">
        <f>IF(C124="","",VLOOKUP(T124,'G-3 Multipliers'!$P$2:$Q$6,2,FALSE))</f>
        <v/>
      </c>
      <c r="V124" s="106"/>
      <c r="W124" s="282" t="str">
        <f>IF(V124="","",IF(AND(V124="N/A - Culvert",C124&lt;&gt;"Culvert"),"Not possible ▲",IF(AND(C124="Culvert",V124&lt;&gt;"N/A - Culvert"),"Not possible ▲",IF(VLOOKUP(V124,'G-7 WaterC'' Data'!$AA$4:$AB$7,2,FALSE)=0,"Spatial Data Missing ⚠",VLOOKUP(V124,'G-7 WaterC'' Data'!$AA$4:$AB$7,2,FALSE)))))</f>
        <v/>
      </c>
      <c r="X124" s="56"/>
      <c r="Y124" s="282" t="str">
        <f>IF(X124="","",IF(AND(X124="N/A - Culvert", C124&lt;&gt;"Culvert"), "Not possible ▲",IF(AND(C124="Culvert",X124&lt;&gt;"N/A - Culvert"),"Not possible ▲",IF(VLOOKUP(X124,'G-7 WaterC'' Data'!$AD$4:$AE$14,2,FALSE)=0,"Enrcoachment Data Missing ⚠",VLOOKUP(X124,'G-7 WaterC'' Data'!$AD$4:$AE$14,2,FALSE)))))</f>
        <v/>
      </c>
      <c r="Z124" s="106"/>
      <c r="AA124" s="282" t="str">
        <f>IF(Z124="","",IF(VLOOKUP(Z124,'G-7 WaterC'' Data'!$AO$4:$BO$7,2,FALSE)=0,"Spatial Data Missing ⚠",VLOOKUP(Z124,'G-7 WaterC'' Data'!$AO$4:$BO$7,2,FALSE)))</f>
        <v/>
      </c>
      <c r="AB124" s="323" t="str">
        <f t="shared" si="11"/>
        <v/>
      </c>
      <c r="AC124" s="323" t="str">
        <f t="shared" si="12"/>
        <v/>
      </c>
      <c r="AD124" s="105"/>
      <c r="AE124" s="968"/>
      <c r="AF124" s="142"/>
      <c r="AG124" s="142"/>
      <c r="AH124" s="964"/>
      <c r="AL124" s="30" t="str">
        <f>IFERROR(INDEX('G-7 WaterC'' Data'!$AZ$3:$AZ$7,MATCH(C124,'G-7 WaterC'' Data'!$AY$3:$AY$7,0)),"")</f>
        <v/>
      </c>
      <c r="AN124" s="30" t="str">
        <f t="shared" si="13"/>
        <v>No</v>
      </c>
    </row>
    <row r="125" spans="2:40" ht="13.8" x14ac:dyDescent="0.25">
      <c r="B125" s="101">
        <v>114</v>
      </c>
      <c r="C125" s="953"/>
      <c r="D125" s="119"/>
      <c r="E125" s="281" t="str">
        <f>IF(C125="","",VLOOKUP(C125,'G-7 WaterC'' Data'!$B$2:$Z$9,2,FALSE))</f>
        <v/>
      </c>
      <c r="F125" s="282" t="str">
        <f>IFERROR(VLOOKUP(E125,'G-7 WaterC'' Data'!$C$4:$D$8,2,FALSE),"")</f>
        <v/>
      </c>
      <c r="G125" s="52"/>
      <c r="H125" s="282" t="str">
        <f>IFERROR(INDEX('G-7 WaterC'' Data'!$H$4:$L$8,MATCH(C125,'G-7 WaterC'' Data'!$B$4:$B$8,0),MATCH(G125,'G-7 WaterC'' Data'!$H$3:$L$3,0)),"")</f>
        <v/>
      </c>
      <c r="I125" s="52"/>
      <c r="J125" s="320" t="str">
        <f>IF(I125="","",IF(VLOOKUP(I125,'G-7 WaterC'' Data'!$AK$4:$AM$6,2,FALSE)=0,"Spatial Data Missing ⚠",VLOOKUP(I125,'G-7 WaterC'' Data'!$AK$4:$AM$6,2,FALSE)))</f>
        <v/>
      </c>
      <c r="K125" s="282" t="str">
        <f>IF(I125="","",IF(VLOOKUP(I125,'G-7 WaterC'' Data'!$AK$4:$AM$6,3,FALSE)=0,"Spatial Data Missing ⚠",VLOOKUP(I125,'G-7 WaterC'' Data'!$AK$4:$AM$6,3,FALSE)))</f>
        <v/>
      </c>
      <c r="L125" s="382" t="str">
        <f>IFERROR(INDEX('G-7 WaterC'' Data'!$O$3:$O$7,MATCH(G125,'G-7 WaterC'' Data'!$N$3:$N$7,0)),"")</f>
        <v/>
      </c>
      <c r="M125" s="53"/>
      <c r="N125" s="137"/>
      <c r="O125" s="289" t="str">
        <f t="shared" si="7"/>
        <v/>
      </c>
      <c r="P125" s="302" t="str">
        <f t="shared" si="8"/>
        <v/>
      </c>
      <c r="Q125" s="340" t="str">
        <f>IFERROR(IF(P125="Check Data ⚠","Check Data ⚠",VLOOKUP(P125,'G-4 Temporal multipliers'!$A$4:$C$37,3,FALSE)),"")</f>
        <v/>
      </c>
      <c r="R125" s="281" t="str">
        <f>IF(C125="","",VLOOKUP(C125,'G-7 WaterC'' Data'!$B$4:$G$8,4,FALSE))</f>
        <v/>
      </c>
      <c r="S125" s="289" t="str">
        <f t="shared" si="9"/>
        <v/>
      </c>
      <c r="T125" s="320" t="str">
        <f t="shared" si="10"/>
        <v/>
      </c>
      <c r="U125" s="282" t="str">
        <f>IF(C125="","",VLOOKUP(T125,'G-3 Multipliers'!$P$2:$Q$6,2,FALSE))</f>
        <v/>
      </c>
      <c r="V125" s="106"/>
      <c r="W125" s="282" t="str">
        <f>IF(V125="","",IF(AND(V125="N/A - Culvert",C125&lt;&gt;"Culvert"),"Not possible ▲",IF(AND(C125="Culvert",V125&lt;&gt;"N/A - Culvert"),"Not possible ▲",IF(VLOOKUP(V125,'G-7 WaterC'' Data'!$AA$4:$AB$7,2,FALSE)=0,"Spatial Data Missing ⚠",VLOOKUP(V125,'G-7 WaterC'' Data'!$AA$4:$AB$7,2,FALSE)))))</f>
        <v/>
      </c>
      <c r="X125" s="56"/>
      <c r="Y125" s="282" t="str">
        <f>IF(X125="","",IF(AND(X125="N/A - Culvert", C125&lt;&gt;"Culvert"), "Not possible ▲",IF(AND(C125="Culvert",X125&lt;&gt;"N/A - Culvert"),"Not possible ▲",IF(VLOOKUP(X125,'G-7 WaterC'' Data'!$AD$4:$AE$14,2,FALSE)=0,"Enrcoachment Data Missing ⚠",VLOOKUP(X125,'G-7 WaterC'' Data'!$AD$4:$AE$14,2,FALSE)))))</f>
        <v/>
      </c>
      <c r="Z125" s="106"/>
      <c r="AA125" s="282" t="str">
        <f>IF(Z125="","",IF(VLOOKUP(Z125,'G-7 WaterC'' Data'!$AO$4:$BO$7,2,FALSE)=0,"Spatial Data Missing ⚠",VLOOKUP(Z125,'G-7 WaterC'' Data'!$AO$4:$BO$7,2,FALSE)))</f>
        <v/>
      </c>
      <c r="AB125" s="323" t="str">
        <f t="shared" si="11"/>
        <v/>
      </c>
      <c r="AC125" s="323" t="str">
        <f t="shared" si="12"/>
        <v/>
      </c>
      <c r="AD125" s="105"/>
      <c r="AE125" s="968"/>
      <c r="AF125" s="142"/>
      <c r="AG125" s="142"/>
      <c r="AH125" s="964"/>
      <c r="AL125" s="30" t="str">
        <f>IFERROR(INDEX('G-7 WaterC'' Data'!$AZ$3:$AZ$7,MATCH(C125,'G-7 WaterC'' Data'!$AY$3:$AY$7,0)),"")</f>
        <v/>
      </c>
      <c r="AN125" s="30" t="str">
        <f t="shared" si="13"/>
        <v>No</v>
      </c>
    </row>
    <row r="126" spans="2:40" ht="13.8" x14ac:dyDescent="0.25">
      <c r="B126" s="101">
        <v>115</v>
      </c>
      <c r="C126" s="953"/>
      <c r="D126" s="119"/>
      <c r="E126" s="281" t="str">
        <f>IF(C126="","",VLOOKUP(C126,'G-7 WaterC'' Data'!$B$2:$Z$9,2,FALSE))</f>
        <v/>
      </c>
      <c r="F126" s="282" t="str">
        <f>IFERROR(VLOOKUP(E126,'G-7 WaterC'' Data'!$C$4:$D$8,2,FALSE),"")</f>
        <v/>
      </c>
      <c r="G126" s="52"/>
      <c r="H126" s="282" t="str">
        <f>IFERROR(INDEX('G-7 WaterC'' Data'!$H$4:$L$8,MATCH(C126,'G-7 WaterC'' Data'!$B$4:$B$8,0),MATCH(G126,'G-7 WaterC'' Data'!$H$3:$L$3,0)),"")</f>
        <v/>
      </c>
      <c r="I126" s="52"/>
      <c r="J126" s="320" t="str">
        <f>IF(I126="","",IF(VLOOKUP(I126,'G-7 WaterC'' Data'!$AK$4:$AM$6,2,FALSE)=0,"Spatial Data Missing ⚠",VLOOKUP(I126,'G-7 WaterC'' Data'!$AK$4:$AM$6,2,FALSE)))</f>
        <v/>
      </c>
      <c r="K126" s="282" t="str">
        <f>IF(I126="","",IF(VLOOKUP(I126,'G-7 WaterC'' Data'!$AK$4:$AM$6,3,FALSE)=0,"Spatial Data Missing ⚠",VLOOKUP(I126,'G-7 WaterC'' Data'!$AK$4:$AM$6,3,FALSE)))</f>
        <v/>
      </c>
      <c r="L126" s="382" t="str">
        <f>IFERROR(INDEX('G-7 WaterC'' Data'!$O$3:$O$7,MATCH(G126,'G-7 WaterC'' Data'!$N$3:$N$7,0)),"")</f>
        <v/>
      </c>
      <c r="M126" s="53"/>
      <c r="N126" s="137"/>
      <c r="O126" s="289" t="str">
        <f t="shared" si="7"/>
        <v/>
      </c>
      <c r="P126" s="302" t="str">
        <f t="shared" si="8"/>
        <v/>
      </c>
      <c r="Q126" s="340" t="str">
        <f>IFERROR(IF(P126="Check Data ⚠","Check Data ⚠",VLOOKUP(P126,'G-4 Temporal multipliers'!$A$4:$C$37,3,FALSE)),"")</f>
        <v/>
      </c>
      <c r="R126" s="281" t="str">
        <f>IF(C126="","",VLOOKUP(C126,'G-7 WaterC'' Data'!$B$4:$G$8,4,FALSE))</f>
        <v/>
      </c>
      <c r="S126" s="289" t="str">
        <f t="shared" si="9"/>
        <v/>
      </c>
      <c r="T126" s="320" t="str">
        <f t="shared" si="10"/>
        <v/>
      </c>
      <c r="U126" s="282" t="str">
        <f>IF(C126="","",VLOOKUP(T126,'G-3 Multipliers'!$P$2:$Q$6,2,FALSE))</f>
        <v/>
      </c>
      <c r="V126" s="106"/>
      <c r="W126" s="282" t="str">
        <f>IF(V126="","",IF(AND(V126="N/A - Culvert",C126&lt;&gt;"Culvert"),"Not possible ▲",IF(AND(C126="Culvert",V126&lt;&gt;"N/A - Culvert"),"Not possible ▲",IF(VLOOKUP(V126,'G-7 WaterC'' Data'!$AA$4:$AB$7,2,FALSE)=0,"Spatial Data Missing ⚠",VLOOKUP(V126,'G-7 WaterC'' Data'!$AA$4:$AB$7,2,FALSE)))))</f>
        <v/>
      </c>
      <c r="X126" s="56"/>
      <c r="Y126" s="282" t="str">
        <f>IF(X126="","",IF(AND(X126="N/A - Culvert", C126&lt;&gt;"Culvert"), "Not possible ▲",IF(AND(C126="Culvert",X126&lt;&gt;"N/A - Culvert"),"Not possible ▲",IF(VLOOKUP(X126,'G-7 WaterC'' Data'!$AD$4:$AE$14,2,FALSE)=0,"Enrcoachment Data Missing ⚠",VLOOKUP(X126,'G-7 WaterC'' Data'!$AD$4:$AE$14,2,FALSE)))))</f>
        <v/>
      </c>
      <c r="Z126" s="106"/>
      <c r="AA126" s="282" t="str">
        <f>IF(Z126="","",IF(VLOOKUP(Z126,'G-7 WaterC'' Data'!$AO$4:$BO$7,2,FALSE)=0,"Spatial Data Missing ⚠",VLOOKUP(Z126,'G-7 WaterC'' Data'!$AO$4:$BO$7,2,FALSE)))</f>
        <v/>
      </c>
      <c r="AB126" s="323" t="str">
        <f t="shared" si="11"/>
        <v/>
      </c>
      <c r="AC126" s="323" t="str">
        <f t="shared" si="12"/>
        <v/>
      </c>
      <c r="AD126" s="105"/>
      <c r="AE126" s="968"/>
      <c r="AF126" s="142"/>
      <c r="AG126" s="142"/>
      <c r="AH126" s="964"/>
      <c r="AL126" s="30" t="str">
        <f>IFERROR(INDEX('G-7 WaterC'' Data'!$AZ$3:$AZ$7,MATCH(C126,'G-7 WaterC'' Data'!$AY$3:$AY$7,0)),"")</f>
        <v/>
      </c>
      <c r="AN126" s="30" t="str">
        <f t="shared" si="13"/>
        <v>No</v>
      </c>
    </row>
    <row r="127" spans="2:40" ht="13.8" x14ac:dyDescent="0.25">
      <c r="B127" s="101">
        <v>116</v>
      </c>
      <c r="C127" s="953"/>
      <c r="D127" s="119"/>
      <c r="E127" s="281" t="str">
        <f>IF(C127="","",VLOOKUP(C127,'G-7 WaterC'' Data'!$B$2:$Z$9,2,FALSE))</f>
        <v/>
      </c>
      <c r="F127" s="282" t="str">
        <f>IFERROR(VLOOKUP(E127,'G-7 WaterC'' Data'!$C$4:$D$8,2,FALSE),"")</f>
        <v/>
      </c>
      <c r="G127" s="52"/>
      <c r="H127" s="282" t="str">
        <f>IFERROR(INDEX('G-7 WaterC'' Data'!$H$4:$L$8,MATCH(C127,'G-7 WaterC'' Data'!$B$4:$B$8,0),MATCH(G127,'G-7 WaterC'' Data'!$H$3:$L$3,0)),"")</f>
        <v/>
      </c>
      <c r="I127" s="52"/>
      <c r="J127" s="320" t="str">
        <f>IF(I127="","",IF(VLOOKUP(I127,'G-7 WaterC'' Data'!$AK$4:$AM$6,2,FALSE)=0,"Spatial Data Missing ⚠",VLOOKUP(I127,'G-7 WaterC'' Data'!$AK$4:$AM$6,2,FALSE)))</f>
        <v/>
      </c>
      <c r="K127" s="282" t="str">
        <f>IF(I127="","",IF(VLOOKUP(I127,'G-7 WaterC'' Data'!$AK$4:$AM$6,3,FALSE)=0,"Spatial Data Missing ⚠",VLOOKUP(I127,'G-7 WaterC'' Data'!$AK$4:$AM$6,3,FALSE)))</f>
        <v/>
      </c>
      <c r="L127" s="382" t="str">
        <f>IFERROR(INDEX('G-7 WaterC'' Data'!$O$3:$O$7,MATCH(G127,'G-7 WaterC'' Data'!$N$3:$N$7,0)),"")</f>
        <v/>
      </c>
      <c r="M127" s="53"/>
      <c r="N127" s="137"/>
      <c r="O127" s="289" t="str">
        <f t="shared" si="7"/>
        <v/>
      </c>
      <c r="P127" s="302" t="str">
        <f t="shared" si="8"/>
        <v/>
      </c>
      <c r="Q127" s="340" t="str">
        <f>IFERROR(IF(P127="Check Data ⚠","Check Data ⚠",VLOOKUP(P127,'G-4 Temporal multipliers'!$A$4:$C$37,3,FALSE)),"")</f>
        <v/>
      </c>
      <c r="R127" s="281" t="str">
        <f>IF(C127="","",VLOOKUP(C127,'G-7 WaterC'' Data'!$B$4:$G$8,4,FALSE))</f>
        <v/>
      </c>
      <c r="S127" s="289" t="str">
        <f t="shared" si="9"/>
        <v/>
      </c>
      <c r="T127" s="320" t="str">
        <f t="shared" si="10"/>
        <v/>
      </c>
      <c r="U127" s="282" t="str">
        <f>IF(C127="","",VLOOKUP(T127,'G-3 Multipliers'!$P$2:$Q$6,2,FALSE))</f>
        <v/>
      </c>
      <c r="V127" s="106"/>
      <c r="W127" s="282" t="str">
        <f>IF(V127="","",IF(AND(V127="N/A - Culvert",C127&lt;&gt;"Culvert"),"Not possible ▲",IF(AND(C127="Culvert",V127&lt;&gt;"N/A - Culvert"),"Not possible ▲",IF(VLOOKUP(V127,'G-7 WaterC'' Data'!$AA$4:$AB$7,2,FALSE)=0,"Spatial Data Missing ⚠",VLOOKUP(V127,'G-7 WaterC'' Data'!$AA$4:$AB$7,2,FALSE)))))</f>
        <v/>
      </c>
      <c r="X127" s="56"/>
      <c r="Y127" s="282" t="str">
        <f>IF(X127="","",IF(AND(X127="N/A - Culvert", C127&lt;&gt;"Culvert"), "Not possible ▲",IF(AND(C127="Culvert",X127&lt;&gt;"N/A - Culvert"),"Not possible ▲",IF(VLOOKUP(X127,'G-7 WaterC'' Data'!$AD$4:$AE$14,2,FALSE)=0,"Enrcoachment Data Missing ⚠",VLOOKUP(X127,'G-7 WaterC'' Data'!$AD$4:$AE$14,2,FALSE)))))</f>
        <v/>
      </c>
      <c r="Z127" s="106"/>
      <c r="AA127" s="282" t="str">
        <f>IF(Z127="","",IF(VLOOKUP(Z127,'G-7 WaterC'' Data'!$AO$4:$BO$7,2,FALSE)=0,"Spatial Data Missing ⚠",VLOOKUP(Z127,'G-7 WaterC'' Data'!$AO$4:$BO$7,2,FALSE)))</f>
        <v/>
      </c>
      <c r="AB127" s="323" t="str">
        <f t="shared" si="11"/>
        <v/>
      </c>
      <c r="AC127" s="323" t="str">
        <f t="shared" si="12"/>
        <v/>
      </c>
      <c r="AD127" s="105"/>
      <c r="AE127" s="968"/>
      <c r="AF127" s="142"/>
      <c r="AG127" s="142"/>
      <c r="AH127" s="964"/>
      <c r="AL127" s="30" t="str">
        <f>IFERROR(INDEX('G-7 WaterC'' Data'!$AZ$3:$AZ$7,MATCH(C127,'G-7 WaterC'' Data'!$AY$3:$AY$7,0)),"")</f>
        <v/>
      </c>
      <c r="AN127" s="30" t="str">
        <f t="shared" si="13"/>
        <v>No</v>
      </c>
    </row>
    <row r="128" spans="2:40" ht="13.8" x14ac:dyDescent="0.25">
      <c r="B128" s="101">
        <v>117</v>
      </c>
      <c r="C128" s="953"/>
      <c r="D128" s="119"/>
      <c r="E128" s="281" t="str">
        <f>IF(C128="","",VLOOKUP(C128,'G-7 WaterC'' Data'!$B$2:$Z$9,2,FALSE))</f>
        <v/>
      </c>
      <c r="F128" s="282" t="str">
        <f>IFERROR(VLOOKUP(E128,'G-7 WaterC'' Data'!$C$4:$D$8,2,FALSE),"")</f>
        <v/>
      </c>
      <c r="G128" s="52"/>
      <c r="H128" s="282" t="str">
        <f>IFERROR(INDEX('G-7 WaterC'' Data'!$H$4:$L$8,MATCH(C128,'G-7 WaterC'' Data'!$B$4:$B$8,0),MATCH(G128,'G-7 WaterC'' Data'!$H$3:$L$3,0)),"")</f>
        <v/>
      </c>
      <c r="I128" s="52"/>
      <c r="J128" s="320" t="str">
        <f>IF(I128="","",IF(VLOOKUP(I128,'G-7 WaterC'' Data'!$AK$4:$AM$6,2,FALSE)=0,"Spatial Data Missing ⚠",VLOOKUP(I128,'G-7 WaterC'' Data'!$AK$4:$AM$6,2,FALSE)))</f>
        <v/>
      </c>
      <c r="K128" s="282" t="str">
        <f>IF(I128="","",IF(VLOOKUP(I128,'G-7 WaterC'' Data'!$AK$4:$AM$6,3,FALSE)=0,"Spatial Data Missing ⚠",VLOOKUP(I128,'G-7 WaterC'' Data'!$AK$4:$AM$6,3,FALSE)))</f>
        <v/>
      </c>
      <c r="L128" s="382" t="str">
        <f>IFERROR(INDEX('G-7 WaterC'' Data'!$O$3:$O$7,MATCH(G128,'G-7 WaterC'' Data'!$N$3:$N$7,0)),"")</f>
        <v/>
      </c>
      <c r="M128" s="53"/>
      <c r="N128" s="137"/>
      <c r="O128" s="289" t="str">
        <f t="shared" si="7"/>
        <v/>
      </c>
      <c r="P128" s="302" t="str">
        <f t="shared" si="8"/>
        <v/>
      </c>
      <c r="Q128" s="340" t="str">
        <f>IFERROR(IF(P128="Check Data ⚠","Check Data ⚠",VLOOKUP(P128,'G-4 Temporal multipliers'!$A$4:$C$37,3,FALSE)),"")</f>
        <v/>
      </c>
      <c r="R128" s="281" t="str">
        <f>IF(C128="","",VLOOKUP(C128,'G-7 WaterC'' Data'!$B$4:$G$8,4,FALSE))</f>
        <v/>
      </c>
      <c r="S128" s="289" t="str">
        <f t="shared" si="9"/>
        <v/>
      </c>
      <c r="T128" s="320" t="str">
        <f t="shared" si="10"/>
        <v/>
      </c>
      <c r="U128" s="282" t="str">
        <f>IF(C128="","",VLOOKUP(T128,'G-3 Multipliers'!$P$2:$Q$6,2,FALSE))</f>
        <v/>
      </c>
      <c r="V128" s="106"/>
      <c r="W128" s="282" t="str">
        <f>IF(V128="","",IF(AND(V128="N/A - Culvert",C128&lt;&gt;"Culvert"),"Not possible ▲",IF(AND(C128="Culvert",V128&lt;&gt;"N/A - Culvert"),"Not possible ▲",IF(VLOOKUP(V128,'G-7 WaterC'' Data'!$AA$4:$AB$7,2,FALSE)=0,"Spatial Data Missing ⚠",VLOOKUP(V128,'G-7 WaterC'' Data'!$AA$4:$AB$7,2,FALSE)))))</f>
        <v/>
      </c>
      <c r="X128" s="56"/>
      <c r="Y128" s="282" t="str">
        <f>IF(X128="","",IF(AND(X128="N/A - Culvert", C128&lt;&gt;"Culvert"), "Not possible ▲",IF(AND(C128="Culvert",X128&lt;&gt;"N/A - Culvert"),"Not possible ▲",IF(VLOOKUP(X128,'G-7 WaterC'' Data'!$AD$4:$AE$14,2,FALSE)=0,"Enrcoachment Data Missing ⚠",VLOOKUP(X128,'G-7 WaterC'' Data'!$AD$4:$AE$14,2,FALSE)))))</f>
        <v/>
      </c>
      <c r="Z128" s="106"/>
      <c r="AA128" s="282" t="str">
        <f>IF(Z128="","",IF(VLOOKUP(Z128,'G-7 WaterC'' Data'!$AO$4:$BO$7,2,FALSE)=0,"Spatial Data Missing ⚠",VLOOKUP(Z128,'G-7 WaterC'' Data'!$AO$4:$BO$7,2,FALSE)))</f>
        <v/>
      </c>
      <c r="AB128" s="323" t="str">
        <f t="shared" si="11"/>
        <v/>
      </c>
      <c r="AC128" s="323" t="str">
        <f t="shared" si="12"/>
        <v/>
      </c>
      <c r="AD128" s="105"/>
      <c r="AE128" s="968"/>
      <c r="AF128" s="142"/>
      <c r="AG128" s="142"/>
      <c r="AH128" s="964"/>
      <c r="AL128" s="30" t="str">
        <f>IFERROR(INDEX('G-7 WaterC'' Data'!$AZ$3:$AZ$7,MATCH(C128,'G-7 WaterC'' Data'!$AY$3:$AY$7,0)),"")</f>
        <v/>
      </c>
      <c r="AN128" s="30" t="str">
        <f t="shared" si="13"/>
        <v>No</v>
      </c>
    </row>
    <row r="129" spans="2:40" ht="13.8" x14ac:dyDescent="0.25">
      <c r="B129" s="101">
        <v>118</v>
      </c>
      <c r="C129" s="953"/>
      <c r="D129" s="119"/>
      <c r="E129" s="281" t="str">
        <f>IF(C129="","",VLOOKUP(C129,'G-7 WaterC'' Data'!$B$2:$Z$9,2,FALSE))</f>
        <v/>
      </c>
      <c r="F129" s="282" t="str">
        <f>IFERROR(VLOOKUP(E129,'G-7 WaterC'' Data'!$C$4:$D$8,2,FALSE),"")</f>
        <v/>
      </c>
      <c r="G129" s="52"/>
      <c r="H129" s="282" t="str">
        <f>IFERROR(INDEX('G-7 WaterC'' Data'!$H$4:$L$8,MATCH(C129,'G-7 WaterC'' Data'!$B$4:$B$8,0),MATCH(G129,'G-7 WaterC'' Data'!$H$3:$L$3,0)),"")</f>
        <v/>
      </c>
      <c r="I129" s="52"/>
      <c r="J129" s="320" t="str">
        <f>IF(I129="","",IF(VLOOKUP(I129,'G-7 WaterC'' Data'!$AK$4:$AM$6,2,FALSE)=0,"Spatial Data Missing ⚠",VLOOKUP(I129,'G-7 WaterC'' Data'!$AK$4:$AM$6,2,FALSE)))</f>
        <v/>
      </c>
      <c r="K129" s="282" t="str">
        <f>IF(I129="","",IF(VLOOKUP(I129,'G-7 WaterC'' Data'!$AK$4:$AM$6,3,FALSE)=0,"Spatial Data Missing ⚠",VLOOKUP(I129,'G-7 WaterC'' Data'!$AK$4:$AM$6,3,FALSE)))</f>
        <v/>
      </c>
      <c r="L129" s="382" t="str">
        <f>IFERROR(INDEX('G-7 WaterC'' Data'!$O$3:$O$7,MATCH(G129,'G-7 WaterC'' Data'!$N$3:$N$7,0)),"")</f>
        <v/>
      </c>
      <c r="M129" s="53"/>
      <c r="N129" s="137"/>
      <c r="O129" s="289" t="str">
        <f t="shared" si="7"/>
        <v/>
      </c>
      <c r="P129" s="302" t="str">
        <f t="shared" si="8"/>
        <v/>
      </c>
      <c r="Q129" s="340" t="str">
        <f>IFERROR(IF(P129="Check Data ⚠","Check Data ⚠",VLOOKUP(P129,'G-4 Temporal multipliers'!$A$4:$C$37,3,FALSE)),"")</f>
        <v/>
      </c>
      <c r="R129" s="281" t="str">
        <f>IF(C129="","",VLOOKUP(C129,'G-7 WaterC'' Data'!$B$4:$G$8,4,FALSE))</f>
        <v/>
      </c>
      <c r="S129" s="289" t="str">
        <f t="shared" si="9"/>
        <v/>
      </c>
      <c r="T129" s="320" t="str">
        <f t="shared" si="10"/>
        <v/>
      </c>
      <c r="U129" s="282" t="str">
        <f>IF(C129="","",VLOOKUP(T129,'G-3 Multipliers'!$P$2:$Q$6,2,FALSE))</f>
        <v/>
      </c>
      <c r="V129" s="106"/>
      <c r="W129" s="282" t="str">
        <f>IF(V129="","",IF(AND(V129="N/A - Culvert",C129&lt;&gt;"Culvert"),"Not possible ▲",IF(AND(C129="Culvert",V129&lt;&gt;"N/A - Culvert"),"Not possible ▲",IF(VLOOKUP(V129,'G-7 WaterC'' Data'!$AA$4:$AB$7,2,FALSE)=0,"Spatial Data Missing ⚠",VLOOKUP(V129,'G-7 WaterC'' Data'!$AA$4:$AB$7,2,FALSE)))))</f>
        <v/>
      </c>
      <c r="X129" s="56"/>
      <c r="Y129" s="282" t="str">
        <f>IF(X129="","",IF(AND(X129="N/A - Culvert", C129&lt;&gt;"Culvert"), "Not possible ▲",IF(AND(C129="Culvert",X129&lt;&gt;"N/A - Culvert"),"Not possible ▲",IF(VLOOKUP(X129,'G-7 WaterC'' Data'!$AD$4:$AE$14,2,FALSE)=0,"Enrcoachment Data Missing ⚠",VLOOKUP(X129,'G-7 WaterC'' Data'!$AD$4:$AE$14,2,FALSE)))))</f>
        <v/>
      </c>
      <c r="Z129" s="106"/>
      <c r="AA129" s="282" t="str">
        <f>IF(Z129="","",IF(VLOOKUP(Z129,'G-7 WaterC'' Data'!$AO$4:$BO$7,2,FALSE)=0,"Spatial Data Missing ⚠",VLOOKUP(Z129,'G-7 WaterC'' Data'!$AO$4:$BO$7,2,FALSE)))</f>
        <v/>
      </c>
      <c r="AB129" s="323" t="str">
        <f t="shared" si="11"/>
        <v/>
      </c>
      <c r="AC129" s="323" t="str">
        <f t="shared" si="12"/>
        <v/>
      </c>
      <c r="AD129" s="105"/>
      <c r="AE129" s="968"/>
      <c r="AF129" s="142"/>
      <c r="AG129" s="142"/>
      <c r="AH129" s="964"/>
      <c r="AL129" s="30" t="str">
        <f>IFERROR(INDEX('G-7 WaterC'' Data'!$AZ$3:$AZ$7,MATCH(C129,'G-7 WaterC'' Data'!$AY$3:$AY$7,0)),"")</f>
        <v/>
      </c>
      <c r="AN129" s="30" t="str">
        <f t="shared" si="13"/>
        <v>No</v>
      </c>
    </row>
    <row r="130" spans="2:40" ht="13.8" x14ac:dyDescent="0.25">
      <c r="B130" s="101">
        <v>119</v>
      </c>
      <c r="C130" s="953"/>
      <c r="D130" s="119"/>
      <c r="E130" s="281" t="str">
        <f>IF(C130="","",VLOOKUP(C130,'G-7 WaterC'' Data'!$B$2:$Z$9,2,FALSE))</f>
        <v/>
      </c>
      <c r="F130" s="282" t="str">
        <f>IFERROR(VLOOKUP(E130,'G-7 WaterC'' Data'!$C$4:$D$8,2,FALSE),"")</f>
        <v/>
      </c>
      <c r="G130" s="52"/>
      <c r="H130" s="282" t="str">
        <f>IFERROR(INDEX('G-7 WaterC'' Data'!$H$4:$L$8,MATCH(C130,'G-7 WaterC'' Data'!$B$4:$B$8,0),MATCH(G130,'G-7 WaterC'' Data'!$H$3:$L$3,0)),"")</f>
        <v/>
      </c>
      <c r="I130" s="52"/>
      <c r="J130" s="320" t="str">
        <f>IF(I130="","",IF(VLOOKUP(I130,'G-7 WaterC'' Data'!$AK$4:$AM$6,2,FALSE)=0,"Spatial Data Missing ⚠",VLOOKUP(I130,'G-7 WaterC'' Data'!$AK$4:$AM$6,2,FALSE)))</f>
        <v/>
      </c>
      <c r="K130" s="282" t="str">
        <f>IF(I130="","",IF(VLOOKUP(I130,'G-7 WaterC'' Data'!$AK$4:$AM$6,3,FALSE)=0,"Spatial Data Missing ⚠",VLOOKUP(I130,'G-7 WaterC'' Data'!$AK$4:$AM$6,3,FALSE)))</f>
        <v/>
      </c>
      <c r="L130" s="382" t="str">
        <f>IFERROR(INDEX('G-7 WaterC'' Data'!$O$3:$O$7,MATCH(G130,'G-7 WaterC'' Data'!$N$3:$N$7,0)),"")</f>
        <v/>
      </c>
      <c r="M130" s="53"/>
      <c r="N130" s="137"/>
      <c r="O130" s="289" t="str">
        <f t="shared" si="7"/>
        <v/>
      </c>
      <c r="P130" s="302" t="str">
        <f t="shared" si="8"/>
        <v/>
      </c>
      <c r="Q130" s="340" t="str">
        <f>IFERROR(IF(P130="Check Data ⚠","Check Data ⚠",VLOOKUP(P130,'G-4 Temporal multipliers'!$A$4:$C$37,3,FALSE)),"")</f>
        <v/>
      </c>
      <c r="R130" s="281" t="str">
        <f>IF(C130="","",VLOOKUP(C130,'G-7 WaterC'' Data'!$B$4:$G$8,4,FALSE))</f>
        <v/>
      </c>
      <c r="S130" s="289" t="str">
        <f t="shared" si="9"/>
        <v/>
      </c>
      <c r="T130" s="320" t="str">
        <f t="shared" si="10"/>
        <v/>
      </c>
      <c r="U130" s="282" t="str">
        <f>IF(C130="","",VLOOKUP(T130,'G-3 Multipliers'!$P$2:$Q$6,2,FALSE))</f>
        <v/>
      </c>
      <c r="V130" s="106"/>
      <c r="W130" s="282" t="str">
        <f>IF(V130="","",IF(AND(V130="N/A - Culvert",C130&lt;&gt;"Culvert"),"Not possible ▲",IF(AND(C130="Culvert",V130&lt;&gt;"N/A - Culvert"),"Not possible ▲",IF(VLOOKUP(V130,'G-7 WaterC'' Data'!$AA$4:$AB$7,2,FALSE)=0,"Spatial Data Missing ⚠",VLOOKUP(V130,'G-7 WaterC'' Data'!$AA$4:$AB$7,2,FALSE)))))</f>
        <v/>
      </c>
      <c r="X130" s="56"/>
      <c r="Y130" s="282" t="str">
        <f>IF(X130="","",IF(AND(X130="N/A - Culvert", C130&lt;&gt;"Culvert"), "Not possible ▲",IF(AND(C130="Culvert",X130&lt;&gt;"N/A - Culvert"),"Not possible ▲",IF(VLOOKUP(X130,'G-7 WaterC'' Data'!$AD$4:$AE$14,2,FALSE)=0,"Enrcoachment Data Missing ⚠",VLOOKUP(X130,'G-7 WaterC'' Data'!$AD$4:$AE$14,2,FALSE)))))</f>
        <v/>
      </c>
      <c r="Z130" s="106"/>
      <c r="AA130" s="282" t="str">
        <f>IF(Z130="","",IF(VLOOKUP(Z130,'G-7 WaterC'' Data'!$AO$4:$BO$7,2,FALSE)=0,"Spatial Data Missing ⚠",VLOOKUP(Z130,'G-7 WaterC'' Data'!$AO$4:$BO$7,2,FALSE)))</f>
        <v/>
      </c>
      <c r="AB130" s="323" t="str">
        <f t="shared" si="11"/>
        <v/>
      </c>
      <c r="AC130" s="323" t="str">
        <f t="shared" si="12"/>
        <v/>
      </c>
      <c r="AD130" s="105"/>
      <c r="AE130" s="968"/>
      <c r="AF130" s="142"/>
      <c r="AG130" s="142"/>
      <c r="AH130" s="964"/>
      <c r="AL130" s="30" t="str">
        <f>IFERROR(INDEX('G-7 WaterC'' Data'!$AZ$3:$AZ$7,MATCH(C130,'G-7 WaterC'' Data'!$AY$3:$AY$7,0)),"")</f>
        <v/>
      </c>
      <c r="AN130" s="30" t="str">
        <f t="shared" si="13"/>
        <v>No</v>
      </c>
    </row>
    <row r="131" spans="2:40" ht="13.8" x14ac:dyDescent="0.25">
      <c r="B131" s="101">
        <v>120</v>
      </c>
      <c r="C131" s="953"/>
      <c r="D131" s="119"/>
      <c r="E131" s="281" t="str">
        <f>IF(C131="","",VLOOKUP(C131,'G-7 WaterC'' Data'!$B$2:$Z$9,2,FALSE))</f>
        <v/>
      </c>
      <c r="F131" s="282" t="str">
        <f>IFERROR(VLOOKUP(E131,'G-7 WaterC'' Data'!$C$4:$D$8,2,FALSE),"")</f>
        <v/>
      </c>
      <c r="G131" s="52"/>
      <c r="H131" s="282" t="str">
        <f>IFERROR(INDEX('G-7 WaterC'' Data'!$H$4:$L$8,MATCH(C131,'G-7 WaterC'' Data'!$B$4:$B$8,0),MATCH(G131,'G-7 WaterC'' Data'!$H$3:$L$3,0)),"")</f>
        <v/>
      </c>
      <c r="I131" s="52"/>
      <c r="J131" s="320" t="str">
        <f>IF(I131="","",IF(VLOOKUP(I131,'G-7 WaterC'' Data'!$AK$4:$AM$6,2,FALSE)=0,"Spatial Data Missing ⚠",VLOOKUP(I131,'G-7 WaterC'' Data'!$AK$4:$AM$6,2,FALSE)))</f>
        <v/>
      </c>
      <c r="K131" s="282" t="str">
        <f>IF(I131="","",IF(VLOOKUP(I131,'G-7 WaterC'' Data'!$AK$4:$AM$6,3,FALSE)=0,"Spatial Data Missing ⚠",VLOOKUP(I131,'G-7 WaterC'' Data'!$AK$4:$AM$6,3,FALSE)))</f>
        <v/>
      </c>
      <c r="L131" s="382" t="str">
        <f>IFERROR(INDEX('G-7 WaterC'' Data'!$O$3:$O$7,MATCH(G131,'G-7 WaterC'' Data'!$N$3:$N$7,0)),"")</f>
        <v/>
      </c>
      <c r="M131" s="53"/>
      <c r="N131" s="137"/>
      <c r="O131" s="289" t="str">
        <f t="shared" si="7"/>
        <v/>
      </c>
      <c r="P131" s="302" t="str">
        <f t="shared" si="8"/>
        <v/>
      </c>
      <c r="Q131" s="340" t="str">
        <f>IFERROR(IF(P131="Check Data ⚠","Check Data ⚠",VLOOKUP(P131,'G-4 Temporal multipliers'!$A$4:$C$37,3,FALSE)),"")</f>
        <v/>
      </c>
      <c r="R131" s="281" t="str">
        <f>IF(C131="","",VLOOKUP(C131,'G-7 WaterC'' Data'!$B$4:$G$8,4,FALSE))</f>
        <v/>
      </c>
      <c r="S131" s="289" t="str">
        <f t="shared" si="9"/>
        <v/>
      </c>
      <c r="T131" s="320" t="str">
        <f t="shared" si="10"/>
        <v/>
      </c>
      <c r="U131" s="282" t="str">
        <f>IF(C131="","",VLOOKUP(T131,'G-3 Multipliers'!$P$2:$Q$6,2,FALSE))</f>
        <v/>
      </c>
      <c r="V131" s="106"/>
      <c r="W131" s="282" t="str">
        <f>IF(V131="","",IF(AND(V131="N/A - Culvert",C131&lt;&gt;"Culvert"),"Not possible ▲",IF(AND(C131="Culvert",V131&lt;&gt;"N/A - Culvert"),"Not possible ▲",IF(VLOOKUP(V131,'G-7 WaterC'' Data'!$AA$4:$AB$7,2,FALSE)=0,"Spatial Data Missing ⚠",VLOOKUP(V131,'G-7 WaterC'' Data'!$AA$4:$AB$7,2,FALSE)))))</f>
        <v/>
      </c>
      <c r="X131" s="56"/>
      <c r="Y131" s="282" t="str">
        <f>IF(X131="","",IF(AND(X131="N/A - Culvert", C131&lt;&gt;"Culvert"), "Not possible ▲",IF(AND(C131="Culvert",X131&lt;&gt;"N/A - Culvert"),"Not possible ▲",IF(VLOOKUP(X131,'G-7 WaterC'' Data'!$AD$4:$AE$14,2,FALSE)=0,"Enrcoachment Data Missing ⚠",VLOOKUP(X131,'G-7 WaterC'' Data'!$AD$4:$AE$14,2,FALSE)))))</f>
        <v/>
      </c>
      <c r="Z131" s="106"/>
      <c r="AA131" s="282" t="str">
        <f>IF(Z131="","",IF(VLOOKUP(Z131,'G-7 WaterC'' Data'!$AO$4:$BO$7,2,FALSE)=0,"Spatial Data Missing ⚠",VLOOKUP(Z131,'G-7 WaterC'' Data'!$AO$4:$BO$7,2,FALSE)))</f>
        <v/>
      </c>
      <c r="AB131" s="323" t="str">
        <f t="shared" si="11"/>
        <v/>
      </c>
      <c r="AC131" s="323" t="str">
        <f t="shared" si="12"/>
        <v/>
      </c>
      <c r="AD131" s="105"/>
      <c r="AE131" s="968"/>
      <c r="AF131" s="142"/>
      <c r="AG131" s="142"/>
      <c r="AH131" s="964"/>
      <c r="AL131" s="30" t="str">
        <f>IFERROR(INDEX('G-7 WaterC'' Data'!$AZ$3:$AZ$7,MATCH(C131,'G-7 WaterC'' Data'!$AY$3:$AY$7,0)),"")</f>
        <v/>
      </c>
      <c r="AN131" s="30" t="str">
        <f t="shared" si="13"/>
        <v>No</v>
      </c>
    </row>
    <row r="132" spans="2:40" ht="13.8" x14ac:dyDescent="0.25">
      <c r="B132" s="101">
        <v>121</v>
      </c>
      <c r="C132" s="953"/>
      <c r="D132" s="119"/>
      <c r="E132" s="281" t="str">
        <f>IF(C132="","",VLOOKUP(C132,'G-7 WaterC'' Data'!$B$2:$Z$9,2,FALSE))</f>
        <v/>
      </c>
      <c r="F132" s="282" t="str">
        <f>IFERROR(VLOOKUP(E132,'G-7 WaterC'' Data'!$C$4:$D$8,2,FALSE),"")</f>
        <v/>
      </c>
      <c r="G132" s="52"/>
      <c r="H132" s="282" t="str">
        <f>IFERROR(INDEX('G-7 WaterC'' Data'!$H$4:$L$8,MATCH(C132,'G-7 WaterC'' Data'!$B$4:$B$8,0),MATCH(G132,'G-7 WaterC'' Data'!$H$3:$L$3,0)),"")</f>
        <v/>
      </c>
      <c r="I132" s="52"/>
      <c r="J132" s="320" t="str">
        <f>IF(I132="","",IF(VLOOKUP(I132,'G-7 WaterC'' Data'!$AK$4:$AM$6,2,FALSE)=0,"Spatial Data Missing ⚠",VLOOKUP(I132,'G-7 WaterC'' Data'!$AK$4:$AM$6,2,FALSE)))</f>
        <v/>
      </c>
      <c r="K132" s="282" t="str">
        <f>IF(I132="","",IF(VLOOKUP(I132,'G-7 WaterC'' Data'!$AK$4:$AM$6,3,FALSE)=0,"Spatial Data Missing ⚠",VLOOKUP(I132,'G-7 WaterC'' Data'!$AK$4:$AM$6,3,FALSE)))</f>
        <v/>
      </c>
      <c r="L132" s="382" t="str">
        <f>IFERROR(INDEX('G-7 WaterC'' Data'!$O$3:$O$7,MATCH(G132,'G-7 WaterC'' Data'!$N$3:$N$7,0)),"")</f>
        <v/>
      </c>
      <c r="M132" s="53"/>
      <c r="N132" s="137"/>
      <c r="O132" s="289" t="str">
        <f t="shared" si="7"/>
        <v/>
      </c>
      <c r="P132" s="302" t="str">
        <f t="shared" si="8"/>
        <v/>
      </c>
      <c r="Q132" s="340" t="str">
        <f>IFERROR(IF(P132="Check Data ⚠","Check Data ⚠",VLOOKUP(P132,'G-4 Temporal multipliers'!$A$4:$C$37,3,FALSE)),"")</f>
        <v/>
      </c>
      <c r="R132" s="281" t="str">
        <f>IF(C132="","",VLOOKUP(C132,'G-7 WaterC'' Data'!$B$4:$G$8,4,FALSE))</f>
        <v/>
      </c>
      <c r="S132" s="289" t="str">
        <f t="shared" si="9"/>
        <v/>
      </c>
      <c r="T132" s="320" t="str">
        <f t="shared" si="10"/>
        <v/>
      </c>
      <c r="U132" s="282" t="str">
        <f>IF(C132="","",VLOOKUP(T132,'G-3 Multipliers'!$P$2:$Q$6,2,FALSE))</f>
        <v/>
      </c>
      <c r="V132" s="106"/>
      <c r="W132" s="282" t="str">
        <f>IF(V132="","",IF(AND(V132="N/A - Culvert",C132&lt;&gt;"Culvert"),"Not possible ▲",IF(AND(C132="Culvert",V132&lt;&gt;"N/A - Culvert"),"Not possible ▲",IF(VLOOKUP(V132,'G-7 WaterC'' Data'!$AA$4:$AB$7,2,FALSE)=0,"Spatial Data Missing ⚠",VLOOKUP(V132,'G-7 WaterC'' Data'!$AA$4:$AB$7,2,FALSE)))))</f>
        <v/>
      </c>
      <c r="X132" s="56"/>
      <c r="Y132" s="282" t="str">
        <f>IF(X132="","",IF(AND(X132="N/A - Culvert", C132&lt;&gt;"Culvert"), "Not possible ▲",IF(AND(C132="Culvert",X132&lt;&gt;"N/A - Culvert"),"Not possible ▲",IF(VLOOKUP(X132,'G-7 WaterC'' Data'!$AD$4:$AE$14,2,FALSE)=0,"Enrcoachment Data Missing ⚠",VLOOKUP(X132,'G-7 WaterC'' Data'!$AD$4:$AE$14,2,FALSE)))))</f>
        <v/>
      </c>
      <c r="Z132" s="106"/>
      <c r="AA132" s="282" t="str">
        <f>IF(Z132="","",IF(VLOOKUP(Z132,'G-7 WaterC'' Data'!$AO$4:$BO$7,2,FALSE)=0,"Spatial Data Missing ⚠",VLOOKUP(Z132,'G-7 WaterC'' Data'!$AO$4:$BO$7,2,FALSE)))</f>
        <v/>
      </c>
      <c r="AB132" s="323" t="str">
        <f t="shared" si="11"/>
        <v/>
      </c>
      <c r="AC132" s="323" t="str">
        <f t="shared" si="12"/>
        <v/>
      </c>
      <c r="AD132" s="105"/>
      <c r="AE132" s="968"/>
      <c r="AF132" s="142"/>
      <c r="AG132" s="142"/>
      <c r="AH132" s="964"/>
      <c r="AL132" s="30" t="str">
        <f>IFERROR(INDEX('G-7 WaterC'' Data'!$AZ$3:$AZ$7,MATCH(C132,'G-7 WaterC'' Data'!$AY$3:$AY$7,0)),"")</f>
        <v/>
      </c>
      <c r="AN132" s="30" t="str">
        <f t="shared" si="13"/>
        <v>No</v>
      </c>
    </row>
    <row r="133" spans="2:40" ht="13.8" x14ac:dyDescent="0.25">
      <c r="B133" s="101">
        <v>122</v>
      </c>
      <c r="C133" s="953"/>
      <c r="D133" s="119"/>
      <c r="E133" s="281" t="str">
        <f>IF(C133="","",VLOOKUP(C133,'G-7 WaterC'' Data'!$B$2:$Z$9,2,FALSE))</f>
        <v/>
      </c>
      <c r="F133" s="282" t="str">
        <f>IFERROR(VLOOKUP(E133,'G-7 WaterC'' Data'!$C$4:$D$8,2,FALSE),"")</f>
        <v/>
      </c>
      <c r="G133" s="52"/>
      <c r="H133" s="282" t="str">
        <f>IFERROR(INDEX('G-7 WaterC'' Data'!$H$4:$L$8,MATCH(C133,'G-7 WaterC'' Data'!$B$4:$B$8,0),MATCH(G133,'G-7 WaterC'' Data'!$H$3:$L$3,0)),"")</f>
        <v/>
      </c>
      <c r="I133" s="52"/>
      <c r="J133" s="320" t="str">
        <f>IF(I133="","",IF(VLOOKUP(I133,'G-7 WaterC'' Data'!$AK$4:$AM$6,2,FALSE)=0,"Spatial Data Missing ⚠",VLOOKUP(I133,'G-7 WaterC'' Data'!$AK$4:$AM$6,2,FALSE)))</f>
        <v/>
      </c>
      <c r="K133" s="282" t="str">
        <f>IF(I133="","",IF(VLOOKUP(I133,'G-7 WaterC'' Data'!$AK$4:$AM$6,3,FALSE)=0,"Spatial Data Missing ⚠",VLOOKUP(I133,'G-7 WaterC'' Data'!$AK$4:$AM$6,3,FALSE)))</f>
        <v/>
      </c>
      <c r="L133" s="382" t="str">
        <f>IFERROR(INDEX('G-7 WaterC'' Data'!$O$3:$O$7,MATCH(G133,'G-7 WaterC'' Data'!$N$3:$N$7,0)),"")</f>
        <v/>
      </c>
      <c r="M133" s="53"/>
      <c r="N133" s="137"/>
      <c r="O133" s="289" t="str">
        <f t="shared" si="7"/>
        <v/>
      </c>
      <c r="P133" s="302" t="str">
        <f t="shared" si="8"/>
        <v/>
      </c>
      <c r="Q133" s="340" t="str">
        <f>IFERROR(IF(P133="Check Data ⚠","Check Data ⚠",VLOOKUP(P133,'G-4 Temporal multipliers'!$A$4:$C$37,3,FALSE)),"")</f>
        <v/>
      </c>
      <c r="R133" s="281" t="str">
        <f>IF(C133="","",VLOOKUP(C133,'G-7 WaterC'' Data'!$B$4:$G$8,4,FALSE))</f>
        <v/>
      </c>
      <c r="S133" s="289" t="str">
        <f t="shared" si="9"/>
        <v/>
      </c>
      <c r="T133" s="320" t="str">
        <f t="shared" si="10"/>
        <v/>
      </c>
      <c r="U133" s="282" t="str">
        <f>IF(C133="","",VLOOKUP(T133,'G-3 Multipliers'!$P$2:$Q$6,2,FALSE))</f>
        <v/>
      </c>
      <c r="V133" s="106"/>
      <c r="W133" s="282" t="str">
        <f>IF(V133="","",IF(AND(V133="N/A - Culvert",C133&lt;&gt;"Culvert"),"Not possible ▲",IF(AND(C133="Culvert",V133&lt;&gt;"N/A - Culvert"),"Not possible ▲",IF(VLOOKUP(V133,'G-7 WaterC'' Data'!$AA$4:$AB$7,2,FALSE)=0,"Spatial Data Missing ⚠",VLOOKUP(V133,'G-7 WaterC'' Data'!$AA$4:$AB$7,2,FALSE)))))</f>
        <v/>
      </c>
      <c r="X133" s="56"/>
      <c r="Y133" s="282" t="str">
        <f>IF(X133="","",IF(AND(X133="N/A - Culvert", C133&lt;&gt;"Culvert"), "Not possible ▲",IF(AND(C133="Culvert",X133&lt;&gt;"N/A - Culvert"),"Not possible ▲",IF(VLOOKUP(X133,'G-7 WaterC'' Data'!$AD$4:$AE$14,2,FALSE)=0,"Enrcoachment Data Missing ⚠",VLOOKUP(X133,'G-7 WaterC'' Data'!$AD$4:$AE$14,2,FALSE)))))</f>
        <v/>
      </c>
      <c r="Z133" s="106"/>
      <c r="AA133" s="282" t="str">
        <f>IF(Z133="","",IF(VLOOKUP(Z133,'G-7 WaterC'' Data'!$AO$4:$BO$7,2,FALSE)=0,"Spatial Data Missing ⚠",VLOOKUP(Z133,'G-7 WaterC'' Data'!$AO$4:$BO$7,2,FALSE)))</f>
        <v/>
      </c>
      <c r="AB133" s="323" t="str">
        <f t="shared" si="11"/>
        <v/>
      </c>
      <c r="AC133" s="323" t="str">
        <f t="shared" si="12"/>
        <v/>
      </c>
      <c r="AD133" s="105"/>
      <c r="AE133" s="968"/>
      <c r="AF133" s="142"/>
      <c r="AG133" s="142"/>
      <c r="AH133" s="964"/>
      <c r="AL133" s="30" t="str">
        <f>IFERROR(INDEX('G-7 WaterC'' Data'!$AZ$3:$AZ$7,MATCH(C133,'G-7 WaterC'' Data'!$AY$3:$AY$7,0)),"")</f>
        <v/>
      </c>
      <c r="AN133" s="30" t="str">
        <f t="shared" si="13"/>
        <v>No</v>
      </c>
    </row>
    <row r="134" spans="2:40" ht="13.8" x14ac:dyDescent="0.25">
      <c r="B134" s="101">
        <v>123</v>
      </c>
      <c r="C134" s="953"/>
      <c r="D134" s="119"/>
      <c r="E134" s="281" t="str">
        <f>IF(C134="","",VLOOKUP(C134,'G-7 WaterC'' Data'!$B$2:$Z$9,2,FALSE))</f>
        <v/>
      </c>
      <c r="F134" s="282" t="str">
        <f>IFERROR(VLOOKUP(E134,'G-7 WaterC'' Data'!$C$4:$D$8,2,FALSE),"")</f>
        <v/>
      </c>
      <c r="G134" s="52"/>
      <c r="H134" s="282" t="str">
        <f>IFERROR(INDEX('G-7 WaterC'' Data'!$H$4:$L$8,MATCH(C134,'G-7 WaterC'' Data'!$B$4:$B$8,0),MATCH(G134,'G-7 WaterC'' Data'!$H$3:$L$3,0)),"")</f>
        <v/>
      </c>
      <c r="I134" s="52"/>
      <c r="J134" s="320" t="str">
        <f>IF(I134="","",IF(VLOOKUP(I134,'G-7 WaterC'' Data'!$AK$4:$AM$6,2,FALSE)=0,"Spatial Data Missing ⚠",VLOOKUP(I134,'G-7 WaterC'' Data'!$AK$4:$AM$6,2,FALSE)))</f>
        <v/>
      </c>
      <c r="K134" s="282" t="str">
        <f>IF(I134="","",IF(VLOOKUP(I134,'G-7 WaterC'' Data'!$AK$4:$AM$6,3,FALSE)=0,"Spatial Data Missing ⚠",VLOOKUP(I134,'G-7 WaterC'' Data'!$AK$4:$AM$6,3,FALSE)))</f>
        <v/>
      </c>
      <c r="L134" s="382" t="str">
        <f>IFERROR(INDEX('G-7 WaterC'' Data'!$O$3:$O$7,MATCH(G134,'G-7 WaterC'' Data'!$N$3:$N$7,0)),"")</f>
        <v/>
      </c>
      <c r="M134" s="53"/>
      <c r="N134" s="137"/>
      <c r="O134" s="289" t="str">
        <f t="shared" si="7"/>
        <v/>
      </c>
      <c r="P134" s="302" t="str">
        <f t="shared" si="8"/>
        <v/>
      </c>
      <c r="Q134" s="340" t="str">
        <f>IFERROR(IF(P134="Check Data ⚠","Check Data ⚠",VLOOKUP(P134,'G-4 Temporal multipliers'!$A$4:$C$37,3,FALSE)),"")</f>
        <v/>
      </c>
      <c r="R134" s="281" t="str">
        <f>IF(C134="","",VLOOKUP(C134,'G-7 WaterC'' Data'!$B$4:$G$8,4,FALSE))</f>
        <v/>
      </c>
      <c r="S134" s="289" t="str">
        <f t="shared" si="9"/>
        <v/>
      </c>
      <c r="T134" s="320" t="str">
        <f t="shared" si="10"/>
        <v/>
      </c>
      <c r="U134" s="282" t="str">
        <f>IF(C134="","",VLOOKUP(T134,'G-3 Multipliers'!$P$2:$Q$6,2,FALSE))</f>
        <v/>
      </c>
      <c r="V134" s="106"/>
      <c r="W134" s="282" t="str">
        <f>IF(V134="","",IF(AND(V134="N/A - Culvert",C134&lt;&gt;"Culvert"),"Not possible ▲",IF(AND(C134="Culvert",V134&lt;&gt;"N/A - Culvert"),"Not possible ▲",IF(VLOOKUP(V134,'G-7 WaterC'' Data'!$AA$4:$AB$7,2,FALSE)=0,"Spatial Data Missing ⚠",VLOOKUP(V134,'G-7 WaterC'' Data'!$AA$4:$AB$7,2,FALSE)))))</f>
        <v/>
      </c>
      <c r="X134" s="56"/>
      <c r="Y134" s="282" t="str">
        <f>IF(X134="","",IF(AND(X134="N/A - Culvert", C134&lt;&gt;"Culvert"), "Not possible ▲",IF(AND(C134="Culvert",X134&lt;&gt;"N/A - Culvert"),"Not possible ▲",IF(VLOOKUP(X134,'G-7 WaterC'' Data'!$AD$4:$AE$14,2,FALSE)=0,"Enrcoachment Data Missing ⚠",VLOOKUP(X134,'G-7 WaterC'' Data'!$AD$4:$AE$14,2,FALSE)))))</f>
        <v/>
      </c>
      <c r="Z134" s="106"/>
      <c r="AA134" s="282" t="str">
        <f>IF(Z134="","",IF(VLOOKUP(Z134,'G-7 WaterC'' Data'!$AO$4:$BO$7,2,FALSE)=0,"Spatial Data Missing ⚠",VLOOKUP(Z134,'G-7 WaterC'' Data'!$AO$4:$BO$7,2,FALSE)))</f>
        <v/>
      </c>
      <c r="AB134" s="323" t="str">
        <f t="shared" si="11"/>
        <v/>
      </c>
      <c r="AC134" s="323" t="str">
        <f t="shared" si="12"/>
        <v/>
      </c>
      <c r="AD134" s="105"/>
      <c r="AE134" s="968"/>
      <c r="AF134" s="142"/>
      <c r="AG134" s="142"/>
      <c r="AH134" s="964"/>
      <c r="AL134" s="30" t="str">
        <f>IFERROR(INDEX('G-7 WaterC'' Data'!$AZ$3:$AZ$7,MATCH(C134,'G-7 WaterC'' Data'!$AY$3:$AY$7,0)),"")</f>
        <v/>
      </c>
      <c r="AN134" s="30" t="str">
        <f t="shared" si="13"/>
        <v>No</v>
      </c>
    </row>
    <row r="135" spans="2:40" ht="13.8" x14ac:dyDescent="0.25">
      <c r="B135" s="101">
        <v>124</v>
      </c>
      <c r="C135" s="953"/>
      <c r="D135" s="119"/>
      <c r="E135" s="281" t="str">
        <f>IF(C135="","",VLOOKUP(C135,'G-7 WaterC'' Data'!$B$2:$Z$9,2,FALSE))</f>
        <v/>
      </c>
      <c r="F135" s="282" t="str">
        <f>IFERROR(VLOOKUP(E135,'G-7 WaterC'' Data'!$C$4:$D$8,2,FALSE),"")</f>
        <v/>
      </c>
      <c r="G135" s="52"/>
      <c r="H135" s="282" t="str">
        <f>IFERROR(INDEX('G-7 WaterC'' Data'!$H$4:$L$8,MATCH(C135,'G-7 WaterC'' Data'!$B$4:$B$8,0),MATCH(G135,'G-7 WaterC'' Data'!$H$3:$L$3,0)),"")</f>
        <v/>
      </c>
      <c r="I135" s="52"/>
      <c r="J135" s="320" t="str">
        <f>IF(I135="","",IF(VLOOKUP(I135,'G-7 WaterC'' Data'!$AK$4:$AM$6,2,FALSE)=0,"Spatial Data Missing ⚠",VLOOKUP(I135,'G-7 WaterC'' Data'!$AK$4:$AM$6,2,FALSE)))</f>
        <v/>
      </c>
      <c r="K135" s="282" t="str">
        <f>IF(I135="","",IF(VLOOKUP(I135,'G-7 WaterC'' Data'!$AK$4:$AM$6,3,FALSE)=0,"Spatial Data Missing ⚠",VLOOKUP(I135,'G-7 WaterC'' Data'!$AK$4:$AM$6,3,FALSE)))</f>
        <v/>
      </c>
      <c r="L135" s="382" t="str">
        <f>IFERROR(INDEX('G-7 WaterC'' Data'!$O$3:$O$7,MATCH(G135,'G-7 WaterC'' Data'!$N$3:$N$7,0)),"")</f>
        <v/>
      </c>
      <c r="M135" s="53"/>
      <c r="N135" s="137"/>
      <c r="O135" s="289" t="str">
        <f t="shared" si="7"/>
        <v/>
      </c>
      <c r="P135" s="302" t="str">
        <f t="shared" si="8"/>
        <v/>
      </c>
      <c r="Q135" s="340" t="str">
        <f>IFERROR(IF(P135="Check Data ⚠","Check Data ⚠",VLOOKUP(P135,'G-4 Temporal multipliers'!$A$4:$C$37,3,FALSE)),"")</f>
        <v/>
      </c>
      <c r="R135" s="281" t="str">
        <f>IF(C135="","",VLOOKUP(C135,'G-7 WaterC'' Data'!$B$4:$G$8,4,FALSE))</f>
        <v/>
      </c>
      <c r="S135" s="289" t="str">
        <f t="shared" si="9"/>
        <v/>
      </c>
      <c r="T135" s="320" t="str">
        <f t="shared" si="10"/>
        <v/>
      </c>
      <c r="U135" s="282" t="str">
        <f>IF(C135="","",VLOOKUP(T135,'G-3 Multipliers'!$P$2:$Q$6,2,FALSE))</f>
        <v/>
      </c>
      <c r="V135" s="106"/>
      <c r="W135" s="282" t="str">
        <f>IF(V135="","",IF(AND(V135="N/A - Culvert",C135&lt;&gt;"Culvert"),"Not possible ▲",IF(AND(C135="Culvert",V135&lt;&gt;"N/A - Culvert"),"Not possible ▲",IF(VLOOKUP(V135,'G-7 WaterC'' Data'!$AA$4:$AB$7,2,FALSE)=0,"Spatial Data Missing ⚠",VLOOKUP(V135,'G-7 WaterC'' Data'!$AA$4:$AB$7,2,FALSE)))))</f>
        <v/>
      </c>
      <c r="X135" s="56"/>
      <c r="Y135" s="282" t="str">
        <f>IF(X135="","",IF(AND(X135="N/A - Culvert", C135&lt;&gt;"Culvert"), "Not possible ▲",IF(AND(C135="Culvert",X135&lt;&gt;"N/A - Culvert"),"Not possible ▲",IF(VLOOKUP(X135,'G-7 WaterC'' Data'!$AD$4:$AE$14,2,FALSE)=0,"Enrcoachment Data Missing ⚠",VLOOKUP(X135,'G-7 WaterC'' Data'!$AD$4:$AE$14,2,FALSE)))))</f>
        <v/>
      </c>
      <c r="Z135" s="106"/>
      <c r="AA135" s="282" t="str">
        <f>IF(Z135="","",IF(VLOOKUP(Z135,'G-7 WaterC'' Data'!$AO$4:$BO$7,2,FALSE)=0,"Spatial Data Missing ⚠",VLOOKUP(Z135,'G-7 WaterC'' Data'!$AO$4:$BO$7,2,FALSE)))</f>
        <v/>
      </c>
      <c r="AB135" s="323" t="str">
        <f t="shared" si="11"/>
        <v/>
      </c>
      <c r="AC135" s="323" t="str">
        <f t="shared" si="12"/>
        <v/>
      </c>
      <c r="AD135" s="105"/>
      <c r="AE135" s="968"/>
      <c r="AF135" s="142"/>
      <c r="AG135" s="142"/>
      <c r="AH135" s="964"/>
      <c r="AL135" s="30" t="str">
        <f>IFERROR(INDEX('G-7 WaterC'' Data'!$AZ$3:$AZ$7,MATCH(C135,'G-7 WaterC'' Data'!$AY$3:$AY$7,0)),"")</f>
        <v/>
      </c>
      <c r="AN135" s="30" t="str">
        <f t="shared" si="13"/>
        <v>No</v>
      </c>
    </row>
    <row r="136" spans="2:40" ht="13.8" x14ac:dyDescent="0.25">
      <c r="B136" s="101">
        <v>125</v>
      </c>
      <c r="C136" s="953"/>
      <c r="D136" s="119"/>
      <c r="E136" s="281" t="str">
        <f>IF(C136="","",VLOOKUP(C136,'G-7 WaterC'' Data'!$B$2:$Z$9,2,FALSE))</f>
        <v/>
      </c>
      <c r="F136" s="282" t="str">
        <f>IFERROR(VLOOKUP(E136,'G-7 WaterC'' Data'!$C$4:$D$8,2,FALSE),"")</f>
        <v/>
      </c>
      <c r="G136" s="52"/>
      <c r="H136" s="282" t="str">
        <f>IFERROR(INDEX('G-7 WaterC'' Data'!$H$4:$L$8,MATCH(C136,'G-7 WaterC'' Data'!$B$4:$B$8,0),MATCH(G136,'G-7 WaterC'' Data'!$H$3:$L$3,0)),"")</f>
        <v/>
      </c>
      <c r="I136" s="52"/>
      <c r="J136" s="320" t="str">
        <f>IF(I136="","",IF(VLOOKUP(I136,'G-7 WaterC'' Data'!$AK$4:$AM$6,2,FALSE)=0,"Spatial Data Missing ⚠",VLOOKUP(I136,'G-7 WaterC'' Data'!$AK$4:$AM$6,2,FALSE)))</f>
        <v/>
      </c>
      <c r="K136" s="282" t="str">
        <f>IF(I136="","",IF(VLOOKUP(I136,'G-7 WaterC'' Data'!$AK$4:$AM$6,3,FALSE)=0,"Spatial Data Missing ⚠",VLOOKUP(I136,'G-7 WaterC'' Data'!$AK$4:$AM$6,3,FALSE)))</f>
        <v/>
      </c>
      <c r="L136" s="382" t="str">
        <f>IFERROR(INDEX('G-7 WaterC'' Data'!$O$3:$O$7,MATCH(G136,'G-7 WaterC'' Data'!$N$3:$N$7,0)),"")</f>
        <v/>
      </c>
      <c r="M136" s="53"/>
      <c r="N136" s="137"/>
      <c r="O136" s="289" t="str">
        <f t="shared" si="7"/>
        <v/>
      </c>
      <c r="P136" s="302" t="str">
        <f t="shared" si="8"/>
        <v/>
      </c>
      <c r="Q136" s="340" t="str">
        <f>IFERROR(IF(P136="Check Data ⚠","Check Data ⚠",VLOOKUP(P136,'G-4 Temporal multipliers'!$A$4:$C$37,3,FALSE)),"")</f>
        <v/>
      </c>
      <c r="R136" s="281" t="str">
        <f>IF(C136="","",VLOOKUP(C136,'G-7 WaterC'' Data'!$B$4:$G$8,4,FALSE))</f>
        <v/>
      </c>
      <c r="S136" s="289" t="str">
        <f t="shared" si="9"/>
        <v/>
      </c>
      <c r="T136" s="320" t="str">
        <f t="shared" si="10"/>
        <v/>
      </c>
      <c r="U136" s="282" t="str">
        <f>IF(C136="","",VLOOKUP(T136,'G-3 Multipliers'!$P$2:$Q$6,2,FALSE))</f>
        <v/>
      </c>
      <c r="V136" s="106"/>
      <c r="W136" s="282" t="str">
        <f>IF(V136="","",IF(AND(V136="N/A - Culvert",C136&lt;&gt;"Culvert"),"Not possible ▲",IF(AND(C136="Culvert",V136&lt;&gt;"N/A - Culvert"),"Not possible ▲",IF(VLOOKUP(V136,'G-7 WaterC'' Data'!$AA$4:$AB$7,2,FALSE)=0,"Spatial Data Missing ⚠",VLOOKUP(V136,'G-7 WaterC'' Data'!$AA$4:$AB$7,2,FALSE)))))</f>
        <v/>
      </c>
      <c r="X136" s="56"/>
      <c r="Y136" s="282" t="str">
        <f>IF(X136="","",IF(AND(X136="N/A - Culvert", C136&lt;&gt;"Culvert"), "Not possible ▲",IF(AND(C136="Culvert",X136&lt;&gt;"N/A - Culvert"),"Not possible ▲",IF(VLOOKUP(X136,'G-7 WaterC'' Data'!$AD$4:$AE$14,2,FALSE)=0,"Enrcoachment Data Missing ⚠",VLOOKUP(X136,'G-7 WaterC'' Data'!$AD$4:$AE$14,2,FALSE)))))</f>
        <v/>
      </c>
      <c r="Z136" s="106"/>
      <c r="AA136" s="282" t="str">
        <f>IF(Z136="","",IF(VLOOKUP(Z136,'G-7 WaterC'' Data'!$AO$4:$BO$7,2,FALSE)=0,"Spatial Data Missing ⚠",VLOOKUP(Z136,'G-7 WaterC'' Data'!$AO$4:$BO$7,2,FALSE)))</f>
        <v/>
      </c>
      <c r="AB136" s="323" t="str">
        <f t="shared" si="11"/>
        <v/>
      </c>
      <c r="AC136" s="323" t="str">
        <f t="shared" si="12"/>
        <v/>
      </c>
      <c r="AD136" s="105"/>
      <c r="AE136" s="968"/>
      <c r="AF136" s="142"/>
      <c r="AG136" s="142"/>
      <c r="AH136" s="964"/>
      <c r="AL136" s="30" t="str">
        <f>IFERROR(INDEX('G-7 WaterC'' Data'!$AZ$3:$AZ$7,MATCH(C136,'G-7 WaterC'' Data'!$AY$3:$AY$7,0)),"")</f>
        <v/>
      </c>
      <c r="AN136" s="30" t="str">
        <f t="shared" si="13"/>
        <v>No</v>
      </c>
    </row>
    <row r="137" spans="2:40" ht="13.8" x14ac:dyDescent="0.25">
      <c r="B137" s="101">
        <v>126</v>
      </c>
      <c r="C137" s="953"/>
      <c r="D137" s="119"/>
      <c r="E137" s="281" t="str">
        <f>IF(C137="","",VLOOKUP(C137,'G-7 WaterC'' Data'!$B$2:$Z$9,2,FALSE))</f>
        <v/>
      </c>
      <c r="F137" s="282" t="str">
        <f>IFERROR(VLOOKUP(E137,'G-7 WaterC'' Data'!$C$4:$D$8,2,FALSE),"")</f>
        <v/>
      </c>
      <c r="G137" s="52"/>
      <c r="H137" s="282" t="str">
        <f>IFERROR(INDEX('G-7 WaterC'' Data'!$H$4:$L$8,MATCH(C137,'G-7 WaterC'' Data'!$B$4:$B$8,0),MATCH(G137,'G-7 WaterC'' Data'!$H$3:$L$3,0)),"")</f>
        <v/>
      </c>
      <c r="I137" s="52"/>
      <c r="J137" s="320" t="str">
        <f>IF(I137="","",IF(VLOOKUP(I137,'G-7 WaterC'' Data'!$AK$4:$AM$6,2,FALSE)=0,"Spatial Data Missing ⚠",VLOOKUP(I137,'G-7 WaterC'' Data'!$AK$4:$AM$6,2,FALSE)))</f>
        <v/>
      </c>
      <c r="K137" s="282" t="str">
        <f>IF(I137="","",IF(VLOOKUP(I137,'G-7 WaterC'' Data'!$AK$4:$AM$6,3,FALSE)=0,"Spatial Data Missing ⚠",VLOOKUP(I137,'G-7 WaterC'' Data'!$AK$4:$AM$6,3,FALSE)))</f>
        <v/>
      </c>
      <c r="L137" s="382" t="str">
        <f>IFERROR(INDEX('G-7 WaterC'' Data'!$O$3:$O$7,MATCH(G137,'G-7 WaterC'' Data'!$N$3:$N$7,0)),"")</f>
        <v/>
      </c>
      <c r="M137" s="53"/>
      <c r="N137" s="137"/>
      <c r="O137" s="289" t="str">
        <f t="shared" si="7"/>
        <v/>
      </c>
      <c r="P137" s="302" t="str">
        <f t="shared" si="8"/>
        <v/>
      </c>
      <c r="Q137" s="340" t="str">
        <f>IFERROR(IF(P137="Check Data ⚠","Check Data ⚠",VLOOKUP(P137,'G-4 Temporal multipliers'!$A$4:$C$37,3,FALSE)),"")</f>
        <v/>
      </c>
      <c r="R137" s="281" t="str">
        <f>IF(C137="","",VLOOKUP(C137,'G-7 WaterC'' Data'!$B$4:$G$8,4,FALSE))</f>
        <v/>
      </c>
      <c r="S137" s="289" t="str">
        <f t="shared" si="9"/>
        <v/>
      </c>
      <c r="T137" s="320" t="str">
        <f t="shared" si="10"/>
        <v/>
      </c>
      <c r="U137" s="282" t="str">
        <f>IF(C137="","",VLOOKUP(T137,'G-3 Multipliers'!$P$2:$Q$6,2,FALSE))</f>
        <v/>
      </c>
      <c r="V137" s="106"/>
      <c r="W137" s="282" t="str">
        <f>IF(V137="","",IF(AND(V137="N/A - Culvert",C137&lt;&gt;"Culvert"),"Not possible ▲",IF(AND(C137="Culvert",V137&lt;&gt;"N/A - Culvert"),"Not possible ▲",IF(VLOOKUP(V137,'G-7 WaterC'' Data'!$AA$4:$AB$7,2,FALSE)=0,"Spatial Data Missing ⚠",VLOOKUP(V137,'G-7 WaterC'' Data'!$AA$4:$AB$7,2,FALSE)))))</f>
        <v/>
      </c>
      <c r="X137" s="56"/>
      <c r="Y137" s="282" t="str">
        <f>IF(X137="","",IF(AND(X137="N/A - Culvert", C137&lt;&gt;"Culvert"), "Not possible ▲",IF(AND(C137="Culvert",X137&lt;&gt;"N/A - Culvert"),"Not possible ▲",IF(VLOOKUP(X137,'G-7 WaterC'' Data'!$AD$4:$AE$14,2,FALSE)=0,"Enrcoachment Data Missing ⚠",VLOOKUP(X137,'G-7 WaterC'' Data'!$AD$4:$AE$14,2,FALSE)))))</f>
        <v/>
      </c>
      <c r="Z137" s="106"/>
      <c r="AA137" s="282" t="str">
        <f>IF(Z137="","",IF(VLOOKUP(Z137,'G-7 WaterC'' Data'!$AO$4:$BO$7,2,FALSE)=0,"Spatial Data Missing ⚠",VLOOKUP(Z137,'G-7 WaterC'' Data'!$AO$4:$BO$7,2,FALSE)))</f>
        <v/>
      </c>
      <c r="AB137" s="323" t="str">
        <f t="shared" si="11"/>
        <v/>
      </c>
      <c r="AC137" s="323" t="str">
        <f t="shared" si="12"/>
        <v/>
      </c>
      <c r="AD137" s="105"/>
      <c r="AE137" s="968"/>
      <c r="AF137" s="142"/>
      <c r="AG137" s="142"/>
      <c r="AH137" s="964"/>
      <c r="AL137" s="30" t="str">
        <f>IFERROR(INDEX('G-7 WaterC'' Data'!$AZ$3:$AZ$7,MATCH(C137,'G-7 WaterC'' Data'!$AY$3:$AY$7,0)),"")</f>
        <v/>
      </c>
      <c r="AN137" s="30" t="str">
        <f t="shared" si="13"/>
        <v>No</v>
      </c>
    </row>
    <row r="138" spans="2:40" ht="13.8" x14ac:dyDescent="0.25">
      <c r="B138" s="101">
        <v>127</v>
      </c>
      <c r="C138" s="953"/>
      <c r="D138" s="119"/>
      <c r="E138" s="281" t="str">
        <f>IF(C138="","",VLOOKUP(C138,'G-7 WaterC'' Data'!$B$2:$Z$9,2,FALSE))</f>
        <v/>
      </c>
      <c r="F138" s="282" t="str">
        <f>IFERROR(VLOOKUP(E138,'G-7 WaterC'' Data'!$C$4:$D$8,2,FALSE),"")</f>
        <v/>
      </c>
      <c r="G138" s="52"/>
      <c r="H138" s="282" t="str">
        <f>IFERROR(INDEX('G-7 WaterC'' Data'!$H$4:$L$8,MATCH(C138,'G-7 WaterC'' Data'!$B$4:$B$8,0),MATCH(G138,'G-7 WaterC'' Data'!$H$3:$L$3,0)),"")</f>
        <v/>
      </c>
      <c r="I138" s="52"/>
      <c r="J138" s="320" t="str">
        <f>IF(I138="","",IF(VLOOKUP(I138,'G-7 WaterC'' Data'!$AK$4:$AM$6,2,FALSE)=0,"Spatial Data Missing ⚠",VLOOKUP(I138,'G-7 WaterC'' Data'!$AK$4:$AM$6,2,FALSE)))</f>
        <v/>
      </c>
      <c r="K138" s="282" t="str">
        <f>IF(I138="","",IF(VLOOKUP(I138,'G-7 WaterC'' Data'!$AK$4:$AM$6,3,FALSE)=0,"Spatial Data Missing ⚠",VLOOKUP(I138,'G-7 WaterC'' Data'!$AK$4:$AM$6,3,FALSE)))</f>
        <v/>
      </c>
      <c r="L138" s="382" t="str">
        <f>IFERROR(INDEX('G-7 WaterC'' Data'!$O$3:$O$7,MATCH(G138,'G-7 WaterC'' Data'!$N$3:$N$7,0)),"")</f>
        <v/>
      </c>
      <c r="M138" s="53"/>
      <c r="N138" s="137"/>
      <c r="O138" s="289" t="str">
        <f t="shared" si="7"/>
        <v/>
      </c>
      <c r="P138" s="302" t="str">
        <f t="shared" si="8"/>
        <v/>
      </c>
      <c r="Q138" s="340" t="str">
        <f>IFERROR(IF(P138="Check Data ⚠","Check Data ⚠",VLOOKUP(P138,'G-4 Temporal multipliers'!$A$4:$C$37,3,FALSE)),"")</f>
        <v/>
      </c>
      <c r="R138" s="281" t="str">
        <f>IF(C138="","",VLOOKUP(C138,'G-7 WaterC'' Data'!$B$4:$G$8,4,FALSE))</f>
        <v/>
      </c>
      <c r="S138" s="289" t="str">
        <f t="shared" si="9"/>
        <v/>
      </c>
      <c r="T138" s="320" t="str">
        <f t="shared" si="10"/>
        <v/>
      </c>
      <c r="U138" s="282" t="str">
        <f>IF(C138="","",VLOOKUP(T138,'G-3 Multipliers'!$P$2:$Q$6,2,FALSE))</f>
        <v/>
      </c>
      <c r="V138" s="106"/>
      <c r="W138" s="282" t="str">
        <f>IF(V138="","",IF(AND(V138="N/A - Culvert",C138&lt;&gt;"Culvert"),"Not possible ▲",IF(AND(C138="Culvert",V138&lt;&gt;"N/A - Culvert"),"Not possible ▲",IF(VLOOKUP(V138,'G-7 WaterC'' Data'!$AA$4:$AB$7,2,FALSE)=0,"Spatial Data Missing ⚠",VLOOKUP(V138,'G-7 WaterC'' Data'!$AA$4:$AB$7,2,FALSE)))))</f>
        <v/>
      </c>
      <c r="X138" s="56"/>
      <c r="Y138" s="282" t="str">
        <f>IF(X138="","",IF(AND(X138="N/A - Culvert", C138&lt;&gt;"Culvert"), "Not possible ▲",IF(AND(C138="Culvert",X138&lt;&gt;"N/A - Culvert"),"Not possible ▲",IF(VLOOKUP(X138,'G-7 WaterC'' Data'!$AD$4:$AE$14,2,FALSE)=0,"Enrcoachment Data Missing ⚠",VLOOKUP(X138,'G-7 WaterC'' Data'!$AD$4:$AE$14,2,FALSE)))))</f>
        <v/>
      </c>
      <c r="Z138" s="106"/>
      <c r="AA138" s="282" t="str">
        <f>IF(Z138="","",IF(VLOOKUP(Z138,'G-7 WaterC'' Data'!$AO$4:$BO$7,2,FALSE)=0,"Spatial Data Missing ⚠",VLOOKUP(Z138,'G-7 WaterC'' Data'!$AO$4:$BO$7,2,FALSE)))</f>
        <v/>
      </c>
      <c r="AB138" s="323" t="str">
        <f t="shared" si="11"/>
        <v/>
      </c>
      <c r="AC138" s="323" t="str">
        <f t="shared" si="12"/>
        <v/>
      </c>
      <c r="AD138" s="105"/>
      <c r="AE138" s="968"/>
      <c r="AF138" s="142"/>
      <c r="AG138" s="142"/>
      <c r="AH138" s="964"/>
      <c r="AL138" s="30" t="str">
        <f>IFERROR(INDEX('G-7 WaterC'' Data'!$AZ$3:$AZ$7,MATCH(C138,'G-7 WaterC'' Data'!$AY$3:$AY$7,0)),"")</f>
        <v/>
      </c>
      <c r="AN138" s="30" t="str">
        <f t="shared" si="13"/>
        <v>No</v>
      </c>
    </row>
    <row r="139" spans="2:40" ht="13.8" x14ac:dyDescent="0.25">
      <c r="B139" s="101">
        <v>128</v>
      </c>
      <c r="C139" s="953"/>
      <c r="D139" s="119"/>
      <c r="E139" s="281" t="str">
        <f>IF(C139="","",VLOOKUP(C139,'G-7 WaterC'' Data'!$B$2:$Z$9,2,FALSE))</f>
        <v/>
      </c>
      <c r="F139" s="282" t="str">
        <f>IFERROR(VLOOKUP(E139,'G-7 WaterC'' Data'!$C$4:$D$8,2,FALSE),"")</f>
        <v/>
      </c>
      <c r="G139" s="52"/>
      <c r="H139" s="282" t="str">
        <f>IFERROR(INDEX('G-7 WaterC'' Data'!$H$4:$L$8,MATCH(C139,'G-7 WaterC'' Data'!$B$4:$B$8,0),MATCH(G139,'G-7 WaterC'' Data'!$H$3:$L$3,0)),"")</f>
        <v/>
      </c>
      <c r="I139" s="52"/>
      <c r="J139" s="320" t="str">
        <f>IF(I139="","",IF(VLOOKUP(I139,'G-7 WaterC'' Data'!$AK$4:$AM$6,2,FALSE)=0,"Spatial Data Missing ⚠",VLOOKUP(I139,'G-7 WaterC'' Data'!$AK$4:$AM$6,2,FALSE)))</f>
        <v/>
      </c>
      <c r="K139" s="282" t="str">
        <f>IF(I139="","",IF(VLOOKUP(I139,'G-7 WaterC'' Data'!$AK$4:$AM$6,3,FALSE)=0,"Spatial Data Missing ⚠",VLOOKUP(I139,'G-7 WaterC'' Data'!$AK$4:$AM$6,3,FALSE)))</f>
        <v/>
      </c>
      <c r="L139" s="382" t="str">
        <f>IFERROR(INDEX('G-7 WaterC'' Data'!$O$3:$O$7,MATCH(G139,'G-7 WaterC'' Data'!$N$3:$N$7,0)),"")</f>
        <v/>
      </c>
      <c r="M139" s="53"/>
      <c r="N139" s="137"/>
      <c r="O139" s="289" t="str">
        <f t="shared" si="7"/>
        <v/>
      </c>
      <c r="P139" s="302" t="str">
        <f t="shared" si="8"/>
        <v/>
      </c>
      <c r="Q139" s="340" t="str">
        <f>IFERROR(IF(P139="Check Data ⚠","Check Data ⚠",VLOOKUP(P139,'G-4 Temporal multipliers'!$A$4:$C$37,3,FALSE)),"")</f>
        <v/>
      </c>
      <c r="R139" s="281" t="str">
        <f>IF(C139="","",VLOOKUP(C139,'G-7 WaterC'' Data'!$B$4:$G$8,4,FALSE))</f>
        <v/>
      </c>
      <c r="S139" s="289" t="str">
        <f t="shared" si="9"/>
        <v/>
      </c>
      <c r="T139" s="320" t="str">
        <f t="shared" si="10"/>
        <v/>
      </c>
      <c r="U139" s="282" t="str">
        <f>IF(C139="","",VLOOKUP(T139,'G-3 Multipliers'!$P$2:$Q$6,2,FALSE))</f>
        <v/>
      </c>
      <c r="V139" s="106"/>
      <c r="W139" s="282" t="str">
        <f>IF(V139="","",IF(AND(V139="N/A - Culvert",C139&lt;&gt;"Culvert"),"Not possible ▲",IF(AND(C139="Culvert",V139&lt;&gt;"N/A - Culvert"),"Not possible ▲",IF(VLOOKUP(V139,'G-7 WaterC'' Data'!$AA$4:$AB$7,2,FALSE)=0,"Spatial Data Missing ⚠",VLOOKUP(V139,'G-7 WaterC'' Data'!$AA$4:$AB$7,2,FALSE)))))</f>
        <v/>
      </c>
      <c r="X139" s="56"/>
      <c r="Y139" s="282" t="str">
        <f>IF(X139="","",IF(AND(X139="N/A - Culvert", C139&lt;&gt;"Culvert"), "Not possible ▲",IF(AND(C139="Culvert",X139&lt;&gt;"N/A - Culvert"),"Not possible ▲",IF(VLOOKUP(X139,'G-7 WaterC'' Data'!$AD$4:$AE$14,2,FALSE)=0,"Enrcoachment Data Missing ⚠",VLOOKUP(X139,'G-7 WaterC'' Data'!$AD$4:$AE$14,2,FALSE)))))</f>
        <v/>
      </c>
      <c r="Z139" s="106"/>
      <c r="AA139" s="282" t="str">
        <f>IF(Z139="","",IF(VLOOKUP(Z139,'G-7 WaterC'' Data'!$AO$4:$BO$7,2,FALSE)=0,"Spatial Data Missing ⚠",VLOOKUP(Z139,'G-7 WaterC'' Data'!$AO$4:$BO$7,2,FALSE)))</f>
        <v/>
      </c>
      <c r="AB139" s="323" t="str">
        <f t="shared" si="11"/>
        <v/>
      </c>
      <c r="AC139" s="323" t="str">
        <f t="shared" si="12"/>
        <v/>
      </c>
      <c r="AD139" s="105"/>
      <c r="AE139" s="968"/>
      <c r="AF139" s="142"/>
      <c r="AG139" s="142"/>
      <c r="AH139" s="964"/>
      <c r="AL139" s="30" t="str">
        <f>IFERROR(INDEX('G-7 WaterC'' Data'!$AZ$3:$AZ$7,MATCH(C139,'G-7 WaterC'' Data'!$AY$3:$AY$7,0)),"")</f>
        <v/>
      </c>
      <c r="AN139" s="30" t="str">
        <f t="shared" si="13"/>
        <v>No</v>
      </c>
    </row>
    <row r="140" spans="2:40" ht="13.8" x14ac:dyDescent="0.25">
      <c r="B140" s="101">
        <v>129</v>
      </c>
      <c r="C140" s="953"/>
      <c r="D140" s="119"/>
      <c r="E140" s="281" t="str">
        <f>IF(C140="","",VLOOKUP(C140,'G-7 WaterC'' Data'!$B$2:$Z$9,2,FALSE))</f>
        <v/>
      </c>
      <c r="F140" s="282" t="str">
        <f>IFERROR(VLOOKUP(E140,'G-7 WaterC'' Data'!$C$4:$D$8,2,FALSE),"")</f>
        <v/>
      </c>
      <c r="G140" s="52"/>
      <c r="H140" s="282" t="str">
        <f>IFERROR(INDEX('G-7 WaterC'' Data'!$H$4:$L$8,MATCH(C140,'G-7 WaterC'' Data'!$B$4:$B$8,0),MATCH(G140,'G-7 WaterC'' Data'!$H$3:$L$3,0)),"")</f>
        <v/>
      </c>
      <c r="I140" s="52"/>
      <c r="J140" s="320" t="str">
        <f>IF(I140="","",IF(VLOOKUP(I140,'G-7 WaterC'' Data'!$AK$4:$AM$6,2,FALSE)=0,"Spatial Data Missing ⚠",VLOOKUP(I140,'G-7 WaterC'' Data'!$AK$4:$AM$6,2,FALSE)))</f>
        <v/>
      </c>
      <c r="K140" s="282" t="str">
        <f>IF(I140="","",IF(VLOOKUP(I140,'G-7 WaterC'' Data'!$AK$4:$AM$6,3,FALSE)=0,"Spatial Data Missing ⚠",VLOOKUP(I140,'G-7 WaterC'' Data'!$AK$4:$AM$6,3,FALSE)))</f>
        <v/>
      </c>
      <c r="L140" s="382" t="str">
        <f>IFERROR(INDEX('G-7 WaterC'' Data'!$O$3:$O$7,MATCH(G140,'G-7 WaterC'' Data'!$N$3:$N$7,0)),"")</f>
        <v/>
      </c>
      <c r="M140" s="53"/>
      <c r="N140" s="137"/>
      <c r="O140" s="289" t="str">
        <f t="shared" si="7"/>
        <v/>
      </c>
      <c r="P140" s="302" t="str">
        <f t="shared" si="8"/>
        <v/>
      </c>
      <c r="Q140" s="340" t="str">
        <f>IFERROR(IF(P140="Check Data ⚠","Check Data ⚠",VLOOKUP(P140,'G-4 Temporal multipliers'!$A$4:$C$37,3,FALSE)),"")</f>
        <v/>
      </c>
      <c r="R140" s="281" t="str">
        <f>IF(C140="","",VLOOKUP(C140,'G-7 WaterC'' Data'!$B$4:$G$8,4,FALSE))</f>
        <v/>
      </c>
      <c r="S140" s="289" t="str">
        <f t="shared" si="9"/>
        <v/>
      </c>
      <c r="T140" s="320" t="str">
        <f t="shared" si="10"/>
        <v/>
      </c>
      <c r="U140" s="282" t="str">
        <f>IF(C140="","",VLOOKUP(T140,'G-3 Multipliers'!$P$2:$Q$6,2,FALSE))</f>
        <v/>
      </c>
      <c r="V140" s="106"/>
      <c r="W140" s="282" t="str">
        <f>IF(V140="","",IF(AND(V140="N/A - Culvert",C140&lt;&gt;"Culvert"),"Not possible ▲",IF(AND(C140="Culvert",V140&lt;&gt;"N/A - Culvert"),"Not possible ▲",IF(VLOOKUP(V140,'G-7 WaterC'' Data'!$AA$4:$AB$7,2,FALSE)=0,"Spatial Data Missing ⚠",VLOOKUP(V140,'G-7 WaterC'' Data'!$AA$4:$AB$7,2,FALSE)))))</f>
        <v/>
      </c>
      <c r="X140" s="56"/>
      <c r="Y140" s="282" t="str">
        <f>IF(X140="","",IF(AND(X140="N/A - Culvert", C140&lt;&gt;"Culvert"), "Not possible ▲",IF(AND(C140="Culvert",X140&lt;&gt;"N/A - Culvert"),"Not possible ▲",IF(VLOOKUP(X140,'G-7 WaterC'' Data'!$AD$4:$AE$14,2,FALSE)=0,"Enrcoachment Data Missing ⚠",VLOOKUP(X140,'G-7 WaterC'' Data'!$AD$4:$AE$14,2,FALSE)))))</f>
        <v/>
      </c>
      <c r="Z140" s="106"/>
      <c r="AA140" s="282" t="str">
        <f>IF(Z140="","",IF(VLOOKUP(Z140,'G-7 WaterC'' Data'!$AO$4:$BO$7,2,FALSE)=0,"Spatial Data Missing ⚠",VLOOKUP(Z140,'G-7 WaterC'' Data'!$AO$4:$BO$7,2,FALSE)))</f>
        <v/>
      </c>
      <c r="AB140" s="323" t="str">
        <f t="shared" si="11"/>
        <v/>
      </c>
      <c r="AC140" s="323" t="str">
        <f t="shared" si="12"/>
        <v/>
      </c>
      <c r="AD140" s="105"/>
      <c r="AE140" s="968"/>
      <c r="AF140" s="142"/>
      <c r="AG140" s="142"/>
      <c r="AH140" s="964"/>
      <c r="AL140" s="30" t="str">
        <f>IFERROR(INDEX('G-7 WaterC'' Data'!$AZ$3:$AZ$7,MATCH(C140,'G-7 WaterC'' Data'!$AY$3:$AY$7,0)),"")</f>
        <v/>
      </c>
      <c r="AN140" s="30" t="str">
        <f t="shared" si="13"/>
        <v>No</v>
      </c>
    </row>
    <row r="141" spans="2:40" ht="13.8" x14ac:dyDescent="0.25">
      <c r="B141" s="101">
        <v>130</v>
      </c>
      <c r="C141" s="953"/>
      <c r="D141" s="119"/>
      <c r="E141" s="281" t="str">
        <f>IF(C141="","",VLOOKUP(C141,'G-7 WaterC'' Data'!$B$2:$Z$9,2,FALSE))</f>
        <v/>
      </c>
      <c r="F141" s="282" t="str">
        <f>IFERROR(VLOOKUP(E141,'G-7 WaterC'' Data'!$C$4:$D$8,2,FALSE),"")</f>
        <v/>
      </c>
      <c r="G141" s="52"/>
      <c r="H141" s="282" t="str">
        <f>IFERROR(INDEX('G-7 WaterC'' Data'!$H$4:$L$8,MATCH(C141,'G-7 WaterC'' Data'!$B$4:$B$8,0),MATCH(G141,'G-7 WaterC'' Data'!$H$3:$L$3,0)),"")</f>
        <v/>
      </c>
      <c r="I141" s="52"/>
      <c r="J141" s="320" t="str">
        <f>IF(I141="","",IF(VLOOKUP(I141,'G-7 WaterC'' Data'!$AK$4:$AM$6,2,FALSE)=0,"Spatial Data Missing ⚠",VLOOKUP(I141,'G-7 WaterC'' Data'!$AK$4:$AM$6,2,FALSE)))</f>
        <v/>
      </c>
      <c r="K141" s="282" t="str">
        <f>IF(I141="","",IF(VLOOKUP(I141,'G-7 WaterC'' Data'!$AK$4:$AM$6,3,FALSE)=0,"Spatial Data Missing ⚠",VLOOKUP(I141,'G-7 WaterC'' Data'!$AK$4:$AM$6,3,FALSE)))</f>
        <v/>
      </c>
      <c r="L141" s="382" t="str">
        <f>IFERROR(INDEX('G-7 WaterC'' Data'!$O$3:$O$7,MATCH(G141,'G-7 WaterC'' Data'!$N$3:$N$7,0)),"")</f>
        <v/>
      </c>
      <c r="M141" s="53"/>
      <c r="N141" s="137"/>
      <c r="O141" s="289" t="str">
        <f t="shared" ref="O141:O204" si="14">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02" t="str">
        <f t="shared" ref="P141:P204" si="15">IF(O141="Error -both advance and delayed habitat creation ▲","Check Data ⚠",IF(L141="","",IF(M141="30+",0,IF(N141="30+","30+",IF(L141+N141&gt;30,"30+",IF(L141+N141-M141&gt;0,L141+N141-M141,IF(L141-M141&lt;0,0,L141+N141-M141)))))))</f>
        <v/>
      </c>
      <c r="Q141" s="340" t="str">
        <f>IFERROR(IF(P141="Check Data ⚠","Check Data ⚠",VLOOKUP(P141,'G-4 Temporal multipliers'!$A$4:$C$37,3,FALSE)),"")</f>
        <v/>
      </c>
      <c r="R141" s="281" t="str">
        <f>IF(C141="","",VLOOKUP(C141,'G-7 WaterC'' Data'!$B$4:$G$8,4,FALSE))</f>
        <v/>
      </c>
      <c r="S141" s="289" t="str">
        <f t="shared" ref="S141:S204" si="16">IF(C141="","",IF(P141="Check Data ⚠","Check Data ⚠",IF(G141="","",IF($O141="Check details - Is there evidence that habitat has reached target condition? ⚠","No - Low Difficulty - only applicable if all habitat created before losses ⚠","Standard difficulty applied"))))</f>
        <v/>
      </c>
      <c r="T141" s="320" t="str">
        <f t="shared" ref="T141:T204" si="17">(IF(AND(S141="Standard difficulty applied",L141&gt;M141),R141,IF(AND(S141="No - Low Difficulty - only applicable if all habitat created before losses ⚠",M141&gt;=L141),"Low",R141)))</f>
        <v/>
      </c>
      <c r="U141" s="282" t="str">
        <f>IF(C141="","",VLOOKUP(T141,'G-3 Multipliers'!$P$2:$Q$6,2,FALSE))</f>
        <v/>
      </c>
      <c r="V141" s="106"/>
      <c r="W141" s="282" t="str">
        <f>IF(V141="","",IF(AND(V141="N/A - Culvert",C141&lt;&gt;"Culvert"),"Not possible ▲",IF(AND(C141="Culvert",V141&lt;&gt;"N/A - Culvert"),"Not possible ▲",IF(VLOOKUP(V141,'G-7 WaterC'' Data'!$AA$4:$AB$7,2,FALSE)=0,"Spatial Data Missing ⚠",VLOOKUP(V141,'G-7 WaterC'' Data'!$AA$4:$AB$7,2,FALSE)))))</f>
        <v/>
      </c>
      <c r="X141" s="56"/>
      <c r="Y141" s="282" t="str">
        <f>IF(X141="","",IF(AND(X141="N/A - Culvert", C141&lt;&gt;"Culvert"), "Not possible ▲",IF(AND(C141="Culvert",X141&lt;&gt;"N/A - Culvert"),"Not possible ▲",IF(VLOOKUP(X141,'G-7 WaterC'' Data'!$AD$4:$AE$14,2,FALSE)=0,"Enrcoachment Data Missing ⚠",VLOOKUP(X141,'G-7 WaterC'' Data'!$AD$4:$AE$14,2,FALSE)))))</f>
        <v/>
      </c>
      <c r="Z141" s="106"/>
      <c r="AA141" s="282" t="str">
        <f>IF(Z141="","",IF(VLOOKUP(Z141,'G-7 WaterC'' Data'!$AO$4:$BO$7,2,FALSE)=0,"Spatial Data Missing ⚠",VLOOKUP(Z141,'G-7 WaterC'' Data'!$AO$4:$BO$7,2,FALSE)))</f>
        <v/>
      </c>
      <c r="AB141" s="323" t="str">
        <f t="shared" ref="AB141:AB204" si="18">IFERROR(D141*F141*H141*K141*Q141*U141*W141*Y141*AA141,"")</f>
        <v/>
      </c>
      <c r="AC141" s="323" t="str">
        <f t="shared" ref="AC141:AC204" si="19">IFERROR(IF(AND(Z141&lt;&gt;"",AG141=""),"Off-site reference required ▲",(IF(Z141="","",D141*F141*H141*K141*Q141*U141*W141*Y141))),"")</f>
        <v/>
      </c>
      <c r="AD141" s="105"/>
      <c r="AE141" s="968"/>
      <c r="AF141" s="142"/>
      <c r="AG141" s="142"/>
      <c r="AH141" s="964"/>
      <c r="AL141" s="30" t="str">
        <f>IFERROR(INDEX('G-7 WaterC'' Data'!$AZ$3:$AZ$7,MATCH(C141,'G-7 WaterC'' Data'!$AY$3:$AY$7,0)),"")</f>
        <v/>
      </c>
      <c r="AN141" s="30" t="str">
        <f t="shared" ref="AN141:AN204" si="20">IF(AND(C141="Ditches",(OR(G141="Fairly Poor",G141="Fairly Good"))), "Yes", "No")</f>
        <v>No</v>
      </c>
    </row>
    <row r="142" spans="2:40" ht="13.8" x14ac:dyDescent="0.25">
      <c r="B142" s="101">
        <v>131</v>
      </c>
      <c r="C142" s="953"/>
      <c r="D142" s="119"/>
      <c r="E142" s="281" t="str">
        <f>IF(C142="","",VLOOKUP(C142,'G-7 WaterC'' Data'!$B$2:$Z$9,2,FALSE))</f>
        <v/>
      </c>
      <c r="F142" s="282" t="str">
        <f>IFERROR(VLOOKUP(E142,'G-7 WaterC'' Data'!$C$4:$D$8,2,FALSE),"")</f>
        <v/>
      </c>
      <c r="G142" s="52"/>
      <c r="H142" s="282" t="str">
        <f>IFERROR(INDEX('G-7 WaterC'' Data'!$H$4:$L$8,MATCH(C142,'G-7 WaterC'' Data'!$B$4:$B$8,0),MATCH(G142,'G-7 WaterC'' Data'!$H$3:$L$3,0)),"")</f>
        <v/>
      </c>
      <c r="I142" s="52"/>
      <c r="J142" s="320" t="str">
        <f>IF(I142="","",IF(VLOOKUP(I142,'G-7 WaterC'' Data'!$AK$4:$AM$6,2,FALSE)=0,"Spatial Data Missing ⚠",VLOOKUP(I142,'G-7 WaterC'' Data'!$AK$4:$AM$6,2,FALSE)))</f>
        <v/>
      </c>
      <c r="K142" s="282" t="str">
        <f>IF(I142="","",IF(VLOOKUP(I142,'G-7 WaterC'' Data'!$AK$4:$AM$6,3,FALSE)=0,"Spatial Data Missing ⚠",VLOOKUP(I142,'G-7 WaterC'' Data'!$AK$4:$AM$6,3,FALSE)))</f>
        <v/>
      </c>
      <c r="L142" s="382" t="str">
        <f>IFERROR(INDEX('G-7 WaterC'' Data'!$O$3:$O$7,MATCH(G142,'G-7 WaterC'' Data'!$N$3:$N$7,0)),"")</f>
        <v/>
      </c>
      <c r="M142" s="53"/>
      <c r="N142" s="137"/>
      <c r="O142" s="289" t="str">
        <f t="shared" si="14"/>
        <v/>
      </c>
      <c r="P142" s="302" t="str">
        <f t="shared" si="15"/>
        <v/>
      </c>
      <c r="Q142" s="340" t="str">
        <f>IFERROR(IF(P142="Check Data ⚠","Check Data ⚠",VLOOKUP(P142,'G-4 Temporal multipliers'!$A$4:$C$37,3,FALSE)),"")</f>
        <v/>
      </c>
      <c r="R142" s="281" t="str">
        <f>IF(C142="","",VLOOKUP(C142,'G-7 WaterC'' Data'!$B$4:$G$8,4,FALSE))</f>
        <v/>
      </c>
      <c r="S142" s="289" t="str">
        <f t="shared" si="16"/>
        <v/>
      </c>
      <c r="T142" s="320" t="str">
        <f t="shared" si="17"/>
        <v/>
      </c>
      <c r="U142" s="282" t="str">
        <f>IF(C142="","",VLOOKUP(T142,'G-3 Multipliers'!$P$2:$Q$6,2,FALSE))</f>
        <v/>
      </c>
      <c r="V142" s="106"/>
      <c r="W142" s="282" t="str">
        <f>IF(V142="","",IF(AND(V142="N/A - Culvert",C142&lt;&gt;"Culvert"),"Not possible ▲",IF(AND(C142="Culvert",V142&lt;&gt;"N/A - Culvert"),"Not possible ▲",IF(VLOOKUP(V142,'G-7 WaterC'' Data'!$AA$4:$AB$7,2,FALSE)=0,"Spatial Data Missing ⚠",VLOOKUP(V142,'G-7 WaterC'' Data'!$AA$4:$AB$7,2,FALSE)))))</f>
        <v/>
      </c>
      <c r="X142" s="56"/>
      <c r="Y142" s="282" t="str">
        <f>IF(X142="","",IF(AND(X142="N/A - Culvert", C142&lt;&gt;"Culvert"), "Not possible ▲",IF(AND(C142="Culvert",X142&lt;&gt;"N/A - Culvert"),"Not possible ▲",IF(VLOOKUP(X142,'G-7 WaterC'' Data'!$AD$4:$AE$14,2,FALSE)=0,"Enrcoachment Data Missing ⚠",VLOOKUP(X142,'G-7 WaterC'' Data'!$AD$4:$AE$14,2,FALSE)))))</f>
        <v/>
      </c>
      <c r="Z142" s="106"/>
      <c r="AA142" s="282" t="str">
        <f>IF(Z142="","",IF(VLOOKUP(Z142,'G-7 WaterC'' Data'!$AO$4:$BO$7,2,FALSE)=0,"Spatial Data Missing ⚠",VLOOKUP(Z142,'G-7 WaterC'' Data'!$AO$4:$BO$7,2,FALSE)))</f>
        <v/>
      </c>
      <c r="AB142" s="323" t="str">
        <f t="shared" si="18"/>
        <v/>
      </c>
      <c r="AC142" s="323" t="str">
        <f t="shared" si="19"/>
        <v/>
      </c>
      <c r="AD142" s="105"/>
      <c r="AE142" s="968"/>
      <c r="AF142" s="142"/>
      <c r="AG142" s="142"/>
      <c r="AH142" s="964"/>
      <c r="AL142" s="30" t="str">
        <f>IFERROR(INDEX('G-7 WaterC'' Data'!$AZ$3:$AZ$7,MATCH(C142,'G-7 WaterC'' Data'!$AY$3:$AY$7,0)),"")</f>
        <v/>
      </c>
      <c r="AN142" s="30" t="str">
        <f t="shared" si="20"/>
        <v>No</v>
      </c>
    </row>
    <row r="143" spans="2:40" ht="13.8" x14ac:dyDescent="0.25">
      <c r="B143" s="101">
        <v>132</v>
      </c>
      <c r="C143" s="953"/>
      <c r="D143" s="119"/>
      <c r="E143" s="281" t="str">
        <f>IF(C143="","",VLOOKUP(C143,'G-7 WaterC'' Data'!$B$2:$Z$9,2,FALSE))</f>
        <v/>
      </c>
      <c r="F143" s="282" t="str">
        <f>IFERROR(VLOOKUP(E143,'G-7 WaterC'' Data'!$C$4:$D$8,2,FALSE),"")</f>
        <v/>
      </c>
      <c r="G143" s="52"/>
      <c r="H143" s="282" t="str">
        <f>IFERROR(INDEX('G-7 WaterC'' Data'!$H$4:$L$8,MATCH(C143,'G-7 WaterC'' Data'!$B$4:$B$8,0),MATCH(G143,'G-7 WaterC'' Data'!$H$3:$L$3,0)),"")</f>
        <v/>
      </c>
      <c r="I143" s="52"/>
      <c r="J143" s="320" t="str">
        <f>IF(I143="","",IF(VLOOKUP(I143,'G-7 WaterC'' Data'!$AK$4:$AM$6,2,FALSE)=0,"Spatial Data Missing ⚠",VLOOKUP(I143,'G-7 WaterC'' Data'!$AK$4:$AM$6,2,FALSE)))</f>
        <v/>
      </c>
      <c r="K143" s="282" t="str">
        <f>IF(I143="","",IF(VLOOKUP(I143,'G-7 WaterC'' Data'!$AK$4:$AM$6,3,FALSE)=0,"Spatial Data Missing ⚠",VLOOKUP(I143,'G-7 WaterC'' Data'!$AK$4:$AM$6,3,FALSE)))</f>
        <v/>
      </c>
      <c r="L143" s="382" t="str">
        <f>IFERROR(INDEX('G-7 WaterC'' Data'!$O$3:$O$7,MATCH(G143,'G-7 WaterC'' Data'!$N$3:$N$7,0)),"")</f>
        <v/>
      </c>
      <c r="M143" s="53"/>
      <c r="N143" s="137"/>
      <c r="O143" s="289" t="str">
        <f t="shared" si="14"/>
        <v/>
      </c>
      <c r="P143" s="302" t="str">
        <f t="shared" si="15"/>
        <v/>
      </c>
      <c r="Q143" s="340" t="str">
        <f>IFERROR(IF(P143="Check Data ⚠","Check Data ⚠",VLOOKUP(P143,'G-4 Temporal multipliers'!$A$4:$C$37,3,FALSE)),"")</f>
        <v/>
      </c>
      <c r="R143" s="281" t="str">
        <f>IF(C143="","",VLOOKUP(C143,'G-7 WaterC'' Data'!$B$4:$G$8,4,FALSE))</f>
        <v/>
      </c>
      <c r="S143" s="289" t="str">
        <f t="shared" si="16"/>
        <v/>
      </c>
      <c r="T143" s="320" t="str">
        <f t="shared" si="17"/>
        <v/>
      </c>
      <c r="U143" s="282" t="str">
        <f>IF(C143="","",VLOOKUP(T143,'G-3 Multipliers'!$P$2:$Q$6,2,FALSE))</f>
        <v/>
      </c>
      <c r="V143" s="106"/>
      <c r="W143" s="282" t="str">
        <f>IF(V143="","",IF(AND(V143="N/A - Culvert",C143&lt;&gt;"Culvert"),"Not possible ▲",IF(AND(C143="Culvert",V143&lt;&gt;"N/A - Culvert"),"Not possible ▲",IF(VLOOKUP(V143,'G-7 WaterC'' Data'!$AA$4:$AB$7,2,FALSE)=0,"Spatial Data Missing ⚠",VLOOKUP(V143,'G-7 WaterC'' Data'!$AA$4:$AB$7,2,FALSE)))))</f>
        <v/>
      </c>
      <c r="X143" s="56"/>
      <c r="Y143" s="282" t="str">
        <f>IF(X143="","",IF(AND(X143="N/A - Culvert", C143&lt;&gt;"Culvert"), "Not possible ▲",IF(AND(C143="Culvert",X143&lt;&gt;"N/A - Culvert"),"Not possible ▲",IF(VLOOKUP(X143,'G-7 WaterC'' Data'!$AD$4:$AE$14,2,FALSE)=0,"Enrcoachment Data Missing ⚠",VLOOKUP(X143,'G-7 WaterC'' Data'!$AD$4:$AE$14,2,FALSE)))))</f>
        <v/>
      </c>
      <c r="Z143" s="106"/>
      <c r="AA143" s="282" t="str">
        <f>IF(Z143="","",IF(VLOOKUP(Z143,'G-7 WaterC'' Data'!$AO$4:$BO$7,2,FALSE)=0,"Spatial Data Missing ⚠",VLOOKUP(Z143,'G-7 WaterC'' Data'!$AO$4:$BO$7,2,FALSE)))</f>
        <v/>
      </c>
      <c r="AB143" s="323" t="str">
        <f t="shared" si="18"/>
        <v/>
      </c>
      <c r="AC143" s="323" t="str">
        <f t="shared" si="19"/>
        <v/>
      </c>
      <c r="AD143" s="105"/>
      <c r="AE143" s="968"/>
      <c r="AF143" s="142"/>
      <c r="AG143" s="142"/>
      <c r="AH143" s="964"/>
      <c r="AL143" s="30" t="str">
        <f>IFERROR(INDEX('G-7 WaterC'' Data'!$AZ$3:$AZ$7,MATCH(C143,'G-7 WaterC'' Data'!$AY$3:$AY$7,0)),"")</f>
        <v/>
      </c>
      <c r="AN143" s="30" t="str">
        <f t="shared" si="20"/>
        <v>No</v>
      </c>
    </row>
    <row r="144" spans="2:40" ht="13.8" x14ac:dyDescent="0.25">
      <c r="B144" s="101">
        <v>133</v>
      </c>
      <c r="C144" s="953"/>
      <c r="D144" s="119"/>
      <c r="E144" s="281" t="str">
        <f>IF(C144="","",VLOOKUP(C144,'G-7 WaterC'' Data'!$B$2:$Z$9,2,FALSE))</f>
        <v/>
      </c>
      <c r="F144" s="282" t="str">
        <f>IFERROR(VLOOKUP(E144,'G-7 WaterC'' Data'!$C$4:$D$8,2,FALSE),"")</f>
        <v/>
      </c>
      <c r="G144" s="52"/>
      <c r="H144" s="282" t="str">
        <f>IFERROR(INDEX('G-7 WaterC'' Data'!$H$4:$L$8,MATCH(C144,'G-7 WaterC'' Data'!$B$4:$B$8,0),MATCH(G144,'G-7 WaterC'' Data'!$H$3:$L$3,0)),"")</f>
        <v/>
      </c>
      <c r="I144" s="52"/>
      <c r="J144" s="320" t="str">
        <f>IF(I144="","",IF(VLOOKUP(I144,'G-7 WaterC'' Data'!$AK$4:$AM$6,2,FALSE)=0,"Spatial Data Missing ⚠",VLOOKUP(I144,'G-7 WaterC'' Data'!$AK$4:$AM$6,2,FALSE)))</f>
        <v/>
      </c>
      <c r="K144" s="282" t="str">
        <f>IF(I144="","",IF(VLOOKUP(I144,'G-7 WaterC'' Data'!$AK$4:$AM$6,3,FALSE)=0,"Spatial Data Missing ⚠",VLOOKUP(I144,'G-7 WaterC'' Data'!$AK$4:$AM$6,3,FALSE)))</f>
        <v/>
      </c>
      <c r="L144" s="382" t="str">
        <f>IFERROR(INDEX('G-7 WaterC'' Data'!$O$3:$O$7,MATCH(G144,'G-7 WaterC'' Data'!$N$3:$N$7,0)),"")</f>
        <v/>
      </c>
      <c r="M144" s="53"/>
      <c r="N144" s="137"/>
      <c r="O144" s="289" t="str">
        <f t="shared" si="14"/>
        <v/>
      </c>
      <c r="P144" s="302" t="str">
        <f t="shared" si="15"/>
        <v/>
      </c>
      <c r="Q144" s="340" t="str">
        <f>IFERROR(IF(P144="Check Data ⚠","Check Data ⚠",VLOOKUP(P144,'G-4 Temporal multipliers'!$A$4:$C$37,3,FALSE)),"")</f>
        <v/>
      </c>
      <c r="R144" s="281" t="str">
        <f>IF(C144="","",VLOOKUP(C144,'G-7 WaterC'' Data'!$B$4:$G$8,4,FALSE))</f>
        <v/>
      </c>
      <c r="S144" s="289" t="str">
        <f t="shared" si="16"/>
        <v/>
      </c>
      <c r="T144" s="320" t="str">
        <f t="shared" si="17"/>
        <v/>
      </c>
      <c r="U144" s="282" t="str">
        <f>IF(C144="","",VLOOKUP(T144,'G-3 Multipliers'!$P$2:$Q$6,2,FALSE))</f>
        <v/>
      </c>
      <c r="V144" s="106"/>
      <c r="W144" s="282" t="str">
        <f>IF(V144="","",IF(AND(V144="N/A - Culvert",C144&lt;&gt;"Culvert"),"Not possible ▲",IF(AND(C144="Culvert",V144&lt;&gt;"N/A - Culvert"),"Not possible ▲",IF(VLOOKUP(V144,'G-7 WaterC'' Data'!$AA$4:$AB$7,2,FALSE)=0,"Spatial Data Missing ⚠",VLOOKUP(V144,'G-7 WaterC'' Data'!$AA$4:$AB$7,2,FALSE)))))</f>
        <v/>
      </c>
      <c r="X144" s="56"/>
      <c r="Y144" s="282" t="str">
        <f>IF(X144="","",IF(AND(X144="N/A - Culvert", C144&lt;&gt;"Culvert"), "Not possible ▲",IF(AND(C144="Culvert",X144&lt;&gt;"N/A - Culvert"),"Not possible ▲",IF(VLOOKUP(X144,'G-7 WaterC'' Data'!$AD$4:$AE$14,2,FALSE)=0,"Enrcoachment Data Missing ⚠",VLOOKUP(X144,'G-7 WaterC'' Data'!$AD$4:$AE$14,2,FALSE)))))</f>
        <v/>
      </c>
      <c r="Z144" s="106"/>
      <c r="AA144" s="282" t="str">
        <f>IF(Z144="","",IF(VLOOKUP(Z144,'G-7 WaterC'' Data'!$AO$4:$BO$7,2,FALSE)=0,"Spatial Data Missing ⚠",VLOOKUP(Z144,'G-7 WaterC'' Data'!$AO$4:$BO$7,2,FALSE)))</f>
        <v/>
      </c>
      <c r="AB144" s="323" t="str">
        <f t="shared" si="18"/>
        <v/>
      </c>
      <c r="AC144" s="323" t="str">
        <f t="shared" si="19"/>
        <v/>
      </c>
      <c r="AD144" s="105"/>
      <c r="AE144" s="968"/>
      <c r="AF144" s="142"/>
      <c r="AG144" s="142"/>
      <c r="AH144" s="964"/>
      <c r="AL144" s="30" t="str">
        <f>IFERROR(INDEX('G-7 WaterC'' Data'!$AZ$3:$AZ$7,MATCH(C144,'G-7 WaterC'' Data'!$AY$3:$AY$7,0)),"")</f>
        <v/>
      </c>
      <c r="AN144" s="30" t="str">
        <f t="shared" si="20"/>
        <v>No</v>
      </c>
    </row>
    <row r="145" spans="2:40" ht="13.8" x14ac:dyDescent="0.25">
      <c r="B145" s="101">
        <v>134</v>
      </c>
      <c r="C145" s="953"/>
      <c r="D145" s="119"/>
      <c r="E145" s="281" t="str">
        <f>IF(C145="","",VLOOKUP(C145,'G-7 WaterC'' Data'!$B$2:$Z$9,2,FALSE))</f>
        <v/>
      </c>
      <c r="F145" s="282" t="str">
        <f>IFERROR(VLOOKUP(E145,'G-7 WaterC'' Data'!$C$4:$D$8,2,FALSE),"")</f>
        <v/>
      </c>
      <c r="G145" s="52"/>
      <c r="H145" s="282" t="str">
        <f>IFERROR(INDEX('G-7 WaterC'' Data'!$H$4:$L$8,MATCH(C145,'G-7 WaterC'' Data'!$B$4:$B$8,0),MATCH(G145,'G-7 WaterC'' Data'!$H$3:$L$3,0)),"")</f>
        <v/>
      </c>
      <c r="I145" s="52"/>
      <c r="J145" s="320" t="str">
        <f>IF(I145="","",IF(VLOOKUP(I145,'G-7 WaterC'' Data'!$AK$4:$AM$6,2,FALSE)=0,"Spatial Data Missing ⚠",VLOOKUP(I145,'G-7 WaterC'' Data'!$AK$4:$AM$6,2,FALSE)))</f>
        <v/>
      </c>
      <c r="K145" s="282" t="str">
        <f>IF(I145="","",IF(VLOOKUP(I145,'G-7 WaterC'' Data'!$AK$4:$AM$6,3,FALSE)=0,"Spatial Data Missing ⚠",VLOOKUP(I145,'G-7 WaterC'' Data'!$AK$4:$AM$6,3,FALSE)))</f>
        <v/>
      </c>
      <c r="L145" s="382" t="str">
        <f>IFERROR(INDEX('G-7 WaterC'' Data'!$O$3:$O$7,MATCH(G145,'G-7 WaterC'' Data'!$N$3:$N$7,0)),"")</f>
        <v/>
      </c>
      <c r="M145" s="53"/>
      <c r="N145" s="137"/>
      <c r="O145" s="289" t="str">
        <f t="shared" si="14"/>
        <v/>
      </c>
      <c r="P145" s="302" t="str">
        <f t="shared" si="15"/>
        <v/>
      </c>
      <c r="Q145" s="340" t="str">
        <f>IFERROR(IF(P145="Check Data ⚠","Check Data ⚠",VLOOKUP(P145,'G-4 Temporal multipliers'!$A$4:$C$37,3,FALSE)),"")</f>
        <v/>
      </c>
      <c r="R145" s="281" t="str">
        <f>IF(C145="","",VLOOKUP(C145,'G-7 WaterC'' Data'!$B$4:$G$8,4,FALSE))</f>
        <v/>
      </c>
      <c r="S145" s="289" t="str">
        <f t="shared" si="16"/>
        <v/>
      </c>
      <c r="T145" s="320" t="str">
        <f t="shared" si="17"/>
        <v/>
      </c>
      <c r="U145" s="282" t="str">
        <f>IF(C145="","",VLOOKUP(T145,'G-3 Multipliers'!$P$2:$Q$6,2,FALSE))</f>
        <v/>
      </c>
      <c r="V145" s="106"/>
      <c r="W145" s="282" t="str">
        <f>IF(V145="","",IF(AND(V145="N/A - Culvert",C145&lt;&gt;"Culvert"),"Not possible ▲",IF(AND(C145="Culvert",V145&lt;&gt;"N/A - Culvert"),"Not possible ▲",IF(VLOOKUP(V145,'G-7 WaterC'' Data'!$AA$4:$AB$7,2,FALSE)=0,"Spatial Data Missing ⚠",VLOOKUP(V145,'G-7 WaterC'' Data'!$AA$4:$AB$7,2,FALSE)))))</f>
        <v/>
      </c>
      <c r="X145" s="56"/>
      <c r="Y145" s="282" t="str">
        <f>IF(X145="","",IF(AND(X145="N/A - Culvert", C145&lt;&gt;"Culvert"), "Not possible ▲",IF(AND(C145="Culvert",X145&lt;&gt;"N/A - Culvert"),"Not possible ▲",IF(VLOOKUP(X145,'G-7 WaterC'' Data'!$AD$4:$AE$14,2,FALSE)=0,"Enrcoachment Data Missing ⚠",VLOOKUP(X145,'G-7 WaterC'' Data'!$AD$4:$AE$14,2,FALSE)))))</f>
        <v/>
      </c>
      <c r="Z145" s="106"/>
      <c r="AA145" s="282" t="str">
        <f>IF(Z145="","",IF(VLOOKUP(Z145,'G-7 WaterC'' Data'!$AO$4:$BO$7,2,FALSE)=0,"Spatial Data Missing ⚠",VLOOKUP(Z145,'G-7 WaterC'' Data'!$AO$4:$BO$7,2,FALSE)))</f>
        <v/>
      </c>
      <c r="AB145" s="323" t="str">
        <f t="shared" si="18"/>
        <v/>
      </c>
      <c r="AC145" s="323" t="str">
        <f t="shared" si="19"/>
        <v/>
      </c>
      <c r="AD145" s="105"/>
      <c r="AE145" s="968"/>
      <c r="AF145" s="142"/>
      <c r="AG145" s="142"/>
      <c r="AH145" s="964"/>
      <c r="AL145" s="30" t="str">
        <f>IFERROR(INDEX('G-7 WaterC'' Data'!$AZ$3:$AZ$7,MATCH(C145,'G-7 WaterC'' Data'!$AY$3:$AY$7,0)),"")</f>
        <v/>
      </c>
      <c r="AN145" s="30" t="str">
        <f t="shared" si="20"/>
        <v>No</v>
      </c>
    </row>
    <row r="146" spans="2:40" ht="13.8" x14ac:dyDescent="0.25">
      <c r="B146" s="101">
        <v>135</v>
      </c>
      <c r="C146" s="953"/>
      <c r="D146" s="119"/>
      <c r="E146" s="281" t="str">
        <f>IF(C146="","",VLOOKUP(C146,'G-7 WaterC'' Data'!$B$2:$Z$9,2,FALSE))</f>
        <v/>
      </c>
      <c r="F146" s="282" t="str">
        <f>IFERROR(VLOOKUP(E146,'G-7 WaterC'' Data'!$C$4:$D$8,2,FALSE),"")</f>
        <v/>
      </c>
      <c r="G146" s="52"/>
      <c r="H146" s="282" t="str">
        <f>IFERROR(INDEX('G-7 WaterC'' Data'!$H$4:$L$8,MATCH(C146,'G-7 WaterC'' Data'!$B$4:$B$8,0),MATCH(G146,'G-7 WaterC'' Data'!$H$3:$L$3,0)),"")</f>
        <v/>
      </c>
      <c r="I146" s="52"/>
      <c r="J146" s="320" t="str">
        <f>IF(I146="","",IF(VLOOKUP(I146,'G-7 WaterC'' Data'!$AK$4:$AM$6,2,FALSE)=0,"Spatial Data Missing ⚠",VLOOKUP(I146,'G-7 WaterC'' Data'!$AK$4:$AM$6,2,FALSE)))</f>
        <v/>
      </c>
      <c r="K146" s="282" t="str">
        <f>IF(I146="","",IF(VLOOKUP(I146,'G-7 WaterC'' Data'!$AK$4:$AM$6,3,FALSE)=0,"Spatial Data Missing ⚠",VLOOKUP(I146,'G-7 WaterC'' Data'!$AK$4:$AM$6,3,FALSE)))</f>
        <v/>
      </c>
      <c r="L146" s="382" t="str">
        <f>IFERROR(INDEX('G-7 WaterC'' Data'!$O$3:$O$7,MATCH(G146,'G-7 WaterC'' Data'!$N$3:$N$7,0)),"")</f>
        <v/>
      </c>
      <c r="M146" s="53"/>
      <c r="N146" s="137"/>
      <c r="O146" s="289" t="str">
        <f t="shared" si="14"/>
        <v/>
      </c>
      <c r="P146" s="302" t="str">
        <f t="shared" si="15"/>
        <v/>
      </c>
      <c r="Q146" s="340" t="str">
        <f>IFERROR(IF(P146="Check Data ⚠","Check Data ⚠",VLOOKUP(P146,'G-4 Temporal multipliers'!$A$4:$C$37,3,FALSE)),"")</f>
        <v/>
      </c>
      <c r="R146" s="281" t="str">
        <f>IF(C146="","",VLOOKUP(C146,'G-7 WaterC'' Data'!$B$4:$G$8,4,FALSE))</f>
        <v/>
      </c>
      <c r="S146" s="289" t="str">
        <f t="shared" si="16"/>
        <v/>
      </c>
      <c r="T146" s="320" t="str">
        <f t="shared" si="17"/>
        <v/>
      </c>
      <c r="U146" s="282" t="str">
        <f>IF(C146="","",VLOOKUP(T146,'G-3 Multipliers'!$P$2:$Q$6,2,FALSE))</f>
        <v/>
      </c>
      <c r="V146" s="106"/>
      <c r="W146" s="282" t="str">
        <f>IF(V146="","",IF(AND(V146="N/A - Culvert",C146&lt;&gt;"Culvert"),"Not possible ▲",IF(AND(C146="Culvert",V146&lt;&gt;"N/A - Culvert"),"Not possible ▲",IF(VLOOKUP(V146,'G-7 WaterC'' Data'!$AA$4:$AB$7,2,FALSE)=0,"Spatial Data Missing ⚠",VLOOKUP(V146,'G-7 WaterC'' Data'!$AA$4:$AB$7,2,FALSE)))))</f>
        <v/>
      </c>
      <c r="X146" s="56"/>
      <c r="Y146" s="282" t="str">
        <f>IF(X146="","",IF(AND(X146="N/A - Culvert", C146&lt;&gt;"Culvert"), "Not possible ▲",IF(AND(C146="Culvert",X146&lt;&gt;"N/A - Culvert"),"Not possible ▲",IF(VLOOKUP(X146,'G-7 WaterC'' Data'!$AD$4:$AE$14,2,FALSE)=0,"Enrcoachment Data Missing ⚠",VLOOKUP(X146,'G-7 WaterC'' Data'!$AD$4:$AE$14,2,FALSE)))))</f>
        <v/>
      </c>
      <c r="Z146" s="106"/>
      <c r="AA146" s="282" t="str">
        <f>IF(Z146="","",IF(VLOOKUP(Z146,'G-7 WaterC'' Data'!$AO$4:$BO$7,2,FALSE)=0,"Spatial Data Missing ⚠",VLOOKUP(Z146,'G-7 WaterC'' Data'!$AO$4:$BO$7,2,FALSE)))</f>
        <v/>
      </c>
      <c r="AB146" s="323" t="str">
        <f t="shared" si="18"/>
        <v/>
      </c>
      <c r="AC146" s="323" t="str">
        <f t="shared" si="19"/>
        <v/>
      </c>
      <c r="AD146" s="105"/>
      <c r="AE146" s="968"/>
      <c r="AF146" s="142"/>
      <c r="AG146" s="142"/>
      <c r="AH146" s="964"/>
      <c r="AL146" s="30" t="str">
        <f>IFERROR(INDEX('G-7 WaterC'' Data'!$AZ$3:$AZ$7,MATCH(C146,'G-7 WaterC'' Data'!$AY$3:$AY$7,0)),"")</f>
        <v/>
      </c>
      <c r="AN146" s="30" t="str">
        <f t="shared" si="20"/>
        <v>No</v>
      </c>
    </row>
    <row r="147" spans="2:40" ht="13.8" x14ac:dyDescent="0.25">
      <c r="B147" s="101">
        <v>136</v>
      </c>
      <c r="C147" s="953"/>
      <c r="D147" s="119"/>
      <c r="E147" s="281" t="str">
        <f>IF(C147="","",VLOOKUP(C147,'G-7 WaterC'' Data'!$B$2:$Z$9,2,FALSE))</f>
        <v/>
      </c>
      <c r="F147" s="282" t="str">
        <f>IFERROR(VLOOKUP(E147,'G-7 WaterC'' Data'!$C$4:$D$8,2,FALSE),"")</f>
        <v/>
      </c>
      <c r="G147" s="52"/>
      <c r="H147" s="282" t="str">
        <f>IFERROR(INDEX('G-7 WaterC'' Data'!$H$4:$L$8,MATCH(C147,'G-7 WaterC'' Data'!$B$4:$B$8,0),MATCH(G147,'G-7 WaterC'' Data'!$H$3:$L$3,0)),"")</f>
        <v/>
      </c>
      <c r="I147" s="52"/>
      <c r="J147" s="320" t="str">
        <f>IF(I147="","",IF(VLOOKUP(I147,'G-7 WaterC'' Data'!$AK$4:$AM$6,2,FALSE)=0,"Spatial Data Missing ⚠",VLOOKUP(I147,'G-7 WaterC'' Data'!$AK$4:$AM$6,2,FALSE)))</f>
        <v/>
      </c>
      <c r="K147" s="282" t="str">
        <f>IF(I147="","",IF(VLOOKUP(I147,'G-7 WaterC'' Data'!$AK$4:$AM$6,3,FALSE)=0,"Spatial Data Missing ⚠",VLOOKUP(I147,'G-7 WaterC'' Data'!$AK$4:$AM$6,3,FALSE)))</f>
        <v/>
      </c>
      <c r="L147" s="382" t="str">
        <f>IFERROR(INDEX('G-7 WaterC'' Data'!$O$3:$O$7,MATCH(G147,'G-7 WaterC'' Data'!$N$3:$N$7,0)),"")</f>
        <v/>
      </c>
      <c r="M147" s="53"/>
      <c r="N147" s="137"/>
      <c r="O147" s="289" t="str">
        <f t="shared" si="14"/>
        <v/>
      </c>
      <c r="P147" s="302" t="str">
        <f t="shared" si="15"/>
        <v/>
      </c>
      <c r="Q147" s="340" t="str">
        <f>IFERROR(IF(P147="Check Data ⚠","Check Data ⚠",VLOOKUP(P147,'G-4 Temporal multipliers'!$A$4:$C$37,3,FALSE)),"")</f>
        <v/>
      </c>
      <c r="R147" s="281" t="str">
        <f>IF(C147="","",VLOOKUP(C147,'G-7 WaterC'' Data'!$B$4:$G$8,4,FALSE))</f>
        <v/>
      </c>
      <c r="S147" s="289" t="str">
        <f t="shared" si="16"/>
        <v/>
      </c>
      <c r="T147" s="320" t="str">
        <f t="shared" si="17"/>
        <v/>
      </c>
      <c r="U147" s="282" t="str">
        <f>IF(C147="","",VLOOKUP(T147,'G-3 Multipliers'!$P$2:$Q$6,2,FALSE))</f>
        <v/>
      </c>
      <c r="V147" s="106"/>
      <c r="W147" s="282" t="str">
        <f>IF(V147="","",IF(AND(V147="N/A - Culvert",C147&lt;&gt;"Culvert"),"Not possible ▲",IF(AND(C147="Culvert",V147&lt;&gt;"N/A - Culvert"),"Not possible ▲",IF(VLOOKUP(V147,'G-7 WaterC'' Data'!$AA$4:$AB$7,2,FALSE)=0,"Spatial Data Missing ⚠",VLOOKUP(V147,'G-7 WaterC'' Data'!$AA$4:$AB$7,2,FALSE)))))</f>
        <v/>
      </c>
      <c r="X147" s="56"/>
      <c r="Y147" s="282" t="str">
        <f>IF(X147="","",IF(AND(X147="N/A - Culvert", C147&lt;&gt;"Culvert"), "Not possible ▲",IF(AND(C147="Culvert",X147&lt;&gt;"N/A - Culvert"),"Not possible ▲",IF(VLOOKUP(X147,'G-7 WaterC'' Data'!$AD$4:$AE$14,2,FALSE)=0,"Enrcoachment Data Missing ⚠",VLOOKUP(X147,'G-7 WaterC'' Data'!$AD$4:$AE$14,2,FALSE)))))</f>
        <v/>
      </c>
      <c r="Z147" s="106"/>
      <c r="AA147" s="282" t="str">
        <f>IF(Z147="","",IF(VLOOKUP(Z147,'G-7 WaterC'' Data'!$AO$4:$BO$7,2,FALSE)=0,"Spatial Data Missing ⚠",VLOOKUP(Z147,'G-7 WaterC'' Data'!$AO$4:$BO$7,2,FALSE)))</f>
        <v/>
      </c>
      <c r="AB147" s="323" t="str">
        <f t="shared" si="18"/>
        <v/>
      </c>
      <c r="AC147" s="323" t="str">
        <f t="shared" si="19"/>
        <v/>
      </c>
      <c r="AD147" s="105"/>
      <c r="AE147" s="968"/>
      <c r="AF147" s="142"/>
      <c r="AG147" s="142"/>
      <c r="AH147" s="964"/>
      <c r="AL147" s="30" t="str">
        <f>IFERROR(INDEX('G-7 WaterC'' Data'!$AZ$3:$AZ$7,MATCH(C147,'G-7 WaterC'' Data'!$AY$3:$AY$7,0)),"")</f>
        <v/>
      </c>
      <c r="AN147" s="30" t="str">
        <f t="shared" si="20"/>
        <v>No</v>
      </c>
    </row>
    <row r="148" spans="2:40" ht="13.8" x14ac:dyDescent="0.25">
      <c r="B148" s="101">
        <v>137</v>
      </c>
      <c r="C148" s="953"/>
      <c r="D148" s="119"/>
      <c r="E148" s="281" t="str">
        <f>IF(C148="","",VLOOKUP(C148,'G-7 WaterC'' Data'!$B$2:$Z$9,2,FALSE))</f>
        <v/>
      </c>
      <c r="F148" s="282" t="str">
        <f>IFERROR(VLOOKUP(E148,'G-7 WaterC'' Data'!$C$4:$D$8,2,FALSE),"")</f>
        <v/>
      </c>
      <c r="G148" s="52"/>
      <c r="H148" s="282" t="str">
        <f>IFERROR(INDEX('G-7 WaterC'' Data'!$H$4:$L$8,MATCH(C148,'G-7 WaterC'' Data'!$B$4:$B$8,0),MATCH(G148,'G-7 WaterC'' Data'!$H$3:$L$3,0)),"")</f>
        <v/>
      </c>
      <c r="I148" s="52"/>
      <c r="J148" s="320" t="str">
        <f>IF(I148="","",IF(VLOOKUP(I148,'G-7 WaterC'' Data'!$AK$4:$AM$6,2,FALSE)=0,"Spatial Data Missing ⚠",VLOOKUP(I148,'G-7 WaterC'' Data'!$AK$4:$AM$6,2,FALSE)))</f>
        <v/>
      </c>
      <c r="K148" s="282" t="str">
        <f>IF(I148="","",IF(VLOOKUP(I148,'G-7 WaterC'' Data'!$AK$4:$AM$6,3,FALSE)=0,"Spatial Data Missing ⚠",VLOOKUP(I148,'G-7 WaterC'' Data'!$AK$4:$AM$6,3,FALSE)))</f>
        <v/>
      </c>
      <c r="L148" s="382" t="str">
        <f>IFERROR(INDEX('G-7 WaterC'' Data'!$O$3:$O$7,MATCH(G148,'G-7 WaterC'' Data'!$N$3:$N$7,0)),"")</f>
        <v/>
      </c>
      <c r="M148" s="53"/>
      <c r="N148" s="137"/>
      <c r="O148" s="289" t="str">
        <f t="shared" si="14"/>
        <v/>
      </c>
      <c r="P148" s="302" t="str">
        <f t="shared" si="15"/>
        <v/>
      </c>
      <c r="Q148" s="340" t="str">
        <f>IFERROR(IF(P148="Check Data ⚠","Check Data ⚠",VLOOKUP(P148,'G-4 Temporal multipliers'!$A$4:$C$37,3,FALSE)),"")</f>
        <v/>
      </c>
      <c r="R148" s="281" t="str">
        <f>IF(C148="","",VLOOKUP(C148,'G-7 WaterC'' Data'!$B$4:$G$8,4,FALSE))</f>
        <v/>
      </c>
      <c r="S148" s="289" t="str">
        <f t="shared" si="16"/>
        <v/>
      </c>
      <c r="T148" s="320" t="str">
        <f t="shared" si="17"/>
        <v/>
      </c>
      <c r="U148" s="282" t="str">
        <f>IF(C148="","",VLOOKUP(T148,'G-3 Multipliers'!$P$2:$Q$6,2,FALSE))</f>
        <v/>
      </c>
      <c r="V148" s="106"/>
      <c r="W148" s="282" t="str">
        <f>IF(V148="","",IF(AND(V148="N/A - Culvert",C148&lt;&gt;"Culvert"),"Not possible ▲",IF(AND(C148="Culvert",V148&lt;&gt;"N/A - Culvert"),"Not possible ▲",IF(VLOOKUP(V148,'G-7 WaterC'' Data'!$AA$4:$AB$7,2,FALSE)=0,"Spatial Data Missing ⚠",VLOOKUP(V148,'G-7 WaterC'' Data'!$AA$4:$AB$7,2,FALSE)))))</f>
        <v/>
      </c>
      <c r="X148" s="56"/>
      <c r="Y148" s="282" t="str">
        <f>IF(X148="","",IF(AND(X148="N/A - Culvert", C148&lt;&gt;"Culvert"), "Not possible ▲",IF(AND(C148="Culvert",X148&lt;&gt;"N/A - Culvert"),"Not possible ▲",IF(VLOOKUP(X148,'G-7 WaterC'' Data'!$AD$4:$AE$14,2,FALSE)=0,"Enrcoachment Data Missing ⚠",VLOOKUP(X148,'G-7 WaterC'' Data'!$AD$4:$AE$14,2,FALSE)))))</f>
        <v/>
      </c>
      <c r="Z148" s="106"/>
      <c r="AA148" s="282" t="str">
        <f>IF(Z148="","",IF(VLOOKUP(Z148,'G-7 WaterC'' Data'!$AO$4:$BO$7,2,FALSE)=0,"Spatial Data Missing ⚠",VLOOKUP(Z148,'G-7 WaterC'' Data'!$AO$4:$BO$7,2,FALSE)))</f>
        <v/>
      </c>
      <c r="AB148" s="323" t="str">
        <f t="shared" si="18"/>
        <v/>
      </c>
      <c r="AC148" s="323" t="str">
        <f t="shared" si="19"/>
        <v/>
      </c>
      <c r="AD148" s="105"/>
      <c r="AE148" s="968"/>
      <c r="AF148" s="142"/>
      <c r="AG148" s="142"/>
      <c r="AH148" s="964"/>
      <c r="AL148" s="30" t="str">
        <f>IFERROR(INDEX('G-7 WaterC'' Data'!$AZ$3:$AZ$7,MATCH(C148,'G-7 WaterC'' Data'!$AY$3:$AY$7,0)),"")</f>
        <v/>
      </c>
      <c r="AN148" s="30" t="str">
        <f t="shared" si="20"/>
        <v>No</v>
      </c>
    </row>
    <row r="149" spans="2:40" ht="13.8" x14ac:dyDescent="0.25">
      <c r="B149" s="101">
        <v>138</v>
      </c>
      <c r="C149" s="953"/>
      <c r="D149" s="119"/>
      <c r="E149" s="281" t="str">
        <f>IF(C149="","",VLOOKUP(C149,'G-7 WaterC'' Data'!$B$2:$Z$9,2,FALSE))</f>
        <v/>
      </c>
      <c r="F149" s="282" t="str">
        <f>IFERROR(VLOOKUP(E149,'G-7 WaterC'' Data'!$C$4:$D$8,2,FALSE),"")</f>
        <v/>
      </c>
      <c r="G149" s="52"/>
      <c r="H149" s="282" t="str">
        <f>IFERROR(INDEX('G-7 WaterC'' Data'!$H$4:$L$8,MATCH(C149,'G-7 WaterC'' Data'!$B$4:$B$8,0),MATCH(G149,'G-7 WaterC'' Data'!$H$3:$L$3,0)),"")</f>
        <v/>
      </c>
      <c r="I149" s="52"/>
      <c r="J149" s="320" t="str">
        <f>IF(I149="","",IF(VLOOKUP(I149,'G-7 WaterC'' Data'!$AK$4:$AM$6,2,FALSE)=0,"Spatial Data Missing ⚠",VLOOKUP(I149,'G-7 WaterC'' Data'!$AK$4:$AM$6,2,FALSE)))</f>
        <v/>
      </c>
      <c r="K149" s="282" t="str">
        <f>IF(I149="","",IF(VLOOKUP(I149,'G-7 WaterC'' Data'!$AK$4:$AM$6,3,FALSE)=0,"Spatial Data Missing ⚠",VLOOKUP(I149,'G-7 WaterC'' Data'!$AK$4:$AM$6,3,FALSE)))</f>
        <v/>
      </c>
      <c r="L149" s="382" t="str">
        <f>IFERROR(INDEX('G-7 WaterC'' Data'!$O$3:$O$7,MATCH(G149,'G-7 WaterC'' Data'!$N$3:$N$7,0)),"")</f>
        <v/>
      </c>
      <c r="M149" s="53"/>
      <c r="N149" s="137"/>
      <c r="O149" s="289" t="str">
        <f t="shared" si="14"/>
        <v/>
      </c>
      <c r="P149" s="302" t="str">
        <f t="shared" si="15"/>
        <v/>
      </c>
      <c r="Q149" s="340" t="str">
        <f>IFERROR(IF(P149="Check Data ⚠","Check Data ⚠",VLOOKUP(P149,'G-4 Temporal multipliers'!$A$4:$C$37,3,FALSE)),"")</f>
        <v/>
      </c>
      <c r="R149" s="281" t="str">
        <f>IF(C149="","",VLOOKUP(C149,'G-7 WaterC'' Data'!$B$4:$G$8,4,FALSE))</f>
        <v/>
      </c>
      <c r="S149" s="289" t="str">
        <f t="shared" si="16"/>
        <v/>
      </c>
      <c r="T149" s="320" t="str">
        <f t="shared" si="17"/>
        <v/>
      </c>
      <c r="U149" s="282" t="str">
        <f>IF(C149="","",VLOOKUP(T149,'G-3 Multipliers'!$P$2:$Q$6,2,FALSE))</f>
        <v/>
      </c>
      <c r="V149" s="106"/>
      <c r="W149" s="282" t="str">
        <f>IF(V149="","",IF(AND(V149="N/A - Culvert",C149&lt;&gt;"Culvert"),"Not possible ▲",IF(AND(C149="Culvert",V149&lt;&gt;"N/A - Culvert"),"Not possible ▲",IF(VLOOKUP(V149,'G-7 WaterC'' Data'!$AA$4:$AB$7,2,FALSE)=0,"Spatial Data Missing ⚠",VLOOKUP(V149,'G-7 WaterC'' Data'!$AA$4:$AB$7,2,FALSE)))))</f>
        <v/>
      </c>
      <c r="X149" s="56"/>
      <c r="Y149" s="282" t="str">
        <f>IF(X149="","",IF(AND(X149="N/A - Culvert", C149&lt;&gt;"Culvert"), "Not possible ▲",IF(AND(C149="Culvert",X149&lt;&gt;"N/A - Culvert"),"Not possible ▲",IF(VLOOKUP(X149,'G-7 WaterC'' Data'!$AD$4:$AE$14,2,FALSE)=0,"Enrcoachment Data Missing ⚠",VLOOKUP(X149,'G-7 WaterC'' Data'!$AD$4:$AE$14,2,FALSE)))))</f>
        <v/>
      </c>
      <c r="Z149" s="106"/>
      <c r="AA149" s="282" t="str">
        <f>IF(Z149="","",IF(VLOOKUP(Z149,'G-7 WaterC'' Data'!$AO$4:$BO$7,2,FALSE)=0,"Spatial Data Missing ⚠",VLOOKUP(Z149,'G-7 WaterC'' Data'!$AO$4:$BO$7,2,FALSE)))</f>
        <v/>
      </c>
      <c r="AB149" s="323" t="str">
        <f t="shared" si="18"/>
        <v/>
      </c>
      <c r="AC149" s="323" t="str">
        <f t="shared" si="19"/>
        <v/>
      </c>
      <c r="AD149" s="105"/>
      <c r="AE149" s="968"/>
      <c r="AF149" s="142"/>
      <c r="AG149" s="142"/>
      <c r="AH149" s="964"/>
      <c r="AL149" s="30" t="str">
        <f>IFERROR(INDEX('G-7 WaterC'' Data'!$AZ$3:$AZ$7,MATCH(C149,'G-7 WaterC'' Data'!$AY$3:$AY$7,0)),"")</f>
        <v/>
      </c>
      <c r="AN149" s="30" t="str">
        <f t="shared" si="20"/>
        <v>No</v>
      </c>
    </row>
    <row r="150" spans="2:40" ht="13.8" x14ac:dyDescent="0.25">
      <c r="B150" s="101">
        <v>139</v>
      </c>
      <c r="C150" s="953"/>
      <c r="D150" s="119"/>
      <c r="E150" s="281" t="str">
        <f>IF(C150="","",VLOOKUP(C150,'G-7 WaterC'' Data'!$B$2:$Z$9,2,FALSE))</f>
        <v/>
      </c>
      <c r="F150" s="282" t="str">
        <f>IFERROR(VLOOKUP(E150,'G-7 WaterC'' Data'!$C$4:$D$8,2,FALSE),"")</f>
        <v/>
      </c>
      <c r="G150" s="52"/>
      <c r="H150" s="282" t="str">
        <f>IFERROR(INDEX('G-7 WaterC'' Data'!$H$4:$L$8,MATCH(C150,'G-7 WaterC'' Data'!$B$4:$B$8,0),MATCH(G150,'G-7 WaterC'' Data'!$H$3:$L$3,0)),"")</f>
        <v/>
      </c>
      <c r="I150" s="52"/>
      <c r="J150" s="320" t="str">
        <f>IF(I150="","",IF(VLOOKUP(I150,'G-7 WaterC'' Data'!$AK$4:$AM$6,2,FALSE)=0,"Spatial Data Missing ⚠",VLOOKUP(I150,'G-7 WaterC'' Data'!$AK$4:$AM$6,2,FALSE)))</f>
        <v/>
      </c>
      <c r="K150" s="282" t="str">
        <f>IF(I150="","",IF(VLOOKUP(I150,'G-7 WaterC'' Data'!$AK$4:$AM$6,3,FALSE)=0,"Spatial Data Missing ⚠",VLOOKUP(I150,'G-7 WaterC'' Data'!$AK$4:$AM$6,3,FALSE)))</f>
        <v/>
      </c>
      <c r="L150" s="382" t="str">
        <f>IFERROR(INDEX('G-7 WaterC'' Data'!$O$3:$O$7,MATCH(G150,'G-7 WaterC'' Data'!$N$3:$N$7,0)),"")</f>
        <v/>
      </c>
      <c r="M150" s="53"/>
      <c r="N150" s="137"/>
      <c r="O150" s="289" t="str">
        <f t="shared" si="14"/>
        <v/>
      </c>
      <c r="P150" s="302" t="str">
        <f t="shared" si="15"/>
        <v/>
      </c>
      <c r="Q150" s="340" t="str">
        <f>IFERROR(IF(P150="Check Data ⚠","Check Data ⚠",VLOOKUP(P150,'G-4 Temporal multipliers'!$A$4:$C$37,3,FALSE)),"")</f>
        <v/>
      </c>
      <c r="R150" s="281" t="str">
        <f>IF(C150="","",VLOOKUP(C150,'G-7 WaterC'' Data'!$B$4:$G$8,4,FALSE))</f>
        <v/>
      </c>
      <c r="S150" s="289" t="str">
        <f t="shared" si="16"/>
        <v/>
      </c>
      <c r="T150" s="320" t="str">
        <f t="shared" si="17"/>
        <v/>
      </c>
      <c r="U150" s="282" t="str">
        <f>IF(C150="","",VLOOKUP(T150,'G-3 Multipliers'!$P$2:$Q$6,2,FALSE))</f>
        <v/>
      </c>
      <c r="V150" s="106"/>
      <c r="W150" s="282" t="str">
        <f>IF(V150="","",IF(AND(V150="N/A - Culvert",C150&lt;&gt;"Culvert"),"Not possible ▲",IF(AND(C150="Culvert",V150&lt;&gt;"N/A - Culvert"),"Not possible ▲",IF(VLOOKUP(V150,'G-7 WaterC'' Data'!$AA$4:$AB$7,2,FALSE)=0,"Spatial Data Missing ⚠",VLOOKUP(V150,'G-7 WaterC'' Data'!$AA$4:$AB$7,2,FALSE)))))</f>
        <v/>
      </c>
      <c r="X150" s="56"/>
      <c r="Y150" s="282" t="str">
        <f>IF(X150="","",IF(AND(X150="N/A - Culvert", C150&lt;&gt;"Culvert"), "Not possible ▲",IF(AND(C150="Culvert",X150&lt;&gt;"N/A - Culvert"),"Not possible ▲",IF(VLOOKUP(X150,'G-7 WaterC'' Data'!$AD$4:$AE$14,2,FALSE)=0,"Enrcoachment Data Missing ⚠",VLOOKUP(X150,'G-7 WaterC'' Data'!$AD$4:$AE$14,2,FALSE)))))</f>
        <v/>
      </c>
      <c r="Z150" s="106"/>
      <c r="AA150" s="282" t="str">
        <f>IF(Z150="","",IF(VLOOKUP(Z150,'G-7 WaterC'' Data'!$AO$4:$BO$7,2,FALSE)=0,"Spatial Data Missing ⚠",VLOOKUP(Z150,'G-7 WaterC'' Data'!$AO$4:$BO$7,2,FALSE)))</f>
        <v/>
      </c>
      <c r="AB150" s="323" t="str">
        <f t="shared" si="18"/>
        <v/>
      </c>
      <c r="AC150" s="323" t="str">
        <f t="shared" si="19"/>
        <v/>
      </c>
      <c r="AD150" s="105"/>
      <c r="AE150" s="968"/>
      <c r="AF150" s="142"/>
      <c r="AG150" s="142"/>
      <c r="AH150" s="964"/>
      <c r="AL150" s="30" t="str">
        <f>IFERROR(INDEX('G-7 WaterC'' Data'!$AZ$3:$AZ$7,MATCH(C150,'G-7 WaterC'' Data'!$AY$3:$AY$7,0)),"")</f>
        <v/>
      </c>
      <c r="AN150" s="30" t="str">
        <f t="shared" si="20"/>
        <v>No</v>
      </c>
    </row>
    <row r="151" spans="2:40" ht="13.8" x14ac:dyDescent="0.25">
      <c r="B151" s="101">
        <v>140</v>
      </c>
      <c r="C151" s="953"/>
      <c r="D151" s="119"/>
      <c r="E151" s="281" t="str">
        <f>IF(C151="","",VLOOKUP(C151,'G-7 WaterC'' Data'!$B$2:$Z$9,2,FALSE))</f>
        <v/>
      </c>
      <c r="F151" s="282" t="str">
        <f>IFERROR(VLOOKUP(E151,'G-7 WaterC'' Data'!$C$4:$D$8,2,FALSE),"")</f>
        <v/>
      </c>
      <c r="G151" s="52"/>
      <c r="H151" s="282" t="str">
        <f>IFERROR(INDEX('G-7 WaterC'' Data'!$H$4:$L$8,MATCH(C151,'G-7 WaterC'' Data'!$B$4:$B$8,0),MATCH(G151,'G-7 WaterC'' Data'!$H$3:$L$3,0)),"")</f>
        <v/>
      </c>
      <c r="I151" s="52"/>
      <c r="J151" s="320" t="str">
        <f>IF(I151="","",IF(VLOOKUP(I151,'G-7 WaterC'' Data'!$AK$4:$AM$6,2,FALSE)=0,"Spatial Data Missing ⚠",VLOOKUP(I151,'G-7 WaterC'' Data'!$AK$4:$AM$6,2,FALSE)))</f>
        <v/>
      </c>
      <c r="K151" s="282" t="str">
        <f>IF(I151="","",IF(VLOOKUP(I151,'G-7 WaterC'' Data'!$AK$4:$AM$6,3,FALSE)=0,"Spatial Data Missing ⚠",VLOOKUP(I151,'G-7 WaterC'' Data'!$AK$4:$AM$6,3,FALSE)))</f>
        <v/>
      </c>
      <c r="L151" s="382" t="str">
        <f>IFERROR(INDEX('G-7 WaterC'' Data'!$O$3:$O$7,MATCH(G151,'G-7 WaterC'' Data'!$N$3:$N$7,0)),"")</f>
        <v/>
      </c>
      <c r="M151" s="53"/>
      <c r="N151" s="137"/>
      <c r="O151" s="289" t="str">
        <f t="shared" si="14"/>
        <v/>
      </c>
      <c r="P151" s="302" t="str">
        <f t="shared" si="15"/>
        <v/>
      </c>
      <c r="Q151" s="340" t="str">
        <f>IFERROR(IF(P151="Check Data ⚠","Check Data ⚠",VLOOKUP(P151,'G-4 Temporal multipliers'!$A$4:$C$37,3,FALSE)),"")</f>
        <v/>
      </c>
      <c r="R151" s="281" t="str">
        <f>IF(C151="","",VLOOKUP(C151,'G-7 WaterC'' Data'!$B$4:$G$8,4,FALSE))</f>
        <v/>
      </c>
      <c r="S151" s="289" t="str">
        <f t="shared" si="16"/>
        <v/>
      </c>
      <c r="T151" s="320" t="str">
        <f t="shared" si="17"/>
        <v/>
      </c>
      <c r="U151" s="282" t="str">
        <f>IF(C151="","",VLOOKUP(T151,'G-3 Multipliers'!$P$2:$Q$6,2,FALSE))</f>
        <v/>
      </c>
      <c r="V151" s="106"/>
      <c r="W151" s="282" t="str">
        <f>IF(V151="","",IF(AND(V151="N/A - Culvert",C151&lt;&gt;"Culvert"),"Not possible ▲",IF(AND(C151="Culvert",V151&lt;&gt;"N/A - Culvert"),"Not possible ▲",IF(VLOOKUP(V151,'G-7 WaterC'' Data'!$AA$4:$AB$7,2,FALSE)=0,"Spatial Data Missing ⚠",VLOOKUP(V151,'G-7 WaterC'' Data'!$AA$4:$AB$7,2,FALSE)))))</f>
        <v/>
      </c>
      <c r="X151" s="56"/>
      <c r="Y151" s="282" t="str">
        <f>IF(X151="","",IF(AND(X151="N/A - Culvert", C151&lt;&gt;"Culvert"), "Not possible ▲",IF(AND(C151="Culvert",X151&lt;&gt;"N/A - Culvert"),"Not possible ▲",IF(VLOOKUP(X151,'G-7 WaterC'' Data'!$AD$4:$AE$14,2,FALSE)=0,"Enrcoachment Data Missing ⚠",VLOOKUP(X151,'G-7 WaterC'' Data'!$AD$4:$AE$14,2,FALSE)))))</f>
        <v/>
      </c>
      <c r="Z151" s="106"/>
      <c r="AA151" s="282" t="str">
        <f>IF(Z151="","",IF(VLOOKUP(Z151,'G-7 WaterC'' Data'!$AO$4:$BO$7,2,FALSE)=0,"Spatial Data Missing ⚠",VLOOKUP(Z151,'G-7 WaterC'' Data'!$AO$4:$BO$7,2,FALSE)))</f>
        <v/>
      </c>
      <c r="AB151" s="323" t="str">
        <f t="shared" si="18"/>
        <v/>
      </c>
      <c r="AC151" s="323" t="str">
        <f t="shared" si="19"/>
        <v/>
      </c>
      <c r="AD151" s="105"/>
      <c r="AE151" s="968"/>
      <c r="AF151" s="142"/>
      <c r="AG151" s="142"/>
      <c r="AH151" s="964"/>
      <c r="AL151" s="30" t="str">
        <f>IFERROR(INDEX('G-7 WaterC'' Data'!$AZ$3:$AZ$7,MATCH(C151,'G-7 WaterC'' Data'!$AY$3:$AY$7,0)),"")</f>
        <v/>
      </c>
      <c r="AN151" s="30" t="str">
        <f t="shared" si="20"/>
        <v>No</v>
      </c>
    </row>
    <row r="152" spans="2:40" ht="13.8" x14ac:dyDescent="0.25">
      <c r="B152" s="101">
        <v>141</v>
      </c>
      <c r="C152" s="953"/>
      <c r="D152" s="119"/>
      <c r="E152" s="281" t="str">
        <f>IF(C152="","",VLOOKUP(C152,'G-7 WaterC'' Data'!$B$2:$Z$9,2,FALSE))</f>
        <v/>
      </c>
      <c r="F152" s="282" t="str">
        <f>IFERROR(VLOOKUP(E152,'G-7 WaterC'' Data'!$C$4:$D$8,2,FALSE),"")</f>
        <v/>
      </c>
      <c r="G152" s="52"/>
      <c r="H152" s="282" t="str">
        <f>IFERROR(INDEX('G-7 WaterC'' Data'!$H$4:$L$8,MATCH(C152,'G-7 WaterC'' Data'!$B$4:$B$8,0),MATCH(G152,'G-7 WaterC'' Data'!$H$3:$L$3,0)),"")</f>
        <v/>
      </c>
      <c r="I152" s="52"/>
      <c r="J152" s="320" t="str">
        <f>IF(I152="","",IF(VLOOKUP(I152,'G-7 WaterC'' Data'!$AK$4:$AM$6,2,FALSE)=0,"Spatial Data Missing ⚠",VLOOKUP(I152,'G-7 WaterC'' Data'!$AK$4:$AM$6,2,FALSE)))</f>
        <v/>
      </c>
      <c r="K152" s="282" t="str">
        <f>IF(I152="","",IF(VLOOKUP(I152,'G-7 WaterC'' Data'!$AK$4:$AM$6,3,FALSE)=0,"Spatial Data Missing ⚠",VLOOKUP(I152,'G-7 WaterC'' Data'!$AK$4:$AM$6,3,FALSE)))</f>
        <v/>
      </c>
      <c r="L152" s="382" t="str">
        <f>IFERROR(INDEX('G-7 WaterC'' Data'!$O$3:$O$7,MATCH(G152,'G-7 WaterC'' Data'!$N$3:$N$7,0)),"")</f>
        <v/>
      </c>
      <c r="M152" s="53"/>
      <c r="N152" s="137"/>
      <c r="O152" s="289" t="str">
        <f t="shared" si="14"/>
        <v/>
      </c>
      <c r="P152" s="302" t="str">
        <f t="shared" si="15"/>
        <v/>
      </c>
      <c r="Q152" s="340" t="str">
        <f>IFERROR(IF(P152="Check Data ⚠","Check Data ⚠",VLOOKUP(P152,'G-4 Temporal multipliers'!$A$4:$C$37,3,FALSE)),"")</f>
        <v/>
      </c>
      <c r="R152" s="281" t="str">
        <f>IF(C152="","",VLOOKUP(C152,'G-7 WaterC'' Data'!$B$4:$G$8,4,FALSE))</f>
        <v/>
      </c>
      <c r="S152" s="289" t="str">
        <f t="shared" si="16"/>
        <v/>
      </c>
      <c r="T152" s="320" t="str">
        <f t="shared" si="17"/>
        <v/>
      </c>
      <c r="U152" s="282" t="str">
        <f>IF(C152="","",VLOOKUP(T152,'G-3 Multipliers'!$P$2:$Q$6,2,FALSE))</f>
        <v/>
      </c>
      <c r="V152" s="106"/>
      <c r="W152" s="282" t="str">
        <f>IF(V152="","",IF(AND(V152="N/A - Culvert",C152&lt;&gt;"Culvert"),"Not possible ▲",IF(AND(C152="Culvert",V152&lt;&gt;"N/A - Culvert"),"Not possible ▲",IF(VLOOKUP(V152,'G-7 WaterC'' Data'!$AA$4:$AB$7,2,FALSE)=0,"Spatial Data Missing ⚠",VLOOKUP(V152,'G-7 WaterC'' Data'!$AA$4:$AB$7,2,FALSE)))))</f>
        <v/>
      </c>
      <c r="X152" s="56"/>
      <c r="Y152" s="282" t="str">
        <f>IF(X152="","",IF(AND(X152="N/A - Culvert", C152&lt;&gt;"Culvert"), "Not possible ▲",IF(AND(C152="Culvert",X152&lt;&gt;"N/A - Culvert"),"Not possible ▲",IF(VLOOKUP(X152,'G-7 WaterC'' Data'!$AD$4:$AE$14,2,FALSE)=0,"Enrcoachment Data Missing ⚠",VLOOKUP(X152,'G-7 WaterC'' Data'!$AD$4:$AE$14,2,FALSE)))))</f>
        <v/>
      </c>
      <c r="Z152" s="106"/>
      <c r="AA152" s="282" t="str">
        <f>IF(Z152="","",IF(VLOOKUP(Z152,'G-7 WaterC'' Data'!$AO$4:$BO$7,2,FALSE)=0,"Spatial Data Missing ⚠",VLOOKUP(Z152,'G-7 WaterC'' Data'!$AO$4:$BO$7,2,FALSE)))</f>
        <v/>
      </c>
      <c r="AB152" s="323" t="str">
        <f t="shared" si="18"/>
        <v/>
      </c>
      <c r="AC152" s="323" t="str">
        <f t="shared" si="19"/>
        <v/>
      </c>
      <c r="AD152" s="105"/>
      <c r="AE152" s="968"/>
      <c r="AF152" s="142"/>
      <c r="AG152" s="142"/>
      <c r="AH152" s="964"/>
      <c r="AL152" s="30" t="str">
        <f>IFERROR(INDEX('G-7 WaterC'' Data'!$AZ$3:$AZ$7,MATCH(C152,'G-7 WaterC'' Data'!$AY$3:$AY$7,0)),"")</f>
        <v/>
      </c>
      <c r="AN152" s="30" t="str">
        <f t="shared" si="20"/>
        <v>No</v>
      </c>
    </row>
    <row r="153" spans="2:40" ht="13.8" x14ac:dyDescent="0.25">
      <c r="B153" s="101">
        <v>142</v>
      </c>
      <c r="C153" s="953"/>
      <c r="D153" s="119"/>
      <c r="E153" s="281" t="str">
        <f>IF(C153="","",VLOOKUP(C153,'G-7 WaterC'' Data'!$B$2:$Z$9,2,FALSE))</f>
        <v/>
      </c>
      <c r="F153" s="282" t="str">
        <f>IFERROR(VLOOKUP(E153,'G-7 WaterC'' Data'!$C$4:$D$8,2,FALSE),"")</f>
        <v/>
      </c>
      <c r="G153" s="52"/>
      <c r="H153" s="282" t="str">
        <f>IFERROR(INDEX('G-7 WaterC'' Data'!$H$4:$L$8,MATCH(C153,'G-7 WaterC'' Data'!$B$4:$B$8,0),MATCH(G153,'G-7 WaterC'' Data'!$H$3:$L$3,0)),"")</f>
        <v/>
      </c>
      <c r="I153" s="52"/>
      <c r="J153" s="320" t="str">
        <f>IF(I153="","",IF(VLOOKUP(I153,'G-7 WaterC'' Data'!$AK$4:$AM$6,2,FALSE)=0,"Spatial Data Missing ⚠",VLOOKUP(I153,'G-7 WaterC'' Data'!$AK$4:$AM$6,2,FALSE)))</f>
        <v/>
      </c>
      <c r="K153" s="282" t="str">
        <f>IF(I153="","",IF(VLOOKUP(I153,'G-7 WaterC'' Data'!$AK$4:$AM$6,3,FALSE)=0,"Spatial Data Missing ⚠",VLOOKUP(I153,'G-7 WaterC'' Data'!$AK$4:$AM$6,3,FALSE)))</f>
        <v/>
      </c>
      <c r="L153" s="382" t="str">
        <f>IFERROR(INDEX('G-7 WaterC'' Data'!$O$3:$O$7,MATCH(G153,'G-7 WaterC'' Data'!$N$3:$N$7,0)),"")</f>
        <v/>
      </c>
      <c r="M153" s="53"/>
      <c r="N153" s="137"/>
      <c r="O153" s="289" t="str">
        <f t="shared" si="14"/>
        <v/>
      </c>
      <c r="P153" s="302" t="str">
        <f t="shared" si="15"/>
        <v/>
      </c>
      <c r="Q153" s="340" t="str">
        <f>IFERROR(IF(P153="Check Data ⚠","Check Data ⚠",VLOOKUP(P153,'G-4 Temporal multipliers'!$A$4:$C$37,3,FALSE)),"")</f>
        <v/>
      </c>
      <c r="R153" s="281" t="str">
        <f>IF(C153="","",VLOOKUP(C153,'G-7 WaterC'' Data'!$B$4:$G$8,4,FALSE))</f>
        <v/>
      </c>
      <c r="S153" s="289" t="str">
        <f t="shared" si="16"/>
        <v/>
      </c>
      <c r="T153" s="320" t="str">
        <f t="shared" si="17"/>
        <v/>
      </c>
      <c r="U153" s="282" t="str">
        <f>IF(C153="","",VLOOKUP(T153,'G-3 Multipliers'!$P$2:$Q$6,2,FALSE))</f>
        <v/>
      </c>
      <c r="V153" s="106"/>
      <c r="W153" s="282" t="str">
        <f>IF(V153="","",IF(AND(V153="N/A - Culvert",C153&lt;&gt;"Culvert"),"Not possible ▲",IF(AND(C153="Culvert",V153&lt;&gt;"N/A - Culvert"),"Not possible ▲",IF(VLOOKUP(V153,'G-7 WaterC'' Data'!$AA$4:$AB$7,2,FALSE)=0,"Spatial Data Missing ⚠",VLOOKUP(V153,'G-7 WaterC'' Data'!$AA$4:$AB$7,2,FALSE)))))</f>
        <v/>
      </c>
      <c r="X153" s="56"/>
      <c r="Y153" s="282" t="str">
        <f>IF(X153="","",IF(AND(X153="N/A - Culvert", C153&lt;&gt;"Culvert"), "Not possible ▲",IF(AND(C153="Culvert",X153&lt;&gt;"N/A - Culvert"),"Not possible ▲",IF(VLOOKUP(X153,'G-7 WaterC'' Data'!$AD$4:$AE$14,2,FALSE)=0,"Enrcoachment Data Missing ⚠",VLOOKUP(X153,'G-7 WaterC'' Data'!$AD$4:$AE$14,2,FALSE)))))</f>
        <v/>
      </c>
      <c r="Z153" s="106"/>
      <c r="AA153" s="282" t="str">
        <f>IF(Z153="","",IF(VLOOKUP(Z153,'G-7 WaterC'' Data'!$AO$4:$BO$7,2,FALSE)=0,"Spatial Data Missing ⚠",VLOOKUP(Z153,'G-7 WaterC'' Data'!$AO$4:$BO$7,2,FALSE)))</f>
        <v/>
      </c>
      <c r="AB153" s="323" t="str">
        <f t="shared" si="18"/>
        <v/>
      </c>
      <c r="AC153" s="323" t="str">
        <f t="shared" si="19"/>
        <v/>
      </c>
      <c r="AD153" s="105"/>
      <c r="AE153" s="968"/>
      <c r="AF153" s="142"/>
      <c r="AG153" s="142"/>
      <c r="AH153" s="964"/>
      <c r="AL153" s="30" t="str">
        <f>IFERROR(INDEX('G-7 WaterC'' Data'!$AZ$3:$AZ$7,MATCH(C153,'G-7 WaterC'' Data'!$AY$3:$AY$7,0)),"")</f>
        <v/>
      </c>
      <c r="AN153" s="30" t="str">
        <f t="shared" si="20"/>
        <v>No</v>
      </c>
    </row>
    <row r="154" spans="2:40" ht="13.8" x14ac:dyDescent="0.25">
      <c r="B154" s="101">
        <v>143</v>
      </c>
      <c r="C154" s="953"/>
      <c r="D154" s="119"/>
      <c r="E154" s="281" t="str">
        <f>IF(C154="","",VLOOKUP(C154,'G-7 WaterC'' Data'!$B$2:$Z$9,2,FALSE))</f>
        <v/>
      </c>
      <c r="F154" s="282" t="str">
        <f>IFERROR(VLOOKUP(E154,'G-7 WaterC'' Data'!$C$4:$D$8,2,FALSE),"")</f>
        <v/>
      </c>
      <c r="G154" s="52"/>
      <c r="H154" s="282" t="str">
        <f>IFERROR(INDEX('G-7 WaterC'' Data'!$H$4:$L$8,MATCH(C154,'G-7 WaterC'' Data'!$B$4:$B$8,0),MATCH(G154,'G-7 WaterC'' Data'!$H$3:$L$3,0)),"")</f>
        <v/>
      </c>
      <c r="I154" s="52"/>
      <c r="J154" s="320" t="str">
        <f>IF(I154="","",IF(VLOOKUP(I154,'G-7 WaterC'' Data'!$AK$4:$AM$6,2,FALSE)=0,"Spatial Data Missing ⚠",VLOOKUP(I154,'G-7 WaterC'' Data'!$AK$4:$AM$6,2,FALSE)))</f>
        <v/>
      </c>
      <c r="K154" s="282" t="str">
        <f>IF(I154="","",IF(VLOOKUP(I154,'G-7 WaterC'' Data'!$AK$4:$AM$6,3,FALSE)=0,"Spatial Data Missing ⚠",VLOOKUP(I154,'G-7 WaterC'' Data'!$AK$4:$AM$6,3,FALSE)))</f>
        <v/>
      </c>
      <c r="L154" s="382" t="str">
        <f>IFERROR(INDEX('G-7 WaterC'' Data'!$O$3:$O$7,MATCH(G154,'G-7 WaterC'' Data'!$N$3:$N$7,0)),"")</f>
        <v/>
      </c>
      <c r="M154" s="53"/>
      <c r="N154" s="137"/>
      <c r="O154" s="289" t="str">
        <f t="shared" si="14"/>
        <v/>
      </c>
      <c r="P154" s="302" t="str">
        <f t="shared" si="15"/>
        <v/>
      </c>
      <c r="Q154" s="340" t="str">
        <f>IFERROR(IF(P154="Check Data ⚠","Check Data ⚠",VLOOKUP(P154,'G-4 Temporal multipliers'!$A$4:$C$37,3,FALSE)),"")</f>
        <v/>
      </c>
      <c r="R154" s="281" t="str">
        <f>IF(C154="","",VLOOKUP(C154,'G-7 WaterC'' Data'!$B$4:$G$8,4,FALSE))</f>
        <v/>
      </c>
      <c r="S154" s="289" t="str">
        <f t="shared" si="16"/>
        <v/>
      </c>
      <c r="T154" s="320" t="str">
        <f t="shared" si="17"/>
        <v/>
      </c>
      <c r="U154" s="282" t="str">
        <f>IF(C154="","",VLOOKUP(T154,'G-3 Multipliers'!$P$2:$Q$6,2,FALSE))</f>
        <v/>
      </c>
      <c r="V154" s="106"/>
      <c r="W154" s="282" t="str">
        <f>IF(V154="","",IF(AND(V154="N/A - Culvert",C154&lt;&gt;"Culvert"),"Not possible ▲",IF(AND(C154="Culvert",V154&lt;&gt;"N/A - Culvert"),"Not possible ▲",IF(VLOOKUP(V154,'G-7 WaterC'' Data'!$AA$4:$AB$7,2,FALSE)=0,"Spatial Data Missing ⚠",VLOOKUP(V154,'G-7 WaterC'' Data'!$AA$4:$AB$7,2,FALSE)))))</f>
        <v/>
      </c>
      <c r="X154" s="56"/>
      <c r="Y154" s="282" t="str">
        <f>IF(X154="","",IF(AND(X154="N/A - Culvert", C154&lt;&gt;"Culvert"), "Not possible ▲",IF(AND(C154="Culvert",X154&lt;&gt;"N/A - Culvert"),"Not possible ▲",IF(VLOOKUP(X154,'G-7 WaterC'' Data'!$AD$4:$AE$14,2,FALSE)=0,"Enrcoachment Data Missing ⚠",VLOOKUP(X154,'G-7 WaterC'' Data'!$AD$4:$AE$14,2,FALSE)))))</f>
        <v/>
      </c>
      <c r="Z154" s="106"/>
      <c r="AA154" s="282" t="str">
        <f>IF(Z154="","",IF(VLOOKUP(Z154,'G-7 WaterC'' Data'!$AO$4:$BO$7,2,FALSE)=0,"Spatial Data Missing ⚠",VLOOKUP(Z154,'G-7 WaterC'' Data'!$AO$4:$BO$7,2,FALSE)))</f>
        <v/>
      </c>
      <c r="AB154" s="323" t="str">
        <f t="shared" si="18"/>
        <v/>
      </c>
      <c r="AC154" s="323" t="str">
        <f t="shared" si="19"/>
        <v/>
      </c>
      <c r="AD154" s="105"/>
      <c r="AE154" s="968"/>
      <c r="AF154" s="142"/>
      <c r="AG154" s="142"/>
      <c r="AH154" s="964"/>
      <c r="AL154" s="30" t="str">
        <f>IFERROR(INDEX('G-7 WaterC'' Data'!$AZ$3:$AZ$7,MATCH(C154,'G-7 WaterC'' Data'!$AY$3:$AY$7,0)),"")</f>
        <v/>
      </c>
      <c r="AN154" s="30" t="str">
        <f t="shared" si="20"/>
        <v>No</v>
      </c>
    </row>
    <row r="155" spans="2:40" ht="13.8" x14ac:dyDescent="0.25">
      <c r="B155" s="101">
        <v>144</v>
      </c>
      <c r="C155" s="953"/>
      <c r="D155" s="119"/>
      <c r="E155" s="281" t="str">
        <f>IF(C155="","",VLOOKUP(C155,'G-7 WaterC'' Data'!$B$2:$Z$9,2,FALSE))</f>
        <v/>
      </c>
      <c r="F155" s="282" t="str">
        <f>IFERROR(VLOOKUP(E155,'G-7 WaterC'' Data'!$C$4:$D$8,2,FALSE),"")</f>
        <v/>
      </c>
      <c r="G155" s="52"/>
      <c r="H155" s="282" t="str">
        <f>IFERROR(INDEX('G-7 WaterC'' Data'!$H$4:$L$8,MATCH(C155,'G-7 WaterC'' Data'!$B$4:$B$8,0),MATCH(G155,'G-7 WaterC'' Data'!$H$3:$L$3,0)),"")</f>
        <v/>
      </c>
      <c r="I155" s="52"/>
      <c r="J155" s="320" t="str">
        <f>IF(I155="","",IF(VLOOKUP(I155,'G-7 WaterC'' Data'!$AK$4:$AM$6,2,FALSE)=0,"Spatial Data Missing ⚠",VLOOKUP(I155,'G-7 WaterC'' Data'!$AK$4:$AM$6,2,FALSE)))</f>
        <v/>
      </c>
      <c r="K155" s="282" t="str">
        <f>IF(I155="","",IF(VLOOKUP(I155,'G-7 WaterC'' Data'!$AK$4:$AM$6,3,FALSE)=0,"Spatial Data Missing ⚠",VLOOKUP(I155,'G-7 WaterC'' Data'!$AK$4:$AM$6,3,FALSE)))</f>
        <v/>
      </c>
      <c r="L155" s="382" t="str">
        <f>IFERROR(INDEX('G-7 WaterC'' Data'!$O$3:$O$7,MATCH(G155,'G-7 WaterC'' Data'!$N$3:$N$7,0)),"")</f>
        <v/>
      </c>
      <c r="M155" s="53"/>
      <c r="N155" s="137"/>
      <c r="O155" s="289" t="str">
        <f t="shared" si="14"/>
        <v/>
      </c>
      <c r="P155" s="302" t="str">
        <f t="shared" si="15"/>
        <v/>
      </c>
      <c r="Q155" s="340" t="str">
        <f>IFERROR(IF(P155="Check Data ⚠","Check Data ⚠",VLOOKUP(P155,'G-4 Temporal multipliers'!$A$4:$C$37,3,FALSE)),"")</f>
        <v/>
      </c>
      <c r="R155" s="281" t="str">
        <f>IF(C155="","",VLOOKUP(C155,'G-7 WaterC'' Data'!$B$4:$G$8,4,FALSE))</f>
        <v/>
      </c>
      <c r="S155" s="289" t="str">
        <f t="shared" si="16"/>
        <v/>
      </c>
      <c r="T155" s="320" t="str">
        <f t="shared" si="17"/>
        <v/>
      </c>
      <c r="U155" s="282" t="str">
        <f>IF(C155="","",VLOOKUP(T155,'G-3 Multipliers'!$P$2:$Q$6,2,FALSE))</f>
        <v/>
      </c>
      <c r="V155" s="106"/>
      <c r="W155" s="282" t="str">
        <f>IF(V155="","",IF(AND(V155="N/A - Culvert",C155&lt;&gt;"Culvert"),"Not possible ▲",IF(AND(C155="Culvert",V155&lt;&gt;"N/A - Culvert"),"Not possible ▲",IF(VLOOKUP(V155,'G-7 WaterC'' Data'!$AA$4:$AB$7,2,FALSE)=0,"Spatial Data Missing ⚠",VLOOKUP(V155,'G-7 WaterC'' Data'!$AA$4:$AB$7,2,FALSE)))))</f>
        <v/>
      </c>
      <c r="X155" s="56"/>
      <c r="Y155" s="282" t="str">
        <f>IF(X155="","",IF(AND(X155="N/A - Culvert", C155&lt;&gt;"Culvert"), "Not possible ▲",IF(AND(C155="Culvert",X155&lt;&gt;"N/A - Culvert"),"Not possible ▲",IF(VLOOKUP(X155,'G-7 WaterC'' Data'!$AD$4:$AE$14,2,FALSE)=0,"Enrcoachment Data Missing ⚠",VLOOKUP(X155,'G-7 WaterC'' Data'!$AD$4:$AE$14,2,FALSE)))))</f>
        <v/>
      </c>
      <c r="Z155" s="106"/>
      <c r="AA155" s="282" t="str">
        <f>IF(Z155="","",IF(VLOOKUP(Z155,'G-7 WaterC'' Data'!$AO$4:$BO$7,2,FALSE)=0,"Spatial Data Missing ⚠",VLOOKUP(Z155,'G-7 WaterC'' Data'!$AO$4:$BO$7,2,FALSE)))</f>
        <v/>
      </c>
      <c r="AB155" s="323" t="str">
        <f t="shared" si="18"/>
        <v/>
      </c>
      <c r="AC155" s="323" t="str">
        <f t="shared" si="19"/>
        <v/>
      </c>
      <c r="AD155" s="105"/>
      <c r="AE155" s="968"/>
      <c r="AF155" s="142"/>
      <c r="AG155" s="142"/>
      <c r="AH155" s="964"/>
      <c r="AL155" s="30" t="str">
        <f>IFERROR(INDEX('G-7 WaterC'' Data'!$AZ$3:$AZ$7,MATCH(C155,'G-7 WaterC'' Data'!$AY$3:$AY$7,0)),"")</f>
        <v/>
      </c>
      <c r="AN155" s="30" t="str">
        <f t="shared" si="20"/>
        <v>No</v>
      </c>
    </row>
    <row r="156" spans="2:40" ht="13.8" x14ac:dyDescent="0.25">
      <c r="B156" s="101">
        <v>145</v>
      </c>
      <c r="C156" s="953"/>
      <c r="D156" s="119"/>
      <c r="E156" s="281" t="str">
        <f>IF(C156="","",VLOOKUP(C156,'G-7 WaterC'' Data'!$B$2:$Z$9,2,FALSE))</f>
        <v/>
      </c>
      <c r="F156" s="282" t="str">
        <f>IFERROR(VLOOKUP(E156,'G-7 WaterC'' Data'!$C$4:$D$8,2,FALSE),"")</f>
        <v/>
      </c>
      <c r="G156" s="52"/>
      <c r="H156" s="282" t="str">
        <f>IFERROR(INDEX('G-7 WaterC'' Data'!$H$4:$L$8,MATCH(C156,'G-7 WaterC'' Data'!$B$4:$B$8,0),MATCH(G156,'G-7 WaterC'' Data'!$H$3:$L$3,0)),"")</f>
        <v/>
      </c>
      <c r="I156" s="52"/>
      <c r="J156" s="320" t="str">
        <f>IF(I156="","",IF(VLOOKUP(I156,'G-7 WaterC'' Data'!$AK$4:$AM$6,2,FALSE)=0,"Spatial Data Missing ⚠",VLOOKUP(I156,'G-7 WaterC'' Data'!$AK$4:$AM$6,2,FALSE)))</f>
        <v/>
      </c>
      <c r="K156" s="282" t="str">
        <f>IF(I156="","",IF(VLOOKUP(I156,'G-7 WaterC'' Data'!$AK$4:$AM$6,3,FALSE)=0,"Spatial Data Missing ⚠",VLOOKUP(I156,'G-7 WaterC'' Data'!$AK$4:$AM$6,3,FALSE)))</f>
        <v/>
      </c>
      <c r="L156" s="382" t="str">
        <f>IFERROR(INDEX('G-7 WaterC'' Data'!$O$3:$O$7,MATCH(G156,'G-7 WaterC'' Data'!$N$3:$N$7,0)),"")</f>
        <v/>
      </c>
      <c r="M156" s="53"/>
      <c r="N156" s="137"/>
      <c r="O156" s="289" t="str">
        <f t="shared" si="14"/>
        <v/>
      </c>
      <c r="P156" s="302" t="str">
        <f t="shared" si="15"/>
        <v/>
      </c>
      <c r="Q156" s="340" t="str">
        <f>IFERROR(IF(P156="Check Data ⚠","Check Data ⚠",VLOOKUP(P156,'G-4 Temporal multipliers'!$A$4:$C$37,3,FALSE)),"")</f>
        <v/>
      </c>
      <c r="R156" s="281" t="str">
        <f>IF(C156="","",VLOOKUP(C156,'G-7 WaterC'' Data'!$B$4:$G$8,4,FALSE))</f>
        <v/>
      </c>
      <c r="S156" s="289" t="str">
        <f t="shared" si="16"/>
        <v/>
      </c>
      <c r="T156" s="320" t="str">
        <f t="shared" si="17"/>
        <v/>
      </c>
      <c r="U156" s="282" t="str">
        <f>IF(C156="","",VLOOKUP(T156,'G-3 Multipliers'!$P$2:$Q$6,2,FALSE))</f>
        <v/>
      </c>
      <c r="V156" s="106"/>
      <c r="W156" s="282" t="str">
        <f>IF(V156="","",IF(AND(V156="N/A - Culvert",C156&lt;&gt;"Culvert"),"Not possible ▲",IF(AND(C156="Culvert",V156&lt;&gt;"N/A - Culvert"),"Not possible ▲",IF(VLOOKUP(V156,'G-7 WaterC'' Data'!$AA$4:$AB$7,2,FALSE)=0,"Spatial Data Missing ⚠",VLOOKUP(V156,'G-7 WaterC'' Data'!$AA$4:$AB$7,2,FALSE)))))</f>
        <v/>
      </c>
      <c r="X156" s="56"/>
      <c r="Y156" s="282" t="str">
        <f>IF(X156="","",IF(AND(X156="N/A - Culvert", C156&lt;&gt;"Culvert"), "Not possible ▲",IF(AND(C156="Culvert",X156&lt;&gt;"N/A - Culvert"),"Not possible ▲",IF(VLOOKUP(X156,'G-7 WaterC'' Data'!$AD$4:$AE$14,2,FALSE)=0,"Enrcoachment Data Missing ⚠",VLOOKUP(X156,'G-7 WaterC'' Data'!$AD$4:$AE$14,2,FALSE)))))</f>
        <v/>
      </c>
      <c r="Z156" s="106"/>
      <c r="AA156" s="282" t="str">
        <f>IF(Z156="","",IF(VLOOKUP(Z156,'G-7 WaterC'' Data'!$AO$4:$BO$7,2,FALSE)=0,"Spatial Data Missing ⚠",VLOOKUP(Z156,'G-7 WaterC'' Data'!$AO$4:$BO$7,2,FALSE)))</f>
        <v/>
      </c>
      <c r="AB156" s="323" t="str">
        <f t="shared" si="18"/>
        <v/>
      </c>
      <c r="AC156" s="323" t="str">
        <f t="shared" si="19"/>
        <v/>
      </c>
      <c r="AD156" s="105"/>
      <c r="AE156" s="968"/>
      <c r="AF156" s="142"/>
      <c r="AG156" s="142"/>
      <c r="AH156" s="964"/>
      <c r="AL156" s="30" t="str">
        <f>IFERROR(INDEX('G-7 WaterC'' Data'!$AZ$3:$AZ$7,MATCH(C156,'G-7 WaterC'' Data'!$AY$3:$AY$7,0)),"")</f>
        <v/>
      </c>
      <c r="AN156" s="30" t="str">
        <f t="shared" si="20"/>
        <v>No</v>
      </c>
    </row>
    <row r="157" spans="2:40" ht="13.8" x14ac:dyDescent="0.25">
      <c r="B157" s="101">
        <v>146</v>
      </c>
      <c r="C157" s="953"/>
      <c r="D157" s="119"/>
      <c r="E157" s="281" t="str">
        <f>IF(C157="","",VLOOKUP(C157,'G-7 WaterC'' Data'!$B$2:$Z$9,2,FALSE))</f>
        <v/>
      </c>
      <c r="F157" s="282" t="str">
        <f>IFERROR(VLOOKUP(E157,'G-7 WaterC'' Data'!$C$4:$D$8,2,FALSE),"")</f>
        <v/>
      </c>
      <c r="G157" s="52"/>
      <c r="H157" s="282" t="str">
        <f>IFERROR(INDEX('G-7 WaterC'' Data'!$H$4:$L$8,MATCH(C157,'G-7 WaterC'' Data'!$B$4:$B$8,0),MATCH(G157,'G-7 WaterC'' Data'!$H$3:$L$3,0)),"")</f>
        <v/>
      </c>
      <c r="I157" s="52"/>
      <c r="J157" s="320" t="str">
        <f>IF(I157="","",IF(VLOOKUP(I157,'G-7 WaterC'' Data'!$AK$4:$AM$6,2,FALSE)=0,"Spatial Data Missing ⚠",VLOOKUP(I157,'G-7 WaterC'' Data'!$AK$4:$AM$6,2,FALSE)))</f>
        <v/>
      </c>
      <c r="K157" s="282" t="str">
        <f>IF(I157="","",IF(VLOOKUP(I157,'G-7 WaterC'' Data'!$AK$4:$AM$6,3,FALSE)=0,"Spatial Data Missing ⚠",VLOOKUP(I157,'G-7 WaterC'' Data'!$AK$4:$AM$6,3,FALSE)))</f>
        <v/>
      </c>
      <c r="L157" s="382" t="str">
        <f>IFERROR(INDEX('G-7 WaterC'' Data'!$O$3:$O$7,MATCH(G157,'G-7 WaterC'' Data'!$N$3:$N$7,0)),"")</f>
        <v/>
      </c>
      <c r="M157" s="53"/>
      <c r="N157" s="137"/>
      <c r="O157" s="289" t="str">
        <f t="shared" si="14"/>
        <v/>
      </c>
      <c r="P157" s="302" t="str">
        <f t="shared" si="15"/>
        <v/>
      </c>
      <c r="Q157" s="340" t="str">
        <f>IFERROR(IF(P157="Check Data ⚠","Check Data ⚠",VLOOKUP(P157,'G-4 Temporal multipliers'!$A$4:$C$37,3,FALSE)),"")</f>
        <v/>
      </c>
      <c r="R157" s="281" t="str">
        <f>IF(C157="","",VLOOKUP(C157,'G-7 WaterC'' Data'!$B$4:$G$8,4,FALSE))</f>
        <v/>
      </c>
      <c r="S157" s="289" t="str">
        <f t="shared" si="16"/>
        <v/>
      </c>
      <c r="T157" s="320" t="str">
        <f t="shared" si="17"/>
        <v/>
      </c>
      <c r="U157" s="282" t="str">
        <f>IF(C157="","",VLOOKUP(T157,'G-3 Multipliers'!$P$2:$Q$6,2,FALSE))</f>
        <v/>
      </c>
      <c r="V157" s="106"/>
      <c r="W157" s="282" t="str">
        <f>IF(V157="","",IF(AND(V157="N/A - Culvert",C157&lt;&gt;"Culvert"),"Not possible ▲",IF(AND(C157="Culvert",V157&lt;&gt;"N/A - Culvert"),"Not possible ▲",IF(VLOOKUP(V157,'G-7 WaterC'' Data'!$AA$4:$AB$7,2,FALSE)=0,"Spatial Data Missing ⚠",VLOOKUP(V157,'G-7 WaterC'' Data'!$AA$4:$AB$7,2,FALSE)))))</f>
        <v/>
      </c>
      <c r="X157" s="56"/>
      <c r="Y157" s="282" t="str">
        <f>IF(X157="","",IF(AND(X157="N/A - Culvert", C157&lt;&gt;"Culvert"), "Not possible ▲",IF(AND(C157="Culvert",X157&lt;&gt;"N/A - Culvert"),"Not possible ▲",IF(VLOOKUP(X157,'G-7 WaterC'' Data'!$AD$4:$AE$14,2,FALSE)=0,"Enrcoachment Data Missing ⚠",VLOOKUP(X157,'G-7 WaterC'' Data'!$AD$4:$AE$14,2,FALSE)))))</f>
        <v/>
      </c>
      <c r="Z157" s="106"/>
      <c r="AA157" s="282" t="str">
        <f>IF(Z157="","",IF(VLOOKUP(Z157,'G-7 WaterC'' Data'!$AO$4:$BO$7,2,FALSE)=0,"Spatial Data Missing ⚠",VLOOKUP(Z157,'G-7 WaterC'' Data'!$AO$4:$BO$7,2,FALSE)))</f>
        <v/>
      </c>
      <c r="AB157" s="323" t="str">
        <f t="shared" si="18"/>
        <v/>
      </c>
      <c r="AC157" s="323" t="str">
        <f t="shared" si="19"/>
        <v/>
      </c>
      <c r="AD157" s="105"/>
      <c r="AE157" s="968"/>
      <c r="AF157" s="142"/>
      <c r="AG157" s="142"/>
      <c r="AH157" s="964"/>
      <c r="AL157" s="30" t="str">
        <f>IFERROR(INDEX('G-7 WaterC'' Data'!$AZ$3:$AZ$7,MATCH(C157,'G-7 WaterC'' Data'!$AY$3:$AY$7,0)),"")</f>
        <v/>
      </c>
      <c r="AN157" s="30" t="str">
        <f t="shared" si="20"/>
        <v>No</v>
      </c>
    </row>
    <row r="158" spans="2:40" ht="13.8" x14ac:dyDescent="0.25">
      <c r="B158" s="101">
        <v>147</v>
      </c>
      <c r="C158" s="953"/>
      <c r="D158" s="119"/>
      <c r="E158" s="281" t="str">
        <f>IF(C158="","",VLOOKUP(C158,'G-7 WaterC'' Data'!$B$2:$Z$9,2,FALSE))</f>
        <v/>
      </c>
      <c r="F158" s="282" t="str">
        <f>IFERROR(VLOOKUP(E158,'G-7 WaterC'' Data'!$C$4:$D$8,2,FALSE),"")</f>
        <v/>
      </c>
      <c r="G158" s="52"/>
      <c r="H158" s="282" t="str">
        <f>IFERROR(INDEX('G-7 WaterC'' Data'!$H$4:$L$8,MATCH(C158,'G-7 WaterC'' Data'!$B$4:$B$8,0),MATCH(G158,'G-7 WaterC'' Data'!$H$3:$L$3,0)),"")</f>
        <v/>
      </c>
      <c r="I158" s="52"/>
      <c r="J158" s="320" t="str">
        <f>IF(I158="","",IF(VLOOKUP(I158,'G-7 WaterC'' Data'!$AK$4:$AM$6,2,FALSE)=0,"Spatial Data Missing ⚠",VLOOKUP(I158,'G-7 WaterC'' Data'!$AK$4:$AM$6,2,FALSE)))</f>
        <v/>
      </c>
      <c r="K158" s="282" t="str">
        <f>IF(I158="","",IF(VLOOKUP(I158,'G-7 WaterC'' Data'!$AK$4:$AM$6,3,FALSE)=0,"Spatial Data Missing ⚠",VLOOKUP(I158,'G-7 WaterC'' Data'!$AK$4:$AM$6,3,FALSE)))</f>
        <v/>
      </c>
      <c r="L158" s="382" t="str">
        <f>IFERROR(INDEX('G-7 WaterC'' Data'!$O$3:$O$7,MATCH(G158,'G-7 WaterC'' Data'!$N$3:$N$7,0)),"")</f>
        <v/>
      </c>
      <c r="M158" s="53"/>
      <c r="N158" s="137"/>
      <c r="O158" s="289" t="str">
        <f t="shared" si="14"/>
        <v/>
      </c>
      <c r="P158" s="302" t="str">
        <f t="shared" si="15"/>
        <v/>
      </c>
      <c r="Q158" s="340" t="str">
        <f>IFERROR(IF(P158="Check Data ⚠","Check Data ⚠",VLOOKUP(P158,'G-4 Temporal multipliers'!$A$4:$C$37,3,FALSE)),"")</f>
        <v/>
      </c>
      <c r="R158" s="281" t="str">
        <f>IF(C158="","",VLOOKUP(C158,'G-7 WaterC'' Data'!$B$4:$G$8,4,FALSE))</f>
        <v/>
      </c>
      <c r="S158" s="289" t="str">
        <f t="shared" si="16"/>
        <v/>
      </c>
      <c r="T158" s="320" t="str">
        <f t="shared" si="17"/>
        <v/>
      </c>
      <c r="U158" s="282" t="str">
        <f>IF(C158="","",VLOOKUP(T158,'G-3 Multipliers'!$P$2:$Q$6,2,FALSE))</f>
        <v/>
      </c>
      <c r="V158" s="106"/>
      <c r="W158" s="282" t="str">
        <f>IF(V158="","",IF(AND(V158="N/A - Culvert",C158&lt;&gt;"Culvert"),"Not possible ▲",IF(AND(C158="Culvert",V158&lt;&gt;"N/A - Culvert"),"Not possible ▲",IF(VLOOKUP(V158,'G-7 WaterC'' Data'!$AA$4:$AB$7,2,FALSE)=0,"Spatial Data Missing ⚠",VLOOKUP(V158,'G-7 WaterC'' Data'!$AA$4:$AB$7,2,FALSE)))))</f>
        <v/>
      </c>
      <c r="X158" s="56"/>
      <c r="Y158" s="282" t="str">
        <f>IF(X158="","",IF(AND(X158="N/A - Culvert", C158&lt;&gt;"Culvert"), "Not possible ▲",IF(AND(C158="Culvert",X158&lt;&gt;"N/A - Culvert"),"Not possible ▲",IF(VLOOKUP(X158,'G-7 WaterC'' Data'!$AD$4:$AE$14,2,FALSE)=0,"Enrcoachment Data Missing ⚠",VLOOKUP(X158,'G-7 WaterC'' Data'!$AD$4:$AE$14,2,FALSE)))))</f>
        <v/>
      </c>
      <c r="Z158" s="106"/>
      <c r="AA158" s="282" t="str">
        <f>IF(Z158="","",IF(VLOOKUP(Z158,'G-7 WaterC'' Data'!$AO$4:$BO$7,2,FALSE)=0,"Spatial Data Missing ⚠",VLOOKUP(Z158,'G-7 WaterC'' Data'!$AO$4:$BO$7,2,FALSE)))</f>
        <v/>
      </c>
      <c r="AB158" s="323" t="str">
        <f t="shared" si="18"/>
        <v/>
      </c>
      <c r="AC158" s="323" t="str">
        <f t="shared" si="19"/>
        <v/>
      </c>
      <c r="AD158" s="105"/>
      <c r="AE158" s="968"/>
      <c r="AF158" s="142"/>
      <c r="AG158" s="142"/>
      <c r="AH158" s="964"/>
      <c r="AL158" s="30" t="str">
        <f>IFERROR(INDEX('G-7 WaterC'' Data'!$AZ$3:$AZ$7,MATCH(C158,'G-7 WaterC'' Data'!$AY$3:$AY$7,0)),"")</f>
        <v/>
      </c>
      <c r="AN158" s="30" t="str">
        <f t="shared" si="20"/>
        <v>No</v>
      </c>
    </row>
    <row r="159" spans="2:40" ht="13.8" x14ac:dyDescent="0.25">
      <c r="B159" s="101">
        <v>148</v>
      </c>
      <c r="C159" s="953"/>
      <c r="D159" s="119"/>
      <c r="E159" s="281" t="str">
        <f>IF(C159="","",VLOOKUP(C159,'G-7 WaterC'' Data'!$B$2:$Z$9,2,FALSE))</f>
        <v/>
      </c>
      <c r="F159" s="282" t="str">
        <f>IFERROR(VLOOKUP(E159,'G-7 WaterC'' Data'!$C$4:$D$8,2,FALSE),"")</f>
        <v/>
      </c>
      <c r="G159" s="52"/>
      <c r="H159" s="282" t="str">
        <f>IFERROR(INDEX('G-7 WaterC'' Data'!$H$4:$L$8,MATCH(C159,'G-7 WaterC'' Data'!$B$4:$B$8,0),MATCH(G159,'G-7 WaterC'' Data'!$H$3:$L$3,0)),"")</f>
        <v/>
      </c>
      <c r="I159" s="52"/>
      <c r="J159" s="320" t="str">
        <f>IF(I159="","",IF(VLOOKUP(I159,'G-7 WaterC'' Data'!$AK$4:$AM$6,2,FALSE)=0,"Spatial Data Missing ⚠",VLOOKUP(I159,'G-7 WaterC'' Data'!$AK$4:$AM$6,2,FALSE)))</f>
        <v/>
      </c>
      <c r="K159" s="282" t="str">
        <f>IF(I159="","",IF(VLOOKUP(I159,'G-7 WaterC'' Data'!$AK$4:$AM$6,3,FALSE)=0,"Spatial Data Missing ⚠",VLOOKUP(I159,'G-7 WaterC'' Data'!$AK$4:$AM$6,3,FALSE)))</f>
        <v/>
      </c>
      <c r="L159" s="382" t="str">
        <f>IFERROR(INDEX('G-7 WaterC'' Data'!$O$3:$O$7,MATCH(G159,'G-7 WaterC'' Data'!$N$3:$N$7,0)),"")</f>
        <v/>
      </c>
      <c r="M159" s="53"/>
      <c r="N159" s="137"/>
      <c r="O159" s="289" t="str">
        <f t="shared" si="14"/>
        <v/>
      </c>
      <c r="P159" s="302" t="str">
        <f t="shared" si="15"/>
        <v/>
      </c>
      <c r="Q159" s="340" t="str">
        <f>IFERROR(IF(P159="Check Data ⚠","Check Data ⚠",VLOOKUP(P159,'G-4 Temporal multipliers'!$A$4:$C$37,3,FALSE)),"")</f>
        <v/>
      </c>
      <c r="R159" s="281" t="str">
        <f>IF(C159="","",VLOOKUP(C159,'G-7 WaterC'' Data'!$B$4:$G$8,4,FALSE))</f>
        <v/>
      </c>
      <c r="S159" s="289" t="str">
        <f t="shared" si="16"/>
        <v/>
      </c>
      <c r="T159" s="320" t="str">
        <f t="shared" si="17"/>
        <v/>
      </c>
      <c r="U159" s="282" t="str">
        <f>IF(C159="","",VLOOKUP(T159,'G-3 Multipliers'!$P$2:$Q$6,2,FALSE))</f>
        <v/>
      </c>
      <c r="V159" s="106"/>
      <c r="W159" s="282" t="str">
        <f>IF(V159="","",IF(AND(V159="N/A - Culvert",C159&lt;&gt;"Culvert"),"Not possible ▲",IF(AND(C159="Culvert",V159&lt;&gt;"N/A - Culvert"),"Not possible ▲",IF(VLOOKUP(V159,'G-7 WaterC'' Data'!$AA$4:$AB$7,2,FALSE)=0,"Spatial Data Missing ⚠",VLOOKUP(V159,'G-7 WaterC'' Data'!$AA$4:$AB$7,2,FALSE)))))</f>
        <v/>
      </c>
      <c r="X159" s="56"/>
      <c r="Y159" s="282" t="str">
        <f>IF(X159="","",IF(AND(X159="N/A - Culvert", C159&lt;&gt;"Culvert"), "Not possible ▲",IF(AND(C159="Culvert",X159&lt;&gt;"N/A - Culvert"),"Not possible ▲",IF(VLOOKUP(X159,'G-7 WaterC'' Data'!$AD$4:$AE$14,2,FALSE)=0,"Enrcoachment Data Missing ⚠",VLOOKUP(X159,'G-7 WaterC'' Data'!$AD$4:$AE$14,2,FALSE)))))</f>
        <v/>
      </c>
      <c r="Z159" s="106"/>
      <c r="AA159" s="282" t="str">
        <f>IF(Z159="","",IF(VLOOKUP(Z159,'G-7 WaterC'' Data'!$AO$4:$BO$7,2,FALSE)=0,"Spatial Data Missing ⚠",VLOOKUP(Z159,'G-7 WaterC'' Data'!$AO$4:$BO$7,2,FALSE)))</f>
        <v/>
      </c>
      <c r="AB159" s="323" t="str">
        <f t="shared" si="18"/>
        <v/>
      </c>
      <c r="AC159" s="323" t="str">
        <f t="shared" si="19"/>
        <v/>
      </c>
      <c r="AD159" s="105"/>
      <c r="AE159" s="968"/>
      <c r="AF159" s="142"/>
      <c r="AG159" s="142"/>
      <c r="AH159" s="964"/>
      <c r="AL159" s="30" t="str">
        <f>IFERROR(INDEX('G-7 WaterC'' Data'!$AZ$3:$AZ$7,MATCH(C159,'G-7 WaterC'' Data'!$AY$3:$AY$7,0)),"")</f>
        <v/>
      </c>
      <c r="AN159" s="30" t="str">
        <f t="shared" si="20"/>
        <v>No</v>
      </c>
    </row>
    <row r="160" spans="2:40" ht="13.8" x14ac:dyDescent="0.25">
      <c r="B160" s="101">
        <v>149</v>
      </c>
      <c r="C160" s="953"/>
      <c r="D160" s="119"/>
      <c r="E160" s="281" t="str">
        <f>IF(C160="","",VLOOKUP(C160,'G-7 WaterC'' Data'!$B$2:$Z$9,2,FALSE))</f>
        <v/>
      </c>
      <c r="F160" s="282" t="str">
        <f>IFERROR(VLOOKUP(E160,'G-7 WaterC'' Data'!$C$4:$D$8,2,FALSE),"")</f>
        <v/>
      </c>
      <c r="G160" s="52"/>
      <c r="H160" s="282" t="str">
        <f>IFERROR(INDEX('G-7 WaterC'' Data'!$H$4:$L$8,MATCH(C160,'G-7 WaterC'' Data'!$B$4:$B$8,0),MATCH(G160,'G-7 WaterC'' Data'!$H$3:$L$3,0)),"")</f>
        <v/>
      </c>
      <c r="I160" s="52"/>
      <c r="J160" s="320" t="str">
        <f>IF(I160="","",IF(VLOOKUP(I160,'G-7 WaterC'' Data'!$AK$4:$AM$6,2,FALSE)=0,"Spatial Data Missing ⚠",VLOOKUP(I160,'G-7 WaterC'' Data'!$AK$4:$AM$6,2,FALSE)))</f>
        <v/>
      </c>
      <c r="K160" s="282" t="str">
        <f>IF(I160="","",IF(VLOOKUP(I160,'G-7 WaterC'' Data'!$AK$4:$AM$6,3,FALSE)=0,"Spatial Data Missing ⚠",VLOOKUP(I160,'G-7 WaterC'' Data'!$AK$4:$AM$6,3,FALSE)))</f>
        <v/>
      </c>
      <c r="L160" s="382" t="str">
        <f>IFERROR(INDEX('G-7 WaterC'' Data'!$O$3:$O$7,MATCH(G160,'G-7 WaterC'' Data'!$N$3:$N$7,0)),"")</f>
        <v/>
      </c>
      <c r="M160" s="53"/>
      <c r="N160" s="137"/>
      <c r="O160" s="289" t="str">
        <f t="shared" si="14"/>
        <v/>
      </c>
      <c r="P160" s="302" t="str">
        <f t="shared" si="15"/>
        <v/>
      </c>
      <c r="Q160" s="340" t="str">
        <f>IFERROR(IF(P160="Check Data ⚠","Check Data ⚠",VLOOKUP(P160,'G-4 Temporal multipliers'!$A$4:$C$37,3,FALSE)),"")</f>
        <v/>
      </c>
      <c r="R160" s="281" t="str">
        <f>IF(C160="","",VLOOKUP(C160,'G-7 WaterC'' Data'!$B$4:$G$8,4,FALSE))</f>
        <v/>
      </c>
      <c r="S160" s="289" t="str">
        <f t="shared" si="16"/>
        <v/>
      </c>
      <c r="T160" s="320" t="str">
        <f t="shared" si="17"/>
        <v/>
      </c>
      <c r="U160" s="282" t="str">
        <f>IF(C160="","",VLOOKUP(T160,'G-3 Multipliers'!$P$2:$Q$6,2,FALSE))</f>
        <v/>
      </c>
      <c r="V160" s="106"/>
      <c r="W160" s="282" t="str">
        <f>IF(V160="","",IF(AND(V160="N/A - Culvert",C160&lt;&gt;"Culvert"),"Not possible ▲",IF(AND(C160="Culvert",V160&lt;&gt;"N/A - Culvert"),"Not possible ▲",IF(VLOOKUP(V160,'G-7 WaterC'' Data'!$AA$4:$AB$7,2,FALSE)=0,"Spatial Data Missing ⚠",VLOOKUP(V160,'G-7 WaterC'' Data'!$AA$4:$AB$7,2,FALSE)))))</f>
        <v/>
      </c>
      <c r="X160" s="56"/>
      <c r="Y160" s="282" t="str">
        <f>IF(X160="","",IF(AND(X160="N/A - Culvert", C160&lt;&gt;"Culvert"), "Not possible ▲",IF(AND(C160="Culvert",X160&lt;&gt;"N/A - Culvert"),"Not possible ▲",IF(VLOOKUP(X160,'G-7 WaterC'' Data'!$AD$4:$AE$14,2,FALSE)=0,"Enrcoachment Data Missing ⚠",VLOOKUP(X160,'G-7 WaterC'' Data'!$AD$4:$AE$14,2,FALSE)))))</f>
        <v/>
      </c>
      <c r="Z160" s="106"/>
      <c r="AA160" s="282" t="str">
        <f>IF(Z160="","",IF(VLOOKUP(Z160,'G-7 WaterC'' Data'!$AO$4:$BO$7,2,FALSE)=0,"Spatial Data Missing ⚠",VLOOKUP(Z160,'G-7 WaterC'' Data'!$AO$4:$BO$7,2,FALSE)))</f>
        <v/>
      </c>
      <c r="AB160" s="323" t="str">
        <f t="shared" si="18"/>
        <v/>
      </c>
      <c r="AC160" s="323" t="str">
        <f t="shared" si="19"/>
        <v/>
      </c>
      <c r="AD160" s="105"/>
      <c r="AE160" s="968"/>
      <c r="AF160" s="142"/>
      <c r="AG160" s="142"/>
      <c r="AH160" s="964"/>
      <c r="AL160" s="30" t="str">
        <f>IFERROR(INDEX('G-7 WaterC'' Data'!$AZ$3:$AZ$7,MATCH(C160,'G-7 WaterC'' Data'!$AY$3:$AY$7,0)),"")</f>
        <v/>
      </c>
      <c r="AN160" s="30" t="str">
        <f t="shared" si="20"/>
        <v>No</v>
      </c>
    </row>
    <row r="161" spans="2:40" ht="13.8" x14ac:dyDescent="0.25">
      <c r="B161" s="101">
        <v>150</v>
      </c>
      <c r="C161" s="953"/>
      <c r="D161" s="119"/>
      <c r="E161" s="281" t="str">
        <f>IF(C161="","",VLOOKUP(C161,'G-7 WaterC'' Data'!$B$2:$Z$9,2,FALSE))</f>
        <v/>
      </c>
      <c r="F161" s="282" t="str">
        <f>IFERROR(VLOOKUP(E161,'G-7 WaterC'' Data'!$C$4:$D$8,2,FALSE),"")</f>
        <v/>
      </c>
      <c r="G161" s="52"/>
      <c r="H161" s="282" t="str">
        <f>IFERROR(INDEX('G-7 WaterC'' Data'!$H$4:$L$8,MATCH(C161,'G-7 WaterC'' Data'!$B$4:$B$8,0),MATCH(G161,'G-7 WaterC'' Data'!$H$3:$L$3,0)),"")</f>
        <v/>
      </c>
      <c r="I161" s="52"/>
      <c r="J161" s="320" t="str">
        <f>IF(I161="","",IF(VLOOKUP(I161,'G-7 WaterC'' Data'!$AK$4:$AM$6,2,FALSE)=0,"Spatial Data Missing ⚠",VLOOKUP(I161,'G-7 WaterC'' Data'!$AK$4:$AM$6,2,FALSE)))</f>
        <v/>
      </c>
      <c r="K161" s="282" t="str">
        <f>IF(I161="","",IF(VLOOKUP(I161,'G-7 WaterC'' Data'!$AK$4:$AM$6,3,FALSE)=0,"Spatial Data Missing ⚠",VLOOKUP(I161,'G-7 WaterC'' Data'!$AK$4:$AM$6,3,FALSE)))</f>
        <v/>
      </c>
      <c r="L161" s="382" t="str">
        <f>IFERROR(INDEX('G-7 WaterC'' Data'!$O$3:$O$7,MATCH(G161,'G-7 WaterC'' Data'!$N$3:$N$7,0)),"")</f>
        <v/>
      </c>
      <c r="M161" s="53"/>
      <c r="N161" s="137"/>
      <c r="O161" s="289" t="str">
        <f t="shared" si="14"/>
        <v/>
      </c>
      <c r="P161" s="302" t="str">
        <f t="shared" si="15"/>
        <v/>
      </c>
      <c r="Q161" s="340" t="str">
        <f>IFERROR(IF(P161="Check Data ⚠","Check Data ⚠",VLOOKUP(P161,'G-4 Temporal multipliers'!$A$4:$C$37,3,FALSE)),"")</f>
        <v/>
      </c>
      <c r="R161" s="281" t="str">
        <f>IF(C161="","",VLOOKUP(C161,'G-7 WaterC'' Data'!$B$4:$G$8,4,FALSE))</f>
        <v/>
      </c>
      <c r="S161" s="289" t="str">
        <f t="shared" si="16"/>
        <v/>
      </c>
      <c r="T161" s="320" t="str">
        <f t="shared" si="17"/>
        <v/>
      </c>
      <c r="U161" s="282" t="str">
        <f>IF(C161="","",VLOOKUP(T161,'G-3 Multipliers'!$P$2:$Q$6,2,FALSE))</f>
        <v/>
      </c>
      <c r="V161" s="106"/>
      <c r="W161" s="282" t="str">
        <f>IF(V161="","",IF(AND(V161="N/A - Culvert",C161&lt;&gt;"Culvert"),"Not possible ▲",IF(AND(C161="Culvert",V161&lt;&gt;"N/A - Culvert"),"Not possible ▲",IF(VLOOKUP(V161,'G-7 WaterC'' Data'!$AA$4:$AB$7,2,FALSE)=0,"Spatial Data Missing ⚠",VLOOKUP(V161,'G-7 WaterC'' Data'!$AA$4:$AB$7,2,FALSE)))))</f>
        <v/>
      </c>
      <c r="X161" s="56"/>
      <c r="Y161" s="282" t="str">
        <f>IF(X161="","",IF(AND(X161="N/A - Culvert", C161&lt;&gt;"Culvert"), "Not possible ▲",IF(AND(C161="Culvert",X161&lt;&gt;"N/A - Culvert"),"Not possible ▲",IF(VLOOKUP(X161,'G-7 WaterC'' Data'!$AD$4:$AE$14,2,FALSE)=0,"Enrcoachment Data Missing ⚠",VLOOKUP(X161,'G-7 WaterC'' Data'!$AD$4:$AE$14,2,FALSE)))))</f>
        <v/>
      </c>
      <c r="Z161" s="106"/>
      <c r="AA161" s="282" t="str">
        <f>IF(Z161="","",IF(VLOOKUP(Z161,'G-7 WaterC'' Data'!$AO$4:$BO$7,2,FALSE)=0,"Spatial Data Missing ⚠",VLOOKUP(Z161,'G-7 WaterC'' Data'!$AO$4:$BO$7,2,FALSE)))</f>
        <v/>
      </c>
      <c r="AB161" s="323" t="str">
        <f t="shared" si="18"/>
        <v/>
      </c>
      <c r="AC161" s="323" t="str">
        <f t="shared" si="19"/>
        <v/>
      </c>
      <c r="AD161" s="105"/>
      <c r="AE161" s="968"/>
      <c r="AF161" s="142"/>
      <c r="AG161" s="142"/>
      <c r="AH161" s="964"/>
      <c r="AL161" s="30" t="str">
        <f>IFERROR(INDEX('G-7 WaterC'' Data'!$AZ$3:$AZ$7,MATCH(C161,'G-7 WaterC'' Data'!$AY$3:$AY$7,0)),"")</f>
        <v/>
      </c>
      <c r="AN161" s="30" t="str">
        <f t="shared" si="20"/>
        <v>No</v>
      </c>
    </row>
    <row r="162" spans="2:40" ht="13.8" x14ac:dyDescent="0.25">
      <c r="B162" s="101">
        <v>151</v>
      </c>
      <c r="C162" s="953"/>
      <c r="D162" s="119"/>
      <c r="E162" s="281" t="str">
        <f>IF(C162="","",VLOOKUP(C162,'G-7 WaterC'' Data'!$B$2:$Z$9,2,FALSE))</f>
        <v/>
      </c>
      <c r="F162" s="282" t="str">
        <f>IFERROR(VLOOKUP(E162,'G-7 WaterC'' Data'!$C$4:$D$8,2,FALSE),"")</f>
        <v/>
      </c>
      <c r="G162" s="52"/>
      <c r="H162" s="282" t="str">
        <f>IFERROR(INDEX('G-7 WaterC'' Data'!$H$4:$L$8,MATCH(C162,'G-7 WaterC'' Data'!$B$4:$B$8,0),MATCH(G162,'G-7 WaterC'' Data'!$H$3:$L$3,0)),"")</f>
        <v/>
      </c>
      <c r="I162" s="52"/>
      <c r="J162" s="320" t="str">
        <f>IF(I162="","",IF(VLOOKUP(I162,'G-7 WaterC'' Data'!$AK$4:$AM$6,2,FALSE)=0,"Spatial Data Missing ⚠",VLOOKUP(I162,'G-7 WaterC'' Data'!$AK$4:$AM$6,2,FALSE)))</f>
        <v/>
      </c>
      <c r="K162" s="282" t="str">
        <f>IF(I162="","",IF(VLOOKUP(I162,'G-7 WaterC'' Data'!$AK$4:$AM$6,3,FALSE)=0,"Spatial Data Missing ⚠",VLOOKUP(I162,'G-7 WaterC'' Data'!$AK$4:$AM$6,3,FALSE)))</f>
        <v/>
      </c>
      <c r="L162" s="382" t="str">
        <f>IFERROR(INDEX('G-7 WaterC'' Data'!$O$3:$O$7,MATCH(G162,'G-7 WaterC'' Data'!$N$3:$N$7,0)),"")</f>
        <v/>
      </c>
      <c r="M162" s="53"/>
      <c r="N162" s="137"/>
      <c r="O162" s="289" t="str">
        <f t="shared" si="14"/>
        <v/>
      </c>
      <c r="P162" s="302" t="str">
        <f t="shared" si="15"/>
        <v/>
      </c>
      <c r="Q162" s="340" t="str">
        <f>IFERROR(IF(P162="Check Data ⚠","Check Data ⚠",VLOOKUP(P162,'G-4 Temporal multipliers'!$A$4:$C$37,3,FALSE)),"")</f>
        <v/>
      </c>
      <c r="R162" s="281" t="str">
        <f>IF(C162="","",VLOOKUP(C162,'G-7 WaterC'' Data'!$B$4:$G$8,4,FALSE))</f>
        <v/>
      </c>
      <c r="S162" s="289" t="str">
        <f t="shared" si="16"/>
        <v/>
      </c>
      <c r="T162" s="320" t="str">
        <f t="shared" si="17"/>
        <v/>
      </c>
      <c r="U162" s="282" t="str">
        <f>IF(C162="","",VLOOKUP(T162,'G-3 Multipliers'!$P$2:$Q$6,2,FALSE))</f>
        <v/>
      </c>
      <c r="V162" s="106"/>
      <c r="W162" s="282" t="str">
        <f>IF(V162="","",IF(AND(V162="N/A - Culvert",C162&lt;&gt;"Culvert"),"Not possible ▲",IF(AND(C162="Culvert",V162&lt;&gt;"N/A - Culvert"),"Not possible ▲",IF(VLOOKUP(V162,'G-7 WaterC'' Data'!$AA$4:$AB$7,2,FALSE)=0,"Spatial Data Missing ⚠",VLOOKUP(V162,'G-7 WaterC'' Data'!$AA$4:$AB$7,2,FALSE)))))</f>
        <v/>
      </c>
      <c r="X162" s="56"/>
      <c r="Y162" s="282" t="str">
        <f>IF(X162="","",IF(AND(X162="N/A - Culvert", C162&lt;&gt;"Culvert"), "Not possible ▲",IF(AND(C162="Culvert",X162&lt;&gt;"N/A - Culvert"),"Not possible ▲",IF(VLOOKUP(X162,'G-7 WaterC'' Data'!$AD$4:$AE$14,2,FALSE)=0,"Enrcoachment Data Missing ⚠",VLOOKUP(X162,'G-7 WaterC'' Data'!$AD$4:$AE$14,2,FALSE)))))</f>
        <v/>
      </c>
      <c r="Z162" s="106"/>
      <c r="AA162" s="282" t="str">
        <f>IF(Z162="","",IF(VLOOKUP(Z162,'G-7 WaterC'' Data'!$AO$4:$BO$7,2,FALSE)=0,"Spatial Data Missing ⚠",VLOOKUP(Z162,'G-7 WaterC'' Data'!$AO$4:$BO$7,2,FALSE)))</f>
        <v/>
      </c>
      <c r="AB162" s="323" t="str">
        <f t="shared" si="18"/>
        <v/>
      </c>
      <c r="AC162" s="323" t="str">
        <f t="shared" si="19"/>
        <v/>
      </c>
      <c r="AD162" s="105"/>
      <c r="AE162" s="968"/>
      <c r="AF162" s="142"/>
      <c r="AG162" s="142"/>
      <c r="AH162" s="964"/>
      <c r="AL162" s="30" t="str">
        <f>IFERROR(INDEX('G-7 WaterC'' Data'!$AZ$3:$AZ$7,MATCH(C162,'G-7 WaterC'' Data'!$AY$3:$AY$7,0)),"")</f>
        <v/>
      </c>
      <c r="AN162" s="30" t="str">
        <f t="shared" si="20"/>
        <v>No</v>
      </c>
    </row>
    <row r="163" spans="2:40" ht="13.8" x14ac:dyDescent="0.25">
      <c r="B163" s="101">
        <v>152</v>
      </c>
      <c r="C163" s="953"/>
      <c r="D163" s="119"/>
      <c r="E163" s="281" t="str">
        <f>IF(C163="","",VLOOKUP(C163,'G-7 WaterC'' Data'!$B$2:$Z$9,2,FALSE))</f>
        <v/>
      </c>
      <c r="F163" s="282" t="str">
        <f>IFERROR(VLOOKUP(E163,'G-7 WaterC'' Data'!$C$4:$D$8,2,FALSE),"")</f>
        <v/>
      </c>
      <c r="G163" s="52"/>
      <c r="H163" s="282" t="str">
        <f>IFERROR(INDEX('G-7 WaterC'' Data'!$H$4:$L$8,MATCH(C163,'G-7 WaterC'' Data'!$B$4:$B$8,0),MATCH(G163,'G-7 WaterC'' Data'!$H$3:$L$3,0)),"")</f>
        <v/>
      </c>
      <c r="I163" s="52"/>
      <c r="J163" s="320" t="str">
        <f>IF(I163="","",IF(VLOOKUP(I163,'G-7 WaterC'' Data'!$AK$4:$AM$6,2,FALSE)=0,"Spatial Data Missing ⚠",VLOOKUP(I163,'G-7 WaterC'' Data'!$AK$4:$AM$6,2,FALSE)))</f>
        <v/>
      </c>
      <c r="K163" s="282" t="str">
        <f>IF(I163="","",IF(VLOOKUP(I163,'G-7 WaterC'' Data'!$AK$4:$AM$6,3,FALSE)=0,"Spatial Data Missing ⚠",VLOOKUP(I163,'G-7 WaterC'' Data'!$AK$4:$AM$6,3,FALSE)))</f>
        <v/>
      </c>
      <c r="L163" s="382" t="str">
        <f>IFERROR(INDEX('G-7 WaterC'' Data'!$O$3:$O$7,MATCH(G163,'G-7 WaterC'' Data'!$N$3:$N$7,0)),"")</f>
        <v/>
      </c>
      <c r="M163" s="53"/>
      <c r="N163" s="137"/>
      <c r="O163" s="289" t="str">
        <f t="shared" si="14"/>
        <v/>
      </c>
      <c r="P163" s="302" t="str">
        <f t="shared" si="15"/>
        <v/>
      </c>
      <c r="Q163" s="340" t="str">
        <f>IFERROR(IF(P163="Check Data ⚠","Check Data ⚠",VLOOKUP(P163,'G-4 Temporal multipliers'!$A$4:$C$37,3,FALSE)),"")</f>
        <v/>
      </c>
      <c r="R163" s="281" t="str">
        <f>IF(C163="","",VLOOKUP(C163,'G-7 WaterC'' Data'!$B$4:$G$8,4,FALSE))</f>
        <v/>
      </c>
      <c r="S163" s="289" t="str">
        <f t="shared" si="16"/>
        <v/>
      </c>
      <c r="T163" s="320" t="str">
        <f t="shared" si="17"/>
        <v/>
      </c>
      <c r="U163" s="282" t="str">
        <f>IF(C163="","",VLOOKUP(T163,'G-3 Multipliers'!$P$2:$Q$6,2,FALSE))</f>
        <v/>
      </c>
      <c r="V163" s="106"/>
      <c r="W163" s="282" t="str">
        <f>IF(V163="","",IF(AND(V163="N/A - Culvert",C163&lt;&gt;"Culvert"),"Not possible ▲",IF(AND(C163="Culvert",V163&lt;&gt;"N/A - Culvert"),"Not possible ▲",IF(VLOOKUP(V163,'G-7 WaterC'' Data'!$AA$4:$AB$7,2,FALSE)=0,"Spatial Data Missing ⚠",VLOOKUP(V163,'G-7 WaterC'' Data'!$AA$4:$AB$7,2,FALSE)))))</f>
        <v/>
      </c>
      <c r="X163" s="56"/>
      <c r="Y163" s="282" t="str">
        <f>IF(X163="","",IF(AND(X163="N/A - Culvert", C163&lt;&gt;"Culvert"), "Not possible ▲",IF(AND(C163="Culvert",X163&lt;&gt;"N/A - Culvert"),"Not possible ▲",IF(VLOOKUP(X163,'G-7 WaterC'' Data'!$AD$4:$AE$14,2,FALSE)=0,"Enrcoachment Data Missing ⚠",VLOOKUP(X163,'G-7 WaterC'' Data'!$AD$4:$AE$14,2,FALSE)))))</f>
        <v/>
      </c>
      <c r="Z163" s="106"/>
      <c r="AA163" s="282" t="str">
        <f>IF(Z163="","",IF(VLOOKUP(Z163,'G-7 WaterC'' Data'!$AO$4:$BO$7,2,FALSE)=0,"Spatial Data Missing ⚠",VLOOKUP(Z163,'G-7 WaterC'' Data'!$AO$4:$BO$7,2,FALSE)))</f>
        <v/>
      </c>
      <c r="AB163" s="323" t="str">
        <f t="shared" si="18"/>
        <v/>
      </c>
      <c r="AC163" s="323" t="str">
        <f t="shared" si="19"/>
        <v/>
      </c>
      <c r="AD163" s="105"/>
      <c r="AE163" s="968"/>
      <c r="AF163" s="142"/>
      <c r="AG163" s="142"/>
      <c r="AH163" s="964"/>
      <c r="AL163" s="30" t="str">
        <f>IFERROR(INDEX('G-7 WaterC'' Data'!$AZ$3:$AZ$7,MATCH(C163,'G-7 WaterC'' Data'!$AY$3:$AY$7,0)),"")</f>
        <v/>
      </c>
      <c r="AN163" s="30" t="str">
        <f t="shared" si="20"/>
        <v>No</v>
      </c>
    </row>
    <row r="164" spans="2:40" ht="13.8" x14ac:dyDescent="0.25">
      <c r="B164" s="101">
        <v>153</v>
      </c>
      <c r="C164" s="953"/>
      <c r="D164" s="119"/>
      <c r="E164" s="281" t="str">
        <f>IF(C164="","",VLOOKUP(C164,'G-7 WaterC'' Data'!$B$2:$Z$9,2,FALSE))</f>
        <v/>
      </c>
      <c r="F164" s="282" t="str">
        <f>IFERROR(VLOOKUP(E164,'G-7 WaterC'' Data'!$C$4:$D$8,2,FALSE),"")</f>
        <v/>
      </c>
      <c r="G164" s="52"/>
      <c r="H164" s="282" t="str">
        <f>IFERROR(INDEX('G-7 WaterC'' Data'!$H$4:$L$8,MATCH(C164,'G-7 WaterC'' Data'!$B$4:$B$8,0),MATCH(G164,'G-7 WaterC'' Data'!$H$3:$L$3,0)),"")</f>
        <v/>
      </c>
      <c r="I164" s="52"/>
      <c r="J164" s="320" t="str">
        <f>IF(I164="","",IF(VLOOKUP(I164,'G-7 WaterC'' Data'!$AK$4:$AM$6,2,FALSE)=0,"Spatial Data Missing ⚠",VLOOKUP(I164,'G-7 WaterC'' Data'!$AK$4:$AM$6,2,FALSE)))</f>
        <v/>
      </c>
      <c r="K164" s="282" t="str">
        <f>IF(I164="","",IF(VLOOKUP(I164,'G-7 WaterC'' Data'!$AK$4:$AM$6,3,FALSE)=0,"Spatial Data Missing ⚠",VLOOKUP(I164,'G-7 WaterC'' Data'!$AK$4:$AM$6,3,FALSE)))</f>
        <v/>
      </c>
      <c r="L164" s="382" t="str">
        <f>IFERROR(INDEX('G-7 WaterC'' Data'!$O$3:$O$7,MATCH(G164,'G-7 WaterC'' Data'!$N$3:$N$7,0)),"")</f>
        <v/>
      </c>
      <c r="M164" s="53"/>
      <c r="N164" s="137"/>
      <c r="O164" s="289" t="str">
        <f t="shared" si="14"/>
        <v/>
      </c>
      <c r="P164" s="302" t="str">
        <f t="shared" si="15"/>
        <v/>
      </c>
      <c r="Q164" s="340" t="str">
        <f>IFERROR(IF(P164="Check Data ⚠","Check Data ⚠",VLOOKUP(P164,'G-4 Temporal multipliers'!$A$4:$C$37,3,FALSE)),"")</f>
        <v/>
      </c>
      <c r="R164" s="281" t="str">
        <f>IF(C164="","",VLOOKUP(C164,'G-7 WaterC'' Data'!$B$4:$G$8,4,FALSE))</f>
        <v/>
      </c>
      <c r="S164" s="289" t="str">
        <f t="shared" si="16"/>
        <v/>
      </c>
      <c r="T164" s="320" t="str">
        <f t="shared" si="17"/>
        <v/>
      </c>
      <c r="U164" s="282" t="str">
        <f>IF(C164="","",VLOOKUP(T164,'G-3 Multipliers'!$P$2:$Q$6,2,FALSE))</f>
        <v/>
      </c>
      <c r="V164" s="106"/>
      <c r="W164" s="282" t="str">
        <f>IF(V164="","",IF(AND(V164="N/A - Culvert",C164&lt;&gt;"Culvert"),"Not possible ▲",IF(AND(C164="Culvert",V164&lt;&gt;"N/A - Culvert"),"Not possible ▲",IF(VLOOKUP(V164,'G-7 WaterC'' Data'!$AA$4:$AB$7,2,FALSE)=0,"Spatial Data Missing ⚠",VLOOKUP(V164,'G-7 WaterC'' Data'!$AA$4:$AB$7,2,FALSE)))))</f>
        <v/>
      </c>
      <c r="X164" s="56"/>
      <c r="Y164" s="282" t="str">
        <f>IF(X164="","",IF(AND(X164="N/A - Culvert", C164&lt;&gt;"Culvert"), "Not possible ▲",IF(AND(C164="Culvert",X164&lt;&gt;"N/A - Culvert"),"Not possible ▲",IF(VLOOKUP(X164,'G-7 WaterC'' Data'!$AD$4:$AE$14,2,FALSE)=0,"Enrcoachment Data Missing ⚠",VLOOKUP(X164,'G-7 WaterC'' Data'!$AD$4:$AE$14,2,FALSE)))))</f>
        <v/>
      </c>
      <c r="Z164" s="106"/>
      <c r="AA164" s="282" t="str">
        <f>IF(Z164="","",IF(VLOOKUP(Z164,'G-7 WaterC'' Data'!$AO$4:$BO$7,2,FALSE)=0,"Spatial Data Missing ⚠",VLOOKUP(Z164,'G-7 WaterC'' Data'!$AO$4:$BO$7,2,FALSE)))</f>
        <v/>
      </c>
      <c r="AB164" s="323" t="str">
        <f t="shared" si="18"/>
        <v/>
      </c>
      <c r="AC164" s="323" t="str">
        <f t="shared" si="19"/>
        <v/>
      </c>
      <c r="AD164" s="105"/>
      <c r="AE164" s="968"/>
      <c r="AF164" s="142"/>
      <c r="AG164" s="142"/>
      <c r="AH164" s="964"/>
      <c r="AL164" s="30" t="str">
        <f>IFERROR(INDEX('G-7 WaterC'' Data'!$AZ$3:$AZ$7,MATCH(C164,'G-7 WaterC'' Data'!$AY$3:$AY$7,0)),"")</f>
        <v/>
      </c>
      <c r="AN164" s="30" t="str">
        <f t="shared" si="20"/>
        <v>No</v>
      </c>
    </row>
    <row r="165" spans="2:40" ht="13.8" x14ac:dyDescent="0.25">
      <c r="B165" s="101">
        <v>154</v>
      </c>
      <c r="C165" s="953"/>
      <c r="D165" s="119"/>
      <c r="E165" s="281" t="str">
        <f>IF(C165="","",VLOOKUP(C165,'G-7 WaterC'' Data'!$B$2:$Z$9,2,FALSE))</f>
        <v/>
      </c>
      <c r="F165" s="282" t="str">
        <f>IFERROR(VLOOKUP(E165,'G-7 WaterC'' Data'!$C$4:$D$8,2,FALSE),"")</f>
        <v/>
      </c>
      <c r="G165" s="52"/>
      <c r="H165" s="282" t="str">
        <f>IFERROR(INDEX('G-7 WaterC'' Data'!$H$4:$L$8,MATCH(C165,'G-7 WaterC'' Data'!$B$4:$B$8,0),MATCH(G165,'G-7 WaterC'' Data'!$H$3:$L$3,0)),"")</f>
        <v/>
      </c>
      <c r="I165" s="52"/>
      <c r="J165" s="320" t="str">
        <f>IF(I165="","",IF(VLOOKUP(I165,'G-7 WaterC'' Data'!$AK$4:$AM$6,2,FALSE)=0,"Spatial Data Missing ⚠",VLOOKUP(I165,'G-7 WaterC'' Data'!$AK$4:$AM$6,2,FALSE)))</f>
        <v/>
      </c>
      <c r="K165" s="282" t="str">
        <f>IF(I165="","",IF(VLOOKUP(I165,'G-7 WaterC'' Data'!$AK$4:$AM$6,3,FALSE)=0,"Spatial Data Missing ⚠",VLOOKUP(I165,'G-7 WaterC'' Data'!$AK$4:$AM$6,3,FALSE)))</f>
        <v/>
      </c>
      <c r="L165" s="382" t="str">
        <f>IFERROR(INDEX('G-7 WaterC'' Data'!$O$3:$O$7,MATCH(G165,'G-7 WaterC'' Data'!$N$3:$N$7,0)),"")</f>
        <v/>
      </c>
      <c r="M165" s="53"/>
      <c r="N165" s="137"/>
      <c r="O165" s="289" t="str">
        <f t="shared" si="14"/>
        <v/>
      </c>
      <c r="P165" s="302" t="str">
        <f t="shared" si="15"/>
        <v/>
      </c>
      <c r="Q165" s="340" t="str">
        <f>IFERROR(IF(P165="Check Data ⚠","Check Data ⚠",VLOOKUP(P165,'G-4 Temporal multipliers'!$A$4:$C$37,3,FALSE)),"")</f>
        <v/>
      </c>
      <c r="R165" s="281" t="str">
        <f>IF(C165="","",VLOOKUP(C165,'G-7 WaterC'' Data'!$B$4:$G$8,4,FALSE))</f>
        <v/>
      </c>
      <c r="S165" s="289" t="str">
        <f t="shared" si="16"/>
        <v/>
      </c>
      <c r="T165" s="320" t="str">
        <f t="shared" si="17"/>
        <v/>
      </c>
      <c r="U165" s="282" t="str">
        <f>IF(C165="","",VLOOKUP(T165,'G-3 Multipliers'!$P$2:$Q$6,2,FALSE))</f>
        <v/>
      </c>
      <c r="V165" s="106"/>
      <c r="W165" s="282" t="str">
        <f>IF(V165="","",IF(AND(V165="N/A - Culvert",C165&lt;&gt;"Culvert"),"Not possible ▲",IF(AND(C165="Culvert",V165&lt;&gt;"N/A - Culvert"),"Not possible ▲",IF(VLOOKUP(V165,'G-7 WaterC'' Data'!$AA$4:$AB$7,2,FALSE)=0,"Spatial Data Missing ⚠",VLOOKUP(V165,'G-7 WaterC'' Data'!$AA$4:$AB$7,2,FALSE)))))</f>
        <v/>
      </c>
      <c r="X165" s="56"/>
      <c r="Y165" s="282" t="str">
        <f>IF(X165="","",IF(AND(X165="N/A - Culvert", C165&lt;&gt;"Culvert"), "Not possible ▲",IF(AND(C165="Culvert",X165&lt;&gt;"N/A - Culvert"),"Not possible ▲",IF(VLOOKUP(X165,'G-7 WaterC'' Data'!$AD$4:$AE$14,2,FALSE)=0,"Enrcoachment Data Missing ⚠",VLOOKUP(X165,'G-7 WaterC'' Data'!$AD$4:$AE$14,2,FALSE)))))</f>
        <v/>
      </c>
      <c r="Z165" s="106"/>
      <c r="AA165" s="282" t="str">
        <f>IF(Z165="","",IF(VLOOKUP(Z165,'G-7 WaterC'' Data'!$AO$4:$BO$7,2,FALSE)=0,"Spatial Data Missing ⚠",VLOOKUP(Z165,'G-7 WaterC'' Data'!$AO$4:$BO$7,2,FALSE)))</f>
        <v/>
      </c>
      <c r="AB165" s="323" t="str">
        <f t="shared" si="18"/>
        <v/>
      </c>
      <c r="AC165" s="323" t="str">
        <f t="shared" si="19"/>
        <v/>
      </c>
      <c r="AD165" s="105"/>
      <c r="AE165" s="968"/>
      <c r="AF165" s="142"/>
      <c r="AG165" s="142"/>
      <c r="AH165" s="964"/>
      <c r="AL165" s="30" t="str">
        <f>IFERROR(INDEX('G-7 WaterC'' Data'!$AZ$3:$AZ$7,MATCH(C165,'G-7 WaterC'' Data'!$AY$3:$AY$7,0)),"")</f>
        <v/>
      </c>
      <c r="AN165" s="30" t="str">
        <f t="shared" si="20"/>
        <v>No</v>
      </c>
    </row>
    <row r="166" spans="2:40" ht="13.8" x14ac:dyDescent="0.25">
      <c r="B166" s="101">
        <v>155</v>
      </c>
      <c r="C166" s="953"/>
      <c r="D166" s="119"/>
      <c r="E166" s="281" t="str">
        <f>IF(C166="","",VLOOKUP(C166,'G-7 WaterC'' Data'!$B$2:$Z$9,2,FALSE))</f>
        <v/>
      </c>
      <c r="F166" s="282" t="str">
        <f>IFERROR(VLOOKUP(E166,'G-7 WaterC'' Data'!$C$4:$D$8,2,FALSE),"")</f>
        <v/>
      </c>
      <c r="G166" s="52"/>
      <c r="H166" s="282" t="str">
        <f>IFERROR(INDEX('G-7 WaterC'' Data'!$H$4:$L$8,MATCH(C166,'G-7 WaterC'' Data'!$B$4:$B$8,0),MATCH(G166,'G-7 WaterC'' Data'!$H$3:$L$3,0)),"")</f>
        <v/>
      </c>
      <c r="I166" s="52"/>
      <c r="J166" s="320" t="str">
        <f>IF(I166="","",IF(VLOOKUP(I166,'G-7 WaterC'' Data'!$AK$4:$AM$6,2,FALSE)=0,"Spatial Data Missing ⚠",VLOOKUP(I166,'G-7 WaterC'' Data'!$AK$4:$AM$6,2,FALSE)))</f>
        <v/>
      </c>
      <c r="K166" s="282" t="str">
        <f>IF(I166="","",IF(VLOOKUP(I166,'G-7 WaterC'' Data'!$AK$4:$AM$6,3,FALSE)=0,"Spatial Data Missing ⚠",VLOOKUP(I166,'G-7 WaterC'' Data'!$AK$4:$AM$6,3,FALSE)))</f>
        <v/>
      </c>
      <c r="L166" s="382" t="str">
        <f>IFERROR(INDEX('G-7 WaterC'' Data'!$O$3:$O$7,MATCH(G166,'G-7 WaterC'' Data'!$N$3:$N$7,0)),"")</f>
        <v/>
      </c>
      <c r="M166" s="53"/>
      <c r="N166" s="137"/>
      <c r="O166" s="289" t="str">
        <f t="shared" si="14"/>
        <v/>
      </c>
      <c r="P166" s="302" t="str">
        <f t="shared" si="15"/>
        <v/>
      </c>
      <c r="Q166" s="340" t="str">
        <f>IFERROR(IF(P166="Check Data ⚠","Check Data ⚠",VLOOKUP(P166,'G-4 Temporal multipliers'!$A$4:$C$37,3,FALSE)),"")</f>
        <v/>
      </c>
      <c r="R166" s="281" t="str">
        <f>IF(C166="","",VLOOKUP(C166,'G-7 WaterC'' Data'!$B$4:$G$8,4,FALSE))</f>
        <v/>
      </c>
      <c r="S166" s="289" t="str">
        <f t="shared" si="16"/>
        <v/>
      </c>
      <c r="T166" s="320" t="str">
        <f t="shared" si="17"/>
        <v/>
      </c>
      <c r="U166" s="282" t="str">
        <f>IF(C166="","",VLOOKUP(T166,'G-3 Multipliers'!$P$2:$Q$6,2,FALSE))</f>
        <v/>
      </c>
      <c r="V166" s="106"/>
      <c r="W166" s="282" t="str">
        <f>IF(V166="","",IF(AND(V166="N/A - Culvert",C166&lt;&gt;"Culvert"),"Not possible ▲",IF(AND(C166="Culvert",V166&lt;&gt;"N/A - Culvert"),"Not possible ▲",IF(VLOOKUP(V166,'G-7 WaterC'' Data'!$AA$4:$AB$7,2,FALSE)=0,"Spatial Data Missing ⚠",VLOOKUP(V166,'G-7 WaterC'' Data'!$AA$4:$AB$7,2,FALSE)))))</f>
        <v/>
      </c>
      <c r="X166" s="56"/>
      <c r="Y166" s="282" t="str">
        <f>IF(X166="","",IF(AND(X166="N/A - Culvert", C166&lt;&gt;"Culvert"), "Not possible ▲",IF(AND(C166="Culvert",X166&lt;&gt;"N/A - Culvert"),"Not possible ▲",IF(VLOOKUP(X166,'G-7 WaterC'' Data'!$AD$4:$AE$14,2,FALSE)=0,"Enrcoachment Data Missing ⚠",VLOOKUP(X166,'G-7 WaterC'' Data'!$AD$4:$AE$14,2,FALSE)))))</f>
        <v/>
      </c>
      <c r="Z166" s="106"/>
      <c r="AA166" s="282" t="str">
        <f>IF(Z166="","",IF(VLOOKUP(Z166,'G-7 WaterC'' Data'!$AO$4:$BO$7,2,FALSE)=0,"Spatial Data Missing ⚠",VLOOKUP(Z166,'G-7 WaterC'' Data'!$AO$4:$BO$7,2,FALSE)))</f>
        <v/>
      </c>
      <c r="AB166" s="323" t="str">
        <f t="shared" si="18"/>
        <v/>
      </c>
      <c r="AC166" s="323" t="str">
        <f t="shared" si="19"/>
        <v/>
      </c>
      <c r="AD166" s="105"/>
      <c r="AE166" s="968"/>
      <c r="AF166" s="142"/>
      <c r="AG166" s="142"/>
      <c r="AH166" s="964"/>
      <c r="AL166" s="30" t="str">
        <f>IFERROR(INDEX('G-7 WaterC'' Data'!$AZ$3:$AZ$7,MATCH(C166,'G-7 WaterC'' Data'!$AY$3:$AY$7,0)),"")</f>
        <v/>
      </c>
      <c r="AN166" s="30" t="str">
        <f t="shared" si="20"/>
        <v>No</v>
      </c>
    </row>
    <row r="167" spans="2:40" ht="13.8" x14ac:dyDescent="0.25">
      <c r="B167" s="101">
        <v>156</v>
      </c>
      <c r="C167" s="953"/>
      <c r="D167" s="119"/>
      <c r="E167" s="281" t="str">
        <f>IF(C167="","",VLOOKUP(C167,'G-7 WaterC'' Data'!$B$2:$Z$9,2,FALSE))</f>
        <v/>
      </c>
      <c r="F167" s="282" t="str">
        <f>IFERROR(VLOOKUP(E167,'G-7 WaterC'' Data'!$C$4:$D$8,2,FALSE),"")</f>
        <v/>
      </c>
      <c r="G167" s="52"/>
      <c r="H167" s="282" t="str">
        <f>IFERROR(INDEX('G-7 WaterC'' Data'!$H$4:$L$8,MATCH(C167,'G-7 WaterC'' Data'!$B$4:$B$8,0),MATCH(G167,'G-7 WaterC'' Data'!$H$3:$L$3,0)),"")</f>
        <v/>
      </c>
      <c r="I167" s="52"/>
      <c r="J167" s="320" t="str">
        <f>IF(I167="","",IF(VLOOKUP(I167,'G-7 WaterC'' Data'!$AK$4:$AM$6,2,FALSE)=0,"Spatial Data Missing ⚠",VLOOKUP(I167,'G-7 WaterC'' Data'!$AK$4:$AM$6,2,FALSE)))</f>
        <v/>
      </c>
      <c r="K167" s="282" t="str">
        <f>IF(I167="","",IF(VLOOKUP(I167,'G-7 WaterC'' Data'!$AK$4:$AM$6,3,FALSE)=0,"Spatial Data Missing ⚠",VLOOKUP(I167,'G-7 WaterC'' Data'!$AK$4:$AM$6,3,FALSE)))</f>
        <v/>
      </c>
      <c r="L167" s="382" t="str">
        <f>IFERROR(INDEX('G-7 WaterC'' Data'!$O$3:$O$7,MATCH(G167,'G-7 WaterC'' Data'!$N$3:$N$7,0)),"")</f>
        <v/>
      </c>
      <c r="M167" s="53"/>
      <c r="N167" s="137"/>
      <c r="O167" s="289" t="str">
        <f t="shared" si="14"/>
        <v/>
      </c>
      <c r="P167" s="302" t="str">
        <f t="shared" si="15"/>
        <v/>
      </c>
      <c r="Q167" s="340" t="str">
        <f>IFERROR(IF(P167="Check Data ⚠","Check Data ⚠",VLOOKUP(P167,'G-4 Temporal multipliers'!$A$4:$C$37,3,FALSE)),"")</f>
        <v/>
      </c>
      <c r="R167" s="281" t="str">
        <f>IF(C167="","",VLOOKUP(C167,'G-7 WaterC'' Data'!$B$4:$G$8,4,FALSE))</f>
        <v/>
      </c>
      <c r="S167" s="289" t="str">
        <f t="shared" si="16"/>
        <v/>
      </c>
      <c r="T167" s="320" t="str">
        <f t="shared" si="17"/>
        <v/>
      </c>
      <c r="U167" s="282" t="str">
        <f>IF(C167="","",VLOOKUP(T167,'G-3 Multipliers'!$P$2:$Q$6,2,FALSE))</f>
        <v/>
      </c>
      <c r="V167" s="106"/>
      <c r="W167" s="282" t="str">
        <f>IF(V167="","",IF(AND(V167="N/A - Culvert",C167&lt;&gt;"Culvert"),"Not possible ▲",IF(AND(C167="Culvert",V167&lt;&gt;"N/A - Culvert"),"Not possible ▲",IF(VLOOKUP(V167,'G-7 WaterC'' Data'!$AA$4:$AB$7,2,FALSE)=0,"Spatial Data Missing ⚠",VLOOKUP(V167,'G-7 WaterC'' Data'!$AA$4:$AB$7,2,FALSE)))))</f>
        <v/>
      </c>
      <c r="X167" s="56"/>
      <c r="Y167" s="282" t="str">
        <f>IF(X167="","",IF(AND(X167="N/A - Culvert", C167&lt;&gt;"Culvert"), "Not possible ▲",IF(AND(C167="Culvert",X167&lt;&gt;"N/A - Culvert"),"Not possible ▲",IF(VLOOKUP(X167,'G-7 WaterC'' Data'!$AD$4:$AE$14,2,FALSE)=0,"Enrcoachment Data Missing ⚠",VLOOKUP(X167,'G-7 WaterC'' Data'!$AD$4:$AE$14,2,FALSE)))))</f>
        <v/>
      </c>
      <c r="Z167" s="106"/>
      <c r="AA167" s="282" t="str">
        <f>IF(Z167="","",IF(VLOOKUP(Z167,'G-7 WaterC'' Data'!$AO$4:$BO$7,2,FALSE)=0,"Spatial Data Missing ⚠",VLOOKUP(Z167,'G-7 WaterC'' Data'!$AO$4:$BO$7,2,FALSE)))</f>
        <v/>
      </c>
      <c r="AB167" s="323" t="str">
        <f t="shared" si="18"/>
        <v/>
      </c>
      <c r="AC167" s="323" t="str">
        <f t="shared" si="19"/>
        <v/>
      </c>
      <c r="AD167" s="105"/>
      <c r="AE167" s="968"/>
      <c r="AF167" s="142"/>
      <c r="AG167" s="142"/>
      <c r="AH167" s="964"/>
      <c r="AL167" s="30" t="str">
        <f>IFERROR(INDEX('G-7 WaterC'' Data'!$AZ$3:$AZ$7,MATCH(C167,'G-7 WaterC'' Data'!$AY$3:$AY$7,0)),"")</f>
        <v/>
      </c>
      <c r="AN167" s="30" t="str">
        <f t="shared" si="20"/>
        <v>No</v>
      </c>
    </row>
    <row r="168" spans="2:40" ht="13.8" x14ac:dyDescent="0.25">
      <c r="B168" s="101">
        <v>157</v>
      </c>
      <c r="C168" s="953"/>
      <c r="D168" s="119"/>
      <c r="E168" s="281" t="str">
        <f>IF(C168="","",VLOOKUP(C168,'G-7 WaterC'' Data'!$B$2:$Z$9,2,FALSE))</f>
        <v/>
      </c>
      <c r="F168" s="282" t="str">
        <f>IFERROR(VLOOKUP(E168,'G-7 WaterC'' Data'!$C$4:$D$8,2,FALSE),"")</f>
        <v/>
      </c>
      <c r="G168" s="52"/>
      <c r="H168" s="282" t="str">
        <f>IFERROR(INDEX('G-7 WaterC'' Data'!$H$4:$L$8,MATCH(C168,'G-7 WaterC'' Data'!$B$4:$B$8,0),MATCH(G168,'G-7 WaterC'' Data'!$H$3:$L$3,0)),"")</f>
        <v/>
      </c>
      <c r="I168" s="52"/>
      <c r="J168" s="320" t="str">
        <f>IF(I168="","",IF(VLOOKUP(I168,'G-7 WaterC'' Data'!$AK$4:$AM$6,2,FALSE)=0,"Spatial Data Missing ⚠",VLOOKUP(I168,'G-7 WaterC'' Data'!$AK$4:$AM$6,2,FALSE)))</f>
        <v/>
      </c>
      <c r="K168" s="282" t="str">
        <f>IF(I168="","",IF(VLOOKUP(I168,'G-7 WaterC'' Data'!$AK$4:$AM$6,3,FALSE)=0,"Spatial Data Missing ⚠",VLOOKUP(I168,'G-7 WaterC'' Data'!$AK$4:$AM$6,3,FALSE)))</f>
        <v/>
      </c>
      <c r="L168" s="382" t="str">
        <f>IFERROR(INDEX('G-7 WaterC'' Data'!$O$3:$O$7,MATCH(G168,'G-7 WaterC'' Data'!$N$3:$N$7,0)),"")</f>
        <v/>
      </c>
      <c r="M168" s="53"/>
      <c r="N168" s="137"/>
      <c r="O168" s="289" t="str">
        <f t="shared" si="14"/>
        <v/>
      </c>
      <c r="P168" s="302" t="str">
        <f t="shared" si="15"/>
        <v/>
      </c>
      <c r="Q168" s="340" t="str">
        <f>IFERROR(IF(P168="Check Data ⚠","Check Data ⚠",VLOOKUP(P168,'G-4 Temporal multipliers'!$A$4:$C$37,3,FALSE)),"")</f>
        <v/>
      </c>
      <c r="R168" s="281" t="str">
        <f>IF(C168="","",VLOOKUP(C168,'G-7 WaterC'' Data'!$B$4:$G$8,4,FALSE))</f>
        <v/>
      </c>
      <c r="S168" s="289" t="str">
        <f t="shared" si="16"/>
        <v/>
      </c>
      <c r="T168" s="320" t="str">
        <f t="shared" si="17"/>
        <v/>
      </c>
      <c r="U168" s="282" t="str">
        <f>IF(C168="","",VLOOKUP(T168,'G-3 Multipliers'!$P$2:$Q$6,2,FALSE))</f>
        <v/>
      </c>
      <c r="V168" s="106"/>
      <c r="W168" s="282" t="str">
        <f>IF(V168="","",IF(AND(V168="N/A - Culvert",C168&lt;&gt;"Culvert"),"Not possible ▲",IF(AND(C168="Culvert",V168&lt;&gt;"N/A - Culvert"),"Not possible ▲",IF(VLOOKUP(V168,'G-7 WaterC'' Data'!$AA$4:$AB$7,2,FALSE)=0,"Spatial Data Missing ⚠",VLOOKUP(V168,'G-7 WaterC'' Data'!$AA$4:$AB$7,2,FALSE)))))</f>
        <v/>
      </c>
      <c r="X168" s="56"/>
      <c r="Y168" s="282" t="str">
        <f>IF(X168="","",IF(AND(X168="N/A - Culvert", C168&lt;&gt;"Culvert"), "Not possible ▲",IF(AND(C168="Culvert",X168&lt;&gt;"N/A - Culvert"),"Not possible ▲",IF(VLOOKUP(X168,'G-7 WaterC'' Data'!$AD$4:$AE$14,2,FALSE)=0,"Enrcoachment Data Missing ⚠",VLOOKUP(X168,'G-7 WaterC'' Data'!$AD$4:$AE$14,2,FALSE)))))</f>
        <v/>
      </c>
      <c r="Z168" s="106"/>
      <c r="AA168" s="282" t="str">
        <f>IF(Z168="","",IF(VLOOKUP(Z168,'G-7 WaterC'' Data'!$AO$4:$BO$7,2,FALSE)=0,"Spatial Data Missing ⚠",VLOOKUP(Z168,'G-7 WaterC'' Data'!$AO$4:$BO$7,2,FALSE)))</f>
        <v/>
      </c>
      <c r="AB168" s="323" t="str">
        <f t="shared" si="18"/>
        <v/>
      </c>
      <c r="AC168" s="323" t="str">
        <f t="shared" si="19"/>
        <v/>
      </c>
      <c r="AD168" s="105"/>
      <c r="AE168" s="968"/>
      <c r="AF168" s="142"/>
      <c r="AG168" s="142"/>
      <c r="AH168" s="964"/>
      <c r="AL168" s="30" t="str">
        <f>IFERROR(INDEX('G-7 WaterC'' Data'!$AZ$3:$AZ$7,MATCH(C168,'G-7 WaterC'' Data'!$AY$3:$AY$7,0)),"")</f>
        <v/>
      </c>
      <c r="AN168" s="30" t="str">
        <f t="shared" si="20"/>
        <v>No</v>
      </c>
    </row>
    <row r="169" spans="2:40" ht="13.8" x14ac:dyDescent="0.25">
      <c r="B169" s="101">
        <v>158</v>
      </c>
      <c r="C169" s="953"/>
      <c r="D169" s="119"/>
      <c r="E169" s="281" t="str">
        <f>IF(C169="","",VLOOKUP(C169,'G-7 WaterC'' Data'!$B$2:$Z$9,2,FALSE))</f>
        <v/>
      </c>
      <c r="F169" s="282" t="str">
        <f>IFERROR(VLOOKUP(E169,'G-7 WaterC'' Data'!$C$4:$D$8,2,FALSE),"")</f>
        <v/>
      </c>
      <c r="G169" s="52"/>
      <c r="H169" s="282" t="str">
        <f>IFERROR(INDEX('G-7 WaterC'' Data'!$H$4:$L$8,MATCH(C169,'G-7 WaterC'' Data'!$B$4:$B$8,0),MATCH(G169,'G-7 WaterC'' Data'!$H$3:$L$3,0)),"")</f>
        <v/>
      </c>
      <c r="I169" s="52"/>
      <c r="J169" s="320" t="str">
        <f>IF(I169="","",IF(VLOOKUP(I169,'G-7 WaterC'' Data'!$AK$4:$AM$6,2,FALSE)=0,"Spatial Data Missing ⚠",VLOOKUP(I169,'G-7 WaterC'' Data'!$AK$4:$AM$6,2,FALSE)))</f>
        <v/>
      </c>
      <c r="K169" s="282" t="str">
        <f>IF(I169="","",IF(VLOOKUP(I169,'G-7 WaterC'' Data'!$AK$4:$AM$6,3,FALSE)=0,"Spatial Data Missing ⚠",VLOOKUP(I169,'G-7 WaterC'' Data'!$AK$4:$AM$6,3,FALSE)))</f>
        <v/>
      </c>
      <c r="L169" s="382" t="str">
        <f>IFERROR(INDEX('G-7 WaterC'' Data'!$O$3:$O$7,MATCH(G169,'G-7 WaterC'' Data'!$N$3:$N$7,0)),"")</f>
        <v/>
      </c>
      <c r="M169" s="53"/>
      <c r="N169" s="137"/>
      <c r="O169" s="289" t="str">
        <f t="shared" si="14"/>
        <v/>
      </c>
      <c r="P169" s="302" t="str">
        <f t="shared" si="15"/>
        <v/>
      </c>
      <c r="Q169" s="340" t="str">
        <f>IFERROR(IF(P169="Check Data ⚠","Check Data ⚠",VLOOKUP(P169,'G-4 Temporal multipliers'!$A$4:$C$37,3,FALSE)),"")</f>
        <v/>
      </c>
      <c r="R169" s="281" t="str">
        <f>IF(C169="","",VLOOKUP(C169,'G-7 WaterC'' Data'!$B$4:$G$8,4,FALSE))</f>
        <v/>
      </c>
      <c r="S169" s="289" t="str">
        <f t="shared" si="16"/>
        <v/>
      </c>
      <c r="T169" s="320" t="str">
        <f t="shared" si="17"/>
        <v/>
      </c>
      <c r="U169" s="282" t="str">
        <f>IF(C169="","",VLOOKUP(T169,'G-3 Multipliers'!$P$2:$Q$6,2,FALSE))</f>
        <v/>
      </c>
      <c r="V169" s="106"/>
      <c r="W169" s="282" t="str">
        <f>IF(V169="","",IF(AND(V169="N/A - Culvert",C169&lt;&gt;"Culvert"),"Not possible ▲",IF(AND(C169="Culvert",V169&lt;&gt;"N/A - Culvert"),"Not possible ▲",IF(VLOOKUP(V169,'G-7 WaterC'' Data'!$AA$4:$AB$7,2,FALSE)=0,"Spatial Data Missing ⚠",VLOOKUP(V169,'G-7 WaterC'' Data'!$AA$4:$AB$7,2,FALSE)))))</f>
        <v/>
      </c>
      <c r="X169" s="56"/>
      <c r="Y169" s="282" t="str">
        <f>IF(X169="","",IF(AND(X169="N/A - Culvert", C169&lt;&gt;"Culvert"), "Not possible ▲",IF(AND(C169="Culvert",X169&lt;&gt;"N/A - Culvert"),"Not possible ▲",IF(VLOOKUP(X169,'G-7 WaterC'' Data'!$AD$4:$AE$14,2,FALSE)=0,"Enrcoachment Data Missing ⚠",VLOOKUP(X169,'G-7 WaterC'' Data'!$AD$4:$AE$14,2,FALSE)))))</f>
        <v/>
      </c>
      <c r="Z169" s="106"/>
      <c r="AA169" s="282" t="str">
        <f>IF(Z169="","",IF(VLOOKUP(Z169,'G-7 WaterC'' Data'!$AO$4:$BO$7,2,FALSE)=0,"Spatial Data Missing ⚠",VLOOKUP(Z169,'G-7 WaterC'' Data'!$AO$4:$BO$7,2,FALSE)))</f>
        <v/>
      </c>
      <c r="AB169" s="323" t="str">
        <f t="shared" si="18"/>
        <v/>
      </c>
      <c r="AC169" s="323" t="str">
        <f t="shared" si="19"/>
        <v/>
      </c>
      <c r="AD169" s="105"/>
      <c r="AE169" s="968"/>
      <c r="AF169" s="142"/>
      <c r="AG169" s="142"/>
      <c r="AH169" s="964"/>
      <c r="AL169" s="30" t="str">
        <f>IFERROR(INDEX('G-7 WaterC'' Data'!$AZ$3:$AZ$7,MATCH(C169,'G-7 WaterC'' Data'!$AY$3:$AY$7,0)),"")</f>
        <v/>
      </c>
      <c r="AN169" s="30" t="str">
        <f t="shared" si="20"/>
        <v>No</v>
      </c>
    </row>
    <row r="170" spans="2:40" ht="13.8" x14ac:dyDescent="0.25">
      <c r="B170" s="101">
        <v>159</v>
      </c>
      <c r="C170" s="953"/>
      <c r="D170" s="119"/>
      <c r="E170" s="281" t="str">
        <f>IF(C170="","",VLOOKUP(C170,'G-7 WaterC'' Data'!$B$2:$Z$9,2,FALSE))</f>
        <v/>
      </c>
      <c r="F170" s="282" t="str">
        <f>IFERROR(VLOOKUP(E170,'G-7 WaterC'' Data'!$C$4:$D$8,2,FALSE),"")</f>
        <v/>
      </c>
      <c r="G170" s="52"/>
      <c r="H170" s="282" t="str">
        <f>IFERROR(INDEX('G-7 WaterC'' Data'!$H$4:$L$8,MATCH(C170,'G-7 WaterC'' Data'!$B$4:$B$8,0),MATCH(G170,'G-7 WaterC'' Data'!$H$3:$L$3,0)),"")</f>
        <v/>
      </c>
      <c r="I170" s="52"/>
      <c r="J170" s="320" t="str">
        <f>IF(I170="","",IF(VLOOKUP(I170,'G-7 WaterC'' Data'!$AK$4:$AM$6,2,FALSE)=0,"Spatial Data Missing ⚠",VLOOKUP(I170,'G-7 WaterC'' Data'!$AK$4:$AM$6,2,FALSE)))</f>
        <v/>
      </c>
      <c r="K170" s="282" t="str">
        <f>IF(I170="","",IF(VLOOKUP(I170,'G-7 WaterC'' Data'!$AK$4:$AM$6,3,FALSE)=0,"Spatial Data Missing ⚠",VLOOKUP(I170,'G-7 WaterC'' Data'!$AK$4:$AM$6,3,FALSE)))</f>
        <v/>
      </c>
      <c r="L170" s="382" t="str">
        <f>IFERROR(INDEX('G-7 WaterC'' Data'!$O$3:$O$7,MATCH(G170,'G-7 WaterC'' Data'!$N$3:$N$7,0)),"")</f>
        <v/>
      </c>
      <c r="M170" s="53"/>
      <c r="N170" s="137"/>
      <c r="O170" s="289" t="str">
        <f t="shared" si="14"/>
        <v/>
      </c>
      <c r="P170" s="302" t="str">
        <f t="shared" si="15"/>
        <v/>
      </c>
      <c r="Q170" s="340" t="str">
        <f>IFERROR(IF(P170="Check Data ⚠","Check Data ⚠",VLOOKUP(P170,'G-4 Temporal multipliers'!$A$4:$C$37,3,FALSE)),"")</f>
        <v/>
      </c>
      <c r="R170" s="281" t="str">
        <f>IF(C170="","",VLOOKUP(C170,'G-7 WaterC'' Data'!$B$4:$G$8,4,FALSE))</f>
        <v/>
      </c>
      <c r="S170" s="289" t="str">
        <f t="shared" si="16"/>
        <v/>
      </c>
      <c r="T170" s="320" t="str">
        <f t="shared" si="17"/>
        <v/>
      </c>
      <c r="U170" s="282" t="str">
        <f>IF(C170="","",VLOOKUP(T170,'G-3 Multipliers'!$P$2:$Q$6,2,FALSE))</f>
        <v/>
      </c>
      <c r="V170" s="106"/>
      <c r="W170" s="282" t="str">
        <f>IF(V170="","",IF(AND(V170="N/A - Culvert",C170&lt;&gt;"Culvert"),"Not possible ▲",IF(AND(C170="Culvert",V170&lt;&gt;"N/A - Culvert"),"Not possible ▲",IF(VLOOKUP(V170,'G-7 WaterC'' Data'!$AA$4:$AB$7,2,FALSE)=0,"Spatial Data Missing ⚠",VLOOKUP(V170,'G-7 WaterC'' Data'!$AA$4:$AB$7,2,FALSE)))))</f>
        <v/>
      </c>
      <c r="X170" s="56"/>
      <c r="Y170" s="282" t="str">
        <f>IF(X170="","",IF(AND(X170="N/A - Culvert", C170&lt;&gt;"Culvert"), "Not possible ▲",IF(AND(C170="Culvert",X170&lt;&gt;"N/A - Culvert"),"Not possible ▲",IF(VLOOKUP(X170,'G-7 WaterC'' Data'!$AD$4:$AE$14,2,FALSE)=0,"Enrcoachment Data Missing ⚠",VLOOKUP(X170,'G-7 WaterC'' Data'!$AD$4:$AE$14,2,FALSE)))))</f>
        <v/>
      </c>
      <c r="Z170" s="106"/>
      <c r="AA170" s="282" t="str">
        <f>IF(Z170="","",IF(VLOOKUP(Z170,'G-7 WaterC'' Data'!$AO$4:$BO$7,2,FALSE)=0,"Spatial Data Missing ⚠",VLOOKUP(Z170,'G-7 WaterC'' Data'!$AO$4:$BO$7,2,FALSE)))</f>
        <v/>
      </c>
      <c r="AB170" s="323" t="str">
        <f t="shared" si="18"/>
        <v/>
      </c>
      <c r="AC170" s="323" t="str">
        <f t="shared" si="19"/>
        <v/>
      </c>
      <c r="AD170" s="105"/>
      <c r="AE170" s="968"/>
      <c r="AF170" s="142"/>
      <c r="AG170" s="142"/>
      <c r="AH170" s="964"/>
      <c r="AL170" s="30" t="str">
        <f>IFERROR(INDEX('G-7 WaterC'' Data'!$AZ$3:$AZ$7,MATCH(C170,'G-7 WaterC'' Data'!$AY$3:$AY$7,0)),"")</f>
        <v/>
      </c>
      <c r="AN170" s="30" t="str">
        <f t="shared" si="20"/>
        <v>No</v>
      </c>
    </row>
    <row r="171" spans="2:40" ht="13.8" x14ac:dyDescent="0.25">
      <c r="B171" s="101">
        <v>160</v>
      </c>
      <c r="C171" s="953"/>
      <c r="D171" s="119"/>
      <c r="E171" s="281" t="str">
        <f>IF(C171="","",VLOOKUP(C171,'G-7 WaterC'' Data'!$B$2:$Z$9,2,FALSE))</f>
        <v/>
      </c>
      <c r="F171" s="282" t="str">
        <f>IFERROR(VLOOKUP(E171,'G-7 WaterC'' Data'!$C$4:$D$8,2,FALSE),"")</f>
        <v/>
      </c>
      <c r="G171" s="52"/>
      <c r="H171" s="282" t="str">
        <f>IFERROR(INDEX('G-7 WaterC'' Data'!$H$4:$L$8,MATCH(C171,'G-7 WaterC'' Data'!$B$4:$B$8,0),MATCH(G171,'G-7 WaterC'' Data'!$H$3:$L$3,0)),"")</f>
        <v/>
      </c>
      <c r="I171" s="52"/>
      <c r="J171" s="320" t="str">
        <f>IF(I171="","",IF(VLOOKUP(I171,'G-7 WaterC'' Data'!$AK$4:$AM$6,2,FALSE)=0,"Spatial Data Missing ⚠",VLOOKUP(I171,'G-7 WaterC'' Data'!$AK$4:$AM$6,2,FALSE)))</f>
        <v/>
      </c>
      <c r="K171" s="282" t="str">
        <f>IF(I171="","",IF(VLOOKUP(I171,'G-7 WaterC'' Data'!$AK$4:$AM$6,3,FALSE)=0,"Spatial Data Missing ⚠",VLOOKUP(I171,'G-7 WaterC'' Data'!$AK$4:$AM$6,3,FALSE)))</f>
        <v/>
      </c>
      <c r="L171" s="382" t="str">
        <f>IFERROR(INDEX('G-7 WaterC'' Data'!$O$3:$O$7,MATCH(G171,'G-7 WaterC'' Data'!$N$3:$N$7,0)),"")</f>
        <v/>
      </c>
      <c r="M171" s="53"/>
      <c r="N171" s="137"/>
      <c r="O171" s="289" t="str">
        <f t="shared" si="14"/>
        <v/>
      </c>
      <c r="P171" s="302" t="str">
        <f t="shared" si="15"/>
        <v/>
      </c>
      <c r="Q171" s="340" t="str">
        <f>IFERROR(IF(P171="Check Data ⚠","Check Data ⚠",VLOOKUP(P171,'G-4 Temporal multipliers'!$A$4:$C$37,3,FALSE)),"")</f>
        <v/>
      </c>
      <c r="R171" s="281" t="str">
        <f>IF(C171="","",VLOOKUP(C171,'G-7 WaterC'' Data'!$B$4:$G$8,4,FALSE))</f>
        <v/>
      </c>
      <c r="S171" s="289" t="str">
        <f t="shared" si="16"/>
        <v/>
      </c>
      <c r="T171" s="320" t="str">
        <f t="shared" si="17"/>
        <v/>
      </c>
      <c r="U171" s="282" t="str">
        <f>IF(C171="","",VLOOKUP(T171,'G-3 Multipliers'!$P$2:$Q$6,2,FALSE))</f>
        <v/>
      </c>
      <c r="V171" s="106"/>
      <c r="W171" s="282" t="str">
        <f>IF(V171="","",IF(AND(V171="N/A - Culvert",C171&lt;&gt;"Culvert"),"Not possible ▲",IF(AND(C171="Culvert",V171&lt;&gt;"N/A - Culvert"),"Not possible ▲",IF(VLOOKUP(V171,'G-7 WaterC'' Data'!$AA$4:$AB$7,2,FALSE)=0,"Spatial Data Missing ⚠",VLOOKUP(V171,'G-7 WaterC'' Data'!$AA$4:$AB$7,2,FALSE)))))</f>
        <v/>
      </c>
      <c r="X171" s="56"/>
      <c r="Y171" s="282" t="str">
        <f>IF(X171="","",IF(AND(X171="N/A - Culvert", C171&lt;&gt;"Culvert"), "Not possible ▲",IF(AND(C171="Culvert",X171&lt;&gt;"N/A - Culvert"),"Not possible ▲",IF(VLOOKUP(X171,'G-7 WaterC'' Data'!$AD$4:$AE$14,2,FALSE)=0,"Enrcoachment Data Missing ⚠",VLOOKUP(X171,'G-7 WaterC'' Data'!$AD$4:$AE$14,2,FALSE)))))</f>
        <v/>
      </c>
      <c r="Z171" s="106"/>
      <c r="AA171" s="282" t="str">
        <f>IF(Z171="","",IF(VLOOKUP(Z171,'G-7 WaterC'' Data'!$AO$4:$BO$7,2,FALSE)=0,"Spatial Data Missing ⚠",VLOOKUP(Z171,'G-7 WaterC'' Data'!$AO$4:$BO$7,2,FALSE)))</f>
        <v/>
      </c>
      <c r="AB171" s="323" t="str">
        <f t="shared" si="18"/>
        <v/>
      </c>
      <c r="AC171" s="323" t="str">
        <f t="shared" si="19"/>
        <v/>
      </c>
      <c r="AD171" s="105"/>
      <c r="AE171" s="968"/>
      <c r="AF171" s="142"/>
      <c r="AG171" s="142"/>
      <c r="AH171" s="964"/>
      <c r="AL171" s="30" t="str">
        <f>IFERROR(INDEX('G-7 WaterC'' Data'!$AZ$3:$AZ$7,MATCH(C171,'G-7 WaterC'' Data'!$AY$3:$AY$7,0)),"")</f>
        <v/>
      </c>
      <c r="AN171" s="30" t="str">
        <f t="shared" si="20"/>
        <v>No</v>
      </c>
    </row>
    <row r="172" spans="2:40" ht="13.8" x14ac:dyDescent="0.25">
      <c r="B172" s="101">
        <v>161</v>
      </c>
      <c r="C172" s="953"/>
      <c r="D172" s="119"/>
      <c r="E172" s="281" t="str">
        <f>IF(C172="","",VLOOKUP(C172,'G-7 WaterC'' Data'!$B$2:$Z$9,2,FALSE))</f>
        <v/>
      </c>
      <c r="F172" s="282" t="str">
        <f>IFERROR(VLOOKUP(E172,'G-7 WaterC'' Data'!$C$4:$D$8,2,FALSE),"")</f>
        <v/>
      </c>
      <c r="G172" s="52"/>
      <c r="H172" s="282" t="str">
        <f>IFERROR(INDEX('G-7 WaterC'' Data'!$H$4:$L$8,MATCH(C172,'G-7 WaterC'' Data'!$B$4:$B$8,0),MATCH(G172,'G-7 WaterC'' Data'!$H$3:$L$3,0)),"")</f>
        <v/>
      </c>
      <c r="I172" s="52"/>
      <c r="J172" s="320" t="str">
        <f>IF(I172="","",IF(VLOOKUP(I172,'G-7 WaterC'' Data'!$AK$4:$AM$6,2,FALSE)=0,"Spatial Data Missing ⚠",VLOOKUP(I172,'G-7 WaterC'' Data'!$AK$4:$AM$6,2,FALSE)))</f>
        <v/>
      </c>
      <c r="K172" s="282" t="str">
        <f>IF(I172="","",IF(VLOOKUP(I172,'G-7 WaterC'' Data'!$AK$4:$AM$6,3,FALSE)=0,"Spatial Data Missing ⚠",VLOOKUP(I172,'G-7 WaterC'' Data'!$AK$4:$AM$6,3,FALSE)))</f>
        <v/>
      </c>
      <c r="L172" s="382" t="str">
        <f>IFERROR(INDEX('G-7 WaterC'' Data'!$O$3:$O$7,MATCH(G172,'G-7 WaterC'' Data'!$N$3:$N$7,0)),"")</f>
        <v/>
      </c>
      <c r="M172" s="53"/>
      <c r="N172" s="137"/>
      <c r="O172" s="289" t="str">
        <f t="shared" si="14"/>
        <v/>
      </c>
      <c r="P172" s="302" t="str">
        <f t="shared" si="15"/>
        <v/>
      </c>
      <c r="Q172" s="340" t="str">
        <f>IFERROR(IF(P172="Check Data ⚠","Check Data ⚠",VLOOKUP(P172,'G-4 Temporal multipliers'!$A$4:$C$37,3,FALSE)),"")</f>
        <v/>
      </c>
      <c r="R172" s="281" t="str">
        <f>IF(C172="","",VLOOKUP(C172,'G-7 WaterC'' Data'!$B$4:$G$8,4,FALSE))</f>
        <v/>
      </c>
      <c r="S172" s="289" t="str">
        <f t="shared" si="16"/>
        <v/>
      </c>
      <c r="T172" s="320" t="str">
        <f t="shared" si="17"/>
        <v/>
      </c>
      <c r="U172" s="282" t="str">
        <f>IF(C172="","",VLOOKUP(T172,'G-3 Multipliers'!$P$2:$Q$6,2,FALSE))</f>
        <v/>
      </c>
      <c r="V172" s="106"/>
      <c r="W172" s="282" t="str">
        <f>IF(V172="","",IF(AND(V172="N/A - Culvert",C172&lt;&gt;"Culvert"),"Not possible ▲",IF(AND(C172="Culvert",V172&lt;&gt;"N/A - Culvert"),"Not possible ▲",IF(VLOOKUP(V172,'G-7 WaterC'' Data'!$AA$4:$AB$7,2,FALSE)=0,"Spatial Data Missing ⚠",VLOOKUP(V172,'G-7 WaterC'' Data'!$AA$4:$AB$7,2,FALSE)))))</f>
        <v/>
      </c>
      <c r="X172" s="56"/>
      <c r="Y172" s="282" t="str">
        <f>IF(X172="","",IF(AND(X172="N/A - Culvert", C172&lt;&gt;"Culvert"), "Not possible ▲",IF(AND(C172="Culvert",X172&lt;&gt;"N/A - Culvert"),"Not possible ▲",IF(VLOOKUP(X172,'G-7 WaterC'' Data'!$AD$4:$AE$14,2,FALSE)=0,"Enrcoachment Data Missing ⚠",VLOOKUP(X172,'G-7 WaterC'' Data'!$AD$4:$AE$14,2,FALSE)))))</f>
        <v/>
      </c>
      <c r="Z172" s="106"/>
      <c r="AA172" s="282" t="str">
        <f>IF(Z172="","",IF(VLOOKUP(Z172,'G-7 WaterC'' Data'!$AO$4:$BO$7,2,FALSE)=0,"Spatial Data Missing ⚠",VLOOKUP(Z172,'G-7 WaterC'' Data'!$AO$4:$BO$7,2,FALSE)))</f>
        <v/>
      </c>
      <c r="AB172" s="323" t="str">
        <f t="shared" si="18"/>
        <v/>
      </c>
      <c r="AC172" s="323" t="str">
        <f t="shared" si="19"/>
        <v/>
      </c>
      <c r="AD172" s="105"/>
      <c r="AE172" s="968"/>
      <c r="AF172" s="142"/>
      <c r="AG172" s="142"/>
      <c r="AH172" s="964"/>
      <c r="AL172" s="30" t="str">
        <f>IFERROR(INDEX('G-7 WaterC'' Data'!$AZ$3:$AZ$7,MATCH(C172,'G-7 WaterC'' Data'!$AY$3:$AY$7,0)),"")</f>
        <v/>
      </c>
      <c r="AN172" s="30" t="str">
        <f t="shared" si="20"/>
        <v>No</v>
      </c>
    </row>
    <row r="173" spans="2:40" ht="13.8" x14ac:dyDescent="0.25">
      <c r="B173" s="101">
        <v>162</v>
      </c>
      <c r="C173" s="953"/>
      <c r="D173" s="119"/>
      <c r="E173" s="281" t="str">
        <f>IF(C173="","",VLOOKUP(C173,'G-7 WaterC'' Data'!$B$2:$Z$9,2,FALSE))</f>
        <v/>
      </c>
      <c r="F173" s="282" t="str">
        <f>IFERROR(VLOOKUP(E173,'G-7 WaterC'' Data'!$C$4:$D$8,2,FALSE),"")</f>
        <v/>
      </c>
      <c r="G173" s="52"/>
      <c r="H173" s="282" t="str">
        <f>IFERROR(INDEX('G-7 WaterC'' Data'!$H$4:$L$8,MATCH(C173,'G-7 WaterC'' Data'!$B$4:$B$8,0),MATCH(G173,'G-7 WaterC'' Data'!$H$3:$L$3,0)),"")</f>
        <v/>
      </c>
      <c r="I173" s="52"/>
      <c r="J173" s="320" t="str">
        <f>IF(I173="","",IF(VLOOKUP(I173,'G-7 WaterC'' Data'!$AK$4:$AM$6,2,FALSE)=0,"Spatial Data Missing ⚠",VLOOKUP(I173,'G-7 WaterC'' Data'!$AK$4:$AM$6,2,FALSE)))</f>
        <v/>
      </c>
      <c r="K173" s="282" t="str">
        <f>IF(I173="","",IF(VLOOKUP(I173,'G-7 WaterC'' Data'!$AK$4:$AM$6,3,FALSE)=0,"Spatial Data Missing ⚠",VLOOKUP(I173,'G-7 WaterC'' Data'!$AK$4:$AM$6,3,FALSE)))</f>
        <v/>
      </c>
      <c r="L173" s="382" t="str">
        <f>IFERROR(INDEX('G-7 WaterC'' Data'!$O$3:$O$7,MATCH(G173,'G-7 WaterC'' Data'!$N$3:$N$7,0)),"")</f>
        <v/>
      </c>
      <c r="M173" s="53"/>
      <c r="N173" s="137"/>
      <c r="O173" s="289" t="str">
        <f t="shared" si="14"/>
        <v/>
      </c>
      <c r="P173" s="302" t="str">
        <f t="shared" si="15"/>
        <v/>
      </c>
      <c r="Q173" s="340" t="str">
        <f>IFERROR(IF(P173="Check Data ⚠","Check Data ⚠",VLOOKUP(P173,'G-4 Temporal multipliers'!$A$4:$C$37,3,FALSE)),"")</f>
        <v/>
      </c>
      <c r="R173" s="281" t="str">
        <f>IF(C173="","",VLOOKUP(C173,'G-7 WaterC'' Data'!$B$4:$G$8,4,FALSE))</f>
        <v/>
      </c>
      <c r="S173" s="289" t="str">
        <f t="shared" si="16"/>
        <v/>
      </c>
      <c r="T173" s="320" t="str">
        <f t="shared" si="17"/>
        <v/>
      </c>
      <c r="U173" s="282" t="str">
        <f>IF(C173="","",VLOOKUP(T173,'G-3 Multipliers'!$P$2:$Q$6,2,FALSE))</f>
        <v/>
      </c>
      <c r="V173" s="106"/>
      <c r="W173" s="282" t="str">
        <f>IF(V173="","",IF(AND(V173="N/A - Culvert",C173&lt;&gt;"Culvert"),"Not possible ▲",IF(AND(C173="Culvert",V173&lt;&gt;"N/A - Culvert"),"Not possible ▲",IF(VLOOKUP(V173,'G-7 WaterC'' Data'!$AA$4:$AB$7,2,FALSE)=0,"Spatial Data Missing ⚠",VLOOKUP(V173,'G-7 WaterC'' Data'!$AA$4:$AB$7,2,FALSE)))))</f>
        <v/>
      </c>
      <c r="X173" s="56"/>
      <c r="Y173" s="282" t="str">
        <f>IF(X173="","",IF(AND(X173="N/A - Culvert", C173&lt;&gt;"Culvert"), "Not possible ▲",IF(AND(C173="Culvert",X173&lt;&gt;"N/A - Culvert"),"Not possible ▲",IF(VLOOKUP(X173,'G-7 WaterC'' Data'!$AD$4:$AE$14,2,FALSE)=0,"Enrcoachment Data Missing ⚠",VLOOKUP(X173,'G-7 WaterC'' Data'!$AD$4:$AE$14,2,FALSE)))))</f>
        <v/>
      </c>
      <c r="Z173" s="106"/>
      <c r="AA173" s="282" t="str">
        <f>IF(Z173="","",IF(VLOOKUP(Z173,'G-7 WaterC'' Data'!$AO$4:$BO$7,2,FALSE)=0,"Spatial Data Missing ⚠",VLOOKUP(Z173,'G-7 WaterC'' Data'!$AO$4:$BO$7,2,FALSE)))</f>
        <v/>
      </c>
      <c r="AB173" s="323" t="str">
        <f t="shared" si="18"/>
        <v/>
      </c>
      <c r="AC173" s="323" t="str">
        <f t="shared" si="19"/>
        <v/>
      </c>
      <c r="AD173" s="105"/>
      <c r="AE173" s="968"/>
      <c r="AF173" s="142"/>
      <c r="AG173" s="142"/>
      <c r="AH173" s="964"/>
      <c r="AL173" s="30" t="str">
        <f>IFERROR(INDEX('G-7 WaterC'' Data'!$AZ$3:$AZ$7,MATCH(C173,'G-7 WaterC'' Data'!$AY$3:$AY$7,0)),"")</f>
        <v/>
      </c>
      <c r="AN173" s="30" t="str">
        <f t="shared" si="20"/>
        <v>No</v>
      </c>
    </row>
    <row r="174" spans="2:40" ht="13.8" x14ac:dyDescent="0.25">
      <c r="B174" s="101">
        <v>163</v>
      </c>
      <c r="C174" s="953"/>
      <c r="D174" s="119"/>
      <c r="E174" s="281" t="str">
        <f>IF(C174="","",VLOOKUP(C174,'G-7 WaterC'' Data'!$B$2:$Z$9,2,FALSE))</f>
        <v/>
      </c>
      <c r="F174" s="282" t="str">
        <f>IFERROR(VLOOKUP(E174,'G-7 WaterC'' Data'!$C$4:$D$8,2,FALSE),"")</f>
        <v/>
      </c>
      <c r="G174" s="52"/>
      <c r="H174" s="282" t="str">
        <f>IFERROR(INDEX('G-7 WaterC'' Data'!$H$4:$L$8,MATCH(C174,'G-7 WaterC'' Data'!$B$4:$B$8,0),MATCH(G174,'G-7 WaterC'' Data'!$H$3:$L$3,0)),"")</f>
        <v/>
      </c>
      <c r="I174" s="52"/>
      <c r="J174" s="320" t="str">
        <f>IF(I174="","",IF(VLOOKUP(I174,'G-7 WaterC'' Data'!$AK$4:$AM$6,2,FALSE)=0,"Spatial Data Missing ⚠",VLOOKUP(I174,'G-7 WaterC'' Data'!$AK$4:$AM$6,2,FALSE)))</f>
        <v/>
      </c>
      <c r="K174" s="282" t="str">
        <f>IF(I174="","",IF(VLOOKUP(I174,'G-7 WaterC'' Data'!$AK$4:$AM$6,3,FALSE)=0,"Spatial Data Missing ⚠",VLOOKUP(I174,'G-7 WaterC'' Data'!$AK$4:$AM$6,3,FALSE)))</f>
        <v/>
      </c>
      <c r="L174" s="382" t="str">
        <f>IFERROR(INDEX('G-7 WaterC'' Data'!$O$3:$O$7,MATCH(G174,'G-7 WaterC'' Data'!$N$3:$N$7,0)),"")</f>
        <v/>
      </c>
      <c r="M174" s="53"/>
      <c r="N174" s="137"/>
      <c r="O174" s="289" t="str">
        <f t="shared" si="14"/>
        <v/>
      </c>
      <c r="P174" s="302" t="str">
        <f t="shared" si="15"/>
        <v/>
      </c>
      <c r="Q174" s="340" t="str">
        <f>IFERROR(IF(P174="Check Data ⚠","Check Data ⚠",VLOOKUP(P174,'G-4 Temporal multipliers'!$A$4:$C$37,3,FALSE)),"")</f>
        <v/>
      </c>
      <c r="R174" s="281" t="str">
        <f>IF(C174="","",VLOOKUP(C174,'G-7 WaterC'' Data'!$B$4:$G$8,4,FALSE))</f>
        <v/>
      </c>
      <c r="S174" s="289" t="str">
        <f t="shared" si="16"/>
        <v/>
      </c>
      <c r="T174" s="320" t="str">
        <f t="shared" si="17"/>
        <v/>
      </c>
      <c r="U174" s="282" t="str">
        <f>IF(C174="","",VLOOKUP(T174,'G-3 Multipliers'!$P$2:$Q$6,2,FALSE))</f>
        <v/>
      </c>
      <c r="V174" s="106"/>
      <c r="W174" s="282" t="str">
        <f>IF(V174="","",IF(AND(V174="N/A - Culvert",C174&lt;&gt;"Culvert"),"Not possible ▲",IF(AND(C174="Culvert",V174&lt;&gt;"N/A - Culvert"),"Not possible ▲",IF(VLOOKUP(V174,'G-7 WaterC'' Data'!$AA$4:$AB$7,2,FALSE)=0,"Spatial Data Missing ⚠",VLOOKUP(V174,'G-7 WaterC'' Data'!$AA$4:$AB$7,2,FALSE)))))</f>
        <v/>
      </c>
      <c r="X174" s="56"/>
      <c r="Y174" s="282" t="str">
        <f>IF(X174="","",IF(AND(X174="N/A - Culvert", C174&lt;&gt;"Culvert"), "Not possible ▲",IF(AND(C174="Culvert",X174&lt;&gt;"N/A - Culvert"),"Not possible ▲",IF(VLOOKUP(X174,'G-7 WaterC'' Data'!$AD$4:$AE$14,2,FALSE)=0,"Enrcoachment Data Missing ⚠",VLOOKUP(X174,'G-7 WaterC'' Data'!$AD$4:$AE$14,2,FALSE)))))</f>
        <v/>
      </c>
      <c r="Z174" s="106"/>
      <c r="AA174" s="282" t="str">
        <f>IF(Z174="","",IF(VLOOKUP(Z174,'G-7 WaterC'' Data'!$AO$4:$BO$7,2,FALSE)=0,"Spatial Data Missing ⚠",VLOOKUP(Z174,'G-7 WaterC'' Data'!$AO$4:$BO$7,2,FALSE)))</f>
        <v/>
      </c>
      <c r="AB174" s="323" t="str">
        <f t="shared" si="18"/>
        <v/>
      </c>
      <c r="AC174" s="323" t="str">
        <f t="shared" si="19"/>
        <v/>
      </c>
      <c r="AD174" s="105"/>
      <c r="AE174" s="968"/>
      <c r="AF174" s="142"/>
      <c r="AG174" s="142"/>
      <c r="AH174" s="964"/>
      <c r="AL174" s="30" t="str">
        <f>IFERROR(INDEX('G-7 WaterC'' Data'!$AZ$3:$AZ$7,MATCH(C174,'G-7 WaterC'' Data'!$AY$3:$AY$7,0)),"")</f>
        <v/>
      </c>
      <c r="AN174" s="30" t="str">
        <f t="shared" si="20"/>
        <v>No</v>
      </c>
    </row>
    <row r="175" spans="2:40" ht="13.8" x14ac:dyDescent="0.25">
      <c r="B175" s="101">
        <v>164</v>
      </c>
      <c r="C175" s="953"/>
      <c r="D175" s="119"/>
      <c r="E175" s="281" t="str">
        <f>IF(C175="","",VLOOKUP(C175,'G-7 WaterC'' Data'!$B$2:$Z$9,2,FALSE))</f>
        <v/>
      </c>
      <c r="F175" s="282" t="str">
        <f>IFERROR(VLOOKUP(E175,'G-7 WaterC'' Data'!$C$4:$D$8,2,FALSE),"")</f>
        <v/>
      </c>
      <c r="G175" s="52"/>
      <c r="H175" s="282" t="str">
        <f>IFERROR(INDEX('G-7 WaterC'' Data'!$H$4:$L$8,MATCH(C175,'G-7 WaterC'' Data'!$B$4:$B$8,0),MATCH(G175,'G-7 WaterC'' Data'!$H$3:$L$3,0)),"")</f>
        <v/>
      </c>
      <c r="I175" s="52"/>
      <c r="J175" s="320" t="str">
        <f>IF(I175="","",IF(VLOOKUP(I175,'G-7 WaterC'' Data'!$AK$4:$AM$6,2,FALSE)=0,"Spatial Data Missing ⚠",VLOOKUP(I175,'G-7 WaterC'' Data'!$AK$4:$AM$6,2,FALSE)))</f>
        <v/>
      </c>
      <c r="K175" s="282" t="str">
        <f>IF(I175="","",IF(VLOOKUP(I175,'G-7 WaterC'' Data'!$AK$4:$AM$6,3,FALSE)=0,"Spatial Data Missing ⚠",VLOOKUP(I175,'G-7 WaterC'' Data'!$AK$4:$AM$6,3,FALSE)))</f>
        <v/>
      </c>
      <c r="L175" s="382" t="str">
        <f>IFERROR(INDEX('G-7 WaterC'' Data'!$O$3:$O$7,MATCH(G175,'G-7 WaterC'' Data'!$N$3:$N$7,0)),"")</f>
        <v/>
      </c>
      <c r="M175" s="53"/>
      <c r="N175" s="137"/>
      <c r="O175" s="289" t="str">
        <f t="shared" si="14"/>
        <v/>
      </c>
      <c r="P175" s="302" t="str">
        <f t="shared" si="15"/>
        <v/>
      </c>
      <c r="Q175" s="340" t="str">
        <f>IFERROR(IF(P175="Check Data ⚠","Check Data ⚠",VLOOKUP(P175,'G-4 Temporal multipliers'!$A$4:$C$37,3,FALSE)),"")</f>
        <v/>
      </c>
      <c r="R175" s="281" t="str">
        <f>IF(C175="","",VLOOKUP(C175,'G-7 WaterC'' Data'!$B$4:$G$8,4,FALSE))</f>
        <v/>
      </c>
      <c r="S175" s="289" t="str">
        <f t="shared" si="16"/>
        <v/>
      </c>
      <c r="T175" s="320" t="str">
        <f t="shared" si="17"/>
        <v/>
      </c>
      <c r="U175" s="282" t="str">
        <f>IF(C175="","",VLOOKUP(T175,'G-3 Multipliers'!$P$2:$Q$6,2,FALSE))</f>
        <v/>
      </c>
      <c r="V175" s="106"/>
      <c r="W175" s="282" t="str">
        <f>IF(V175="","",IF(AND(V175="N/A - Culvert",C175&lt;&gt;"Culvert"),"Not possible ▲",IF(AND(C175="Culvert",V175&lt;&gt;"N/A - Culvert"),"Not possible ▲",IF(VLOOKUP(V175,'G-7 WaterC'' Data'!$AA$4:$AB$7,2,FALSE)=0,"Spatial Data Missing ⚠",VLOOKUP(V175,'G-7 WaterC'' Data'!$AA$4:$AB$7,2,FALSE)))))</f>
        <v/>
      </c>
      <c r="X175" s="56"/>
      <c r="Y175" s="282" t="str">
        <f>IF(X175="","",IF(AND(X175="N/A - Culvert", C175&lt;&gt;"Culvert"), "Not possible ▲",IF(AND(C175="Culvert",X175&lt;&gt;"N/A - Culvert"),"Not possible ▲",IF(VLOOKUP(X175,'G-7 WaterC'' Data'!$AD$4:$AE$14,2,FALSE)=0,"Enrcoachment Data Missing ⚠",VLOOKUP(X175,'G-7 WaterC'' Data'!$AD$4:$AE$14,2,FALSE)))))</f>
        <v/>
      </c>
      <c r="Z175" s="106"/>
      <c r="AA175" s="282" t="str">
        <f>IF(Z175="","",IF(VLOOKUP(Z175,'G-7 WaterC'' Data'!$AO$4:$BO$7,2,FALSE)=0,"Spatial Data Missing ⚠",VLOOKUP(Z175,'G-7 WaterC'' Data'!$AO$4:$BO$7,2,FALSE)))</f>
        <v/>
      </c>
      <c r="AB175" s="323" t="str">
        <f t="shared" si="18"/>
        <v/>
      </c>
      <c r="AC175" s="323" t="str">
        <f t="shared" si="19"/>
        <v/>
      </c>
      <c r="AD175" s="105"/>
      <c r="AE175" s="968"/>
      <c r="AF175" s="142"/>
      <c r="AG175" s="142"/>
      <c r="AH175" s="964"/>
      <c r="AL175" s="30" t="str">
        <f>IFERROR(INDEX('G-7 WaterC'' Data'!$AZ$3:$AZ$7,MATCH(C175,'G-7 WaterC'' Data'!$AY$3:$AY$7,0)),"")</f>
        <v/>
      </c>
      <c r="AN175" s="30" t="str">
        <f t="shared" si="20"/>
        <v>No</v>
      </c>
    </row>
    <row r="176" spans="2:40" ht="13.8" x14ac:dyDescent="0.25">
      <c r="B176" s="101">
        <v>165</v>
      </c>
      <c r="C176" s="953"/>
      <c r="D176" s="119"/>
      <c r="E176" s="281" t="str">
        <f>IF(C176="","",VLOOKUP(C176,'G-7 WaterC'' Data'!$B$2:$Z$9,2,FALSE))</f>
        <v/>
      </c>
      <c r="F176" s="282" t="str">
        <f>IFERROR(VLOOKUP(E176,'G-7 WaterC'' Data'!$C$4:$D$8,2,FALSE),"")</f>
        <v/>
      </c>
      <c r="G176" s="52"/>
      <c r="H176" s="282" t="str">
        <f>IFERROR(INDEX('G-7 WaterC'' Data'!$H$4:$L$8,MATCH(C176,'G-7 WaterC'' Data'!$B$4:$B$8,0),MATCH(G176,'G-7 WaterC'' Data'!$H$3:$L$3,0)),"")</f>
        <v/>
      </c>
      <c r="I176" s="52"/>
      <c r="J176" s="320" t="str">
        <f>IF(I176="","",IF(VLOOKUP(I176,'G-7 WaterC'' Data'!$AK$4:$AM$6,2,FALSE)=0,"Spatial Data Missing ⚠",VLOOKUP(I176,'G-7 WaterC'' Data'!$AK$4:$AM$6,2,FALSE)))</f>
        <v/>
      </c>
      <c r="K176" s="282" t="str">
        <f>IF(I176="","",IF(VLOOKUP(I176,'G-7 WaterC'' Data'!$AK$4:$AM$6,3,FALSE)=0,"Spatial Data Missing ⚠",VLOOKUP(I176,'G-7 WaterC'' Data'!$AK$4:$AM$6,3,FALSE)))</f>
        <v/>
      </c>
      <c r="L176" s="382" t="str">
        <f>IFERROR(INDEX('G-7 WaterC'' Data'!$O$3:$O$7,MATCH(G176,'G-7 WaterC'' Data'!$N$3:$N$7,0)),"")</f>
        <v/>
      </c>
      <c r="M176" s="53"/>
      <c r="N176" s="137"/>
      <c r="O176" s="289" t="str">
        <f t="shared" si="14"/>
        <v/>
      </c>
      <c r="P176" s="302" t="str">
        <f t="shared" si="15"/>
        <v/>
      </c>
      <c r="Q176" s="340" t="str">
        <f>IFERROR(IF(P176="Check Data ⚠","Check Data ⚠",VLOOKUP(P176,'G-4 Temporal multipliers'!$A$4:$C$37,3,FALSE)),"")</f>
        <v/>
      </c>
      <c r="R176" s="281" t="str">
        <f>IF(C176="","",VLOOKUP(C176,'G-7 WaterC'' Data'!$B$4:$G$8,4,FALSE))</f>
        <v/>
      </c>
      <c r="S176" s="289" t="str">
        <f t="shared" si="16"/>
        <v/>
      </c>
      <c r="T176" s="320" t="str">
        <f t="shared" si="17"/>
        <v/>
      </c>
      <c r="U176" s="282" t="str">
        <f>IF(C176="","",VLOOKUP(T176,'G-3 Multipliers'!$P$2:$Q$6,2,FALSE))</f>
        <v/>
      </c>
      <c r="V176" s="106"/>
      <c r="W176" s="282" t="str">
        <f>IF(V176="","",IF(AND(V176="N/A - Culvert",C176&lt;&gt;"Culvert"),"Not possible ▲",IF(AND(C176="Culvert",V176&lt;&gt;"N/A - Culvert"),"Not possible ▲",IF(VLOOKUP(V176,'G-7 WaterC'' Data'!$AA$4:$AB$7,2,FALSE)=0,"Spatial Data Missing ⚠",VLOOKUP(V176,'G-7 WaterC'' Data'!$AA$4:$AB$7,2,FALSE)))))</f>
        <v/>
      </c>
      <c r="X176" s="56"/>
      <c r="Y176" s="282" t="str">
        <f>IF(X176="","",IF(AND(X176="N/A - Culvert", C176&lt;&gt;"Culvert"), "Not possible ▲",IF(AND(C176="Culvert",X176&lt;&gt;"N/A - Culvert"),"Not possible ▲",IF(VLOOKUP(X176,'G-7 WaterC'' Data'!$AD$4:$AE$14,2,FALSE)=0,"Enrcoachment Data Missing ⚠",VLOOKUP(X176,'G-7 WaterC'' Data'!$AD$4:$AE$14,2,FALSE)))))</f>
        <v/>
      </c>
      <c r="Z176" s="106"/>
      <c r="AA176" s="282" t="str">
        <f>IF(Z176="","",IF(VLOOKUP(Z176,'G-7 WaterC'' Data'!$AO$4:$BO$7,2,FALSE)=0,"Spatial Data Missing ⚠",VLOOKUP(Z176,'G-7 WaterC'' Data'!$AO$4:$BO$7,2,FALSE)))</f>
        <v/>
      </c>
      <c r="AB176" s="323" t="str">
        <f t="shared" si="18"/>
        <v/>
      </c>
      <c r="AC176" s="323" t="str">
        <f t="shared" si="19"/>
        <v/>
      </c>
      <c r="AD176" s="105"/>
      <c r="AE176" s="968"/>
      <c r="AF176" s="142"/>
      <c r="AG176" s="142"/>
      <c r="AH176" s="964"/>
      <c r="AL176" s="30" t="str">
        <f>IFERROR(INDEX('G-7 WaterC'' Data'!$AZ$3:$AZ$7,MATCH(C176,'G-7 WaterC'' Data'!$AY$3:$AY$7,0)),"")</f>
        <v/>
      </c>
      <c r="AN176" s="30" t="str">
        <f t="shared" si="20"/>
        <v>No</v>
      </c>
    </row>
    <row r="177" spans="2:40" ht="13.8" x14ac:dyDescent="0.25">
      <c r="B177" s="101">
        <v>166</v>
      </c>
      <c r="C177" s="953"/>
      <c r="D177" s="119"/>
      <c r="E177" s="281" t="str">
        <f>IF(C177="","",VLOOKUP(C177,'G-7 WaterC'' Data'!$B$2:$Z$9,2,FALSE))</f>
        <v/>
      </c>
      <c r="F177" s="282" t="str">
        <f>IFERROR(VLOOKUP(E177,'G-7 WaterC'' Data'!$C$4:$D$8,2,FALSE),"")</f>
        <v/>
      </c>
      <c r="G177" s="52"/>
      <c r="H177" s="282" t="str">
        <f>IFERROR(INDEX('G-7 WaterC'' Data'!$H$4:$L$8,MATCH(C177,'G-7 WaterC'' Data'!$B$4:$B$8,0),MATCH(G177,'G-7 WaterC'' Data'!$H$3:$L$3,0)),"")</f>
        <v/>
      </c>
      <c r="I177" s="52"/>
      <c r="J177" s="320" t="str">
        <f>IF(I177="","",IF(VLOOKUP(I177,'G-7 WaterC'' Data'!$AK$4:$AM$6,2,FALSE)=0,"Spatial Data Missing ⚠",VLOOKUP(I177,'G-7 WaterC'' Data'!$AK$4:$AM$6,2,FALSE)))</f>
        <v/>
      </c>
      <c r="K177" s="282" t="str">
        <f>IF(I177="","",IF(VLOOKUP(I177,'G-7 WaterC'' Data'!$AK$4:$AM$6,3,FALSE)=0,"Spatial Data Missing ⚠",VLOOKUP(I177,'G-7 WaterC'' Data'!$AK$4:$AM$6,3,FALSE)))</f>
        <v/>
      </c>
      <c r="L177" s="382" t="str">
        <f>IFERROR(INDEX('G-7 WaterC'' Data'!$O$3:$O$7,MATCH(G177,'G-7 WaterC'' Data'!$N$3:$N$7,0)),"")</f>
        <v/>
      </c>
      <c r="M177" s="53"/>
      <c r="N177" s="137"/>
      <c r="O177" s="289" t="str">
        <f t="shared" si="14"/>
        <v/>
      </c>
      <c r="P177" s="302" t="str">
        <f t="shared" si="15"/>
        <v/>
      </c>
      <c r="Q177" s="340" t="str">
        <f>IFERROR(IF(P177="Check Data ⚠","Check Data ⚠",VLOOKUP(P177,'G-4 Temporal multipliers'!$A$4:$C$37,3,FALSE)),"")</f>
        <v/>
      </c>
      <c r="R177" s="281" t="str">
        <f>IF(C177="","",VLOOKUP(C177,'G-7 WaterC'' Data'!$B$4:$G$8,4,FALSE))</f>
        <v/>
      </c>
      <c r="S177" s="289" t="str">
        <f t="shared" si="16"/>
        <v/>
      </c>
      <c r="T177" s="320" t="str">
        <f t="shared" si="17"/>
        <v/>
      </c>
      <c r="U177" s="282" t="str">
        <f>IF(C177="","",VLOOKUP(T177,'G-3 Multipliers'!$P$2:$Q$6,2,FALSE))</f>
        <v/>
      </c>
      <c r="V177" s="106"/>
      <c r="W177" s="282" t="str">
        <f>IF(V177="","",IF(AND(V177="N/A - Culvert",C177&lt;&gt;"Culvert"),"Not possible ▲",IF(AND(C177="Culvert",V177&lt;&gt;"N/A - Culvert"),"Not possible ▲",IF(VLOOKUP(V177,'G-7 WaterC'' Data'!$AA$4:$AB$7,2,FALSE)=0,"Spatial Data Missing ⚠",VLOOKUP(V177,'G-7 WaterC'' Data'!$AA$4:$AB$7,2,FALSE)))))</f>
        <v/>
      </c>
      <c r="X177" s="56"/>
      <c r="Y177" s="282" t="str">
        <f>IF(X177="","",IF(AND(X177="N/A - Culvert", C177&lt;&gt;"Culvert"), "Not possible ▲",IF(AND(C177="Culvert",X177&lt;&gt;"N/A - Culvert"),"Not possible ▲",IF(VLOOKUP(X177,'G-7 WaterC'' Data'!$AD$4:$AE$14,2,FALSE)=0,"Enrcoachment Data Missing ⚠",VLOOKUP(X177,'G-7 WaterC'' Data'!$AD$4:$AE$14,2,FALSE)))))</f>
        <v/>
      </c>
      <c r="Z177" s="106"/>
      <c r="AA177" s="282" t="str">
        <f>IF(Z177="","",IF(VLOOKUP(Z177,'G-7 WaterC'' Data'!$AO$4:$BO$7,2,FALSE)=0,"Spatial Data Missing ⚠",VLOOKUP(Z177,'G-7 WaterC'' Data'!$AO$4:$BO$7,2,FALSE)))</f>
        <v/>
      </c>
      <c r="AB177" s="323" t="str">
        <f t="shared" si="18"/>
        <v/>
      </c>
      <c r="AC177" s="323" t="str">
        <f t="shared" si="19"/>
        <v/>
      </c>
      <c r="AD177" s="105"/>
      <c r="AE177" s="968"/>
      <c r="AF177" s="142"/>
      <c r="AG177" s="142"/>
      <c r="AH177" s="964"/>
      <c r="AL177" s="30" t="str">
        <f>IFERROR(INDEX('G-7 WaterC'' Data'!$AZ$3:$AZ$7,MATCH(C177,'G-7 WaterC'' Data'!$AY$3:$AY$7,0)),"")</f>
        <v/>
      </c>
      <c r="AN177" s="30" t="str">
        <f t="shared" si="20"/>
        <v>No</v>
      </c>
    </row>
    <row r="178" spans="2:40" ht="13.8" x14ac:dyDescent="0.25">
      <c r="B178" s="101">
        <v>167</v>
      </c>
      <c r="C178" s="953"/>
      <c r="D178" s="119"/>
      <c r="E178" s="281" t="str">
        <f>IF(C178="","",VLOOKUP(C178,'G-7 WaterC'' Data'!$B$2:$Z$9,2,FALSE))</f>
        <v/>
      </c>
      <c r="F178" s="282" t="str">
        <f>IFERROR(VLOOKUP(E178,'G-7 WaterC'' Data'!$C$4:$D$8,2,FALSE),"")</f>
        <v/>
      </c>
      <c r="G178" s="52"/>
      <c r="H178" s="282" t="str">
        <f>IFERROR(INDEX('G-7 WaterC'' Data'!$H$4:$L$8,MATCH(C178,'G-7 WaterC'' Data'!$B$4:$B$8,0),MATCH(G178,'G-7 WaterC'' Data'!$H$3:$L$3,0)),"")</f>
        <v/>
      </c>
      <c r="I178" s="52"/>
      <c r="J178" s="320" t="str">
        <f>IF(I178="","",IF(VLOOKUP(I178,'G-7 WaterC'' Data'!$AK$4:$AM$6,2,FALSE)=0,"Spatial Data Missing ⚠",VLOOKUP(I178,'G-7 WaterC'' Data'!$AK$4:$AM$6,2,FALSE)))</f>
        <v/>
      </c>
      <c r="K178" s="282" t="str">
        <f>IF(I178="","",IF(VLOOKUP(I178,'G-7 WaterC'' Data'!$AK$4:$AM$6,3,FALSE)=0,"Spatial Data Missing ⚠",VLOOKUP(I178,'G-7 WaterC'' Data'!$AK$4:$AM$6,3,FALSE)))</f>
        <v/>
      </c>
      <c r="L178" s="382" t="str">
        <f>IFERROR(INDEX('G-7 WaterC'' Data'!$O$3:$O$7,MATCH(G178,'G-7 WaterC'' Data'!$N$3:$N$7,0)),"")</f>
        <v/>
      </c>
      <c r="M178" s="53"/>
      <c r="N178" s="137"/>
      <c r="O178" s="289" t="str">
        <f t="shared" si="14"/>
        <v/>
      </c>
      <c r="P178" s="302" t="str">
        <f t="shared" si="15"/>
        <v/>
      </c>
      <c r="Q178" s="340" t="str">
        <f>IFERROR(IF(P178="Check Data ⚠","Check Data ⚠",VLOOKUP(P178,'G-4 Temporal multipliers'!$A$4:$C$37,3,FALSE)),"")</f>
        <v/>
      </c>
      <c r="R178" s="281" t="str">
        <f>IF(C178="","",VLOOKUP(C178,'G-7 WaterC'' Data'!$B$4:$G$8,4,FALSE))</f>
        <v/>
      </c>
      <c r="S178" s="289" t="str">
        <f t="shared" si="16"/>
        <v/>
      </c>
      <c r="T178" s="320" t="str">
        <f t="shared" si="17"/>
        <v/>
      </c>
      <c r="U178" s="282" t="str">
        <f>IF(C178="","",VLOOKUP(T178,'G-3 Multipliers'!$P$2:$Q$6,2,FALSE))</f>
        <v/>
      </c>
      <c r="V178" s="106"/>
      <c r="W178" s="282" t="str">
        <f>IF(V178="","",IF(AND(V178="N/A - Culvert",C178&lt;&gt;"Culvert"),"Not possible ▲",IF(AND(C178="Culvert",V178&lt;&gt;"N/A - Culvert"),"Not possible ▲",IF(VLOOKUP(V178,'G-7 WaterC'' Data'!$AA$4:$AB$7,2,FALSE)=0,"Spatial Data Missing ⚠",VLOOKUP(V178,'G-7 WaterC'' Data'!$AA$4:$AB$7,2,FALSE)))))</f>
        <v/>
      </c>
      <c r="X178" s="56"/>
      <c r="Y178" s="282" t="str">
        <f>IF(X178="","",IF(AND(X178="N/A - Culvert", C178&lt;&gt;"Culvert"), "Not possible ▲",IF(AND(C178="Culvert",X178&lt;&gt;"N/A - Culvert"),"Not possible ▲",IF(VLOOKUP(X178,'G-7 WaterC'' Data'!$AD$4:$AE$14,2,FALSE)=0,"Enrcoachment Data Missing ⚠",VLOOKUP(X178,'G-7 WaterC'' Data'!$AD$4:$AE$14,2,FALSE)))))</f>
        <v/>
      </c>
      <c r="Z178" s="106"/>
      <c r="AA178" s="282" t="str">
        <f>IF(Z178="","",IF(VLOOKUP(Z178,'G-7 WaterC'' Data'!$AO$4:$BO$7,2,FALSE)=0,"Spatial Data Missing ⚠",VLOOKUP(Z178,'G-7 WaterC'' Data'!$AO$4:$BO$7,2,FALSE)))</f>
        <v/>
      </c>
      <c r="AB178" s="323" t="str">
        <f t="shared" si="18"/>
        <v/>
      </c>
      <c r="AC178" s="323" t="str">
        <f t="shared" si="19"/>
        <v/>
      </c>
      <c r="AD178" s="105"/>
      <c r="AE178" s="968"/>
      <c r="AF178" s="142"/>
      <c r="AG178" s="142"/>
      <c r="AH178" s="964"/>
      <c r="AL178" s="30" t="str">
        <f>IFERROR(INDEX('G-7 WaterC'' Data'!$AZ$3:$AZ$7,MATCH(C178,'G-7 WaterC'' Data'!$AY$3:$AY$7,0)),"")</f>
        <v/>
      </c>
      <c r="AN178" s="30" t="str">
        <f t="shared" si="20"/>
        <v>No</v>
      </c>
    </row>
    <row r="179" spans="2:40" ht="13.8" x14ac:dyDescent="0.25">
      <c r="B179" s="101">
        <v>168</v>
      </c>
      <c r="C179" s="953"/>
      <c r="D179" s="119"/>
      <c r="E179" s="281" t="str">
        <f>IF(C179="","",VLOOKUP(C179,'G-7 WaterC'' Data'!$B$2:$Z$9,2,FALSE))</f>
        <v/>
      </c>
      <c r="F179" s="282" t="str">
        <f>IFERROR(VLOOKUP(E179,'G-7 WaterC'' Data'!$C$4:$D$8,2,FALSE),"")</f>
        <v/>
      </c>
      <c r="G179" s="52"/>
      <c r="H179" s="282" t="str">
        <f>IFERROR(INDEX('G-7 WaterC'' Data'!$H$4:$L$8,MATCH(C179,'G-7 WaterC'' Data'!$B$4:$B$8,0),MATCH(G179,'G-7 WaterC'' Data'!$H$3:$L$3,0)),"")</f>
        <v/>
      </c>
      <c r="I179" s="52"/>
      <c r="J179" s="320" t="str">
        <f>IF(I179="","",IF(VLOOKUP(I179,'G-7 WaterC'' Data'!$AK$4:$AM$6,2,FALSE)=0,"Spatial Data Missing ⚠",VLOOKUP(I179,'G-7 WaterC'' Data'!$AK$4:$AM$6,2,FALSE)))</f>
        <v/>
      </c>
      <c r="K179" s="282" t="str">
        <f>IF(I179="","",IF(VLOOKUP(I179,'G-7 WaterC'' Data'!$AK$4:$AM$6,3,FALSE)=0,"Spatial Data Missing ⚠",VLOOKUP(I179,'G-7 WaterC'' Data'!$AK$4:$AM$6,3,FALSE)))</f>
        <v/>
      </c>
      <c r="L179" s="382" t="str">
        <f>IFERROR(INDEX('G-7 WaterC'' Data'!$O$3:$O$7,MATCH(G179,'G-7 WaterC'' Data'!$N$3:$N$7,0)),"")</f>
        <v/>
      </c>
      <c r="M179" s="53"/>
      <c r="N179" s="137"/>
      <c r="O179" s="289" t="str">
        <f t="shared" si="14"/>
        <v/>
      </c>
      <c r="P179" s="302" t="str">
        <f t="shared" si="15"/>
        <v/>
      </c>
      <c r="Q179" s="340" t="str">
        <f>IFERROR(IF(P179="Check Data ⚠","Check Data ⚠",VLOOKUP(P179,'G-4 Temporal multipliers'!$A$4:$C$37,3,FALSE)),"")</f>
        <v/>
      </c>
      <c r="R179" s="281" t="str">
        <f>IF(C179="","",VLOOKUP(C179,'G-7 WaterC'' Data'!$B$4:$G$8,4,FALSE))</f>
        <v/>
      </c>
      <c r="S179" s="289" t="str">
        <f t="shared" si="16"/>
        <v/>
      </c>
      <c r="T179" s="320" t="str">
        <f t="shared" si="17"/>
        <v/>
      </c>
      <c r="U179" s="282" t="str">
        <f>IF(C179="","",VLOOKUP(T179,'G-3 Multipliers'!$P$2:$Q$6,2,FALSE))</f>
        <v/>
      </c>
      <c r="V179" s="106"/>
      <c r="W179" s="282" t="str">
        <f>IF(V179="","",IF(AND(V179="N/A - Culvert",C179&lt;&gt;"Culvert"),"Not possible ▲",IF(AND(C179="Culvert",V179&lt;&gt;"N/A - Culvert"),"Not possible ▲",IF(VLOOKUP(V179,'G-7 WaterC'' Data'!$AA$4:$AB$7,2,FALSE)=0,"Spatial Data Missing ⚠",VLOOKUP(V179,'G-7 WaterC'' Data'!$AA$4:$AB$7,2,FALSE)))))</f>
        <v/>
      </c>
      <c r="X179" s="56"/>
      <c r="Y179" s="282" t="str">
        <f>IF(X179="","",IF(AND(X179="N/A - Culvert", C179&lt;&gt;"Culvert"), "Not possible ▲",IF(AND(C179="Culvert",X179&lt;&gt;"N/A - Culvert"),"Not possible ▲",IF(VLOOKUP(X179,'G-7 WaterC'' Data'!$AD$4:$AE$14,2,FALSE)=0,"Enrcoachment Data Missing ⚠",VLOOKUP(X179,'G-7 WaterC'' Data'!$AD$4:$AE$14,2,FALSE)))))</f>
        <v/>
      </c>
      <c r="Z179" s="106"/>
      <c r="AA179" s="282" t="str">
        <f>IF(Z179="","",IF(VLOOKUP(Z179,'G-7 WaterC'' Data'!$AO$4:$BO$7,2,FALSE)=0,"Spatial Data Missing ⚠",VLOOKUP(Z179,'G-7 WaterC'' Data'!$AO$4:$BO$7,2,FALSE)))</f>
        <v/>
      </c>
      <c r="AB179" s="323" t="str">
        <f t="shared" si="18"/>
        <v/>
      </c>
      <c r="AC179" s="323" t="str">
        <f t="shared" si="19"/>
        <v/>
      </c>
      <c r="AD179" s="105"/>
      <c r="AE179" s="968"/>
      <c r="AF179" s="142"/>
      <c r="AG179" s="142"/>
      <c r="AH179" s="964"/>
      <c r="AL179" s="30" t="str">
        <f>IFERROR(INDEX('G-7 WaterC'' Data'!$AZ$3:$AZ$7,MATCH(C179,'G-7 WaterC'' Data'!$AY$3:$AY$7,0)),"")</f>
        <v/>
      </c>
      <c r="AN179" s="30" t="str">
        <f t="shared" si="20"/>
        <v>No</v>
      </c>
    </row>
    <row r="180" spans="2:40" ht="13.8" x14ac:dyDescent="0.25">
      <c r="B180" s="101">
        <v>169</v>
      </c>
      <c r="C180" s="953"/>
      <c r="D180" s="119"/>
      <c r="E180" s="281" t="str">
        <f>IF(C180="","",VLOOKUP(C180,'G-7 WaterC'' Data'!$B$2:$Z$9,2,FALSE))</f>
        <v/>
      </c>
      <c r="F180" s="282" t="str">
        <f>IFERROR(VLOOKUP(E180,'G-7 WaterC'' Data'!$C$4:$D$8,2,FALSE),"")</f>
        <v/>
      </c>
      <c r="G180" s="52"/>
      <c r="H180" s="282" t="str">
        <f>IFERROR(INDEX('G-7 WaterC'' Data'!$H$4:$L$8,MATCH(C180,'G-7 WaterC'' Data'!$B$4:$B$8,0),MATCH(G180,'G-7 WaterC'' Data'!$H$3:$L$3,0)),"")</f>
        <v/>
      </c>
      <c r="I180" s="52"/>
      <c r="J180" s="320" t="str">
        <f>IF(I180="","",IF(VLOOKUP(I180,'G-7 WaterC'' Data'!$AK$4:$AM$6,2,FALSE)=0,"Spatial Data Missing ⚠",VLOOKUP(I180,'G-7 WaterC'' Data'!$AK$4:$AM$6,2,FALSE)))</f>
        <v/>
      </c>
      <c r="K180" s="282" t="str">
        <f>IF(I180="","",IF(VLOOKUP(I180,'G-7 WaterC'' Data'!$AK$4:$AM$6,3,FALSE)=0,"Spatial Data Missing ⚠",VLOOKUP(I180,'G-7 WaterC'' Data'!$AK$4:$AM$6,3,FALSE)))</f>
        <v/>
      </c>
      <c r="L180" s="382" t="str">
        <f>IFERROR(INDEX('G-7 WaterC'' Data'!$O$3:$O$7,MATCH(G180,'G-7 WaterC'' Data'!$N$3:$N$7,0)),"")</f>
        <v/>
      </c>
      <c r="M180" s="53"/>
      <c r="N180" s="137"/>
      <c r="O180" s="289" t="str">
        <f t="shared" si="14"/>
        <v/>
      </c>
      <c r="P180" s="302" t="str">
        <f t="shared" si="15"/>
        <v/>
      </c>
      <c r="Q180" s="340" t="str">
        <f>IFERROR(IF(P180="Check Data ⚠","Check Data ⚠",VLOOKUP(P180,'G-4 Temporal multipliers'!$A$4:$C$37,3,FALSE)),"")</f>
        <v/>
      </c>
      <c r="R180" s="281" t="str">
        <f>IF(C180="","",VLOOKUP(C180,'G-7 WaterC'' Data'!$B$4:$G$8,4,FALSE))</f>
        <v/>
      </c>
      <c r="S180" s="289" t="str">
        <f t="shared" si="16"/>
        <v/>
      </c>
      <c r="T180" s="320" t="str">
        <f t="shared" si="17"/>
        <v/>
      </c>
      <c r="U180" s="282" t="str">
        <f>IF(C180="","",VLOOKUP(T180,'G-3 Multipliers'!$P$2:$Q$6,2,FALSE))</f>
        <v/>
      </c>
      <c r="V180" s="106"/>
      <c r="W180" s="282" t="str">
        <f>IF(V180="","",IF(AND(V180="N/A - Culvert",C180&lt;&gt;"Culvert"),"Not possible ▲",IF(AND(C180="Culvert",V180&lt;&gt;"N/A - Culvert"),"Not possible ▲",IF(VLOOKUP(V180,'G-7 WaterC'' Data'!$AA$4:$AB$7,2,FALSE)=0,"Spatial Data Missing ⚠",VLOOKUP(V180,'G-7 WaterC'' Data'!$AA$4:$AB$7,2,FALSE)))))</f>
        <v/>
      </c>
      <c r="X180" s="56"/>
      <c r="Y180" s="282" t="str">
        <f>IF(X180="","",IF(AND(X180="N/A - Culvert", C180&lt;&gt;"Culvert"), "Not possible ▲",IF(AND(C180="Culvert",X180&lt;&gt;"N/A - Culvert"),"Not possible ▲",IF(VLOOKUP(X180,'G-7 WaterC'' Data'!$AD$4:$AE$14,2,FALSE)=0,"Enrcoachment Data Missing ⚠",VLOOKUP(X180,'G-7 WaterC'' Data'!$AD$4:$AE$14,2,FALSE)))))</f>
        <v/>
      </c>
      <c r="Z180" s="106"/>
      <c r="AA180" s="282" t="str">
        <f>IF(Z180="","",IF(VLOOKUP(Z180,'G-7 WaterC'' Data'!$AO$4:$BO$7,2,FALSE)=0,"Spatial Data Missing ⚠",VLOOKUP(Z180,'G-7 WaterC'' Data'!$AO$4:$BO$7,2,FALSE)))</f>
        <v/>
      </c>
      <c r="AB180" s="323" t="str">
        <f t="shared" si="18"/>
        <v/>
      </c>
      <c r="AC180" s="323" t="str">
        <f t="shared" si="19"/>
        <v/>
      </c>
      <c r="AD180" s="105"/>
      <c r="AE180" s="968"/>
      <c r="AF180" s="142"/>
      <c r="AG180" s="142"/>
      <c r="AH180" s="964"/>
      <c r="AL180" s="30" t="str">
        <f>IFERROR(INDEX('G-7 WaterC'' Data'!$AZ$3:$AZ$7,MATCH(C180,'G-7 WaterC'' Data'!$AY$3:$AY$7,0)),"")</f>
        <v/>
      </c>
      <c r="AN180" s="30" t="str">
        <f t="shared" si="20"/>
        <v>No</v>
      </c>
    </row>
    <row r="181" spans="2:40" ht="13.8" x14ac:dyDescent="0.25">
      <c r="B181" s="101">
        <v>170</v>
      </c>
      <c r="C181" s="953"/>
      <c r="D181" s="119"/>
      <c r="E181" s="281" t="str">
        <f>IF(C181="","",VLOOKUP(C181,'G-7 WaterC'' Data'!$B$2:$Z$9,2,FALSE))</f>
        <v/>
      </c>
      <c r="F181" s="282" t="str">
        <f>IFERROR(VLOOKUP(E181,'G-7 WaterC'' Data'!$C$4:$D$8,2,FALSE),"")</f>
        <v/>
      </c>
      <c r="G181" s="52"/>
      <c r="H181" s="282" t="str">
        <f>IFERROR(INDEX('G-7 WaterC'' Data'!$H$4:$L$8,MATCH(C181,'G-7 WaterC'' Data'!$B$4:$B$8,0),MATCH(G181,'G-7 WaterC'' Data'!$H$3:$L$3,0)),"")</f>
        <v/>
      </c>
      <c r="I181" s="52"/>
      <c r="J181" s="320" t="str">
        <f>IF(I181="","",IF(VLOOKUP(I181,'G-7 WaterC'' Data'!$AK$4:$AM$6,2,FALSE)=0,"Spatial Data Missing ⚠",VLOOKUP(I181,'G-7 WaterC'' Data'!$AK$4:$AM$6,2,FALSE)))</f>
        <v/>
      </c>
      <c r="K181" s="282" t="str">
        <f>IF(I181="","",IF(VLOOKUP(I181,'G-7 WaterC'' Data'!$AK$4:$AM$6,3,FALSE)=0,"Spatial Data Missing ⚠",VLOOKUP(I181,'G-7 WaterC'' Data'!$AK$4:$AM$6,3,FALSE)))</f>
        <v/>
      </c>
      <c r="L181" s="382" t="str">
        <f>IFERROR(INDEX('G-7 WaterC'' Data'!$O$3:$O$7,MATCH(G181,'G-7 WaterC'' Data'!$N$3:$N$7,0)),"")</f>
        <v/>
      </c>
      <c r="M181" s="53"/>
      <c r="N181" s="137"/>
      <c r="O181" s="289" t="str">
        <f t="shared" si="14"/>
        <v/>
      </c>
      <c r="P181" s="302" t="str">
        <f t="shared" si="15"/>
        <v/>
      </c>
      <c r="Q181" s="340" t="str">
        <f>IFERROR(IF(P181="Check Data ⚠","Check Data ⚠",VLOOKUP(P181,'G-4 Temporal multipliers'!$A$4:$C$37,3,FALSE)),"")</f>
        <v/>
      </c>
      <c r="R181" s="281" t="str">
        <f>IF(C181="","",VLOOKUP(C181,'G-7 WaterC'' Data'!$B$4:$G$8,4,FALSE))</f>
        <v/>
      </c>
      <c r="S181" s="289" t="str">
        <f t="shared" si="16"/>
        <v/>
      </c>
      <c r="T181" s="320" t="str">
        <f t="shared" si="17"/>
        <v/>
      </c>
      <c r="U181" s="282" t="str">
        <f>IF(C181="","",VLOOKUP(T181,'G-3 Multipliers'!$P$2:$Q$6,2,FALSE))</f>
        <v/>
      </c>
      <c r="V181" s="106"/>
      <c r="W181" s="282" t="str">
        <f>IF(V181="","",IF(AND(V181="N/A - Culvert",C181&lt;&gt;"Culvert"),"Not possible ▲",IF(AND(C181="Culvert",V181&lt;&gt;"N/A - Culvert"),"Not possible ▲",IF(VLOOKUP(V181,'G-7 WaterC'' Data'!$AA$4:$AB$7,2,FALSE)=0,"Spatial Data Missing ⚠",VLOOKUP(V181,'G-7 WaterC'' Data'!$AA$4:$AB$7,2,FALSE)))))</f>
        <v/>
      </c>
      <c r="X181" s="56"/>
      <c r="Y181" s="282" t="str">
        <f>IF(X181="","",IF(AND(X181="N/A - Culvert", C181&lt;&gt;"Culvert"), "Not possible ▲",IF(AND(C181="Culvert",X181&lt;&gt;"N/A - Culvert"),"Not possible ▲",IF(VLOOKUP(X181,'G-7 WaterC'' Data'!$AD$4:$AE$14,2,FALSE)=0,"Enrcoachment Data Missing ⚠",VLOOKUP(X181,'G-7 WaterC'' Data'!$AD$4:$AE$14,2,FALSE)))))</f>
        <v/>
      </c>
      <c r="Z181" s="106"/>
      <c r="AA181" s="282" t="str">
        <f>IF(Z181="","",IF(VLOOKUP(Z181,'G-7 WaterC'' Data'!$AO$4:$BO$7,2,FALSE)=0,"Spatial Data Missing ⚠",VLOOKUP(Z181,'G-7 WaterC'' Data'!$AO$4:$BO$7,2,FALSE)))</f>
        <v/>
      </c>
      <c r="AB181" s="323" t="str">
        <f t="shared" si="18"/>
        <v/>
      </c>
      <c r="AC181" s="323" t="str">
        <f t="shared" si="19"/>
        <v/>
      </c>
      <c r="AD181" s="105"/>
      <c r="AE181" s="968"/>
      <c r="AF181" s="142"/>
      <c r="AG181" s="142"/>
      <c r="AH181" s="964"/>
      <c r="AL181" s="30" t="str">
        <f>IFERROR(INDEX('G-7 WaterC'' Data'!$AZ$3:$AZ$7,MATCH(C181,'G-7 WaterC'' Data'!$AY$3:$AY$7,0)),"")</f>
        <v/>
      </c>
      <c r="AN181" s="30" t="str">
        <f t="shared" si="20"/>
        <v>No</v>
      </c>
    </row>
    <row r="182" spans="2:40" ht="13.8" x14ac:dyDescent="0.25">
      <c r="B182" s="101">
        <v>171</v>
      </c>
      <c r="C182" s="953"/>
      <c r="D182" s="119"/>
      <c r="E182" s="281" t="str">
        <f>IF(C182="","",VLOOKUP(C182,'G-7 WaterC'' Data'!$B$2:$Z$9,2,FALSE))</f>
        <v/>
      </c>
      <c r="F182" s="282" t="str">
        <f>IFERROR(VLOOKUP(E182,'G-7 WaterC'' Data'!$C$4:$D$8,2,FALSE),"")</f>
        <v/>
      </c>
      <c r="G182" s="52"/>
      <c r="H182" s="282" t="str">
        <f>IFERROR(INDEX('G-7 WaterC'' Data'!$H$4:$L$8,MATCH(C182,'G-7 WaterC'' Data'!$B$4:$B$8,0),MATCH(G182,'G-7 WaterC'' Data'!$H$3:$L$3,0)),"")</f>
        <v/>
      </c>
      <c r="I182" s="52"/>
      <c r="J182" s="320" t="str">
        <f>IF(I182="","",IF(VLOOKUP(I182,'G-7 WaterC'' Data'!$AK$4:$AM$6,2,FALSE)=0,"Spatial Data Missing ⚠",VLOOKUP(I182,'G-7 WaterC'' Data'!$AK$4:$AM$6,2,FALSE)))</f>
        <v/>
      </c>
      <c r="K182" s="282" t="str">
        <f>IF(I182="","",IF(VLOOKUP(I182,'G-7 WaterC'' Data'!$AK$4:$AM$6,3,FALSE)=0,"Spatial Data Missing ⚠",VLOOKUP(I182,'G-7 WaterC'' Data'!$AK$4:$AM$6,3,FALSE)))</f>
        <v/>
      </c>
      <c r="L182" s="382" t="str">
        <f>IFERROR(INDEX('G-7 WaterC'' Data'!$O$3:$O$7,MATCH(G182,'G-7 WaterC'' Data'!$N$3:$N$7,0)),"")</f>
        <v/>
      </c>
      <c r="M182" s="53"/>
      <c r="N182" s="137"/>
      <c r="O182" s="289" t="str">
        <f t="shared" si="14"/>
        <v/>
      </c>
      <c r="P182" s="302" t="str">
        <f t="shared" si="15"/>
        <v/>
      </c>
      <c r="Q182" s="340" t="str">
        <f>IFERROR(IF(P182="Check Data ⚠","Check Data ⚠",VLOOKUP(P182,'G-4 Temporal multipliers'!$A$4:$C$37,3,FALSE)),"")</f>
        <v/>
      </c>
      <c r="R182" s="281" t="str">
        <f>IF(C182="","",VLOOKUP(C182,'G-7 WaterC'' Data'!$B$4:$G$8,4,FALSE))</f>
        <v/>
      </c>
      <c r="S182" s="289" t="str">
        <f t="shared" si="16"/>
        <v/>
      </c>
      <c r="T182" s="320" t="str">
        <f t="shared" si="17"/>
        <v/>
      </c>
      <c r="U182" s="282" t="str">
        <f>IF(C182="","",VLOOKUP(T182,'G-3 Multipliers'!$P$2:$Q$6,2,FALSE))</f>
        <v/>
      </c>
      <c r="V182" s="106"/>
      <c r="W182" s="282" t="str">
        <f>IF(V182="","",IF(AND(V182="N/A - Culvert",C182&lt;&gt;"Culvert"),"Not possible ▲",IF(AND(C182="Culvert",V182&lt;&gt;"N/A - Culvert"),"Not possible ▲",IF(VLOOKUP(V182,'G-7 WaterC'' Data'!$AA$4:$AB$7,2,FALSE)=0,"Spatial Data Missing ⚠",VLOOKUP(V182,'G-7 WaterC'' Data'!$AA$4:$AB$7,2,FALSE)))))</f>
        <v/>
      </c>
      <c r="X182" s="56"/>
      <c r="Y182" s="282" t="str">
        <f>IF(X182="","",IF(AND(X182="N/A - Culvert", C182&lt;&gt;"Culvert"), "Not possible ▲",IF(AND(C182="Culvert",X182&lt;&gt;"N/A - Culvert"),"Not possible ▲",IF(VLOOKUP(X182,'G-7 WaterC'' Data'!$AD$4:$AE$14,2,FALSE)=0,"Enrcoachment Data Missing ⚠",VLOOKUP(X182,'G-7 WaterC'' Data'!$AD$4:$AE$14,2,FALSE)))))</f>
        <v/>
      </c>
      <c r="Z182" s="106"/>
      <c r="AA182" s="282" t="str">
        <f>IF(Z182="","",IF(VLOOKUP(Z182,'G-7 WaterC'' Data'!$AO$4:$BO$7,2,FALSE)=0,"Spatial Data Missing ⚠",VLOOKUP(Z182,'G-7 WaterC'' Data'!$AO$4:$BO$7,2,FALSE)))</f>
        <v/>
      </c>
      <c r="AB182" s="323" t="str">
        <f t="shared" si="18"/>
        <v/>
      </c>
      <c r="AC182" s="323" t="str">
        <f t="shared" si="19"/>
        <v/>
      </c>
      <c r="AD182" s="105"/>
      <c r="AE182" s="968"/>
      <c r="AF182" s="142"/>
      <c r="AG182" s="142"/>
      <c r="AH182" s="964"/>
      <c r="AL182" s="30" t="str">
        <f>IFERROR(INDEX('G-7 WaterC'' Data'!$AZ$3:$AZ$7,MATCH(C182,'G-7 WaterC'' Data'!$AY$3:$AY$7,0)),"")</f>
        <v/>
      </c>
      <c r="AN182" s="30" t="str">
        <f t="shared" si="20"/>
        <v>No</v>
      </c>
    </row>
    <row r="183" spans="2:40" ht="13.8" x14ac:dyDescent="0.25">
      <c r="B183" s="101">
        <v>172</v>
      </c>
      <c r="C183" s="953"/>
      <c r="D183" s="119"/>
      <c r="E183" s="281" t="str">
        <f>IF(C183="","",VLOOKUP(C183,'G-7 WaterC'' Data'!$B$2:$Z$9,2,FALSE))</f>
        <v/>
      </c>
      <c r="F183" s="282" t="str">
        <f>IFERROR(VLOOKUP(E183,'G-7 WaterC'' Data'!$C$4:$D$8,2,FALSE),"")</f>
        <v/>
      </c>
      <c r="G183" s="52"/>
      <c r="H183" s="282" t="str">
        <f>IFERROR(INDEX('G-7 WaterC'' Data'!$H$4:$L$8,MATCH(C183,'G-7 WaterC'' Data'!$B$4:$B$8,0),MATCH(G183,'G-7 WaterC'' Data'!$H$3:$L$3,0)),"")</f>
        <v/>
      </c>
      <c r="I183" s="52"/>
      <c r="J183" s="320" t="str">
        <f>IF(I183="","",IF(VLOOKUP(I183,'G-7 WaterC'' Data'!$AK$4:$AM$6,2,FALSE)=0,"Spatial Data Missing ⚠",VLOOKUP(I183,'G-7 WaterC'' Data'!$AK$4:$AM$6,2,FALSE)))</f>
        <v/>
      </c>
      <c r="K183" s="282" t="str">
        <f>IF(I183="","",IF(VLOOKUP(I183,'G-7 WaterC'' Data'!$AK$4:$AM$6,3,FALSE)=0,"Spatial Data Missing ⚠",VLOOKUP(I183,'G-7 WaterC'' Data'!$AK$4:$AM$6,3,FALSE)))</f>
        <v/>
      </c>
      <c r="L183" s="382" t="str">
        <f>IFERROR(INDEX('G-7 WaterC'' Data'!$O$3:$O$7,MATCH(G183,'G-7 WaterC'' Data'!$N$3:$N$7,0)),"")</f>
        <v/>
      </c>
      <c r="M183" s="53"/>
      <c r="N183" s="137"/>
      <c r="O183" s="289" t="str">
        <f t="shared" si="14"/>
        <v/>
      </c>
      <c r="P183" s="302" t="str">
        <f t="shared" si="15"/>
        <v/>
      </c>
      <c r="Q183" s="340" t="str">
        <f>IFERROR(IF(P183="Check Data ⚠","Check Data ⚠",VLOOKUP(P183,'G-4 Temporal multipliers'!$A$4:$C$37,3,FALSE)),"")</f>
        <v/>
      </c>
      <c r="R183" s="281" t="str">
        <f>IF(C183="","",VLOOKUP(C183,'G-7 WaterC'' Data'!$B$4:$G$8,4,FALSE))</f>
        <v/>
      </c>
      <c r="S183" s="289" t="str">
        <f t="shared" si="16"/>
        <v/>
      </c>
      <c r="T183" s="320" t="str">
        <f t="shared" si="17"/>
        <v/>
      </c>
      <c r="U183" s="282" t="str">
        <f>IF(C183="","",VLOOKUP(T183,'G-3 Multipliers'!$P$2:$Q$6,2,FALSE))</f>
        <v/>
      </c>
      <c r="V183" s="106"/>
      <c r="W183" s="282" t="str">
        <f>IF(V183="","",IF(AND(V183="N/A - Culvert",C183&lt;&gt;"Culvert"),"Not possible ▲",IF(AND(C183="Culvert",V183&lt;&gt;"N/A - Culvert"),"Not possible ▲",IF(VLOOKUP(V183,'G-7 WaterC'' Data'!$AA$4:$AB$7,2,FALSE)=0,"Spatial Data Missing ⚠",VLOOKUP(V183,'G-7 WaterC'' Data'!$AA$4:$AB$7,2,FALSE)))))</f>
        <v/>
      </c>
      <c r="X183" s="56"/>
      <c r="Y183" s="282" t="str">
        <f>IF(X183="","",IF(AND(X183="N/A - Culvert", C183&lt;&gt;"Culvert"), "Not possible ▲",IF(AND(C183="Culvert",X183&lt;&gt;"N/A - Culvert"),"Not possible ▲",IF(VLOOKUP(X183,'G-7 WaterC'' Data'!$AD$4:$AE$14,2,FALSE)=0,"Enrcoachment Data Missing ⚠",VLOOKUP(X183,'G-7 WaterC'' Data'!$AD$4:$AE$14,2,FALSE)))))</f>
        <v/>
      </c>
      <c r="Z183" s="106"/>
      <c r="AA183" s="282" t="str">
        <f>IF(Z183="","",IF(VLOOKUP(Z183,'G-7 WaterC'' Data'!$AO$4:$BO$7,2,FALSE)=0,"Spatial Data Missing ⚠",VLOOKUP(Z183,'G-7 WaterC'' Data'!$AO$4:$BO$7,2,FALSE)))</f>
        <v/>
      </c>
      <c r="AB183" s="323" t="str">
        <f t="shared" si="18"/>
        <v/>
      </c>
      <c r="AC183" s="323" t="str">
        <f t="shared" si="19"/>
        <v/>
      </c>
      <c r="AD183" s="105"/>
      <c r="AE183" s="968"/>
      <c r="AF183" s="142"/>
      <c r="AG183" s="142"/>
      <c r="AH183" s="964"/>
      <c r="AL183" s="30" t="str">
        <f>IFERROR(INDEX('G-7 WaterC'' Data'!$AZ$3:$AZ$7,MATCH(C183,'G-7 WaterC'' Data'!$AY$3:$AY$7,0)),"")</f>
        <v/>
      </c>
      <c r="AN183" s="30" t="str">
        <f t="shared" si="20"/>
        <v>No</v>
      </c>
    </row>
    <row r="184" spans="2:40" ht="13.8" x14ac:dyDescent="0.25">
      <c r="B184" s="101">
        <v>173</v>
      </c>
      <c r="C184" s="953"/>
      <c r="D184" s="119"/>
      <c r="E184" s="281" t="str">
        <f>IF(C184="","",VLOOKUP(C184,'G-7 WaterC'' Data'!$B$2:$Z$9,2,FALSE))</f>
        <v/>
      </c>
      <c r="F184" s="282" t="str">
        <f>IFERROR(VLOOKUP(E184,'G-7 WaterC'' Data'!$C$4:$D$8,2,FALSE),"")</f>
        <v/>
      </c>
      <c r="G184" s="52"/>
      <c r="H184" s="282" t="str">
        <f>IFERROR(INDEX('G-7 WaterC'' Data'!$H$4:$L$8,MATCH(C184,'G-7 WaterC'' Data'!$B$4:$B$8,0),MATCH(G184,'G-7 WaterC'' Data'!$H$3:$L$3,0)),"")</f>
        <v/>
      </c>
      <c r="I184" s="52"/>
      <c r="J184" s="320" t="str">
        <f>IF(I184="","",IF(VLOOKUP(I184,'G-7 WaterC'' Data'!$AK$4:$AM$6,2,FALSE)=0,"Spatial Data Missing ⚠",VLOOKUP(I184,'G-7 WaterC'' Data'!$AK$4:$AM$6,2,FALSE)))</f>
        <v/>
      </c>
      <c r="K184" s="282" t="str">
        <f>IF(I184="","",IF(VLOOKUP(I184,'G-7 WaterC'' Data'!$AK$4:$AM$6,3,FALSE)=0,"Spatial Data Missing ⚠",VLOOKUP(I184,'G-7 WaterC'' Data'!$AK$4:$AM$6,3,FALSE)))</f>
        <v/>
      </c>
      <c r="L184" s="382" t="str">
        <f>IFERROR(INDEX('G-7 WaterC'' Data'!$O$3:$O$7,MATCH(G184,'G-7 WaterC'' Data'!$N$3:$N$7,0)),"")</f>
        <v/>
      </c>
      <c r="M184" s="53"/>
      <c r="N184" s="137"/>
      <c r="O184" s="289" t="str">
        <f t="shared" si="14"/>
        <v/>
      </c>
      <c r="P184" s="302" t="str">
        <f t="shared" si="15"/>
        <v/>
      </c>
      <c r="Q184" s="340" t="str">
        <f>IFERROR(IF(P184="Check Data ⚠","Check Data ⚠",VLOOKUP(P184,'G-4 Temporal multipliers'!$A$4:$C$37,3,FALSE)),"")</f>
        <v/>
      </c>
      <c r="R184" s="281" t="str">
        <f>IF(C184="","",VLOOKUP(C184,'G-7 WaterC'' Data'!$B$4:$G$8,4,FALSE))</f>
        <v/>
      </c>
      <c r="S184" s="289" t="str">
        <f t="shared" si="16"/>
        <v/>
      </c>
      <c r="T184" s="320" t="str">
        <f t="shared" si="17"/>
        <v/>
      </c>
      <c r="U184" s="282" t="str">
        <f>IF(C184="","",VLOOKUP(T184,'G-3 Multipliers'!$P$2:$Q$6,2,FALSE))</f>
        <v/>
      </c>
      <c r="V184" s="106"/>
      <c r="W184" s="282" t="str">
        <f>IF(V184="","",IF(AND(V184="N/A - Culvert",C184&lt;&gt;"Culvert"),"Not possible ▲",IF(AND(C184="Culvert",V184&lt;&gt;"N/A - Culvert"),"Not possible ▲",IF(VLOOKUP(V184,'G-7 WaterC'' Data'!$AA$4:$AB$7,2,FALSE)=0,"Spatial Data Missing ⚠",VLOOKUP(V184,'G-7 WaterC'' Data'!$AA$4:$AB$7,2,FALSE)))))</f>
        <v/>
      </c>
      <c r="X184" s="56"/>
      <c r="Y184" s="282" t="str">
        <f>IF(X184="","",IF(AND(X184="N/A - Culvert", C184&lt;&gt;"Culvert"), "Not possible ▲",IF(AND(C184="Culvert",X184&lt;&gt;"N/A - Culvert"),"Not possible ▲",IF(VLOOKUP(X184,'G-7 WaterC'' Data'!$AD$4:$AE$14,2,FALSE)=0,"Enrcoachment Data Missing ⚠",VLOOKUP(X184,'G-7 WaterC'' Data'!$AD$4:$AE$14,2,FALSE)))))</f>
        <v/>
      </c>
      <c r="Z184" s="106"/>
      <c r="AA184" s="282" t="str">
        <f>IF(Z184="","",IF(VLOOKUP(Z184,'G-7 WaterC'' Data'!$AO$4:$BO$7,2,FALSE)=0,"Spatial Data Missing ⚠",VLOOKUP(Z184,'G-7 WaterC'' Data'!$AO$4:$BO$7,2,FALSE)))</f>
        <v/>
      </c>
      <c r="AB184" s="323" t="str">
        <f t="shared" si="18"/>
        <v/>
      </c>
      <c r="AC184" s="323" t="str">
        <f t="shared" si="19"/>
        <v/>
      </c>
      <c r="AD184" s="105"/>
      <c r="AE184" s="968"/>
      <c r="AF184" s="142"/>
      <c r="AG184" s="142"/>
      <c r="AH184" s="964"/>
      <c r="AL184" s="30" t="str">
        <f>IFERROR(INDEX('G-7 WaterC'' Data'!$AZ$3:$AZ$7,MATCH(C184,'G-7 WaterC'' Data'!$AY$3:$AY$7,0)),"")</f>
        <v/>
      </c>
      <c r="AN184" s="30" t="str">
        <f t="shared" si="20"/>
        <v>No</v>
      </c>
    </row>
    <row r="185" spans="2:40" ht="13.8" x14ac:dyDescent="0.25">
      <c r="B185" s="101">
        <v>174</v>
      </c>
      <c r="C185" s="953"/>
      <c r="D185" s="119"/>
      <c r="E185" s="281" t="str">
        <f>IF(C185="","",VLOOKUP(C185,'G-7 WaterC'' Data'!$B$2:$Z$9,2,FALSE))</f>
        <v/>
      </c>
      <c r="F185" s="282" t="str">
        <f>IFERROR(VLOOKUP(E185,'G-7 WaterC'' Data'!$C$4:$D$8,2,FALSE),"")</f>
        <v/>
      </c>
      <c r="G185" s="52"/>
      <c r="H185" s="282" t="str">
        <f>IFERROR(INDEX('G-7 WaterC'' Data'!$H$4:$L$8,MATCH(C185,'G-7 WaterC'' Data'!$B$4:$B$8,0),MATCH(G185,'G-7 WaterC'' Data'!$H$3:$L$3,0)),"")</f>
        <v/>
      </c>
      <c r="I185" s="52"/>
      <c r="J185" s="320" t="str">
        <f>IF(I185="","",IF(VLOOKUP(I185,'G-7 WaterC'' Data'!$AK$4:$AM$6,2,FALSE)=0,"Spatial Data Missing ⚠",VLOOKUP(I185,'G-7 WaterC'' Data'!$AK$4:$AM$6,2,FALSE)))</f>
        <v/>
      </c>
      <c r="K185" s="282" t="str">
        <f>IF(I185="","",IF(VLOOKUP(I185,'G-7 WaterC'' Data'!$AK$4:$AM$6,3,FALSE)=0,"Spatial Data Missing ⚠",VLOOKUP(I185,'G-7 WaterC'' Data'!$AK$4:$AM$6,3,FALSE)))</f>
        <v/>
      </c>
      <c r="L185" s="382" t="str">
        <f>IFERROR(INDEX('G-7 WaterC'' Data'!$O$3:$O$7,MATCH(G185,'G-7 WaterC'' Data'!$N$3:$N$7,0)),"")</f>
        <v/>
      </c>
      <c r="M185" s="53"/>
      <c r="N185" s="137"/>
      <c r="O185" s="289" t="str">
        <f t="shared" si="14"/>
        <v/>
      </c>
      <c r="P185" s="302" t="str">
        <f t="shared" si="15"/>
        <v/>
      </c>
      <c r="Q185" s="340" t="str">
        <f>IFERROR(IF(P185="Check Data ⚠","Check Data ⚠",VLOOKUP(P185,'G-4 Temporal multipliers'!$A$4:$C$37,3,FALSE)),"")</f>
        <v/>
      </c>
      <c r="R185" s="281" t="str">
        <f>IF(C185="","",VLOOKUP(C185,'G-7 WaterC'' Data'!$B$4:$G$8,4,FALSE))</f>
        <v/>
      </c>
      <c r="S185" s="289" t="str">
        <f t="shared" si="16"/>
        <v/>
      </c>
      <c r="T185" s="320" t="str">
        <f t="shared" si="17"/>
        <v/>
      </c>
      <c r="U185" s="282" t="str">
        <f>IF(C185="","",VLOOKUP(T185,'G-3 Multipliers'!$P$2:$Q$6,2,FALSE))</f>
        <v/>
      </c>
      <c r="V185" s="106"/>
      <c r="W185" s="282" t="str">
        <f>IF(V185="","",IF(AND(V185="N/A - Culvert",C185&lt;&gt;"Culvert"),"Not possible ▲",IF(AND(C185="Culvert",V185&lt;&gt;"N/A - Culvert"),"Not possible ▲",IF(VLOOKUP(V185,'G-7 WaterC'' Data'!$AA$4:$AB$7,2,FALSE)=0,"Spatial Data Missing ⚠",VLOOKUP(V185,'G-7 WaterC'' Data'!$AA$4:$AB$7,2,FALSE)))))</f>
        <v/>
      </c>
      <c r="X185" s="56"/>
      <c r="Y185" s="282" t="str">
        <f>IF(X185="","",IF(AND(X185="N/A - Culvert", C185&lt;&gt;"Culvert"), "Not possible ▲",IF(AND(C185="Culvert",X185&lt;&gt;"N/A - Culvert"),"Not possible ▲",IF(VLOOKUP(X185,'G-7 WaterC'' Data'!$AD$4:$AE$14,2,FALSE)=0,"Enrcoachment Data Missing ⚠",VLOOKUP(X185,'G-7 WaterC'' Data'!$AD$4:$AE$14,2,FALSE)))))</f>
        <v/>
      </c>
      <c r="Z185" s="106"/>
      <c r="AA185" s="282" t="str">
        <f>IF(Z185="","",IF(VLOOKUP(Z185,'G-7 WaterC'' Data'!$AO$4:$BO$7,2,FALSE)=0,"Spatial Data Missing ⚠",VLOOKUP(Z185,'G-7 WaterC'' Data'!$AO$4:$BO$7,2,FALSE)))</f>
        <v/>
      </c>
      <c r="AB185" s="323" t="str">
        <f t="shared" si="18"/>
        <v/>
      </c>
      <c r="AC185" s="323" t="str">
        <f t="shared" si="19"/>
        <v/>
      </c>
      <c r="AD185" s="105"/>
      <c r="AE185" s="968"/>
      <c r="AF185" s="142"/>
      <c r="AG185" s="142"/>
      <c r="AH185" s="964"/>
      <c r="AL185" s="30" t="str">
        <f>IFERROR(INDEX('G-7 WaterC'' Data'!$AZ$3:$AZ$7,MATCH(C185,'G-7 WaterC'' Data'!$AY$3:$AY$7,0)),"")</f>
        <v/>
      </c>
      <c r="AN185" s="30" t="str">
        <f t="shared" si="20"/>
        <v>No</v>
      </c>
    </row>
    <row r="186" spans="2:40" ht="13.8" x14ac:dyDescent="0.25">
      <c r="B186" s="101">
        <v>175</v>
      </c>
      <c r="C186" s="953"/>
      <c r="D186" s="119"/>
      <c r="E186" s="281" t="str">
        <f>IF(C186="","",VLOOKUP(C186,'G-7 WaterC'' Data'!$B$2:$Z$9,2,FALSE))</f>
        <v/>
      </c>
      <c r="F186" s="282" t="str">
        <f>IFERROR(VLOOKUP(E186,'G-7 WaterC'' Data'!$C$4:$D$8,2,FALSE),"")</f>
        <v/>
      </c>
      <c r="G186" s="52"/>
      <c r="H186" s="282" t="str">
        <f>IFERROR(INDEX('G-7 WaterC'' Data'!$H$4:$L$8,MATCH(C186,'G-7 WaterC'' Data'!$B$4:$B$8,0),MATCH(G186,'G-7 WaterC'' Data'!$H$3:$L$3,0)),"")</f>
        <v/>
      </c>
      <c r="I186" s="52"/>
      <c r="J186" s="320" t="str">
        <f>IF(I186="","",IF(VLOOKUP(I186,'G-7 WaterC'' Data'!$AK$4:$AM$6,2,FALSE)=0,"Spatial Data Missing ⚠",VLOOKUP(I186,'G-7 WaterC'' Data'!$AK$4:$AM$6,2,FALSE)))</f>
        <v/>
      </c>
      <c r="K186" s="282" t="str">
        <f>IF(I186="","",IF(VLOOKUP(I186,'G-7 WaterC'' Data'!$AK$4:$AM$6,3,FALSE)=0,"Spatial Data Missing ⚠",VLOOKUP(I186,'G-7 WaterC'' Data'!$AK$4:$AM$6,3,FALSE)))</f>
        <v/>
      </c>
      <c r="L186" s="382" t="str">
        <f>IFERROR(INDEX('G-7 WaterC'' Data'!$O$3:$O$7,MATCH(G186,'G-7 WaterC'' Data'!$N$3:$N$7,0)),"")</f>
        <v/>
      </c>
      <c r="M186" s="53"/>
      <c r="N186" s="137"/>
      <c r="O186" s="289" t="str">
        <f t="shared" si="14"/>
        <v/>
      </c>
      <c r="P186" s="302" t="str">
        <f t="shared" si="15"/>
        <v/>
      </c>
      <c r="Q186" s="340" t="str">
        <f>IFERROR(IF(P186="Check Data ⚠","Check Data ⚠",VLOOKUP(P186,'G-4 Temporal multipliers'!$A$4:$C$37,3,FALSE)),"")</f>
        <v/>
      </c>
      <c r="R186" s="281" t="str">
        <f>IF(C186="","",VLOOKUP(C186,'G-7 WaterC'' Data'!$B$4:$G$8,4,FALSE))</f>
        <v/>
      </c>
      <c r="S186" s="289" t="str">
        <f t="shared" si="16"/>
        <v/>
      </c>
      <c r="T186" s="320" t="str">
        <f t="shared" si="17"/>
        <v/>
      </c>
      <c r="U186" s="282" t="str">
        <f>IF(C186="","",VLOOKUP(T186,'G-3 Multipliers'!$P$2:$Q$6,2,FALSE))</f>
        <v/>
      </c>
      <c r="V186" s="106"/>
      <c r="W186" s="282" t="str">
        <f>IF(V186="","",IF(AND(V186="N/A - Culvert",C186&lt;&gt;"Culvert"),"Not possible ▲",IF(AND(C186="Culvert",V186&lt;&gt;"N/A - Culvert"),"Not possible ▲",IF(VLOOKUP(V186,'G-7 WaterC'' Data'!$AA$4:$AB$7,2,FALSE)=0,"Spatial Data Missing ⚠",VLOOKUP(V186,'G-7 WaterC'' Data'!$AA$4:$AB$7,2,FALSE)))))</f>
        <v/>
      </c>
      <c r="X186" s="56"/>
      <c r="Y186" s="282" t="str">
        <f>IF(X186="","",IF(AND(X186="N/A - Culvert", C186&lt;&gt;"Culvert"), "Not possible ▲",IF(AND(C186="Culvert",X186&lt;&gt;"N/A - Culvert"),"Not possible ▲",IF(VLOOKUP(X186,'G-7 WaterC'' Data'!$AD$4:$AE$14,2,FALSE)=0,"Enrcoachment Data Missing ⚠",VLOOKUP(X186,'G-7 WaterC'' Data'!$AD$4:$AE$14,2,FALSE)))))</f>
        <v/>
      </c>
      <c r="Z186" s="106"/>
      <c r="AA186" s="282" t="str">
        <f>IF(Z186="","",IF(VLOOKUP(Z186,'G-7 WaterC'' Data'!$AO$4:$BO$7,2,FALSE)=0,"Spatial Data Missing ⚠",VLOOKUP(Z186,'G-7 WaterC'' Data'!$AO$4:$BO$7,2,FALSE)))</f>
        <v/>
      </c>
      <c r="AB186" s="323" t="str">
        <f t="shared" si="18"/>
        <v/>
      </c>
      <c r="AC186" s="323" t="str">
        <f t="shared" si="19"/>
        <v/>
      </c>
      <c r="AD186" s="105"/>
      <c r="AE186" s="968"/>
      <c r="AF186" s="142"/>
      <c r="AG186" s="142"/>
      <c r="AH186" s="964"/>
      <c r="AL186" s="30" t="str">
        <f>IFERROR(INDEX('G-7 WaterC'' Data'!$AZ$3:$AZ$7,MATCH(C186,'G-7 WaterC'' Data'!$AY$3:$AY$7,0)),"")</f>
        <v/>
      </c>
      <c r="AN186" s="30" t="str">
        <f t="shared" si="20"/>
        <v>No</v>
      </c>
    </row>
    <row r="187" spans="2:40" ht="13.8" x14ac:dyDescent="0.25">
      <c r="B187" s="101">
        <v>176</v>
      </c>
      <c r="C187" s="953"/>
      <c r="D187" s="119"/>
      <c r="E187" s="281" t="str">
        <f>IF(C187="","",VLOOKUP(C187,'G-7 WaterC'' Data'!$B$2:$Z$9,2,FALSE))</f>
        <v/>
      </c>
      <c r="F187" s="282" t="str">
        <f>IFERROR(VLOOKUP(E187,'G-7 WaterC'' Data'!$C$4:$D$8,2,FALSE),"")</f>
        <v/>
      </c>
      <c r="G187" s="52"/>
      <c r="H187" s="282" t="str">
        <f>IFERROR(INDEX('G-7 WaterC'' Data'!$H$4:$L$8,MATCH(C187,'G-7 WaterC'' Data'!$B$4:$B$8,0),MATCH(G187,'G-7 WaterC'' Data'!$H$3:$L$3,0)),"")</f>
        <v/>
      </c>
      <c r="I187" s="52"/>
      <c r="J187" s="320" t="str">
        <f>IF(I187="","",IF(VLOOKUP(I187,'G-7 WaterC'' Data'!$AK$4:$AM$6,2,FALSE)=0,"Spatial Data Missing ⚠",VLOOKUP(I187,'G-7 WaterC'' Data'!$AK$4:$AM$6,2,FALSE)))</f>
        <v/>
      </c>
      <c r="K187" s="282" t="str">
        <f>IF(I187="","",IF(VLOOKUP(I187,'G-7 WaterC'' Data'!$AK$4:$AM$6,3,FALSE)=0,"Spatial Data Missing ⚠",VLOOKUP(I187,'G-7 WaterC'' Data'!$AK$4:$AM$6,3,FALSE)))</f>
        <v/>
      </c>
      <c r="L187" s="382" t="str">
        <f>IFERROR(INDEX('G-7 WaterC'' Data'!$O$3:$O$7,MATCH(G187,'G-7 WaterC'' Data'!$N$3:$N$7,0)),"")</f>
        <v/>
      </c>
      <c r="M187" s="53"/>
      <c r="N187" s="137"/>
      <c r="O187" s="289" t="str">
        <f t="shared" si="14"/>
        <v/>
      </c>
      <c r="P187" s="302" t="str">
        <f t="shared" si="15"/>
        <v/>
      </c>
      <c r="Q187" s="340" t="str">
        <f>IFERROR(IF(P187="Check Data ⚠","Check Data ⚠",VLOOKUP(P187,'G-4 Temporal multipliers'!$A$4:$C$37,3,FALSE)),"")</f>
        <v/>
      </c>
      <c r="R187" s="281" t="str">
        <f>IF(C187="","",VLOOKUP(C187,'G-7 WaterC'' Data'!$B$4:$G$8,4,FALSE))</f>
        <v/>
      </c>
      <c r="S187" s="289" t="str">
        <f t="shared" si="16"/>
        <v/>
      </c>
      <c r="T187" s="320" t="str">
        <f t="shared" si="17"/>
        <v/>
      </c>
      <c r="U187" s="282" t="str">
        <f>IF(C187="","",VLOOKUP(T187,'G-3 Multipliers'!$P$2:$Q$6,2,FALSE))</f>
        <v/>
      </c>
      <c r="V187" s="106"/>
      <c r="W187" s="282" t="str">
        <f>IF(V187="","",IF(AND(V187="N/A - Culvert",C187&lt;&gt;"Culvert"),"Not possible ▲",IF(AND(C187="Culvert",V187&lt;&gt;"N/A - Culvert"),"Not possible ▲",IF(VLOOKUP(V187,'G-7 WaterC'' Data'!$AA$4:$AB$7,2,FALSE)=0,"Spatial Data Missing ⚠",VLOOKUP(V187,'G-7 WaterC'' Data'!$AA$4:$AB$7,2,FALSE)))))</f>
        <v/>
      </c>
      <c r="X187" s="56"/>
      <c r="Y187" s="282" t="str">
        <f>IF(X187="","",IF(AND(X187="N/A - Culvert", C187&lt;&gt;"Culvert"), "Not possible ▲",IF(AND(C187="Culvert",X187&lt;&gt;"N/A - Culvert"),"Not possible ▲",IF(VLOOKUP(X187,'G-7 WaterC'' Data'!$AD$4:$AE$14,2,FALSE)=0,"Enrcoachment Data Missing ⚠",VLOOKUP(X187,'G-7 WaterC'' Data'!$AD$4:$AE$14,2,FALSE)))))</f>
        <v/>
      </c>
      <c r="Z187" s="106"/>
      <c r="AA187" s="282" t="str">
        <f>IF(Z187="","",IF(VLOOKUP(Z187,'G-7 WaterC'' Data'!$AO$4:$BO$7,2,FALSE)=0,"Spatial Data Missing ⚠",VLOOKUP(Z187,'G-7 WaterC'' Data'!$AO$4:$BO$7,2,FALSE)))</f>
        <v/>
      </c>
      <c r="AB187" s="323" t="str">
        <f t="shared" si="18"/>
        <v/>
      </c>
      <c r="AC187" s="323" t="str">
        <f t="shared" si="19"/>
        <v/>
      </c>
      <c r="AD187" s="105"/>
      <c r="AE187" s="968"/>
      <c r="AF187" s="142"/>
      <c r="AG187" s="142"/>
      <c r="AH187" s="964"/>
      <c r="AL187" s="30" t="str">
        <f>IFERROR(INDEX('G-7 WaterC'' Data'!$AZ$3:$AZ$7,MATCH(C187,'G-7 WaterC'' Data'!$AY$3:$AY$7,0)),"")</f>
        <v/>
      </c>
      <c r="AN187" s="30" t="str">
        <f t="shared" si="20"/>
        <v>No</v>
      </c>
    </row>
    <row r="188" spans="2:40" ht="13.8" x14ac:dyDescent="0.25">
      <c r="B188" s="101">
        <v>177</v>
      </c>
      <c r="C188" s="953"/>
      <c r="D188" s="119"/>
      <c r="E188" s="281" t="str">
        <f>IF(C188="","",VLOOKUP(C188,'G-7 WaterC'' Data'!$B$2:$Z$9,2,FALSE))</f>
        <v/>
      </c>
      <c r="F188" s="282" t="str">
        <f>IFERROR(VLOOKUP(E188,'G-7 WaterC'' Data'!$C$4:$D$8,2,FALSE),"")</f>
        <v/>
      </c>
      <c r="G188" s="52"/>
      <c r="H188" s="282" t="str">
        <f>IFERROR(INDEX('G-7 WaterC'' Data'!$H$4:$L$8,MATCH(C188,'G-7 WaterC'' Data'!$B$4:$B$8,0),MATCH(G188,'G-7 WaterC'' Data'!$H$3:$L$3,0)),"")</f>
        <v/>
      </c>
      <c r="I188" s="52"/>
      <c r="J188" s="320" t="str">
        <f>IF(I188="","",IF(VLOOKUP(I188,'G-7 WaterC'' Data'!$AK$4:$AM$6,2,FALSE)=0,"Spatial Data Missing ⚠",VLOOKUP(I188,'G-7 WaterC'' Data'!$AK$4:$AM$6,2,FALSE)))</f>
        <v/>
      </c>
      <c r="K188" s="282" t="str">
        <f>IF(I188="","",IF(VLOOKUP(I188,'G-7 WaterC'' Data'!$AK$4:$AM$6,3,FALSE)=0,"Spatial Data Missing ⚠",VLOOKUP(I188,'G-7 WaterC'' Data'!$AK$4:$AM$6,3,FALSE)))</f>
        <v/>
      </c>
      <c r="L188" s="382" t="str">
        <f>IFERROR(INDEX('G-7 WaterC'' Data'!$O$3:$O$7,MATCH(G188,'G-7 WaterC'' Data'!$N$3:$N$7,0)),"")</f>
        <v/>
      </c>
      <c r="M188" s="53"/>
      <c r="N188" s="137"/>
      <c r="O188" s="289" t="str">
        <f t="shared" si="14"/>
        <v/>
      </c>
      <c r="P188" s="302" t="str">
        <f t="shared" si="15"/>
        <v/>
      </c>
      <c r="Q188" s="340" t="str">
        <f>IFERROR(IF(P188="Check Data ⚠","Check Data ⚠",VLOOKUP(P188,'G-4 Temporal multipliers'!$A$4:$C$37,3,FALSE)),"")</f>
        <v/>
      </c>
      <c r="R188" s="281" t="str">
        <f>IF(C188="","",VLOOKUP(C188,'G-7 WaterC'' Data'!$B$4:$G$8,4,FALSE))</f>
        <v/>
      </c>
      <c r="S188" s="289" t="str">
        <f t="shared" si="16"/>
        <v/>
      </c>
      <c r="T188" s="320" t="str">
        <f t="shared" si="17"/>
        <v/>
      </c>
      <c r="U188" s="282" t="str">
        <f>IF(C188="","",VLOOKUP(T188,'G-3 Multipliers'!$P$2:$Q$6,2,FALSE))</f>
        <v/>
      </c>
      <c r="V188" s="106"/>
      <c r="W188" s="282" t="str">
        <f>IF(V188="","",IF(AND(V188="N/A - Culvert",C188&lt;&gt;"Culvert"),"Not possible ▲",IF(AND(C188="Culvert",V188&lt;&gt;"N/A - Culvert"),"Not possible ▲",IF(VLOOKUP(V188,'G-7 WaterC'' Data'!$AA$4:$AB$7,2,FALSE)=0,"Spatial Data Missing ⚠",VLOOKUP(V188,'G-7 WaterC'' Data'!$AA$4:$AB$7,2,FALSE)))))</f>
        <v/>
      </c>
      <c r="X188" s="56"/>
      <c r="Y188" s="282" t="str">
        <f>IF(X188="","",IF(AND(X188="N/A - Culvert", C188&lt;&gt;"Culvert"), "Not possible ▲",IF(AND(C188="Culvert",X188&lt;&gt;"N/A - Culvert"),"Not possible ▲",IF(VLOOKUP(X188,'G-7 WaterC'' Data'!$AD$4:$AE$14,2,FALSE)=0,"Enrcoachment Data Missing ⚠",VLOOKUP(X188,'G-7 WaterC'' Data'!$AD$4:$AE$14,2,FALSE)))))</f>
        <v/>
      </c>
      <c r="Z188" s="106"/>
      <c r="AA188" s="282" t="str">
        <f>IF(Z188="","",IF(VLOOKUP(Z188,'G-7 WaterC'' Data'!$AO$4:$BO$7,2,FALSE)=0,"Spatial Data Missing ⚠",VLOOKUP(Z188,'G-7 WaterC'' Data'!$AO$4:$BO$7,2,FALSE)))</f>
        <v/>
      </c>
      <c r="AB188" s="323" t="str">
        <f t="shared" si="18"/>
        <v/>
      </c>
      <c r="AC188" s="323" t="str">
        <f t="shared" si="19"/>
        <v/>
      </c>
      <c r="AD188" s="105"/>
      <c r="AE188" s="968"/>
      <c r="AF188" s="142"/>
      <c r="AG188" s="142"/>
      <c r="AH188" s="964"/>
      <c r="AL188" s="30" t="str">
        <f>IFERROR(INDEX('G-7 WaterC'' Data'!$AZ$3:$AZ$7,MATCH(C188,'G-7 WaterC'' Data'!$AY$3:$AY$7,0)),"")</f>
        <v/>
      </c>
      <c r="AN188" s="30" t="str">
        <f t="shared" si="20"/>
        <v>No</v>
      </c>
    </row>
    <row r="189" spans="2:40" ht="13.8" x14ac:dyDescent="0.25">
      <c r="B189" s="101">
        <v>178</v>
      </c>
      <c r="C189" s="953"/>
      <c r="D189" s="119"/>
      <c r="E189" s="281" t="str">
        <f>IF(C189="","",VLOOKUP(C189,'G-7 WaterC'' Data'!$B$2:$Z$9,2,FALSE))</f>
        <v/>
      </c>
      <c r="F189" s="282" t="str">
        <f>IFERROR(VLOOKUP(E189,'G-7 WaterC'' Data'!$C$4:$D$8,2,FALSE),"")</f>
        <v/>
      </c>
      <c r="G189" s="52"/>
      <c r="H189" s="282" t="str">
        <f>IFERROR(INDEX('G-7 WaterC'' Data'!$H$4:$L$8,MATCH(C189,'G-7 WaterC'' Data'!$B$4:$B$8,0),MATCH(G189,'G-7 WaterC'' Data'!$H$3:$L$3,0)),"")</f>
        <v/>
      </c>
      <c r="I189" s="52"/>
      <c r="J189" s="320" t="str">
        <f>IF(I189="","",IF(VLOOKUP(I189,'G-7 WaterC'' Data'!$AK$4:$AM$6,2,FALSE)=0,"Spatial Data Missing ⚠",VLOOKUP(I189,'G-7 WaterC'' Data'!$AK$4:$AM$6,2,FALSE)))</f>
        <v/>
      </c>
      <c r="K189" s="282" t="str">
        <f>IF(I189="","",IF(VLOOKUP(I189,'G-7 WaterC'' Data'!$AK$4:$AM$6,3,FALSE)=0,"Spatial Data Missing ⚠",VLOOKUP(I189,'G-7 WaterC'' Data'!$AK$4:$AM$6,3,FALSE)))</f>
        <v/>
      </c>
      <c r="L189" s="382" t="str">
        <f>IFERROR(INDEX('G-7 WaterC'' Data'!$O$3:$O$7,MATCH(G189,'G-7 WaterC'' Data'!$N$3:$N$7,0)),"")</f>
        <v/>
      </c>
      <c r="M189" s="53"/>
      <c r="N189" s="137"/>
      <c r="O189" s="289" t="str">
        <f t="shared" si="14"/>
        <v/>
      </c>
      <c r="P189" s="302" t="str">
        <f t="shared" si="15"/>
        <v/>
      </c>
      <c r="Q189" s="340" t="str">
        <f>IFERROR(IF(P189="Check Data ⚠","Check Data ⚠",VLOOKUP(P189,'G-4 Temporal multipliers'!$A$4:$C$37,3,FALSE)),"")</f>
        <v/>
      </c>
      <c r="R189" s="281" t="str">
        <f>IF(C189="","",VLOOKUP(C189,'G-7 WaterC'' Data'!$B$4:$G$8,4,FALSE))</f>
        <v/>
      </c>
      <c r="S189" s="289" t="str">
        <f t="shared" si="16"/>
        <v/>
      </c>
      <c r="T189" s="320" t="str">
        <f t="shared" si="17"/>
        <v/>
      </c>
      <c r="U189" s="282" t="str">
        <f>IF(C189="","",VLOOKUP(T189,'G-3 Multipliers'!$P$2:$Q$6,2,FALSE))</f>
        <v/>
      </c>
      <c r="V189" s="106"/>
      <c r="W189" s="282" t="str">
        <f>IF(V189="","",IF(AND(V189="N/A - Culvert",C189&lt;&gt;"Culvert"),"Not possible ▲",IF(AND(C189="Culvert",V189&lt;&gt;"N/A - Culvert"),"Not possible ▲",IF(VLOOKUP(V189,'G-7 WaterC'' Data'!$AA$4:$AB$7,2,FALSE)=0,"Spatial Data Missing ⚠",VLOOKUP(V189,'G-7 WaterC'' Data'!$AA$4:$AB$7,2,FALSE)))))</f>
        <v/>
      </c>
      <c r="X189" s="56"/>
      <c r="Y189" s="282" t="str">
        <f>IF(X189="","",IF(AND(X189="N/A - Culvert", C189&lt;&gt;"Culvert"), "Not possible ▲",IF(AND(C189="Culvert",X189&lt;&gt;"N/A - Culvert"),"Not possible ▲",IF(VLOOKUP(X189,'G-7 WaterC'' Data'!$AD$4:$AE$14,2,FALSE)=0,"Enrcoachment Data Missing ⚠",VLOOKUP(X189,'G-7 WaterC'' Data'!$AD$4:$AE$14,2,FALSE)))))</f>
        <v/>
      </c>
      <c r="Z189" s="106"/>
      <c r="AA189" s="282" t="str">
        <f>IF(Z189="","",IF(VLOOKUP(Z189,'G-7 WaterC'' Data'!$AO$4:$BO$7,2,FALSE)=0,"Spatial Data Missing ⚠",VLOOKUP(Z189,'G-7 WaterC'' Data'!$AO$4:$BO$7,2,FALSE)))</f>
        <v/>
      </c>
      <c r="AB189" s="323" t="str">
        <f t="shared" si="18"/>
        <v/>
      </c>
      <c r="AC189" s="323" t="str">
        <f t="shared" si="19"/>
        <v/>
      </c>
      <c r="AD189" s="105"/>
      <c r="AE189" s="968"/>
      <c r="AF189" s="142"/>
      <c r="AG189" s="142"/>
      <c r="AH189" s="964"/>
      <c r="AL189" s="30" t="str">
        <f>IFERROR(INDEX('G-7 WaterC'' Data'!$AZ$3:$AZ$7,MATCH(C189,'G-7 WaterC'' Data'!$AY$3:$AY$7,0)),"")</f>
        <v/>
      </c>
      <c r="AN189" s="30" t="str">
        <f t="shared" si="20"/>
        <v>No</v>
      </c>
    </row>
    <row r="190" spans="2:40" ht="13.8" x14ac:dyDescent="0.25">
      <c r="B190" s="101">
        <v>179</v>
      </c>
      <c r="C190" s="953"/>
      <c r="D190" s="119"/>
      <c r="E190" s="281" t="str">
        <f>IF(C190="","",VLOOKUP(C190,'G-7 WaterC'' Data'!$B$2:$Z$9,2,FALSE))</f>
        <v/>
      </c>
      <c r="F190" s="282" t="str">
        <f>IFERROR(VLOOKUP(E190,'G-7 WaterC'' Data'!$C$4:$D$8,2,FALSE),"")</f>
        <v/>
      </c>
      <c r="G190" s="52"/>
      <c r="H190" s="282" t="str">
        <f>IFERROR(INDEX('G-7 WaterC'' Data'!$H$4:$L$8,MATCH(C190,'G-7 WaterC'' Data'!$B$4:$B$8,0),MATCH(G190,'G-7 WaterC'' Data'!$H$3:$L$3,0)),"")</f>
        <v/>
      </c>
      <c r="I190" s="52"/>
      <c r="J190" s="320" t="str">
        <f>IF(I190="","",IF(VLOOKUP(I190,'G-7 WaterC'' Data'!$AK$4:$AM$6,2,FALSE)=0,"Spatial Data Missing ⚠",VLOOKUP(I190,'G-7 WaterC'' Data'!$AK$4:$AM$6,2,FALSE)))</f>
        <v/>
      </c>
      <c r="K190" s="282" t="str">
        <f>IF(I190="","",IF(VLOOKUP(I190,'G-7 WaterC'' Data'!$AK$4:$AM$6,3,FALSE)=0,"Spatial Data Missing ⚠",VLOOKUP(I190,'G-7 WaterC'' Data'!$AK$4:$AM$6,3,FALSE)))</f>
        <v/>
      </c>
      <c r="L190" s="382" t="str">
        <f>IFERROR(INDEX('G-7 WaterC'' Data'!$O$3:$O$7,MATCH(G190,'G-7 WaterC'' Data'!$N$3:$N$7,0)),"")</f>
        <v/>
      </c>
      <c r="M190" s="53"/>
      <c r="N190" s="137"/>
      <c r="O190" s="289" t="str">
        <f t="shared" si="14"/>
        <v/>
      </c>
      <c r="P190" s="302" t="str">
        <f t="shared" si="15"/>
        <v/>
      </c>
      <c r="Q190" s="340" t="str">
        <f>IFERROR(IF(P190="Check Data ⚠","Check Data ⚠",VLOOKUP(P190,'G-4 Temporal multipliers'!$A$4:$C$37,3,FALSE)),"")</f>
        <v/>
      </c>
      <c r="R190" s="281" t="str">
        <f>IF(C190="","",VLOOKUP(C190,'G-7 WaterC'' Data'!$B$4:$G$8,4,FALSE))</f>
        <v/>
      </c>
      <c r="S190" s="289" t="str">
        <f t="shared" si="16"/>
        <v/>
      </c>
      <c r="T190" s="320" t="str">
        <f t="shared" si="17"/>
        <v/>
      </c>
      <c r="U190" s="282" t="str">
        <f>IF(C190="","",VLOOKUP(T190,'G-3 Multipliers'!$P$2:$Q$6,2,FALSE))</f>
        <v/>
      </c>
      <c r="V190" s="106"/>
      <c r="W190" s="282" t="str">
        <f>IF(V190="","",IF(AND(V190="N/A - Culvert",C190&lt;&gt;"Culvert"),"Not possible ▲",IF(AND(C190="Culvert",V190&lt;&gt;"N/A - Culvert"),"Not possible ▲",IF(VLOOKUP(V190,'G-7 WaterC'' Data'!$AA$4:$AB$7,2,FALSE)=0,"Spatial Data Missing ⚠",VLOOKUP(V190,'G-7 WaterC'' Data'!$AA$4:$AB$7,2,FALSE)))))</f>
        <v/>
      </c>
      <c r="X190" s="56"/>
      <c r="Y190" s="282" t="str">
        <f>IF(X190="","",IF(AND(X190="N/A - Culvert", C190&lt;&gt;"Culvert"), "Not possible ▲",IF(AND(C190="Culvert",X190&lt;&gt;"N/A - Culvert"),"Not possible ▲",IF(VLOOKUP(X190,'G-7 WaterC'' Data'!$AD$4:$AE$14,2,FALSE)=0,"Enrcoachment Data Missing ⚠",VLOOKUP(X190,'G-7 WaterC'' Data'!$AD$4:$AE$14,2,FALSE)))))</f>
        <v/>
      </c>
      <c r="Z190" s="106"/>
      <c r="AA190" s="282" t="str">
        <f>IF(Z190="","",IF(VLOOKUP(Z190,'G-7 WaterC'' Data'!$AO$4:$BO$7,2,FALSE)=0,"Spatial Data Missing ⚠",VLOOKUP(Z190,'G-7 WaterC'' Data'!$AO$4:$BO$7,2,FALSE)))</f>
        <v/>
      </c>
      <c r="AB190" s="323" t="str">
        <f t="shared" si="18"/>
        <v/>
      </c>
      <c r="AC190" s="323" t="str">
        <f t="shared" si="19"/>
        <v/>
      </c>
      <c r="AD190" s="105"/>
      <c r="AE190" s="968"/>
      <c r="AF190" s="142"/>
      <c r="AG190" s="142"/>
      <c r="AH190" s="964"/>
      <c r="AL190" s="30" t="str">
        <f>IFERROR(INDEX('G-7 WaterC'' Data'!$AZ$3:$AZ$7,MATCH(C190,'G-7 WaterC'' Data'!$AY$3:$AY$7,0)),"")</f>
        <v/>
      </c>
      <c r="AN190" s="30" t="str">
        <f t="shared" si="20"/>
        <v>No</v>
      </c>
    </row>
    <row r="191" spans="2:40" ht="13.8" x14ac:dyDescent="0.25">
      <c r="B191" s="101">
        <v>180</v>
      </c>
      <c r="C191" s="953"/>
      <c r="D191" s="119"/>
      <c r="E191" s="281" t="str">
        <f>IF(C191="","",VLOOKUP(C191,'G-7 WaterC'' Data'!$B$2:$Z$9,2,FALSE))</f>
        <v/>
      </c>
      <c r="F191" s="282" t="str">
        <f>IFERROR(VLOOKUP(E191,'G-7 WaterC'' Data'!$C$4:$D$8,2,FALSE),"")</f>
        <v/>
      </c>
      <c r="G191" s="52"/>
      <c r="H191" s="282" t="str">
        <f>IFERROR(INDEX('G-7 WaterC'' Data'!$H$4:$L$8,MATCH(C191,'G-7 WaterC'' Data'!$B$4:$B$8,0),MATCH(G191,'G-7 WaterC'' Data'!$H$3:$L$3,0)),"")</f>
        <v/>
      </c>
      <c r="I191" s="52"/>
      <c r="J191" s="320" t="str">
        <f>IF(I191="","",IF(VLOOKUP(I191,'G-7 WaterC'' Data'!$AK$4:$AM$6,2,FALSE)=0,"Spatial Data Missing ⚠",VLOOKUP(I191,'G-7 WaterC'' Data'!$AK$4:$AM$6,2,FALSE)))</f>
        <v/>
      </c>
      <c r="K191" s="282" t="str">
        <f>IF(I191="","",IF(VLOOKUP(I191,'G-7 WaterC'' Data'!$AK$4:$AM$6,3,FALSE)=0,"Spatial Data Missing ⚠",VLOOKUP(I191,'G-7 WaterC'' Data'!$AK$4:$AM$6,3,FALSE)))</f>
        <v/>
      </c>
      <c r="L191" s="382" t="str">
        <f>IFERROR(INDEX('G-7 WaterC'' Data'!$O$3:$O$7,MATCH(G191,'G-7 WaterC'' Data'!$N$3:$N$7,0)),"")</f>
        <v/>
      </c>
      <c r="M191" s="53"/>
      <c r="N191" s="137"/>
      <c r="O191" s="289" t="str">
        <f t="shared" si="14"/>
        <v/>
      </c>
      <c r="P191" s="302" t="str">
        <f t="shared" si="15"/>
        <v/>
      </c>
      <c r="Q191" s="340" t="str">
        <f>IFERROR(IF(P191="Check Data ⚠","Check Data ⚠",VLOOKUP(P191,'G-4 Temporal multipliers'!$A$4:$C$37,3,FALSE)),"")</f>
        <v/>
      </c>
      <c r="R191" s="281" t="str">
        <f>IF(C191="","",VLOOKUP(C191,'G-7 WaterC'' Data'!$B$4:$G$8,4,FALSE))</f>
        <v/>
      </c>
      <c r="S191" s="289" t="str">
        <f t="shared" si="16"/>
        <v/>
      </c>
      <c r="T191" s="320" t="str">
        <f t="shared" si="17"/>
        <v/>
      </c>
      <c r="U191" s="282" t="str">
        <f>IF(C191="","",VLOOKUP(T191,'G-3 Multipliers'!$P$2:$Q$6,2,FALSE))</f>
        <v/>
      </c>
      <c r="V191" s="106"/>
      <c r="W191" s="282" t="str">
        <f>IF(V191="","",IF(AND(V191="N/A - Culvert",C191&lt;&gt;"Culvert"),"Not possible ▲",IF(AND(C191="Culvert",V191&lt;&gt;"N/A - Culvert"),"Not possible ▲",IF(VLOOKUP(V191,'G-7 WaterC'' Data'!$AA$4:$AB$7,2,FALSE)=0,"Spatial Data Missing ⚠",VLOOKUP(V191,'G-7 WaterC'' Data'!$AA$4:$AB$7,2,FALSE)))))</f>
        <v/>
      </c>
      <c r="X191" s="56"/>
      <c r="Y191" s="282" t="str">
        <f>IF(X191="","",IF(AND(X191="N/A - Culvert", C191&lt;&gt;"Culvert"), "Not possible ▲",IF(AND(C191="Culvert",X191&lt;&gt;"N/A - Culvert"),"Not possible ▲",IF(VLOOKUP(X191,'G-7 WaterC'' Data'!$AD$4:$AE$14,2,FALSE)=0,"Enrcoachment Data Missing ⚠",VLOOKUP(X191,'G-7 WaterC'' Data'!$AD$4:$AE$14,2,FALSE)))))</f>
        <v/>
      </c>
      <c r="Z191" s="106"/>
      <c r="AA191" s="282" t="str">
        <f>IF(Z191="","",IF(VLOOKUP(Z191,'G-7 WaterC'' Data'!$AO$4:$BO$7,2,FALSE)=0,"Spatial Data Missing ⚠",VLOOKUP(Z191,'G-7 WaterC'' Data'!$AO$4:$BO$7,2,FALSE)))</f>
        <v/>
      </c>
      <c r="AB191" s="323" t="str">
        <f t="shared" si="18"/>
        <v/>
      </c>
      <c r="AC191" s="323" t="str">
        <f t="shared" si="19"/>
        <v/>
      </c>
      <c r="AD191" s="105"/>
      <c r="AE191" s="968"/>
      <c r="AF191" s="142"/>
      <c r="AG191" s="142"/>
      <c r="AH191" s="964"/>
      <c r="AL191" s="30" t="str">
        <f>IFERROR(INDEX('G-7 WaterC'' Data'!$AZ$3:$AZ$7,MATCH(C191,'G-7 WaterC'' Data'!$AY$3:$AY$7,0)),"")</f>
        <v/>
      </c>
      <c r="AN191" s="30" t="str">
        <f t="shared" si="20"/>
        <v>No</v>
      </c>
    </row>
    <row r="192" spans="2:40" ht="13.8" x14ac:dyDescent="0.25">
      <c r="B192" s="101">
        <v>181</v>
      </c>
      <c r="C192" s="953"/>
      <c r="D192" s="119"/>
      <c r="E192" s="281" t="str">
        <f>IF(C192="","",VLOOKUP(C192,'G-7 WaterC'' Data'!$B$2:$Z$9,2,FALSE))</f>
        <v/>
      </c>
      <c r="F192" s="282" t="str">
        <f>IFERROR(VLOOKUP(E192,'G-7 WaterC'' Data'!$C$4:$D$8,2,FALSE),"")</f>
        <v/>
      </c>
      <c r="G192" s="52"/>
      <c r="H192" s="282" t="str">
        <f>IFERROR(INDEX('G-7 WaterC'' Data'!$H$4:$L$8,MATCH(C192,'G-7 WaterC'' Data'!$B$4:$B$8,0),MATCH(G192,'G-7 WaterC'' Data'!$H$3:$L$3,0)),"")</f>
        <v/>
      </c>
      <c r="I192" s="52"/>
      <c r="J192" s="320" t="str">
        <f>IF(I192="","",IF(VLOOKUP(I192,'G-7 WaterC'' Data'!$AK$4:$AM$6,2,FALSE)=0,"Spatial Data Missing ⚠",VLOOKUP(I192,'G-7 WaterC'' Data'!$AK$4:$AM$6,2,FALSE)))</f>
        <v/>
      </c>
      <c r="K192" s="282" t="str">
        <f>IF(I192="","",IF(VLOOKUP(I192,'G-7 WaterC'' Data'!$AK$4:$AM$6,3,FALSE)=0,"Spatial Data Missing ⚠",VLOOKUP(I192,'G-7 WaterC'' Data'!$AK$4:$AM$6,3,FALSE)))</f>
        <v/>
      </c>
      <c r="L192" s="382" t="str">
        <f>IFERROR(INDEX('G-7 WaterC'' Data'!$O$3:$O$7,MATCH(G192,'G-7 WaterC'' Data'!$N$3:$N$7,0)),"")</f>
        <v/>
      </c>
      <c r="M192" s="53"/>
      <c r="N192" s="137"/>
      <c r="O192" s="289" t="str">
        <f t="shared" si="14"/>
        <v/>
      </c>
      <c r="P192" s="302" t="str">
        <f t="shared" si="15"/>
        <v/>
      </c>
      <c r="Q192" s="340" t="str">
        <f>IFERROR(IF(P192="Check Data ⚠","Check Data ⚠",VLOOKUP(P192,'G-4 Temporal multipliers'!$A$4:$C$37,3,FALSE)),"")</f>
        <v/>
      </c>
      <c r="R192" s="281" t="str">
        <f>IF(C192="","",VLOOKUP(C192,'G-7 WaterC'' Data'!$B$4:$G$8,4,FALSE))</f>
        <v/>
      </c>
      <c r="S192" s="289" t="str">
        <f t="shared" si="16"/>
        <v/>
      </c>
      <c r="T192" s="320" t="str">
        <f t="shared" si="17"/>
        <v/>
      </c>
      <c r="U192" s="282" t="str">
        <f>IF(C192="","",VLOOKUP(T192,'G-3 Multipliers'!$P$2:$Q$6,2,FALSE))</f>
        <v/>
      </c>
      <c r="V192" s="106"/>
      <c r="W192" s="282" t="str">
        <f>IF(V192="","",IF(AND(V192="N/A - Culvert",C192&lt;&gt;"Culvert"),"Not possible ▲",IF(AND(C192="Culvert",V192&lt;&gt;"N/A - Culvert"),"Not possible ▲",IF(VLOOKUP(V192,'G-7 WaterC'' Data'!$AA$4:$AB$7,2,FALSE)=0,"Spatial Data Missing ⚠",VLOOKUP(V192,'G-7 WaterC'' Data'!$AA$4:$AB$7,2,FALSE)))))</f>
        <v/>
      </c>
      <c r="X192" s="56"/>
      <c r="Y192" s="282" t="str">
        <f>IF(X192="","",IF(AND(X192="N/A - Culvert", C192&lt;&gt;"Culvert"), "Not possible ▲",IF(AND(C192="Culvert",X192&lt;&gt;"N/A - Culvert"),"Not possible ▲",IF(VLOOKUP(X192,'G-7 WaterC'' Data'!$AD$4:$AE$14,2,FALSE)=0,"Enrcoachment Data Missing ⚠",VLOOKUP(X192,'G-7 WaterC'' Data'!$AD$4:$AE$14,2,FALSE)))))</f>
        <v/>
      </c>
      <c r="Z192" s="106"/>
      <c r="AA192" s="282" t="str">
        <f>IF(Z192="","",IF(VLOOKUP(Z192,'G-7 WaterC'' Data'!$AO$4:$BO$7,2,FALSE)=0,"Spatial Data Missing ⚠",VLOOKUP(Z192,'G-7 WaterC'' Data'!$AO$4:$BO$7,2,FALSE)))</f>
        <v/>
      </c>
      <c r="AB192" s="323" t="str">
        <f t="shared" si="18"/>
        <v/>
      </c>
      <c r="AC192" s="323" t="str">
        <f t="shared" si="19"/>
        <v/>
      </c>
      <c r="AD192" s="105"/>
      <c r="AE192" s="968"/>
      <c r="AF192" s="142"/>
      <c r="AG192" s="142"/>
      <c r="AH192" s="964"/>
      <c r="AL192" s="30" t="str">
        <f>IFERROR(INDEX('G-7 WaterC'' Data'!$AZ$3:$AZ$7,MATCH(C192,'G-7 WaterC'' Data'!$AY$3:$AY$7,0)),"")</f>
        <v/>
      </c>
      <c r="AN192" s="30" t="str">
        <f t="shared" si="20"/>
        <v>No</v>
      </c>
    </row>
    <row r="193" spans="2:40" ht="13.8" x14ac:dyDescent="0.25">
      <c r="B193" s="101">
        <v>182</v>
      </c>
      <c r="C193" s="953"/>
      <c r="D193" s="119"/>
      <c r="E193" s="281" t="str">
        <f>IF(C193="","",VLOOKUP(C193,'G-7 WaterC'' Data'!$B$2:$Z$9,2,FALSE))</f>
        <v/>
      </c>
      <c r="F193" s="282" t="str">
        <f>IFERROR(VLOOKUP(E193,'G-7 WaterC'' Data'!$C$4:$D$8,2,FALSE),"")</f>
        <v/>
      </c>
      <c r="G193" s="52"/>
      <c r="H193" s="282" t="str">
        <f>IFERROR(INDEX('G-7 WaterC'' Data'!$H$4:$L$8,MATCH(C193,'G-7 WaterC'' Data'!$B$4:$B$8,0),MATCH(G193,'G-7 WaterC'' Data'!$H$3:$L$3,0)),"")</f>
        <v/>
      </c>
      <c r="I193" s="52"/>
      <c r="J193" s="320" t="str">
        <f>IF(I193="","",IF(VLOOKUP(I193,'G-7 WaterC'' Data'!$AK$4:$AM$6,2,FALSE)=0,"Spatial Data Missing ⚠",VLOOKUP(I193,'G-7 WaterC'' Data'!$AK$4:$AM$6,2,FALSE)))</f>
        <v/>
      </c>
      <c r="K193" s="282" t="str">
        <f>IF(I193="","",IF(VLOOKUP(I193,'G-7 WaterC'' Data'!$AK$4:$AM$6,3,FALSE)=0,"Spatial Data Missing ⚠",VLOOKUP(I193,'G-7 WaterC'' Data'!$AK$4:$AM$6,3,FALSE)))</f>
        <v/>
      </c>
      <c r="L193" s="382" t="str">
        <f>IFERROR(INDEX('G-7 WaterC'' Data'!$O$3:$O$7,MATCH(G193,'G-7 WaterC'' Data'!$N$3:$N$7,0)),"")</f>
        <v/>
      </c>
      <c r="M193" s="53"/>
      <c r="N193" s="137"/>
      <c r="O193" s="289" t="str">
        <f t="shared" si="14"/>
        <v/>
      </c>
      <c r="P193" s="302" t="str">
        <f t="shared" si="15"/>
        <v/>
      </c>
      <c r="Q193" s="340" t="str">
        <f>IFERROR(IF(P193="Check Data ⚠","Check Data ⚠",VLOOKUP(P193,'G-4 Temporal multipliers'!$A$4:$C$37,3,FALSE)),"")</f>
        <v/>
      </c>
      <c r="R193" s="281" t="str">
        <f>IF(C193="","",VLOOKUP(C193,'G-7 WaterC'' Data'!$B$4:$G$8,4,FALSE))</f>
        <v/>
      </c>
      <c r="S193" s="289" t="str">
        <f t="shared" si="16"/>
        <v/>
      </c>
      <c r="T193" s="320" t="str">
        <f t="shared" si="17"/>
        <v/>
      </c>
      <c r="U193" s="282" t="str">
        <f>IF(C193="","",VLOOKUP(T193,'G-3 Multipliers'!$P$2:$Q$6,2,FALSE))</f>
        <v/>
      </c>
      <c r="V193" s="106"/>
      <c r="W193" s="282" t="str">
        <f>IF(V193="","",IF(AND(V193="N/A - Culvert",C193&lt;&gt;"Culvert"),"Not possible ▲",IF(AND(C193="Culvert",V193&lt;&gt;"N/A - Culvert"),"Not possible ▲",IF(VLOOKUP(V193,'G-7 WaterC'' Data'!$AA$4:$AB$7,2,FALSE)=0,"Spatial Data Missing ⚠",VLOOKUP(V193,'G-7 WaterC'' Data'!$AA$4:$AB$7,2,FALSE)))))</f>
        <v/>
      </c>
      <c r="X193" s="56"/>
      <c r="Y193" s="282" t="str">
        <f>IF(X193="","",IF(AND(X193="N/A - Culvert", C193&lt;&gt;"Culvert"), "Not possible ▲",IF(AND(C193="Culvert",X193&lt;&gt;"N/A - Culvert"),"Not possible ▲",IF(VLOOKUP(X193,'G-7 WaterC'' Data'!$AD$4:$AE$14,2,FALSE)=0,"Enrcoachment Data Missing ⚠",VLOOKUP(X193,'G-7 WaterC'' Data'!$AD$4:$AE$14,2,FALSE)))))</f>
        <v/>
      </c>
      <c r="Z193" s="106"/>
      <c r="AA193" s="282" t="str">
        <f>IF(Z193="","",IF(VLOOKUP(Z193,'G-7 WaterC'' Data'!$AO$4:$BO$7,2,FALSE)=0,"Spatial Data Missing ⚠",VLOOKUP(Z193,'G-7 WaterC'' Data'!$AO$4:$BO$7,2,FALSE)))</f>
        <v/>
      </c>
      <c r="AB193" s="323" t="str">
        <f t="shared" si="18"/>
        <v/>
      </c>
      <c r="AC193" s="323" t="str">
        <f t="shared" si="19"/>
        <v/>
      </c>
      <c r="AD193" s="105"/>
      <c r="AE193" s="968"/>
      <c r="AF193" s="142"/>
      <c r="AG193" s="142"/>
      <c r="AH193" s="964"/>
      <c r="AL193" s="30" t="str">
        <f>IFERROR(INDEX('G-7 WaterC'' Data'!$AZ$3:$AZ$7,MATCH(C193,'G-7 WaterC'' Data'!$AY$3:$AY$7,0)),"")</f>
        <v/>
      </c>
      <c r="AN193" s="30" t="str">
        <f t="shared" si="20"/>
        <v>No</v>
      </c>
    </row>
    <row r="194" spans="2:40" ht="13.8" x14ac:dyDescent="0.25">
      <c r="B194" s="101">
        <v>183</v>
      </c>
      <c r="C194" s="953"/>
      <c r="D194" s="119"/>
      <c r="E194" s="281" t="str">
        <f>IF(C194="","",VLOOKUP(C194,'G-7 WaterC'' Data'!$B$2:$Z$9,2,FALSE))</f>
        <v/>
      </c>
      <c r="F194" s="282" t="str">
        <f>IFERROR(VLOOKUP(E194,'G-7 WaterC'' Data'!$C$4:$D$8,2,FALSE),"")</f>
        <v/>
      </c>
      <c r="G194" s="52"/>
      <c r="H194" s="282" t="str">
        <f>IFERROR(INDEX('G-7 WaterC'' Data'!$H$4:$L$8,MATCH(C194,'G-7 WaterC'' Data'!$B$4:$B$8,0),MATCH(G194,'G-7 WaterC'' Data'!$H$3:$L$3,0)),"")</f>
        <v/>
      </c>
      <c r="I194" s="52"/>
      <c r="J194" s="320" t="str">
        <f>IF(I194="","",IF(VLOOKUP(I194,'G-7 WaterC'' Data'!$AK$4:$AM$6,2,FALSE)=0,"Spatial Data Missing ⚠",VLOOKUP(I194,'G-7 WaterC'' Data'!$AK$4:$AM$6,2,FALSE)))</f>
        <v/>
      </c>
      <c r="K194" s="282" t="str">
        <f>IF(I194="","",IF(VLOOKUP(I194,'G-7 WaterC'' Data'!$AK$4:$AM$6,3,FALSE)=0,"Spatial Data Missing ⚠",VLOOKUP(I194,'G-7 WaterC'' Data'!$AK$4:$AM$6,3,FALSE)))</f>
        <v/>
      </c>
      <c r="L194" s="382" t="str">
        <f>IFERROR(INDEX('G-7 WaterC'' Data'!$O$3:$O$7,MATCH(G194,'G-7 WaterC'' Data'!$N$3:$N$7,0)),"")</f>
        <v/>
      </c>
      <c r="M194" s="53"/>
      <c r="N194" s="137"/>
      <c r="O194" s="289" t="str">
        <f t="shared" si="14"/>
        <v/>
      </c>
      <c r="P194" s="302" t="str">
        <f t="shared" si="15"/>
        <v/>
      </c>
      <c r="Q194" s="340" t="str">
        <f>IFERROR(IF(P194="Check Data ⚠","Check Data ⚠",VLOOKUP(P194,'G-4 Temporal multipliers'!$A$4:$C$37,3,FALSE)),"")</f>
        <v/>
      </c>
      <c r="R194" s="281" t="str">
        <f>IF(C194="","",VLOOKUP(C194,'G-7 WaterC'' Data'!$B$4:$G$8,4,FALSE))</f>
        <v/>
      </c>
      <c r="S194" s="289" t="str">
        <f t="shared" si="16"/>
        <v/>
      </c>
      <c r="T194" s="320" t="str">
        <f t="shared" si="17"/>
        <v/>
      </c>
      <c r="U194" s="282" t="str">
        <f>IF(C194="","",VLOOKUP(T194,'G-3 Multipliers'!$P$2:$Q$6,2,FALSE))</f>
        <v/>
      </c>
      <c r="V194" s="106"/>
      <c r="W194" s="282" t="str">
        <f>IF(V194="","",IF(AND(V194="N/A - Culvert",C194&lt;&gt;"Culvert"),"Not possible ▲",IF(AND(C194="Culvert",V194&lt;&gt;"N/A - Culvert"),"Not possible ▲",IF(VLOOKUP(V194,'G-7 WaterC'' Data'!$AA$4:$AB$7,2,FALSE)=0,"Spatial Data Missing ⚠",VLOOKUP(V194,'G-7 WaterC'' Data'!$AA$4:$AB$7,2,FALSE)))))</f>
        <v/>
      </c>
      <c r="X194" s="56"/>
      <c r="Y194" s="282" t="str">
        <f>IF(X194="","",IF(AND(X194="N/A - Culvert", C194&lt;&gt;"Culvert"), "Not possible ▲",IF(AND(C194="Culvert",X194&lt;&gt;"N/A - Culvert"),"Not possible ▲",IF(VLOOKUP(X194,'G-7 WaterC'' Data'!$AD$4:$AE$14,2,FALSE)=0,"Enrcoachment Data Missing ⚠",VLOOKUP(X194,'G-7 WaterC'' Data'!$AD$4:$AE$14,2,FALSE)))))</f>
        <v/>
      </c>
      <c r="Z194" s="106"/>
      <c r="AA194" s="282" t="str">
        <f>IF(Z194="","",IF(VLOOKUP(Z194,'G-7 WaterC'' Data'!$AO$4:$BO$7,2,FALSE)=0,"Spatial Data Missing ⚠",VLOOKUP(Z194,'G-7 WaterC'' Data'!$AO$4:$BO$7,2,FALSE)))</f>
        <v/>
      </c>
      <c r="AB194" s="323" t="str">
        <f t="shared" si="18"/>
        <v/>
      </c>
      <c r="AC194" s="323" t="str">
        <f t="shared" si="19"/>
        <v/>
      </c>
      <c r="AD194" s="105"/>
      <c r="AE194" s="968"/>
      <c r="AF194" s="142"/>
      <c r="AG194" s="142"/>
      <c r="AH194" s="964"/>
      <c r="AL194" s="30" t="str">
        <f>IFERROR(INDEX('G-7 WaterC'' Data'!$AZ$3:$AZ$7,MATCH(C194,'G-7 WaterC'' Data'!$AY$3:$AY$7,0)),"")</f>
        <v/>
      </c>
      <c r="AN194" s="30" t="str">
        <f t="shared" si="20"/>
        <v>No</v>
      </c>
    </row>
    <row r="195" spans="2:40" ht="13.8" x14ac:dyDescent="0.25">
      <c r="B195" s="101">
        <v>184</v>
      </c>
      <c r="C195" s="953"/>
      <c r="D195" s="119"/>
      <c r="E195" s="281" t="str">
        <f>IF(C195="","",VLOOKUP(C195,'G-7 WaterC'' Data'!$B$2:$Z$9,2,FALSE))</f>
        <v/>
      </c>
      <c r="F195" s="282" t="str">
        <f>IFERROR(VLOOKUP(E195,'G-7 WaterC'' Data'!$C$4:$D$8,2,FALSE),"")</f>
        <v/>
      </c>
      <c r="G195" s="52"/>
      <c r="H195" s="282" t="str">
        <f>IFERROR(INDEX('G-7 WaterC'' Data'!$H$4:$L$8,MATCH(C195,'G-7 WaterC'' Data'!$B$4:$B$8,0),MATCH(G195,'G-7 WaterC'' Data'!$H$3:$L$3,0)),"")</f>
        <v/>
      </c>
      <c r="I195" s="52"/>
      <c r="J195" s="320" t="str">
        <f>IF(I195="","",IF(VLOOKUP(I195,'G-7 WaterC'' Data'!$AK$4:$AM$6,2,FALSE)=0,"Spatial Data Missing ⚠",VLOOKUP(I195,'G-7 WaterC'' Data'!$AK$4:$AM$6,2,FALSE)))</f>
        <v/>
      </c>
      <c r="K195" s="282" t="str">
        <f>IF(I195="","",IF(VLOOKUP(I195,'G-7 WaterC'' Data'!$AK$4:$AM$6,3,FALSE)=0,"Spatial Data Missing ⚠",VLOOKUP(I195,'G-7 WaterC'' Data'!$AK$4:$AM$6,3,FALSE)))</f>
        <v/>
      </c>
      <c r="L195" s="382" t="str">
        <f>IFERROR(INDEX('G-7 WaterC'' Data'!$O$3:$O$7,MATCH(G195,'G-7 WaterC'' Data'!$N$3:$N$7,0)),"")</f>
        <v/>
      </c>
      <c r="M195" s="53"/>
      <c r="N195" s="137"/>
      <c r="O195" s="289" t="str">
        <f t="shared" si="14"/>
        <v/>
      </c>
      <c r="P195" s="302" t="str">
        <f t="shared" si="15"/>
        <v/>
      </c>
      <c r="Q195" s="340" t="str">
        <f>IFERROR(IF(P195="Check Data ⚠","Check Data ⚠",VLOOKUP(P195,'G-4 Temporal multipliers'!$A$4:$C$37,3,FALSE)),"")</f>
        <v/>
      </c>
      <c r="R195" s="281" t="str">
        <f>IF(C195="","",VLOOKUP(C195,'G-7 WaterC'' Data'!$B$4:$G$8,4,FALSE))</f>
        <v/>
      </c>
      <c r="S195" s="289" t="str">
        <f t="shared" si="16"/>
        <v/>
      </c>
      <c r="T195" s="320" t="str">
        <f t="shared" si="17"/>
        <v/>
      </c>
      <c r="U195" s="282" t="str">
        <f>IF(C195="","",VLOOKUP(T195,'G-3 Multipliers'!$P$2:$Q$6,2,FALSE))</f>
        <v/>
      </c>
      <c r="V195" s="106"/>
      <c r="W195" s="282" t="str">
        <f>IF(V195="","",IF(AND(V195="N/A - Culvert",C195&lt;&gt;"Culvert"),"Not possible ▲",IF(AND(C195="Culvert",V195&lt;&gt;"N/A - Culvert"),"Not possible ▲",IF(VLOOKUP(V195,'G-7 WaterC'' Data'!$AA$4:$AB$7,2,FALSE)=0,"Spatial Data Missing ⚠",VLOOKUP(V195,'G-7 WaterC'' Data'!$AA$4:$AB$7,2,FALSE)))))</f>
        <v/>
      </c>
      <c r="X195" s="56"/>
      <c r="Y195" s="282" t="str">
        <f>IF(X195="","",IF(AND(X195="N/A - Culvert", C195&lt;&gt;"Culvert"), "Not possible ▲",IF(AND(C195="Culvert",X195&lt;&gt;"N/A - Culvert"),"Not possible ▲",IF(VLOOKUP(X195,'G-7 WaterC'' Data'!$AD$4:$AE$14,2,FALSE)=0,"Enrcoachment Data Missing ⚠",VLOOKUP(X195,'G-7 WaterC'' Data'!$AD$4:$AE$14,2,FALSE)))))</f>
        <v/>
      </c>
      <c r="Z195" s="106"/>
      <c r="AA195" s="282" t="str">
        <f>IF(Z195="","",IF(VLOOKUP(Z195,'G-7 WaterC'' Data'!$AO$4:$BO$7,2,FALSE)=0,"Spatial Data Missing ⚠",VLOOKUP(Z195,'G-7 WaterC'' Data'!$AO$4:$BO$7,2,FALSE)))</f>
        <v/>
      </c>
      <c r="AB195" s="323" t="str">
        <f t="shared" si="18"/>
        <v/>
      </c>
      <c r="AC195" s="323" t="str">
        <f t="shared" si="19"/>
        <v/>
      </c>
      <c r="AD195" s="105"/>
      <c r="AE195" s="968"/>
      <c r="AF195" s="142"/>
      <c r="AG195" s="142"/>
      <c r="AH195" s="964"/>
      <c r="AL195" s="30" t="str">
        <f>IFERROR(INDEX('G-7 WaterC'' Data'!$AZ$3:$AZ$7,MATCH(C195,'G-7 WaterC'' Data'!$AY$3:$AY$7,0)),"")</f>
        <v/>
      </c>
      <c r="AN195" s="30" t="str">
        <f t="shared" si="20"/>
        <v>No</v>
      </c>
    </row>
    <row r="196" spans="2:40" ht="13.8" x14ac:dyDescent="0.25">
      <c r="B196" s="101">
        <v>185</v>
      </c>
      <c r="C196" s="953"/>
      <c r="D196" s="119"/>
      <c r="E196" s="281" t="str">
        <f>IF(C196="","",VLOOKUP(C196,'G-7 WaterC'' Data'!$B$2:$Z$9,2,FALSE))</f>
        <v/>
      </c>
      <c r="F196" s="282" t="str">
        <f>IFERROR(VLOOKUP(E196,'G-7 WaterC'' Data'!$C$4:$D$8,2,FALSE),"")</f>
        <v/>
      </c>
      <c r="G196" s="52"/>
      <c r="H196" s="282" t="str">
        <f>IFERROR(INDEX('G-7 WaterC'' Data'!$H$4:$L$8,MATCH(C196,'G-7 WaterC'' Data'!$B$4:$B$8,0),MATCH(G196,'G-7 WaterC'' Data'!$H$3:$L$3,0)),"")</f>
        <v/>
      </c>
      <c r="I196" s="52"/>
      <c r="J196" s="320" t="str">
        <f>IF(I196="","",IF(VLOOKUP(I196,'G-7 WaterC'' Data'!$AK$4:$AM$6,2,FALSE)=0,"Spatial Data Missing ⚠",VLOOKUP(I196,'G-7 WaterC'' Data'!$AK$4:$AM$6,2,FALSE)))</f>
        <v/>
      </c>
      <c r="K196" s="282" t="str">
        <f>IF(I196="","",IF(VLOOKUP(I196,'G-7 WaterC'' Data'!$AK$4:$AM$6,3,FALSE)=0,"Spatial Data Missing ⚠",VLOOKUP(I196,'G-7 WaterC'' Data'!$AK$4:$AM$6,3,FALSE)))</f>
        <v/>
      </c>
      <c r="L196" s="382" t="str">
        <f>IFERROR(INDEX('G-7 WaterC'' Data'!$O$3:$O$7,MATCH(G196,'G-7 WaterC'' Data'!$N$3:$N$7,0)),"")</f>
        <v/>
      </c>
      <c r="M196" s="53"/>
      <c r="N196" s="137"/>
      <c r="O196" s="289" t="str">
        <f t="shared" si="14"/>
        <v/>
      </c>
      <c r="P196" s="302" t="str">
        <f t="shared" si="15"/>
        <v/>
      </c>
      <c r="Q196" s="340" t="str">
        <f>IFERROR(IF(P196="Check Data ⚠","Check Data ⚠",VLOOKUP(P196,'G-4 Temporal multipliers'!$A$4:$C$37,3,FALSE)),"")</f>
        <v/>
      </c>
      <c r="R196" s="281" t="str">
        <f>IF(C196="","",VLOOKUP(C196,'G-7 WaterC'' Data'!$B$4:$G$8,4,FALSE))</f>
        <v/>
      </c>
      <c r="S196" s="289" t="str">
        <f t="shared" si="16"/>
        <v/>
      </c>
      <c r="T196" s="320" t="str">
        <f t="shared" si="17"/>
        <v/>
      </c>
      <c r="U196" s="282" t="str">
        <f>IF(C196="","",VLOOKUP(T196,'G-3 Multipliers'!$P$2:$Q$6,2,FALSE))</f>
        <v/>
      </c>
      <c r="V196" s="106"/>
      <c r="W196" s="282" t="str">
        <f>IF(V196="","",IF(AND(V196="N/A - Culvert",C196&lt;&gt;"Culvert"),"Not possible ▲",IF(AND(C196="Culvert",V196&lt;&gt;"N/A - Culvert"),"Not possible ▲",IF(VLOOKUP(V196,'G-7 WaterC'' Data'!$AA$4:$AB$7,2,FALSE)=0,"Spatial Data Missing ⚠",VLOOKUP(V196,'G-7 WaterC'' Data'!$AA$4:$AB$7,2,FALSE)))))</f>
        <v/>
      </c>
      <c r="X196" s="56"/>
      <c r="Y196" s="282" t="str">
        <f>IF(X196="","",IF(AND(X196="N/A - Culvert", C196&lt;&gt;"Culvert"), "Not possible ▲",IF(AND(C196="Culvert",X196&lt;&gt;"N/A - Culvert"),"Not possible ▲",IF(VLOOKUP(X196,'G-7 WaterC'' Data'!$AD$4:$AE$14,2,FALSE)=0,"Enrcoachment Data Missing ⚠",VLOOKUP(X196,'G-7 WaterC'' Data'!$AD$4:$AE$14,2,FALSE)))))</f>
        <v/>
      </c>
      <c r="Z196" s="106"/>
      <c r="AA196" s="282" t="str">
        <f>IF(Z196="","",IF(VLOOKUP(Z196,'G-7 WaterC'' Data'!$AO$4:$BO$7,2,FALSE)=0,"Spatial Data Missing ⚠",VLOOKUP(Z196,'G-7 WaterC'' Data'!$AO$4:$BO$7,2,FALSE)))</f>
        <v/>
      </c>
      <c r="AB196" s="323" t="str">
        <f t="shared" si="18"/>
        <v/>
      </c>
      <c r="AC196" s="323" t="str">
        <f t="shared" si="19"/>
        <v/>
      </c>
      <c r="AD196" s="105"/>
      <c r="AE196" s="968"/>
      <c r="AF196" s="142"/>
      <c r="AG196" s="142"/>
      <c r="AH196" s="964"/>
      <c r="AL196" s="30" t="str">
        <f>IFERROR(INDEX('G-7 WaterC'' Data'!$AZ$3:$AZ$7,MATCH(C196,'G-7 WaterC'' Data'!$AY$3:$AY$7,0)),"")</f>
        <v/>
      </c>
      <c r="AN196" s="30" t="str">
        <f t="shared" si="20"/>
        <v>No</v>
      </c>
    </row>
    <row r="197" spans="2:40" ht="13.8" x14ac:dyDescent="0.25">
      <c r="B197" s="101">
        <v>186</v>
      </c>
      <c r="C197" s="953"/>
      <c r="D197" s="119"/>
      <c r="E197" s="281" t="str">
        <f>IF(C197="","",VLOOKUP(C197,'G-7 WaterC'' Data'!$B$2:$Z$9,2,FALSE))</f>
        <v/>
      </c>
      <c r="F197" s="282" t="str">
        <f>IFERROR(VLOOKUP(E197,'G-7 WaterC'' Data'!$C$4:$D$8,2,FALSE),"")</f>
        <v/>
      </c>
      <c r="G197" s="52"/>
      <c r="H197" s="282" t="str">
        <f>IFERROR(INDEX('G-7 WaterC'' Data'!$H$4:$L$8,MATCH(C197,'G-7 WaterC'' Data'!$B$4:$B$8,0),MATCH(G197,'G-7 WaterC'' Data'!$H$3:$L$3,0)),"")</f>
        <v/>
      </c>
      <c r="I197" s="52"/>
      <c r="J197" s="320" t="str">
        <f>IF(I197="","",IF(VLOOKUP(I197,'G-7 WaterC'' Data'!$AK$4:$AM$6,2,FALSE)=0,"Spatial Data Missing ⚠",VLOOKUP(I197,'G-7 WaterC'' Data'!$AK$4:$AM$6,2,FALSE)))</f>
        <v/>
      </c>
      <c r="K197" s="282" t="str">
        <f>IF(I197="","",IF(VLOOKUP(I197,'G-7 WaterC'' Data'!$AK$4:$AM$6,3,FALSE)=0,"Spatial Data Missing ⚠",VLOOKUP(I197,'G-7 WaterC'' Data'!$AK$4:$AM$6,3,FALSE)))</f>
        <v/>
      </c>
      <c r="L197" s="382" t="str">
        <f>IFERROR(INDEX('G-7 WaterC'' Data'!$O$3:$O$7,MATCH(G197,'G-7 WaterC'' Data'!$N$3:$N$7,0)),"")</f>
        <v/>
      </c>
      <c r="M197" s="53"/>
      <c r="N197" s="137"/>
      <c r="O197" s="289" t="str">
        <f t="shared" si="14"/>
        <v/>
      </c>
      <c r="P197" s="302" t="str">
        <f t="shared" si="15"/>
        <v/>
      </c>
      <c r="Q197" s="340" t="str">
        <f>IFERROR(IF(P197="Check Data ⚠","Check Data ⚠",VLOOKUP(P197,'G-4 Temporal multipliers'!$A$4:$C$37,3,FALSE)),"")</f>
        <v/>
      </c>
      <c r="R197" s="281" t="str">
        <f>IF(C197="","",VLOOKUP(C197,'G-7 WaterC'' Data'!$B$4:$G$8,4,FALSE))</f>
        <v/>
      </c>
      <c r="S197" s="289" t="str">
        <f t="shared" si="16"/>
        <v/>
      </c>
      <c r="T197" s="320" t="str">
        <f t="shared" si="17"/>
        <v/>
      </c>
      <c r="U197" s="282" t="str">
        <f>IF(C197="","",VLOOKUP(T197,'G-3 Multipliers'!$P$2:$Q$6,2,FALSE))</f>
        <v/>
      </c>
      <c r="V197" s="106"/>
      <c r="W197" s="282" t="str">
        <f>IF(V197="","",IF(AND(V197="N/A - Culvert",C197&lt;&gt;"Culvert"),"Not possible ▲",IF(AND(C197="Culvert",V197&lt;&gt;"N/A - Culvert"),"Not possible ▲",IF(VLOOKUP(V197,'G-7 WaterC'' Data'!$AA$4:$AB$7,2,FALSE)=0,"Spatial Data Missing ⚠",VLOOKUP(V197,'G-7 WaterC'' Data'!$AA$4:$AB$7,2,FALSE)))))</f>
        <v/>
      </c>
      <c r="X197" s="56"/>
      <c r="Y197" s="282" t="str">
        <f>IF(X197="","",IF(AND(X197="N/A - Culvert", C197&lt;&gt;"Culvert"), "Not possible ▲",IF(AND(C197="Culvert",X197&lt;&gt;"N/A - Culvert"),"Not possible ▲",IF(VLOOKUP(X197,'G-7 WaterC'' Data'!$AD$4:$AE$14,2,FALSE)=0,"Enrcoachment Data Missing ⚠",VLOOKUP(X197,'G-7 WaterC'' Data'!$AD$4:$AE$14,2,FALSE)))))</f>
        <v/>
      </c>
      <c r="Z197" s="106"/>
      <c r="AA197" s="282" t="str">
        <f>IF(Z197="","",IF(VLOOKUP(Z197,'G-7 WaterC'' Data'!$AO$4:$BO$7,2,FALSE)=0,"Spatial Data Missing ⚠",VLOOKUP(Z197,'G-7 WaterC'' Data'!$AO$4:$BO$7,2,FALSE)))</f>
        <v/>
      </c>
      <c r="AB197" s="323" t="str">
        <f t="shared" si="18"/>
        <v/>
      </c>
      <c r="AC197" s="323" t="str">
        <f t="shared" si="19"/>
        <v/>
      </c>
      <c r="AD197" s="105"/>
      <c r="AE197" s="968"/>
      <c r="AF197" s="142"/>
      <c r="AG197" s="142"/>
      <c r="AH197" s="964"/>
      <c r="AL197" s="30" t="str">
        <f>IFERROR(INDEX('G-7 WaterC'' Data'!$AZ$3:$AZ$7,MATCH(C197,'G-7 WaterC'' Data'!$AY$3:$AY$7,0)),"")</f>
        <v/>
      </c>
      <c r="AN197" s="30" t="str">
        <f t="shared" si="20"/>
        <v>No</v>
      </c>
    </row>
    <row r="198" spans="2:40" ht="13.8" x14ac:dyDescent="0.25">
      <c r="B198" s="101">
        <v>187</v>
      </c>
      <c r="C198" s="953"/>
      <c r="D198" s="119"/>
      <c r="E198" s="281" t="str">
        <f>IF(C198="","",VLOOKUP(C198,'G-7 WaterC'' Data'!$B$2:$Z$9,2,FALSE))</f>
        <v/>
      </c>
      <c r="F198" s="282" t="str">
        <f>IFERROR(VLOOKUP(E198,'G-7 WaterC'' Data'!$C$4:$D$8,2,FALSE),"")</f>
        <v/>
      </c>
      <c r="G198" s="52"/>
      <c r="H198" s="282" t="str">
        <f>IFERROR(INDEX('G-7 WaterC'' Data'!$H$4:$L$8,MATCH(C198,'G-7 WaterC'' Data'!$B$4:$B$8,0),MATCH(G198,'G-7 WaterC'' Data'!$H$3:$L$3,0)),"")</f>
        <v/>
      </c>
      <c r="I198" s="52"/>
      <c r="J198" s="320" t="str">
        <f>IF(I198="","",IF(VLOOKUP(I198,'G-7 WaterC'' Data'!$AK$4:$AM$6,2,FALSE)=0,"Spatial Data Missing ⚠",VLOOKUP(I198,'G-7 WaterC'' Data'!$AK$4:$AM$6,2,FALSE)))</f>
        <v/>
      </c>
      <c r="K198" s="282" t="str">
        <f>IF(I198="","",IF(VLOOKUP(I198,'G-7 WaterC'' Data'!$AK$4:$AM$6,3,FALSE)=0,"Spatial Data Missing ⚠",VLOOKUP(I198,'G-7 WaterC'' Data'!$AK$4:$AM$6,3,FALSE)))</f>
        <v/>
      </c>
      <c r="L198" s="382" t="str">
        <f>IFERROR(INDEX('G-7 WaterC'' Data'!$O$3:$O$7,MATCH(G198,'G-7 WaterC'' Data'!$N$3:$N$7,0)),"")</f>
        <v/>
      </c>
      <c r="M198" s="53"/>
      <c r="N198" s="137"/>
      <c r="O198" s="289" t="str">
        <f t="shared" si="14"/>
        <v/>
      </c>
      <c r="P198" s="302" t="str">
        <f t="shared" si="15"/>
        <v/>
      </c>
      <c r="Q198" s="340" t="str">
        <f>IFERROR(IF(P198="Check Data ⚠","Check Data ⚠",VLOOKUP(P198,'G-4 Temporal multipliers'!$A$4:$C$37,3,FALSE)),"")</f>
        <v/>
      </c>
      <c r="R198" s="281" t="str">
        <f>IF(C198="","",VLOOKUP(C198,'G-7 WaterC'' Data'!$B$4:$G$8,4,FALSE))</f>
        <v/>
      </c>
      <c r="S198" s="289" t="str">
        <f t="shared" si="16"/>
        <v/>
      </c>
      <c r="T198" s="320" t="str">
        <f t="shared" si="17"/>
        <v/>
      </c>
      <c r="U198" s="282" t="str">
        <f>IF(C198="","",VLOOKUP(T198,'G-3 Multipliers'!$P$2:$Q$6,2,FALSE))</f>
        <v/>
      </c>
      <c r="V198" s="106"/>
      <c r="W198" s="282" t="str">
        <f>IF(V198="","",IF(AND(V198="N/A - Culvert",C198&lt;&gt;"Culvert"),"Not possible ▲",IF(AND(C198="Culvert",V198&lt;&gt;"N/A - Culvert"),"Not possible ▲",IF(VLOOKUP(V198,'G-7 WaterC'' Data'!$AA$4:$AB$7,2,FALSE)=0,"Spatial Data Missing ⚠",VLOOKUP(V198,'G-7 WaterC'' Data'!$AA$4:$AB$7,2,FALSE)))))</f>
        <v/>
      </c>
      <c r="X198" s="56"/>
      <c r="Y198" s="282" t="str">
        <f>IF(X198="","",IF(AND(X198="N/A - Culvert", C198&lt;&gt;"Culvert"), "Not possible ▲",IF(AND(C198="Culvert",X198&lt;&gt;"N/A - Culvert"),"Not possible ▲",IF(VLOOKUP(X198,'G-7 WaterC'' Data'!$AD$4:$AE$14,2,FALSE)=0,"Enrcoachment Data Missing ⚠",VLOOKUP(X198,'G-7 WaterC'' Data'!$AD$4:$AE$14,2,FALSE)))))</f>
        <v/>
      </c>
      <c r="Z198" s="106"/>
      <c r="AA198" s="282" t="str">
        <f>IF(Z198="","",IF(VLOOKUP(Z198,'G-7 WaterC'' Data'!$AO$4:$BO$7,2,FALSE)=0,"Spatial Data Missing ⚠",VLOOKUP(Z198,'G-7 WaterC'' Data'!$AO$4:$BO$7,2,FALSE)))</f>
        <v/>
      </c>
      <c r="AB198" s="323" t="str">
        <f t="shared" si="18"/>
        <v/>
      </c>
      <c r="AC198" s="323" t="str">
        <f t="shared" si="19"/>
        <v/>
      </c>
      <c r="AD198" s="105"/>
      <c r="AE198" s="968"/>
      <c r="AF198" s="142"/>
      <c r="AG198" s="142"/>
      <c r="AH198" s="964"/>
      <c r="AL198" s="30" t="str">
        <f>IFERROR(INDEX('G-7 WaterC'' Data'!$AZ$3:$AZ$7,MATCH(C198,'G-7 WaterC'' Data'!$AY$3:$AY$7,0)),"")</f>
        <v/>
      </c>
      <c r="AN198" s="30" t="str">
        <f t="shared" si="20"/>
        <v>No</v>
      </c>
    </row>
    <row r="199" spans="2:40" ht="13.8" x14ac:dyDescent="0.25">
      <c r="B199" s="101">
        <v>188</v>
      </c>
      <c r="C199" s="953"/>
      <c r="D199" s="119"/>
      <c r="E199" s="281" t="str">
        <f>IF(C199="","",VLOOKUP(C199,'G-7 WaterC'' Data'!$B$2:$Z$9,2,FALSE))</f>
        <v/>
      </c>
      <c r="F199" s="282" t="str">
        <f>IFERROR(VLOOKUP(E199,'G-7 WaterC'' Data'!$C$4:$D$8,2,FALSE),"")</f>
        <v/>
      </c>
      <c r="G199" s="52"/>
      <c r="H199" s="282" t="str">
        <f>IFERROR(INDEX('G-7 WaterC'' Data'!$H$4:$L$8,MATCH(C199,'G-7 WaterC'' Data'!$B$4:$B$8,0),MATCH(G199,'G-7 WaterC'' Data'!$H$3:$L$3,0)),"")</f>
        <v/>
      </c>
      <c r="I199" s="52"/>
      <c r="J199" s="320" t="str">
        <f>IF(I199="","",IF(VLOOKUP(I199,'G-7 WaterC'' Data'!$AK$4:$AM$6,2,FALSE)=0,"Spatial Data Missing ⚠",VLOOKUP(I199,'G-7 WaterC'' Data'!$AK$4:$AM$6,2,FALSE)))</f>
        <v/>
      </c>
      <c r="K199" s="282" t="str">
        <f>IF(I199="","",IF(VLOOKUP(I199,'G-7 WaterC'' Data'!$AK$4:$AM$6,3,FALSE)=0,"Spatial Data Missing ⚠",VLOOKUP(I199,'G-7 WaterC'' Data'!$AK$4:$AM$6,3,FALSE)))</f>
        <v/>
      </c>
      <c r="L199" s="382" t="str">
        <f>IFERROR(INDEX('G-7 WaterC'' Data'!$O$3:$O$7,MATCH(G199,'G-7 WaterC'' Data'!$N$3:$N$7,0)),"")</f>
        <v/>
      </c>
      <c r="M199" s="53"/>
      <c r="N199" s="137"/>
      <c r="O199" s="289" t="str">
        <f t="shared" si="14"/>
        <v/>
      </c>
      <c r="P199" s="302" t="str">
        <f t="shared" si="15"/>
        <v/>
      </c>
      <c r="Q199" s="340" t="str">
        <f>IFERROR(IF(P199="Check Data ⚠","Check Data ⚠",VLOOKUP(P199,'G-4 Temporal multipliers'!$A$4:$C$37,3,FALSE)),"")</f>
        <v/>
      </c>
      <c r="R199" s="281" t="str">
        <f>IF(C199="","",VLOOKUP(C199,'G-7 WaterC'' Data'!$B$4:$G$8,4,FALSE))</f>
        <v/>
      </c>
      <c r="S199" s="289" t="str">
        <f t="shared" si="16"/>
        <v/>
      </c>
      <c r="T199" s="320" t="str">
        <f t="shared" si="17"/>
        <v/>
      </c>
      <c r="U199" s="282" t="str">
        <f>IF(C199="","",VLOOKUP(T199,'G-3 Multipliers'!$P$2:$Q$6,2,FALSE))</f>
        <v/>
      </c>
      <c r="V199" s="106"/>
      <c r="W199" s="282" t="str">
        <f>IF(V199="","",IF(AND(V199="N/A - Culvert",C199&lt;&gt;"Culvert"),"Not possible ▲",IF(AND(C199="Culvert",V199&lt;&gt;"N/A - Culvert"),"Not possible ▲",IF(VLOOKUP(V199,'G-7 WaterC'' Data'!$AA$4:$AB$7,2,FALSE)=0,"Spatial Data Missing ⚠",VLOOKUP(V199,'G-7 WaterC'' Data'!$AA$4:$AB$7,2,FALSE)))))</f>
        <v/>
      </c>
      <c r="X199" s="56"/>
      <c r="Y199" s="282" t="str">
        <f>IF(X199="","",IF(AND(X199="N/A - Culvert", C199&lt;&gt;"Culvert"), "Not possible ▲",IF(AND(C199="Culvert",X199&lt;&gt;"N/A - Culvert"),"Not possible ▲",IF(VLOOKUP(X199,'G-7 WaterC'' Data'!$AD$4:$AE$14,2,FALSE)=0,"Enrcoachment Data Missing ⚠",VLOOKUP(X199,'G-7 WaterC'' Data'!$AD$4:$AE$14,2,FALSE)))))</f>
        <v/>
      </c>
      <c r="Z199" s="106"/>
      <c r="AA199" s="282" t="str">
        <f>IF(Z199="","",IF(VLOOKUP(Z199,'G-7 WaterC'' Data'!$AO$4:$BO$7,2,FALSE)=0,"Spatial Data Missing ⚠",VLOOKUP(Z199,'G-7 WaterC'' Data'!$AO$4:$BO$7,2,FALSE)))</f>
        <v/>
      </c>
      <c r="AB199" s="323" t="str">
        <f t="shared" si="18"/>
        <v/>
      </c>
      <c r="AC199" s="323" t="str">
        <f t="shared" si="19"/>
        <v/>
      </c>
      <c r="AD199" s="105"/>
      <c r="AE199" s="968"/>
      <c r="AF199" s="142"/>
      <c r="AG199" s="142"/>
      <c r="AH199" s="964"/>
      <c r="AL199" s="30" t="str">
        <f>IFERROR(INDEX('G-7 WaterC'' Data'!$AZ$3:$AZ$7,MATCH(C199,'G-7 WaterC'' Data'!$AY$3:$AY$7,0)),"")</f>
        <v/>
      </c>
      <c r="AN199" s="30" t="str">
        <f t="shared" si="20"/>
        <v>No</v>
      </c>
    </row>
    <row r="200" spans="2:40" ht="13.8" x14ac:dyDescent="0.25">
      <c r="B200" s="101">
        <v>189</v>
      </c>
      <c r="C200" s="953"/>
      <c r="D200" s="119"/>
      <c r="E200" s="281" t="str">
        <f>IF(C200="","",VLOOKUP(C200,'G-7 WaterC'' Data'!$B$2:$Z$9,2,FALSE))</f>
        <v/>
      </c>
      <c r="F200" s="282" t="str">
        <f>IFERROR(VLOOKUP(E200,'G-7 WaterC'' Data'!$C$4:$D$8,2,FALSE),"")</f>
        <v/>
      </c>
      <c r="G200" s="52"/>
      <c r="H200" s="282" t="str">
        <f>IFERROR(INDEX('G-7 WaterC'' Data'!$H$4:$L$8,MATCH(C200,'G-7 WaterC'' Data'!$B$4:$B$8,0),MATCH(G200,'G-7 WaterC'' Data'!$H$3:$L$3,0)),"")</f>
        <v/>
      </c>
      <c r="I200" s="52"/>
      <c r="J200" s="320" t="str">
        <f>IF(I200="","",IF(VLOOKUP(I200,'G-7 WaterC'' Data'!$AK$4:$AM$6,2,FALSE)=0,"Spatial Data Missing ⚠",VLOOKUP(I200,'G-7 WaterC'' Data'!$AK$4:$AM$6,2,FALSE)))</f>
        <v/>
      </c>
      <c r="K200" s="282" t="str">
        <f>IF(I200="","",IF(VLOOKUP(I200,'G-7 WaterC'' Data'!$AK$4:$AM$6,3,FALSE)=0,"Spatial Data Missing ⚠",VLOOKUP(I200,'G-7 WaterC'' Data'!$AK$4:$AM$6,3,FALSE)))</f>
        <v/>
      </c>
      <c r="L200" s="382" t="str">
        <f>IFERROR(INDEX('G-7 WaterC'' Data'!$O$3:$O$7,MATCH(G200,'G-7 WaterC'' Data'!$N$3:$N$7,0)),"")</f>
        <v/>
      </c>
      <c r="M200" s="53"/>
      <c r="N200" s="137"/>
      <c r="O200" s="289" t="str">
        <f t="shared" si="14"/>
        <v/>
      </c>
      <c r="P200" s="302" t="str">
        <f t="shared" si="15"/>
        <v/>
      </c>
      <c r="Q200" s="340" t="str">
        <f>IFERROR(IF(P200="Check Data ⚠","Check Data ⚠",VLOOKUP(P200,'G-4 Temporal multipliers'!$A$4:$C$37,3,FALSE)),"")</f>
        <v/>
      </c>
      <c r="R200" s="281" t="str">
        <f>IF(C200="","",VLOOKUP(C200,'G-7 WaterC'' Data'!$B$4:$G$8,4,FALSE))</f>
        <v/>
      </c>
      <c r="S200" s="289" t="str">
        <f t="shared" si="16"/>
        <v/>
      </c>
      <c r="T200" s="320" t="str">
        <f t="shared" si="17"/>
        <v/>
      </c>
      <c r="U200" s="282" t="str">
        <f>IF(C200="","",VLOOKUP(T200,'G-3 Multipliers'!$P$2:$Q$6,2,FALSE))</f>
        <v/>
      </c>
      <c r="V200" s="106"/>
      <c r="W200" s="282" t="str">
        <f>IF(V200="","",IF(AND(V200="N/A - Culvert",C200&lt;&gt;"Culvert"),"Not possible ▲",IF(AND(C200="Culvert",V200&lt;&gt;"N/A - Culvert"),"Not possible ▲",IF(VLOOKUP(V200,'G-7 WaterC'' Data'!$AA$4:$AB$7,2,FALSE)=0,"Spatial Data Missing ⚠",VLOOKUP(V200,'G-7 WaterC'' Data'!$AA$4:$AB$7,2,FALSE)))))</f>
        <v/>
      </c>
      <c r="X200" s="56"/>
      <c r="Y200" s="282" t="str">
        <f>IF(X200="","",IF(AND(X200="N/A - Culvert", C200&lt;&gt;"Culvert"), "Not possible ▲",IF(AND(C200="Culvert",X200&lt;&gt;"N/A - Culvert"),"Not possible ▲",IF(VLOOKUP(X200,'G-7 WaterC'' Data'!$AD$4:$AE$14,2,FALSE)=0,"Enrcoachment Data Missing ⚠",VLOOKUP(X200,'G-7 WaterC'' Data'!$AD$4:$AE$14,2,FALSE)))))</f>
        <v/>
      </c>
      <c r="Z200" s="106"/>
      <c r="AA200" s="282" t="str">
        <f>IF(Z200="","",IF(VLOOKUP(Z200,'G-7 WaterC'' Data'!$AO$4:$BO$7,2,FALSE)=0,"Spatial Data Missing ⚠",VLOOKUP(Z200,'G-7 WaterC'' Data'!$AO$4:$BO$7,2,FALSE)))</f>
        <v/>
      </c>
      <c r="AB200" s="323" t="str">
        <f t="shared" si="18"/>
        <v/>
      </c>
      <c r="AC200" s="323" t="str">
        <f t="shared" si="19"/>
        <v/>
      </c>
      <c r="AD200" s="105"/>
      <c r="AE200" s="968"/>
      <c r="AF200" s="142"/>
      <c r="AG200" s="142"/>
      <c r="AH200" s="964"/>
      <c r="AL200" s="30" t="str">
        <f>IFERROR(INDEX('G-7 WaterC'' Data'!$AZ$3:$AZ$7,MATCH(C200,'G-7 WaterC'' Data'!$AY$3:$AY$7,0)),"")</f>
        <v/>
      </c>
      <c r="AN200" s="30" t="str">
        <f t="shared" si="20"/>
        <v>No</v>
      </c>
    </row>
    <row r="201" spans="2:40" ht="13.8" x14ac:dyDescent="0.25">
      <c r="B201" s="101">
        <v>190</v>
      </c>
      <c r="C201" s="953"/>
      <c r="D201" s="119"/>
      <c r="E201" s="281" t="str">
        <f>IF(C201="","",VLOOKUP(C201,'G-7 WaterC'' Data'!$B$2:$Z$9,2,FALSE))</f>
        <v/>
      </c>
      <c r="F201" s="282" t="str">
        <f>IFERROR(VLOOKUP(E201,'G-7 WaterC'' Data'!$C$4:$D$8,2,FALSE),"")</f>
        <v/>
      </c>
      <c r="G201" s="52"/>
      <c r="H201" s="282" t="str">
        <f>IFERROR(INDEX('G-7 WaterC'' Data'!$H$4:$L$8,MATCH(C201,'G-7 WaterC'' Data'!$B$4:$B$8,0),MATCH(G201,'G-7 WaterC'' Data'!$H$3:$L$3,0)),"")</f>
        <v/>
      </c>
      <c r="I201" s="52"/>
      <c r="J201" s="320" t="str">
        <f>IF(I201="","",IF(VLOOKUP(I201,'G-7 WaterC'' Data'!$AK$4:$AM$6,2,FALSE)=0,"Spatial Data Missing ⚠",VLOOKUP(I201,'G-7 WaterC'' Data'!$AK$4:$AM$6,2,FALSE)))</f>
        <v/>
      </c>
      <c r="K201" s="282" t="str">
        <f>IF(I201="","",IF(VLOOKUP(I201,'G-7 WaterC'' Data'!$AK$4:$AM$6,3,FALSE)=0,"Spatial Data Missing ⚠",VLOOKUP(I201,'G-7 WaterC'' Data'!$AK$4:$AM$6,3,FALSE)))</f>
        <v/>
      </c>
      <c r="L201" s="382" t="str">
        <f>IFERROR(INDEX('G-7 WaterC'' Data'!$O$3:$O$7,MATCH(G201,'G-7 WaterC'' Data'!$N$3:$N$7,0)),"")</f>
        <v/>
      </c>
      <c r="M201" s="53"/>
      <c r="N201" s="137"/>
      <c r="O201" s="289" t="str">
        <f t="shared" si="14"/>
        <v/>
      </c>
      <c r="P201" s="302" t="str">
        <f t="shared" si="15"/>
        <v/>
      </c>
      <c r="Q201" s="340" t="str">
        <f>IFERROR(IF(P201="Check Data ⚠","Check Data ⚠",VLOOKUP(P201,'G-4 Temporal multipliers'!$A$4:$C$37,3,FALSE)),"")</f>
        <v/>
      </c>
      <c r="R201" s="281" t="str">
        <f>IF(C201="","",VLOOKUP(C201,'G-7 WaterC'' Data'!$B$4:$G$8,4,FALSE))</f>
        <v/>
      </c>
      <c r="S201" s="289" t="str">
        <f t="shared" si="16"/>
        <v/>
      </c>
      <c r="T201" s="320" t="str">
        <f t="shared" si="17"/>
        <v/>
      </c>
      <c r="U201" s="282" t="str">
        <f>IF(C201="","",VLOOKUP(T201,'G-3 Multipliers'!$P$2:$Q$6,2,FALSE))</f>
        <v/>
      </c>
      <c r="V201" s="106"/>
      <c r="W201" s="282" t="str">
        <f>IF(V201="","",IF(AND(V201="N/A - Culvert",C201&lt;&gt;"Culvert"),"Not possible ▲",IF(AND(C201="Culvert",V201&lt;&gt;"N/A - Culvert"),"Not possible ▲",IF(VLOOKUP(V201,'G-7 WaterC'' Data'!$AA$4:$AB$7,2,FALSE)=0,"Spatial Data Missing ⚠",VLOOKUP(V201,'G-7 WaterC'' Data'!$AA$4:$AB$7,2,FALSE)))))</f>
        <v/>
      </c>
      <c r="X201" s="56"/>
      <c r="Y201" s="282" t="str">
        <f>IF(X201="","",IF(AND(X201="N/A - Culvert", C201&lt;&gt;"Culvert"), "Not possible ▲",IF(AND(C201="Culvert",X201&lt;&gt;"N/A - Culvert"),"Not possible ▲",IF(VLOOKUP(X201,'G-7 WaterC'' Data'!$AD$4:$AE$14,2,FALSE)=0,"Enrcoachment Data Missing ⚠",VLOOKUP(X201,'G-7 WaterC'' Data'!$AD$4:$AE$14,2,FALSE)))))</f>
        <v/>
      </c>
      <c r="Z201" s="106"/>
      <c r="AA201" s="282" t="str">
        <f>IF(Z201="","",IF(VLOOKUP(Z201,'G-7 WaterC'' Data'!$AO$4:$BO$7,2,FALSE)=0,"Spatial Data Missing ⚠",VLOOKUP(Z201,'G-7 WaterC'' Data'!$AO$4:$BO$7,2,FALSE)))</f>
        <v/>
      </c>
      <c r="AB201" s="323" t="str">
        <f t="shared" si="18"/>
        <v/>
      </c>
      <c r="AC201" s="323" t="str">
        <f t="shared" si="19"/>
        <v/>
      </c>
      <c r="AD201" s="105"/>
      <c r="AE201" s="968"/>
      <c r="AF201" s="142"/>
      <c r="AG201" s="142"/>
      <c r="AH201" s="964"/>
      <c r="AL201" s="30" t="str">
        <f>IFERROR(INDEX('G-7 WaterC'' Data'!$AZ$3:$AZ$7,MATCH(C201,'G-7 WaterC'' Data'!$AY$3:$AY$7,0)),"")</f>
        <v/>
      </c>
      <c r="AN201" s="30" t="str">
        <f t="shared" si="20"/>
        <v>No</v>
      </c>
    </row>
    <row r="202" spans="2:40" ht="13.8" x14ac:dyDescent="0.25">
      <c r="B202" s="101">
        <v>191</v>
      </c>
      <c r="C202" s="953"/>
      <c r="D202" s="119"/>
      <c r="E202" s="281" t="str">
        <f>IF(C202="","",VLOOKUP(C202,'G-7 WaterC'' Data'!$B$2:$Z$9,2,FALSE))</f>
        <v/>
      </c>
      <c r="F202" s="282" t="str">
        <f>IFERROR(VLOOKUP(E202,'G-7 WaterC'' Data'!$C$4:$D$8,2,FALSE),"")</f>
        <v/>
      </c>
      <c r="G202" s="52"/>
      <c r="H202" s="282" t="str">
        <f>IFERROR(INDEX('G-7 WaterC'' Data'!$H$4:$L$8,MATCH(C202,'G-7 WaterC'' Data'!$B$4:$B$8,0),MATCH(G202,'G-7 WaterC'' Data'!$H$3:$L$3,0)),"")</f>
        <v/>
      </c>
      <c r="I202" s="52"/>
      <c r="J202" s="320" t="str">
        <f>IF(I202="","",IF(VLOOKUP(I202,'G-7 WaterC'' Data'!$AK$4:$AM$6,2,FALSE)=0,"Spatial Data Missing ⚠",VLOOKUP(I202,'G-7 WaterC'' Data'!$AK$4:$AM$6,2,FALSE)))</f>
        <v/>
      </c>
      <c r="K202" s="282" t="str">
        <f>IF(I202="","",IF(VLOOKUP(I202,'G-7 WaterC'' Data'!$AK$4:$AM$6,3,FALSE)=0,"Spatial Data Missing ⚠",VLOOKUP(I202,'G-7 WaterC'' Data'!$AK$4:$AM$6,3,FALSE)))</f>
        <v/>
      </c>
      <c r="L202" s="382" t="str">
        <f>IFERROR(INDEX('G-7 WaterC'' Data'!$O$3:$O$7,MATCH(G202,'G-7 WaterC'' Data'!$N$3:$N$7,0)),"")</f>
        <v/>
      </c>
      <c r="M202" s="53"/>
      <c r="N202" s="137"/>
      <c r="O202" s="289" t="str">
        <f t="shared" si="14"/>
        <v/>
      </c>
      <c r="P202" s="302" t="str">
        <f t="shared" si="15"/>
        <v/>
      </c>
      <c r="Q202" s="340" t="str">
        <f>IFERROR(IF(P202="Check Data ⚠","Check Data ⚠",VLOOKUP(P202,'G-4 Temporal multipliers'!$A$4:$C$37,3,FALSE)),"")</f>
        <v/>
      </c>
      <c r="R202" s="281" t="str">
        <f>IF(C202="","",VLOOKUP(C202,'G-7 WaterC'' Data'!$B$4:$G$8,4,FALSE))</f>
        <v/>
      </c>
      <c r="S202" s="289" t="str">
        <f t="shared" si="16"/>
        <v/>
      </c>
      <c r="T202" s="320" t="str">
        <f t="shared" si="17"/>
        <v/>
      </c>
      <c r="U202" s="282" t="str">
        <f>IF(C202="","",VLOOKUP(T202,'G-3 Multipliers'!$P$2:$Q$6,2,FALSE))</f>
        <v/>
      </c>
      <c r="V202" s="106"/>
      <c r="W202" s="282" t="str">
        <f>IF(V202="","",IF(AND(V202="N/A - Culvert",C202&lt;&gt;"Culvert"),"Not possible ▲",IF(AND(C202="Culvert",V202&lt;&gt;"N/A - Culvert"),"Not possible ▲",IF(VLOOKUP(V202,'G-7 WaterC'' Data'!$AA$4:$AB$7,2,FALSE)=0,"Spatial Data Missing ⚠",VLOOKUP(V202,'G-7 WaterC'' Data'!$AA$4:$AB$7,2,FALSE)))))</f>
        <v/>
      </c>
      <c r="X202" s="56"/>
      <c r="Y202" s="282" t="str">
        <f>IF(X202="","",IF(AND(X202="N/A - Culvert", C202&lt;&gt;"Culvert"), "Not possible ▲",IF(AND(C202="Culvert",X202&lt;&gt;"N/A - Culvert"),"Not possible ▲",IF(VLOOKUP(X202,'G-7 WaterC'' Data'!$AD$4:$AE$14,2,FALSE)=0,"Enrcoachment Data Missing ⚠",VLOOKUP(X202,'G-7 WaterC'' Data'!$AD$4:$AE$14,2,FALSE)))))</f>
        <v/>
      </c>
      <c r="Z202" s="106"/>
      <c r="AA202" s="282" t="str">
        <f>IF(Z202="","",IF(VLOOKUP(Z202,'G-7 WaterC'' Data'!$AO$4:$BO$7,2,FALSE)=0,"Spatial Data Missing ⚠",VLOOKUP(Z202,'G-7 WaterC'' Data'!$AO$4:$BO$7,2,FALSE)))</f>
        <v/>
      </c>
      <c r="AB202" s="323" t="str">
        <f t="shared" si="18"/>
        <v/>
      </c>
      <c r="AC202" s="323" t="str">
        <f t="shared" si="19"/>
        <v/>
      </c>
      <c r="AD202" s="105"/>
      <c r="AE202" s="968"/>
      <c r="AF202" s="142"/>
      <c r="AG202" s="142"/>
      <c r="AH202" s="964"/>
      <c r="AL202" s="30" t="str">
        <f>IFERROR(INDEX('G-7 WaterC'' Data'!$AZ$3:$AZ$7,MATCH(C202,'G-7 WaterC'' Data'!$AY$3:$AY$7,0)),"")</f>
        <v/>
      </c>
      <c r="AN202" s="30" t="str">
        <f t="shared" si="20"/>
        <v>No</v>
      </c>
    </row>
    <row r="203" spans="2:40" ht="13.8" x14ac:dyDescent="0.25">
      <c r="B203" s="101">
        <v>192</v>
      </c>
      <c r="C203" s="953"/>
      <c r="D203" s="119"/>
      <c r="E203" s="281" t="str">
        <f>IF(C203="","",VLOOKUP(C203,'G-7 WaterC'' Data'!$B$2:$Z$9,2,FALSE))</f>
        <v/>
      </c>
      <c r="F203" s="282" t="str">
        <f>IFERROR(VLOOKUP(E203,'G-7 WaterC'' Data'!$C$4:$D$8,2,FALSE),"")</f>
        <v/>
      </c>
      <c r="G203" s="52"/>
      <c r="H203" s="282" t="str">
        <f>IFERROR(INDEX('G-7 WaterC'' Data'!$H$4:$L$8,MATCH(C203,'G-7 WaterC'' Data'!$B$4:$B$8,0),MATCH(G203,'G-7 WaterC'' Data'!$H$3:$L$3,0)),"")</f>
        <v/>
      </c>
      <c r="I203" s="52"/>
      <c r="J203" s="320" t="str">
        <f>IF(I203="","",IF(VLOOKUP(I203,'G-7 WaterC'' Data'!$AK$4:$AM$6,2,FALSE)=0,"Spatial Data Missing ⚠",VLOOKUP(I203,'G-7 WaterC'' Data'!$AK$4:$AM$6,2,FALSE)))</f>
        <v/>
      </c>
      <c r="K203" s="282" t="str">
        <f>IF(I203="","",IF(VLOOKUP(I203,'G-7 WaterC'' Data'!$AK$4:$AM$6,3,FALSE)=0,"Spatial Data Missing ⚠",VLOOKUP(I203,'G-7 WaterC'' Data'!$AK$4:$AM$6,3,FALSE)))</f>
        <v/>
      </c>
      <c r="L203" s="382" t="str">
        <f>IFERROR(INDEX('G-7 WaterC'' Data'!$O$3:$O$7,MATCH(G203,'G-7 WaterC'' Data'!$N$3:$N$7,0)),"")</f>
        <v/>
      </c>
      <c r="M203" s="53"/>
      <c r="N203" s="137"/>
      <c r="O203" s="289" t="str">
        <f t="shared" si="14"/>
        <v/>
      </c>
      <c r="P203" s="302" t="str">
        <f t="shared" si="15"/>
        <v/>
      </c>
      <c r="Q203" s="340" t="str">
        <f>IFERROR(IF(P203="Check Data ⚠","Check Data ⚠",VLOOKUP(P203,'G-4 Temporal multipliers'!$A$4:$C$37,3,FALSE)),"")</f>
        <v/>
      </c>
      <c r="R203" s="281" t="str">
        <f>IF(C203="","",VLOOKUP(C203,'G-7 WaterC'' Data'!$B$4:$G$8,4,FALSE))</f>
        <v/>
      </c>
      <c r="S203" s="289" t="str">
        <f t="shared" si="16"/>
        <v/>
      </c>
      <c r="T203" s="320" t="str">
        <f t="shared" si="17"/>
        <v/>
      </c>
      <c r="U203" s="282" t="str">
        <f>IF(C203="","",VLOOKUP(T203,'G-3 Multipliers'!$P$2:$Q$6,2,FALSE))</f>
        <v/>
      </c>
      <c r="V203" s="106"/>
      <c r="W203" s="282" t="str">
        <f>IF(V203="","",IF(AND(V203="N/A - Culvert",C203&lt;&gt;"Culvert"),"Not possible ▲",IF(AND(C203="Culvert",V203&lt;&gt;"N/A - Culvert"),"Not possible ▲",IF(VLOOKUP(V203,'G-7 WaterC'' Data'!$AA$4:$AB$7,2,FALSE)=0,"Spatial Data Missing ⚠",VLOOKUP(V203,'G-7 WaterC'' Data'!$AA$4:$AB$7,2,FALSE)))))</f>
        <v/>
      </c>
      <c r="X203" s="56"/>
      <c r="Y203" s="282" t="str">
        <f>IF(X203="","",IF(AND(X203="N/A - Culvert", C203&lt;&gt;"Culvert"), "Not possible ▲",IF(AND(C203="Culvert",X203&lt;&gt;"N/A - Culvert"),"Not possible ▲",IF(VLOOKUP(X203,'G-7 WaterC'' Data'!$AD$4:$AE$14,2,FALSE)=0,"Enrcoachment Data Missing ⚠",VLOOKUP(X203,'G-7 WaterC'' Data'!$AD$4:$AE$14,2,FALSE)))))</f>
        <v/>
      </c>
      <c r="Z203" s="106"/>
      <c r="AA203" s="282" t="str">
        <f>IF(Z203="","",IF(VLOOKUP(Z203,'G-7 WaterC'' Data'!$AO$4:$BO$7,2,FALSE)=0,"Spatial Data Missing ⚠",VLOOKUP(Z203,'G-7 WaterC'' Data'!$AO$4:$BO$7,2,FALSE)))</f>
        <v/>
      </c>
      <c r="AB203" s="323" t="str">
        <f t="shared" si="18"/>
        <v/>
      </c>
      <c r="AC203" s="323" t="str">
        <f t="shared" si="19"/>
        <v/>
      </c>
      <c r="AD203" s="105"/>
      <c r="AE203" s="968"/>
      <c r="AF203" s="142"/>
      <c r="AG203" s="142"/>
      <c r="AH203" s="964"/>
      <c r="AL203" s="30" t="str">
        <f>IFERROR(INDEX('G-7 WaterC'' Data'!$AZ$3:$AZ$7,MATCH(C203,'G-7 WaterC'' Data'!$AY$3:$AY$7,0)),"")</f>
        <v/>
      </c>
      <c r="AN203" s="30" t="str">
        <f t="shared" si="20"/>
        <v>No</v>
      </c>
    </row>
    <row r="204" spans="2:40" ht="13.8" x14ac:dyDescent="0.25">
      <c r="B204" s="101">
        <v>193</v>
      </c>
      <c r="C204" s="953"/>
      <c r="D204" s="119"/>
      <c r="E204" s="281" t="str">
        <f>IF(C204="","",VLOOKUP(C204,'G-7 WaterC'' Data'!$B$2:$Z$9,2,FALSE))</f>
        <v/>
      </c>
      <c r="F204" s="282" t="str">
        <f>IFERROR(VLOOKUP(E204,'G-7 WaterC'' Data'!$C$4:$D$8,2,FALSE),"")</f>
        <v/>
      </c>
      <c r="G204" s="52"/>
      <c r="H204" s="282" t="str">
        <f>IFERROR(INDEX('G-7 WaterC'' Data'!$H$4:$L$8,MATCH(C204,'G-7 WaterC'' Data'!$B$4:$B$8,0),MATCH(G204,'G-7 WaterC'' Data'!$H$3:$L$3,0)),"")</f>
        <v/>
      </c>
      <c r="I204" s="52"/>
      <c r="J204" s="320" t="str">
        <f>IF(I204="","",IF(VLOOKUP(I204,'G-7 WaterC'' Data'!$AK$4:$AM$6,2,FALSE)=0,"Spatial Data Missing ⚠",VLOOKUP(I204,'G-7 WaterC'' Data'!$AK$4:$AM$6,2,FALSE)))</f>
        <v/>
      </c>
      <c r="K204" s="282" t="str">
        <f>IF(I204="","",IF(VLOOKUP(I204,'G-7 WaterC'' Data'!$AK$4:$AM$6,3,FALSE)=0,"Spatial Data Missing ⚠",VLOOKUP(I204,'G-7 WaterC'' Data'!$AK$4:$AM$6,3,FALSE)))</f>
        <v/>
      </c>
      <c r="L204" s="382" t="str">
        <f>IFERROR(INDEX('G-7 WaterC'' Data'!$O$3:$O$7,MATCH(G204,'G-7 WaterC'' Data'!$N$3:$N$7,0)),"")</f>
        <v/>
      </c>
      <c r="M204" s="53"/>
      <c r="N204" s="137"/>
      <c r="O204" s="289" t="str">
        <f t="shared" si="14"/>
        <v/>
      </c>
      <c r="P204" s="302" t="str">
        <f t="shared" si="15"/>
        <v/>
      </c>
      <c r="Q204" s="340" t="str">
        <f>IFERROR(IF(P204="Check Data ⚠","Check Data ⚠",VLOOKUP(P204,'G-4 Temporal multipliers'!$A$4:$C$37,3,FALSE)),"")</f>
        <v/>
      </c>
      <c r="R204" s="281" t="str">
        <f>IF(C204="","",VLOOKUP(C204,'G-7 WaterC'' Data'!$B$4:$G$8,4,FALSE))</f>
        <v/>
      </c>
      <c r="S204" s="289" t="str">
        <f t="shared" si="16"/>
        <v/>
      </c>
      <c r="T204" s="320" t="str">
        <f t="shared" si="17"/>
        <v/>
      </c>
      <c r="U204" s="282" t="str">
        <f>IF(C204="","",VLOOKUP(T204,'G-3 Multipliers'!$P$2:$Q$6,2,FALSE))</f>
        <v/>
      </c>
      <c r="V204" s="106"/>
      <c r="W204" s="282" t="str">
        <f>IF(V204="","",IF(AND(V204="N/A - Culvert",C204&lt;&gt;"Culvert"),"Not possible ▲",IF(AND(C204="Culvert",V204&lt;&gt;"N/A - Culvert"),"Not possible ▲",IF(VLOOKUP(V204,'G-7 WaterC'' Data'!$AA$4:$AB$7,2,FALSE)=0,"Spatial Data Missing ⚠",VLOOKUP(V204,'G-7 WaterC'' Data'!$AA$4:$AB$7,2,FALSE)))))</f>
        <v/>
      </c>
      <c r="X204" s="56"/>
      <c r="Y204" s="282" t="str">
        <f>IF(X204="","",IF(AND(X204="N/A - Culvert", C204&lt;&gt;"Culvert"), "Not possible ▲",IF(AND(C204="Culvert",X204&lt;&gt;"N/A - Culvert"),"Not possible ▲",IF(VLOOKUP(X204,'G-7 WaterC'' Data'!$AD$4:$AE$14,2,FALSE)=0,"Enrcoachment Data Missing ⚠",VLOOKUP(X204,'G-7 WaterC'' Data'!$AD$4:$AE$14,2,FALSE)))))</f>
        <v/>
      </c>
      <c r="Z204" s="106"/>
      <c r="AA204" s="282" t="str">
        <f>IF(Z204="","",IF(VLOOKUP(Z204,'G-7 WaterC'' Data'!$AO$4:$BO$7,2,FALSE)=0,"Spatial Data Missing ⚠",VLOOKUP(Z204,'G-7 WaterC'' Data'!$AO$4:$BO$7,2,FALSE)))</f>
        <v/>
      </c>
      <c r="AB204" s="323" t="str">
        <f t="shared" si="18"/>
        <v/>
      </c>
      <c r="AC204" s="323" t="str">
        <f t="shared" si="19"/>
        <v/>
      </c>
      <c r="AD204" s="105"/>
      <c r="AE204" s="968"/>
      <c r="AF204" s="142"/>
      <c r="AG204" s="142"/>
      <c r="AH204" s="964"/>
      <c r="AL204" s="30" t="str">
        <f>IFERROR(INDEX('G-7 WaterC'' Data'!$AZ$3:$AZ$7,MATCH(C204,'G-7 WaterC'' Data'!$AY$3:$AY$7,0)),"")</f>
        <v/>
      </c>
      <c r="AN204" s="30" t="str">
        <f t="shared" si="20"/>
        <v>No</v>
      </c>
    </row>
    <row r="205" spans="2:40" ht="13.8" x14ac:dyDescent="0.25">
      <c r="B205" s="101">
        <v>194</v>
      </c>
      <c r="C205" s="953"/>
      <c r="D205" s="119"/>
      <c r="E205" s="281" t="str">
        <f>IF(C205="","",VLOOKUP(C205,'G-7 WaterC'' Data'!$B$2:$Z$9,2,FALSE))</f>
        <v/>
      </c>
      <c r="F205" s="282" t="str">
        <f>IFERROR(VLOOKUP(E205,'G-7 WaterC'' Data'!$C$4:$D$8,2,FALSE),"")</f>
        <v/>
      </c>
      <c r="G205" s="52"/>
      <c r="H205" s="282" t="str">
        <f>IFERROR(INDEX('G-7 WaterC'' Data'!$H$4:$L$8,MATCH(C205,'G-7 WaterC'' Data'!$B$4:$B$8,0),MATCH(G205,'G-7 WaterC'' Data'!$H$3:$L$3,0)),"")</f>
        <v/>
      </c>
      <c r="I205" s="52"/>
      <c r="J205" s="320" t="str">
        <f>IF(I205="","",IF(VLOOKUP(I205,'G-7 WaterC'' Data'!$AK$4:$AM$6,2,FALSE)=0,"Spatial Data Missing ⚠",VLOOKUP(I205,'G-7 WaterC'' Data'!$AK$4:$AM$6,2,FALSE)))</f>
        <v/>
      </c>
      <c r="K205" s="282" t="str">
        <f>IF(I205="","",IF(VLOOKUP(I205,'G-7 WaterC'' Data'!$AK$4:$AM$6,3,FALSE)=0,"Spatial Data Missing ⚠",VLOOKUP(I205,'G-7 WaterC'' Data'!$AK$4:$AM$6,3,FALSE)))</f>
        <v/>
      </c>
      <c r="L205" s="382" t="str">
        <f>IFERROR(INDEX('G-7 WaterC'' Data'!$O$3:$O$7,MATCH(G205,'G-7 WaterC'' Data'!$N$3:$N$7,0)),"")</f>
        <v/>
      </c>
      <c r="M205" s="53"/>
      <c r="N205" s="137"/>
      <c r="O205" s="289" t="str">
        <f t="shared" ref="O205:O259" si="21">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02" t="str">
        <f t="shared" ref="P205:P259" si="22">IF(O205="Error -both advance and delayed habitat creation ▲","Check Data ⚠",IF(L205="","",IF(M205="30+",0,IF(N205="30+","30+",IF(L205+N205&gt;30,"30+",IF(L205+N205-M205&gt;0,L205+N205-M205,IF(L205-M205&lt;0,0,L205+N205-M205)))))))</f>
        <v/>
      </c>
      <c r="Q205" s="340" t="str">
        <f>IFERROR(IF(P205="Check Data ⚠","Check Data ⚠",VLOOKUP(P205,'G-4 Temporal multipliers'!$A$4:$C$37,3,FALSE)),"")</f>
        <v/>
      </c>
      <c r="R205" s="281" t="str">
        <f>IF(C205="","",VLOOKUP(C205,'G-7 WaterC'' Data'!$B$4:$G$8,4,FALSE))</f>
        <v/>
      </c>
      <c r="S205" s="289" t="str">
        <f t="shared" ref="S205:S259" si="23">IF(C205="","",IF(P205="Check Data ⚠","Check Data ⚠",IF(G205="","",IF($O205="Check details - Is there evidence that habitat has reached target condition? ⚠","No - Low Difficulty - only applicable if all habitat created before losses ⚠","Standard difficulty applied"))))</f>
        <v/>
      </c>
      <c r="T205" s="320" t="str">
        <f t="shared" ref="T205:T259" si="24">(IF(AND(S205="Standard difficulty applied",L205&gt;M205),R205,IF(AND(S205="No - Low Difficulty - only applicable if all habitat created before losses ⚠",M205&gt;=L205),"Low",R205)))</f>
        <v/>
      </c>
      <c r="U205" s="282" t="str">
        <f>IF(C205="","",VLOOKUP(T205,'G-3 Multipliers'!$P$2:$Q$6,2,FALSE))</f>
        <v/>
      </c>
      <c r="V205" s="106"/>
      <c r="W205" s="282" t="str">
        <f>IF(V205="","",IF(AND(V205="N/A - Culvert",C205&lt;&gt;"Culvert"),"Not possible ▲",IF(AND(C205="Culvert",V205&lt;&gt;"N/A - Culvert"),"Not possible ▲",IF(VLOOKUP(V205,'G-7 WaterC'' Data'!$AA$4:$AB$7,2,FALSE)=0,"Spatial Data Missing ⚠",VLOOKUP(V205,'G-7 WaterC'' Data'!$AA$4:$AB$7,2,FALSE)))))</f>
        <v/>
      </c>
      <c r="X205" s="56"/>
      <c r="Y205" s="282" t="str">
        <f>IF(X205="","",IF(AND(X205="N/A - Culvert", C205&lt;&gt;"Culvert"), "Not possible ▲",IF(AND(C205="Culvert",X205&lt;&gt;"N/A - Culvert"),"Not possible ▲",IF(VLOOKUP(X205,'G-7 WaterC'' Data'!$AD$4:$AE$14,2,FALSE)=0,"Enrcoachment Data Missing ⚠",VLOOKUP(X205,'G-7 WaterC'' Data'!$AD$4:$AE$14,2,FALSE)))))</f>
        <v/>
      </c>
      <c r="Z205" s="106"/>
      <c r="AA205" s="282" t="str">
        <f>IF(Z205="","",IF(VLOOKUP(Z205,'G-7 WaterC'' Data'!$AO$4:$BO$7,2,FALSE)=0,"Spatial Data Missing ⚠",VLOOKUP(Z205,'G-7 WaterC'' Data'!$AO$4:$BO$7,2,FALSE)))</f>
        <v/>
      </c>
      <c r="AB205" s="323" t="str">
        <f t="shared" ref="AB205:AB259" si="25">IFERROR(D205*F205*H205*K205*Q205*U205*W205*Y205*AA205,"")</f>
        <v/>
      </c>
      <c r="AC205" s="323" t="str">
        <f t="shared" ref="AC205:AC259" si="26">IFERROR(IF(AND(Z205&lt;&gt;"",AG205=""),"Off-site reference required ▲",(IF(Z205="","",D205*F205*H205*K205*Q205*U205*W205*Y205))),"")</f>
        <v/>
      </c>
      <c r="AD205" s="105"/>
      <c r="AE205" s="968"/>
      <c r="AF205" s="142"/>
      <c r="AG205" s="142"/>
      <c r="AH205" s="964"/>
      <c r="AL205" s="30" t="str">
        <f>IFERROR(INDEX('G-7 WaterC'' Data'!$AZ$3:$AZ$7,MATCH(C205,'G-7 WaterC'' Data'!$AY$3:$AY$7,0)),"")</f>
        <v/>
      </c>
      <c r="AN205" s="30" t="str">
        <f t="shared" ref="AN205:AN260" si="27">IF(AND(C205="Ditches",(OR(G205="Fairly Poor",G205="Fairly Good"))), "Yes", "No")</f>
        <v>No</v>
      </c>
    </row>
    <row r="206" spans="2:40" ht="13.8" x14ac:dyDescent="0.25">
      <c r="B206" s="101">
        <v>195</v>
      </c>
      <c r="C206" s="953"/>
      <c r="D206" s="119"/>
      <c r="E206" s="281" t="str">
        <f>IF(C206="","",VLOOKUP(C206,'G-7 WaterC'' Data'!$B$2:$Z$9,2,FALSE))</f>
        <v/>
      </c>
      <c r="F206" s="282" t="str">
        <f>IFERROR(VLOOKUP(E206,'G-7 WaterC'' Data'!$C$4:$D$8,2,FALSE),"")</f>
        <v/>
      </c>
      <c r="G206" s="52"/>
      <c r="H206" s="282" t="str">
        <f>IFERROR(INDEX('G-7 WaterC'' Data'!$H$4:$L$8,MATCH(C206,'G-7 WaterC'' Data'!$B$4:$B$8,0),MATCH(G206,'G-7 WaterC'' Data'!$H$3:$L$3,0)),"")</f>
        <v/>
      </c>
      <c r="I206" s="52"/>
      <c r="J206" s="320" t="str">
        <f>IF(I206="","",IF(VLOOKUP(I206,'G-7 WaterC'' Data'!$AK$4:$AM$6,2,FALSE)=0,"Spatial Data Missing ⚠",VLOOKUP(I206,'G-7 WaterC'' Data'!$AK$4:$AM$6,2,FALSE)))</f>
        <v/>
      </c>
      <c r="K206" s="282" t="str">
        <f>IF(I206="","",IF(VLOOKUP(I206,'G-7 WaterC'' Data'!$AK$4:$AM$6,3,FALSE)=0,"Spatial Data Missing ⚠",VLOOKUP(I206,'G-7 WaterC'' Data'!$AK$4:$AM$6,3,FALSE)))</f>
        <v/>
      </c>
      <c r="L206" s="382" t="str">
        <f>IFERROR(INDEX('G-7 WaterC'' Data'!$O$3:$O$7,MATCH(G206,'G-7 WaterC'' Data'!$N$3:$N$7,0)),"")</f>
        <v/>
      </c>
      <c r="M206" s="53"/>
      <c r="N206" s="137"/>
      <c r="O206" s="289" t="str">
        <f t="shared" si="21"/>
        <v/>
      </c>
      <c r="P206" s="302" t="str">
        <f t="shared" si="22"/>
        <v/>
      </c>
      <c r="Q206" s="340" t="str">
        <f>IFERROR(IF(P206="Check Data ⚠","Check Data ⚠",VLOOKUP(P206,'G-4 Temporal multipliers'!$A$4:$C$37,3,FALSE)),"")</f>
        <v/>
      </c>
      <c r="R206" s="281" t="str">
        <f>IF(C206="","",VLOOKUP(C206,'G-7 WaterC'' Data'!$B$4:$G$8,4,FALSE))</f>
        <v/>
      </c>
      <c r="S206" s="289" t="str">
        <f t="shared" si="23"/>
        <v/>
      </c>
      <c r="T206" s="320" t="str">
        <f t="shared" si="24"/>
        <v/>
      </c>
      <c r="U206" s="282" t="str">
        <f>IF(C206="","",VLOOKUP(T206,'G-3 Multipliers'!$P$2:$Q$6,2,FALSE))</f>
        <v/>
      </c>
      <c r="V206" s="106"/>
      <c r="W206" s="282" t="str">
        <f>IF(V206="","",IF(AND(V206="N/A - Culvert",C206&lt;&gt;"Culvert"),"Not possible ▲",IF(AND(C206="Culvert",V206&lt;&gt;"N/A - Culvert"),"Not possible ▲",IF(VLOOKUP(V206,'G-7 WaterC'' Data'!$AA$4:$AB$7,2,FALSE)=0,"Spatial Data Missing ⚠",VLOOKUP(V206,'G-7 WaterC'' Data'!$AA$4:$AB$7,2,FALSE)))))</f>
        <v/>
      </c>
      <c r="X206" s="56"/>
      <c r="Y206" s="282" t="str">
        <f>IF(X206="","",IF(AND(X206="N/A - Culvert", C206&lt;&gt;"Culvert"), "Not possible ▲",IF(AND(C206="Culvert",X206&lt;&gt;"N/A - Culvert"),"Not possible ▲",IF(VLOOKUP(X206,'G-7 WaterC'' Data'!$AD$4:$AE$14,2,FALSE)=0,"Enrcoachment Data Missing ⚠",VLOOKUP(X206,'G-7 WaterC'' Data'!$AD$4:$AE$14,2,FALSE)))))</f>
        <v/>
      </c>
      <c r="Z206" s="106"/>
      <c r="AA206" s="282" t="str">
        <f>IF(Z206="","",IF(VLOOKUP(Z206,'G-7 WaterC'' Data'!$AO$4:$BO$7,2,FALSE)=0,"Spatial Data Missing ⚠",VLOOKUP(Z206,'G-7 WaterC'' Data'!$AO$4:$BO$7,2,FALSE)))</f>
        <v/>
      </c>
      <c r="AB206" s="323" t="str">
        <f t="shared" si="25"/>
        <v/>
      </c>
      <c r="AC206" s="323" t="str">
        <f t="shared" si="26"/>
        <v/>
      </c>
      <c r="AD206" s="105"/>
      <c r="AE206" s="968"/>
      <c r="AF206" s="142"/>
      <c r="AG206" s="142"/>
      <c r="AH206" s="964"/>
      <c r="AL206" s="30" t="str">
        <f>IFERROR(INDEX('G-7 WaterC'' Data'!$AZ$3:$AZ$7,MATCH(C206,'G-7 WaterC'' Data'!$AY$3:$AY$7,0)),"")</f>
        <v/>
      </c>
      <c r="AN206" s="30" t="str">
        <f t="shared" si="27"/>
        <v>No</v>
      </c>
    </row>
    <row r="207" spans="2:40" ht="13.8" x14ac:dyDescent="0.25">
      <c r="B207" s="101">
        <v>196</v>
      </c>
      <c r="C207" s="953"/>
      <c r="D207" s="119"/>
      <c r="E207" s="281" t="str">
        <f>IF(C207="","",VLOOKUP(C207,'G-7 WaterC'' Data'!$B$2:$Z$9,2,FALSE))</f>
        <v/>
      </c>
      <c r="F207" s="282" t="str">
        <f>IFERROR(VLOOKUP(E207,'G-7 WaterC'' Data'!$C$4:$D$8,2,FALSE),"")</f>
        <v/>
      </c>
      <c r="G207" s="52"/>
      <c r="H207" s="282" t="str">
        <f>IFERROR(INDEX('G-7 WaterC'' Data'!$H$4:$L$8,MATCH(C207,'G-7 WaterC'' Data'!$B$4:$B$8,0),MATCH(G207,'G-7 WaterC'' Data'!$H$3:$L$3,0)),"")</f>
        <v/>
      </c>
      <c r="I207" s="52"/>
      <c r="J207" s="320" t="str">
        <f>IF(I207="","",IF(VLOOKUP(I207,'G-7 WaterC'' Data'!$AK$4:$AM$6,2,FALSE)=0,"Spatial Data Missing ⚠",VLOOKUP(I207,'G-7 WaterC'' Data'!$AK$4:$AM$6,2,FALSE)))</f>
        <v/>
      </c>
      <c r="K207" s="282" t="str">
        <f>IF(I207="","",IF(VLOOKUP(I207,'G-7 WaterC'' Data'!$AK$4:$AM$6,3,FALSE)=0,"Spatial Data Missing ⚠",VLOOKUP(I207,'G-7 WaterC'' Data'!$AK$4:$AM$6,3,FALSE)))</f>
        <v/>
      </c>
      <c r="L207" s="382" t="str">
        <f>IFERROR(INDEX('G-7 WaterC'' Data'!$O$3:$O$7,MATCH(G207,'G-7 WaterC'' Data'!$N$3:$N$7,0)),"")</f>
        <v/>
      </c>
      <c r="M207" s="53"/>
      <c r="N207" s="137"/>
      <c r="O207" s="289" t="str">
        <f t="shared" si="21"/>
        <v/>
      </c>
      <c r="P207" s="302" t="str">
        <f t="shared" si="22"/>
        <v/>
      </c>
      <c r="Q207" s="340" t="str">
        <f>IFERROR(IF(P207="Check Data ⚠","Check Data ⚠",VLOOKUP(P207,'G-4 Temporal multipliers'!$A$4:$C$37,3,FALSE)),"")</f>
        <v/>
      </c>
      <c r="R207" s="281" t="str">
        <f>IF(C207="","",VLOOKUP(C207,'G-7 WaterC'' Data'!$B$4:$G$8,4,FALSE))</f>
        <v/>
      </c>
      <c r="S207" s="289" t="str">
        <f t="shared" si="23"/>
        <v/>
      </c>
      <c r="T207" s="320" t="str">
        <f t="shared" si="24"/>
        <v/>
      </c>
      <c r="U207" s="282" t="str">
        <f>IF(C207="","",VLOOKUP(T207,'G-3 Multipliers'!$P$2:$Q$6,2,FALSE))</f>
        <v/>
      </c>
      <c r="V207" s="106"/>
      <c r="W207" s="282" t="str">
        <f>IF(V207="","",IF(AND(V207="N/A - Culvert",C207&lt;&gt;"Culvert"),"Not possible ▲",IF(AND(C207="Culvert",V207&lt;&gt;"N/A - Culvert"),"Not possible ▲",IF(VLOOKUP(V207,'G-7 WaterC'' Data'!$AA$4:$AB$7,2,FALSE)=0,"Spatial Data Missing ⚠",VLOOKUP(V207,'G-7 WaterC'' Data'!$AA$4:$AB$7,2,FALSE)))))</f>
        <v/>
      </c>
      <c r="X207" s="56"/>
      <c r="Y207" s="282" t="str">
        <f>IF(X207="","",IF(AND(X207="N/A - Culvert", C207&lt;&gt;"Culvert"), "Not possible ▲",IF(AND(C207="Culvert",X207&lt;&gt;"N/A - Culvert"),"Not possible ▲",IF(VLOOKUP(X207,'G-7 WaterC'' Data'!$AD$4:$AE$14,2,FALSE)=0,"Enrcoachment Data Missing ⚠",VLOOKUP(X207,'G-7 WaterC'' Data'!$AD$4:$AE$14,2,FALSE)))))</f>
        <v/>
      </c>
      <c r="Z207" s="106"/>
      <c r="AA207" s="282" t="str">
        <f>IF(Z207="","",IF(VLOOKUP(Z207,'G-7 WaterC'' Data'!$AO$4:$BO$7,2,FALSE)=0,"Spatial Data Missing ⚠",VLOOKUP(Z207,'G-7 WaterC'' Data'!$AO$4:$BO$7,2,FALSE)))</f>
        <v/>
      </c>
      <c r="AB207" s="323" t="str">
        <f t="shared" si="25"/>
        <v/>
      </c>
      <c r="AC207" s="323" t="str">
        <f t="shared" si="26"/>
        <v/>
      </c>
      <c r="AD207" s="105"/>
      <c r="AE207" s="968"/>
      <c r="AF207" s="142"/>
      <c r="AG207" s="142"/>
      <c r="AH207" s="964"/>
      <c r="AL207" s="30" t="str">
        <f>IFERROR(INDEX('G-7 WaterC'' Data'!$AZ$3:$AZ$7,MATCH(C207,'G-7 WaterC'' Data'!$AY$3:$AY$7,0)),"")</f>
        <v/>
      </c>
      <c r="AN207" s="30" t="str">
        <f t="shared" si="27"/>
        <v>No</v>
      </c>
    </row>
    <row r="208" spans="2:40" ht="13.8" x14ac:dyDescent="0.25">
      <c r="B208" s="101">
        <v>197</v>
      </c>
      <c r="C208" s="953"/>
      <c r="D208" s="119"/>
      <c r="E208" s="281" t="str">
        <f>IF(C208="","",VLOOKUP(C208,'G-7 WaterC'' Data'!$B$2:$Z$9,2,FALSE))</f>
        <v/>
      </c>
      <c r="F208" s="282" t="str">
        <f>IFERROR(VLOOKUP(E208,'G-7 WaterC'' Data'!$C$4:$D$8,2,FALSE),"")</f>
        <v/>
      </c>
      <c r="G208" s="52"/>
      <c r="H208" s="282" t="str">
        <f>IFERROR(INDEX('G-7 WaterC'' Data'!$H$4:$L$8,MATCH(C208,'G-7 WaterC'' Data'!$B$4:$B$8,0),MATCH(G208,'G-7 WaterC'' Data'!$H$3:$L$3,0)),"")</f>
        <v/>
      </c>
      <c r="I208" s="52"/>
      <c r="J208" s="320" t="str">
        <f>IF(I208="","",IF(VLOOKUP(I208,'G-7 WaterC'' Data'!$AK$4:$AM$6,2,FALSE)=0,"Spatial Data Missing ⚠",VLOOKUP(I208,'G-7 WaterC'' Data'!$AK$4:$AM$6,2,FALSE)))</f>
        <v/>
      </c>
      <c r="K208" s="282" t="str">
        <f>IF(I208="","",IF(VLOOKUP(I208,'G-7 WaterC'' Data'!$AK$4:$AM$6,3,FALSE)=0,"Spatial Data Missing ⚠",VLOOKUP(I208,'G-7 WaterC'' Data'!$AK$4:$AM$6,3,FALSE)))</f>
        <v/>
      </c>
      <c r="L208" s="382" t="str">
        <f>IFERROR(INDEX('G-7 WaterC'' Data'!$O$3:$O$7,MATCH(G208,'G-7 WaterC'' Data'!$N$3:$N$7,0)),"")</f>
        <v/>
      </c>
      <c r="M208" s="53"/>
      <c r="N208" s="137"/>
      <c r="O208" s="289" t="str">
        <f t="shared" si="21"/>
        <v/>
      </c>
      <c r="P208" s="302" t="str">
        <f t="shared" si="22"/>
        <v/>
      </c>
      <c r="Q208" s="340" t="str">
        <f>IFERROR(IF(P208="Check Data ⚠","Check Data ⚠",VLOOKUP(P208,'G-4 Temporal multipliers'!$A$4:$C$37,3,FALSE)),"")</f>
        <v/>
      </c>
      <c r="R208" s="281" t="str">
        <f>IF(C208="","",VLOOKUP(C208,'G-7 WaterC'' Data'!$B$4:$G$8,4,FALSE))</f>
        <v/>
      </c>
      <c r="S208" s="289" t="str">
        <f t="shared" si="23"/>
        <v/>
      </c>
      <c r="T208" s="320" t="str">
        <f t="shared" si="24"/>
        <v/>
      </c>
      <c r="U208" s="282" t="str">
        <f>IF(C208="","",VLOOKUP(T208,'G-3 Multipliers'!$P$2:$Q$6,2,FALSE))</f>
        <v/>
      </c>
      <c r="V208" s="106"/>
      <c r="W208" s="282" t="str">
        <f>IF(V208="","",IF(AND(V208="N/A - Culvert",C208&lt;&gt;"Culvert"),"Not possible ▲",IF(AND(C208="Culvert",V208&lt;&gt;"N/A - Culvert"),"Not possible ▲",IF(VLOOKUP(V208,'G-7 WaterC'' Data'!$AA$4:$AB$7,2,FALSE)=0,"Spatial Data Missing ⚠",VLOOKUP(V208,'G-7 WaterC'' Data'!$AA$4:$AB$7,2,FALSE)))))</f>
        <v/>
      </c>
      <c r="X208" s="56"/>
      <c r="Y208" s="282" t="str">
        <f>IF(X208="","",IF(AND(X208="N/A - Culvert", C208&lt;&gt;"Culvert"), "Not possible ▲",IF(AND(C208="Culvert",X208&lt;&gt;"N/A - Culvert"),"Not possible ▲",IF(VLOOKUP(X208,'G-7 WaterC'' Data'!$AD$4:$AE$14,2,FALSE)=0,"Enrcoachment Data Missing ⚠",VLOOKUP(X208,'G-7 WaterC'' Data'!$AD$4:$AE$14,2,FALSE)))))</f>
        <v/>
      </c>
      <c r="Z208" s="106"/>
      <c r="AA208" s="282" t="str">
        <f>IF(Z208="","",IF(VLOOKUP(Z208,'G-7 WaterC'' Data'!$AO$4:$BO$7,2,FALSE)=0,"Spatial Data Missing ⚠",VLOOKUP(Z208,'G-7 WaterC'' Data'!$AO$4:$BO$7,2,FALSE)))</f>
        <v/>
      </c>
      <c r="AB208" s="323" t="str">
        <f t="shared" si="25"/>
        <v/>
      </c>
      <c r="AC208" s="323" t="str">
        <f t="shared" si="26"/>
        <v/>
      </c>
      <c r="AD208" s="105"/>
      <c r="AE208" s="968"/>
      <c r="AF208" s="142"/>
      <c r="AG208" s="142"/>
      <c r="AH208" s="964"/>
      <c r="AL208" s="30" t="str">
        <f>IFERROR(INDEX('G-7 WaterC'' Data'!$AZ$3:$AZ$7,MATCH(C208,'G-7 WaterC'' Data'!$AY$3:$AY$7,0)),"")</f>
        <v/>
      </c>
      <c r="AN208" s="30" t="str">
        <f t="shared" si="27"/>
        <v>No</v>
      </c>
    </row>
    <row r="209" spans="2:40" ht="13.8" x14ac:dyDescent="0.25">
      <c r="B209" s="101">
        <v>198</v>
      </c>
      <c r="C209" s="953"/>
      <c r="D209" s="119"/>
      <c r="E209" s="281" t="str">
        <f>IF(C209="","",VLOOKUP(C209,'G-7 WaterC'' Data'!$B$2:$Z$9,2,FALSE))</f>
        <v/>
      </c>
      <c r="F209" s="282" t="str">
        <f>IFERROR(VLOOKUP(E209,'G-7 WaterC'' Data'!$C$4:$D$8,2,FALSE),"")</f>
        <v/>
      </c>
      <c r="G209" s="52"/>
      <c r="H209" s="282" t="str">
        <f>IFERROR(INDEX('G-7 WaterC'' Data'!$H$4:$L$8,MATCH(C209,'G-7 WaterC'' Data'!$B$4:$B$8,0),MATCH(G209,'G-7 WaterC'' Data'!$H$3:$L$3,0)),"")</f>
        <v/>
      </c>
      <c r="I209" s="52"/>
      <c r="J209" s="320" t="str">
        <f>IF(I209="","",IF(VLOOKUP(I209,'G-7 WaterC'' Data'!$AK$4:$AM$6,2,FALSE)=0,"Spatial Data Missing ⚠",VLOOKUP(I209,'G-7 WaterC'' Data'!$AK$4:$AM$6,2,FALSE)))</f>
        <v/>
      </c>
      <c r="K209" s="282" t="str">
        <f>IF(I209="","",IF(VLOOKUP(I209,'G-7 WaterC'' Data'!$AK$4:$AM$6,3,FALSE)=0,"Spatial Data Missing ⚠",VLOOKUP(I209,'G-7 WaterC'' Data'!$AK$4:$AM$6,3,FALSE)))</f>
        <v/>
      </c>
      <c r="L209" s="382" t="str">
        <f>IFERROR(INDEX('G-7 WaterC'' Data'!$O$3:$O$7,MATCH(G209,'G-7 WaterC'' Data'!$N$3:$N$7,0)),"")</f>
        <v/>
      </c>
      <c r="M209" s="53"/>
      <c r="N209" s="137"/>
      <c r="O209" s="289" t="str">
        <f t="shared" si="21"/>
        <v/>
      </c>
      <c r="P209" s="302" t="str">
        <f t="shared" si="22"/>
        <v/>
      </c>
      <c r="Q209" s="340" t="str">
        <f>IFERROR(IF(P209="Check Data ⚠","Check Data ⚠",VLOOKUP(P209,'G-4 Temporal multipliers'!$A$4:$C$37,3,FALSE)),"")</f>
        <v/>
      </c>
      <c r="R209" s="281" t="str">
        <f>IF(C209="","",VLOOKUP(C209,'G-7 WaterC'' Data'!$B$4:$G$8,4,FALSE))</f>
        <v/>
      </c>
      <c r="S209" s="289" t="str">
        <f t="shared" si="23"/>
        <v/>
      </c>
      <c r="T209" s="320" t="str">
        <f t="shared" si="24"/>
        <v/>
      </c>
      <c r="U209" s="282" t="str">
        <f>IF(C209="","",VLOOKUP(T209,'G-3 Multipliers'!$P$2:$Q$6,2,FALSE))</f>
        <v/>
      </c>
      <c r="V209" s="106"/>
      <c r="W209" s="282" t="str">
        <f>IF(V209="","",IF(AND(V209="N/A - Culvert",C209&lt;&gt;"Culvert"),"Not possible ▲",IF(AND(C209="Culvert",V209&lt;&gt;"N/A - Culvert"),"Not possible ▲",IF(VLOOKUP(V209,'G-7 WaterC'' Data'!$AA$4:$AB$7,2,FALSE)=0,"Spatial Data Missing ⚠",VLOOKUP(V209,'G-7 WaterC'' Data'!$AA$4:$AB$7,2,FALSE)))))</f>
        <v/>
      </c>
      <c r="X209" s="56"/>
      <c r="Y209" s="282" t="str">
        <f>IF(X209="","",IF(AND(X209="N/A - Culvert", C209&lt;&gt;"Culvert"), "Not possible ▲",IF(AND(C209="Culvert",X209&lt;&gt;"N/A - Culvert"),"Not possible ▲",IF(VLOOKUP(X209,'G-7 WaterC'' Data'!$AD$4:$AE$14,2,FALSE)=0,"Enrcoachment Data Missing ⚠",VLOOKUP(X209,'G-7 WaterC'' Data'!$AD$4:$AE$14,2,FALSE)))))</f>
        <v/>
      </c>
      <c r="Z209" s="106"/>
      <c r="AA209" s="282" t="str">
        <f>IF(Z209="","",IF(VLOOKUP(Z209,'G-7 WaterC'' Data'!$AO$4:$BO$7,2,FALSE)=0,"Spatial Data Missing ⚠",VLOOKUP(Z209,'G-7 WaterC'' Data'!$AO$4:$BO$7,2,FALSE)))</f>
        <v/>
      </c>
      <c r="AB209" s="323" t="str">
        <f t="shared" si="25"/>
        <v/>
      </c>
      <c r="AC209" s="323" t="str">
        <f t="shared" si="26"/>
        <v/>
      </c>
      <c r="AD209" s="105"/>
      <c r="AE209" s="968"/>
      <c r="AF209" s="142"/>
      <c r="AG209" s="142"/>
      <c r="AH209" s="964"/>
      <c r="AL209" s="30" t="str">
        <f>IFERROR(INDEX('G-7 WaterC'' Data'!$AZ$3:$AZ$7,MATCH(C209,'G-7 WaterC'' Data'!$AY$3:$AY$7,0)),"")</f>
        <v/>
      </c>
      <c r="AN209" s="30" t="str">
        <f t="shared" si="27"/>
        <v>No</v>
      </c>
    </row>
    <row r="210" spans="2:40" ht="13.8" x14ac:dyDescent="0.25">
      <c r="B210" s="101">
        <v>199</v>
      </c>
      <c r="C210" s="953"/>
      <c r="D210" s="119"/>
      <c r="E210" s="281" t="str">
        <f>IF(C210="","",VLOOKUP(C210,'G-7 WaterC'' Data'!$B$2:$Z$9,2,FALSE))</f>
        <v/>
      </c>
      <c r="F210" s="282" t="str">
        <f>IFERROR(VLOOKUP(E210,'G-7 WaterC'' Data'!$C$4:$D$8,2,FALSE),"")</f>
        <v/>
      </c>
      <c r="G210" s="52"/>
      <c r="H210" s="282" t="str">
        <f>IFERROR(INDEX('G-7 WaterC'' Data'!$H$4:$L$8,MATCH(C210,'G-7 WaterC'' Data'!$B$4:$B$8,0),MATCH(G210,'G-7 WaterC'' Data'!$H$3:$L$3,0)),"")</f>
        <v/>
      </c>
      <c r="I210" s="52"/>
      <c r="J210" s="320" t="str">
        <f>IF(I210="","",IF(VLOOKUP(I210,'G-7 WaterC'' Data'!$AK$4:$AM$6,2,FALSE)=0,"Spatial Data Missing ⚠",VLOOKUP(I210,'G-7 WaterC'' Data'!$AK$4:$AM$6,2,FALSE)))</f>
        <v/>
      </c>
      <c r="K210" s="282" t="str">
        <f>IF(I210="","",IF(VLOOKUP(I210,'G-7 WaterC'' Data'!$AK$4:$AM$6,3,FALSE)=0,"Spatial Data Missing ⚠",VLOOKUP(I210,'G-7 WaterC'' Data'!$AK$4:$AM$6,3,FALSE)))</f>
        <v/>
      </c>
      <c r="L210" s="382" t="str">
        <f>IFERROR(INDEX('G-7 WaterC'' Data'!$O$3:$O$7,MATCH(G210,'G-7 WaterC'' Data'!$N$3:$N$7,0)),"")</f>
        <v/>
      </c>
      <c r="M210" s="53"/>
      <c r="N210" s="137"/>
      <c r="O210" s="289" t="str">
        <f t="shared" si="21"/>
        <v/>
      </c>
      <c r="P210" s="302" t="str">
        <f t="shared" si="22"/>
        <v/>
      </c>
      <c r="Q210" s="340" t="str">
        <f>IFERROR(IF(P210="Check Data ⚠","Check Data ⚠",VLOOKUP(P210,'G-4 Temporal multipliers'!$A$4:$C$37,3,FALSE)),"")</f>
        <v/>
      </c>
      <c r="R210" s="281" t="str">
        <f>IF(C210="","",VLOOKUP(C210,'G-7 WaterC'' Data'!$B$4:$G$8,4,FALSE))</f>
        <v/>
      </c>
      <c r="S210" s="289" t="str">
        <f t="shared" si="23"/>
        <v/>
      </c>
      <c r="T210" s="320" t="str">
        <f t="shared" si="24"/>
        <v/>
      </c>
      <c r="U210" s="282" t="str">
        <f>IF(C210="","",VLOOKUP(T210,'G-3 Multipliers'!$P$2:$Q$6,2,FALSE))</f>
        <v/>
      </c>
      <c r="V210" s="106"/>
      <c r="W210" s="282" t="str">
        <f>IF(V210="","",IF(AND(V210="N/A - Culvert",C210&lt;&gt;"Culvert"),"Not possible ▲",IF(AND(C210="Culvert",V210&lt;&gt;"N/A - Culvert"),"Not possible ▲",IF(VLOOKUP(V210,'G-7 WaterC'' Data'!$AA$4:$AB$7,2,FALSE)=0,"Spatial Data Missing ⚠",VLOOKUP(V210,'G-7 WaterC'' Data'!$AA$4:$AB$7,2,FALSE)))))</f>
        <v/>
      </c>
      <c r="X210" s="56"/>
      <c r="Y210" s="282" t="str">
        <f>IF(X210="","",IF(AND(X210="N/A - Culvert", C210&lt;&gt;"Culvert"), "Not possible ▲",IF(AND(C210="Culvert",X210&lt;&gt;"N/A - Culvert"),"Not possible ▲",IF(VLOOKUP(X210,'G-7 WaterC'' Data'!$AD$4:$AE$14,2,FALSE)=0,"Enrcoachment Data Missing ⚠",VLOOKUP(X210,'G-7 WaterC'' Data'!$AD$4:$AE$14,2,FALSE)))))</f>
        <v/>
      </c>
      <c r="Z210" s="106"/>
      <c r="AA210" s="282" t="str">
        <f>IF(Z210="","",IF(VLOOKUP(Z210,'G-7 WaterC'' Data'!$AO$4:$BO$7,2,FALSE)=0,"Spatial Data Missing ⚠",VLOOKUP(Z210,'G-7 WaterC'' Data'!$AO$4:$BO$7,2,FALSE)))</f>
        <v/>
      </c>
      <c r="AB210" s="323" t="str">
        <f t="shared" si="25"/>
        <v/>
      </c>
      <c r="AC210" s="323" t="str">
        <f t="shared" si="26"/>
        <v/>
      </c>
      <c r="AD210" s="105"/>
      <c r="AE210" s="968"/>
      <c r="AF210" s="142"/>
      <c r="AG210" s="142"/>
      <c r="AH210" s="964"/>
      <c r="AL210" s="30" t="str">
        <f>IFERROR(INDEX('G-7 WaterC'' Data'!$AZ$3:$AZ$7,MATCH(C210,'G-7 WaterC'' Data'!$AY$3:$AY$7,0)),"")</f>
        <v/>
      </c>
      <c r="AN210" s="30" t="str">
        <f t="shared" si="27"/>
        <v>No</v>
      </c>
    </row>
    <row r="211" spans="2:40" ht="13.8" x14ac:dyDescent="0.25">
      <c r="B211" s="101">
        <v>200</v>
      </c>
      <c r="C211" s="953"/>
      <c r="D211" s="119"/>
      <c r="E211" s="281" t="str">
        <f>IF(C211="","",VLOOKUP(C211,'G-7 WaterC'' Data'!$B$2:$Z$9,2,FALSE))</f>
        <v/>
      </c>
      <c r="F211" s="282" t="str">
        <f>IFERROR(VLOOKUP(E211,'G-7 WaterC'' Data'!$C$4:$D$8,2,FALSE),"")</f>
        <v/>
      </c>
      <c r="G211" s="52"/>
      <c r="H211" s="282" t="str">
        <f>IFERROR(INDEX('G-7 WaterC'' Data'!$H$4:$L$8,MATCH(C211,'G-7 WaterC'' Data'!$B$4:$B$8,0),MATCH(G211,'G-7 WaterC'' Data'!$H$3:$L$3,0)),"")</f>
        <v/>
      </c>
      <c r="I211" s="52"/>
      <c r="J211" s="320" t="str">
        <f>IF(I211="","",IF(VLOOKUP(I211,'G-7 WaterC'' Data'!$AK$4:$AM$6,2,FALSE)=0,"Spatial Data Missing ⚠",VLOOKUP(I211,'G-7 WaterC'' Data'!$AK$4:$AM$6,2,FALSE)))</f>
        <v/>
      </c>
      <c r="K211" s="282" t="str">
        <f>IF(I211="","",IF(VLOOKUP(I211,'G-7 WaterC'' Data'!$AK$4:$AM$6,3,FALSE)=0,"Spatial Data Missing ⚠",VLOOKUP(I211,'G-7 WaterC'' Data'!$AK$4:$AM$6,3,FALSE)))</f>
        <v/>
      </c>
      <c r="L211" s="382" t="str">
        <f>IFERROR(INDEX('G-7 WaterC'' Data'!$O$3:$O$7,MATCH(G211,'G-7 WaterC'' Data'!$N$3:$N$7,0)),"")</f>
        <v/>
      </c>
      <c r="M211" s="53"/>
      <c r="N211" s="137"/>
      <c r="O211" s="289" t="str">
        <f t="shared" si="21"/>
        <v/>
      </c>
      <c r="P211" s="302" t="str">
        <f t="shared" si="22"/>
        <v/>
      </c>
      <c r="Q211" s="340" t="str">
        <f>IFERROR(IF(P211="Check Data ⚠","Check Data ⚠",VLOOKUP(P211,'G-4 Temporal multipliers'!$A$4:$C$37,3,FALSE)),"")</f>
        <v/>
      </c>
      <c r="R211" s="281" t="str">
        <f>IF(C211="","",VLOOKUP(C211,'G-7 WaterC'' Data'!$B$4:$G$8,4,FALSE))</f>
        <v/>
      </c>
      <c r="S211" s="289" t="str">
        <f t="shared" si="23"/>
        <v/>
      </c>
      <c r="T211" s="320" t="str">
        <f t="shared" si="24"/>
        <v/>
      </c>
      <c r="U211" s="282" t="str">
        <f>IF(C211="","",VLOOKUP(T211,'G-3 Multipliers'!$P$2:$Q$6,2,FALSE))</f>
        <v/>
      </c>
      <c r="V211" s="106"/>
      <c r="W211" s="282" t="str">
        <f>IF(V211="","",IF(AND(V211="N/A - Culvert",C211&lt;&gt;"Culvert"),"Not possible ▲",IF(AND(C211="Culvert",V211&lt;&gt;"N/A - Culvert"),"Not possible ▲",IF(VLOOKUP(V211,'G-7 WaterC'' Data'!$AA$4:$AB$7,2,FALSE)=0,"Spatial Data Missing ⚠",VLOOKUP(V211,'G-7 WaterC'' Data'!$AA$4:$AB$7,2,FALSE)))))</f>
        <v/>
      </c>
      <c r="X211" s="56"/>
      <c r="Y211" s="282" t="str">
        <f>IF(X211="","",IF(AND(X211="N/A - Culvert", C211&lt;&gt;"Culvert"), "Not possible ▲",IF(AND(C211="Culvert",X211&lt;&gt;"N/A - Culvert"),"Not possible ▲",IF(VLOOKUP(X211,'G-7 WaterC'' Data'!$AD$4:$AE$14,2,FALSE)=0,"Enrcoachment Data Missing ⚠",VLOOKUP(X211,'G-7 WaterC'' Data'!$AD$4:$AE$14,2,FALSE)))))</f>
        <v/>
      </c>
      <c r="Z211" s="106"/>
      <c r="AA211" s="282" t="str">
        <f>IF(Z211="","",IF(VLOOKUP(Z211,'G-7 WaterC'' Data'!$AO$4:$BO$7,2,FALSE)=0,"Spatial Data Missing ⚠",VLOOKUP(Z211,'G-7 WaterC'' Data'!$AO$4:$BO$7,2,FALSE)))</f>
        <v/>
      </c>
      <c r="AB211" s="323" t="str">
        <f t="shared" si="25"/>
        <v/>
      </c>
      <c r="AC211" s="323" t="str">
        <f t="shared" si="26"/>
        <v/>
      </c>
      <c r="AD211" s="105"/>
      <c r="AE211" s="968"/>
      <c r="AF211" s="142"/>
      <c r="AG211" s="142"/>
      <c r="AH211" s="964"/>
      <c r="AL211" s="30" t="str">
        <f>IFERROR(INDEX('G-7 WaterC'' Data'!$AZ$3:$AZ$7,MATCH(C211,'G-7 WaterC'' Data'!$AY$3:$AY$7,0)),"")</f>
        <v/>
      </c>
      <c r="AN211" s="30" t="str">
        <f t="shared" si="27"/>
        <v>No</v>
      </c>
    </row>
    <row r="212" spans="2:40" ht="13.8" x14ac:dyDescent="0.25">
      <c r="B212" s="101">
        <v>201</v>
      </c>
      <c r="C212" s="953"/>
      <c r="D212" s="119"/>
      <c r="E212" s="281" t="str">
        <f>IF(C212="","",VLOOKUP(C212,'G-7 WaterC'' Data'!$B$2:$Z$9,2,FALSE))</f>
        <v/>
      </c>
      <c r="F212" s="282" t="str">
        <f>IFERROR(VLOOKUP(E212,'G-7 WaterC'' Data'!$C$4:$D$8,2,FALSE),"")</f>
        <v/>
      </c>
      <c r="G212" s="52"/>
      <c r="H212" s="282" t="str">
        <f>IFERROR(INDEX('G-7 WaterC'' Data'!$H$4:$L$8,MATCH(C212,'G-7 WaterC'' Data'!$B$4:$B$8,0),MATCH(G212,'G-7 WaterC'' Data'!$H$3:$L$3,0)),"")</f>
        <v/>
      </c>
      <c r="I212" s="52"/>
      <c r="J212" s="320" t="str">
        <f>IF(I212="","",IF(VLOOKUP(I212,'G-7 WaterC'' Data'!$AK$4:$AM$6,2,FALSE)=0,"Spatial Data Missing ⚠",VLOOKUP(I212,'G-7 WaterC'' Data'!$AK$4:$AM$6,2,FALSE)))</f>
        <v/>
      </c>
      <c r="K212" s="282" t="str">
        <f>IF(I212="","",IF(VLOOKUP(I212,'G-7 WaterC'' Data'!$AK$4:$AM$6,3,FALSE)=0,"Spatial Data Missing ⚠",VLOOKUP(I212,'G-7 WaterC'' Data'!$AK$4:$AM$6,3,FALSE)))</f>
        <v/>
      </c>
      <c r="L212" s="382" t="str">
        <f>IFERROR(INDEX('G-7 WaterC'' Data'!$O$3:$O$7,MATCH(G212,'G-7 WaterC'' Data'!$N$3:$N$7,0)),"")</f>
        <v/>
      </c>
      <c r="M212" s="53"/>
      <c r="N212" s="137"/>
      <c r="O212" s="289" t="str">
        <f t="shared" si="21"/>
        <v/>
      </c>
      <c r="P212" s="302" t="str">
        <f t="shared" si="22"/>
        <v/>
      </c>
      <c r="Q212" s="340" t="str">
        <f>IFERROR(IF(P212="Check Data ⚠","Check Data ⚠",VLOOKUP(P212,'G-4 Temporal multipliers'!$A$4:$C$37,3,FALSE)),"")</f>
        <v/>
      </c>
      <c r="R212" s="281" t="str">
        <f>IF(C212="","",VLOOKUP(C212,'G-7 WaterC'' Data'!$B$4:$G$8,4,FALSE))</f>
        <v/>
      </c>
      <c r="S212" s="289" t="str">
        <f t="shared" si="23"/>
        <v/>
      </c>
      <c r="T212" s="320" t="str">
        <f t="shared" si="24"/>
        <v/>
      </c>
      <c r="U212" s="282" t="str">
        <f>IF(C212="","",VLOOKUP(T212,'G-3 Multipliers'!$P$2:$Q$6,2,FALSE))</f>
        <v/>
      </c>
      <c r="V212" s="106"/>
      <c r="W212" s="282" t="str">
        <f>IF(V212="","",IF(AND(V212="N/A - Culvert",C212&lt;&gt;"Culvert"),"Not possible ▲",IF(AND(C212="Culvert",V212&lt;&gt;"N/A - Culvert"),"Not possible ▲",IF(VLOOKUP(V212,'G-7 WaterC'' Data'!$AA$4:$AB$7,2,FALSE)=0,"Spatial Data Missing ⚠",VLOOKUP(V212,'G-7 WaterC'' Data'!$AA$4:$AB$7,2,FALSE)))))</f>
        <v/>
      </c>
      <c r="X212" s="56"/>
      <c r="Y212" s="282" t="str">
        <f>IF(X212="","",IF(AND(X212="N/A - Culvert", C212&lt;&gt;"Culvert"), "Not possible ▲",IF(AND(C212="Culvert",X212&lt;&gt;"N/A - Culvert"),"Not possible ▲",IF(VLOOKUP(X212,'G-7 WaterC'' Data'!$AD$4:$AE$14,2,FALSE)=0,"Enrcoachment Data Missing ⚠",VLOOKUP(X212,'G-7 WaterC'' Data'!$AD$4:$AE$14,2,FALSE)))))</f>
        <v/>
      </c>
      <c r="Z212" s="106"/>
      <c r="AA212" s="282" t="str">
        <f>IF(Z212="","",IF(VLOOKUP(Z212,'G-7 WaterC'' Data'!$AO$4:$BO$7,2,FALSE)=0,"Spatial Data Missing ⚠",VLOOKUP(Z212,'G-7 WaterC'' Data'!$AO$4:$BO$7,2,FALSE)))</f>
        <v/>
      </c>
      <c r="AB212" s="323" t="str">
        <f t="shared" si="25"/>
        <v/>
      </c>
      <c r="AC212" s="323" t="str">
        <f t="shared" si="26"/>
        <v/>
      </c>
      <c r="AD212" s="105"/>
      <c r="AE212" s="968"/>
      <c r="AF212" s="142"/>
      <c r="AG212" s="142"/>
      <c r="AH212" s="964"/>
      <c r="AL212" s="30" t="str">
        <f>IFERROR(INDEX('G-7 WaterC'' Data'!$AZ$3:$AZ$7,MATCH(C212,'G-7 WaterC'' Data'!$AY$3:$AY$7,0)),"")</f>
        <v/>
      </c>
      <c r="AN212" s="30" t="str">
        <f t="shared" si="27"/>
        <v>No</v>
      </c>
    </row>
    <row r="213" spans="2:40" ht="13.8" x14ac:dyDescent="0.25">
      <c r="B213" s="101">
        <v>202</v>
      </c>
      <c r="C213" s="953"/>
      <c r="D213" s="119"/>
      <c r="E213" s="281" t="str">
        <f>IF(C213="","",VLOOKUP(C213,'G-7 WaterC'' Data'!$B$2:$Z$9,2,FALSE))</f>
        <v/>
      </c>
      <c r="F213" s="282" t="str">
        <f>IFERROR(VLOOKUP(E213,'G-7 WaterC'' Data'!$C$4:$D$8,2,FALSE),"")</f>
        <v/>
      </c>
      <c r="G213" s="52"/>
      <c r="H213" s="282" t="str">
        <f>IFERROR(INDEX('G-7 WaterC'' Data'!$H$4:$L$8,MATCH(C213,'G-7 WaterC'' Data'!$B$4:$B$8,0),MATCH(G213,'G-7 WaterC'' Data'!$H$3:$L$3,0)),"")</f>
        <v/>
      </c>
      <c r="I213" s="52"/>
      <c r="J213" s="320" t="str">
        <f>IF(I213="","",IF(VLOOKUP(I213,'G-7 WaterC'' Data'!$AK$4:$AM$6,2,FALSE)=0,"Spatial Data Missing ⚠",VLOOKUP(I213,'G-7 WaterC'' Data'!$AK$4:$AM$6,2,FALSE)))</f>
        <v/>
      </c>
      <c r="K213" s="282" t="str">
        <f>IF(I213="","",IF(VLOOKUP(I213,'G-7 WaterC'' Data'!$AK$4:$AM$6,3,FALSE)=0,"Spatial Data Missing ⚠",VLOOKUP(I213,'G-7 WaterC'' Data'!$AK$4:$AM$6,3,FALSE)))</f>
        <v/>
      </c>
      <c r="L213" s="382" t="str">
        <f>IFERROR(INDEX('G-7 WaterC'' Data'!$O$3:$O$7,MATCH(G213,'G-7 WaterC'' Data'!$N$3:$N$7,0)),"")</f>
        <v/>
      </c>
      <c r="M213" s="53"/>
      <c r="N213" s="137"/>
      <c r="O213" s="289" t="str">
        <f t="shared" si="21"/>
        <v/>
      </c>
      <c r="P213" s="302" t="str">
        <f t="shared" si="22"/>
        <v/>
      </c>
      <c r="Q213" s="340" t="str">
        <f>IFERROR(IF(P213="Check Data ⚠","Check Data ⚠",VLOOKUP(P213,'G-4 Temporal multipliers'!$A$4:$C$37,3,FALSE)),"")</f>
        <v/>
      </c>
      <c r="R213" s="281" t="str">
        <f>IF(C213="","",VLOOKUP(C213,'G-7 WaterC'' Data'!$B$4:$G$8,4,FALSE))</f>
        <v/>
      </c>
      <c r="S213" s="289" t="str">
        <f t="shared" si="23"/>
        <v/>
      </c>
      <c r="T213" s="320" t="str">
        <f t="shared" si="24"/>
        <v/>
      </c>
      <c r="U213" s="282" t="str">
        <f>IF(C213="","",VLOOKUP(T213,'G-3 Multipliers'!$P$2:$Q$6,2,FALSE))</f>
        <v/>
      </c>
      <c r="V213" s="106"/>
      <c r="W213" s="282" t="str">
        <f>IF(V213="","",IF(AND(V213="N/A - Culvert",C213&lt;&gt;"Culvert"),"Not possible ▲",IF(AND(C213="Culvert",V213&lt;&gt;"N/A - Culvert"),"Not possible ▲",IF(VLOOKUP(V213,'G-7 WaterC'' Data'!$AA$4:$AB$7,2,FALSE)=0,"Spatial Data Missing ⚠",VLOOKUP(V213,'G-7 WaterC'' Data'!$AA$4:$AB$7,2,FALSE)))))</f>
        <v/>
      </c>
      <c r="X213" s="56"/>
      <c r="Y213" s="282" t="str">
        <f>IF(X213="","",IF(AND(X213="N/A - Culvert", C213&lt;&gt;"Culvert"), "Not possible ▲",IF(AND(C213="Culvert",X213&lt;&gt;"N/A - Culvert"),"Not possible ▲",IF(VLOOKUP(X213,'G-7 WaterC'' Data'!$AD$4:$AE$14,2,FALSE)=0,"Enrcoachment Data Missing ⚠",VLOOKUP(X213,'G-7 WaterC'' Data'!$AD$4:$AE$14,2,FALSE)))))</f>
        <v/>
      </c>
      <c r="Z213" s="106"/>
      <c r="AA213" s="282" t="str">
        <f>IF(Z213="","",IF(VLOOKUP(Z213,'G-7 WaterC'' Data'!$AO$4:$BO$7,2,FALSE)=0,"Spatial Data Missing ⚠",VLOOKUP(Z213,'G-7 WaterC'' Data'!$AO$4:$BO$7,2,FALSE)))</f>
        <v/>
      </c>
      <c r="AB213" s="323" t="str">
        <f t="shared" si="25"/>
        <v/>
      </c>
      <c r="AC213" s="323" t="str">
        <f t="shared" si="26"/>
        <v/>
      </c>
      <c r="AD213" s="105"/>
      <c r="AE213" s="968"/>
      <c r="AF213" s="142"/>
      <c r="AG213" s="142"/>
      <c r="AH213" s="964"/>
      <c r="AL213" s="30" t="str">
        <f>IFERROR(INDEX('G-7 WaterC'' Data'!$AZ$3:$AZ$7,MATCH(C213,'G-7 WaterC'' Data'!$AY$3:$AY$7,0)),"")</f>
        <v/>
      </c>
      <c r="AN213" s="30" t="str">
        <f t="shared" si="27"/>
        <v>No</v>
      </c>
    </row>
    <row r="214" spans="2:40" ht="13.8" x14ac:dyDescent="0.25">
      <c r="B214" s="101">
        <v>203</v>
      </c>
      <c r="C214" s="953"/>
      <c r="D214" s="119"/>
      <c r="E214" s="281" t="str">
        <f>IF(C214="","",VLOOKUP(C214,'G-7 WaterC'' Data'!$B$2:$Z$9,2,FALSE))</f>
        <v/>
      </c>
      <c r="F214" s="282" t="str">
        <f>IFERROR(VLOOKUP(E214,'G-7 WaterC'' Data'!$C$4:$D$8,2,FALSE),"")</f>
        <v/>
      </c>
      <c r="G214" s="52"/>
      <c r="H214" s="282" t="str">
        <f>IFERROR(INDEX('G-7 WaterC'' Data'!$H$4:$L$8,MATCH(C214,'G-7 WaterC'' Data'!$B$4:$B$8,0),MATCH(G214,'G-7 WaterC'' Data'!$H$3:$L$3,0)),"")</f>
        <v/>
      </c>
      <c r="I214" s="52"/>
      <c r="J214" s="320" t="str">
        <f>IF(I214="","",IF(VLOOKUP(I214,'G-7 WaterC'' Data'!$AK$4:$AM$6,2,FALSE)=0,"Spatial Data Missing ⚠",VLOOKUP(I214,'G-7 WaterC'' Data'!$AK$4:$AM$6,2,FALSE)))</f>
        <v/>
      </c>
      <c r="K214" s="282" t="str">
        <f>IF(I214="","",IF(VLOOKUP(I214,'G-7 WaterC'' Data'!$AK$4:$AM$6,3,FALSE)=0,"Spatial Data Missing ⚠",VLOOKUP(I214,'G-7 WaterC'' Data'!$AK$4:$AM$6,3,FALSE)))</f>
        <v/>
      </c>
      <c r="L214" s="382" t="str">
        <f>IFERROR(INDEX('G-7 WaterC'' Data'!$O$3:$O$7,MATCH(G214,'G-7 WaterC'' Data'!$N$3:$N$7,0)),"")</f>
        <v/>
      </c>
      <c r="M214" s="53"/>
      <c r="N214" s="137"/>
      <c r="O214" s="289" t="str">
        <f t="shared" si="21"/>
        <v/>
      </c>
      <c r="P214" s="302" t="str">
        <f t="shared" si="22"/>
        <v/>
      </c>
      <c r="Q214" s="340" t="str">
        <f>IFERROR(IF(P214="Check Data ⚠","Check Data ⚠",VLOOKUP(P214,'G-4 Temporal multipliers'!$A$4:$C$37,3,FALSE)),"")</f>
        <v/>
      </c>
      <c r="R214" s="281" t="str">
        <f>IF(C214="","",VLOOKUP(C214,'G-7 WaterC'' Data'!$B$4:$G$8,4,FALSE))</f>
        <v/>
      </c>
      <c r="S214" s="289" t="str">
        <f t="shared" si="23"/>
        <v/>
      </c>
      <c r="T214" s="320" t="str">
        <f t="shared" si="24"/>
        <v/>
      </c>
      <c r="U214" s="282" t="str">
        <f>IF(C214="","",VLOOKUP(T214,'G-3 Multipliers'!$P$2:$Q$6,2,FALSE))</f>
        <v/>
      </c>
      <c r="V214" s="106"/>
      <c r="W214" s="282" t="str">
        <f>IF(V214="","",IF(AND(V214="N/A - Culvert",C214&lt;&gt;"Culvert"),"Not possible ▲",IF(AND(C214="Culvert",V214&lt;&gt;"N/A - Culvert"),"Not possible ▲",IF(VLOOKUP(V214,'G-7 WaterC'' Data'!$AA$4:$AB$7,2,FALSE)=0,"Spatial Data Missing ⚠",VLOOKUP(V214,'G-7 WaterC'' Data'!$AA$4:$AB$7,2,FALSE)))))</f>
        <v/>
      </c>
      <c r="X214" s="56"/>
      <c r="Y214" s="282" t="str">
        <f>IF(X214="","",IF(AND(X214="N/A - Culvert", C214&lt;&gt;"Culvert"), "Not possible ▲",IF(AND(C214="Culvert",X214&lt;&gt;"N/A - Culvert"),"Not possible ▲",IF(VLOOKUP(X214,'G-7 WaterC'' Data'!$AD$4:$AE$14,2,FALSE)=0,"Enrcoachment Data Missing ⚠",VLOOKUP(X214,'G-7 WaterC'' Data'!$AD$4:$AE$14,2,FALSE)))))</f>
        <v/>
      </c>
      <c r="Z214" s="106"/>
      <c r="AA214" s="282" t="str">
        <f>IF(Z214="","",IF(VLOOKUP(Z214,'G-7 WaterC'' Data'!$AO$4:$BO$7,2,FALSE)=0,"Spatial Data Missing ⚠",VLOOKUP(Z214,'G-7 WaterC'' Data'!$AO$4:$BO$7,2,FALSE)))</f>
        <v/>
      </c>
      <c r="AB214" s="323" t="str">
        <f t="shared" si="25"/>
        <v/>
      </c>
      <c r="AC214" s="323" t="str">
        <f t="shared" si="26"/>
        <v/>
      </c>
      <c r="AD214" s="105"/>
      <c r="AE214" s="968"/>
      <c r="AF214" s="142"/>
      <c r="AG214" s="142"/>
      <c r="AH214" s="964"/>
      <c r="AL214" s="30" t="str">
        <f>IFERROR(INDEX('G-7 WaterC'' Data'!$AZ$3:$AZ$7,MATCH(C214,'G-7 WaterC'' Data'!$AY$3:$AY$7,0)),"")</f>
        <v/>
      </c>
      <c r="AN214" s="30" t="str">
        <f t="shared" si="27"/>
        <v>No</v>
      </c>
    </row>
    <row r="215" spans="2:40" ht="13.8" x14ac:dyDescent="0.25">
      <c r="B215" s="101">
        <v>204</v>
      </c>
      <c r="C215" s="953"/>
      <c r="D215" s="119"/>
      <c r="E215" s="281" t="str">
        <f>IF(C215="","",VLOOKUP(C215,'G-7 WaterC'' Data'!$B$2:$Z$9,2,FALSE))</f>
        <v/>
      </c>
      <c r="F215" s="282" t="str">
        <f>IFERROR(VLOOKUP(E215,'G-7 WaterC'' Data'!$C$4:$D$8,2,FALSE),"")</f>
        <v/>
      </c>
      <c r="G215" s="52"/>
      <c r="H215" s="282" t="str">
        <f>IFERROR(INDEX('G-7 WaterC'' Data'!$H$4:$L$8,MATCH(C215,'G-7 WaterC'' Data'!$B$4:$B$8,0),MATCH(G215,'G-7 WaterC'' Data'!$H$3:$L$3,0)),"")</f>
        <v/>
      </c>
      <c r="I215" s="52"/>
      <c r="J215" s="320" t="str">
        <f>IF(I215="","",IF(VLOOKUP(I215,'G-7 WaterC'' Data'!$AK$4:$AM$6,2,FALSE)=0,"Spatial Data Missing ⚠",VLOOKUP(I215,'G-7 WaterC'' Data'!$AK$4:$AM$6,2,FALSE)))</f>
        <v/>
      </c>
      <c r="K215" s="282" t="str">
        <f>IF(I215="","",IF(VLOOKUP(I215,'G-7 WaterC'' Data'!$AK$4:$AM$6,3,FALSE)=0,"Spatial Data Missing ⚠",VLOOKUP(I215,'G-7 WaterC'' Data'!$AK$4:$AM$6,3,FALSE)))</f>
        <v/>
      </c>
      <c r="L215" s="382" t="str">
        <f>IFERROR(INDEX('G-7 WaterC'' Data'!$O$3:$O$7,MATCH(G215,'G-7 WaterC'' Data'!$N$3:$N$7,0)),"")</f>
        <v/>
      </c>
      <c r="M215" s="53"/>
      <c r="N215" s="137"/>
      <c r="O215" s="289" t="str">
        <f t="shared" si="21"/>
        <v/>
      </c>
      <c r="P215" s="302" t="str">
        <f t="shared" si="22"/>
        <v/>
      </c>
      <c r="Q215" s="340" t="str">
        <f>IFERROR(IF(P215="Check Data ⚠","Check Data ⚠",VLOOKUP(P215,'G-4 Temporal multipliers'!$A$4:$C$37,3,FALSE)),"")</f>
        <v/>
      </c>
      <c r="R215" s="281" t="str">
        <f>IF(C215="","",VLOOKUP(C215,'G-7 WaterC'' Data'!$B$4:$G$8,4,FALSE))</f>
        <v/>
      </c>
      <c r="S215" s="289" t="str">
        <f t="shared" si="23"/>
        <v/>
      </c>
      <c r="T215" s="320" t="str">
        <f t="shared" si="24"/>
        <v/>
      </c>
      <c r="U215" s="282" t="str">
        <f>IF(C215="","",VLOOKUP(T215,'G-3 Multipliers'!$P$2:$Q$6,2,FALSE))</f>
        <v/>
      </c>
      <c r="V215" s="106"/>
      <c r="W215" s="282" t="str">
        <f>IF(V215="","",IF(AND(V215="N/A - Culvert",C215&lt;&gt;"Culvert"),"Not possible ▲",IF(AND(C215="Culvert",V215&lt;&gt;"N/A - Culvert"),"Not possible ▲",IF(VLOOKUP(V215,'G-7 WaterC'' Data'!$AA$4:$AB$7,2,FALSE)=0,"Spatial Data Missing ⚠",VLOOKUP(V215,'G-7 WaterC'' Data'!$AA$4:$AB$7,2,FALSE)))))</f>
        <v/>
      </c>
      <c r="X215" s="56"/>
      <c r="Y215" s="282" t="str">
        <f>IF(X215="","",IF(AND(X215="N/A - Culvert", C215&lt;&gt;"Culvert"), "Not possible ▲",IF(AND(C215="Culvert",X215&lt;&gt;"N/A - Culvert"),"Not possible ▲",IF(VLOOKUP(X215,'G-7 WaterC'' Data'!$AD$4:$AE$14,2,FALSE)=0,"Enrcoachment Data Missing ⚠",VLOOKUP(X215,'G-7 WaterC'' Data'!$AD$4:$AE$14,2,FALSE)))))</f>
        <v/>
      </c>
      <c r="Z215" s="106"/>
      <c r="AA215" s="282" t="str">
        <f>IF(Z215="","",IF(VLOOKUP(Z215,'G-7 WaterC'' Data'!$AO$4:$BO$7,2,FALSE)=0,"Spatial Data Missing ⚠",VLOOKUP(Z215,'G-7 WaterC'' Data'!$AO$4:$BO$7,2,FALSE)))</f>
        <v/>
      </c>
      <c r="AB215" s="323" t="str">
        <f t="shared" si="25"/>
        <v/>
      </c>
      <c r="AC215" s="323" t="str">
        <f t="shared" si="26"/>
        <v/>
      </c>
      <c r="AD215" s="105"/>
      <c r="AE215" s="968"/>
      <c r="AF215" s="142"/>
      <c r="AG215" s="142"/>
      <c r="AH215" s="964"/>
      <c r="AL215" s="30" t="str">
        <f>IFERROR(INDEX('G-7 WaterC'' Data'!$AZ$3:$AZ$7,MATCH(C215,'G-7 WaterC'' Data'!$AY$3:$AY$7,0)),"")</f>
        <v/>
      </c>
      <c r="AN215" s="30" t="str">
        <f t="shared" si="27"/>
        <v>No</v>
      </c>
    </row>
    <row r="216" spans="2:40" ht="13.8" x14ac:dyDescent="0.25">
      <c r="B216" s="101">
        <v>205</v>
      </c>
      <c r="C216" s="953"/>
      <c r="D216" s="119"/>
      <c r="E216" s="281" t="str">
        <f>IF(C216="","",VLOOKUP(C216,'G-7 WaterC'' Data'!$B$2:$Z$9,2,FALSE))</f>
        <v/>
      </c>
      <c r="F216" s="282" t="str">
        <f>IFERROR(VLOOKUP(E216,'G-7 WaterC'' Data'!$C$4:$D$8,2,FALSE),"")</f>
        <v/>
      </c>
      <c r="G216" s="52"/>
      <c r="H216" s="282" t="str">
        <f>IFERROR(INDEX('G-7 WaterC'' Data'!$H$4:$L$8,MATCH(C216,'G-7 WaterC'' Data'!$B$4:$B$8,0),MATCH(G216,'G-7 WaterC'' Data'!$H$3:$L$3,0)),"")</f>
        <v/>
      </c>
      <c r="I216" s="52"/>
      <c r="J216" s="320" t="str">
        <f>IF(I216="","",IF(VLOOKUP(I216,'G-7 WaterC'' Data'!$AK$4:$AM$6,2,FALSE)=0,"Spatial Data Missing ⚠",VLOOKUP(I216,'G-7 WaterC'' Data'!$AK$4:$AM$6,2,FALSE)))</f>
        <v/>
      </c>
      <c r="K216" s="282" t="str">
        <f>IF(I216="","",IF(VLOOKUP(I216,'G-7 WaterC'' Data'!$AK$4:$AM$6,3,FALSE)=0,"Spatial Data Missing ⚠",VLOOKUP(I216,'G-7 WaterC'' Data'!$AK$4:$AM$6,3,FALSE)))</f>
        <v/>
      </c>
      <c r="L216" s="382" t="str">
        <f>IFERROR(INDEX('G-7 WaterC'' Data'!$O$3:$O$7,MATCH(G216,'G-7 WaterC'' Data'!$N$3:$N$7,0)),"")</f>
        <v/>
      </c>
      <c r="M216" s="53"/>
      <c r="N216" s="137"/>
      <c r="O216" s="289" t="str">
        <f t="shared" si="21"/>
        <v/>
      </c>
      <c r="P216" s="302" t="str">
        <f t="shared" si="22"/>
        <v/>
      </c>
      <c r="Q216" s="340" t="str">
        <f>IFERROR(IF(P216="Check Data ⚠","Check Data ⚠",VLOOKUP(P216,'G-4 Temporal multipliers'!$A$4:$C$37,3,FALSE)),"")</f>
        <v/>
      </c>
      <c r="R216" s="281" t="str">
        <f>IF(C216="","",VLOOKUP(C216,'G-7 WaterC'' Data'!$B$4:$G$8,4,FALSE))</f>
        <v/>
      </c>
      <c r="S216" s="289" t="str">
        <f t="shared" si="23"/>
        <v/>
      </c>
      <c r="T216" s="320" t="str">
        <f t="shared" si="24"/>
        <v/>
      </c>
      <c r="U216" s="282" t="str">
        <f>IF(C216="","",VLOOKUP(T216,'G-3 Multipliers'!$P$2:$Q$6,2,FALSE))</f>
        <v/>
      </c>
      <c r="V216" s="106"/>
      <c r="W216" s="282" t="str">
        <f>IF(V216="","",IF(AND(V216="N/A - Culvert",C216&lt;&gt;"Culvert"),"Not possible ▲",IF(AND(C216="Culvert",V216&lt;&gt;"N/A - Culvert"),"Not possible ▲",IF(VLOOKUP(V216,'G-7 WaterC'' Data'!$AA$4:$AB$7,2,FALSE)=0,"Spatial Data Missing ⚠",VLOOKUP(V216,'G-7 WaterC'' Data'!$AA$4:$AB$7,2,FALSE)))))</f>
        <v/>
      </c>
      <c r="X216" s="56"/>
      <c r="Y216" s="282" t="str">
        <f>IF(X216="","",IF(AND(X216="N/A - Culvert", C216&lt;&gt;"Culvert"), "Not possible ▲",IF(AND(C216="Culvert",X216&lt;&gt;"N/A - Culvert"),"Not possible ▲",IF(VLOOKUP(X216,'G-7 WaterC'' Data'!$AD$4:$AE$14,2,FALSE)=0,"Enrcoachment Data Missing ⚠",VLOOKUP(X216,'G-7 WaterC'' Data'!$AD$4:$AE$14,2,FALSE)))))</f>
        <v/>
      </c>
      <c r="Z216" s="106"/>
      <c r="AA216" s="282" t="str">
        <f>IF(Z216="","",IF(VLOOKUP(Z216,'G-7 WaterC'' Data'!$AO$4:$BO$7,2,FALSE)=0,"Spatial Data Missing ⚠",VLOOKUP(Z216,'G-7 WaterC'' Data'!$AO$4:$BO$7,2,FALSE)))</f>
        <v/>
      </c>
      <c r="AB216" s="323" t="str">
        <f t="shared" si="25"/>
        <v/>
      </c>
      <c r="AC216" s="323" t="str">
        <f t="shared" si="26"/>
        <v/>
      </c>
      <c r="AD216" s="105"/>
      <c r="AE216" s="968"/>
      <c r="AF216" s="142"/>
      <c r="AG216" s="142"/>
      <c r="AH216" s="964"/>
      <c r="AL216" s="30" t="str">
        <f>IFERROR(INDEX('G-7 WaterC'' Data'!$AZ$3:$AZ$7,MATCH(C216,'G-7 WaterC'' Data'!$AY$3:$AY$7,0)),"")</f>
        <v/>
      </c>
      <c r="AN216" s="30" t="str">
        <f t="shared" si="27"/>
        <v>No</v>
      </c>
    </row>
    <row r="217" spans="2:40" ht="13.8" x14ac:dyDescent="0.25">
      <c r="B217" s="101">
        <v>206</v>
      </c>
      <c r="C217" s="953"/>
      <c r="D217" s="119"/>
      <c r="E217" s="281" t="str">
        <f>IF(C217="","",VLOOKUP(C217,'G-7 WaterC'' Data'!$B$2:$Z$9,2,FALSE))</f>
        <v/>
      </c>
      <c r="F217" s="282" t="str">
        <f>IFERROR(VLOOKUP(E217,'G-7 WaterC'' Data'!$C$4:$D$8,2,FALSE),"")</f>
        <v/>
      </c>
      <c r="G217" s="52"/>
      <c r="H217" s="282" t="str">
        <f>IFERROR(INDEX('G-7 WaterC'' Data'!$H$4:$L$8,MATCH(C217,'G-7 WaterC'' Data'!$B$4:$B$8,0),MATCH(G217,'G-7 WaterC'' Data'!$H$3:$L$3,0)),"")</f>
        <v/>
      </c>
      <c r="I217" s="52"/>
      <c r="J217" s="320" t="str">
        <f>IF(I217="","",IF(VLOOKUP(I217,'G-7 WaterC'' Data'!$AK$4:$AM$6,2,FALSE)=0,"Spatial Data Missing ⚠",VLOOKUP(I217,'G-7 WaterC'' Data'!$AK$4:$AM$6,2,FALSE)))</f>
        <v/>
      </c>
      <c r="K217" s="282" t="str">
        <f>IF(I217="","",IF(VLOOKUP(I217,'G-7 WaterC'' Data'!$AK$4:$AM$6,3,FALSE)=0,"Spatial Data Missing ⚠",VLOOKUP(I217,'G-7 WaterC'' Data'!$AK$4:$AM$6,3,FALSE)))</f>
        <v/>
      </c>
      <c r="L217" s="382" t="str">
        <f>IFERROR(INDEX('G-7 WaterC'' Data'!$O$3:$O$7,MATCH(G217,'G-7 WaterC'' Data'!$N$3:$N$7,0)),"")</f>
        <v/>
      </c>
      <c r="M217" s="53"/>
      <c r="N217" s="137"/>
      <c r="O217" s="289" t="str">
        <f t="shared" si="21"/>
        <v/>
      </c>
      <c r="P217" s="302" t="str">
        <f t="shared" si="22"/>
        <v/>
      </c>
      <c r="Q217" s="340" t="str">
        <f>IFERROR(IF(P217="Check Data ⚠","Check Data ⚠",VLOOKUP(P217,'G-4 Temporal multipliers'!$A$4:$C$37,3,FALSE)),"")</f>
        <v/>
      </c>
      <c r="R217" s="281" t="str">
        <f>IF(C217="","",VLOOKUP(C217,'G-7 WaterC'' Data'!$B$4:$G$8,4,FALSE))</f>
        <v/>
      </c>
      <c r="S217" s="289" t="str">
        <f t="shared" si="23"/>
        <v/>
      </c>
      <c r="T217" s="320" t="str">
        <f t="shared" si="24"/>
        <v/>
      </c>
      <c r="U217" s="282" t="str">
        <f>IF(C217="","",VLOOKUP(T217,'G-3 Multipliers'!$P$2:$Q$6,2,FALSE))</f>
        <v/>
      </c>
      <c r="V217" s="106"/>
      <c r="W217" s="282" t="str">
        <f>IF(V217="","",IF(AND(V217="N/A - Culvert",C217&lt;&gt;"Culvert"),"Not possible ▲",IF(AND(C217="Culvert",V217&lt;&gt;"N/A - Culvert"),"Not possible ▲",IF(VLOOKUP(V217,'G-7 WaterC'' Data'!$AA$4:$AB$7,2,FALSE)=0,"Spatial Data Missing ⚠",VLOOKUP(V217,'G-7 WaterC'' Data'!$AA$4:$AB$7,2,FALSE)))))</f>
        <v/>
      </c>
      <c r="X217" s="56"/>
      <c r="Y217" s="282" t="str">
        <f>IF(X217="","",IF(AND(X217="N/A - Culvert", C217&lt;&gt;"Culvert"), "Not possible ▲",IF(AND(C217="Culvert",X217&lt;&gt;"N/A - Culvert"),"Not possible ▲",IF(VLOOKUP(X217,'G-7 WaterC'' Data'!$AD$4:$AE$14,2,FALSE)=0,"Enrcoachment Data Missing ⚠",VLOOKUP(X217,'G-7 WaterC'' Data'!$AD$4:$AE$14,2,FALSE)))))</f>
        <v/>
      </c>
      <c r="Z217" s="106"/>
      <c r="AA217" s="282" t="str">
        <f>IF(Z217="","",IF(VLOOKUP(Z217,'G-7 WaterC'' Data'!$AO$4:$BO$7,2,FALSE)=0,"Spatial Data Missing ⚠",VLOOKUP(Z217,'G-7 WaterC'' Data'!$AO$4:$BO$7,2,FALSE)))</f>
        <v/>
      </c>
      <c r="AB217" s="323" t="str">
        <f t="shared" si="25"/>
        <v/>
      </c>
      <c r="AC217" s="323" t="str">
        <f t="shared" si="26"/>
        <v/>
      </c>
      <c r="AD217" s="105"/>
      <c r="AE217" s="968"/>
      <c r="AF217" s="142"/>
      <c r="AG217" s="142"/>
      <c r="AH217" s="964"/>
      <c r="AL217" s="30" t="str">
        <f>IFERROR(INDEX('G-7 WaterC'' Data'!$AZ$3:$AZ$7,MATCH(C217,'G-7 WaterC'' Data'!$AY$3:$AY$7,0)),"")</f>
        <v/>
      </c>
      <c r="AN217" s="30" t="str">
        <f t="shared" si="27"/>
        <v>No</v>
      </c>
    </row>
    <row r="218" spans="2:40" ht="13.8" x14ac:dyDescent="0.25">
      <c r="B218" s="101">
        <v>207</v>
      </c>
      <c r="C218" s="953"/>
      <c r="D218" s="119"/>
      <c r="E218" s="281" t="str">
        <f>IF(C218="","",VLOOKUP(C218,'G-7 WaterC'' Data'!$B$2:$Z$9,2,FALSE))</f>
        <v/>
      </c>
      <c r="F218" s="282" t="str">
        <f>IFERROR(VLOOKUP(E218,'G-7 WaterC'' Data'!$C$4:$D$8,2,FALSE),"")</f>
        <v/>
      </c>
      <c r="G218" s="52"/>
      <c r="H218" s="282" t="str">
        <f>IFERROR(INDEX('G-7 WaterC'' Data'!$H$4:$L$8,MATCH(C218,'G-7 WaterC'' Data'!$B$4:$B$8,0),MATCH(G218,'G-7 WaterC'' Data'!$H$3:$L$3,0)),"")</f>
        <v/>
      </c>
      <c r="I218" s="52"/>
      <c r="J218" s="320" t="str">
        <f>IF(I218="","",IF(VLOOKUP(I218,'G-7 WaterC'' Data'!$AK$4:$AM$6,2,FALSE)=0,"Spatial Data Missing ⚠",VLOOKUP(I218,'G-7 WaterC'' Data'!$AK$4:$AM$6,2,FALSE)))</f>
        <v/>
      </c>
      <c r="K218" s="282" t="str">
        <f>IF(I218="","",IF(VLOOKUP(I218,'G-7 WaterC'' Data'!$AK$4:$AM$6,3,FALSE)=0,"Spatial Data Missing ⚠",VLOOKUP(I218,'G-7 WaterC'' Data'!$AK$4:$AM$6,3,FALSE)))</f>
        <v/>
      </c>
      <c r="L218" s="382" t="str">
        <f>IFERROR(INDEX('G-7 WaterC'' Data'!$O$3:$O$7,MATCH(G218,'G-7 WaterC'' Data'!$N$3:$N$7,0)),"")</f>
        <v/>
      </c>
      <c r="M218" s="53"/>
      <c r="N218" s="137"/>
      <c r="O218" s="289" t="str">
        <f t="shared" si="21"/>
        <v/>
      </c>
      <c r="P218" s="302" t="str">
        <f t="shared" si="22"/>
        <v/>
      </c>
      <c r="Q218" s="340" t="str">
        <f>IFERROR(IF(P218="Check Data ⚠","Check Data ⚠",VLOOKUP(P218,'G-4 Temporal multipliers'!$A$4:$C$37,3,FALSE)),"")</f>
        <v/>
      </c>
      <c r="R218" s="281" t="str">
        <f>IF(C218="","",VLOOKUP(C218,'G-7 WaterC'' Data'!$B$4:$G$8,4,FALSE))</f>
        <v/>
      </c>
      <c r="S218" s="289" t="str">
        <f t="shared" si="23"/>
        <v/>
      </c>
      <c r="T218" s="320" t="str">
        <f t="shared" si="24"/>
        <v/>
      </c>
      <c r="U218" s="282" t="str">
        <f>IF(C218="","",VLOOKUP(T218,'G-3 Multipliers'!$P$2:$Q$6,2,FALSE))</f>
        <v/>
      </c>
      <c r="V218" s="106"/>
      <c r="W218" s="282" t="str">
        <f>IF(V218="","",IF(AND(V218="N/A - Culvert",C218&lt;&gt;"Culvert"),"Not possible ▲",IF(AND(C218="Culvert",V218&lt;&gt;"N/A - Culvert"),"Not possible ▲",IF(VLOOKUP(V218,'G-7 WaterC'' Data'!$AA$4:$AB$7,2,FALSE)=0,"Spatial Data Missing ⚠",VLOOKUP(V218,'G-7 WaterC'' Data'!$AA$4:$AB$7,2,FALSE)))))</f>
        <v/>
      </c>
      <c r="X218" s="56"/>
      <c r="Y218" s="282" t="str">
        <f>IF(X218="","",IF(AND(X218="N/A - Culvert", C218&lt;&gt;"Culvert"), "Not possible ▲",IF(AND(C218="Culvert",X218&lt;&gt;"N/A - Culvert"),"Not possible ▲",IF(VLOOKUP(X218,'G-7 WaterC'' Data'!$AD$4:$AE$14,2,FALSE)=0,"Enrcoachment Data Missing ⚠",VLOOKUP(X218,'G-7 WaterC'' Data'!$AD$4:$AE$14,2,FALSE)))))</f>
        <v/>
      </c>
      <c r="Z218" s="106"/>
      <c r="AA218" s="282" t="str">
        <f>IF(Z218="","",IF(VLOOKUP(Z218,'G-7 WaterC'' Data'!$AO$4:$BO$7,2,FALSE)=0,"Spatial Data Missing ⚠",VLOOKUP(Z218,'G-7 WaterC'' Data'!$AO$4:$BO$7,2,FALSE)))</f>
        <v/>
      </c>
      <c r="AB218" s="323" t="str">
        <f t="shared" si="25"/>
        <v/>
      </c>
      <c r="AC218" s="323" t="str">
        <f t="shared" si="26"/>
        <v/>
      </c>
      <c r="AD218" s="105"/>
      <c r="AE218" s="968"/>
      <c r="AF218" s="142"/>
      <c r="AG218" s="142"/>
      <c r="AH218" s="964"/>
      <c r="AL218" s="30" t="str">
        <f>IFERROR(INDEX('G-7 WaterC'' Data'!$AZ$3:$AZ$7,MATCH(C218,'G-7 WaterC'' Data'!$AY$3:$AY$7,0)),"")</f>
        <v/>
      </c>
      <c r="AN218" s="30" t="str">
        <f t="shared" si="27"/>
        <v>No</v>
      </c>
    </row>
    <row r="219" spans="2:40" ht="13.8" x14ac:dyDescent="0.25">
      <c r="B219" s="101">
        <v>208</v>
      </c>
      <c r="C219" s="953"/>
      <c r="D219" s="119"/>
      <c r="E219" s="281" t="str">
        <f>IF(C219="","",VLOOKUP(C219,'G-7 WaterC'' Data'!$B$2:$Z$9,2,FALSE))</f>
        <v/>
      </c>
      <c r="F219" s="282" t="str">
        <f>IFERROR(VLOOKUP(E219,'G-7 WaterC'' Data'!$C$4:$D$8,2,FALSE),"")</f>
        <v/>
      </c>
      <c r="G219" s="52"/>
      <c r="H219" s="282" t="str">
        <f>IFERROR(INDEX('G-7 WaterC'' Data'!$H$4:$L$8,MATCH(C219,'G-7 WaterC'' Data'!$B$4:$B$8,0),MATCH(G219,'G-7 WaterC'' Data'!$H$3:$L$3,0)),"")</f>
        <v/>
      </c>
      <c r="I219" s="52"/>
      <c r="J219" s="320" t="str">
        <f>IF(I219="","",IF(VLOOKUP(I219,'G-7 WaterC'' Data'!$AK$4:$AM$6,2,FALSE)=0,"Spatial Data Missing ⚠",VLOOKUP(I219,'G-7 WaterC'' Data'!$AK$4:$AM$6,2,FALSE)))</f>
        <v/>
      </c>
      <c r="K219" s="282" t="str">
        <f>IF(I219="","",IF(VLOOKUP(I219,'G-7 WaterC'' Data'!$AK$4:$AM$6,3,FALSE)=0,"Spatial Data Missing ⚠",VLOOKUP(I219,'G-7 WaterC'' Data'!$AK$4:$AM$6,3,FALSE)))</f>
        <v/>
      </c>
      <c r="L219" s="382" t="str">
        <f>IFERROR(INDEX('G-7 WaterC'' Data'!$O$3:$O$7,MATCH(G219,'G-7 WaterC'' Data'!$N$3:$N$7,0)),"")</f>
        <v/>
      </c>
      <c r="M219" s="53"/>
      <c r="N219" s="137"/>
      <c r="O219" s="289" t="str">
        <f t="shared" si="21"/>
        <v/>
      </c>
      <c r="P219" s="302" t="str">
        <f t="shared" si="22"/>
        <v/>
      </c>
      <c r="Q219" s="340" t="str">
        <f>IFERROR(IF(P219="Check Data ⚠","Check Data ⚠",VLOOKUP(P219,'G-4 Temporal multipliers'!$A$4:$C$37,3,FALSE)),"")</f>
        <v/>
      </c>
      <c r="R219" s="281" t="str">
        <f>IF(C219="","",VLOOKUP(C219,'G-7 WaterC'' Data'!$B$4:$G$8,4,FALSE))</f>
        <v/>
      </c>
      <c r="S219" s="289" t="str">
        <f t="shared" si="23"/>
        <v/>
      </c>
      <c r="T219" s="320" t="str">
        <f t="shared" si="24"/>
        <v/>
      </c>
      <c r="U219" s="282" t="str">
        <f>IF(C219="","",VLOOKUP(T219,'G-3 Multipliers'!$P$2:$Q$6,2,FALSE))</f>
        <v/>
      </c>
      <c r="V219" s="106"/>
      <c r="W219" s="282" t="str">
        <f>IF(V219="","",IF(AND(V219="N/A - Culvert",C219&lt;&gt;"Culvert"),"Not possible ▲",IF(AND(C219="Culvert",V219&lt;&gt;"N/A - Culvert"),"Not possible ▲",IF(VLOOKUP(V219,'G-7 WaterC'' Data'!$AA$4:$AB$7,2,FALSE)=0,"Spatial Data Missing ⚠",VLOOKUP(V219,'G-7 WaterC'' Data'!$AA$4:$AB$7,2,FALSE)))))</f>
        <v/>
      </c>
      <c r="X219" s="56"/>
      <c r="Y219" s="282" t="str">
        <f>IF(X219="","",IF(AND(X219="N/A - Culvert", C219&lt;&gt;"Culvert"), "Not possible ▲",IF(AND(C219="Culvert",X219&lt;&gt;"N/A - Culvert"),"Not possible ▲",IF(VLOOKUP(X219,'G-7 WaterC'' Data'!$AD$4:$AE$14,2,FALSE)=0,"Enrcoachment Data Missing ⚠",VLOOKUP(X219,'G-7 WaterC'' Data'!$AD$4:$AE$14,2,FALSE)))))</f>
        <v/>
      </c>
      <c r="Z219" s="106"/>
      <c r="AA219" s="282" t="str">
        <f>IF(Z219="","",IF(VLOOKUP(Z219,'G-7 WaterC'' Data'!$AO$4:$BO$7,2,FALSE)=0,"Spatial Data Missing ⚠",VLOOKUP(Z219,'G-7 WaterC'' Data'!$AO$4:$BO$7,2,FALSE)))</f>
        <v/>
      </c>
      <c r="AB219" s="323" t="str">
        <f t="shared" si="25"/>
        <v/>
      </c>
      <c r="AC219" s="323" t="str">
        <f t="shared" si="26"/>
        <v/>
      </c>
      <c r="AD219" s="105"/>
      <c r="AE219" s="968"/>
      <c r="AF219" s="142"/>
      <c r="AG219" s="142"/>
      <c r="AH219" s="964"/>
      <c r="AL219" s="30" t="str">
        <f>IFERROR(INDEX('G-7 WaterC'' Data'!$AZ$3:$AZ$7,MATCH(C219,'G-7 WaterC'' Data'!$AY$3:$AY$7,0)),"")</f>
        <v/>
      </c>
      <c r="AN219" s="30" t="str">
        <f t="shared" si="27"/>
        <v>No</v>
      </c>
    </row>
    <row r="220" spans="2:40" ht="13.8" x14ac:dyDescent="0.25">
      <c r="B220" s="101">
        <v>209</v>
      </c>
      <c r="C220" s="953"/>
      <c r="D220" s="119"/>
      <c r="E220" s="281" t="str">
        <f>IF(C220="","",VLOOKUP(C220,'G-7 WaterC'' Data'!$B$2:$Z$9,2,FALSE))</f>
        <v/>
      </c>
      <c r="F220" s="282" t="str">
        <f>IFERROR(VLOOKUP(E220,'G-7 WaterC'' Data'!$C$4:$D$8,2,FALSE),"")</f>
        <v/>
      </c>
      <c r="G220" s="52"/>
      <c r="H220" s="282" t="str">
        <f>IFERROR(INDEX('G-7 WaterC'' Data'!$H$4:$L$8,MATCH(C220,'G-7 WaterC'' Data'!$B$4:$B$8,0),MATCH(G220,'G-7 WaterC'' Data'!$H$3:$L$3,0)),"")</f>
        <v/>
      </c>
      <c r="I220" s="52"/>
      <c r="J220" s="320" t="str">
        <f>IF(I220="","",IF(VLOOKUP(I220,'G-7 WaterC'' Data'!$AK$4:$AM$6,2,FALSE)=0,"Spatial Data Missing ⚠",VLOOKUP(I220,'G-7 WaterC'' Data'!$AK$4:$AM$6,2,FALSE)))</f>
        <v/>
      </c>
      <c r="K220" s="282" t="str">
        <f>IF(I220="","",IF(VLOOKUP(I220,'G-7 WaterC'' Data'!$AK$4:$AM$6,3,FALSE)=0,"Spatial Data Missing ⚠",VLOOKUP(I220,'G-7 WaterC'' Data'!$AK$4:$AM$6,3,FALSE)))</f>
        <v/>
      </c>
      <c r="L220" s="382" t="str">
        <f>IFERROR(INDEX('G-7 WaterC'' Data'!$O$3:$O$7,MATCH(G220,'G-7 WaterC'' Data'!$N$3:$N$7,0)),"")</f>
        <v/>
      </c>
      <c r="M220" s="53"/>
      <c r="N220" s="137"/>
      <c r="O220" s="289" t="str">
        <f t="shared" si="21"/>
        <v/>
      </c>
      <c r="P220" s="302" t="str">
        <f t="shared" si="22"/>
        <v/>
      </c>
      <c r="Q220" s="340" t="str">
        <f>IFERROR(IF(P220="Check Data ⚠","Check Data ⚠",VLOOKUP(P220,'G-4 Temporal multipliers'!$A$4:$C$37,3,FALSE)),"")</f>
        <v/>
      </c>
      <c r="R220" s="281" t="str">
        <f>IF(C220="","",VLOOKUP(C220,'G-7 WaterC'' Data'!$B$4:$G$8,4,FALSE))</f>
        <v/>
      </c>
      <c r="S220" s="289" t="str">
        <f t="shared" si="23"/>
        <v/>
      </c>
      <c r="T220" s="320" t="str">
        <f t="shared" si="24"/>
        <v/>
      </c>
      <c r="U220" s="282" t="str">
        <f>IF(C220="","",VLOOKUP(T220,'G-3 Multipliers'!$P$2:$Q$6,2,FALSE))</f>
        <v/>
      </c>
      <c r="V220" s="106"/>
      <c r="W220" s="282" t="str">
        <f>IF(V220="","",IF(AND(V220="N/A - Culvert",C220&lt;&gt;"Culvert"),"Not possible ▲",IF(AND(C220="Culvert",V220&lt;&gt;"N/A - Culvert"),"Not possible ▲",IF(VLOOKUP(V220,'G-7 WaterC'' Data'!$AA$4:$AB$7,2,FALSE)=0,"Spatial Data Missing ⚠",VLOOKUP(V220,'G-7 WaterC'' Data'!$AA$4:$AB$7,2,FALSE)))))</f>
        <v/>
      </c>
      <c r="X220" s="56"/>
      <c r="Y220" s="282" t="str">
        <f>IF(X220="","",IF(AND(X220="N/A - Culvert", C220&lt;&gt;"Culvert"), "Not possible ▲",IF(AND(C220="Culvert",X220&lt;&gt;"N/A - Culvert"),"Not possible ▲",IF(VLOOKUP(X220,'G-7 WaterC'' Data'!$AD$4:$AE$14,2,FALSE)=0,"Enrcoachment Data Missing ⚠",VLOOKUP(X220,'G-7 WaterC'' Data'!$AD$4:$AE$14,2,FALSE)))))</f>
        <v/>
      </c>
      <c r="Z220" s="106"/>
      <c r="AA220" s="282" t="str">
        <f>IF(Z220="","",IF(VLOOKUP(Z220,'G-7 WaterC'' Data'!$AO$4:$BO$7,2,FALSE)=0,"Spatial Data Missing ⚠",VLOOKUP(Z220,'G-7 WaterC'' Data'!$AO$4:$BO$7,2,FALSE)))</f>
        <v/>
      </c>
      <c r="AB220" s="323" t="str">
        <f t="shared" si="25"/>
        <v/>
      </c>
      <c r="AC220" s="323" t="str">
        <f t="shared" si="26"/>
        <v/>
      </c>
      <c r="AD220" s="105"/>
      <c r="AE220" s="968"/>
      <c r="AF220" s="142"/>
      <c r="AG220" s="142"/>
      <c r="AH220" s="964"/>
      <c r="AL220" s="30" t="str">
        <f>IFERROR(INDEX('G-7 WaterC'' Data'!$AZ$3:$AZ$7,MATCH(C220,'G-7 WaterC'' Data'!$AY$3:$AY$7,0)),"")</f>
        <v/>
      </c>
      <c r="AN220" s="30" t="str">
        <f t="shared" si="27"/>
        <v>No</v>
      </c>
    </row>
    <row r="221" spans="2:40" ht="13.8" x14ac:dyDescent="0.25">
      <c r="B221" s="101">
        <v>210</v>
      </c>
      <c r="C221" s="953"/>
      <c r="D221" s="119"/>
      <c r="E221" s="281" t="str">
        <f>IF(C221="","",VLOOKUP(C221,'G-7 WaterC'' Data'!$B$2:$Z$9,2,FALSE))</f>
        <v/>
      </c>
      <c r="F221" s="282" t="str">
        <f>IFERROR(VLOOKUP(E221,'G-7 WaterC'' Data'!$C$4:$D$8,2,FALSE),"")</f>
        <v/>
      </c>
      <c r="G221" s="52"/>
      <c r="H221" s="282" t="str">
        <f>IFERROR(INDEX('G-7 WaterC'' Data'!$H$4:$L$8,MATCH(C221,'G-7 WaterC'' Data'!$B$4:$B$8,0),MATCH(G221,'G-7 WaterC'' Data'!$H$3:$L$3,0)),"")</f>
        <v/>
      </c>
      <c r="I221" s="52"/>
      <c r="J221" s="320" t="str">
        <f>IF(I221="","",IF(VLOOKUP(I221,'G-7 WaterC'' Data'!$AK$4:$AM$6,2,FALSE)=0,"Spatial Data Missing ⚠",VLOOKUP(I221,'G-7 WaterC'' Data'!$AK$4:$AM$6,2,FALSE)))</f>
        <v/>
      </c>
      <c r="K221" s="282" t="str">
        <f>IF(I221="","",IF(VLOOKUP(I221,'G-7 WaterC'' Data'!$AK$4:$AM$6,3,FALSE)=0,"Spatial Data Missing ⚠",VLOOKUP(I221,'G-7 WaterC'' Data'!$AK$4:$AM$6,3,FALSE)))</f>
        <v/>
      </c>
      <c r="L221" s="382" t="str">
        <f>IFERROR(INDEX('G-7 WaterC'' Data'!$O$3:$O$7,MATCH(G221,'G-7 WaterC'' Data'!$N$3:$N$7,0)),"")</f>
        <v/>
      </c>
      <c r="M221" s="53"/>
      <c r="N221" s="137"/>
      <c r="O221" s="289" t="str">
        <f t="shared" si="21"/>
        <v/>
      </c>
      <c r="P221" s="302" t="str">
        <f t="shared" si="22"/>
        <v/>
      </c>
      <c r="Q221" s="340" t="str">
        <f>IFERROR(IF(P221="Check Data ⚠","Check Data ⚠",VLOOKUP(P221,'G-4 Temporal multipliers'!$A$4:$C$37,3,FALSE)),"")</f>
        <v/>
      </c>
      <c r="R221" s="281" t="str">
        <f>IF(C221="","",VLOOKUP(C221,'G-7 WaterC'' Data'!$B$4:$G$8,4,FALSE))</f>
        <v/>
      </c>
      <c r="S221" s="289" t="str">
        <f t="shared" si="23"/>
        <v/>
      </c>
      <c r="T221" s="320" t="str">
        <f t="shared" si="24"/>
        <v/>
      </c>
      <c r="U221" s="282" t="str">
        <f>IF(C221="","",VLOOKUP(T221,'G-3 Multipliers'!$P$2:$Q$6,2,FALSE))</f>
        <v/>
      </c>
      <c r="V221" s="106"/>
      <c r="W221" s="282" t="str">
        <f>IF(V221="","",IF(AND(V221="N/A - Culvert",C221&lt;&gt;"Culvert"),"Not possible ▲",IF(AND(C221="Culvert",V221&lt;&gt;"N/A - Culvert"),"Not possible ▲",IF(VLOOKUP(V221,'G-7 WaterC'' Data'!$AA$4:$AB$7,2,FALSE)=0,"Spatial Data Missing ⚠",VLOOKUP(V221,'G-7 WaterC'' Data'!$AA$4:$AB$7,2,FALSE)))))</f>
        <v/>
      </c>
      <c r="X221" s="56"/>
      <c r="Y221" s="282" t="str">
        <f>IF(X221="","",IF(AND(X221="N/A - Culvert", C221&lt;&gt;"Culvert"), "Not possible ▲",IF(AND(C221="Culvert",X221&lt;&gt;"N/A - Culvert"),"Not possible ▲",IF(VLOOKUP(X221,'G-7 WaterC'' Data'!$AD$4:$AE$14,2,FALSE)=0,"Enrcoachment Data Missing ⚠",VLOOKUP(X221,'G-7 WaterC'' Data'!$AD$4:$AE$14,2,FALSE)))))</f>
        <v/>
      </c>
      <c r="Z221" s="106"/>
      <c r="AA221" s="282" t="str">
        <f>IF(Z221="","",IF(VLOOKUP(Z221,'G-7 WaterC'' Data'!$AO$4:$BO$7,2,FALSE)=0,"Spatial Data Missing ⚠",VLOOKUP(Z221,'G-7 WaterC'' Data'!$AO$4:$BO$7,2,FALSE)))</f>
        <v/>
      </c>
      <c r="AB221" s="323" t="str">
        <f t="shared" si="25"/>
        <v/>
      </c>
      <c r="AC221" s="323" t="str">
        <f t="shared" si="26"/>
        <v/>
      </c>
      <c r="AD221" s="105"/>
      <c r="AE221" s="968"/>
      <c r="AF221" s="142"/>
      <c r="AG221" s="142"/>
      <c r="AH221" s="964"/>
      <c r="AL221" s="30" t="str">
        <f>IFERROR(INDEX('G-7 WaterC'' Data'!$AZ$3:$AZ$7,MATCH(C221,'G-7 WaterC'' Data'!$AY$3:$AY$7,0)),"")</f>
        <v/>
      </c>
      <c r="AN221" s="30" t="str">
        <f t="shared" si="27"/>
        <v>No</v>
      </c>
    </row>
    <row r="222" spans="2:40" ht="13.8" x14ac:dyDescent="0.25">
      <c r="B222" s="101">
        <v>211</v>
      </c>
      <c r="C222" s="953"/>
      <c r="D222" s="119"/>
      <c r="E222" s="281" t="str">
        <f>IF(C222="","",VLOOKUP(C222,'G-7 WaterC'' Data'!$B$2:$Z$9,2,FALSE))</f>
        <v/>
      </c>
      <c r="F222" s="282" t="str">
        <f>IFERROR(VLOOKUP(E222,'G-7 WaterC'' Data'!$C$4:$D$8,2,FALSE),"")</f>
        <v/>
      </c>
      <c r="G222" s="52"/>
      <c r="H222" s="282" t="str">
        <f>IFERROR(INDEX('G-7 WaterC'' Data'!$H$4:$L$8,MATCH(C222,'G-7 WaterC'' Data'!$B$4:$B$8,0),MATCH(G222,'G-7 WaterC'' Data'!$H$3:$L$3,0)),"")</f>
        <v/>
      </c>
      <c r="I222" s="52"/>
      <c r="J222" s="320" t="str">
        <f>IF(I222="","",IF(VLOOKUP(I222,'G-7 WaterC'' Data'!$AK$4:$AM$6,2,FALSE)=0,"Spatial Data Missing ⚠",VLOOKUP(I222,'G-7 WaterC'' Data'!$AK$4:$AM$6,2,FALSE)))</f>
        <v/>
      </c>
      <c r="K222" s="282" t="str">
        <f>IF(I222="","",IF(VLOOKUP(I222,'G-7 WaterC'' Data'!$AK$4:$AM$6,3,FALSE)=0,"Spatial Data Missing ⚠",VLOOKUP(I222,'G-7 WaterC'' Data'!$AK$4:$AM$6,3,FALSE)))</f>
        <v/>
      </c>
      <c r="L222" s="382" t="str">
        <f>IFERROR(INDEX('G-7 WaterC'' Data'!$O$3:$O$7,MATCH(G222,'G-7 WaterC'' Data'!$N$3:$N$7,0)),"")</f>
        <v/>
      </c>
      <c r="M222" s="53"/>
      <c r="N222" s="137"/>
      <c r="O222" s="289" t="str">
        <f t="shared" si="21"/>
        <v/>
      </c>
      <c r="P222" s="302" t="str">
        <f t="shared" si="22"/>
        <v/>
      </c>
      <c r="Q222" s="340" t="str">
        <f>IFERROR(IF(P222="Check Data ⚠","Check Data ⚠",VLOOKUP(P222,'G-4 Temporal multipliers'!$A$4:$C$37,3,FALSE)),"")</f>
        <v/>
      </c>
      <c r="R222" s="281" t="str">
        <f>IF(C222="","",VLOOKUP(C222,'G-7 WaterC'' Data'!$B$4:$G$8,4,FALSE))</f>
        <v/>
      </c>
      <c r="S222" s="289" t="str">
        <f t="shared" si="23"/>
        <v/>
      </c>
      <c r="T222" s="320" t="str">
        <f t="shared" si="24"/>
        <v/>
      </c>
      <c r="U222" s="282" t="str">
        <f>IF(C222="","",VLOOKUP(T222,'G-3 Multipliers'!$P$2:$Q$6,2,FALSE))</f>
        <v/>
      </c>
      <c r="V222" s="106"/>
      <c r="W222" s="282" t="str">
        <f>IF(V222="","",IF(AND(V222="N/A - Culvert",C222&lt;&gt;"Culvert"),"Not possible ▲",IF(AND(C222="Culvert",V222&lt;&gt;"N/A - Culvert"),"Not possible ▲",IF(VLOOKUP(V222,'G-7 WaterC'' Data'!$AA$4:$AB$7,2,FALSE)=0,"Spatial Data Missing ⚠",VLOOKUP(V222,'G-7 WaterC'' Data'!$AA$4:$AB$7,2,FALSE)))))</f>
        <v/>
      </c>
      <c r="X222" s="56"/>
      <c r="Y222" s="282" t="str">
        <f>IF(X222="","",IF(AND(X222="N/A - Culvert", C222&lt;&gt;"Culvert"), "Not possible ▲",IF(AND(C222="Culvert",X222&lt;&gt;"N/A - Culvert"),"Not possible ▲",IF(VLOOKUP(X222,'G-7 WaterC'' Data'!$AD$4:$AE$14,2,FALSE)=0,"Enrcoachment Data Missing ⚠",VLOOKUP(X222,'G-7 WaterC'' Data'!$AD$4:$AE$14,2,FALSE)))))</f>
        <v/>
      </c>
      <c r="Z222" s="106"/>
      <c r="AA222" s="282" t="str">
        <f>IF(Z222="","",IF(VLOOKUP(Z222,'G-7 WaterC'' Data'!$AO$4:$BO$7,2,FALSE)=0,"Spatial Data Missing ⚠",VLOOKUP(Z222,'G-7 WaterC'' Data'!$AO$4:$BO$7,2,FALSE)))</f>
        <v/>
      </c>
      <c r="AB222" s="323" t="str">
        <f t="shared" si="25"/>
        <v/>
      </c>
      <c r="AC222" s="323" t="str">
        <f t="shared" si="26"/>
        <v/>
      </c>
      <c r="AD222" s="105"/>
      <c r="AE222" s="968"/>
      <c r="AF222" s="142"/>
      <c r="AG222" s="142"/>
      <c r="AH222" s="964"/>
      <c r="AL222" s="30" t="str">
        <f>IFERROR(INDEX('G-7 WaterC'' Data'!$AZ$3:$AZ$7,MATCH(C222,'G-7 WaterC'' Data'!$AY$3:$AY$7,0)),"")</f>
        <v/>
      </c>
      <c r="AN222" s="30" t="str">
        <f t="shared" si="27"/>
        <v>No</v>
      </c>
    </row>
    <row r="223" spans="2:40" ht="13.8" x14ac:dyDescent="0.25">
      <c r="B223" s="101">
        <v>212</v>
      </c>
      <c r="C223" s="953"/>
      <c r="D223" s="119"/>
      <c r="E223" s="281" t="str">
        <f>IF(C223="","",VLOOKUP(C223,'G-7 WaterC'' Data'!$B$2:$Z$9,2,FALSE))</f>
        <v/>
      </c>
      <c r="F223" s="282" t="str">
        <f>IFERROR(VLOOKUP(E223,'G-7 WaterC'' Data'!$C$4:$D$8,2,FALSE),"")</f>
        <v/>
      </c>
      <c r="G223" s="52"/>
      <c r="H223" s="282" t="str">
        <f>IFERROR(INDEX('G-7 WaterC'' Data'!$H$4:$L$8,MATCH(C223,'G-7 WaterC'' Data'!$B$4:$B$8,0),MATCH(G223,'G-7 WaterC'' Data'!$H$3:$L$3,0)),"")</f>
        <v/>
      </c>
      <c r="I223" s="52"/>
      <c r="J223" s="320" t="str">
        <f>IF(I223="","",IF(VLOOKUP(I223,'G-7 WaterC'' Data'!$AK$4:$AM$6,2,FALSE)=0,"Spatial Data Missing ⚠",VLOOKUP(I223,'G-7 WaterC'' Data'!$AK$4:$AM$6,2,FALSE)))</f>
        <v/>
      </c>
      <c r="K223" s="282" t="str">
        <f>IF(I223="","",IF(VLOOKUP(I223,'G-7 WaterC'' Data'!$AK$4:$AM$6,3,FALSE)=0,"Spatial Data Missing ⚠",VLOOKUP(I223,'G-7 WaterC'' Data'!$AK$4:$AM$6,3,FALSE)))</f>
        <v/>
      </c>
      <c r="L223" s="382" t="str">
        <f>IFERROR(INDEX('G-7 WaterC'' Data'!$O$3:$O$7,MATCH(G223,'G-7 WaterC'' Data'!$N$3:$N$7,0)),"")</f>
        <v/>
      </c>
      <c r="M223" s="53"/>
      <c r="N223" s="137"/>
      <c r="O223" s="289" t="str">
        <f t="shared" si="21"/>
        <v/>
      </c>
      <c r="P223" s="302" t="str">
        <f t="shared" si="22"/>
        <v/>
      </c>
      <c r="Q223" s="340" t="str">
        <f>IFERROR(IF(P223="Check Data ⚠","Check Data ⚠",VLOOKUP(P223,'G-4 Temporal multipliers'!$A$4:$C$37,3,FALSE)),"")</f>
        <v/>
      </c>
      <c r="R223" s="281" t="str">
        <f>IF(C223="","",VLOOKUP(C223,'G-7 WaterC'' Data'!$B$4:$G$8,4,FALSE))</f>
        <v/>
      </c>
      <c r="S223" s="289" t="str">
        <f t="shared" si="23"/>
        <v/>
      </c>
      <c r="T223" s="320" t="str">
        <f t="shared" si="24"/>
        <v/>
      </c>
      <c r="U223" s="282" t="str">
        <f>IF(C223="","",VLOOKUP(T223,'G-3 Multipliers'!$P$2:$Q$6,2,FALSE))</f>
        <v/>
      </c>
      <c r="V223" s="106"/>
      <c r="W223" s="282" t="str">
        <f>IF(V223="","",IF(AND(V223="N/A - Culvert",C223&lt;&gt;"Culvert"),"Not possible ▲",IF(AND(C223="Culvert",V223&lt;&gt;"N/A - Culvert"),"Not possible ▲",IF(VLOOKUP(V223,'G-7 WaterC'' Data'!$AA$4:$AB$7,2,FALSE)=0,"Spatial Data Missing ⚠",VLOOKUP(V223,'G-7 WaterC'' Data'!$AA$4:$AB$7,2,FALSE)))))</f>
        <v/>
      </c>
      <c r="X223" s="56"/>
      <c r="Y223" s="282" t="str">
        <f>IF(X223="","",IF(AND(X223="N/A - Culvert", C223&lt;&gt;"Culvert"), "Not possible ▲",IF(AND(C223="Culvert",X223&lt;&gt;"N/A - Culvert"),"Not possible ▲",IF(VLOOKUP(X223,'G-7 WaterC'' Data'!$AD$4:$AE$14,2,FALSE)=0,"Enrcoachment Data Missing ⚠",VLOOKUP(X223,'G-7 WaterC'' Data'!$AD$4:$AE$14,2,FALSE)))))</f>
        <v/>
      </c>
      <c r="Z223" s="106"/>
      <c r="AA223" s="282" t="str">
        <f>IF(Z223="","",IF(VLOOKUP(Z223,'G-7 WaterC'' Data'!$AO$4:$BO$7,2,FALSE)=0,"Spatial Data Missing ⚠",VLOOKUP(Z223,'G-7 WaterC'' Data'!$AO$4:$BO$7,2,FALSE)))</f>
        <v/>
      </c>
      <c r="AB223" s="323" t="str">
        <f t="shared" si="25"/>
        <v/>
      </c>
      <c r="AC223" s="323" t="str">
        <f t="shared" si="26"/>
        <v/>
      </c>
      <c r="AD223" s="105"/>
      <c r="AE223" s="968"/>
      <c r="AF223" s="142"/>
      <c r="AG223" s="142"/>
      <c r="AH223" s="964"/>
      <c r="AL223" s="30" t="str">
        <f>IFERROR(INDEX('G-7 WaterC'' Data'!$AZ$3:$AZ$7,MATCH(C223,'G-7 WaterC'' Data'!$AY$3:$AY$7,0)),"")</f>
        <v/>
      </c>
      <c r="AN223" s="30" t="str">
        <f t="shared" si="27"/>
        <v>No</v>
      </c>
    </row>
    <row r="224" spans="2:40" ht="13.8" x14ac:dyDescent="0.25">
      <c r="B224" s="101">
        <v>213</v>
      </c>
      <c r="C224" s="953"/>
      <c r="D224" s="119"/>
      <c r="E224" s="281" t="str">
        <f>IF(C224="","",VLOOKUP(C224,'G-7 WaterC'' Data'!$B$2:$Z$9,2,FALSE))</f>
        <v/>
      </c>
      <c r="F224" s="282" t="str">
        <f>IFERROR(VLOOKUP(E224,'G-7 WaterC'' Data'!$C$4:$D$8,2,FALSE),"")</f>
        <v/>
      </c>
      <c r="G224" s="52"/>
      <c r="H224" s="282" t="str">
        <f>IFERROR(INDEX('G-7 WaterC'' Data'!$H$4:$L$8,MATCH(C224,'G-7 WaterC'' Data'!$B$4:$B$8,0),MATCH(G224,'G-7 WaterC'' Data'!$H$3:$L$3,0)),"")</f>
        <v/>
      </c>
      <c r="I224" s="52"/>
      <c r="J224" s="320" t="str">
        <f>IF(I224="","",IF(VLOOKUP(I224,'G-7 WaterC'' Data'!$AK$4:$AM$6,2,FALSE)=0,"Spatial Data Missing ⚠",VLOOKUP(I224,'G-7 WaterC'' Data'!$AK$4:$AM$6,2,FALSE)))</f>
        <v/>
      </c>
      <c r="K224" s="282" t="str">
        <f>IF(I224="","",IF(VLOOKUP(I224,'G-7 WaterC'' Data'!$AK$4:$AM$6,3,FALSE)=0,"Spatial Data Missing ⚠",VLOOKUP(I224,'G-7 WaterC'' Data'!$AK$4:$AM$6,3,FALSE)))</f>
        <v/>
      </c>
      <c r="L224" s="382" t="str">
        <f>IFERROR(INDEX('G-7 WaterC'' Data'!$O$3:$O$7,MATCH(G224,'G-7 WaterC'' Data'!$N$3:$N$7,0)),"")</f>
        <v/>
      </c>
      <c r="M224" s="53"/>
      <c r="N224" s="137"/>
      <c r="O224" s="289" t="str">
        <f t="shared" si="21"/>
        <v/>
      </c>
      <c r="P224" s="302" t="str">
        <f t="shared" si="22"/>
        <v/>
      </c>
      <c r="Q224" s="340" t="str">
        <f>IFERROR(IF(P224="Check Data ⚠","Check Data ⚠",VLOOKUP(P224,'G-4 Temporal multipliers'!$A$4:$C$37,3,FALSE)),"")</f>
        <v/>
      </c>
      <c r="R224" s="281" t="str">
        <f>IF(C224="","",VLOOKUP(C224,'G-7 WaterC'' Data'!$B$4:$G$8,4,FALSE))</f>
        <v/>
      </c>
      <c r="S224" s="289" t="str">
        <f t="shared" si="23"/>
        <v/>
      </c>
      <c r="T224" s="320" t="str">
        <f t="shared" si="24"/>
        <v/>
      </c>
      <c r="U224" s="282" t="str">
        <f>IF(C224="","",VLOOKUP(T224,'G-3 Multipliers'!$P$2:$Q$6,2,FALSE))</f>
        <v/>
      </c>
      <c r="V224" s="106"/>
      <c r="W224" s="282" t="str">
        <f>IF(V224="","",IF(AND(V224="N/A - Culvert",C224&lt;&gt;"Culvert"),"Not possible ▲",IF(AND(C224="Culvert",V224&lt;&gt;"N/A - Culvert"),"Not possible ▲",IF(VLOOKUP(V224,'G-7 WaterC'' Data'!$AA$4:$AB$7,2,FALSE)=0,"Spatial Data Missing ⚠",VLOOKUP(V224,'G-7 WaterC'' Data'!$AA$4:$AB$7,2,FALSE)))))</f>
        <v/>
      </c>
      <c r="X224" s="56"/>
      <c r="Y224" s="282" t="str">
        <f>IF(X224="","",IF(AND(X224="N/A - Culvert", C224&lt;&gt;"Culvert"), "Not possible ▲",IF(AND(C224="Culvert",X224&lt;&gt;"N/A - Culvert"),"Not possible ▲",IF(VLOOKUP(X224,'G-7 WaterC'' Data'!$AD$4:$AE$14,2,FALSE)=0,"Enrcoachment Data Missing ⚠",VLOOKUP(X224,'G-7 WaterC'' Data'!$AD$4:$AE$14,2,FALSE)))))</f>
        <v/>
      </c>
      <c r="Z224" s="106"/>
      <c r="AA224" s="282" t="str">
        <f>IF(Z224="","",IF(VLOOKUP(Z224,'G-7 WaterC'' Data'!$AO$4:$BO$7,2,FALSE)=0,"Spatial Data Missing ⚠",VLOOKUP(Z224,'G-7 WaterC'' Data'!$AO$4:$BO$7,2,FALSE)))</f>
        <v/>
      </c>
      <c r="AB224" s="323" t="str">
        <f t="shared" si="25"/>
        <v/>
      </c>
      <c r="AC224" s="323" t="str">
        <f t="shared" si="26"/>
        <v/>
      </c>
      <c r="AD224" s="105"/>
      <c r="AE224" s="968"/>
      <c r="AF224" s="142"/>
      <c r="AG224" s="142"/>
      <c r="AH224" s="964"/>
      <c r="AL224" s="30" t="str">
        <f>IFERROR(INDEX('G-7 WaterC'' Data'!$AZ$3:$AZ$7,MATCH(C224,'G-7 WaterC'' Data'!$AY$3:$AY$7,0)),"")</f>
        <v/>
      </c>
      <c r="AN224" s="30" t="str">
        <f t="shared" si="27"/>
        <v>No</v>
      </c>
    </row>
    <row r="225" spans="2:40" ht="13.8" x14ac:dyDescent="0.25">
      <c r="B225" s="101">
        <v>214</v>
      </c>
      <c r="C225" s="953"/>
      <c r="D225" s="119"/>
      <c r="E225" s="281" t="str">
        <f>IF(C225="","",VLOOKUP(C225,'G-7 WaterC'' Data'!$B$2:$Z$9,2,FALSE))</f>
        <v/>
      </c>
      <c r="F225" s="282" t="str">
        <f>IFERROR(VLOOKUP(E225,'G-7 WaterC'' Data'!$C$4:$D$8,2,FALSE),"")</f>
        <v/>
      </c>
      <c r="G225" s="52"/>
      <c r="H225" s="282" t="str">
        <f>IFERROR(INDEX('G-7 WaterC'' Data'!$H$4:$L$8,MATCH(C225,'G-7 WaterC'' Data'!$B$4:$B$8,0),MATCH(G225,'G-7 WaterC'' Data'!$H$3:$L$3,0)),"")</f>
        <v/>
      </c>
      <c r="I225" s="52"/>
      <c r="J225" s="320" t="str">
        <f>IF(I225="","",IF(VLOOKUP(I225,'G-7 WaterC'' Data'!$AK$4:$AM$6,2,FALSE)=0,"Spatial Data Missing ⚠",VLOOKUP(I225,'G-7 WaterC'' Data'!$AK$4:$AM$6,2,FALSE)))</f>
        <v/>
      </c>
      <c r="K225" s="282" t="str">
        <f>IF(I225="","",IF(VLOOKUP(I225,'G-7 WaterC'' Data'!$AK$4:$AM$6,3,FALSE)=0,"Spatial Data Missing ⚠",VLOOKUP(I225,'G-7 WaterC'' Data'!$AK$4:$AM$6,3,FALSE)))</f>
        <v/>
      </c>
      <c r="L225" s="382" t="str">
        <f>IFERROR(INDEX('G-7 WaterC'' Data'!$O$3:$O$7,MATCH(G225,'G-7 WaterC'' Data'!$N$3:$N$7,0)),"")</f>
        <v/>
      </c>
      <c r="M225" s="53"/>
      <c r="N225" s="137"/>
      <c r="O225" s="289" t="str">
        <f t="shared" si="21"/>
        <v/>
      </c>
      <c r="P225" s="302" t="str">
        <f t="shared" si="22"/>
        <v/>
      </c>
      <c r="Q225" s="340" t="str">
        <f>IFERROR(IF(P225="Check Data ⚠","Check Data ⚠",VLOOKUP(P225,'G-4 Temporal multipliers'!$A$4:$C$37,3,FALSE)),"")</f>
        <v/>
      </c>
      <c r="R225" s="281" t="str">
        <f>IF(C225="","",VLOOKUP(C225,'G-7 WaterC'' Data'!$B$4:$G$8,4,FALSE))</f>
        <v/>
      </c>
      <c r="S225" s="289" t="str">
        <f t="shared" si="23"/>
        <v/>
      </c>
      <c r="T225" s="320" t="str">
        <f t="shared" si="24"/>
        <v/>
      </c>
      <c r="U225" s="282" t="str">
        <f>IF(C225="","",VLOOKUP(T225,'G-3 Multipliers'!$P$2:$Q$6,2,FALSE))</f>
        <v/>
      </c>
      <c r="V225" s="106"/>
      <c r="W225" s="282" t="str">
        <f>IF(V225="","",IF(AND(V225="N/A - Culvert",C225&lt;&gt;"Culvert"),"Not possible ▲",IF(AND(C225="Culvert",V225&lt;&gt;"N/A - Culvert"),"Not possible ▲",IF(VLOOKUP(V225,'G-7 WaterC'' Data'!$AA$4:$AB$7,2,FALSE)=0,"Spatial Data Missing ⚠",VLOOKUP(V225,'G-7 WaterC'' Data'!$AA$4:$AB$7,2,FALSE)))))</f>
        <v/>
      </c>
      <c r="X225" s="56"/>
      <c r="Y225" s="282" t="str">
        <f>IF(X225="","",IF(AND(X225="N/A - Culvert", C225&lt;&gt;"Culvert"), "Not possible ▲",IF(AND(C225="Culvert",X225&lt;&gt;"N/A - Culvert"),"Not possible ▲",IF(VLOOKUP(X225,'G-7 WaterC'' Data'!$AD$4:$AE$14,2,FALSE)=0,"Enrcoachment Data Missing ⚠",VLOOKUP(X225,'G-7 WaterC'' Data'!$AD$4:$AE$14,2,FALSE)))))</f>
        <v/>
      </c>
      <c r="Z225" s="106"/>
      <c r="AA225" s="282" t="str">
        <f>IF(Z225="","",IF(VLOOKUP(Z225,'G-7 WaterC'' Data'!$AO$4:$BO$7,2,FALSE)=0,"Spatial Data Missing ⚠",VLOOKUP(Z225,'G-7 WaterC'' Data'!$AO$4:$BO$7,2,FALSE)))</f>
        <v/>
      </c>
      <c r="AB225" s="323" t="str">
        <f t="shared" si="25"/>
        <v/>
      </c>
      <c r="AC225" s="323" t="str">
        <f t="shared" si="26"/>
        <v/>
      </c>
      <c r="AD225" s="105"/>
      <c r="AE225" s="968"/>
      <c r="AF225" s="142"/>
      <c r="AG225" s="142"/>
      <c r="AH225" s="964"/>
      <c r="AL225" s="30" t="str">
        <f>IFERROR(INDEX('G-7 WaterC'' Data'!$AZ$3:$AZ$7,MATCH(C225,'G-7 WaterC'' Data'!$AY$3:$AY$7,0)),"")</f>
        <v/>
      </c>
      <c r="AN225" s="30" t="str">
        <f t="shared" si="27"/>
        <v>No</v>
      </c>
    </row>
    <row r="226" spans="2:40" ht="13.8" x14ac:dyDescent="0.25">
      <c r="B226" s="101">
        <v>215</v>
      </c>
      <c r="C226" s="953"/>
      <c r="D226" s="119"/>
      <c r="E226" s="281" t="str">
        <f>IF(C226="","",VLOOKUP(C226,'G-7 WaterC'' Data'!$B$2:$Z$9,2,FALSE))</f>
        <v/>
      </c>
      <c r="F226" s="282" t="str">
        <f>IFERROR(VLOOKUP(E226,'G-7 WaterC'' Data'!$C$4:$D$8,2,FALSE),"")</f>
        <v/>
      </c>
      <c r="G226" s="52"/>
      <c r="H226" s="282" t="str">
        <f>IFERROR(INDEX('G-7 WaterC'' Data'!$H$4:$L$8,MATCH(C226,'G-7 WaterC'' Data'!$B$4:$B$8,0),MATCH(G226,'G-7 WaterC'' Data'!$H$3:$L$3,0)),"")</f>
        <v/>
      </c>
      <c r="I226" s="52"/>
      <c r="J226" s="320" t="str">
        <f>IF(I226="","",IF(VLOOKUP(I226,'G-7 WaterC'' Data'!$AK$4:$AM$6,2,FALSE)=0,"Spatial Data Missing ⚠",VLOOKUP(I226,'G-7 WaterC'' Data'!$AK$4:$AM$6,2,FALSE)))</f>
        <v/>
      </c>
      <c r="K226" s="282" t="str">
        <f>IF(I226="","",IF(VLOOKUP(I226,'G-7 WaterC'' Data'!$AK$4:$AM$6,3,FALSE)=0,"Spatial Data Missing ⚠",VLOOKUP(I226,'G-7 WaterC'' Data'!$AK$4:$AM$6,3,FALSE)))</f>
        <v/>
      </c>
      <c r="L226" s="382" t="str">
        <f>IFERROR(INDEX('G-7 WaterC'' Data'!$O$3:$O$7,MATCH(G226,'G-7 WaterC'' Data'!$N$3:$N$7,0)),"")</f>
        <v/>
      </c>
      <c r="M226" s="53"/>
      <c r="N226" s="137"/>
      <c r="O226" s="289" t="str">
        <f t="shared" si="21"/>
        <v/>
      </c>
      <c r="P226" s="302" t="str">
        <f t="shared" si="22"/>
        <v/>
      </c>
      <c r="Q226" s="340" t="str">
        <f>IFERROR(IF(P226="Check Data ⚠","Check Data ⚠",VLOOKUP(P226,'G-4 Temporal multipliers'!$A$4:$C$37,3,FALSE)),"")</f>
        <v/>
      </c>
      <c r="R226" s="281" t="str">
        <f>IF(C226="","",VLOOKUP(C226,'G-7 WaterC'' Data'!$B$4:$G$8,4,FALSE))</f>
        <v/>
      </c>
      <c r="S226" s="289" t="str">
        <f t="shared" si="23"/>
        <v/>
      </c>
      <c r="T226" s="320" t="str">
        <f t="shared" si="24"/>
        <v/>
      </c>
      <c r="U226" s="282" t="str">
        <f>IF(C226="","",VLOOKUP(T226,'G-3 Multipliers'!$P$2:$Q$6,2,FALSE))</f>
        <v/>
      </c>
      <c r="V226" s="106"/>
      <c r="W226" s="282" t="str">
        <f>IF(V226="","",IF(AND(V226="N/A - Culvert",C226&lt;&gt;"Culvert"),"Not possible ▲",IF(AND(C226="Culvert",V226&lt;&gt;"N/A - Culvert"),"Not possible ▲",IF(VLOOKUP(V226,'G-7 WaterC'' Data'!$AA$4:$AB$7,2,FALSE)=0,"Spatial Data Missing ⚠",VLOOKUP(V226,'G-7 WaterC'' Data'!$AA$4:$AB$7,2,FALSE)))))</f>
        <v/>
      </c>
      <c r="X226" s="56"/>
      <c r="Y226" s="282" t="str">
        <f>IF(X226="","",IF(AND(X226="N/A - Culvert", C226&lt;&gt;"Culvert"), "Not possible ▲",IF(AND(C226="Culvert",X226&lt;&gt;"N/A - Culvert"),"Not possible ▲",IF(VLOOKUP(X226,'G-7 WaterC'' Data'!$AD$4:$AE$14,2,FALSE)=0,"Enrcoachment Data Missing ⚠",VLOOKUP(X226,'G-7 WaterC'' Data'!$AD$4:$AE$14,2,FALSE)))))</f>
        <v/>
      </c>
      <c r="Z226" s="106"/>
      <c r="AA226" s="282" t="str">
        <f>IF(Z226="","",IF(VLOOKUP(Z226,'G-7 WaterC'' Data'!$AO$4:$BO$7,2,FALSE)=0,"Spatial Data Missing ⚠",VLOOKUP(Z226,'G-7 WaterC'' Data'!$AO$4:$BO$7,2,FALSE)))</f>
        <v/>
      </c>
      <c r="AB226" s="323" t="str">
        <f t="shared" si="25"/>
        <v/>
      </c>
      <c r="AC226" s="323" t="str">
        <f t="shared" si="26"/>
        <v/>
      </c>
      <c r="AD226" s="105"/>
      <c r="AE226" s="968"/>
      <c r="AF226" s="142"/>
      <c r="AG226" s="142"/>
      <c r="AH226" s="964"/>
      <c r="AL226" s="30" t="str">
        <f>IFERROR(INDEX('G-7 WaterC'' Data'!$AZ$3:$AZ$7,MATCH(C226,'G-7 WaterC'' Data'!$AY$3:$AY$7,0)),"")</f>
        <v/>
      </c>
      <c r="AN226" s="30" t="str">
        <f t="shared" si="27"/>
        <v>No</v>
      </c>
    </row>
    <row r="227" spans="2:40" ht="13.8" x14ac:dyDescent="0.25">
      <c r="B227" s="101">
        <v>216</v>
      </c>
      <c r="C227" s="953"/>
      <c r="D227" s="119"/>
      <c r="E227" s="281" t="str">
        <f>IF(C227="","",VLOOKUP(C227,'G-7 WaterC'' Data'!$B$2:$Z$9,2,FALSE))</f>
        <v/>
      </c>
      <c r="F227" s="282" t="str">
        <f>IFERROR(VLOOKUP(E227,'G-7 WaterC'' Data'!$C$4:$D$8,2,FALSE),"")</f>
        <v/>
      </c>
      <c r="G227" s="52"/>
      <c r="H227" s="282" t="str">
        <f>IFERROR(INDEX('G-7 WaterC'' Data'!$H$4:$L$8,MATCH(C227,'G-7 WaterC'' Data'!$B$4:$B$8,0),MATCH(G227,'G-7 WaterC'' Data'!$H$3:$L$3,0)),"")</f>
        <v/>
      </c>
      <c r="I227" s="52"/>
      <c r="J227" s="320" t="str">
        <f>IF(I227="","",IF(VLOOKUP(I227,'G-7 WaterC'' Data'!$AK$4:$AM$6,2,FALSE)=0,"Spatial Data Missing ⚠",VLOOKUP(I227,'G-7 WaterC'' Data'!$AK$4:$AM$6,2,FALSE)))</f>
        <v/>
      </c>
      <c r="K227" s="282" t="str">
        <f>IF(I227="","",IF(VLOOKUP(I227,'G-7 WaterC'' Data'!$AK$4:$AM$6,3,FALSE)=0,"Spatial Data Missing ⚠",VLOOKUP(I227,'G-7 WaterC'' Data'!$AK$4:$AM$6,3,FALSE)))</f>
        <v/>
      </c>
      <c r="L227" s="382" t="str">
        <f>IFERROR(INDEX('G-7 WaterC'' Data'!$O$3:$O$7,MATCH(G227,'G-7 WaterC'' Data'!$N$3:$N$7,0)),"")</f>
        <v/>
      </c>
      <c r="M227" s="53"/>
      <c r="N227" s="137"/>
      <c r="O227" s="289" t="str">
        <f t="shared" si="21"/>
        <v/>
      </c>
      <c r="P227" s="302" t="str">
        <f t="shared" si="22"/>
        <v/>
      </c>
      <c r="Q227" s="340" t="str">
        <f>IFERROR(IF(P227="Check Data ⚠","Check Data ⚠",VLOOKUP(P227,'G-4 Temporal multipliers'!$A$4:$C$37,3,FALSE)),"")</f>
        <v/>
      </c>
      <c r="R227" s="281" t="str">
        <f>IF(C227="","",VLOOKUP(C227,'G-7 WaterC'' Data'!$B$4:$G$8,4,FALSE))</f>
        <v/>
      </c>
      <c r="S227" s="289" t="str">
        <f t="shared" si="23"/>
        <v/>
      </c>
      <c r="T227" s="320" t="str">
        <f t="shared" si="24"/>
        <v/>
      </c>
      <c r="U227" s="282" t="str">
        <f>IF(C227="","",VLOOKUP(T227,'G-3 Multipliers'!$P$2:$Q$6,2,FALSE))</f>
        <v/>
      </c>
      <c r="V227" s="106"/>
      <c r="W227" s="282" t="str">
        <f>IF(V227="","",IF(AND(V227="N/A - Culvert",C227&lt;&gt;"Culvert"),"Not possible ▲",IF(AND(C227="Culvert",V227&lt;&gt;"N/A - Culvert"),"Not possible ▲",IF(VLOOKUP(V227,'G-7 WaterC'' Data'!$AA$4:$AB$7,2,FALSE)=0,"Spatial Data Missing ⚠",VLOOKUP(V227,'G-7 WaterC'' Data'!$AA$4:$AB$7,2,FALSE)))))</f>
        <v/>
      </c>
      <c r="X227" s="56"/>
      <c r="Y227" s="282" t="str">
        <f>IF(X227="","",IF(AND(X227="N/A - Culvert", C227&lt;&gt;"Culvert"), "Not possible ▲",IF(AND(C227="Culvert",X227&lt;&gt;"N/A - Culvert"),"Not possible ▲",IF(VLOOKUP(X227,'G-7 WaterC'' Data'!$AD$4:$AE$14,2,FALSE)=0,"Enrcoachment Data Missing ⚠",VLOOKUP(X227,'G-7 WaterC'' Data'!$AD$4:$AE$14,2,FALSE)))))</f>
        <v/>
      </c>
      <c r="Z227" s="106"/>
      <c r="AA227" s="282" t="str">
        <f>IF(Z227="","",IF(VLOOKUP(Z227,'G-7 WaterC'' Data'!$AO$4:$BO$7,2,FALSE)=0,"Spatial Data Missing ⚠",VLOOKUP(Z227,'G-7 WaterC'' Data'!$AO$4:$BO$7,2,FALSE)))</f>
        <v/>
      </c>
      <c r="AB227" s="323" t="str">
        <f t="shared" si="25"/>
        <v/>
      </c>
      <c r="AC227" s="323" t="str">
        <f t="shared" si="26"/>
        <v/>
      </c>
      <c r="AD227" s="105"/>
      <c r="AE227" s="968"/>
      <c r="AF227" s="142"/>
      <c r="AG227" s="142"/>
      <c r="AH227" s="964"/>
      <c r="AL227" s="30" t="str">
        <f>IFERROR(INDEX('G-7 WaterC'' Data'!$AZ$3:$AZ$7,MATCH(C227,'G-7 WaterC'' Data'!$AY$3:$AY$7,0)),"")</f>
        <v/>
      </c>
      <c r="AN227" s="30" t="str">
        <f t="shared" si="27"/>
        <v>No</v>
      </c>
    </row>
    <row r="228" spans="2:40" ht="13.8" x14ac:dyDescent="0.25">
      <c r="B228" s="101">
        <v>217</v>
      </c>
      <c r="C228" s="953"/>
      <c r="D228" s="119"/>
      <c r="E228" s="281" t="str">
        <f>IF(C228="","",VLOOKUP(C228,'G-7 WaterC'' Data'!$B$2:$Z$9,2,FALSE))</f>
        <v/>
      </c>
      <c r="F228" s="282" t="str">
        <f>IFERROR(VLOOKUP(E228,'G-7 WaterC'' Data'!$C$4:$D$8,2,FALSE),"")</f>
        <v/>
      </c>
      <c r="G228" s="52"/>
      <c r="H228" s="282" t="str">
        <f>IFERROR(INDEX('G-7 WaterC'' Data'!$H$4:$L$8,MATCH(C228,'G-7 WaterC'' Data'!$B$4:$B$8,0),MATCH(G228,'G-7 WaterC'' Data'!$H$3:$L$3,0)),"")</f>
        <v/>
      </c>
      <c r="I228" s="52"/>
      <c r="J228" s="320" t="str">
        <f>IF(I228="","",IF(VLOOKUP(I228,'G-7 WaterC'' Data'!$AK$4:$AM$6,2,FALSE)=0,"Spatial Data Missing ⚠",VLOOKUP(I228,'G-7 WaterC'' Data'!$AK$4:$AM$6,2,FALSE)))</f>
        <v/>
      </c>
      <c r="K228" s="282" t="str">
        <f>IF(I228="","",IF(VLOOKUP(I228,'G-7 WaterC'' Data'!$AK$4:$AM$6,3,FALSE)=0,"Spatial Data Missing ⚠",VLOOKUP(I228,'G-7 WaterC'' Data'!$AK$4:$AM$6,3,FALSE)))</f>
        <v/>
      </c>
      <c r="L228" s="382" t="str">
        <f>IFERROR(INDEX('G-7 WaterC'' Data'!$O$3:$O$7,MATCH(G228,'G-7 WaterC'' Data'!$N$3:$N$7,0)),"")</f>
        <v/>
      </c>
      <c r="M228" s="53"/>
      <c r="N228" s="137"/>
      <c r="O228" s="289" t="str">
        <f t="shared" si="21"/>
        <v/>
      </c>
      <c r="P228" s="302" t="str">
        <f t="shared" si="22"/>
        <v/>
      </c>
      <c r="Q228" s="340" t="str">
        <f>IFERROR(IF(P228="Check Data ⚠","Check Data ⚠",VLOOKUP(P228,'G-4 Temporal multipliers'!$A$4:$C$37,3,FALSE)),"")</f>
        <v/>
      </c>
      <c r="R228" s="281" t="str">
        <f>IF(C228="","",VLOOKUP(C228,'G-7 WaterC'' Data'!$B$4:$G$8,4,FALSE))</f>
        <v/>
      </c>
      <c r="S228" s="289" t="str">
        <f t="shared" si="23"/>
        <v/>
      </c>
      <c r="T228" s="320" t="str">
        <f t="shared" si="24"/>
        <v/>
      </c>
      <c r="U228" s="282" t="str">
        <f>IF(C228="","",VLOOKUP(T228,'G-3 Multipliers'!$P$2:$Q$6,2,FALSE))</f>
        <v/>
      </c>
      <c r="V228" s="106"/>
      <c r="W228" s="282" t="str">
        <f>IF(V228="","",IF(AND(V228="N/A - Culvert",C228&lt;&gt;"Culvert"),"Not possible ▲",IF(AND(C228="Culvert",V228&lt;&gt;"N/A - Culvert"),"Not possible ▲",IF(VLOOKUP(V228,'G-7 WaterC'' Data'!$AA$4:$AB$7,2,FALSE)=0,"Spatial Data Missing ⚠",VLOOKUP(V228,'G-7 WaterC'' Data'!$AA$4:$AB$7,2,FALSE)))))</f>
        <v/>
      </c>
      <c r="X228" s="56"/>
      <c r="Y228" s="282" t="str">
        <f>IF(X228="","",IF(AND(X228="N/A - Culvert", C228&lt;&gt;"Culvert"), "Not possible ▲",IF(AND(C228="Culvert",X228&lt;&gt;"N/A - Culvert"),"Not possible ▲",IF(VLOOKUP(X228,'G-7 WaterC'' Data'!$AD$4:$AE$14,2,FALSE)=0,"Enrcoachment Data Missing ⚠",VLOOKUP(X228,'G-7 WaterC'' Data'!$AD$4:$AE$14,2,FALSE)))))</f>
        <v/>
      </c>
      <c r="Z228" s="106"/>
      <c r="AA228" s="282" t="str">
        <f>IF(Z228="","",IF(VLOOKUP(Z228,'G-7 WaterC'' Data'!$AO$4:$BO$7,2,FALSE)=0,"Spatial Data Missing ⚠",VLOOKUP(Z228,'G-7 WaterC'' Data'!$AO$4:$BO$7,2,FALSE)))</f>
        <v/>
      </c>
      <c r="AB228" s="323" t="str">
        <f t="shared" si="25"/>
        <v/>
      </c>
      <c r="AC228" s="323" t="str">
        <f t="shared" si="26"/>
        <v/>
      </c>
      <c r="AD228" s="105"/>
      <c r="AE228" s="968"/>
      <c r="AF228" s="142"/>
      <c r="AG228" s="142"/>
      <c r="AH228" s="964"/>
      <c r="AL228" s="30" t="str">
        <f>IFERROR(INDEX('G-7 WaterC'' Data'!$AZ$3:$AZ$7,MATCH(C228,'G-7 WaterC'' Data'!$AY$3:$AY$7,0)),"")</f>
        <v/>
      </c>
      <c r="AN228" s="30" t="str">
        <f t="shared" si="27"/>
        <v>No</v>
      </c>
    </row>
    <row r="229" spans="2:40" ht="13.8" x14ac:dyDescent="0.25">
      <c r="B229" s="101">
        <v>218</v>
      </c>
      <c r="C229" s="953"/>
      <c r="D229" s="119"/>
      <c r="E229" s="281" t="str">
        <f>IF(C229="","",VLOOKUP(C229,'G-7 WaterC'' Data'!$B$2:$Z$9,2,FALSE))</f>
        <v/>
      </c>
      <c r="F229" s="282" t="str">
        <f>IFERROR(VLOOKUP(E229,'G-7 WaterC'' Data'!$C$4:$D$8,2,FALSE),"")</f>
        <v/>
      </c>
      <c r="G229" s="52"/>
      <c r="H229" s="282" t="str">
        <f>IFERROR(INDEX('G-7 WaterC'' Data'!$H$4:$L$8,MATCH(C229,'G-7 WaterC'' Data'!$B$4:$B$8,0),MATCH(G229,'G-7 WaterC'' Data'!$H$3:$L$3,0)),"")</f>
        <v/>
      </c>
      <c r="I229" s="52"/>
      <c r="J229" s="320" t="str">
        <f>IF(I229="","",IF(VLOOKUP(I229,'G-7 WaterC'' Data'!$AK$4:$AM$6,2,FALSE)=0,"Spatial Data Missing ⚠",VLOOKUP(I229,'G-7 WaterC'' Data'!$AK$4:$AM$6,2,FALSE)))</f>
        <v/>
      </c>
      <c r="K229" s="282" t="str">
        <f>IF(I229="","",IF(VLOOKUP(I229,'G-7 WaterC'' Data'!$AK$4:$AM$6,3,FALSE)=0,"Spatial Data Missing ⚠",VLOOKUP(I229,'G-7 WaterC'' Data'!$AK$4:$AM$6,3,FALSE)))</f>
        <v/>
      </c>
      <c r="L229" s="382" t="str">
        <f>IFERROR(INDEX('G-7 WaterC'' Data'!$O$3:$O$7,MATCH(G229,'G-7 WaterC'' Data'!$N$3:$N$7,0)),"")</f>
        <v/>
      </c>
      <c r="M229" s="53"/>
      <c r="N229" s="137"/>
      <c r="O229" s="289" t="str">
        <f t="shared" si="21"/>
        <v/>
      </c>
      <c r="P229" s="302" t="str">
        <f t="shared" si="22"/>
        <v/>
      </c>
      <c r="Q229" s="340" t="str">
        <f>IFERROR(IF(P229="Check Data ⚠","Check Data ⚠",VLOOKUP(P229,'G-4 Temporal multipliers'!$A$4:$C$37,3,FALSE)),"")</f>
        <v/>
      </c>
      <c r="R229" s="281" t="str">
        <f>IF(C229="","",VLOOKUP(C229,'G-7 WaterC'' Data'!$B$4:$G$8,4,FALSE))</f>
        <v/>
      </c>
      <c r="S229" s="289" t="str">
        <f t="shared" si="23"/>
        <v/>
      </c>
      <c r="T229" s="320" t="str">
        <f t="shared" si="24"/>
        <v/>
      </c>
      <c r="U229" s="282" t="str">
        <f>IF(C229="","",VLOOKUP(T229,'G-3 Multipliers'!$P$2:$Q$6,2,FALSE))</f>
        <v/>
      </c>
      <c r="V229" s="106"/>
      <c r="W229" s="282" t="str">
        <f>IF(V229="","",IF(AND(V229="N/A - Culvert",C229&lt;&gt;"Culvert"),"Not possible ▲",IF(AND(C229="Culvert",V229&lt;&gt;"N/A - Culvert"),"Not possible ▲",IF(VLOOKUP(V229,'G-7 WaterC'' Data'!$AA$4:$AB$7,2,FALSE)=0,"Spatial Data Missing ⚠",VLOOKUP(V229,'G-7 WaterC'' Data'!$AA$4:$AB$7,2,FALSE)))))</f>
        <v/>
      </c>
      <c r="X229" s="56"/>
      <c r="Y229" s="282" t="str">
        <f>IF(X229="","",IF(AND(X229="N/A - Culvert", C229&lt;&gt;"Culvert"), "Not possible ▲",IF(AND(C229="Culvert",X229&lt;&gt;"N/A - Culvert"),"Not possible ▲",IF(VLOOKUP(X229,'G-7 WaterC'' Data'!$AD$4:$AE$14,2,FALSE)=0,"Enrcoachment Data Missing ⚠",VLOOKUP(X229,'G-7 WaterC'' Data'!$AD$4:$AE$14,2,FALSE)))))</f>
        <v/>
      </c>
      <c r="Z229" s="106"/>
      <c r="AA229" s="282" t="str">
        <f>IF(Z229="","",IF(VLOOKUP(Z229,'G-7 WaterC'' Data'!$AO$4:$BO$7,2,FALSE)=0,"Spatial Data Missing ⚠",VLOOKUP(Z229,'G-7 WaterC'' Data'!$AO$4:$BO$7,2,FALSE)))</f>
        <v/>
      </c>
      <c r="AB229" s="323" t="str">
        <f t="shared" si="25"/>
        <v/>
      </c>
      <c r="AC229" s="323" t="str">
        <f t="shared" si="26"/>
        <v/>
      </c>
      <c r="AD229" s="105"/>
      <c r="AE229" s="968"/>
      <c r="AF229" s="142"/>
      <c r="AG229" s="142"/>
      <c r="AH229" s="964"/>
      <c r="AL229" s="30" t="str">
        <f>IFERROR(INDEX('G-7 WaterC'' Data'!$AZ$3:$AZ$7,MATCH(C229,'G-7 WaterC'' Data'!$AY$3:$AY$7,0)),"")</f>
        <v/>
      </c>
      <c r="AN229" s="30" t="str">
        <f t="shared" si="27"/>
        <v>No</v>
      </c>
    </row>
    <row r="230" spans="2:40" ht="13.8" x14ac:dyDescent="0.25">
      <c r="B230" s="101">
        <v>219</v>
      </c>
      <c r="C230" s="953"/>
      <c r="D230" s="119"/>
      <c r="E230" s="281" t="str">
        <f>IF(C230="","",VLOOKUP(C230,'G-7 WaterC'' Data'!$B$2:$Z$9,2,FALSE))</f>
        <v/>
      </c>
      <c r="F230" s="282" t="str">
        <f>IFERROR(VLOOKUP(E230,'G-7 WaterC'' Data'!$C$4:$D$8,2,FALSE),"")</f>
        <v/>
      </c>
      <c r="G230" s="52"/>
      <c r="H230" s="282" t="str">
        <f>IFERROR(INDEX('G-7 WaterC'' Data'!$H$4:$L$8,MATCH(C230,'G-7 WaterC'' Data'!$B$4:$B$8,0),MATCH(G230,'G-7 WaterC'' Data'!$H$3:$L$3,0)),"")</f>
        <v/>
      </c>
      <c r="I230" s="52"/>
      <c r="J230" s="320" t="str">
        <f>IF(I230="","",IF(VLOOKUP(I230,'G-7 WaterC'' Data'!$AK$4:$AM$6,2,FALSE)=0,"Spatial Data Missing ⚠",VLOOKUP(I230,'G-7 WaterC'' Data'!$AK$4:$AM$6,2,FALSE)))</f>
        <v/>
      </c>
      <c r="K230" s="282" t="str">
        <f>IF(I230="","",IF(VLOOKUP(I230,'G-7 WaterC'' Data'!$AK$4:$AM$6,3,FALSE)=0,"Spatial Data Missing ⚠",VLOOKUP(I230,'G-7 WaterC'' Data'!$AK$4:$AM$6,3,FALSE)))</f>
        <v/>
      </c>
      <c r="L230" s="382" t="str">
        <f>IFERROR(INDEX('G-7 WaterC'' Data'!$O$3:$O$7,MATCH(G230,'G-7 WaterC'' Data'!$N$3:$N$7,0)),"")</f>
        <v/>
      </c>
      <c r="M230" s="53"/>
      <c r="N230" s="137"/>
      <c r="O230" s="289" t="str">
        <f t="shared" si="21"/>
        <v/>
      </c>
      <c r="P230" s="302" t="str">
        <f t="shared" si="22"/>
        <v/>
      </c>
      <c r="Q230" s="340" t="str">
        <f>IFERROR(IF(P230="Check Data ⚠","Check Data ⚠",VLOOKUP(P230,'G-4 Temporal multipliers'!$A$4:$C$37,3,FALSE)),"")</f>
        <v/>
      </c>
      <c r="R230" s="281" t="str">
        <f>IF(C230="","",VLOOKUP(C230,'G-7 WaterC'' Data'!$B$4:$G$8,4,FALSE))</f>
        <v/>
      </c>
      <c r="S230" s="289" t="str">
        <f t="shared" si="23"/>
        <v/>
      </c>
      <c r="T230" s="320" t="str">
        <f t="shared" si="24"/>
        <v/>
      </c>
      <c r="U230" s="282" t="str">
        <f>IF(C230="","",VLOOKUP(T230,'G-3 Multipliers'!$P$2:$Q$6,2,FALSE))</f>
        <v/>
      </c>
      <c r="V230" s="106"/>
      <c r="W230" s="282" t="str">
        <f>IF(V230="","",IF(AND(V230="N/A - Culvert",C230&lt;&gt;"Culvert"),"Not possible ▲",IF(AND(C230="Culvert",V230&lt;&gt;"N/A - Culvert"),"Not possible ▲",IF(VLOOKUP(V230,'G-7 WaterC'' Data'!$AA$4:$AB$7,2,FALSE)=0,"Spatial Data Missing ⚠",VLOOKUP(V230,'G-7 WaterC'' Data'!$AA$4:$AB$7,2,FALSE)))))</f>
        <v/>
      </c>
      <c r="X230" s="56"/>
      <c r="Y230" s="282" t="str">
        <f>IF(X230="","",IF(AND(X230="N/A - Culvert", C230&lt;&gt;"Culvert"), "Not possible ▲",IF(AND(C230="Culvert",X230&lt;&gt;"N/A - Culvert"),"Not possible ▲",IF(VLOOKUP(X230,'G-7 WaterC'' Data'!$AD$4:$AE$14,2,FALSE)=0,"Enrcoachment Data Missing ⚠",VLOOKUP(X230,'G-7 WaterC'' Data'!$AD$4:$AE$14,2,FALSE)))))</f>
        <v/>
      </c>
      <c r="Z230" s="106"/>
      <c r="AA230" s="282" t="str">
        <f>IF(Z230="","",IF(VLOOKUP(Z230,'G-7 WaterC'' Data'!$AO$4:$BO$7,2,FALSE)=0,"Spatial Data Missing ⚠",VLOOKUP(Z230,'G-7 WaterC'' Data'!$AO$4:$BO$7,2,FALSE)))</f>
        <v/>
      </c>
      <c r="AB230" s="323" t="str">
        <f t="shared" si="25"/>
        <v/>
      </c>
      <c r="AC230" s="323" t="str">
        <f t="shared" si="26"/>
        <v/>
      </c>
      <c r="AD230" s="105"/>
      <c r="AE230" s="968"/>
      <c r="AF230" s="142"/>
      <c r="AG230" s="142"/>
      <c r="AH230" s="964"/>
      <c r="AL230" s="30" t="str">
        <f>IFERROR(INDEX('G-7 WaterC'' Data'!$AZ$3:$AZ$7,MATCH(C230,'G-7 WaterC'' Data'!$AY$3:$AY$7,0)),"")</f>
        <v/>
      </c>
      <c r="AN230" s="30" t="str">
        <f t="shared" si="27"/>
        <v>No</v>
      </c>
    </row>
    <row r="231" spans="2:40" ht="13.8" x14ac:dyDescent="0.25">
      <c r="B231" s="101">
        <v>220</v>
      </c>
      <c r="C231" s="953"/>
      <c r="D231" s="119"/>
      <c r="E231" s="281" t="str">
        <f>IF(C231="","",VLOOKUP(C231,'G-7 WaterC'' Data'!$B$2:$Z$9,2,FALSE))</f>
        <v/>
      </c>
      <c r="F231" s="282" t="str">
        <f>IFERROR(VLOOKUP(E231,'G-7 WaterC'' Data'!$C$4:$D$8,2,FALSE),"")</f>
        <v/>
      </c>
      <c r="G231" s="52"/>
      <c r="H231" s="282" t="str">
        <f>IFERROR(INDEX('G-7 WaterC'' Data'!$H$4:$L$8,MATCH(C231,'G-7 WaterC'' Data'!$B$4:$B$8,0),MATCH(G231,'G-7 WaterC'' Data'!$H$3:$L$3,0)),"")</f>
        <v/>
      </c>
      <c r="I231" s="52"/>
      <c r="J231" s="320" t="str">
        <f>IF(I231="","",IF(VLOOKUP(I231,'G-7 WaterC'' Data'!$AK$4:$AM$6,2,FALSE)=0,"Spatial Data Missing ⚠",VLOOKUP(I231,'G-7 WaterC'' Data'!$AK$4:$AM$6,2,FALSE)))</f>
        <v/>
      </c>
      <c r="K231" s="282" t="str">
        <f>IF(I231="","",IF(VLOOKUP(I231,'G-7 WaterC'' Data'!$AK$4:$AM$6,3,FALSE)=0,"Spatial Data Missing ⚠",VLOOKUP(I231,'G-7 WaterC'' Data'!$AK$4:$AM$6,3,FALSE)))</f>
        <v/>
      </c>
      <c r="L231" s="382" t="str">
        <f>IFERROR(INDEX('G-7 WaterC'' Data'!$O$3:$O$7,MATCH(G231,'G-7 WaterC'' Data'!$N$3:$N$7,0)),"")</f>
        <v/>
      </c>
      <c r="M231" s="53"/>
      <c r="N231" s="137"/>
      <c r="O231" s="289" t="str">
        <f t="shared" si="21"/>
        <v/>
      </c>
      <c r="P231" s="302" t="str">
        <f t="shared" si="22"/>
        <v/>
      </c>
      <c r="Q231" s="340" t="str">
        <f>IFERROR(IF(P231="Check Data ⚠","Check Data ⚠",VLOOKUP(P231,'G-4 Temporal multipliers'!$A$4:$C$37,3,FALSE)),"")</f>
        <v/>
      </c>
      <c r="R231" s="281" t="str">
        <f>IF(C231="","",VLOOKUP(C231,'G-7 WaterC'' Data'!$B$4:$G$8,4,FALSE))</f>
        <v/>
      </c>
      <c r="S231" s="289" t="str">
        <f t="shared" si="23"/>
        <v/>
      </c>
      <c r="T231" s="320" t="str">
        <f t="shared" si="24"/>
        <v/>
      </c>
      <c r="U231" s="282" t="str">
        <f>IF(C231="","",VLOOKUP(T231,'G-3 Multipliers'!$P$2:$Q$6,2,FALSE))</f>
        <v/>
      </c>
      <c r="V231" s="106"/>
      <c r="W231" s="282" t="str">
        <f>IF(V231="","",IF(AND(V231="N/A - Culvert",C231&lt;&gt;"Culvert"),"Not possible ▲",IF(AND(C231="Culvert",V231&lt;&gt;"N/A - Culvert"),"Not possible ▲",IF(VLOOKUP(V231,'G-7 WaterC'' Data'!$AA$4:$AB$7,2,FALSE)=0,"Spatial Data Missing ⚠",VLOOKUP(V231,'G-7 WaterC'' Data'!$AA$4:$AB$7,2,FALSE)))))</f>
        <v/>
      </c>
      <c r="X231" s="56"/>
      <c r="Y231" s="282" t="str">
        <f>IF(X231="","",IF(AND(X231="N/A - Culvert", C231&lt;&gt;"Culvert"), "Not possible ▲",IF(AND(C231="Culvert",X231&lt;&gt;"N/A - Culvert"),"Not possible ▲",IF(VLOOKUP(X231,'G-7 WaterC'' Data'!$AD$4:$AE$14,2,FALSE)=0,"Enrcoachment Data Missing ⚠",VLOOKUP(X231,'G-7 WaterC'' Data'!$AD$4:$AE$14,2,FALSE)))))</f>
        <v/>
      </c>
      <c r="Z231" s="106"/>
      <c r="AA231" s="282" t="str">
        <f>IF(Z231="","",IF(VLOOKUP(Z231,'G-7 WaterC'' Data'!$AO$4:$BO$7,2,FALSE)=0,"Spatial Data Missing ⚠",VLOOKUP(Z231,'G-7 WaterC'' Data'!$AO$4:$BO$7,2,FALSE)))</f>
        <v/>
      </c>
      <c r="AB231" s="323" t="str">
        <f t="shared" si="25"/>
        <v/>
      </c>
      <c r="AC231" s="323" t="str">
        <f t="shared" si="26"/>
        <v/>
      </c>
      <c r="AD231" s="105"/>
      <c r="AE231" s="968"/>
      <c r="AF231" s="142"/>
      <c r="AG231" s="142"/>
      <c r="AH231" s="964"/>
      <c r="AL231" s="30" t="str">
        <f>IFERROR(INDEX('G-7 WaterC'' Data'!$AZ$3:$AZ$7,MATCH(C231,'G-7 WaterC'' Data'!$AY$3:$AY$7,0)),"")</f>
        <v/>
      </c>
      <c r="AN231" s="30" t="str">
        <f t="shared" si="27"/>
        <v>No</v>
      </c>
    </row>
    <row r="232" spans="2:40" ht="13.8" x14ac:dyDescent="0.25">
      <c r="B232" s="101">
        <v>221</v>
      </c>
      <c r="C232" s="953"/>
      <c r="D232" s="119"/>
      <c r="E232" s="281" t="str">
        <f>IF(C232="","",VLOOKUP(C232,'G-7 WaterC'' Data'!$B$2:$Z$9,2,FALSE))</f>
        <v/>
      </c>
      <c r="F232" s="282" t="str">
        <f>IFERROR(VLOOKUP(E232,'G-7 WaterC'' Data'!$C$4:$D$8,2,FALSE),"")</f>
        <v/>
      </c>
      <c r="G232" s="52"/>
      <c r="H232" s="282" t="str">
        <f>IFERROR(INDEX('G-7 WaterC'' Data'!$H$4:$L$8,MATCH(C232,'G-7 WaterC'' Data'!$B$4:$B$8,0),MATCH(G232,'G-7 WaterC'' Data'!$H$3:$L$3,0)),"")</f>
        <v/>
      </c>
      <c r="I232" s="52"/>
      <c r="J232" s="320" t="str">
        <f>IF(I232="","",IF(VLOOKUP(I232,'G-7 WaterC'' Data'!$AK$4:$AM$6,2,FALSE)=0,"Spatial Data Missing ⚠",VLOOKUP(I232,'G-7 WaterC'' Data'!$AK$4:$AM$6,2,FALSE)))</f>
        <v/>
      </c>
      <c r="K232" s="282" t="str">
        <f>IF(I232="","",IF(VLOOKUP(I232,'G-7 WaterC'' Data'!$AK$4:$AM$6,3,FALSE)=0,"Spatial Data Missing ⚠",VLOOKUP(I232,'G-7 WaterC'' Data'!$AK$4:$AM$6,3,FALSE)))</f>
        <v/>
      </c>
      <c r="L232" s="382" t="str">
        <f>IFERROR(INDEX('G-7 WaterC'' Data'!$O$3:$O$7,MATCH(G232,'G-7 WaterC'' Data'!$N$3:$N$7,0)),"")</f>
        <v/>
      </c>
      <c r="M232" s="53"/>
      <c r="N232" s="137"/>
      <c r="O232" s="289" t="str">
        <f t="shared" si="21"/>
        <v/>
      </c>
      <c r="P232" s="302" t="str">
        <f t="shared" si="22"/>
        <v/>
      </c>
      <c r="Q232" s="340" t="str">
        <f>IFERROR(IF(P232="Check Data ⚠","Check Data ⚠",VLOOKUP(P232,'G-4 Temporal multipliers'!$A$4:$C$37,3,FALSE)),"")</f>
        <v/>
      </c>
      <c r="R232" s="281" t="str">
        <f>IF(C232="","",VLOOKUP(C232,'G-7 WaterC'' Data'!$B$4:$G$8,4,FALSE))</f>
        <v/>
      </c>
      <c r="S232" s="289" t="str">
        <f t="shared" si="23"/>
        <v/>
      </c>
      <c r="T232" s="320" t="str">
        <f t="shared" si="24"/>
        <v/>
      </c>
      <c r="U232" s="282" t="str">
        <f>IF(C232="","",VLOOKUP(T232,'G-3 Multipliers'!$P$2:$Q$6,2,FALSE))</f>
        <v/>
      </c>
      <c r="V232" s="106"/>
      <c r="W232" s="282" t="str">
        <f>IF(V232="","",IF(AND(V232="N/A - Culvert",C232&lt;&gt;"Culvert"),"Not possible ▲",IF(AND(C232="Culvert",V232&lt;&gt;"N/A - Culvert"),"Not possible ▲",IF(VLOOKUP(V232,'G-7 WaterC'' Data'!$AA$4:$AB$7,2,FALSE)=0,"Spatial Data Missing ⚠",VLOOKUP(V232,'G-7 WaterC'' Data'!$AA$4:$AB$7,2,FALSE)))))</f>
        <v/>
      </c>
      <c r="X232" s="56"/>
      <c r="Y232" s="282" t="str">
        <f>IF(X232="","",IF(AND(X232="N/A - Culvert", C232&lt;&gt;"Culvert"), "Not possible ▲",IF(AND(C232="Culvert",X232&lt;&gt;"N/A - Culvert"),"Not possible ▲",IF(VLOOKUP(X232,'G-7 WaterC'' Data'!$AD$4:$AE$14,2,FALSE)=0,"Enrcoachment Data Missing ⚠",VLOOKUP(X232,'G-7 WaterC'' Data'!$AD$4:$AE$14,2,FALSE)))))</f>
        <v/>
      </c>
      <c r="Z232" s="106"/>
      <c r="AA232" s="282" t="str">
        <f>IF(Z232="","",IF(VLOOKUP(Z232,'G-7 WaterC'' Data'!$AO$4:$BO$7,2,FALSE)=0,"Spatial Data Missing ⚠",VLOOKUP(Z232,'G-7 WaterC'' Data'!$AO$4:$BO$7,2,FALSE)))</f>
        <v/>
      </c>
      <c r="AB232" s="323" t="str">
        <f t="shared" si="25"/>
        <v/>
      </c>
      <c r="AC232" s="323" t="str">
        <f t="shared" si="26"/>
        <v/>
      </c>
      <c r="AD232" s="105"/>
      <c r="AE232" s="968"/>
      <c r="AF232" s="142"/>
      <c r="AG232" s="142"/>
      <c r="AH232" s="964"/>
      <c r="AL232" s="30" t="str">
        <f>IFERROR(INDEX('G-7 WaterC'' Data'!$AZ$3:$AZ$7,MATCH(C232,'G-7 WaterC'' Data'!$AY$3:$AY$7,0)),"")</f>
        <v/>
      </c>
      <c r="AN232" s="30" t="str">
        <f t="shared" si="27"/>
        <v>No</v>
      </c>
    </row>
    <row r="233" spans="2:40" ht="13.8" x14ac:dyDescent="0.25">
      <c r="B233" s="101">
        <v>222</v>
      </c>
      <c r="C233" s="953"/>
      <c r="D233" s="119"/>
      <c r="E233" s="281" t="str">
        <f>IF(C233="","",VLOOKUP(C233,'G-7 WaterC'' Data'!$B$2:$Z$9,2,FALSE))</f>
        <v/>
      </c>
      <c r="F233" s="282" t="str">
        <f>IFERROR(VLOOKUP(E233,'G-7 WaterC'' Data'!$C$4:$D$8,2,FALSE),"")</f>
        <v/>
      </c>
      <c r="G233" s="52"/>
      <c r="H233" s="282" t="str">
        <f>IFERROR(INDEX('G-7 WaterC'' Data'!$H$4:$L$8,MATCH(C233,'G-7 WaterC'' Data'!$B$4:$B$8,0),MATCH(G233,'G-7 WaterC'' Data'!$H$3:$L$3,0)),"")</f>
        <v/>
      </c>
      <c r="I233" s="52"/>
      <c r="J233" s="320" t="str">
        <f>IF(I233="","",IF(VLOOKUP(I233,'G-7 WaterC'' Data'!$AK$4:$AM$6,2,FALSE)=0,"Spatial Data Missing ⚠",VLOOKUP(I233,'G-7 WaterC'' Data'!$AK$4:$AM$6,2,FALSE)))</f>
        <v/>
      </c>
      <c r="K233" s="282" t="str">
        <f>IF(I233="","",IF(VLOOKUP(I233,'G-7 WaterC'' Data'!$AK$4:$AM$6,3,FALSE)=0,"Spatial Data Missing ⚠",VLOOKUP(I233,'G-7 WaterC'' Data'!$AK$4:$AM$6,3,FALSE)))</f>
        <v/>
      </c>
      <c r="L233" s="382" t="str">
        <f>IFERROR(INDEX('G-7 WaterC'' Data'!$O$3:$O$7,MATCH(G233,'G-7 WaterC'' Data'!$N$3:$N$7,0)),"")</f>
        <v/>
      </c>
      <c r="M233" s="53"/>
      <c r="N233" s="137"/>
      <c r="O233" s="289" t="str">
        <f t="shared" si="21"/>
        <v/>
      </c>
      <c r="P233" s="302" t="str">
        <f t="shared" si="22"/>
        <v/>
      </c>
      <c r="Q233" s="340" t="str">
        <f>IFERROR(IF(P233="Check Data ⚠","Check Data ⚠",VLOOKUP(P233,'G-4 Temporal multipliers'!$A$4:$C$37,3,FALSE)),"")</f>
        <v/>
      </c>
      <c r="R233" s="281" t="str">
        <f>IF(C233="","",VLOOKUP(C233,'G-7 WaterC'' Data'!$B$4:$G$8,4,FALSE))</f>
        <v/>
      </c>
      <c r="S233" s="289" t="str">
        <f t="shared" si="23"/>
        <v/>
      </c>
      <c r="T233" s="320" t="str">
        <f t="shared" si="24"/>
        <v/>
      </c>
      <c r="U233" s="282" t="str">
        <f>IF(C233="","",VLOOKUP(T233,'G-3 Multipliers'!$P$2:$Q$6,2,FALSE))</f>
        <v/>
      </c>
      <c r="V233" s="106"/>
      <c r="W233" s="282" t="str">
        <f>IF(V233="","",IF(AND(V233="N/A - Culvert",C233&lt;&gt;"Culvert"),"Not possible ▲",IF(AND(C233="Culvert",V233&lt;&gt;"N/A - Culvert"),"Not possible ▲",IF(VLOOKUP(V233,'G-7 WaterC'' Data'!$AA$4:$AB$7,2,FALSE)=0,"Spatial Data Missing ⚠",VLOOKUP(V233,'G-7 WaterC'' Data'!$AA$4:$AB$7,2,FALSE)))))</f>
        <v/>
      </c>
      <c r="X233" s="56"/>
      <c r="Y233" s="282" t="str">
        <f>IF(X233="","",IF(AND(X233="N/A - Culvert", C233&lt;&gt;"Culvert"), "Not possible ▲",IF(AND(C233="Culvert",X233&lt;&gt;"N/A - Culvert"),"Not possible ▲",IF(VLOOKUP(X233,'G-7 WaterC'' Data'!$AD$4:$AE$14,2,FALSE)=0,"Enrcoachment Data Missing ⚠",VLOOKUP(X233,'G-7 WaterC'' Data'!$AD$4:$AE$14,2,FALSE)))))</f>
        <v/>
      </c>
      <c r="Z233" s="106"/>
      <c r="AA233" s="282" t="str">
        <f>IF(Z233="","",IF(VLOOKUP(Z233,'G-7 WaterC'' Data'!$AO$4:$BO$7,2,FALSE)=0,"Spatial Data Missing ⚠",VLOOKUP(Z233,'G-7 WaterC'' Data'!$AO$4:$BO$7,2,FALSE)))</f>
        <v/>
      </c>
      <c r="AB233" s="323" t="str">
        <f t="shared" si="25"/>
        <v/>
      </c>
      <c r="AC233" s="323" t="str">
        <f t="shared" si="26"/>
        <v/>
      </c>
      <c r="AD233" s="105"/>
      <c r="AE233" s="968"/>
      <c r="AF233" s="142"/>
      <c r="AG233" s="142"/>
      <c r="AH233" s="964"/>
      <c r="AL233" s="30" t="str">
        <f>IFERROR(INDEX('G-7 WaterC'' Data'!$AZ$3:$AZ$7,MATCH(C233,'G-7 WaterC'' Data'!$AY$3:$AY$7,0)),"")</f>
        <v/>
      </c>
      <c r="AN233" s="30" t="str">
        <f t="shared" si="27"/>
        <v>No</v>
      </c>
    </row>
    <row r="234" spans="2:40" ht="13.8" x14ac:dyDescent="0.25">
      <c r="B234" s="101">
        <v>223</v>
      </c>
      <c r="C234" s="953"/>
      <c r="D234" s="119"/>
      <c r="E234" s="281" t="str">
        <f>IF(C234="","",VLOOKUP(C234,'G-7 WaterC'' Data'!$B$2:$Z$9,2,FALSE))</f>
        <v/>
      </c>
      <c r="F234" s="282" t="str">
        <f>IFERROR(VLOOKUP(E234,'G-7 WaterC'' Data'!$C$4:$D$8,2,FALSE),"")</f>
        <v/>
      </c>
      <c r="G234" s="52"/>
      <c r="H234" s="282" t="str">
        <f>IFERROR(INDEX('G-7 WaterC'' Data'!$H$4:$L$8,MATCH(C234,'G-7 WaterC'' Data'!$B$4:$B$8,0),MATCH(G234,'G-7 WaterC'' Data'!$H$3:$L$3,0)),"")</f>
        <v/>
      </c>
      <c r="I234" s="52"/>
      <c r="J234" s="320" t="str">
        <f>IF(I234="","",IF(VLOOKUP(I234,'G-7 WaterC'' Data'!$AK$4:$AM$6,2,FALSE)=0,"Spatial Data Missing ⚠",VLOOKUP(I234,'G-7 WaterC'' Data'!$AK$4:$AM$6,2,FALSE)))</f>
        <v/>
      </c>
      <c r="K234" s="282" t="str">
        <f>IF(I234="","",IF(VLOOKUP(I234,'G-7 WaterC'' Data'!$AK$4:$AM$6,3,FALSE)=0,"Spatial Data Missing ⚠",VLOOKUP(I234,'G-7 WaterC'' Data'!$AK$4:$AM$6,3,FALSE)))</f>
        <v/>
      </c>
      <c r="L234" s="382" t="str">
        <f>IFERROR(INDEX('G-7 WaterC'' Data'!$O$3:$O$7,MATCH(G234,'G-7 WaterC'' Data'!$N$3:$N$7,0)),"")</f>
        <v/>
      </c>
      <c r="M234" s="53"/>
      <c r="N234" s="137"/>
      <c r="O234" s="289" t="str">
        <f t="shared" si="21"/>
        <v/>
      </c>
      <c r="P234" s="302" t="str">
        <f t="shared" si="22"/>
        <v/>
      </c>
      <c r="Q234" s="340" t="str">
        <f>IFERROR(IF(P234="Check Data ⚠","Check Data ⚠",VLOOKUP(P234,'G-4 Temporal multipliers'!$A$4:$C$37,3,FALSE)),"")</f>
        <v/>
      </c>
      <c r="R234" s="281" t="str">
        <f>IF(C234="","",VLOOKUP(C234,'G-7 WaterC'' Data'!$B$4:$G$8,4,FALSE))</f>
        <v/>
      </c>
      <c r="S234" s="289" t="str">
        <f t="shared" si="23"/>
        <v/>
      </c>
      <c r="T234" s="320" t="str">
        <f t="shared" si="24"/>
        <v/>
      </c>
      <c r="U234" s="282" t="str">
        <f>IF(C234="","",VLOOKUP(T234,'G-3 Multipliers'!$P$2:$Q$6,2,FALSE))</f>
        <v/>
      </c>
      <c r="V234" s="106"/>
      <c r="W234" s="282" t="str">
        <f>IF(V234="","",IF(AND(V234="N/A - Culvert",C234&lt;&gt;"Culvert"),"Not possible ▲",IF(AND(C234="Culvert",V234&lt;&gt;"N/A - Culvert"),"Not possible ▲",IF(VLOOKUP(V234,'G-7 WaterC'' Data'!$AA$4:$AB$7,2,FALSE)=0,"Spatial Data Missing ⚠",VLOOKUP(V234,'G-7 WaterC'' Data'!$AA$4:$AB$7,2,FALSE)))))</f>
        <v/>
      </c>
      <c r="X234" s="56"/>
      <c r="Y234" s="282" t="str">
        <f>IF(X234="","",IF(AND(X234="N/A - Culvert", C234&lt;&gt;"Culvert"), "Not possible ▲",IF(AND(C234="Culvert",X234&lt;&gt;"N/A - Culvert"),"Not possible ▲",IF(VLOOKUP(X234,'G-7 WaterC'' Data'!$AD$4:$AE$14,2,FALSE)=0,"Enrcoachment Data Missing ⚠",VLOOKUP(X234,'G-7 WaterC'' Data'!$AD$4:$AE$14,2,FALSE)))))</f>
        <v/>
      </c>
      <c r="Z234" s="106"/>
      <c r="AA234" s="282" t="str">
        <f>IF(Z234="","",IF(VLOOKUP(Z234,'G-7 WaterC'' Data'!$AO$4:$BO$7,2,FALSE)=0,"Spatial Data Missing ⚠",VLOOKUP(Z234,'G-7 WaterC'' Data'!$AO$4:$BO$7,2,FALSE)))</f>
        <v/>
      </c>
      <c r="AB234" s="323" t="str">
        <f t="shared" si="25"/>
        <v/>
      </c>
      <c r="AC234" s="323" t="str">
        <f t="shared" si="26"/>
        <v/>
      </c>
      <c r="AD234" s="105"/>
      <c r="AE234" s="968"/>
      <c r="AF234" s="142"/>
      <c r="AG234" s="142"/>
      <c r="AH234" s="964"/>
      <c r="AL234" s="30" t="str">
        <f>IFERROR(INDEX('G-7 WaterC'' Data'!$AZ$3:$AZ$7,MATCH(C234,'G-7 WaterC'' Data'!$AY$3:$AY$7,0)),"")</f>
        <v/>
      </c>
      <c r="AN234" s="30" t="str">
        <f t="shared" si="27"/>
        <v>No</v>
      </c>
    </row>
    <row r="235" spans="2:40" ht="13.8" x14ac:dyDescent="0.25">
      <c r="B235" s="101">
        <v>224</v>
      </c>
      <c r="C235" s="953"/>
      <c r="D235" s="119"/>
      <c r="E235" s="281" t="str">
        <f>IF(C235="","",VLOOKUP(C235,'G-7 WaterC'' Data'!$B$2:$Z$9,2,FALSE))</f>
        <v/>
      </c>
      <c r="F235" s="282" t="str">
        <f>IFERROR(VLOOKUP(E235,'G-7 WaterC'' Data'!$C$4:$D$8,2,FALSE),"")</f>
        <v/>
      </c>
      <c r="G235" s="52"/>
      <c r="H235" s="282" t="str">
        <f>IFERROR(INDEX('G-7 WaterC'' Data'!$H$4:$L$8,MATCH(C235,'G-7 WaterC'' Data'!$B$4:$B$8,0),MATCH(G235,'G-7 WaterC'' Data'!$H$3:$L$3,0)),"")</f>
        <v/>
      </c>
      <c r="I235" s="52"/>
      <c r="J235" s="320" t="str">
        <f>IF(I235="","",IF(VLOOKUP(I235,'G-7 WaterC'' Data'!$AK$4:$AM$6,2,FALSE)=0,"Spatial Data Missing ⚠",VLOOKUP(I235,'G-7 WaterC'' Data'!$AK$4:$AM$6,2,FALSE)))</f>
        <v/>
      </c>
      <c r="K235" s="282" t="str">
        <f>IF(I235="","",IF(VLOOKUP(I235,'G-7 WaterC'' Data'!$AK$4:$AM$6,3,FALSE)=0,"Spatial Data Missing ⚠",VLOOKUP(I235,'G-7 WaterC'' Data'!$AK$4:$AM$6,3,FALSE)))</f>
        <v/>
      </c>
      <c r="L235" s="382" t="str">
        <f>IFERROR(INDEX('G-7 WaterC'' Data'!$O$3:$O$7,MATCH(G235,'G-7 WaterC'' Data'!$N$3:$N$7,0)),"")</f>
        <v/>
      </c>
      <c r="M235" s="53"/>
      <c r="N235" s="137"/>
      <c r="O235" s="289" t="str">
        <f t="shared" si="21"/>
        <v/>
      </c>
      <c r="P235" s="302" t="str">
        <f t="shared" si="22"/>
        <v/>
      </c>
      <c r="Q235" s="340" t="str">
        <f>IFERROR(IF(P235="Check Data ⚠","Check Data ⚠",VLOOKUP(P235,'G-4 Temporal multipliers'!$A$4:$C$37,3,FALSE)),"")</f>
        <v/>
      </c>
      <c r="R235" s="281" t="str">
        <f>IF(C235="","",VLOOKUP(C235,'G-7 WaterC'' Data'!$B$4:$G$8,4,FALSE))</f>
        <v/>
      </c>
      <c r="S235" s="289" t="str">
        <f t="shared" si="23"/>
        <v/>
      </c>
      <c r="T235" s="320" t="str">
        <f t="shared" si="24"/>
        <v/>
      </c>
      <c r="U235" s="282" t="str">
        <f>IF(C235="","",VLOOKUP(T235,'G-3 Multipliers'!$P$2:$Q$6,2,FALSE))</f>
        <v/>
      </c>
      <c r="V235" s="106"/>
      <c r="W235" s="282" t="str">
        <f>IF(V235="","",IF(AND(V235="N/A - Culvert",C235&lt;&gt;"Culvert"),"Not possible ▲",IF(AND(C235="Culvert",V235&lt;&gt;"N/A - Culvert"),"Not possible ▲",IF(VLOOKUP(V235,'G-7 WaterC'' Data'!$AA$4:$AB$7,2,FALSE)=0,"Spatial Data Missing ⚠",VLOOKUP(V235,'G-7 WaterC'' Data'!$AA$4:$AB$7,2,FALSE)))))</f>
        <v/>
      </c>
      <c r="X235" s="56"/>
      <c r="Y235" s="282" t="str">
        <f>IF(X235="","",IF(AND(X235="N/A - Culvert", C235&lt;&gt;"Culvert"), "Not possible ▲",IF(AND(C235="Culvert",X235&lt;&gt;"N/A - Culvert"),"Not possible ▲",IF(VLOOKUP(X235,'G-7 WaterC'' Data'!$AD$4:$AE$14,2,FALSE)=0,"Enrcoachment Data Missing ⚠",VLOOKUP(X235,'G-7 WaterC'' Data'!$AD$4:$AE$14,2,FALSE)))))</f>
        <v/>
      </c>
      <c r="Z235" s="106"/>
      <c r="AA235" s="282" t="str">
        <f>IF(Z235="","",IF(VLOOKUP(Z235,'G-7 WaterC'' Data'!$AO$4:$BO$7,2,FALSE)=0,"Spatial Data Missing ⚠",VLOOKUP(Z235,'G-7 WaterC'' Data'!$AO$4:$BO$7,2,FALSE)))</f>
        <v/>
      </c>
      <c r="AB235" s="323" t="str">
        <f t="shared" si="25"/>
        <v/>
      </c>
      <c r="AC235" s="323" t="str">
        <f t="shared" si="26"/>
        <v/>
      </c>
      <c r="AD235" s="105"/>
      <c r="AE235" s="968"/>
      <c r="AF235" s="142"/>
      <c r="AG235" s="142"/>
      <c r="AH235" s="964"/>
      <c r="AL235" s="30" t="str">
        <f>IFERROR(INDEX('G-7 WaterC'' Data'!$AZ$3:$AZ$7,MATCH(C235,'G-7 WaterC'' Data'!$AY$3:$AY$7,0)),"")</f>
        <v/>
      </c>
      <c r="AN235" s="30" t="str">
        <f t="shared" si="27"/>
        <v>No</v>
      </c>
    </row>
    <row r="236" spans="2:40" ht="13.8" x14ac:dyDescent="0.25">
      <c r="B236" s="101">
        <v>225</v>
      </c>
      <c r="C236" s="953"/>
      <c r="D236" s="119"/>
      <c r="E236" s="281" t="str">
        <f>IF(C236="","",VLOOKUP(C236,'G-7 WaterC'' Data'!$B$2:$Z$9,2,FALSE))</f>
        <v/>
      </c>
      <c r="F236" s="282" t="str">
        <f>IFERROR(VLOOKUP(E236,'G-7 WaterC'' Data'!$C$4:$D$8,2,FALSE),"")</f>
        <v/>
      </c>
      <c r="G236" s="52"/>
      <c r="H236" s="282" t="str">
        <f>IFERROR(INDEX('G-7 WaterC'' Data'!$H$4:$L$8,MATCH(C236,'G-7 WaterC'' Data'!$B$4:$B$8,0),MATCH(G236,'G-7 WaterC'' Data'!$H$3:$L$3,0)),"")</f>
        <v/>
      </c>
      <c r="I236" s="52"/>
      <c r="J236" s="320" t="str">
        <f>IF(I236="","",IF(VLOOKUP(I236,'G-7 WaterC'' Data'!$AK$4:$AM$6,2,FALSE)=0,"Spatial Data Missing ⚠",VLOOKUP(I236,'G-7 WaterC'' Data'!$AK$4:$AM$6,2,FALSE)))</f>
        <v/>
      </c>
      <c r="K236" s="282" t="str">
        <f>IF(I236="","",IF(VLOOKUP(I236,'G-7 WaterC'' Data'!$AK$4:$AM$6,3,FALSE)=0,"Spatial Data Missing ⚠",VLOOKUP(I236,'G-7 WaterC'' Data'!$AK$4:$AM$6,3,FALSE)))</f>
        <v/>
      </c>
      <c r="L236" s="382" t="str">
        <f>IFERROR(INDEX('G-7 WaterC'' Data'!$O$3:$O$7,MATCH(G236,'G-7 WaterC'' Data'!$N$3:$N$7,0)),"")</f>
        <v/>
      </c>
      <c r="M236" s="53"/>
      <c r="N236" s="137"/>
      <c r="O236" s="289" t="str">
        <f t="shared" si="21"/>
        <v/>
      </c>
      <c r="P236" s="302" t="str">
        <f t="shared" si="22"/>
        <v/>
      </c>
      <c r="Q236" s="340" t="str">
        <f>IFERROR(IF(P236="Check Data ⚠","Check Data ⚠",VLOOKUP(P236,'G-4 Temporal multipliers'!$A$4:$C$37,3,FALSE)),"")</f>
        <v/>
      </c>
      <c r="R236" s="281" t="str">
        <f>IF(C236="","",VLOOKUP(C236,'G-7 WaterC'' Data'!$B$4:$G$8,4,FALSE))</f>
        <v/>
      </c>
      <c r="S236" s="289" t="str">
        <f t="shared" si="23"/>
        <v/>
      </c>
      <c r="T236" s="320" t="str">
        <f t="shared" si="24"/>
        <v/>
      </c>
      <c r="U236" s="282" t="str">
        <f>IF(C236="","",VLOOKUP(T236,'G-3 Multipliers'!$P$2:$Q$6,2,FALSE))</f>
        <v/>
      </c>
      <c r="V236" s="106"/>
      <c r="W236" s="282" t="str">
        <f>IF(V236="","",IF(AND(V236="N/A - Culvert",C236&lt;&gt;"Culvert"),"Not possible ▲",IF(AND(C236="Culvert",V236&lt;&gt;"N/A - Culvert"),"Not possible ▲",IF(VLOOKUP(V236,'G-7 WaterC'' Data'!$AA$4:$AB$7,2,FALSE)=0,"Spatial Data Missing ⚠",VLOOKUP(V236,'G-7 WaterC'' Data'!$AA$4:$AB$7,2,FALSE)))))</f>
        <v/>
      </c>
      <c r="X236" s="56"/>
      <c r="Y236" s="282" t="str">
        <f>IF(X236="","",IF(AND(X236="N/A - Culvert", C236&lt;&gt;"Culvert"), "Not possible ▲",IF(AND(C236="Culvert",X236&lt;&gt;"N/A - Culvert"),"Not possible ▲",IF(VLOOKUP(X236,'G-7 WaterC'' Data'!$AD$4:$AE$14,2,FALSE)=0,"Enrcoachment Data Missing ⚠",VLOOKUP(X236,'G-7 WaterC'' Data'!$AD$4:$AE$14,2,FALSE)))))</f>
        <v/>
      </c>
      <c r="Z236" s="106"/>
      <c r="AA236" s="282" t="str">
        <f>IF(Z236="","",IF(VLOOKUP(Z236,'G-7 WaterC'' Data'!$AO$4:$BO$7,2,FALSE)=0,"Spatial Data Missing ⚠",VLOOKUP(Z236,'G-7 WaterC'' Data'!$AO$4:$BO$7,2,FALSE)))</f>
        <v/>
      </c>
      <c r="AB236" s="323" t="str">
        <f t="shared" si="25"/>
        <v/>
      </c>
      <c r="AC236" s="323" t="str">
        <f t="shared" si="26"/>
        <v/>
      </c>
      <c r="AD236" s="105"/>
      <c r="AE236" s="968"/>
      <c r="AF236" s="142"/>
      <c r="AG236" s="142"/>
      <c r="AH236" s="964"/>
      <c r="AL236" s="30" t="str">
        <f>IFERROR(INDEX('G-7 WaterC'' Data'!$AZ$3:$AZ$7,MATCH(C236,'G-7 WaterC'' Data'!$AY$3:$AY$7,0)),"")</f>
        <v/>
      </c>
      <c r="AN236" s="30" t="str">
        <f t="shared" si="27"/>
        <v>No</v>
      </c>
    </row>
    <row r="237" spans="2:40" ht="13.8" x14ac:dyDescent="0.25">
      <c r="B237" s="101">
        <v>226</v>
      </c>
      <c r="C237" s="953"/>
      <c r="D237" s="119"/>
      <c r="E237" s="281" t="str">
        <f>IF(C237="","",VLOOKUP(C237,'G-7 WaterC'' Data'!$B$2:$Z$9,2,FALSE))</f>
        <v/>
      </c>
      <c r="F237" s="282" t="str">
        <f>IFERROR(VLOOKUP(E237,'G-7 WaterC'' Data'!$C$4:$D$8,2,FALSE),"")</f>
        <v/>
      </c>
      <c r="G237" s="52"/>
      <c r="H237" s="282" t="str">
        <f>IFERROR(INDEX('G-7 WaterC'' Data'!$H$4:$L$8,MATCH(C237,'G-7 WaterC'' Data'!$B$4:$B$8,0),MATCH(G237,'G-7 WaterC'' Data'!$H$3:$L$3,0)),"")</f>
        <v/>
      </c>
      <c r="I237" s="52"/>
      <c r="J237" s="320" t="str">
        <f>IF(I237="","",IF(VLOOKUP(I237,'G-7 WaterC'' Data'!$AK$4:$AM$6,2,FALSE)=0,"Spatial Data Missing ⚠",VLOOKUP(I237,'G-7 WaterC'' Data'!$AK$4:$AM$6,2,FALSE)))</f>
        <v/>
      </c>
      <c r="K237" s="282" t="str">
        <f>IF(I237="","",IF(VLOOKUP(I237,'G-7 WaterC'' Data'!$AK$4:$AM$6,3,FALSE)=0,"Spatial Data Missing ⚠",VLOOKUP(I237,'G-7 WaterC'' Data'!$AK$4:$AM$6,3,FALSE)))</f>
        <v/>
      </c>
      <c r="L237" s="382" t="str">
        <f>IFERROR(INDEX('G-7 WaterC'' Data'!$O$3:$O$7,MATCH(G237,'G-7 WaterC'' Data'!$N$3:$N$7,0)),"")</f>
        <v/>
      </c>
      <c r="M237" s="53"/>
      <c r="N237" s="137"/>
      <c r="O237" s="289" t="str">
        <f t="shared" si="21"/>
        <v/>
      </c>
      <c r="P237" s="302" t="str">
        <f t="shared" si="22"/>
        <v/>
      </c>
      <c r="Q237" s="340" t="str">
        <f>IFERROR(IF(P237="Check Data ⚠","Check Data ⚠",VLOOKUP(P237,'G-4 Temporal multipliers'!$A$4:$C$37,3,FALSE)),"")</f>
        <v/>
      </c>
      <c r="R237" s="281" t="str">
        <f>IF(C237="","",VLOOKUP(C237,'G-7 WaterC'' Data'!$B$4:$G$8,4,FALSE))</f>
        <v/>
      </c>
      <c r="S237" s="289" t="str">
        <f t="shared" si="23"/>
        <v/>
      </c>
      <c r="T237" s="320" t="str">
        <f t="shared" si="24"/>
        <v/>
      </c>
      <c r="U237" s="282" t="str">
        <f>IF(C237="","",VLOOKUP(T237,'G-3 Multipliers'!$P$2:$Q$6,2,FALSE))</f>
        <v/>
      </c>
      <c r="V237" s="106"/>
      <c r="W237" s="282" t="str">
        <f>IF(V237="","",IF(AND(V237="N/A - Culvert",C237&lt;&gt;"Culvert"),"Not possible ▲",IF(AND(C237="Culvert",V237&lt;&gt;"N/A - Culvert"),"Not possible ▲",IF(VLOOKUP(V237,'G-7 WaterC'' Data'!$AA$4:$AB$7,2,FALSE)=0,"Spatial Data Missing ⚠",VLOOKUP(V237,'G-7 WaterC'' Data'!$AA$4:$AB$7,2,FALSE)))))</f>
        <v/>
      </c>
      <c r="X237" s="56"/>
      <c r="Y237" s="282" t="str">
        <f>IF(X237="","",IF(AND(X237="N/A - Culvert", C237&lt;&gt;"Culvert"), "Not possible ▲",IF(AND(C237="Culvert",X237&lt;&gt;"N/A - Culvert"),"Not possible ▲",IF(VLOOKUP(X237,'G-7 WaterC'' Data'!$AD$4:$AE$14,2,FALSE)=0,"Enrcoachment Data Missing ⚠",VLOOKUP(X237,'G-7 WaterC'' Data'!$AD$4:$AE$14,2,FALSE)))))</f>
        <v/>
      </c>
      <c r="Z237" s="106"/>
      <c r="AA237" s="282" t="str">
        <f>IF(Z237="","",IF(VLOOKUP(Z237,'G-7 WaterC'' Data'!$AO$4:$BO$7,2,FALSE)=0,"Spatial Data Missing ⚠",VLOOKUP(Z237,'G-7 WaterC'' Data'!$AO$4:$BO$7,2,FALSE)))</f>
        <v/>
      </c>
      <c r="AB237" s="323" t="str">
        <f t="shared" si="25"/>
        <v/>
      </c>
      <c r="AC237" s="323" t="str">
        <f t="shared" si="26"/>
        <v/>
      </c>
      <c r="AD237" s="105"/>
      <c r="AE237" s="968"/>
      <c r="AF237" s="142"/>
      <c r="AG237" s="142"/>
      <c r="AH237" s="964"/>
      <c r="AL237" s="30" t="str">
        <f>IFERROR(INDEX('G-7 WaterC'' Data'!$AZ$3:$AZ$7,MATCH(C237,'G-7 WaterC'' Data'!$AY$3:$AY$7,0)),"")</f>
        <v/>
      </c>
      <c r="AN237" s="30" t="str">
        <f t="shared" si="27"/>
        <v>No</v>
      </c>
    </row>
    <row r="238" spans="2:40" ht="13.8" x14ac:dyDescent="0.25">
      <c r="B238" s="101">
        <v>227</v>
      </c>
      <c r="C238" s="953"/>
      <c r="D238" s="119"/>
      <c r="E238" s="281" t="str">
        <f>IF(C238="","",VLOOKUP(C238,'G-7 WaterC'' Data'!$B$2:$Z$9,2,FALSE))</f>
        <v/>
      </c>
      <c r="F238" s="282" t="str">
        <f>IFERROR(VLOOKUP(E238,'G-7 WaterC'' Data'!$C$4:$D$8,2,FALSE),"")</f>
        <v/>
      </c>
      <c r="G238" s="52"/>
      <c r="H238" s="282" t="str">
        <f>IFERROR(INDEX('G-7 WaterC'' Data'!$H$4:$L$8,MATCH(C238,'G-7 WaterC'' Data'!$B$4:$B$8,0),MATCH(G238,'G-7 WaterC'' Data'!$H$3:$L$3,0)),"")</f>
        <v/>
      </c>
      <c r="I238" s="52"/>
      <c r="J238" s="320" t="str">
        <f>IF(I238="","",IF(VLOOKUP(I238,'G-7 WaterC'' Data'!$AK$4:$AM$6,2,FALSE)=0,"Spatial Data Missing ⚠",VLOOKUP(I238,'G-7 WaterC'' Data'!$AK$4:$AM$6,2,FALSE)))</f>
        <v/>
      </c>
      <c r="K238" s="282" t="str">
        <f>IF(I238="","",IF(VLOOKUP(I238,'G-7 WaterC'' Data'!$AK$4:$AM$6,3,FALSE)=0,"Spatial Data Missing ⚠",VLOOKUP(I238,'G-7 WaterC'' Data'!$AK$4:$AM$6,3,FALSE)))</f>
        <v/>
      </c>
      <c r="L238" s="382" t="str">
        <f>IFERROR(INDEX('G-7 WaterC'' Data'!$O$3:$O$7,MATCH(G238,'G-7 WaterC'' Data'!$N$3:$N$7,0)),"")</f>
        <v/>
      </c>
      <c r="M238" s="53"/>
      <c r="N238" s="137"/>
      <c r="O238" s="289" t="str">
        <f t="shared" si="21"/>
        <v/>
      </c>
      <c r="P238" s="302" t="str">
        <f t="shared" si="22"/>
        <v/>
      </c>
      <c r="Q238" s="340" t="str">
        <f>IFERROR(IF(P238="Check Data ⚠","Check Data ⚠",VLOOKUP(P238,'G-4 Temporal multipliers'!$A$4:$C$37,3,FALSE)),"")</f>
        <v/>
      </c>
      <c r="R238" s="281" t="str">
        <f>IF(C238="","",VLOOKUP(C238,'G-7 WaterC'' Data'!$B$4:$G$8,4,FALSE))</f>
        <v/>
      </c>
      <c r="S238" s="289" t="str">
        <f t="shared" si="23"/>
        <v/>
      </c>
      <c r="T238" s="320" t="str">
        <f t="shared" si="24"/>
        <v/>
      </c>
      <c r="U238" s="282" t="str">
        <f>IF(C238="","",VLOOKUP(T238,'G-3 Multipliers'!$P$2:$Q$6,2,FALSE))</f>
        <v/>
      </c>
      <c r="V238" s="106"/>
      <c r="W238" s="282" t="str">
        <f>IF(V238="","",IF(AND(V238="N/A - Culvert",C238&lt;&gt;"Culvert"),"Not possible ▲",IF(AND(C238="Culvert",V238&lt;&gt;"N/A - Culvert"),"Not possible ▲",IF(VLOOKUP(V238,'G-7 WaterC'' Data'!$AA$4:$AB$7,2,FALSE)=0,"Spatial Data Missing ⚠",VLOOKUP(V238,'G-7 WaterC'' Data'!$AA$4:$AB$7,2,FALSE)))))</f>
        <v/>
      </c>
      <c r="X238" s="56"/>
      <c r="Y238" s="282" t="str">
        <f>IF(X238="","",IF(AND(X238="N/A - Culvert", C238&lt;&gt;"Culvert"), "Not possible ▲",IF(AND(C238="Culvert",X238&lt;&gt;"N/A - Culvert"),"Not possible ▲",IF(VLOOKUP(X238,'G-7 WaterC'' Data'!$AD$4:$AE$14,2,FALSE)=0,"Enrcoachment Data Missing ⚠",VLOOKUP(X238,'G-7 WaterC'' Data'!$AD$4:$AE$14,2,FALSE)))))</f>
        <v/>
      </c>
      <c r="Z238" s="106"/>
      <c r="AA238" s="282" t="str">
        <f>IF(Z238="","",IF(VLOOKUP(Z238,'G-7 WaterC'' Data'!$AO$4:$BO$7,2,FALSE)=0,"Spatial Data Missing ⚠",VLOOKUP(Z238,'G-7 WaterC'' Data'!$AO$4:$BO$7,2,FALSE)))</f>
        <v/>
      </c>
      <c r="AB238" s="323" t="str">
        <f t="shared" si="25"/>
        <v/>
      </c>
      <c r="AC238" s="323" t="str">
        <f t="shared" si="26"/>
        <v/>
      </c>
      <c r="AD238" s="105"/>
      <c r="AE238" s="968"/>
      <c r="AF238" s="142"/>
      <c r="AG238" s="142"/>
      <c r="AH238" s="964"/>
      <c r="AL238" s="30" t="str">
        <f>IFERROR(INDEX('G-7 WaterC'' Data'!$AZ$3:$AZ$7,MATCH(C238,'G-7 WaterC'' Data'!$AY$3:$AY$7,0)),"")</f>
        <v/>
      </c>
      <c r="AN238" s="30" t="str">
        <f t="shared" si="27"/>
        <v>No</v>
      </c>
    </row>
    <row r="239" spans="2:40" ht="13.8" x14ac:dyDescent="0.25">
      <c r="B239" s="101">
        <v>228</v>
      </c>
      <c r="C239" s="953"/>
      <c r="D239" s="119"/>
      <c r="E239" s="281" t="str">
        <f>IF(C239="","",VLOOKUP(C239,'G-7 WaterC'' Data'!$B$2:$Z$9,2,FALSE))</f>
        <v/>
      </c>
      <c r="F239" s="282" t="str">
        <f>IFERROR(VLOOKUP(E239,'G-7 WaterC'' Data'!$C$4:$D$8,2,FALSE),"")</f>
        <v/>
      </c>
      <c r="G239" s="52"/>
      <c r="H239" s="282" t="str">
        <f>IFERROR(INDEX('G-7 WaterC'' Data'!$H$4:$L$8,MATCH(C239,'G-7 WaterC'' Data'!$B$4:$B$8,0),MATCH(G239,'G-7 WaterC'' Data'!$H$3:$L$3,0)),"")</f>
        <v/>
      </c>
      <c r="I239" s="52"/>
      <c r="J239" s="320" t="str">
        <f>IF(I239="","",IF(VLOOKUP(I239,'G-7 WaterC'' Data'!$AK$4:$AM$6,2,FALSE)=0,"Spatial Data Missing ⚠",VLOOKUP(I239,'G-7 WaterC'' Data'!$AK$4:$AM$6,2,FALSE)))</f>
        <v/>
      </c>
      <c r="K239" s="282" t="str">
        <f>IF(I239="","",IF(VLOOKUP(I239,'G-7 WaterC'' Data'!$AK$4:$AM$6,3,FALSE)=0,"Spatial Data Missing ⚠",VLOOKUP(I239,'G-7 WaterC'' Data'!$AK$4:$AM$6,3,FALSE)))</f>
        <v/>
      </c>
      <c r="L239" s="382" t="str">
        <f>IFERROR(INDEX('G-7 WaterC'' Data'!$O$3:$O$7,MATCH(G239,'G-7 WaterC'' Data'!$N$3:$N$7,0)),"")</f>
        <v/>
      </c>
      <c r="M239" s="53"/>
      <c r="N239" s="137"/>
      <c r="O239" s="289" t="str">
        <f t="shared" si="21"/>
        <v/>
      </c>
      <c r="P239" s="302" t="str">
        <f t="shared" si="22"/>
        <v/>
      </c>
      <c r="Q239" s="340" t="str">
        <f>IFERROR(IF(P239="Check Data ⚠","Check Data ⚠",VLOOKUP(P239,'G-4 Temporal multipliers'!$A$4:$C$37,3,FALSE)),"")</f>
        <v/>
      </c>
      <c r="R239" s="281" t="str">
        <f>IF(C239="","",VLOOKUP(C239,'G-7 WaterC'' Data'!$B$4:$G$8,4,FALSE))</f>
        <v/>
      </c>
      <c r="S239" s="289" t="str">
        <f t="shared" si="23"/>
        <v/>
      </c>
      <c r="T239" s="320" t="str">
        <f t="shared" si="24"/>
        <v/>
      </c>
      <c r="U239" s="282" t="str">
        <f>IF(C239="","",VLOOKUP(T239,'G-3 Multipliers'!$P$2:$Q$6,2,FALSE))</f>
        <v/>
      </c>
      <c r="V239" s="106"/>
      <c r="W239" s="282" t="str">
        <f>IF(V239="","",IF(AND(V239="N/A - Culvert",C239&lt;&gt;"Culvert"),"Not possible ▲",IF(AND(C239="Culvert",V239&lt;&gt;"N/A - Culvert"),"Not possible ▲",IF(VLOOKUP(V239,'G-7 WaterC'' Data'!$AA$4:$AB$7,2,FALSE)=0,"Spatial Data Missing ⚠",VLOOKUP(V239,'G-7 WaterC'' Data'!$AA$4:$AB$7,2,FALSE)))))</f>
        <v/>
      </c>
      <c r="X239" s="56"/>
      <c r="Y239" s="282" t="str">
        <f>IF(X239="","",IF(AND(X239="N/A - Culvert", C239&lt;&gt;"Culvert"), "Not possible ▲",IF(AND(C239="Culvert",X239&lt;&gt;"N/A - Culvert"),"Not possible ▲",IF(VLOOKUP(X239,'G-7 WaterC'' Data'!$AD$4:$AE$14,2,FALSE)=0,"Enrcoachment Data Missing ⚠",VLOOKUP(X239,'G-7 WaterC'' Data'!$AD$4:$AE$14,2,FALSE)))))</f>
        <v/>
      </c>
      <c r="Z239" s="106"/>
      <c r="AA239" s="282" t="str">
        <f>IF(Z239="","",IF(VLOOKUP(Z239,'G-7 WaterC'' Data'!$AO$4:$BO$7,2,FALSE)=0,"Spatial Data Missing ⚠",VLOOKUP(Z239,'G-7 WaterC'' Data'!$AO$4:$BO$7,2,FALSE)))</f>
        <v/>
      </c>
      <c r="AB239" s="323" t="str">
        <f t="shared" si="25"/>
        <v/>
      </c>
      <c r="AC239" s="323" t="str">
        <f t="shared" si="26"/>
        <v/>
      </c>
      <c r="AD239" s="105"/>
      <c r="AE239" s="968"/>
      <c r="AF239" s="142"/>
      <c r="AG239" s="142"/>
      <c r="AH239" s="964"/>
      <c r="AL239" s="30" t="str">
        <f>IFERROR(INDEX('G-7 WaterC'' Data'!$AZ$3:$AZ$7,MATCH(C239,'G-7 WaterC'' Data'!$AY$3:$AY$7,0)),"")</f>
        <v/>
      </c>
      <c r="AN239" s="30" t="str">
        <f t="shared" si="27"/>
        <v>No</v>
      </c>
    </row>
    <row r="240" spans="2:40" ht="13.8" x14ac:dyDescent="0.25">
      <c r="B240" s="101">
        <v>229</v>
      </c>
      <c r="C240" s="953"/>
      <c r="D240" s="119"/>
      <c r="E240" s="281" t="str">
        <f>IF(C240="","",VLOOKUP(C240,'G-7 WaterC'' Data'!$B$2:$Z$9,2,FALSE))</f>
        <v/>
      </c>
      <c r="F240" s="282" t="str">
        <f>IFERROR(VLOOKUP(E240,'G-7 WaterC'' Data'!$C$4:$D$8,2,FALSE),"")</f>
        <v/>
      </c>
      <c r="G240" s="52"/>
      <c r="H240" s="282" t="str">
        <f>IFERROR(INDEX('G-7 WaterC'' Data'!$H$4:$L$8,MATCH(C240,'G-7 WaterC'' Data'!$B$4:$B$8,0),MATCH(G240,'G-7 WaterC'' Data'!$H$3:$L$3,0)),"")</f>
        <v/>
      </c>
      <c r="I240" s="52"/>
      <c r="J240" s="320" t="str">
        <f>IF(I240="","",IF(VLOOKUP(I240,'G-7 WaterC'' Data'!$AK$4:$AM$6,2,FALSE)=0,"Spatial Data Missing ⚠",VLOOKUP(I240,'G-7 WaterC'' Data'!$AK$4:$AM$6,2,FALSE)))</f>
        <v/>
      </c>
      <c r="K240" s="282" t="str">
        <f>IF(I240="","",IF(VLOOKUP(I240,'G-7 WaterC'' Data'!$AK$4:$AM$6,3,FALSE)=0,"Spatial Data Missing ⚠",VLOOKUP(I240,'G-7 WaterC'' Data'!$AK$4:$AM$6,3,FALSE)))</f>
        <v/>
      </c>
      <c r="L240" s="382" t="str">
        <f>IFERROR(INDEX('G-7 WaterC'' Data'!$O$3:$O$7,MATCH(G240,'G-7 WaterC'' Data'!$N$3:$N$7,0)),"")</f>
        <v/>
      </c>
      <c r="M240" s="53"/>
      <c r="N240" s="137"/>
      <c r="O240" s="289" t="str">
        <f t="shared" si="21"/>
        <v/>
      </c>
      <c r="P240" s="302" t="str">
        <f t="shared" si="22"/>
        <v/>
      </c>
      <c r="Q240" s="340" t="str">
        <f>IFERROR(IF(P240="Check Data ⚠","Check Data ⚠",VLOOKUP(P240,'G-4 Temporal multipliers'!$A$4:$C$37,3,FALSE)),"")</f>
        <v/>
      </c>
      <c r="R240" s="281" t="str">
        <f>IF(C240="","",VLOOKUP(C240,'G-7 WaterC'' Data'!$B$4:$G$8,4,FALSE))</f>
        <v/>
      </c>
      <c r="S240" s="289" t="str">
        <f t="shared" si="23"/>
        <v/>
      </c>
      <c r="T240" s="320" t="str">
        <f t="shared" si="24"/>
        <v/>
      </c>
      <c r="U240" s="282" t="str">
        <f>IF(C240="","",VLOOKUP(T240,'G-3 Multipliers'!$P$2:$Q$6,2,FALSE))</f>
        <v/>
      </c>
      <c r="V240" s="106"/>
      <c r="W240" s="282" t="str">
        <f>IF(V240="","",IF(AND(V240="N/A - Culvert",C240&lt;&gt;"Culvert"),"Not possible ▲",IF(AND(C240="Culvert",V240&lt;&gt;"N/A - Culvert"),"Not possible ▲",IF(VLOOKUP(V240,'G-7 WaterC'' Data'!$AA$4:$AB$7,2,FALSE)=0,"Spatial Data Missing ⚠",VLOOKUP(V240,'G-7 WaterC'' Data'!$AA$4:$AB$7,2,FALSE)))))</f>
        <v/>
      </c>
      <c r="X240" s="56"/>
      <c r="Y240" s="282" t="str">
        <f>IF(X240="","",IF(AND(X240="N/A - Culvert", C240&lt;&gt;"Culvert"), "Not possible ▲",IF(AND(C240="Culvert",X240&lt;&gt;"N/A - Culvert"),"Not possible ▲",IF(VLOOKUP(X240,'G-7 WaterC'' Data'!$AD$4:$AE$14,2,FALSE)=0,"Enrcoachment Data Missing ⚠",VLOOKUP(X240,'G-7 WaterC'' Data'!$AD$4:$AE$14,2,FALSE)))))</f>
        <v/>
      </c>
      <c r="Z240" s="106"/>
      <c r="AA240" s="282" t="str">
        <f>IF(Z240="","",IF(VLOOKUP(Z240,'G-7 WaterC'' Data'!$AO$4:$BO$7,2,FALSE)=0,"Spatial Data Missing ⚠",VLOOKUP(Z240,'G-7 WaterC'' Data'!$AO$4:$BO$7,2,FALSE)))</f>
        <v/>
      </c>
      <c r="AB240" s="323" t="str">
        <f t="shared" si="25"/>
        <v/>
      </c>
      <c r="AC240" s="323" t="str">
        <f t="shared" si="26"/>
        <v/>
      </c>
      <c r="AD240" s="105"/>
      <c r="AE240" s="968"/>
      <c r="AF240" s="142"/>
      <c r="AG240" s="142"/>
      <c r="AH240" s="964"/>
      <c r="AL240" s="30" t="str">
        <f>IFERROR(INDEX('G-7 WaterC'' Data'!$AZ$3:$AZ$7,MATCH(C240,'G-7 WaterC'' Data'!$AY$3:$AY$7,0)),"")</f>
        <v/>
      </c>
      <c r="AN240" s="30" t="str">
        <f t="shared" si="27"/>
        <v>No</v>
      </c>
    </row>
    <row r="241" spans="2:40" ht="13.8" x14ac:dyDescent="0.25">
      <c r="B241" s="101">
        <v>230</v>
      </c>
      <c r="C241" s="953"/>
      <c r="D241" s="119"/>
      <c r="E241" s="281" t="str">
        <f>IF(C241="","",VLOOKUP(C241,'G-7 WaterC'' Data'!$B$2:$Z$9,2,FALSE))</f>
        <v/>
      </c>
      <c r="F241" s="282" t="str">
        <f>IFERROR(VLOOKUP(E241,'G-7 WaterC'' Data'!$C$4:$D$8,2,FALSE),"")</f>
        <v/>
      </c>
      <c r="G241" s="52"/>
      <c r="H241" s="282" t="str">
        <f>IFERROR(INDEX('G-7 WaterC'' Data'!$H$4:$L$8,MATCH(C241,'G-7 WaterC'' Data'!$B$4:$B$8,0),MATCH(G241,'G-7 WaterC'' Data'!$H$3:$L$3,0)),"")</f>
        <v/>
      </c>
      <c r="I241" s="52"/>
      <c r="J241" s="320" t="str">
        <f>IF(I241="","",IF(VLOOKUP(I241,'G-7 WaterC'' Data'!$AK$4:$AM$6,2,FALSE)=0,"Spatial Data Missing ⚠",VLOOKUP(I241,'G-7 WaterC'' Data'!$AK$4:$AM$6,2,FALSE)))</f>
        <v/>
      </c>
      <c r="K241" s="282" t="str">
        <f>IF(I241="","",IF(VLOOKUP(I241,'G-7 WaterC'' Data'!$AK$4:$AM$6,3,FALSE)=0,"Spatial Data Missing ⚠",VLOOKUP(I241,'G-7 WaterC'' Data'!$AK$4:$AM$6,3,FALSE)))</f>
        <v/>
      </c>
      <c r="L241" s="382" t="str">
        <f>IFERROR(INDEX('G-7 WaterC'' Data'!$O$3:$O$7,MATCH(G241,'G-7 WaterC'' Data'!$N$3:$N$7,0)),"")</f>
        <v/>
      </c>
      <c r="M241" s="53"/>
      <c r="N241" s="137"/>
      <c r="O241" s="289" t="str">
        <f t="shared" si="21"/>
        <v/>
      </c>
      <c r="P241" s="302" t="str">
        <f t="shared" si="22"/>
        <v/>
      </c>
      <c r="Q241" s="340" t="str">
        <f>IFERROR(IF(P241="Check Data ⚠","Check Data ⚠",VLOOKUP(P241,'G-4 Temporal multipliers'!$A$4:$C$37,3,FALSE)),"")</f>
        <v/>
      </c>
      <c r="R241" s="281" t="str">
        <f>IF(C241="","",VLOOKUP(C241,'G-7 WaterC'' Data'!$B$4:$G$8,4,FALSE))</f>
        <v/>
      </c>
      <c r="S241" s="289" t="str">
        <f t="shared" si="23"/>
        <v/>
      </c>
      <c r="T241" s="320" t="str">
        <f t="shared" si="24"/>
        <v/>
      </c>
      <c r="U241" s="282" t="str">
        <f>IF(C241="","",VLOOKUP(T241,'G-3 Multipliers'!$P$2:$Q$6,2,FALSE))</f>
        <v/>
      </c>
      <c r="V241" s="106"/>
      <c r="W241" s="282" t="str">
        <f>IF(V241="","",IF(AND(V241="N/A - Culvert",C241&lt;&gt;"Culvert"),"Not possible ▲",IF(AND(C241="Culvert",V241&lt;&gt;"N/A - Culvert"),"Not possible ▲",IF(VLOOKUP(V241,'G-7 WaterC'' Data'!$AA$4:$AB$7,2,FALSE)=0,"Spatial Data Missing ⚠",VLOOKUP(V241,'G-7 WaterC'' Data'!$AA$4:$AB$7,2,FALSE)))))</f>
        <v/>
      </c>
      <c r="X241" s="56"/>
      <c r="Y241" s="282" t="str">
        <f>IF(X241="","",IF(AND(X241="N/A - Culvert", C241&lt;&gt;"Culvert"), "Not possible ▲",IF(AND(C241="Culvert",X241&lt;&gt;"N/A - Culvert"),"Not possible ▲",IF(VLOOKUP(X241,'G-7 WaterC'' Data'!$AD$4:$AE$14,2,FALSE)=0,"Enrcoachment Data Missing ⚠",VLOOKUP(X241,'G-7 WaterC'' Data'!$AD$4:$AE$14,2,FALSE)))))</f>
        <v/>
      </c>
      <c r="Z241" s="106"/>
      <c r="AA241" s="282" t="str">
        <f>IF(Z241="","",IF(VLOOKUP(Z241,'G-7 WaterC'' Data'!$AO$4:$BO$7,2,FALSE)=0,"Spatial Data Missing ⚠",VLOOKUP(Z241,'G-7 WaterC'' Data'!$AO$4:$BO$7,2,FALSE)))</f>
        <v/>
      </c>
      <c r="AB241" s="323" t="str">
        <f t="shared" si="25"/>
        <v/>
      </c>
      <c r="AC241" s="323" t="str">
        <f t="shared" si="26"/>
        <v/>
      </c>
      <c r="AD241" s="105"/>
      <c r="AE241" s="968"/>
      <c r="AF241" s="142"/>
      <c r="AG241" s="142"/>
      <c r="AH241" s="964"/>
      <c r="AL241" s="30" t="str">
        <f>IFERROR(INDEX('G-7 WaterC'' Data'!$AZ$3:$AZ$7,MATCH(C241,'G-7 WaterC'' Data'!$AY$3:$AY$7,0)),"")</f>
        <v/>
      </c>
      <c r="AN241" s="30" t="str">
        <f t="shared" si="27"/>
        <v>No</v>
      </c>
    </row>
    <row r="242" spans="2:40" ht="13.8" x14ac:dyDescent="0.25">
      <c r="B242" s="101">
        <v>231</v>
      </c>
      <c r="C242" s="953"/>
      <c r="D242" s="119"/>
      <c r="E242" s="281" t="str">
        <f>IF(C242="","",VLOOKUP(C242,'G-7 WaterC'' Data'!$B$2:$Z$9,2,FALSE))</f>
        <v/>
      </c>
      <c r="F242" s="282" t="str">
        <f>IFERROR(VLOOKUP(E242,'G-7 WaterC'' Data'!$C$4:$D$8,2,FALSE),"")</f>
        <v/>
      </c>
      <c r="G242" s="52"/>
      <c r="H242" s="282" t="str">
        <f>IFERROR(INDEX('G-7 WaterC'' Data'!$H$4:$L$8,MATCH(C242,'G-7 WaterC'' Data'!$B$4:$B$8,0),MATCH(G242,'G-7 WaterC'' Data'!$H$3:$L$3,0)),"")</f>
        <v/>
      </c>
      <c r="I242" s="52"/>
      <c r="J242" s="320" t="str">
        <f>IF(I242="","",IF(VLOOKUP(I242,'G-7 WaterC'' Data'!$AK$4:$AM$6,2,FALSE)=0,"Spatial Data Missing ⚠",VLOOKUP(I242,'G-7 WaterC'' Data'!$AK$4:$AM$6,2,FALSE)))</f>
        <v/>
      </c>
      <c r="K242" s="282" t="str">
        <f>IF(I242="","",IF(VLOOKUP(I242,'G-7 WaterC'' Data'!$AK$4:$AM$6,3,FALSE)=0,"Spatial Data Missing ⚠",VLOOKUP(I242,'G-7 WaterC'' Data'!$AK$4:$AM$6,3,FALSE)))</f>
        <v/>
      </c>
      <c r="L242" s="382" t="str">
        <f>IFERROR(INDEX('G-7 WaterC'' Data'!$O$3:$O$7,MATCH(G242,'G-7 WaterC'' Data'!$N$3:$N$7,0)),"")</f>
        <v/>
      </c>
      <c r="M242" s="53"/>
      <c r="N242" s="137"/>
      <c r="O242" s="289" t="str">
        <f t="shared" si="21"/>
        <v/>
      </c>
      <c r="P242" s="302" t="str">
        <f t="shared" si="22"/>
        <v/>
      </c>
      <c r="Q242" s="340" t="str">
        <f>IFERROR(IF(P242="Check Data ⚠","Check Data ⚠",VLOOKUP(P242,'G-4 Temporal multipliers'!$A$4:$C$37,3,FALSE)),"")</f>
        <v/>
      </c>
      <c r="R242" s="281" t="str">
        <f>IF(C242="","",VLOOKUP(C242,'G-7 WaterC'' Data'!$B$4:$G$8,4,FALSE))</f>
        <v/>
      </c>
      <c r="S242" s="289" t="str">
        <f t="shared" si="23"/>
        <v/>
      </c>
      <c r="T242" s="320" t="str">
        <f t="shared" si="24"/>
        <v/>
      </c>
      <c r="U242" s="282" t="str">
        <f>IF(C242="","",VLOOKUP(T242,'G-3 Multipliers'!$P$2:$Q$6,2,FALSE))</f>
        <v/>
      </c>
      <c r="V242" s="106"/>
      <c r="W242" s="282" t="str">
        <f>IF(V242="","",IF(AND(V242="N/A - Culvert",C242&lt;&gt;"Culvert"),"Not possible ▲",IF(AND(C242="Culvert",V242&lt;&gt;"N/A - Culvert"),"Not possible ▲",IF(VLOOKUP(V242,'G-7 WaterC'' Data'!$AA$4:$AB$7,2,FALSE)=0,"Spatial Data Missing ⚠",VLOOKUP(V242,'G-7 WaterC'' Data'!$AA$4:$AB$7,2,FALSE)))))</f>
        <v/>
      </c>
      <c r="X242" s="56"/>
      <c r="Y242" s="282" t="str">
        <f>IF(X242="","",IF(AND(X242="N/A - Culvert", C242&lt;&gt;"Culvert"), "Not possible ▲",IF(AND(C242="Culvert",X242&lt;&gt;"N/A - Culvert"),"Not possible ▲",IF(VLOOKUP(X242,'G-7 WaterC'' Data'!$AD$4:$AE$14,2,FALSE)=0,"Enrcoachment Data Missing ⚠",VLOOKUP(X242,'G-7 WaterC'' Data'!$AD$4:$AE$14,2,FALSE)))))</f>
        <v/>
      </c>
      <c r="Z242" s="106"/>
      <c r="AA242" s="282" t="str">
        <f>IF(Z242="","",IF(VLOOKUP(Z242,'G-7 WaterC'' Data'!$AO$4:$BO$7,2,FALSE)=0,"Spatial Data Missing ⚠",VLOOKUP(Z242,'G-7 WaterC'' Data'!$AO$4:$BO$7,2,FALSE)))</f>
        <v/>
      </c>
      <c r="AB242" s="323" t="str">
        <f t="shared" si="25"/>
        <v/>
      </c>
      <c r="AC242" s="323" t="str">
        <f t="shared" si="26"/>
        <v/>
      </c>
      <c r="AD242" s="105"/>
      <c r="AE242" s="968"/>
      <c r="AF242" s="142"/>
      <c r="AG242" s="142"/>
      <c r="AH242" s="964"/>
      <c r="AL242" s="30" t="str">
        <f>IFERROR(INDEX('G-7 WaterC'' Data'!$AZ$3:$AZ$7,MATCH(C242,'G-7 WaterC'' Data'!$AY$3:$AY$7,0)),"")</f>
        <v/>
      </c>
      <c r="AN242" s="30" t="str">
        <f t="shared" si="27"/>
        <v>No</v>
      </c>
    </row>
    <row r="243" spans="2:40" ht="13.8" x14ac:dyDescent="0.25">
      <c r="B243" s="101">
        <v>232</v>
      </c>
      <c r="C243" s="953"/>
      <c r="D243" s="119"/>
      <c r="E243" s="281" t="str">
        <f>IF(C243="","",VLOOKUP(C243,'G-7 WaterC'' Data'!$B$2:$Z$9,2,FALSE))</f>
        <v/>
      </c>
      <c r="F243" s="282" t="str">
        <f>IFERROR(VLOOKUP(E243,'G-7 WaterC'' Data'!$C$4:$D$8,2,FALSE),"")</f>
        <v/>
      </c>
      <c r="G243" s="52"/>
      <c r="H243" s="282" t="str">
        <f>IFERROR(INDEX('G-7 WaterC'' Data'!$H$4:$L$8,MATCH(C243,'G-7 WaterC'' Data'!$B$4:$B$8,0),MATCH(G243,'G-7 WaterC'' Data'!$H$3:$L$3,0)),"")</f>
        <v/>
      </c>
      <c r="I243" s="52"/>
      <c r="J243" s="320" t="str">
        <f>IF(I243="","",IF(VLOOKUP(I243,'G-7 WaterC'' Data'!$AK$4:$AM$6,2,FALSE)=0,"Spatial Data Missing ⚠",VLOOKUP(I243,'G-7 WaterC'' Data'!$AK$4:$AM$6,2,FALSE)))</f>
        <v/>
      </c>
      <c r="K243" s="282" t="str">
        <f>IF(I243="","",IF(VLOOKUP(I243,'G-7 WaterC'' Data'!$AK$4:$AM$6,3,FALSE)=0,"Spatial Data Missing ⚠",VLOOKUP(I243,'G-7 WaterC'' Data'!$AK$4:$AM$6,3,FALSE)))</f>
        <v/>
      </c>
      <c r="L243" s="382" t="str">
        <f>IFERROR(INDEX('G-7 WaterC'' Data'!$O$3:$O$7,MATCH(G243,'G-7 WaterC'' Data'!$N$3:$N$7,0)),"")</f>
        <v/>
      </c>
      <c r="M243" s="53"/>
      <c r="N243" s="137"/>
      <c r="O243" s="289" t="str">
        <f t="shared" si="21"/>
        <v/>
      </c>
      <c r="P243" s="302" t="str">
        <f t="shared" si="22"/>
        <v/>
      </c>
      <c r="Q243" s="340" t="str">
        <f>IFERROR(IF(P243="Check Data ⚠","Check Data ⚠",VLOOKUP(P243,'G-4 Temporal multipliers'!$A$4:$C$37,3,FALSE)),"")</f>
        <v/>
      </c>
      <c r="R243" s="281" t="str">
        <f>IF(C243="","",VLOOKUP(C243,'G-7 WaterC'' Data'!$B$4:$G$8,4,FALSE))</f>
        <v/>
      </c>
      <c r="S243" s="289" t="str">
        <f t="shared" si="23"/>
        <v/>
      </c>
      <c r="T243" s="320" t="str">
        <f t="shared" si="24"/>
        <v/>
      </c>
      <c r="U243" s="282" t="str">
        <f>IF(C243="","",VLOOKUP(T243,'G-3 Multipliers'!$P$2:$Q$6,2,FALSE))</f>
        <v/>
      </c>
      <c r="V243" s="106"/>
      <c r="W243" s="282" t="str">
        <f>IF(V243="","",IF(AND(V243="N/A - Culvert",C243&lt;&gt;"Culvert"),"Not possible ▲",IF(AND(C243="Culvert",V243&lt;&gt;"N/A - Culvert"),"Not possible ▲",IF(VLOOKUP(V243,'G-7 WaterC'' Data'!$AA$4:$AB$7,2,FALSE)=0,"Spatial Data Missing ⚠",VLOOKUP(V243,'G-7 WaterC'' Data'!$AA$4:$AB$7,2,FALSE)))))</f>
        <v/>
      </c>
      <c r="X243" s="56"/>
      <c r="Y243" s="282" t="str">
        <f>IF(X243="","",IF(AND(X243="N/A - Culvert", C243&lt;&gt;"Culvert"), "Not possible ▲",IF(AND(C243="Culvert",X243&lt;&gt;"N/A - Culvert"),"Not possible ▲",IF(VLOOKUP(X243,'G-7 WaterC'' Data'!$AD$4:$AE$14,2,FALSE)=0,"Enrcoachment Data Missing ⚠",VLOOKUP(X243,'G-7 WaterC'' Data'!$AD$4:$AE$14,2,FALSE)))))</f>
        <v/>
      </c>
      <c r="Z243" s="106"/>
      <c r="AA243" s="282" t="str">
        <f>IF(Z243="","",IF(VLOOKUP(Z243,'G-7 WaterC'' Data'!$AO$4:$BO$7,2,FALSE)=0,"Spatial Data Missing ⚠",VLOOKUP(Z243,'G-7 WaterC'' Data'!$AO$4:$BO$7,2,FALSE)))</f>
        <v/>
      </c>
      <c r="AB243" s="323" t="str">
        <f t="shared" si="25"/>
        <v/>
      </c>
      <c r="AC243" s="323" t="str">
        <f t="shared" si="26"/>
        <v/>
      </c>
      <c r="AD243" s="105"/>
      <c r="AE243" s="968"/>
      <c r="AF243" s="142"/>
      <c r="AG243" s="142"/>
      <c r="AH243" s="964"/>
      <c r="AL243" s="30" t="str">
        <f>IFERROR(INDEX('G-7 WaterC'' Data'!$AZ$3:$AZ$7,MATCH(C243,'G-7 WaterC'' Data'!$AY$3:$AY$7,0)),"")</f>
        <v/>
      </c>
      <c r="AN243" s="30" t="str">
        <f t="shared" si="27"/>
        <v>No</v>
      </c>
    </row>
    <row r="244" spans="2:40" ht="13.8" x14ac:dyDescent="0.25">
      <c r="B244" s="101">
        <v>233</v>
      </c>
      <c r="C244" s="953"/>
      <c r="D244" s="119"/>
      <c r="E244" s="281" t="str">
        <f>IF(C244="","",VLOOKUP(C244,'G-7 WaterC'' Data'!$B$2:$Z$9,2,FALSE))</f>
        <v/>
      </c>
      <c r="F244" s="282" t="str">
        <f>IFERROR(VLOOKUP(E244,'G-7 WaterC'' Data'!$C$4:$D$8,2,FALSE),"")</f>
        <v/>
      </c>
      <c r="G244" s="52"/>
      <c r="H244" s="282" t="str">
        <f>IFERROR(INDEX('G-7 WaterC'' Data'!$H$4:$L$8,MATCH(C244,'G-7 WaterC'' Data'!$B$4:$B$8,0),MATCH(G244,'G-7 WaterC'' Data'!$H$3:$L$3,0)),"")</f>
        <v/>
      </c>
      <c r="I244" s="52"/>
      <c r="J244" s="320" t="str">
        <f>IF(I244="","",IF(VLOOKUP(I244,'G-7 WaterC'' Data'!$AK$4:$AM$6,2,FALSE)=0,"Spatial Data Missing ⚠",VLOOKUP(I244,'G-7 WaterC'' Data'!$AK$4:$AM$6,2,FALSE)))</f>
        <v/>
      </c>
      <c r="K244" s="282" t="str">
        <f>IF(I244="","",IF(VLOOKUP(I244,'G-7 WaterC'' Data'!$AK$4:$AM$6,3,FALSE)=0,"Spatial Data Missing ⚠",VLOOKUP(I244,'G-7 WaterC'' Data'!$AK$4:$AM$6,3,FALSE)))</f>
        <v/>
      </c>
      <c r="L244" s="382" t="str">
        <f>IFERROR(INDEX('G-7 WaterC'' Data'!$O$3:$O$7,MATCH(G244,'G-7 WaterC'' Data'!$N$3:$N$7,0)),"")</f>
        <v/>
      </c>
      <c r="M244" s="53"/>
      <c r="N244" s="137"/>
      <c r="O244" s="289" t="str">
        <f t="shared" si="21"/>
        <v/>
      </c>
      <c r="P244" s="302" t="str">
        <f t="shared" si="22"/>
        <v/>
      </c>
      <c r="Q244" s="340" t="str">
        <f>IFERROR(IF(P244="Check Data ⚠","Check Data ⚠",VLOOKUP(P244,'G-4 Temporal multipliers'!$A$4:$C$37,3,FALSE)),"")</f>
        <v/>
      </c>
      <c r="R244" s="281" t="str">
        <f>IF(C244="","",VLOOKUP(C244,'G-7 WaterC'' Data'!$B$4:$G$8,4,FALSE))</f>
        <v/>
      </c>
      <c r="S244" s="289" t="str">
        <f t="shared" si="23"/>
        <v/>
      </c>
      <c r="T244" s="320" t="str">
        <f t="shared" si="24"/>
        <v/>
      </c>
      <c r="U244" s="282" t="str">
        <f>IF(C244="","",VLOOKUP(T244,'G-3 Multipliers'!$P$2:$Q$6,2,FALSE))</f>
        <v/>
      </c>
      <c r="V244" s="106"/>
      <c r="W244" s="282" t="str">
        <f>IF(V244="","",IF(AND(V244="N/A - Culvert",C244&lt;&gt;"Culvert"),"Not possible ▲",IF(AND(C244="Culvert",V244&lt;&gt;"N/A - Culvert"),"Not possible ▲",IF(VLOOKUP(V244,'G-7 WaterC'' Data'!$AA$4:$AB$7,2,FALSE)=0,"Spatial Data Missing ⚠",VLOOKUP(V244,'G-7 WaterC'' Data'!$AA$4:$AB$7,2,FALSE)))))</f>
        <v/>
      </c>
      <c r="X244" s="56"/>
      <c r="Y244" s="282" t="str">
        <f>IF(X244="","",IF(AND(X244="N/A - Culvert", C244&lt;&gt;"Culvert"), "Not possible ▲",IF(AND(C244="Culvert",X244&lt;&gt;"N/A - Culvert"),"Not possible ▲",IF(VLOOKUP(X244,'G-7 WaterC'' Data'!$AD$4:$AE$14,2,FALSE)=0,"Enrcoachment Data Missing ⚠",VLOOKUP(X244,'G-7 WaterC'' Data'!$AD$4:$AE$14,2,FALSE)))))</f>
        <v/>
      </c>
      <c r="Z244" s="106"/>
      <c r="AA244" s="282" t="str">
        <f>IF(Z244="","",IF(VLOOKUP(Z244,'G-7 WaterC'' Data'!$AO$4:$BO$7,2,FALSE)=0,"Spatial Data Missing ⚠",VLOOKUP(Z244,'G-7 WaterC'' Data'!$AO$4:$BO$7,2,FALSE)))</f>
        <v/>
      </c>
      <c r="AB244" s="323" t="str">
        <f t="shared" si="25"/>
        <v/>
      </c>
      <c r="AC244" s="323" t="str">
        <f t="shared" si="26"/>
        <v/>
      </c>
      <c r="AD244" s="105"/>
      <c r="AE244" s="968"/>
      <c r="AF244" s="142"/>
      <c r="AG244" s="142"/>
      <c r="AH244" s="964"/>
      <c r="AL244" s="30" t="str">
        <f>IFERROR(INDEX('G-7 WaterC'' Data'!$AZ$3:$AZ$7,MATCH(C244,'G-7 WaterC'' Data'!$AY$3:$AY$7,0)),"")</f>
        <v/>
      </c>
      <c r="AN244" s="30" t="str">
        <f t="shared" si="27"/>
        <v>No</v>
      </c>
    </row>
    <row r="245" spans="2:40" ht="13.8" x14ac:dyDescent="0.25">
      <c r="B245" s="101">
        <v>234</v>
      </c>
      <c r="C245" s="953"/>
      <c r="D245" s="119"/>
      <c r="E245" s="281" t="str">
        <f>IF(C245="","",VLOOKUP(C245,'G-7 WaterC'' Data'!$B$2:$Z$9,2,FALSE))</f>
        <v/>
      </c>
      <c r="F245" s="282" t="str">
        <f>IFERROR(VLOOKUP(E245,'G-7 WaterC'' Data'!$C$4:$D$8,2,FALSE),"")</f>
        <v/>
      </c>
      <c r="G245" s="52"/>
      <c r="H245" s="282" t="str">
        <f>IFERROR(INDEX('G-7 WaterC'' Data'!$H$4:$L$8,MATCH(C245,'G-7 WaterC'' Data'!$B$4:$B$8,0),MATCH(G245,'G-7 WaterC'' Data'!$H$3:$L$3,0)),"")</f>
        <v/>
      </c>
      <c r="I245" s="52"/>
      <c r="J245" s="320" t="str">
        <f>IF(I245="","",IF(VLOOKUP(I245,'G-7 WaterC'' Data'!$AK$4:$AM$6,2,FALSE)=0,"Spatial Data Missing ⚠",VLOOKUP(I245,'G-7 WaterC'' Data'!$AK$4:$AM$6,2,FALSE)))</f>
        <v/>
      </c>
      <c r="K245" s="282" t="str">
        <f>IF(I245="","",IF(VLOOKUP(I245,'G-7 WaterC'' Data'!$AK$4:$AM$6,3,FALSE)=0,"Spatial Data Missing ⚠",VLOOKUP(I245,'G-7 WaterC'' Data'!$AK$4:$AM$6,3,FALSE)))</f>
        <v/>
      </c>
      <c r="L245" s="382" t="str">
        <f>IFERROR(INDEX('G-7 WaterC'' Data'!$O$3:$O$7,MATCH(G245,'G-7 WaterC'' Data'!$N$3:$N$7,0)),"")</f>
        <v/>
      </c>
      <c r="M245" s="53"/>
      <c r="N245" s="137"/>
      <c r="O245" s="289" t="str">
        <f t="shared" si="21"/>
        <v/>
      </c>
      <c r="P245" s="302" t="str">
        <f t="shared" si="22"/>
        <v/>
      </c>
      <c r="Q245" s="340" t="str">
        <f>IFERROR(IF(P245="Check Data ⚠","Check Data ⚠",VLOOKUP(P245,'G-4 Temporal multipliers'!$A$4:$C$37,3,FALSE)),"")</f>
        <v/>
      </c>
      <c r="R245" s="281" t="str">
        <f>IF(C245="","",VLOOKUP(C245,'G-7 WaterC'' Data'!$B$4:$G$8,4,FALSE))</f>
        <v/>
      </c>
      <c r="S245" s="289" t="str">
        <f t="shared" si="23"/>
        <v/>
      </c>
      <c r="T245" s="320" t="str">
        <f t="shared" si="24"/>
        <v/>
      </c>
      <c r="U245" s="282" t="str">
        <f>IF(C245="","",VLOOKUP(T245,'G-3 Multipliers'!$P$2:$Q$6,2,FALSE))</f>
        <v/>
      </c>
      <c r="V245" s="106"/>
      <c r="W245" s="282" t="str">
        <f>IF(V245="","",IF(AND(V245="N/A - Culvert",C245&lt;&gt;"Culvert"),"Not possible ▲",IF(AND(C245="Culvert",V245&lt;&gt;"N/A - Culvert"),"Not possible ▲",IF(VLOOKUP(V245,'G-7 WaterC'' Data'!$AA$4:$AB$7,2,FALSE)=0,"Spatial Data Missing ⚠",VLOOKUP(V245,'G-7 WaterC'' Data'!$AA$4:$AB$7,2,FALSE)))))</f>
        <v/>
      </c>
      <c r="X245" s="56"/>
      <c r="Y245" s="282" t="str">
        <f>IF(X245="","",IF(AND(X245="N/A - Culvert", C245&lt;&gt;"Culvert"), "Not possible ▲",IF(AND(C245="Culvert",X245&lt;&gt;"N/A - Culvert"),"Not possible ▲",IF(VLOOKUP(X245,'G-7 WaterC'' Data'!$AD$4:$AE$14,2,FALSE)=0,"Enrcoachment Data Missing ⚠",VLOOKUP(X245,'G-7 WaterC'' Data'!$AD$4:$AE$14,2,FALSE)))))</f>
        <v/>
      </c>
      <c r="Z245" s="106"/>
      <c r="AA245" s="282" t="str">
        <f>IF(Z245="","",IF(VLOOKUP(Z245,'G-7 WaterC'' Data'!$AO$4:$BO$7,2,FALSE)=0,"Spatial Data Missing ⚠",VLOOKUP(Z245,'G-7 WaterC'' Data'!$AO$4:$BO$7,2,FALSE)))</f>
        <v/>
      </c>
      <c r="AB245" s="323" t="str">
        <f t="shared" si="25"/>
        <v/>
      </c>
      <c r="AC245" s="323" t="str">
        <f t="shared" si="26"/>
        <v/>
      </c>
      <c r="AD245" s="105"/>
      <c r="AE245" s="968"/>
      <c r="AF245" s="142"/>
      <c r="AG245" s="142"/>
      <c r="AH245" s="964"/>
      <c r="AL245" s="30" t="str">
        <f>IFERROR(INDEX('G-7 WaterC'' Data'!$AZ$3:$AZ$7,MATCH(C245,'G-7 WaterC'' Data'!$AY$3:$AY$7,0)),"")</f>
        <v/>
      </c>
      <c r="AN245" s="30" t="str">
        <f t="shared" si="27"/>
        <v>No</v>
      </c>
    </row>
    <row r="246" spans="2:40" ht="13.8" x14ac:dyDescent="0.25">
      <c r="B246" s="101">
        <v>235</v>
      </c>
      <c r="C246" s="953"/>
      <c r="D246" s="119"/>
      <c r="E246" s="281" t="str">
        <f>IF(C246="","",VLOOKUP(C246,'G-7 WaterC'' Data'!$B$2:$Z$9,2,FALSE))</f>
        <v/>
      </c>
      <c r="F246" s="282" t="str">
        <f>IFERROR(VLOOKUP(E246,'G-7 WaterC'' Data'!$C$4:$D$8,2,FALSE),"")</f>
        <v/>
      </c>
      <c r="G246" s="52"/>
      <c r="H246" s="282" t="str">
        <f>IFERROR(INDEX('G-7 WaterC'' Data'!$H$4:$L$8,MATCH(C246,'G-7 WaterC'' Data'!$B$4:$B$8,0),MATCH(G246,'G-7 WaterC'' Data'!$H$3:$L$3,0)),"")</f>
        <v/>
      </c>
      <c r="I246" s="52"/>
      <c r="J246" s="320" t="str">
        <f>IF(I246="","",IF(VLOOKUP(I246,'G-7 WaterC'' Data'!$AK$4:$AM$6,2,FALSE)=0,"Spatial Data Missing ⚠",VLOOKUP(I246,'G-7 WaterC'' Data'!$AK$4:$AM$6,2,FALSE)))</f>
        <v/>
      </c>
      <c r="K246" s="282" t="str">
        <f>IF(I246="","",IF(VLOOKUP(I246,'G-7 WaterC'' Data'!$AK$4:$AM$6,3,FALSE)=0,"Spatial Data Missing ⚠",VLOOKUP(I246,'G-7 WaterC'' Data'!$AK$4:$AM$6,3,FALSE)))</f>
        <v/>
      </c>
      <c r="L246" s="382" t="str">
        <f>IFERROR(INDEX('G-7 WaterC'' Data'!$O$3:$O$7,MATCH(G246,'G-7 WaterC'' Data'!$N$3:$N$7,0)),"")</f>
        <v/>
      </c>
      <c r="M246" s="53"/>
      <c r="N246" s="137"/>
      <c r="O246" s="289" t="str">
        <f t="shared" si="21"/>
        <v/>
      </c>
      <c r="P246" s="302" t="str">
        <f t="shared" si="22"/>
        <v/>
      </c>
      <c r="Q246" s="340" t="str">
        <f>IFERROR(IF(P246="Check Data ⚠","Check Data ⚠",VLOOKUP(P246,'G-4 Temporal multipliers'!$A$4:$C$37,3,FALSE)),"")</f>
        <v/>
      </c>
      <c r="R246" s="281" t="str">
        <f>IF(C246="","",VLOOKUP(C246,'G-7 WaterC'' Data'!$B$4:$G$8,4,FALSE))</f>
        <v/>
      </c>
      <c r="S246" s="289" t="str">
        <f t="shared" si="23"/>
        <v/>
      </c>
      <c r="T246" s="320" t="str">
        <f t="shared" si="24"/>
        <v/>
      </c>
      <c r="U246" s="282" t="str">
        <f>IF(C246="","",VLOOKUP(T246,'G-3 Multipliers'!$P$2:$Q$6,2,FALSE))</f>
        <v/>
      </c>
      <c r="V246" s="106"/>
      <c r="W246" s="282" t="str">
        <f>IF(V246="","",IF(AND(V246="N/A - Culvert",C246&lt;&gt;"Culvert"),"Not possible ▲",IF(AND(C246="Culvert",V246&lt;&gt;"N/A - Culvert"),"Not possible ▲",IF(VLOOKUP(V246,'G-7 WaterC'' Data'!$AA$4:$AB$7,2,FALSE)=0,"Spatial Data Missing ⚠",VLOOKUP(V246,'G-7 WaterC'' Data'!$AA$4:$AB$7,2,FALSE)))))</f>
        <v/>
      </c>
      <c r="X246" s="56"/>
      <c r="Y246" s="282" t="str">
        <f>IF(X246="","",IF(AND(X246="N/A - Culvert", C246&lt;&gt;"Culvert"), "Not possible ▲",IF(AND(C246="Culvert",X246&lt;&gt;"N/A - Culvert"),"Not possible ▲",IF(VLOOKUP(X246,'G-7 WaterC'' Data'!$AD$4:$AE$14,2,FALSE)=0,"Enrcoachment Data Missing ⚠",VLOOKUP(X246,'G-7 WaterC'' Data'!$AD$4:$AE$14,2,FALSE)))))</f>
        <v/>
      </c>
      <c r="Z246" s="106"/>
      <c r="AA246" s="282" t="str">
        <f>IF(Z246="","",IF(VLOOKUP(Z246,'G-7 WaterC'' Data'!$AO$4:$BO$7,2,FALSE)=0,"Spatial Data Missing ⚠",VLOOKUP(Z246,'G-7 WaterC'' Data'!$AO$4:$BO$7,2,FALSE)))</f>
        <v/>
      </c>
      <c r="AB246" s="323" t="str">
        <f t="shared" si="25"/>
        <v/>
      </c>
      <c r="AC246" s="323" t="str">
        <f t="shared" si="26"/>
        <v/>
      </c>
      <c r="AD246" s="105"/>
      <c r="AE246" s="968"/>
      <c r="AF246" s="142"/>
      <c r="AG246" s="142"/>
      <c r="AH246" s="964"/>
      <c r="AL246" s="30" t="str">
        <f>IFERROR(INDEX('G-7 WaterC'' Data'!$AZ$3:$AZ$7,MATCH(C246,'G-7 WaterC'' Data'!$AY$3:$AY$7,0)),"")</f>
        <v/>
      </c>
      <c r="AN246" s="30" t="str">
        <f t="shared" si="27"/>
        <v>No</v>
      </c>
    </row>
    <row r="247" spans="2:40" ht="13.8" x14ac:dyDescent="0.25">
      <c r="B247" s="101">
        <v>236</v>
      </c>
      <c r="C247" s="953"/>
      <c r="D247" s="119"/>
      <c r="E247" s="281" t="str">
        <f>IF(C247="","",VLOOKUP(C247,'G-7 WaterC'' Data'!$B$2:$Z$9,2,FALSE))</f>
        <v/>
      </c>
      <c r="F247" s="282" t="str">
        <f>IFERROR(VLOOKUP(E247,'G-7 WaterC'' Data'!$C$4:$D$8,2,FALSE),"")</f>
        <v/>
      </c>
      <c r="G247" s="52"/>
      <c r="H247" s="282" t="str">
        <f>IFERROR(INDEX('G-7 WaterC'' Data'!$H$4:$L$8,MATCH(C247,'G-7 WaterC'' Data'!$B$4:$B$8,0),MATCH(G247,'G-7 WaterC'' Data'!$H$3:$L$3,0)),"")</f>
        <v/>
      </c>
      <c r="I247" s="52"/>
      <c r="J247" s="320" t="str">
        <f>IF(I247="","",IF(VLOOKUP(I247,'G-7 WaterC'' Data'!$AK$4:$AM$6,2,FALSE)=0,"Spatial Data Missing ⚠",VLOOKUP(I247,'G-7 WaterC'' Data'!$AK$4:$AM$6,2,FALSE)))</f>
        <v/>
      </c>
      <c r="K247" s="282" t="str">
        <f>IF(I247="","",IF(VLOOKUP(I247,'G-7 WaterC'' Data'!$AK$4:$AM$6,3,FALSE)=0,"Spatial Data Missing ⚠",VLOOKUP(I247,'G-7 WaterC'' Data'!$AK$4:$AM$6,3,FALSE)))</f>
        <v/>
      </c>
      <c r="L247" s="382" t="str">
        <f>IFERROR(INDEX('G-7 WaterC'' Data'!$O$3:$O$7,MATCH(G247,'G-7 WaterC'' Data'!$N$3:$N$7,0)),"")</f>
        <v/>
      </c>
      <c r="M247" s="53"/>
      <c r="N247" s="137"/>
      <c r="O247" s="289" t="str">
        <f t="shared" si="21"/>
        <v/>
      </c>
      <c r="P247" s="302" t="str">
        <f t="shared" si="22"/>
        <v/>
      </c>
      <c r="Q247" s="340" t="str">
        <f>IFERROR(IF(P247="Check Data ⚠","Check Data ⚠",VLOOKUP(P247,'G-4 Temporal multipliers'!$A$4:$C$37,3,FALSE)),"")</f>
        <v/>
      </c>
      <c r="R247" s="281" t="str">
        <f>IF(C247="","",VLOOKUP(C247,'G-7 WaterC'' Data'!$B$4:$G$8,4,FALSE))</f>
        <v/>
      </c>
      <c r="S247" s="289" t="str">
        <f t="shared" si="23"/>
        <v/>
      </c>
      <c r="T247" s="320" t="str">
        <f t="shared" si="24"/>
        <v/>
      </c>
      <c r="U247" s="282" t="str">
        <f>IF(C247="","",VLOOKUP(T247,'G-3 Multipliers'!$P$2:$Q$6,2,FALSE))</f>
        <v/>
      </c>
      <c r="V247" s="106"/>
      <c r="W247" s="282" t="str">
        <f>IF(V247="","",IF(AND(V247="N/A - Culvert",C247&lt;&gt;"Culvert"),"Not possible ▲",IF(AND(C247="Culvert",V247&lt;&gt;"N/A - Culvert"),"Not possible ▲",IF(VLOOKUP(V247,'G-7 WaterC'' Data'!$AA$4:$AB$7,2,FALSE)=0,"Spatial Data Missing ⚠",VLOOKUP(V247,'G-7 WaterC'' Data'!$AA$4:$AB$7,2,FALSE)))))</f>
        <v/>
      </c>
      <c r="X247" s="56"/>
      <c r="Y247" s="282" t="str">
        <f>IF(X247="","",IF(AND(X247="N/A - Culvert", C247&lt;&gt;"Culvert"), "Not possible ▲",IF(AND(C247="Culvert",X247&lt;&gt;"N/A - Culvert"),"Not possible ▲",IF(VLOOKUP(X247,'G-7 WaterC'' Data'!$AD$4:$AE$14,2,FALSE)=0,"Enrcoachment Data Missing ⚠",VLOOKUP(X247,'G-7 WaterC'' Data'!$AD$4:$AE$14,2,FALSE)))))</f>
        <v/>
      </c>
      <c r="Z247" s="106"/>
      <c r="AA247" s="282" t="str">
        <f>IF(Z247="","",IF(VLOOKUP(Z247,'G-7 WaterC'' Data'!$AO$4:$BO$7,2,FALSE)=0,"Spatial Data Missing ⚠",VLOOKUP(Z247,'G-7 WaterC'' Data'!$AO$4:$BO$7,2,FALSE)))</f>
        <v/>
      </c>
      <c r="AB247" s="323" t="str">
        <f t="shared" si="25"/>
        <v/>
      </c>
      <c r="AC247" s="323" t="str">
        <f t="shared" si="26"/>
        <v/>
      </c>
      <c r="AD247" s="105"/>
      <c r="AE247" s="968"/>
      <c r="AF247" s="142"/>
      <c r="AG247" s="142"/>
      <c r="AH247" s="964"/>
      <c r="AL247" s="30" t="str">
        <f>IFERROR(INDEX('G-7 WaterC'' Data'!$AZ$3:$AZ$7,MATCH(C247,'G-7 WaterC'' Data'!$AY$3:$AY$7,0)),"")</f>
        <v/>
      </c>
      <c r="AN247" s="30" t="str">
        <f t="shared" si="27"/>
        <v>No</v>
      </c>
    </row>
    <row r="248" spans="2:40" ht="13.8" x14ac:dyDescent="0.25">
      <c r="B248" s="101">
        <v>237</v>
      </c>
      <c r="C248" s="953"/>
      <c r="D248" s="119"/>
      <c r="E248" s="281" t="str">
        <f>IF(C248="","",VLOOKUP(C248,'G-7 WaterC'' Data'!$B$2:$Z$9,2,FALSE))</f>
        <v/>
      </c>
      <c r="F248" s="282" t="str">
        <f>IFERROR(VLOOKUP(E248,'G-7 WaterC'' Data'!$C$4:$D$8,2,FALSE),"")</f>
        <v/>
      </c>
      <c r="G248" s="52"/>
      <c r="H248" s="282" t="str">
        <f>IFERROR(INDEX('G-7 WaterC'' Data'!$H$4:$L$8,MATCH(C248,'G-7 WaterC'' Data'!$B$4:$B$8,0),MATCH(G248,'G-7 WaterC'' Data'!$H$3:$L$3,0)),"")</f>
        <v/>
      </c>
      <c r="I248" s="52"/>
      <c r="J248" s="320" t="str">
        <f>IF(I248="","",IF(VLOOKUP(I248,'G-7 WaterC'' Data'!$AK$4:$AM$6,2,FALSE)=0,"Spatial Data Missing ⚠",VLOOKUP(I248,'G-7 WaterC'' Data'!$AK$4:$AM$6,2,FALSE)))</f>
        <v/>
      </c>
      <c r="K248" s="282" t="str">
        <f>IF(I248="","",IF(VLOOKUP(I248,'G-7 WaterC'' Data'!$AK$4:$AM$6,3,FALSE)=0,"Spatial Data Missing ⚠",VLOOKUP(I248,'G-7 WaterC'' Data'!$AK$4:$AM$6,3,FALSE)))</f>
        <v/>
      </c>
      <c r="L248" s="382" t="str">
        <f>IFERROR(INDEX('G-7 WaterC'' Data'!$O$3:$O$7,MATCH(G248,'G-7 WaterC'' Data'!$N$3:$N$7,0)),"")</f>
        <v/>
      </c>
      <c r="M248" s="53"/>
      <c r="N248" s="137"/>
      <c r="O248" s="289" t="str">
        <f t="shared" si="21"/>
        <v/>
      </c>
      <c r="P248" s="302" t="str">
        <f t="shared" si="22"/>
        <v/>
      </c>
      <c r="Q248" s="340" t="str">
        <f>IFERROR(IF(P248="Check Data ⚠","Check Data ⚠",VLOOKUP(P248,'G-4 Temporal multipliers'!$A$4:$C$37,3,FALSE)),"")</f>
        <v/>
      </c>
      <c r="R248" s="281" t="str">
        <f>IF(C248="","",VLOOKUP(C248,'G-7 WaterC'' Data'!$B$4:$G$8,4,FALSE))</f>
        <v/>
      </c>
      <c r="S248" s="289" t="str">
        <f t="shared" si="23"/>
        <v/>
      </c>
      <c r="T248" s="320" t="str">
        <f t="shared" si="24"/>
        <v/>
      </c>
      <c r="U248" s="282" t="str">
        <f>IF(C248="","",VLOOKUP(T248,'G-3 Multipliers'!$P$2:$Q$6,2,FALSE))</f>
        <v/>
      </c>
      <c r="V248" s="106"/>
      <c r="W248" s="282" t="str">
        <f>IF(V248="","",IF(AND(V248="N/A - Culvert",C248&lt;&gt;"Culvert"),"Not possible ▲",IF(AND(C248="Culvert",V248&lt;&gt;"N/A - Culvert"),"Not possible ▲",IF(VLOOKUP(V248,'G-7 WaterC'' Data'!$AA$4:$AB$7,2,FALSE)=0,"Spatial Data Missing ⚠",VLOOKUP(V248,'G-7 WaterC'' Data'!$AA$4:$AB$7,2,FALSE)))))</f>
        <v/>
      </c>
      <c r="X248" s="56"/>
      <c r="Y248" s="282" t="str">
        <f>IF(X248="","",IF(AND(X248="N/A - Culvert", C248&lt;&gt;"Culvert"), "Not possible ▲",IF(AND(C248="Culvert",X248&lt;&gt;"N/A - Culvert"),"Not possible ▲",IF(VLOOKUP(X248,'G-7 WaterC'' Data'!$AD$4:$AE$14,2,FALSE)=0,"Enrcoachment Data Missing ⚠",VLOOKUP(X248,'G-7 WaterC'' Data'!$AD$4:$AE$14,2,FALSE)))))</f>
        <v/>
      </c>
      <c r="Z248" s="106"/>
      <c r="AA248" s="282" t="str">
        <f>IF(Z248="","",IF(VLOOKUP(Z248,'G-7 WaterC'' Data'!$AO$4:$BO$7,2,FALSE)=0,"Spatial Data Missing ⚠",VLOOKUP(Z248,'G-7 WaterC'' Data'!$AO$4:$BO$7,2,FALSE)))</f>
        <v/>
      </c>
      <c r="AB248" s="323" t="str">
        <f t="shared" si="25"/>
        <v/>
      </c>
      <c r="AC248" s="323" t="str">
        <f t="shared" si="26"/>
        <v/>
      </c>
      <c r="AD248" s="105"/>
      <c r="AE248" s="968"/>
      <c r="AF248" s="142"/>
      <c r="AG248" s="142"/>
      <c r="AH248" s="964"/>
      <c r="AL248" s="30" t="str">
        <f>IFERROR(INDEX('G-7 WaterC'' Data'!$AZ$3:$AZ$7,MATCH(C248,'G-7 WaterC'' Data'!$AY$3:$AY$7,0)),"")</f>
        <v/>
      </c>
      <c r="AN248" s="30" t="str">
        <f t="shared" si="27"/>
        <v>No</v>
      </c>
    </row>
    <row r="249" spans="2:40" ht="13.8" x14ac:dyDescent="0.25">
      <c r="B249" s="101">
        <v>238</v>
      </c>
      <c r="C249" s="953"/>
      <c r="D249" s="119"/>
      <c r="E249" s="281" t="str">
        <f>IF(C249="","",VLOOKUP(C249,'G-7 WaterC'' Data'!$B$2:$Z$9,2,FALSE))</f>
        <v/>
      </c>
      <c r="F249" s="282" t="str">
        <f>IFERROR(VLOOKUP(E249,'G-7 WaterC'' Data'!$C$4:$D$8,2,FALSE),"")</f>
        <v/>
      </c>
      <c r="G249" s="52"/>
      <c r="H249" s="282" t="str">
        <f>IFERROR(INDEX('G-7 WaterC'' Data'!$H$4:$L$8,MATCH(C249,'G-7 WaterC'' Data'!$B$4:$B$8,0),MATCH(G249,'G-7 WaterC'' Data'!$H$3:$L$3,0)),"")</f>
        <v/>
      </c>
      <c r="I249" s="52"/>
      <c r="J249" s="320" t="str">
        <f>IF(I249="","",IF(VLOOKUP(I249,'G-7 WaterC'' Data'!$AK$4:$AM$6,2,FALSE)=0,"Spatial Data Missing ⚠",VLOOKUP(I249,'G-7 WaterC'' Data'!$AK$4:$AM$6,2,FALSE)))</f>
        <v/>
      </c>
      <c r="K249" s="282" t="str">
        <f>IF(I249="","",IF(VLOOKUP(I249,'G-7 WaterC'' Data'!$AK$4:$AM$6,3,FALSE)=0,"Spatial Data Missing ⚠",VLOOKUP(I249,'G-7 WaterC'' Data'!$AK$4:$AM$6,3,FALSE)))</f>
        <v/>
      </c>
      <c r="L249" s="382" t="str">
        <f>IFERROR(INDEX('G-7 WaterC'' Data'!$O$3:$O$7,MATCH(G249,'G-7 WaterC'' Data'!$N$3:$N$7,0)),"")</f>
        <v/>
      </c>
      <c r="M249" s="53"/>
      <c r="N249" s="137"/>
      <c r="O249" s="289" t="str">
        <f t="shared" si="21"/>
        <v/>
      </c>
      <c r="P249" s="302" t="str">
        <f t="shared" si="22"/>
        <v/>
      </c>
      <c r="Q249" s="340" t="str">
        <f>IFERROR(IF(P249="Check Data ⚠","Check Data ⚠",VLOOKUP(P249,'G-4 Temporal multipliers'!$A$4:$C$37,3,FALSE)),"")</f>
        <v/>
      </c>
      <c r="R249" s="281" t="str">
        <f>IF(C249="","",VLOOKUP(C249,'G-7 WaterC'' Data'!$B$4:$G$8,4,FALSE))</f>
        <v/>
      </c>
      <c r="S249" s="289" t="str">
        <f t="shared" si="23"/>
        <v/>
      </c>
      <c r="T249" s="320" t="str">
        <f t="shared" si="24"/>
        <v/>
      </c>
      <c r="U249" s="282" t="str">
        <f>IF(C249="","",VLOOKUP(T249,'G-3 Multipliers'!$P$2:$Q$6,2,FALSE))</f>
        <v/>
      </c>
      <c r="V249" s="106"/>
      <c r="W249" s="282" t="str">
        <f>IF(V249="","",IF(AND(V249="N/A - Culvert",C249&lt;&gt;"Culvert"),"Not possible ▲",IF(AND(C249="Culvert",V249&lt;&gt;"N/A - Culvert"),"Not possible ▲",IF(VLOOKUP(V249,'G-7 WaterC'' Data'!$AA$4:$AB$7,2,FALSE)=0,"Spatial Data Missing ⚠",VLOOKUP(V249,'G-7 WaterC'' Data'!$AA$4:$AB$7,2,FALSE)))))</f>
        <v/>
      </c>
      <c r="X249" s="56"/>
      <c r="Y249" s="282" t="str">
        <f>IF(X249="","",IF(AND(X249="N/A - Culvert", C249&lt;&gt;"Culvert"), "Not possible ▲",IF(AND(C249="Culvert",X249&lt;&gt;"N/A - Culvert"),"Not possible ▲",IF(VLOOKUP(X249,'G-7 WaterC'' Data'!$AD$4:$AE$14,2,FALSE)=0,"Enrcoachment Data Missing ⚠",VLOOKUP(X249,'G-7 WaterC'' Data'!$AD$4:$AE$14,2,FALSE)))))</f>
        <v/>
      </c>
      <c r="Z249" s="106"/>
      <c r="AA249" s="282" t="str">
        <f>IF(Z249="","",IF(VLOOKUP(Z249,'G-7 WaterC'' Data'!$AO$4:$BO$7,2,FALSE)=0,"Spatial Data Missing ⚠",VLOOKUP(Z249,'G-7 WaterC'' Data'!$AO$4:$BO$7,2,FALSE)))</f>
        <v/>
      </c>
      <c r="AB249" s="323" t="str">
        <f t="shared" si="25"/>
        <v/>
      </c>
      <c r="AC249" s="323" t="str">
        <f t="shared" si="26"/>
        <v/>
      </c>
      <c r="AD249" s="105"/>
      <c r="AE249" s="968"/>
      <c r="AF249" s="142"/>
      <c r="AG249" s="142"/>
      <c r="AH249" s="964"/>
      <c r="AL249" s="30" t="str">
        <f>IFERROR(INDEX('G-7 WaterC'' Data'!$AZ$3:$AZ$7,MATCH(C249,'G-7 WaterC'' Data'!$AY$3:$AY$7,0)),"")</f>
        <v/>
      </c>
      <c r="AN249" s="30" t="str">
        <f t="shared" si="27"/>
        <v>No</v>
      </c>
    </row>
    <row r="250" spans="2:40" ht="13.8" x14ac:dyDescent="0.25">
      <c r="B250" s="101">
        <v>239</v>
      </c>
      <c r="C250" s="953"/>
      <c r="D250" s="119"/>
      <c r="E250" s="281" t="str">
        <f>IF(C250="","",VLOOKUP(C250,'G-7 WaterC'' Data'!$B$2:$Z$9,2,FALSE))</f>
        <v/>
      </c>
      <c r="F250" s="282" t="str">
        <f>IFERROR(VLOOKUP(E250,'G-7 WaterC'' Data'!$C$4:$D$8,2,FALSE),"")</f>
        <v/>
      </c>
      <c r="G250" s="52"/>
      <c r="H250" s="282" t="str">
        <f>IFERROR(INDEX('G-7 WaterC'' Data'!$H$4:$L$8,MATCH(C250,'G-7 WaterC'' Data'!$B$4:$B$8,0),MATCH(G250,'G-7 WaterC'' Data'!$H$3:$L$3,0)),"")</f>
        <v/>
      </c>
      <c r="I250" s="52"/>
      <c r="J250" s="320" t="str">
        <f>IF(I250="","",IF(VLOOKUP(I250,'G-7 WaterC'' Data'!$AK$4:$AM$6,2,FALSE)=0,"Spatial Data Missing ⚠",VLOOKUP(I250,'G-7 WaterC'' Data'!$AK$4:$AM$6,2,FALSE)))</f>
        <v/>
      </c>
      <c r="K250" s="282" t="str">
        <f>IF(I250="","",IF(VLOOKUP(I250,'G-7 WaterC'' Data'!$AK$4:$AM$6,3,FALSE)=0,"Spatial Data Missing ⚠",VLOOKUP(I250,'G-7 WaterC'' Data'!$AK$4:$AM$6,3,FALSE)))</f>
        <v/>
      </c>
      <c r="L250" s="382" t="str">
        <f>IFERROR(INDEX('G-7 WaterC'' Data'!$O$3:$O$7,MATCH(G250,'G-7 WaterC'' Data'!$N$3:$N$7,0)),"")</f>
        <v/>
      </c>
      <c r="M250" s="53"/>
      <c r="N250" s="137"/>
      <c r="O250" s="289" t="str">
        <f t="shared" si="21"/>
        <v/>
      </c>
      <c r="P250" s="302" t="str">
        <f t="shared" si="22"/>
        <v/>
      </c>
      <c r="Q250" s="340" t="str">
        <f>IFERROR(IF(P250="Check Data ⚠","Check Data ⚠",VLOOKUP(P250,'G-4 Temporal multipliers'!$A$4:$C$37,3,FALSE)),"")</f>
        <v/>
      </c>
      <c r="R250" s="281" t="str">
        <f>IF(C250="","",VLOOKUP(C250,'G-7 WaterC'' Data'!$B$4:$G$8,4,FALSE))</f>
        <v/>
      </c>
      <c r="S250" s="289" t="str">
        <f t="shared" si="23"/>
        <v/>
      </c>
      <c r="T250" s="320" t="str">
        <f t="shared" si="24"/>
        <v/>
      </c>
      <c r="U250" s="282" t="str">
        <f>IF(C250="","",VLOOKUP(T250,'G-3 Multipliers'!$P$2:$Q$6,2,FALSE))</f>
        <v/>
      </c>
      <c r="V250" s="106"/>
      <c r="W250" s="282" t="str">
        <f>IF(V250="","",IF(AND(V250="N/A - Culvert",C250&lt;&gt;"Culvert"),"Not possible ▲",IF(AND(C250="Culvert",V250&lt;&gt;"N/A - Culvert"),"Not possible ▲",IF(VLOOKUP(V250,'G-7 WaterC'' Data'!$AA$4:$AB$7,2,FALSE)=0,"Spatial Data Missing ⚠",VLOOKUP(V250,'G-7 WaterC'' Data'!$AA$4:$AB$7,2,FALSE)))))</f>
        <v/>
      </c>
      <c r="X250" s="56"/>
      <c r="Y250" s="282" t="str">
        <f>IF(X250="","",IF(AND(X250="N/A - Culvert", C250&lt;&gt;"Culvert"), "Not possible ▲",IF(AND(C250="Culvert",X250&lt;&gt;"N/A - Culvert"),"Not possible ▲",IF(VLOOKUP(X250,'G-7 WaterC'' Data'!$AD$4:$AE$14,2,FALSE)=0,"Enrcoachment Data Missing ⚠",VLOOKUP(X250,'G-7 WaterC'' Data'!$AD$4:$AE$14,2,FALSE)))))</f>
        <v/>
      </c>
      <c r="Z250" s="106"/>
      <c r="AA250" s="282" t="str">
        <f>IF(Z250="","",IF(VLOOKUP(Z250,'G-7 WaterC'' Data'!$AO$4:$BO$7,2,FALSE)=0,"Spatial Data Missing ⚠",VLOOKUP(Z250,'G-7 WaterC'' Data'!$AO$4:$BO$7,2,FALSE)))</f>
        <v/>
      </c>
      <c r="AB250" s="323" t="str">
        <f t="shared" si="25"/>
        <v/>
      </c>
      <c r="AC250" s="323" t="str">
        <f t="shared" si="26"/>
        <v/>
      </c>
      <c r="AD250" s="105"/>
      <c r="AE250" s="968"/>
      <c r="AF250" s="142"/>
      <c r="AG250" s="142"/>
      <c r="AH250" s="964"/>
      <c r="AL250" s="30" t="str">
        <f>IFERROR(INDEX('G-7 WaterC'' Data'!$AZ$3:$AZ$7,MATCH(C250,'G-7 WaterC'' Data'!$AY$3:$AY$7,0)),"")</f>
        <v/>
      </c>
      <c r="AN250" s="30" t="str">
        <f t="shared" si="27"/>
        <v>No</v>
      </c>
    </row>
    <row r="251" spans="2:40" ht="13.8" x14ac:dyDescent="0.25">
      <c r="B251" s="101">
        <v>240</v>
      </c>
      <c r="C251" s="953"/>
      <c r="D251" s="119"/>
      <c r="E251" s="281" t="str">
        <f>IF(C251="","",VLOOKUP(C251,'G-7 WaterC'' Data'!$B$2:$Z$9,2,FALSE))</f>
        <v/>
      </c>
      <c r="F251" s="282" t="str">
        <f>IFERROR(VLOOKUP(E251,'G-7 WaterC'' Data'!$C$4:$D$8,2,FALSE),"")</f>
        <v/>
      </c>
      <c r="G251" s="52"/>
      <c r="H251" s="282" t="str">
        <f>IFERROR(INDEX('G-7 WaterC'' Data'!$H$4:$L$8,MATCH(C251,'G-7 WaterC'' Data'!$B$4:$B$8,0),MATCH(G251,'G-7 WaterC'' Data'!$H$3:$L$3,0)),"")</f>
        <v/>
      </c>
      <c r="I251" s="52"/>
      <c r="J251" s="320" t="str">
        <f>IF(I251="","",IF(VLOOKUP(I251,'G-7 WaterC'' Data'!$AK$4:$AM$6,2,FALSE)=0,"Spatial Data Missing ⚠",VLOOKUP(I251,'G-7 WaterC'' Data'!$AK$4:$AM$6,2,FALSE)))</f>
        <v/>
      </c>
      <c r="K251" s="282" t="str">
        <f>IF(I251="","",IF(VLOOKUP(I251,'G-7 WaterC'' Data'!$AK$4:$AM$6,3,FALSE)=0,"Spatial Data Missing ⚠",VLOOKUP(I251,'G-7 WaterC'' Data'!$AK$4:$AM$6,3,FALSE)))</f>
        <v/>
      </c>
      <c r="L251" s="382" t="str">
        <f>IFERROR(INDEX('G-7 WaterC'' Data'!$O$3:$O$7,MATCH(G251,'G-7 WaterC'' Data'!$N$3:$N$7,0)),"")</f>
        <v/>
      </c>
      <c r="M251" s="53"/>
      <c r="N251" s="137"/>
      <c r="O251" s="289" t="str">
        <f t="shared" si="21"/>
        <v/>
      </c>
      <c r="P251" s="302" t="str">
        <f t="shared" si="22"/>
        <v/>
      </c>
      <c r="Q251" s="340" t="str">
        <f>IFERROR(IF(P251="Check Data ⚠","Check Data ⚠",VLOOKUP(P251,'G-4 Temporal multipliers'!$A$4:$C$37,3,FALSE)),"")</f>
        <v/>
      </c>
      <c r="R251" s="281" t="str">
        <f>IF(C251="","",VLOOKUP(C251,'G-7 WaterC'' Data'!$B$4:$G$8,4,FALSE))</f>
        <v/>
      </c>
      <c r="S251" s="289" t="str">
        <f t="shared" si="23"/>
        <v/>
      </c>
      <c r="T251" s="320" t="str">
        <f t="shared" si="24"/>
        <v/>
      </c>
      <c r="U251" s="282" t="str">
        <f>IF(C251="","",VLOOKUP(T251,'G-3 Multipliers'!$P$2:$Q$6,2,FALSE))</f>
        <v/>
      </c>
      <c r="V251" s="106"/>
      <c r="W251" s="282" t="str">
        <f>IF(V251="","",IF(AND(V251="N/A - Culvert",C251&lt;&gt;"Culvert"),"Not possible ▲",IF(AND(C251="Culvert",V251&lt;&gt;"N/A - Culvert"),"Not possible ▲",IF(VLOOKUP(V251,'G-7 WaterC'' Data'!$AA$4:$AB$7,2,FALSE)=0,"Spatial Data Missing ⚠",VLOOKUP(V251,'G-7 WaterC'' Data'!$AA$4:$AB$7,2,FALSE)))))</f>
        <v/>
      </c>
      <c r="X251" s="56"/>
      <c r="Y251" s="282" t="str">
        <f>IF(X251="","",IF(AND(X251="N/A - Culvert", C251&lt;&gt;"Culvert"), "Not possible ▲",IF(AND(C251="Culvert",X251&lt;&gt;"N/A - Culvert"),"Not possible ▲",IF(VLOOKUP(X251,'G-7 WaterC'' Data'!$AD$4:$AE$14,2,FALSE)=0,"Enrcoachment Data Missing ⚠",VLOOKUP(X251,'G-7 WaterC'' Data'!$AD$4:$AE$14,2,FALSE)))))</f>
        <v/>
      </c>
      <c r="Z251" s="106"/>
      <c r="AA251" s="282" t="str">
        <f>IF(Z251="","",IF(VLOOKUP(Z251,'G-7 WaterC'' Data'!$AO$4:$BO$7,2,FALSE)=0,"Spatial Data Missing ⚠",VLOOKUP(Z251,'G-7 WaterC'' Data'!$AO$4:$BO$7,2,FALSE)))</f>
        <v/>
      </c>
      <c r="AB251" s="323" t="str">
        <f t="shared" si="25"/>
        <v/>
      </c>
      <c r="AC251" s="323" t="str">
        <f t="shared" si="26"/>
        <v/>
      </c>
      <c r="AD251" s="105"/>
      <c r="AE251" s="968"/>
      <c r="AF251" s="142"/>
      <c r="AG251" s="142"/>
      <c r="AH251" s="964"/>
      <c r="AL251" s="30" t="str">
        <f>IFERROR(INDEX('G-7 WaterC'' Data'!$AZ$3:$AZ$7,MATCH(C251,'G-7 WaterC'' Data'!$AY$3:$AY$7,0)),"")</f>
        <v/>
      </c>
      <c r="AN251" s="30" t="str">
        <f t="shared" si="27"/>
        <v>No</v>
      </c>
    </row>
    <row r="252" spans="2:40" ht="13.8" x14ac:dyDescent="0.25">
      <c r="B252" s="101">
        <v>241</v>
      </c>
      <c r="C252" s="953"/>
      <c r="D252" s="119"/>
      <c r="E252" s="281" t="str">
        <f>IF(C252="","",VLOOKUP(C252,'G-7 WaterC'' Data'!$B$2:$Z$9,2,FALSE))</f>
        <v/>
      </c>
      <c r="F252" s="282" t="str">
        <f>IFERROR(VLOOKUP(E252,'G-7 WaterC'' Data'!$C$4:$D$8,2,FALSE),"")</f>
        <v/>
      </c>
      <c r="G252" s="52"/>
      <c r="H252" s="282" t="str">
        <f>IFERROR(INDEX('G-7 WaterC'' Data'!$H$4:$L$8,MATCH(C252,'G-7 WaterC'' Data'!$B$4:$B$8,0),MATCH(G252,'G-7 WaterC'' Data'!$H$3:$L$3,0)),"")</f>
        <v/>
      </c>
      <c r="I252" s="52"/>
      <c r="J252" s="320" t="str">
        <f>IF(I252="","",IF(VLOOKUP(I252,'G-7 WaterC'' Data'!$AK$4:$AM$6,2,FALSE)=0,"Spatial Data Missing ⚠",VLOOKUP(I252,'G-7 WaterC'' Data'!$AK$4:$AM$6,2,FALSE)))</f>
        <v/>
      </c>
      <c r="K252" s="282" t="str">
        <f>IF(I252="","",IF(VLOOKUP(I252,'G-7 WaterC'' Data'!$AK$4:$AM$6,3,FALSE)=0,"Spatial Data Missing ⚠",VLOOKUP(I252,'G-7 WaterC'' Data'!$AK$4:$AM$6,3,FALSE)))</f>
        <v/>
      </c>
      <c r="L252" s="382" t="str">
        <f>IFERROR(INDEX('G-7 WaterC'' Data'!$O$3:$O$7,MATCH(G252,'G-7 WaterC'' Data'!$N$3:$N$7,0)),"")</f>
        <v/>
      </c>
      <c r="M252" s="53"/>
      <c r="N252" s="137"/>
      <c r="O252" s="289" t="str">
        <f t="shared" si="21"/>
        <v/>
      </c>
      <c r="P252" s="302" t="str">
        <f t="shared" si="22"/>
        <v/>
      </c>
      <c r="Q252" s="340" t="str">
        <f>IFERROR(IF(P252="Check Data ⚠","Check Data ⚠",VLOOKUP(P252,'G-4 Temporal multipliers'!$A$4:$C$37,3,FALSE)),"")</f>
        <v/>
      </c>
      <c r="R252" s="281" t="str">
        <f>IF(C252="","",VLOOKUP(C252,'G-7 WaterC'' Data'!$B$4:$G$8,4,FALSE))</f>
        <v/>
      </c>
      <c r="S252" s="289" t="str">
        <f t="shared" si="23"/>
        <v/>
      </c>
      <c r="T252" s="320" t="str">
        <f t="shared" si="24"/>
        <v/>
      </c>
      <c r="U252" s="282" t="str">
        <f>IF(C252="","",VLOOKUP(T252,'G-3 Multipliers'!$P$2:$Q$6,2,FALSE))</f>
        <v/>
      </c>
      <c r="V252" s="106"/>
      <c r="W252" s="282" t="str">
        <f>IF(V252="","",IF(AND(V252="N/A - Culvert",C252&lt;&gt;"Culvert"),"Not possible ▲",IF(AND(C252="Culvert",V252&lt;&gt;"N/A - Culvert"),"Not possible ▲",IF(VLOOKUP(V252,'G-7 WaterC'' Data'!$AA$4:$AB$7,2,FALSE)=0,"Spatial Data Missing ⚠",VLOOKUP(V252,'G-7 WaterC'' Data'!$AA$4:$AB$7,2,FALSE)))))</f>
        <v/>
      </c>
      <c r="X252" s="56"/>
      <c r="Y252" s="282" t="str">
        <f>IF(X252="","",IF(AND(X252="N/A - Culvert", C252&lt;&gt;"Culvert"), "Not possible ▲",IF(AND(C252="Culvert",X252&lt;&gt;"N/A - Culvert"),"Not possible ▲",IF(VLOOKUP(X252,'G-7 WaterC'' Data'!$AD$4:$AE$14,2,FALSE)=0,"Enrcoachment Data Missing ⚠",VLOOKUP(X252,'G-7 WaterC'' Data'!$AD$4:$AE$14,2,FALSE)))))</f>
        <v/>
      </c>
      <c r="Z252" s="106"/>
      <c r="AA252" s="282" t="str">
        <f>IF(Z252="","",IF(VLOOKUP(Z252,'G-7 WaterC'' Data'!$AO$4:$BO$7,2,FALSE)=0,"Spatial Data Missing ⚠",VLOOKUP(Z252,'G-7 WaterC'' Data'!$AO$4:$BO$7,2,FALSE)))</f>
        <v/>
      </c>
      <c r="AB252" s="323" t="str">
        <f t="shared" si="25"/>
        <v/>
      </c>
      <c r="AC252" s="323" t="str">
        <f t="shared" si="26"/>
        <v/>
      </c>
      <c r="AD252" s="105"/>
      <c r="AE252" s="968"/>
      <c r="AF252" s="142"/>
      <c r="AG252" s="142"/>
      <c r="AH252" s="964"/>
      <c r="AL252" s="30" t="str">
        <f>IFERROR(INDEX('G-7 WaterC'' Data'!$AZ$3:$AZ$7,MATCH(C252,'G-7 WaterC'' Data'!$AY$3:$AY$7,0)),"")</f>
        <v/>
      </c>
      <c r="AN252" s="30" t="str">
        <f t="shared" si="27"/>
        <v>No</v>
      </c>
    </row>
    <row r="253" spans="2:40" ht="13.8" x14ac:dyDescent="0.25">
      <c r="B253" s="101">
        <v>242</v>
      </c>
      <c r="C253" s="953"/>
      <c r="D253" s="119"/>
      <c r="E253" s="281" t="str">
        <f>IF(C253="","",VLOOKUP(C253,'G-7 WaterC'' Data'!$B$2:$Z$9,2,FALSE))</f>
        <v/>
      </c>
      <c r="F253" s="282" t="str">
        <f>IFERROR(VLOOKUP(E253,'G-7 WaterC'' Data'!$C$4:$D$8,2,FALSE),"")</f>
        <v/>
      </c>
      <c r="G253" s="52"/>
      <c r="H253" s="282" t="str">
        <f>IFERROR(INDEX('G-7 WaterC'' Data'!$H$4:$L$8,MATCH(C253,'G-7 WaterC'' Data'!$B$4:$B$8,0),MATCH(G253,'G-7 WaterC'' Data'!$H$3:$L$3,0)),"")</f>
        <v/>
      </c>
      <c r="I253" s="52"/>
      <c r="J253" s="320" t="str">
        <f>IF(I253="","",IF(VLOOKUP(I253,'G-7 WaterC'' Data'!$AK$4:$AM$6,2,FALSE)=0,"Spatial Data Missing ⚠",VLOOKUP(I253,'G-7 WaterC'' Data'!$AK$4:$AM$6,2,FALSE)))</f>
        <v/>
      </c>
      <c r="K253" s="282" t="str">
        <f>IF(I253="","",IF(VLOOKUP(I253,'G-7 WaterC'' Data'!$AK$4:$AM$6,3,FALSE)=0,"Spatial Data Missing ⚠",VLOOKUP(I253,'G-7 WaterC'' Data'!$AK$4:$AM$6,3,FALSE)))</f>
        <v/>
      </c>
      <c r="L253" s="382" t="str">
        <f>IFERROR(INDEX('G-7 WaterC'' Data'!$O$3:$O$7,MATCH(G253,'G-7 WaterC'' Data'!$N$3:$N$7,0)),"")</f>
        <v/>
      </c>
      <c r="M253" s="53"/>
      <c r="N253" s="137"/>
      <c r="O253" s="289" t="str">
        <f t="shared" si="21"/>
        <v/>
      </c>
      <c r="P253" s="302" t="str">
        <f t="shared" si="22"/>
        <v/>
      </c>
      <c r="Q253" s="340" t="str">
        <f>IFERROR(IF(P253="Check Data ⚠","Check Data ⚠",VLOOKUP(P253,'G-4 Temporal multipliers'!$A$4:$C$37,3,FALSE)),"")</f>
        <v/>
      </c>
      <c r="R253" s="281" t="str">
        <f>IF(C253="","",VLOOKUP(C253,'G-7 WaterC'' Data'!$B$4:$G$8,4,FALSE))</f>
        <v/>
      </c>
      <c r="S253" s="289" t="str">
        <f t="shared" si="23"/>
        <v/>
      </c>
      <c r="T253" s="320" t="str">
        <f t="shared" si="24"/>
        <v/>
      </c>
      <c r="U253" s="282" t="str">
        <f>IF(C253="","",VLOOKUP(T253,'G-3 Multipliers'!$P$2:$Q$6,2,FALSE))</f>
        <v/>
      </c>
      <c r="V253" s="106"/>
      <c r="W253" s="282" t="str">
        <f>IF(V253="","",IF(AND(V253="N/A - Culvert",C253&lt;&gt;"Culvert"),"Not possible ▲",IF(AND(C253="Culvert",V253&lt;&gt;"N/A - Culvert"),"Not possible ▲",IF(VLOOKUP(V253,'G-7 WaterC'' Data'!$AA$4:$AB$7,2,FALSE)=0,"Spatial Data Missing ⚠",VLOOKUP(V253,'G-7 WaterC'' Data'!$AA$4:$AB$7,2,FALSE)))))</f>
        <v/>
      </c>
      <c r="X253" s="56"/>
      <c r="Y253" s="282" t="str">
        <f>IF(X253="","",IF(AND(X253="N/A - Culvert", C253&lt;&gt;"Culvert"), "Not possible ▲",IF(AND(C253="Culvert",X253&lt;&gt;"N/A - Culvert"),"Not possible ▲",IF(VLOOKUP(X253,'G-7 WaterC'' Data'!$AD$4:$AE$14,2,FALSE)=0,"Enrcoachment Data Missing ⚠",VLOOKUP(X253,'G-7 WaterC'' Data'!$AD$4:$AE$14,2,FALSE)))))</f>
        <v/>
      </c>
      <c r="Z253" s="106"/>
      <c r="AA253" s="282" t="str">
        <f>IF(Z253="","",IF(VLOOKUP(Z253,'G-7 WaterC'' Data'!$AO$4:$BO$7,2,FALSE)=0,"Spatial Data Missing ⚠",VLOOKUP(Z253,'G-7 WaterC'' Data'!$AO$4:$BO$7,2,FALSE)))</f>
        <v/>
      </c>
      <c r="AB253" s="323" t="str">
        <f t="shared" si="25"/>
        <v/>
      </c>
      <c r="AC253" s="323" t="str">
        <f t="shared" si="26"/>
        <v/>
      </c>
      <c r="AD253" s="105"/>
      <c r="AE253" s="968"/>
      <c r="AF253" s="142"/>
      <c r="AG253" s="142"/>
      <c r="AH253" s="964"/>
      <c r="AL253" s="30" t="str">
        <f>IFERROR(INDEX('G-7 WaterC'' Data'!$AZ$3:$AZ$7,MATCH(C253,'G-7 WaterC'' Data'!$AY$3:$AY$7,0)),"")</f>
        <v/>
      </c>
      <c r="AN253" s="30" t="str">
        <f t="shared" si="27"/>
        <v>No</v>
      </c>
    </row>
    <row r="254" spans="2:40" ht="13.8" x14ac:dyDescent="0.25">
      <c r="B254" s="101">
        <v>243</v>
      </c>
      <c r="C254" s="953"/>
      <c r="D254" s="119"/>
      <c r="E254" s="281" t="str">
        <f>IF(C254="","",VLOOKUP(C254,'G-7 WaterC'' Data'!$B$2:$Z$9,2,FALSE))</f>
        <v/>
      </c>
      <c r="F254" s="282" t="str">
        <f>IFERROR(VLOOKUP(E254,'G-7 WaterC'' Data'!$C$4:$D$8,2,FALSE),"")</f>
        <v/>
      </c>
      <c r="G254" s="52"/>
      <c r="H254" s="282" t="str">
        <f>IFERROR(INDEX('G-7 WaterC'' Data'!$H$4:$L$8,MATCH(C254,'G-7 WaterC'' Data'!$B$4:$B$8,0),MATCH(G254,'G-7 WaterC'' Data'!$H$3:$L$3,0)),"")</f>
        <v/>
      </c>
      <c r="I254" s="52"/>
      <c r="J254" s="320" t="str">
        <f>IF(I254="","",IF(VLOOKUP(I254,'G-7 WaterC'' Data'!$AK$4:$AM$6,2,FALSE)=0,"Spatial Data Missing ⚠",VLOOKUP(I254,'G-7 WaterC'' Data'!$AK$4:$AM$6,2,FALSE)))</f>
        <v/>
      </c>
      <c r="K254" s="282" t="str">
        <f>IF(I254="","",IF(VLOOKUP(I254,'G-7 WaterC'' Data'!$AK$4:$AM$6,3,FALSE)=0,"Spatial Data Missing ⚠",VLOOKUP(I254,'G-7 WaterC'' Data'!$AK$4:$AM$6,3,FALSE)))</f>
        <v/>
      </c>
      <c r="L254" s="382" t="str">
        <f>IFERROR(INDEX('G-7 WaterC'' Data'!$O$3:$O$7,MATCH(G254,'G-7 WaterC'' Data'!$N$3:$N$7,0)),"")</f>
        <v/>
      </c>
      <c r="M254" s="53"/>
      <c r="N254" s="137"/>
      <c r="O254" s="289" t="str">
        <f t="shared" si="21"/>
        <v/>
      </c>
      <c r="P254" s="302" t="str">
        <f t="shared" si="22"/>
        <v/>
      </c>
      <c r="Q254" s="340" t="str">
        <f>IFERROR(IF(P254="Check Data ⚠","Check Data ⚠",VLOOKUP(P254,'G-4 Temporal multipliers'!$A$4:$C$37,3,FALSE)),"")</f>
        <v/>
      </c>
      <c r="R254" s="281" t="str">
        <f>IF(C254="","",VLOOKUP(C254,'G-7 WaterC'' Data'!$B$4:$G$8,4,FALSE))</f>
        <v/>
      </c>
      <c r="S254" s="289" t="str">
        <f t="shared" si="23"/>
        <v/>
      </c>
      <c r="T254" s="320" t="str">
        <f t="shared" si="24"/>
        <v/>
      </c>
      <c r="U254" s="282" t="str">
        <f>IF(C254="","",VLOOKUP(T254,'G-3 Multipliers'!$P$2:$Q$6,2,FALSE))</f>
        <v/>
      </c>
      <c r="V254" s="106"/>
      <c r="W254" s="282" t="str">
        <f>IF(V254="","",IF(AND(V254="N/A - Culvert",C254&lt;&gt;"Culvert"),"Not possible ▲",IF(AND(C254="Culvert",V254&lt;&gt;"N/A - Culvert"),"Not possible ▲",IF(VLOOKUP(V254,'G-7 WaterC'' Data'!$AA$4:$AB$7,2,FALSE)=0,"Spatial Data Missing ⚠",VLOOKUP(V254,'G-7 WaterC'' Data'!$AA$4:$AB$7,2,FALSE)))))</f>
        <v/>
      </c>
      <c r="X254" s="56"/>
      <c r="Y254" s="282" t="str">
        <f>IF(X254="","",IF(AND(X254="N/A - Culvert", C254&lt;&gt;"Culvert"), "Not possible ▲",IF(AND(C254="Culvert",X254&lt;&gt;"N/A - Culvert"),"Not possible ▲",IF(VLOOKUP(X254,'G-7 WaterC'' Data'!$AD$4:$AE$14,2,FALSE)=0,"Enrcoachment Data Missing ⚠",VLOOKUP(X254,'G-7 WaterC'' Data'!$AD$4:$AE$14,2,FALSE)))))</f>
        <v/>
      </c>
      <c r="Z254" s="106"/>
      <c r="AA254" s="282" t="str">
        <f>IF(Z254="","",IF(VLOOKUP(Z254,'G-7 WaterC'' Data'!$AO$4:$BO$7,2,FALSE)=0,"Spatial Data Missing ⚠",VLOOKUP(Z254,'G-7 WaterC'' Data'!$AO$4:$BO$7,2,FALSE)))</f>
        <v/>
      </c>
      <c r="AB254" s="323" t="str">
        <f t="shared" si="25"/>
        <v/>
      </c>
      <c r="AC254" s="323" t="str">
        <f t="shared" si="26"/>
        <v/>
      </c>
      <c r="AD254" s="105"/>
      <c r="AE254" s="968"/>
      <c r="AF254" s="142"/>
      <c r="AG254" s="142"/>
      <c r="AH254" s="964"/>
      <c r="AL254" s="30" t="str">
        <f>IFERROR(INDEX('G-7 WaterC'' Data'!$AZ$3:$AZ$7,MATCH(C254,'G-7 WaterC'' Data'!$AY$3:$AY$7,0)),"")</f>
        <v/>
      </c>
      <c r="AN254" s="30" t="str">
        <f t="shared" si="27"/>
        <v>No</v>
      </c>
    </row>
    <row r="255" spans="2:40" ht="13.8" x14ac:dyDescent="0.25">
      <c r="B255" s="101">
        <v>244</v>
      </c>
      <c r="C255" s="953"/>
      <c r="D255" s="119"/>
      <c r="E255" s="281" t="str">
        <f>IF(C255="","",VLOOKUP(C255,'G-7 WaterC'' Data'!$B$2:$Z$9,2,FALSE))</f>
        <v/>
      </c>
      <c r="F255" s="282" t="str">
        <f>IFERROR(VLOOKUP(E255,'G-7 WaterC'' Data'!$C$4:$D$8,2,FALSE),"")</f>
        <v/>
      </c>
      <c r="G255" s="52"/>
      <c r="H255" s="282" t="str">
        <f>IFERROR(INDEX('G-7 WaterC'' Data'!$H$4:$L$8,MATCH(C255,'G-7 WaterC'' Data'!$B$4:$B$8,0),MATCH(G255,'G-7 WaterC'' Data'!$H$3:$L$3,0)),"")</f>
        <v/>
      </c>
      <c r="I255" s="52"/>
      <c r="J255" s="320" t="str">
        <f>IF(I255="","",IF(VLOOKUP(I255,'G-7 WaterC'' Data'!$AK$4:$AM$6,2,FALSE)=0,"Spatial Data Missing ⚠",VLOOKUP(I255,'G-7 WaterC'' Data'!$AK$4:$AM$6,2,FALSE)))</f>
        <v/>
      </c>
      <c r="K255" s="282" t="str">
        <f>IF(I255="","",IF(VLOOKUP(I255,'G-7 WaterC'' Data'!$AK$4:$AM$6,3,FALSE)=0,"Spatial Data Missing ⚠",VLOOKUP(I255,'G-7 WaterC'' Data'!$AK$4:$AM$6,3,FALSE)))</f>
        <v/>
      </c>
      <c r="L255" s="382" t="str">
        <f>IFERROR(INDEX('G-7 WaterC'' Data'!$O$3:$O$7,MATCH(G255,'G-7 WaterC'' Data'!$N$3:$N$7,0)),"")</f>
        <v/>
      </c>
      <c r="M255" s="53"/>
      <c r="N255" s="137"/>
      <c r="O255" s="289" t="str">
        <f t="shared" si="21"/>
        <v/>
      </c>
      <c r="P255" s="302" t="str">
        <f t="shared" si="22"/>
        <v/>
      </c>
      <c r="Q255" s="340" t="str">
        <f>IFERROR(IF(P255="Check Data ⚠","Check Data ⚠",VLOOKUP(P255,'G-4 Temporal multipliers'!$A$4:$C$37,3,FALSE)),"")</f>
        <v/>
      </c>
      <c r="R255" s="281" t="str">
        <f>IF(C255="","",VLOOKUP(C255,'G-7 WaterC'' Data'!$B$4:$G$8,4,FALSE))</f>
        <v/>
      </c>
      <c r="S255" s="289" t="str">
        <f t="shared" si="23"/>
        <v/>
      </c>
      <c r="T255" s="320" t="str">
        <f t="shared" si="24"/>
        <v/>
      </c>
      <c r="U255" s="282" t="str">
        <f>IF(C255="","",VLOOKUP(T255,'G-3 Multipliers'!$P$2:$Q$6,2,FALSE))</f>
        <v/>
      </c>
      <c r="V255" s="106"/>
      <c r="W255" s="282" t="str">
        <f>IF(V255="","",IF(AND(V255="N/A - Culvert",C255&lt;&gt;"Culvert"),"Not possible ▲",IF(AND(C255="Culvert",V255&lt;&gt;"N/A - Culvert"),"Not possible ▲",IF(VLOOKUP(V255,'G-7 WaterC'' Data'!$AA$4:$AB$7,2,FALSE)=0,"Spatial Data Missing ⚠",VLOOKUP(V255,'G-7 WaterC'' Data'!$AA$4:$AB$7,2,FALSE)))))</f>
        <v/>
      </c>
      <c r="X255" s="56"/>
      <c r="Y255" s="282" t="str">
        <f>IF(X255="","",IF(AND(X255="N/A - Culvert", C255&lt;&gt;"Culvert"), "Not possible ▲",IF(AND(C255="Culvert",X255&lt;&gt;"N/A - Culvert"),"Not possible ▲",IF(VLOOKUP(X255,'G-7 WaterC'' Data'!$AD$4:$AE$14,2,FALSE)=0,"Enrcoachment Data Missing ⚠",VLOOKUP(X255,'G-7 WaterC'' Data'!$AD$4:$AE$14,2,FALSE)))))</f>
        <v/>
      </c>
      <c r="Z255" s="106"/>
      <c r="AA255" s="282" t="str">
        <f>IF(Z255="","",IF(VLOOKUP(Z255,'G-7 WaterC'' Data'!$AO$4:$BO$7,2,FALSE)=0,"Spatial Data Missing ⚠",VLOOKUP(Z255,'G-7 WaterC'' Data'!$AO$4:$BO$7,2,FALSE)))</f>
        <v/>
      </c>
      <c r="AB255" s="323" t="str">
        <f t="shared" si="25"/>
        <v/>
      </c>
      <c r="AC255" s="323" t="str">
        <f t="shared" si="26"/>
        <v/>
      </c>
      <c r="AD255" s="105"/>
      <c r="AE255" s="968"/>
      <c r="AF255" s="142"/>
      <c r="AG255" s="142"/>
      <c r="AH255" s="964"/>
      <c r="AL255" s="30" t="str">
        <f>IFERROR(INDEX('G-7 WaterC'' Data'!$AZ$3:$AZ$7,MATCH(C255,'G-7 WaterC'' Data'!$AY$3:$AY$7,0)),"")</f>
        <v/>
      </c>
      <c r="AN255" s="30" t="str">
        <f t="shared" si="27"/>
        <v>No</v>
      </c>
    </row>
    <row r="256" spans="2:40" ht="13.8" x14ac:dyDescent="0.25">
      <c r="B256" s="101">
        <v>245</v>
      </c>
      <c r="C256" s="953"/>
      <c r="D256" s="119"/>
      <c r="E256" s="281" t="str">
        <f>IF(C256="","",VLOOKUP(C256,'G-7 WaterC'' Data'!$B$2:$Z$9,2,FALSE))</f>
        <v/>
      </c>
      <c r="F256" s="282" t="str">
        <f>IFERROR(VLOOKUP(E256,'G-7 WaterC'' Data'!$C$4:$D$8,2,FALSE),"")</f>
        <v/>
      </c>
      <c r="G256" s="52"/>
      <c r="H256" s="282" t="str">
        <f>IFERROR(INDEX('G-7 WaterC'' Data'!$H$4:$L$8,MATCH(C256,'G-7 WaterC'' Data'!$B$4:$B$8,0),MATCH(G256,'G-7 WaterC'' Data'!$H$3:$L$3,0)),"")</f>
        <v/>
      </c>
      <c r="I256" s="52"/>
      <c r="J256" s="320" t="str">
        <f>IF(I256="","",IF(VLOOKUP(I256,'G-7 WaterC'' Data'!$AK$4:$AM$6,2,FALSE)=0,"Spatial Data Missing ⚠",VLOOKUP(I256,'G-7 WaterC'' Data'!$AK$4:$AM$6,2,FALSE)))</f>
        <v/>
      </c>
      <c r="K256" s="282" t="str">
        <f>IF(I256="","",IF(VLOOKUP(I256,'G-7 WaterC'' Data'!$AK$4:$AM$6,3,FALSE)=0,"Spatial Data Missing ⚠",VLOOKUP(I256,'G-7 WaterC'' Data'!$AK$4:$AM$6,3,FALSE)))</f>
        <v/>
      </c>
      <c r="L256" s="382" t="str">
        <f>IFERROR(INDEX('G-7 WaterC'' Data'!$O$3:$O$7,MATCH(G256,'G-7 WaterC'' Data'!$N$3:$N$7,0)),"")</f>
        <v/>
      </c>
      <c r="M256" s="53"/>
      <c r="N256" s="137"/>
      <c r="O256" s="289" t="str">
        <f t="shared" si="21"/>
        <v/>
      </c>
      <c r="P256" s="302" t="str">
        <f t="shared" si="22"/>
        <v/>
      </c>
      <c r="Q256" s="340" t="str">
        <f>IFERROR(IF(P256="Check Data ⚠","Check Data ⚠",VLOOKUP(P256,'G-4 Temporal multipliers'!$A$4:$C$37,3,FALSE)),"")</f>
        <v/>
      </c>
      <c r="R256" s="281" t="str">
        <f>IF(C256="","",VLOOKUP(C256,'G-7 WaterC'' Data'!$B$4:$G$8,4,FALSE))</f>
        <v/>
      </c>
      <c r="S256" s="289" t="str">
        <f t="shared" si="23"/>
        <v/>
      </c>
      <c r="T256" s="320" t="str">
        <f t="shared" si="24"/>
        <v/>
      </c>
      <c r="U256" s="282" t="str">
        <f>IF(C256="","",VLOOKUP(T256,'G-3 Multipliers'!$P$2:$Q$6,2,FALSE))</f>
        <v/>
      </c>
      <c r="V256" s="106"/>
      <c r="W256" s="282" t="str">
        <f>IF(V256="","",IF(AND(V256="N/A - Culvert",C256&lt;&gt;"Culvert"),"Not possible ▲",IF(AND(C256="Culvert",V256&lt;&gt;"N/A - Culvert"),"Not possible ▲",IF(VLOOKUP(V256,'G-7 WaterC'' Data'!$AA$4:$AB$7,2,FALSE)=0,"Spatial Data Missing ⚠",VLOOKUP(V256,'G-7 WaterC'' Data'!$AA$4:$AB$7,2,FALSE)))))</f>
        <v/>
      </c>
      <c r="X256" s="56"/>
      <c r="Y256" s="282" t="str">
        <f>IF(X256="","",IF(AND(X256="N/A - Culvert", C256&lt;&gt;"Culvert"), "Not possible ▲",IF(AND(C256="Culvert",X256&lt;&gt;"N/A - Culvert"),"Not possible ▲",IF(VLOOKUP(X256,'G-7 WaterC'' Data'!$AD$4:$AE$14,2,FALSE)=0,"Enrcoachment Data Missing ⚠",VLOOKUP(X256,'G-7 WaterC'' Data'!$AD$4:$AE$14,2,FALSE)))))</f>
        <v/>
      </c>
      <c r="Z256" s="106"/>
      <c r="AA256" s="282" t="str">
        <f>IF(Z256="","",IF(VLOOKUP(Z256,'G-7 WaterC'' Data'!$AO$4:$BO$7,2,FALSE)=0,"Spatial Data Missing ⚠",VLOOKUP(Z256,'G-7 WaterC'' Data'!$AO$4:$BO$7,2,FALSE)))</f>
        <v/>
      </c>
      <c r="AB256" s="323" t="str">
        <f t="shared" si="25"/>
        <v/>
      </c>
      <c r="AC256" s="323" t="str">
        <f t="shared" si="26"/>
        <v/>
      </c>
      <c r="AD256" s="105"/>
      <c r="AE256" s="968"/>
      <c r="AF256" s="142"/>
      <c r="AG256" s="142"/>
      <c r="AH256" s="964"/>
      <c r="AL256" s="30" t="str">
        <f>IFERROR(INDEX('G-7 WaterC'' Data'!$AZ$3:$AZ$7,MATCH(C256,'G-7 WaterC'' Data'!$AY$3:$AY$7,0)),"")</f>
        <v/>
      </c>
      <c r="AN256" s="30" t="str">
        <f t="shared" si="27"/>
        <v>No</v>
      </c>
    </row>
    <row r="257" spans="2:40" ht="13.8" x14ac:dyDescent="0.25">
      <c r="B257" s="101">
        <v>246</v>
      </c>
      <c r="C257" s="953"/>
      <c r="D257" s="119"/>
      <c r="E257" s="281" t="str">
        <f>IF(C257="","",VLOOKUP(C257,'G-7 WaterC'' Data'!$B$2:$Z$9,2,FALSE))</f>
        <v/>
      </c>
      <c r="F257" s="282" t="str">
        <f>IFERROR(VLOOKUP(E257,'G-7 WaterC'' Data'!$C$4:$D$8,2,FALSE),"")</f>
        <v/>
      </c>
      <c r="G257" s="52"/>
      <c r="H257" s="282" t="str">
        <f>IFERROR(INDEX('G-7 WaterC'' Data'!$H$4:$L$8,MATCH(C257,'G-7 WaterC'' Data'!$B$4:$B$8,0),MATCH(G257,'G-7 WaterC'' Data'!$H$3:$L$3,0)),"")</f>
        <v/>
      </c>
      <c r="I257" s="52"/>
      <c r="J257" s="320" t="str">
        <f>IF(I257="","",IF(VLOOKUP(I257,'G-7 WaterC'' Data'!$AK$4:$AM$6,2,FALSE)=0,"Spatial Data Missing ⚠",VLOOKUP(I257,'G-7 WaterC'' Data'!$AK$4:$AM$6,2,FALSE)))</f>
        <v/>
      </c>
      <c r="K257" s="282" t="str">
        <f>IF(I257="","",IF(VLOOKUP(I257,'G-7 WaterC'' Data'!$AK$4:$AM$6,3,FALSE)=0,"Spatial Data Missing ⚠",VLOOKUP(I257,'G-7 WaterC'' Data'!$AK$4:$AM$6,3,FALSE)))</f>
        <v/>
      </c>
      <c r="L257" s="382" t="str">
        <f>IFERROR(INDEX('G-7 WaterC'' Data'!$O$3:$O$7,MATCH(G257,'G-7 WaterC'' Data'!$N$3:$N$7,0)),"")</f>
        <v/>
      </c>
      <c r="M257" s="53"/>
      <c r="N257" s="137"/>
      <c r="O257" s="289" t="str">
        <f t="shared" si="21"/>
        <v/>
      </c>
      <c r="P257" s="302" t="str">
        <f t="shared" si="22"/>
        <v/>
      </c>
      <c r="Q257" s="340" t="str">
        <f>IFERROR(IF(P257="Check Data ⚠","Check Data ⚠",VLOOKUP(P257,'G-4 Temporal multipliers'!$A$4:$C$37,3,FALSE)),"")</f>
        <v/>
      </c>
      <c r="R257" s="281" t="str">
        <f>IF(C257="","",VLOOKUP(C257,'G-7 WaterC'' Data'!$B$4:$G$8,4,FALSE))</f>
        <v/>
      </c>
      <c r="S257" s="289" t="str">
        <f t="shared" si="23"/>
        <v/>
      </c>
      <c r="T257" s="320" t="str">
        <f t="shared" si="24"/>
        <v/>
      </c>
      <c r="U257" s="282" t="str">
        <f>IF(C257="","",VLOOKUP(T257,'G-3 Multipliers'!$P$2:$Q$6,2,FALSE))</f>
        <v/>
      </c>
      <c r="V257" s="106"/>
      <c r="W257" s="282" t="str">
        <f>IF(V257="","",IF(AND(V257="N/A - Culvert",C257&lt;&gt;"Culvert"),"Not possible ▲",IF(AND(C257="Culvert",V257&lt;&gt;"N/A - Culvert"),"Not possible ▲",IF(VLOOKUP(V257,'G-7 WaterC'' Data'!$AA$4:$AB$7,2,FALSE)=0,"Spatial Data Missing ⚠",VLOOKUP(V257,'G-7 WaterC'' Data'!$AA$4:$AB$7,2,FALSE)))))</f>
        <v/>
      </c>
      <c r="X257" s="56"/>
      <c r="Y257" s="282" t="str">
        <f>IF(X257="","",IF(AND(X257="N/A - Culvert", C257&lt;&gt;"Culvert"), "Not possible ▲",IF(AND(C257="Culvert",X257&lt;&gt;"N/A - Culvert"),"Not possible ▲",IF(VLOOKUP(X257,'G-7 WaterC'' Data'!$AD$4:$AE$14,2,FALSE)=0,"Enrcoachment Data Missing ⚠",VLOOKUP(X257,'G-7 WaterC'' Data'!$AD$4:$AE$14,2,FALSE)))))</f>
        <v/>
      </c>
      <c r="Z257" s="106"/>
      <c r="AA257" s="282" t="str">
        <f>IF(Z257="","",IF(VLOOKUP(Z257,'G-7 WaterC'' Data'!$AO$4:$BO$7,2,FALSE)=0,"Spatial Data Missing ⚠",VLOOKUP(Z257,'G-7 WaterC'' Data'!$AO$4:$BO$7,2,FALSE)))</f>
        <v/>
      </c>
      <c r="AB257" s="323" t="str">
        <f t="shared" si="25"/>
        <v/>
      </c>
      <c r="AC257" s="323" t="str">
        <f t="shared" si="26"/>
        <v/>
      </c>
      <c r="AD257" s="105"/>
      <c r="AE257" s="968"/>
      <c r="AF257" s="142"/>
      <c r="AG257" s="142"/>
      <c r="AH257" s="964"/>
      <c r="AL257" s="30" t="str">
        <f>IFERROR(INDEX('G-7 WaterC'' Data'!$AZ$3:$AZ$7,MATCH(C257,'G-7 WaterC'' Data'!$AY$3:$AY$7,0)),"")</f>
        <v/>
      </c>
      <c r="AN257" s="30" t="str">
        <f t="shared" si="27"/>
        <v>No</v>
      </c>
    </row>
    <row r="258" spans="2:40" ht="13.8" x14ac:dyDescent="0.25">
      <c r="B258" s="101">
        <v>247</v>
      </c>
      <c r="C258" s="953"/>
      <c r="D258" s="119"/>
      <c r="E258" s="281" t="str">
        <f>IF(C258="","",VLOOKUP(C258,'G-7 WaterC'' Data'!$B$2:$Z$9,2,FALSE))</f>
        <v/>
      </c>
      <c r="F258" s="282" t="str">
        <f>IFERROR(VLOOKUP(E258,'G-7 WaterC'' Data'!$C$4:$D$8,2,FALSE),"")</f>
        <v/>
      </c>
      <c r="G258" s="52"/>
      <c r="H258" s="282" t="str">
        <f>IFERROR(INDEX('G-7 WaterC'' Data'!$H$4:$L$8,MATCH(C258,'G-7 WaterC'' Data'!$B$4:$B$8,0),MATCH(G258,'G-7 WaterC'' Data'!$H$3:$L$3,0)),"")</f>
        <v/>
      </c>
      <c r="I258" s="52"/>
      <c r="J258" s="320" t="str">
        <f>IF(I258="","",IF(VLOOKUP(I258,'G-7 WaterC'' Data'!$AK$4:$AM$6,2,FALSE)=0,"Spatial Data Missing ⚠",VLOOKUP(I258,'G-7 WaterC'' Data'!$AK$4:$AM$6,2,FALSE)))</f>
        <v/>
      </c>
      <c r="K258" s="282" t="str">
        <f>IF(I258="","",IF(VLOOKUP(I258,'G-7 WaterC'' Data'!$AK$4:$AM$6,3,FALSE)=0,"Spatial Data Missing ⚠",VLOOKUP(I258,'G-7 WaterC'' Data'!$AK$4:$AM$6,3,FALSE)))</f>
        <v/>
      </c>
      <c r="L258" s="382" t="str">
        <f>IFERROR(INDEX('G-7 WaterC'' Data'!$O$3:$O$7,MATCH(G258,'G-7 WaterC'' Data'!$N$3:$N$7,0)),"")</f>
        <v/>
      </c>
      <c r="M258" s="53"/>
      <c r="N258" s="137"/>
      <c r="O258" s="289" t="str">
        <f t="shared" si="21"/>
        <v/>
      </c>
      <c r="P258" s="302" t="str">
        <f t="shared" si="22"/>
        <v/>
      </c>
      <c r="Q258" s="340" t="str">
        <f>IFERROR(IF(P258="Check Data ⚠","Check Data ⚠",VLOOKUP(P258,'G-4 Temporal multipliers'!$A$4:$C$37,3,FALSE)),"")</f>
        <v/>
      </c>
      <c r="R258" s="281" t="str">
        <f>IF(C258="","",VLOOKUP(C258,'G-7 WaterC'' Data'!$B$4:$G$8,4,FALSE))</f>
        <v/>
      </c>
      <c r="S258" s="289" t="str">
        <f t="shared" si="23"/>
        <v/>
      </c>
      <c r="T258" s="320" t="str">
        <f>(IF(AND(S258="Standard difficulty applied",L258&gt;M258),R258,IF(AND(S258="No - Low Difficulty - only applicable if all habitat created before losses ⚠",M258&gt;=L258),"Low",R258)))</f>
        <v/>
      </c>
      <c r="U258" s="282" t="str">
        <f>IF(C258="","",VLOOKUP(T258,'G-3 Multipliers'!$P$2:$Q$6,2,FALSE))</f>
        <v/>
      </c>
      <c r="V258" s="106"/>
      <c r="W258" s="282" t="str">
        <f>IF(V258="","",IF(AND(V258="N/A - Culvert",C258&lt;&gt;"Culvert"),"Not possible ▲",IF(AND(C258="Culvert",V258&lt;&gt;"N/A - Culvert"),"Not possible ▲",IF(VLOOKUP(V258,'G-7 WaterC'' Data'!$AA$4:$AB$7,2,FALSE)=0,"Spatial Data Missing ⚠",VLOOKUP(V258,'G-7 WaterC'' Data'!$AA$4:$AB$7,2,FALSE)))))</f>
        <v/>
      </c>
      <c r="X258" s="56"/>
      <c r="Y258" s="282" t="str">
        <f>IF(X258="","",IF(AND(X258="N/A - Culvert", C258&lt;&gt;"Culvert"), "Not possible ▲",IF(AND(C258="Culvert",X258&lt;&gt;"N/A - Culvert"),"Not possible ▲",IF(VLOOKUP(X258,'G-7 WaterC'' Data'!$AD$4:$AE$14,2,FALSE)=0,"Enrcoachment Data Missing ⚠",VLOOKUP(X258,'G-7 WaterC'' Data'!$AD$4:$AE$14,2,FALSE)))))</f>
        <v/>
      </c>
      <c r="Z258" s="106"/>
      <c r="AA258" s="282" t="str">
        <f>IF(Z258="","",IF(VLOOKUP(Z258,'G-7 WaterC'' Data'!$AO$4:$BO$7,2,FALSE)=0,"Spatial Data Missing ⚠",VLOOKUP(Z258,'G-7 WaterC'' Data'!$AO$4:$BO$7,2,FALSE)))</f>
        <v/>
      </c>
      <c r="AB258" s="323" t="str">
        <f t="shared" si="25"/>
        <v/>
      </c>
      <c r="AC258" s="323" t="str">
        <f t="shared" si="26"/>
        <v/>
      </c>
      <c r="AD258" s="105"/>
      <c r="AE258" s="968"/>
      <c r="AF258" s="142"/>
      <c r="AG258" s="142"/>
      <c r="AH258" s="964"/>
      <c r="AL258" s="30" t="str">
        <f>IFERROR(INDEX('G-7 WaterC'' Data'!$AZ$3:$AZ$7,MATCH(C258,'G-7 WaterC'' Data'!$AY$3:$AY$7,0)),"")</f>
        <v/>
      </c>
      <c r="AN258" s="30" t="str">
        <f t="shared" si="27"/>
        <v>No</v>
      </c>
    </row>
    <row r="259" spans="2:40" ht="14.4" thickBot="1" x14ac:dyDescent="0.3">
      <c r="B259" s="113">
        <v>248</v>
      </c>
      <c r="C259" s="954"/>
      <c r="D259" s="114"/>
      <c r="E259" s="283" t="str">
        <f>IF(C259="","",VLOOKUP(C259,'G-7 WaterC'' Data'!$B$2:$Z$9,2,FALSE))</f>
        <v/>
      </c>
      <c r="F259" s="284" t="str">
        <f>IFERROR(VLOOKUP(E259,'G-7 WaterC'' Data'!$C$4:$D$8,2,FALSE),"")</f>
        <v/>
      </c>
      <c r="G259" s="52"/>
      <c r="H259" s="284" t="str">
        <f>IFERROR(INDEX('G-7 WaterC'' Data'!$H$4:$L$8,MATCH(C259,'G-7 WaterC'' Data'!$B$4:$B$8,0),MATCH(G259,'G-7 WaterC'' Data'!$H$3:$L$3,0)),"")</f>
        <v/>
      </c>
      <c r="I259" s="52"/>
      <c r="J259" s="320" t="str">
        <f>IF(I259="","",IF(VLOOKUP(I259,'G-7 WaterC'' Data'!$AK$4:$AM$6,2,FALSE)=0,"Spatial Data Missing ⚠",VLOOKUP(I259,'G-7 WaterC'' Data'!$AK$4:$AM$6,2,FALSE)))</f>
        <v/>
      </c>
      <c r="K259" s="282" t="str">
        <f>IF(I259="","",IF(VLOOKUP(I259,'G-7 WaterC'' Data'!$AK$4:$AM$6,3,FALSE)=0,"Spatial Data Missing ⚠",VLOOKUP(I259,'G-7 WaterC'' Data'!$AK$4:$AM$6,3,FALSE)))</f>
        <v/>
      </c>
      <c r="L259" s="383" t="str">
        <f>IFERROR(INDEX('G-7 WaterC'' Data'!$O$3:$O$7,MATCH(G259,'G-7 WaterC'' Data'!$N$3:$N$7,0)),"")</f>
        <v/>
      </c>
      <c r="M259" s="53"/>
      <c r="N259" s="145"/>
      <c r="O259" s="289" t="str">
        <f t="shared" si="21"/>
        <v/>
      </c>
      <c r="P259" s="302" t="str">
        <f t="shared" si="22"/>
        <v/>
      </c>
      <c r="Q259" s="340" t="str">
        <f>IFERROR(IF(P259="Check Data ⚠","Check Data ⚠",VLOOKUP(P259,'G-4 Temporal multipliers'!$A$4:$C$37,3,FALSE)),"")</f>
        <v/>
      </c>
      <c r="R259" s="283" t="str">
        <f>IF(C259="","",VLOOKUP(C259,'G-7 WaterC'' Data'!$B$4:$G$8,4,FALSE))</f>
        <v/>
      </c>
      <c r="S259" s="289" t="str">
        <f t="shared" si="23"/>
        <v/>
      </c>
      <c r="T259" s="320" t="str">
        <f t="shared" si="24"/>
        <v/>
      </c>
      <c r="U259" s="282" t="str">
        <f>IF(C259="","",VLOOKUP(T259,'G-3 Multipliers'!$P$2:$Q$6,2,FALSE))</f>
        <v/>
      </c>
      <c r="V259" s="106"/>
      <c r="W259" s="282" t="str">
        <f>IF(V259="","",IF(AND(V259="N/A - Culvert",C259&lt;&gt;"Culvert"),"Not possible ▲",IF(AND(C259="Culvert",V259&lt;&gt;"N/A - Culvert"),"Not possible ▲",IF(VLOOKUP(V259,'G-7 WaterC'' Data'!$AA$4:$AB$7,2,FALSE)=0,"Spatial Data Missing ⚠",VLOOKUP(V259,'G-7 WaterC'' Data'!$AA$4:$AB$7,2,FALSE)))))</f>
        <v/>
      </c>
      <c r="X259" s="56"/>
      <c r="Y259" s="282" t="str">
        <f>IF(X259="","",IF(AND(X259="N/A - Culvert", C259&lt;&gt;"Culvert"), "Not possible ▲",IF(AND(C259="Culvert",X259&lt;&gt;"N/A - Culvert"),"Not possible ▲",IF(VLOOKUP(X259,'G-7 WaterC'' Data'!$AD$4:$AE$14,2,FALSE)=0,"Enrcoachment Data Missing ⚠",VLOOKUP(X259,'G-7 WaterC'' Data'!$AD$4:$AE$14,2,FALSE)))))</f>
        <v/>
      </c>
      <c r="Z259" s="106"/>
      <c r="AA259" s="282" t="str">
        <f>IF(Z259="","",IF(VLOOKUP(Z259,'G-7 WaterC'' Data'!$AO$4:$BO$7,2,FALSE)=0,"Spatial Data Missing ⚠",VLOOKUP(Z259,'G-7 WaterC'' Data'!$AO$4:$BO$7,2,FALSE)))</f>
        <v/>
      </c>
      <c r="AB259" s="324" t="str">
        <f t="shared" si="25"/>
        <v/>
      </c>
      <c r="AC259" s="323" t="str">
        <f t="shared" si="26"/>
        <v/>
      </c>
      <c r="AD259" s="115"/>
      <c r="AE259" s="240"/>
      <c r="AF259" s="145"/>
      <c r="AG259" s="145"/>
      <c r="AH259" s="971"/>
      <c r="AL259" s="30" t="str">
        <f>IFERROR(INDEX('G-7 WaterC'' Data'!$AZ$3:$AZ$7,MATCH(C259,'G-7 WaterC'' Data'!$AY$3:$AY$7,0)),"")</f>
        <v/>
      </c>
      <c r="AN259" s="30" t="str">
        <f t="shared" si="27"/>
        <v>No</v>
      </c>
    </row>
    <row r="260" spans="2:40" ht="14.4" thickBot="1" x14ac:dyDescent="0.3">
      <c r="B260" s="34"/>
      <c r="C260" s="182"/>
      <c r="D260" s="285">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775"/>
      <c r="AA260" s="1776"/>
      <c r="AB260" s="285">
        <f>SUM(AB12:AB259)</f>
        <v>0</v>
      </c>
      <c r="AC260" s="285">
        <f>SUM(AC12:AC259)</f>
        <v>0</v>
      </c>
      <c r="AN260" s="30" t="str">
        <f t="shared" si="27"/>
        <v>No</v>
      </c>
    </row>
    <row r="261" spans="2:40" ht="29.1" customHeight="1" x14ac:dyDescent="0.25"/>
    <row r="262" spans="2:40" ht="27" customHeight="1" x14ac:dyDescent="0.25"/>
    <row r="263" spans="2:40" ht="13.8" x14ac:dyDescent="0.25"/>
    <row r="264" spans="2:40" ht="13.8" x14ac:dyDescent="0.25"/>
    <row r="265" spans="2:40" ht="13.8" hidden="1" x14ac:dyDescent="0.25"/>
    <row r="266" spans="2:40" ht="13.8" hidden="1" x14ac:dyDescent="0.25"/>
    <row r="267" spans="2:40" ht="13.8" hidden="1" x14ac:dyDescent="0.25"/>
  </sheetData>
  <sheetProtection algorithmName="SHA-512" hashValue="ErdtcetTw9WrmQGkrzq1SCa7aGONTIr8Qvxlo5fmfFA/DoKGYKHJ3hAdEjqJyeUJuc3TaCEyEQIHZtqPr6FXOw==" saltValue="+xQiIUvFQ+Tb4DxYKWrmy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D10:AH10"/>
    <mergeCell ref="AC10:AC11"/>
    <mergeCell ref="P2:U6"/>
    <mergeCell ref="F4:K4"/>
    <mergeCell ref="F3:K3"/>
    <mergeCell ref="F2:O2"/>
    <mergeCell ref="V2:AB5"/>
    <mergeCell ref="F5:K5"/>
    <mergeCell ref="L5:O5"/>
  </mergeCells>
  <conditionalFormatting sqref="H12:H259">
    <cfRule type="beginsWith" dxfId="139" priority="30" operator="beginsWith" text="Not Possible">
      <formula>LEFT(H12,LEN("Not Possible"))="Not Possible"</formula>
    </cfRule>
  </conditionalFormatting>
  <conditionalFormatting sqref="J12:K259">
    <cfRule type="containsText" dxfId="138" priority="29" operator="containsText" text="Spatial">
      <formula>NOT(ISERROR(SEARCH("Spatial",J12)))</formula>
    </cfRule>
  </conditionalFormatting>
  <conditionalFormatting sqref="O12:AB259">
    <cfRule type="containsText" dxfId="137" priority="27" operator="containsText" text="Check">
      <formula>NOT(ISERROR(SEARCH("Check",O12)))</formula>
    </cfRule>
    <cfRule type="containsText" dxfId="136" priority="28" operator="containsText" text="Error">
      <formula>NOT(ISERROR(SEARCH("Error",O12)))</formula>
    </cfRule>
  </conditionalFormatting>
  <conditionalFormatting sqref="L12:Q259">
    <cfRule type="containsText" dxfId="135" priority="26" operator="containsText" text="30+">
      <formula>NOT(ISERROR(SEARCH("30+",L12)))</formula>
    </cfRule>
  </conditionalFormatting>
  <conditionalFormatting sqref="L6:O6 P2">
    <cfRule type="containsText" dxfId="134" priority="25" operator="containsText" text="Note">
      <formula>NOT(ISERROR(SEARCH("Note",L2)))</formula>
    </cfRule>
  </conditionalFormatting>
  <conditionalFormatting sqref="W12:Y259">
    <cfRule type="containsText" dxfId="133" priority="24" operator="containsText" text="Spatial">
      <formula>NOT(ISERROR(SEARCH("Spatial",W12)))</formula>
    </cfRule>
  </conditionalFormatting>
  <conditionalFormatting sqref="L3">
    <cfRule type="containsText" dxfId="132" priority="22" operator="containsText" text="Error">
      <formula>NOT(ISERROR(SEARCH("Error",L3)))</formula>
    </cfRule>
    <cfRule type="containsText" dxfId="131" priority="23" operator="containsText" text="Check">
      <formula>NOT(ISERROR(SEARCH("Check",L3)))</formula>
    </cfRule>
  </conditionalFormatting>
  <conditionalFormatting sqref="L4">
    <cfRule type="containsText" dxfId="130" priority="5" operator="containsText" text="Error">
      <formula>NOT(ISERROR(SEARCH("Error",L4)))</formula>
    </cfRule>
    <cfRule type="containsText" dxfId="129" priority="12" operator="containsText" text="Check">
      <formula>NOT(ISERROR(SEARCH("Check",L4)))</formula>
    </cfRule>
  </conditionalFormatting>
  <conditionalFormatting sqref="V2:AC5">
    <cfRule type="containsText" dxfId="128" priority="17" operator="containsText" text="Check">
      <formula>NOT(ISERROR(SEARCH("Check",V2)))</formula>
    </cfRule>
  </conditionalFormatting>
  <conditionalFormatting sqref="L5">
    <cfRule type="containsText" dxfId="127" priority="15" operator="containsText" text="No">
      <formula>NOT(ISERROR(SEARCH("No",L5)))</formula>
    </cfRule>
    <cfRule type="containsText" dxfId="126" priority="16" operator="containsText" text="Yes">
      <formula>NOT(ISERROR(SEARCH("Yes",L5)))</formula>
    </cfRule>
  </conditionalFormatting>
  <conditionalFormatting sqref="AC12:AC259">
    <cfRule type="containsText" dxfId="125" priority="2" operator="containsText" text="▲">
      <formula>NOT(ISERROR(SEARCH("▲",AC12)))</formula>
    </cfRule>
    <cfRule type="containsText" dxfId="124" priority="13" operator="containsText" text="Check">
      <formula>NOT(ISERROR(SEARCH("Check",AC12)))</formula>
    </cfRule>
    <cfRule type="containsText" dxfId="123" priority="14" operator="containsText" text="Error">
      <formula>NOT(ISERROR(SEARCH("Error",AC12)))</formula>
    </cfRule>
  </conditionalFormatting>
  <conditionalFormatting sqref="L4:O4">
    <cfRule type="cellIs" dxfId="122" priority="11" operator="equal">
      <formula>0</formula>
    </cfRule>
    <cfRule type="cellIs" dxfId="121" priority="459" operator="lessThan">
      <formula>0</formula>
    </cfRule>
  </conditionalFormatting>
  <conditionalFormatting sqref="L3:O5">
    <cfRule type="containsText" dxfId="120" priority="10" operator="containsText" text="N/A">
      <formula>NOT(ISERROR(SEARCH("N/A",L3)))</formula>
    </cfRule>
  </conditionalFormatting>
  <conditionalFormatting sqref="W1:W1048576">
    <cfRule type="containsText" dxfId="119" priority="7" operator="containsText" text="Not possible">
      <formula>NOT(ISERROR(SEARCH("Not possible",W1)))</formula>
    </cfRule>
  </conditionalFormatting>
  <conditionalFormatting sqref="Y12:Y259">
    <cfRule type="containsText" dxfId="118" priority="6" operator="containsText" text="Not possible">
      <formula>NOT(ISERROR(SEARCH("Not possible",Y12)))</formula>
    </cfRule>
  </conditionalFormatting>
  <conditionalFormatting sqref="J1:J1048576">
    <cfRule type="containsText" dxfId="117" priority="4" operator="containsText" text="Possible">
      <formula>NOT(ISERROR(SEARCH("Possible",J1)))</formula>
    </cfRule>
  </conditionalFormatting>
  <conditionalFormatting sqref="S1:S1048576">
    <cfRule type="containsText" dxfId="116" priority="3" operator="containsText" text="⚠">
      <formula>NOT(ISERROR(SEARCH("⚠",S1)))</formula>
    </cfRule>
  </conditionalFormatting>
  <conditionalFormatting sqref="AG12:AG259">
    <cfRule type="expression" dxfId="115" priority="1">
      <formula>$AC12="Off-site reference required ▲"</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8" id="{CABAB0DC-1B49-452B-9AC4-0067D8DE0031}">
            <xm:f>'Headline Results'!$H$10:$I$10=0</xm:f>
            <x14:dxf>
              <font>
                <color auto="1"/>
              </font>
              <fill>
                <patternFill>
                  <bgColor rgb="FFE0DCD3"/>
                </patternFill>
              </fill>
            </x14:dxf>
          </x14:cfRule>
          <xm:sqref>L4:O4</xm:sqref>
        </x14:conditionalFormatting>
        <x14:conditionalFormatting xmlns:xm="http://schemas.microsoft.com/office/excel/2006/main">
          <x14:cfRule type="cellIs" priority="9" operator="lessThan" id="{ACB35EB0-74C0-41D6-8DE8-9B58D5CE6B24}">
            <xm:f>Start!$F$22</xm:f>
            <x14:dxf>
              <font>
                <color rgb="FF383745"/>
              </font>
              <fill>
                <patternFill>
                  <bgColor rgb="FFFFC000"/>
                </patternFill>
              </fill>
            </x14:dxf>
          </x14:cfRule>
          <x14:cfRule type="cellIs" priority="460"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 type="list" allowBlank="1" showInputMessage="1" showErrorMessage="1" xr:uid="{9442DC46-4985-4B82-B5E3-3272BAF6E87B}">
          <x14:formula1>
            <xm:f>'G-7 WaterC'' Data'!$AK$4:$AK$6</xm:f>
          </x14:formula1>
          <xm:sqref>I12:I259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pageSetUpPr autoPageBreaks="0"/>
  </sheetPr>
  <dimension ref="B1:BJ266"/>
  <sheetViews>
    <sheetView zoomScale="80" zoomScaleNormal="80" workbookViewId="0">
      <pane ySplit="11" topLeftCell="A12" activePane="bottomLeft" state="frozen"/>
      <selection pane="bottomLeft" activeCell="N13" sqref="N13"/>
    </sheetView>
  </sheetViews>
  <sheetFormatPr defaultColWidth="20.6640625" defaultRowHeight="0" customHeight="1" zeroHeight="1" x14ac:dyDescent="0.25"/>
  <cols>
    <col min="1" max="1" width="2.6640625" style="30" customWidth="1"/>
    <col min="2" max="2" width="14.33203125" style="30" customWidth="1"/>
    <col min="3" max="3" width="51.33203125" style="30" customWidth="1"/>
    <col min="4" max="4" width="10.44140625" style="30" customWidth="1"/>
    <col min="5" max="5" width="17.44140625" style="30" customWidth="1"/>
    <col min="6" max="6" width="17.5546875" style="30" customWidth="1"/>
    <col min="7" max="7" width="18.33203125" style="30" customWidth="1"/>
    <col min="8" max="8" width="19.33203125" style="30" customWidth="1"/>
    <col min="9" max="9" width="34.5546875" style="30" customWidth="1"/>
    <col min="10" max="13" width="19.33203125" style="30" customWidth="1"/>
    <col min="14" max="14" width="56.6640625" style="30" customWidth="1"/>
    <col min="15" max="15" width="34.33203125" style="30" customWidth="1"/>
    <col min="16" max="16" width="45.6640625" style="30" customWidth="1"/>
    <col min="17" max="17" width="9.6640625" style="30" customWidth="1"/>
    <col min="18" max="18" width="18.33203125" style="30" customWidth="1"/>
    <col min="19" max="19" width="13.33203125" style="30" customWidth="1"/>
    <col min="20" max="20" width="12.5546875" style="30" bestFit="1" customWidth="1"/>
    <col min="21" max="21" width="12.5546875" style="30" customWidth="1"/>
    <col min="22" max="22" width="33.6640625" style="30" customWidth="1"/>
    <col min="23" max="23" width="15.44140625" style="30" customWidth="1"/>
    <col min="24" max="24" width="16.33203125" style="30" customWidth="1"/>
    <col min="25" max="25" width="18.44140625" style="30" customWidth="1"/>
    <col min="26" max="26" width="20.44140625" style="30" customWidth="1"/>
    <col min="27" max="27" width="23.33203125" style="30" customWidth="1"/>
    <col min="28" max="28" width="26.6640625" style="30" customWidth="1"/>
    <col min="29" max="29" width="18.44140625" style="30" customWidth="1"/>
    <col min="30" max="30" width="15.33203125" style="30" customWidth="1"/>
    <col min="31" max="31" width="17.6640625" style="30" customWidth="1"/>
    <col min="32" max="32" width="27.33203125" style="30" customWidth="1"/>
    <col min="33" max="33" width="17.44140625" style="30" customWidth="1"/>
    <col min="34" max="34" width="12.6640625" style="30" customWidth="1"/>
    <col min="35" max="35" width="16.6640625" style="30" customWidth="1"/>
    <col min="36" max="36" width="12.6640625" style="30" customWidth="1"/>
    <col min="37" max="37" width="19.5546875" style="30" customWidth="1"/>
    <col min="38" max="38" width="12.6640625" style="30" customWidth="1"/>
    <col min="39" max="39" width="41.44140625" style="30" customWidth="1"/>
    <col min="40" max="40" width="5.44140625" style="30" hidden="1" customWidth="1"/>
    <col min="41" max="41" width="3.44140625" style="30" hidden="1" customWidth="1"/>
    <col min="42" max="42" width="15.33203125" style="30" customWidth="1"/>
    <col min="43" max="43" width="42.33203125" style="30" customWidth="1"/>
    <col min="44" max="44" width="42.44140625" style="30" customWidth="1"/>
    <col min="45" max="46" width="13.44140625" style="30" customWidth="1"/>
    <col min="47" max="48" width="20.6640625" style="30" hidden="1" customWidth="1"/>
    <col min="49" max="16382" width="0" style="30" hidden="1" customWidth="1"/>
    <col min="16383" max="16384" width="20.6640625" style="30"/>
  </cols>
  <sheetData>
    <row r="1" spans="2:62" ht="20.7" customHeight="1" thickBot="1" x14ac:dyDescent="0.3"/>
    <row r="2" spans="2:62" ht="27" customHeight="1" thickBot="1" x14ac:dyDescent="0.3">
      <c r="B2" s="1764" t="str">
        <f>CONCATENATE("Project Name:", " ", Start!F12, "     ", "Map Reference:", " ", Start!K66)</f>
        <v xml:space="preserve">Project Name: Chickenhall Lane     Map Reference: </v>
      </c>
      <c r="C2" s="1765"/>
      <c r="R2" s="93"/>
      <c r="Y2" s="1653" t="str">
        <f>IF(OR(COUNTIF($Y$12:Y259,"*30+*")&gt;0,COUNTIF($AC$12:AC259,"*30+*")&gt;0),"Note; Habitat selected has a time to target condition greater than 30 years. Non standard agreement may be required. ⚠","")</f>
        <v/>
      </c>
      <c r="Z2" s="1653"/>
      <c r="AA2" s="1653"/>
      <c r="AB2" s="1653"/>
      <c r="AC2" s="1653"/>
      <c r="AD2" s="1653"/>
    </row>
    <row r="3" spans="2:62" ht="21" customHeight="1" thickBot="1" x14ac:dyDescent="0.3">
      <c r="B3" s="1780" t="str">
        <f ca="1">MID(CELL("filename",A1),FIND("]",CELL("filename",A1))+1,256)</f>
        <v>F-3 Off-Site WaterC Enhancement</v>
      </c>
      <c r="C3" s="1781"/>
      <c r="D3" s="1728" t="str" cm="1">
        <f t="array" ref="D3">IF(OR(AZ12:AZ257="Yes"), "👁 Enhanced irreplaceable habitats highlighted below ", "")</f>
        <v/>
      </c>
      <c r="E3" s="1728"/>
      <c r="F3" s="1728"/>
      <c r="G3" s="1728"/>
      <c r="H3" s="1728"/>
      <c r="O3" s="1591" t="s">
        <v>526</v>
      </c>
      <c r="P3" s="1593"/>
      <c r="R3" s="1772" t="str" cm="1">
        <f t="array" ref="R3">IF(OR(BJ12:BJ258="Yes"),"A 'Fairly' Category has been used for ditches - check evidence to ensure this is appropriate ⚠", "")</f>
        <v/>
      </c>
      <c r="S3" s="1772"/>
      <c r="T3" s="1772"/>
      <c r="U3" s="1772"/>
      <c r="V3" s="1772"/>
      <c r="W3" s="1772"/>
      <c r="X3" s="1772"/>
      <c r="Y3" s="1653"/>
      <c r="Z3" s="1653"/>
      <c r="AA3" s="1653"/>
      <c r="AB3" s="1653"/>
      <c r="AC3" s="1653"/>
      <c r="AD3" s="1653"/>
    </row>
    <row r="4" spans="2:62" ht="21" customHeight="1" thickBot="1" x14ac:dyDescent="0.3">
      <c r="B4" s="1782"/>
      <c r="C4" s="1783"/>
      <c r="D4" s="1728"/>
      <c r="E4" s="1728"/>
      <c r="F4" s="1728"/>
      <c r="G4" s="1728"/>
      <c r="H4" s="1728"/>
      <c r="O4" s="413" t="s">
        <v>389</v>
      </c>
      <c r="P4" s="400">
        <f>'Headline Results'!H49</f>
        <v>0.26578800000000014</v>
      </c>
      <c r="R4" s="1772"/>
      <c r="S4" s="1772"/>
      <c r="T4" s="1772"/>
      <c r="U4" s="1772"/>
      <c r="V4" s="1772"/>
      <c r="W4" s="1772"/>
      <c r="X4" s="1772"/>
      <c r="Y4" s="1653"/>
      <c r="Z4" s="1653"/>
      <c r="AA4" s="1653"/>
      <c r="AB4" s="1653"/>
      <c r="AC4" s="1653"/>
      <c r="AD4" s="1653"/>
    </row>
    <row r="5" spans="2:62" ht="15.6" customHeight="1" x14ac:dyDescent="0.3">
      <c r="D5" s="1728"/>
      <c r="E5" s="1728"/>
      <c r="F5" s="1728"/>
      <c r="G5" s="1728"/>
      <c r="H5" s="1728"/>
      <c r="O5" s="395" t="s">
        <v>391</v>
      </c>
      <c r="P5" s="401" t="str">
        <f>'Headline Results'!H53</f>
        <v>N/A</v>
      </c>
      <c r="Q5" s="30" t="s">
        <v>561</v>
      </c>
      <c r="R5" s="1772"/>
      <c r="S5" s="1772"/>
      <c r="T5" s="1772"/>
      <c r="U5" s="1772"/>
      <c r="V5" s="1772"/>
      <c r="W5" s="1772"/>
      <c r="X5" s="1772"/>
      <c r="AH5" s="136"/>
      <c r="AI5" s="136"/>
      <c r="AJ5" s="136"/>
      <c r="AK5" s="136"/>
      <c r="AL5" s="136"/>
      <c r="AM5" s="136"/>
      <c r="AN5" s="136"/>
    </row>
    <row r="6" spans="2:62" ht="15" customHeight="1" thickBot="1" x14ac:dyDescent="0.3">
      <c r="O6" s="414" t="s">
        <v>393</v>
      </c>
      <c r="P6" s="393" t="str" cm="1">
        <f t="array" ref="P6">IF(OR('Trading Summary WaterC''s'!G5:H8="No ▲"), "No - check trading summary ▲", "Yes ✓")</f>
        <v>Yes ✓</v>
      </c>
      <c r="Q6" s="398"/>
      <c r="R6" s="398"/>
      <c r="S6" s="398"/>
      <c r="T6" s="398"/>
      <c r="AQ6" s="1777" t="str">
        <f>IFERROR(IF(AS6&gt;0, "Error - No enhancement - units less than baseline ▲", " "),"")</f>
        <v xml:space="preserve"> </v>
      </c>
      <c r="AR6" s="1777"/>
      <c r="AS6" s="22" cm="1">
        <f t="array" ref="AS6">SUMPRODUCT(--(AP12:AP257&lt;BD12:BD257))</f>
        <v>0</v>
      </c>
    </row>
    <row r="7" spans="2:62" ht="13.8" x14ac:dyDescent="0.25">
      <c r="C7" s="92"/>
    </row>
    <row r="8" spans="2:62" ht="14.4" thickBot="1" x14ac:dyDescent="0.3"/>
    <row r="9" spans="2:62" ht="15" customHeight="1" thickBot="1" x14ac:dyDescent="0.3">
      <c r="C9" s="92"/>
      <c r="D9" s="92"/>
      <c r="E9" s="92"/>
      <c r="F9" s="92"/>
      <c r="G9" s="92"/>
      <c r="H9" s="92"/>
      <c r="I9" s="92"/>
      <c r="J9" s="92"/>
      <c r="K9" s="92"/>
      <c r="L9" s="92"/>
      <c r="M9" s="92"/>
      <c r="N9" s="1722" t="s">
        <v>437</v>
      </c>
      <c r="O9" s="1723"/>
      <c r="P9" s="1723"/>
      <c r="Q9" s="1723"/>
      <c r="R9" s="1723"/>
      <c r="S9" s="1723"/>
      <c r="T9" s="1723"/>
      <c r="U9" s="1723"/>
      <c r="V9" s="1723"/>
      <c r="W9" s="1723"/>
      <c r="X9" s="1723"/>
      <c r="Y9" s="1723"/>
      <c r="Z9" s="1723"/>
      <c r="AA9" s="1723"/>
      <c r="AB9" s="1723"/>
      <c r="AC9" s="1723"/>
      <c r="AD9" s="1723"/>
      <c r="AE9" s="1723"/>
      <c r="AF9" s="1723"/>
      <c r="AG9" s="1723"/>
      <c r="AH9" s="1723"/>
      <c r="AI9" s="1723"/>
      <c r="AJ9" s="1723"/>
      <c r="AK9" s="1723"/>
      <c r="AL9" s="1723"/>
      <c r="AM9" s="1724"/>
      <c r="AN9" s="993"/>
      <c r="AO9" s="261"/>
    </row>
    <row r="10" spans="2:62" s="33" customFormat="1" ht="27" customHeight="1" thickBot="1" x14ac:dyDescent="0.3">
      <c r="C10" s="1689" t="s">
        <v>457</v>
      </c>
      <c r="D10" s="1690"/>
      <c r="E10" s="1690"/>
      <c r="F10" s="1690"/>
      <c r="G10" s="1690"/>
      <c r="H10" s="1690"/>
      <c r="I10" s="1690"/>
      <c r="J10" s="1690"/>
      <c r="K10" s="1690"/>
      <c r="L10" s="1690"/>
      <c r="M10" s="1690"/>
      <c r="N10" s="1711" t="s">
        <v>562</v>
      </c>
      <c r="O10" s="1784" t="s">
        <v>459</v>
      </c>
      <c r="P10" s="1785"/>
      <c r="Q10" s="1716" t="s">
        <v>505</v>
      </c>
      <c r="R10" s="1716" t="s">
        <v>545</v>
      </c>
      <c r="S10" s="1716"/>
      <c r="T10" s="1716" t="s">
        <v>546</v>
      </c>
      <c r="U10" s="1716"/>
      <c r="V10" s="1734" t="s">
        <v>397</v>
      </c>
      <c r="W10" s="1735"/>
      <c r="X10" s="1736"/>
      <c r="Y10" s="1734" t="s">
        <v>440</v>
      </c>
      <c r="Z10" s="1735"/>
      <c r="AA10" s="1735"/>
      <c r="AB10" s="1735"/>
      <c r="AC10" s="1735"/>
      <c r="AD10" s="1736"/>
      <c r="AE10" s="1734" t="s">
        <v>441</v>
      </c>
      <c r="AF10" s="1735"/>
      <c r="AG10" s="1735"/>
      <c r="AH10" s="1736"/>
      <c r="AI10" s="1716" t="s">
        <v>528</v>
      </c>
      <c r="AJ10" s="1716"/>
      <c r="AK10" s="1734" t="s">
        <v>529</v>
      </c>
      <c r="AL10" s="1736"/>
      <c r="AM10" s="1716" t="s">
        <v>483</v>
      </c>
      <c r="AN10" s="1734"/>
      <c r="AO10" s="1749" t="s">
        <v>563</v>
      </c>
      <c r="AP10" s="1688" t="s">
        <v>541</v>
      </c>
      <c r="AQ10" s="1689" t="s">
        <v>401</v>
      </c>
      <c r="AR10" s="1690"/>
      <c r="AS10" s="1690"/>
      <c r="AT10" s="1691"/>
    </row>
    <row r="11" spans="2:62" ht="60" customHeight="1" thickBot="1" x14ac:dyDescent="0.3">
      <c r="B11" s="522" t="s">
        <v>463</v>
      </c>
      <c r="C11" s="120" t="s">
        <v>464</v>
      </c>
      <c r="D11" s="125" t="s">
        <v>505</v>
      </c>
      <c r="E11" s="125" t="s">
        <v>466</v>
      </c>
      <c r="F11" s="125" t="s">
        <v>467</v>
      </c>
      <c r="G11" s="125" t="s">
        <v>468</v>
      </c>
      <c r="H11" s="125" t="s">
        <v>469</v>
      </c>
      <c r="I11" s="125" t="s">
        <v>470</v>
      </c>
      <c r="J11" s="125" t="s">
        <v>397</v>
      </c>
      <c r="K11" s="125" t="s">
        <v>471</v>
      </c>
      <c r="L11" s="125" t="s">
        <v>398</v>
      </c>
      <c r="M11" s="124" t="s">
        <v>472</v>
      </c>
      <c r="N11" s="1778"/>
      <c r="O11" s="116" t="s">
        <v>518</v>
      </c>
      <c r="P11" s="624" t="s">
        <v>519</v>
      </c>
      <c r="Q11" s="1779"/>
      <c r="R11" s="116" t="s">
        <v>395</v>
      </c>
      <c r="S11" s="546" t="s">
        <v>411</v>
      </c>
      <c r="T11" s="116" t="s">
        <v>396</v>
      </c>
      <c r="U11" s="546" t="s">
        <v>411</v>
      </c>
      <c r="V11" s="116" t="s">
        <v>397</v>
      </c>
      <c r="W11" s="580" t="s">
        <v>397</v>
      </c>
      <c r="X11" s="546" t="s">
        <v>412</v>
      </c>
      <c r="Y11" s="116" t="s">
        <v>515</v>
      </c>
      <c r="Z11" s="580" t="s">
        <v>499</v>
      </c>
      <c r="AA11" s="580" t="s">
        <v>478</v>
      </c>
      <c r="AB11" s="580" t="s">
        <v>446</v>
      </c>
      <c r="AC11" s="580" t="s">
        <v>447</v>
      </c>
      <c r="AD11" s="546" t="s">
        <v>520</v>
      </c>
      <c r="AE11" s="116" t="s">
        <v>521</v>
      </c>
      <c r="AF11" s="580" t="s">
        <v>516</v>
      </c>
      <c r="AG11" s="580" t="s">
        <v>480</v>
      </c>
      <c r="AH11" s="546" t="s">
        <v>452</v>
      </c>
      <c r="AI11" s="116" t="s">
        <v>531</v>
      </c>
      <c r="AJ11" s="546" t="s">
        <v>532</v>
      </c>
      <c r="AK11" s="116" t="s">
        <v>533</v>
      </c>
      <c r="AL11" s="546" t="s">
        <v>532</v>
      </c>
      <c r="AM11" s="116" t="s">
        <v>486</v>
      </c>
      <c r="AN11" s="645" t="s">
        <v>532</v>
      </c>
      <c r="AO11" s="1750"/>
      <c r="AP11" s="1751"/>
      <c r="AQ11" s="116" t="s">
        <v>385</v>
      </c>
      <c r="AR11" s="546" t="s">
        <v>362</v>
      </c>
      <c r="AS11" s="633" t="s">
        <v>353</v>
      </c>
      <c r="AT11" s="633" t="s">
        <v>488</v>
      </c>
      <c r="AW11" s="33" t="s">
        <v>548</v>
      </c>
      <c r="AX11" s="33" t="s">
        <v>549</v>
      </c>
      <c r="AY11" s="172" t="s">
        <v>405</v>
      </c>
      <c r="AZ11" s="30" t="s">
        <v>409</v>
      </c>
      <c r="BC11" s="30" t="s">
        <v>550</v>
      </c>
      <c r="BD11" s="33" t="s">
        <v>551</v>
      </c>
      <c r="BE11" s="33" t="s">
        <v>552</v>
      </c>
      <c r="BF11" s="33" t="s">
        <v>553</v>
      </c>
      <c r="BJ11" s="30" t="s">
        <v>554</v>
      </c>
    </row>
    <row r="12" spans="2:62" ht="55.2" x14ac:dyDescent="0.25">
      <c r="B12" s="626">
        <f>'F-1 Off-Site WaterC'' Baseline'!AS10</f>
        <v>1</v>
      </c>
      <c r="C12" s="289" t="str">
        <f>IF(B12="","",VLOOKUP($B12,'F-1 Off-Site WaterC'' Baseline'!$C$9:$R$257,2,FALSE))</f>
        <v>Priority habitat</v>
      </c>
      <c r="D12" s="289">
        <f>IF(C12="","",VLOOKUP($B12,'F-1 Off-Site WaterC'' Baseline'!$C$9:$R$257,3,FALSE))</f>
        <v>0.02</v>
      </c>
      <c r="E12" s="289" t="str">
        <f>IF(D12="","",VLOOKUP($B12,'F-1 Off-Site WaterC'' Baseline'!$C$9:$R$257,4,FALSE))</f>
        <v>V.High</v>
      </c>
      <c r="F12" s="289">
        <f>IF(E12="","",VLOOKUP($B12,'F-1 Off-Site WaterC'' Baseline'!$C$9:$R$257,5,FALSE))</f>
        <v>8</v>
      </c>
      <c r="G12" s="289" t="str">
        <f>IF(F12="","",VLOOKUP($B12,'F-1 Off-Site WaterC'' Baseline'!$C$9:$R$257,6,FALSE))</f>
        <v>Fairly Poor</v>
      </c>
      <c r="H12" s="289">
        <f>IF(G12="","",VLOOKUP($B12,'F-1 Off-Site WaterC'' Baseline'!$C$9:$R$257,7,FALSE))</f>
        <v>1.5</v>
      </c>
      <c r="I12" s="289" t="str">
        <f>IF(H12="","",VLOOKUP($B12,'F-1 Off-Site WaterC'' Baseline'!$C$9:$R$257,8,FALSE))</f>
        <v>Formally identified in local strategy</v>
      </c>
      <c r="J12" s="289" t="str">
        <f>IF(I12="","",VLOOKUP($B12,'F-1 Off-Site WaterC'' Baseline'!$C$9:$R$257,9,FALSE))</f>
        <v xml:space="preserve">High strategic significance </v>
      </c>
      <c r="K12" s="289">
        <f>IF(J12="","",VLOOKUP($B12,'F-1 Off-Site WaterC'' Baseline'!$C$9:$R$257,10,FALSE))</f>
        <v>1.1499999999999999</v>
      </c>
      <c r="L12" s="289" t="str">
        <f>IF(B12="","",VLOOKUP($B12,'F-1 Off-Site WaterC'' Baseline'!$C$9:$R$257,15,FALSE))</f>
        <v>Same habitat required – bespoke compensation option ⚠</v>
      </c>
      <c r="M12" s="282">
        <f>IF(L12="","",VLOOKUP($B12,'F-1 Off-Site WaterC'' Baseline'!$C$9:$V$257,19,FALSE))</f>
        <v>0.10349999999999998</v>
      </c>
      <c r="N12" s="250" t="s">
        <v>276</v>
      </c>
      <c r="O12" s="281" t="str">
        <f>IF(B12="","",IF(S12&lt;F12,"Error Trading Down ▲",E12&amp;" - "&amp;R12))</f>
        <v>V.High - V.High</v>
      </c>
      <c r="P12" s="282" t="str">
        <f>IF(C12="","",IF(AND(N12&lt;&gt;C12,AZ12="Yes"),"Error you cannot replace an irreplaceable habitat ▲",IF(AND(LEFT(C12,55)&lt;&gt;LEFT(N12,55),O12="High - High"),"Error - Not like for like ▲",IF(H12&gt;U12,"Error - Can not reduce condition ▲",IF(AND(C12&lt;&gt;N12,F12&lt;S12),"Lower Distinctiveness Habitat"&amp;" - "&amp;T12,G12&amp;" - "&amp;T12)))))</f>
        <v>Fairly Poor - Fairly Poor</v>
      </c>
      <c r="Q12" s="287">
        <f>IF(N12="","",VLOOKUP(B12,'F-1 Off-Site WaterC'' Baseline'!$C$10:$AF$257,23,FALSE))</f>
        <v>0.02</v>
      </c>
      <c r="R12" s="281" t="str">
        <f>IF(N12="","",VLOOKUP(N12,'G-7 WaterC'' Data'!$B$2:$G$8,2,FALSE))</f>
        <v>V.High</v>
      </c>
      <c r="S12" s="282">
        <f>IFERROR(VLOOKUP(R12,'G-7 WaterC'' Data'!$C$4:$D$8,2,FALSE),"")</f>
        <v>8</v>
      </c>
      <c r="T12" s="105" t="s">
        <v>614</v>
      </c>
      <c r="U12" s="282">
        <f>IFERROR(INDEX('G-7 WaterC'' Data'!$H$4:$L$8,MATCH(N12,'G-7 WaterC'' Data'!$B$4:$B$8,0),MATCH(T12,'G-7 WaterC'' Data'!$H$3:$L$3,0)),"")</f>
        <v>1.5</v>
      </c>
      <c r="V12" s="105" t="s">
        <v>1119</v>
      </c>
      <c r="W12" s="289" t="str">
        <f>IF(V12="","",IF(VLOOKUP(V12,'G-7 WaterC'' Data'!$AK$4:$AM$6,2,FALSE)=0,"Spatial Data Missing ⚠",VLOOKUP(V12,'G-7 WaterC'' Data'!$AK$4:$AM$6,2,FALSE)))</f>
        <v xml:space="preserve">High strategic significance </v>
      </c>
      <c r="X12" s="282">
        <f>IF(V12="","",IF(VLOOKUP(V12,'G-7 WaterC'' Data'!$AK$4:$AM$6,3,FALSE)=0,"Spatial Data Missing ⚠",VLOOKUP(V12,'G-7 WaterC'' Data'!$AK$4:$AM$6,3,FALSE)))</f>
        <v>1.1499999999999999</v>
      </c>
      <c r="Y12" s="281">
        <f>IFERROR(IF(OR(LEFT(P12,5)="Error",LEFT(O12,5)="Error"),"Check Data ⚠",IF(F12&lt;S12,'G-7 WaterC'' Data'!$R$3,INDEX('G-7 WaterC'' Data'!$U$5:$Y$9,MATCH(G12,'G-7 WaterC'' Data'!$T$5:$T$9,0),MATCH(T12,'G-7 WaterC'' Data'!$U$4:$Y$4,0)))),"")</f>
        <v>1</v>
      </c>
      <c r="Z12" s="137">
        <v>0</v>
      </c>
      <c r="AA12" s="137">
        <v>0</v>
      </c>
      <c r="AB12" s="374"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Standard time to target condition applied</v>
      </c>
      <c r="AC12" s="302">
        <f>IF(AB12="Error -both advance and delayed habitat creation ▲","Check Data ⚠",IF(AB12="Check Data ⚠","Check Data ⚠",IF(Y12="","",IF(Z12="30+",0,IF(AA12="30+","30+",IF(Y12+AA12&gt;30,"30+",IF(Y12+AA12-Z12&gt;0,Y12+AA12-Z12,IF(Y12-Z12&lt;0,0,Y12+AA12-Z12))))))))</f>
        <v>1</v>
      </c>
      <c r="AD12" s="340">
        <f>IFERROR(IF(AC12="Check Data ⚠","Check Data ⚠",VLOOKUP(AC12,'G-4 Temporal multipliers'!$A$4:$C$37,3,FALSE)),"")</f>
        <v>0.96499999999999997</v>
      </c>
      <c r="AE12" s="281" t="str">
        <f>IF(N12="","",VLOOKUP(N12,'G-7 WaterC'' Data'!$B$4:$G$8,5,FALSE))</f>
        <v>Medium</v>
      </c>
      <c r="AF12" s="289" t="str">
        <f t="shared" ref="AF12:AF75" si="0">IF(N12="","",IF(AC12="Check Data ⚠","Check Data ⚠",IF(T12="","",IF($AB12="Check details - Is there evidence that habitat has reached target condition? ⚠","Low Difficulty - only applicable if all habitat created before losses ⚠","Standard difficulty applied"))))</f>
        <v>Standard difficulty applied</v>
      </c>
      <c r="AG12" s="289" t="str">
        <f>(IF(AND(AF12="Standard difficulty applied",Y12&gt;Z12),AE12,IF(AND(AF12="Low Difficulty - only applicable if all habitat created before losses ⚠",Z12&gt;=Y12),"Low",AE12)))</f>
        <v>Medium</v>
      </c>
      <c r="AH12" s="282">
        <f t="shared" ref="AH12:AH75" si="1">IF(N12="","",VLOOKUP(AG12,Difficulty,2,FALSE))</f>
        <v>0.67</v>
      </c>
      <c r="AI12" s="105" t="s">
        <v>1224</v>
      </c>
      <c r="AJ12" s="282">
        <f>IF(AI12="","",(IF(AND(AI12="N/A - Culvert",N12&lt;&gt;"Culvert"),"Not possible ▲",IF(VLOOKUP(AI12,'G-7 WaterC'' Data'!$AA$4:$AB$7,2,FALSE)=0,"Spatial Data Missing ⚠",VLOOKUP(AI12,'G-7 WaterC'' Data'!$AA$4:$AB$7,2,FALSE)))))</f>
        <v>0.5</v>
      </c>
      <c r="AK12" s="110" t="s">
        <v>1230</v>
      </c>
      <c r="AL12" s="644">
        <f>IF(AK12="","",IF(AND(AK12="N/A - Culvert",N12&lt;&gt;"Culvert"),"Not possible ▲",IF(VLOOKUP(AK12,'G-7 WaterC'' Data'!$AD$4:$AE$14,2,FALSE)=0,"Spatial Data Missing ⚠",VLOOKUP(AK12,'G-7 WaterC'' Data'!$AD$4:$AE$14,2,FALSE))))</f>
        <v>0.87</v>
      </c>
      <c r="AM12" s="281" t="str">
        <f>IF(B12="","",VLOOKUP($B12,'F-1 Off-Site WaterC'' Baseline'!$C$9:$Z$257,17,FALSE))</f>
        <v xml:space="preserve">Within waterbody catchment       </v>
      </c>
      <c r="AN12" s="282">
        <f>IF(AM12="","",IF(VLOOKUP(AM12,'G-7 WaterC'' Data'!$AO$4:$BO$7,2,FALSE)=0,"Spatial Data Missing ⚠",VLOOKUP(AM12,'G-7 WaterC'' Data'!$AO$4:$BO$7,2,FALSE)))</f>
        <v>1</v>
      </c>
      <c r="AO12" s="323">
        <f>IFERROR(IF(C12="","",IF(Q12&gt;D12,((((Q12*S12*U12)-(D12*F12*H12))*(AH12*AD12))+(D12*F12*H12))*(AL12*X12*AJ12*AN12),((((Q12*S12*U12)-(Q12*F12*H12))*(AH12*AD12))+(Q12*F12*H12))*(AL12*X12*AJ12*AN12))),"")</f>
        <v>0.12005999999999999</v>
      </c>
      <c r="AP12" s="323">
        <f>IFERROR(IF(C12="","",IF(AM12="","", IF(AND(N12&lt;&gt;"",M12=""),"Check data ⚠",  (IF(AND(AM12&lt;&gt;"",AT12=""), "Off-site reference required ▲",IF(Q12&gt;D12,((((Q12*S12*U12)-(D12*F12*H12))*(AH12*AD12))+(D12*F12*H12))*(AL12*X12*AJ12),((((Q12*S12*U12)-(Q12*F12*H12))*(AH12*AD12))+(Q12*F12*H12))*(AL12*X12*AJ12))))))),"")</f>
        <v>0.12005999999999999</v>
      </c>
      <c r="AQ12" s="105" t="s">
        <v>1796</v>
      </c>
      <c r="AR12" s="119"/>
      <c r="AS12" s="119"/>
      <c r="AT12" s="119" t="s">
        <v>1795</v>
      </c>
      <c r="AW12" s="30">
        <f>IF(E12="","",VLOOKUP($B12,'F-1 Off-Site WaterC'' Baseline'!$C$9:$Z$257,12,FALSE))</f>
        <v>0.5</v>
      </c>
      <c r="AX12" s="30">
        <f>IF(E12="","",VLOOKUP($B12,'F-1 Off-Site WaterC'' Baseline'!$C$9:$Z$257,14,FALSE))</f>
        <v>0.75</v>
      </c>
      <c r="AY12" s="30" t="str">
        <f>IFERROR(INDEX('G-7 WaterC'' Data'!$AZ$3:$AZ$7,MATCH(N12,'G-7 WaterC'' Data'!$AY$3:$AY$7,0)),"")</f>
        <v>Rivercond1</v>
      </c>
      <c r="AZ12" s="30" t="str">
        <f>IF(B12="","",IF(ISNA(VLOOKUP($B12,'F-1 Off-Site WaterC'' Baseline'!$C$8:$AD$257,20,FALSE)),"",(VLOOKUP($B12,'F-1 Off-Site WaterC'' Baseline'!$C$8:$AD$257,20,FALSE))))</f>
        <v>No</v>
      </c>
      <c r="BC12" s="30">
        <f>IF(B12="","",VLOOKUP($B12,'F-1 Off-Site WaterC'' Baseline'!$C$9:$AB$257,25,FALSE))</f>
        <v>0.10349999999999998</v>
      </c>
      <c r="BD12" s="30">
        <f>IF(B12="","", IF(BC12&gt;M12, M12, IF((BF12+Q12)&gt;D12, M12 - BE12, BC12)))</f>
        <v>0.10349999999999998</v>
      </c>
      <c r="BE12" s="30">
        <f>IF(B12="","",VLOOKUP($B12,'F-1 Off-Site WaterC'' Baseline'!$C$9:$AB$257,24,FALSE))</f>
        <v>0</v>
      </c>
      <c r="BF12" s="30">
        <f>IF(B12="","",VLOOKUP($B12,'F-1 Off-Site WaterC'' Baseline'!$C$9:$AB$257,22,FALSE))</f>
        <v>0</v>
      </c>
      <c r="BJ12" s="30" t="str">
        <f>IF(AND(N12="Ditches",(OR(T12="Fairly Poor",T12="Fairly Good"))), "Yes", "No")</f>
        <v>No</v>
      </c>
    </row>
    <row r="13" spans="2:62" ht="55.2" x14ac:dyDescent="0.25">
      <c r="B13" s="311">
        <f>'F-1 Off-Site WaterC'' Baseline'!AS11</f>
        <v>2</v>
      </c>
      <c r="C13" s="301" t="str">
        <f>IF(B13="","",VLOOKUP($B13,'F-1 Off-Site WaterC'' Baseline'!$C$9:$R$257,2,FALSE))</f>
        <v>Priority habitat</v>
      </c>
      <c r="D13" s="301">
        <f>IF(C13="","",VLOOKUP($B13,'F-1 Off-Site WaterC'' Baseline'!$C$9:$R$257,3,FALSE))</f>
        <v>0.129</v>
      </c>
      <c r="E13" s="301" t="str">
        <f>IF(D13="","",VLOOKUP($B13,'F-1 Off-Site WaterC'' Baseline'!$C$9:$R$257,4,FALSE))</f>
        <v>V.High</v>
      </c>
      <c r="F13" s="301">
        <f>IF(E13="","",VLOOKUP($B13,'F-1 Off-Site WaterC'' Baseline'!$C$9:$R$257,5,FALSE))</f>
        <v>8</v>
      </c>
      <c r="G13" s="301" t="str">
        <f>IF(F13="","",VLOOKUP($B13,'F-1 Off-Site WaterC'' Baseline'!$C$9:$R$257,6,FALSE))</f>
        <v>Fairly Poor</v>
      </c>
      <c r="H13" s="301">
        <f>IF(G13="","",VLOOKUP($B13,'F-1 Off-Site WaterC'' Baseline'!$C$9:$R$257,7,FALSE))</f>
        <v>1.5</v>
      </c>
      <c r="I13" s="301" t="str">
        <f>IF(H13="","",VLOOKUP($B13,'F-1 Off-Site WaterC'' Baseline'!$C$9:$R$257,8,FALSE))</f>
        <v>Formally identified in local strategy</v>
      </c>
      <c r="J13" s="301" t="str">
        <f>IF(I13="","",VLOOKUP($B13,'F-1 Off-Site WaterC'' Baseline'!$C$9:$R$257,9,FALSE))</f>
        <v xml:space="preserve">High strategic significance </v>
      </c>
      <c r="K13" s="301">
        <f>IF(J13="","",VLOOKUP($B13,'F-1 Off-Site WaterC'' Baseline'!$C$9:$R$257,10,FALSE))</f>
        <v>1.1499999999999999</v>
      </c>
      <c r="L13" s="289" t="str">
        <f>IF(B13="","",VLOOKUP($B13,'F-1 Off-Site WaterC'' Baseline'!$C$9:$R$257,15,FALSE))</f>
        <v>Same habitat required – bespoke compensation option ⚠</v>
      </c>
      <c r="M13" s="305">
        <f>IF(L13="","",VLOOKUP($B13,'F-1 Off-Site WaterC'' Baseline'!$C$9:$V$257,19,FALSE))</f>
        <v>1.495368</v>
      </c>
      <c r="N13" s="250" t="s">
        <v>276</v>
      </c>
      <c r="O13" s="281" t="str">
        <f t="shared" ref="O13:O76" si="2">IF(B13="","",IF(S13&lt;F13,"Error Trading Down ▲",E13&amp;" - "&amp;R13))</f>
        <v>V.High - V.High</v>
      </c>
      <c r="P13" s="282" t="str">
        <f t="shared" ref="P13:P76" si="3">IF(C13="","",IF(AND(N13&lt;&gt;C13,AZ13="Yes"),"Error you cannot replace an irreplaceable habitat ▲",IF(AND(LEFT(C13,55)&lt;&gt;LEFT(N13,55),O13="High - High"),"Error - Not like for like ▲",IF(H13&gt;U13,"Error - Can not reduce condition ▲",IF(AND(C13&lt;&gt;N13,F13&lt;S13),"Lower Distinctiveness Habitat"&amp;" - "&amp;T13,G13&amp;" - "&amp;T13)))))</f>
        <v>Fairly Poor - Fairly Poor</v>
      </c>
      <c r="Q13" s="287">
        <f>IF(N13="","",VLOOKUP(B13,'F-1 Off-Site WaterC'' Baseline'!$C$10:$AF$257,23,FALSE))</f>
        <v>0.129</v>
      </c>
      <c r="R13" s="281" t="str">
        <f>IF(N13="","",VLOOKUP(N13,'G-7 WaterC'' Data'!$B$2:$G$8,2,FALSE))</f>
        <v>V.High</v>
      </c>
      <c r="S13" s="282">
        <f>IFERROR(VLOOKUP(R13,'G-7 WaterC'' Data'!$C$4:$D$8,2,FALSE),"")</f>
        <v>8</v>
      </c>
      <c r="T13" s="105" t="s">
        <v>614</v>
      </c>
      <c r="U13" s="282">
        <f>IFERROR(INDEX('G-7 WaterC'' Data'!$H$4:$L$8,MATCH(N13,'G-7 WaterC'' Data'!$B$4:$B$8,0),MATCH(T13,'G-7 WaterC'' Data'!$H$3:$L$3,0)),"")</f>
        <v>1.5</v>
      </c>
      <c r="V13" s="109" t="s">
        <v>1119</v>
      </c>
      <c r="W13" s="301" t="str">
        <f>IF(V13="","",IF(VLOOKUP(V13,'G-7 WaterC'' Data'!$AK$4:$AM$6,2,FALSE)=0,"Spatial Data Missing ⚠",VLOOKUP(V13,'G-7 WaterC'' Data'!$AK$4:$AM$6,2,FALSE)))</f>
        <v xml:space="preserve">High strategic significance </v>
      </c>
      <c r="X13" s="305">
        <f>IF(V13="","",IF(VLOOKUP(V13,'G-7 WaterC'' Data'!$AK$4:$AM$6,3,FALSE)=0,"Spatial Data Missing ⚠",VLOOKUP(V13,'G-7 WaterC'' Data'!$AK$4:$AM$6,3,FALSE)))</f>
        <v>1.1499999999999999</v>
      </c>
      <c r="Y13" s="317">
        <f>IFERROR(IF(OR(LEFT(P13,5)="Error",LEFT(O13,5)="Error"),"Check Data ⚠",IF(F13&lt;S13,'G-7 WaterC'' Data'!$R$3,INDEX('G-7 WaterC'' Data'!$U$5:$Y$9,MATCH(G13,'G-7 WaterC'' Data'!$T$5:$T$9,0),MATCH(T13,'G-7 WaterC'' Data'!$U$4:$Y$4,0)))),"")</f>
        <v>1</v>
      </c>
      <c r="Z13" s="142">
        <v>0</v>
      </c>
      <c r="AA13" s="142">
        <v>0</v>
      </c>
      <c r="AB13" s="314"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Standard time to target condition applied</v>
      </c>
      <c r="AC13" s="302">
        <f t="shared" ref="AC13:AC76" si="5">IF(AB13="Error -both advance and delayed habitat creation ▲","Check Data ⚠",IF(AB13="Check Data ⚠","Check Data ⚠",IF(Y13="","",IF(Z13="30+",0,IF(AA13="30+","30+",IF(Y13+AA13&gt;30,"30+",IF(Y13+AA13-Z13&gt;0,Y13+AA13-Z13,IF(Y13-Z13&lt;0,0,Y13+AA13-Z13))))))))</f>
        <v>1</v>
      </c>
      <c r="AD13" s="340">
        <f>IFERROR(IF(AC13="Check Data ⚠","Check Data ⚠",VLOOKUP(AC13,'G-4 Temporal multipliers'!$A$4:$C$37,3,FALSE)),"")</f>
        <v>0.96499999999999997</v>
      </c>
      <c r="AE13" s="317" t="str">
        <f>IF(N13="","",VLOOKUP(N13,'G-7 WaterC'' Data'!$B$4:$G$8,5,FALSE))</f>
        <v>Medium</v>
      </c>
      <c r="AF13" s="301" t="str">
        <f t="shared" si="0"/>
        <v>Standard difficulty applied</v>
      </c>
      <c r="AG13" s="301" t="str">
        <f t="shared" ref="AG13:AG76" si="6">(IF(AND(AF13="Standard difficulty applied",Y13&gt;Z13),AE13,IF(AND(AF13="Low Difficulty - only applicable if all habitat created before losses ⚠",Z13&gt;=Y13),"Low",AE13)))</f>
        <v>Medium</v>
      </c>
      <c r="AH13" s="282">
        <f t="shared" si="1"/>
        <v>0.67</v>
      </c>
      <c r="AI13" s="109" t="s">
        <v>1214</v>
      </c>
      <c r="AJ13" s="282">
        <f>IF(AI13="","",(IF(AND(AI13="N/A - Culvert",N13&lt;&gt;"Culvert"),"Not possible ▲",IF(VLOOKUP(AI13,'G-7 WaterC'' Data'!$AA$4:$AB$7,2,FALSE)=0,"Spatial Data Missing ⚠",VLOOKUP(AI13,'G-7 WaterC'' Data'!$AA$4:$AB$7,2,FALSE)))))</f>
        <v>1</v>
      </c>
      <c r="AK13" s="110" t="s">
        <v>1240</v>
      </c>
      <c r="AL13" s="316">
        <f>IF(AK13="","",IF(AND(AK13="N/A - Culvert",N13&lt;&gt;"Culvert"),"Not possible ▲",IF(VLOOKUP(AK13,'G-7 WaterC'' Data'!$AD$4:$AE$14,2,FALSE)=0,"Spatial Data Missing ⚠",VLOOKUP(AK13,'G-7 WaterC'' Data'!$AD$4:$AE$14,2,FALSE))))</f>
        <v>0.98</v>
      </c>
      <c r="AM13" s="281" t="str">
        <f>IF(B13="","",VLOOKUP($B13,'F-1 Off-Site WaterC'' Baseline'!$C$9:$Z$257,17,FALSE))</f>
        <v xml:space="preserve">Within waterbody catchment       </v>
      </c>
      <c r="AN13" s="282">
        <f>IF(AM13="","",IF(VLOOKUP(AM13,'G-7 WaterC'' Data'!$AO$4:$BO$7,2,FALSE)=0,"Spatial Data Missing ⚠",VLOOKUP(AM13,'G-7 WaterC'' Data'!$AO$4:$BO$7,2,FALSE)))</f>
        <v>1</v>
      </c>
      <c r="AO13" s="323">
        <f t="shared" ref="AO13:AO76" si="7">IFERROR(IF(C13="","",IF(Q13&gt;D13,((((Q13*S13*U13)-(D13*F13*H13))*(AH13*AD13))+(D13*F13*H13))*(AL13*X13*AJ13*AN13),((((Q13*S13*U13)-(Q13*F13*H13))*(AH13*AD13))+(Q13*F13*H13))*(AL13*X13*AJ13*AN13))),"")</f>
        <v>1.744596</v>
      </c>
      <c r="AP13" s="323">
        <f t="shared" ref="AP13:AP76" si="8">IFERROR(IF(C13="","",IF(AM13="","", IF(AND(N13&lt;&gt;"",M13=""),"Check data ⚠",  (IF(AND(AM13&lt;&gt;"",AT13=""), "Off-site reference required ▲",IF(Q13&gt;D13,((((Q13*S13*U13)-(D13*F13*H13))*(AH13*AD13))+(D13*F13*H13))*(AL13*X13*AJ13),((((Q13*S13*U13)-(Q13*F13*H13))*(AH13*AD13))+(Q13*F13*H13))*(AL13*X13*AJ13))))))),"")</f>
        <v>1.744596</v>
      </c>
      <c r="AQ13" s="105" t="s">
        <v>1797</v>
      </c>
      <c r="AR13" s="119"/>
      <c r="AS13" s="108"/>
      <c r="AT13" s="108" t="s">
        <v>1795</v>
      </c>
      <c r="AW13" s="30">
        <f>IF(E13="","",VLOOKUP($B13,'F-1 Off-Site WaterC'' Baseline'!$C$9:$Z$257,12,FALSE))</f>
        <v>1</v>
      </c>
      <c r="AX13" s="30">
        <f>IF(E13="","",VLOOKUP($B13,'F-1 Off-Site WaterC'' Baseline'!$C$9:$Z$257,14,FALSE))</f>
        <v>0.84</v>
      </c>
      <c r="AY13" s="30" t="str">
        <f>IFERROR(INDEX('G-7 WaterC'' Data'!$AZ$3:$AZ$7,MATCH(N13,'G-7 WaterC'' Data'!$AY$3:$AY$7,0)),"")</f>
        <v>Rivercond1</v>
      </c>
      <c r="AZ13" s="30" t="str">
        <f>IF(B13="","",IF(ISNA(VLOOKUP($B13,'F-1 Off-Site WaterC'' Baseline'!$C$8:$AD$257,20,FALSE)),"",(VLOOKUP($B13,'F-1 Off-Site WaterC'' Baseline'!$C$8:$AD$257,20,FALSE))))</f>
        <v>No</v>
      </c>
      <c r="BC13" s="30">
        <f>IF(B13="","",VLOOKUP($B13,'F-1 Off-Site WaterC'' Baseline'!$C$9:$AB$257,25,FALSE))</f>
        <v>1.495368</v>
      </c>
      <c r="BD13" s="30">
        <f t="shared" ref="BD13:BD76" si="9">IF(B13="","", IF(BC13&gt;M13, M13, IF((BF13+Q13)&gt;D13, M13 - BE13, BC13)))</f>
        <v>1.495368</v>
      </c>
      <c r="BE13" s="30">
        <f>IF(B13="","",VLOOKUP($B13,'F-1 Off-Site WaterC'' Baseline'!$C$9:$AB$257,24,FALSE))</f>
        <v>0</v>
      </c>
      <c r="BF13" s="30">
        <f>IF(B13="","",VLOOKUP($B13,'F-1 Off-Site WaterC'' Baseline'!$C$9:$AB$257,22,FALSE))</f>
        <v>0</v>
      </c>
      <c r="BJ13" s="30" t="str">
        <f t="shared" ref="BJ13:BJ76" si="10">IF(AND(N13="Ditches",(OR(T13="Fairly Poor",T13="Fairly Good"))), "Yes", "No")</f>
        <v>No</v>
      </c>
    </row>
    <row r="14" spans="2:62" ht="13.8" x14ac:dyDescent="0.25">
      <c r="B14" s="311" t="str">
        <f>'F-1 Off-Site WaterC'' Baseline'!AS12</f>
        <v/>
      </c>
      <c r="C14" s="301" t="str">
        <f>IF(B14="","",VLOOKUP($B14,'F-1 Off-Site WaterC'' Baseline'!$C$9:$R$257,2,FALSE))</f>
        <v/>
      </c>
      <c r="D14" s="301" t="str">
        <f>IF(C14="","",VLOOKUP($B14,'F-1 Off-Site WaterC'' Baseline'!$C$9:$R$257,3,FALSE))</f>
        <v/>
      </c>
      <c r="E14" s="301" t="str">
        <f>IF(D14="","",VLOOKUP($B14,'F-1 Off-Site WaterC'' Baseline'!$C$9:$R$257,4,FALSE))</f>
        <v/>
      </c>
      <c r="F14" s="301" t="str">
        <f>IF(E14="","",VLOOKUP($B14,'F-1 Off-Site WaterC'' Baseline'!$C$9:$R$257,5,FALSE))</f>
        <v/>
      </c>
      <c r="G14" s="301" t="str">
        <f>IF(F14="","",VLOOKUP($B14,'F-1 Off-Site WaterC'' Baseline'!$C$9:$R$257,6,FALSE))</f>
        <v/>
      </c>
      <c r="H14" s="301" t="str">
        <f>IF(G14="","",VLOOKUP($B14,'F-1 Off-Site WaterC'' Baseline'!$C$9:$R$257,7,FALSE))</f>
        <v/>
      </c>
      <c r="I14" s="301" t="str">
        <f>IF(H14="","",VLOOKUP($B14,'F-1 Off-Site WaterC'' Baseline'!$C$9:$R$257,8,FALSE))</f>
        <v/>
      </c>
      <c r="J14" s="301" t="str">
        <f>IF(I14="","",VLOOKUP($B14,'F-1 Off-Site WaterC'' Baseline'!$C$9:$R$257,9,FALSE))</f>
        <v/>
      </c>
      <c r="K14" s="301" t="str">
        <f>IF(J14="","",VLOOKUP($B14,'F-1 Off-Site WaterC'' Baseline'!$C$9:$R$257,10,FALSE))</f>
        <v/>
      </c>
      <c r="L14" s="289" t="str">
        <f>IF(B14="","",VLOOKUP($B14,'F-1 Off-Site WaterC'' Baseline'!$C$9:$R$257,15,FALSE))</f>
        <v/>
      </c>
      <c r="M14" s="305" t="str">
        <f>IF(L14="","",VLOOKUP($B14,'F-1 Off-Site WaterC'' Baseline'!$C$9:$V$257,19,FALSE))</f>
        <v/>
      </c>
      <c r="N14" s="250"/>
      <c r="O14" s="281" t="str">
        <f t="shared" si="2"/>
        <v/>
      </c>
      <c r="P14" s="282" t="str">
        <f t="shared" si="3"/>
        <v/>
      </c>
      <c r="Q14" s="287" t="str">
        <f>IF(N14="","",VLOOKUP(B14,'F-1 Off-Site WaterC'' Baseline'!$C$10:$AF$257,23,FALSE))</f>
        <v/>
      </c>
      <c r="R14" s="281" t="str">
        <f>IF(N14="","",VLOOKUP(N14,'G-7 WaterC'' Data'!$B$2:$G$8,2,FALSE))</f>
        <v/>
      </c>
      <c r="S14" s="282" t="str">
        <f>IFERROR(VLOOKUP(R14,'G-7 WaterC'' Data'!$C$4:$D$8,2,FALSE),"")</f>
        <v/>
      </c>
      <c r="T14" s="105"/>
      <c r="U14" s="282" t="str">
        <f>IFERROR(INDEX('G-7 WaterC'' Data'!$H$4:$L$8,MATCH(N14,'G-7 WaterC'' Data'!$B$4:$B$8,0),MATCH(T14,'G-7 WaterC'' Data'!$H$3:$L$3,0)),"")</f>
        <v/>
      </c>
      <c r="V14" s="109"/>
      <c r="W14" s="301" t="str">
        <f>IF(V14="","",IF(VLOOKUP(V14,'G-7 WaterC'' Data'!$AK$4:$AM$6,2,FALSE)=0,"Spatial Data Missing ⚠",VLOOKUP(V14,'G-7 WaterC'' Data'!$AK$4:$AM$6,2,FALSE)))</f>
        <v/>
      </c>
      <c r="X14" s="305" t="str">
        <f>IF(V14="","",IF(VLOOKUP(V14,'G-7 WaterC'' Data'!$AK$4:$AM$6,3,FALSE)=0,"Spatial Data Missing ⚠",VLOOKUP(V14,'G-7 WaterC'' Data'!$AK$4:$AM$6,3,FALSE)))</f>
        <v/>
      </c>
      <c r="Y14" s="317" t="str">
        <f>IFERROR(IF(OR(LEFT(P14,5)="Error",LEFT(O14,5)="Error"),"Check Data ⚠",IF(F14&lt;S14,'G-7 WaterC'' Data'!$R$3,INDEX('G-7 WaterC'' Data'!$U$5:$Y$9,MATCH(G14,'G-7 WaterC'' Data'!$T$5:$T$9,0),MATCH(T14,'G-7 WaterC'' Data'!$U$4:$Y$4,0)))),"")</f>
        <v/>
      </c>
      <c r="Z14" s="142"/>
      <c r="AA14" s="142"/>
      <c r="AB14" s="314" t="str">
        <f t="shared" si="4"/>
        <v/>
      </c>
      <c r="AC14" s="302" t="str">
        <f t="shared" si="5"/>
        <v/>
      </c>
      <c r="AD14" s="340" t="str">
        <f>IFERROR(IF(AC14="Check Data ⚠","Check Data ⚠",VLOOKUP(AC14,'G-4 Temporal multipliers'!$A$4:$C$37,3,FALSE)),"")</f>
        <v/>
      </c>
      <c r="AE14" s="317" t="str">
        <f>IF(N14="","",VLOOKUP(N14,'G-7 WaterC'' Data'!$B$4:$G$8,5,FALSE))</f>
        <v/>
      </c>
      <c r="AF14" s="301" t="str">
        <f t="shared" si="0"/>
        <v/>
      </c>
      <c r="AG14" s="301" t="str">
        <f t="shared" si="6"/>
        <v/>
      </c>
      <c r="AH14" s="282" t="str">
        <f t="shared" si="1"/>
        <v/>
      </c>
      <c r="AI14" s="109"/>
      <c r="AJ14" s="282" t="str">
        <f>IF(AI14="","",(IF(AND(AI14="N/A - Culvert",N14&lt;&gt;"Culvert"),"Not possible ▲",IF(VLOOKUP(AI14,'G-7 WaterC'' Data'!$AA$4:$AB$7,2,FALSE)=0,"Spatial Data Missing ⚠",VLOOKUP(AI14,'G-7 WaterC'' Data'!$AA$4:$AB$7,2,FALSE)))))</f>
        <v/>
      </c>
      <c r="AK14" s="110"/>
      <c r="AL14" s="316" t="str">
        <f>IF(AK14="","",IF(AND(AK14="N/A - Culvert",N14&lt;&gt;"Culvert"),"Not possible ▲",IF(VLOOKUP(AK14,'G-7 WaterC'' Data'!$AD$4:$AE$14,2,FALSE)=0,"Spatial Data Missing ⚠",VLOOKUP(AK14,'G-7 WaterC'' Data'!$AD$4:$AE$14,2,FALSE))))</f>
        <v/>
      </c>
      <c r="AM14" s="281" t="str">
        <f>IF(B14="","",VLOOKUP($B14,'F-1 Off-Site WaterC'' Baseline'!$C$9:$Z$257,17,FALSE))</f>
        <v/>
      </c>
      <c r="AN14" s="282" t="str">
        <f>IF(AM14="","",IF(VLOOKUP(AM14,'G-7 WaterC'' Data'!$AO$4:$BO$7,2,FALSE)=0,"Spatial Data Missing ⚠",VLOOKUP(AM14,'G-7 WaterC'' Data'!$AO$4:$BO$7,2,FALSE)))</f>
        <v/>
      </c>
      <c r="AO14" s="323" t="str">
        <f t="shared" si="7"/>
        <v/>
      </c>
      <c r="AP14" s="323" t="str">
        <f t="shared" si="8"/>
        <v/>
      </c>
      <c r="AQ14" s="105"/>
      <c r="AR14" s="119"/>
      <c r="AS14" s="108"/>
      <c r="AT14" s="108"/>
      <c r="AW14" s="30" t="str">
        <f>IF(E14="","",VLOOKUP($B14,'F-1 Off-Site WaterC'' Baseline'!$C$9:$Z$257,12,FALSE))</f>
        <v/>
      </c>
      <c r="AX14" s="30" t="str">
        <f>IF(E14="","",VLOOKUP($B14,'F-1 Off-Site WaterC'' Baseline'!$C$9:$Z$257,14,FALSE))</f>
        <v/>
      </c>
      <c r="AY14" s="30" t="str">
        <f>IFERROR(INDEX('G-7 WaterC'' Data'!$AZ$3:$AZ$7,MATCH(N14,'G-7 WaterC'' Data'!$AY$3:$AY$7,0)),"")</f>
        <v/>
      </c>
      <c r="AZ14" s="30" t="str">
        <f>IF(B14="","",IF(ISNA(VLOOKUP($B14,'F-1 Off-Site WaterC'' Baseline'!$C$8:$AD$257,20,FALSE)),"",(VLOOKUP($B14,'F-1 Off-Site WaterC'' Baseline'!$C$8:$AD$257,20,FALSE))))</f>
        <v/>
      </c>
      <c r="BC14" s="30" t="str">
        <f>IF(B14="","",VLOOKUP($B14,'F-1 Off-Site WaterC'' Baseline'!$C$9:$AB$257,25,FALSE))</f>
        <v/>
      </c>
      <c r="BD14" s="30" t="str">
        <f t="shared" si="9"/>
        <v/>
      </c>
      <c r="BE14" s="30" t="str">
        <f>IF(B14="","",VLOOKUP($B14,'F-1 Off-Site WaterC'' Baseline'!$C$9:$AB$257,24,FALSE))</f>
        <v/>
      </c>
      <c r="BF14" s="30" t="str">
        <f>IF(B14="","",VLOOKUP($B14,'F-1 Off-Site WaterC'' Baseline'!$C$9:$AB$257,22,FALSE))</f>
        <v/>
      </c>
      <c r="BJ14" s="30" t="str">
        <f t="shared" si="10"/>
        <v>No</v>
      </c>
    </row>
    <row r="15" spans="2:62" ht="13.8" x14ac:dyDescent="0.25">
      <c r="B15" s="311" t="str">
        <f>'F-1 Off-Site WaterC'' Baseline'!AS13</f>
        <v/>
      </c>
      <c r="C15" s="301" t="str">
        <f>IF(B15="","",VLOOKUP($B15,'F-1 Off-Site WaterC'' Baseline'!$C$9:$R$257,2,FALSE))</f>
        <v/>
      </c>
      <c r="D15" s="301" t="str">
        <f>IF(C15="","",VLOOKUP($B15,'F-1 Off-Site WaterC'' Baseline'!$C$9:$R$257,3,FALSE))</f>
        <v/>
      </c>
      <c r="E15" s="301" t="str">
        <f>IF(D15="","",VLOOKUP($B15,'F-1 Off-Site WaterC'' Baseline'!$C$9:$R$257,4,FALSE))</f>
        <v/>
      </c>
      <c r="F15" s="301" t="str">
        <f>IF(E15="","",VLOOKUP($B15,'F-1 Off-Site WaterC'' Baseline'!$C$9:$R$257,5,FALSE))</f>
        <v/>
      </c>
      <c r="G15" s="301" t="str">
        <f>IF(F15="","",VLOOKUP($B15,'F-1 Off-Site WaterC'' Baseline'!$C$9:$R$257,6,FALSE))</f>
        <v/>
      </c>
      <c r="H15" s="301" t="str">
        <f>IF(G15="","",VLOOKUP($B15,'F-1 Off-Site WaterC'' Baseline'!$C$9:$R$257,7,FALSE))</f>
        <v/>
      </c>
      <c r="I15" s="301" t="str">
        <f>IF(H15="","",VLOOKUP($B15,'F-1 Off-Site WaterC'' Baseline'!$C$9:$R$257,8,FALSE))</f>
        <v/>
      </c>
      <c r="J15" s="301" t="str">
        <f>IF(I15="","",VLOOKUP($B15,'F-1 Off-Site WaterC'' Baseline'!$C$9:$R$257,9,FALSE))</f>
        <v/>
      </c>
      <c r="K15" s="301" t="str">
        <f>IF(J15="","",VLOOKUP($B15,'F-1 Off-Site WaterC'' Baseline'!$C$9:$R$257,10,FALSE))</f>
        <v/>
      </c>
      <c r="L15" s="289" t="str">
        <f>IF(B15="","",VLOOKUP($B15,'F-1 Off-Site WaterC'' Baseline'!$C$9:$R$257,15,FALSE))</f>
        <v/>
      </c>
      <c r="M15" s="305" t="str">
        <f>IF(L15="","",VLOOKUP($B15,'F-1 Off-Site WaterC'' Baseline'!$C$9:$V$257,19,FALSE))</f>
        <v/>
      </c>
      <c r="N15" s="250"/>
      <c r="O15" s="281" t="str">
        <f t="shared" si="2"/>
        <v/>
      </c>
      <c r="P15" s="282" t="str">
        <f t="shared" si="3"/>
        <v/>
      </c>
      <c r="Q15" s="287" t="str">
        <f>IF(N15="","",VLOOKUP(B15,'F-1 Off-Site WaterC'' Baseline'!$C$10:$AF$257,23,FALSE))</f>
        <v/>
      </c>
      <c r="R15" s="281" t="str">
        <f>IF(N15="","",VLOOKUP(N15,'G-7 WaterC'' Data'!$B$2:$G$8,2,FALSE))</f>
        <v/>
      </c>
      <c r="S15" s="282" t="str">
        <f>IFERROR(VLOOKUP(R15,'G-7 WaterC'' Data'!$C$4:$D$8,2,FALSE),"")</f>
        <v/>
      </c>
      <c r="T15" s="105"/>
      <c r="U15" s="282" t="str">
        <f>IFERROR(INDEX('G-7 WaterC'' Data'!$H$4:$L$8,MATCH(N15,'G-7 WaterC'' Data'!$B$4:$B$8,0),MATCH(T15,'G-7 WaterC'' Data'!$H$3:$L$3,0)),"")</f>
        <v/>
      </c>
      <c r="V15" s="109"/>
      <c r="W15" s="301" t="str">
        <f>IF(V15="","",IF(VLOOKUP(V15,'G-7 WaterC'' Data'!$AK$4:$AM$6,2,FALSE)=0,"Spatial Data Missing ⚠",VLOOKUP(V15,'G-7 WaterC'' Data'!$AK$4:$AM$6,2,FALSE)))</f>
        <v/>
      </c>
      <c r="X15" s="305" t="str">
        <f>IF(V15="","",IF(VLOOKUP(V15,'G-7 WaterC'' Data'!$AK$4:$AM$6,3,FALSE)=0,"Spatial Data Missing ⚠",VLOOKUP(V15,'G-7 WaterC'' Data'!$AK$4:$AM$6,3,FALSE)))</f>
        <v/>
      </c>
      <c r="Y15" s="317" t="str">
        <f>IFERROR(IF(OR(LEFT(P15,5)="Error",LEFT(O15,5)="Error"),"Check Data ⚠",IF(F15&lt;S15,'G-7 WaterC'' Data'!$R$3,INDEX('G-7 WaterC'' Data'!$U$5:$Y$9,MATCH(G15,'G-7 WaterC'' Data'!$T$5:$T$9,0),MATCH(T15,'G-7 WaterC'' Data'!$U$4:$Y$4,0)))),"")</f>
        <v/>
      </c>
      <c r="Z15" s="142"/>
      <c r="AA15" s="142"/>
      <c r="AB15" s="314" t="str">
        <f t="shared" si="4"/>
        <v/>
      </c>
      <c r="AC15" s="302" t="str">
        <f t="shared" si="5"/>
        <v/>
      </c>
      <c r="AD15" s="340" t="str">
        <f>IFERROR(IF(AC15="Check Data ⚠","Check Data ⚠",VLOOKUP(AC15,'G-4 Temporal multipliers'!$A$4:$C$37,3,FALSE)),"")</f>
        <v/>
      </c>
      <c r="AE15" s="317" t="str">
        <f>IF(N15="","",VLOOKUP(N15,'G-7 WaterC'' Data'!$B$4:$G$8,5,FALSE))</f>
        <v/>
      </c>
      <c r="AF15" s="301" t="str">
        <f t="shared" si="0"/>
        <v/>
      </c>
      <c r="AG15" s="301" t="str">
        <f t="shared" si="6"/>
        <v/>
      </c>
      <c r="AH15" s="282" t="str">
        <f t="shared" si="1"/>
        <v/>
      </c>
      <c r="AI15" s="109"/>
      <c r="AJ15" s="282" t="str">
        <f>IF(AI15="","",(IF(AND(AI15="N/A - Culvert",N15&lt;&gt;"Culvert"),"Not possible ▲",IF(VLOOKUP(AI15,'G-7 WaterC'' Data'!$AA$4:$AB$7,2,FALSE)=0,"Spatial Data Missing ⚠",VLOOKUP(AI15,'G-7 WaterC'' Data'!$AA$4:$AB$7,2,FALSE)))))</f>
        <v/>
      </c>
      <c r="AK15" s="110"/>
      <c r="AL15" s="316" t="str">
        <f>IF(AK15="","",IF(AND(AK15="N/A - Culvert",N15&lt;&gt;"Culvert"),"Not possible ▲",IF(VLOOKUP(AK15,'G-7 WaterC'' Data'!$AD$4:$AE$14,2,FALSE)=0,"Spatial Data Missing ⚠",VLOOKUP(AK15,'G-7 WaterC'' Data'!$AD$4:$AE$14,2,FALSE))))</f>
        <v/>
      </c>
      <c r="AM15" s="281" t="str">
        <f>IF(B15="","",VLOOKUP($B15,'F-1 Off-Site WaterC'' Baseline'!$C$9:$Z$257,17,FALSE))</f>
        <v/>
      </c>
      <c r="AN15" s="282" t="str">
        <f>IF(AM15="","",IF(VLOOKUP(AM15,'G-7 WaterC'' Data'!$AO$4:$BO$7,2,FALSE)=0,"Spatial Data Missing ⚠",VLOOKUP(AM15,'G-7 WaterC'' Data'!$AO$4:$BO$7,2,FALSE)))</f>
        <v/>
      </c>
      <c r="AO15" s="323" t="str">
        <f t="shared" si="7"/>
        <v/>
      </c>
      <c r="AP15" s="323" t="str">
        <f t="shared" si="8"/>
        <v/>
      </c>
      <c r="AQ15" s="105"/>
      <c r="AR15" s="119"/>
      <c r="AS15" s="108"/>
      <c r="AT15" s="108"/>
      <c r="AW15" s="30" t="str">
        <f>IF(E15="","",VLOOKUP($B15,'F-1 Off-Site WaterC'' Baseline'!$C$9:$Z$257,12,FALSE))</f>
        <v/>
      </c>
      <c r="AX15" s="30" t="str">
        <f>IF(E15="","",VLOOKUP($B15,'F-1 Off-Site WaterC'' Baseline'!$C$9:$Z$257,14,FALSE))</f>
        <v/>
      </c>
      <c r="AY15" s="30" t="str">
        <f>IFERROR(INDEX('G-7 WaterC'' Data'!$AZ$3:$AZ$7,MATCH(N15,'G-7 WaterC'' Data'!$AY$3:$AY$7,0)),"")</f>
        <v/>
      </c>
      <c r="AZ15" s="30" t="str">
        <f>IF(B15="","",IF(ISNA(VLOOKUP($B15,'F-1 Off-Site WaterC'' Baseline'!$C$8:$AD$257,20,FALSE)),"",(VLOOKUP($B15,'F-1 Off-Site WaterC'' Baseline'!$C$8:$AD$257,20,FALSE))))</f>
        <v/>
      </c>
      <c r="BC15" s="30" t="str">
        <f>IF(B15="","",VLOOKUP($B15,'F-1 Off-Site WaterC'' Baseline'!$C$9:$AB$257,25,FALSE))</f>
        <v/>
      </c>
      <c r="BD15" s="30" t="str">
        <f t="shared" si="9"/>
        <v/>
      </c>
      <c r="BE15" s="30" t="str">
        <f>IF(B15="","",VLOOKUP($B15,'F-1 Off-Site WaterC'' Baseline'!$C$9:$AB$257,24,FALSE))</f>
        <v/>
      </c>
      <c r="BF15" s="30" t="str">
        <f>IF(B15="","",VLOOKUP($B15,'F-1 Off-Site WaterC'' Baseline'!$C$9:$AB$257,22,FALSE))</f>
        <v/>
      </c>
      <c r="BJ15" s="30" t="str">
        <f t="shared" si="10"/>
        <v>No</v>
      </c>
    </row>
    <row r="16" spans="2:62" ht="13.8" x14ac:dyDescent="0.25">
      <c r="B16" s="311" t="str">
        <f>'F-1 Off-Site WaterC'' Baseline'!AS14</f>
        <v/>
      </c>
      <c r="C16" s="301" t="str">
        <f>IF(B16="","",VLOOKUP($B16,'F-1 Off-Site WaterC'' Baseline'!$C$9:$R$257,2,FALSE))</f>
        <v/>
      </c>
      <c r="D16" s="301" t="str">
        <f>IF(C16="","",VLOOKUP($B16,'F-1 Off-Site WaterC'' Baseline'!$C$9:$R$257,3,FALSE))</f>
        <v/>
      </c>
      <c r="E16" s="301" t="str">
        <f>IF(D16="","",VLOOKUP($B16,'F-1 Off-Site WaterC'' Baseline'!$C$9:$R$257,4,FALSE))</f>
        <v/>
      </c>
      <c r="F16" s="301" t="str">
        <f>IF(E16="","",VLOOKUP($B16,'F-1 Off-Site WaterC'' Baseline'!$C$9:$R$257,5,FALSE))</f>
        <v/>
      </c>
      <c r="G16" s="301" t="str">
        <f>IF(F16="","",VLOOKUP($B16,'F-1 Off-Site WaterC'' Baseline'!$C$9:$R$257,6,FALSE))</f>
        <v/>
      </c>
      <c r="H16" s="301" t="str">
        <f>IF(G16="","",VLOOKUP($B16,'F-1 Off-Site WaterC'' Baseline'!$C$9:$R$257,7,FALSE))</f>
        <v/>
      </c>
      <c r="I16" s="301" t="str">
        <f>IF(H16="","",VLOOKUP($B16,'F-1 Off-Site WaterC'' Baseline'!$C$9:$R$257,8,FALSE))</f>
        <v/>
      </c>
      <c r="J16" s="301" t="str">
        <f>IF(I16="","",VLOOKUP($B16,'F-1 Off-Site WaterC'' Baseline'!$C$9:$R$257,9,FALSE))</f>
        <v/>
      </c>
      <c r="K16" s="301" t="str">
        <f>IF(J16="","",VLOOKUP($B16,'F-1 Off-Site WaterC'' Baseline'!$C$9:$R$257,10,FALSE))</f>
        <v/>
      </c>
      <c r="L16" s="289" t="str">
        <f>IF(B16="","",VLOOKUP($B16,'F-1 Off-Site WaterC'' Baseline'!$C$9:$R$257,15,FALSE))</f>
        <v/>
      </c>
      <c r="M16" s="305" t="str">
        <f>IF(L16="","",VLOOKUP($B16,'F-1 Off-Site WaterC'' Baseline'!$C$9:$V$257,19,FALSE))</f>
        <v/>
      </c>
      <c r="N16" s="250"/>
      <c r="O16" s="281" t="str">
        <f t="shared" si="2"/>
        <v/>
      </c>
      <c r="P16" s="282" t="str">
        <f t="shared" si="3"/>
        <v/>
      </c>
      <c r="Q16" s="287" t="str">
        <f>IF(N16="","",VLOOKUP(B16,'F-1 Off-Site WaterC'' Baseline'!$C$10:$AF$257,23,FALSE))</f>
        <v/>
      </c>
      <c r="R16" s="281" t="str">
        <f>IF(N16="","",VLOOKUP(N16,'G-7 WaterC'' Data'!$B$2:$G$8,2,FALSE))</f>
        <v/>
      </c>
      <c r="S16" s="282" t="str">
        <f>IFERROR(VLOOKUP(R16,'G-7 WaterC'' Data'!$C$4:$D$8,2,FALSE),"")</f>
        <v/>
      </c>
      <c r="T16" s="105"/>
      <c r="U16" s="282" t="str">
        <f>IFERROR(INDEX('G-7 WaterC'' Data'!$H$4:$L$8,MATCH(N16,'G-7 WaterC'' Data'!$B$4:$B$8,0),MATCH(T16,'G-7 WaterC'' Data'!$H$3:$L$3,0)),"")</f>
        <v/>
      </c>
      <c r="V16" s="109"/>
      <c r="W16" s="301" t="str">
        <f>IF(V16="","",IF(VLOOKUP(V16,'G-7 WaterC'' Data'!$AK$4:$AM$6,2,FALSE)=0,"Spatial Data Missing ⚠",VLOOKUP(V16,'G-7 WaterC'' Data'!$AK$4:$AM$6,2,FALSE)))</f>
        <v/>
      </c>
      <c r="X16" s="305" t="str">
        <f>IF(V16="","",IF(VLOOKUP(V16,'G-7 WaterC'' Data'!$AK$4:$AM$6,3,FALSE)=0,"Spatial Data Missing ⚠",VLOOKUP(V16,'G-7 WaterC'' Data'!$AK$4:$AM$6,3,FALSE)))</f>
        <v/>
      </c>
      <c r="Y16" s="317" t="str">
        <f>IFERROR(IF(OR(LEFT(P16,5)="Error",LEFT(O16,5)="Error"),"Check Data ⚠",IF(F16&lt;S16,'G-7 WaterC'' Data'!$R$3,INDEX('G-7 WaterC'' Data'!$U$5:$Y$9,MATCH(G16,'G-7 WaterC'' Data'!$T$5:$T$9,0),MATCH(T16,'G-7 WaterC'' Data'!$U$4:$Y$4,0)))),"")</f>
        <v/>
      </c>
      <c r="Z16" s="142"/>
      <c r="AA16" s="142"/>
      <c r="AB16" s="314" t="str">
        <f t="shared" si="4"/>
        <v/>
      </c>
      <c r="AC16" s="302" t="str">
        <f t="shared" si="5"/>
        <v/>
      </c>
      <c r="AD16" s="340" t="str">
        <f>IFERROR(IF(AC16="Check Data ⚠","Check Data ⚠",VLOOKUP(AC16,'G-4 Temporal multipliers'!$A$4:$C$37,3,FALSE)),"")</f>
        <v/>
      </c>
      <c r="AE16" s="317" t="str">
        <f>IF(N16="","",VLOOKUP(N16,'G-7 WaterC'' Data'!$B$4:$G$8,5,FALSE))</f>
        <v/>
      </c>
      <c r="AF16" s="301" t="str">
        <f t="shared" si="0"/>
        <v/>
      </c>
      <c r="AG16" s="301" t="str">
        <f t="shared" si="6"/>
        <v/>
      </c>
      <c r="AH16" s="282" t="str">
        <f t="shared" si="1"/>
        <v/>
      </c>
      <c r="AI16" s="109"/>
      <c r="AJ16" s="282" t="str">
        <f>IF(AI16="","",(IF(AND(AI16="N/A - Culvert",N16&lt;&gt;"Culvert"),"Not possible ▲",IF(VLOOKUP(AI16,'G-7 WaterC'' Data'!$AA$4:$AB$7,2,FALSE)=0,"Spatial Data Missing ⚠",VLOOKUP(AI16,'G-7 WaterC'' Data'!$AA$4:$AB$7,2,FALSE)))))</f>
        <v/>
      </c>
      <c r="AK16" s="110"/>
      <c r="AL16" s="316" t="str">
        <f>IF(AK16="","",IF(AND(AK16="N/A - Culvert",N16&lt;&gt;"Culvert"),"Not possible ▲",IF(VLOOKUP(AK16,'G-7 WaterC'' Data'!$AD$4:$AE$14,2,FALSE)=0,"Spatial Data Missing ⚠",VLOOKUP(AK16,'G-7 WaterC'' Data'!$AD$4:$AE$14,2,FALSE))))</f>
        <v/>
      </c>
      <c r="AM16" s="281" t="str">
        <f>IF(B16="","",VLOOKUP($B16,'F-1 Off-Site WaterC'' Baseline'!$C$9:$Z$257,17,FALSE))</f>
        <v/>
      </c>
      <c r="AN16" s="282" t="str">
        <f>IF(AM16="","",IF(VLOOKUP(AM16,'G-7 WaterC'' Data'!$AO$4:$BO$7,2,FALSE)=0,"Spatial Data Missing ⚠",VLOOKUP(AM16,'G-7 WaterC'' Data'!$AO$4:$BO$7,2,FALSE)))</f>
        <v/>
      </c>
      <c r="AO16" s="323" t="str">
        <f t="shared" si="7"/>
        <v/>
      </c>
      <c r="AP16" s="323" t="str">
        <f t="shared" si="8"/>
        <v/>
      </c>
      <c r="AQ16" s="105"/>
      <c r="AR16" s="119"/>
      <c r="AS16" s="108"/>
      <c r="AT16" s="108"/>
      <c r="AW16" s="30" t="str">
        <f>IF(E16="","",VLOOKUP($B16,'F-1 Off-Site WaterC'' Baseline'!$C$9:$Z$257,12,FALSE))</f>
        <v/>
      </c>
      <c r="AX16" s="30" t="str">
        <f>IF(E16="","",VLOOKUP($B16,'F-1 Off-Site WaterC'' Baseline'!$C$9:$Z$257,14,FALSE))</f>
        <v/>
      </c>
      <c r="AY16" s="30" t="str">
        <f>IFERROR(INDEX('G-7 WaterC'' Data'!$AZ$3:$AZ$7,MATCH(N16,'G-7 WaterC'' Data'!$AY$3:$AY$7,0)),"")</f>
        <v/>
      </c>
      <c r="AZ16" s="30" t="str">
        <f>IF(B16="","",IF(ISNA(VLOOKUP($B16,'F-1 Off-Site WaterC'' Baseline'!$C$8:$AD$257,20,FALSE)),"",(VLOOKUP($B16,'F-1 Off-Site WaterC'' Baseline'!$C$8:$AD$257,20,FALSE))))</f>
        <v/>
      </c>
      <c r="BC16" s="30" t="str">
        <f>IF(B16="","",VLOOKUP($B16,'F-1 Off-Site WaterC'' Baseline'!$C$9:$AB$257,25,FALSE))</f>
        <v/>
      </c>
      <c r="BD16" s="30" t="str">
        <f t="shared" si="9"/>
        <v/>
      </c>
      <c r="BE16" s="30" t="str">
        <f>IF(B16="","",VLOOKUP($B16,'F-1 Off-Site WaterC'' Baseline'!$C$9:$AB$257,24,FALSE))</f>
        <v/>
      </c>
      <c r="BF16" s="30" t="str">
        <f>IF(B16="","",VLOOKUP($B16,'F-1 Off-Site WaterC'' Baseline'!$C$9:$AB$257,22,FALSE))</f>
        <v/>
      </c>
      <c r="BJ16" s="30" t="str">
        <f t="shared" si="10"/>
        <v>No</v>
      </c>
    </row>
    <row r="17" spans="2:62" ht="13.8" x14ac:dyDescent="0.25">
      <c r="B17" s="311" t="str">
        <f>'F-1 Off-Site WaterC'' Baseline'!AS15</f>
        <v/>
      </c>
      <c r="C17" s="301" t="str">
        <f>IF(B17="","",VLOOKUP($B17,'F-1 Off-Site WaterC'' Baseline'!$C$9:$R$257,2,FALSE))</f>
        <v/>
      </c>
      <c r="D17" s="301" t="str">
        <f>IF(C17="","",VLOOKUP($B17,'F-1 Off-Site WaterC'' Baseline'!$C$9:$R$257,3,FALSE))</f>
        <v/>
      </c>
      <c r="E17" s="301" t="str">
        <f>IF(D17="","",VLOOKUP($B17,'F-1 Off-Site WaterC'' Baseline'!$C$9:$R$257,4,FALSE))</f>
        <v/>
      </c>
      <c r="F17" s="301" t="str">
        <f>IF(E17="","",VLOOKUP($B17,'F-1 Off-Site WaterC'' Baseline'!$C$9:$R$257,5,FALSE))</f>
        <v/>
      </c>
      <c r="G17" s="301" t="str">
        <f>IF(F17="","",VLOOKUP($B17,'F-1 Off-Site WaterC'' Baseline'!$C$9:$R$257,6,FALSE))</f>
        <v/>
      </c>
      <c r="H17" s="301" t="str">
        <f>IF(G17="","",VLOOKUP($B17,'F-1 Off-Site WaterC'' Baseline'!$C$9:$R$257,7,FALSE))</f>
        <v/>
      </c>
      <c r="I17" s="301" t="str">
        <f>IF(H17="","",VLOOKUP($B17,'F-1 Off-Site WaterC'' Baseline'!$C$9:$R$257,8,FALSE))</f>
        <v/>
      </c>
      <c r="J17" s="301" t="str">
        <f>IF(I17="","",VLOOKUP($B17,'F-1 Off-Site WaterC'' Baseline'!$C$9:$R$257,9,FALSE))</f>
        <v/>
      </c>
      <c r="K17" s="301" t="str">
        <f>IF(J17="","",VLOOKUP($B17,'F-1 Off-Site WaterC'' Baseline'!$C$9:$R$257,10,FALSE))</f>
        <v/>
      </c>
      <c r="L17" s="289" t="str">
        <f>IF(B17="","",VLOOKUP($B17,'F-1 Off-Site WaterC'' Baseline'!$C$9:$R$257,15,FALSE))</f>
        <v/>
      </c>
      <c r="M17" s="305" t="str">
        <f>IF(L17="","",VLOOKUP($B17,'F-1 Off-Site WaterC'' Baseline'!$C$9:$V$257,19,FALSE))</f>
        <v/>
      </c>
      <c r="N17" s="250"/>
      <c r="O17" s="281" t="str">
        <f t="shared" si="2"/>
        <v/>
      </c>
      <c r="P17" s="282" t="str">
        <f t="shared" si="3"/>
        <v/>
      </c>
      <c r="Q17" s="287" t="str">
        <f>IF(N17="","",VLOOKUP(B17,'F-1 Off-Site WaterC'' Baseline'!$C$10:$AF$257,23,FALSE))</f>
        <v/>
      </c>
      <c r="R17" s="281" t="str">
        <f>IF(N17="","",VLOOKUP(N17,'G-7 WaterC'' Data'!$B$2:$G$8,2,FALSE))</f>
        <v/>
      </c>
      <c r="S17" s="282" t="str">
        <f>IFERROR(VLOOKUP(R17,'G-7 WaterC'' Data'!$C$4:$D$8,2,FALSE),"")</f>
        <v/>
      </c>
      <c r="T17" s="105"/>
      <c r="U17" s="282" t="str">
        <f>IFERROR(INDEX('G-7 WaterC'' Data'!$H$4:$L$8,MATCH(N17,'G-7 WaterC'' Data'!$B$4:$B$8,0),MATCH(T17,'G-7 WaterC'' Data'!$H$3:$L$3,0)),"")</f>
        <v/>
      </c>
      <c r="V17" s="109"/>
      <c r="W17" s="301" t="str">
        <f>IF(V17="","",IF(VLOOKUP(V17,'G-7 WaterC'' Data'!$AK$4:$AM$6,2,FALSE)=0,"Spatial Data Missing ⚠",VLOOKUP(V17,'G-7 WaterC'' Data'!$AK$4:$AM$6,2,FALSE)))</f>
        <v/>
      </c>
      <c r="X17" s="305" t="str">
        <f>IF(V17="","",IF(VLOOKUP(V17,'G-7 WaterC'' Data'!$AK$4:$AM$6,3,FALSE)=0,"Spatial Data Missing ⚠",VLOOKUP(V17,'G-7 WaterC'' Data'!$AK$4:$AM$6,3,FALSE)))</f>
        <v/>
      </c>
      <c r="Y17" s="317" t="str">
        <f>IFERROR(IF(OR(LEFT(P17,5)="Error",LEFT(O17,5)="Error"),"Check Data ⚠",IF(F17&lt;S17,'G-7 WaterC'' Data'!$R$3,INDEX('G-7 WaterC'' Data'!$U$5:$Y$9,MATCH(G17,'G-7 WaterC'' Data'!$T$5:$T$9,0),MATCH(T17,'G-7 WaterC'' Data'!$U$4:$Y$4,0)))),"")</f>
        <v/>
      </c>
      <c r="Z17" s="142"/>
      <c r="AA17" s="142"/>
      <c r="AB17" s="314" t="str">
        <f t="shared" si="4"/>
        <v/>
      </c>
      <c r="AC17" s="302" t="str">
        <f t="shared" si="5"/>
        <v/>
      </c>
      <c r="AD17" s="340" t="str">
        <f>IFERROR(IF(AC17="Check Data ⚠","Check Data ⚠",VLOOKUP(AC17,'G-4 Temporal multipliers'!$A$4:$C$37,3,FALSE)),"")</f>
        <v/>
      </c>
      <c r="AE17" s="317" t="str">
        <f>IF(N17="","",VLOOKUP(N17,'G-7 WaterC'' Data'!$B$4:$G$8,5,FALSE))</f>
        <v/>
      </c>
      <c r="AF17" s="301" t="str">
        <f t="shared" si="0"/>
        <v/>
      </c>
      <c r="AG17" s="301" t="str">
        <f t="shared" si="6"/>
        <v/>
      </c>
      <c r="AH17" s="282" t="str">
        <f t="shared" si="1"/>
        <v/>
      </c>
      <c r="AI17" s="109"/>
      <c r="AJ17" s="282" t="str">
        <f>IF(AI17="","",(IF(AND(AI17="N/A - Culvert",N17&lt;&gt;"Culvert"),"Not possible ▲",IF(VLOOKUP(AI17,'G-7 WaterC'' Data'!$AA$4:$AB$7,2,FALSE)=0,"Spatial Data Missing ⚠",VLOOKUP(AI17,'G-7 WaterC'' Data'!$AA$4:$AB$7,2,FALSE)))))</f>
        <v/>
      </c>
      <c r="AK17" s="110"/>
      <c r="AL17" s="316" t="str">
        <f>IF(AK17="","",IF(AND(AK17="N/A - Culvert",N17&lt;&gt;"Culvert"),"Not possible ▲",IF(VLOOKUP(AK17,'G-7 WaterC'' Data'!$AD$4:$AE$14,2,FALSE)=0,"Spatial Data Missing ⚠",VLOOKUP(AK17,'G-7 WaterC'' Data'!$AD$4:$AE$14,2,FALSE))))</f>
        <v/>
      </c>
      <c r="AM17" s="281" t="str">
        <f>IF(B17="","",VLOOKUP($B17,'F-1 Off-Site WaterC'' Baseline'!$C$9:$Z$257,17,FALSE))</f>
        <v/>
      </c>
      <c r="AN17" s="282" t="str">
        <f>IF(AM17="","",IF(VLOOKUP(AM17,'G-7 WaterC'' Data'!$AO$4:$BO$7,2,FALSE)=0,"Spatial Data Missing ⚠",VLOOKUP(AM17,'G-7 WaterC'' Data'!$AO$4:$BO$7,2,FALSE)))</f>
        <v/>
      </c>
      <c r="AO17" s="323" t="str">
        <f t="shared" si="7"/>
        <v/>
      </c>
      <c r="AP17" s="323" t="str">
        <f t="shared" si="8"/>
        <v/>
      </c>
      <c r="AQ17" s="105"/>
      <c r="AR17" s="119"/>
      <c r="AS17" s="108"/>
      <c r="AT17" s="108"/>
      <c r="AW17" s="30" t="str">
        <f>IF(E17="","",VLOOKUP($B17,'F-1 Off-Site WaterC'' Baseline'!$C$9:$Z$257,12,FALSE))</f>
        <v/>
      </c>
      <c r="AX17" s="30" t="str">
        <f>IF(E17="","",VLOOKUP($B17,'F-1 Off-Site WaterC'' Baseline'!$C$9:$Z$257,14,FALSE))</f>
        <v/>
      </c>
      <c r="AY17" s="30" t="str">
        <f>IFERROR(INDEX('G-7 WaterC'' Data'!$AZ$3:$AZ$7,MATCH(N17,'G-7 WaterC'' Data'!$AY$3:$AY$7,0)),"")</f>
        <v/>
      </c>
      <c r="AZ17" s="30" t="str">
        <f>IF(B17="","",IF(ISNA(VLOOKUP($B17,'F-1 Off-Site WaterC'' Baseline'!$C$8:$AD$257,20,FALSE)),"",(VLOOKUP($B17,'F-1 Off-Site WaterC'' Baseline'!$C$8:$AD$257,20,FALSE))))</f>
        <v/>
      </c>
      <c r="BC17" s="30" t="str">
        <f>IF(B17="","",VLOOKUP($B17,'F-1 Off-Site WaterC'' Baseline'!$C$9:$AB$257,25,FALSE))</f>
        <v/>
      </c>
      <c r="BD17" s="30" t="str">
        <f t="shared" si="9"/>
        <v/>
      </c>
      <c r="BE17" s="30" t="str">
        <f>IF(B17="","",VLOOKUP($B17,'F-1 Off-Site WaterC'' Baseline'!$C$9:$AB$257,24,FALSE))</f>
        <v/>
      </c>
      <c r="BF17" s="30" t="str">
        <f>IF(B17="","",VLOOKUP($B17,'F-1 Off-Site WaterC'' Baseline'!$C$9:$AB$257,22,FALSE))</f>
        <v/>
      </c>
      <c r="BJ17" s="30" t="str">
        <f t="shared" si="10"/>
        <v>No</v>
      </c>
    </row>
    <row r="18" spans="2:62" ht="13.8" x14ac:dyDescent="0.25">
      <c r="B18" s="311" t="str">
        <f>'F-1 Off-Site WaterC'' Baseline'!AS16</f>
        <v/>
      </c>
      <c r="C18" s="301" t="str">
        <f>IF(B18="","",VLOOKUP($B18,'F-1 Off-Site WaterC'' Baseline'!$C$9:$R$257,2,FALSE))</f>
        <v/>
      </c>
      <c r="D18" s="301" t="str">
        <f>IF(C18="","",VLOOKUP($B18,'F-1 Off-Site WaterC'' Baseline'!$C$9:$R$257,3,FALSE))</f>
        <v/>
      </c>
      <c r="E18" s="301" t="str">
        <f>IF(D18="","",VLOOKUP($B18,'F-1 Off-Site WaterC'' Baseline'!$C$9:$R$257,4,FALSE))</f>
        <v/>
      </c>
      <c r="F18" s="301" t="str">
        <f>IF(E18="","",VLOOKUP($B18,'F-1 Off-Site WaterC'' Baseline'!$C$9:$R$257,5,FALSE))</f>
        <v/>
      </c>
      <c r="G18" s="301" t="str">
        <f>IF(F18="","",VLOOKUP($B18,'F-1 Off-Site WaterC'' Baseline'!$C$9:$R$257,6,FALSE))</f>
        <v/>
      </c>
      <c r="H18" s="301" t="str">
        <f>IF(G18="","",VLOOKUP($B18,'F-1 Off-Site WaterC'' Baseline'!$C$9:$R$257,7,FALSE))</f>
        <v/>
      </c>
      <c r="I18" s="301" t="str">
        <f>IF(H18="","",VLOOKUP($B18,'F-1 Off-Site WaterC'' Baseline'!$C$9:$R$257,8,FALSE))</f>
        <v/>
      </c>
      <c r="J18" s="301" t="str">
        <f>IF(I18="","",VLOOKUP($B18,'F-1 Off-Site WaterC'' Baseline'!$C$9:$R$257,9,FALSE))</f>
        <v/>
      </c>
      <c r="K18" s="301" t="str">
        <f>IF(J18="","",VLOOKUP($B18,'F-1 Off-Site WaterC'' Baseline'!$C$9:$R$257,10,FALSE))</f>
        <v/>
      </c>
      <c r="L18" s="289" t="str">
        <f>IF(B18="","",VLOOKUP($B18,'F-1 Off-Site WaterC'' Baseline'!$C$9:$R$257,15,FALSE))</f>
        <v/>
      </c>
      <c r="M18" s="305" t="str">
        <f>IF(L18="","",VLOOKUP($B18,'F-1 Off-Site WaterC'' Baseline'!$C$9:$V$257,19,FALSE))</f>
        <v/>
      </c>
      <c r="N18" s="250"/>
      <c r="O18" s="281" t="str">
        <f t="shared" si="2"/>
        <v/>
      </c>
      <c r="P18" s="282" t="str">
        <f t="shared" si="3"/>
        <v/>
      </c>
      <c r="Q18" s="287" t="str">
        <f>IF(N18="","",VLOOKUP(B18,'F-1 Off-Site WaterC'' Baseline'!$C$10:$AF$257,23,FALSE))</f>
        <v/>
      </c>
      <c r="R18" s="281" t="str">
        <f>IF(N18="","",VLOOKUP(N18,'G-7 WaterC'' Data'!$B$2:$G$8,2,FALSE))</f>
        <v/>
      </c>
      <c r="S18" s="282" t="str">
        <f>IFERROR(VLOOKUP(R18,'G-7 WaterC'' Data'!$C$4:$D$8,2,FALSE),"")</f>
        <v/>
      </c>
      <c r="T18" s="105"/>
      <c r="U18" s="282" t="str">
        <f>IFERROR(INDEX('G-7 WaterC'' Data'!$H$4:$L$8,MATCH(N18,'G-7 WaterC'' Data'!$B$4:$B$8,0),MATCH(T18,'G-7 WaterC'' Data'!$H$3:$L$3,0)),"")</f>
        <v/>
      </c>
      <c r="V18" s="109"/>
      <c r="W18" s="301" t="str">
        <f>IF(V18="","",IF(VLOOKUP(V18,'G-7 WaterC'' Data'!$AK$4:$AM$6,2,FALSE)=0,"Spatial Data Missing ⚠",VLOOKUP(V18,'G-7 WaterC'' Data'!$AK$4:$AM$6,2,FALSE)))</f>
        <v/>
      </c>
      <c r="X18" s="305" t="str">
        <f>IF(V18="","",IF(VLOOKUP(V18,'G-7 WaterC'' Data'!$AK$4:$AM$6,3,FALSE)=0,"Spatial Data Missing ⚠",VLOOKUP(V18,'G-7 WaterC'' Data'!$AK$4:$AM$6,3,FALSE)))</f>
        <v/>
      </c>
      <c r="Y18" s="317" t="str">
        <f>IFERROR(IF(OR(LEFT(P18,5)="Error",LEFT(O18,5)="Error"),"Check Data ⚠",IF(F18&lt;S18,'G-7 WaterC'' Data'!$R$3,INDEX('G-7 WaterC'' Data'!$U$5:$Y$9,MATCH(G18,'G-7 WaterC'' Data'!$T$5:$T$9,0),MATCH(T18,'G-7 WaterC'' Data'!$U$4:$Y$4,0)))),"")</f>
        <v/>
      </c>
      <c r="Z18" s="142"/>
      <c r="AA18" s="142"/>
      <c r="AB18" s="314" t="str">
        <f t="shared" si="4"/>
        <v/>
      </c>
      <c r="AC18" s="302" t="str">
        <f t="shared" si="5"/>
        <v/>
      </c>
      <c r="AD18" s="340" t="str">
        <f>IFERROR(IF(AC18="Check Data ⚠","Check Data ⚠",VLOOKUP(AC18,'G-4 Temporal multipliers'!$A$4:$C$37,3,FALSE)),"")</f>
        <v/>
      </c>
      <c r="AE18" s="317" t="str">
        <f>IF(N18="","",VLOOKUP(N18,'G-7 WaterC'' Data'!$B$4:$G$8,5,FALSE))</f>
        <v/>
      </c>
      <c r="AF18" s="301" t="str">
        <f t="shared" si="0"/>
        <v/>
      </c>
      <c r="AG18" s="301" t="str">
        <f t="shared" si="6"/>
        <v/>
      </c>
      <c r="AH18" s="282" t="str">
        <f t="shared" si="1"/>
        <v/>
      </c>
      <c r="AI18" s="109"/>
      <c r="AJ18" s="282" t="str">
        <f>IF(AI18="","",(IF(AND(AI18="N/A - Culvert",N18&lt;&gt;"Culvert"),"Not possible ▲",IF(VLOOKUP(AI18,'G-7 WaterC'' Data'!$AA$4:$AB$7,2,FALSE)=0,"Spatial Data Missing ⚠",VLOOKUP(AI18,'G-7 WaterC'' Data'!$AA$4:$AB$7,2,FALSE)))))</f>
        <v/>
      </c>
      <c r="AK18" s="110"/>
      <c r="AL18" s="316" t="str">
        <f>IF(AK18="","",IF(AND(AK18="N/A - Culvert",N18&lt;&gt;"Culvert"),"Not possible ▲",IF(VLOOKUP(AK18,'G-7 WaterC'' Data'!$AD$4:$AE$14,2,FALSE)=0,"Spatial Data Missing ⚠",VLOOKUP(AK18,'G-7 WaterC'' Data'!$AD$4:$AE$14,2,FALSE))))</f>
        <v/>
      </c>
      <c r="AM18" s="281" t="str">
        <f>IF(B18="","",VLOOKUP($B18,'F-1 Off-Site WaterC'' Baseline'!$C$9:$Z$257,17,FALSE))</f>
        <v/>
      </c>
      <c r="AN18" s="282" t="str">
        <f>IF(AM18="","",IF(VLOOKUP(AM18,'G-7 WaterC'' Data'!$AO$4:$BO$7,2,FALSE)=0,"Spatial Data Missing ⚠",VLOOKUP(AM18,'G-7 WaterC'' Data'!$AO$4:$BO$7,2,FALSE)))</f>
        <v/>
      </c>
      <c r="AO18" s="323" t="str">
        <f t="shared" si="7"/>
        <v/>
      </c>
      <c r="AP18" s="323" t="str">
        <f t="shared" si="8"/>
        <v/>
      </c>
      <c r="AQ18" s="105"/>
      <c r="AR18" s="119"/>
      <c r="AS18" s="108"/>
      <c r="AT18" s="108"/>
      <c r="AW18" s="30" t="str">
        <f>IF(E18="","",VLOOKUP($B18,'F-1 Off-Site WaterC'' Baseline'!$C$9:$Z$257,12,FALSE))</f>
        <v/>
      </c>
      <c r="AX18" s="30" t="str">
        <f>IF(E18="","",VLOOKUP($B18,'F-1 Off-Site WaterC'' Baseline'!$C$9:$Z$257,14,FALSE))</f>
        <v/>
      </c>
      <c r="AY18" s="30" t="str">
        <f>IFERROR(INDEX('G-7 WaterC'' Data'!$AZ$3:$AZ$7,MATCH(N18,'G-7 WaterC'' Data'!$AY$3:$AY$7,0)),"")</f>
        <v/>
      </c>
      <c r="AZ18" s="30" t="str">
        <f>IF(B18="","",IF(ISNA(VLOOKUP($B18,'F-1 Off-Site WaterC'' Baseline'!$C$8:$AD$257,20,FALSE)),"",(VLOOKUP($B18,'F-1 Off-Site WaterC'' Baseline'!$C$8:$AD$257,20,FALSE))))</f>
        <v/>
      </c>
      <c r="BC18" s="30" t="str">
        <f>IF(B18="","",VLOOKUP($B18,'F-1 Off-Site WaterC'' Baseline'!$C$9:$AB$257,25,FALSE))</f>
        <v/>
      </c>
      <c r="BD18" s="30" t="str">
        <f t="shared" si="9"/>
        <v/>
      </c>
      <c r="BE18" s="30" t="str">
        <f>IF(B18="","",VLOOKUP($B18,'F-1 Off-Site WaterC'' Baseline'!$C$9:$AB$257,24,FALSE))</f>
        <v/>
      </c>
      <c r="BF18" s="30" t="str">
        <f>IF(B18="","",VLOOKUP($B18,'F-1 Off-Site WaterC'' Baseline'!$C$9:$AB$257,22,FALSE))</f>
        <v/>
      </c>
      <c r="BJ18" s="30" t="str">
        <f t="shared" si="10"/>
        <v>No</v>
      </c>
    </row>
    <row r="19" spans="2:62" ht="13.8" x14ac:dyDescent="0.25">
      <c r="B19" s="311" t="str">
        <f>'F-1 Off-Site WaterC'' Baseline'!AS17</f>
        <v/>
      </c>
      <c r="C19" s="301" t="str">
        <f>IF(B19="","",VLOOKUP($B19,'F-1 Off-Site WaterC'' Baseline'!$C$9:$R$257,2,FALSE))</f>
        <v/>
      </c>
      <c r="D19" s="301" t="str">
        <f>IF(C19="","",VLOOKUP($B19,'F-1 Off-Site WaterC'' Baseline'!$C$9:$R$257,3,FALSE))</f>
        <v/>
      </c>
      <c r="E19" s="301" t="str">
        <f>IF(D19="","",VLOOKUP($B19,'F-1 Off-Site WaterC'' Baseline'!$C$9:$R$257,4,FALSE))</f>
        <v/>
      </c>
      <c r="F19" s="301" t="str">
        <f>IF(E19="","",VLOOKUP($B19,'F-1 Off-Site WaterC'' Baseline'!$C$9:$R$257,5,FALSE))</f>
        <v/>
      </c>
      <c r="G19" s="301" t="str">
        <f>IF(F19="","",VLOOKUP($B19,'F-1 Off-Site WaterC'' Baseline'!$C$9:$R$257,6,FALSE))</f>
        <v/>
      </c>
      <c r="H19" s="301" t="str">
        <f>IF(G19="","",VLOOKUP($B19,'F-1 Off-Site WaterC'' Baseline'!$C$9:$R$257,7,FALSE))</f>
        <v/>
      </c>
      <c r="I19" s="301" t="str">
        <f>IF(H19="","",VLOOKUP($B19,'F-1 Off-Site WaterC'' Baseline'!$C$9:$R$257,8,FALSE))</f>
        <v/>
      </c>
      <c r="J19" s="301" t="str">
        <f>IF(I19="","",VLOOKUP($B19,'F-1 Off-Site WaterC'' Baseline'!$C$9:$R$257,9,FALSE))</f>
        <v/>
      </c>
      <c r="K19" s="301" t="str">
        <f>IF(J19="","",VLOOKUP($B19,'F-1 Off-Site WaterC'' Baseline'!$C$9:$R$257,10,FALSE))</f>
        <v/>
      </c>
      <c r="L19" s="289" t="str">
        <f>IF(B19="","",VLOOKUP($B19,'F-1 Off-Site WaterC'' Baseline'!$C$9:$R$257,15,FALSE))</f>
        <v/>
      </c>
      <c r="M19" s="305" t="str">
        <f>IF(L19="","",VLOOKUP($B19,'F-1 Off-Site WaterC'' Baseline'!$C$9:$V$257,19,FALSE))</f>
        <v/>
      </c>
      <c r="N19" s="250"/>
      <c r="O19" s="281" t="str">
        <f t="shared" si="2"/>
        <v/>
      </c>
      <c r="P19" s="282" t="str">
        <f t="shared" si="3"/>
        <v/>
      </c>
      <c r="Q19" s="287" t="str">
        <f>IF(N19="","",VLOOKUP(B19,'F-1 Off-Site WaterC'' Baseline'!$C$10:$AF$257,23,FALSE))</f>
        <v/>
      </c>
      <c r="R19" s="281" t="str">
        <f>IF(N19="","",VLOOKUP(N19,'G-7 WaterC'' Data'!$B$2:$G$8,2,FALSE))</f>
        <v/>
      </c>
      <c r="S19" s="282" t="str">
        <f>IFERROR(VLOOKUP(R19,'G-7 WaterC'' Data'!$C$4:$D$8,2,FALSE),"")</f>
        <v/>
      </c>
      <c r="T19" s="105"/>
      <c r="U19" s="282" t="str">
        <f>IFERROR(INDEX('G-7 WaterC'' Data'!$H$4:$L$8,MATCH(N19,'G-7 WaterC'' Data'!$B$4:$B$8,0),MATCH(T19,'G-7 WaterC'' Data'!$H$3:$L$3,0)),"")</f>
        <v/>
      </c>
      <c r="V19" s="109"/>
      <c r="W19" s="301" t="str">
        <f>IF(V19="","",IF(VLOOKUP(V19,'G-7 WaterC'' Data'!$AK$4:$AM$6,2,FALSE)=0,"Spatial Data Missing ⚠",VLOOKUP(V19,'G-7 WaterC'' Data'!$AK$4:$AM$6,2,FALSE)))</f>
        <v/>
      </c>
      <c r="X19" s="305" t="str">
        <f>IF(V19="","",IF(VLOOKUP(V19,'G-7 WaterC'' Data'!$AK$4:$AM$6,3,FALSE)=0,"Spatial Data Missing ⚠",VLOOKUP(V19,'G-7 WaterC'' Data'!$AK$4:$AM$6,3,FALSE)))</f>
        <v/>
      </c>
      <c r="Y19" s="317" t="str">
        <f>IFERROR(IF(OR(LEFT(P19,5)="Error",LEFT(O19,5)="Error"),"Check Data ⚠",IF(F19&lt;S19,'G-7 WaterC'' Data'!$R$3,INDEX('G-7 WaterC'' Data'!$U$5:$Y$9,MATCH(G19,'G-7 WaterC'' Data'!$T$5:$T$9,0),MATCH(T19,'G-7 WaterC'' Data'!$U$4:$Y$4,0)))),"")</f>
        <v/>
      </c>
      <c r="Z19" s="142"/>
      <c r="AA19" s="142"/>
      <c r="AB19" s="314" t="str">
        <f t="shared" si="4"/>
        <v/>
      </c>
      <c r="AC19" s="302" t="str">
        <f t="shared" si="5"/>
        <v/>
      </c>
      <c r="AD19" s="340" t="str">
        <f>IFERROR(IF(AC19="Check Data ⚠","Check Data ⚠",VLOOKUP(AC19,'G-4 Temporal multipliers'!$A$4:$C$37,3,FALSE)),"")</f>
        <v/>
      </c>
      <c r="AE19" s="317" t="str">
        <f>IF(N19="","",VLOOKUP(N19,'G-7 WaterC'' Data'!$B$4:$G$8,5,FALSE))</f>
        <v/>
      </c>
      <c r="AF19" s="301" t="str">
        <f t="shared" si="0"/>
        <v/>
      </c>
      <c r="AG19" s="301" t="str">
        <f t="shared" si="6"/>
        <v/>
      </c>
      <c r="AH19" s="282" t="str">
        <f t="shared" si="1"/>
        <v/>
      </c>
      <c r="AI19" s="109"/>
      <c r="AJ19" s="282" t="str">
        <f>IF(AI19="","",(IF(AND(AI19="N/A - Culvert",N19&lt;&gt;"Culvert"),"Not possible ▲",IF(VLOOKUP(AI19,'G-7 WaterC'' Data'!$AA$4:$AB$7,2,FALSE)=0,"Spatial Data Missing ⚠",VLOOKUP(AI19,'G-7 WaterC'' Data'!$AA$4:$AB$7,2,FALSE)))))</f>
        <v/>
      </c>
      <c r="AK19" s="110"/>
      <c r="AL19" s="316" t="str">
        <f>IF(AK19="","",IF(AND(AK19="N/A - Culvert",N19&lt;&gt;"Culvert"),"Not possible ▲",IF(VLOOKUP(AK19,'G-7 WaterC'' Data'!$AD$4:$AE$14,2,FALSE)=0,"Spatial Data Missing ⚠",VLOOKUP(AK19,'G-7 WaterC'' Data'!$AD$4:$AE$14,2,FALSE))))</f>
        <v/>
      </c>
      <c r="AM19" s="281" t="str">
        <f>IF(B19="","",VLOOKUP($B19,'F-1 Off-Site WaterC'' Baseline'!$C$9:$Z$257,17,FALSE))</f>
        <v/>
      </c>
      <c r="AN19" s="282" t="str">
        <f>IF(AM19="","",IF(VLOOKUP(AM19,'G-7 WaterC'' Data'!$AO$4:$BO$7,2,FALSE)=0,"Spatial Data Missing ⚠",VLOOKUP(AM19,'G-7 WaterC'' Data'!$AO$4:$BO$7,2,FALSE)))</f>
        <v/>
      </c>
      <c r="AO19" s="323" t="str">
        <f t="shared" si="7"/>
        <v/>
      </c>
      <c r="AP19" s="323" t="str">
        <f t="shared" si="8"/>
        <v/>
      </c>
      <c r="AQ19" s="105"/>
      <c r="AR19" s="119"/>
      <c r="AS19" s="108"/>
      <c r="AT19" s="108"/>
      <c r="AW19" s="30" t="str">
        <f>IF(E19="","",VLOOKUP($B19,'F-1 Off-Site WaterC'' Baseline'!$C$9:$Z$257,12,FALSE))</f>
        <v/>
      </c>
      <c r="AX19" s="30" t="str">
        <f>IF(E19="","",VLOOKUP($B19,'F-1 Off-Site WaterC'' Baseline'!$C$9:$Z$257,14,FALSE))</f>
        <v/>
      </c>
      <c r="AY19" s="30" t="str">
        <f>IFERROR(INDEX('G-7 WaterC'' Data'!$AZ$3:$AZ$7,MATCH(N19,'G-7 WaterC'' Data'!$AY$3:$AY$7,0)),"")</f>
        <v/>
      </c>
      <c r="AZ19" s="30" t="str">
        <f>IF(B19="","",IF(ISNA(VLOOKUP($B19,'F-1 Off-Site WaterC'' Baseline'!$C$8:$AD$257,20,FALSE)),"",(VLOOKUP($B19,'F-1 Off-Site WaterC'' Baseline'!$C$8:$AD$257,20,FALSE))))</f>
        <v/>
      </c>
      <c r="BC19" s="30" t="str">
        <f>IF(B19="","",VLOOKUP($B19,'F-1 Off-Site WaterC'' Baseline'!$C$9:$AB$257,25,FALSE))</f>
        <v/>
      </c>
      <c r="BD19" s="30" t="str">
        <f t="shared" si="9"/>
        <v/>
      </c>
      <c r="BE19" s="30" t="str">
        <f>IF(B19="","",VLOOKUP($B19,'F-1 Off-Site WaterC'' Baseline'!$C$9:$AB$257,24,FALSE))</f>
        <v/>
      </c>
      <c r="BF19" s="30" t="str">
        <f>IF(B19="","",VLOOKUP($B19,'F-1 Off-Site WaterC'' Baseline'!$C$9:$AB$257,22,FALSE))</f>
        <v/>
      </c>
      <c r="BJ19" s="30" t="str">
        <f t="shared" si="10"/>
        <v>No</v>
      </c>
    </row>
    <row r="20" spans="2:62" ht="13.8" x14ac:dyDescent="0.25">
      <c r="B20" s="311" t="str">
        <f>'F-1 Off-Site WaterC'' Baseline'!AS18</f>
        <v/>
      </c>
      <c r="C20" s="301" t="str">
        <f>IF(B20="","",VLOOKUP($B20,'F-1 Off-Site WaterC'' Baseline'!$C$9:$R$257,2,FALSE))</f>
        <v/>
      </c>
      <c r="D20" s="301" t="str">
        <f>IF(C20="","",VLOOKUP($B20,'F-1 Off-Site WaterC'' Baseline'!$C$9:$R$257,3,FALSE))</f>
        <v/>
      </c>
      <c r="E20" s="301" t="str">
        <f>IF(D20="","",VLOOKUP($B20,'F-1 Off-Site WaterC'' Baseline'!$C$9:$R$257,4,FALSE))</f>
        <v/>
      </c>
      <c r="F20" s="301" t="str">
        <f>IF(E20="","",VLOOKUP($B20,'F-1 Off-Site WaterC'' Baseline'!$C$9:$R$257,5,FALSE))</f>
        <v/>
      </c>
      <c r="G20" s="301" t="str">
        <f>IF(F20="","",VLOOKUP($B20,'F-1 Off-Site WaterC'' Baseline'!$C$9:$R$257,6,FALSE))</f>
        <v/>
      </c>
      <c r="H20" s="301" t="str">
        <f>IF(G20="","",VLOOKUP($B20,'F-1 Off-Site WaterC'' Baseline'!$C$9:$R$257,7,FALSE))</f>
        <v/>
      </c>
      <c r="I20" s="301" t="str">
        <f>IF(H20="","",VLOOKUP($B20,'F-1 Off-Site WaterC'' Baseline'!$C$9:$R$257,8,FALSE))</f>
        <v/>
      </c>
      <c r="J20" s="301" t="str">
        <f>IF(I20="","",VLOOKUP($B20,'F-1 Off-Site WaterC'' Baseline'!$C$9:$R$257,9,FALSE))</f>
        <v/>
      </c>
      <c r="K20" s="301" t="str">
        <f>IF(J20="","",VLOOKUP($B20,'F-1 Off-Site WaterC'' Baseline'!$C$9:$R$257,10,FALSE))</f>
        <v/>
      </c>
      <c r="L20" s="289" t="str">
        <f>IF(B20="","",VLOOKUP($B20,'F-1 Off-Site WaterC'' Baseline'!$C$9:$R$257,15,FALSE))</f>
        <v/>
      </c>
      <c r="M20" s="305" t="str">
        <f>IF(L20="","",VLOOKUP($B20,'F-1 Off-Site WaterC'' Baseline'!$C$9:$V$257,19,FALSE))</f>
        <v/>
      </c>
      <c r="N20" s="250"/>
      <c r="O20" s="281" t="str">
        <f t="shared" si="2"/>
        <v/>
      </c>
      <c r="P20" s="282" t="str">
        <f t="shared" si="3"/>
        <v/>
      </c>
      <c r="Q20" s="287" t="str">
        <f>IF(N20="","",VLOOKUP(B20,'F-1 Off-Site WaterC'' Baseline'!$C$10:$AF$257,23,FALSE))</f>
        <v/>
      </c>
      <c r="R20" s="281" t="str">
        <f>IF(N20="","",VLOOKUP(N20,'G-7 WaterC'' Data'!$B$2:$G$8,2,FALSE))</f>
        <v/>
      </c>
      <c r="S20" s="282" t="str">
        <f>IFERROR(VLOOKUP(R20,'G-7 WaterC'' Data'!$C$4:$D$8,2,FALSE),"")</f>
        <v/>
      </c>
      <c r="T20" s="105"/>
      <c r="U20" s="282" t="str">
        <f>IFERROR(INDEX('G-7 WaterC'' Data'!$H$4:$L$8,MATCH(N20,'G-7 WaterC'' Data'!$B$4:$B$8,0),MATCH(T20,'G-7 WaterC'' Data'!$H$3:$L$3,0)),"")</f>
        <v/>
      </c>
      <c r="V20" s="109"/>
      <c r="W20" s="301" t="str">
        <f>IF(V20="","",IF(VLOOKUP(V20,'G-7 WaterC'' Data'!$AK$4:$AM$6,2,FALSE)=0,"Spatial Data Missing ⚠",VLOOKUP(V20,'G-7 WaterC'' Data'!$AK$4:$AM$6,2,FALSE)))</f>
        <v/>
      </c>
      <c r="X20" s="305" t="str">
        <f>IF(V20="","",IF(VLOOKUP(V20,'G-7 WaterC'' Data'!$AK$4:$AM$6,3,FALSE)=0,"Spatial Data Missing ⚠",VLOOKUP(V20,'G-7 WaterC'' Data'!$AK$4:$AM$6,3,FALSE)))</f>
        <v/>
      </c>
      <c r="Y20" s="317" t="str">
        <f>IFERROR(IF(OR(LEFT(P20,5)="Error",LEFT(O20,5)="Error"),"Check Data ⚠",IF(F20&lt;S20,'G-7 WaterC'' Data'!$R$3,INDEX('G-7 WaterC'' Data'!$U$5:$Y$9,MATCH(G20,'G-7 WaterC'' Data'!$T$5:$T$9,0),MATCH(T20,'G-7 WaterC'' Data'!$U$4:$Y$4,0)))),"")</f>
        <v/>
      </c>
      <c r="Z20" s="142"/>
      <c r="AA20" s="142"/>
      <c r="AB20" s="314" t="str">
        <f t="shared" si="4"/>
        <v/>
      </c>
      <c r="AC20" s="302" t="str">
        <f t="shared" si="5"/>
        <v/>
      </c>
      <c r="AD20" s="340" t="str">
        <f>IFERROR(IF(AC20="Check Data ⚠","Check Data ⚠",VLOOKUP(AC20,'G-4 Temporal multipliers'!$A$4:$C$37,3,FALSE)),"")</f>
        <v/>
      </c>
      <c r="AE20" s="317" t="str">
        <f>IF(N20="","",VLOOKUP(N20,'G-7 WaterC'' Data'!$B$4:$G$8,5,FALSE))</f>
        <v/>
      </c>
      <c r="AF20" s="301" t="str">
        <f t="shared" si="0"/>
        <v/>
      </c>
      <c r="AG20" s="301" t="str">
        <f t="shared" si="6"/>
        <v/>
      </c>
      <c r="AH20" s="282" t="str">
        <f t="shared" si="1"/>
        <v/>
      </c>
      <c r="AI20" s="109"/>
      <c r="AJ20" s="282" t="str">
        <f>IF(AI20="","",(IF(AND(AI20="N/A - Culvert",N20&lt;&gt;"Culvert"),"Not possible ▲",IF(VLOOKUP(AI20,'G-7 WaterC'' Data'!$AA$4:$AB$7,2,FALSE)=0,"Spatial Data Missing ⚠",VLOOKUP(AI20,'G-7 WaterC'' Data'!$AA$4:$AB$7,2,FALSE)))))</f>
        <v/>
      </c>
      <c r="AK20" s="110"/>
      <c r="AL20" s="316" t="str">
        <f>IF(AK20="","",IF(AND(AK20="N/A - Culvert",N20&lt;&gt;"Culvert"),"Not possible ▲",IF(VLOOKUP(AK20,'G-7 WaterC'' Data'!$AD$4:$AE$14,2,FALSE)=0,"Spatial Data Missing ⚠",VLOOKUP(AK20,'G-7 WaterC'' Data'!$AD$4:$AE$14,2,FALSE))))</f>
        <v/>
      </c>
      <c r="AM20" s="281" t="str">
        <f>IF(B20="","",VLOOKUP($B20,'F-1 Off-Site WaterC'' Baseline'!$C$9:$Z$257,17,FALSE))</f>
        <v/>
      </c>
      <c r="AN20" s="282" t="str">
        <f>IF(AM20="","",IF(VLOOKUP(AM20,'G-7 WaterC'' Data'!$AO$4:$BO$7,2,FALSE)=0,"Spatial Data Missing ⚠",VLOOKUP(AM20,'G-7 WaterC'' Data'!$AO$4:$BO$7,2,FALSE)))</f>
        <v/>
      </c>
      <c r="AO20" s="323" t="str">
        <f t="shared" si="7"/>
        <v/>
      </c>
      <c r="AP20" s="323" t="str">
        <f t="shared" si="8"/>
        <v/>
      </c>
      <c r="AQ20" s="105"/>
      <c r="AR20" s="119"/>
      <c r="AS20" s="108"/>
      <c r="AT20" s="108"/>
      <c r="AW20" s="30" t="str">
        <f>IF(E20="","",VLOOKUP($B20,'F-1 Off-Site WaterC'' Baseline'!$C$9:$Z$257,12,FALSE))</f>
        <v/>
      </c>
      <c r="AX20" s="30" t="str">
        <f>IF(E20="","",VLOOKUP($B20,'F-1 Off-Site WaterC'' Baseline'!$C$9:$Z$257,14,FALSE))</f>
        <v/>
      </c>
      <c r="AY20" s="30" t="str">
        <f>IFERROR(INDEX('G-7 WaterC'' Data'!$AZ$3:$AZ$7,MATCH(N20,'G-7 WaterC'' Data'!$AY$3:$AY$7,0)),"")</f>
        <v/>
      </c>
      <c r="AZ20" s="30" t="str">
        <f>IF(B20="","",IF(ISNA(VLOOKUP($B20,'F-1 Off-Site WaterC'' Baseline'!$C$8:$AD$257,20,FALSE)),"",(VLOOKUP($B20,'F-1 Off-Site WaterC'' Baseline'!$C$8:$AD$257,20,FALSE))))</f>
        <v/>
      </c>
      <c r="BC20" s="30" t="str">
        <f>IF(B20="","",VLOOKUP($B20,'F-1 Off-Site WaterC'' Baseline'!$C$9:$AB$257,25,FALSE))</f>
        <v/>
      </c>
      <c r="BD20" s="30" t="str">
        <f t="shared" si="9"/>
        <v/>
      </c>
      <c r="BE20" s="30" t="str">
        <f>IF(B20="","",VLOOKUP($B20,'F-1 Off-Site WaterC'' Baseline'!$C$9:$AB$257,24,FALSE))</f>
        <v/>
      </c>
      <c r="BF20" s="30" t="str">
        <f>IF(B20="","",VLOOKUP($B20,'F-1 Off-Site WaterC'' Baseline'!$C$9:$AB$257,22,FALSE))</f>
        <v/>
      </c>
      <c r="BJ20" s="30" t="str">
        <f t="shared" si="10"/>
        <v>No</v>
      </c>
    </row>
    <row r="21" spans="2:62" ht="13.8" x14ac:dyDescent="0.25">
      <c r="B21" s="311" t="str">
        <f>'F-1 Off-Site WaterC'' Baseline'!AS19</f>
        <v/>
      </c>
      <c r="C21" s="301" t="str">
        <f>IF(B21="","",VLOOKUP($B21,'F-1 Off-Site WaterC'' Baseline'!$C$9:$R$257,2,FALSE))</f>
        <v/>
      </c>
      <c r="D21" s="301" t="str">
        <f>IF(C21="","",VLOOKUP($B21,'F-1 Off-Site WaterC'' Baseline'!$C$9:$R$257,3,FALSE))</f>
        <v/>
      </c>
      <c r="E21" s="301" t="str">
        <f>IF(D21="","",VLOOKUP($B21,'F-1 Off-Site WaterC'' Baseline'!$C$9:$R$257,4,FALSE))</f>
        <v/>
      </c>
      <c r="F21" s="301" t="str">
        <f>IF(E21="","",VLOOKUP($B21,'F-1 Off-Site WaterC'' Baseline'!$C$9:$R$257,5,FALSE))</f>
        <v/>
      </c>
      <c r="G21" s="301" t="str">
        <f>IF(F21="","",VLOOKUP($B21,'F-1 Off-Site WaterC'' Baseline'!$C$9:$R$257,6,FALSE))</f>
        <v/>
      </c>
      <c r="H21" s="301" t="str">
        <f>IF(G21="","",VLOOKUP($B21,'F-1 Off-Site WaterC'' Baseline'!$C$9:$R$257,7,FALSE))</f>
        <v/>
      </c>
      <c r="I21" s="301" t="str">
        <f>IF(H21="","",VLOOKUP($B21,'F-1 Off-Site WaterC'' Baseline'!$C$9:$R$257,8,FALSE))</f>
        <v/>
      </c>
      <c r="J21" s="301" t="str">
        <f>IF(I21="","",VLOOKUP($B21,'F-1 Off-Site WaterC'' Baseline'!$C$9:$R$257,9,FALSE))</f>
        <v/>
      </c>
      <c r="K21" s="301" t="str">
        <f>IF(J21="","",VLOOKUP($B21,'F-1 Off-Site WaterC'' Baseline'!$C$9:$R$257,10,FALSE))</f>
        <v/>
      </c>
      <c r="L21" s="289" t="str">
        <f>IF(B21="","",VLOOKUP($B21,'F-1 Off-Site WaterC'' Baseline'!$C$9:$R$257,15,FALSE))</f>
        <v/>
      </c>
      <c r="M21" s="305" t="str">
        <f>IF(L21="","",VLOOKUP($B21,'F-1 Off-Site WaterC'' Baseline'!$C$9:$V$257,19,FALSE))</f>
        <v/>
      </c>
      <c r="N21" s="250"/>
      <c r="O21" s="281" t="str">
        <f t="shared" si="2"/>
        <v/>
      </c>
      <c r="P21" s="282" t="str">
        <f t="shared" si="3"/>
        <v/>
      </c>
      <c r="Q21" s="287" t="str">
        <f>IF(N21="","",VLOOKUP(B21,'F-1 Off-Site WaterC'' Baseline'!$C$10:$AF$257,23,FALSE))</f>
        <v/>
      </c>
      <c r="R21" s="281" t="str">
        <f>IF(N21="","",VLOOKUP(N21,'G-7 WaterC'' Data'!$B$2:$G$8,2,FALSE))</f>
        <v/>
      </c>
      <c r="S21" s="282" t="str">
        <f>IFERROR(VLOOKUP(R21,'G-7 WaterC'' Data'!$C$4:$D$8,2,FALSE),"")</f>
        <v/>
      </c>
      <c r="T21" s="105"/>
      <c r="U21" s="282" t="str">
        <f>IFERROR(INDEX('G-7 WaterC'' Data'!$H$4:$L$8,MATCH(N21,'G-7 WaterC'' Data'!$B$4:$B$8,0),MATCH(T21,'G-7 WaterC'' Data'!$H$3:$L$3,0)),"")</f>
        <v/>
      </c>
      <c r="V21" s="109"/>
      <c r="W21" s="301" t="str">
        <f>IF(V21="","",IF(VLOOKUP(V21,'G-7 WaterC'' Data'!$AK$4:$AM$6,2,FALSE)=0,"Spatial Data Missing ⚠",VLOOKUP(V21,'G-7 WaterC'' Data'!$AK$4:$AM$6,2,FALSE)))</f>
        <v/>
      </c>
      <c r="X21" s="305" t="str">
        <f>IF(V21="","",IF(VLOOKUP(V21,'G-7 WaterC'' Data'!$AK$4:$AM$6,3,FALSE)=0,"Spatial Data Missing ⚠",VLOOKUP(V21,'G-7 WaterC'' Data'!$AK$4:$AM$6,3,FALSE)))</f>
        <v/>
      </c>
      <c r="Y21" s="317" t="str">
        <f>IFERROR(IF(OR(LEFT(P21,5)="Error",LEFT(O21,5)="Error"),"Check Data ⚠",IF(F21&lt;S21,'G-7 WaterC'' Data'!$R$3,INDEX('G-7 WaterC'' Data'!$U$5:$Y$9,MATCH(G21,'G-7 WaterC'' Data'!$T$5:$T$9,0),MATCH(T21,'G-7 WaterC'' Data'!$U$4:$Y$4,0)))),"")</f>
        <v/>
      </c>
      <c r="Z21" s="142"/>
      <c r="AA21" s="142"/>
      <c r="AB21" s="314" t="str">
        <f t="shared" si="4"/>
        <v/>
      </c>
      <c r="AC21" s="302" t="str">
        <f t="shared" si="5"/>
        <v/>
      </c>
      <c r="AD21" s="340" t="str">
        <f>IFERROR(IF(AC21="Check Data ⚠","Check Data ⚠",VLOOKUP(AC21,'G-4 Temporal multipliers'!$A$4:$C$37,3,FALSE)),"")</f>
        <v/>
      </c>
      <c r="AE21" s="317" t="str">
        <f>IF(N21="","",VLOOKUP(N21,'G-7 WaterC'' Data'!$B$4:$G$8,5,FALSE))</f>
        <v/>
      </c>
      <c r="AF21" s="301" t="str">
        <f t="shared" si="0"/>
        <v/>
      </c>
      <c r="AG21" s="301" t="str">
        <f t="shared" si="6"/>
        <v/>
      </c>
      <c r="AH21" s="282" t="str">
        <f t="shared" si="1"/>
        <v/>
      </c>
      <c r="AI21" s="109"/>
      <c r="AJ21" s="282" t="str">
        <f>IF(AI21="","",(IF(AND(AI21="N/A - Culvert",N21&lt;&gt;"Culvert"),"Not possible ▲",IF(VLOOKUP(AI21,'G-7 WaterC'' Data'!$AA$4:$AB$7,2,FALSE)=0,"Spatial Data Missing ⚠",VLOOKUP(AI21,'G-7 WaterC'' Data'!$AA$4:$AB$7,2,FALSE)))))</f>
        <v/>
      </c>
      <c r="AK21" s="110"/>
      <c r="AL21" s="316" t="str">
        <f>IF(AK21="","",IF(AND(AK21="N/A - Culvert",N21&lt;&gt;"Culvert"),"Not possible ▲",IF(VLOOKUP(AK21,'G-7 WaterC'' Data'!$AD$4:$AE$14,2,FALSE)=0,"Spatial Data Missing ⚠",VLOOKUP(AK21,'G-7 WaterC'' Data'!$AD$4:$AE$14,2,FALSE))))</f>
        <v/>
      </c>
      <c r="AM21" s="281" t="str">
        <f>IF(B21="","",VLOOKUP($B21,'F-1 Off-Site WaterC'' Baseline'!$C$9:$Z$257,17,FALSE))</f>
        <v/>
      </c>
      <c r="AN21" s="282" t="str">
        <f>IF(AM21="","",IF(VLOOKUP(AM21,'G-7 WaterC'' Data'!$AO$4:$BO$7,2,FALSE)=0,"Spatial Data Missing ⚠",VLOOKUP(AM21,'G-7 WaterC'' Data'!$AO$4:$BO$7,2,FALSE)))</f>
        <v/>
      </c>
      <c r="AO21" s="323" t="str">
        <f t="shared" si="7"/>
        <v/>
      </c>
      <c r="AP21" s="323" t="str">
        <f t="shared" si="8"/>
        <v/>
      </c>
      <c r="AQ21" s="105"/>
      <c r="AR21" s="119"/>
      <c r="AS21" s="108"/>
      <c r="AT21" s="108"/>
      <c r="AW21" s="30" t="str">
        <f>IF(E21="","",VLOOKUP($B21,'F-1 Off-Site WaterC'' Baseline'!$C$9:$Z$257,12,FALSE))</f>
        <v/>
      </c>
      <c r="AX21" s="30" t="str">
        <f>IF(E21="","",VLOOKUP($B21,'F-1 Off-Site WaterC'' Baseline'!$C$9:$Z$257,14,FALSE))</f>
        <v/>
      </c>
      <c r="AY21" s="30" t="str">
        <f>IFERROR(INDEX('G-7 WaterC'' Data'!$AZ$3:$AZ$7,MATCH(N21,'G-7 WaterC'' Data'!$AY$3:$AY$7,0)),"")</f>
        <v/>
      </c>
      <c r="AZ21" s="30" t="str">
        <f>IF(B21="","",IF(ISNA(VLOOKUP($B21,'F-1 Off-Site WaterC'' Baseline'!$C$8:$AD$257,20,FALSE)),"",(VLOOKUP($B21,'F-1 Off-Site WaterC'' Baseline'!$C$8:$AD$257,20,FALSE))))</f>
        <v/>
      </c>
      <c r="BC21" s="30" t="str">
        <f>IF(B21="","",VLOOKUP($B21,'F-1 Off-Site WaterC'' Baseline'!$C$9:$AB$257,25,FALSE))</f>
        <v/>
      </c>
      <c r="BD21" s="30" t="str">
        <f t="shared" si="9"/>
        <v/>
      </c>
      <c r="BE21" s="30" t="str">
        <f>IF(B21="","",VLOOKUP($B21,'F-1 Off-Site WaterC'' Baseline'!$C$9:$AB$257,24,FALSE))</f>
        <v/>
      </c>
      <c r="BF21" s="30" t="str">
        <f>IF(B21="","",VLOOKUP($B21,'F-1 Off-Site WaterC'' Baseline'!$C$9:$AB$257,22,FALSE))</f>
        <v/>
      </c>
      <c r="BJ21" s="30" t="str">
        <f t="shared" si="10"/>
        <v>No</v>
      </c>
    </row>
    <row r="22" spans="2:62" ht="13.8" x14ac:dyDescent="0.25">
      <c r="B22" s="311" t="str">
        <f>'F-1 Off-Site WaterC'' Baseline'!AS20</f>
        <v/>
      </c>
      <c r="C22" s="301" t="str">
        <f>IF(B22="","",VLOOKUP($B22,'F-1 Off-Site WaterC'' Baseline'!$C$9:$R$257,2,FALSE))</f>
        <v/>
      </c>
      <c r="D22" s="301" t="str">
        <f>IF(C22="","",VLOOKUP($B22,'F-1 Off-Site WaterC'' Baseline'!$C$9:$R$257,3,FALSE))</f>
        <v/>
      </c>
      <c r="E22" s="301" t="str">
        <f>IF(D22="","",VLOOKUP($B22,'F-1 Off-Site WaterC'' Baseline'!$C$9:$R$257,4,FALSE))</f>
        <v/>
      </c>
      <c r="F22" s="301" t="str">
        <f>IF(E22="","",VLOOKUP($B22,'F-1 Off-Site WaterC'' Baseline'!$C$9:$R$257,5,FALSE))</f>
        <v/>
      </c>
      <c r="G22" s="301" t="str">
        <f>IF(F22="","",VLOOKUP($B22,'F-1 Off-Site WaterC'' Baseline'!$C$9:$R$257,6,FALSE))</f>
        <v/>
      </c>
      <c r="H22" s="301" t="str">
        <f>IF(G22="","",VLOOKUP($B22,'F-1 Off-Site WaterC'' Baseline'!$C$9:$R$257,7,FALSE))</f>
        <v/>
      </c>
      <c r="I22" s="301" t="str">
        <f>IF(H22="","",VLOOKUP($B22,'F-1 Off-Site WaterC'' Baseline'!$C$9:$R$257,8,FALSE))</f>
        <v/>
      </c>
      <c r="J22" s="301" t="str">
        <f>IF(I22="","",VLOOKUP($B22,'F-1 Off-Site WaterC'' Baseline'!$C$9:$R$257,9,FALSE))</f>
        <v/>
      </c>
      <c r="K22" s="301" t="str">
        <f>IF(J22="","",VLOOKUP($B22,'F-1 Off-Site WaterC'' Baseline'!$C$9:$R$257,10,FALSE))</f>
        <v/>
      </c>
      <c r="L22" s="289" t="str">
        <f>IF(B22="","",VLOOKUP($B22,'F-1 Off-Site WaterC'' Baseline'!$C$9:$R$257,15,FALSE))</f>
        <v/>
      </c>
      <c r="M22" s="305" t="str">
        <f>IF(L22="","",VLOOKUP($B22,'F-1 Off-Site WaterC'' Baseline'!$C$9:$V$257,19,FALSE))</f>
        <v/>
      </c>
      <c r="N22" s="250"/>
      <c r="O22" s="281" t="str">
        <f t="shared" si="2"/>
        <v/>
      </c>
      <c r="P22" s="282" t="str">
        <f t="shared" si="3"/>
        <v/>
      </c>
      <c r="Q22" s="287" t="str">
        <f>IF(N22="","",VLOOKUP(B22,'F-1 Off-Site WaterC'' Baseline'!$C$10:$AF$257,23,FALSE))</f>
        <v/>
      </c>
      <c r="R22" s="281" t="str">
        <f>IF(N22="","",VLOOKUP(N22,'G-7 WaterC'' Data'!$B$2:$G$8,2,FALSE))</f>
        <v/>
      </c>
      <c r="S22" s="282" t="str">
        <f>IFERROR(VLOOKUP(R22,'G-7 WaterC'' Data'!$C$4:$D$8,2,FALSE),"")</f>
        <v/>
      </c>
      <c r="T22" s="105"/>
      <c r="U22" s="282" t="str">
        <f>IFERROR(INDEX('G-7 WaterC'' Data'!$H$4:$L$8,MATCH(N22,'G-7 WaterC'' Data'!$B$4:$B$8,0),MATCH(T22,'G-7 WaterC'' Data'!$H$3:$L$3,0)),"")</f>
        <v/>
      </c>
      <c r="V22" s="109"/>
      <c r="W22" s="301" t="str">
        <f>IF(V22="","",IF(VLOOKUP(V22,'G-7 WaterC'' Data'!$AK$4:$AM$6,2,FALSE)=0,"Spatial Data Missing ⚠",VLOOKUP(V22,'G-7 WaterC'' Data'!$AK$4:$AM$6,2,FALSE)))</f>
        <v/>
      </c>
      <c r="X22" s="305" t="str">
        <f>IF(V22="","",IF(VLOOKUP(V22,'G-7 WaterC'' Data'!$AK$4:$AM$6,3,FALSE)=0,"Spatial Data Missing ⚠",VLOOKUP(V22,'G-7 WaterC'' Data'!$AK$4:$AM$6,3,FALSE)))</f>
        <v/>
      </c>
      <c r="Y22" s="317" t="str">
        <f>IFERROR(IF(OR(LEFT(P22,5)="Error",LEFT(O22,5)="Error"),"Check Data ⚠",IF(F22&lt;S22,'G-7 WaterC'' Data'!$R$3,INDEX('G-7 WaterC'' Data'!$U$5:$Y$9,MATCH(G22,'G-7 WaterC'' Data'!$T$5:$T$9,0),MATCH(T22,'G-7 WaterC'' Data'!$U$4:$Y$4,0)))),"")</f>
        <v/>
      </c>
      <c r="Z22" s="142"/>
      <c r="AA22" s="142"/>
      <c r="AB22" s="314" t="str">
        <f t="shared" si="4"/>
        <v/>
      </c>
      <c r="AC22" s="302" t="str">
        <f t="shared" si="5"/>
        <v/>
      </c>
      <c r="AD22" s="340" t="str">
        <f>IFERROR(IF(AC22="Check Data ⚠","Check Data ⚠",VLOOKUP(AC22,'G-4 Temporal multipliers'!$A$4:$C$37,3,FALSE)),"")</f>
        <v/>
      </c>
      <c r="AE22" s="317" t="str">
        <f>IF(N22="","",VLOOKUP(N22,'G-7 WaterC'' Data'!$B$4:$G$8,5,FALSE))</f>
        <v/>
      </c>
      <c r="AF22" s="301" t="str">
        <f t="shared" si="0"/>
        <v/>
      </c>
      <c r="AG22" s="301" t="str">
        <f t="shared" si="6"/>
        <v/>
      </c>
      <c r="AH22" s="282" t="str">
        <f t="shared" si="1"/>
        <v/>
      </c>
      <c r="AI22" s="109"/>
      <c r="AJ22" s="282" t="str">
        <f>IF(AI22="","",(IF(AND(AI22="N/A - Culvert",N22&lt;&gt;"Culvert"),"Not possible ▲",IF(VLOOKUP(AI22,'G-7 WaterC'' Data'!$AA$4:$AB$7,2,FALSE)=0,"Spatial Data Missing ⚠",VLOOKUP(AI22,'G-7 WaterC'' Data'!$AA$4:$AB$7,2,FALSE)))))</f>
        <v/>
      </c>
      <c r="AK22" s="110"/>
      <c r="AL22" s="316" t="str">
        <f>IF(AK22="","",IF(AND(AK22="N/A - Culvert",N22&lt;&gt;"Culvert"),"Not possible ▲",IF(VLOOKUP(AK22,'G-7 WaterC'' Data'!$AD$4:$AE$14,2,FALSE)=0,"Spatial Data Missing ⚠",VLOOKUP(AK22,'G-7 WaterC'' Data'!$AD$4:$AE$14,2,FALSE))))</f>
        <v/>
      </c>
      <c r="AM22" s="281" t="str">
        <f>IF(B22="","",VLOOKUP($B22,'F-1 Off-Site WaterC'' Baseline'!$C$9:$Z$257,17,FALSE))</f>
        <v/>
      </c>
      <c r="AN22" s="282" t="str">
        <f>IF(AM22="","",IF(VLOOKUP(AM22,'G-7 WaterC'' Data'!$AO$4:$BO$7,2,FALSE)=0,"Spatial Data Missing ⚠",VLOOKUP(AM22,'G-7 WaterC'' Data'!$AO$4:$BO$7,2,FALSE)))</f>
        <v/>
      </c>
      <c r="AO22" s="323" t="str">
        <f t="shared" si="7"/>
        <v/>
      </c>
      <c r="AP22" s="323" t="str">
        <f t="shared" si="8"/>
        <v/>
      </c>
      <c r="AQ22" s="105"/>
      <c r="AR22" s="119"/>
      <c r="AS22" s="108"/>
      <c r="AT22" s="108"/>
      <c r="AW22" s="30" t="str">
        <f>IF(E22="","",VLOOKUP($B22,'F-1 Off-Site WaterC'' Baseline'!$C$9:$Z$257,12,FALSE))</f>
        <v/>
      </c>
      <c r="AX22" s="30" t="str">
        <f>IF(E22="","",VLOOKUP($B22,'F-1 Off-Site WaterC'' Baseline'!$C$9:$Z$257,14,FALSE))</f>
        <v/>
      </c>
      <c r="AY22" s="30" t="str">
        <f>IFERROR(INDEX('G-7 WaterC'' Data'!$AZ$3:$AZ$7,MATCH(N22,'G-7 WaterC'' Data'!$AY$3:$AY$7,0)),"")</f>
        <v/>
      </c>
      <c r="AZ22" s="30" t="str">
        <f>IF(B22="","",IF(ISNA(VLOOKUP($B22,'F-1 Off-Site WaterC'' Baseline'!$C$8:$AD$257,20,FALSE)),"",(VLOOKUP($B22,'F-1 Off-Site WaterC'' Baseline'!$C$8:$AD$257,20,FALSE))))</f>
        <v/>
      </c>
      <c r="BC22" s="30" t="str">
        <f>IF(B22="","",VLOOKUP($B22,'F-1 Off-Site WaterC'' Baseline'!$C$9:$AB$257,25,FALSE))</f>
        <v/>
      </c>
      <c r="BD22" s="30" t="str">
        <f t="shared" si="9"/>
        <v/>
      </c>
      <c r="BE22" s="30" t="str">
        <f>IF(B22="","",VLOOKUP($B22,'F-1 Off-Site WaterC'' Baseline'!$C$9:$AB$257,24,FALSE))</f>
        <v/>
      </c>
      <c r="BF22" s="30" t="str">
        <f>IF(B22="","",VLOOKUP($B22,'F-1 Off-Site WaterC'' Baseline'!$C$9:$AB$257,22,FALSE))</f>
        <v/>
      </c>
      <c r="BJ22" s="30" t="str">
        <f t="shared" si="10"/>
        <v>No</v>
      </c>
    </row>
    <row r="23" spans="2:62" ht="13.8" x14ac:dyDescent="0.25">
      <c r="B23" s="311" t="str">
        <f>'F-1 Off-Site WaterC'' Baseline'!AS21</f>
        <v/>
      </c>
      <c r="C23" s="301" t="str">
        <f>IF(B23="","",VLOOKUP($B23,'F-1 Off-Site WaterC'' Baseline'!$C$9:$R$257,2,FALSE))</f>
        <v/>
      </c>
      <c r="D23" s="301" t="str">
        <f>IF(C23="","",VLOOKUP($B23,'F-1 Off-Site WaterC'' Baseline'!$C$9:$R$257,3,FALSE))</f>
        <v/>
      </c>
      <c r="E23" s="301" t="str">
        <f>IF(D23="","",VLOOKUP($B23,'F-1 Off-Site WaterC'' Baseline'!$C$9:$R$257,4,FALSE))</f>
        <v/>
      </c>
      <c r="F23" s="301" t="str">
        <f>IF(E23="","",VLOOKUP($B23,'F-1 Off-Site WaterC'' Baseline'!$C$9:$R$257,5,FALSE))</f>
        <v/>
      </c>
      <c r="G23" s="301" t="str">
        <f>IF(F23="","",VLOOKUP($B23,'F-1 Off-Site WaterC'' Baseline'!$C$9:$R$257,6,FALSE))</f>
        <v/>
      </c>
      <c r="H23" s="301" t="str">
        <f>IF(G23="","",VLOOKUP($B23,'F-1 Off-Site WaterC'' Baseline'!$C$9:$R$257,7,FALSE))</f>
        <v/>
      </c>
      <c r="I23" s="301" t="str">
        <f>IF(H23="","",VLOOKUP($B23,'F-1 Off-Site WaterC'' Baseline'!$C$9:$R$257,8,FALSE))</f>
        <v/>
      </c>
      <c r="J23" s="301" t="str">
        <f>IF(I23="","",VLOOKUP($B23,'F-1 Off-Site WaterC'' Baseline'!$C$9:$R$257,9,FALSE))</f>
        <v/>
      </c>
      <c r="K23" s="301" t="str">
        <f>IF(J23="","",VLOOKUP($B23,'F-1 Off-Site WaterC'' Baseline'!$C$9:$R$257,10,FALSE))</f>
        <v/>
      </c>
      <c r="L23" s="289" t="str">
        <f>IF(B23="","",VLOOKUP($B23,'F-1 Off-Site WaterC'' Baseline'!$C$9:$R$257,15,FALSE))</f>
        <v/>
      </c>
      <c r="M23" s="305" t="str">
        <f>IF(L23="","",VLOOKUP($B23,'F-1 Off-Site WaterC'' Baseline'!$C$9:$V$257,19,FALSE))</f>
        <v/>
      </c>
      <c r="N23" s="250"/>
      <c r="O23" s="281" t="str">
        <f t="shared" si="2"/>
        <v/>
      </c>
      <c r="P23" s="282" t="str">
        <f t="shared" si="3"/>
        <v/>
      </c>
      <c r="Q23" s="287" t="str">
        <f>IF(N23="","",VLOOKUP(B23,'F-1 Off-Site WaterC'' Baseline'!$C$10:$AF$257,23,FALSE))</f>
        <v/>
      </c>
      <c r="R23" s="281" t="str">
        <f>IF(N23="","",VLOOKUP(N23,'G-7 WaterC'' Data'!$B$2:$G$8,2,FALSE))</f>
        <v/>
      </c>
      <c r="S23" s="282" t="str">
        <f>IFERROR(VLOOKUP(R23,'G-7 WaterC'' Data'!$C$4:$D$8,2,FALSE),"")</f>
        <v/>
      </c>
      <c r="T23" s="105"/>
      <c r="U23" s="282" t="str">
        <f>IFERROR(INDEX('G-7 WaterC'' Data'!$H$4:$L$8,MATCH(N23,'G-7 WaterC'' Data'!$B$4:$B$8,0),MATCH(T23,'G-7 WaterC'' Data'!$H$3:$L$3,0)),"")</f>
        <v/>
      </c>
      <c r="V23" s="109"/>
      <c r="W23" s="301" t="str">
        <f>IF(V23="","",IF(VLOOKUP(V23,'G-7 WaterC'' Data'!$AK$4:$AM$6,2,FALSE)=0,"Spatial Data Missing ⚠",VLOOKUP(V23,'G-7 WaterC'' Data'!$AK$4:$AM$6,2,FALSE)))</f>
        <v/>
      </c>
      <c r="X23" s="305" t="str">
        <f>IF(V23="","",IF(VLOOKUP(V23,'G-7 WaterC'' Data'!$AK$4:$AM$6,3,FALSE)=0,"Spatial Data Missing ⚠",VLOOKUP(V23,'G-7 WaterC'' Data'!$AK$4:$AM$6,3,FALSE)))</f>
        <v/>
      </c>
      <c r="Y23" s="317" t="str">
        <f>IFERROR(IF(OR(LEFT(P23,5)="Error",LEFT(O23,5)="Error"),"Check Data ⚠",IF(F23&lt;S23,'G-7 WaterC'' Data'!$R$3,INDEX('G-7 WaterC'' Data'!$U$5:$Y$9,MATCH(G23,'G-7 WaterC'' Data'!$T$5:$T$9,0),MATCH(T23,'G-7 WaterC'' Data'!$U$4:$Y$4,0)))),"")</f>
        <v/>
      </c>
      <c r="Z23" s="142"/>
      <c r="AA23" s="142"/>
      <c r="AB23" s="314" t="str">
        <f t="shared" si="4"/>
        <v/>
      </c>
      <c r="AC23" s="302" t="str">
        <f t="shared" si="5"/>
        <v/>
      </c>
      <c r="AD23" s="340" t="str">
        <f>IFERROR(IF(AC23="Check Data ⚠","Check Data ⚠",VLOOKUP(AC23,'G-4 Temporal multipliers'!$A$4:$C$37,3,FALSE)),"")</f>
        <v/>
      </c>
      <c r="AE23" s="317" t="str">
        <f>IF(N23="","",VLOOKUP(N23,'G-7 WaterC'' Data'!$B$4:$G$8,5,FALSE))</f>
        <v/>
      </c>
      <c r="AF23" s="301" t="str">
        <f t="shared" si="0"/>
        <v/>
      </c>
      <c r="AG23" s="301" t="str">
        <f t="shared" si="6"/>
        <v/>
      </c>
      <c r="AH23" s="282" t="str">
        <f t="shared" si="1"/>
        <v/>
      </c>
      <c r="AI23" s="109"/>
      <c r="AJ23" s="282" t="str">
        <f>IF(AI23="","",(IF(AND(AI23="N/A - Culvert",N23&lt;&gt;"Culvert"),"Not possible ▲",IF(VLOOKUP(AI23,'G-7 WaterC'' Data'!$AA$4:$AB$7,2,FALSE)=0,"Spatial Data Missing ⚠",VLOOKUP(AI23,'G-7 WaterC'' Data'!$AA$4:$AB$7,2,FALSE)))))</f>
        <v/>
      </c>
      <c r="AK23" s="110"/>
      <c r="AL23" s="316" t="str">
        <f>IF(AK23="","",IF(AND(AK23="N/A - Culvert",N23&lt;&gt;"Culvert"),"Not possible ▲",IF(VLOOKUP(AK23,'G-7 WaterC'' Data'!$AD$4:$AE$14,2,FALSE)=0,"Spatial Data Missing ⚠",VLOOKUP(AK23,'G-7 WaterC'' Data'!$AD$4:$AE$14,2,FALSE))))</f>
        <v/>
      </c>
      <c r="AM23" s="281" t="str">
        <f>IF(B23="","",VLOOKUP($B23,'F-1 Off-Site WaterC'' Baseline'!$C$9:$Z$257,17,FALSE))</f>
        <v/>
      </c>
      <c r="AN23" s="282" t="str">
        <f>IF(AM23="","",IF(VLOOKUP(AM23,'G-7 WaterC'' Data'!$AO$4:$BO$7,2,FALSE)=0,"Spatial Data Missing ⚠",VLOOKUP(AM23,'G-7 WaterC'' Data'!$AO$4:$BO$7,2,FALSE)))</f>
        <v/>
      </c>
      <c r="AO23" s="323" t="str">
        <f t="shared" si="7"/>
        <v/>
      </c>
      <c r="AP23" s="323" t="str">
        <f t="shared" si="8"/>
        <v/>
      </c>
      <c r="AQ23" s="105"/>
      <c r="AR23" s="119"/>
      <c r="AS23" s="108"/>
      <c r="AT23" s="108"/>
      <c r="AW23" s="30" t="str">
        <f>IF(E23="","",VLOOKUP($B23,'F-1 Off-Site WaterC'' Baseline'!$C$9:$Z$257,12,FALSE))</f>
        <v/>
      </c>
      <c r="AX23" s="30" t="str">
        <f>IF(E23="","",VLOOKUP($B23,'F-1 Off-Site WaterC'' Baseline'!$C$9:$Z$257,14,FALSE))</f>
        <v/>
      </c>
      <c r="AY23" s="30" t="str">
        <f>IFERROR(INDEX('G-7 WaterC'' Data'!$AZ$3:$AZ$7,MATCH(N23,'G-7 WaterC'' Data'!$AY$3:$AY$7,0)),"")</f>
        <v/>
      </c>
      <c r="AZ23" s="30" t="str">
        <f>IF(B23="","",IF(ISNA(VLOOKUP($B23,'F-1 Off-Site WaterC'' Baseline'!$C$8:$AD$257,20,FALSE)),"",(VLOOKUP($B23,'F-1 Off-Site WaterC'' Baseline'!$C$8:$AD$257,20,FALSE))))</f>
        <v/>
      </c>
      <c r="BC23" s="30" t="str">
        <f>IF(B23="","",VLOOKUP($B23,'F-1 Off-Site WaterC'' Baseline'!$C$9:$AB$257,25,FALSE))</f>
        <v/>
      </c>
      <c r="BD23" s="30" t="str">
        <f t="shared" si="9"/>
        <v/>
      </c>
      <c r="BE23" s="30" t="str">
        <f>IF(B23="","",VLOOKUP($B23,'F-1 Off-Site WaterC'' Baseline'!$C$9:$AB$257,24,FALSE))</f>
        <v/>
      </c>
      <c r="BF23" s="30" t="str">
        <f>IF(B23="","",VLOOKUP($B23,'F-1 Off-Site WaterC'' Baseline'!$C$9:$AB$257,22,FALSE))</f>
        <v/>
      </c>
      <c r="BJ23" s="30" t="str">
        <f t="shared" si="10"/>
        <v>No</v>
      </c>
    </row>
    <row r="24" spans="2:62" ht="13.8" x14ac:dyDescent="0.25">
      <c r="B24" s="311" t="str">
        <f>'F-1 Off-Site WaterC'' Baseline'!AS22</f>
        <v/>
      </c>
      <c r="C24" s="301" t="str">
        <f>IF(B24="","",VLOOKUP($B24,'F-1 Off-Site WaterC'' Baseline'!$C$9:$R$257,2,FALSE))</f>
        <v/>
      </c>
      <c r="D24" s="301" t="str">
        <f>IF(C24="","",VLOOKUP($B24,'F-1 Off-Site WaterC'' Baseline'!$C$9:$R$257,3,FALSE))</f>
        <v/>
      </c>
      <c r="E24" s="301" t="str">
        <f>IF(D24="","",VLOOKUP($B24,'F-1 Off-Site WaterC'' Baseline'!$C$9:$R$257,4,FALSE))</f>
        <v/>
      </c>
      <c r="F24" s="301" t="str">
        <f>IF(E24="","",VLOOKUP($B24,'F-1 Off-Site WaterC'' Baseline'!$C$9:$R$257,5,FALSE))</f>
        <v/>
      </c>
      <c r="G24" s="301" t="str">
        <f>IF(F24="","",VLOOKUP($B24,'F-1 Off-Site WaterC'' Baseline'!$C$9:$R$257,6,FALSE))</f>
        <v/>
      </c>
      <c r="H24" s="301" t="str">
        <f>IF(G24="","",VLOOKUP($B24,'F-1 Off-Site WaterC'' Baseline'!$C$9:$R$257,7,FALSE))</f>
        <v/>
      </c>
      <c r="I24" s="301" t="str">
        <f>IF(H24="","",VLOOKUP($B24,'F-1 Off-Site WaterC'' Baseline'!$C$9:$R$257,8,FALSE))</f>
        <v/>
      </c>
      <c r="J24" s="301" t="str">
        <f>IF(I24="","",VLOOKUP($B24,'F-1 Off-Site WaterC'' Baseline'!$C$9:$R$257,9,FALSE))</f>
        <v/>
      </c>
      <c r="K24" s="301" t="str">
        <f>IF(J24="","",VLOOKUP($B24,'F-1 Off-Site WaterC'' Baseline'!$C$9:$R$257,10,FALSE))</f>
        <v/>
      </c>
      <c r="L24" s="289" t="str">
        <f>IF(B24="","",VLOOKUP($B24,'F-1 Off-Site WaterC'' Baseline'!$C$9:$R$257,15,FALSE))</f>
        <v/>
      </c>
      <c r="M24" s="305" t="str">
        <f>IF(L24="","",VLOOKUP($B24,'F-1 Off-Site WaterC'' Baseline'!$C$9:$V$257,19,FALSE))</f>
        <v/>
      </c>
      <c r="N24" s="250"/>
      <c r="O24" s="281" t="str">
        <f t="shared" si="2"/>
        <v/>
      </c>
      <c r="P24" s="282" t="str">
        <f t="shared" si="3"/>
        <v/>
      </c>
      <c r="Q24" s="287" t="str">
        <f>IF(N24="","",VLOOKUP(B24,'F-1 Off-Site WaterC'' Baseline'!$C$10:$AF$257,23,FALSE))</f>
        <v/>
      </c>
      <c r="R24" s="281" t="str">
        <f>IF(N24="","",VLOOKUP(N24,'G-7 WaterC'' Data'!$B$2:$G$8,2,FALSE))</f>
        <v/>
      </c>
      <c r="S24" s="282" t="str">
        <f>IFERROR(VLOOKUP(R24,'G-7 WaterC'' Data'!$C$4:$D$8,2,FALSE),"")</f>
        <v/>
      </c>
      <c r="T24" s="105"/>
      <c r="U24" s="282" t="str">
        <f>IFERROR(INDEX('G-7 WaterC'' Data'!$H$4:$L$8,MATCH(N24,'G-7 WaterC'' Data'!$B$4:$B$8,0),MATCH(T24,'G-7 WaterC'' Data'!$H$3:$L$3,0)),"")</f>
        <v/>
      </c>
      <c r="V24" s="109"/>
      <c r="W24" s="301" t="str">
        <f>IF(V24="","",IF(VLOOKUP(V24,'G-7 WaterC'' Data'!$AK$4:$AM$6,2,FALSE)=0,"Spatial Data Missing ⚠",VLOOKUP(V24,'G-7 WaterC'' Data'!$AK$4:$AM$6,2,FALSE)))</f>
        <v/>
      </c>
      <c r="X24" s="305" t="str">
        <f>IF(V24="","",IF(VLOOKUP(V24,'G-7 WaterC'' Data'!$AK$4:$AM$6,3,FALSE)=0,"Spatial Data Missing ⚠",VLOOKUP(V24,'G-7 WaterC'' Data'!$AK$4:$AM$6,3,FALSE)))</f>
        <v/>
      </c>
      <c r="Y24" s="317" t="str">
        <f>IFERROR(IF(OR(LEFT(P24,5)="Error",LEFT(O24,5)="Error"),"Check Data ⚠",IF(F24&lt;S24,'G-7 WaterC'' Data'!$R$3,INDEX('G-7 WaterC'' Data'!$U$5:$Y$9,MATCH(G24,'G-7 WaterC'' Data'!$T$5:$T$9,0),MATCH(T24,'G-7 WaterC'' Data'!$U$4:$Y$4,0)))),"")</f>
        <v/>
      </c>
      <c r="Z24" s="142"/>
      <c r="AA24" s="142"/>
      <c r="AB24" s="314" t="str">
        <f t="shared" si="4"/>
        <v/>
      </c>
      <c r="AC24" s="302" t="str">
        <f t="shared" si="5"/>
        <v/>
      </c>
      <c r="AD24" s="340" t="str">
        <f>IFERROR(IF(AC24="Check Data ⚠","Check Data ⚠",VLOOKUP(AC24,'G-4 Temporal multipliers'!$A$4:$C$37,3,FALSE)),"")</f>
        <v/>
      </c>
      <c r="AE24" s="317" t="str">
        <f>IF(N24="","",VLOOKUP(N24,'G-7 WaterC'' Data'!$B$4:$G$8,5,FALSE))</f>
        <v/>
      </c>
      <c r="AF24" s="301" t="str">
        <f t="shared" si="0"/>
        <v/>
      </c>
      <c r="AG24" s="301" t="str">
        <f t="shared" si="6"/>
        <v/>
      </c>
      <c r="AH24" s="282" t="str">
        <f t="shared" si="1"/>
        <v/>
      </c>
      <c r="AI24" s="109"/>
      <c r="AJ24" s="282" t="str">
        <f>IF(AI24="","",(IF(AND(AI24="N/A - Culvert",N24&lt;&gt;"Culvert"),"Not possible ▲",IF(VLOOKUP(AI24,'G-7 WaterC'' Data'!$AA$4:$AB$7,2,FALSE)=0,"Spatial Data Missing ⚠",VLOOKUP(AI24,'G-7 WaterC'' Data'!$AA$4:$AB$7,2,FALSE)))))</f>
        <v/>
      </c>
      <c r="AK24" s="110"/>
      <c r="AL24" s="316" t="str">
        <f>IF(AK24="","",IF(AND(AK24="N/A - Culvert",N24&lt;&gt;"Culvert"),"Not possible ▲",IF(VLOOKUP(AK24,'G-7 WaterC'' Data'!$AD$4:$AE$14,2,FALSE)=0,"Spatial Data Missing ⚠",VLOOKUP(AK24,'G-7 WaterC'' Data'!$AD$4:$AE$14,2,FALSE))))</f>
        <v/>
      </c>
      <c r="AM24" s="281" t="str">
        <f>IF(B24="","",VLOOKUP($B24,'F-1 Off-Site WaterC'' Baseline'!$C$9:$Z$257,17,FALSE))</f>
        <v/>
      </c>
      <c r="AN24" s="282" t="str">
        <f>IF(AM24="","",IF(VLOOKUP(AM24,'G-7 WaterC'' Data'!$AO$4:$BO$7,2,FALSE)=0,"Spatial Data Missing ⚠",VLOOKUP(AM24,'G-7 WaterC'' Data'!$AO$4:$BO$7,2,FALSE)))</f>
        <v/>
      </c>
      <c r="AO24" s="323" t="str">
        <f t="shared" si="7"/>
        <v/>
      </c>
      <c r="AP24" s="323" t="str">
        <f t="shared" si="8"/>
        <v/>
      </c>
      <c r="AQ24" s="105"/>
      <c r="AR24" s="119"/>
      <c r="AS24" s="108"/>
      <c r="AT24" s="108"/>
      <c r="AW24" s="30" t="str">
        <f>IF(E24="","",VLOOKUP($B24,'F-1 Off-Site WaterC'' Baseline'!$C$9:$Z$257,12,FALSE))</f>
        <v/>
      </c>
      <c r="AX24" s="30" t="str">
        <f>IF(E24="","",VLOOKUP($B24,'F-1 Off-Site WaterC'' Baseline'!$C$9:$Z$257,14,FALSE))</f>
        <v/>
      </c>
      <c r="AY24" s="30" t="str">
        <f>IFERROR(INDEX('G-7 WaterC'' Data'!$AZ$3:$AZ$7,MATCH(N24,'G-7 WaterC'' Data'!$AY$3:$AY$7,0)),"")</f>
        <v/>
      </c>
      <c r="AZ24" s="30" t="str">
        <f>IF(B24="","",IF(ISNA(VLOOKUP($B24,'F-1 Off-Site WaterC'' Baseline'!$C$8:$AD$257,20,FALSE)),"",(VLOOKUP($B24,'F-1 Off-Site WaterC'' Baseline'!$C$8:$AD$257,20,FALSE))))</f>
        <v/>
      </c>
      <c r="BC24" s="30" t="str">
        <f>IF(B24="","",VLOOKUP($B24,'F-1 Off-Site WaterC'' Baseline'!$C$9:$AB$257,25,FALSE))</f>
        <v/>
      </c>
      <c r="BD24" s="30" t="str">
        <f t="shared" si="9"/>
        <v/>
      </c>
      <c r="BE24" s="30" t="str">
        <f>IF(B24="","",VLOOKUP($B24,'F-1 Off-Site WaterC'' Baseline'!$C$9:$AB$257,24,FALSE))</f>
        <v/>
      </c>
      <c r="BF24" s="30" t="str">
        <f>IF(B24="","",VLOOKUP($B24,'F-1 Off-Site WaterC'' Baseline'!$C$9:$AB$257,22,FALSE))</f>
        <v/>
      </c>
      <c r="BJ24" s="30" t="str">
        <f t="shared" si="10"/>
        <v>No</v>
      </c>
    </row>
    <row r="25" spans="2:62" ht="13.8" x14ac:dyDescent="0.25">
      <c r="B25" s="311" t="str">
        <f>'F-1 Off-Site WaterC'' Baseline'!AS23</f>
        <v/>
      </c>
      <c r="C25" s="301" t="str">
        <f>IF(B25="","",VLOOKUP($B25,'F-1 Off-Site WaterC'' Baseline'!$C$9:$R$257,2,FALSE))</f>
        <v/>
      </c>
      <c r="D25" s="301" t="str">
        <f>IF(C25="","",VLOOKUP($B25,'F-1 Off-Site WaterC'' Baseline'!$C$9:$R$257,3,FALSE))</f>
        <v/>
      </c>
      <c r="E25" s="301" t="str">
        <f>IF(D25="","",VLOOKUP($B25,'F-1 Off-Site WaterC'' Baseline'!$C$9:$R$257,4,FALSE))</f>
        <v/>
      </c>
      <c r="F25" s="301" t="str">
        <f>IF(E25="","",VLOOKUP($B25,'F-1 Off-Site WaterC'' Baseline'!$C$9:$R$257,5,FALSE))</f>
        <v/>
      </c>
      <c r="G25" s="301" t="str">
        <f>IF(F25="","",VLOOKUP($B25,'F-1 Off-Site WaterC'' Baseline'!$C$9:$R$257,6,FALSE))</f>
        <v/>
      </c>
      <c r="H25" s="301" t="str">
        <f>IF(G25="","",VLOOKUP($B25,'F-1 Off-Site WaterC'' Baseline'!$C$9:$R$257,7,FALSE))</f>
        <v/>
      </c>
      <c r="I25" s="301" t="str">
        <f>IF(H25="","",VLOOKUP($B25,'F-1 Off-Site WaterC'' Baseline'!$C$9:$R$257,8,FALSE))</f>
        <v/>
      </c>
      <c r="J25" s="301" t="str">
        <f>IF(I25="","",VLOOKUP($B25,'F-1 Off-Site WaterC'' Baseline'!$C$9:$R$257,9,FALSE))</f>
        <v/>
      </c>
      <c r="K25" s="301" t="str">
        <f>IF(J25="","",VLOOKUP($B25,'F-1 Off-Site WaterC'' Baseline'!$C$9:$R$257,10,FALSE))</f>
        <v/>
      </c>
      <c r="L25" s="289" t="str">
        <f>IF(B25="","",VLOOKUP($B25,'F-1 Off-Site WaterC'' Baseline'!$C$9:$R$257,15,FALSE))</f>
        <v/>
      </c>
      <c r="M25" s="305" t="str">
        <f>IF(L25="","",VLOOKUP($B25,'F-1 Off-Site WaterC'' Baseline'!$C$9:$V$257,19,FALSE))</f>
        <v/>
      </c>
      <c r="N25" s="250"/>
      <c r="O25" s="281" t="str">
        <f t="shared" si="2"/>
        <v/>
      </c>
      <c r="P25" s="282" t="str">
        <f t="shared" si="3"/>
        <v/>
      </c>
      <c r="Q25" s="287" t="str">
        <f>IF(N25="","",VLOOKUP(B25,'F-1 Off-Site WaterC'' Baseline'!$C$10:$AF$257,23,FALSE))</f>
        <v/>
      </c>
      <c r="R25" s="281" t="str">
        <f>IF(N25="","",VLOOKUP(N25,'G-7 WaterC'' Data'!$B$2:$G$8,2,FALSE))</f>
        <v/>
      </c>
      <c r="S25" s="282" t="str">
        <f>IFERROR(VLOOKUP(R25,'G-7 WaterC'' Data'!$C$4:$D$8,2,FALSE),"")</f>
        <v/>
      </c>
      <c r="T25" s="105"/>
      <c r="U25" s="282" t="str">
        <f>IFERROR(INDEX('G-7 WaterC'' Data'!$H$4:$L$8,MATCH(N25,'G-7 WaterC'' Data'!$B$4:$B$8,0),MATCH(T25,'G-7 WaterC'' Data'!$H$3:$L$3,0)),"")</f>
        <v/>
      </c>
      <c r="V25" s="109"/>
      <c r="W25" s="301" t="str">
        <f>IF(V25="","",IF(VLOOKUP(V25,'G-7 WaterC'' Data'!$AK$4:$AM$6,2,FALSE)=0,"Spatial Data Missing ⚠",VLOOKUP(V25,'G-7 WaterC'' Data'!$AK$4:$AM$6,2,FALSE)))</f>
        <v/>
      </c>
      <c r="X25" s="305" t="str">
        <f>IF(V25="","",IF(VLOOKUP(V25,'G-7 WaterC'' Data'!$AK$4:$AM$6,3,FALSE)=0,"Spatial Data Missing ⚠",VLOOKUP(V25,'G-7 WaterC'' Data'!$AK$4:$AM$6,3,FALSE)))</f>
        <v/>
      </c>
      <c r="Y25" s="317" t="str">
        <f>IFERROR(IF(OR(LEFT(P25,5)="Error",LEFT(O25,5)="Error"),"Check Data ⚠",IF(F25&lt;S25,'G-7 WaterC'' Data'!$R$3,INDEX('G-7 WaterC'' Data'!$U$5:$Y$9,MATCH(G25,'G-7 WaterC'' Data'!$T$5:$T$9,0),MATCH(T25,'G-7 WaterC'' Data'!$U$4:$Y$4,0)))),"")</f>
        <v/>
      </c>
      <c r="Z25" s="142"/>
      <c r="AA25" s="142"/>
      <c r="AB25" s="314" t="str">
        <f t="shared" si="4"/>
        <v/>
      </c>
      <c r="AC25" s="302" t="str">
        <f t="shared" si="5"/>
        <v/>
      </c>
      <c r="AD25" s="340" t="str">
        <f>IFERROR(IF(AC25="Check Data ⚠","Check Data ⚠",VLOOKUP(AC25,'G-4 Temporal multipliers'!$A$4:$C$37,3,FALSE)),"")</f>
        <v/>
      </c>
      <c r="AE25" s="317" t="str">
        <f>IF(N25="","",VLOOKUP(N25,'G-7 WaterC'' Data'!$B$4:$G$8,5,FALSE))</f>
        <v/>
      </c>
      <c r="AF25" s="301" t="str">
        <f t="shared" si="0"/>
        <v/>
      </c>
      <c r="AG25" s="301" t="str">
        <f t="shared" si="6"/>
        <v/>
      </c>
      <c r="AH25" s="282" t="str">
        <f t="shared" si="1"/>
        <v/>
      </c>
      <c r="AI25" s="109"/>
      <c r="AJ25" s="282" t="str">
        <f>IF(AI25="","",(IF(AND(AI25="N/A - Culvert",N25&lt;&gt;"Culvert"),"Not possible ▲",IF(VLOOKUP(AI25,'G-7 WaterC'' Data'!$AA$4:$AB$7,2,FALSE)=0,"Spatial Data Missing ⚠",VLOOKUP(AI25,'G-7 WaterC'' Data'!$AA$4:$AB$7,2,FALSE)))))</f>
        <v/>
      </c>
      <c r="AK25" s="110"/>
      <c r="AL25" s="316" t="str">
        <f>IF(AK25="","",IF(AND(AK25="N/A - Culvert",N25&lt;&gt;"Culvert"),"Not possible ▲",IF(VLOOKUP(AK25,'G-7 WaterC'' Data'!$AD$4:$AE$14,2,FALSE)=0,"Spatial Data Missing ⚠",VLOOKUP(AK25,'G-7 WaterC'' Data'!$AD$4:$AE$14,2,FALSE))))</f>
        <v/>
      </c>
      <c r="AM25" s="281" t="str">
        <f>IF(B25="","",VLOOKUP($B25,'F-1 Off-Site WaterC'' Baseline'!$C$9:$Z$257,17,FALSE))</f>
        <v/>
      </c>
      <c r="AN25" s="282" t="str">
        <f>IF(AM25="","",IF(VLOOKUP(AM25,'G-7 WaterC'' Data'!$AO$4:$BO$7,2,FALSE)=0,"Spatial Data Missing ⚠",VLOOKUP(AM25,'G-7 WaterC'' Data'!$AO$4:$BO$7,2,FALSE)))</f>
        <v/>
      </c>
      <c r="AO25" s="323" t="str">
        <f t="shared" si="7"/>
        <v/>
      </c>
      <c r="AP25" s="323" t="str">
        <f t="shared" si="8"/>
        <v/>
      </c>
      <c r="AQ25" s="105"/>
      <c r="AR25" s="119"/>
      <c r="AS25" s="108"/>
      <c r="AT25" s="108"/>
      <c r="AW25" s="30" t="str">
        <f>IF(E25="","",VLOOKUP($B25,'F-1 Off-Site WaterC'' Baseline'!$C$9:$Z$257,12,FALSE))</f>
        <v/>
      </c>
      <c r="AX25" s="30" t="str">
        <f>IF(E25="","",VLOOKUP($B25,'F-1 Off-Site WaterC'' Baseline'!$C$9:$Z$257,14,FALSE))</f>
        <v/>
      </c>
      <c r="AY25" s="30" t="str">
        <f>IFERROR(INDEX('G-7 WaterC'' Data'!$AZ$3:$AZ$7,MATCH(N25,'G-7 WaterC'' Data'!$AY$3:$AY$7,0)),"")</f>
        <v/>
      </c>
      <c r="AZ25" s="30" t="str">
        <f>IF(B25="","",IF(ISNA(VLOOKUP($B25,'F-1 Off-Site WaterC'' Baseline'!$C$8:$AD$257,20,FALSE)),"",(VLOOKUP($B25,'F-1 Off-Site WaterC'' Baseline'!$C$8:$AD$257,20,FALSE))))</f>
        <v/>
      </c>
      <c r="BC25" s="30" t="str">
        <f>IF(B25="","",VLOOKUP($B25,'F-1 Off-Site WaterC'' Baseline'!$C$9:$AB$257,25,FALSE))</f>
        <v/>
      </c>
      <c r="BD25" s="30" t="str">
        <f t="shared" si="9"/>
        <v/>
      </c>
      <c r="BE25" s="30" t="str">
        <f>IF(B25="","",VLOOKUP($B25,'F-1 Off-Site WaterC'' Baseline'!$C$9:$AB$257,24,FALSE))</f>
        <v/>
      </c>
      <c r="BF25" s="30" t="str">
        <f>IF(B25="","",VLOOKUP($B25,'F-1 Off-Site WaterC'' Baseline'!$C$9:$AB$257,22,FALSE))</f>
        <v/>
      </c>
      <c r="BJ25" s="30" t="str">
        <f t="shared" si="10"/>
        <v>No</v>
      </c>
    </row>
    <row r="26" spans="2:62" ht="13.8" x14ac:dyDescent="0.25">
      <c r="B26" s="311" t="str">
        <f>'F-1 Off-Site WaterC'' Baseline'!AS24</f>
        <v/>
      </c>
      <c r="C26" s="301" t="str">
        <f>IF(B26="","",VLOOKUP($B26,'F-1 Off-Site WaterC'' Baseline'!$C$9:$R$257,2,FALSE))</f>
        <v/>
      </c>
      <c r="D26" s="301" t="str">
        <f>IF(C26="","",VLOOKUP($B26,'F-1 Off-Site WaterC'' Baseline'!$C$9:$R$257,3,FALSE))</f>
        <v/>
      </c>
      <c r="E26" s="301" t="str">
        <f>IF(D26="","",VLOOKUP($B26,'F-1 Off-Site WaterC'' Baseline'!$C$9:$R$257,4,FALSE))</f>
        <v/>
      </c>
      <c r="F26" s="301" t="str">
        <f>IF(E26="","",VLOOKUP($B26,'F-1 Off-Site WaterC'' Baseline'!$C$9:$R$257,5,FALSE))</f>
        <v/>
      </c>
      <c r="G26" s="301" t="str">
        <f>IF(F26="","",VLOOKUP($B26,'F-1 Off-Site WaterC'' Baseline'!$C$9:$R$257,6,FALSE))</f>
        <v/>
      </c>
      <c r="H26" s="301" t="str">
        <f>IF(G26="","",VLOOKUP($B26,'F-1 Off-Site WaterC'' Baseline'!$C$9:$R$257,7,FALSE))</f>
        <v/>
      </c>
      <c r="I26" s="301" t="str">
        <f>IF(H26="","",VLOOKUP($B26,'F-1 Off-Site WaterC'' Baseline'!$C$9:$R$257,8,FALSE))</f>
        <v/>
      </c>
      <c r="J26" s="301" t="str">
        <f>IF(I26="","",VLOOKUP($B26,'F-1 Off-Site WaterC'' Baseline'!$C$9:$R$257,9,FALSE))</f>
        <v/>
      </c>
      <c r="K26" s="301" t="str">
        <f>IF(J26="","",VLOOKUP($B26,'F-1 Off-Site WaterC'' Baseline'!$C$9:$R$257,10,FALSE))</f>
        <v/>
      </c>
      <c r="L26" s="289" t="str">
        <f>IF(B26="","",VLOOKUP($B26,'F-1 Off-Site WaterC'' Baseline'!$C$9:$R$257,15,FALSE))</f>
        <v/>
      </c>
      <c r="M26" s="305" t="str">
        <f>IF(L26="","",VLOOKUP($B26,'F-1 Off-Site WaterC'' Baseline'!$C$9:$V$257,19,FALSE))</f>
        <v/>
      </c>
      <c r="N26" s="250"/>
      <c r="O26" s="281" t="str">
        <f t="shared" si="2"/>
        <v/>
      </c>
      <c r="P26" s="282" t="str">
        <f t="shared" si="3"/>
        <v/>
      </c>
      <c r="Q26" s="287" t="str">
        <f>IF(N26="","",VLOOKUP(B26,'F-1 Off-Site WaterC'' Baseline'!$C$10:$AF$257,23,FALSE))</f>
        <v/>
      </c>
      <c r="R26" s="281" t="str">
        <f>IF(N26="","",VLOOKUP(N26,'G-7 WaterC'' Data'!$B$2:$G$8,2,FALSE))</f>
        <v/>
      </c>
      <c r="S26" s="282" t="str">
        <f>IFERROR(VLOOKUP(R26,'G-7 WaterC'' Data'!$C$4:$D$8,2,FALSE),"")</f>
        <v/>
      </c>
      <c r="T26" s="105"/>
      <c r="U26" s="282" t="str">
        <f>IFERROR(INDEX('G-7 WaterC'' Data'!$H$4:$L$8,MATCH(N26,'G-7 WaterC'' Data'!$B$4:$B$8,0),MATCH(T26,'G-7 WaterC'' Data'!$H$3:$L$3,0)),"")</f>
        <v/>
      </c>
      <c r="V26" s="109"/>
      <c r="W26" s="301" t="str">
        <f>IF(V26="","",IF(VLOOKUP(V26,'G-7 WaterC'' Data'!$AK$4:$AM$6,2,FALSE)=0,"Spatial Data Missing ⚠",VLOOKUP(V26,'G-7 WaterC'' Data'!$AK$4:$AM$6,2,FALSE)))</f>
        <v/>
      </c>
      <c r="X26" s="305" t="str">
        <f>IF(V26="","",IF(VLOOKUP(V26,'G-7 WaterC'' Data'!$AK$4:$AM$6,3,FALSE)=0,"Spatial Data Missing ⚠",VLOOKUP(V26,'G-7 WaterC'' Data'!$AK$4:$AM$6,3,FALSE)))</f>
        <v/>
      </c>
      <c r="Y26" s="317" t="str">
        <f>IFERROR(IF(OR(LEFT(P26,5)="Error",LEFT(O26,5)="Error"),"Check Data ⚠",IF(F26&lt;S26,'G-7 WaterC'' Data'!$R$3,INDEX('G-7 WaterC'' Data'!$U$5:$Y$9,MATCH(G26,'G-7 WaterC'' Data'!$T$5:$T$9,0),MATCH(T26,'G-7 WaterC'' Data'!$U$4:$Y$4,0)))),"")</f>
        <v/>
      </c>
      <c r="Z26" s="142"/>
      <c r="AA26" s="142"/>
      <c r="AB26" s="314" t="str">
        <f t="shared" si="4"/>
        <v/>
      </c>
      <c r="AC26" s="302" t="str">
        <f t="shared" si="5"/>
        <v/>
      </c>
      <c r="AD26" s="340" t="str">
        <f>IFERROR(IF(AC26="Check Data ⚠","Check Data ⚠",VLOOKUP(AC26,'G-4 Temporal multipliers'!$A$4:$C$37,3,FALSE)),"")</f>
        <v/>
      </c>
      <c r="AE26" s="317" t="str">
        <f>IF(N26="","",VLOOKUP(N26,'G-7 WaterC'' Data'!$B$4:$G$8,5,FALSE))</f>
        <v/>
      </c>
      <c r="AF26" s="301" t="str">
        <f t="shared" si="0"/>
        <v/>
      </c>
      <c r="AG26" s="301" t="str">
        <f t="shared" si="6"/>
        <v/>
      </c>
      <c r="AH26" s="282" t="str">
        <f t="shared" si="1"/>
        <v/>
      </c>
      <c r="AI26" s="109"/>
      <c r="AJ26" s="282" t="str">
        <f>IF(AI26="","",(IF(AND(AI26="N/A - Culvert",N26&lt;&gt;"Culvert"),"Not possible ▲",IF(VLOOKUP(AI26,'G-7 WaterC'' Data'!$AA$4:$AB$7,2,FALSE)=0,"Spatial Data Missing ⚠",VLOOKUP(AI26,'G-7 WaterC'' Data'!$AA$4:$AB$7,2,FALSE)))))</f>
        <v/>
      </c>
      <c r="AK26" s="110"/>
      <c r="AL26" s="316" t="str">
        <f>IF(AK26="","",IF(AND(AK26="N/A - Culvert",N26&lt;&gt;"Culvert"),"Not possible ▲",IF(VLOOKUP(AK26,'G-7 WaterC'' Data'!$AD$4:$AE$14,2,FALSE)=0,"Spatial Data Missing ⚠",VLOOKUP(AK26,'G-7 WaterC'' Data'!$AD$4:$AE$14,2,FALSE))))</f>
        <v/>
      </c>
      <c r="AM26" s="281" t="str">
        <f>IF(B26="","",VLOOKUP($B26,'F-1 Off-Site WaterC'' Baseline'!$C$9:$Z$257,17,FALSE))</f>
        <v/>
      </c>
      <c r="AN26" s="282" t="str">
        <f>IF(AM26="","",IF(VLOOKUP(AM26,'G-7 WaterC'' Data'!$AO$4:$BO$7,2,FALSE)=0,"Spatial Data Missing ⚠",VLOOKUP(AM26,'G-7 WaterC'' Data'!$AO$4:$BO$7,2,FALSE)))</f>
        <v/>
      </c>
      <c r="AO26" s="323" t="str">
        <f t="shared" si="7"/>
        <v/>
      </c>
      <c r="AP26" s="323" t="str">
        <f t="shared" si="8"/>
        <v/>
      </c>
      <c r="AQ26" s="105"/>
      <c r="AR26" s="119"/>
      <c r="AS26" s="108"/>
      <c r="AT26" s="108"/>
      <c r="AW26" s="30" t="str">
        <f>IF(E26="","",VLOOKUP($B26,'F-1 Off-Site WaterC'' Baseline'!$C$9:$Z$257,12,FALSE))</f>
        <v/>
      </c>
      <c r="AX26" s="30" t="str">
        <f>IF(E26="","",VLOOKUP($B26,'F-1 Off-Site WaterC'' Baseline'!$C$9:$Z$257,14,FALSE))</f>
        <v/>
      </c>
      <c r="AY26" s="30" t="str">
        <f>IFERROR(INDEX('G-7 WaterC'' Data'!$AZ$3:$AZ$7,MATCH(N26,'G-7 WaterC'' Data'!$AY$3:$AY$7,0)),"")</f>
        <v/>
      </c>
      <c r="AZ26" s="30" t="str">
        <f>IF(B26="","",IF(ISNA(VLOOKUP($B26,'F-1 Off-Site WaterC'' Baseline'!$C$8:$AD$257,20,FALSE)),"",(VLOOKUP($B26,'F-1 Off-Site WaterC'' Baseline'!$C$8:$AD$257,20,FALSE))))</f>
        <v/>
      </c>
      <c r="BC26" s="30" t="str">
        <f>IF(B26="","",VLOOKUP($B26,'F-1 Off-Site WaterC'' Baseline'!$C$9:$AB$257,25,FALSE))</f>
        <v/>
      </c>
      <c r="BD26" s="30" t="str">
        <f t="shared" si="9"/>
        <v/>
      </c>
      <c r="BE26" s="30" t="str">
        <f>IF(B26="","",VLOOKUP($B26,'F-1 Off-Site WaterC'' Baseline'!$C$9:$AB$257,24,FALSE))</f>
        <v/>
      </c>
      <c r="BF26" s="30" t="str">
        <f>IF(B26="","",VLOOKUP($B26,'F-1 Off-Site WaterC'' Baseline'!$C$9:$AB$257,22,FALSE))</f>
        <v/>
      </c>
      <c r="BJ26" s="30" t="str">
        <f t="shared" si="10"/>
        <v>No</v>
      </c>
    </row>
    <row r="27" spans="2:62" ht="13.8" x14ac:dyDescent="0.25">
      <c r="B27" s="311" t="str">
        <f>'F-1 Off-Site WaterC'' Baseline'!AS25</f>
        <v/>
      </c>
      <c r="C27" s="301" t="str">
        <f>IF(B27="","",VLOOKUP($B27,'F-1 Off-Site WaterC'' Baseline'!$C$9:$R$257,2,FALSE))</f>
        <v/>
      </c>
      <c r="D27" s="301" t="str">
        <f>IF(C27="","",VLOOKUP($B27,'F-1 Off-Site WaterC'' Baseline'!$C$9:$R$257,3,FALSE))</f>
        <v/>
      </c>
      <c r="E27" s="301" t="str">
        <f>IF(D27="","",VLOOKUP($B27,'F-1 Off-Site WaterC'' Baseline'!$C$9:$R$257,4,FALSE))</f>
        <v/>
      </c>
      <c r="F27" s="301" t="str">
        <f>IF(E27="","",VLOOKUP($B27,'F-1 Off-Site WaterC'' Baseline'!$C$9:$R$257,5,FALSE))</f>
        <v/>
      </c>
      <c r="G27" s="301" t="str">
        <f>IF(F27="","",VLOOKUP($B27,'F-1 Off-Site WaterC'' Baseline'!$C$9:$R$257,6,FALSE))</f>
        <v/>
      </c>
      <c r="H27" s="301" t="str">
        <f>IF(G27="","",VLOOKUP($B27,'F-1 Off-Site WaterC'' Baseline'!$C$9:$R$257,7,FALSE))</f>
        <v/>
      </c>
      <c r="I27" s="301" t="str">
        <f>IF(H27="","",VLOOKUP($B27,'F-1 Off-Site WaterC'' Baseline'!$C$9:$R$257,8,FALSE))</f>
        <v/>
      </c>
      <c r="J27" s="301" t="str">
        <f>IF(I27="","",VLOOKUP($B27,'F-1 Off-Site WaterC'' Baseline'!$C$9:$R$257,9,FALSE))</f>
        <v/>
      </c>
      <c r="K27" s="301" t="str">
        <f>IF(J27="","",VLOOKUP($B27,'F-1 Off-Site WaterC'' Baseline'!$C$9:$R$257,10,FALSE))</f>
        <v/>
      </c>
      <c r="L27" s="289" t="str">
        <f>IF(B27="","",VLOOKUP($B27,'F-1 Off-Site WaterC'' Baseline'!$C$9:$R$257,15,FALSE))</f>
        <v/>
      </c>
      <c r="M27" s="305" t="str">
        <f>IF(L27="","",VLOOKUP($B27,'F-1 Off-Site WaterC'' Baseline'!$C$9:$V$257,19,FALSE))</f>
        <v/>
      </c>
      <c r="N27" s="250"/>
      <c r="O27" s="281" t="str">
        <f t="shared" si="2"/>
        <v/>
      </c>
      <c r="P27" s="282" t="str">
        <f t="shared" si="3"/>
        <v/>
      </c>
      <c r="Q27" s="287" t="str">
        <f>IF(N27="","",VLOOKUP(B27,'F-1 Off-Site WaterC'' Baseline'!$C$10:$AF$257,23,FALSE))</f>
        <v/>
      </c>
      <c r="R27" s="281" t="str">
        <f>IF(N27="","",VLOOKUP(N27,'G-7 WaterC'' Data'!$B$2:$G$8,2,FALSE))</f>
        <v/>
      </c>
      <c r="S27" s="282" t="str">
        <f>IFERROR(VLOOKUP(R27,'G-7 WaterC'' Data'!$C$4:$D$8,2,FALSE),"")</f>
        <v/>
      </c>
      <c r="T27" s="105"/>
      <c r="U27" s="282" t="str">
        <f>IFERROR(INDEX('G-7 WaterC'' Data'!$H$4:$L$8,MATCH(N27,'G-7 WaterC'' Data'!$B$4:$B$8,0),MATCH(T27,'G-7 WaterC'' Data'!$H$3:$L$3,0)),"")</f>
        <v/>
      </c>
      <c r="V27" s="109"/>
      <c r="W27" s="301" t="str">
        <f>IF(V27="","",IF(VLOOKUP(V27,'G-7 WaterC'' Data'!$AK$4:$AM$6,2,FALSE)=0,"Spatial Data Missing ⚠",VLOOKUP(V27,'G-7 WaterC'' Data'!$AK$4:$AM$6,2,FALSE)))</f>
        <v/>
      </c>
      <c r="X27" s="305" t="str">
        <f>IF(V27="","",IF(VLOOKUP(V27,'G-7 WaterC'' Data'!$AK$4:$AM$6,3,FALSE)=0,"Spatial Data Missing ⚠",VLOOKUP(V27,'G-7 WaterC'' Data'!$AK$4:$AM$6,3,FALSE)))</f>
        <v/>
      </c>
      <c r="Y27" s="317" t="str">
        <f>IFERROR(IF(OR(LEFT(P27,5)="Error",LEFT(O27,5)="Error"),"Check Data ⚠",IF(F27&lt;S27,'G-7 WaterC'' Data'!$R$3,INDEX('G-7 WaterC'' Data'!$U$5:$Y$9,MATCH(G27,'G-7 WaterC'' Data'!$T$5:$T$9,0),MATCH(T27,'G-7 WaterC'' Data'!$U$4:$Y$4,0)))),"")</f>
        <v/>
      </c>
      <c r="Z27" s="142"/>
      <c r="AA27" s="142"/>
      <c r="AB27" s="314" t="str">
        <f t="shared" si="4"/>
        <v/>
      </c>
      <c r="AC27" s="302" t="str">
        <f t="shared" si="5"/>
        <v/>
      </c>
      <c r="AD27" s="340" t="str">
        <f>IFERROR(IF(AC27="Check Data ⚠","Check Data ⚠",VLOOKUP(AC27,'G-4 Temporal multipliers'!$A$4:$C$37,3,FALSE)),"")</f>
        <v/>
      </c>
      <c r="AE27" s="317" t="str">
        <f>IF(N27="","",VLOOKUP(N27,'G-7 WaterC'' Data'!$B$4:$G$8,5,FALSE))</f>
        <v/>
      </c>
      <c r="AF27" s="301" t="str">
        <f t="shared" si="0"/>
        <v/>
      </c>
      <c r="AG27" s="301" t="str">
        <f t="shared" si="6"/>
        <v/>
      </c>
      <c r="AH27" s="282" t="str">
        <f t="shared" si="1"/>
        <v/>
      </c>
      <c r="AI27" s="109"/>
      <c r="AJ27" s="282" t="str">
        <f>IF(AI27="","",(IF(AND(AI27="N/A - Culvert",N27&lt;&gt;"Culvert"),"Not possible ▲",IF(VLOOKUP(AI27,'G-7 WaterC'' Data'!$AA$4:$AB$7,2,FALSE)=0,"Spatial Data Missing ⚠",VLOOKUP(AI27,'G-7 WaterC'' Data'!$AA$4:$AB$7,2,FALSE)))))</f>
        <v/>
      </c>
      <c r="AK27" s="110"/>
      <c r="AL27" s="316" t="str">
        <f>IF(AK27="","",IF(AND(AK27="N/A - Culvert",N27&lt;&gt;"Culvert"),"Not possible ▲",IF(VLOOKUP(AK27,'G-7 WaterC'' Data'!$AD$4:$AE$14,2,FALSE)=0,"Spatial Data Missing ⚠",VLOOKUP(AK27,'G-7 WaterC'' Data'!$AD$4:$AE$14,2,FALSE))))</f>
        <v/>
      </c>
      <c r="AM27" s="281" t="str">
        <f>IF(B27="","",VLOOKUP($B27,'F-1 Off-Site WaterC'' Baseline'!$C$9:$Z$257,17,FALSE))</f>
        <v/>
      </c>
      <c r="AN27" s="282" t="str">
        <f>IF(AM27="","",IF(VLOOKUP(AM27,'G-7 WaterC'' Data'!$AO$4:$BO$7,2,FALSE)=0,"Spatial Data Missing ⚠",VLOOKUP(AM27,'G-7 WaterC'' Data'!$AO$4:$BO$7,2,FALSE)))</f>
        <v/>
      </c>
      <c r="AO27" s="323" t="str">
        <f t="shared" si="7"/>
        <v/>
      </c>
      <c r="AP27" s="323" t="str">
        <f t="shared" si="8"/>
        <v/>
      </c>
      <c r="AQ27" s="105"/>
      <c r="AR27" s="119"/>
      <c r="AS27" s="108"/>
      <c r="AT27" s="108"/>
      <c r="AW27" s="30" t="str">
        <f>IF(E27="","",VLOOKUP($B27,'F-1 Off-Site WaterC'' Baseline'!$C$9:$Z$257,12,FALSE))</f>
        <v/>
      </c>
      <c r="AX27" s="30" t="str">
        <f>IF(E27="","",VLOOKUP($B27,'F-1 Off-Site WaterC'' Baseline'!$C$9:$Z$257,14,FALSE))</f>
        <v/>
      </c>
      <c r="AY27" s="30" t="str">
        <f>IFERROR(INDEX('G-7 WaterC'' Data'!$AZ$3:$AZ$7,MATCH(N27,'G-7 WaterC'' Data'!$AY$3:$AY$7,0)),"")</f>
        <v/>
      </c>
      <c r="AZ27" s="30" t="str">
        <f>IF(B27="","",IF(ISNA(VLOOKUP($B27,'F-1 Off-Site WaterC'' Baseline'!$C$8:$AD$257,20,FALSE)),"",(VLOOKUP($B27,'F-1 Off-Site WaterC'' Baseline'!$C$8:$AD$257,20,FALSE))))</f>
        <v/>
      </c>
      <c r="BC27" s="30" t="str">
        <f>IF(B27="","",VLOOKUP($B27,'F-1 Off-Site WaterC'' Baseline'!$C$9:$AB$257,25,FALSE))</f>
        <v/>
      </c>
      <c r="BD27" s="30" t="str">
        <f t="shared" si="9"/>
        <v/>
      </c>
      <c r="BE27" s="30" t="str">
        <f>IF(B27="","",VLOOKUP($B27,'F-1 Off-Site WaterC'' Baseline'!$C$9:$AB$257,24,FALSE))</f>
        <v/>
      </c>
      <c r="BF27" s="30" t="str">
        <f>IF(B27="","",VLOOKUP($B27,'F-1 Off-Site WaterC'' Baseline'!$C$9:$AB$257,22,FALSE))</f>
        <v/>
      </c>
      <c r="BJ27" s="30" t="str">
        <f t="shared" si="10"/>
        <v>No</v>
      </c>
    </row>
    <row r="28" spans="2:62" ht="13.8" x14ac:dyDescent="0.25">
      <c r="B28" s="311" t="str">
        <f>'F-1 Off-Site WaterC'' Baseline'!AS26</f>
        <v/>
      </c>
      <c r="C28" s="301" t="str">
        <f>IF(B28="","",VLOOKUP($B28,'F-1 Off-Site WaterC'' Baseline'!$C$9:$R$257,2,FALSE))</f>
        <v/>
      </c>
      <c r="D28" s="301" t="str">
        <f>IF(C28="","",VLOOKUP($B28,'F-1 Off-Site WaterC'' Baseline'!$C$9:$R$257,3,FALSE))</f>
        <v/>
      </c>
      <c r="E28" s="301" t="str">
        <f>IF(D28="","",VLOOKUP($B28,'F-1 Off-Site WaterC'' Baseline'!$C$9:$R$257,4,FALSE))</f>
        <v/>
      </c>
      <c r="F28" s="301" t="str">
        <f>IF(E28="","",VLOOKUP($B28,'F-1 Off-Site WaterC'' Baseline'!$C$9:$R$257,5,FALSE))</f>
        <v/>
      </c>
      <c r="G28" s="301" t="str">
        <f>IF(F28="","",VLOOKUP($B28,'F-1 Off-Site WaterC'' Baseline'!$C$9:$R$257,6,FALSE))</f>
        <v/>
      </c>
      <c r="H28" s="301" t="str">
        <f>IF(G28="","",VLOOKUP($B28,'F-1 Off-Site WaterC'' Baseline'!$C$9:$R$257,7,FALSE))</f>
        <v/>
      </c>
      <c r="I28" s="301" t="str">
        <f>IF(H28="","",VLOOKUP($B28,'F-1 Off-Site WaterC'' Baseline'!$C$9:$R$257,8,FALSE))</f>
        <v/>
      </c>
      <c r="J28" s="301" t="str">
        <f>IF(I28="","",VLOOKUP($B28,'F-1 Off-Site WaterC'' Baseline'!$C$9:$R$257,9,FALSE))</f>
        <v/>
      </c>
      <c r="K28" s="301" t="str">
        <f>IF(J28="","",VLOOKUP($B28,'F-1 Off-Site WaterC'' Baseline'!$C$9:$R$257,10,FALSE))</f>
        <v/>
      </c>
      <c r="L28" s="289" t="str">
        <f>IF(B28="","",VLOOKUP($B28,'F-1 Off-Site WaterC'' Baseline'!$C$9:$R$257,15,FALSE))</f>
        <v/>
      </c>
      <c r="M28" s="305" t="str">
        <f>IF(L28="","",VLOOKUP($B28,'F-1 Off-Site WaterC'' Baseline'!$C$9:$V$257,19,FALSE))</f>
        <v/>
      </c>
      <c r="N28" s="250"/>
      <c r="O28" s="281" t="str">
        <f t="shared" si="2"/>
        <v/>
      </c>
      <c r="P28" s="282" t="str">
        <f t="shared" si="3"/>
        <v/>
      </c>
      <c r="Q28" s="287" t="str">
        <f>IF(N28="","",VLOOKUP(B28,'F-1 Off-Site WaterC'' Baseline'!$C$10:$AF$257,23,FALSE))</f>
        <v/>
      </c>
      <c r="R28" s="281" t="str">
        <f>IF(N28="","",VLOOKUP(N28,'G-7 WaterC'' Data'!$B$2:$G$8,2,FALSE))</f>
        <v/>
      </c>
      <c r="S28" s="282" t="str">
        <f>IFERROR(VLOOKUP(R28,'G-7 WaterC'' Data'!$C$4:$D$8,2,FALSE),"")</f>
        <v/>
      </c>
      <c r="T28" s="105"/>
      <c r="U28" s="282" t="str">
        <f>IFERROR(INDEX('G-7 WaterC'' Data'!$H$4:$L$8,MATCH(N28,'G-7 WaterC'' Data'!$B$4:$B$8,0),MATCH(T28,'G-7 WaterC'' Data'!$H$3:$L$3,0)),"")</f>
        <v/>
      </c>
      <c r="V28" s="109"/>
      <c r="W28" s="301" t="str">
        <f>IF(V28="","",IF(VLOOKUP(V28,'G-7 WaterC'' Data'!$AK$4:$AM$6,2,FALSE)=0,"Spatial Data Missing ⚠",VLOOKUP(V28,'G-7 WaterC'' Data'!$AK$4:$AM$6,2,FALSE)))</f>
        <v/>
      </c>
      <c r="X28" s="305" t="str">
        <f>IF(V28="","",IF(VLOOKUP(V28,'G-7 WaterC'' Data'!$AK$4:$AM$6,3,FALSE)=0,"Spatial Data Missing ⚠",VLOOKUP(V28,'G-7 WaterC'' Data'!$AK$4:$AM$6,3,FALSE)))</f>
        <v/>
      </c>
      <c r="Y28" s="317" t="str">
        <f>IFERROR(IF(OR(LEFT(P28,5)="Error",LEFT(O28,5)="Error"),"Check Data ⚠",IF(F28&lt;S28,'G-7 WaterC'' Data'!$R$3,INDEX('G-7 WaterC'' Data'!$U$5:$Y$9,MATCH(G28,'G-7 WaterC'' Data'!$T$5:$T$9,0),MATCH(T28,'G-7 WaterC'' Data'!$U$4:$Y$4,0)))),"")</f>
        <v/>
      </c>
      <c r="Z28" s="142"/>
      <c r="AA28" s="142"/>
      <c r="AB28" s="314" t="str">
        <f t="shared" si="4"/>
        <v/>
      </c>
      <c r="AC28" s="302" t="str">
        <f t="shared" si="5"/>
        <v/>
      </c>
      <c r="AD28" s="340" t="str">
        <f>IFERROR(IF(AC28="Check Data ⚠","Check Data ⚠",VLOOKUP(AC28,'G-4 Temporal multipliers'!$A$4:$C$37,3,FALSE)),"")</f>
        <v/>
      </c>
      <c r="AE28" s="317" t="str">
        <f>IF(N28="","",VLOOKUP(N28,'G-7 WaterC'' Data'!$B$4:$G$8,5,FALSE))</f>
        <v/>
      </c>
      <c r="AF28" s="301" t="str">
        <f t="shared" si="0"/>
        <v/>
      </c>
      <c r="AG28" s="301" t="str">
        <f t="shared" si="6"/>
        <v/>
      </c>
      <c r="AH28" s="282" t="str">
        <f t="shared" si="1"/>
        <v/>
      </c>
      <c r="AI28" s="109"/>
      <c r="AJ28" s="282" t="str">
        <f>IF(AI28="","",(IF(AND(AI28="N/A - Culvert",N28&lt;&gt;"Culvert"),"Not possible ▲",IF(VLOOKUP(AI28,'G-7 WaterC'' Data'!$AA$4:$AB$7,2,FALSE)=0,"Spatial Data Missing ⚠",VLOOKUP(AI28,'G-7 WaterC'' Data'!$AA$4:$AB$7,2,FALSE)))))</f>
        <v/>
      </c>
      <c r="AK28" s="110"/>
      <c r="AL28" s="316" t="str">
        <f>IF(AK28="","",IF(AND(AK28="N/A - Culvert",N28&lt;&gt;"Culvert"),"Not possible ▲",IF(VLOOKUP(AK28,'G-7 WaterC'' Data'!$AD$4:$AE$14,2,FALSE)=0,"Spatial Data Missing ⚠",VLOOKUP(AK28,'G-7 WaterC'' Data'!$AD$4:$AE$14,2,FALSE))))</f>
        <v/>
      </c>
      <c r="AM28" s="281" t="str">
        <f>IF(B28="","",VLOOKUP($B28,'F-1 Off-Site WaterC'' Baseline'!$C$9:$Z$257,17,FALSE))</f>
        <v/>
      </c>
      <c r="AN28" s="282" t="str">
        <f>IF(AM28="","",IF(VLOOKUP(AM28,'G-7 WaterC'' Data'!$AO$4:$BO$7,2,FALSE)=0,"Spatial Data Missing ⚠",VLOOKUP(AM28,'G-7 WaterC'' Data'!$AO$4:$BO$7,2,FALSE)))</f>
        <v/>
      </c>
      <c r="AO28" s="323" t="str">
        <f t="shared" si="7"/>
        <v/>
      </c>
      <c r="AP28" s="323" t="str">
        <f t="shared" si="8"/>
        <v/>
      </c>
      <c r="AQ28" s="105"/>
      <c r="AR28" s="119"/>
      <c r="AS28" s="108"/>
      <c r="AT28" s="108"/>
      <c r="AW28" s="30" t="str">
        <f>IF(E28="","",VLOOKUP($B28,'F-1 Off-Site WaterC'' Baseline'!$C$9:$Z$257,12,FALSE))</f>
        <v/>
      </c>
      <c r="AX28" s="30" t="str">
        <f>IF(E28="","",VLOOKUP($B28,'F-1 Off-Site WaterC'' Baseline'!$C$9:$Z$257,14,FALSE))</f>
        <v/>
      </c>
      <c r="AY28" s="30" t="str">
        <f>IFERROR(INDEX('G-7 WaterC'' Data'!$AZ$3:$AZ$7,MATCH(N28,'G-7 WaterC'' Data'!$AY$3:$AY$7,0)),"")</f>
        <v/>
      </c>
      <c r="AZ28" s="30" t="str">
        <f>IF(B28="","",IF(ISNA(VLOOKUP($B28,'F-1 Off-Site WaterC'' Baseline'!$C$8:$AD$257,20,FALSE)),"",(VLOOKUP($B28,'F-1 Off-Site WaterC'' Baseline'!$C$8:$AD$257,20,FALSE))))</f>
        <v/>
      </c>
      <c r="BC28" s="30" t="str">
        <f>IF(B28="","",VLOOKUP($B28,'F-1 Off-Site WaterC'' Baseline'!$C$9:$AB$257,25,FALSE))</f>
        <v/>
      </c>
      <c r="BD28" s="30" t="str">
        <f t="shared" si="9"/>
        <v/>
      </c>
      <c r="BE28" s="30" t="str">
        <f>IF(B28="","",VLOOKUP($B28,'F-1 Off-Site WaterC'' Baseline'!$C$9:$AB$257,24,FALSE))</f>
        <v/>
      </c>
      <c r="BF28" s="30" t="str">
        <f>IF(B28="","",VLOOKUP($B28,'F-1 Off-Site WaterC'' Baseline'!$C$9:$AB$257,22,FALSE))</f>
        <v/>
      </c>
      <c r="BJ28" s="30" t="str">
        <f t="shared" si="10"/>
        <v>No</v>
      </c>
    </row>
    <row r="29" spans="2:62" ht="13.8" x14ac:dyDescent="0.25">
      <c r="B29" s="311" t="str">
        <f>'F-1 Off-Site WaterC'' Baseline'!AS27</f>
        <v/>
      </c>
      <c r="C29" s="301" t="str">
        <f>IF(B29="","",VLOOKUP($B29,'F-1 Off-Site WaterC'' Baseline'!$C$9:$R$257,2,FALSE))</f>
        <v/>
      </c>
      <c r="D29" s="301" t="str">
        <f>IF(C29="","",VLOOKUP($B29,'F-1 Off-Site WaterC'' Baseline'!$C$9:$R$257,3,FALSE))</f>
        <v/>
      </c>
      <c r="E29" s="301" t="str">
        <f>IF(D29="","",VLOOKUP($B29,'F-1 Off-Site WaterC'' Baseline'!$C$9:$R$257,4,FALSE))</f>
        <v/>
      </c>
      <c r="F29" s="301" t="str">
        <f>IF(E29="","",VLOOKUP($B29,'F-1 Off-Site WaterC'' Baseline'!$C$9:$R$257,5,FALSE))</f>
        <v/>
      </c>
      <c r="G29" s="301" t="str">
        <f>IF(F29="","",VLOOKUP($B29,'F-1 Off-Site WaterC'' Baseline'!$C$9:$R$257,6,FALSE))</f>
        <v/>
      </c>
      <c r="H29" s="301" t="str">
        <f>IF(G29="","",VLOOKUP($B29,'F-1 Off-Site WaterC'' Baseline'!$C$9:$R$257,7,FALSE))</f>
        <v/>
      </c>
      <c r="I29" s="301" t="str">
        <f>IF(H29="","",VLOOKUP($B29,'F-1 Off-Site WaterC'' Baseline'!$C$9:$R$257,8,FALSE))</f>
        <v/>
      </c>
      <c r="J29" s="301" t="str">
        <f>IF(I29="","",VLOOKUP($B29,'F-1 Off-Site WaterC'' Baseline'!$C$9:$R$257,9,FALSE))</f>
        <v/>
      </c>
      <c r="K29" s="301" t="str">
        <f>IF(J29="","",VLOOKUP($B29,'F-1 Off-Site WaterC'' Baseline'!$C$9:$R$257,10,FALSE))</f>
        <v/>
      </c>
      <c r="L29" s="289" t="str">
        <f>IF(B29="","",VLOOKUP($B29,'F-1 Off-Site WaterC'' Baseline'!$C$9:$R$257,15,FALSE))</f>
        <v/>
      </c>
      <c r="M29" s="305" t="str">
        <f>IF(L29="","",VLOOKUP($B29,'F-1 Off-Site WaterC'' Baseline'!$C$9:$V$257,19,FALSE))</f>
        <v/>
      </c>
      <c r="N29" s="250"/>
      <c r="O29" s="281" t="str">
        <f t="shared" si="2"/>
        <v/>
      </c>
      <c r="P29" s="282" t="str">
        <f t="shared" si="3"/>
        <v/>
      </c>
      <c r="Q29" s="287" t="str">
        <f>IF(N29="","",VLOOKUP(B29,'F-1 Off-Site WaterC'' Baseline'!$C$10:$AF$257,23,FALSE))</f>
        <v/>
      </c>
      <c r="R29" s="281" t="str">
        <f>IF(N29="","",VLOOKUP(N29,'G-7 WaterC'' Data'!$B$2:$G$8,2,FALSE))</f>
        <v/>
      </c>
      <c r="S29" s="282" t="str">
        <f>IFERROR(VLOOKUP(R29,'G-7 WaterC'' Data'!$C$4:$D$8,2,FALSE),"")</f>
        <v/>
      </c>
      <c r="T29" s="105"/>
      <c r="U29" s="282" t="str">
        <f>IFERROR(INDEX('G-7 WaterC'' Data'!$H$4:$L$8,MATCH(N29,'G-7 WaterC'' Data'!$B$4:$B$8,0),MATCH(T29,'G-7 WaterC'' Data'!$H$3:$L$3,0)),"")</f>
        <v/>
      </c>
      <c r="V29" s="109"/>
      <c r="W29" s="301" t="str">
        <f>IF(V29="","",IF(VLOOKUP(V29,'G-7 WaterC'' Data'!$AK$4:$AM$6,2,FALSE)=0,"Spatial Data Missing ⚠",VLOOKUP(V29,'G-7 WaterC'' Data'!$AK$4:$AM$6,2,FALSE)))</f>
        <v/>
      </c>
      <c r="X29" s="305" t="str">
        <f>IF(V29="","",IF(VLOOKUP(V29,'G-7 WaterC'' Data'!$AK$4:$AM$6,3,FALSE)=0,"Spatial Data Missing ⚠",VLOOKUP(V29,'G-7 WaterC'' Data'!$AK$4:$AM$6,3,FALSE)))</f>
        <v/>
      </c>
      <c r="Y29" s="317" t="str">
        <f>IFERROR(IF(OR(LEFT(P29,5)="Error",LEFT(O29,5)="Error"),"Check Data ⚠",IF(F29&lt;S29,'G-7 WaterC'' Data'!$R$3,INDEX('G-7 WaterC'' Data'!$U$5:$Y$9,MATCH(G29,'G-7 WaterC'' Data'!$T$5:$T$9,0),MATCH(T29,'G-7 WaterC'' Data'!$U$4:$Y$4,0)))),"")</f>
        <v/>
      </c>
      <c r="Z29" s="142"/>
      <c r="AA29" s="142"/>
      <c r="AB29" s="314" t="str">
        <f t="shared" si="4"/>
        <v/>
      </c>
      <c r="AC29" s="302" t="str">
        <f t="shared" si="5"/>
        <v/>
      </c>
      <c r="AD29" s="340" t="str">
        <f>IFERROR(IF(AC29="Check Data ⚠","Check Data ⚠",VLOOKUP(AC29,'G-4 Temporal multipliers'!$A$4:$C$37,3,FALSE)),"")</f>
        <v/>
      </c>
      <c r="AE29" s="317" t="str">
        <f>IF(N29="","",VLOOKUP(N29,'G-7 WaterC'' Data'!$B$4:$G$8,5,FALSE))</f>
        <v/>
      </c>
      <c r="AF29" s="301" t="str">
        <f t="shared" si="0"/>
        <v/>
      </c>
      <c r="AG29" s="301" t="str">
        <f t="shared" si="6"/>
        <v/>
      </c>
      <c r="AH29" s="282" t="str">
        <f t="shared" si="1"/>
        <v/>
      </c>
      <c r="AI29" s="109"/>
      <c r="AJ29" s="282" t="str">
        <f>IF(AI29="","",(IF(AND(AI29="N/A - Culvert",N29&lt;&gt;"Culvert"),"Not possible ▲",IF(VLOOKUP(AI29,'G-7 WaterC'' Data'!$AA$4:$AB$7,2,FALSE)=0,"Spatial Data Missing ⚠",VLOOKUP(AI29,'G-7 WaterC'' Data'!$AA$4:$AB$7,2,FALSE)))))</f>
        <v/>
      </c>
      <c r="AK29" s="110"/>
      <c r="AL29" s="316" t="str">
        <f>IF(AK29="","",IF(AND(AK29="N/A - Culvert",N29&lt;&gt;"Culvert"),"Not possible ▲",IF(VLOOKUP(AK29,'G-7 WaterC'' Data'!$AD$4:$AE$14,2,FALSE)=0,"Spatial Data Missing ⚠",VLOOKUP(AK29,'G-7 WaterC'' Data'!$AD$4:$AE$14,2,FALSE))))</f>
        <v/>
      </c>
      <c r="AM29" s="281" t="str">
        <f>IF(B29="","",VLOOKUP($B29,'F-1 Off-Site WaterC'' Baseline'!$C$9:$Z$257,17,FALSE))</f>
        <v/>
      </c>
      <c r="AN29" s="282" t="str">
        <f>IF(AM29="","",IF(VLOOKUP(AM29,'G-7 WaterC'' Data'!$AO$4:$BO$7,2,FALSE)=0,"Spatial Data Missing ⚠",VLOOKUP(AM29,'G-7 WaterC'' Data'!$AO$4:$BO$7,2,FALSE)))</f>
        <v/>
      </c>
      <c r="AO29" s="323" t="str">
        <f t="shared" si="7"/>
        <v/>
      </c>
      <c r="AP29" s="323" t="str">
        <f t="shared" si="8"/>
        <v/>
      </c>
      <c r="AQ29" s="105"/>
      <c r="AR29" s="119"/>
      <c r="AS29" s="108"/>
      <c r="AT29" s="108"/>
      <c r="AW29" s="30" t="str">
        <f>IF(E29="","",VLOOKUP($B29,'F-1 Off-Site WaterC'' Baseline'!$C$9:$Z$257,12,FALSE))</f>
        <v/>
      </c>
      <c r="AX29" s="30" t="str">
        <f>IF(E29="","",VLOOKUP($B29,'F-1 Off-Site WaterC'' Baseline'!$C$9:$Z$257,14,FALSE))</f>
        <v/>
      </c>
      <c r="AY29" s="30" t="str">
        <f>IFERROR(INDEX('G-7 WaterC'' Data'!$AZ$3:$AZ$7,MATCH(N29,'G-7 WaterC'' Data'!$AY$3:$AY$7,0)),"")</f>
        <v/>
      </c>
      <c r="AZ29" s="30" t="str">
        <f>IF(B29="","",IF(ISNA(VLOOKUP($B29,'F-1 Off-Site WaterC'' Baseline'!$C$8:$AD$257,20,FALSE)),"",(VLOOKUP($B29,'F-1 Off-Site WaterC'' Baseline'!$C$8:$AD$257,20,FALSE))))</f>
        <v/>
      </c>
      <c r="BC29" s="30" t="str">
        <f>IF(B29="","",VLOOKUP($B29,'F-1 Off-Site WaterC'' Baseline'!$C$9:$AB$257,25,FALSE))</f>
        <v/>
      </c>
      <c r="BD29" s="30" t="str">
        <f t="shared" si="9"/>
        <v/>
      </c>
      <c r="BE29" s="30" t="str">
        <f>IF(B29="","",VLOOKUP($B29,'F-1 Off-Site WaterC'' Baseline'!$C$9:$AB$257,24,FALSE))</f>
        <v/>
      </c>
      <c r="BF29" s="30" t="str">
        <f>IF(B29="","",VLOOKUP($B29,'F-1 Off-Site WaterC'' Baseline'!$C$9:$AB$257,22,FALSE))</f>
        <v/>
      </c>
      <c r="BJ29" s="30" t="str">
        <f t="shared" si="10"/>
        <v>No</v>
      </c>
    </row>
    <row r="30" spans="2:62" ht="13.8" x14ac:dyDescent="0.25">
      <c r="B30" s="311" t="str">
        <f>'F-1 Off-Site WaterC'' Baseline'!AS28</f>
        <v/>
      </c>
      <c r="C30" s="301" t="str">
        <f>IF(B30="","",VLOOKUP($B30,'F-1 Off-Site WaterC'' Baseline'!$C$9:$R$257,2,FALSE))</f>
        <v/>
      </c>
      <c r="D30" s="301" t="str">
        <f>IF(C30="","",VLOOKUP($B30,'F-1 Off-Site WaterC'' Baseline'!$C$9:$R$257,3,FALSE))</f>
        <v/>
      </c>
      <c r="E30" s="301" t="str">
        <f>IF(D30="","",VLOOKUP($B30,'F-1 Off-Site WaterC'' Baseline'!$C$9:$R$257,4,FALSE))</f>
        <v/>
      </c>
      <c r="F30" s="301" t="str">
        <f>IF(E30="","",VLOOKUP($B30,'F-1 Off-Site WaterC'' Baseline'!$C$9:$R$257,5,FALSE))</f>
        <v/>
      </c>
      <c r="G30" s="301" t="str">
        <f>IF(F30="","",VLOOKUP($B30,'F-1 Off-Site WaterC'' Baseline'!$C$9:$R$257,6,FALSE))</f>
        <v/>
      </c>
      <c r="H30" s="301" t="str">
        <f>IF(G30="","",VLOOKUP($B30,'F-1 Off-Site WaterC'' Baseline'!$C$9:$R$257,7,FALSE))</f>
        <v/>
      </c>
      <c r="I30" s="301" t="str">
        <f>IF(H30="","",VLOOKUP($B30,'F-1 Off-Site WaterC'' Baseline'!$C$9:$R$257,8,FALSE))</f>
        <v/>
      </c>
      <c r="J30" s="301" t="str">
        <f>IF(I30="","",VLOOKUP($B30,'F-1 Off-Site WaterC'' Baseline'!$C$9:$R$257,9,FALSE))</f>
        <v/>
      </c>
      <c r="K30" s="301" t="str">
        <f>IF(J30="","",VLOOKUP($B30,'F-1 Off-Site WaterC'' Baseline'!$C$9:$R$257,10,FALSE))</f>
        <v/>
      </c>
      <c r="L30" s="289" t="str">
        <f>IF(B30="","",VLOOKUP($B30,'F-1 Off-Site WaterC'' Baseline'!$C$9:$R$257,15,FALSE))</f>
        <v/>
      </c>
      <c r="M30" s="305" t="str">
        <f>IF(L30="","",VLOOKUP($B30,'F-1 Off-Site WaterC'' Baseline'!$C$9:$V$257,19,FALSE))</f>
        <v/>
      </c>
      <c r="N30" s="250"/>
      <c r="O30" s="281" t="str">
        <f t="shared" si="2"/>
        <v/>
      </c>
      <c r="P30" s="282" t="str">
        <f t="shared" si="3"/>
        <v/>
      </c>
      <c r="Q30" s="287" t="str">
        <f>IF(N30="","",VLOOKUP(B30,'F-1 Off-Site WaterC'' Baseline'!$C$10:$AF$257,23,FALSE))</f>
        <v/>
      </c>
      <c r="R30" s="281" t="str">
        <f>IF(N30="","",VLOOKUP(N30,'G-7 WaterC'' Data'!$B$2:$G$8,2,FALSE))</f>
        <v/>
      </c>
      <c r="S30" s="282" t="str">
        <f>IFERROR(VLOOKUP(R30,'G-7 WaterC'' Data'!$C$4:$D$8,2,FALSE),"")</f>
        <v/>
      </c>
      <c r="T30" s="105"/>
      <c r="U30" s="282" t="str">
        <f>IFERROR(INDEX('G-7 WaterC'' Data'!$H$4:$L$8,MATCH(N30,'G-7 WaterC'' Data'!$B$4:$B$8,0),MATCH(T30,'G-7 WaterC'' Data'!$H$3:$L$3,0)),"")</f>
        <v/>
      </c>
      <c r="V30" s="109"/>
      <c r="W30" s="301" t="str">
        <f>IF(V30="","",IF(VLOOKUP(V30,'G-7 WaterC'' Data'!$AK$4:$AM$6,2,FALSE)=0,"Spatial Data Missing ⚠",VLOOKUP(V30,'G-7 WaterC'' Data'!$AK$4:$AM$6,2,FALSE)))</f>
        <v/>
      </c>
      <c r="X30" s="305" t="str">
        <f>IF(V30="","",IF(VLOOKUP(V30,'G-7 WaterC'' Data'!$AK$4:$AM$6,3,FALSE)=0,"Spatial Data Missing ⚠",VLOOKUP(V30,'G-7 WaterC'' Data'!$AK$4:$AM$6,3,FALSE)))</f>
        <v/>
      </c>
      <c r="Y30" s="317" t="str">
        <f>IFERROR(IF(OR(LEFT(P30,5)="Error",LEFT(O30,5)="Error"),"Check Data ⚠",IF(F30&lt;S30,'G-7 WaterC'' Data'!$R$3,INDEX('G-7 WaterC'' Data'!$U$5:$Y$9,MATCH(G30,'G-7 WaterC'' Data'!$T$5:$T$9,0),MATCH(T30,'G-7 WaterC'' Data'!$U$4:$Y$4,0)))),"")</f>
        <v/>
      </c>
      <c r="Z30" s="142"/>
      <c r="AA30" s="142"/>
      <c r="AB30" s="314" t="str">
        <f t="shared" si="4"/>
        <v/>
      </c>
      <c r="AC30" s="302" t="str">
        <f t="shared" si="5"/>
        <v/>
      </c>
      <c r="AD30" s="340" t="str">
        <f>IFERROR(IF(AC30="Check Data ⚠","Check Data ⚠",VLOOKUP(AC30,'G-4 Temporal multipliers'!$A$4:$C$37,3,FALSE)),"")</f>
        <v/>
      </c>
      <c r="AE30" s="317" t="str">
        <f>IF(N30="","",VLOOKUP(N30,'G-7 WaterC'' Data'!$B$4:$G$8,5,FALSE))</f>
        <v/>
      </c>
      <c r="AF30" s="301" t="str">
        <f t="shared" si="0"/>
        <v/>
      </c>
      <c r="AG30" s="301" t="str">
        <f t="shared" si="6"/>
        <v/>
      </c>
      <c r="AH30" s="282" t="str">
        <f t="shared" si="1"/>
        <v/>
      </c>
      <c r="AI30" s="109"/>
      <c r="AJ30" s="282" t="str">
        <f>IF(AI30="","",(IF(AND(AI30="N/A - Culvert",N30&lt;&gt;"Culvert"),"Not possible ▲",IF(VLOOKUP(AI30,'G-7 WaterC'' Data'!$AA$4:$AB$7,2,FALSE)=0,"Spatial Data Missing ⚠",VLOOKUP(AI30,'G-7 WaterC'' Data'!$AA$4:$AB$7,2,FALSE)))))</f>
        <v/>
      </c>
      <c r="AK30" s="110"/>
      <c r="AL30" s="316" t="str">
        <f>IF(AK30="","",IF(AND(AK30="N/A - Culvert",N30&lt;&gt;"Culvert"),"Not possible ▲",IF(VLOOKUP(AK30,'G-7 WaterC'' Data'!$AD$4:$AE$14,2,FALSE)=0,"Spatial Data Missing ⚠",VLOOKUP(AK30,'G-7 WaterC'' Data'!$AD$4:$AE$14,2,FALSE))))</f>
        <v/>
      </c>
      <c r="AM30" s="281" t="str">
        <f>IF(B30="","",VLOOKUP($B30,'F-1 Off-Site WaterC'' Baseline'!$C$9:$Z$257,17,FALSE))</f>
        <v/>
      </c>
      <c r="AN30" s="282" t="str">
        <f>IF(AM30="","",IF(VLOOKUP(AM30,'G-7 WaterC'' Data'!$AO$4:$BO$7,2,FALSE)=0,"Spatial Data Missing ⚠",VLOOKUP(AM30,'G-7 WaterC'' Data'!$AO$4:$BO$7,2,FALSE)))</f>
        <v/>
      </c>
      <c r="AO30" s="323" t="str">
        <f t="shared" si="7"/>
        <v/>
      </c>
      <c r="AP30" s="323" t="str">
        <f t="shared" si="8"/>
        <v/>
      </c>
      <c r="AQ30" s="105"/>
      <c r="AR30" s="119"/>
      <c r="AS30" s="108"/>
      <c r="AT30" s="108"/>
      <c r="AW30" s="30" t="str">
        <f>IF(E30="","",VLOOKUP($B30,'F-1 Off-Site WaterC'' Baseline'!$C$9:$Z$257,12,FALSE))</f>
        <v/>
      </c>
      <c r="AX30" s="30" t="str">
        <f>IF(E30="","",VLOOKUP($B30,'F-1 Off-Site WaterC'' Baseline'!$C$9:$Z$257,14,FALSE))</f>
        <v/>
      </c>
      <c r="AY30" s="30" t="str">
        <f>IFERROR(INDEX('G-7 WaterC'' Data'!$AZ$3:$AZ$7,MATCH(N30,'G-7 WaterC'' Data'!$AY$3:$AY$7,0)),"")</f>
        <v/>
      </c>
      <c r="AZ30" s="30" t="str">
        <f>IF(B30="","",IF(ISNA(VLOOKUP($B30,'F-1 Off-Site WaterC'' Baseline'!$C$8:$AD$257,20,FALSE)),"",(VLOOKUP($B30,'F-1 Off-Site WaterC'' Baseline'!$C$8:$AD$257,20,FALSE))))</f>
        <v/>
      </c>
      <c r="BC30" s="30" t="str">
        <f>IF(B30="","",VLOOKUP($B30,'F-1 Off-Site WaterC'' Baseline'!$C$9:$AB$257,25,FALSE))</f>
        <v/>
      </c>
      <c r="BD30" s="30" t="str">
        <f t="shared" si="9"/>
        <v/>
      </c>
      <c r="BE30" s="30" t="str">
        <f>IF(B30="","",VLOOKUP($B30,'F-1 Off-Site WaterC'' Baseline'!$C$9:$AB$257,24,FALSE))</f>
        <v/>
      </c>
      <c r="BF30" s="30" t="str">
        <f>IF(B30="","",VLOOKUP($B30,'F-1 Off-Site WaterC'' Baseline'!$C$9:$AB$257,22,FALSE))</f>
        <v/>
      </c>
      <c r="BJ30" s="30" t="str">
        <f t="shared" si="10"/>
        <v>No</v>
      </c>
    </row>
    <row r="31" spans="2:62" ht="13.8" x14ac:dyDescent="0.25">
      <c r="B31" s="311" t="str">
        <f>'F-1 Off-Site WaterC'' Baseline'!AS29</f>
        <v/>
      </c>
      <c r="C31" s="301" t="str">
        <f>IF(B31="","",VLOOKUP($B31,'F-1 Off-Site WaterC'' Baseline'!$C$9:$R$257,2,FALSE))</f>
        <v/>
      </c>
      <c r="D31" s="301" t="str">
        <f>IF(C31="","",VLOOKUP($B31,'F-1 Off-Site WaterC'' Baseline'!$C$9:$R$257,3,FALSE))</f>
        <v/>
      </c>
      <c r="E31" s="301" t="str">
        <f>IF(D31="","",VLOOKUP($B31,'F-1 Off-Site WaterC'' Baseline'!$C$9:$R$257,4,FALSE))</f>
        <v/>
      </c>
      <c r="F31" s="301" t="str">
        <f>IF(E31="","",VLOOKUP($B31,'F-1 Off-Site WaterC'' Baseline'!$C$9:$R$257,5,FALSE))</f>
        <v/>
      </c>
      <c r="G31" s="301" t="str">
        <f>IF(F31="","",VLOOKUP($B31,'F-1 Off-Site WaterC'' Baseline'!$C$9:$R$257,6,FALSE))</f>
        <v/>
      </c>
      <c r="H31" s="301" t="str">
        <f>IF(G31="","",VLOOKUP($B31,'F-1 Off-Site WaterC'' Baseline'!$C$9:$R$257,7,FALSE))</f>
        <v/>
      </c>
      <c r="I31" s="301" t="str">
        <f>IF(H31="","",VLOOKUP($B31,'F-1 Off-Site WaterC'' Baseline'!$C$9:$R$257,8,FALSE))</f>
        <v/>
      </c>
      <c r="J31" s="301" t="str">
        <f>IF(I31="","",VLOOKUP($B31,'F-1 Off-Site WaterC'' Baseline'!$C$9:$R$257,9,FALSE))</f>
        <v/>
      </c>
      <c r="K31" s="301" t="str">
        <f>IF(J31="","",VLOOKUP($B31,'F-1 Off-Site WaterC'' Baseline'!$C$9:$R$257,10,FALSE))</f>
        <v/>
      </c>
      <c r="L31" s="289" t="str">
        <f>IF(B31="","",VLOOKUP($B31,'F-1 Off-Site WaterC'' Baseline'!$C$9:$R$257,15,FALSE))</f>
        <v/>
      </c>
      <c r="M31" s="305" t="str">
        <f>IF(L31="","",VLOOKUP($B31,'F-1 Off-Site WaterC'' Baseline'!$C$9:$V$257,19,FALSE))</f>
        <v/>
      </c>
      <c r="N31" s="250"/>
      <c r="O31" s="281" t="str">
        <f t="shared" si="2"/>
        <v/>
      </c>
      <c r="P31" s="282" t="str">
        <f t="shared" si="3"/>
        <v/>
      </c>
      <c r="Q31" s="287" t="str">
        <f>IF(N31="","",VLOOKUP(B31,'F-1 Off-Site WaterC'' Baseline'!$C$10:$AF$257,23,FALSE))</f>
        <v/>
      </c>
      <c r="R31" s="281" t="str">
        <f>IF(N31="","",VLOOKUP(N31,'G-7 WaterC'' Data'!$B$2:$G$8,2,FALSE))</f>
        <v/>
      </c>
      <c r="S31" s="282" t="str">
        <f>IFERROR(VLOOKUP(R31,'G-7 WaterC'' Data'!$C$4:$D$8,2,FALSE),"")</f>
        <v/>
      </c>
      <c r="T31" s="105"/>
      <c r="U31" s="282" t="str">
        <f>IFERROR(INDEX('G-7 WaterC'' Data'!$H$4:$L$8,MATCH(N31,'G-7 WaterC'' Data'!$B$4:$B$8,0),MATCH(T31,'G-7 WaterC'' Data'!$H$3:$L$3,0)),"")</f>
        <v/>
      </c>
      <c r="V31" s="109"/>
      <c r="W31" s="301" t="str">
        <f>IF(V31="","",IF(VLOOKUP(V31,'G-7 WaterC'' Data'!$AK$4:$AM$6,2,FALSE)=0,"Spatial Data Missing ⚠",VLOOKUP(V31,'G-7 WaterC'' Data'!$AK$4:$AM$6,2,FALSE)))</f>
        <v/>
      </c>
      <c r="X31" s="305" t="str">
        <f>IF(V31="","",IF(VLOOKUP(V31,'G-7 WaterC'' Data'!$AK$4:$AM$6,3,FALSE)=0,"Spatial Data Missing ⚠",VLOOKUP(V31,'G-7 WaterC'' Data'!$AK$4:$AM$6,3,FALSE)))</f>
        <v/>
      </c>
      <c r="Y31" s="317" t="str">
        <f>IFERROR(IF(OR(LEFT(P31,5)="Error",LEFT(O31,5)="Error"),"Check Data ⚠",IF(F31&lt;S31,'G-7 WaterC'' Data'!$R$3,INDEX('G-7 WaterC'' Data'!$U$5:$Y$9,MATCH(G31,'G-7 WaterC'' Data'!$T$5:$T$9,0),MATCH(T31,'G-7 WaterC'' Data'!$U$4:$Y$4,0)))),"")</f>
        <v/>
      </c>
      <c r="Z31" s="142"/>
      <c r="AA31" s="142"/>
      <c r="AB31" s="314" t="str">
        <f t="shared" si="4"/>
        <v/>
      </c>
      <c r="AC31" s="302" t="str">
        <f t="shared" si="5"/>
        <v/>
      </c>
      <c r="AD31" s="340" t="str">
        <f>IFERROR(IF(AC31="Check Data ⚠","Check Data ⚠",VLOOKUP(AC31,'G-4 Temporal multipliers'!$A$4:$C$37,3,FALSE)),"")</f>
        <v/>
      </c>
      <c r="AE31" s="317" t="str">
        <f>IF(N31="","",VLOOKUP(N31,'G-7 WaterC'' Data'!$B$4:$G$8,5,FALSE))</f>
        <v/>
      </c>
      <c r="AF31" s="301" t="str">
        <f t="shared" si="0"/>
        <v/>
      </c>
      <c r="AG31" s="301" t="str">
        <f t="shared" si="6"/>
        <v/>
      </c>
      <c r="AH31" s="282" t="str">
        <f t="shared" si="1"/>
        <v/>
      </c>
      <c r="AI31" s="109"/>
      <c r="AJ31" s="282" t="str">
        <f>IF(AI31="","",(IF(AND(AI31="N/A - Culvert",N31&lt;&gt;"Culvert"),"Not possible ▲",IF(VLOOKUP(AI31,'G-7 WaterC'' Data'!$AA$4:$AB$7,2,FALSE)=0,"Spatial Data Missing ⚠",VLOOKUP(AI31,'G-7 WaterC'' Data'!$AA$4:$AB$7,2,FALSE)))))</f>
        <v/>
      </c>
      <c r="AK31" s="110"/>
      <c r="AL31" s="316" t="str">
        <f>IF(AK31="","",IF(AND(AK31="N/A - Culvert",N31&lt;&gt;"Culvert"),"Not possible ▲",IF(VLOOKUP(AK31,'G-7 WaterC'' Data'!$AD$4:$AE$14,2,FALSE)=0,"Spatial Data Missing ⚠",VLOOKUP(AK31,'G-7 WaterC'' Data'!$AD$4:$AE$14,2,FALSE))))</f>
        <v/>
      </c>
      <c r="AM31" s="281" t="str">
        <f>IF(B31="","",VLOOKUP($B31,'F-1 Off-Site WaterC'' Baseline'!$C$9:$Z$257,17,FALSE))</f>
        <v/>
      </c>
      <c r="AN31" s="282" t="str">
        <f>IF(AM31="","",IF(VLOOKUP(AM31,'G-7 WaterC'' Data'!$AO$4:$BO$7,2,FALSE)=0,"Spatial Data Missing ⚠",VLOOKUP(AM31,'G-7 WaterC'' Data'!$AO$4:$BO$7,2,FALSE)))</f>
        <v/>
      </c>
      <c r="AO31" s="323" t="str">
        <f t="shared" si="7"/>
        <v/>
      </c>
      <c r="AP31" s="323" t="str">
        <f t="shared" si="8"/>
        <v/>
      </c>
      <c r="AQ31" s="105"/>
      <c r="AR31" s="119"/>
      <c r="AS31" s="108"/>
      <c r="AT31" s="108"/>
      <c r="AW31" s="30" t="str">
        <f>IF(E31="","",VLOOKUP($B31,'F-1 Off-Site WaterC'' Baseline'!$C$9:$Z$257,12,FALSE))</f>
        <v/>
      </c>
      <c r="AX31" s="30" t="str">
        <f>IF(E31="","",VLOOKUP($B31,'F-1 Off-Site WaterC'' Baseline'!$C$9:$Z$257,14,FALSE))</f>
        <v/>
      </c>
      <c r="AY31" s="30" t="str">
        <f>IFERROR(INDEX('G-7 WaterC'' Data'!$AZ$3:$AZ$7,MATCH(N31,'G-7 WaterC'' Data'!$AY$3:$AY$7,0)),"")</f>
        <v/>
      </c>
      <c r="AZ31" s="30" t="str">
        <f>IF(B31="","",IF(ISNA(VLOOKUP($B31,'F-1 Off-Site WaterC'' Baseline'!$C$8:$AD$257,20,FALSE)),"",(VLOOKUP($B31,'F-1 Off-Site WaterC'' Baseline'!$C$8:$AD$257,20,FALSE))))</f>
        <v/>
      </c>
      <c r="BC31" s="30" t="str">
        <f>IF(B31="","",VLOOKUP($B31,'F-1 Off-Site WaterC'' Baseline'!$C$9:$AB$257,25,FALSE))</f>
        <v/>
      </c>
      <c r="BD31" s="30" t="str">
        <f t="shared" si="9"/>
        <v/>
      </c>
      <c r="BE31" s="30" t="str">
        <f>IF(B31="","",VLOOKUP($B31,'F-1 Off-Site WaterC'' Baseline'!$C$9:$AB$257,24,FALSE))</f>
        <v/>
      </c>
      <c r="BF31" s="30" t="str">
        <f>IF(B31="","",VLOOKUP($B31,'F-1 Off-Site WaterC'' Baseline'!$C$9:$AB$257,22,FALSE))</f>
        <v/>
      </c>
      <c r="BJ31" s="30" t="str">
        <f t="shared" si="10"/>
        <v>No</v>
      </c>
    </row>
    <row r="32" spans="2:62" ht="13.8" x14ac:dyDescent="0.25">
      <c r="B32" s="311" t="str">
        <f>'F-1 Off-Site WaterC'' Baseline'!AS30</f>
        <v/>
      </c>
      <c r="C32" s="301" t="str">
        <f>IF(B32="","",VLOOKUP($B32,'F-1 Off-Site WaterC'' Baseline'!$C$9:$R$257,2,FALSE))</f>
        <v/>
      </c>
      <c r="D32" s="301" t="str">
        <f>IF(C32="","",VLOOKUP($B32,'F-1 Off-Site WaterC'' Baseline'!$C$9:$R$257,3,FALSE))</f>
        <v/>
      </c>
      <c r="E32" s="301" t="str">
        <f>IF(D32="","",VLOOKUP($B32,'F-1 Off-Site WaterC'' Baseline'!$C$9:$R$257,4,FALSE))</f>
        <v/>
      </c>
      <c r="F32" s="301" t="str">
        <f>IF(E32="","",VLOOKUP($B32,'F-1 Off-Site WaterC'' Baseline'!$C$9:$R$257,5,FALSE))</f>
        <v/>
      </c>
      <c r="G32" s="301" t="str">
        <f>IF(F32="","",VLOOKUP($B32,'F-1 Off-Site WaterC'' Baseline'!$C$9:$R$257,6,FALSE))</f>
        <v/>
      </c>
      <c r="H32" s="301" t="str">
        <f>IF(G32="","",VLOOKUP($B32,'F-1 Off-Site WaterC'' Baseline'!$C$9:$R$257,7,FALSE))</f>
        <v/>
      </c>
      <c r="I32" s="301" t="str">
        <f>IF(H32="","",VLOOKUP($B32,'F-1 Off-Site WaterC'' Baseline'!$C$9:$R$257,8,FALSE))</f>
        <v/>
      </c>
      <c r="J32" s="301" t="str">
        <f>IF(I32="","",VLOOKUP($B32,'F-1 Off-Site WaterC'' Baseline'!$C$9:$R$257,9,FALSE))</f>
        <v/>
      </c>
      <c r="K32" s="301" t="str">
        <f>IF(J32="","",VLOOKUP($B32,'F-1 Off-Site WaterC'' Baseline'!$C$9:$R$257,10,FALSE))</f>
        <v/>
      </c>
      <c r="L32" s="289" t="str">
        <f>IF(B32="","",VLOOKUP($B32,'F-1 Off-Site WaterC'' Baseline'!$C$9:$R$257,15,FALSE))</f>
        <v/>
      </c>
      <c r="M32" s="305" t="str">
        <f>IF(L32="","",VLOOKUP($B32,'F-1 Off-Site WaterC'' Baseline'!$C$9:$V$257,19,FALSE))</f>
        <v/>
      </c>
      <c r="N32" s="250"/>
      <c r="O32" s="281" t="str">
        <f t="shared" si="2"/>
        <v/>
      </c>
      <c r="P32" s="282" t="str">
        <f t="shared" si="3"/>
        <v/>
      </c>
      <c r="Q32" s="287" t="str">
        <f>IF(N32="","",VLOOKUP(B32,'F-1 Off-Site WaterC'' Baseline'!$C$10:$AF$257,23,FALSE))</f>
        <v/>
      </c>
      <c r="R32" s="281" t="str">
        <f>IF(N32="","",VLOOKUP(N32,'G-7 WaterC'' Data'!$B$2:$G$8,2,FALSE))</f>
        <v/>
      </c>
      <c r="S32" s="282" t="str">
        <f>IFERROR(VLOOKUP(R32,'G-7 WaterC'' Data'!$C$4:$D$8,2,FALSE),"")</f>
        <v/>
      </c>
      <c r="T32" s="105"/>
      <c r="U32" s="282" t="str">
        <f>IFERROR(INDEX('G-7 WaterC'' Data'!$H$4:$L$8,MATCH(N32,'G-7 WaterC'' Data'!$B$4:$B$8,0),MATCH(T32,'G-7 WaterC'' Data'!$H$3:$L$3,0)),"")</f>
        <v/>
      </c>
      <c r="V32" s="109"/>
      <c r="W32" s="301" t="str">
        <f>IF(V32="","",IF(VLOOKUP(V32,'G-7 WaterC'' Data'!$AK$4:$AM$6,2,FALSE)=0,"Spatial Data Missing ⚠",VLOOKUP(V32,'G-7 WaterC'' Data'!$AK$4:$AM$6,2,FALSE)))</f>
        <v/>
      </c>
      <c r="X32" s="305" t="str">
        <f>IF(V32="","",IF(VLOOKUP(V32,'G-7 WaterC'' Data'!$AK$4:$AM$6,3,FALSE)=0,"Spatial Data Missing ⚠",VLOOKUP(V32,'G-7 WaterC'' Data'!$AK$4:$AM$6,3,FALSE)))</f>
        <v/>
      </c>
      <c r="Y32" s="317" t="str">
        <f>IFERROR(IF(OR(LEFT(P32,5)="Error",LEFT(O32,5)="Error"),"Check Data ⚠",IF(F32&lt;S32,'G-7 WaterC'' Data'!$R$3,INDEX('G-7 WaterC'' Data'!$U$5:$Y$9,MATCH(G32,'G-7 WaterC'' Data'!$T$5:$T$9,0),MATCH(T32,'G-7 WaterC'' Data'!$U$4:$Y$4,0)))),"")</f>
        <v/>
      </c>
      <c r="Z32" s="142"/>
      <c r="AA32" s="142"/>
      <c r="AB32" s="314" t="str">
        <f t="shared" si="4"/>
        <v/>
      </c>
      <c r="AC32" s="302" t="str">
        <f t="shared" si="5"/>
        <v/>
      </c>
      <c r="AD32" s="340" t="str">
        <f>IFERROR(IF(AC32="Check Data ⚠","Check Data ⚠",VLOOKUP(AC32,'G-4 Temporal multipliers'!$A$4:$C$37,3,FALSE)),"")</f>
        <v/>
      </c>
      <c r="AE32" s="317" t="str">
        <f>IF(N32="","",VLOOKUP(N32,'G-7 WaterC'' Data'!$B$4:$G$8,5,FALSE))</f>
        <v/>
      </c>
      <c r="AF32" s="301" t="str">
        <f t="shared" si="0"/>
        <v/>
      </c>
      <c r="AG32" s="301" t="str">
        <f t="shared" si="6"/>
        <v/>
      </c>
      <c r="AH32" s="282" t="str">
        <f t="shared" si="1"/>
        <v/>
      </c>
      <c r="AI32" s="109"/>
      <c r="AJ32" s="282" t="str">
        <f>IF(AI32="","",(IF(AND(AI32="N/A - Culvert",N32&lt;&gt;"Culvert"),"Not possible ▲",IF(VLOOKUP(AI32,'G-7 WaterC'' Data'!$AA$4:$AB$7,2,FALSE)=0,"Spatial Data Missing ⚠",VLOOKUP(AI32,'G-7 WaterC'' Data'!$AA$4:$AB$7,2,FALSE)))))</f>
        <v/>
      </c>
      <c r="AK32" s="110"/>
      <c r="AL32" s="316" t="str">
        <f>IF(AK32="","",IF(AND(AK32="N/A - Culvert",N32&lt;&gt;"Culvert"),"Not possible ▲",IF(VLOOKUP(AK32,'G-7 WaterC'' Data'!$AD$4:$AE$14,2,FALSE)=0,"Spatial Data Missing ⚠",VLOOKUP(AK32,'G-7 WaterC'' Data'!$AD$4:$AE$14,2,FALSE))))</f>
        <v/>
      </c>
      <c r="AM32" s="281" t="str">
        <f>IF(B32="","",VLOOKUP($B32,'F-1 Off-Site WaterC'' Baseline'!$C$9:$Z$257,17,FALSE))</f>
        <v/>
      </c>
      <c r="AN32" s="282" t="str">
        <f>IF(AM32="","",IF(VLOOKUP(AM32,'G-7 WaterC'' Data'!$AO$4:$BO$7,2,FALSE)=0,"Spatial Data Missing ⚠",VLOOKUP(AM32,'G-7 WaterC'' Data'!$AO$4:$BO$7,2,FALSE)))</f>
        <v/>
      </c>
      <c r="AO32" s="323" t="str">
        <f t="shared" si="7"/>
        <v/>
      </c>
      <c r="AP32" s="323" t="str">
        <f t="shared" si="8"/>
        <v/>
      </c>
      <c r="AQ32" s="105"/>
      <c r="AR32" s="119"/>
      <c r="AS32" s="108"/>
      <c r="AT32" s="108"/>
      <c r="AW32" s="30" t="str">
        <f>IF(E32="","",VLOOKUP($B32,'F-1 Off-Site WaterC'' Baseline'!$C$9:$Z$257,12,FALSE))</f>
        <v/>
      </c>
      <c r="AX32" s="30" t="str">
        <f>IF(E32="","",VLOOKUP($B32,'F-1 Off-Site WaterC'' Baseline'!$C$9:$Z$257,14,FALSE))</f>
        <v/>
      </c>
      <c r="AY32" s="30" t="str">
        <f>IFERROR(INDEX('G-7 WaterC'' Data'!$AZ$3:$AZ$7,MATCH(N32,'G-7 WaterC'' Data'!$AY$3:$AY$7,0)),"")</f>
        <v/>
      </c>
      <c r="AZ32" s="30" t="str">
        <f>IF(B32="","",IF(ISNA(VLOOKUP($B32,'F-1 Off-Site WaterC'' Baseline'!$C$8:$AD$257,20,FALSE)),"",(VLOOKUP($B32,'F-1 Off-Site WaterC'' Baseline'!$C$8:$AD$257,20,FALSE))))</f>
        <v/>
      </c>
      <c r="BC32" s="30" t="str">
        <f>IF(B32="","",VLOOKUP($B32,'F-1 Off-Site WaterC'' Baseline'!$C$9:$AB$257,25,FALSE))</f>
        <v/>
      </c>
      <c r="BD32" s="30" t="str">
        <f t="shared" si="9"/>
        <v/>
      </c>
      <c r="BE32" s="30" t="str">
        <f>IF(B32="","",VLOOKUP($B32,'F-1 Off-Site WaterC'' Baseline'!$C$9:$AB$257,24,FALSE))</f>
        <v/>
      </c>
      <c r="BF32" s="30" t="str">
        <f>IF(B32="","",VLOOKUP($B32,'F-1 Off-Site WaterC'' Baseline'!$C$9:$AB$257,22,FALSE))</f>
        <v/>
      </c>
      <c r="BJ32" s="30" t="str">
        <f t="shared" si="10"/>
        <v>No</v>
      </c>
    </row>
    <row r="33" spans="2:62" ht="13.8" x14ac:dyDescent="0.25">
      <c r="B33" s="311" t="str">
        <f>'F-1 Off-Site WaterC'' Baseline'!AS31</f>
        <v/>
      </c>
      <c r="C33" s="301" t="str">
        <f>IF(B33="","",VLOOKUP($B33,'F-1 Off-Site WaterC'' Baseline'!$C$9:$R$257,2,FALSE))</f>
        <v/>
      </c>
      <c r="D33" s="301" t="str">
        <f>IF(C33="","",VLOOKUP($B33,'F-1 Off-Site WaterC'' Baseline'!$C$9:$R$257,3,FALSE))</f>
        <v/>
      </c>
      <c r="E33" s="301" t="str">
        <f>IF(D33="","",VLOOKUP($B33,'F-1 Off-Site WaterC'' Baseline'!$C$9:$R$257,4,FALSE))</f>
        <v/>
      </c>
      <c r="F33" s="301" t="str">
        <f>IF(E33="","",VLOOKUP($B33,'F-1 Off-Site WaterC'' Baseline'!$C$9:$R$257,5,FALSE))</f>
        <v/>
      </c>
      <c r="G33" s="301" t="str">
        <f>IF(F33="","",VLOOKUP($B33,'F-1 Off-Site WaterC'' Baseline'!$C$9:$R$257,6,FALSE))</f>
        <v/>
      </c>
      <c r="H33" s="301" t="str">
        <f>IF(G33="","",VLOOKUP($B33,'F-1 Off-Site WaterC'' Baseline'!$C$9:$R$257,7,FALSE))</f>
        <v/>
      </c>
      <c r="I33" s="301" t="str">
        <f>IF(H33="","",VLOOKUP($B33,'F-1 Off-Site WaterC'' Baseline'!$C$9:$R$257,8,FALSE))</f>
        <v/>
      </c>
      <c r="J33" s="301" t="str">
        <f>IF(I33="","",VLOOKUP($B33,'F-1 Off-Site WaterC'' Baseline'!$C$9:$R$257,9,FALSE))</f>
        <v/>
      </c>
      <c r="K33" s="301" t="str">
        <f>IF(J33="","",VLOOKUP($B33,'F-1 Off-Site WaterC'' Baseline'!$C$9:$R$257,10,FALSE))</f>
        <v/>
      </c>
      <c r="L33" s="289" t="str">
        <f>IF(B33="","",VLOOKUP($B33,'F-1 Off-Site WaterC'' Baseline'!$C$9:$R$257,15,FALSE))</f>
        <v/>
      </c>
      <c r="M33" s="305" t="str">
        <f>IF(L33="","",VLOOKUP($B33,'F-1 Off-Site WaterC'' Baseline'!$C$9:$V$257,19,FALSE))</f>
        <v/>
      </c>
      <c r="N33" s="250"/>
      <c r="O33" s="281" t="str">
        <f t="shared" si="2"/>
        <v/>
      </c>
      <c r="P33" s="282" t="str">
        <f t="shared" si="3"/>
        <v/>
      </c>
      <c r="Q33" s="287" t="str">
        <f>IF(N33="","",VLOOKUP(B33,'F-1 Off-Site WaterC'' Baseline'!$C$10:$AF$257,23,FALSE))</f>
        <v/>
      </c>
      <c r="R33" s="281" t="str">
        <f>IF(N33="","",VLOOKUP(N33,'G-7 WaterC'' Data'!$B$2:$G$8,2,FALSE))</f>
        <v/>
      </c>
      <c r="S33" s="282" t="str">
        <f>IFERROR(VLOOKUP(R33,'G-7 WaterC'' Data'!$C$4:$D$8,2,FALSE),"")</f>
        <v/>
      </c>
      <c r="T33" s="105"/>
      <c r="U33" s="282" t="str">
        <f>IFERROR(INDEX('G-7 WaterC'' Data'!$H$4:$L$8,MATCH(N33,'G-7 WaterC'' Data'!$B$4:$B$8,0),MATCH(T33,'G-7 WaterC'' Data'!$H$3:$L$3,0)),"")</f>
        <v/>
      </c>
      <c r="V33" s="109"/>
      <c r="W33" s="301" t="str">
        <f>IF(V33="","",IF(VLOOKUP(V33,'G-7 WaterC'' Data'!$AK$4:$AM$6,2,FALSE)=0,"Spatial Data Missing ⚠",VLOOKUP(V33,'G-7 WaterC'' Data'!$AK$4:$AM$6,2,FALSE)))</f>
        <v/>
      </c>
      <c r="X33" s="305" t="str">
        <f>IF(V33="","",IF(VLOOKUP(V33,'G-7 WaterC'' Data'!$AK$4:$AM$6,3,FALSE)=0,"Spatial Data Missing ⚠",VLOOKUP(V33,'G-7 WaterC'' Data'!$AK$4:$AM$6,3,FALSE)))</f>
        <v/>
      </c>
      <c r="Y33" s="317" t="str">
        <f>IFERROR(IF(OR(LEFT(P33,5)="Error",LEFT(O33,5)="Error"),"Check Data ⚠",IF(F33&lt;S33,'G-7 WaterC'' Data'!$R$3,INDEX('G-7 WaterC'' Data'!$U$5:$Y$9,MATCH(G33,'G-7 WaterC'' Data'!$T$5:$T$9,0),MATCH(T33,'G-7 WaterC'' Data'!$U$4:$Y$4,0)))),"")</f>
        <v/>
      </c>
      <c r="Z33" s="142"/>
      <c r="AA33" s="142"/>
      <c r="AB33" s="314" t="str">
        <f t="shared" si="4"/>
        <v/>
      </c>
      <c r="AC33" s="302" t="str">
        <f t="shared" si="5"/>
        <v/>
      </c>
      <c r="AD33" s="340" t="str">
        <f>IFERROR(IF(AC33="Check Data ⚠","Check Data ⚠",VLOOKUP(AC33,'G-4 Temporal multipliers'!$A$4:$C$37,3,FALSE)),"")</f>
        <v/>
      </c>
      <c r="AE33" s="317" t="str">
        <f>IF(N33="","",VLOOKUP(N33,'G-7 WaterC'' Data'!$B$4:$G$8,5,FALSE))</f>
        <v/>
      </c>
      <c r="AF33" s="301" t="str">
        <f t="shared" si="0"/>
        <v/>
      </c>
      <c r="AG33" s="301" t="str">
        <f t="shared" si="6"/>
        <v/>
      </c>
      <c r="AH33" s="282" t="str">
        <f t="shared" si="1"/>
        <v/>
      </c>
      <c r="AI33" s="109"/>
      <c r="AJ33" s="282" t="str">
        <f>IF(AI33="","",(IF(AND(AI33="N/A - Culvert",N33&lt;&gt;"Culvert"),"Not possible ▲",IF(VLOOKUP(AI33,'G-7 WaterC'' Data'!$AA$4:$AB$7,2,FALSE)=0,"Spatial Data Missing ⚠",VLOOKUP(AI33,'G-7 WaterC'' Data'!$AA$4:$AB$7,2,FALSE)))))</f>
        <v/>
      </c>
      <c r="AK33" s="110"/>
      <c r="AL33" s="316" t="str">
        <f>IF(AK33="","",IF(AND(AK33="N/A - Culvert",N33&lt;&gt;"Culvert"),"Not possible ▲",IF(VLOOKUP(AK33,'G-7 WaterC'' Data'!$AD$4:$AE$14,2,FALSE)=0,"Spatial Data Missing ⚠",VLOOKUP(AK33,'G-7 WaterC'' Data'!$AD$4:$AE$14,2,FALSE))))</f>
        <v/>
      </c>
      <c r="AM33" s="281" t="str">
        <f>IF(B33="","",VLOOKUP($B33,'F-1 Off-Site WaterC'' Baseline'!$C$9:$Z$257,17,FALSE))</f>
        <v/>
      </c>
      <c r="AN33" s="282" t="str">
        <f>IF(AM33="","",IF(VLOOKUP(AM33,'G-7 WaterC'' Data'!$AO$4:$BO$7,2,FALSE)=0,"Spatial Data Missing ⚠",VLOOKUP(AM33,'G-7 WaterC'' Data'!$AO$4:$BO$7,2,FALSE)))</f>
        <v/>
      </c>
      <c r="AO33" s="323" t="str">
        <f t="shared" si="7"/>
        <v/>
      </c>
      <c r="AP33" s="323" t="str">
        <f t="shared" si="8"/>
        <v/>
      </c>
      <c r="AQ33" s="105"/>
      <c r="AR33" s="119"/>
      <c r="AS33" s="108"/>
      <c r="AT33" s="108"/>
      <c r="AW33" s="30" t="str">
        <f>IF(E33="","",VLOOKUP($B33,'F-1 Off-Site WaterC'' Baseline'!$C$9:$Z$257,12,FALSE))</f>
        <v/>
      </c>
      <c r="AX33" s="30" t="str">
        <f>IF(E33="","",VLOOKUP($B33,'F-1 Off-Site WaterC'' Baseline'!$C$9:$Z$257,14,FALSE))</f>
        <v/>
      </c>
      <c r="AY33" s="30" t="str">
        <f>IFERROR(INDEX('G-7 WaterC'' Data'!$AZ$3:$AZ$7,MATCH(N33,'G-7 WaterC'' Data'!$AY$3:$AY$7,0)),"")</f>
        <v/>
      </c>
      <c r="AZ33" s="30" t="str">
        <f>IF(B33="","",IF(ISNA(VLOOKUP($B33,'F-1 Off-Site WaterC'' Baseline'!$C$8:$AD$257,20,FALSE)),"",(VLOOKUP($B33,'F-1 Off-Site WaterC'' Baseline'!$C$8:$AD$257,20,FALSE))))</f>
        <v/>
      </c>
      <c r="BC33" s="30" t="str">
        <f>IF(B33="","",VLOOKUP($B33,'F-1 Off-Site WaterC'' Baseline'!$C$9:$AB$257,25,FALSE))</f>
        <v/>
      </c>
      <c r="BD33" s="30" t="str">
        <f t="shared" si="9"/>
        <v/>
      </c>
      <c r="BE33" s="30" t="str">
        <f>IF(B33="","",VLOOKUP($B33,'F-1 Off-Site WaterC'' Baseline'!$C$9:$AB$257,24,FALSE))</f>
        <v/>
      </c>
      <c r="BF33" s="30" t="str">
        <f>IF(B33="","",VLOOKUP($B33,'F-1 Off-Site WaterC'' Baseline'!$C$9:$AB$257,22,FALSE))</f>
        <v/>
      </c>
      <c r="BJ33" s="30" t="str">
        <f t="shared" si="10"/>
        <v>No</v>
      </c>
    </row>
    <row r="34" spans="2:62" ht="13.8" x14ac:dyDescent="0.25">
      <c r="B34" s="311" t="str">
        <f>'F-1 Off-Site WaterC'' Baseline'!AS32</f>
        <v/>
      </c>
      <c r="C34" s="301" t="str">
        <f>IF(B34="","",VLOOKUP($B34,'F-1 Off-Site WaterC'' Baseline'!$C$9:$R$257,2,FALSE))</f>
        <v/>
      </c>
      <c r="D34" s="301" t="str">
        <f>IF(C34="","",VLOOKUP($B34,'F-1 Off-Site WaterC'' Baseline'!$C$9:$R$257,3,FALSE))</f>
        <v/>
      </c>
      <c r="E34" s="301" t="str">
        <f>IF(D34="","",VLOOKUP($B34,'F-1 Off-Site WaterC'' Baseline'!$C$9:$R$257,4,FALSE))</f>
        <v/>
      </c>
      <c r="F34" s="301" t="str">
        <f>IF(E34="","",VLOOKUP($B34,'F-1 Off-Site WaterC'' Baseline'!$C$9:$R$257,5,FALSE))</f>
        <v/>
      </c>
      <c r="G34" s="301" t="str">
        <f>IF(F34="","",VLOOKUP($B34,'F-1 Off-Site WaterC'' Baseline'!$C$9:$R$257,6,FALSE))</f>
        <v/>
      </c>
      <c r="H34" s="301" t="str">
        <f>IF(G34="","",VLOOKUP($B34,'F-1 Off-Site WaterC'' Baseline'!$C$9:$R$257,7,FALSE))</f>
        <v/>
      </c>
      <c r="I34" s="301" t="str">
        <f>IF(H34="","",VLOOKUP($B34,'F-1 Off-Site WaterC'' Baseline'!$C$9:$R$257,8,FALSE))</f>
        <v/>
      </c>
      <c r="J34" s="301" t="str">
        <f>IF(I34="","",VLOOKUP($B34,'F-1 Off-Site WaterC'' Baseline'!$C$9:$R$257,9,FALSE))</f>
        <v/>
      </c>
      <c r="K34" s="301" t="str">
        <f>IF(J34="","",VLOOKUP($B34,'F-1 Off-Site WaterC'' Baseline'!$C$9:$R$257,10,FALSE))</f>
        <v/>
      </c>
      <c r="L34" s="289" t="str">
        <f>IF(B34="","",VLOOKUP($B34,'F-1 Off-Site WaterC'' Baseline'!$C$9:$R$257,15,FALSE))</f>
        <v/>
      </c>
      <c r="M34" s="305" t="str">
        <f>IF(L34="","",VLOOKUP($B34,'F-1 Off-Site WaterC'' Baseline'!$C$9:$V$257,19,FALSE))</f>
        <v/>
      </c>
      <c r="N34" s="250"/>
      <c r="O34" s="281" t="str">
        <f t="shared" si="2"/>
        <v/>
      </c>
      <c r="P34" s="282" t="str">
        <f t="shared" si="3"/>
        <v/>
      </c>
      <c r="Q34" s="287" t="str">
        <f>IF(N34="","",VLOOKUP(B34,'F-1 Off-Site WaterC'' Baseline'!$C$10:$AF$257,23,FALSE))</f>
        <v/>
      </c>
      <c r="R34" s="281" t="str">
        <f>IF(N34="","",VLOOKUP(N34,'G-7 WaterC'' Data'!$B$2:$G$8,2,FALSE))</f>
        <v/>
      </c>
      <c r="S34" s="282" t="str">
        <f>IFERROR(VLOOKUP(R34,'G-7 WaterC'' Data'!$C$4:$D$8,2,FALSE),"")</f>
        <v/>
      </c>
      <c r="T34" s="105"/>
      <c r="U34" s="282" t="str">
        <f>IFERROR(INDEX('G-7 WaterC'' Data'!$H$4:$L$8,MATCH(N34,'G-7 WaterC'' Data'!$B$4:$B$8,0),MATCH(T34,'G-7 WaterC'' Data'!$H$3:$L$3,0)),"")</f>
        <v/>
      </c>
      <c r="V34" s="109"/>
      <c r="W34" s="301" t="str">
        <f>IF(V34="","",IF(VLOOKUP(V34,'G-7 WaterC'' Data'!$AK$4:$AM$6,2,FALSE)=0,"Spatial Data Missing ⚠",VLOOKUP(V34,'G-7 WaterC'' Data'!$AK$4:$AM$6,2,FALSE)))</f>
        <v/>
      </c>
      <c r="X34" s="305" t="str">
        <f>IF(V34="","",IF(VLOOKUP(V34,'G-7 WaterC'' Data'!$AK$4:$AM$6,3,FALSE)=0,"Spatial Data Missing ⚠",VLOOKUP(V34,'G-7 WaterC'' Data'!$AK$4:$AM$6,3,FALSE)))</f>
        <v/>
      </c>
      <c r="Y34" s="317" t="str">
        <f>IFERROR(IF(OR(LEFT(P34,5)="Error",LEFT(O34,5)="Error"),"Check Data ⚠",IF(F34&lt;S34,'G-7 WaterC'' Data'!$R$3,INDEX('G-7 WaterC'' Data'!$U$5:$Y$9,MATCH(G34,'G-7 WaterC'' Data'!$T$5:$T$9,0),MATCH(T34,'G-7 WaterC'' Data'!$U$4:$Y$4,0)))),"")</f>
        <v/>
      </c>
      <c r="Z34" s="142"/>
      <c r="AA34" s="142"/>
      <c r="AB34" s="314" t="str">
        <f t="shared" si="4"/>
        <v/>
      </c>
      <c r="AC34" s="302" t="str">
        <f t="shared" si="5"/>
        <v/>
      </c>
      <c r="AD34" s="340" t="str">
        <f>IFERROR(IF(AC34="Check Data ⚠","Check Data ⚠",VLOOKUP(AC34,'G-4 Temporal multipliers'!$A$4:$C$37,3,FALSE)),"")</f>
        <v/>
      </c>
      <c r="AE34" s="317" t="str">
        <f>IF(N34="","",VLOOKUP(N34,'G-7 WaterC'' Data'!$B$4:$G$8,5,FALSE))</f>
        <v/>
      </c>
      <c r="AF34" s="301" t="str">
        <f t="shared" si="0"/>
        <v/>
      </c>
      <c r="AG34" s="301" t="str">
        <f t="shared" si="6"/>
        <v/>
      </c>
      <c r="AH34" s="282" t="str">
        <f t="shared" si="1"/>
        <v/>
      </c>
      <c r="AI34" s="109"/>
      <c r="AJ34" s="282" t="str">
        <f>IF(AI34="","",(IF(AND(AI34="N/A - Culvert",N34&lt;&gt;"Culvert"),"Not possible ▲",IF(VLOOKUP(AI34,'G-7 WaterC'' Data'!$AA$4:$AB$7,2,FALSE)=0,"Spatial Data Missing ⚠",VLOOKUP(AI34,'G-7 WaterC'' Data'!$AA$4:$AB$7,2,FALSE)))))</f>
        <v/>
      </c>
      <c r="AK34" s="110"/>
      <c r="AL34" s="316" t="str">
        <f>IF(AK34="","",IF(AND(AK34="N/A - Culvert",N34&lt;&gt;"Culvert"),"Not possible ▲",IF(VLOOKUP(AK34,'G-7 WaterC'' Data'!$AD$4:$AE$14,2,FALSE)=0,"Spatial Data Missing ⚠",VLOOKUP(AK34,'G-7 WaterC'' Data'!$AD$4:$AE$14,2,FALSE))))</f>
        <v/>
      </c>
      <c r="AM34" s="281" t="str">
        <f>IF(B34="","",VLOOKUP($B34,'F-1 Off-Site WaterC'' Baseline'!$C$9:$Z$257,17,FALSE))</f>
        <v/>
      </c>
      <c r="AN34" s="282" t="str">
        <f>IF(AM34="","",IF(VLOOKUP(AM34,'G-7 WaterC'' Data'!$AO$4:$BO$7,2,FALSE)=0,"Spatial Data Missing ⚠",VLOOKUP(AM34,'G-7 WaterC'' Data'!$AO$4:$BO$7,2,FALSE)))</f>
        <v/>
      </c>
      <c r="AO34" s="323" t="str">
        <f t="shared" si="7"/>
        <v/>
      </c>
      <c r="AP34" s="323" t="str">
        <f t="shared" si="8"/>
        <v/>
      </c>
      <c r="AQ34" s="105"/>
      <c r="AR34" s="119"/>
      <c r="AS34" s="108"/>
      <c r="AT34" s="108"/>
      <c r="AW34" s="30" t="str">
        <f>IF(E34="","",VLOOKUP($B34,'F-1 Off-Site WaterC'' Baseline'!$C$9:$Z$257,12,FALSE))</f>
        <v/>
      </c>
      <c r="AX34" s="30" t="str">
        <f>IF(E34="","",VLOOKUP($B34,'F-1 Off-Site WaterC'' Baseline'!$C$9:$Z$257,14,FALSE))</f>
        <v/>
      </c>
      <c r="AY34" s="30" t="str">
        <f>IFERROR(INDEX('G-7 WaterC'' Data'!$AZ$3:$AZ$7,MATCH(N34,'G-7 WaterC'' Data'!$AY$3:$AY$7,0)),"")</f>
        <v/>
      </c>
      <c r="AZ34" s="30" t="str">
        <f>IF(B34="","",IF(ISNA(VLOOKUP($B34,'F-1 Off-Site WaterC'' Baseline'!$C$8:$AD$257,20,FALSE)),"",(VLOOKUP($B34,'F-1 Off-Site WaterC'' Baseline'!$C$8:$AD$257,20,FALSE))))</f>
        <v/>
      </c>
      <c r="BC34" s="30" t="str">
        <f>IF(B34="","",VLOOKUP($B34,'F-1 Off-Site WaterC'' Baseline'!$C$9:$AB$257,25,FALSE))</f>
        <v/>
      </c>
      <c r="BD34" s="30" t="str">
        <f t="shared" si="9"/>
        <v/>
      </c>
      <c r="BE34" s="30" t="str">
        <f>IF(B34="","",VLOOKUP($B34,'F-1 Off-Site WaterC'' Baseline'!$C$9:$AB$257,24,FALSE))</f>
        <v/>
      </c>
      <c r="BF34" s="30" t="str">
        <f>IF(B34="","",VLOOKUP($B34,'F-1 Off-Site WaterC'' Baseline'!$C$9:$AB$257,22,FALSE))</f>
        <v/>
      </c>
      <c r="BJ34" s="30" t="str">
        <f t="shared" si="10"/>
        <v>No</v>
      </c>
    </row>
    <row r="35" spans="2:62" ht="13.8" x14ac:dyDescent="0.25">
      <c r="B35" s="311" t="str">
        <f>'F-1 Off-Site WaterC'' Baseline'!AS33</f>
        <v/>
      </c>
      <c r="C35" s="301" t="str">
        <f>IF(B35="","",VLOOKUP($B35,'F-1 Off-Site WaterC'' Baseline'!$C$9:$R$257,2,FALSE))</f>
        <v/>
      </c>
      <c r="D35" s="301" t="str">
        <f>IF(C35="","",VLOOKUP($B35,'F-1 Off-Site WaterC'' Baseline'!$C$9:$R$257,3,FALSE))</f>
        <v/>
      </c>
      <c r="E35" s="301" t="str">
        <f>IF(D35="","",VLOOKUP($B35,'F-1 Off-Site WaterC'' Baseline'!$C$9:$R$257,4,FALSE))</f>
        <v/>
      </c>
      <c r="F35" s="301" t="str">
        <f>IF(E35="","",VLOOKUP($B35,'F-1 Off-Site WaterC'' Baseline'!$C$9:$R$257,5,FALSE))</f>
        <v/>
      </c>
      <c r="G35" s="301" t="str">
        <f>IF(F35="","",VLOOKUP($B35,'F-1 Off-Site WaterC'' Baseline'!$C$9:$R$257,6,FALSE))</f>
        <v/>
      </c>
      <c r="H35" s="301" t="str">
        <f>IF(G35="","",VLOOKUP($B35,'F-1 Off-Site WaterC'' Baseline'!$C$9:$R$257,7,FALSE))</f>
        <v/>
      </c>
      <c r="I35" s="301" t="str">
        <f>IF(H35="","",VLOOKUP($B35,'F-1 Off-Site WaterC'' Baseline'!$C$9:$R$257,8,FALSE))</f>
        <v/>
      </c>
      <c r="J35" s="301" t="str">
        <f>IF(I35="","",VLOOKUP($B35,'F-1 Off-Site WaterC'' Baseline'!$C$9:$R$257,9,FALSE))</f>
        <v/>
      </c>
      <c r="K35" s="301" t="str">
        <f>IF(J35="","",VLOOKUP($B35,'F-1 Off-Site WaterC'' Baseline'!$C$9:$R$257,10,FALSE))</f>
        <v/>
      </c>
      <c r="L35" s="289" t="str">
        <f>IF(B35="","",VLOOKUP($B35,'F-1 Off-Site WaterC'' Baseline'!$C$9:$R$257,15,FALSE))</f>
        <v/>
      </c>
      <c r="M35" s="305" t="str">
        <f>IF(L35="","",VLOOKUP($B35,'F-1 Off-Site WaterC'' Baseline'!$C$9:$V$257,19,FALSE))</f>
        <v/>
      </c>
      <c r="N35" s="250"/>
      <c r="O35" s="281" t="str">
        <f t="shared" si="2"/>
        <v/>
      </c>
      <c r="P35" s="282" t="str">
        <f t="shared" si="3"/>
        <v/>
      </c>
      <c r="Q35" s="287" t="str">
        <f>IF(N35="","",VLOOKUP(B35,'F-1 Off-Site WaterC'' Baseline'!$C$10:$AF$257,23,FALSE))</f>
        <v/>
      </c>
      <c r="R35" s="281" t="str">
        <f>IF(N35="","",VLOOKUP(N35,'G-7 WaterC'' Data'!$B$2:$G$8,2,FALSE))</f>
        <v/>
      </c>
      <c r="S35" s="282" t="str">
        <f>IFERROR(VLOOKUP(R35,'G-7 WaterC'' Data'!$C$4:$D$8,2,FALSE),"")</f>
        <v/>
      </c>
      <c r="T35" s="105"/>
      <c r="U35" s="282" t="str">
        <f>IFERROR(INDEX('G-7 WaterC'' Data'!$H$4:$L$8,MATCH(N35,'G-7 WaterC'' Data'!$B$4:$B$8,0),MATCH(T35,'G-7 WaterC'' Data'!$H$3:$L$3,0)),"")</f>
        <v/>
      </c>
      <c r="V35" s="109"/>
      <c r="W35" s="301" t="str">
        <f>IF(V35="","",IF(VLOOKUP(V35,'G-7 WaterC'' Data'!$AK$4:$AM$6,2,FALSE)=0,"Spatial Data Missing ⚠",VLOOKUP(V35,'G-7 WaterC'' Data'!$AK$4:$AM$6,2,FALSE)))</f>
        <v/>
      </c>
      <c r="X35" s="305" t="str">
        <f>IF(V35="","",IF(VLOOKUP(V35,'G-7 WaterC'' Data'!$AK$4:$AM$6,3,FALSE)=0,"Spatial Data Missing ⚠",VLOOKUP(V35,'G-7 WaterC'' Data'!$AK$4:$AM$6,3,FALSE)))</f>
        <v/>
      </c>
      <c r="Y35" s="317" t="str">
        <f>IFERROR(IF(OR(LEFT(P35,5)="Error",LEFT(O35,5)="Error"),"Check Data ⚠",IF(F35&lt;S35,'G-7 WaterC'' Data'!$R$3,INDEX('G-7 WaterC'' Data'!$U$5:$Y$9,MATCH(G35,'G-7 WaterC'' Data'!$T$5:$T$9,0),MATCH(T35,'G-7 WaterC'' Data'!$U$4:$Y$4,0)))),"")</f>
        <v/>
      </c>
      <c r="Z35" s="142"/>
      <c r="AA35" s="142"/>
      <c r="AB35" s="314" t="str">
        <f t="shared" si="4"/>
        <v/>
      </c>
      <c r="AC35" s="302" t="str">
        <f t="shared" si="5"/>
        <v/>
      </c>
      <c r="AD35" s="340" t="str">
        <f>IFERROR(IF(AC35="Check Data ⚠","Check Data ⚠",VLOOKUP(AC35,'G-4 Temporal multipliers'!$A$4:$C$37,3,FALSE)),"")</f>
        <v/>
      </c>
      <c r="AE35" s="317" t="str">
        <f>IF(N35="","",VLOOKUP(N35,'G-7 WaterC'' Data'!$B$4:$G$8,5,FALSE))</f>
        <v/>
      </c>
      <c r="AF35" s="301" t="str">
        <f t="shared" si="0"/>
        <v/>
      </c>
      <c r="AG35" s="301" t="str">
        <f t="shared" si="6"/>
        <v/>
      </c>
      <c r="AH35" s="282" t="str">
        <f t="shared" si="1"/>
        <v/>
      </c>
      <c r="AI35" s="109"/>
      <c r="AJ35" s="282" t="str">
        <f>IF(AI35="","",(IF(AND(AI35="N/A - Culvert",N35&lt;&gt;"Culvert"),"Not possible ▲",IF(VLOOKUP(AI35,'G-7 WaterC'' Data'!$AA$4:$AB$7,2,FALSE)=0,"Spatial Data Missing ⚠",VLOOKUP(AI35,'G-7 WaterC'' Data'!$AA$4:$AB$7,2,FALSE)))))</f>
        <v/>
      </c>
      <c r="AK35" s="110"/>
      <c r="AL35" s="316" t="str">
        <f>IF(AK35="","",IF(AND(AK35="N/A - Culvert",N35&lt;&gt;"Culvert"),"Not possible ▲",IF(VLOOKUP(AK35,'G-7 WaterC'' Data'!$AD$4:$AE$14,2,FALSE)=0,"Spatial Data Missing ⚠",VLOOKUP(AK35,'G-7 WaterC'' Data'!$AD$4:$AE$14,2,FALSE))))</f>
        <v/>
      </c>
      <c r="AM35" s="281" t="str">
        <f>IF(B35="","",VLOOKUP($B35,'F-1 Off-Site WaterC'' Baseline'!$C$9:$Z$257,17,FALSE))</f>
        <v/>
      </c>
      <c r="AN35" s="282" t="str">
        <f>IF(AM35="","",IF(VLOOKUP(AM35,'G-7 WaterC'' Data'!$AO$4:$BO$7,2,FALSE)=0,"Spatial Data Missing ⚠",VLOOKUP(AM35,'G-7 WaterC'' Data'!$AO$4:$BO$7,2,FALSE)))</f>
        <v/>
      </c>
      <c r="AO35" s="323" t="str">
        <f t="shared" si="7"/>
        <v/>
      </c>
      <c r="AP35" s="323" t="str">
        <f t="shared" si="8"/>
        <v/>
      </c>
      <c r="AQ35" s="105"/>
      <c r="AR35" s="119"/>
      <c r="AS35" s="108"/>
      <c r="AT35" s="108"/>
      <c r="AW35" s="30" t="str">
        <f>IF(E35="","",VLOOKUP($B35,'F-1 Off-Site WaterC'' Baseline'!$C$9:$Z$257,12,FALSE))</f>
        <v/>
      </c>
      <c r="AX35" s="30" t="str">
        <f>IF(E35="","",VLOOKUP($B35,'F-1 Off-Site WaterC'' Baseline'!$C$9:$Z$257,14,FALSE))</f>
        <v/>
      </c>
      <c r="AY35" s="30" t="str">
        <f>IFERROR(INDEX('G-7 WaterC'' Data'!$AZ$3:$AZ$7,MATCH(N35,'G-7 WaterC'' Data'!$AY$3:$AY$7,0)),"")</f>
        <v/>
      </c>
      <c r="AZ35" s="30" t="str">
        <f>IF(B35="","",IF(ISNA(VLOOKUP($B35,'F-1 Off-Site WaterC'' Baseline'!$C$8:$AD$257,20,FALSE)),"",(VLOOKUP($B35,'F-1 Off-Site WaterC'' Baseline'!$C$8:$AD$257,20,FALSE))))</f>
        <v/>
      </c>
      <c r="BC35" s="30" t="str">
        <f>IF(B35="","",VLOOKUP($B35,'F-1 Off-Site WaterC'' Baseline'!$C$9:$AB$257,25,FALSE))</f>
        <v/>
      </c>
      <c r="BD35" s="30" t="str">
        <f t="shared" si="9"/>
        <v/>
      </c>
      <c r="BE35" s="30" t="str">
        <f>IF(B35="","",VLOOKUP($B35,'F-1 Off-Site WaterC'' Baseline'!$C$9:$AB$257,24,FALSE))</f>
        <v/>
      </c>
      <c r="BF35" s="30" t="str">
        <f>IF(B35="","",VLOOKUP($B35,'F-1 Off-Site WaterC'' Baseline'!$C$9:$AB$257,22,FALSE))</f>
        <v/>
      </c>
      <c r="BJ35" s="30" t="str">
        <f t="shared" si="10"/>
        <v>No</v>
      </c>
    </row>
    <row r="36" spans="2:62" ht="13.8" x14ac:dyDescent="0.25">
      <c r="B36" s="311" t="str">
        <f>'F-1 Off-Site WaterC'' Baseline'!AS34</f>
        <v/>
      </c>
      <c r="C36" s="301" t="str">
        <f>IF(B36="","",VLOOKUP($B36,'F-1 Off-Site WaterC'' Baseline'!$C$9:$R$257,2,FALSE))</f>
        <v/>
      </c>
      <c r="D36" s="301" t="str">
        <f>IF(C36="","",VLOOKUP($B36,'F-1 Off-Site WaterC'' Baseline'!$C$9:$R$257,3,FALSE))</f>
        <v/>
      </c>
      <c r="E36" s="301" t="str">
        <f>IF(D36="","",VLOOKUP($B36,'F-1 Off-Site WaterC'' Baseline'!$C$9:$R$257,4,FALSE))</f>
        <v/>
      </c>
      <c r="F36" s="301" t="str">
        <f>IF(E36="","",VLOOKUP($B36,'F-1 Off-Site WaterC'' Baseline'!$C$9:$R$257,5,FALSE))</f>
        <v/>
      </c>
      <c r="G36" s="301" t="str">
        <f>IF(F36="","",VLOOKUP($B36,'F-1 Off-Site WaterC'' Baseline'!$C$9:$R$257,6,FALSE))</f>
        <v/>
      </c>
      <c r="H36" s="301" t="str">
        <f>IF(G36="","",VLOOKUP($B36,'F-1 Off-Site WaterC'' Baseline'!$C$9:$R$257,7,FALSE))</f>
        <v/>
      </c>
      <c r="I36" s="301" t="str">
        <f>IF(H36="","",VLOOKUP($B36,'F-1 Off-Site WaterC'' Baseline'!$C$9:$R$257,8,FALSE))</f>
        <v/>
      </c>
      <c r="J36" s="301" t="str">
        <f>IF(I36="","",VLOOKUP($B36,'F-1 Off-Site WaterC'' Baseline'!$C$9:$R$257,9,FALSE))</f>
        <v/>
      </c>
      <c r="K36" s="301" t="str">
        <f>IF(J36="","",VLOOKUP($B36,'F-1 Off-Site WaterC'' Baseline'!$C$9:$R$257,10,FALSE))</f>
        <v/>
      </c>
      <c r="L36" s="289" t="str">
        <f>IF(B36="","",VLOOKUP($B36,'F-1 Off-Site WaterC'' Baseline'!$C$9:$R$257,15,FALSE))</f>
        <v/>
      </c>
      <c r="M36" s="305" t="str">
        <f>IF(L36="","",VLOOKUP($B36,'F-1 Off-Site WaterC'' Baseline'!$C$9:$V$257,19,FALSE))</f>
        <v/>
      </c>
      <c r="N36" s="250"/>
      <c r="O36" s="281" t="str">
        <f t="shared" si="2"/>
        <v/>
      </c>
      <c r="P36" s="282" t="str">
        <f t="shared" si="3"/>
        <v/>
      </c>
      <c r="Q36" s="287" t="str">
        <f>IF(N36="","",VLOOKUP(B36,'F-1 Off-Site WaterC'' Baseline'!$C$10:$AF$257,23,FALSE))</f>
        <v/>
      </c>
      <c r="R36" s="281" t="str">
        <f>IF(N36="","",VLOOKUP(N36,'G-7 WaterC'' Data'!$B$2:$G$8,2,FALSE))</f>
        <v/>
      </c>
      <c r="S36" s="282" t="str">
        <f>IFERROR(VLOOKUP(R36,'G-7 WaterC'' Data'!$C$4:$D$8,2,FALSE),"")</f>
        <v/>
      </c>
      <c r="T36" s="105"/>
      <c r="U36" s="282" t="str">
        <f>IFERROR(INDEX('G-7 WaterC'' Data'!$H$4:$L$8,MATCH(N36,'G-7 WaterC'' Data'!$B$4:$B$8,0),MATCH(T36,'G-7 WaterC'' Data'!$H$3:$L$3,0)),"")</f>
        <v/>
      </c>
      <c r="V36" s="109"/>
      <c r="W36" s="301" t="str">
        <f>IF(V36="","",IF(VLOOKUP(V36,'G-7 WaterC'' Data'!$AK$4:$AM$6,2,FALSE)=0,"Spatial Data Missing ⚠",VLOOKUP(V36,'G-7 WaterC'' Data'!$AK$4:$AM$6,2,FALSE)))</f>
        <v/>
      </c>
      <c r="X36" s="305" t="str">
        <f>IF(V36="","",IF(VLOOKUP(V36,'G-7 WaterC'' Data'!$AK$4:$AM$6,3,FALSE)=0,"Spatial Data Missing ⚠",VLOOKUP(V36,'G-7 WaterC'' Data'!$AK$4:$AM$6,3,FALSE)))</f>
        <v/>
      </c>
      <c r="Y36" s="317" t="str">
        <f>IFERROR(IF(OR(LEFT(P36,5)="Error",LEFT(O36,5)="Error"),"Check Data ⚠",IF(F36&lt;S36,'G-7 WaterC'' Data'!$R$3,INDEX('G-7 WaterC'' Data'!$U$5:$Y$9,MATCH(G36,'G-7 WaterC'' Data'!$T$5:$T$9,0),MATCH(T36,'G-7 WaterC'' Data'!$U$4:$Y$4,0)))),"")</f>
        <v/>
      </c>
      <c r="Z36" s="142"/>
      <c r="AA36" s="142"/>
      <c r="AB36" s="314" t="str">
        <f t="shared" si="4"/>
        <v/>
      </c>
      <c r="AC36" s="302" t="str">
        <f t="shared" si="5"/>
        <v/>
      </c>
      <c r="AD36" s="340" t="str">
        <f>IFERROR(IF(AC36="Check Data ⚠","Check Data ⚠",VLOOKUP(AC36,'G-4 Temporal multipliers'!$A$4:$C$37,3,FALSE)),"")</f>
        <v/>
      </c>
      <c r="AE36" s="317" t="str">
        <f>IF(N36="","",VLOOKUP(N36,'G-7 WaterC'' Data'!$B$4:$G$8,5,FALSE))</f>
        <v/>
      </c>
      <c r="AF36" s="301" t="str">
        <f t="shared" si="0"/>
        <v/>
      </c>
      <c r="AG36" s="301" t="str">
        <f t="shared" si="6"/>
        <v/>
      </c>
      <c r="AH36" s="282" t="str">
        <f t="shared" si="1"/>
        <v/>
      </c>
      <c r="AI36" s="109"/>
      <c r="AJ36" s="282" t="str">
        <f>IF(AI36="","",(IF(AND(AI36="N/A - Culvert",N36&lt;&gt;"Culvert"),"Not possible ▲",IF(VLOOKUP(AI36,'G-7 WaterC'' Data'!$AA$4:$AB$7,2,FALSE)=0,"Spatial Data Missing ⚠",VLOOKUP(AI36,'G-7 WaterC'' Data'!$AA$4:$AB$7,2,FALSE)))))</f>
        <v/>
      </c>
      <c r="AK36" s="110"/>
      <c r="AL36" s="316" t="str">
        <f>IF(AK36="","",IF(AND(AK36="N/A - Culvert",N36&lt;&gt;"Culvert"),"Not possible ▲",IF(VLOOKUP(AK36,'G-7 WaterC'' Data'!$AD$4:$AE$14,2,FALSE)=0,"Spatial Data Missing ⚠",VLOOKUP(AK36,'G-7 WaterC'' Data'!$AD$4:$AE$14,2,FALSE))))</f>
        <v/>
      </c>
      <c r="AM36" s="281" t="str">
        <f>IF(B36="","",VLOOKUP($B36,'F-1 Off-Site WaterC'' Baseline'!$C$9:$Z$257,17,FALSE))</f>
        <v/>
      </c>
      <c r="AN36" s="282" t="str">
        <f>IF(AM36="","",IF(VLOOKUP(AM36,'G-7 WaterC'' Data'!$AO$4:$BO$7,2,FALSE)=0,"Spatial Data Missing ⚠",VLOOKUP(AM36,'G-7 WaterC'' Data'!$AO$4:$BO$7,2,FALSE)))</f>
        <v/>
      </c>
      <c r="AO36" s="323" t="str">
        <f t="shared" si="7"/>
        <v/>
      </c>
      <c r="AP36" s="323" t="str">
        <f t="shared" si="8"/>
        <v/>
      </c>
      <c r="AQ36" s="105"/>
      <c r="AR36" s="119"/>
      <c r="AS36" s="108"/>
      <c r="AT36" s="108"/>
      <c r="AW36" s="30" t="str">
        <f>IF(E36="","",VLOOKUP($B36,'F-1 Off-Site WaterC'' Baseline'!$C$9:$Z$257,12,FALSE))</f>
        <v/>
      </c>
      <c r="AX36" s="30" t="str">
        <f>IF(E36="","",VLOOKUP($B36,'F-1 Off-Site WaterC'' Baseline'!$C$9:$Z$257,14,FALSE))</f>
        <v/>
      </c>
      <c r="AY36" s="30" t="str">
        <f>IFERROR(INDEX('G-7 WaterC'' Data'!$AZ$3:$AZ$7,MATCH(N36,'G-7 WaterC'' Data'!$AY$3:$AY$7,0)),"")</f>
        <v/>
      </c>
      <c r="AZ36" s="30" t="str">
        <f>IF(B36="","",IF(ISNA(VLOOKUP($B36,'F-1 Off-Site WaterC'' Baseline'!$C$8:$AD$257,20,FALSE)),"",(VLOOKUP($B36,'F-1 Off-Site WaterC'' Baseline'!$C$8:$AD$257,20,FALSE))))</f>
        <v/>
      </c>
      <c r="BC36" s="30" t="str">
        <f>IF(B36="","",VLOOKUP($B36,'F-1 Off-Site WaterC'' Baseline'!$C$9:$AB$257,25,FALSE))</f>
        <v/>
      </c>
      <c r="BD36" s="30" t="str">
        <f t="shared" si="9"/>
        <v/>
      </c>
      <c r="BE36" s="30" t="str">
        <f>IF(B36="","",VLOOKUP($B36,'F-1 Off-Site WaterC'' Baseline'!$C$9:$AB$257,24,FALSE))</f>
        <v/>
      </c>
      <c r="BF36" s="30" t="str">
        <f>IF(B36="","",VLOOKUP($B36,'F-1 Off-Site WaterC'' Baseline'!$C$9:$AB$257,22,FALSE))</f>
        <v/>
      </c>
      <c r="BJ36" s="30" t="str">
        <f t="shared" si="10"/>
        <v>No</v>
      </c>
    </row>
    <row r="37" spans="2:62" ht="13.8" x14ac:dyDescent="0.25">
      <c r="B37" s="311" t="str">
        <f>'F-1 Off-Site WaterC'' Baseline'!AS35</f>
        <v/>
      </c>
      <c r="C37" s="301" t="str">
        <f>IF(B37="","",VLOOKUP($B37,'F-1 Off-Site WaterC'' Baseline'!$C$9:$R$257,2,FALSE))</f>
        <v/>
      </c>
      <c r="D37" s="301" t="str">
        <f>IF(C37="","",VLOOKUP($B37,'F-1 Off-Site WaterC'' Baseline'!$C$9:$R$257,3,FALSE))</f>
        <v/>
      </c>
      <c r="E37" s="301" t="str">
        <f>IF(D37="","",VLOOKUP($B37,'F-1 Off-Site WaterC'' Baseline'!$C$9:$R$257,4,FALSE))</f>
        <v/>
      </c>
      <c r="F37" s="301" t="str">
        <f>IF(E37="","",VLOOKUP($B37,'F-1 Off-Site WaterC'' Baseline'!$C$9:$R$257,5,FALSE))</f>
        <v/>
      </c>
      <c r="G37" s="301" t="str">
        <f>IF(F37="","",VLOOKUP($B37,'F-1 Off-Site WaterC'' Baseline'!$C$9:$R$257,6,FALSE))</f>
        <v/>
      </c>
      <c r="H37" s="301" t="str">
        <f>IF(G37="","",VLOOKUP($B37,'F-1 Off-Site WaterC'' Baseline'!$C$9:$R$257,7,FALSE))</f>
        <v/>
      </c>
      <c r="I37" s="301" t="str">
        <f>IF(H37="","",VLOOKUP($B37,'F-1 Off-Site WaterC'' Baseline'!$C$9:$R$257,8,FALSE))</f>
        <v/>
      </c>
      <c r="J37" s="301" t="str">
        <f>IF(I37="","",VLOOKUP($B37,'F-1 Off-Site WaterC'' Baseline'!$C$9:$R$257,9,FALSE))</f>
        <v/>
      </c>
      <c r="K37" s="301" t="str">
        <f>IF(J37="","",VLOOKUP($B37,'F-1 Off-Site WaterC'' Baseline'!$C$9:$R$257,10,FALSE))</f>
        <v/>
      </c>
      <c r="L37" s="289" t="str">
        <f>IF(B37="","",VLOOKUP($B37,'F-1 Off-Site WaterC'' Baseline'!$C$9:$R$257,15,FALSE))</f>
        <v/>
      </c>
      <c r="M37" s="305" t="str">
        <f>IF(L37="","",VLOOKUP($B37,'F-1 Off-Site WaterC'' Baseline'!$C$9:$V$257,19,FALSE))</f>
        <v/>
      </c>
      <c r="N37" s="250"/>
      <c r="O37" s="281" t="str">
        <f t="shared" si="2"/>
        <v/>
      </c>
      <c r="P37" s="282" t="str">
        <f t="shared" si="3"/>
        <v/>
      </c>
      <c r="Q37" s="287" t="str">
        <f>IF(N37="","",VLOOKUP(B37,'F-1 Off-Site WaterC'' Baseline'!$C$10:$AF$257,23,FALSE))</f>
        <v/>
      </c>
      <c r="R37" s="281" t="str">
        <f>IF(N37="","",VLOOKUP(N37,'G-7 WaterC'' Data'!$B$2:$G$8,2,FALSE))</f>
        <v/>
      </c>
      <c r="S37" s="282" t="str">
        <f>IFERROR(VLOOKUP(R37,'G-7 WaterC'' Data'!$C$4:$D$8,2,FALSE),"")</f>
        <v/>
      </c>
      <c r="T37" s="105"/>
      <c r="U37" s="282" t="str">
        <f>IFERROR(INDEX('G-7 WaterC'' Data'!$H$4:$L$8,MATCH(N37,'G-7 WaterC'' Data'!$B$4:$B$8,0),MATCH(T37,'G-7 WaterC'' Data'!$H$3:$L$3,0)),"")</f>
        <v/>
      </c>
      <c r="V37" s="109"/>
      <c r="W37" s="301" t="str">
        <f>IF(V37="","",IF(VLOOKUP(V37,'G-7 WaterC'' Data'!$AK$4:$AM$6,2,FALSE)=0,"Spatial Data Missing ⚠",VLOOKUP(V37,'G-7 WaterC'' Data'!$AK$4:$AM$6,2,FALSE)))</f>
        <v/>
      </c>
      <c r="X37" s="305" t="str">
        <f>IF(V37="","",IF(VLOOKUP(V37,'G-7 WaterC'' Data'!$AK$4:$AM$6,3,FALSE)=0,"Spatial Data Missing ⚠",VLOOKUP(V37,'G-7 WaterC'' Data'!$AK$4:$AM$6,3,FALSE)))</f>
        <v/>
      </c>
      <c r="Y37" s="317" t="str">
        <f>IFERROR(IF(OR(LEFT(P37,5)="Error",LEFT(O37,5)="Error"),"Check Data ⚠",IF(F37&lt;S37,'G-7 WaterC'' Data'!$R$3,INDEX('G-7 WaterC'' Data'!$U$5:$Y$9,MATCH(G37,'G-7 WaterC'' Data'!$T$5:$T$9,0),MATCH(T37,'G-7 WaterC'' Data'!$U$4:$Y$4,0)))),"")</f>
        <v/>
      </c>
      <c r="Z37" s="142"/>
      <c r="AA37" s="142"/>
      <c r="AB37" s="314" t="str">
        <f t="shared" si="4"/>
        <v/>
      </c>
      <c r="AC37" s="302" t="str">
        <f t="shared" si="5"/>
        <v/>
      </c>
      <c r="AD37" s="340" t="str">
        <f>IFERROR(IF(AC37="Check Data ⚠","Check Data ⚠",VLOOKUP(AC37,'G-4 Temporal multipliers'!$A$4:$C$37,3,FALSE)),"")</f>
        <v/>
      </c>
      <c r="AE37" s="317" t="str">
        <f>IF(N37="","",VLOOKUP(N37,'G-7 WaterC'' Data'!$B$4:$G$8,5,FALSE))</f>
        <v/>
      </c>
      <c r="AF37" s="301" t="str">
        <f t="shared" si="0"/>
        <v/>
      </c>
      <c r="AG37" s="301" t="str">
        <f t="shared" si="6"/>
        <v/>
      </c>
      <c r="AH37" s="282" t="str">
        <f t="shared" si="1"/>
        <v/>
      </c>
      <c r="AI37" s="109"/>
      <c r="AJ37" s="282" t="str">
        <f>IF(AI37="","",(IF(AND(AI37="N/A - Culvert",N37&lt;&gt;"Culvert"),"Not possible ▲",IF(VLOOKUP(AI37,'G-7 WaterC'' Data'!$AA$4:$AB$7,2,FALSE)=0,"Spatial Data Missing ⚠",VLOOKUP(AI37,'G-7 WaterC'' Data'!$AA$4:$AB$7,2,FALSE)))))</f>
        <v/>
      </c>
      <c r="AK37" s="110"/>
      <c r="AL37" s="316" t="str">
        <f>IF(AK37="","",IF(AND(AK37="N/A - Culvert",N37&lt;&gt;"Culvert"),"Not possible ▲",IF(VLOOKUP(AK37,'G-7 WaterC'' Data'!$AD$4:$AE$14,2,FALSE)=0,"Spatial Data Missing ⚠",VLOOKUP(AK37,'G-7 WaterC'' Data'!$AD$4:$AE$14,2,FALSE))))</f>
        <v/>
      </c>
      <c r="AM37" s="281" t="str">
        <f>IF(B37="","",VLOOKUP($B37,'F-1 Off-Site WaterC'' Baseline'!$C$9:$Z$257,17,FALSE))</f>
        <v/>
      </c>
      <c r="AN37" s="282" t="str">
        <f>IF(AM37="","",IF(VLOOKUP(AM37,'G-7 WaterC'' Data'!$AO$4:$BO$7,2,FALSE)=0,"Spatial Data Missing ⚠",VLOOKUP(AM37,'G-7 WaterC'' Data'!$AO$4:$BO$7,2,FALSE)))</f>
        <v/>
      </c>
      <c r="AO37" s="323" t="str">
        <f t="shared" si="7"/>
        <v/>
      </c>
      <c r="AP37" s="323" t="str">
        <f t="shared" si="8"/>
        <v/>
      </c>
      <c r="AQ37" s="105"/>
      <c r="AR37" s="119"/>
      <c r="AS37" s="108"/>
      <c r="AT37" s="108"/>
      <c r="AW37" s="30" t="str">
        <f>IF(E37="","",VLOOKUP($B37,'F-1 Off-Site WaterC'' Baseline'!$C$9:$Z$257,12,FALSE))</f>
        <v/>
      </c>
      <c r="AX37" s="30" t="str">
        <f>IF(E37="","",VLOOKUP($B37,'F-1 Off-Site WaterC'' Baseline'!$C$9:$Z$257,14,FALSE))</f>
        <v/>
      </c>
      <c r="AY37" s="30" t="str">
        <f>IFERROR(INDEX('G-7 WaterC'' Data'!$AZ$3:$AZ$7,MATCH(N37,'G-7 WaterC'' Data'!$AY$3:$AY$7,0)),"")</f>
        <v/>
      </c>
      <c r="AZ37" s="30" t="str">
        <f>IF(B37="","",IF(ISNA(VLOOKUP($B37,'F-1 Off-Site WaterC'' Baseline'!$C$8:$AD$257,20,FALSE)),"",(VLOOKUP($B37,'F-1 Off-Site WaterC'' Baseline'!$C$8:$AD$257,20,FALSE))))</f>
        <v/>
      </c>
      <c r="BC37" s="30" t="str">
        <f>IF(B37="","",VLOOKUP($B37,'F-1 Off-Site WaterC'' Baseline'!$C$9:$AB$257,25,FALSE))</f>
        <v/>
      </c>
      <c r="BD37" s="30" t="str">
        <f t="shared" si="9"/>
        <v/>
      </c>
      <c r="BE37" s="30" t="str">
        <f>IF(B37="","",VLOOKUP($B37,'F-1 Off-Site WaterC'' Baseline'!$C$9:$AB$257,24,FALSE))</f>
        <v/>
      </c>
      <c r="BF37" s="30" t="str">
        <f>IF(B37="","",VLOOKUP($B37,'F-1 Off-Site WaterC'' Baseline'!$C$9:$AB$257,22,FALSE))</f>
        <v/>
      </c>
      <c r="BJ37" s="30" t="str">
        <f t="shared" si="10"/>
        <v>No</v>
      </c>
    </row>
    <row r="38" spans="2:62" ht="13.8" x14ac:dyDescent="0.25">
      <c r="B38" s="311" t="str">
        <f>'F-1 Off-Site WaterC'' Baseline'!AS36</f>
        <v/>
      </c>
      <c r="C38" s="301" t="str">
        <f>IF(B38="","",VLOOKUP($B38,'F-1 Off-Site WaterC'' Baseline'!$C$9:$R$257,2,FALSE))</f>
        <v/>
      </c>
      <c r="D38" s="301" t="str">
        <f>IF(C38="","",VLOOKUP($B38,'F-1 Off-Site WaterC'' Baseline'!$C$9:$R$257,3,FALSE))</f>
        <v/>
      </c>
      <c r="E38" s="301" t="str">
        <f>IF(D38="","",VLOOKUP($B38,'F-1 Off-Site WaterC'' Baseline'!$C$9:$R$257,4,FALSE))</f>
        <v/>
      </c>
      <c r="F38" s="301" t="str">
        <f>IF(E38="","",VLOOKUP($B38,'F-1 Off-Site WaterC'' Baseline'!$C$9:$R$257,5,FALSE))</f>
        <v/>
      </c>
      <c r="G38" s="301" t="str">
        <f>IF(F38="","",VLOOKUP($B38,'F-1 Off-Site WaterC'' Baseline'!$C$9:$R$257,6,FALSE))</f>
        <v/>
      </c>
      <c r="H38" s="301" t="str">
        <f>IF(G38="","",VLOOKUP($B38,'F-1 Off-Site WaterC'' Baseline'!$C$9:$R$257,7,FALSE))</f>
        <v/>
      </c>
      <c r="I38" s="301" t="str">
        <f>IF(H38="","",VLOOKUP($B38,'F-1 Off-Site WaterC'' Baseline'!$C$9:$R$257,8,FALSE))</f>
        <v/>
      </c>
      <c r="J38" s="301" t="str">
        <f>IF(I38="","",VLOOKUP($B38,'F-1 Off-Site WaterC'' Baseline'!$C$9:$R$257,9,FALSE))</f>
        <v/>
      </c>
      <c r="K38" s="301" t="str">
        <f>IF(J38="","",VLOOKUP($B38,'F-1 Off-Site WaterC'' Baseline'!$C$9:$R$257,10,FALSE))</f>
        <v/>
      </c>
      <c r="L38" s="289" t="str">
        <f>IF(B38="","",VLOOKUP($B38,'F-1 Off-Site WaterC'' Baseline'!$C$9:$R$257,15,FALSE))</f>
        <v/>
      </c>
      <c r="M38" s="305" t="str">
        <f>IF(L38="","",VLOOKUP($B38,'F-1 Off-Site WaterC'' Baseline'!$C$9:$V$257,19,FALSE))</f>
        <v/>
      </c>
      <c r="N38" s="250"/>
      <c r="O38" s="281" t="str">
        <f t="shared" si="2"/>
        <v/>
      </c>
      <c r="P38" s="282" t="str">
        <f t="shared" si="3"/>
        <v/>
      </c>
      <c r="Q38" s="287" t="str">
        <f>IF(N38="","",VLOOKUP(B38,'F-1 Off-Site WaterC'' Baseline'!$C$10:$AF$257,23,FALSE))</f>
        <v/>
      </c>
      <c r="R38" s="281" t="str">
        <f>IF(N38="","",VLOOKUP(N38,'G-7 WaterC'' Data'!$B$2:$G$8,2,FALSE))</f>
        <v/>
      </c>
      <c r="S38" s="282" t="str">
        <f>IFERROR(VLOOKUP(R38,'G-7 WaterC'' Data'!$C$4:$D$8,2,FALSE),"")</f>
        <v/>
      </c>
      <c r="T38" s="105"/>
      <c r="U38" s="282" t="str">
        <f>IFERROR(INDEX('G-7 WaterC'' Data'!$H$4:$L$8,MATCH(N38,'G-7 WaterC'' Data'!$B$4:$B$8,0),MATCH(T38,'G-7 WaterC'' Data'!$H$3:$L$3,0)),"")</f>
        <v/>
      </c>
      <c r="V38" s="109"/>
      <c r="W38" s="301" t="str">
        <f>IF(V38="","",IF(VLOOKUP(V38,'G-7 WaterC'' Data'!$AK$4:$AM$6,2,FALSE)=0,"Spatial Data Missing ⚠",VLOOKUP(V38,'G-7 WaterC'' Data'!$AK$4:$AM$6,2,FALSE)))</f>
        <v/>
      </c>
      <c r="X38" s="305" t="str">
        <f>IF(V38="","",IF(VLOOKUP(V38,'G-7 WaterC'' Data'!$AK$4:$AM$6,3,FALSE)=0,"Spatial Data Missing ⚠",VLOOKUP(V38,'G-7 WaterC'' Data'!$AK$4:$AM$6,3,FALSE)))</f>
        <v/>
      </c>
      <c r="Y38" s="317" t="str">
        <f>IFERROR(IF(OR(LEFT(P38,5)="Error",LEFT(O38,5)="Error"),"Check Data ⚠",IF(F38&lt;S38,'G-7 WaterC'' Data'!$R$3,INDEX('G-7 WaterC'' Data'!$U$5:$Y$9,MATCH(G38,'G-7 WaterC'' Data'!$T$5:$T$9,0),MATCH(T38,'G-7 WaterC'' Data'!$U$4:$Y$4,0)))),"")</f>
        <v/>
      </c>
      <c r="Z38" s="142"/>
      <c r="AA38" s="142"/>
      <c r="AB38" s="314" t="str">
        <f t="shared" si="4"/>
        <v/>
      </c>
      <c r="AC38" s="302" t="str">
        <f t="shared" si="5"/>
        <v/>
      </c>
      <c r="AD38" s="340" t="str">
        <f>IFERROR(IF(AC38="Check Data ⚠","Check Data ⚠",VLOOKUP(AC38,'G-4 Temporal multipliers'!$A$4:$C$37,3,FALSE)),"")</f>
        <v/>
      </c>
      <c r="AE38" s="317" t="str">
        <f>IF(N38="","",VLOOKUP(N38,'G-7 WaterC'' Data'!$B$4:$G$8,5,FALSE))</f>
        <v/>
      </c>
      <c r="AF38" s="301" t="str">
        <f t="shared" si="0"/>
        <v/>
      </c>
      <c r="AG38" s="301" t="str">
        <f t="shared" si="6"/>
        <v/>
      </c>
      <c r="AH38" s="282" t="str">
        <f t="shared" si="1"/>
        <v/>
      </c>
      <c r="AI38" s="109"/>
      <c r="AJ38" s="282" t="str">
        <f>IF(AI38="","",(IF(AND(AI38="N/A - Culvert",N38&lt;&gt;"Culvert"),"Not possible ▲",IF(VLOOKUP(AI38,'G-7 WaterC'' Data'!$AA$4:$AB$7,2,FALSE)=0,"Spatial Data Missing ⚠",VLOOKUP(AI38,'G-7 WaterC'' Data'!$AA$4:$AB$7,2,FALSE)))))</f>
        <v/>
      </c>
      <c r="AK38" s="110"/>
      <c r="AL38" s="316" t="str">
        <f>IF(AK38="","",IF(AND(AK38="N/A - Culvert",N38&lt;&gt;"Culvert"),"Not possible ▲",IF(VLOOKUP(AK38,'G-7 WaterC'' Data'!$AD$4:$AE$14,2,FALSE)=0,"Spatial Data Missing ⚠",VLOOKUP(AK38,'G-7 WaterC'' Data'!$AD$4:$AE$14,2,FALSE))))</f>
        <v/>
      </c>
      <c r="AM38" s="281" t="str">
        <f>IF(B38="","",VLOOKUP($B38,'F-1 Off-Site WaterC'' Baseline'!$C$9:$Z$257,17,FALSE))</f>
        <v/>
      </c>
      <c r="AN38" s="282" t="str">
        <f>IF(AM38="","",IF(VLOOKUP(AM38,'G-7 WaterC'' Data'!$AO$4:$BO$7,2,FALSE)=0,"Spatial Data Missing ⚠",VLOOKUP(AM38,'G-7 WaterC'' Data'!$AO$4:$BO$7,2,FALSE)))</f>
        <v/>
      </c>
      <c r="AO38" s="323" t="str">
        <f t="shared" si="7"/>
        <v/>
      </c>
      <c r="AP38" s="323" t="str">
        <f t="shared" si="8"/>
        <v/>
      </c>
      <c r="AQ38" s="105"/>
      <c r="AR38" s="119"/>
      <c r="AS38" s="108"/>
      <c r="AT38" s="108"/>
      <c r="AW38" s="30" t="str">
        <f>IF(E38="","",VLOOKUP($B38,'F-1 Off-Site WaterC'' Baseline'!$C$9:$Z$257,12,FALSE))</f>
        <v/>
      </c>
      <c r="AX38" s="30" t="str">
        <f>IF(E38="","",VLOOKUP($B38,'F-1 Off-Site WaterC'' Baseline'!$C$9:$Z$257,14,FALSE))</f>
        <v/>
      </c>
      <c r="AY38" s="30" t="str">
        <f>IFERROR(INDEX('G-7 WaterC'' Data'!$AZ$3:$AZ$7,MATCH(N38,'G-7 WaterC'' Data'!$AY$3:$AY$7,0)),"")</f>
        <v/>
      </c>
      <c r="AZ38" s="30" t="str">
        <f>IF(B38="","",IF(ISNA(VLOOKUP($B38,'F-1 Off-Site WaterC'' Baseline'!$C$8:$AD$257,20,FALSE)),"",(VLOOKUP($B38,'F-1 Off-Site WaterC'' Baseline'!$C$8:$AD$257,20,FALSE))))</f>
        <v/>
      </c>
      <c r="BC38" s="30" t="str">
        <f>IF(B38="","",VLOOKUP($B38,'F-1 Off-Site WaterC'' Baseline'!$C$9:$AB$257,25,FALSE))</f>
        <v/>
      </c>
      <c r="BD38" s="30" t="str">
        <f t="shared" si="9"/>
        <v/>
      </c>
      <c r="BE38" s="30" t="str">
        <f>IF(B38="","",VLOOKUP($B38,'F-1 Off-Site WaterC'' Baseline'!$C$9:$AB$257,24,FALSE))</f>
        <v/>
      </c>
      <c r="BF38" s="30" t="str">
        <f>IF(B38="","",VLOOKUP($B38,'F-1 Off-Site WaterC'' Baseline'!$C$9:$AB$257,22,FALSE))</f>
        <v/>
      </c>
      <c r="BJ38" s="30" t="str">
        <f t="shared" si="10"/>
        <v>No</v>
      </c>
    </row>
    <row r="39" spans="2:62" ht="13.8" x14ac:dyDescent="0.25">
      <c r="B39" s="311" t="str">
        <f>'F-1 Off-Site WaterC'' Baseline'!AS37</f>
        <v/>
      </c>
      <c r="C39" s="301" t="str">
        <f>IF(B39="","",VLOOKUP($B39,'F-1 Off-Site WaterC'' Baseline'!$C$9:$R$257,2,FALSE))</f>
        <v/>
      </c>
      <c r="D39" s="301" t="str">
        <f>IF(C39="","",VLOOKUP($B39,'F-1 Off-Site WaterC'' Baseline'!$C$9:$R$257,3,FALSE))</f>
        <v/>
      </c>
      <c r="E39" s="301" t="str">
        <f>IF(D39="","",VLOOKUP($B39,'F-1 Off-Site WaterC'' Baseline'!$C$9:$R$257,4,FALSE))</f>
        <v/>
      </c>
      <c r="F39" s="301" t="str">
        <f>IF(E39="","",VLOOKUP($B39,'F-1 Off-Site WaterC'' Baseline'!$C$9:$R$257,5,FALSE))</f>
        <v/>
      </c>
      <c r="G39" s="301" t="str">
        <f>IF(F39="","",VLOOKUP($B39,'F-1 Off-Site WaterC'' Baseline'!$C$9:$R$257,6,FALSE))</f>
        <v/>
      </c>
      <c r="H39" s="301" t="str">
        <f>IF(G39="","",VLOOKUP($B39,'F-1 Off-Site WaterC'' Baseline'!$C$9:$R$257,7,FALSE))</f>
        <v/>
      </c>
      <c r="I39" s="301" t="str">
        <f>IF(H39="","",VLOOKUP($B39,'F-1 Off-Site WaterC'' Baseline'!$C$9:$R$257,8,FALSE))</f>
        <v/>
      </c>
      <c r="J39" s="301" t="str">
        <f>IF(I39="","",VLOOKUP($B39,'F-1 Off-Site WaterC'' Baseline'!$C$9:$R$257,9,FALSE))</f>
        <v/>
      </c>
      <c r="K39" s="301" t="str">
        <f>IF(J39="","",VLOOKUP($B39,'F-1 Off-Site WaterC'' Baseline'!$C$9:$R$257,10,FALSE))</f>
        <v/>
      </c>
      <c r="L39" s="289" t="str">
        <f>IF(B39="","",VLOOKUP($B39,'F-1 Off-Site WaterC'' Baseline'!$C$9:$R$257,15,FALSE))</f>
        <v/>
      </c>
      <c r="M39" s="305" t="str">
        <f>IF(L39="","",VLOOKUP($B39,'F-1 Off-Site WaterC'' Baseline'!$C$9:$V$257,19,FALSE))</f>
        <v/>
      </c>
      <c r="N39" s="250"/>
      <c r="O39" s="281" t="str">
        <f t="shared" si="2"/>
        <v/>
      </c>
      <c r="P39" s="282" t="str">
        <f t="shared" si="3"/>
        <v/>
      </c>
      <c r="Q39" s="287" t="str">
        <f>IF(N39="","",VLOOKUP(B39,'F-1 Off-Site WaterC'' Baseline'!$C$10:$AF$257,23,FALSE))</f>
        <v/>
      </c>
      <c r="R39" s="281" t="str">
        <f>IF(N39="","",VLOOKUP(N39,'G-7 WaterC'' Data'!$B$2:$G$8,2,FALSE))</f>
        <v/>
      </c>
      <c r="S39" s="282" t="str">
        <f>IFERROR(VLOOKUP(R39,'G-7 WaterC'' Data'!$C$4:$D$8,2,FALSE),"")</f>
        <v/>
      </c>
      <c r="T39" s="105"/>
      <c r="U39" s="282" t="str">
        <f>IFERROR(INDEX('G-7 WaterC'' Data'!$H$4:$L$8,MATCH(N39,'G-7 WaterC'' Data'!$B$4:$B$8,0),MATCH(T39,'G-7 WaterC'' Data'!$H$3:$L$3,0)),"")</f>
        <v/>
      </c>
      <c r="V39" s="109"/>
      <c r="W39" s="301" t="str">
        <f>IF(V39="","",IF(VLOOKUP(V39,'G-7 WaterC'' Data'!$AK$4:$AM$6,2,FALSE)=0,"Spatial Data Missing ⚠",VLOOKUP(V39,'G-7 WaterC'' Data'!$AK$4:$AM$6,2,FALSE)))</f>
        <v/>
      </c>
      <c r="X39" s="305" t="str">
        <f>IF(V39="","",IF(VLOOKUP(V39,'G-7 WaterC'' Data'!$AK$4:$AM$6,3,FALSE)=0,"Spatial Data Missing ⚠",VLOOKUP(V39,'G-7 WaterC'' Data'!$AK$4:$AM$6,3,FALSE)))</f>
        <v/>
      </c>
      <c r="Y39" s="317" t="str">
        <f>IFERROR(IF(OR(LEFT(P39,5)="Error",LEFT(O39,5)="Error"),"Check Data ⚠",IF(F39&lt;S39,'G-7 WaterC'' Data'!$R$3,INDEX('G-7 WaterC'' Data'!$U$5:$Y$9,MATCH(G39,'G-7 WaterC'' Data'!$T$5:$T$9,0),MATCH(T39,'G-7 WaterC'' Data'!$U$4:$Y$4,0)))),"")</f>
        <v/>
      </c>
      <c r="Z39" s="142"/>
      <c r="AA39" s="142"/>
      <c r="AB39" s="314" t="str">
        <f t="shared" si="4"/>
        <v/>
      </c>
      <c r="AC39" s="302" t="str">
        <f t="shared" si="5"/>
        <v/>
      </c>
      <c r="AD39" s="340" t="str">
        <f>IFERROR(IF(AC39="Check Data ⚠","Check Data ⚠",VLOOKUP(AC39,'G-4 Temporal multipliers'!$A$4:$C$37,3,FALSE)),"")</f>
        <v/>
      </c>
      <c r="AE39" s="317" t="str">
        <f>IF(N39="","",VLOOKUP(N39,'G-7 WaterC'' Data'!$B$4:$G$8,5,FALSE))</f>
        <v/>
      </c>
      <c r="AF39" s="301" t="str">
        <f t="shared" si="0"/>
        <v/>
      </c>
      <c r="AG39" s="301" t="str">
        <f t="shared" si="6"/>
        <v/>
      </c>
      <c r="AH39" s="282" t="str">
        <f t="shared" si="1"/>
        <v/>
      </c>
      <c r="AI39" s="109"/>
      <c r="AJ39" s="282" t="str">
        <f>IF(AI39="","",(IF(AND(AI39="N/A - Culvert",N39&lt;&gt;"Culvert"),"Not possible ▲",IF(VLOOKUP(AI39,'G-7 WaterC'' Data'!$AA$4:$AB$7,2,FALSE)=0,"Spatial Data Missing ⚠",VLOOKUP(AI39,'G-7 WaterC'' Data'!$AA$4:$AB$7,2,FALSE)))))</f>
        <v/>
      </c>
      <c r="AK39" s="110"/>
      <c r="AL39" s="316" t="str">
        <f>IF(AK39="","",IF(AND(AK39="N/A - Culvert",N39&lt;&gt;"Culvert"),"Not possible ▲",IF(VLOOKUP(AK39,'G-7 WaterC'' Data'!$AD$4:$AE$14,2,FALSE)=0,"Spatial Data Missing ⚠",VLOOKUP(AK39,'G-7 WaterC'' Data'!$AD$4:$AE$14,2,FALSE))))</f>
        <v/>
      </c>
      <c r="AM39" s="281" t="str">
        <f>IF(B39="","",VLOOKUP($B39,'F-1 Off-Site WaterC'' Baseline'!$C$9:$Z$257,17,FALSE))</f>
        <v/>
      </c>
      <c r="AN39" s="282" t="str">
        <f>IF(AM39="","",IF(VLOOKUP(AM39,'G-7 WaterC'' Data'!$AO$4:$BO$7,2,FALSE)=0,"Spatial Data Missing ⚠",VLOOKUP(AM39,'G-7 WaterC'' Data'!$AO$4:$BO$7,2,FALSE)))</f>
        <v/>
      </c>
      <c r="AO39" s="323" t="str">
        <f t="shared" si="7"/>
        <v/>
      </c>
      <c r="AP39" s="323" t="str">
        <f t="shared" si="8"/>
        <v/>
      </c>
      <c r="AQ39" s="105"/>
      <c r="AR39" s="119"/>
      <c r="AS39" s="108"/>
      <c r="AT39" s="108"/>
      <c r="AW39" s="30" t="str">
        <f>IF(E39="","",VLOOKUP($B39,'F-1 Off-Site WaterC'' Baseline'!$C$9:$Z$257,12,FALSE))</f>
        <v/>
      </c>
      <c r="AX39" s="30" t="str">
        <f>IF(E39="","",VLOOKUP($B39,'F-1 Off-Site WaterC'' Baseline'!$C$9:$Z$257,14,FALSE))</f>
        <v/>
      </c>
      <c r="AY39" s="30" t="str">
        <f>IFERROR(INDEX('G-7 WaterC'' Data'!$AZ$3:$AZ$7,MATCH(N39,'G-7 WaterC'' Data'!$AY$3:$AY$7,0)),"")</f>
        <v/>
      </c>
      <c r="AZ39" s="30" t="str">
        <f>IF(B39="","",IF(ISNA(VLOOKUP($B39,'F-1 Off-Site WaterC'' Baseline'!$C$8:$AD$257,20,FALSE)),"",(VLOOKUP($B39,'F-1 Off-Site WaterC'' Baseline'!$C$8:$AD$257,20,FALSE))))</f>
        <v/>
      </c>
      <c r="BC39" s="30" t="str">
        <f>IF(B39="","",VLOOKUP($B39,'F-1 Off-Site WaterC'' Baseline'!$C$9:$AB$257,25,FALSE))</f>
        <v/>
      </c>
      <c r="BD39" s="30" t="str">
        <f t="shared" si="9"/>
        <v/>
      </c>
      <c r="BE39" s="30" t="str">
        <f>IF(B39="","",VLOOKUP($B39,'F-1 Off-Site WaterC'' Baseline'!$C$9:$AB$257,24,FALSE))</f>
        <v/>
      </c>
      <c r="BF39" s="30" t="str">
        <f>IF(B39="","",VLOOKUP($B39,'F-1 Off-Site WaterC'' Baseline'!$C$9:$AB$257,22,FALSE))</f>
        <v/>
      </c>
      <c r="BJ39" s="30" t="str">
        <f t="shared" si="10"/>
        <v>No</v>
      </c>
    </row>
    <row r="40" spans="2:62" ht="13.8" x14ac:dyDescent="0.25">
      <c r="B40" s="311" t="str">
        <f>'F-1 Off-Site WaterC'' Baseline'!AS38</f>
        <v/>
      </c>
      <c r="C40" s="301" t="str">
        <f>IF(B40="","",VLOOKUP($B40,'F-1 Off-Site WaterC'' Baseline'!$C$9:$R$257,2,FALSE))</f>
        <v/>
      </c>
      <c r="D40" s="301" t="str">
        <f>IF(C40="","",VLOOKUP($B40,'F-1 Off-Site WaterC'' Baseline'!$C$9:$R$257,3,FALSE))</f>
        <v/>
      </c>
      <c r="E40" s="301" t="str">
        <f>IF(D40="","",VLOOKUP($B40,'F-1 Off-Site WaterC'' Baseline'!$C$9:$R$257,4,FALSE))</f>
        <v/>
      </c>
      <c r="F40" s="301" t="str">
        <f>IF(E40="","",VLOOKUP($B40,'F-1 Off-Site WaterC'' Baseline'!$C$9:$R$257,5,FALSE))</f>
        <v/>
      </c>
      <c r="G40" s="301" t="str">
        <f>IF(F40="","",VLOOKUP($B40,'F-1 Off-Site WaterC'' Baseline'!$C$9:$R$257,6,FALSE))</f>
        <v/>
      </c>
      <c r="H40" s="301" t="str">
        <f>IF(G40="","",VLOOKUP($B40,'F-1 Off-Site WaterC'' Baseline'!$C$9:$R$257,7,FALSE))</f>
        <v/>
      </c>
      <c r="I40" s="301" t="str">
        <f>IF(H40="","",VLOOKUP($B40,'F-1 Off-Site WaterC'' Baseline'!$C$9:$R$257,8,FALSE))</f>
        <v/>
      </c>
      <c r="J40" s="301" t="str">
        <f>IF(I40="","",VLOOKUP($B40,'F-1 Off-Site WaterC'' Baseline'!$C$9:$R$257,9,FALSE))</f>
        <v/>
      </c>
      <c r="K40" s="301" t="str">
        <f>IF(J40="","",VLOOKUP($B40,'F-1 Off-Site WaterC'' Baseline'!$C$9:$R$257,10,FALSE))</f>
        <v/>
      </c>
      <c r="L40" s="289" t="str">
        <f>IF(B40="","",VLOOKUP($B40,'F-1 Off-Site WaterC'' Baseline'!$C$9:$R$257,15,FALSE))</f>
        <v/>
      </c>
      <c r="M40" s="305" t="str">
        <f>IF(L40="","",VLOOKUP($B40,'F-1 Off-Site WaterC'' Baseline'!$C$9:$V$257,19,FALSE))</f>
        <v/>
      </c>
      <c r="N40" s="250"/>
      <c r="O40" s="281" t="str">
        <f t="shared" si="2"/>
        <v/>
      </c>
      <c r="P40" s="282" t="str">
        <f t="shared" si="3"/>
        <v/>
      </c>
      <c r="Q40" s="287" t="str">
        <f>IF(N40="","",VLOOKUP(B40,'F-1 Off-Site WaterC'' Baseline'!$C$10:$AF$257,23,FALSE))</f>
        <v/>
      </c>
      <c r="R40" s="281" t="str">
        <f>IF(N40="","",VLOOKUP(N40,'G-7 WaterC'' Data'!$B$2:$G$8,2,FALSE))</f>
        <v/>
      </c>
      <c r="S40" s="282" t="str">
        <f>IFERROR(VLOOKUP(R40,'G-7 WaterC'' Data'!$C$4:$D$8,2,FALSE),"")</f>
        <v/>
      </c>
      <c r="T40" s="105"/>
      <c r="U40" s="282" t="str">
        <f>IFERROR(INDEX('G-7 WaterC'' Data'!$H$4:$L$8,MATCH(N40,'G-7 WaterC'' Data'!$B$4:$B$8,0),MATCH(T40,'G-7 WaterC'' Data'!$H$3:$L$3,0)),"")</f>
        <v/>
      </c>
      <c r="V40" s="109"/>
      <c r="W40" s="301" t="str">
        <f>IF(V40="","",IF(VLOOKUP(V40,'G-7 WaterC'' Data'!$AK$4:$AM$6,2,FALSE)=0,"Spatial Data Missing ⚠",VLOOKUP(V40,'G-7 WaterC'' Data'!$AK$4:$AM$6,2,FALSE)))</f>
        <v/>
      </c>
      <c r="X40" s="305" t="str">
        <f>IF(V40="","",IF(VLOOKUP(V40,'G-7 WaterC'' Data'!$AK$4:$AM$6,3,FALSE)=0,"Spatial Data Missing ⚠",VLOOKUP(V40,'G-7 WaterC'' Data'!$AK$4:$AM$6,3,FALSE)))</f>
        <v/>
      </c>
      <c r="Y40" s="317" t="str">
        <f>IFERROR(IF(OR(LEFT(P40,5)="Error",LEFT(O40,5)="Error"),"Check Data ⚠",IF(F40&lt;S40,'G-7 WaterC'' Data'!$R$3,INDEX('G-7 WaterC'' Data'!$U$5:$Y$9,MATCH(G40,'G-7 WaterC'' Data'!$T$5:$T$9,0),MATCH(T40,'G-7 WaterC'' Data'!$U$4:$Y$4,0)))),"")</f>
        <v/>
      </c>
      <c r="Z40" s="142"/>
      <c r="AA40" s="142"/>
      <c r="AB40" s="314" t="str">
        <f t="shared" si="4"/>
        <v/>
      </c>
      <c r="AC40" s="302" t="str">
        <f t="shared" si="5"/>
        <v/>
      </c>
      <c r="AD40" s="340" t="str">
        <f>IFERROR(IF(AC40="Check Data ⚠","Check Data ⚠",VLOOKUP(AC40,'G-4 Temporal multipliers'!$A$4:$C$37,3,FALSE)),"")</f>
        <v/>
      </c>
      <c r="AE40" s="317" t="str">
        <f>IF(N40="","",VLOOKUP(N40,'G-7 WaterC'' Data'!$B$4:$G$8,5,FALSE))</f>
        <v/>
      </c>
      <c r="AF40" s="301" t="str">
        <f t="shared" si="0"/>
        <v/>
      </c>
      <c r="AG40" s="301" t="str">
        <f t="shared" si="6"/>
        <v/>
      </c>
      <c r="AH40" s="282" t="str">
        <f t="shared" si="1"/>
        <v/>
      </c>
      <c r="AI40" s="109"/>
      <c r="AJ40" s="282" t="str">
        <f>IF(AI40="","",(IF(AND(AI40="N/A - Culvert",N40&lt;&gt;"Culvert"),"Not possible ▲",IF(VLOOKUP(AI40,'G-7 WaterC'' Data'!$AA$4:$AB$7,2,FALSE)=0,"Spatial Data Missing ⚠",VLOOKUP(AI40,'G-7 WaterC'' Data'!$AA$4:$AB$7,2,FALSE)))))</f>
        <v/>
      </c>
      <c r="AK40" s="110"/>
      <c r="AL40" s="316" t="str">
        <f>IF(AK40="","",IF(AND(AK40="N/A - Culvert",N40&lt;&gt;"Culvert"),"Not possible ▲",IF(VLOOKUP(AK40,'G-7 WaterC'' Data'!$AD$4:$AE$14,2,FALSE)=0,"Spatial Data Missing ⚠",VLOOKUP(AK40,'G-7 WaterC'' Data'!$AD$4:$AE$14,2,FALSE))))</f>
        <v/>
      </c>
      <c r="AM40" s="281" t="str">
        <f>IF(B40="","",VLOOKUP($B40,'F-1 Off-Site WaterC'' Baseline'!$C$9:$Z$257,17,FALSE))</f>
        <v/>
      </c>
      <c r="AN40" s="282" t="str">
        <f>IF(AM40="","",IF(VLOOKUP(AM40,'G-7 WaterC'' Data'!$AO$4:$BO$7,2,FALSE)=0,"Spatial Data Missing ⚠",VLOOKUP(AM40,'G-7 WaterC'' Data'!$AO$4:$BO$7,2,FALSE)))</f>
        <v/>
      </c>
      <c r="AO40" s="323" t="str">
        <f t="shared" si="7"/>
        <v/>
      </c>
      <c r="AP40" s="323" t="str">
        <f t="shared" si="8"/>
        <v/>
      </c>
      <c r="AQ40" s="105"/>
      <c r="AR40" s="119"/>
      <c r="AS40" s="108"/>
      <c r="AT40" s="108"/>
      <c r="AW40" s="30" t="str">
        <f>IF(E40="","",VLOOKUP($B40,'F-1 Off-Site WaterC'' Baseline'!$C$9:$Z$257,12,FALSE))</f>
        <v/>
      </c>
      <c r="AX40" s="30" t="str">
        <f>IF(E40="","",VLOOKUP($B40,'F-1 Off-Site WaterC'' Baseline'!$C$9:$Z$257,14,FALSE))</f>
        <v/>
      </c>
      <c r="AY40" s="30" t="str">
        <f>IFERROR(INDEX('G-7 WaterC'' Data'!$AZ$3:$AZ$7,MATCH(N40,'G-7 WaterC'' Data'!$AY$3:$AY$7,0)),"")</f>
        <v/>
      </c>
      <c r="AZ40" s="30" t="str">
        <f>IF(B40="","",IF(ISNA(VLOOKUP($B40,'F-1 Off-Site WaterC'' Baseline'!$C$8:$AD$257,20,FALSE)),"",(VLOOKUP($B40,'F-1 Off-Site WaterC'' Baseline'!$C$8:$AD$257,20,FALSE))))</f>
        <v/>
      </c>
      <c r="BC40" s="30" t="str">
        <f>IF(B40="","",VLOOKUP($B40,'F-1 Off-Site WaterC'' Baseline'!$C$9:$AB$257,25,FALSE))</f>
        <v/>
      </c>
      <c r="BD40" s="30" t="str">
        <f t="shared" si="9"/>
        <v/>
      </c>
      <c r="BE40" s="30" t="str">
        <f>IF(B40="","",VLOOKUP($B40,'F-1 Off-Site WaterC'' Baseline'!$C$9:$AB$257,24,FALSE))</f>
        <v/>
      </c>
      <c r="BF40" s="30" t="str">
        <f>IF(B40="","",VLOOKUP($B40,'F-1 Off-Site WaterC'' Baseline'!$C$9:$AB$257,22,FALSE))</f>
        <v/>
      </c>
      <c r="BJ40" s="30" t="str">
        <f t="shared" si="10"/>
        <v>No</v>
      </c>
    </row>
    <row r="41" spans="2:62" ht="13.8" x14ac:dyDescent="0.25">
      <c r="B41" s="311" t="str">
        <f>'F-1 Off-Site WaterC'' Baseline'!AS39</f>
        <v/>
      </c>
      <c r="C41" s="301" t="str">
        <f>IF(B41="","",VLOOKUP($B41,'F-1 Off-Site WaterC'' Baseline'!$C$9:$R$257,2,FALSE))</f>
        <v/>
      </c>
      <c r="D41" s="301" t="str">
        <f>IF(C41="","",VLOOKUP($B41,'F-1 Off-Site WaterC'' Baseline'!$C$9:$R$257,3,FALSE))</f>
        <v/>
      </c>
      <c r="E41" s="301" t="str">
        <f>IF(D41="","",VLOOKUP($B41,'F-1 Off-Site WaterC'' Baseline'!$C$9:$R$257,4,FALSE))</f>
        <v/>
      </c>
      <c r="F41" s="301" t="str">
        <f>IF(E41="","",VLOOKUP($B41,'F-1 Off-Site WaterC'' Baseline'!$C$9:$R$257,5,FALSE))</f>
        <v/>
      </c>
      <c r="G41" s="301" t="str">
        <f>IF(F41="","",VLOOKUP($B41,'F-1 Off-Site WaterC'' Baseline'!$C$9:$R$257,6,FALSE))</f>
        <v/>
      </c>
      <c r="H41" s="301" t="str">
        <f>IF(G41="","",VLOOKUP($B41,'F-1 Off-Site WaterC'' Baseline'!$C$9:$R$257,7,FALSE))</f>
        <v/>
      </c>
      <c r="I41" s="301" t="str">
        <f>IF(H41="","",VLOOKUP($B41,'F-1 Off-Site WaterC'' Baseline'!$C$9:$R$257,8,FALSE))</f>
        <v/>
      </c>
      <c r="J41" s="301" t="str">
        <f>IF(I41="","",VLOOKUP($B41,'F-1 Off-Site WaterC'' Baseline'!$C$9:$R$257,9,FALSE))</f>
        <v/>
      </c>
      <c r="K41" s="301" t="str">
        <f>IF(J41="","",VLOOKUP($B41,'F-1 Off-Site WaterC'' Baseline'!$C$9:$R$257,10,FALSE))</f>
        <v/>
      </c>
      <c r="L41" s="289" t="str">
        <f>IF(B41="","",VLOOKUP($B41,'F-1 Off-Site WaterC'' Baseline'!$C$9:$R$257,15,FALSE))</f>
        <v/>
      </c>
      <c r="M41" s="305" t="str">
        <f>IF(L41="","",VLOOKUP($B41,'F-1 Off-Site WaterC'' Baseline'!$C$9:$V$257,19,FALSE))</f>
        <v/>
      </c>
      <c r="N41" s="250"/>
      <c r="O41" s="281" t="str">
        <f t="shared" si="2"/>
        <v/>
      </c>
      <c r="P41" s="282" t="str">
        <f t="shared" si="3"/>
        <v/>
      </c>
      <c r="Q41" s="287" t="str">
        <f>IF(N41="","",VLOOKUP(B41,'F-1 Off-Site WaterC'' Baseline'!$C$10:$AF$257,23,FALSE))</f>
        <v/>
      </c>
      <c r="R41" s="281" t="str">
        <f>IF(N41="","",VLOOKUP(N41,'G-7 WaterC'' Data'!$B$2:$G$8,2,FALSE))</f>
        <v/>
      </c>
      <c r="S41" s="282" t="str">
        <f>IFERROR(VLOOKUP(R41,'G-7 WaterC'' Data'!$C$4:$D$8,2,FALSE),"")</f>
        <v/>
      </c>
      <c r="T41" s="105"/>
      <c r="U41" s="282" t="str">
        <f>IFERROR(INDEX('G-7 WaterC'' Data'!$H$4:$L$8,MATCH(N41,'G-7 WaterC'' Data'!$B$4:$B$8,0),MATCH(T41,'G-7 WaterC'' Data'!$H$3:$L$3,0)),"")</f>
        <v/>
      </c>
      <c r="V41" s="109"/>
      <c r="W41" s="301" t="str">
        <f>IF(V41="","",IF(VLOOKUP(V41,'G-7 WaterC'' Data'!$AK$4:$AM$6,2,FALSE)=0,"Spatial Data Missing ⚠",VLOOKUP(V41,'G-7 WaterC'' Data'!$AK$4:$AM$6,2,FALSE)))</f>
        <v/>
      </c>
      <c r="X41" s="305" t="str">
        <f>IF(V41="","",IF(VLOOKUP(V41,'G-7 WaterC'' Data'!$AK$4:$AM$6,3,FALSE)=0,"Spatial Data Missing ⚠",VLOOKUP(V41,'G-7 WaterC'' Data'!$AK$4:$AM$6,3,FALSE)))</f>
        <v/>
      </c>
      <c r="Y41" s="317" t="str">
        <f>IFERROR(IF(OR(LEFT(P41,5)="Error",LEFT(O41,5)="Error"),"Check Data ⚠",IF(F41&lt;S41,'G-7 WaterC'' Data'!$R$3,INDEX('G-7 WaterC'' Data'!$U$5:$Y$9,MATCH(G41,'G-7 WaterC'' Data'!$T$5:$T$9,0),MATCH(T41,'G-7 WaterC'' Data'!$U$4:$Y$4,0)))),"")</f>
        <v/>
      </c>
      <c r="Z41" s="142"/>
      <c r="AA41" s="142"/>
      <c r="AB41" s="314" t="str">
        <f t="shared" si="4"/>
        <v/>
      </c>
      <c r="AC41" s="302" t="str">
        <f t="shared" si="5"/>
        <v/>
      </c>
      <c r="AD41" s="340" t="str">
        <f>IFERROR(IF(AC41="Check Data ⚠","Check Data ⚠",VLOOKUP(AC41,'G-4 Temporal multipliers'!$A$4:$C$37,3,FALSE)),"")</f>
        <v/>
      </c>
      <c r="AE41" s="317" t="str">
        <f>IF(N41="","",VLOOKUP(N41,'G-7 WaterC'' Data'!$B$4:$G$8,5,FALSE))</f>
        <v/>
      </c>
      <c r="AF41" s="301" t="str">
        <f t="shared" si="0"/>
        <v/>
      </c>
      <c r="AG41" s="301" t="str">
        <f t="shared" si="6"/>
        <v/>
      </c>
      <c r="AH41" s="282" t="str">
        <f t="shared" si="1"/>
        <v/>
      </c>
      <c r="AI41" s="109"/>
      <c r="AJ41" s="282" t="str">
        <f>IF(AI41="","",(IF(AND(AI41="N/A - Culvert",N41&lt;&gt;"Culvert"),"Not possible ▲",IF(VLOOKUP(AI41,'G-7 WaterC'' Data'!$AA$4:$AB$7,2,FALSE)=0,"Spatial Data Missing ⚠",VLOOKUP(AI41,'G-7 WaterC'' Data'!$AA$4:$AB$7,2,FALSE)))))</f>
        <v/>
      </c>
      <c r="AK41" s="110"/>
      <c r="AL41" s="316" t="str">
        <f>IF(AK41="","",IF(AND(AK41="N/A - Culvert",N41&lt;&gt;"Culvert"),"Not possible ▲",IF(VLOOKUP(AK41,'G-7 WaterC'' Data'!$AD$4:$AE$14,2,FALSE)=0,"Spatial Data Missing ⚠",VLOOKUP(AK41,'G-7 WaterC'' Data'!$AD$4:$AE$14,2,FALSE))))</f>
        <v/>
      </c>
      <c r="AM41" s="281" t="str">
        <f>IF(B41="","",VLOOKUP($B41,'F-1 Off-Site WaterC'' Baseline'!$C$9:$Z$257,17,FALSE))</f>
        <v/>
      </c>
      <c r="AN41" s="282" t="str">
        <f>IF(AM41="","",IF(VLOOKUP(AM41,'G-7 WaterC'' Data'!$AO$4:$BO$7,2,FALSE)=0,"Spatial Data Missing ⚠",VLOOKUP(AM41,'G-7 WaterC'' Data'!$AO$4:$BO$7,2,FALSE)))</f>
        <v/>
      </c>
      <c r="AO41" s="323" t="str">
        <f t="shared" si="7"/>
        <v/>
      </c>
      <c r="AP41" s="323" t="str">
        <f t="shared" si="8"/>
        <v/>
      </c>
      <c r="AQ41" s="105"/>
      <c r="AR41" s="119"/>
      <c r="AS41" s="108"/>
      <c r="AT41" s="108"/>
      <c r="AW41" s="30" t="str">
        <f>IF(E41="","",VLOOKUP($B41,'F-1 Off-Site WaterC'' Baseline'!$C$9:$Z$257,12,FALSE))</f>
        <v/>
      </c>
      <c r="AX41" s="30" t="str">
        <f>IF(E41="","",VLOOKUP($B41,'F-1 Off-Site WaterC'' Baseline'!$C$9:$Z$257,14,FALSE))</f>
        <v/>
      </c>
      <c r="AY41" s="30" t="str">
        <f>IFERROR(INDEX('G-7 WaterC'' Data'!$AZ$3:$AZ$7,MATCH(N41,'G-7 WaterC'' Data'!$AY$3:$AY$7,0)),"")</f>
        <v/>
      </c>
      <c r="AZ41" s="30" t="str">
        <f>IF(B41="","",IF(ISNA(VLOOKUP($B41,'F-1 Off-Site WaterC'' Baseline'!$C$8:$AD$257,20,FALSE)),"",(VLOOKUP($B41,'F-1 Off-Site WaterC'' Baseline'!$C$8:$AD$257,20,FALSE))))</f>
        <v/>
      </c>
      <c r="BC41" s="30" t="str">
        <f>IF(B41="","",VLOOKUP($B41,'F-1 Off-Site WaterC'' Baseline'!$C$9:$AB$257,25,FALSE))</f>
        <v/>
      </c>
      <c r="BD41" s="30" t="str">
        <f t="shared" si="9"/>
        <v/>
      </c>
      <c r="BE41" s="30" t="str">
        <f>IF(B41="","",VLOOKUP($B41,'F-1 Off-Site WaterC'' Baseline'!$C$9:$AB$257,24,FALSE))</f>
        <v/>
      </c>
      <c r="BF41" s="30" t="str">
        <f>IF(B41="","",VLOOKUP($B41,'F-1 Off-Site WaterC'' Baseline'!$C$9:$AB$257,22,FALSE))</f>
        <v/>
      </c>
      <c r="BJ41" s="30" t="str">
        <f t="shared" si="10"/>
        <v>No</v>
      </c>
    </row>
    <row r="42" spans="2:62" ht="13.8" x14ac:dyDescent="0.25">
      <c r="B42" s="311" t="str">
        <f>'F-1 Off-Site WaterC'' Baseline'!AS40</f>
        <v/>
      </c>
      <c r="C42" s="301" t="str">
        <f>IF(B42="","",VLOOKUP($B42,'F-1 Off-Site WaterC'' Baseline'!$C$9:$R$257,2,FALSE))</f>
        <v/>
      </c>
      <c r="D42" s="301" t="str">
        <f>IF(C42="","",VLOOKUP($B42,'F-1 Off-Site WaterC'' Baseline'!$C$9:$R$257,3,FALSE))</f>
        <v/>
      </c>
      <c r="E42" s="301" t="str">
        <f>IF(D42="","",VLOOKUP($B42,'F-1 Off-Site WaterC'' Baseline'!$C$9:$R$257,4,FALSE))</f>
        <v/>
      </c>
      <c r="F42" s="301" t="str">
        <f>IF(E42="","",VLOOKUP($B42,'F-1 Off-Site WaterC'' Baseline'!$C$9:$R$257,5,FALSE))</f>
        <v/>
      </c>
      <c r="G42" s="301" t="str">
        <f>IF(F42="","",VLOOKUP($B42,'F-1 Off-Site WaterC'' Baseline'!$C$9:$R$257,6,FALSE))</f>
        <v/>
      </c>
      <c r="H42" s="301" t="str">
        <f>IF(G42="","",VLOOKUP($B42,'F-1 Off-Site WaterC'' Baseline'!$C$9:$R$257,7,FALSE))</f>
        <v/>
      </c>
      <c r="I42" s="301" t="str">
        <f>IF(H42="","",VLOOKUP($B42,'F-1 Off-Site WaterC'' Baseline'!$C$9:$R$257,8,FALSE))</f>
        <v/>
      </c>
      <c r="J42" s="301" t="str">
        <f>IF(I42="","",VLOOKUP($B42,'F-1 Off-Site WaterC'' Baseline'!$C$9:$R$257,9,FALSE))</f>
        <v/>
      </c>
      <c r="K42" s="301" t="str">
        <f>IF(J42="","",VLOOKUP($B42,'F-1 Off-Site WaterC'' Baseline'!$C$9:$R$257,10,FALSE))</f>
        <v/>
      </c>
      <c r="L42" s="289" t="str">
        <f>IF(B42="","",VLOOKUP($B42,'F-1 Off-Site WaterC'' Baseline'!$C$9:$R$257,15,FALSE))</f>
        <v/>
      </c>
      <c r="M42" s="305" t="str">
        <f>IF(L42="","",VLOOKUP($B42,'F-1 Off-Site WaterC'' Baseline'!$C$9:$V$257,19,FALSE))</f>
        <v/>
      </c>
      <c r="N42" s="250"/>
      <c r="O42" s="281" t="str">
        <f t="shared" si="2"/>
        <v/>
      </c>
      <c r="P42" s="282" t="str">
        <f t="shared" si="3"/>
        <v/>
      </c>
      <c r="Q42" s="287" t="str">
        <f>IF(N42="","",VLOOKUP(B42,'F-1 Off-Site WaterC'' Baseline'!$C$10:$AF$257,23,FALSE))</f>
        <v/>
      </c>
      <c r="R42" s="281" t="str">
        <f>IF(N42="","",VLOOKUP(N42,'G-7 WaterC'' Data'!$B$2:$G$8,2,FALSE))</f>
        <v/>
      </c>
      <c r="S42" s="282" t="str">
        <f>IFERROR(VLOOKUP(R42,'G-7 WaterC'' Data'!$C$4:$D$8,2,FALSE),"")</f>
        <v/>
      </c>
      <c r="T42" s="105"/>
      <c r="U42" s="282" t="str">
        <f>IFERROR(INDEX('G-7 WaterC'' Data'!$H$4:$L$8,MATCH(N42,'G-7 WaterC'' Data'!$B$4:$B$8,0),MATCH(T42,'G-7 WaterC'' Data'!$H$3:$L$3,0)),"")</f>
        <v/>
      </c>
      <c r="V42" s="109"/>
      <c r="W42" s="301" t="str">
        <f>IF(V42="","",IF(VLOOKUP(V42,'G-7 WaterC'' Data'!$AK$4:$AM$6,2,FALSE)=0,"Spatial Data Missing ⚠",VLOOKUP(V42,'G-7 WaterC'' Data'!$AK$4:$AM$6,2,FALSE)))</f>
        <v/>
      </c>
      <c r="X42" s="305" t="str">
        <f>IF(V42="","",IF(VLOOKUP(V42,'G-7 WaterC'' Data'!$AK$4:$AM$6,3,FALSE)=0,"Spatial Data Missing ⚠",VLOOKUP(V42,'G-7 WaterC'' Data'!$AK$4:$AM$6,3,FALSE)))</f>
        <v/>
      </c>
      <c r="Y42" s="317" t="str">
        <f>IFERROR(IF(OR(LEFT(P42,5)="Error",LEFT(O42,5)="Error"),"Check Data ⚠",IF(F42&lt;S42,'G-7 WaterC'' Data'!$R$3,INDEX('G-7 WaterC'' Data'!$U$5:$Y$9,MATCH(G42,'G-7 WaterC'' Data'!$T$5:$T$9,0),MATCH(T42,'G-7 WaterC'' Data'!$U$4:$Y$4,0)))),"")</f>
        <v/>
      </c>
      <c r="Z42" s="142"/>
      <c r="AA42" s="142"/>
      <c r="AB42" s="314" t="str">
        <f t="shared" si="4"/>
        <v/>
      </c>
      <c r="AC42" s="302" t="str">
        <f t="shared" si="5"/>
        <v/>
      </c>
      <c r="AD42" s="340" t="str">
        <f>IFERROR(IF(AC42="Check Data ⚠","Check Data ⚠",VLOOKUP(AC42,'G-4 Temporal multipliers'!$A$4:$C$37,3,FALSE)),"")</f>
        <v/>
      </c>
      <c r="AE42" s="317" t="str">
        <f>IF(N42="","",VLOOKUP(N42,'G-7 WaterC'' Data'!$B$4:$G$8,5,FALSE))</f>
        <v/>
      </c>
      <c r="AF42" s="301" t="str">
        <f t="shared" si="0"/>
        <v/>
      </c>
      <c r="AG42" s="301" t="str">
        <f t="shared" si="6"/>
        <v/>
      </c>
      <c r="AH42" s="282" t="str">
        <f t="shared" si="1"/>
        <v/>
      </c>
      <c r="AI42" s="109"/>
      <c r="AJ42" s="282" t="str">
        <f>IF(AI42="","",(IF(AND(AI42="N/A - Culvert",N42&lt;&gt;"Culvert"),"Not possible ▲",IF(VLOOKUP(AI42,'G-7 WaterC'' Data'!$AA$4:$AB$7,2,FALSE)=0,"Spatial Data Missing ⚠",VLOOKUP(AI42,'G-7 WaterC'' Data'!$AA$4:$AB$7,2,FALSE)))))</f>
        <v/>
      </c>
      <c r="AK42" s="110"/>
      <c r="AL42" s="316" t="str">
        <f>IF(AK42="","",IF(AND(AK42="N/A - Culvert",N42&lt;&gt;"Culvert"),"Not possible ▲",IF(VLOOKUP(AK42,'G-7 WaterC'' Data'!$AD$4:$AE$14,2,FALSE)=0,"Spatial Data Missing ⚠",VLOOKUP(AK42,'G-7 WaterC'' Data'!$AD$4:$AE$14,2,FALSE))))</f>
        <v/>
      </c>
      <c r="AM42" s="281" t="str">
        <f>IF(B42="","",VLOOKUP($B42,'F-1 Off-Site WaterC'' Baseline'!$C$9:$Z$257,17,FALSE))</f>
        <v/>
      </c>
      <c r="AN42" s="282" t="str">
        <f>IF(AM42="","",IF(VLOOKUP(AM42,'G-7 WaterC'' Data'!$AO$4:$BO$7,2,FALSE)=0,"Spatial Data Missing ⚠",VLOOKUP(AM42,'G-7 WaterC'' Data'!$AO$4:$BO$7,2,FALSE)))</f>
        <v/>
      </c>
      <c r="AO42" s="323" t="str">
        <f t="shared" si="7"/>
        <v/>
      </c>
      <c r="AP42" s="323" t="str">
        <f t="shared" si="8"/>
        <v/>
      </c>
      <c r="AQ42" s="105"/>
      <c r="AR42" s="119"/>
      <c r="AS42" s="108"/>
      <c r="AT42" s="108"/>
      <c r="AW42" s="30" t="str">
        <f>IF(E42="","",VLOOKUP($B42,'F-1 Off-Site WaterC'' Baseline'!$C$9:$Z$257,12,FALSE))</f>
        <v/>
      </c>
      <c r="AX42" s="30" t="str">
        <f>IF(E42="","",VLOOKUP($B42,'F-1 Off-Site WaterC'' Baseline'!$C$9:$Z$257,14,FALSE))</f>
        <v/>
      </c>
      <c r="AY42" s="30" t="str">
        <f>IFERROR(INDEX('G-7 WaterC'' Data'!$AZ$3:$AZ$7,MATCH(N42,'G-7 WaterC'' Data'!$AY$3:$AY$7,0)),"")</f>
        <v/>
      </c>
      <c r="AZ42" s="30" t="str">
        <f>IF(B42="","",IF(ISNA(VLOOKUP($B42,'F-1 Off-Site WaterC'' Baseline'!$C$8:$AD$257,20,FALSE)),"",(VLOOKUP($B42,'F-1 Off-Site WaterC'' Baseline'!$C$8:$AD$257,20,FALSE))))</f>
        <v/>
      </c>
      <c r="BC42" s="30" t="str">
        <f>IF(B42="","",VLOOKUP($B42,'F-1 Off-Site WaterC'' Baseline'!$C$9:$AB$257,25,FALSE))</f>
        <v/>
      </c>
      <c r="BD42" s="30" t="str">
        <f t="shared" si="9"/>
        <v/>
      </c>
      <c r="BE42" s="30" t="str">
        <f>IF(B42="","",VLOOKUP($B42,'F-1 Off-Site WaterC'' Baseline'!$C$9:$AB$257,24,FALSE))</f>
        <v/>
      </c>
      <c r="BF42" s="30" t="str">
        <f>IF(B42="","",VLOOKUP($B42,'F-1 Off-Site WaterC'' Baseline'!$C$9:$AB$257,22,FALSE))</f>
        <v/>
      </c>
      <c r="BJ42" s="30" t="str">
        <f t="shared" si="10"/>
        <v>No</v>
      </c>
    </row>
    <row r="43" spans="2:62" ht="13.8" x14ac:dyDescent="0.25">
      <c r="B43" s="311" t="str">
        <f>'F-1 Off-Site WaterC'' Baseline'!AS41</f>
        <v/>
      </c>
      <c r="C43" s="301" t="str">
        <f>IF(B43="","",VLOOKUP($B43,'F-1 Off-Site WaterC'' Baseline'!$C$9:$R$257,2,FALSE))</f>
        <v/>
      </c>
      <c r="D43" s="301" t="str">
        <f>IF(C43="","",VLOOKUP($B43,'F-1 Off-Site WaterC'' Baseline'!$C$9:$R$257,3,FALSE))</f>
        <v/>
      </c>
      <c r="E43" s="301" t="str">
        <f>IF(D43="","",VLOOKUP($B43,'F-1 Off-Site WaterC'' Baseline'!$C$9:$R$257,4,FALSE))</f>
        <v/>
      </c>
      <c r="F43" s="301" t="str">
        <f>IF(E43="","",VLOOKUP($B43,'F-1 Off-Site WaterC'' Baseline'!$C$9:$R$257,5,FALSE))</f>
        <v/>
      </c>
      <c r="G43" s="301" t="str">
        <f>IF(F43="","",VLOOKUP($B43,'F-1 Off-Site WaterC'' Baseline'!$C$9:$R$257,6,FALSE))</f>
        <v/>
      </c>
      <c r="H43" s="301" t="str">
        <f>IF(G43="","",VLOOKUP($B43,'F-1 Off-Site WaterC'' Baseline'!$C$9:$R$257,7,FALSE))</f>
        <v/>
      </c>
      <c r="I43" s="301" t="str">
        <f>IF(H43="","",VLOOKUP($B43,'F-1 Off-Site WaterC'' Baseline'!$C$9:$R$257,8,FALSE))</f>
        <v/>
      </c>
      <c r="J43" s="301" t="str">
        <f>IF(I43="","",VLOOKUP($B43,'F-1 Off-Site WaterC'' Baseline'!$C$9:$R$257,9,FALSE))</f>
        <v/>
      </c>
      <c r="K43" s="301" t="str">
        <f>IF(J43="","",VLOOKUP($B43,'F-1 Off-Site WaterC'' Baseline'!$C$9:$R$257,10,FALSE))</f>
        <v/>
      </c>
      <c r="L43" s="289" t="str">
        <f>IF(B43="","",VLOOKUP($B43,'F-1 Off-Site WaterC'' Baseline'!$C$9:$R$257,15,FALSE))</f>
        <v/>
      </c>
      <c r="M43" s="305" t="str">
        <f>IF(L43="","",VLOOKUP($B43,'F-1 Off-Site WaterC'' Baseline'!$C$9:$V$257,19,FALSE))</f>
        <v/>
      </c>
      <c r="N43" s="250"/>
      <c r="O43" s="281" t="str">
        <f t="shared" si="2"/>
        <v/>
      </c>
      <c r="P43" s="282" t="str">
        <f t="shared" si="3"/>
        <v/>
      </c>
      <c r="Q43" s="287" t="str">
        <f>IF(N43="","",VLOOKUP(B43,'F-1 Off-Site WaterC'' Baseline'!$C$10:$AF$257,23,FALSE))</f>
        <v/>
      </c>
      <c r="R43" s="281" t="str">
        <f>IF(N43="","",VLOOKUP(N43,'G-7 WaterC'' Data'!$B$2:$G$8,2,FALSE))</f>
        <v/>
      </c>
      <c r="S43" s="282" t="str">
        <f>IFERROR(VLOOKUP(R43,'G-7 WaterC'' Data'!$C$4:$D$8,2,FALSE),"")</f>
        <v/>
      </c>
      <c r="T43" s="105"/>
      <c r="U43" s="282" t="str">
        <f>IFERROR(INDEX('G-7 WaterC'' Data'!$H$4:$L$8,MATCH(N43,'G-7 WaterC'' Data'!$B$4:$B$8,0),MATCH(T43,'G-7 WaterC'' Data'!$H$3:$L$3,0)),"")</f>
        <v/>
      </c>
      <c r="V43" s="109"/>
      <c r="W43" s="301" t="str">
        <f>IF(V43="","",IF(VLOOKUP(V43,'G-7 WaterC'' Data'!$AK$4:$AM$6,2,FALSE)=0,"Spatial Data Missing ⚠",VLOOKUP(V43,'G-7 WaterC'' Data'!$AK$4:$AM$6,2,FALSE)))</f>
        <v/>
      </c>
      <c r="X43" s="305" t="str">
        <f>IF(V43="","",IF(VLOOKUP(V43,'G-7 WaterC'' Data'!$AK$4:$AM$6,3,FALSE)=0,"Spatial Data Missing ⚠",VLOOKUP(V43,'G-7 WaterC'' Data'!$AK$4:$AM$6,3,FALSE)))</f>
        <v/>
      </c>
      <c r="Y43" s="317" t="str">
        <f>IFERROR(IF(OR(LEFT(P43,5)="Error",LEFT(O43,5)="Error"),"Check Data ⚠",IF(F43&lt;S43,'G-7 WaterC'' Data'!$R$3,INDEX('G-7 WaterC'' Data'!$U$5:$Y$9,MATCH(G43,'G-7 WaterC'' Data'!$T$5:$T$9,0),MATCH(T43,'G-7 WaterC'' Data'!$U$4:$Y$4,0)))),"")</f>
        <v/>
      </c>
      <c r="Z43" s="142"/>
      <c r="AA43" s="142"/>
      <c r="AB43" s="314" t="str">
        <f t="shared" si="4"/>
        <v/>
      </c>
      <c r="AC43" s="302" t="str">
        <f t="shared" si="5"/>
        <v/>
      </c>
      <c r="AD43" s="340" t="str">
        <f>IFERROR(IF(AC43="Check Data ⚠","Check Data ⚠",VLOOKUP(AC43,'G-4 Temporal multipliers'!$A$4:$C$37,3,FALSE)),"")</f>
        <v/>
      </c>
      <c r="AE43" s="317" t="str">
        <f>IF(N43="","",VLOOKUP(N43,'G-7 WaterC'' Data'!$B$4:$G$8,5,FALSE))</f>
        <v/>
      </c>
      <c r="AF43" s="301" t="str">
        <f t="shared" si="0"/>
        <v/>
      </c>
      <c r="AG43" s="301" t="str">
        <f t="shared" si="6"/>
        <v/>
      </c>
      <c r="AH43" s="282" t="str">
        <f t="shared" si="1"/>
        <v/>
      </c>
      <c r="AI43" s="109"/>
      <c r="AJ43" s="282" t="str">
        <f>IF(AI43="","",(IF(AND(AI43="N/A - Culvert",N43&lt;&gt;"Culvert"),"Not possible ▲",IF(VLOOKUP(AI43,'G-7 WaterC'' Data'!$AA$4:$AB$7,2,FALSE)=0,"Spatial Data Missing ⚠",VLOOKUP(AI43,'G-7 WaterC'' Data'!$AA$4:$AB$7,2,FALSE)))))</f>
        <v/>
      </c>
      <c r="AK43" s="110"/>
      <c r="AL43" s="316" t="str">
        <f>IF(AK43="","",IF(AND(AK43="N/A - Culvert",N43&lt;&gt;"Culvert"),"Not possible ▲",IF(VLOOKUP(AK43,'G-7 WaterC'' Data'!$AD$4:$AE$14,2,FALSE)=0,"Spatial Data Missing ⚠",VLOOKUP(AK43,'G-7 WaterC'' Data'!$AD$4:$AE$14,2,FALSE))))</f>
        <v/>
      </c>
      <c r="AM43" s="281" t="str">
        <f>IF(B43="","",VLOOKUP($B43,'F-1 Off-Site WaterC'' Baseline'!$C$9:$Z$257,17,FALSE))</f>
        <v/>
      </c>
      <c r="AN43" s="282" t="str">
        <f>IF(AM43="","",IF(VLOOKUP(AM43,'G-7 WaterC'' Data'!$AO$4:$BO$7,2,FALSE)=0,"Spatial Data Missing ⚠",VLOOKUP(AM43,'G-7 WaterC'' Data'!$AO$4:$BO$7,2,FALSE)))</f>
        <v/>
      </c>
      <c r="AO43" s="323" t="str">
        <f t="shared" si="7"/>
        <v/>
      </c>
      <c r="AP43" s="323" t="str">
        <f t="shared" si="8"/>
        <v/>
      </c>
      <c r="AQ43" s="105"/>
      <c r="AR43" s="119"/>
      <c r="AS43" s="108"/>
      <c r="AT43" s="108"/>
      <c r="AW43" s="30" t="str">
        <f>IF(E43="","",VLOOKUP($B43,'F-1 Off-Site WaterC'' Baseline'!$C$9:$Z$257,12,FALSE))</f>
        <v/>
      </c>
      <c r="AX43" s="30" t="str">
        <f>IF(E43="","",VLOOKUP($B43,'F-1 Off-Site WaterC'' Baseline'!$C$9:$Z$257,14,FALSE))</f>
        <v/>
      </c>
      <c r="AY43" s="30" t="str">
        <f>IFERROR(INDEX('G-7 WaterC'' Data'!$AZ$3:$AZ$7,MATCH(N43,'G-7 WaterC'' Data'!$AY$3:$AY$7,0)),"")</f>
        <v/>
      </c>
      <c r="AZ43" s="30" t="str">
        <f>IF(B43="","",IF(ISNA(VLOOKUP($B43,'F-1 Off-Site WaterC'' Baseline'!$C$8:$AD$257,20,FALSE)),"",(VLOOKUP($B43,'F-1 Off-Site WaterC'' Baseline'!$C$8:$AD$257,20,FALSE))))</f>
        <v/>
      </c>
      <c r="BC43" s="30" t="str">
        <f>IF(B43="","",VLOOKUP($B43,'F-1 Off-Site WaterC'' Baseline'!$C$9:$AB$257,25,FALSE))</f>
        <v/>
      </c>
      <c r="BD43" s="30" t="str">
        <f t="shared" si="9"/>
        <v/>
      </c>
      <c r="BE43" s="30" t="str">
        <f>IF(B43="","",VLOOKUP($B43,'F-1 Off-Site WaterC'' Baseline'!$C$9:$AB$257,24,FALSE))</f>
        <v/>
      </c>
      <c r="BF43" s="30" t="str">
        <f>IF(B43="","",VLOOKUP($B43,'F-1 Off-Site WaterC'' Baseline'!$C$9:$AB$257,22,FALSE))</f>
        <v/>
      </c>
      <c r="BJ43" s="30" t="str">
        <f t="shared" si="10"/>
        <v>No</v>
      </c>
    </row>
    <row r="44" spans="2:62" ht="13.8" x14ac:dyDescent="0.25">
      <c r="B44" s="311" t="str">
        <f>'F-1 Off-Site WaterC'' Baseline'!AS42</f>
        <v/>
      </c>
      <c r="C44" s="301" t="str">
        <f>IF(B44="","",VLOOKUP($B44,'F-1 Off-Site WaterC'' Baseline'!$C$9:$R$257,2,FALSE))</f>
        <v/>
      </c>
      <c r="D44" s="301" t="str">
        <f>IF(C44="","",VLOOKUP($B44,'F-1 Off-Site WaterC'' Baseline'!$C$9:$R$257,3,FALSE))</f>
        <v/>
      </c>
      <c r="E44" s="301" t="str">
        <f>IF(D44="","",VLOOKUP($B44,'F-1 Off-Site WaterC'' Baseline'!$C$9:$R$257,4,FALSE))</f>
        <v/>
      </c>
      <c r="F44" s="301" t="str">
        <f>IF(E44="","",VLOOKUP($B44,'F-1 Off-Site WaterC'' Baseline'!$C$9:$R$257,5,FALSE))</f>
        <v/>
      </c>
      <c r="G44" s="301" t="str">
        <f>IF(F44="","",VLOOKUP($B44,'F-1 Off-Site WaterC'' Baseline'!$C$9:$R$257,6,FALSE))</f>
        <v/>
      </c>
      <c r="H44" s="301" t="str">
        <f>IF(G44="","",VLOOKUP($B44,'F-1 Off-Site WaterC'' Baseline'!$C$9:$R$257,7,FALSE))</f>
        <v/>
      </c>
      <c r="I44" s="301" t="str">
        <f>IF(H44="","",VLOOKUP($B44,'F-1 Off-Site WaterC'' Baseline'!$C$9:$R$257,8,FALSE))</f>
        <v/>
      </c>
      <c r="J44" s="301" t="str">
        <f>IF(I44="","",VLOOKUP($B44,'F-1 Off-Site WaterC'' Baseline'!$C$9:$R$257,9,FALSE))</f>
        <v/>
      </c>
      <c r="K44" s="301" t="str">
        <f>IF(J44="","",VLOOKUP($B44,'F-1 Off-Site WaterC'' Baseline'!$C$9:$R$257,10,FALSE))</f>
        <v/>
      </c>
      <c r="L44" s="289" t="str">
        <f>IF(B44="","",VLOOKUP($B44,'F-1 Off-Site WaterC'' Baseline'!$C$9:$R$257,15,FALSE))</f>
        <v/>
      </c>
      <c r="M44" s="305" t="str">
        <f>IF(L44="","",VLOOKUP($B44,'F-1 Off-Site WaterC'' Baseline'!$C$9:$V$257,19,FALSE))</f>
        <v/>
      </c>
      <c r="N44" s="250"/>
      <c r="O44" s="281" t="str">
        <f t="shared" si="2"/>
        <v/>
      </c>
      <c r="P44" s="282" t="str">
        <f t="shared" si="3"/>
        <v/>
      </c>
      <c r="Q44" s="287" t="str">
        <f>IF(N44="","",VLOOKUP(B44,'F-1 Off-Site WaterC'' Baseline'!$C$10:$AF$257,23,FALSE))</f>
        <v/>
      </c>
      <c r="R44" s="281" t="str">
        <f>IF(N44="","",VLOOKUP(N44,'G-7 WaterC'' Data'!$B$2:$G$8,2,FALSE))</f>
        <v/>
      </c>
      <c r="S44" s="282" t="str">
        <f>IFERROR(VLOOKUP(R44,'G-7 WaterC'' Data'!$C$4:$D$8,2,FALSE),"")</f>
        <v/>
      </c>
      <c r="T44" s="105"/>
      <c r="U44" s="282" t="str">
        <f>IFERROR(INDEX('G-7 WaterC'' Data'!$H$4:$L$8,MATCH(N44,'G-7 WaterC'' Data'!$B$4:$B$8,0),MATCH(T44,'G-7 WaterC'' Data'!$H$3:$L$3,0)),"")</f>
        <v/>
      </c>
      <c r="V44" s="109"/>
      <c r="W44" s="301" t="str">
        <f>IF(V44="","",IF(VLOOKUP(V44,'G-7 WaterC'' Data'!$AK$4:$AM$6,2,FALSE)=0,"Spatial Data Missing ⚠",VLOOKUP(V44,'G-7 WaterC'' Data'!$AK$4:$AM$6,2,FALSE)))</f>
        <v/>
      </c>
      <c r="X44" s="305" t="str">
        <f>IF(V44="","",IF(VLOOKUP(V44,'G-7 WaterC'' Data'!$AK$4:$AM$6,3,FALSE)=0,"Spatial Data Missing ⚠",VLOOKUP(V44,'G-7 WaterC'' Data'!$AK$4:$AM$6,3,FALSE)))</f>
        <v/>
      </c>
      <c r="Y44" s="317" t="str">
        <f>IFERROR(IF(OR(LEFT(P44,5)="Error",LEFT(O44,5)="Error"),"Check Data ⚠",IF(F44&lt;S44,'G-7 WaterC'' Data'!$R$3,INDEX('G-7 WaterC'' Data'!$U$5:$Y$9,MATCH(G44,'G-7 WaterC'' Data'!$T$5:$T$9,0),MATCH(T44,'G-7 WaterC'' Data'!$U$4:$Y$4,0)))),"")</f>
        <v/>
      </c>
      <c r="Z44" s="142"/>
      <c r="AA44" s="142"/>
      <c r="AB44" s="314" t="str">
        <f t="shared" si="4"/>
        <v/>
      </c>
      <c r="AC44" s="302" t="str">
        <f t="shared" si="5"/>
        <v/>
      </c>
      <c r="AD44" s="340" t="str">
        <f>IFERROR(IF(AC44="Check Data ⚠","Check Data ⚠",VLOOKUP(AC44,'G-4 Temporal multipliers'!$A$4:$C$37,3,FALSE)),"")</f>
        <v/>
      </c>
      <c r="AE44" s="317" t="str">
        <f>IF(N44="","",VLOOKUP(N44,'G-7 WaterC'' Data'!$B$4:$G$8,5,FALSE))</f>
        <v/>
      </c>
      <c r="AF44" s="301" t="str">
        <f t="shared" si="0"/>
        <v/>
      </c>
      <c r="AG44" s="301" t="str">
        <f t="shared" si="6"/>
        <v/>
      </c>
      <c r="AH44" s="282" t="str">
        <f t="shared" si="1"/>
        <v/>
      </c>
      <c r="AI44" s="109"/>
      <c r="AJ44" s="282" t="str">
        <f>IF(AI44="","",(IF(AND(AI44="N/A - Culvert",N44&lt;&gt;"Culvert"),"Not possible ▲",IF(VLOOKUP(AI44,'G-7 WaterC'' Data'!$AA$4:$AB$7,2,FALSE)=0,"Spatial Data Missing ⚠",VLOOKUP(AI44,'G-7 WaterC'' Data'!$AA$4:$AB$7,2,FALSE)))))</f>
        <v/>
      </c>
      <c r="AK44" s="110"/>
      <c r="AL44" s="316" t="str">
        <f>IF(AK44="","",IF(AND(AK44="N/A - Culvert",N44&lt;&gt;"Culvert"),"Not possible ▲",IF(VLOOKUP(AK44,'G-7 WaterC'' Data'!$AD$4:$AE$14,2,FALSE)=0,"Spatial Data Missing ⚠",VLOOKUP(AK44,'G-7 WaterC'' Data'!$AD$4:$AE$14,2,FALSE))))</f>
        <v/>
      </c>
      <c r="AM44" s="281" t="str">
        <f>IF(B44="","",VLOOKUP($B44,'F-1 Off-Site WaterC'' Baseline'!$C$9:$Z$257,17,FALSE))</f>
        <v/>
      </c>
      <c r="AN44" s="282" t="str">
        <f>IF(AM44="","",IF(VLOOKUP(AM44,'G-7 WaterC'' Data'!$AO$4:$BO$7,2,FALSE)=0,"Spatial Data Missing ⚠",VLOOKUP(AM44,'G-7 WaterC'' Data'!$AO$4:$BO$7,2,FALSE)))</f>
        <v/>
      </c>
      <c r="AO44" s="323" t="str">
        <f t="shared" si="7"/>
        <v/>
      </c>
      <c r="AP44" s="323" t="str">
        <f t="shared" si="8"/>
        <v/>
      </c>
      <c r="AQ44" s="105"/>
      <c r="AR44" s="119"/>
      <c r="AS44" s="108"/>
      <c r="AT44" s="108"/>
      <c r="AW44" s="30" t="str">
        <f>IF(E44="","",VLOOKUP($B44,'F-1 Off-Site WaterC'' Baseline'!$C$9:$Z$257,12,FALSE))</f>
        <v/>
      </c>
      <c r="AX44" s="30" t="str">
        <f>IF(E44="","",VLOOKUP($B44,'F-1 Off-Site WaterC'' Baseline'!$C$9:$Z$257,14,FALSE))</f>
        <v/>
      </c>
      <c r="AY44" s="30" t="str">
        <f>IFERROR(INDEX('G-7 WaterC'' Data'!$AZ$3:$AZ$7,MATCH(N44,'G-7 WaterC'' Data'!$AY$3:$AY$7,0)),"")</f>
        <v/>
      </c>
      <c r="AZ44" s="30" t="str">
        <f>IF(B44="","",IF(ISNA(VLOOKUP($B44,'F-1 Off-Site WaterC'' Baseline'!$C$8:$AD$257,20,FALSE)),"",(VLOOKUP($B44,'F-1 Off-Site WaterC'' Baseline'!$C$8:$AD$257,20,FALSE))))</f>
        <v/>
      </c>
      <c r="BC44" s="30" t="str">
        <f>IF(B44="","",VLOOKUP($B44,'F-1 Off-Site WaterC'' Baseline'!$C$9:$AB$257,25,FALSE))</f>
        <v/>
      </c>
      <c r="BD44" s="30" t="str">
        <f t="shared" si="9"/>
        <v/>
      </c>
      <c r="BE44" s="30" t="str">
        <f>IF(B44="","",VLOOKUP($B44,'F-1 Off-Site WaterC'' Baseline'!$C$9:$AB$257,24,FALSE))</f>
        <v/>
      </c>
      <c r="BF44" s="30" t="str">
        <f>IF(B44="","",VLOOKUP($B44,'F-1 Off-Site WaterC'' Baseline'!$C$9:$AB$257,22,FALSE))</f>
        <v/>
      </c>
      <c r="BJ44" s="30" t="str">
        <f t="shared" si="10"/>
        <v>No</v>
      </c>
    </row>
    <row r="45" spans="2:62" ht="13.8" x14ac:dyDescent="0.25">
      <c r="B45" s="311" t="str">
        <f>'F-1 Off-Site WaterC'' Baseline'!AS43</f>
        <v/>
      </c>
      <c r="C45" s="301" t="str">
        <f>IF(B45="","",VLOOKUP($B45,'F-1 Off-Site WaterC'' Baseline'!$C$9:$R$257,2,FALSE))</f>
        <v/>
      </c>
      <c r="D45" s="301" t="str">
        <f>IF(C45="","",VLOOKUP($B45,'F-1 Off-Site WaterC'' Baseline'!$C$9:$R$257,3,FALSE))</f>
        <v/>
      </c>
      <c r="E45" s="301" t="str">
        <f>IF(D45="","",VLOOKUP($B45,'F-1 Off-Site WaterC'' Baseline'!$C$9:$R$257,4,FALSE))</f>
        <v/>
      </c>
      <c r="F45" s="301" t="str">
        <f>IF(E45="","",VLOOKUP($B45,'F-1 Off-Site WaterC'' Baseline'!$C$9:$R$257,5,FALSE))</f>
        <v/>
      </c>
      <c r="G45" s="301" t="str">
        <f>IF(F45="","",VLOOKUP($B45,'F-1 Off-Site WaterC'' Baseline'!$C$9:$R$257,6,FALSE))</f>
        <v/>
      </c>
      <c r="H45" s="301" t="str">
        <f>IF(G45="","",VLOOKUP($B45,'F-1 Off-Site WaterC'' Baseline'!$C$9:$R$257,7,FALSE))</f>
        <v/>
      </c>
      <c r="I45" s="301" t="str">
        <f>IF(H45="","",VLOOKUP($B45,'F-1 Off-Site WaterC'' Baseline'!$C$9:$R$257,8,FALSE))</f>
        <v/>
      </c>
      <c r="J45" s="301" t="str">
        <f>IF(I45="","",VLOOKUP($B45,'F-1 Off-Site WaterC'' Baseline'!$C$9:$R$257,9,FALSE))</f>
        <v/>
      </c>
      <c r="K45" s="301" t="str">
        <f>IF(J45="","",VLOOKUP($B45,'F-1 Off-Site WaterC'' Baseline'!$C$9:$R$257,10,FALSE))</f>
        <v/>
      </c>
      <c r="L45" s="289" t="str">
        <f>IF(B45="","",VLOOKUP($B45,'F-1 Off-Site WaterC'' Baseline'!$C$9:$R$257,15,FALSE))</f>
        <v/>
      </c>
      <c r="M45" s="305" t="str">
        <f>IF(L45="","",VLOOKUP($B45,'F-1 Off-Site WaterC'' Baseline'!$C$9:$V$257,19,FALSE))</f>
        <v/>
      </c>
      <c r="N45" s="250"/>
      <c r="O45" s="281" t="str">
        <f t="shared" si="2"/>
        <v/>
      </c>
      <c r="P45" s="282" t="str">
        <f t="shared" si="3"/>
        <v/>
      </c>
      <c r="Q45" s="287" t="str">
        <f>IF(N45="","",VLOOKUP(B45,'F-1 Off-Site WaterC'' Baseline'!$C$10:$AF$257,23,FALSE))</f>
        <v/>
      </c>
      <c r="R45" s="281" t="str">
        <f>IF(N45="","",VLOOKUP(N45,'G-7 WaterC'' Data'!$B$2:$G$8,2,FALSE))</f>
        <v/>
      </c>
      <c r="S45" s="282" t="str">
        <f>IFERROR(VLOOKUP(R45,'G-7 WaterC'' Data'!$C$4:$D$8,2,FALSE),"")</f>
        <v/>
      </c>
      <c r="T45" s="105"/>
      <c r="U45" s="282" t="str">
        <f>IFERROR(INDEX('G-7 WaterC'' Data'!$H$4:$L$8,MATCH(N45,'G-7 WaterC'' Data'!$B$4:$B$8,0),MATCH(T45,'G-7 WaterC'' Data'!$H$3:$L$3,0)),"")</f>
        <v/>
      </c>
      <c r="V45" s="109"/>
      <c r="W45" s="301" t="str">
        <f>IF(V45="","",IF(VLOOKUP(V45,'G-7 WaterC'' Data'!$AK$4:$AM$6,2,FALSE)=0,"Spatial Data Missing ⚠",VLOOKUP(V45,'G-7 WaterC'' Data'!$AK$4:$AM$6,2,FALSE)))</f>
        <v/>
      </c>
      <c r="X45" s="305" t="str">
        <f>IF(V45="","",IF(VLOOKUP(V45,'G-7 WaterC'' Data'!$AK$4:$AM$6,3,FALSE)=0,"Spatial Data Missing ⚠",VLOOKUP(V45,'G-7 WaterC'' Data'!$AK$4:$AM$6,3,FALSE)))</f>
        <v/>
      </c>
      <c r="Y45" s="317" t="str">
        <f>IFERROR(IF(OR(LEFT(P45,5)="Error",LEFT(O45,5)="Error"),"Check Data ⚠",IF(F45&lt;S45,'G-7 WaterC'' Data'!$R$3,INDEX('G-7 WaterC'' Data'!$U$5:$Y$9,MATCH(G45,'G-7 WaterC'' Data'!$T$5:$T$9,0),MATCH(T45,'G-7 WaterC'' Data'!$U$4:$Y$4,0)))),"")</f>
        <v/>
      </c>
      <c r="Z45" s="142"/>
      <c r="AA45" s="142"/>
      <c r="AB45" s="314" t="str">
        <f t="shared" si="4"/>
        <v/>
      </c>
      <c r="AC45" s="302" t="str">
        <f t="shared" si="5"/>
        <v/>
      </c>
      <c r="AD45" s="340" t="str">
        <f>IFERROR(IF(AC45="Check Data ⚠","Check Data ⚠",VLOOKUP(AC45,'G-4 Temporal multipliers'!$A$4:$C$37,3,FALSE)),"")</f>
        <v/>
      </c>
      <c r="AE45" s="317" t="str">
        <f>IF(N45="","",VLOOKUP(N45,'G-7 WaterC'' Data'!$B$4:$G$8,5,FALSE))</f>
        <v/>
      </c>
      <c r="AF45" s="301" t="str">
        <f t="shared" si="0"/>
        <v/>
      </c>
      <c r="AG45" s="301" t="str">
        <f t="shared" si="6"/>
        <v/>
      </c>
      <c r="AH45" s="282" t="str">
        <f t="shared" si="1"/>
        <v/>
      </c>
      <c r="AI45" s="109"/>
      <c r="AJ45" s="282" t="str">
        <f>IF(AI45="","",(IF(AND(AI45="N/A - Culvert",N45&lt;&gt;"Culvert"),"Not possible ▲",IF(VLOOKUP(AI45,'G-7 WaterC'' Data'!$AA$4:$AB$7,2,FALSE)=0,"Spatial Data Missing ⚠",VLOOKUP(AI45,'G-7 WaterC'' Data'!$AA$4:$AB$7,2,FALSE)))))</f>
        <v/>
      </c>
      <c r="AK45" s="110"/>
      <c r="AL45" s="316" t="str">
        <f>IF(AK45="","",IF(AND(AK45="N/A - Culvert",N45&lt;&gt;"Culvert"),"Not possible ▲",IF(VLOOKUP(AK45,'G-7 WaterC'' Data'!$AD$4:$AE$14,2,FALSE)=0,"Spatial Data Missing ⚠",VLOOKUP(AK45,'G-7 WaterC'' Data'!$AD$4:$AE$14,2,FALSE))))</f>
        <v/>
      </c>
      <c r="AM45" s="281" t="str">
        <f>IF(B45="","",VLOOKUP($B45,'F-1 Off-Site WaterC'' Baseline'!$C$9:$Z$257,17,FALSE))</f>
        <v/>
      </c>
      <c r="AN45" s="282" t="str">
        <f>IF(AM45="","",IF(VLOOKUP(AM45,'G-7 WaterC'' Data'!$AO$4:$BO$7,2,FALSE)=0,"Spatial Data Missing ⚠",VLOOKUP(AM45,'G-7 WaterC'' Data'!$AO$4:$BO$7,2,FALSE)))</f>
        <v/>
      </c>
      <c r="AO45" s="323" t="str">
        <f t="shared" si="7"/>
        <v/>
      </c>
      <c r="AP45" s="323" t="str">
        <f t="shared" si="8"/>
        <v/>
      </c>
      <c r="AQ45" s="105"/>
      <c r="AR45" s="119"/>
      <c r="AS45" s="108"/>
      <c r="AT45" s="108"/>
      <c r="AW45" s="30" t="str">
        <f>IF(E45="","",VLOOKUP($B45,'F-1 Off-Site WaterC'' Baseline'!$C$9:$Z$257,12,FALSE))</f>
        <v/>
      </c>
      <c r="AX45" s="30" t="str">
        <f>IF(E45="","",VLOOKUP($B45,'F-1 Off-Site WaterC'' Baseline'!$C$9:$Z$257,14,FALSE))</f>
        <v/>
      </c>
      <c r="AY45" s="30" t="str">
        <f>IFERROR(INDEX('G-7 WaterC'' Data'!$AZ$3:$AZ$7,MATCH(N45,'G-7 WaterC'' Data'!$AY$3:$AY$7,0)),"")</f>
        <v/>
      </c>
      <c r="AZ45" s="30" t="str">
        <f>IF(B45="","",IF(ISNA(VLOOKUP($B45,'F-1 Off-Site WaterC'' Baseline'!$C$8:$AD$257,20,FALSE)),"",(VLOOKUP($B45,'F-1 Off-Site WaterC'' Baseline'!$C$8:$AD$257,20,FALSE))))</f>
        <v/>
      </c>
      <c r="BC45" s="30" t="str">
        <f>IF(B45="","",VLOOKUP($B45,'F-1 Off-Site WaterC'' Baseline'!$C$9:$AB$257,25,FALSE))</f>
        <v/>
      </c>
      <c r="BD45" s="30" t="str">
        <f t="shared" si="9"/>
        <v/>
      </c>
      <c r="BE45" s="30" t="str">
        <f>IF(B45="","",VLOOKUP($B45,'F-1 Off-Site WaterC'' Baseline'!$C$9:$AB$257,24,FALSE))</f>
        <v/>
      </c>
      <c r="BF45" s="30" t="str">
        <f>IF(B45="","",VLOOKUP($B45,'F-1 Off-Site WaterC'' Baseline'!$C$9:$AB$257,22,FALSE))</f>
        <v/>
      </c>
      <c r="BJ45" s="30" t="str">
        <f t="shared" si="10"/>
        <v>No</v>
      </c>
    </row>
    <row r="46" spans="2:62" ht="13.8" x14ac:dyDescent="0.25">
      <c r="B46" s="311" t="str">
        <f>'F-1 Off-Site WaterC'' Baseline'!AS44</f>
        <v/>
      </c>
      <c r="C46" s="301" t="str">
        <f>IF(B46="","",VLOOKUP($B46,'F-1 Off-Site WaterC'' Baseline'!$C$9:$R$257,2,FALSE))</f>
        <v/>
      </c>
      <c r="D46" s="301" t="str">
        <f>IF(C46="","",VLOOKUP($B46,'F-1 Off-Site WaterC'' Baseline'!$C$9:$R$257,3,FALSE))</f>
        <v/>
      </c>
      <c r="E46" s="301" t="str">
        <f>IF(D46="","",VLOOKUP($B46,'F-1 Off-Site WaterC'' Baseline'!$C$9:$R$257,4,FALSE))</f>
        <v/>
      </c>
      <c r="F46" s="301" t="str">
        <f>IF(E46="","",VLOOKUP($B46,'F-1 Off-Site WaterC'' Baseline'!$C$9:$R$257,5,FALSE))</f>
        <v/>
      </c>
      <c r="G46" s="301" t="str">
        <f>IF(F46="","",VLOOKUP($B46,'F-1 Off-Site WaterC'' Baseline'!$C$9:$R$257,6,FALSE))</f>
        <v/>
      </c>
      <c r="H46" s="301" t="str">
        <f>IF(G46="","",VLOOKUP($B46,'F-1 Off-Site WaterC'' Baseline'!$C$9:$R$257,7,FALSE))</f>
        <v/>
      </c>
      <c r="I46" s="301" t="str">
        <f>IF(H46="","",VLOOKUP($B46,'F-1 Off-Site WaterC'' Baseline'!$C$9:$R$257,8,FALSE))</f>
        <v/>
      </c>
      <c r="J46" s="301" t="str">
        <f>IF(I46="","",VLOOKUP($B46,'F-1 Off-Site WaterC'' Baseline'!$C$9:$R$257,9,FALSE))</f>
        <v/>
      </c>
      <c r="K46" s="301" t="str">
        <f>IF(J46="","",VLOOKUP($B46,'F-1 Off-Site WaterC'' Baseline'!$C$9:$R$257,10,FALSE))</f>
        <v/>
      </c>
      <c r="L46" s="289" t="str">
        <f>IF(B46="","",VLOOKUP($B46,'F-1 Off-Site WaterC'' Baseline'!$C$9:$R$257,15,FALSE))</f>
        <v/>
      </c>
      <c r="M46" s="305" t="str">
        <f>IF(L46="","",VLOOKUP($B46,'F-1 Off-Site WaterC'' Baseline'!$C$9:$V$257,19,FALSE))</f>
        <v/>
      </c>
      <c r="N46" s="250"/>
      <c r="O46" s="281" t="str">
        <f t="shared" si="2"/>
        <v/>
      </c>
      <c r="P46" s="282" t="str">
        <f t="shared" si="3"/>
        <v/>
      </c>
      <c r="Q46" s="287" t="str">
        <f>IF(N46="","",VLOOKUP(B46,'F-1 Off-Site WaterC'' Baseline'!$C$10:$AF$257,23,FALSE))</f>
        <v/>
      </c>
      <c r="R46" s="281" t="str">
        <f>IF(N46="","",VLOOKUP(N46,'G-7 WaterC'' Data'!$B$2:$G$8,2,FALSE))</f>
        <v/>
      </c>
      <c r="S46" s="282" t="str">
        <f>IFERROR(VLOOKUP(R46,'G-7 WaterC'' Data'!$C$4:$D$8,2,FALSE),"")</f>
        <v/>
      </c>
      <c r="T46" s="105"/>
      <c r="U46" s="282" t="str">
        <f>IFERROR(INDEX('G-7 WaterC'' Data'!$H$4:$L$8,MATCH(N46,'G-7 WaterC'' Data'!$B$4:$B$8,0),MATCH(T46,'G-7 WaterC'' Data'!$H$3:$L$3,0)),"")</f>
        <v/>
      </c>
      <c r="V46" s="109"/>
      <c r="W46" s="301" t="str">
        <f>IF(V46="","",IF(VLOOKUP(V46,'G-7 WaterC'' Data'!$AK$4:$AM$6,2,FALSE)=0,"Spatial Data Missing ⚠",VLOOKUP(V46,'G-7 WaterC'' Data'!$AK$4:$AM$6,2,FALSE)))</f>
        <v/>
      </c>
      <c r="X46" s="305" t="str">
        <f>IF(V46="","",IF(VLOOKUP(V46,'G-7 WaterC'' Data'!$AK$4:$AM$6,3,FALSE)=0,"Spatial Data Missing ⚠",VLOOKUP(V46,'G-7 WaterC'' Data'!$AK$4:$AM$6,3,FALSE)))</f>
        <v/>
      </c>
      <c r="Y46" s="317" t="str">
        <f>IFERROR(IF(OR(LEFT(P46,5)="Error",LEFT(O46,5)="Error"),"Check Data ⚠",IF(F46&lt;S46,'G-7 WaterC'' Data'!$R$3,INDEX('G-7 WaterC'' Data'!$U$5:$Y$9,MATCH(G46,'G-7 WaterC'' Data'!$T$5:$T$9,0),MATCH(T46,'G-7 WaterC'' Data'!$U$4:$Y$4,0)))),"")</f>
        <v/>
      </c>
      <c r="Z46" s="142"/>
      <c r="AA46" s="142"/>
      <c r="AB46" s="314" t="str">
        <f t="shared" si="4"/>
        <v/>
      </c>
      <c r="AC46" s="302" t="str">
        <f t="shared" si="5"/>
        <v/>
      </c>
      <c r="AD46" s="340" t="str">
        <f>IFERROR(IF(AC46="Check Data ⚠","Check Data ⚠",VLOOKUP(AC46,'G-4 Temporal multipliers'!$A$4:$C$37,3,FALSE)),"")</f>
        <v/>
      </c>
      <c r="AE46" s="317" t="str">
        <f>IF(N46="","",VLOOKUP(N46,'G-7 WaterC'' Data'!$B$4:$G$8,5,FALSE))</f>
        <v/>
      </c>
      <c r="AF46" s="301" t="str">
        <f t="shared" si="0"/>
        <v/>
      </c>
      <c r="AG46" s="301" t="str">
        <f t="shared" si="6"/>
        <v/>
      </c>
      <c r="AH46" s="282" t="str">
        <f t="shared" si="1"/>
        <v/>
      </c>
      <c r="AI46" s="109"/>
      <c r="AJ46" s="282" t="str">
        <f>IF(AI46="","",(IF(AND(AI46="N/A - Culvert",N46&lt;&gt;"Culvert"),"Not possible ▲",IF(VLOOKUP(AI46,'G-7 WaterC'' Data'!$AA$4:$AB$7,2,FALSE)=0,"Spatial Data Missing ⚠",VLOOKUP(AI46,'G-7 WaterC'' Data'!$AA$4:$AB$7,2,FALSE)))))</f>
        <v/>
      </c>
      <c r="AK46" s="110"/>
      <c r="AL46" s="316" t="str">
        <f>IF(AK46="","",IF(AND(AK46="N/A - Culvert",N46&lt;&gt;"Culvert"),"Not possible ▲",IF(VLOOKUP(AK46,'G-7 WaterC'' Data'!$AD$4:$AE$14,2,FALSE)=0,"Spatial Data Missing ⚠",VLOOKUP(AK46,'G-7 WaterC'' Data'!$AD$4:$AE$14,2,FALSE))))</f>
        <v/>
      </c>
      <c r="AM46" s="281" t="str">
        <f>IF(B46="","",VLOOKUP($B46,'F-1 Off-Site WaterC'' Baseline'!$C$9:$Z$257,17,FALSE))</f>
        <v/>
      </c>
      <c r="AN46" s="282" t="str">
        <f>IF(AM46="","",IF(VLOOKUP(AM46,'G-7 WaterC'' Data'!$AO$4:$BO$7,2,FALSE)=0,"Spatial Data Missing ⚠",VLOOKUP(AM46,'G-7 WaterC'' Data'!$AO$4:$BO$7,2,FALSE)))</f>
        <v/>
      </c>
      <c r="AO46" s="323" t="str">
        <f t="shared" si="7"/>
        <v/>
      </c>
      <c r="AP46" s="323" t="str">
        <f t="shared" si="8"/>
        <v/>
      </c>
      <c r="AQ46" s="105"/>
      <c r="AR46" s="119"/>
      <c r="AS46" s="108"/>
      <c r="AT46" s="108"/>
      <c r="AW46" s="30" t="str">
        <f>IF(E46="","",VLOOKUP($B46,'F-1 Off-Site WaterC'' Baseline'!$C$9:$Z$257,12,FALSE))</f>
        <v/>
      </c>
      <c r="AX46" s="30" t="str">
        <f>IF(E46="","",VLOOKUP($B46,'F-1 Off-Site WaterC'' Baseline'!$C$9:$Z$257,14,FALSE))</f>
        <v/>
      </c>
      <c r="AY46" s="30" t="str">
        <f>IFERROR(INDEX('G-7 WaterC'' Data'!$AZ$3:$AZ$7,MATCH(N46,'G-7 WaterC'' Data'!$AY$3:$AY$7,0)),"")</f>
        <v/>
      </c>
      <c r="AZ46" s="30" t="str">
        <f>IF(B46="","",IF(ISNA(VLOOKUP($B46,'F-1 Off-Site WaterC'' Baseline'!$C$8:$AD$257,20,FALSE)),"",(VLOOKUP($B46,'F-1 Off-Site WaterC'' Baseline'!$C$8:$AD$257,20,FALSE))))</f>
        <v/>
      </c>
      <c r="BC46" s="30" t="str">
        <f>IF(B46="","",VLOOKUP($B46,'F-1 Off-Site WaterC'' Baseline'!$C$9:$AB$257,25,FALSE))</f>
        <v/>
      </c>
      <c r="BD46" s="30" t="str">
        <f t="shared" si="9"/>
        <v/>
      </c>
      <c r="BE46" s="30" t="str">
        <f>IF(B46="","",VLOOKUP($B46,'F-1 Off-Site WaterC'' Baseline'!$C$9:$AB$257,24,FALSE))</f>
        <v/>
      </c>
      <c r="BF46" s="30" t="str">
        <f>IF(B46="","",VLOOKUP($B46,'F-1 Off-Site WaterC'' Baseline'!$C$9:$AB$257,22,FALSE))</f>
        <v/>
      </c>
      <c r="BJ46" s="30" t="str">
        <f t="shared" si="10"/>
        <v>No</v>
      </c>
    </row>
    <row r="47" spans="2:62" ht="13.8" x14ac:dyDescent="0.25">
      <c r="B47" s="311" t="str">
        <f>'F-1 Off-Site WaterC'' Baseline'!AS45</f>
        <v/>
      </c>
      <c r="C47" s="301" t="str">
        <f>IF(B47="","",VLOOKUP($B47,'F-1 Off-Site WaterC'' Baseline'!$C$9:$R$257,2,FALSE))</f>
        <v/>
      </c>
      <c r="D47" s="301" t="str">
        <f>IF(C47="","",VLOOKUP($B47,'F-1 Off-Site WaterC'' Baseline'!$C$9:$R$257,3,FALSE))</f>
        <v/>
      </c>
      <c r="E47" s="301" t="str">
        <f>IF(D47="","",VLOOKUP($B47,'F-1 Off-Site WaterC'' Baseline'!$C$9:$R$257,4,FALSE))</f>
        <v/>
      </c>
      <c r="F47" s="301" t="str">
        <f>IF(E47="","",VLOOKUP($B47,'F-1 Off-Site WaterC'' Baseline'!$C$9:$R$257,5,FALSE))</f>
        <v/>
      </c>
      <c r="G47" s="301" t="str">
        <f>IF(F47="","",VLOOKUP($B47,'F-1 Off-Site WaterC'' Baseline'!$C$9:$R$257,6,FALSE))</f>
        <v/>
      </c>
      <c r="H47" s="301" t="str">
        <f>IF(G47="","",VLOOKUP($B47,'F-1 Off-Site WaterC'' Baseline'!$C$9:$R$257,7,FALSE))</f>
        <v/>
      </c>
      <c r="I47" s="301" t="str">
        <f>IF(H47="","",VLOOKUP($B47,'F-1 Off-Site WaterC'' Baseline'!$C$9:$R$257,8,FALSE))</f>
        <v/>
      </c>
      <c r="J47" s="301" t="str">
        <f>IF(I47="","",VLOOKUP($B47,'F-1 Off-Site WaterC'' Baseline'!$C$9:$R$257,9,FALSE))</f>
        <v/>
      </c>
      <c r="K47" s="301" t="str">
        <f>IF(J47="","",VLOOKUP($B47,'F-1 Off-Site WaterC'' Baseline'!$C$9:$R$257,10,FALSE))</f>
        <v/>
      </c>
      <c r="L47" s="289" t="str">
        <f>IF(B47="","",VLOOKUP($B47,'F-1 Off-Site WaterC'' Baseline'!$C$9:$R$257,15,FALSE))</f>
        <v/>
      </c>
      <c r="M47" s="305" t="str">
        <f>IF(L47="","",VLOOKUP($B47,'F-1 Off-Site WaterC'' Baseline'!$C$9:$V$257,19,FALSE))</f>
        <v/>
      </c>
      <c r="N47" s="250"/>
      <c r="O47" s="281" t="str">
        <f t="shared" si="2"/>
        <v/>
      </c>
      <c r="P47" s="282" t="str">
        <f t="shared" si="3"/>
        <v/>
      </c>
      <c r="Q47" s="287" t="str">
        <f>IF(N47="","",VLOOKUP(B47,'F-1 Off-Site WaterC'' Baseline'!$C$10:$AF$257,23,FALSE))</f>
        <v/>
      </c>
      <c r="R47" s="281" t="str">
        <f>IF(N47="","",VLOOKUP(N47,'G-7 WaterC'' Data'!$B$2:$G$8,2,FALSE))</f>
        <v/>
      </c>
      <c r="S47" s="282" t="str">
        <f>IFERROR(VLOOKUP(R47,'G-7 WaterC'' Data'!$C$4:$D$8,2,FALSE),"")</f>
        <v/>
      </c>
      <c r="T47" s="105"/>
      <c r="U47" s="282" t="str">
        <f>IFERROR(INDEX('G-7 WaterC'' Data'!$H$4:$L$8,MATCH(N47,'G-7 WaterC'' Data'!$B$4:$B$8,0),MATCH(T47,'G-7 WaterC'' Data'!$H$3:$L$3,0)),"")</f>
        <v/>
      </c>
      <c r="V47" s="109"/>
      <c r="W47" s="301" t="str">
        <f>IF(V47="","",IF(VLOOKUP(V47,'G-7 WaterC'' Data'!$AK$4:$AM$6,2,FALSE)=0,"Spatial Data Missing ⚠",VLOOKUP(V47,'G-7 WaterC'' Data'!$AK$4:$AM$6,2,FALSE)))</f>
        <v/>
      </c>
      <c r="X47" s="305" t="str">
        <f>IF(V47="","",IF(VLOOKUP(V47,'G-7 WaterC'' Data'!$AK$4:$AM$6,3,FALSE)=0,"Spatial Data Missing ⚠",VLOOKUP(V47,'G-7 WaterC'' Data'!$AK$4:$AM$6,3,FALSE)))</f>
        <v/>
      </c>
      <c r="Y47" s="317" t="str">
        <f>IFERROR(IF(OR(LEFT(P47,5)="Error",LEFT(O47,5)="Error"),"Check Data ⚠",IF(F47&lt;S47,'G-7 WaterC'' Data'!$R$3,INDEX('G-7 WaterC'' Data'!$U$5:$Y$9,MATCH(G47,'G-7 WaterC'' Data'!$T$5:$T$9,0),MATCH(T47,'G-7 WaterC'' Data'!$U$4:$Y$4,0)))),"")</f>
        <v/>
      </c>
      <c r="Z47" s="142"/>
      <c r="AA47" s="142"/>
      <c r="AB47" s="314" t="str">
        <f t="shared" si="4"/>
        <v/>
      </c>
      <c r="AC47" s="302" t="str">
        <f t="shared" si="5"/>
        <v/>
      </c>
      <c r="AD47" s="340" t="str">
        <f>IFERROR(IF(AC47="Check Data ⚠","Check Data ⚠",VLOOKUP(AC47,'G-4 Temporal multipliers'!$A$4:$C$37,3,FALSE)),"")</f>
        <v/>
      </c>
      <c r="AE47" s="317" t="str">
        <f>IF(N47="","",VLOOKUP(N47,'G-7 WaterC'' Data'!$B$4:$G$8,5,FALSE))</f>
        <v/>
      </c>
      <c r="AF47" s="301" t="str">
        <f t="shared" si="0"/>
        <v/>
      </c>
      <c r="AG47" s="301" t="str">
        <f t="shared" si="6"/>
        <v/>
      </c>
      <c r="AH47" s="282" t="str">
        <f t="shared" si="1"/>
        <v/>
      </c>
      <c r="AI47" s="109"/>
      <c r="AJ47" s="282" t="str">
        <f>IF(AI47="","",(IF(AND(AI47="N/A - Culvert",N47&lt;&gt;"Culvert"),"Not possible ▲",IF(VLOOKUP(AI47,'G-7 WaterC'' Data'!$AA$4:$AB$7,2,FALSE)=0,"Spatial Data Missing ⚠",VLOOKUP(AI47,'G-7 WaterC'' Data'!$AA$4:$AB$7,2,FALSE)))))</f>
        <v/>
      </c>
      <c r="AK47" s="110"/>
      <c r="AL47" s="316" t="str">
        <f>IF(AK47="","",IF(AND(AK47="N/A - Culvert",N47&lt;&gt;"Culvert"),"Not possible ▲",IF(VLOOKUP(AK47,'G-7 WaterC'' Data'!$AD$4:$AE$14,2,FALSE)=0,"Spatial Data Missing ⚠",VLOOKUP(AK47,'G-7 WaterC'' Data'!$AD$4:$AE$14,2,FALSE))))</f>
        <v/>
      </c>
      <c r="AM47" s="281" t="str">
        <f>IF(B47="","",VLOOKUP($B47,'F-1 Off-Site WaterC'' Baseline'!$C$9:$Z$257,17,FALSE))</f>
        <v/>
      </c>
      <c r="AN47" s="282" t="str">
        <f>IF(AM47="","",IF(VLOOKUP(AM47,'G-7 WaterC'' Data'!$AO$4:$BO$7,2,FALSE)=0,"Spatial Data Missing ⚠",VLOOKUP(AM47,'G-7 WaterC'' Data'!$AO$4:$BO$7,2,FALSE)))</f>
        <v/>
      </c>
      <c r="AO47" s="323" t="str">
        <f t="shared" si="7"/>
        <v/>
      </c>
      <c r="AP47" s="323" t="str">
        <f t="shared" si="8"/>
        <v/>
      </c>
      <c r="AQ47" s="105"/>
      <c r="AR47" s="119"/>
      <c r="AS47" s="108"/>
      <c r="AT47" s="108"/>
      <c r="AW47" s="30" t="str">
        <f>IF(E47="","",VLOOKUP($B47,'F-1 Off-Site WaterC'' Baseline'!$C$9:$Z$257,12,FALSE))</f>
        <v/>
      </c>
      <c r="AX47" s="30" t="str">
        <f>IF(E47="","",VLOOKUP($B47,'F-1 Off-Site WaterC'' Baseline'!$C$9:$Z$257,14,FALSE))</f>
        <v/>
      </c>
      <c r="AY47" s="30" t="str">
        <f>IFERROR(INDEX('G-7 WaterC'' Data'!$AZ$3:$AZ$7,MATCH(N47,'G-7 WaterC'' Data'!$AY$3:$AY$7,0)),"")</f>
        <v/>
      </c>
      <c r="AZ47" s="30" t="str">
        <f>IF(B47="","",IF(ISNA(VLOOKUP($B47,'F-1 Off-Site WaterC'' Baseline'!$C$8:$AD$257,20,FALSE)),"",(VLOOKUP($B47,'F-1 Off-Site WaterC'' Baseline'!$C$8:$AD$257,20,FALSE))))</f>
        <v/>
      </c>
      <c r="BC47" s="30" t="str">
        <f>IF(B47="","",VLOOKUP($B47,'F-1 Off-Site WaterC'' Baseline'!$C$9:$AB$257,25,FALSE))</f>
        <v/>
      </c>
      <c r="BD47" s="30" t="str">
        <f t="shared" si="9"/>
        <v/>
      </c>
      <c r="BE47" s="30" t="str">
        <f>IF(B47="","",VLOOKUP($B47,'F-1 Off-Site WaterC'' Baseline'!$C$9:$AB$257,24,FALSE))</f>
        <v/>
      </c>
      <c r="BF47" s="30" t="str">
        <f>IF(B47="","",VLOOKUP($B47,'F-1 Off-Site WaterC'' Baseline'!$C$9:$AB$257,22,FALSE))</f>
        <v/>
      </c>
      <c r="BJ47" s="30" t="str">
        <f t="shared" si="10"/>
        <v>No</v>
      </c>
    </row>
    <row r="48" spans="2:62" ht="13.8" x14ac:dyDescent="0.25">
      <c r="B48" s="311" t="str">
        <f>'F-1 Off-Site WaterC'' Baseline'!AS46</f>
        <v/>
      </c>
      <c r="C48" s="301" t="str">
        <f>IF(B48="","",VLOOKUP($B48,'F-1 Off-Site WaterC'' Baseline'!$C$9:$R$257,2,FALSE))</f>
        <v/>
      </c>
      <c r="D48" s="301" t="str">
        <f>IF(C48="","",VLOOKUP($B48,'F-1 Off-Site WaterC'' Baseline'!$C$9:$R$257,3,FALSE))</f>
        <v/>
      </c>
      <c r="E48" s="301" t="str">
        <f>IF(D48="","",VLOOKUP($B48,'F-1 Off-Site WaterC'' Baseline'!$C$9:$R$257,4,FALSE))</f>
        <v/>
      </c>
      <c r="F48" s="301" t="str">
        <f>IF(E48="","",VLOOKUP($B48,'F-1 Off-Site WaterC'' Baseline'!$C$9:$R$257,5,FALSE))</f>
        <v/>
      </c>
      <c r="G48" s="301" t="str">
        <f>IF(F48="","",VLOOKUP($B48,'F-1 Off-Site WaterC'' Baseline'!$C$9:$R$257,6,FALSE))</f>
        <v/>
      </c>
      <c r="H48" s="301" t="str">
        <f>IF(G48="","",VLOOKUP($B48,'F-1 Off-Site WaterC'' Baseline'!$C$9:$R$257,7,FALSE))</f>
        <v/>
      </c>
      <c r="I48" s="301" t="str">
        <f>IF(H48="","",VLOOKUP($B48,'F-1 Off-Site WaterC'' Baseline'!$C$9:$R$257,8,FALSE))</f>
        <v/>
      </c>
      <c r="J48" s="301" t="str">
        <f>IF(I48="","",VLOOKUP($B48,'F-1 Off-Site WaterC'' Baseline'!$C$9:$R$257,9,FALSE))</f>
        <v/>
      </c>
      <c r="K48" s="301" t="str">
        <f>IF(J48="","",VLOOKUP($B48,'F-1 Off-Site WaterC'' Baseline'!$C$9:$R$257,10,FALSE))</f>
        <v/>
      </c>
      <c r="L48" s="289" t="str">
        <f>IF(B48="","",VLOOKUP($B48,'F-1 Off-Site WaterC'' Baseline'!$C$9:$R$257,15,FALSE))</f>
        <v/>
      </c>
      <c r="M48" s="305" t="str">
        <f>IF(L48="","",VLOOKUP($B48,'F-1 Off-Site WaterC'' Baseline'!$C$9:$V$257,19,FALSE))</f>
        <v/>
      </c>
      <c r="N48" s="250"/>
      <c r="O48" s="281" t="str">
        <f t="shared" si="2"/>
        <v/>
      </c>
      <c r="P48" s="282" t="str">
        <f t="shared" si="3"/>
        <v/>
      </c>
      <c r="Q48" s="287" t="str">
        <f>IF(N48="","",VLOOKUP(B48,'F-1 Off-Site WaterC'' Baseline'!$C$10:$AF$257,23,FALSE))</f>
        <v/>
      </c>
      <c r="R48" s="281" t="str">
        <f>IF(N48="","",VLOOKUP(N48,'G-7 WaterC'' Data'!$B$2:$G$8,2,FALSE))</f>
        <v/>
      </c>
      <c r="S48" s="282" t="str">
        <f>IFERROR(VLOOKUP(R48,'G-7 WaterC'' Data'!$C$4:$D$8,2,FALSE),"")</f>
        <v/>
      </c>
      <c r="T48" s="105"/>
      <c r="U48" s="282" t="str">
        <f>IFERROR(INDEX('G-7 WaterC'' Data'!$H$4:$L$8,MATCH(N48,'G-7 WaterC'' Data'!$B$4:$B$8,0),MATCH(T48,'G-7 WaterC'' Data'!$H$3:$L$3,0)),"")</f>
        <v/>
      </c>
      <c r="V48" s="109"/>
      <c r="W48" s="301" t="str">
        <f>IF(V48="","",IF(VLOOKUP(V48,'G-7 WaterC'' Data'!$AK$4:$AM$6,2,FALSE)=0,"Spatial Data Missing ⚠",VLOOKUP(V48,'G-7 WaterC'' Data'!$AK$4:$AM$6,2,FALSE)))</f>
        <v/>
      </c>
      <c r="X48" s="305" t="str">
        <f>IF(V48="","",IF(VLOOKUP(V48,'G-7 WaterC'' Data'!$AK$4:$AM$6,3,FALSE)=0,"Spatial Data Missing ⚠",VLOOKUP(V48,'G-7 WaterC'' Data'!$AK$4:$AM$6,3,FALSE)))</f>
        <v/>
      </c>
      <c r="Y48" s="317" t="str">
        <f>IFERROR(IF(OR(LEFT(P48,5)="Error",LEFT(O48,5)="Error"),"Check Data ⚠",IF(F48&lt;S48,'G-7 WaterC'' Data'!$R$3,INDEX('G-7 WaterC'' Data'!$U$5:$Y$9,MATCH(G48,'G-7 WaterC'' Data'!$T$5:$T$9,0),MATCH(T48,'G-7 WaterC'' Data'!$U$4:$Y$4,0)))),"")</f>
        <v/>
      </c>
      <c r="Z48" s="142"/>
      <c r="AA48" s="142"/>
      <c r="AB48" s="314" t="str">
        <f t="shared" si="4"/>
        <v/>
      </c>
      <c r="AC48" s="302" t="str">
        <f t="shared" si="5"/>
        <v/>
      </c>
      <c r="AD48" s="340" t="str">
        <f>IFERROR(IF(AC48="Check Data ⚠","Check Data ⚠",VLOOKUP(AC48,'G-4 Temporal multipliers'!$A$4:$C$37,3,FALSE)),"")</f>
        <v/>
      </c>
      <c r="AE48" s="317" t="str">
        <f>IF(N48="","",VLOOKUP(N48,'G-7 WaterC'' Data'!$B$4:$G$8,5,FALSE))</f>
        <v/>
      </c>
      <c r="AF48" s="301" t="str">
        <f t="shared" si="0"/>
        <v/>
      </c>
      <c r="AG48" s="301" t="str">
        <f t="shared" si="6"/>
        <v/>
      </c>
      <c r="AH48" s="282" t="str">
        <f t="shared" si="1"/>
        <v/>
      </c>
      <c r="AI48" s="109"/>
      <c r="AJ48" s="282" t="str">
        <f>IF(AI48="","",(IF(AND(AI48="N/A - Culvert",N48&lt;&gt;"Culvert"),"Not possible ▲",IF(VLOOKUP(AI48,'G-7 WaterC'' Data'!$AA$4:$AB$7,2,FALSE)=0,"Spatial Data Missing ⚠",VLOOKUP(AI48,'G-7 WaterC'' Data'!$AA$4:$AB$7,2,FALSE)))))</f>
        <v/>
      </c>
      <c r="AK48" s="110"/>
      <c r="AL48" s="316" t="str">
        <f>IF(AK48="","",IF(AND(AK48="N/A - Culvert",N48&lt;&gt;"Culvert"),"Not possible ▲",IF(VLOOKUP(AK48,'G-7 WaterC'' Data'!$AD$4:$AE$14,2,FALSE)=0,"Spatial Data Missing ⚠",VLOOKUP(AK48,'G-7 WaterC'' Data'!$AD$4:$AE$14,2,FALSE))))</f>
        <v/>
      </c>
      <c r="AM48" s="281" t="str">
        <f>IF(B48="","",VLOOKUP($B48,'F-1 Off-Site WaterC'' Baseline'!$C$9:$Z$257,17,FALSE))</f>
        <v/>
      </c>
      <c r="AN48" s="282" t="str">
        <f>IF(AM48="","",IF(VLOOKUP(AM48,'G-7 WaterC'' Data'!$AO$4:$BO$7,2,FALSE)=0,"Spatial Data Missing ⚠",VLOOKUP(AM48,'G-7 WaterC'' Data'!$AO$4:$BO$7,2,FALSE)))</f>
        <v/>
      </c>
      <c r="AO48" s="323" t="str">
        <f t="shared" si="7"/>
        <v/>
      </c>
      <c r="AP48" s="323" t="str">
        <f t="shared" si="8"/>
        <v/>
      </c>
      <c r="AQ48" s="105"/>
      <c r="AR48" s="119"/>
      <c r="AS48" s="108"/>
      <c r="AT48" s="108"/>
      <c r="AW48" s="30" t="str">
        <f>IF(E48="","",VLOOKUP($B48,'F-1 Off-Site WaterC'' Baseline'!$C$9:$Z$257,12,FALSE))</f>
        <v/>
      </c>
      <c r="AX48" s="30" t="str">
        <f>IF(E48="","",VLOOKUP($B48,'F-1 Off-Site WaterC'' Baseline'!$C$9:$Z$257,14,FALSE))</f>
        <v/>
      </c>
      <c r="AY48" s="30" t="str">
        <f>IFERROR(INDEX('G-7 WaterC'' Data'!$AZ$3:$AZ$7,MATCH(N48,'G-7 WaterC'' Data'!$AY$3:$AY$7,0)),"")</f>
        <v/>
      </c>
      <c r="AZ48" s="30" t="str">
        <f>IF(B48="","",IF(ISNA(VLOOKUP($B48,'F-1 Off-Site WaterC'' Baseline'!$C$8:$AD$257,20,FALSE)),"",(VLOOKUP($B48,'F-1 Off-Site WaterC'' Baseline'!$C$8:$AD$257,20,FALSE))))</f>
        <v/>
      </c>
      <c r="BC48" s="30" t="str">
        <f>IF(B48="","",VLOOKUP($B48,'F-1 Off-Site WaterC'' Baseline'!$C$9:$AB$257,25,FALSE))</f>
        <v/>
      </c>
      <c r="BD48" s="30" t="str">
        <f t="shared" si="9"/>
        <v/>
      </c>
      <c r="BE48" s="30" t="str">
        <f>IF(B48="","",VLOOKUP($B48,'F-1 Off-Site WaterC'' Baseline'!$C$9:$AB$257,24,FALSE))</f>
        <v/>
      </c>
      <c r="BF48" s="30" t="str">
        <f>IF(B48="","",VLOOKUP($B48,'F-1 Off-Site WaterC'' Baseline'!$C$9:$AB$257,22,FALSE))</f>
        <v/>
      </c>
      <c r="BJ48" s="30" t="str">
        <f t="shared" si="10"/>
        <v>No</v>
      </c>
    </row>
    <row r="49" spans="2:62" ht="13.8" x14ac:dyDescent="0.25">
      <c r="B49" s="311" t="str">
        <f>'F-1 Off-Site WaterC'' Baseline'!AS47</f>
        <v/>
      </c>
      <c r="C49" s="301" t="str">
        <f>IF(B49="","",VLOOKUP($B49,'F-1 Off-Site WaterC'' Baseline'!$C$9:$R$257,2,FALSE))</f>
        <v/>
      </c>
      <c r="D49" s="301" t="str">
        <f>IF(C49="","",VLOOKUP($B49,'F-1 Off-Site WaterC'' Baseline'!$C$9:$R$257,3,FALSE))</f>
        <v/>
      </c>
      <c r="E49" s="301" t="str">
        <f>IF(D49="","",VLOOKUP($B49,'F-1 Off-Site WaterC'' Baseline'!$C$9:$R$257,4,FALSE))</f>
        <v/>
      </c>
      <c r="F49" s="301" t="str">
        <f>IF(E49="","",VLOOKUP($B49,'F-1 Off-Site WaterC'' Baseline'!$C$9:$R$257,5,FALSE))</f>
        <v/>
      </c>
      <c r="G49" s="301" t="str">
        <f>IF(F49="","",VLOOKUP($B49,'F-1 Off-Site WaterC'' Baseline'!$C$9:$R$257,6,FALSE))</f>
        <v/>
      </c>
      <c r="H49" s="301" t="str">
        <f>IF(G49="","",VLOOKUP($B49,'F-1 Off-Site WaterC'' Baseline'!$C$9:$R$257,7,FALSE))</f>
        <v/>
      </c>
      <c r="I49" s="301" t="str">
        <f>IF(H49="","",VLOOKUP($B49,'F-1 Off-Site WaterC'' Baseline'!$C$9:$R$257,8,FALSE))</f>
        <v/>
      </c>
      <c r="J49" s="301" t="str">
        <f>IF(I49="","",VLOOKUP($B49,'F-1 Off-Site WaterC'' Baseline'!$C$9:$R$257,9,FALSE))</f>
        <v/>
      </c>
      <c r="K49" s="301" t="str">
        <f>IF(J49="","",VLOOKUP($B49,'F-1 Off-Site WaterC'' Baseline'!$C$9:$R$257,10,FALSE))</f>
        <v/>
      </c>
      <c r="L49" s="289" t="str">
        <f>IF(B49="","",VLOOKUP($B49,'F-1 Off-Site WaterC'' Baseline'!$C$9:$R$257,15,FALSE))</f>
        <v/>
      </c>
      <c r="M49" s="305" t="str">
        <f>IF(L49="","",VLOOKUP($B49,'F-1 Off-Site WaterC'' Baseline'!$C$9:$V$257,19,FALSE))</f>
        <v/>
      </c>
      <c r="N49" s="250"/>
      <c r="O49" s="281" t="str">
        <f t="shared" si="2"/>
        <v/>
      </c>
      <c r="P49" s="282" t="str">
        <f t="shared" si="3"/>
        <v/>
      </c>
      <c r="Q49" s="287" t="str">
        <f>IF(N49="","",VLOOKUP(B49,'F-1 Off-Site WaterC'' Baseline'!$C$10:$AF$257,23,FALSE))</f>
        <v/>
      </c>
      <c r="R49" s="281" t="str">
        <f>IF(N49="","",VLOOKUP(N49,'G-7 WaterC'' Data'!$B$2:$G$8,2,FALSE))</f>
        <v/>
      </c>
      <c r="S49" s="282" t="str">
        <f>IFERROR(VLOOKUP(R49,'G-7 WaterC'' Data'!$C$4:$D$8,2,FALSE),"")</f>
        <v/>
      </c>
      <c r="T49" s="105"/>
      <c r="U49" s="282" t="str">
        <f>IFERROR(INDEX('G-7 WaterC'' Data'!$H$4:$L$8,MATCH(N49,'G-7 WaterC'' Data'!$B$4:$B$8,0),MATCH(T49,'G-7 WaterC'' Data'!$H$3:$L$3,0)),"")</f>
        <v/>
      </c>
      <c r="V49" s="109"/>
      <c r="W49" s="301" t="str">
        <f>IF(V49="","",IF(VLOOKUP(V49,'G-7 WaterC'' Data'!$AK$4:$AM$6,2,FALSE)=0,"Spatial Data Missing ⚠",VLOOKUP(V49,'G-7 WaterC'' Data'!$AK$4:$AM$6,2,FALSE)))</f>
        <v/>
      </c>
      <c r="X49" s="305" t="str">
        <f>IF(V49="","",IF(VLOOKUP(V49,'G-7 WaterC'' Data'!$AK$4:$AM$6,3,FALSE)=0,"Spatial Data Missing ⚠",VLOOKUP(V49,'G-7 WaterC'' Data'!$AK$4:$AM$6,3,FALSE)))</f>
        <v/>
      </c>
      <c r="Y49" s="317" t="str">
        <f>IFERROR(IF(OR(LEFT(P49,5)="Error",LEFT(O49,5)="Error"),"Check Data ⚠",IF(F49&lt;S49,'G-7 WaterC'' Data'!$R$3,INDEX('G-7 WaterC'' Data'!$U$5:$Y$9,MATCH(G49,'G-7 WaterC'' Data'!$T$5:$T$9,0),MATCH(T49,'G-7 WaterC'' Data'!$U$4:$Y$4,0)))),"")</f>
        <v/>
      </c>
      <c r="Z49" s="142"/>
      <c r="AA49" s="142"/>
      <c r="AB49" s="314" t="str">
        <f t="shared" si="4"/>
        <v/>
      </c>
      <c r="AC49" s="302" t="str">
        <f t="shared" si="5"/>
        <v/>
      </c>
      <c r="AD49" s="340" t="str">
        <f>IFERROR(IF(AC49="Check Data ⚠","Check Data ⚠",VLOOKUP(AC49,'G-4 Temporal multipliers'!$A$4:$C$37,3,FALSE)),"")</f>
        <v/>
      </c>
      <c r="AE49" s="317" t="str">
        <f>IF(N49="","",VLOOKUP(N49,'G-7 WaterC'' Data'!$B$4:$G$8,5,FALSE))</f>
        <v/>
      </c>
      <c r="AF49" s="301" t="str">
        <f t="shared" si="0"/>
        <v/>
      </c>
      <c r="AG49" s="301" t="str">
        <f t="shared" si="6"/>
        <v/>
      </c>
      <c r="AH49" s="282" t="str">
        <f t="shared" si="1"/>
        <v/>
      </c>
      <c r="AI49" s="109"/>
      <c r="AJ49" s="282" t="str">
        <f>IF(AI49="","",(IF(AND(AI49="N/A - Culvert",N49&lt;&gt;"Culvert"),"Not possible ▲",IF(VLOOKUP(AI49,'G-7 WaterC'' Data'!$AA$4:$AB$7,2,FALSE)=0,"Spatial Data Missing ⚠",VLOOKUP(AI49,'G-7 WaterC'' Data'!$AA$4:$AB$7,2,FALSE)))))</f>
        <v/>
      </c>
      <c r="AK49" s="110"/>
      <c r="AL49" s="316" t="str">
        <f>IF(AK49="","",IF(AND(AK49="N/A - Culvert",N49&lt;&gt;"Culvert"),"Not possible ▲",IF(VLOOKUP(AK49,'G-7 WaterC'' Data'!$AD$4:$AE$14,2,FALSE)=0,"Spatial Data Missing ⚠",VLOOKUP(AK49,'G-7 WaterC'' Data'!$AD$4:$AE$14,2,FALSE))))</f>
        <v/>
      </c>
      <c r="AM49" s="281" t="str">
        <f>IF(B49="","",VLOOKUP($B49,'F-1 Off-Site WaterC'' Baseline'!$C$9:$Z$257,17,FALSE))</f>
        <v/>
      </c>
      <c r="AN49" s="282" t="str">
        <f>IF(AM49="","",IF(VLOOKUP(AM49,'G-7 WaterC'' Data'!$AO$4:$BO$7,2,FALSE)=0,"Spatial Data Missing ⚠",VLOOKUP(AM49,'G-7 WaterC'' Data'!$AO$4:$BO$7,2,FALSE)))</f>
        <v/>
      </c>
      <c r="AO49" s="323" t="str">
        <f t="shared" si="7"/>
        <v/>
      </c>
      <c r="AP49" s="323" t="str">
        <f t="shared" si="8"/>
        <v/>
      </c>
      <c r="AQ49" s="105"/>
      <c r="AR49" s="119"/>
      <c r="AS49" s="108"/>
      <c r="AT49" s="108"/>
      <c r="AW49" s="30" t="str">
        <f>IF(E49="","",VLOOKUP($B49,'F-1 Off-Site WaterC'' Baseline'!$C$9:$Z$257,12,FALSE))</f>
        <v/>
      </c>
      <c r="AX49" s="30" t="str">
        <f>IF(E49="","",VLOOKUP($B49,'F-1 Off-Site WaterC'' Baseline'!$C$9:$Z$257,14,FALSE))</f>
        <v/>
      </c>
      <c r="AY49" s="30" t="str">
        <f>IFERROR(INDEX('G-7 WaterC'' Data'!$AZ$3:$AZ$7,MATCH(N49,'G-7 WaterC'' Data'!$AY$3:$AY$7,0)),"")</f>
        <v/>
      </c>
      <c r="AZ49" s="30" t="str">
        <f>IF(B49="","",IF(ISNA(VLOOKUP($B49,'F-1 Off-Site WaterC'' Baseline'!$C$8:$AD$257,20,FALSE)),"",(VLOOKUP($B49,'F-1 Off-Site WaterC'' Baseline'!$C$8:$AD$257,20,FALSE))))</f>
        <v/>
      </c>
      <c r="BC49" s="30" t="str">
        <f>IF(B49="","",VLOOKUP($B49,'F-1 Off-Site WaterC'' Baseline'!$C$9:$AB$257,25,FALSE))</f>
        <v/>
      </c>
      <c r="BD49" s="30" t="str">
        <f t="shared" si="9"/>
        <v/>
      </c>
      <c r="BE49" s="30" t="str">
        <f>IF(B49="","",VLOOKUP($B49,'F-1 Off-Site WaterC'' Baseline'!$C$9:$AB$257,24,FALSE))</f>
        <v/>
      </c>
      <c r="BF49" s="30" t="str">
        <f>IF(B49="","",VLOOKUP($B49,'F-1 Off-Site WaterC'' Baseline'!$C$9:$AB$257,22,FALSE))</f>
        <v/>
      </c>
      <c r="BJ49" s="30" t="str">
        <f t="shared" si="10"/>
        <v>No</v>
      </c>
    </row>
    <row r="50" spans="2:62" ht="13.8" x14ac:dyDescent="0.25">
      <c r="B50" s="311" t="str">
        <f>'F-1 Off-Site WaterC'' Baseline'!AS48</f>
        <v/>
      </c>
      <c r="C50" s="301" t="str">
        <f>IF(B50="","",VLOOKUP($B50,'F-1 Off-Site WaterC'' Baseline'!$C$9:$R$257,2,FALSE))</f>
        <v/>
      </c>
      <c r="D50" s="301" t="str">
        <f>IF(C50="","",VLOOKUP($B50,'F-1 Off-Site WaterC'' Baseline'!$C$9:$R$257,3,FALSE))</f>
        <v/>
      </c>
      <c r="E50" s="301" t="str">
        <f>IF(D50="","",VLOOKUP($B50,'F-1 Off-Site WaterC'' Baseline'!$C$9:$R$257,4,FALSE))</f>
        <v/>
      </c>
      <c r="F50" s="301" t="str">
        <f>IF(E50="","",VLOOKUP($B50,'F-1 Off-Site WaterC'' Baseline'!$C$9:$R$257,5,FALSE))</f>
        <v/>
      </c>
      <c r="G50" s="301" t="str">
        <f>IF(F50="","",VLOOKUP($B50,'F-1 Off-Site WaterC'' Baseline'!$C$9:$R$257,6,FALSE))</f>
        <v/>
      </c>
      <c r="H50" s="301" t="str">
        <f>IF(G50="","",VLOOKUP($B50,'F-1 Off-Site WaterC'' Baseline'!$C$9:$R$257,7,FALSE))</f>
        <v/>
      </c>
      <c r="I50" s="301" t="str">
        <f>IF(H50="","",VLOOKUP($B50,'F-1 Off-Site WaterC'' Baseline'!$C$9:$R$257,8,FALSE))</f>
        <v/>
      </c>
      <c r="J50" s="301" t="str">
        <f>IF(I50="","",VLOOKUP($B50,'F-1 Off-Site WaterC'' Baseline'!$C$9:$R$257,9,FALSE))</f>
        <v/>
      </c>
      <c r="K50" s="301" t="str">
        <f>IF(J50="","",VLOOKUP($B50,'F-1 Off-Site WaterC'' Baseline'!$C$9:$R$257,10,FALSE))</f>
        <v/>
      </c>
      <c r="L50" s="289" t="str">
        <f>IF(B50="","",VLOOKUP($B50,'F-1 Off-Site WaterC'' Baseline'!$C$9:$R$257,15,FALSE))</f>
        <v/>
      </c>
      <c r="M50" s="305" t="str">
        <f>IF(L50="","",VLOOKUP($B50,'F-1 Off-Site WaterC'' Baseline'!$C$9:$V$257,19,FALSE))</f>
        <v/>
      </c>
      <c r="N50" s="250"/>
      <c r="O50" s="281" t="str">
        <f t="shared" si="2"/>
        <v/>
      </c>
      <c r="P50" s="282" t="str">
        <f t="shared" si="3"/>
        <v/>
      </c>
      <c r="Q50" s="287" t="str">
        <f>IF(N50="","",VLOOKUP(B50,'F-1 Off-Site WaterC'' Baseline'!$C$10:$AF$257,23,FALSE))</f>
        <v/>
      </c>
      <c r="R50" s="281" t="str">
        <f>IF(N50="","",VLOOKUP(N50,'G-7 WaterC'' Data'!$B$2:$G$8,2,FALSE))</f>
        <v/>
      </c>
      <c r="S50" s="282" t="str">
        <f>IFERROR(VLOOKUP(R50,'G-7 WaterC'' Data'!$C$4:$D$8,2,FALSE),"")</f>
        <v/>
      </c>
      <c r="T50" s="105"/>
      <c r="U50" s="282" t="str">
        <f>IFERROR(INDEX('G-7 WaterC'' Data'!$H$4:$L$8,MATCH(N50,'G-7 WaterC'' Data'!$B$4:$B$8,0),MATCH(T50,'G-7 WaterC'' Data'!$H$3:$L$3,0)),"")</f>
        <v/>
      </c>
      <c r="V50" s="109"/>
      <c r="W50" s="301" t="str">
        <f>IF(V50="","",IF(VLOOKUP(V50,'G-7 WaterC'' Data'!$AK$4:$AM$6,2,FALSE)=0,"Spatial Data Missing ⚠",VLOOKUP(V50,'G-7 WaterC'' Data'!$AK$4:$AM$6,2,FALSE)))</f>
        <v/>
      </c>
      <c r="X50" s="305" t="str">
        <f>IF(V50="","",IF(VLOOKUP(V50,'G-7 WaterC'' Data'!$AK$4:$AM$6,3,FALSE)=0,"Spatial Data Missing ⚠",VLOOKUP(V50,'G-7 WaterC'' Data'!$AK$4:$AM$6,3,FALSE)))</f>
        <v/>
      </c>
      <c r="Y50" s="317" t="str">
        <f>IFERROR(IF(OR(LEFT(P50,5)="Error",LEFT(O50,5)="Error"),"Check Data ⚠",IF(F50&lt;S50,'G-7 WaterC'' Data'!$R$3,INDEX('G-7 WaterC'' Data'!$U$5:$Y$9,MATCH(G50,'G-7 WaterC'' Data'!$T$5:$T$9,0),MATCH(T50,'G-7 WaterC'' Data'!$U$4:$Y$4,0)))),"")</f>
        <v/>
      </c>
      <c r="Z50" s="142"/>
      <c r="AA50" s="142"/>
      <c r="AB50" s="314" t="str">
        <f t="shared" si="4"/>
        <v/>
      </c>
      <c r="AC50" s="302" t="str">
        <f t="shared" si="5"/>
        <v/>
      </c>
      <c r="AD50" s="340" t="str">
        <f>IFERROR(IF(AC50="Check Data ⚠","Check Data ⚠",VLOOKUP(AC50,'G-4 Temporal multipliers'!$A$4:$C$37,3,FALSE)),"")</f>
        <v/>
      </c>
      <c r="AE50" s="317" t="str">
        <f>IF(N50="","",VLOOKUP(N50,'G-7 WaterC'' Data'!$B$4:$G$8,5,FALSE))</f>
        <v/>
      </c>
      <c r="AF50" s="301" t="str">
        <f t="shared" si="0"/>
        <v/>
      </c>
      <c r="AG50" s="301" t="str">
        <f t="shared" si="6"/>
        <v/>
      </c>
      <c r="AH50" s="282" t="str">
        <f t="shared" si="1"/>
        <v/>
      </c>
      <c r="AI50" s="109"/>
      <c r="AJ50" s="282" t="str">
        <f>IF(AI50="","",(IF(AND(AI50="N/A - Culvert",N50&lt;&gt;"Culvert"),"Not possible ▲",IF(VLOOKUP(AI50,'G-7 WaterC'' Data'!$AA$4:$AB$7,2,FALSE)=0,"Spatial Data Missing ⚠",VLOOKUP(AI50,'G-7 WaterC'' Data'!$AA$4:$AB$7,2,FALSE)))))</f>
        <v/>
      </c>
      <c r="AK50" s="110"/>
      <c r="AL50" s="316" t="str">
        <f>IF(AK50="","",IF(AND(AK50="N/A - Culvert",N50&lt;&gt;"Culvert"),"Not possible ▲",IF(VLOOKUP(AK50,'G-7 WaterC'' Data'!$AD$4:$AE$14,2,FALSE)=0,"Spatial Data Missing ⚠",VLOOKUP(AK50,'G-7 WaterC'' Data'!$AD$4:$AE$14,2,FALSE))))</f>
        <v/>
      </c>
      <c r="AM50" s="281" t="str">
        <f>IF(B50="","",VLOOKUP($B50,'F-1 Off-Site WaterC'' Baseline'!$C$9:$Z$257,17,FALSE))</f>
        <v/>
      </c>
      <c r="AN50" s="282" t="str">
        <f>IF(AM50="","",IF(VLOOKUP(AM50,'G-7 WaterC'' Data'!$AO$4:$BO$7,2,FALSE)=0,"Spatial Data Missing ⚠",VLOOKUP(AM50,'G-7 WaterC'' Data'!$AO$4:$BO$7,2,FALSE)))</f>
        <v/>
      </c>
      <c r="AO50" s="323" t="str">
        <f t="shared" si="7"/>
        <v/>
      </c>
      <c r="AP50" s="323" t="str">
        <f t="shared" si="8"/>
        <v/>
      </c>
      <c r="AQ50" s="105"/>
      <c r="AR50" s="119"/>
      <c r="AS50" s="108"/>
      <c r="AT50" s="108"/>
      <c r="AW50" s="30" t="str">
        <f>IF(E50="","",VLOOKUP($B50,'F-1 Off-Site WaterC'' Baseline'!$C$9:$Z$257,12,FALSE))</f>
        <v/>
      </c>
      <c r="AX50" s="30" t="str">
        <f>IF(E50="","",VLOOKUP($B50,'F-1 Off-Site WaterC'' Baseline'!$C$9:$Z$257,14,FALSE))</f>
        <v/>
      </c>
      <c r="AY50" s="30" t="str">
        <f>IFERROR(INDEX('G-7 WaterC'' Data'!$AZ$3:$AZ$7,MATCH(N50,'G-7 WaterC'' Data'!$AY$3:$AY$7,0)),"")</f>
        <v/>
      </c>
      <c r="AZ50" s="30" t="str">
        <f>IF(B50="","",IF(ISNA(VLOOKUP($B50,'F-1 Off-Site WaterC'' Baseline'!$C$8:$AD$257,20,FALSE)),"",(VLOOKUP($B50,'F-1 Off-Site WaterC'' Baseline'!$C$8:$AD$257,20,FALSE))))</f>
        <v/>
      </c>
      <c r="BC50" s="30" t="str">
        <f>IF(B50="","",VLOOKUP($B50,'F-1 Off-Site WaterC'' Baseline'!$C$9:$AB$257,25,FALSE))</f>
        <v/>
      </c>
      <c r="BD50" s="30" t="str">
        <f t="shared" si="9"/>
        <v/>
      </c>
      <c r="BE50" s="30" t="str">
        <f>IF(B50="","",VLOOKUP($B50,'F-1 Off-Site WaterC'' Baseline'!$C$9:$AB$257,24,FALSE))</f>
        <v/>
      </c>
      <c r="BF50" s="30" t="str">
        <f>IF(B50="","",VLOOKUP($B50,'F-1 Off-Site WaterC'' Baseline'!$C$9:$AB$257,22,FALSE))</f>
        <v/>
      </c>
      <c r="BJ50" s="30" t="str">
        <f t="shared" si="10"/>
        <v>No</v>
      </c>
    </row>
    <row r="51" spans="2:62" ht="13.8" x14ac:dyDescent="0.25">
      <c r="B51" s="311" t="str">
        <f>'F-1 Off-Site WaterC'' Baseline'!AS49</f>
        <v/>
      </c>
      <c r="C51" s="301" t="str">
        <f>IF(B51="","",VLOOKUP($B51,'F-1 Off-Site WaterC'' Baseline'!$C$9:$R$257,2,FALSE))</f>
        <v/>
      </c>
      <c r="D51" s="301" t="str">
        <f>IF(C51="","",VLOOKUP($B51,'F-1 Off-Site WaterC'' Baseline'!$C$9:$R$257,3,FALSE))</f>
        <v/>
      </c>
      <c r="E51" s="301" t="str">
        <f>IF(D51="","",VLOOKUP($B51,'F-1 Off-Site WaterC'' Baseline'!$C$9:$R$257,4,FALSE))</f>
        <v/>
      </c>
      <c r="F51" s="301" t="str">
        <f>IF(E51="","",VLOOKUP($B51,'F-1 Off-Site WaterC'' Baseline'!$C$9:$R$257,5,FALSE))</f>
        <v/>
      </c>
      <c r="G51" s="301" t="str">
        <f>IF(F51="","",VLOOKUP($B51,'F-1 Off-Site WaterC'' Baseline'!$C$9:$R$257,6,FALSE))</f>
        <v/>
      </c>
      <c r="H51" s="301" t="str">
        <f>IF(G51="","",VLOOKUP($B51,'F-1 Off-Site WaterC'' Baseline'!$C$9:$R$257,7,FALSE))</f>
        <v/>
      </c>
      <c r="I51" s="301" t="str">
        <f>IF(H51="","",VLOOKUP($B51,'F-1 Off-Site WaterC'' Baseline'!$C$9:$R$257,8,FALSE))</f>
        <v/>
      </c>
      <c r="J51" s="301" t="str">
        <f>IF(I51="","",VLOOKUP($B51,'F-1 Off-Site WaterC'' Baseline'!$C$9:$R$257,9,FALSE))</f>
        <v/>
      </c>
      <c r="K51" s="301" t="str">
        <f>IF(J51="","",VLOOKUP($B51,'F-1 Off-Site WaterC'' Baseline'!$C$9:$R$257,10,FALSE))</f>
        <v/>
      </c>
      <c r="L51" s="289" t="str">
        <f>IF(B51="","",VLOOKUP($B51,'F-1 Off-Site WaterC'' Baseline'!$C$9:$R$257,15,FALSE))</f>
        <v/>
      </c>
      <c r="M51" s="305" t="str">
        <f>IF(L51="","",VLOOKUP($B51,'F-1 Off-Site WaterC'' Baseline'!$C$9:$V$257,19,FALSE))</f>
        <v/>
      </c>
      <c r="N51" s="250"/>
      <c r="O51" s="281" t="str">
        <f t="shared" si="2"/>
        <v/>
      </c>
      <c r="P51" s="282" t="str">
        <f t="shared" si="3"/>
        <v/>
      </c>
      <c r="Q51" s="287" t="str">
        <f>IF(N51="","",VLOOKUP(B51,'F-1 Off-Site WaterC'' Baseline'!$C$10:$AF$257,23,FALSE))</f>
        <v/>
      </c>
      <c r="R51" s="281" t="str">
        <f>IF(N51="","",VLOOKUP(N51,'G-7 WaterC'' Data'!$B$2:$G$8,2,FALSE))</f>
        <v/>
      </c>
      <c r="S51" s="282" t="str">
        <f>IFERROR(VLOOKUP(R51,'G-7 WaterC'' Data'!$C$4:$D$8,2,FALSE),"")</f>
        <v/>
      </c>
      <c r="T51" s="105"/>
      <c r="U51" s="282" t="str">
        <f>IFERROR(INDEX('G-7 WaterC'' Data'!$H$4:$L$8,MATCH(N51,'G-7 WaterC'' Data'!$B$4:$B$8,0),MATCH(T51,'G-7 WaterC'' Data'!$H$3:$L$3,0)),"")</f>
        <v/>
      </c>
      <c r="V51" s="109"/>
      <c r="W51" s="301" t="str">
        <f>IF(V51="","",IF(VLOOKUP(V51,'G-7 WaterC'' Data'!$AK$4:$AM$6,2,FALSE)=0,"Spatial Data Missing ⚠",VLOOKUP(V51,'G-7 WaterC'' Data'!$AK$4:$AM$6,2,FALSE)))</f>
        <v/>
      </c>
      <c r="X51" s="305" t="str">
        <f>IF(V51="","",IF(VLOOKUP(V51,'G-7 WaterC'' Data'!$AK$4:$AM$6,3,FALSE)=0,"Spatial Data Missing ⚠",VLOOKUP(V51,'G-7 WaterC'' Data'!$AK$4:$AM$6,3,FALSE)))</f>
        <v/>
      </c>
      <c r="Y51" s="317" t="str">
        <f>IFERROR(IF(OR(LEFT(P51,5)="Error",LEFT(O51,5)="Error"),"Check Data ⚠",IF(F51&lt;S51,'G-7 WaterC'' Data'!$R$3,INDEX('G-7 WaterC'' Data'!$U$5:$Y$9,MATCH(G51,'G-7 WaterC'' Data'!$T$5:$T$9,0),MATCH(T51,'G-7 WaterC'' Data'!$U$4:$Y$4,0)))),"")</f>
        <v/>
      </c>
      <c r="Z51" s="142"/>
      <c r="AA51" s="142"/>
      <c r="AB51" s="314" t="str">
        <f t="shared" si="4"/>
        <v/>
      </c>
      <c r="AC51" s="302" t="str">
        <f t="shared" si="5"/>
        <v/>
      </c>
      <c r="AD51" s="340" t="str">
        <f>IFERROR(IF(AC51="Check Data ⚠","Check Data ⚠",VLOOKUP(AC51,'G-4 Temporal multipliers'!$A$4:$C$37,3,FALSE)),"")</f>
        <v/>
      </c>
      <c r="AE51" s="317" t="str">
        <f>IF(N51="","",VLOOKUP(N51,'G-7 WaterC'' Data'!$B$4:$G$8,5,FALSE))</f>
        <v/>
      </c>
      <c r="AF51" s="301" t="str">
        <f t="shared" si="0"/>
        <v/>
      </c>
      <c r="AG51" s="301" t="str">
        <f t="shared" si="6"/>
        <v/>
      </c>
      <c r="AH51" s="282" t="str">
        <f t="shared" si="1"/>
        <v/>
      </c>
      <c r="AI51" s="109"/>
      <c r="AJ51" s="282" t="str">
        <f>IF(AI51="","",(IF(AND(AI51="N/A - Culvert",N51&lt;&gt;"Culvert"),"Not possible ▲",IF(VLOOKUP(AI51,'G-7 WaterC'' Data'!$AA$4:$AB$7,2,FALSE)=0,"Spatial Data Missing ⚠",VLOOKUP(AI51,'G-7 WaterC'' Data'!$AA$4:$AB$7,2,FALSE)))))</f>
        <v/>
      </c>
      <c r="AK51" s="110"/>
      <c r="AL51" s="316" t="str">
        <f>IF(AK51="","",IF(AND(AK51="N/A - Culvert",N51&lt;&gt;"Culvert"),"Not possible ▲",IF(VLOOKUP(AK51,'G-7 WaterC'' Data'!$AD$4:$AE$14,2,FALSE)=0,"Spatial Data Missing ⚠",VLOOKUP(AK51,'G-7 WaterC'' Data'!$AD$4:$AE$14,2,FALSE))))</f>
        <v/>
      </c>
      <c r="AM51" s="281" t="str">
        <f>IF(B51="","",VLOOKUP($B51,'F-1 Off-Site WaterC'' Baseline'!$C$9:$Z$257,17,FALSE))</f>
        <v/>
      </c>
      <c r="AN51" s="282" t="str">
        <f>IF(AM51="","",IF(VLOOKUP(AM51,'G-7 WaterC'' Data'!$AO$4:$BO$7,2,FALSE)=0,"Spatial Data Missing ⚠",VLOOKUP(AM51,'G-7 WaterC'' Data'!$AO$4:$BO$7,2,FALSE)))</f>
        <v/>
      </c>
      <c r="AO51" s="323" t="str">
        <f t="shared" si="7"/>
        <v/>
      </c>
      <c r="AP51" s="323" t="str">
        <f t="shared" si="8"/>
        <v/>
      </c>
      <c r="AQ51" s="105"/>
      <c r="AR51" s="119"/>
      <c r="AS51" s="108"/>
      <c r="AT51" s="108"/>
      <c r="AW51" s="30" t="str">
        <f>IF(E51="","",VLOOKUP($B51,'F-1 Off-Site WaterC'' Baseline'!$C$9:$Z$257,12,FALSE))</f>
        <v/>
      </c>
      <c r="AX51" s="30" t="str">
        <f>IF(E51="","",VLOOKUP($B51,'F-1 Off-Site WaterC'' Baseline'!$C$9:$Z$257,14,FALSE))</f>
        <v/>
      </c>
      <c r="AY51" s="30" t="str">
        <f>IFERROR(INDEX('G-7 WaterC'' Data'!$AZ$3:$AZ$7,MATCH(N51,'G-7 WaterC'' Data'!$AY$3:$AY$7,0)),"")</f>
        <v/>
      </c>
      <c r="AZ51" s="30" t="str">
        <f>IF(B51="","",IF(ISNA(VLOOKUP($B51,'F-1 Off-Site WaterC'' Baseline'!$C$8:$AD$257,20,FALSE)),"",(VLOOKUP($B51,'F-1 Off-Site WaterC'' Baseline'!$C$8:$AD$257,20,FALSE))))</f>
        <v/>
      </c>
      <c r="BC51" s="30" t="str">
        <f>IF(B51="","",VLOOKUP($B51,'F-1 Off-Site WaterC'' Baseline'!$C$9:$AB$257,25,FALSE))</f>
        <v/>
      </c>
      <c r="BD51" s="30" t="str">
        <f t="shared" si="9"/>
        <v/>
      </c>
      <c r="BE51" s="30" t="str">
        <f>IF(B51="","",VLOOKUP($B51,'F-1 Off-Site WaterC'' Baseline'!$C$9:$AB$257,24,FALSE))</f>
        <v/>
      </c>
      <c r="BF51" s="30" t="str">
        <f>IF(B51="","",VLOOKUP($B51,'F-1 Off-Site WaterC'' Baseline'!$C$9:$AB$257,22,FALSE))</f>
        <v/>
      </c>
      <c r="BJ51" s="30" t="str">
        <f t="shared" si="10"/>
        <v>No</v>
      </c>
    </row>
    <row r="52" spans="2:62" ht="13.8" x14ac:dyDescent="0.25">
      <c r="B52" s="311" t="str">
        <f>'F-1 Off-Site WaterC'' Baseline'!AS50</f>
        <v/>
      </c>
      <c r="C52" s="301" t="str">
        <f>IF(B52="","",VLOOKUP($B52,'F-1 Off-Site WaterC'' Baseline'!$C$9:$R$257,2,FALSE))</f>
        <v/>
      </c>
      <c r="D52" s="301" t="str">
        <f>IF(C52="","",VLOOKUP($B52,'F-1 Off-Site WaterC'' Baseline'!$C$9:$R$257,3,FALSE))</f>
        <v/>
      </c>
      <c r="E52" s="301" t="str">
        <f>IF(D52="","",VLOOKUP($B52,'F-1 Off-Site WaterC'' Baseline'!$C$9:$R$257,4,FALSE))</f>
        <v/>
      </c>
      <c r="F52" s="301" t="str">
        <f>IF(E52="","",VLOOKUP($B52,'F-1 Off-Site WaterC'' Baseline'!$C$9:$R$257,5,FALSE))</f>
        <v/>
      </c>
      <c r="G52" s="301" t="str">
        <f>IF(F52="","",VLOOKUP($B52,'F-1 Off-Site WaterC'' Baseline'!$C$9:$R$257,6,FALSE))</f>
        <v/>
      </c>
      <c r="H52" s="301" t="str">
        <f>IF(G52="","",VLOOKUP($B52,'F-1 Off-Site WaterC'' Baseline'!$C$9:$R$257,7,FALSE))</f>
        <v/>
      </c>
      <c r="I52" s="301" t="str">
        <f>IF(H52="","",VLOOKUP($B52,'F-1 Off-Site WaterC'' Baseline'!$C$9:$R$257,8,FALSE))</f>
        <v/>
      </c>
      <c r="J52" s="301" t="str">
        <f>IF(I52="","",VLOOKUP($B52,'F-1 Off-Site WaterC'' Baseline'!$C$9:$R$257,9,FALSE))</f>
        <v/>
      </c>
      <c r="K52" s="301" t="str">
        <f>IF(J52="","",VLOOKUP($B52,'F-1 Off-Site WaterC'' Baseline'!$C$9:$R$257,10,FALSE))</f>
        <v/>
      </c>
      <c r="L52" s="289" t="str">
        <f>IF(B52="","",VLOOKUP($B52,'F-1 Off-Site WaterC'' Baseline'!$C$9:$R$257,15,FALSE))</f>
        <v/>
      </c>
      <c r="M52" s="305" t="str">
        <f>IF(L52="","",VLOOKUP($B52,'F-1 Off-Site WaterC'' Baseline'!$C$9:$V$257,19,FALSE))</f>
        <v/>
      </c>
      <c r="N52" s="250"/>
      <c r="O52" s="281" t="str">
        <f t="shared" si="2"/>
        <v/>
      </c>
      <c r="P52" s="282" t="str">
        <f t="shared" si="3"/>
        <v/>
      </c>
      <c r="Q52" s="287" t="str">
        <f>IF(N52="","",VLOOKUP(B52,'F-1 Off-Site WaterC'' Baseline'!$C$10:$AF$257,23,FALSE))</f>
        <v/>
      </c>
      <c r="R52" s="281" t="str">
        <f>IF(N52="","",VLOOKUP(N52,'G-7 WaterC'' Data'!$B$2:$G$8,2,FALSE))</f>
        <v/>
      </c>
      <c r="S52" s="282" t="str">
        <f>IFERROR(VLOOKUP(R52,'G-7 WaterC'' Data'!$C$4:$D$8,2,FALSE),"")</f>
        <v/>
      </c>
      <c r="T52" s="105"/>
      <c r="U52" s="282" t="str">
        <f>IFERROR(INDEX('G-7 WaterC'' Data'!$H$4:$L$8,MATCH(N52,'G-7 WaterC'' Data'!$B$4:$B$8,0),MATCH(T52,'G-7 WaterC'' Data'!$H$3:$L$3,0)),"")</f>
        <v/>
      </c>
      <c r="V52" s="109"/>
      <c r="W52" s="301" t="str">
        <f>IF(V52="","",IF(VLOOKUP(V52,'G-7 WaterC'' Data'!$AK$4:$AM$6,2,FALSE)=0,"Spatial Data Missing ⚠",VLOOKUP(V52,'G-7 WaterC'' Data'!$AK$4:$AM$6,2,FALSE)))</f>
        <v/>
      </c>
      <c r="X52" s="305" t="str">
        <f>IF(V52="","",IF(VLOOKUP(V52,'G-7 WaterC'' Data'!$AK$4:$AM$6,3,FALSE)=0,"Spatial Data Missing ⚠",VLOOKUP(V52,'G-7 WaterC'' Data'!$AK$4:$AM$6,3,FALSE)))</f>
        <v/>
      </c>
      <c r="Y52" s="317" t="str">
        <f>IFERROR(IF(OR(LEFT(P52,5)="Error",LEFT(O52,5)="Error"),"Check Data ⚠",IF(F52&lt;S52,'G-7 WaterC'' Data'!$R$3,INDEX('G-7 WaterC'' Data'!$U$5:$Y$9,MATCH(G52,'G-7 WaterC'' Data'!$T$5:$T$9,0),MATCH(T52,'G-7 WaterC'' Data'!$U$4:$Y$4,0)))),"")</f>
        <v/>
      </c>
      <c r="Z52" s="142"/>
      <c r="AA52" s="142"/>
      <c r="AB52" s="314" t="str">
        <f t="shared" si="4"/>
        <v/>
      </c>
      <c r="AC52" s="302" t="str">
        <f t="shared" si="5"/>
        <v/>
      </c>
      <c r="AD52" s="340" t="str">
        <f>IFERROR(IF(AC52="Check Data ⚠","Check Data ⚠",VLOOKUP(AC52,'G-4 Temporal multipliers'!$A$4:$C$37,3,FALSE)),"")</f>
        <v/>
      </c>
      <c r="AE52" s="317" t="str">
        <f>IF(N52="","",VLOOKUP(N52,'G-7 WaterC'' Data'!$B$4:$G$8,5,FALSE))</f>
        <v/>
      </c>
      <c r="AF52" s="301" t="str">
        <f t="shared" si="0"/>
        <v/>
      </c>
      <c r="AG52" s="301" t="str">
        <f t="shared" si="6"/>
        <v/>
      </c>
      <c r="AH52" s="282" t="str">
        <f t="shared" si="1"/>
        <v/>
      </c>
      <c r="AI52" s="109"/>
      <c r="AJ52" s="282" t="str">
        <f>IF(AI52="","",(IF(AND(AI52="N/A - Culvert",N52&lt;&gt;"Culvert"),"Not possible ▲",IF(VLOOKUP(AI52,'G-7 WaterC'' Data'!$AA$4:$AB$7,2,FALSE)=0,"Spatial Data Missing ⚠",VLOOKUP(AI52,'G-7 WaterC'' Data'!$AA$4:$AB$7,2,FALSE)))))</f>
        <v/>
      </c>
      <c r="AK52" s="110"/>
      <c r="AL52" s="316" t="str">
        <f>IF(AK52="","",IF(AND(AK52="N/A - Culvert",N52&lt;&gt;"Culvert"),"Not possible ▲",IF(VLOOKUP(AK52,'G-7 WaterC'' Data'!$AD$4:$AE$14,2,FALSE)=0,"Spatial Data Missing ⚠",VLOOKUP(AK52,'G-7 WaterC'' Data'!$AD$4:$AE$14,2,FALSE))))</f>
        <v/>
      </c>
      <c r="AM52" s="281" t="str">
        <f>IF(B52="","",VLOOKUP($B52,'F-1 Off-Site WaterC'' Baseline'!$C$9:$Z$257,17,FALSE))</f>
        <v/>
      </c>
      <c r="AN52" s="282" t="str">
        <f>IF(AM52="","",IF(VLOOKUP(AM52,'G-7 WaterC'' Data'!$AO$4:$BO$7,2,FALSE)=0,"Spatial Data Missing ⚠",VLOOKUP(AM52,'G-7 WaterC'' Data'!$AO$4:$BO$7,2,FALSE)))</f>
        <v/>
      </c>
      <c r="AO52" s="323" t="str">
        <f t="shared" si="7"/>
        <v/>
      </c>
      <c r="AP52" s="323" t="str">
        <f t="shared" si="8"/>
        <v/>
      </c>
      <c r="AQ52" s="105"/>
      <c r="AR52" s="119"/>
      <c r="AS52" s="108"/>
      <c r="AT52" s="108"/>
      <c r="AW52" s="30" t="str">
        <f>IF(E52="","",VLOOKUP($B52,'F-1 Off-Site WaterC'' Baseline'!$C$9:$Z$257,12,FALSE))</f>
        <v/>
      </c>
      <c r="AX52" s="30" t="str">
        <f>IF(E52="","",VLOOKUP($B52,'F-1 Off-Site WaterC'' Baseline'!$C$9:$Z$257,14,FALSE))</f>
        <v/>
      </c>
      <c r="AY52" s="30" t="str">
        <f>IFERROR(INDEX('G-7 WaterC'' Data'!$AZ$3:$AZ$7,MATCH(N52,'G-7 WaterC'' Data'!$AY$3:$AY$7,0)),"")</f>
        <v/>
      </c>
      <c r="AZ52" s="30" t="str">
        <f>IF(B52="","",IF(ISNA(VLOOKUP($B52,'F-1 Off-Site WaterC'' Baseline'!$C$8:$AD$257,20,FALSE)),"",(VLOOKUP($B52,'F-1 Off-Site WaterC'' Baseline'!$C$8:$AD$257,20,FALSE))))</f>
        <v/>
      </c>
      <c r="BC52" s="30" t="str">
        <f>IF(B52="","",VLOOKUP($B52,'F-1 Off-Site WaterC'' Baseline'!$C$9:$AB$257,25,FALSE))</f>
        <v/>
      </c>
      <c r="BD52" s="30" t="str">
        <f t="shared" si="9"/>
        <v/>
      </c>
      <c r="BE52" s="30" t="str">
        <f>IF(B52="","",VLOOKUP($B52,'F-1 Off-Site WaterC'' Baseline'!$C$9:$AB$257,24,FALSE))</f>
        <v/>
      </c>
      <c r="BF52" s="30" t="str">
        <f>IF(B52="","",VLOOKUP($B52,'F-1 Off-Site WaterC'' Baseline'!$C$9:$AB$257,22,FALSE))</f>
        <v/>
      </c>
      <c r="BJ52" s="30" t="str">
        <f t="shared" si="10"/>
        <v>No</v>
      </c>
    </row>
    <row r="53" spans="2:62" ht="13.8" x14ac:dyDescent="0.25">
      <c r="B53" s="311" t="str">
        <f>'F-1 Off-Site WaterC'' Baseline'!AS51</f>
        <v/>
      </c>
      <c r="C53" s="301" t="str">
        <f>IF(B53="","",VLOOKUP($B53,'F-1 Off-Site WaterC'' Baseline'!$C$9:$R$257,2,FALSE))</f>
        <v/>
      </c>
      <c r="D53" s="301" t="str">
        <f>IF(C53="","",VLOOKUP($B53,'F-1 Off-Site WaterC'' Baseline'!$C$9:$R$257,3,FALSE))</f>
        <v/>
      </c>
      <c r="E53" s="301" t="str">
        <f>IF(D53="","",VLOOKUP($B53,'F-1 Off-Site WaterC'' Baseline'!$C$9:$R$257,4,FALSE))</f>
        <v/>
      </c>
      <c r="F53" s="301" t="str">
        <f>IF(E53="","",VLOOKUP($B53,'F-1 Off-Site WaterC'' Baseline'!$C$9:$R$257,5,FALSE))</f>
        <v/>
      </c>
      <c r="G53" s="301" t="str">
        <f>IF(F53="","",VLOOKUP($B53,'F-1 Off-Site WaterC'' Baseline'!$C$9:$R$257,6,FALSE))</f>
        <v/>
      </c>
      <c r="H53" s="301" t="str">
        <f>IF(G53="","",VLOOKUP($B53,'F-1 Off-Site WaterC'' Baseline'!$C$9:$R$257,7,FALSE))</f>
        <v/>
      </c>
      <c r="I53" s="301" t="str">
        <f>IF(H53="","",VLOOKUP($B53,'F-1 Off-Site WaterC'' Baseline'!$C$9:$R$257,8,FALSE))</f>
        <v/>
      </c>
      <c r="J53" s="301" t="str">
        <f>IF(I53="","",VLOOKUP($B53,'F-1 Off-Site WaterC'' Baseline'!$C$9:$R$257,9,FALSE))</f>
        <v/>
      </c>
      <c r="K53" s="301" t="str">
        <f>IF(J53="","",VLOOKUP($B53,'F-1 Off-Site WaterC'' Baseline'!$C$9:$R$257,10,FALSE))</f>
        <v/>
      </c>
      <c r="L53" s="289" t="str">
        <f>IF(B53="","",VLOOKUP($B53,'F-1 Off-Site WaterC'' Baseline'!$C$9:$R$257,15,FALSE))</f>
        <v/>
      </c>
      <c r="M53" s="305" t="str">
        <f>IF(L53="","",VLOOKUP($B53,'F-1 Off-Site WaterC'' Baseline'!$C$9:$V$257,19,FALSE))</f>
        <v/>
      </c>
      <c r="N53" s="250"/>
      <c r="O53" s="281" t="str">
        <f t="shared" si="2"/>
        <v/>
      </c>
      <c r="P53" s="282" t="str">
        <f t="shared" si="3"/>
        <v/>
      </c>
      <c r="Q53" s="287" t="str">
        <f>IF(N53="","",VLOOKUP(B53,'F-1 Off-Site WaterC'' Baseline'!$C$10:$AF$257,23,FALSE))</f>
        <v/>
      </c>
      <c r="R53" s="281" t="str">
        <f>IF(N53="","",VLOOKUP(N53,'G-7 WaterC'' Data'!$B$2:$G$8,2,FALSE))</f>
        <v/>
      </c>
      <c r="S53" s="282" t="str">
        <f>IFERROR(VLOOKUP(R53,'G-7 WaterC'' Data'!$C$4:$D$8,2,FALSE),"")</f>
        <v/>
      </c>
      <c r="T53" s="105"/>
      <c r="U53" s="282" t="str">
        <f>IFERROR(INDEX('G-7 WaterC'' Data'!$H$4:$L$8,MATCH(N53,'G-7 WaterC'' Data'!$B$4:$B$8,0),MATCH(T53,'G-7 WaterC'' Data'!$H$3:$L$3,0)),"")</f>
        <v/>
      </c>
      <c r="V53" s="109"/>
      <c r="W53" s="301" t="str">
        <f>IF(V53="","",IF(VLOOKUP(V53,'G-7 WaterC'' Data'!$AK$4:$AM$6,2,FALSE)=0,"Spatial Data Missing ⚠",VLOOKUP(V53,'G-7 WaterC'' Data'!$AK$4:$AM$6,2,FALSE)))</f>
        <v/>
      </c>
      <c r="X53" s="305" t="str">
        <f>IF(V53="","",IF(VLOOKUP(V53,'G-7 WaterC'' Data'!$AK$4:$AM$6,3,FALSE)=0,"Spatial Data Missing ⚠",VLOOKUP(V53,'G-7 WaterC'' Data'!$AK$4:$AM$6,3,FALSE)))</f>
        <v/>
      </c>
      <c r="Y53" s="317" t="str">
        <f>IFERROR(IF(OR(LEFT(P53,5)="Error",LEFT(O53,5)="Error"),"Check Data ⚠",IF(F53&lt;S53,'G-7 WaterC'' Data'!$R$3,INDEX('G-7 WaterC'' Data'!$U$5:$Y$9,MATCH(G53,'G-7 WaterC'' Data'!$T$5:$T$9,0),MATCH(T53,'G-7 WaterC'' Data'!$U$4:$Y$4,0)))),"")</f>
        <v/>
      </c>
      <c r="Z53" s="142"/>
      <c r="AA53" s="142"/>
      <c r="AB53" s="314" t="str">
        <f t="shared" si="4"/>
        <v/>
      </c>
      <c r="AC53" s="302" t="str">
        <f t="shared" si="5"/>
        <v/>
      </c>
      <c r="AD53" s="340" t="str">
        <f>IFERROR(IF(AC53="Check Data ⚠","Check Data ⚠",VLOOKUP(AC53,'G-4 Temporal multipliers'!$A$4:$C$37,3,FALSE)),"")</f>
        <v/>
      </c>
      <c r="AE53" s="317" t="str">
        <f>IF(N53="","",VLOOKUP(N53,'G-7 WaterC'' Data'!$B$4:$G$8,5,FALSE))</f>
        <v/>
      </c>
      <c r="AF53" s="301" t="str">
        <f t="shared" si="0"/>
        <v/>
      </c>
      <c r="AG53" s="301" t="str">
        <f t="shared" si="6"/>
        <v/>
      </c>
      <c r="AH53" s="282" t="str">
        <f t="shared" si="1"/>
        <v/>
      </c>
      <c r="AI53" s="109"/>
      <c r="AJ53" s="282" t="str">
        <f>IF(AI53="","",(IF(AND(AI53="N/A - Culvert",N53&lt;&gt;"Culvert"),"Not possible ▲",IF(VLOOKUP(AI53,'G-7 WaterC'' Data'!$AA$4:$AB$7,2,FALSE)=0,"Spatial Data Missing ⚠",VLOOKUP(AI53,'G-7 WaterC'' Data'!$AA$4:$AB$7,2,FALSE)))))</f>
        <v/>
      </c>
      <c r="AK53" s="110"/>
      <c r="AL53" s="316" t="str">
        <f>IF(AK53="","",IF(AND(AK53="N/A - Culvert",N53&lt;&gt;"Culvert"),"Not possible ▲",IF(VLOOKUP(AK53,'G-7 WaterC'' Data'!$AD$4:$AE$14,2,FALSE)=0,"Spatial Data Missing ⚠",VLOOKUP(AK53,'G-7 WaterC'' Data'!$AD$4:$AE$14,2,FALSE))))</f>
        <v/>
      </c>
      <c r="AM53" s="281" t="str">
        <f>IF(B53="","",VLOOKUP($B53,'F-1 Off-Site WaterC'' Baseline'!$C$9:$Z$257,17,FALSE))</f>
        <v/>
      </c>
      <c r="AN53" s="282" t="str">
        <f>IF(AM53="","",IF(VLOOKUP(AM53,'G-7 WaterC'' Data'!$AO$4:$BO$7,2,FALSE)=0,"Spatial Data Missing ⚠",VLOOKUP(AM53,'G-7 WaterC'' Data'!$AO$4:$BO$7,2,FALSE)))</f>
        <v/>
      </c>
      <c r="AO53" s="323" t="str">
        <f t="shared" si="7"/>
        <v/>
      </c>
      <c r="AP53" s="323" t="str">
        <f t="shared" si="8"/>
        <v/>
      </c>
      <c r="AQ53" s="105"/>
      <c r="AR53" s="119"/>
      <c r="AS53" s="108"/>
      <c r="AT53" s="108"/>
      <c r="AW53" s="30" t="str">
        <f>IF(E53="","",VLOOKUP($B53,'F-1 Off-Site WaterC'' Baseline'!$C$9:$Z$257,12,FALSE))</f>
        <v/>
      </c>
      <c r="AX53" s="30" t="str">
        <f>IF(E53="","",VLOOKUP($B53,'F-1 Off-Site WaterC'' Baseline'!$C$9:$Z$257,14,FALSE))</f>
        <v/>
      </c>
      <c r="AY53" s="30" t="str">
        <f>IFERROR(INDEX('G-7 WaterC'' Data'!$AZ$3:$AZ$7,MATCH(N53,'G-7 WaterC'' Data'!$AY$3:$AY$7,0)),"")</f>
        <v/>
      </c>
      <c r="AZ53" s="30" t="str">
        <f>IF(B53="","",IF(ISNA(VLOOKUP($B53,'F-1 Off-Site WaterC'' Baseline'!$C$8:$AD$257,20,FALSE)),"",(VLOOKUP($B53,'F-1 Off-Site WaterC'' Baseline'!$C$8:$AD$257,20,FALSE))))</f>
        <v/>
      </c>
      <c r="BC53" s="30" t="str">
        <f>IF(B53="","",VLOOKUP($B53,'F-1 Off-Site WaterC'' Baseline'!$C$9:$AB$257,25,FALSE))</f>
        <v/>
      </c>
      <c r="BD53" s="30" t="str">
        <f t="shared" si="9"/>
        <v/>
      </c>
      <c r="BE53" s="30" t="str">
        <f>IF(B53="","",VLOOKUP($B53,'F-1 Off-Site WaterC'' Baseline'!$C$9:$AB$257,24,FALSE))</f>
        <v/>
      </c>
      <c r="BF53" s="30" t="str">
        <f>IF(B53="","",VLOOKUP($B53,'F-1 Off-Site WaterC'' Baseline'!$C$9:$AB$257,22,FALSE))</f>
        <v/>
      </c>
      <c r="BJ53" s="30" t="str">
        <f t="shared" si="10"/>
        <v>No</v>
      </c>
    </row>
    <row r="54" spans="2:62" ht="13.8" x14ac:dyDescent="0.25">
      <c r="B54" s="311" t="str">
        <f>'F-1 Off-Site WaterC'' Baseline'!AS52</f>
        <v/>
      </c>
      <c r="C54" s="301" t="str">
        <f>IF(B54="","",VLOOKUP($B54,'F-1 Off-Site WaterC'' Baseline'!$C$9:$R$257,2,FALSE))</f>
        <v/>
      </c>
      <c r="D54" s="301" t="str">
        <f>IF(C54="","",VLOOKUP($B54,'F-1 Off-Site WaterC'' Baseline'!$C$9:$R$257,3,FALSE))</f>
        <v/>
      </c>
      <c r="E54" s="301" t="str">
        <f>IF(D54="","",VLOOKUP($B54,'F-1 Off-Site WaterC'' Baseline'!$C$9:$R$257,4,FALSE))</f>
        <v/>
      </c>
      <c r="F54" s="301" t="str">
        <f>IF(E54="","",VLOOKUP($B54,'F-1 Off-Site WaterC'' Baseline'!$C$9:$R$257,5,FALSE))</f>
        <v/>
      </c>
      <c r="G54" s="301" t="str">
        <f>IF(F54="","",VLOOKUP($B54,'F-1 Off-Site WaterC'' Baseline'!$C$9:$R$257,6,FALSE))</f>
        <v/>
      </c>
      <c r="H54" s="301" t="str">
        <f>IF(G54="","",VLOOKUP($B54,'F-1 Off-Site WaterC'' Baseline'!$C$9:$R$257,7,FALSE))</f>
        <v/>
      </c>
      <c r="I54" s="301" t="str">
        <f>IF(H54="","",VLOOKUP($B54,'F-1 Off-Site WaterC'' Baseline'!$C$9:$R$257,8,FALSE))</f>
        <v/>
      </c>
      <c r="J54" s="301" t="str">
        <f>IF(I54="","",VLOOKUP($B54,'F-1 Off-Site WaterC'' Baseline'!$C$9:$R$257,9,FALSE))</f>
        <v/>
      </c>
      <c r="K54" s="301" t="str">
        <f>IF(J54="","",VLOOKUP($B54,'F-1 Off-Site WaterC'' Baseline'!$C$9:$R$257,10,FALSE))</f>
        <v/>
      </c>
      <c r="L54" s="289" t="str">
        <f>IF(B54="","",VLOOKUP($B54,'F-1 Off-Site WaterC'' Baseline'!$C$9:$R$257,15,FALSE))</f>
        <v/>
      </c>
      <c r="M54" s="305" t="str">
        <f>IF(L54="","",VLOOKUP($B54,'F-1 Off-Site WaterC'' Baseline'!$C$9:$V$257,19,FALSE))</f>
        <v/>
      </c>
      <c r="N54" s="250"/>
      <c r="O54" s="281" t="str">
        <f t="shared" si="2"/>
        <v/>
      </c>
      <c r="P54" s="282" t="str">
        <f t="shared" si="3"/>
        <v/>
      </c>
      <c r="Q54" s="287" t="str">
        <f>IF(N54="","",VLOOKUP(B54,'F-1 Off-Site WaterC'' Baseline'!$C$10:$AF$257,23,FALSE))</f>
        <v/>
      </c>
      <c r="R54" s="281" t="str">
        <f>IF(N54="","",VLOOKUP(N54,'G-7 WaterC'' Data'!$B$2:$G$8,2,FALSE))</f>
        <v/>
      </c>
      <c r="S54" s="282" t="str">
        <f>IFERROR(VLOOKUP(R54,'G-7 WaterC'' Data'!$C$4:$D$8,2,FALSE),"")</f>
        <v/>
      </c>
      <c r="T54" s="105"/>
      <c r="U54" s="282" t="str">
        <f>IFERROR(INDEX('G-7 WaterC'' Data'!$H$4:$L$8,MATCH(N54,'G-7 WaterC'' Data'!$B$4:$B$8,0),MATCH(T54,'G-7 WaterC'' Data'!$H$3:$L$3,0)),"")</f>
        <v/>
      </c>
      <c r="V54" s="109"/>
      <c r="W54" s="301" t="str">
        <f>IF(V54="","",IF(VLOOKUP(V54,'G-7 WaterC'' Data'!$AK$4:$AM$6,2,FALSE)=0,"Spatial Data Missing ⚠",VLOOKUP(V54,'G-7 WaterC'' Data'!$AK$4:$AM$6,2,FALSE)))</f>
        <v/>
      </c>
      <c r="X54" s="305" t="str">
        <f>IF(V54="","",IF(VLOOKUP(V54,'G-7 WaterC'' Data'!$AK$4:$AM$6,3,FALSE)=0,"Spatial Data Missing ⚠",VLOOKUP(V54,'G-7 WaterC'' Data'!$AK$4:$AM$6,3,FALSE)))</f>
        <v/>
      </c>
      <c r="Y54" s="317" t="str">
        <f>IFERROR(IF(OR(LEFT(P54,5)="Error",LEFT(O54,5)="Error"),"Check Data ⚠",IF(F54&lt;S54,'G-7 WaterC'' Data'!$R$3,INDEX('G-7 WaterC'' Data'!$U$5:$Y$9,MATCH(G54,'G-7 WaterC'' Data'!$T$5:$T$9,0),MATCH(T54,'G-7 WaterC'' Data'!$U$4:$Y$4,0)))),"")</f>
        <v/>
      </c>
      <c r="Z54" s="142"/>
      <c r="AA54" s="142"/>
      <c r="AB54" s="314" t="str">
        <f t="shared" si="4"/>
        <v/>
      </c>
      <c r="AC54" s="302" t="str">
        <f t="shared" si="5"/>
        <v/>
      </c>
      <c r="AD54" s="340" t="str">
        <f>IFERROR(IF(AC54="Check Data ⚠","Check Data ⚠",VLOOKUP(AC54,'G-4 Temporal multipliers'!$A$4:$C$37,3,FALSE)),"")</f>
        <v/>
      </c>
      <c r="AE54" s="317" t="str">
        <f>IF(N54="","",VLOOKUP(N54,'G-7 WaterC'' Data'!$B$4:$G$8,5,FALSE))</f>
        <v/>
      </c>
      <c r="AF54" s="301" t="str">
        <f t="shared" si="0"/>
        <v/>
      </c>
      <c r="AG54" s="301" t="str">
        <f t="shared" si="6"/>
        <v/>
      </c>
      <c r="AH54" s="282" t="str">
        <f t="shared" si="1"/>
        <v/>
      </c>
      <c r="AI54" s="109"/>
      <c r="AJ54" s="282" t="str">
        <f>IF(AI54="","",(IF(AND(AI54="N/A - Culvert",N54&lt;&gt;"Culvert"),"Not possible ▲",IF(VLOOKUP(AI54,'G-7 WaterC'' Data'!$AA$4:$AB$7,2,FALSE)=0,"Spatial Data Missing ⚠",VLOOKUP(AI54,'G-7 WaterC'' Data'!$AA$4:$AB$7,2,FALSE)))))</f>
        <v/>
      </c>
      <c r="AK54" s="110"/>
      <c r="AL54" s="316" t="str">
        <f>IF(AK54="","",IF(AND(AK54="N/A - Culvert",N54&lt;&gt;"Culvert"),"Not possible ▲",IF(VLOOKUP(AK54,'G-7 WaterC'' Data'!$AD$4:$AE$14,2,FALSE)=0,"Spatial Data Missing ⚠",VLOOKUP(AK54,'G-7 WaterC'' Data'!$AD$4:$AE$14,2,FALSE))))</f>
        <v/>
      </c>
      <c r="AM54" s="281" t="str">
        <f>IF(B54="","",VLOOKUP($B54,'F-1 Off-Site WaterC'' Baseline'!$C$9:$Z$257,17,FALSE))</f>
        <v/>
      </c>
      <c r="AN54" s="282" t="str">
        <f>IF(AM54="","",IF(VLOOKUP(AM54,'G-7 WaterC'' Data'!$AO$4:$BO$7,2,FALSE)=0,"Spatial Data Missing ⚠",VLOOKUP(AM54,'G-7 WaterC'' Data'!$AO$4:$BO$7,2,FALSE)))</f>
        <v/>
      </c>
      <c r="AO54" s="323" t="str">
        <f t="shared" si="7"/>
        <v/>
      </c>
      <c r="AP54" s="323" t="str">
        <f t="shared" si="8"/>
        <v/>
      </c>
      <c r="AQ54" s="105"/>
      <c r="AR54" s="119"/>
      <c r="AS54" s="108"/>
      <c r="AT54" s="108"/>
      <c r="AW54" s="30" t="str">
        <f>IF(E54="","",VLOOKUP($B54,'F-1 Off-Site WaterC'' Baseline'!$C$9:$Z$257,12,FALSE))</f>
        <v/>
      </c>
      <c r="AX54" s="30" t="str">
        <f>IF(E54="","",VLOOKUP($B54,'F-1 Off-Site WaterC'' Baseline'!$C$9:$Z$257,14,FALSE))</f>
        <v/>
      </c>
      <c r="AY54" s="30" t="str">
        <f>IFERROR(INDEX('G-7 WaterC'' Data'!$AZ$3:$AZ$7,MATCH(N54,'G-7 WaterC'' Data'!$AY$3:$AY$7,0)),"")</f>
        <v/>
      </c>
      <c r="AZ54" s="30" t="str">
        <f>IF(B54="","",IF(ISNA(VLOOKUP($B54,'F-1 Off-Site WaterC'' Baseline'!$C$8:$AD$257,20,FALSE)),"",(VLOOKUP($B54,'F-1 Off-Site WaterC'' Baseline'!$C$8:$AD$257,20,FALSE))))</f>
        <v/>
      </c>
      <c r="BC54" s="30" t="str">
        <f>IF(B54="","",VLOOKUP($B54,'F-1 Off-Site WaterC'' Baseline'!$C$9:$AB$257,25,FALSE))</f>
        <v/>
      </c>
      <c r="BD54" s="30" t="str">
        <f t="shared" si="9"/>
        <v/>
      </c>
      <c r="BE54" s="30" t="str">
        <f>IF(B54="","",VLOOKUP($B54,'F-1 Off-Site WaterC'' Baseline'!$C$9:$AB$257,24,FALSE))</f>
        <v/>
      </c>
      <c r="BF54" s="30" t="str">
        <f>IF(B54="","",VLOOKUP($B54,'F-1 Off-Site WaterC'' Baseline'!$C$9:$AB$257,22,FALSE))</f>
        <v/>
      </c>
      <c r="BJ54" s="30" t="str">
        <f t="shared" si="10"/>
        <v>No</v>
      </c>
    </row>
    <row r="55" spans="2:62" ht="13.8" x14ac:dyDescent="0.25">
      <c r="B55" s="311" t="str">
        <f>'F-1 Off-Site WaterC'' Baseline'!AS53</f>
        <v/>
      </c>
      <c r="C55" s="301" t="str">
        <f>IF(B55="","",VLOOKUP($B55,'F-1 Off-Site WaterC'' Baseline'!$C$9:$R$257,2,FALSE))</f>
        <v/>
      </c>
      <c r="D55" s="301" t="str">
        <f>IF(C55="","",VLOOKUP($B55,'F-1 Off-Site WaterC'' Baseline'!$C$9:$R$257,3,FALSE))</f>
        <v/>
      </c>
      <c r="E55" s="301" t="str">
        <f>IF(D55="","",VLOOKUP($B55,'F-1 Off-Site WaterC'' Baseline'!$C$9:$R$257,4,FALSE))</f>
        <v/>
      </c>
      <c r="F55" s="301" t="str">
        <f>IF(E55="","",VLOOKUP($B55,'F-1 Off-Site WaterC'' Baseline'!$C$9:$R$257,5,FALSE))</f>
        <v/>
      </c>
      <c r="G55" s="301" t="str">
        <f>IF(F55="","",VLOOKUP($B55,'F-1 Off-Site WaterC'' Baseline'!$C$9:$R$257,6,FALSE))</f>
        <v/>
      </c>
      <c r="H55" s="301" t="str">
        <f>IF(G55="","",VLOOKUP($B55,'F-1 Off-Site WaterC'' Baseline'!$C$9:$R$257,7,FALSE))</f>
        <v/>
      </c>
      <c r="I55" s="301" t="str">
        <f>IF(H55="","",VLOOKUP($B55,'F-1 Off-Site WaterC'' Baseline'!$C$9:$R$257,8,FALSE))</f>
        <v/>
      </c>
      <c r="J55" s="301" t="str">
        <f>IF(I55="","",VLOOKUP($B55,'F-1 Off-Site WaterC'' Baseline'!$C$9:$R$257,9,FALSE))</f>
        <v/>
      </c>
      <c r="K55" s="301" t="str">
        <f>IF(J55="","",VLOOKUP($B55,'F-1 Off-Site WaterC'' Baseline'!$C$9:$R$257,10,FALSE))</f>
        <v/>
      </c>
      <c r="L55" s="289" t="str">
        <f>IF(B55="","",VLOOKUP($B55,'F-1 Off-Site WaterC'' Baseline'!$C$9:$R$257,15,FALSE))</f>
        <v/>
      </c>
      <c r="M55" s="305" t="str">
        <f>IF(L55="","",VLOOKUP($B55,'F-1 Off-Site WaterC'' Baseline'!$C$9:$V$257,19,FALSE))</f>
        <v/>
      </c>
      <c r="N55" s="250"/>
      <c r="O55" s="281" t="str">
        <f t="shared" si="2"/>
        <v/>
      </c>
      <c r="P55" s="282" t="str">
        <f t="shared" si="3"/>
        <v/>
      </c>
      <c r="Q55" s="287" t="str">
        <f>IF(N55="","",VLOOKUP(B55,'F-1 Off-Site WaterC'' Baseline'!$C$10:$AF$257,23,FALSE))</f>
        <v/>
      </c>
      <c r="R55" s="281" t="str">
        <f>IF(N55="","",VLOOKUP(N55,'G-7 WaterC'' Data'!$B$2:$G$8,2,FALSE))</f>
        <v/>
      </c>
      <c r="S55" s="282" t="str">
        <f>IFERROR(VLOOKUP(R55,'G-7 WaterC'' Data'!$C$4:$D$8,2,FALSE),"")</f>
        <v/>
      </c>
      <c r="T55" s="105"/>
      <c r="U55" s="282" t="str">
        <f>IFERROR(INDEX('G-7 WaterC'' Data'!$H$4:$L$8,MATCH(N55,'G-7 WaterC'' Data'!$B$4:$B$8,0),MATCH(T55,'G-7 WaterC'' Data'!$H$3:$L$3,0)),"")</f>
        <v/>
      </c>
      <c r="V55" s="109"/>
      <c r="W55" s="301" t="str">
        <f>IF(V55="","",IF(VLOOKUP(V55,'G-7 WaterC'' Data'!$AK$4:$AM$6,2,FALSE)=0,"Spatial Data Missing ⚠",VLOOKUP(V55,'G-7 WaterC'' Data'!$AK$4:$AM$6,2,FALSE)))</f>
        <v/>
      </c>
      <c r="X55" s="305" t="str">
        <f>IF(V55="","",IF(VLOOKUP(V55,'G-7 WaterC'' Data'!$AK$4:$AM$6,3,FALSE)=0,"Spatial Data Missing ⚠",VLOOKUP(V55,'G-7 WaterC'' Data'!$AK$4:$AM$6,3,FALSE)))</f>
        <v/>
      </c>
      <c r="Y55" s="317" t="str">
        <f>IFERROR(IF(OR(LEFT(P55,5)="Error",LEFT(O55,5)="Error"),"Check Data ⚠",IF(F55&lt;S55,'G-7 WaterC'' Data'!$R$3,INDEX('G-7 WaterC'' Data'!$U$5:$Y$9,MATCH(G55,'G-7 WaterC'' Data'!$T$5:$T$9,0),MATCH(T55,'G-7 WaterC'' Data'!$U$4:$Y$4,0)))),"")</f>
        <v/>
      </c>
      <c r="Z55" s="142"/>
      <c r="AA55" s="142"/>
      <c r="AB55" s="314" t="str">
        <f t="shared" si="4"/>
        <v/>
      </c>
      <c r="AC55" s="302" t="str">
        <f t="shared" si="5"/>
        <v/>
      </c>
      <c r="AD55" s="340" t="str">
        <f>IFERROR(IF(AC55="Check Data ⚠","Check Data ⚠",VLOOKUP(AC55,'G-4 Temporal multipliers'!$A$4:$C$37,3,FALSE)),"")</f>
        <v/>
      </c>
      <c r="AE55" s="317" t="str">
        <f>IF(N55="","",VLOOKUP(N55,'G-7 WaterC'' Data'!$B$4:$G$8,5,FALSE))</f>
        <v/>
      </c>
      <c r="AF55" s="301" t="str">
        <f t="shared" si="0"/>
        <v/>
      </c>
      <c r="AG55" s="301" t="str">
        <f t="shared" si="6"/>
        <v/>
      </c>
      <c r="AH55" s="282" t="str">
        <f t="shared" si="1"/>
        <v/>
      </c>
      <c r="AI55" s="109"/>
      <c r="AJ55" s="282" t="str">
        <f>IF(AI55="","",(IF(AND(AI55="N/A - Culvert",N55&lt;&gt;"Culvert"),"Not possible ▲",IF(VLOOKUP(AI55,'G-7 WaterC'' Data'!$AA$4:$AB$7,2,FALSE)=0,"Spatial Data Missing ⚠",VLOOKUP(AI55,'G-7 WaterC'' Data'!$AA$4:$AB$7,2,FALSE)))))</f>
        <v/>
      </c>
      <c r="AK55" s="110"/>
      <c r="AL55" s="316" t="str">
        <f>IF(AK55="","",IF(AND(AK55="N/A - Culvert",N55&lt;&gt;"Culvert"),"Not possible ▲",IF(VLOOKUP(AK55,'G-7 WaterC'' Data'!$AD$4:$AE$14,2,FALSE)=0,"Spatial Data Missing ⚠",VLOOKUP(AK55,'G-7 WaterC'' Data'!$AD$4:$AE$14,2,FALSE))))</f>
        <v/>
      </c>
      <c r="AM55" s="281" t="str">
        <f>IF(B55="","",VLOOKUP($B55,'F-1 Off-Site WaterC'' Baseline'!$C$9:$Z$257,17,FALSE))</f>
        <v/>
      </c>
      <c r="AN55" s="282" t="str">
        <f>IF(AM55="","",IF(VLOOKUP(AM55,'G-7 WaterC'' Data'!$AO$4:$BO$7,2,FALSE)=0,"Spatial Data Missing ⚠",VLOOKUP(AM55,'G-7 WaterC'' Data'!$AO$4:$BO$7,2,FALSE)))</f>
        <v/>
      </c>
      <c r="AO55" s="323" t="str">
        <f t="shared" si="7"/>
        <v/>
      </c>
      <c r="AP55" s="323" t="str">
        <f t="shared" si="8"/>
        <v/>
      </c>
      <c r="AQ55" s="105"/>
      <c r="AR55" s="119"/>
      <c r="AS55" s="108"/>
      <c r="AT55" s="108"/>
      <c r="AW55" s="30" t="str">
        <f>IF(E55="","",VLOOKUP($B55,'F-1 Off-Site WaterC'' Baseline'!$C$9:$Z$257,12,FALSE))</f>
        <v/>
      </c>
      <c r="AX55" s="30" t="str">
        <f>IF(E55="","",VLOOKUP($B55,'F-1 Off-Site WaterC'' Baseline'!$C$9:$Z$257,14,FALSE))</f>
        <v/>
      </c>
      <c r="AY55" s="30" t="str">
        <f>IFERROR(INDEX('G-7 WaterC'' Data'!$AZ$3:$AZ$7,MATCH(N55,'G-7 WaterC'' Data'!$AY$3:$AY$7,0)),"")</f>
        <v/>
      </c>
      <c r="AZ55" s="30" t="str">
        <f>IF(B55="","",IF(ISNA(VLOOKUP($B55,'F-1 Off-Site WaterC'' Baseline'!$C$8:$AD$257,20,FALSE)),"",(VLOOKUP($B55,'F-1 Off-Site WaterC'' Baseline'!$C$8:$AD$257,20,FALSE))))</f>
        <v/>
      </c>
      <c r="BC55" s="30" t="str">
        <f>IF(B55="","",VLOOKUP($B55,'F-1 Off-Site WaterC'' Baseline'!$C$9:$AB$257,25,FALSE))</f>
        <v/>
      </c>
      <c r="BD55" s="30" t="str">
        <f t="shared" si="9"/>
        <v/>
      </c>
      <c r="BE55" s="30" t="str">
        <f>IF(B55="","",VLOOKUP($B55,'F-1 Off-Site WaterC'' Baseline'!$C$9:$AB$257,24,FALSE))</f>
        <v/>
      </c>
      <c r="BF55" s="30" t="str">
        <f>IF(B55="","",VLOOKUP($B55,'F-1 Off-Site WaterC'' Baseline'!$C$9:$AB$257,22,FALSE))</f>
        <v/>
      </c>
      <c r="BJ55" s="30" t="str">
        <f t="shared" si="10"/>
        <v>No</v>
      </c>
    </row>
    <row r="56" spans="2:62" ht="13.8" x14ac:dyDescent="0.25">
      <c r="B56" s="311" t="str">
        <f>'F-1 Off-Site WaterC'' Baseline'!AS54</f>
        <v/>
      </c>
      <c r="C56" s="301" t="str">
        <f>IF(B56="","",VLOOKUP($B56,'F-1 Off-Site WaterC'' Baseline'!$C$9:$R$257,2,FALSE))</f>
        <v/>
      </c>
      <c r="D56" s="301" t="str">
        <f>IF(C56="","",VLOOKUP($B56,'F-1 Off-Site WaterC'' Baseline'!$C$9:$R$257,3,FALSE))</f>
        <v/>
      </c>
      <c r="E56" s="301" t="str">
        <f>IF(D56="","",VLOOKUP($B56,'F-1 Off-Site WaterC'' Baseline'!$C$9:$R$257,4,FALSE))</f>
        <v/>
      </c>
      <c r="F56" s="301" t="str">
        <f>IF(E56="","",VLOOKUP($B56,'F-1 Off-Site WaterC'' Baseline'!$C$9:$R$257,5,FALSE))</f>
        <v/>
      </c>
      <c r="G56" s="301" t="str">
        <f>IF(F56="","",VLOOKUP($B56,'F-1 Off-Site WaterC'' Baseline'!$C$9:$R$257,6,FALSE))</f>
        <v/>
      </c>
      <c r="H56" s="301" t="str">
        <f>IF(G56="","",VLOOKUP($B56,'F-1 Off-Site WaterC'' Baseline'!$C$9:$R$257,7,FALSE))</f>
        <v/>
      </c>
      <c r="I56" s="301" t="str">
        <f>IF(H56="","",VLOOKUP($B56,'F-1 Off-Site WaterC'' Baseline'!$C$9:$R$257,8,FALSE))</f>
        <v/>
      </c>
      <c r="J56" s="301" t="str">
        <f>IF(I56="","",VLOOKUP($B56,'F-1 Off-Site WaterC'' Baseline'!$C$9:$R$257,9,FALSE))</f>
        <v/>
      </c>
      <c r="K56" s="301" t="str">
        <f>IF(J56="","",VLOOKUP($B56,'F-1 Off-Site WaterC'' Baseline'!$C$9:$R$257,10,FALSE))</f>
        <v/>
      </c>
      <c r="L56" s="289" t="str">
        <f>IF(B56="","",VLOOKUP($B56,'F-1 Off-Site WaterC'' Baseline'!$C$9:$R$257,15,FALSE))</f>
        <v/>
      </c>
      <c r="M56" s="305" t="str">
        <f>IF(L56="","",VLOOKUP($B56,'F-1 Off-Site WaterC'' Baseline'!$C$9:$V$257,19,FALSE))</f>
        <v/>
      </c>
      <c r="N56" s="250"/>
      <c r="O56" s="281" t="str">
        <f t="shared" si="2"/>
        <v/>
      </c>
      <c r="P56" s="282" t="str">
        <f t="shared" si="3"/>
        <v/>
      </c>
      <c r="Q56" s="287" t="str">
        <f>IF(N56="","",VLOOKUP(B56,'F-1 Off-Site WaterC'' Baseline'!$C$10:$AF$257,23,FALSE))</f>
        <v/>
      </c>
      <c r="R56" s="281" t="str">
        <f>IF(N56="","",VLOOKUP(N56,'G-7 WaterC'' Data'!$B$2:$G$8,2,FALSE))</f>
        <v/>
      </c>
      <c r="S56" s="282" t="str">
        <f>IFERROR(VLOOKUP(R56,'G-7 WaterC'' Data'!$C$4:$D$8,2,FALSE),"")</f>
        <v/>
      </c>
      <c r="T56" s="105"/>
      <c r="U56" s="282" t="str">
        <f>IFERROR(INDEX('G-7 WaterC'' Data'!$H$4:$L$8,MATCH(N56,'G-7 WaterC'' Data'!$B$4:$B$8,0),MATCH(T56,'G-7 WaterC'' Data'!$H$3:$L$3,0)),"")</f>
        <v/>
      </c>
      <c r="V56" s="109"/>
      <c r="W56" s="301" t="str">
        <f>IF(V56="","",IF(VLOOKUP(V56,'G-7 WaterC'' Data'!$AK$4:$AM$6,2,FALSE)=0,"Spatial Data Missing ⚠",VLOOKUP(V56,'G-7 WaterC'' Data'!$AK$4:$AM$6,2,FALSE)))</f>
        <v/>
      </c>
      <c r="X56" s="305" t="str">
        <f>IF(V56="","",IF(VLOOKUP(V56,'G-7 WaterC'' Data'!$AK$4:$AM$6,3,FALSE)=0,"Spatial Data Missing ⚠",VLOOKUP(V56,'G-7 WaterC'' Data'!$AK$4:$AM$6,3,FALSE)))</f>
        <v/>
      </c>
      <c r="Y56" s="317" t="str">
        <f>IFERROR(IF(OR(LEFT(P56,5)="Error",LEFT(O56,5)="Error"),"Check Data ⚠",IF(F56&lt;S56,'G-7 WaterC'' Data'!$R$3,INDEX('G-7 WaterC'' Data'!$U$5:$Y$9,MATCH(G56,'G-7 WaterC'' Data'!$T$5:$T$9,0),MATCH(T56,'G-7 WaterC'' Data'!$U$4:$Y$4,0)))),"")</f>
        <v/>
      </c>
      <c r="Z56" s="142"/>
      <c r="AA56" s="142"/>
      <c r="AB56" s="314" t="str">
        <f t="shared" si="4"/>
        <v/>
      </c>
      <c r="AC56" s="302" t="str">
        <f t="shared" si="5"/>
        <v/>
      </c>
      <c r="AD56" s="340" t="str">
        <f>IFERROR(IF(AC56="Check Data ⚠","Check Data ⚠",VLOOKUP(AC56,'G-4 Temporal multipliers'!$A$4:$C$37,3,FALSE)),"")</f>
        <v/>
      </c>
      <c r="AE56" s="317" t="str">
        <f>IF(N56="","",VLOOKUP(N56,'G-7 WaterC'' Data'!$B$4:$G$8,5,FALSE))</f>
        <v/>
      </c>
      <c r="AF56" s="301" t="str">
        <f t="shared" si="0"/>
        <v/>
      </c>
      <c r="AG56" s="301" t="str">
        <f t="shared" si="6"/>
        <v/>
      </c>
      <c r="AH56" s="282" t="str">
        <f t="shared" si="1"/>
        <v/>
      </c>
      <c r="AI56" s="109"/>
      <c r="AJ56" s="282" t="str">
        <f>IF(AI56="","",(IF(AND(AI56="N/A - Culvert",N56&lt;&gt;"Culvert"),"Not possible ▲",IF(VLOOKUP(AI56,'G-7 WaterC'' Data'!$AA$4:$AB$7,2,FALSE)=0,"Spatial Data Missing ⚠",VLOOKUP(AI56,'G-7 WaterC'' Data'!$AA$4:$AB$7,2,FALSE)))))</f>
        <v/>
      </c>
      <c r="AK56" s="110"/>
      <c r="AL56" s="316" t="str">
        <f>IF(AK56="","",IF(AND(AK56="N/A - Culvert",N56&lt;&gt;"Culvert"),"Not possible ▲",IF(VLOOKUP(AK56,'G-7 WaterC'' Data'!$AD$4:$AE$14,2,FALSE)=0,"Spatial Data Missing ⚠",VLOOKUP(AK56,'G-7 WaterC'' Data'!$AD$4:$AE$14,2,FALSE))))</f>
        <v/>
      </c>
      <c r="AM56" s="281" t="str">
        <f>IF(B56="","",VLOOKUP($B56,'F-1 Off-Site WaterC'' Baseline'!$C$9:$Z$257,17,FALSE))</f>
        <v/>
      </c>
      <c r="AN56" s="282" t="str">
        <f>IF(AM56="","",IF(VLOOKUP(AM56,'G-7 WaterC'' Data'!$AO$4:$BO$7,2,FALSE)=0,"Spatial Data Missing ⚠",VLOOKUP(AM56,'G-7 WaterC'' Data'!$AO$4:$BO$7,2,FALSE)))</f>
        <v/>
      </c>
      <c r="AO56" s="323" t="str">
        <f t="shared" si="7"/>
        <v/>
      </c>
      <c r="AP56" s="323" t="str">
        <f t="shared" si="8"/>
        <v/>
      </c>
      <c r="AQ56" s="105"/>
      <c r="AR56" s="119"/>
      <c r="AS56" s="108"/>
      <c r="AT56" s="108"/>
      <c r="AW56" s="30" t="str">
        <f>IF(E56="","",VLOOKUP($B56,'F-1 Off-Site WaterC'' Baseline'!$C$9:$Z$257,12,FALSE))</f>
        <v/>
      </c>
      <c r="AX56" s="30" t="str">
        <f>IF(E56="","",VLOOKUP($B56,'F-1 Off-Site WaterC'' Baseline'!$C$9:$Z$257,14,FALSE))</f>
        <v/>
      </c>
      <c r="AY56" s="30" t="str">
        <f>IFERROR(INDEX('G-7 WaterC'' Data'!$AZ$3:$AZ$7,MATCH(N56,'G-7 WaterC'' Data'!$AY$3:$AY$7,0)),"")</f>
        <v/>
      </c>
      <c r="AZ56" s="30" t="str">
        <f>IF(B56="","",IF(ISNA(VLOOKUP($B56,'F-1 Off-Site WaterC'' Baseline'!$C$8:$AD$257,20,FALSE)),"",(VLOOKUP($B56,'F-1 Off-Site WaterC'' Baseline'!$C$8:$AD$257,20,FALSE))))</f>
        <v/>
      </c>
      <c r="BC56" s="30" t="str">
        <f>IF(B56="","",VLOOKUP($B56,'F-1 Off-Site WaterC'' Baseline'!$C$9:$AB$257,25,FALSE))</f>
        <v/>
      </c>
      <c r="BD56" s="30" t="str">
        <f t="shared" si="9"/>
        <v/>
      </c>
      <c r="BE56" s="30" t="str">
        <f>IF(B56="","",VLOOKUP($B56,'F-1 Off-Site WaterC'' Baseline'!$C$9:$AB$257,24,FALSE))</f>
        <v/>
      </c>
      <c r="BF56" s="30" t="str">
        <f>IF(B56="","",VLOOKUP($B56,'F-1 Off-Site WaterC'' Baseline'!$C$9:$AB$257,22,FALSE))</f>
        <v/>
      </c>
      <c r="BJ56" s="30" t="str">
        <f t="shared" si="10"/>
        <v>No</v>
      </c>
    </row>
    <row r="57" spans="2:62" ht="13.8" x14ac:dyDescent="0.25">
      <c r="B57" s="311" t="str">
        <f>'F-1 Off-Site WaterC'' Baseline'!AS55</f>
        <v/>
      </c>
      <c r="C57" s="301" t="str">
        <f>IF(B57="","",VLOOKUP($B57,'F-1 Off-Site WaterC'' Baseline'!$C$9:$R$257,2,FALSE))</f>
        <v/>
      </c>
      <c r="D57" s="301" t="str">
        <f>IF(C57="","",VLOOKUP($B57,'F-1 Off-Site WaterC'' Baseline'!$C$9:$R$257,3,FALSE))</f>
        <v/>
      </c>
      <c r="E57" s="301" t="str">
        <f>IF(D57="","",VLOOKUP($B57,'F-1 Off-Site WaterC'' Baseline'!$C$9:$R$257,4,FALSE))</f>
        <v/>
      </c>
      <c r="F57" s="301" t="str">
        <f>IF(E57="","",VLOOKUP($B57,'F-1 Off-Site WaterC'' Baseline'!$C$9:$R$257,5,FALSE))</f>
        <v/>
      </c>
      <c r="G57" s="301" t="str">
        <f>IF(F57="","",VLOOKUP($B57,'F-1 Off-Site WaterC'' Baseline'!$C$9:$R$257,6,FALSE))</f>
        <v/>
      </c>
      <c r="H57" s="301" t="str">
        <f>IF(G57="","",VLOOKUP($B57,'F-1 Off-Site WaterC'' Baseline'!$C$9:$R$257,7,FALSE))</f>
        <v/>
      </c>
      <c r="I57" s="301" t="str">
        <f>IF(H57="","",VLOOKUP($B57,'F-1 Off-Site WaterC'' Baseline'!$C$9:$R$257,8,FALSE))</f>
        <v/>
      </c>
      <c r="J57" s="301" t="str">
        <f>IF(I57="","",VLOOKUP($B57,'F-1 Off-Site WaterC'' Baseline'!$C$9:$R$257,9,FALSE))</f>
        <v/>
      </c>
      <c r="K57" s="301" t="str">
        <f>IF(J57="","",VLOOKUP($B57,'F-1 Off-Site WaterC'' Baseline'!$C$9:$R$257,10,FALSE))</f>
        <v/>
      </c>
      <c r="L57" s="289" t="str">
        <f>IF(B57="","",VLOOKUP($B57,'F-1 Off-Site WaterC'' Baseline'!$C$9:$R$257,15,FALSE))</f>
        <v/>
      </c>
      <c r="M57" s="305" t="str">
        <f>IF(L57="","",VLOOKUP($B57,'F-1 Off-Site WaterC'' Baseline'!$C$9:$V$257,19,FALSE))</f>
        <v/>
      </c>
      <c r="N57" s="250"/>
      <c r="O57" s="281" t="str">
        <f t="shared" si="2"/>
        <v/>
      </c>
      <c r="P57" s="282" t="str">
        <f t="shared" si="3"/>
        <v/>
      </c>
      <c r="Q57" s="287" t="str">
        <f>IF(N57="","",VLOOKUP(B57,'F-1 Off-Site WaterC'' Baseline'!$C$10:$AF$257,23,FALSE))</f>
        <v/>
      </c>
      <c r="R57" s="281" t="str">
        <f>IF(N57="","",VLOOKUP(N57,'G-7 WaterC'' Data'!$B$2:$G$8,2,FALSE))</f>
        <v/>
      </c>
      <c r="S57" s="282" t="str">
        <f>IFERROR(VLOOKUP(R57,'G-7 WaterC'' Data'!$C$4:$D$8,2,FALSE),"")</f>
        <v/>
      </c>
      <c r="T57" s="105"/>
      <c r="U57" s="282" t="str">
        <f>IFERROR(INDEX('G-7 WaterC'' Data'!$H$4:$L$8,MATCH(N57,'G-7 WaterC'' Data'!$B$4:$B$8,0),MATCH(T57,'G-7 WaterC'' Data'!$H$3:$L$3,0)),"")</f>
        <v/>
      </c>
      <c r="V57" s="109"/>
      <c r="W57" s="301" t="str">
        <f>IF(V57="","",IF(VLOOKUP(V57,'G-7 WaterC'' Data'!$AK$4:$AM$6,2,FALSE)=0,"Spatial Data Missing ⚠",VLOOKUP(V57,'G-7 WaterC'' Data'!$AK$4:$AM$6,2,FALSE)))</f>
        <v/>
      </c>
      <c r="X57" s="305" t="str">
        <f>IF(V57="","",IF(VLOOKUP(V57,'G-7 WaterC'' Data'!$AK$4:$AM$6,3,FALSE)=0,"Spatial Data Missing ⚠",VLOOKUP(V57,'G-7 WaterC'' Data'!$AK$4:$AM$6,3,FALSE)))</f>
        <v/>
      </c>
      <c r="Y57" s="317" t="str">
        <f>IFERROR(IF(OR(LEFT(P57,5)="Error",LEFT(O57,5)="Error"),"Check Data ⚠",IF(F57&lt;S57,'G-7 WaterC'' Data'!$R$3,INDEX('G-7 WaterC'' Data'!$U$5:$Y$9,MATCH(G57,'G-7 WaterC'' Data'!$T$5:$T$9,0),MATCH(T57,'G-7 WaterC'' Data'!$U$4:$Y$4,0)))),"")</f>
        <v/>
      </c>
      <c r="Z57" s="142"/>
      <c r="AA57" s="142"/>
      <c r="AB57" s="314" t="str">
        <f t="shared" si="4"/>
        <v/>
      </c>
      <c r="AC57" s="302" t="str">
        <f t="shared" si="5"/>
        <v/>
      </c>
      <c r="AD57" s="340" t="str">
        <f>IFERROR(IF(AC57="Check Data ⚠","Check Data ⚠",VLOOKUP(AC57,'G-4 Temporal multipliers'!$A$4:$C$37,3,FALSE)),"")</f>
        <v/>
      </c>
      <c r="AE57" s="317" t="str">
        <f>IF(N57="","",VLOOKUP(N57,'G-7 WaterC'' Data'!$B$4:$G$8,5,FALSE))</f>
        <v/>
      </c>
      <c r="AF57" s="301" t="str">
        <f t="shared" si="0"/>
        <v/>
      </c>
      <c r="AG57" s="301" t="str">
        <f t="shared" si="6"/>
        <v/>
      </c>
      <c r="AH57" s="282" t="str">
        <f t="shared" si="1"/>
        <v/>
      </c>
      <c r="AI57" s="109"/>
      <c r="AJ57" s="282" t="str">
        <f>IF(AI57="","",(IF(AND(AI57="N/A - Culvert",N57&lt;&gt;"Culvert"),"Not possible ▲",IF(VLOOKUP(AI57,'G-7 WaterC'' Data'!$AA$4:$AB$7,2,FALSE)=0,"Spatial Data Missing ⚠",VLOOKUP(AI57,'G-7 WaterC'' Data'!$AA$4:$AB$7,2,FALSE)))))</f>
        <v/>
      </c>
      <c r="AK57" s="110"/>
      <c r="AL57" s="316" t="str">
        <f>IF(AK57="","",IF(AND(AK57="N/A - Culvert",N57&lt;&gt;"Culvert"),"Not possible ▲",IF(VLOOKUP(AK57,'G-7 WaterC'' Data'!$AD$4:$AE$14,2,FALSE)=0,"Spatial Data Missing ⚠",VLOOKUP(AK57,'G-7 WaterC'' Data'!$AD$4:$AE$14,2,FALSE))))</f>
        <v/>
      </c>
      <c r="AM57" s="281" t="str">
        <f>IF(B57="","",VLOOKUP($B57,'F-1 Off-Site WaterC'' Baseline'!$C$9:$Z$257,17,FALSE))</f>
        <v/>
      </c>
      <c r="AN57" s="282" t="str">
        <f>IF(AM57="","",IF(VLOOKUP(AM57,'G-7 WaterC'' Data'!$AO$4:$BO$7,2,FALSE)=0,"Spatial Data Missing ⚠",VLOOKUP(AM57,'G-7 WaterC'' Data'!$AO$4:$BO$7,2,FALSE)))</f>
        <v/>
      </c>
      <c r="AO57" s="323" t="str">
        <f t="shared" si="7"/>
        <v/>
      </c>
      <c r="AP57" s="323" t="str">
        <f t="shared" si="8"/>
        <v/>
      </c>
      <c r="AQ57" s="105"/>
      <c r="AR57" s="119"/>
      <c r="AS57" s="108"/>
      <c r="AT57" s="108"/>
      <c r="AW57" s="30" t="str">
        <f>IF(E57="","",VLOOKUP($B57,'F-1 Off-Site WaterC'' Baseline'!$C$9:$Z$257,12,FALSE))</f>
        <v/>
      </c>
      <c r="AX57" s="30" t="str">
        <f>IF(E57="","",VLOOKUP($B57,'F-1 Off-Site WaterC'' Baseline'!$C$9:$Z$257,14,FALSE))</f>
        <v/>
      </c>
      <c r="AY57" s="30" t="str">
        <f>IFERROR(INDEX('G-7 WaterC'' Data'!$AZ$3:$AZ$7,MATCH(N57,'G-7 WaterC'' Data'!$AY$3:$AY$7,0)),"")</f>
        <v/>
      </c>
      <c r="AZ57" s="30" t="str">
        <f>IF(B57="","",IF(ISNA(VLOOKUP($B57,'F-1 Off-Site WaterC'' Baseline'!$C$8:$AD$257,20,FALSE)),"",(VLOOKUP($B57,'F-1 Off-Site WaterC'' Baseline'!$C$8:$AD$257,20,FALSE))))</f>
        <v/>
      </c>
      <c r="BC57" s="30" t="str">
        <f>IF(B57="","",VLOOKUP($B57,'F-1 Off-Site WaterC'' Baseline'!$C$9:$AB$257,25,FALSE))</f>
        <v/>
      </c>
      <c r="BD57" s="30" t="str">
        <f t="shared" si="9"/>
        <v/>
      </c>
      <c r="BE57" s="30" t="str">
        <f>IF(B57="","",VLOOKUP($B57,'F-1 Off-Site WaterC'' Baseline'!$C$9:$AB$257,24,FALSE))</f>
        <v/>
      </c>
      <c r="BF57" s="30" t="str">
        <f>IF(B57="","",VLOOKUP($B57,'F-1 Off-Site WaterC'' Baseline'!$C$9:$AB$257,22,FALSE))</f>
        <v/>
      </c>
      <c r="BJ57" s="30" t="str">
        <f t="shared" si="10"/>
        <v>No</v>
      </c>
    </row>
    <row r="58" spans="2:62" ht="13.8" x14ac:dyDescent="0.25">
      <c r="B58" s="311" t="str">
        <f>'F-1 Off-Site WaterC'' Baseline'!AS56</f>
        <v/>
      </c>
      <c r="C58" s="301" t="str">
        <f>IF(B58="","",VLOOKUP($B58,'F-1 Off-Site WaterC'' Baseline'!$C$9:$R$257,2,FALSE))</f>
        <v/>
      </c>
      <c r="D58" s="301" t="str">
        <f>IF(C58="","",VLOOKUP($B58,'F-1 Off-Site WaterC'' Baseline'!$C$9:$R$257,3,FALSE))</f>
        <v/>
      </c>
      <c r="E58" s="301" t="str">
        <f>IF(D58="","",VLOOKUP($B58,'F-1 Off-Site WaterC'' Baseline'!$C$9:$R$257,4,FALSE))</f>
        <v/>
      </c>
      <c r="F58" s="301" t="str">
        <f>IF(E58="","",VLOOKUP($B58,'F-1 Off-Site WaterC'' Baseline'!$C$9:$R$257,5,FALSE))</f>
        <v/>
      </c>
      <c r="G58" s="301" t="str">
        <f>IF(F58="","",VLOOKUP($B58,'F-1 Off-Site WaterC'' Baseline'!$C$9:$R$257,6,FALSE))</f>
        <v/>
      </c>
      <c r="H58" s="301" t="str">
        <f>IF(G58="","",VLOOKUP($B58,'F-1 Off-Site WaterC'' Baseline'!$C$9:$R$257,7,FALSE))</f>
        <v/>
      </c>
      <c r="I58" s="301" t="str">
        <f>IF(H58="","",VLOOKUP($B58,'F-1 Off-Site WaterC'' Baseline'!$C$9:$R$257,8,FALSE))</f>
        <v/>
      </c>
      <c r="J58" s="301" t="str">
        <f>IF(I58="","",VLOOKUP($B58,'F-1 Off-Site WaterC'' Baseline'!$C$9:$R$257,9,FALSE))</f>
        <v/>
      </c>
      <c r="K58" s="301" t="str">
        <f>IF(J58="","",VLOOKUP($B58,'F-1 Off-Site WaterC'' Baseline'!$C$9:$R$257,10,FALSE))</f>
        <v/>
      </c>
      <c r="L58" s="289" t="str">
        <f>IF(B58="","",VLOOKUP($B58,'F-1 Off-Site WaterC'' Baseline'!$C$9:$R$257,15,FALSE))</f>
        <v/>
      </c>
      <c r="M58" s="305" t="str">
        <f>IF(L58="","",VLOOKUP($B58,'F-1 Off-Site WaterC'' Baseline'!$C$9:$V$257,19,FALSE))</f>
        <v/>
      </c>
      <c r="N58" s="250"/>
      <c r="O58" s="281" t="str">
        <f t="shared" si="2"/>
        <v/>
      </c>
      <c r="P58" s="282" t="str">
        <f t="shared" si="3"/>
        <v/>
      </c>
      <c r="Q58" s="287" t="str">
        <f>IF(N58="","",VLOOKUP(B58,'F-1 Off-Site WaterC'' Baseline'!$C$10:$AF$257,23,FALSE))</f>
        <v/>
      </c>
      <c r="R58" s="281" t="str">
        <f>IF(N58="","",VLOOKUP(N58,'G-7 WaterC'' Data'!$B$2:$G$8,2,FALSE))</f>
        <v/>
      </c>
      <c r="S58" s="282" t="str">
        <f>IFERROR(VLOOKUP(R58,'G-7 WaterC'' Data'!$C$4:$D$8,2,FALSE),"")</f>
        <v/>
      </c>
      <c r="T58" s="105"/>
      <c r="U58" s="282" t="str">
        <f>IFERROR(INDEX('G-7 WaterC'' Data'!$H$4:$L$8,MATCH(N58,'G-7 WaterC'' Data'!$B$4:$B$8,0),MATCH(T58,'G-7 WaterC'' Data'!$H$3:$L$3,0)),"")</f>
        <v/>
      </c>
      <c r="V58" s="109"/>
      <c r="W58" s="301" t="str">
        <f>IF(V58="","",IF(VLOOKUP(V58,'G-7 WaterC'' Data'!$AK$4:$AM$6,2,FALSE)=0,"Spatial Data Missing ⚠",VLOOKUP(V58,'G-7 WaterC'' Data'!$AK$4:$AM$6,2,FALSE)))</f>
        <v/>
      </c>
      <c r="X58" s="305" t="str">
        <f>IF(V58="","",IF(VLOOKUP(V58,'G-7 WaterC'' Data'!$AK$4:$AM$6,3,FALSE)=0,"Spatial Data Missing ⚠",VLOOKUP(V58,'G-7 WaterC'' Data'!$AK$4:$AM$6,3,FALSE)))</f>
        <v/>
      </c>
      <c r="Y58" s="317" t="str">
        <f>IFERROR(IF(OR(LEFT(P58,5)="Error",LEFT(O58,5)="Error"),"Check Data ⚠",IF(F58&lt;S58,'G-7 WaterC'' Data'!$R$3,INDEX('G-7 WaterC'' Data'!$U$5:$Y$9,MATCH(G58,'G-7 WaterC'' Data'!$T$5:$T$9,0),MATCH(T58,'G-7 WaterC'' Data'!$U$4:$Y$4,0)))),"")</f>
        <v/>
      </c>
      <c r="Z58" s="142"/>
      <c r="AA58" s="142"/>
      <c r="AB58" s="314" t="str">
        <f t="shared" si="4"/>
        <v/>
      </c>
      <c r="AC58" s="302" t="str">
        <f t="shared" si="5"/>
        <v/>
      </c>
      <c r="AD58" s="340" t="str">
        <f>IFERROR(IF(AC58="Check Data ⚠","Check Data ⚠",VLOOKUP(AC58,'G-4 Temporal multipliers'!$A$4:$C$37,3,FALSE)),"")</f>
        <v/>
      </c>
      <c r="AE58" s="317" t="str">
        <f>IF(N58="","",VLOOKUP(N58,'G-7 WaterC'' Data'!$B$4:$G$8,5,FALSE))</f>
        <v/>
      </c>
      <c r="AF58" s="301" t="str">
        <f t="shared" si="0"/>
        <v/>
      </c>
      <c r="AG58" s="301" t="str">
        <f t="shared" si="6"/>
        <v/>
      </c>
      <c r="AH58" s="282" t="str">
        <f t="shared" si="1"/>
        <v/>
      </c>
      <c r="AI58" s="109"/>
      <c r="AJ58" s="282" t="str">
        <f>IF(AI58="","",(IF(AND(AI58="N/A - Culvert",N58&lt;&gt;"Culvert"),"Not possible ▲",IF(VLOOKUP(AI58,'G-7 WaterC'' Data'!$AA$4:$AB$7,2,FALSE)=0,"Spatial Data Missing ⚠",VLOOKUP(AI58,'G-7 WaterC'' Data'!$AA$4:$AB$7,2,FALSE)))))</f>
        <v/>
      </c>
      <c r="AK58" s="110"/>
      <c r="AL58" s="316" t="str">
        <f>IF(AK58="","",IF(AND(AK58="N/A - Culvert",N58&lt;&gt;"Culvert"),"Not possible ▲",IF(VLOOKUP(AK58,'G-7 WaterC'' Data'!$AD$4:$AE$14,2,FALSE)=0,"Spatial Data Missing ⚠",VLOOKUP(AK58,'G-7 WaterC'' Data'!$AD$4:$AE$14,2,FALSE))))</f>
        <v/>
      </c>
      <c r="AM58" s="281" t="str">
        <f>IF(B58="","",VLOOKUP($B58,'F-1 Off-Site WaterC'' Baseline'!$C$9:$Z$257,17,FALSE))</f>
        <v/>
      </c>
      <c r="AN58" s="282" t="str">
        <f>IF(AM58="","",IF(VLOOKUP(AM58,'G-7 WaterC'' Data'!$AO$4:$BO$7,2,FALSE)=0,"Spatial Data Missing ⚠",VLOOKUP(AM58,'G-7 WaterC'' Data'!$AO$4:$BO$7,2,FALSE)))</f>
        <v/>
      </c>
      <c r="AO58" s="323" t="str">
        <f t="shared" si="7"/>
        <v/>
      </c>
      <c r="AP58" s="323" t="str">
        <f t="shared" si="8"/>
        <v/>
      </c>
      <c r="AQ58" s="105"/>
      <c r="AR58" s="119"/>
      <c r="AS58" s="108"/>
      <c r="AT58" s="108"/>
      <c r="AW58" s="30" t="str">
        <f>IF(E58="","",VLOOKUP($B58,'F-1 Off-Site WaterC'' Baseline'!$C$9:$Z$257,12,FALSE))</f>
        <v/>
      </c>
      <c r="AX58" s="30" t="str">
        <f>IF(E58="","",VLOOKUP($B58,'F-1 Off-Site WaterC'' Baseline'!$C$9:$Z$257,14,FALSE))</f>
        <v/>
      </c>
      <c r="AY58" s="30" t="str">
        <f>IFERROR(INDEX('G-7 WaterC'' Data'!$AZ$3:$AZ$7,MATCH(N58,'G-7 WaterC'' Data'!$AY$3:$AY$7,0)),"")</f>
        <v/>
      </c>
      <c r="AZ58" s="30" t="str">
        <f>IF(B58="","",IF(ISNA(VLOOKUP($B58,'F-1 Off-Site WaterC'' Baseline'!$C$8:$AD$257,20,FALSE)),"",(VLOOKUP($B58,'F-1 Off-Site WaterC'' Baseline'!$C$8:$AD$257,20,FALSE))))</f>
        <v/>
      </c>
      <c r="BC58" s="30" t="str">
        <f>IF(B58="","",VLOOKUP($B58,'F-1 Off-Site WaterC'' Baseline'!$C$9:$AB$257,25,FALSE))</f>
        <v/>
      </c>
      <c r="BD58" s="30" t="str">
        <f t="shared" si="9"/>
        <v/>
      </c>
      <c r="BE58" s="30" t="str">
        <f>IF(B58="","",VLOOKUP($B58,'F-1 Off-Site WaterC'' Baseline'!$C$9:$AB$257,24,FALSE))</f>
        <v/>
      </c>
      <c r="BF58" s="30" t="str">
        <f>IF(B58="","",VLOOKUP($B58,'F-1 Off-Site WaterC'' Baseline'!$C$9:$AB$257,22,FALSE))</f>
        <v/>
      </c>
      <c r="BJ58" s="30" t="str">
        <f t="shared" si="10"/>
        <v>No</v>
      </c>
    </row>
    <row r="59" spans="2:62" ht="13.8" x14ac:dyDescent="0.25">
      <c r="B59" s="311" t="str">
        <f>'F-1 Off-Site WaterC'' Baseline'!AS57</f>
        <v/>
      </c>
      <c r="C59" s="301" t="str">
        <f>IF(B59="","",VLOOKUP($B59,'F-1 Off-Site WaterC'' Baseline'!$C$9:$R$257,2,FALSE))</f>
        <v/>
      </c>
      <c r="D59" s="301" t="str">
        <f>IF(C59="","",VLOOKUP($B59,'F-1 Off-Site WaterC'' Baseline'!$C$9:$R$257,3,FALSE))</f>
        <v/>
      </c>
      <c r="E59" s="301" t="str">
        <f>IF(D59="","",VLOOKUP($B59,'F-1 Off-Site WaterC'' Baseline'!$C$9:$R$257,4,FALSE))</f>
        <v/>
      </c>
      <c r="F59" s="301" t="str">
        <f>IF(E59="","",VLOOKUP($B59,'F-1 Off-Site WaterC'' Baseline'!$C$9:$R$257,5,FALSE))</f>
        <v/>
      </c>
      <c r="G59" s="301" t="str">
        <f>IF(F59="","",VLOOKUP($B59,'F-1 Off-Site WaterC'' Baseline'!$C$9:$R$257,6,FALSE))</f>
        <v/>
      </c>
      <c r="H59" s="301" t="str">
        <f>IF(G59="","",VLOOKUP($B59,'F-1 Off-Site WaterC'' Baseline'!$C$9:$R$257,7,FALSE))</f>
        <v/>
      </c>
      <c r="I59" s="301" t="str">
        <f>IF(H59="","",VLOOKUP($B59,'F-1 Off-Site WaterC'' Baseline'!$C$9:$R$257,8,FALSE))</f>
        <v/>
      </c>
      <c r="J59" s="301" t="str">
        <f>IF(I59="","",VLOOKUP($B59,'F-1 Off-Site WaterC'' Baseline'!$C$9:$R$257,9,FALSE))</f>
        <v/>
      </c>
      <c r="K59" s="301" t="str">
        <f>IF(J59="","",VLOOKUP($B59,'F-1 Off-Site WaterC'' Baseline'!$C$9:$R$257,10,FALSE))</f>
        <v/>
      </c>
      <c r="L59" s="289" t="str">
        <f>IF(B59="","",VLOOKUP($B59,'F-1 Off-Site WaterC'' Baseline'!$C$9:$R$257,15,FALSE))</f>
        <v/>
      </c>
      <c r="M59" s="305" t="str">
        <f>IF(L59="","",VLOOKUP($B59,'F-1 Off-Site WaterC'' Baseline'!$C$9:$V$257,19,FALSE))</f>
        <v/>
      </c>
      <c r="N59" s="250"/>
      <c r="O59" s="281" t="str">
        <f t="shared" si="2"/>
        <v/>
      </c>
      <c r="P59" s="282" t="str">
        <f t="shared" si="3"/>
        <v/>
      </c>
      <c r="Q59" s="287" t="str">
        <f>IF(N59="","",VLOOKUP(B59,'F-1 Off-Site WaterC'' Baseline'!$C$10:$AF$257,23,FALSE))</f>
        <v/>
      </c>
      <c r="R59" s="281" t="str">
        <f>IF(N59="","",VLOOKUP(N59,'G-7 WaterC'' Data'!$B$2:$G$8,2,FALSE))</f>
        <v/>
      </c>
      <c r="S59" s="282" t="str">
        <f>IFERROR(VLOOKUP(R59,'G-7 WaterC'' Data'!$C$4:$D$8,2,FALSE),"")</f>
        <v/>
      </c>
      <c r="T59" s="105"/>
      <c r="U59" s="282" t="str">
        <f>IFERROR(INDEX('G-7 WaterC'' Data'!$H$4:$L$8,MATCH(N59,'G-7 WaterC'' Data'!$B$4:$B$8,0),MATCH(T59,'G-7 WaterC'' Data'!$H$3:$L$3,0)),"")</f>
        <v/>
      </c>
      <c r="V59" s="109"/>
      <c r="W59" s="301" t="str">
        <f>IF(V59="","",IF(VLOOKUP(V59,'G-7 WaterC'' Data'!$AK$4:$AM$6,2,FALSE)=0,"Spatial Data Missing ⚠",VLOOKUP(V59,'G-7 WaterC'' Data'!$AK$4:$AM$6,2,FALSE)))</f>
        <v/>
      </c>
      <c r="X59" s="305" t="str">
        <f>IF(V59="","",IF(VLOOKUP(V59,'G-7 WaterC'' Data'!$AK$4:$AM$6,3,FALSE)=0,"Spatial Data Missing ⚠",VLOOKUP(V59,'G-7 WaterC'' Data'!$AK$4:$AM$6,3,FALSE)))</f>
        <v/>
      </c>
      <c r="Y59" s="317" t="str">
        <f>IFERROR(IF(OR(LEFT(P59,5)="Error",LEFT(O59,5)="Error"),"Check Data ⚠",IF(F59&lt;S59,'G-7 WaterC'' Data'!$R$3,INDEX('G-7 WaterC'' Data'!$U$5:$Y$9,MATCH(G59,'G-7 WaterC'' Data'!$T$5:$T$9,0),MATCH(T59,'G-7 WaterC'' Data'!$U$4:$Y$4,0)))),"")</f>
        <v/>
      </c>
      <c r="Z59" s="142"/>
      <c r="AA59" s="142"/>
      <c r="AB59" s="314" t="str">
        <f t="shared" si="4"/>
        <v/>
      </c>
      <c r="AC59" s="302" t="str">
        <f t="shared" si="5"/>
        <v/>
      </c>
      <c r="AD59" s="340" t="str">
        <f>IFERROR(IF(AC59="Check Data ⚠","Check Data ⚠",VLOOKUP(AC59,'G-4 Temporal multipliers'!$A$4:$C$37,3,FALSE)),"")</f>
        <v/>
      </c>
      <c r="AE59" s="317" t="str">
        <f>IF(N59="","",VLOOKUP(N59,'G-7 WaterC'' Data'!$B$4:$G$8,5,FALSE))</f>
        <v/>
      </c>
      <c r="AF59" s="301" t="str">
        <f t="shared" si="0"/>
        <v/>
      </c>
      <c r="AG59" s="301" t="str">
        <f t="shared" si="6"/>
        <v/>
      </c>
      <c r="AH59" s="282" t="str">
        <f t="shared" si="1"/>
        <v/>
      </c>
      <c r="AI59" s="109"/>
      <c r="AJ59" s="282" t="str">
        <f>IF(AI59="","",(IF(AND(AI59="N/A - Culvert",N59&lt;&gt;"Culvert"),"Not possible ▲",IF(VLOOKUP(AI59,'G-7 WaterC'' Data'!$AA$4:$AB$7,2,FALSE)=0,"Spatial Data Missing ⚠",VLOOKUP(AI59,'G-7 WaterC'' Data'!$AA$4:$AB$7,2,FALSE)))))</f>
        <v/>
      </c>
      <c r="AK59" s="110"/>
      <c r="AL59" s="316" t="str">
        <f>IF(AK59="","",IF(AND(AK59="N/A - Culvert",N59&lt;&gt;"Culvert"),"Not possible ▲",IF(VLOOKUP(AK59,'G-7 WaterC'' Data'!$AD$4:$AE$14,2,FALSE)=0,"Spatial Data Missing ⚠",VLOOKUP(AK59,'G-7 WaterC'' Data'!$AD$4:$AE$14,2,FALSE))))</f>
        <v/>
      </c>
      <c r="AM59" s="281" t="str">
        <f>IF(B59="","",VLOOKUP($B59,'F-1 Off-Site WaterC'' Baseline'!$C$9:$Z$257,17,FALSE))</f>
        <v/>
      </c>
      <c r="AN59" s="282" t="str">
        <f>IF(AM59="","",IF(VLOOKUP(AM59,'G-7 WaterC'' Data'!$AO$4:$BO$7,2,FALSE)=0,"Spatial Data Missing ⚠",VLOOKUP(AM59,'G-7 WaterC'' Data'!$AO$4:$BO$7,2,FALSE)))</f>
        <v/>
      </c>
      <c r="AO59" s="323" t="str">
        <f t="shared" si="7"/>
        <v/>
      </c>
      <c r="AP59" s="323" t="str">
        <f t="shared" si="8"/>
        <v/>
      </c>
      <c r="AQ59" s="105"/>
      <c r="AR59" s="119"/>
      <c r="AS59" s="108"/>
      <c r="AT59" s="108"/>
      <c r="AW59" s="30" t="str">
        <f>IF(E59="","",VLOOKUP($B59,'F-1 Off-Site WaterC'' Baseline'!$C$9:$Z$257,12,FALSE))</f>
        <v/>
      </c>
      <c r="AX59" s="30" t="str">
        <f>IF(E59="","",VLOOKUP($B59,'F-1 Off-Site WaterC'' Baseline'!$C$9:$Z$257,14,FALSE))</f>
        <v/>
      </c>
      <c r="AY59" s="30" t="str">
        <f>IFERROR(INDEX('G-7 WaterC'' Data'!$AZ$3:$AZ$7,MATCH(N59,'G-7 WaterC'' Data'!$AY$3:$AY$7,0)),"")</f>
        <v/>
      </c>
      <c r="AZ59" s="30" t="str">
        <f>IF(B59="","",IF(ISNA(VLOOKUP($B59,'F-1 Off-Site WaterC'' Baseline'!$C$8:$AD$257,20,FALSE)),"",(VLOOKUP($B59,'F-1 Off-Site WaterC'' Baseline'!$C$8:$AD$257,20,FALSE))))</f>
        <v/>
      </c>
      <c r="BC59" s="30" t="str">
        <f>IF(B59="","",VLOOKUP($B59,'F-1 Off-Site WaterC'' Baseline'!$C$9:$AB$257,25,FALSE))</f>
        <v/>
      </c>
      <c r="BD59" s="30" t="str">
        <f t="shared" si="9"/>
        <v/>
      </c>
      <c r="BE59" s="30" t="str">
        <f>IF(B59="","",VLOOKUP($B59,'F-1 Off-Site WaterC'' Baseline'!$C$9:$AB$257,24,FALSE))</f>
        <v/>
      </c>
      <c r="BF59" s="30" t="str">
        <f>IF(B59="","",VLOOKUP($B59,'F-1 Off-Site WaterC'' Baseline'!$C$9:$AB$257,22,FALSE))</f>
        <v/>
      </c>
      <c r="BJ59" s="30" t="str">
        <f t="shared" si="10"/>
        <v>No</v>
      </c>
    </row>
    <row r="60" spans="2:62" ht="13.8" x14ac:dyDescent="0.25">
      <c r="B60" s="311" t="str">
        <f>'F-1 Off-Site WaterC'' Baseline'!AS58</f>
        <v/>
      </c>
      <c r="C60" s="301" t="str">
        <f>IF(B60="","",VLOOKUP($B60,'F-1 Off-Site WaterC'' Baseline'!$C$9:$R$257,2,FALSE))</f>
        <v/>
      </c>
      <c r="D60" s="301" t="str">
        <f>IF(C60="","",VLOOKUP($B60,'F-1 Off-Site WaterC'' Baseline'!$C$9:$R$257,3,FALSE))</f>
        <v/>
      </c>
      <c r="E60" s="301" t="str">
        <f>IF(D60="","",VLOOKUP($B60,'F-1 Off-Site WaterC'' Baseline'!$C$9:$R$257,4,FALSE))</f>
        <v/>
      </c>
      <c r="F60" s="301" t="str">
        <f>IF(E60="","",VLOOKUP($B60,'F-1 Off-Site WaterC'' Baseline'!$C$9:$R$257,5,FALSE))</f>
        <v/>
      </c>
      <c r="G60" s="301" t="str">
        <f>IF(F60="","",VLOOKUP($B60,'F-1 Off-Site WaterC'' Baseline'!$C$9:$R$257,6,FALSE))</f>
        <v/>
      </c>
      <c r="H60" s="301" t="str">
        <f>IF(G60="","",VLOOKUP($B60,'F-1 Off-Site WaterC'' Baseline'!$C$9:$R$257,7,FALSE))</f>
        <v/>
      </c>
      <c r="I60" s="301" t="str">
        <f>IF(H60="","",VLOOKUP($B60,'F-1 Off-Site WaterC'' Baseline'!$C$9:$R$257,8,FALSE))</f>
        <v/>
      </c>
      <c r="J60" s="301" t="str">
        <f>IF(I60="","",VLOOKUP($B60,'F-1 Off-Site WaterC'' Baseline'!$C$9:$R$257,9,FALSE))</f>
        <v/>
      </c>
      <c r="K60" s="301" t="str">
        <f>IF(J60="","",VLOOKUP($B60,'F-1 Off-Site WaterC'' Baseline'!$C$9:$R$257,10,FALSE))</f>
        <v/>
      </c>
      <c r="L60" s="289" t="str">
        <f>IF(B60="","",VLOOKUP($B60,'F-1 Off-Site WaterC'' Baseline'!$C$9:$R$257,15,FALSE))</f>
        <v/>
      </c>
      <c r="M60" s="305" t="str">
        <f>IF(L60="","",VLOOKUP($B60,'F-1 Off-Site WaterC'' Baseline'!$C$9:$V$257,19,FALSE))</f>
        <v/>
      </c>
      <c r="N60" s="250"/>
      <c r="O60" s="281" t="str">
        <f t="shared" si="2"/>
        <v/>
      </c>
      <c r="P60" s="282" t="str">
        <f t="shared" si="3"/>
        <v/>
      </c>
      <c r="Q60" s="287" t="str">
        <f>IF(N60="","",VLOOKUP(B60,'F-1 Off-Site WaterC'' Baseline'!$C$10:$AF$257,23,FALSE))</f>
        <v/>
      </c>
      <c r="R60" s="281" t="str">
        <f>IF(N60="","",VLOOKUP(N60,'G-7 WaterC'' Data'!$B$2:$G$8,2,FALSE))</f>
        <v/>
      </c>
      <c r="S60" s="282" t="str">
        <f>IFERROR(VLOOKUP(R60,'G-7 WaterC'' Data'!$C$4:$D$8,2,FALSE),"")</f>
        <v/>
      </c>
      <c r="T60" s="105"/>
      <c r="U60" s="282" t="str">
        <f>IFERROR(INDEX('G-7 WaterC'' Data'!$H$4:$L$8,MATCH(N60,'G-7 WaterC'' Data'!$B$4:$B$8,0),MATCH(T60,'G-7 WaterC'' Data'!$H$3:$L$3,0)),"")</f>
        <v/>
      </c>
      <c r="V60" s="109"/>
      <c r="W60" s="301" t="str">
        <f>IF(V60="","",IF(VLOOKUP(V60,'G-7 WaterC'' Data'!$AK$4:$AM$6,2,FALSE)=0,"Spatial Data Missing ⚠",VLOOKUP(V60,'G-7 WaterC'' Data'!$AK$4:$AM$6,2,FALSE)))</f>
        <v/>
      </c>
      <c r="X60" s="305" t="str">
        <f>IF(V60="","",IF(VLOOKUP(V60,'G-7 WaterC'' Data'!$AK$4:$AM$6,3,FALSE)=0,"Spatial Data Missing ⚠",VLOOKUP(V60,'G-7 WaterC'' Data'!$AK$4:$AM$6,3,FALSE)))</f>
        <v/>
      </c>
      <c r="Y60" s="317" t="str">
        <f>IFERROR(IF(OR(LEFT(P60,5)="Error",LEFT(O60,5)="Error"),"Check Data ⚠",IF(F60&lt;S60,'G-7 WaterC'' Data'!$R$3,INDEX('G-7 WaterC'' Data'!$U$5:$Y$9,MATCH(G60,'G-7 WaterC'' Data'!$T$5:$T$9,0),MATCH(T60,'G-7 WaterC'' Data'!$U$4:$Y$4,0)))),"")</f>
        <v/>
      </c>
      <c r="Z60" s="142"/>
      <c r="AA60" s="142"/>
      <c r="AB60" s="314" t="str">
        <f t="shared" si="4"/>
        <v/>
      </c>
      <c r="AC60" s="302" t="str">
        <f t="shared" si="5"/>
        <v/>
      </c>
      <c r="AD60" s="340" t="str">
        <f>IFERROR(IF(AC60="Check Data ⚠","Check Data ⚠",VLOOKUP(AC60,'G-4 Temporal multipliers'!$A$4:$C$37,3,FALSE)),"")</f>
        <v/>
      </c>
      <c r="AE60" s="317" t="str">
        <f>IF(N60="","",VLOOKUP(N60,'G-7 WaterC'' Data'!$B$4:$G$8,5,FALSE))</f>
        <v/>
      </c>
      <c r="AF60" s="301" t="str">
        <f t="shared" si="0"/>
        <v/>
      </c>
      <c r="AG60" s="301" t="str">
        <f t="shared" si="6"/>
        <v/>
      </c>
      <c r="AH60" s="282" t="str">
        <f t="shared" si="1"/>
        <v/>
      </c>
      <c r="AI60" s="109"/>
      <c r="AJ60" s="282" t="str">
        <f>IF(AI60="","",(IF(AND(AI60="N/A - Culvert",N60&lt;&gt;"Culvert"),"Not possible ▲",IF(VLOOKUP(AI60,'G-7 WaterC'' Data'!$AA$4:$AB$7,2,FALSE)=0,"Spatial Data Missing ⚠",VLOOKUP(AI60,'G-7 WaterC'' Data'!$AA$4:$AB$7,2,FALSE)))))</f>
        <v/>
      </c>
      <c r="AK60" s="110"/>
      <c r="AL60" s="316" t="str">
        <f>IF(AK60="","",IF(AND(AK60="N/A - Culvert",N60&lt;&gt;"Culvert"),"Not possible ▲",IF(VLOOKUP(AK60,'G-7 WaterC'' Data'!$AD$4:$AE$14,2,FALSE)=0,"Spatial Data Missing ⚠",VLOOKUP(AK60,'G-7 WaterC'' Data'!$AD$4:$AE$14,2,FALSE))))</f>
        <v/>
      </c>
      <c r="AM60" s="281" t="str">
        <f>IF(B60="","",VLOOKUP($B60,'F-1 Off-Site WaterC'' Baseline'!$C$9:$Z$257,17,FALSE))</f>
        <v/>
      </c>
      <c r="AN60" s="282" t="str">
        <f>IF(AM60="","",IF(VLOOKUP(AM60,'G-7 WaterC'' Data'!$AO$4:$BO$7,2,FALSE)=0,"Spatial Data Missing ⚠",VLOOKUP(AM60,'G-7 WaterC'' Data'!$AO$4:$BO$7,2,FALSE)))</f>
        <v/>
      </c>
      <c r="AO60" s="323" t="str">
        <f t="shared" si="7"/>
        <v/>
      </c>
      <c r="AP60" s="323" t="str">
        <f t="shared" si="8"/>
        <v/>
      </c>
      <c r="AQ60" s="105"/>
      <c r="AR60" s="119"/>
      <c r="AS60" s="108"/>
      <c r="AT60" s="108"/>
      <c r="AW60" s="30" t="str">
        <f>IF(E60="","",VLOOKUP($B60,'F-1 Off-Site WaterC'' Baseline'!$C$9:$Z$257,12,FALSE))</f>
        <v/>
      </c>
      <c r="AX60" s="30" t="str">
        <f>IF(E60="","",VLOOKUP($B60,'F-1 Off-Site WaterC'' Baseline'!$C$9:$Z$257,14,FALSE))</f>
        <v/>
      </c>
      <c r="AY60" s="30" t="str">
        <f>IFERROR(INDEX('G-7 WaterC'' Data'!$AZ$3:$AZ$7,MATCH(N60,'G-7 WaterC'' Data'!$AY$3:$AY$7,0)),"")</f>
        <v/>
      </c>
      <c r="AZ60" s="30" t="str">
        <f>IF(B60="","",IF(ISNA(VLOOKUP($B60,'F-1 Off-Site WaterC'' Baseline'!$C$8:$AD$257,20,FALSE)),"",(VLOOKUP($B60,'F-1 Off-Site WaterC'' Baseline'!$C$8:$AD$257,20,FALSE))))</f>
        <v/>
      </c>
      <c r="BC60" s="30" t="str">
        <f>IF(B60="","",VLOOKUP($B60,'F-1 Off-Site WaterC'' Baseline'!$C$9:$AB$257,25,FALSE))</f>
        <v/>
      </c>
      <c r="BD60" s="30" t="str">
        <f t="shared" si="9"/>
        <v/>
      </c>
      <c r="BE60" s="30" t="str">
        <f>IF(B60="","",VLOOKUP($B60,'F-1 Off-Site WaterC'' Baseline'!$C$9:$AB$257,24,FALSE))</f>
        <v/>
      </c>
      <c r="BF60" s="30" t="str">
        <f>IF(B60="","",VLOOKUP($B60,'F-1 Off-Site WaterC'' Baseline'!$C$9:$AB$257,22,FALSE))</f>
        <v/>
      </c>
      <c r="BJ60" s="30" t="str">
        <f t="shared" si="10"/>
        <v>No</v>
      </c>
    </row>
    <row r="61" spans="2:62" ht="13.8" x14ac:dyDescent="0.25">
      <c r="B61" s="311" t="str">
        <f>'F-1 Off-Site WaterC'' Baseline'!AS59</f>
        <v/>
      </c>
      <c r="C61" s="301" t="str">
        <f>IF(B61="","",VLOOKUP($B61,'F-1 Off-Site WaterC'' Baseline'!$C$9:$R$257,2,FALSE))</f>
        <v/>
      </c>
      <c r="D61" s="301" t="str">
        <f>IF(C61="","",VLOOKUP($B61,'F-1 Off-Site WaterC'' Baseline'!$C$9:$R$257,3,FALSE))</f>
        <v/>
      </c>
      <c r="E61" s="301" t="str">
        <f>IF(D61="","",VLOOKUP($B61,'F-1 Off-Site WaterC'' Baseline'!$C$9:$R$257,4,FALSE))</f>
        <v/>
      </c>
      <c r="F61" s="301" t="str">
        <f>IF(E61="","",VLOOKUP($B61,'F-1 Off-Site WaterC'' Baseline'!$C$9:$R$257,5,FALSE))</f>
        <v/>
      </c>
      <c r="G61" s="301" t="str">
        <f>IF(F61="","",VLOOKUP($B61,'F-1 Off-Site WaterC'' Baseline'!$C$9:$R$257,6,FALSE))</f>
        <v/>
      </c>
      <c r="H61" s="301" t="str">
        <f>IF(G61="","",VLOOKUP($B61,'F-1 Off-Site WaterC'' Baseline'!$C$9:$R$257,7,FALSE))</f>
        <v/>
      </c>
      <c r="I61" s="301" t="str">
        <f>IF(H61="","",VLOOKUP($B61,'F-1 Off-Site WaterC'' Baseline'!$C$9:$R$257,8,FALSE))</f>
        <v/>
      </c>
      <c r="J61" s="301" t="str">
        <f>IF(I61="","",VLOOKUP($B61,'F-1 Off-Site WaterC'' Baseline'!$C$9:$R$257,9,FALSE))</f>
        <v/>
      </c>
      <c r="K61" s="301" t="str">
        <f>IF(J61="","",VLOOKUP($B61,'F-1 Off-Site WaterC'' Baseline'!$C$9:$R$257,10,FALSE))</f>
        <v/>
      </c>
      <c r="L61" s="289" t="str">
        <f>IF(B61="","",VLOOKUP($B61,'F-1 Off-Site WaterC'' Baseline'!$C$9:$R$257,15,FALSE))</f>
        <v/>
      </c>
      <c r="M61" s="305" t="str">
        <f>IF(L61="","",VLOOKUP($B61,'F-1 Off-Site WaterC'' Baseline'!$C$9:$V$257,19,FALSE))</f>
        <v/>
      </c>
      <c r="N61" s="250"/>
      <c r="O61" s="281" t="str">
        <f t="shared" si="2"/>
        <v/>
      </c>
      <c r="P61" s="282" t="str">
        <f t="shared" si="3"/>
        <v/>
      </c>
      <c r="Q61" s="287" t="str">
        <f>IF(N61="","",VLOOKUP(B61,'F-1 Off-Site WaterC'' Baseline'!$C$10:$AF$257,23,FALSE))</f>
        <v/>
      </c>
      <c r="R61" s="281" t="str">
        <f>IF(N61="","",VLOOKUP(N61,'G-7 WaterC'' Data'!$B$2:$G$8,2,FALSE))</f>
        <v/>
      </c>
      <c r="S61" s="282" t="str">
        <f>IFERROR(VLOOKUP(R61,'G-7 WaterC'' Data'!$C$4:$D$8,2,FALSE),"")</f>
        <v/>
      </c>
      <c r="T61" s="105"/>
      <c r="U61" s="282" t="str">
        <f>IFERROR(INDEX('G-7 WaterC'' Data'!$H$4:$L$8,MATCH(N61,'G-7 WaterC'' Data'!$B$4:$B$8,0),MATCH(T61,'G-7 WaterC'' Data'!$H$3:$L$3,0)),"")</f>
        <v/>
      </c>
      <c r="V61" s="109"/>
      <c r="W61" s="301" t="str">
        <f>IF(V61="","",IF(VLOOKUP(V61,'G-7 WaterC'' Data'!$AK$4:$AM$6,2,FALSE)=0,"Spatial Data Missing ⚠",VLOOKUP(V61,'G-7 WaterC'' Data'!$AK$4:$AM$6,2,FALSE)))</f>
        <v/>
      </c>
      <c r="X61" s="305" t="str">
        <f>IF(V61="","",IF(VLOOKUP(V61,'G-7 WaterC'' Data'!$AK$4:$AM$6,3,FALSE)=0,"Spatial Data Missing ⚠",VLOOKUP(V61,'G-7 WaterC'' Data'!$AK$4:$AM$6,3,FALSE)))</f>
        <v/>
      </c>
      <c r="Y61" s="317" t="str">
        <f>IFERROR(IF(OR(LEFT(P61,5)="Error",LEFT(O61,5)="Error"),"Check Data ⚠",IF(F61&lt;S61,'G-7 WaterC'' Data'!$R$3,INDEX('G-7 WaterC'' Data'!$U$5:$Y$9,MATCH(G61,'G-7 WaterC'' Data'!$T$5:$T$9,0),MATCH(T61,'G-7 WaterC'' Data'!$U$4:$Y$4,0)))),"")</f>
        <v/>
      </c>
      <c r="Z61" s="142"/>
      <c r="AA61" s="142"/>
      <c r="AB61" s="314" t="str">
        <f t="shared" si="4"/>
        <v/>
      </c>
      <c r="AC61" s="302" t="str">
        <f t="shared" si="5"/>
        <v/>
      </c>
      <c r="AD61" s="340" t="str">
        <f>IFERROR(IF(AC61="Check Data ⚠","Check Data ⚠",VLOOKUP(AC61,'G-4 Temporal multipliers'!$A$4:$C$37,3,FALSE)),"")</f>
        <v/>
      </c>
      <c r="AE61" s="317" t="str">
        <f>IF(N61="","",VLOOKUP(N61,'G-7 WaterC'' Data'!$B$4:$G$8,5,FALSE))</f>
        <v/>
      </c>
      <c r="AF61" s="301" t="str">
        <f t="shared" si="0"/>
        <v/>
      </c>
      <c r="AG61" s="301" t="str">
        <f t="shared" si="6"/>
        <v/>
      </c>
      <c r="AH61" s="282" t="str">
        <f t="shared" si="1"/>
        <v/>
      </c>
      <c r="AI61" s="109"/>
      <c r="AJ61" s="282" t="str">
        <f>IF(AI61="","",(IF(AND(AI61="N/A - Culvert",N61&lt;&gt;"Culvert"),"Not possible ▲",IF(VLOOKUP(AI61,'G-7 WaterC'' Data'!$AA$4:$AB$7,2,FALSE)=0,"Spatial Data Missing ⚠",VLOOKUP(AI61,'G-7 WaterC'' Data'!$AA$4:$AB$7,2,FALSE)))))</f>
        <v/>
      </c>
      <c r="AK61" s="110"/>
      <c r="AL61" s="316" t="str">
        <f>IF(AK61="","",IF(AND(AK61="N/A - Culvert",N61&lt;&gt;"Culvert"),"Not possible ▲",IF(VLOOKUP(AK61,'G-7 WaterC'' Data'!$AD$4:$AE$14,2,FALSE)=0,"Spatial Data Missing ⚠",VLOOKUP(AK61,'G-7 WaterC'' Data'!$AD$4:$AE$14,2,FALSE))))</f>
        <v/>
      </c>
      <c r="AM61" s="281" t="str">
        <f>IF(B61="","",VLOOKUP($B61,'F-1 Off-Site WaterC'' Baseline'!$C$9:$Z$257,17,FALSE))</f>
        <v/>
      </c>
      <c r="AN61" s="282" t="str">
        <f>IF(AM61="","",IF(VLOOKUP(AM61,'G-7 WaterC'' Data'!$AO$4:$BO$7,2,FALSE)=0,"Spatial Data Missing ⚠",VLOOKUP(AM61,'G-7 WaterC'' Data'!$AO$4:$BO$7,2,FALSE)))</f>
        <v/>
      </c>
      <c r="AO61" s="323" t="str">
        <f t="shared" si="7"/>
        <v/>
      </c>
      <c r="AP61" s="323" t="str">
        <f t="shared" si="8"/>
        <v/>
      </c>
      <c r="AQ61" s="105"/>
      <c r="AR61" s="119"/>
      <c r="AS61" s="108"/>
      <c r="AT61" s="108"/>
      <c r="AW61" s="30" t="str">
        <f>IF(E61="","",VLOOKUP($B61,'F-1 Off-Site WaterC'' Baseline'!$C$9:$Z$257,12,FALSE))</f>
        <v/>
      </c>
      <c r="AX61" s="30" t="str">
        <f>IF(E61="","",VLOOKUP($B61,'F-1 Off-Site WaterC'' Baseline'!$C$9:$Z$257,14,FALSE))</f>
        <v/>
      </c>
      <c r="AY61" s="30" t="str">
        <f>IFERROR(INDEX('G-7 WaterC'' Data'!$AZ$3:$AZ$7,MATCH(N61,'G-7 WaterC'' Data'!$AY$3:$AY$7,0)),"")</f>
        <v/>
      </c>
      <c r="AZ61" s="30" t="str">
        <f>IF(B61="","",IF(ISNA(VLOOKUP($B61,'F-1 Off-Site WaterC'' Baseline'!$C$8:$AD$257,20,FALSE)),"",(VLOOKUP($B61,'F-1 Off-Site WaterC'' Baseline'!$C$8:$AD$257,20,FALSE))))</f>
        <v/>
      </c>
      <c r="BC61" s="30" t="str">
        <f>IF(B61="","",VLOOKUP($B61,'F-1 Off-Site WaterC'' Baseline'!$C$9:$AB$257,25,FALSE))</f>
        <v/>
      </c>
      <c r="BD61" s="30" t="str">
        <f t="shared" si="9"/>
        <v/>
      </c>
      <c r="BE61" s="30" t="str">
        <f>IF(B61="","",VLOOKUP($B61,'F-1 Off-Site WaterC'' Baseline'!$C$9:$AB$257,24,FALSE))</f>
        <v/>
      </c>
      <c r="BF61" s="30" t="str">
        <f>IF(B61="","",VLOOKUP($B61,'F-1 Off-Site WaterC'' Baseline'!$C$9:$AB$257,22,FALSE))</f>
        <v/>
      </c>
      <c r="BJ61" s="30" t="str">
        <f t="shared" si="10"/>
        <v>No</v>
      </c>
    </row>
    <row r="62" spans="2:62" ht="13.8" x14ac:dyDescent="0.25">
      <c r="B62" s="311" t="str">
        <f>'F-1 Off-Site WaterC'' Baseline'!AS60</f>
        <v/>
      </c>
      <c r="C62" s="301" t="str">
        <f>IF(B62="","",VLOOKUP($B62,'F-1 Off-Site WaterC'' Baseline'!$C$9:$R$257,2,FALSE))</f>
        <v/>
      </c>
      <c r="D62" s="301" t="str">
        <f>IF(C62="","",VLOOKUP($B62,'F-1 Off-Site WaterC'' Baseline'!$C$9:$R$257,3,FALSE))</f>
        <v/>
      </c>
      <c r="E62" s="301" t="str">
        <f>IF(D62="","",VLOOKUP($B62,'F-1 Off-Site WaterC'' Baseline'!$C$9:$R$257,4,FALSE))</f>
        <v/>
      </c>
      <c r="F62" s="301" t="str">
        <f>IF(E62="","",VLOOKUP($B62,'F-1 Off-Site WaterC'' Baseline'!$C$9:$R$257,5,FALSE))</f>
        <v/>
      </c>
      <c r="G62" s="301" t="str">
        <f>IF(F62="","",VLOOKUP($B62,'F-1 Off-Site WaterC'' Baseline'!$C$9:$R$257,6,FALSE))</f>
        <v/>
      </c>
      <c r="H62" s="301" t="str">
        <f>IF(G62="","",VLOOKUP($B62,'F-1 Off-Site WaterC'' Baseline'!$C$9:$R$257,7,FALSE))</f>
        <v/>
      </c>
      <c r="I62" s="301" t="str">
        <f>IF(H62="","",VLOOKUP($B62,'F-1 Off-Site WaterC'' Baseline'!$C$9:$R$257,8,FALSE))</f>
        <v/>
      </c>
      <c r="J62" s="301" t="str">
        <f>IF(I62="","",VLOOKUP($B62,'F-1 Off-Site WaterC'' Baseline'!$C$9:$R$257,9,FALSE))</f>
        <v/>
      </c>
      <c r="K62" s="301" t="str">
        <f>IF(J62="","",VLOOKUP($B62,'F-1 Off-Site WaterC'' Baseline'!$C$9:$R$257,10,FALSE))</f>
        <v/>
      </c>
      <c r="L62" s="289" t="str">
        <f>IF(B62="","",VLOOKUP($B62,'F-1 Off-Site WaterC'' Baseline'!$C$9:$R$257,15,FALSE))</f>
        <v/>
      </c>
      <c r="M62" s="305" t="str">
        <f>IF(L62="","",VLOOKUP($B62,'F-1 Off-Site WaterC'' Baseline'!$C$9:$V$257,19,FALSE))</f>
        <v/>
      </c>
      <c r="N62" s="250"/>
      <c r="O62" s="281" t="str">
        <f t="shared" si="2"/>
        <v/>
      </c>
      <c r="P62" s="282" t="str">
        <f t="shared" si="3"/>
        <v/>
      </c>
      <c r="Q62" s="287" t="str">
        <f>IF(N62="","",VLOOKUP(B62,'F-1 Off-Site WaterC'' Baseline'!$C$10:$AF$257,23,FALSE))</f>
        <v/>
      </c>
      <c r="R62" s="281" t="str">
        <f>IF(N62="","",VLOOKUP(N62,'G-7 WaterC'' Data'!$B$2:$G$8,2,FALSE))</f>
        <v/>
      </c>
      <c r="S62" s="282" t="str">
        <f>IFERROR(VLOOKUP(R62,'G-7 WaterC'' Data'!$C$4:$D$8,2,FALSE),"")</f>
        <v/>
      </c>
      <c r="T62" s="105"/>
      <c r="U62" s="282" t="str">
        <f>IFERROR(INDEX('G-7 WaterC'' Data'!$H$4:$L$8,MATCH(N62,'G-7 WaterC'' Data'!$B$4:$B$8,0),MATCH(T62,'G-7 WaterC'' Data'!$H$3:$L$3,0)),"")</f>
        <v/>
      </c>
      <c r="V62" s="109"/>
      <c r="W62" s="301" t="str">
        <f>IF(V62="","",IF(VLOOKUP(V62,'G-7 WaterC'' Data'!$AK$4:$AM$6,2,FALSE)=0,"Spatial Data Missing ⚠",VLOOKUP(V62,'G-7 WaterC'' Data'!$AK$4:$AM$6,2,FALSE)))</f>
        <v/>
      </c>
      <c r="X62" s="305" t="str">
        <f>IF(V62="","",IF(VLOOKUP(V62,'G-7 WaterC'' Data'!$AK$4:$AM$6,3,FALSE)=0,"Spatial Data Missing ⚠",VLOOKUP(V62,'G-7 WaterC'' Data'!$AK$4:$AM$6,3,FALSE)))</f>
        <v/>
      </c>
      <c r="Y62" s="317" t="str">
        <f>IFERROR(IF(OR(LEFT(P62,5)="Error",LEFT(O62,5)="Error"),"Check Data ⚠",IF(F62&lt;S62,'G-7 WaterC'' Data'!$R$3,INDEX('G-7 WaterC'' Data'!$U$5:$Y$9,MATCH(G62,'G-7 WaterC'' Data'!$T$5:$T$9,0),MATCH(T62,'G-7 WaterC'' Data'!$U$4:$Y$4,0)))),"")</f>
        <v/>
      </c>
      <c r="Z62" s="142"/>
      <c r="AA62" s="142"/>
      <c r="AB62" s="314" t="str">
        <f t="shared" si="4"/>
        <v/>
      </c>
      <c r="AC62" s="302" t="str">
        <f t="shared" si="5"/>
        <v/>
      </c>
      <c r="AD62" s="340" t="str">
        <f>IFERROR(IF(AC62="Check Data ⚠","Check Data ⚠",VLOOKUP(AC62,'G-4 Temporal multipliers'!$A$4:$C$37,3,FALSE)),"")</f>
        <v/>
      </c>
      <c r="AE62" s="317" t="str">
        <f>IF(N62="","",VLOOKUP(N62,'G-7 WaterC'' Data'!$B$4:$G$8,5,FALSE))</f>
        <v/>
      </c>
      <c r="AF62" s="301" t="str">
        <f t="shared" si="0"/>
        <v/>
      </c>
      <c r="AG62" s="301" t="str">
        <f t="shared" si="6"/>
        <v/>
      </c>
      <c r="AH62" s="282" t="str">
        <f t="shared" si="1"/>
        <v/>
      </c>
      <c r="AI62" s="109"/>
      <c r="AJ62" s="282" t="str">
        <f>IF(AI62="","",(IF(AND(AI62="N/A - Culvert",N62&lt;&gt;"Culvert"),"Not possible ▲",IF(VLOOKUP(AI62,'G-7 WaterC'' Data'!$AA$4:$AB$7,2,FALSE)=0,"Spatial Data Missing ⚠",VLOOKUP(AI62,'G-7 WaterC'' Data'!$AA$4:$AB$7,2,FALSE)))))</f>
        <v/>
      </c>
      <c r="AK62" s="110"/>
      <c r="AL62" s="316" t="str">
        <f>IF(AK62="","",IF(AND(AK62="N/A - Culvert",N62&lt;&gt;"Culvert"),"Not possible ▲",IF(VLOOKUP(AK62,'G-7 WaterC'' Data'!$AD$4:$AE$14,2,FALSE)=0,"Spatial Data Missing ⚠",VLOOKUP(AK62,'G-7 WaterC'' Data'!$AD$4:$AE$14,2,FALSE))))</f>
        <v/>
      </c>
      <c r="AM62" s="281" t="str">
        <f>IF(B62="","",VLOOKUP($B62,'F-1 Off-Site WaterC'' Baseline'!$C$9:$Z$257,17,FALSE))</f>
        <v/>
      </c>
      <c r="AN62" s="282" t="str">
        <f>IF(AM62="","",IF(VLOOKUP(AM62,'G-7 WaterC'' Data'!$AO$4:$BO$7,2,FALSE)=0,"Spatial Data Missing ⚠",VLOOKUP(AM62,'G-7 WaterC'' Data'!$AO$4:$BO$7,2,FALSE)))</f>
        <v/>
      </c>
      <c r="AO62" s="323" t="str">
        <f t="shared" si="7"/>
        <v/>
      </c>
      <c r="AP62" s="323" t="str">
        <f t="shared" si="8"/>
        <v/>
      </c>
      <c r="AQ62" s="105"/>
      <c r="AR62" s="119"/>
      <c r="AS62" s="108"/>
      <c r="AT62" s="108"/>
      <c r="AW62" s="30" t="str">
        <f>IF(E62="","",VLOOKUP($B62,'F-1 Off-Site WaterC'' Baseline'!$C$9:$Z$257,12,FALSE))</f>
        <v/>
      </c>
      <c r="AX62" s="30" t="str">
        <f>IF(E62="","",VLOOKUP($B62,'F-1 Off-Site WaterC'' Baseline'!$C$9:$Z$257,14,FALSE))</f>
        <v/>
      </c>
      <c r="AY62" s="30" t="str">
        <f>IFERROR(INDEX('G-7 WaterC'' Data'!$AZ$3:$AZ$7,MATCH(N62,'G-7 WaterC'' Data'!$AY$3:$AY$7,0)),"")</f>
        <v/>
      </c>
      <c r="AZ62" s="30" t="str">
        <f>IF(B62="","",IF(ISNA(VLOOKUP($B62,'F-1 Off-Site WaterC'' Baseline'!$C$8:$AD$257,20,FALSE)),"",(VLOOKUP($B62,'F-1 Off-Site WaterC'' Baseline'!$C$8:$AD$257,20,FALSE))))</f>
        <v/>
      </c>
      <c r="BC62" s="30" t="str">
        <f>IF(B62="","",VLOOKUP($B62,'F-1 Off-Site WaterC'' Baseline'!$C$9:$AB$257,25,FALSE))</f>
        <v/>
      </c>
      <c r="BD62" s="30" t="str">
        <f t="shared" si="9"/>
        <v/>
      </c>
      <c r="BE62" s="30" t="str">
        <f>IF(B62="","",VLOOKUP($B62,'F-1 Off-Site WaterC'' Baseline'!$C$9:$AB$257,24,FALSE))</f>
        <v/>
      </c>
      <c r="BF62" s="30" t="str">
        <f>IF(B62="","",VLOOKUP($B62,'F-1 Off-Site WaterC'' Baseline'!$C$9:$AB$257,22,FALSE))</f>
        <v/>
      </c>
      <c r="BJ62" s="30" t="str">
        <f t="shared" si="10"/>
        <v>No</v>
      </c>
    </row>
    <row r="63" spans="2:62" ht="13.8" x14ac:dyDescent="0.25">
      <c r="B63" s="311" t="str">
        <f>'F-1 Off-Site WaterC'' Baseline'!AS61</f>
        <v/>
      </c>
      <c r="C63" s="301" t="str">
        <f>IF(B63="","",VLOOKUP($B63,'F-1 Off-Site WaterC'' Baseline'!$C$9:$R$257,2,FALSE))</f>
        <v/>
      </c>
      <c r="D63" s="301" t="str">
        <f>IF(C63="","",VLOOKUP($B63,'F-1 Off-Site WaterC'' Baseline'!$C$9:$R$257,3,FALSE))</f>
        <v/>
      </c>
      <c r="E63" s="301" t="str">
        <f>IF(D63="","",VLOOKUP($B63,'F-1 Off-Site WaterC'' Baseline'!$C$9:$R$257,4,FALSE))</f>
        <v/>
      </c>
      <c r="F63" s="301" t="str">
        <f>IF(E63="","",VLOOKUP($B63,'F-1 Off-Site WaterC'' Baseline'!$C$9:$R$257,5,FALSE))</f>
        <v/>
      </c>
      <c r="G63" s="301" t="str">
        <f>IF(F63="","",VLOOKUP($B63,'F-1 Off-Site WaterC'' Baseline'!$C$9:$R$257,6,FALSE))</f>
        <v/>
      </c>
      <c r="H63" s="301" t="str">
        <f>IF(G63="","",VLOOKUP($B63,'F-1 Off-Site WaterC'' Baseline'!$C$9:$R$257,7,FALSE))</f>
        <v/>
      </c>
      <c r="I63" s="301" t="str">
        <f>IF(H63="","",VLOOKUP($B63,'F-1 Off-Site WaterC'' Baseline'!$C$9:$R$257,8,FALSE))</f>
        <v/>
      </c>
      <c r="J63" s="301" t="str">
        <f>IF(I63="","",VLOOKUP($B63,'F-1 Off-Site WaterC'' Baseline'!$C$9:$R$257,9,FALSE))</f>
        <v/>
      </c>
      <c r="K63" s="301" t="str">
        <f>IF(J63="","",VLOOKUP($B63,'F-1 Off-Site WaterC'' Baseline'!$C$9:$R$257,10,FALSE))</f>
        <v/>
      </c>
      <c r="L63" s="289" t="str">
        <f>IF(B63="","",VLOOKUP($B63,'F-1 Off-Site WaterC'' Baseline'!$C$9:$R$257,15,FALSE))</f>
        <v/>
      </c>
      <c r="M63" s="305" t="str">
        <f>IF(L63="","",VLOOKUP($B63,'F-1 Off-Site WaterC'' Baseline'!$C$9:$V$257,19,FALSE))</f>
        <v/>
      </c>
      <c r="N63" s="250"/>
      <c r="O63" s="281" t="str">
        <f t="shared" si="2"/>
        <v/>
      </c>
      <c r="P63" s="282" t="str">
        <f t="shared" si="3"/>
        <v/>
      </c>
      <c r="Q63" s="287" t="str">
        <f>IF(N63="","",VLOOKUP(B63,'F-1 Off-Site WaterC'' Baseline'!$C$10:$AF$257,23,FALSE))</f>
        <v/>
      </c>
      <c r="R63" s="281" t="str">
        <f>IF(N63="","",VLOOKUP(N63,'G-7 WaterC'' Data'!$B$2:$G$8,2,FALSE))</f>
        <v/>
      </c>
      <c r="S63" s="282" t="str">
        <f>IFERROR(VLOOKUP(R63,'G-7 WaterC'' Data'!$C$4:$D$8,2,FALSE),"")</f>
        <v/>
      </c>
      <c r="T63" s="105"/>
      <c r="U63" s="282" t="str">
        <f>IFERROR(INDEX('G-7 WaterC'' Data'!$H$4:$L$8,MATCH(N63,'G-7 WaterC'' Data'!$B$4:$B$8,0),MATCH(T63,'G-7 WaterC'' Data'!$H$3:$L$3,0)),"")</f>
        <v/>
      </c>
      <c r="V63" s="109"/>
      <c r="W63" s="301" t="str">
        <f>IF(V63="","",IF(VLOOKUP(V63,'G-7 WaterC'' Data'!$AK$4:$AM$6,2,FALSE)=0,"Spatial Data Missing ⚠",VLOOKUP(V63,'G-7 WaterC'' Data'!$AK$4:$AM$6,2,FALSE)))</f>
        <v/>
      </c>
      <c r="X63" s="305" t="str">
        <f>IF(V63="","",IF(VLOOKUP(V63,'G-7 WaterC'' Data'!$AK$4:$AM$6,3,FALSE)=0,"Spatial Data Missing ⚠",VLOOKUP(V63,'G-7 WaterC'' Data'!$AK$4:$AM$6,3,FALSE)))</f>
        <v/>
      </c>
      <c r="Y63" s="317" t="str">
        <f>IFERROR(IF(OR(LEFT(P63,5)="Error",LEFT(O63,5)="Error"),"Check Data ⚠",IF(F63&lt;S63,'G-7 WaterC'' Data'!$R$3,INDEX('G-7 WaterC'' Data'!$U$5:$Y$9,MATCH(G63,'G-7 WaterC'' Data'!$T$5:$T$9,0),MATCH(T63,'G-7 WaterC'' Data'!$U$4:$Y$4,0)))),"")</f>
        <v/>
      </c>
      <c r="Z63" s="142"/>
      <c r="AA63" s="142"/>
      <c r="AB63" s="314" t="str">
        <f t="shared" si="4"/>
        <v/>
      </c>
      <c r="AC63" s="302" t="str">
        <f t="shared" si="5"/>
        <v/>
      </c>
      <c r="AD63" s="340" t="str">
        <f>IFERROR(IF(AC63="Check Data ⚠","Check Data ⚠",VLOOKUP(AC63,'G-4 Temporal multipliers'!$A$4:$C$37,3,FALSE)),"")</f>
        <v/>
      </c>
      <c r="AE63" s="317" t="str">
        <f>IF(N63="","",VLOOKUP(N63,'G-7 WaterC'' Data'!$B$4:$G$8,5,FALSE))</f>
        <v/>
      </c>
      <c r="AF63" s="301" t="str">
        <f t="shared" si="0"/>
        <v/>
      </c>
      <c r="AG63" s="301" t="str">
        <f t="shared" si="6"/>
        <v/>
      </c>
      <c r="AH63" s="282" t="str">
        <f t="shared" si="1"/>
        <v/>
      </c>
      <c r="AI63" s="109"/>
      <c r="AJ63" s="282" t="str">
        <f>IF(AI63="","",(IF(AND(AI63="N/A - Culvert",N63&lt;&gt;"Culvert"),"Not possible ▲",IF(VLOOKUP(AI63,'G-7 WaterC'' Data'!$AA$4:$AB$7,2,FALSE)=0,"Spatial Data Missing ⚠",VLOOKUP(AI63,'G-7 WaterC'' Data'!$AA$4:$AB$7,2,FALSE)))))</f>
        <v/>
      </c>
      <c r="AK63" s="110"/>
      <c r="AL63" s="316" t="str">
        <f>IF(AK63="","",IF(AND(AK63="N/A - Culvert",N63&lt;&gt;"Culvert"),"Not possible ▲",IF(VLOOKUP(AK63,'G-7 WaterC'' Data'!$AD$4:$AE$14,2,FALSE)=0,"Spatial Data Missing ⚠",VLOOKUP(AK63,'G-7 WaterC'' Data'!$AD$4:$AE$14,2,FALSE))))</f>
        <v/>
      </c>
      <c r="AM63" s="281" t="str">
        <f>IF(B63="","",VLOOKUP($B63,'F-1 Off-Site WaterC'' Baseline'!$C$9:$Z$257,17,FALSE))</f>
        <v/>
      </c>
      <c r="AN63" s="282" t="str">
        <f>IF(AM63="","",IF(VLOOKUP(AM63,'G-7 WaterC'' Data'!$AO$4:$BO$7,2,FALSE)=0,"Spatial Data Missing ⚠",VLOOKUP(AM63,'G-7 WaterC'' Data'!$AO$4:$BO$7,2,FALSE)))</f>
        <v/>
      </c>
      <c r="AO63" s="323" t="str">
        <f t="shared" si="7"/>
        <v/>
      </c>
      <c r="AP63" s="323" t="str">
        <f t="shared" si="8"/>
        <v/>
      </c>
      <c r="AQ63" s="105"/>
      <c r="AR63" s="119"/>
      <c r="AS63" s="108"/>
      <c r="AT63" s="108"/>
      <c r="AW63" s="30" t="str">
        <f>IF(E63="","",VLOOKUP($B63,'F-1 Off-Site WaterC'' Baseline'!$C$9:$Z$257,12,FALSE))</f>
        <v/>
      </c>
      <c r="AX63" s="30" t="str">
        <f>IF(E63="","",VLOOKUP($B63,'F-1 Off-Site WaterC'' Baseline'!$C$9:$Z$257,14,FALSE))</f>
        <v/>
      </c>
      <c r="AY63" s="30" t="str">
        <f>IFERROR(INDEX('G-7 WaterC'' Data'!$AZ$3:$AZ$7,MATCH(N63,'G-7 WaterC'' Data'!$AY$3:$AY$7,0)),"")</f>
        <v/>
      </c>
      <c r="AZ63" s="30" t="str">
        <f>IF(B63="","",IF(ISNA(VLOOKUP($B63,'F-1 Off-Site WaterC'' Baseline'!$C$8:$AD$257,20,FALSE)),"",(VLOOKUP($B63,'F-1 Off-Site WaterC'' Baseline'!$C$8:$AD$257,20,FALSE))))</f>
        <v/>
      </c>
      <c r="BC63" s="30" t="str">
        <f>IF(B63="","",VLOOKUP($B63,'F-1 Off-Site WaterC'' Baseline'!$C$9:$AB$257,25,FALSE))</f>
        <v/>
      </c>
      <c r="BD63" s="30" t="str">
        <f t="shared" si="9"/>
        <v/>
      </c>
      <c r="BE63" s="30" t="str">
        <f>IF(B63="","",VLOOKUP($B63,'F-1 Off-Site WaterC'' Baseline'!$C$9:$AB$257,24,FALSE))</f>
        <v/>
      </c>
      <c r="BF63" s="30" t="str">
        <f>IF(B63="","",VLOOKUP($B63,'F-1 Off-Site WaterC'' Baseline'!$C$9:$AB$257,22,FALSE))</f>
        <v/>
      </c>
      <c r="BJ63" s="30" t="str">
        <f t="shared" si="10"/>
        <v>No</v>
      </c>
    </row>
    <row r="64" spans="2:62" ht="13.8" x14ac:dyDescent="0.25">
      <c r="B64" s="311" t="str">
        <f>'F-1 Off-Site WaterC'' Baseline'!AS62</f>
        <v/>
      </c>
      <c r="C64" s="301" t="str">
        <f>IF(B64="","",VLOOKUP($B64,'F-1 Off-Site WaterC'' Baseline'!$C$9:$R$257,2,FALSE))</f>
        <v/>
      </c>
      <c r="D64" s="301" t="str">
        <f>IF(C64="","",VLOOKUP($B64,'F-1 Off-Site WaterC'' Baseline'!$C$9:$R$257,3,FALSE))</f>
        <v/>
      </c>
      <c r="E64" s="301" t="str">
        <f>IF(D64="","",VLOOKUP($B64,'F-1 Off-Site WaterC'' Baseline'!$C$9:$R$257,4,FALSE))</f>
        <v/>
      </c>
      <c r="F64" s="301" t="str">
        <f>IF(E64="","",VLOOKUP($B64,'F-1 Off-Site WaterC'' Baseline'!$C$9:$R$257,5,FALSE))</f>
        <v/>
      </c>
      <c r="G64" s="301" t="str">
        <f>IF(F64="","",VLOOKUP($B64,'F-1 Off-Site WaterC'' Baseline'!$C$9:$R$257,6,FALSE))</f>
        <v/>
      </c>
      <c r="H64" s="301" t="str">
        <f>IF(G64="","",VLOOKUP($B64,'F-1 Off-Site WaterC'' Baseline'!$C$9:$R$257,7,FALSE))</f>
        <v/>
      </c>
      <c r="I64" s="301" t="str">
        <f>IF(H64="","",VLOOKUP($B64,'F-1 Off-Site WaterC'' Baseline'!$C$9:$R$257,8,FALSE))</f>
        <v/>
      </c>
      <c r="J64" s="301" t="str">
        <f>IF(I64="","",VLOOKUP($B64,'F-1 Off-Site WaterC'' Baseline'!$C$9:$R$257,9,FALSE))</f>
        <v/>
      </c>
      <c r="K64" s="301" t="str">
        <f>IF(J64="","",VLOOKUP($B64,'F-1 Off-Site WaterC'' Baseline'!$C$9:$R$257,10,FALSE))</f>
        <v/>
      </c>
      <c r="L64" s="289" t="str">
        <f>IF(B64="","",VLOOKUP($B64,'F-1 Off-Site WaterC'' Baseline'!$C$9:$R$257,15,FALSE))</f>
        <v/>
      </c>
      <c r="M64" s="305" t="str">
        <f>IF(L64="","",VLOOKUP($B64,'F-1 Off-Site WaterC'' Baseline'!$C$9:$V$257,19,FALSE))</f>
        <v/>
      </c>
      <c r="N64" s="250"/>
      <c r="O64" s="281" t="str">
        <f t="shared" si="2"/>
        <v/>
      </c>
      <c r="P64" s="282" t="str">
        <f t="shared" si="3"/>
        <v/>
      </c>
      <c r="Q64" s="287" t="str">
        <f>IF(N64="","",VLOOKUP(B64,'F-1 Off-Site WaterC'' Baseline'!$C$10:$AF$257,23,FALSE))</f>
        <v/>
      </c>
      <c r="R64" s="281" t="str">
        <f>IF(N64="","",VLOOKUP(N64,'G-7 WaterC'' Data'!$B$2:$G$8,2,FALSE))</f>
        <v/>
      </c>
      <c r="S64" s="282" t="str">
        <f>IFERROR(VLOOKUP(R64,'G-7 WaterC'' Data'!$C$4:$D$8,2,FALSE),"")</f>
        <v/>
      </c>
      <c r="T64" s="105"/>
      <c r="U64" s="282" t="str">
        <f>IFERROR(INDEX('G-7 WaterC'' Data'!$H$4:$L$8,MATCH(N64,'G-7 WaterC'' Data'!$B$4:$B$8,0),MATCH(T64,'G-7 WaterC'' Data'!$H$3:$L$3,0)),"")</f>
        <v/>
      </c>
      <c r="V64" s="109"/>
      <c r="W64" s="301" t="str">
        <f>IF(V64="","",IF(VLOOKUP(V64,'G-7 WaterC'' Data'!$AK$4:$AM$6,2,FALSE)=0,"Spatial Data Missing ⚠",VLOOKUP(V64,'G-7 WaterC'' Data'!$AK$4:$AM$6,2,FALSE)))</f>
        <v/>
      </c>
      <c r="X64" s="305" t="str">
        <f>IF(V64="","",IF(VLOOKUP(V64,'G-7 WaterC'' Data'!$AK$4:$AM$6,3,FALSE)=0,"Spatial Data Missing ⚠",VLOOKUP(V64,'G-7 WaterC'' Data'!$AK$4:$AM$6,3,FALSE)))</f>
        <v/>
      </c>
      <c r="Y64" s="317" t="str">
        <f>IFERROR(IF(OR(LEFT(P64,5)="Error",LEFT(O64,5)="Error"),"Check Data ⚠",IF(F64&lt;S64,'G-7 WaterC'' Data'!$R$3,INDEX('G-7 WaterC'' Data'!$U$5:$Y$9,MATCH(G64,'G-7 WaterC'' Data'!$T$5:$T$9,0),MATCH(T64,'G-7 WaterC'' Data'!$U$4:$Y$4,0)))),"")</f>
        <v/>
      </c>
      <c r="Z64" s="142"/>
      <c r="AA64" s="142"/>
      <c r="AB64" s="314" t="str">
        <f t="shared" si="4"/>
        <v/>
      </c>
      <c r="AC64" s="302" t="str">
        <f t="shared" si="5"/>
        <v/>
      </c>
      <c r="AD64" s="340" t="str">
        <f>IFERROR(IF(AC64="Check Data ⚠","Check Data ⚠",VLOOKUP(AC64,'G-4 Temporal multipliers'!$A$4:$C$37,3,FALSE)),"")</f>
        <v/>
      </c>
      <c r="AE64" s="317" t="str">
        <f>IF(N64="","",VLOOKUP(N64,'G-7 WaterC'' Data'!$B$4:$G$8,5,FALSE))</f>
        <v/>
      </c>
      <c r="AF64" s="301" t="str">
        <f t="shared" si="0"/>
        <v/>
      </c>
      <c r="AG64" s="301" t="str">
        <f t="shared" si="6"/>
        <v/>
      </c>
      <c r="AH64" s="282" t="str">
        <f t="shared" si="1"/>
        <v/>
      </c>
      <c r="AI64" s="109"/>
      <c r="AJ64" s="282" t="str">
        <f>IF(AI64="","",(IF(AND(AI64="N/A - Culvert",N64&lt;&gt;"Culvert"),"Not possible ▲",IF(VLOOKUP(AI64,'G-7 WaterC'' Data'!$AA$4:$AB$7,2,FALSE)=0,"Spatial Data Missing ⚠",VLOOKUP(AI64,'G-7 WaterC'' Data'!$AA$4:$AB$7,2,FALSE)))))</f>
        <v/>
      </c>
      <c r="AK64" s="110"/>
      <c r="AL64" s="316" t="str">
        <f>IF(AK64="","",IF(AND(AK64="N/A - Culvert",N64&lt;&gt;"Culvert"),"Not possible ▲",IF(VLOOKUP(AK64,'G-7 WaterC'' Data'!$AD$4:$AE$14,2,FALSE)=0,"Spatial Data Missing ⚠",VLOOKUP(AK64,'G-7 WaterC'' Data'!$AD$4:$AE$14,2,FALSE))))</f>
        <v/>
      </c>
      <c r="AM64" s="281" t="str">
        <f>IF(B64="","",VLOOKUP($B64,'F-1 Off-Site WaterC'' Baseline'!$C$9:$Z$257,17,FALSE))</f>
        <v/>
      </c>
      <c r="AN64" s="282" t="str">
        <f>IF(AM64="","",IF(VLOOKUP(AM64,'G-7 WaterC'' Data'!$AO$4:$BO$7,2,FALSE)=0,"Spatial Data Missing ⚠",VLOOKUP(AM64,'G-7 WaterC'' Data'!$AO$4:$BO$7,2,FALSE)))</f>
        <v/>
      </c>
      <c r="AO64" s="323" t="str">
        <f t="shared" si="7"/>
        <v/>
      </c>
      <c r="AP64" s="323" t="str">
        <f t="shared" si="8"/>
        <v/>
      </c>
      <c r="AQ64" s="105"/>
      <c r="AR64" s="119"/>
      <c r="AS64" s="108"/>
      <c r="AT64" s="108"/>
      <c r="AW64" s="30" t="str">
        <f>IF(E64="","",VLOOKUP($B64,'F-1 Off-Site WaterC'' Baseline'!$C$9:$Z$257,12,FALSE))</f>
        <v/>
      </c>
      <c r="AX64" s="30" t="str">
        <f>IF(E64="","",VLOOKUP($B64,'F-1 Off-Site WaterC'' Baseline'!$C$9:$Z$257,14,FALSE))</f>
        <v/>
      </c>
      <c r="AY64" s="30" t="str">
        <f>IFERROR(INDEX('G-7 WaterC'' Data'!$AZ$3:$AZ$7,MATCH(N64,'G-7 WaterC'' Data'!$AY$3:$AY$7,0)),"")</f>
        <v/>
      </c>
      <c r="AZ64" s="30" t="str">
        <f>IF(B64="","",IF(ISNA(VLOOKUP($B64,'F-1 Off-Site WaterC'' Baseline'!$C$8:$AD$257,20,FALSE)),"",(VLOOKUP($B64,'F-1 Off-Site WaterC'' Baseline'!$C$8:$AD$257,20,FALSE))))</f>
        <v/>
      </c>
      <c r="BC64" s="30" t="str">
        <f>IF(B64="","",VLOOKUP($B64,'F-1 Off-Site WaterC'' Baseline'!$C$9:$AB$257,25,FALSE))</f>
        <v/>
      </c>
      <c r="BD64" s="30" t="str">
        <f t="shared" si="9"/>
        <v/>
      </c>
      <c r="BE64" s="30" t="str">
        <f>IF(B64="","",VLOOKUP($B64,'F-1 Off-Site WaterC'' Baseline'!$C$9:$AB$257,24,FALSE))</f>
        <v/>
      </c>
      <c r="BF64" s="30" t="str">
        <f>IF(B64="","",VLOOKUP($B64,'F-1 Off-Site WaterC'' Baseline'!$C$9:$AB$257,22,FALSE))</f>
        <v/>
      </c>
      <c r="BJ64" s="30" t="str">
        <f t="shared" si="10"/>
        <v>No</v>
      </c>
    </row>
    <row r="65" spans="2:62" ht="13.8" x14ac:dyDescent="0.25">
      <c r="B65" s="311" t="str">
        <f>'F-1 Off-Site WaterC'' Baseline'!AS63</f>
        <v/>
      </c>
      <c r="C65" s="301" t="str">
        <f>IF(B65="","",VLOOKUP($B65,'F-1 Off-Site WaterC'' Baseline'!$C$9:$R$257,2,FALSE))</f>
        <v/>
      </c>
      <c r="D65" s="301" t="str">
        <f>IF(C65="","",VLOOKUP($B65,'F-1 Off-Site WaterC'' Baseline'!$C$9:$R$257,3,FALSE))</f>
        <v/>
      </c>
      <c r="E65" s="301" t="str">
        <f>IF(D65="","",VLOOKUP($B65,'F-1 Off-Site WaterC'' Baseline'!$C$9:$R$257,4,FALSE))</f>
        <v/>
      </c>
      <c r="F65" s="301" t="str">
        <f>IF(E65="","",VLOOKUP($B65,'F-1 Off-Site WaterC'' Baseline'!$C$9:$R$257,5,FALSE))</f>
        <v/>
      </c>
      <c r="G65" s="301" t="str">
        <f>IF(F65="","",VLOOKUP($B65,'F-1 Off-Site WaterC'' Baseline'!$C$9:$R$257,6,FALSE))</f>
        <v/>
      </c>
      <c r="H65" s="301" t="str">
        <f>IF(G65="","",VLOOKUP($B65,'F-1 Off-Site WaterC'' Baseline'!$C$9:$R$257,7,FALSE))</f>
        <v/>
      </c>
      <c r="I65" s="301" t="str">
        <f>IF(H65="","",VLOOKUP($B65,'F-1 Off-Site WaterC'' Baseline'!$C$9:$R$257,8,FALSE))</f>
        <v/>
      </c>
      <c r="J65" s="301" t="str">
        <f>IF(I65="","",VLOOKUP($B65,'F-1 Off-Site WaterC'' Baseline'!$C$9:$R$257,9,FALSE))</f>
        <v/>
      </c>
      <c r="K65" s="301" t="str">
        <f>IF(J65="","",VLOOKUP($B65,'F-1 Off-Site WaterC'' Baseline'!$C$9:$R$257,10,FALSE))</f>
        <v/>
      </c>
      <c r="L65" s="289" t="str">
        <f>IF(B65="","",VLOOKUP($B65,'F-1 Off-Site WaterC'' Baseline'!$C$9:$R$257,15,FALSE))</f>
        <v/>
      </c>
      <c r="M65" s="305" t="str">
        <f>IF(L65="","",VLOOKUP($B65,'F-1 Off-Site WaterC'' Baseline'!$C$9:$V$257,19,FALSE))</f>
        <v/>
      </c>
      <c r="N65" s="250"/>
      <c r="O65" s="281" t="str">
        <f t="shared" si="2"/>
        <v/>
      </c>
      <c r="P65" s="282" t="str">
        <f t="shared" si="3"/>
        <v/>
      </c>
      <c r="Q65" s="287" t="str">
        <f>IF(N65="","",VLOOKUP(B65,'F-1 Off-Site WaterC'' Baseline'!$C$10:$AF$257,23,FALSE))</f>
        <v/>
      </c>
      <c r="R65" s="281" t="str">
        <f>IF(N65="","",VLOOKUP(N65,'G-7 WaterC'' Data'!$B$2:$G$8,2,FALSE))</f>
        <v/>
      </c>
      <c r="S65" s="282" t="str">
        <f>IFERROR(VLOOKUP(R65,'G-7 WaterC'' Data'!$C$4:$D$8,2,FALSE),"")</f>
        <v/>
      </c>
      <c r="T65" s="105"/>
      <c r="U65" s="282" t="str">
        <f>IFERROR(INDEX('G-7 WaterC'' Data'!$H$4:$L$8,MATCH(N65,'G-7 WaterC'' Data'!$B$4:$B$8,0),MATCH(T65,'G-7 WaterC'' Data'!$H$3:$L$3,0)),"")</f>
        <v/>
      </c>
      <c r="V65" s="109"/>
      <c r="W65" s="301" t="str">
        <f>IF(V65="","",IF(VLOOKUP(V65,'G-7 WaterC'' Data'!$AK$4:$AM$6,2,FALSE)=0,"Spatial Data Missing ⚠",VLOOKUP(V65,'G-7 WaterC'' Data'!$AK$4:$AM$6,2,FALSE)))</f>
        <v/>
      </c>
      <c r="X65" s="305" t="str">
        <f>IF(V65="","",IF(VLOOKUP(V65,'G-7 WaterC'' Data'!$AK$4:$AM$6,3,FALSE)=0,"Spatial Data Missing ⚠",VLOOKUP(V65,'G-7 WaterC'' Data'!$AK$4:$AM$6,3,FALSE)))</f>
        <v/>
      </c>
      <c r="Y65" s="317" t="str">
        <f>IFERROR(IF(OR(LEFT(P65,5)="Error",LEFT(O65,5)="Error"),"Check Data ⚠",IF(F65&lt;S65,'G-7 WaterC'' Data'!$R$3,INDEX('G-7 WaterC'' Data'!$U$5:$Y$9,MATCH(G65,'G-7 WaterC'' Data'!$T$5:$T$9,0),MATCH(T65,'G-7 WaterC'' Data'!$U$4:$Y$4,0)))),"")</f>
        <v/>
      </c>
      <c r="Z65" s="142"/>
      <c r="AA65" s="142"/>
      <c r="AB65" s="314" t="str">
        <f t="shared" si="4"/>
        <v/>
      </c>
      <c r="AC65" s="302" t="str">
        <f t="shared" si="5"/>
        <v/>
      </c>
      <c r="AD65" s="340" t="str">
        <f>IFERROR(IF(AC65="Check Data ⚠","Check Data ⚠",VLOOKUP(AC65,'G-4 Temporal multipliers'!$A$4:$C$37,3,FALSE)),"")</f>
        <v/>
      </c>
      <c r="AE65" s="317" t="str">
        <f>IF(N65="","",VLOOKUP(N65,'G-7 WaterC'' Data'!$B$4:$G$8,5,FALSE))</f>
        <v/>
      </c>
      <c r="AF65" s="301" t="str">
        <f t="shared" si="0"/>
        <v/>
      </c>
      <c r="AG65" s="301" t="str">
        <f t="shared" si="6"/>
        <v/>
      </c>
      <c r="AH65" s="282" t="str">
        <f t="shared" si="1"/>
        <v/>
      </c>
      <c r="AI65" s="109"/>
      <c r="AJ65" s="282" t="str">
        <f>IF(AI65="","",(IF(AND(AI65="N/A - Culvert",N65&lt;&gt;"Culvert"),"Not possible ▲",IF(VLOOKUP(AI65,'G-7 WaterC'' Data'!$AA$4:$AB$7,2,FALSE)=0,"Spatial Data Missing ⚠",VLOOKUP(AI65,'G-7 WaterC'' Data'!$AA$4:$AB$7,2,FALSE)))))</f>
        <v/>
      </c>
      <c r="AK65" s="110"/>
      <c r="AL65" s="316" t="str">
        <f>IF(AK65="","",IF(AND(AK65="N/A - Culvert",N65&lt;&gt;"Culvert"),"Not possible ▲",IF(VLOOKUP(AK65,'G-7 WaterC'' Data'!$AD$4:$AE$14,2,FALSE)=0,"Spatial Data Missing ⚠",VLOOKUP(AK65,'G-7 WaterC'' Data'!$AD$4:$AE$14,2,FALSE))))</f>
        <v/>
      </c>
      <c r="AM65" s="281" t="str">
        <f>IF(B65="","",VLOOKUP($B65,'F-1 Off-Site WaterC'' Baseline'!$C$9:$Z$257,17,FALSE))</f>
        <v/>
      </c>
      <c r="AN65" s="282" t="str">
        <f>IF(AM65="","",IF(VLOOKUP(AM65,'G-7 WaterC'' Data'!$AO$4:$BO$7,2,FALSE)=0,"Spatial Data Missing ⚠",VLOOKUP(AM65,'G-7 WaterC'' Data'!$AO$4:$BO$7,2,FALSE)))</f>
        <v/>
      </c>
      <c r="AO65" s="323" t="str">
        <f t="shared" si="7"/>
        <v/>
      </c>
      <c r="AP65" s="323" t="str">
        <f t="shared" si="8"/>
        <v/>
      </c>
      <c r="AQ65" s="105"/>
      <c r="AR65" s="119"/>
      <c r="AS65" s="108"/>
      <c r="AT65" s="108"/>
      <c r="AW65" s="30" t="str">
        <f>IF(E65="","",VLOOKUP($B65,'F-1 Off-Site WaterC'' Baseline'!$C$9:$Z$257,12,FALSE))</f>
        <v/>
      </c>
      <c r="AX65" s="30" t="str">
        <f>IF(E65="","",VLOOKUP($B65,'F-1 Off-Site WaterC'' Baseline'!$C$9:$Z$257,14,FALSE))</f>
        <v/>
      </c>
      <c r="AY65" s="30" t="str">
        <f>IFERROR(INDEX('G-7 WaterC'' Data'!$AZ$3:$AZ$7,MATCH(N65,'G-7 WaterC'' Data'!$AY$3:$AY$7,0)),"")</f>
        <v/>
      </c>
      <c r="AZ65" s="30" t="str">
        <f>IF(B65="","",IF(ISNA(VLOOKUP($B65,'F-1 Off-Site WaterC'' Baseline'!$C$8:$AD$257,20,FALSE)),"",(VLOOKUP($B65,'F-1 Off-Site WaterC'' Baseline'!$C$8:$AD$257,20,FALSE))))</f>
        <v/>
      </c>
      <c r="BC65" s="30" t="str">
        <f>IF(B65="","",VLOOKUP($B65,'F-1 Off-Site WaterC'' Baseline'!$C$9:$AB$257,25,FALSE))</f>
        <v/>
      </c>
      <c r="BD65" s="30" t="str">
        <f t="shared" si="9"/>
        <v/>
      </c>
      <c r="BE65" s="30" t="str">
        <f>IF(B65="","",VLOOKUP($B65,'F-1 Off-Site WaterC'' Baseline'!$C$9:$AB$257,24,FALSE))</f>
        <v/>
      </c>
      <c r="BF65" s="30" t="str">
        <f>IF(B65="","",VLOOKUP($B65,'F-1 Off-Site WaterC'' Baseline'!$C$9:$AB$257,22,FALSE))</f>
        <v/>
      </c>
      <c r="BJ65" s="30" t="str">
        <f t="shared" si="10"/>
        <v>No</v>
      </c>
    </row>
    <row r="66" spans="2:62" ht="13.8" x14ac:dyDescent="0.25">
      <c r="B66" s="311" t="str">
        <f>'F-1 Off-Site WaterC'' Baseline'!AS64</f>
        <v/>
      </c>
      <c r="C66" s="301" t="str">
        <f>IF(B66="","",VLOOKUP($B66,'F-1 Off-Site WaterC'' Baseline'!$C$9:$R$257,2,FALSE))</f>
        <v/>
      </c>
      <c r="D66" s="301" t="str">
        <f>IF(C66="","",VLOOKUP($B66,'F-1 Off-Site WaterC'' Baseline'!$C$9:$R$257,3,FALSE))</f>
        <v/>
      </c>
      <c r="E66" s="301" t="str">
        <f>IF(D66="","",VLOOKUP($B66,'F-1 Off-Site WaterC'' Baseline'!$C$9:$R$257,4,FALSE))</f>
        <v/>
      </c>
      <c r="F66" s="301" t="str">
        <f>IF(E66="","",VLOOKUP($B66,'F-1 Off-Site WaterC'' Baseline'!$C$9:$R$257,5,FALSE))</f>
        <v/>
      </c>
      <c r="G66" s="301" t="str">
        <f>IF(F66="","",VLOOKUP($B66,'F-1 Off-Site WaterC'' Baseline'!$C$9:$R$257,6,FALSE))</f>
        <v/>
      </c>
      <c r="H66" s="301" t="str">
        <f>IF(G66="","",VLOOKUP($B66,'F-1 Off-Site WaterC'' Baseline'!$C$9:$R$257,7,FALSE))</f>
        <v/>
      </c>
      <c r="I66" s="301" t="str">
        <f>IF(H66="","",VLOOKUP($B66,'F-1 Off-Site WaterC'' Baseline'!$C$9:$R$257,8,FALSE))</f>
        <v/>
      </c>
      <c r="J66" s="301" t="str">
        <f>IF(I66="","",VLOOKUP($B66,'F-1 Off-Site WaterC'' Baseline'!$C$9:$R$257,9,FALSE))</f>
        <v/>
      </c>
      <c r="K66" s="301" t="str">
        <f>IF(J66="","",VLOOKUP($B66,'F-1 Off-Site WaterC'' Baseline'!$C$9:$R$257,10,FALSE))</f>
        <v/>
      </c>
      <c r="L66" s="289" t="str">
        <f>IF(B66="","",VLOOKUP($B66,'F-1 Off-Site WaterC'' Baseline'!$C$9:$R$257,15,FALSE))</f>
        <v/>
      </c>
      <c r="M66" s="305" t="str">
        <f>IF(L66="","",VLOOKUP($B66,'F-1 Off-Site WaterC'' Baseline'!$C$9:$V$257,19,FALSE))</f>
        <v/>
      </c>
      <c r="N66" s="250"/>
      <c r="O66" s="281" t="str">
        <f t="shared" si="2"/>
        <v/>
      </c>
      <c r="P66" s="282" t="str">
        <f t="shared" si="3"/>
        <v/>
      </c>
      <c r="Q66" s="287" t="str">
        <f>IF(N66="","",VLOOKUP(B66,'F-1 Off-Site WaterC'' Baseline'!$C$10:$AF$257,23,FALSE))</f>
        <v/>
      </c>
      <c r="R66" s="281" t="str">
        <f>IF(N66="","",VLOOKUP(N66,'G-7 WaterC'' Data'!$B$2:$G$8,2,FALSE))</f>
        <v/>
      </c>
      <c r="S66" s="282" t="str">
        <f>IFERROR(VLOOKUP(R66,'G-7 WaterC'' Data'!$C$4:$D$8,2,FALSE),"")</f>
        <v/>
      </c>
      <c r="T66" s="105"/>
      <c r="U66" s="282" t="str">
        <f>IFERROR(INDEX('G-7 WaterC'' Data'!$H$4:$L$8,MATCH(N66,'G-7 WaterC'' Data'!$B$4:$B$8,0),MATCH(T66,'G-7 WaterC'' Data'!$H$3:$L$3,0)),"")</f>
        <v/>
      </c>
      <c r="V66" s="109"/>
      <c r="W66" s="301" t="str">
        <f>IF(V66="","",IF(VLOOKUP(V66,'G-7 WaterC'' Data'!$AK$4:$AM$6,2,FALSE)=0,"Spatial Data Missing ⚠",VLOOKUP(V66,'G-7 WaterC'' Data'!$AK$4:$AM$6,2,FALSE)))</f>
        <v/>
      </c>
      <c r="X66" s="305" t="str">
        <f>IF(V66="","",IF(VLOOKUP(V66,'G-7 WaterC'' Data'!$AK$4:$AM$6,3,FALSE)=0,"Spatial Data Missing ⚠",VLOOKUP(V66,'G-7 WaterC'' Data'!$AK$4:$AM$6,3,FALSE)))</f>
        <v/>
      </c>
      <c r="Y66" s="317" t="str">
        <f>IFERROR(IF(OR(LEFT(P66,5)="Error",LEFT(O66,5)="Error"),"Check Data ⚠",IF(F66&lt;S66,'G-7 WaterC'' Data'!$R$3,INDEX('G-7 WaterC'' Data'!$U$5:$Y$9,MATCH(G66,'G-7 WaterC'' Data'!$T$5:$T$9,0),MATCH(T66,'G-7 WaterC'' Data'!$U$4:$Y$4,0)))),"")</f>
        <v/>
      </c>
      <c r="Z66" s="142"/>
      <c r="AA66" s="142"/>
      <c r="AB66" s="314" t="str">
        <f t="shared" si="4"/>
        <v/>
      </c>
      <c r="AC66" s="302" t="str">
        <f t="shared" si="5"/>
        <v/>
      </c>
      <c r="AD66" s="340" t="str">
        <f>IFERROR(IF(AC66="Check Data ⚠","Check Data ⚠",VLOOKUP(AC66,'G-4 Temporal multipliers'!$A$4:$C$37,3,FALSE)),"")</f>
        <v/>
      </c>
      <c r="AE66" s="317" t="str">
        <f>IF(N66="","",VLOOKUP(N66,'G-7 WaterC'' Data'!$B$4:$G$8,5,FALSE))</f>
        <v/>
      </c>
      <c r="AF66" s="301" t="str">
        <f t="shared" si="0"/>
        <v/>
      </c>
      <c r="AG66" s="301" t="str">
        <f t="shared" si="6"/>
        <v/>
      </c>
      <c r="AH66" s="282" t="str">
        <f t="shared" si="1"/>
        <v/>
      </c>
      <c r="AI66" s="109"/>
      <c r="AJ66" s="282" t="str">
        <f>IF(AI66="","",(IF(AND(AI66="N/A - Culvert",N66&lt;&gt;"Culvert"),"Not possible ▲",IF(VLOOKUP(AI66,'G-7 WaterC'' Data'!$AA$4:$AB$7,2,FALSE)=0,"Spatial Data Missing ⚠",VLOOKUP(AI66,'G-7 WaterC'' Data'!$AA$4:$AB$7,2,FALSE)))))</f>
        <v/>
      </c>
      <c r="AK66" s="110"/>
      <c r="AL66" s="316" t="str">
        <f>IF(AK66="","",IF(AND(AK66="N/A - Culvert",N66&lt;&gt;"Culvert"),"Not possible ▲",IF(VLOOKUP(AK66,'G-7 WaterC'' Data'!$AD$4:$AE$14,2,FALSE)=0,"Spatial Data Missing ⚠",VLOOKUP(AK66,'G-7 WaterC'' Data'!$AD$4:$AE$14,2,FALSE))))</f>
        <v/>
      </c>
      <c r="AM66" s="281" t="str">
        <f>IF(B66="","",VLOOKUP($B66,'F-1 Off-Site WaterC'' Baseline'!$C$9:$Z$257,17,FALSE))</f>
        <v/>
      </c>
      <c r="AN66" s="282" t="str">
        <f>IF(AM66="","",IF(VLOOKUP(AM66,'G-7 WaterC'' Data'!$AO$4:$BO$7,2,FALSE)=0,"Spatial Data Missing ⚠",VLOOKUP(AM66,'G-7 WaterC'' Data'!$AO$4:$BO$7,2,FALSE)))</f>
        <v/>
      </c>
      <c r="AO66" s="323" t="str">
        <f t="shared" si="7"/>
        <v/>
      </c>
      <c r="AP66" s="323" t="str">
        <f t="shared" si="8"/>
        <v/>
      </c>
      <c r="AQ66" s="105"/>
      <c r="AR66" s="119"/>
      <c r="AS66" s="108"/>
      <c r="AT66" s="108"/>
      <c r="AW66" s="30" t="str">
        <f>IF(E66="","",VLOOKUP($B66,'F-1 Off-Site WaterC'' Baseline'!$C$9:$Z$257,12,FALSE))</f>
        <v/>
      </c>
      <c r="AX66" s="30" t="str">
        <f>IF(E66="","",VLOOKUP($B66,'F-1 Off-Site WaterC'' Baseline'!$C$9:$Z$257,14,FALSE))</f>
        <v/>
      </c>
      <c r="AY66" s="30" t="str">
        <f>IFERROR(INDEX('G-7 WaterC'' Data'!$AZ$3:$AZ$7,MATCH(N66,'G-7 WaterC'' Data'!$AY$3:$AY$7,0)),"")</f>
        <v/>
      </c>
      <c r="AZ66" s="30" t="str">
        <f>IF(B66="","",IF(ISNA(VLOOKUP($B66,'F-1 Off-Site WaterC'' Baseline'!$C$8:$AD$257,20,FALSE)),"",(VLOOKUP($B66,'F-1 Off-Site WaterC'' Baseline'!$C$8:$AD$257,20,FALSE))))</f>
        <v/>
      </c>
      <c r="BC66" s="30" t="str">
        <f>IF(B66="","",VLOOKUP($B66,'F-1 Off-Site WaterC'' Baseline'!$C$9:$AB$257,25,FALSE))</f>
        <v/>
      </c>
      <c r="BD66" s="30" t="str">
        <f t="shared" si="9"/>
        <v/>
      </c>
      <c r="BE66" s="30" t="str">
        <f>IF(B66="","",VLOOKUP($B66,'F-1 Off-Site WaterC'' Baseline'!$C$9:$AB$257,24,FALSE))</f>
        <v/>
      </c>
      <c r="BF66" s="30" t="str">
        <f>IF(B66="","",VLOOKUP($B66,'F-1 Off-Site WaterC'' Baseline'!$C$9:$AB$257,22,FALSE))</f>
        <v/>
      </c>
      <c r="BJ66" s="30" t="str">
        <f t="shared" si="10"/>
        <v>No</v>
      </c>
    </row>
    <row r="67" spans="2:62" ht="13.8" x14ac:dyDescent="0.25">
      <c r="B67" s="311" t="str">
        <f>'F-1 Off-Site WaterC'' Baseline'!AS65</f>
        <v/>
      </c>
      <c r="C67" s="301" t="str">
        <f>IF(B67="","",VLOOKUP($B67,'F-1 Off-Site WaterC'' Baseline'!$C$9:$R$257,2,FALSE))</f>
        <v/>
      </c>
      <c r="D67" s="301" t="str">
        <f>IF(C67="","",VLOOKUP($B67,'F-1 Off-Site WaterC'' Baseline'!$C$9:$R$257,3,FALSE))</f>
        <v/>
      </c>
      <c r="E67" s="301" t="str">
        <f>IF(D67="","",VLOOKUP($B67,'F-1 Off-Site WaterC'' Baseline'!$C$9:$R$257,4,FALSE))</f>
        <v/>
      </c>
      <c r="F67" s="301" t="str">
        <f>IF(E67="","",VLOOKUP($B67,'F-1 Off-Site WaterC'' Baseline'!$C$9:$R$257,5,FALSE))</f>
        <v/>
      </c>
      <c r="G67" s="301" t="str">
        <f>IF(F67="","",VLOOKUP($B67,'F-1 Off-Site WaterC'' Baseline'!$C$9:$R$257,6,FALSE))</f>
        <v/>
      </c>
      <c r="H67" s="301" t="str">
        <f>IF(G67="","",VLOOKUP($B67,'F-1 Off-Site WaterC'' Baseline'!$C$9:$R$257,7,FALSE))</f>
        <v/>
      </c>
      <c r="I67" s="301" t="str">
        <f>IF(H67="","",VLOOKUP($B67,'F-1 Off-Site WaterC'' Baseline'!$C$9:$R$257,8,FALSE))</f>
        <v/>
      </c>
      <c r="J67" s="301" t="str">
        <f>IF(I67="","",VLOOKUP($B67,'F-1 Off-Site WaterC'' Baseline'!$C$9:$R$257,9,FALSE))</f>
        <v/>
      </c>
      <c r="K67" s="301" t="str">
        <f>IF(J67="","",VLOOKUP($B67,'F-1 Off-Site WaterC'' Baseline'!$C$9:$R$257,10,FALSE))</f>
        <v/>
      </c>
      <c r="L67" s="289" t="str">
        <f>IF(B67="","",VLOOKUP($B67,'F-1 Off-Site WaterC'' Baseline'!$C$9:$R$257,15,FALSE))</f>
        <v/>
      </c>
      <c r="M67" s="305" t="str">
        <f>IF(L67="","",VLOOKUP($B67,'F-1 Off-Site WaterC'' Baseline'!$C$9:$V$257,19,FALSE))</f>
        <v/>
      </c>
      <c r="N67" s="250"/>
      <c r="O67" s="281" t="str">
        <f t="shared" si="2"/>
        <v/>
      </c>
      <c r="P67" s="282" t="str">
        <f t="shared" si="3"/>
        <v/>
      </c>
      <c r="Q67" s="287" t="str">
        <f>IF(N67="","",VLOOKUP(B67,'F-1 Off-Site WaterC'' Baseline'!$C$10:$AF$257,23,FALSE))</f>
        <v/>
      </c>
      <c r="R67" s="281" t="str">
        <f>IF(N67="","",VLOOKUP(N67,'G-7 WaterC'' Data'!$B$2:$G$8,2,FALSE))</f>
        <v/>
      </c>
      <c r="S67" s="282" t="str">
        <f>IFERROR(VLOOKUP(R67,'G-7 WaterC'' Data'!$C$4:$D$8,2,FALSE),"")</f>
        <v/>
      </c>
      <c r="T67" s="105"/>
      <c r="U67" s="282" t="str">
        <f>IFERROR(INDEX('G-7 WaterC'' Data'!$H$4:$L$8,MATCH(N67,'G-7 WaterC'' Data'!$B$4:$B$8,0),MATCH(T67,'G-7 WaterC'' Data'!$H$3:$L$3,0)),"")</f>
        <v/>
      </c>
      <c r="V67" s="109"/>
      <c r="W67" s="301" t="str">
        <f>IF(V67="","",IF(VLOOKUP(V67,'G-7 WaterC'' Data'!$AK$4:$AM$6,2,FALSE)=0,"Spatial Data Missing ⚠",VLOOKUP(V67,'G-7 WaterC'' Data'!$AK$4:$AM$6,2,FALSE)))</f>
        <v/>
      </c>
      <c r="X67" s="305" t="str">
        <f>IF(V67="","",IF(VLOOKUP(V67,'G-7 WaterC'' Data'!$AK$4:$AM$6,3,FALSE)=0,"Spatial Data Missing ⚠",VLOOKUP(V67,'G-7 WaterC'' Data'!$AK$4:$AM$6,3,FALSE)))</f>
        <v/>
      </c>
      <c r="Y67" s="317" t="str">
        <f>IFERROR(IF(OR(LEFT(P67,5)="Error",LEFT(O67,5)="Error"),"Check Data ⚠",IF(F67&lt;S67,'G-7 WaterC'' Data'!$R$3,INDEX('G-7 WaterC'' Data'!$U$5:$Y$9,MATCH(G67,'G-7 WaterC'' Data'!$T$5:$T$9,0),MATCH(T67,'G-7 WaterC'' Data'!$U$4:$Y$4,0)))),"")</f>
        <v/>
      </c>
      <c r="Z67" s="142"/>
      <c r="AA67" s="142"/>
      <c r="AB67" s="314" t="str">
        <f t="shared" si="4"/>
        <v/>
      </c>
      <c r="AC67" s="302" t="str">
        <f t="shared" si="5"/>
        <v/>
      </c>
      <c r="AD67" s="340" t="str">
        <f>IFERROR(IF(AC67="Check Data ⚠","Check Data ⚠",VLOOKUP(AC67,'G-4 Temporal multipliers'!$A$4:$C$37,3,FALSE)),"")</f>
        <v/>
      </c>
      <c r="AE67" s="317" t="str">
        <f>IF(N67="","",VLOOKUP(N67,'G-7 WaterC'' Data'!$B$4:$G$8,5,FALSE))</f>
        <v/>
      </c>
      <c r="AF67" s="301" t="str">
        <f t="shared" si="0"/>
        <v/>
      </c>
      <c r="AG67" s="301" t="str">
        <f t="shared" si="6"/>
        <v/>
      </c>
      <c r="AH67" s="282" t="str">
        <f t="shared" si="1"/>
        <v/>
      </c>
      <c r="AI67" s="109"/>
      <c r="AJ67" s="282" t="str">
        <f>IF(AI67="","",(IF(AND(AI67="N/A - Culvert",N67&lt;&gt;"Culvert"),"Not possible ▲",IF(VLOOKUP(AI67,'G-7 WaterC'' Data'!$AA$4:$AB$7,2,FALSE)=0,"Spatial Data Missing ⚠",VLOOKUP(AI67,'G-7 WaterC'' Data'!$AA$4:$AB$7,2,FALSE)))))</f>
        <v/>
      </c>
      <c r="AK67" s="110"/>
      <c r="AL67" s="316" t="str">
        <f>IF(AK67="","",IF(AND(AK67="N/A - Culvert",N67&lt;&gt;"Culvert"),"Not possible ▲",IF(VLOOKUP(AK67,'G-7 WaterC'' Data'!$AD$4:$AE$14,2,FALSE)=0,"Spatial Data Missing ⚠",VLOOKUP(AK67,'G-7 WaterC'' Data'!$AD$4:$AE$14,2,FALSE))))</f>
        <v/>
      </c>
      <c r="AM67" s="281" t="str">
        <f>IF(B67="","",VLOOKUP($B67,'F-1 Off-Site WaterC'' Baseline'!$C$9:$Z$257,17,FALSE))</f>
        <v/>
      </c>
      <c r="AN67" s="282" t="str">
        <f>IF(AM67="","",IF(VLOOKUP(AM67,'G-7 WaterC'' Data'!$AO$4:$BO$7,2,FALSE)=0,"Spatial Data Missing ⚠",VLOOKUP(AM67,'G-7 WaterC'' Data'!$AO$4:$BO$7,2,FALSE)))</f>
        <v/>
      </c>
      <c r="AO67" s="323" t="str">
        <f t="shared" si="7"/>
        <v/>
      </c>
      <c r="AP67" s="323" t="str">
        <f t="shared" si="8"/>
        <v/>
      </c>
      <c r="AQ67" s="105"/>
      <c r="AR67" s="119"/>
      <c r="AS67" s="108"/>
      <c r="AT67" s="108"/>
      <c r="AW67" s="30" t="str">
        <f>IF(E67="","",VLOOKUP($B67,'F-1 Off-Site WaterC'' Baseline'!$C$9:$Z$257,12,FALSE))</f>
        <v/>
      </c>
      <c r="AX67" s="30" t="str">
        <f>IF(E67="","",VLOOKUP($B67,'F-1 Off-Site WaterC'' Baseline'!$C$9:$Z$257,14,FALSE))</f>
        <v/>
      </c>
      <c r="AY67" s="30" t="str">
        <f>IFERROR(INDEX('G-7 WaterC'' Data'!$AZ$3:$AZ$7,MATCH(N67,'G-7 WaterC'' Data'!$AY$3:$AY$7,0)),"")</f>
        <v/>
      </c>
      <c r="AZ67" s="30" t="str">
        <f>IF(B67="","",IF(ISNA(VLOOKUP($B67,'F-1 Off-Site WaterC'' Baseline'!$C$8:$AD$257,20,FALSE)),"",(VLOOKUP($B67,'F-1 Off-Site WaterC'' Baseline'!$C$8:$AD$257,20,FALSE))))</f>
        <v/>
      </c>
      <c r="BC67" s="30" t="str">
        <f>IF(B67="","",VLOOKUP($B67,'F-1 Off-Site WaterC'' Baseline'!$C$9:$AB$257,25,FALSE))</f>
        <v/>
      </c>
      <c r="BD67" s="30" t="str">
        <f t="shared" si="9"/>
        <v/>
      </c>
      <c r="BE67" s="30" t="str">
        <f>IF(B67="","",VLOOKUP($B67,'F-1 Off-Site WaterC'' Baseline'!$C$9:$AB$257,24,FALSE))</f>
        <v/>
      </c>
      <c r="BF67" s="30" t="str">
        <f>IF(B67="","",VLOOKUP($B67,'F-1 Off-Site WaterC'' Baseline'!$C$9:$AB$257,22,FALSE))</f>
        <v/>
      </c>
      <c r="BJ67" s="30" t="str">
        <f t="shared" si="10"/>
        <v>No</v>
      </c>
    </row>
    <row r="68" spans="2:62" ht="13.8" x14ac:dyDescent="0.25">
      <c r="B68" s="311" t="str">
        <f>'F-1 Off-Site WaterC'' Baseline'!AS66</f>
        <v/>
      </c>
      <c r="C68" s="301" t="str">
        <f>IF(B68="","",VLOOKUP($B68,'F-1 Off-Site WaterC'' Baseline'!$C$9:$R$257,2,FALSE))</f>
        <v/>
      </c>
      <c r="D68" s="301" t="str">
        <f>IF(C68="","",VLOOKUP($B68,'F-1 Off-Site WaterC'' Baseline'!$C$9:$R$257,3,FALSE))</f>
        <v/>
      </c>
      <c r="E68" s="301" t="str">
        <f>IF(D68="","",VLOOKUP($B68,'F-1 Off-Site WaterC'' Baseline'!$C$9:$R$257,4,FALSE))</f>
        <v/>
      </c>
      <c r="F68" s="301" t="str">
        <f>IF(E68="","",VLOOKUP($B68,'F-1 Off-Site WaterC'' Baseline'!$C$9:$R$257,5,FALSE))</f>
        <v/>
      </c>
      <c r="G68" s="301" t="str">
        <f>IF(F68="","",VLOOKUP($B68,'F-1 Off-Site WaterC'' Baseline'!$C$9:$R$257,6,FALSE))</f>
        <v/>
      </c>
      <c r="H68" s="301" t="str">
        <f>IF(G68="","",VLOOKUP($B68,'F-1 Off-Site WaterC'' Baseline'!$C$9:$R$257,7,FALSE))</f>
        <v/>
      </c>
      <c r="I68" s="301" t="str">
        <f>IF(H68="","",VLOOKUP($B68,'F-1 Off-Site WaterC'' Baseline'!$C$9:$R$257,8,FALSE))</f>
        <v/>
      </c>
      <c r="J68" s="301" t="str">
        <f>IF(I68="","",VLOOKUP($B68,'F-1 Off-Site WaterC'' Baseline'!$C$9:$R$257,9,FALSE))</f>
        <v/>
      </c>
      <c r="K68" s="301" t="str">
        <f>IF(J68="","",VLOOKUP($B68,'F-1 Off-Site WaterC'' Baseline'!$C$9:$R$257,10,FALSE))</f>
        <v/>
      </c>
      <c r="L68" s="289" t="str">
        <f>IF(B68="","",VLOOKUP($B68,'F-1 Off-Site WaterC'' Baseline'!$C$9:$R$257,15,FALSE))</f>
        <v/>
      </c>
      <c r="M68" s="305" t="str">
        <f>IF(L68="","",VLOOKUP($B68,'F-1 Off-Site WaterC'' Baseline'!$C$9:$V$257,19,FALSE))</f>
        <v/>
      </c>
      <c r="N68" s="250"/>
      <c r="O68" s="281" t="str">
        <f t="shared" si="2"/>
        <v/>
      </c>
      <c r="P68" s="282" t="str">
        <f t="shared" si="3"/>
        <v/>
      </c>
      <c r="Q68" s="287" t="str">
        <f>IF(N68="","",VLOOKUP(B68,'F-1 Off-Site WaterC'' Baseline'!$C$10:$AF$257,23,FALSE))</f>
        <v/>
      </c>
      <c r="R68" s="281" t="str">
        <f>IF(N68="","",VLOOKUP(N68,'G-7 WaterC'' Data'!$B$2:$G$8,2,FALSE))</f>
        <v/>
      </c>
      <c r="S68" s="282" t="str">
        <f>IFERROR(VLOOKUP(R68,'G-7 WaterC'' Data'!$C$4:$D$8,2,FALSE),"")</f>
        <v/>
      </c>
      <c r="T68" s="105"/>
      <c r="U68" s="282" t="str">
        <f>IFERROR(INDEX('G-7 WaterC'' Data'!$H$4:$L$8,MATCH(N68,'G-7 WaterC'' Data'!$B$4:$B$8,0),MATCH(T68,'G-7 WaterC'' Data'!$H$3:$L$3,0)),"")</f>
        <v/>
      </c>
      <c r="V68" s="109"/>
      <c r="W68" s="301" t="str">
        <f>IF(V68="","",IF(VLOOKUP(V68,'G-7 WaterC'' Data'!$AK$4:$AM$6,2,FALSE)=0,"Spatial Data Missing ⚠",VLOOKUP(V68,'G-7 WaterC'' Data'!$AK$4:$AM$6,2,FALSE)))</f>
        <v/>
      </c>
      <c r="X68" s="305" t="str">
        <f>IF(V68="","",IF(VLOOKUP(V68,'G-7 WaterC'' Data'!$AK$4:$AM$6,3,FALSE)=0,"Spatial Data Missing ⚠",VLOOKUP(V68,'G-7 WaterC'' Data'!$AK$4:$AM$6,3,FALSE)))</f>
        <v/>
      </c>
      <c r="Y68" s="317" t="str">
        <f>IFERROR(IF(OR(LEFT(P68,5)="Error",LEFT(O68,5)="Error"),"Check Data ⚠",IF(F68&lt;S68,'G-7 WaterC'' Data'!$R$3,INDEX('G-7 WaterC'' Data'!$U$5:$Y$9,MATCH(G68,'G-7 WaterC'' Data'!$T$5:$T$9,0),MATCH(T68,'G-7 WaterC'' Data'!$U$4:$Y$4,0)))),"")</f>
        <v/>
      </c>
      <c r="Z68" s="142"/>
      <c r="AA68" s="142"/>
      <c r="AB68" s="314" t="str">
        <f t="shared" si="4"/>
        <v/>
      </c>
      <c r="AC68" s="302" t="str">
        <f t="shared" si="5"/>
        <v/>
      </c>
      <c r="AD68" s="340" t="str">
        <f>IFERROR(IF(AC68="Check Data ⚠","Check Data ⚠",VLOOKUP(AC68,'G-4 Temporal multipliers'!$A$4:$C$37,3,FALSE)),"")</f>
        <v/>
      </c>
      <c r="AE68" s="317" t="str">
        <f>IF(N68="","",VLOOKUP(N68,'G-7 WaterC'' Data'!$B$4:$G$8,5,FALSE))</f>
        <v/>
      </c>
      <c r="AF68" s="301" t="str">
        <f t="shared" si="0"/>
        <v/>
      </c>
      <c r="AG68" s="301" t="str">
        <f t="shared" si="6"/>
        <v/>
      </c>
      <c r="AH68" s="282" t="str">
        <f t="shared" si="1"/>
        <v/>
      </c>
      <c r="AI68" s="109"/>
      <c r="AJ68" s="282" t="str">
        <f>IF(AI68="","",(IF(AND(AI68="N/A - Culvert",N68&lt;&gt;"Culvert"),"Not possible ▲",IF(VLOOKUP(AI68,'G-7 WaterC'' Data'!$AA$4:$AB$7,2,FALSE)=0,"Spatial Data Missing ⚠",VLOOKUP(AI68,'G-7 WaterC'' Data'!$AA$4:$AB$7,2,FALSE)))))</f>
        <v/>
      </c>
      <c r="AK68" s="110"/>
      <c r="AL68" s="316" t="str">
        <f>IF(AK68="","",IF(AND(AK68="N/A - Culvert",N68&lt;&gt;"Culvert"),"Not possible ▲",IF(VLOOKUP(AK68,'G-7 WaterC'' Data'!$AD$4:$AE$14,2,FALSE)=0,"Spatial Data Missing ⚠",VLOOKUP(AK68,'G-7 WaterC'' Data'!$AD$4:$AE$14,2,FALSE))))</f>
        <v/>
      </c>
      <c r="AM68" s="281" t="str">
        <f>IF(B68="","",VLOOKUP($B68,'F-1 Off-Site WaterC'' Baseline'!$C$9:$Z$257,17,FALSE))</f>
        <v/>
      </c>
      <c r="AN68" s="282" t="str">
        <f>IF(AM68="","",IF(VLOOKUP(AM68,'G-7 WaterC'' Data'!$AO$4:$BO$7,2,FALSE)=0,"Spatial Data Missing ⚠",VLOOKUP(AM68,'G-7 WaterC'' Data'!$AO$4:$BO$7,2,FALSE)))</f>
        <v/>
      </c>
      <c r="AO68" s="323" t="str">
        <f t="shared" si="7"/>
        <v/>
      </c>
      <c r="AP68" s="323" t="str">
        <f t="shared" si="8"/>
        <v/>
      </c>
      <c r="AQ68" s="105"/>
      <c r="AR68" s="119"/>
      <c r="AS68" s="108"/>
      <c r="AT68" s="108"/>
      <c r="AW68" s="30" t="str">
        <f>IF(E68="","",VLOOKUP($B68,'F-1 Off-Site WaterC'' Baseline'!$C$9:$Z$257,12,FALSE))</f>
        <v/>
      </c>
      <c r="AX68" s="30" t="str">
        <f>IF(E68="","",VLOOKUP($B68,'F-1 Off-Site WaterC'' Baseline'!$C$9:$Z$257,14,FALSE))</f>
        <v/>
      </c>
      <c r="AY68" s="30" t="str">
        <f>IFERROR(INDEX('G-7 WaterC'' Data'!$AZ$3:$AZ$7,MATCH(N68,'G-7 WaterC'' Data'!$AY$3:$AY$7,0)),"")</f>
        <v/>
      </c>
      <c r="AZ68" s="30" t="str">
        <f>IF(B68="","",IF(ISNA(VLOOKUP($B68,'F-1 Off-Site WaterC'' Baseline'!$C$8:$AD$257,20,FALSE)),"",(VLOOKUP($B68,'F-1 Off-Site WaterC'' Baseline'!$C$8:$AD$257,20,FALSE))))</f>
        <v/>
      </c>
      <c r="BC68" s="30" t="str">
        <f>IF(B68="","",VLOOKUP($B68,'F-1 Off-Site WaterC'' Baseline'!$C$9:$AB$257,25,FALSE))</f>
        <v/>
      </c>
      <c r="BD68" s="30" t="str">
        <f t="shared" si="9"/>
        <v/>
      </c>
      <c r="BE68" s="30" t="str">
        <f>IF(B68="","",VLOOKUP($B68,'F-1 Off-Site WaterC'' Baseline'!$C$9:$AB$257,24,FALSE))</f>
        <v/>
      </c>
      <c r="BF68" s="30" t="str">
        <f>IF(B68="","",VLOOKUP($B68,'F-1 Off-Site WaterC'' Baseline'!$C$9:$AB$257,22,FALSE))</f>
        <v/>
      </c>
      <c r="BJ68" s="30" t="str">
        <f t="shared" si="10"/>
        <v>No</v>
      </c>
    </row>
    <row r="69" spans="2:62" ht="13.8" x14ac:dyDescent="0.25">
      <c r="B69" s="311" t="str">
        <f>'F-1 Off-Site WaterC'' Baseline'!AS67</f>
        <v/>
      </c>
      <c r="C69" s="301" t="str">
        <f>IF(B69="","",VLOOKUP($B69,'F-1 Off-Site WaterC'' Baseline'!$C$9:$R$257,2,FALSE))</f>
        <v/>
      </c>
      <c r="D69" s="301" t="str">
        <f>IF(C69="","",VLOOKUP($B69,'F-1 Off-Site WaterC'' Baseline'!$C$9:$R$257,3,FALSE))</f>
        <v/>
      </c>
      <c r="E69" s="301" t="str">
        <f>IF(D69="","",VLOOKUP($B69,'F-1 Off-Site WaterC'' Baseline'!$C$9:$R$257,4,FALSE))</f>
        <v/>
      </c>
      <c r="F69" s="301" t="str">
        <f>IF(E69="","",VLOOKUP($B69,'F-1 Off-Site WaterC'' Baseline'!$C$9:$R$257,5,FALSE))</f>
        <v/>
      </c>
      <c r="G69" s="301" t="str">
        <f>IF(F69="","",VLOOKUP($B69,'F-1 Off-Site WaterC'' Baseline'!$C$9:$R$257,6,FALSE))</f>
        <v/>
      </c>
      <c r="H69" s="301" t="str">
        <f>IF(G69="","",VLOOKUP($B69,'F-1 Off-Site WaterC'' Baseline'!$C$9:$R$257,7,FALSE))</f>
        <v/>
      </c>
      <c r="I69" s="301" t="str">
        <f>IF(H69="","",VLOOKUP($B69,'F-1 Off-Site WaterC'' Baseline'!$C$9:$R$257,8,FALSE))</f>
        <v/>
      </c>
      <c r="J69" s="301" t="str">
        <f>IF(I69="","",VLOOKUP($B69,'F-1 Off-Site WaterC'' Baseline'!$C$9:$R$257,9,FALSE))</f>
        <v/>
      </c>
      <c r="K69" s="301" t="str">
        <f>IF(J69="","",VLOOKUP($B69,'F-1 Off-Site WaterC'' Baseline'!$C$9:$R$257,10,FALSE))</f>
        <v/>
      </c>
      <c r="L69" s="289" t="str">
        <f>IF(B69="","",VLOOKUP($B69,'F-1 Off-Site WaterC'' Baseline'!$C$9:$R$257,15,FALSE))</f>
        <v/>
      </c>
      <c r="M69" s="305" t="str">
        <f>IF(L69="","",VLOOKUP($B69,'F-1 Off-Site WaterC'' Baseline'!$C$9:$V$257,19,FALSE))</f>
        <v/>
      </c>
      <c r="N69" s="250"/>
      <c r="O69" s="281" t="str">
        <f t="shared" si="2"/>
        <v/>
      </c>
      <c r="P69" s="282" t="str">
        <f t="shared" si="3"/>
        <v/>
      </c>
      <c r="Q69" s="287" t="str">
        <f>IF(N69="","",VLOOKUP(B69,'F-1 Off-Site WaterC'' Baseline'!$C$10:$AF$257,23,FALSE))</f>
        <v/>
      </c>
      <c r="R69" s="281" t="str">
        <f>IF(N69="","",VLOOKUP(N69,'G-7 WaterC'' Data'!$B$2:$G$8,2,FALSE))</f>
        <v/>
      </c>
      <c r="S69" s="282" t="str">
        <f>IFERROR(VLOOKUP(R69,'G-7 WaterC'' Data'!$C$4:$D$8,2,FALSE),"")</f>
        <v/>
      </c>
      <c r="T69" s="105"/>
      <c r="U69" s="282" t="str">
        <f>IFERROR(INDEX('G-7 WaterC'' Data'!$H$4:$L$8,MATCH(N69,'G-7 WaterC'' Data'!$B$4:$B$8,0),MATCH(T69,'G-7 WaterC'' Data'!$H$3:$L$3,0)),"")</f>
        <v/>
      </c>
      <c r="V69" s="109"/>
      <c r="W69" s="301" t="str">
        <f>IF(V69="","",IF(VLOOKUP(V69,'G-7 WaterC'' Data'!$AK$4:$AM$6,2,FALSE)=0,"Spatial Data Missing ⚠",VLOOKUP(V69,'G-7 WaterC'' Data'!$AK$4:$AM$6,2,FALSE)))</f>
        <v/>
      </c>
      <c r="X69" s="305" t="str">
        <f>IF(V69="","",IF(VLOOKUP(V69,'G-7 WaterC'' Data'!$AK$4:$AM$6,3,FALSE)=0,"Spatial Data Missing ⚠",VLOOKUP(V69,'G-7 WaterC'' Data'!$AK$4:$AM$6,3,FALSE)))</f>
        <v/>
      </c>
      <c r="Y69" s="317" t="str">
        <f>IFERROR(IF(OR(LEFT(P69,5)="Error",LEFT(O69,5)="Error"),"Check Data ⚠",IF(F69&lt;S69,'G-7 WaterC'' Data'!$R$3,INDEX('G-7 WaterC'' Data'!$U$5:$Y$9,MATCH(G69,'G-7 WaterC'' Data'!$T$5:$T$9,0),MATCH(T69,'G-7 WaterC'' Data'!$U$4:$Y$4,0)))),"")</f>
        <v/>
      </c>
      <c r="Z69" s="142"/>
      <c r="AA69" s="142"/>
      <c r="AB69" s="314" t="str">
        <f t="shared" si="4"/>
        <v/>
      </c>
      <c r="AC69" s="302" t="str">
        <f t="shared" si="5"/>
        <v/>
      </c>
      <c r="AD69" s="340" t="str">
        <f>IFERROR(IF(AC69="Check Data ⚠","Check Data ⚠",VLOOKUP(AC69,'G-4 Temporal multipliers'!$A$4:$C$37,3,FALSE)),"")</f>
        <v/>
      </c>
      <c r="AE69" s="317" t="str">
        <f>IF(N69="","",VLOOKUP(N69,'G-7 WaterC'' Data'!$B$4:$G$8,5,FALSE))</f>
        <v/>
      </c>
      <c r="AF69" s="301" t="str">
        <f t="shared" si="0"/>
        <v/>
      </c>
      <c r="AG69" s="301" t="str">
        <f t="shared" si="6"/>
        <v/>
      </c>
      <c r="AH69" s="282" t="str">
        <f t="shared" si="1"/>
        <v/>
      </c>
      <c r="AI69" s="109"/>
      <c r="AJ69" s="282" t="str">
        <f>IF(AI69="","",(IF(AND(AI69="N/A - Culvert",N69&lt;&gt;"Culvert"),"Not possible ▲",IF(VLOOKUP(AI69,'G-7 WaterC'' Data'!$AA$4:$AB$7,2,FALSE)=0,"Spatial Data Missing ⚠",VLOOKUP(AI69,'G-7 WaterC'' Data'!$AA$4:$AB$7,2,FALSE)))))</f>
        <v/>
      </c>
      <c r="AK69" s="110"/>
      <c r="AL69" s="316" t="str">
        <f>IF(AK69="","",IF(AND(AK69="N/A - Culvert",N69&lt;&gt;"Culvert"),"Not possible ▲",IF(VLOOKUP(AK69,'G-7 WaterC'' Data'!$AD$4:$AE$14,2,FALSE)=0,"Spatial Data Missing ⚠",VLOOKUP(AK69,'G-7 WaterC'' Data'!$AD$4:$AE$14,2,FALSE))))</f>
        <v/>
      </c>
      <c r="AM69" s="281" t="str">
        <f>IF(B69="","",VLOOKUP($B69,'F-1 Off-Site WaterC'' Baseline'!$C$9:$Z$257,17,FALSE))</f>
        <v/>
      </c>
      <c r="AN69" s="282" t="str">
        <f>IF(AM69="","",IF(VLOOKUP(AM69,'G-7 WaterC'' Data'!$AO$4:$BO$7,2,FALSE)=0,"Spatial Data Missing ⚠",VLOOKUP(AM69,'G-7 WaterC'' Data'!$AO$4:$BO$7,2,FALSE)))</f>
        <v/>
      </c>
      <c r="AO69" s="323" t="str">
        <f t="shared" si="7"/>
        <v/>
      </c>
      <c r="AP69" s="323" t="str">
        <f t="shared" si="8"/>
        <v/>
      </c>
      <c r="AQ69" s="105"/>
      <c r="AR69" s="119"/>
      <c r="AS69" s="108"/>
      <c r="AT69" s="108"/>
      <c r="AW69" s="30" t="str">
        <f>IF(E69="","",VLOOKUP($B69,'F-1 Off-Site WaterC'' Baseline'!$C$9:$Z$257,12,FALSE))</f>
        <v/>
      </c>
      <c r="AX69" s="30" t="str">
        <f>IF(E69="","",VLOOKUP($B69,'F-1 Off-Site WaterC'' Baseline'!$C$9:$Z$257,14,FALSE))</f>
        <v/>
      </c>
      <c r="AY69" s="30" t="str">
        <f>IFERROR(INDEX('G-7 WaterC'' Data'!$AZ$3:$AZ$7,MATCH(N69,'G-7 WaterC'' Data'!$AY$3:$AY$7,0)),"")</f>
        <v/>
      </c>
      <c r="AZ69" s="30" t="str">
        <f>IF(B69="","",IF(ISNA(VLOOKUP($B69,'F-1 Off-Site WaterC'' Baseline'!$C$8:$AD$257,20,FALSE)),"",(VLOOKUP($B69,'F-1 Off-Site WaterC'' Baseline'!$C$8:$AD$257,20,FALSE))))</f>
        <v/>
      </c>
      <c r="BC69" s="30" t="str">
        <f>IF(B69="","",VLOOKUP($B69,'F-1 Off-Site WaterC'' Baseline'!$C$9:$AB$257,25,FALSE))</f>
        <v/>
      </c>
      <c r="BD69" s="30" t="str">
        <f t="shared" si="9"/>
        <v/>
      </c>
      <c r="BE69" s="30" t="str">
        <f>IF(B69="","",VLOOKUP($B69,'F-1 Off-Site WaterC'' Baseline'!$C$9:$AB$257,24,FALSE))</f>
        <v/>
      </c>
      <c r="BF69" s="30" t="str">
        <f>IF(B69="","",VLOOKUP($B69,'F-1 Off-Site WaterC'' Baseline'!$C$9:$AB$257,22,FALSE))</f>
        <v/>
      </c>
      <c r="BJ69" s="30" t="str">
        <f t="shared" si="10"/>
        <v>No</v>
      </c>
    </row>
    <row r="70" spans="2:62" ht="13.8" x14ac:dyDescent="0.25">
      <c r="B70" s="311" t="str">
        <f>'F-1 Off-Site WaterC'' Baseline'!AS68</f>
        <v/>
      </c>
      <c r="C70" s="301" t="str">
        <f>IF(B70="","",VLOOKUP($B70,'F-1 Off-Site WaterC'' Baseline'!$C$9:$R$257,2,FALSE))</f>
        <v/>
      </c>
      <c r="D70" s="301" t="str">
        <f>IF(C70="","",VLOOKUP($B70,'F-1 Off-Site WaterC'' Baseline'!$C$9:$R$257,3,FALSE))</f>
        <v/>
      </c>
      <c r="E70" s="301" t="str">
        <f>IF(D70="","",VLOOKUP($B70,'F-1 Off-Site WaterC'' Baseline'!$C$9:$R$257,4,FALSE))</f>
        <v/>
      </c>
      <c r="F70" s="301" t="str">
        <f>IF(E70="","",VLOOKUP($B70,'F-1 Off-Site WaterC'' Baseline'!$C$9:$R$257,5,FALSE))</f>
        <v/>
      </c>
      <c r="G70" s="301" t="str">
        <f>IF(F70="","",VLOOKUP($B70,'F-1 Off-Site WaterC'' Baseline'!$C$9:$R$257,6,FALSE))</f>
        <v/>
      </c>
      <c r="H70" s="301" t="str">
        <f>IF(G70="","",VLOOKUP($B70,'F-1 Off-Site WaterC'' Baseline'!$C$9:$R$257,7,FALSE))</f>
        <v/>
      </c>
      <c r="I70" s="301" t="str">
        <f>IF(H70="","",VLOOKUP($B70,'F-1 Off-Site WaterC'' Baseline'!$C$9:$R$257,8,FALSE))</f>
        <v/>
      </c>
      <c r="J70" s="301" t="str">
        <f>IF(I70="","",VLOOKUP($B70,'F-1 Off-Site WaterC'' Baseline'!$C$9:$R$257,9,FALSE))</f>
        <v/>
      </c>
      <c r="K70" s="301" t="str">
        <f>IF(J70="","",VLOOKUP($B70,'F-1 Off-Site WaterC'' Baseline'!$C$9:$R$257,10,FALSE))</f>
        <v/>
      </c>
      <c r="L70" s="289" t="str">
        <f>IF(B70="","",VLOOKUP($B70,'F-1 Off-Site WaterC'' Baseline'!$C$9:$R$257,15,FALSE))</f>
        <v/>
      </c>
      <c r="M70" s="305" t="str">
        <f>IF(L70="","",VLOOKUP($B70,'F-1 Off-Site WaterC'' Baseline'!$C$9:$V$257,19,FALSE))</f>
        <v/>
      </c>
      <c r="N70" s="250"/>
      <c r="O70" s="281" t="str">
        <f t="shared" si="2"/>
        <v/>
      </c>
      <c r="P70" s="282" t="str">
        <f t="shared" si="3"/>
        <v/>
      </c>
      <c r="Q70" s="287" t="str">
        <f>IF(N70="","",VLOOKUP(B70,'F-1 Off-Site WaterC'' Baseline'!$C$10:$AF$257,23,FALSE))</f>
        <v/>
      </c>
      <c r="R70" s="281" t="str">
        <f>IF(N70="","",VLOOKUP(N70,'G-7 WaterC'' Data'!$B$2:$G$8,2,FALSE))</f>
        <v/>
      </c>
      <c r="S70" s="282" t="str">
        <f>IFERROR(VLOOKUP(R70,'G-7 WaterC'' Data'!$C$4:$D$8,2,FALSE),"")</f>
        <v/>
      </c>
      <c r="T70" s="105"/>
      <c r="U70" s="282" t="str">
        <f>IFERROR(INDEX('G-7 WaterC'' Data'!$H$4:$L$8,MATCH(N70,'G-7 WaterC'' Data'!$B$4:$B$8,0),MATCH(T70,'G-7 WaterC'' Data'!$H$3:$L$3,0)),"")</f>
        <v/>
      </c>
      <c r="V70" s="109"/>
      <c r="W70" s="301" t="str">
        <f>IF(V70="","",IF(VLOOKUP(V70,'G-7 WaterC'' Data'!$AK$4:$AM$6,2,FALSE)=0,"Spatial Data Missing ⚠",VLOOKUP(V70,'G-7 WaterC'' Data'!$AK$4:$AM$6,2,FALSE)))</f>
        <v/>
      </c>
      <c r="X70" s="305" t="str">
        <f>IF(V70="","",IF(VLOOKUP(V70,'G-7 WaterC'' Data'!$AK$4:$AM$6,3,FALSE)=0,"Spatial Data Missing ⚠",VLOOKUP(V70,'G-7 WaterC'' Data'!$AK$4:$AM$6,3,FALSE)))</f>
        <v/>
      </c>
      <c r="Y70" s="317" t="str">
        <f>IFERROR(IF(OR(LEFT(P70,5)="Error",LEFT(O70,5)="Error"),"Check Data ⚠",IF(F70&lt;S70,'G-7 WaterC'' Data'!$R$3,INDEX('G-7 WaterC'' Data'!$U$5:$Y$9,MATCH(G70,'G-7 WaterC'' Data'!$T$5:$T$9,0),MATCH(T70,'G-7 WaterC'' Data'!$U$4:$Y$4,0)))),"")</f>
        <v/>
      </c>
      <c r="Z70" s="142"/>
      <c r="AA70" s="142"/>
      <c r="AB70" s="314" t="str">
        <f t="shared" si="4"/>
        <v/>
      </c>
      <c r="AC70" s="302" t="str">
        <f t="shared" si="5"/>
        <v/>
      </c>
      <c r="AD70" s="340" t="str">
        <f>IFERROR(IF(AC70="Check Data ⚠","Check Data ⚠",VLOOKUP(AC70,'G-4 Temporal multipliers'!$A$4:$C$37,3,FALSE)),"")</f>
        <v/>
      </c>
      <c r="AE70" s="317" t="str">
        <f>IF(N70="","",VLOOKUP(N70,'G-7 WaterC'' Data'!$B$4:$G$8,5,FALSE))</f>
        <v/>
      </c>
      <c r="AF70" s="301" t="str">
        <f t="shared" si="0"/>
        <v/>
      </c>
      <c r="AG70" s="301" t="str">
        <f t="shared" si="6"/>
        <v/>
      </c>
      <c r="AH70" s="282" t="str">
        <f t="shared" si="1"/>
        <v/>
      </c>
      <c r="AI70" s="109"/>
      <c r="AJ70" s="282" t="str">
        <f>IF(AI70="","",(IF(AND(AI70="N/A - Culvert",N70&lt;&gt;"Culvert"),"Not possible ▲",IF(VLOOKUP(AI70,'G-7 WaterC'' Data'!$AA$4:$AB$7,2,FALSE)=0,"Spatial Data Missing ⚠",VLOOKUP(AI70,'G-7 WaterC'' Data'!$AA$4:$AB$7,2,FALSE)))))</f>
        <v/>
      </c>
      <c r="AK70" s="110"/>
      <c r="AL70" s="316" t="str">
        <f>IF(AK70="","",IF(AND(AK70="N/A - Culvert",N70&lt;&gt;"Culvert"),"Not possible ▲",IF(VLOOKUP(AK70,'G-7 WaterC'' Data'!$AD$4:$AE$14,2,FALSE)=0,"Spatial Data Missing ⚠",VLOOKUP(AK70,'G-7 WaterC'' Data'!$AD$4:$AE$14,2,FALSE))))</f>
        <v/>
      </c>
      <c r="AM70" s="281" t="str">
        <f>IF(B70="","",VLOOKUP($B70,'F-1 Off-Site WaterC'' Baseline'!$C$9:$Z$257,17,FALSE))</f>
        <v/>
      </c>
      <c r="AN70" s="282" t="str">
        <f>IF(AM70="","",IF(VLOOKUP(AM70,'G-7 WaterC'' Data'!$AO$4:$BO$7,2,FALSE)=0,"Spatial Data Missing ⚠",VLOOKUP(AM70,'G-7 WaterC'' Data'!$AO$4:$BO$7,2,FALSE)))</f>
        <v/>
      </c>
      <c r="AO70" s="323" t="str">
        <f t="shared" si="7"/>
        <v/>
      </c>
      <c r="AP70" s="323" t="str">
        <f t="shared" si="8"/>
        <v/>
      </c>
      <c r="AQ70" s="105"/>
      <c r="AR70" s="119"/>
      <c r="AS70" s="108"/>
      <c r="AT70" s="108"/>
      <c r="AW70" s="30" t="str">
        <f>IF(E70="","",VLOOKUP($B70,'F-1 Off-Site WaterC'' Baseline'!$C$9:$Z$257,12,FALSE))</f>
        <v/>
      </c>
      <c r="AX70" s="30" t="str">
        <f>IF(E70="","",VLOOKUP($B70,'F-1 Off-Site WaterC'' Baseline'!$C$9:$Z$257,14,FALSE))</f>
        <v/>
      </c>
      <c r="AY70" s="30" t="str">
        <f>IFERROR(INDEX('G-7 WaterC'' Data'!$AZ$3:$AZ$7,MATCH(N70,'G-7 WaterC'' Data'!$AY$3:$AY$7,0)),"")</f>
        <v/>
      </c>
      <c r="AZ70" s="30" t="str">
        <f>IF(B70="","",IF(ISNA(VLOOKUP($B70,'F-1 Off-Site WaterC'' Baseline'!$C$8:$AD$257,20,FALSE)),"",(VLOOKUP($B70,'F-1 Off-Site WaterC'' Baseline'!$C$8:$AD$257,20,FALSE))))</f>
        <v/>
      </c>
      <c r="BC70" s="30" t="str">
        <f>IF(B70="","",VLOOKUP($B70,'F-1 Off-Site WaterC'' Baseline'!$C$9:$AB$257,25,FALSE))</f>
        <v/>
      </c>
      <c r="BD70" s="30" t="str">
        <f t="shared" si="9"/>
        <v/>
      </c>
      <c r="BE70" s="30" t="str">
        <f>IF(B70="","",VLOOKUP($B70,'F-1 Off-Site WaterC'' Baseline'!$C$9:$AB$257,24,FALSE))</f>
        <v/>
      </c>
      <c r="BF70" s="30" t="str">
        <f>IF(B70="","",VLOOKUP($B70,'F-1 Off-Site WaterC'' Baseline'!$C$9:$AB$257,22,FALSE))</f>
        <v/>
      </c>
      <c r="BJ70" s="30" t="str">
        <f t="shared" si="10"/>
        <v>No</v>
      </c>
    </row>
    <row r="71" spans="2:62" ht="13.8" x14ac:dyDescent="0.25">
      <c r="B71" s="311" t="str">
        <f>'F-1 Off-Site WaterC'' Baseline'!AS69</f>
        <v/>
      </c>
      <c r="C71" s="301" t="str">
        <f>IF(B71="","",VLOOKUP($B71,'F-1 Off-Site WaterC'' Baseline'!$C$9:$R$257,2,FALSE))</f>
        <v/>
      </c>
      <c r="D71" s="301" t="str">
        <f>IF(C71="","",VLOOKUP($B71,'F-1 Off-Site WaterC'' Baseline'!$C$9:$R$257,3,FALSE))</f>
        <v/>
      </c>
      <c r="E71" s="301" t="str">
        <f>IF(D71="","",VLOOKUP($B71,'F-1 Off-Site WaterC'' Baseline'!$C$9:$R$257,4,FALSE))</f>
        <v/>
      </c>
      <c r="F71" s="301" t="str">
        <f>IF(E71="","",VLOOKUP($B71,'F-1 Off-Site WaterC'' Baseline'!$C$9:$R$257,5,FALSE))</f>
        <v/>
      </c>
      <c r="G71" s="301" t="str">
        <f>IF(F71="","",VLOOKUP($B71,'F-1 Off-Site WaterC'' Baseline'!$C$9:$R$257,6,FALSE))</f>
        <v/>
      </c>
      <c r="H71" s="301" t="str">
        <f>IF(G71="","",VLOOKUP($B71,'F-1 Off-Site WaterC'' Baseline'!$C$9:$R$257,7,FALSE))</f>
        <v/>
      </c>
      <c r="I71" s="301" t="str">
        <f>IF(H71="","",VLOOKUP($B71,'F-1 Off-Site WaterC'' Baseline'!$C$9:$R$257,8,FALSE))</f>
        <v/>
      </c>
      <c r="J71" s="301" t="str">
        <f>IF(I71="","",VLOOKUP($B71,'F-1 Off-Site WaterC'' Baseline'!$C$9:$R$257,9,FALSE))</f>
        <v/>
      </c>
      <c r="K71" s="301" t="str">
        <f>IF(J71="","",VLOOKUP($B71,'F-1 Off-Site WaterC'' Baseline'!$C$9:$R$257,10,FALSE))</f>
        <v/>
      </c>
      <c r="L71" s="289" t="str">
        <f>IF(B71="","",VLOOKUP($B71,'F-1 Off-Site WaterC'' Baseline'!$C$9:$R$257,15,FALSE))</f>
        <v/>
      </c>
      <c r="M71" s="305" t="str">
        <f>IF(L71="","",VLOOKUP($B71,'F-1 Off-Site WaterC'' Baseline'!$C$9:$V$257,19,FALSE))</f>
        <v/>
      </c>
      <c r="N71" s="250"/>
      <c r="O71" s="281" t="str">
        <f t="shared" si="2"/>
        <v/>
      </c>
      <c r="P71" s="282" t="str">
        <f t="shared" si="3"/>
        <v/>
      </c>
      <c r="Q71" s="287" t="str">
        <f>IF(N71="","",VLOOKUP(B71,'F-1 Off-Site WaterC'' Baseline'!$C$10:$AF$257,23,FALSE))</f>
        <v/>
      </c>
      <c r="R71" s="281" t="str">
        <f>IF(N71="","",VLOOKUP(N71,'G-7 WaterC'' Data'!$B$2:$G$8,2,FALSE))</f>
        <v/>
      </c>
      <c r="S71" s="282" t="str">
        <f>IFERROR(VLOOKUP(R71,'G-7 WaterC'' Data'!$C$4:$D$8,2,FALSE),"")</f>
        <v/>
      </c>
      <c r="T71" s="105"/>
      <c r="U71" s="282" t="str">
        <f>IFERROR(INDEX('G-7 WaterC'' Data'!$H$4:$L$8,MATCH(N71,'G-7 WaterC'' Data'!$B$4:$B$8,0),MATCH(T71,'G-7 WaterC'' Data'!$H$3:$L$3,0)),"")</f>
        <v/>
      </c>
      <c r="V71" s="109"/>
      <c r="W71" s="301" t="str">
        <f>IF(V71="","",IF(VLOOKUP(V71,'G-7 WaterC'' Data'!$AK$4:$AM$6,2,FALSE)=0,"Spatial Data Missing ⚠",VLOOKUP(V71,'G-7 WaterC'' Data'!$AK$4:$AM$6,2,FALSE)))</f>
        <v/>
      </c>
      <c r="X71" s="305" t="str">
        <f>IF(V71="","",IF(VLOOKUP(V71,'G-7 WaterC'' Data'!$AK$4:$AM$6,3,FALSE)=0,"Spatial Data Missing ⚠",VLOOKUP(V71,'G-7 WaterC'' Data'!$AK$4:$AM$6,3,FALSE)))</f>
        <v/>
      </c>
      <c r="Y71" s="317" t="str">
        <f>IFERROR(IF(OR(LEFT(P71,5)="Error",LEFT(O71,5)="Error"),"Check Data ⚠",IF(F71&lt;S71,'G-7 WaterC'' Data'!$R$3,INDEX('G-7 WaterC'' Data'!$U$5:$Y$9,MATCH(G71,'G-7 WaterC'' Data'!$T$5:$T$9,0),MATCH(T71,'G-7 WaterC'' Data'!$U$4:$Y$4,0)))),"")</f>
        <v/>
      </c>
      <c r="Z71" s="142"/>
      <c r="AA71" s="142"/>
      <c r="AB71" s="314" t="str">
        <f t="shared" si="4"/>
        <v/>
      </c>
      <c r="AC71" s="302" t="str">
        <f t="shared" si="5"/>
        <v/>
      </c>
      <c r="AD71" s="340" t="str">
        <f>IFERROR(IF(AC71="Check Data ⚠","Check Data ⚠",VLOOKUP(AC71,'G-4 Temporal multipliers'!$A$4:$C$37,3,FALSE)),"")</f>
        <v/>
      </c>
      <c r="AE71" s="317" t="str">
        <f>IF(N71="","",VLOOKUP(N71,'G-7 WaterC'' Data'!$B$4:$G$8,5,FALSE))</f>
        <v/>
      </c>
      <c r="AF71" s="301" t="str">
        <f t="shared" si="0"/>
        <v/>
      </c>
      <c r="AG71" s="301" t="str">
        <f t="shared" si="6"/>
        <v/>
      </c>
      <c r="AH71" s="282" t="str">
        <f t="shared" si="1"/>
        <v/>
      </c>
      <c r="AI71" s="109"/>
      <c r="AJ71" s="282" t="str">
        <f>IF(AI71="","",(IF(AND(AI71="N/A - Culvert",N71&lt;&gt;"Culvert"),"Not possible ▲",IF(VLOOKUP(AI71,'G-7 WaterC'' Data'!$AA$4:$AB$7,2,FALSE)=0,"Spatial Data Missing ⚠",VLOOKUP(AI71,'G-7 WaterC'' Data'!$AA$4:$AB$7,2,FALSE)))))</f>
        <v/>
      </c>
      <c r="AK71" s="110"/>
      <c r="AL71" s="316" t="str">
        <f>IF(AK71="","",IF(AND(AK71="N/A - Culvert",N71&lt;&gt;"Culvert"),"Not possible ▲",IF(VLOOKUP(AK71,'G-7 WaterC'' Data'!$AD$4:$AE$14,2,FALSE)=0,"Spatial Data Missing ⚠",VLOOKUP(AK71,'G-7 WaterC'' Data'!$AD$4:$AE$14,2,FALSE))))</f>
        <v/>
      </c>
      <c r="AM71" s="281" t="str">
        <f>IF(B71="","",VLOOKUP($B71,'F-1 Off-Site WaterC'' Baseline'!$C$9:$Z$257,17,FALSE))</f>
        <v/>
      </c>
      <c r="AN71" s="282" t="str">
        <f>IF(AM71="","",IF(VLOOKUP(AM71,'G-7 WaterC'' Data'!$AO$4:$BO$7,2,FALSE)=0,"Spatial Data Missing ⚠",VLOOKUP(AM71,'G-7 WaterC'' Data'!$AO$4:$BO$7,2,FALSE)))</f>
        <v/>
      </c>
      <c r="AO71" s="323" t="str">
        <f t="shared" si="7"/>
        <v/>
      </c>
      <c r="AP71" s="323" t="str">
        <f t="shared" si="8"/>
        <v/>
      </c>
      <c r="AQ71" s="105"/>
      <c r="AR71" s="119"/>
      <c r="AS71" s="108"/>
      <c r="AT71" s="108"/>
      <c r="AW71" s="30" t="str">
        <f>IF(E71="","",VLOOKUP($B71,'F-1 Off-Site WaterC'' Baseline'!$C$9:$Z$257,12,FALSE))</f>
        <v/>
      </c>
      <c r="AX71" s="30" t="str">
        <f>IF(E71="","",VLOOKUP($B71,'F-1 Off-Site WaterC'' Baseline'!$C$9:$Z$257,14,FALSE))</f>
        <v/>
      </c>
      <c r="AY71" s="30" t="str">
        <f>IFERROR(INDEX('G-7 WaterC'' Data'!$AZ$3:$AZ$7,MATCH(N71,'G-7 WaterC'' Data'!$AY$3:$AY$7,0)),"")</f>
        <v/>
      </c>
      <c r="AZ71" s="30" t="str">
        <f>IF(B71="","",IF(ISNA(VLOOKUP($B71,'F-1 Off-Site WaterC'' Baseline'!$C$8:$AD$257,20,FALSE)),"",(VLOOKUP($B71,'F-1 Off-Site WaterC'' Baseline'!$C$8:$AD$257,20,FALSE))))</f>
        <v/>
      </c>
      <c r="BC71" s="30" t="str">
        <f>IF(B71="","",VLOOKUP($B71,'F-1 Off-Site WaterC'' Baseline'!$C$9:$AB$257,25,FALSE))</f>
        <v/>
      </c>
      <c r="BD71" s="30" t="str">
        <f t="shared" si="9"/>
        <v/>
      </c>
      <c r="BE71" s="30" t="str">
        <f>IF(B71="","",VLOOKUP($B71,'F-1 Off-Site WaterC'' Baseline'!$C$9:$AB$257,24,FALSE))</f>
        <v/>
      </c>
      <c r="BF71" s="30" t="str">
        <f>IF(B71="","",VLOOKUP($B71,'F-1 Off-Site WaterC'' Baseline'!$C$9:$AB$257,22,FALSE))</f>
        <v/>
      </c>
      <c r="BJ71" s="30" t="str">
        <f t="shared" si="10"/>
        <v>No</v>
      </c>
    </row>
    <row r="72" spans="2:62" ht="13.8" x14ac:dyDescent="0.25">
      <c r="B72" s="311" t="str">
        <f>'F-1 Off-Site WaterC'' Baseline'!AS70</f>
        <v/>
      </c>
      <c r="C72" s="301" t="str">
        <f>IF(B72="","",VLOOKUP($B72,'F-1 Off-Site WaterC'' Baseline'!$C$9:$R$257,2,FALSE))</f>
        <v/>
      </c>
      <c r="D72" s="301" t="str">
        <f>IF(C72="","",VLOOKUP($B72,'F-1 Off-Site WaterC'' Baseline'!$C$9:$R$257,3,FALSE))</f>
        <v/>
      </c>
      <c r="E72" s="301" t="str">
        <f>IF(D72="","",VLOOKUP($B72,'F-1 Off-Site WaterC'' Baseline'!$C$9:$R$257,4,FALSE))</f>
        <v/>
      </c>
      <c r="F72" s="301" t="str">
        <f>IF(E72="","",VLOOKUP($B72,'F-1 Off-Site WaterC'' Baseline'!$C$9:$R$257,5,FALSE))</f>
        <v/>
      </c>
      <c r="G72" s="301" t="str">
        <f>IF(F72="","",VLOOKUP($B72,'F-1 Off-Site WaterC'' Baseline'!$C$9:$R$257,6,FALSE))</f>
        <v/>
      </c>
      <c r="H72" s="301" t="str">
        <f>IF(G72="","",VLOOKUP($B72,'F-1 Off-Site WaterC'' Baseline'!$C$9:$R$257,7,FALSE))</f>
        <v/>
      </c>
      <c r="I72" s="301" t="str">
        <f>IF(H72="","",VLOOKUP($B72,'F-1 Off-Site WaterC'' Baseline'!$C$9:$R$257,8,FALSE))</f>
        <v/>
      </c>
      <c r="J72" s="301" t="str">
        <f>IF(I72="","",VLOOKUP($B72,'F-1 Off-Site WaterC'' Baseline'!$C$9:$R$257,9,FALSE))</f>
        <v/>
      </c>
      <c r="K72" s="301" t="str">
        <f>IF(J72="","",VLOOKUP($B72,'F-1 Off-Site WaterC'' Baseline'!$C$9:$R$257,10,FALSE))</f>
        <v/>
      </c>
      <c r="L72" s="289" t="str">
        <f>IF(B72="","",VLOOKUP($B72,'F-1 Off-Site WaterC'' Baseline'!$C$9:$R$257,15,FALSE))</f>
        <v/>
      </c>
      <c r="M72" s="305" t="str">
        <f>IF(L72="","",VLOOKUP($B72,'F-1 Off-Site WaterC'' Baseline'!$C$9:$V$257,19,FALSE))</f>
        <v/>
      </c>
      <c r="N72" s="250"/>
      <c r="O72" s="281" t="str">
        <f t="shared" si="2"/>
        <v/>
      </c>
      <c r="P72" s="282" t="str">
        <f t="shared" si="3"/>
        <v/>
      </c>
      <c r="Q72" s="287" t="str">
        <f>IF(N72="","",VLOOKUP(B72,'F-1 Off-Site WaterC'' Baseline'!$C$10:$AF$257,23,FALSE))</f>
        <v/>
      </c>
      <c r="R72" s="281" t="str">
        <f>IF(N72="","",VLOOKUP(N72,'G-7 WaterC'' Data'!$B$2:$G$8,2,FALSE))</f>
        <v/>
      </c>
      <c r="S72" s="282" t="str">
        <f>IFERROR(VLOOKUP(R72,'G-7 WaterC'' Data'!$C$4:$D$8,2,FALSE),"")</f>
        <v/>
      </c>
      <c r="T72" s="105"/>
      <c r="U72" s="282" t="str">
        <f>IFERROR(INDEX('G-7 WaterC'' Data'!$H$4:$L$8,MATCH(N72,'G-7 WaterC'' Data'!$B$4:$B$8,0),MATCH(T72,'G-7 WaterC'' Data'!$H$3:$L$3,0)),"")</f>
        <v/>
      </c>
      <c r="V72" s="109"/>
      <c r="W72" s="301" t="str">
        <f>IF(V72="","",IF(VLOOKUP(V72,'G-7 WaterC'' Data'!$AK$4:$AM$6,2,FALSE)=0,"Spatial Data Missing ⚠",VLOOKUP(V72,'G-7 WaterC'' Data'!$AK$4:$AM$6,2,FALSE)))</f>
        <v/>
      </c>
      <c r="X72" s="305" t="str">
        <f>IF(V72="","",IF(VLOOKUP(V72,'G-7 WaterC'' Data'!$AK$4:$AM$6,3,FALSE)=0,"Spatial Data Missing ⚠",VLOOKUP(V72,'G-7 WaterC'' Data'!$AK$4:$AM$6,3,FALSE)))</f>
        <v/>
      </c>
      <c r="Y72" s="317" t="str">
        <f>IFERROR(IF(OR(LEFT(P72,5)="Error",LEFT(O72,5)="Error"),"Check Data ⚠",IF(F72&lt;S72,'G-7 WaterC'' Data'!$R$3,INDEX('G-7 WaterC'' Data'!$U$5:$Y$9,MATCH(G72,'G-7 WaterC'' Data'!$T$5:$T$9,0),MATCH(T72,'G-7 WaterC'' Data'!$U$4:$Y$4,0)))),"")</f>
        <v/>
      </c>
      <c r="Z72" s="142"/>
      <c r="AA72" s="142"/>
      <c r="AB72" s="314" t="str">
        <f t="shared" si="4"/>
        <v/>
      </c>
      <c r="AC72" s="302" t="str">
        <f t="shared" si="5"/>
        <v/>
      </c>
      <c r="AD72" s="340" t="str">
        <f>IFERROR(IF(AC72="Check Data ⚠","Check Data ⚠",VLOOKUP(AC72,'G-4 Temporal multipliers'!$A$4:$C$37,3,FALSE)),"")</f>
        <v/>
      </c>
      <c r="AE72" s="317" t="str">
        <f>IF(N72="","",VLOOKUP(N72,'G-7 WaterC'' Data'!$B$4:$G$8,5,FALSE))</f>
        <v/>
      </c>
      <c r="AF72" s="301" t="str">
        <f t="shared" si="0"/>
        <v/>
      </c>
      <c r="AG72" s="301" t="str">
        <f t="shared" si="6"/>
        <v/>
      </c>
      <c r="AH72" s="282" t="str">
        <f t="shared" si="1"/>
        <v/>
      </c>
      <c r="AI72" s="109"/>
      <c r="AJ72" s="282" t="str">
        <f>IF(AI72="","",(IF(AND(AI72="N/A - Culvert",N72&lt;&gt;"Culvert"),"Not possible ▲",IF(VLOOKUP(AI72,'G-7 WaterC'' Data'!$AA$4:$AB$7,2,FALSE)=0,"Spatial Data Missing ⚠",VLOOKUP(AI72,'G-7 WaterC'' Data'!$AA$4:$AB$7,2,FALSE)))))</f>
        <v/>
      </c>
      <c r="AK72" s="110"/>
      <c r="AL72" s="316" t="str">
        <f>IF(AK72="","",IF(AND(AK72="N/A - Culvert",N72&lt;&gt;"Culvert"),"Not possible ▲",IF(VLOOKUP(AK72,'G-7 WaterC'' Data'!$AD$4:$AE$14,2,FALSE)=0,"Spatial Data Missing ⚠",VLOOKUP(AK72,'G-7 WaterC'' Data'!$AD$4:$AE$14,2,FALSE))))</f>
        <v/>
      </c>
      <c r="AM72" s="281" t="str">
        <f>IF(B72="","",VLOOKUP($B72,'F-1 Off-Site WaterC'' Baseline'!$C$9:$Z$257,17,FALSE))</f>
        <v/>
      </c>
      <c r="AN72" s="282" t="str">
        <f>IF(AM72="","",IF(VLOOKUP(AM72,'G-7 WaterC'' Data'!$AO$4:$BO$7,2,FALSE)=0,"Spatial Data Missing ⚠",VLOOKUP(AM72,'G-7 WaterC'' Data'!$AO$4:$BO$7,2,FALSE)))</f>
        <v/>
      </c>
      <c r="AO72" s="323" t="str">
        <f t="shared" si="7"/>
        <v/>
      </c>
      <c r="AP72" s="323" t="str">
        <f t="shared" si="8"/>
        <v/>
      </c>
      <c r="AQ72" s="105"/>
      <c r="AR72" s="119"/>
      <c r="AS72" s="108"/>
      <c r="AT72" s="108"/>
      <c r="AW72" s="30" t="str">
        <f>IF(E72="","",VLOOKUP($B72,'F-1 Off-Site WaterC'' Baseline'!$C$9:$Z$257,12,FALSE))</f>
        <v/>
      </c>
      <c r="AX72" s="30" t="str">
        <f>IF(E72="","",VLOOKUP($B72,'F-1 Off-Site WaterC'' Baseline'!$C$9:$Z$257,14,FALSE))</f>
        <v/>
      </c>
      <c r="AY72" s="30" t="str">
        <f>IFERROR(INDEX('G-7 WaterC'' Data'!$AZ$3:$AZ$7,MATCH(N72,'G-7 WaterC'' Data'!$AY$3:$AY$7,0)),"")</f>
        <v/>
      </c>
      <c r="AZ72" s="30" t="str">
        <f>IF(B72="","",IF(ISNA(VLOOKUP($B72,'F-1 Off-Site WaterC'' Baseline'!$C$8:$AD$257,20,FALSE)),"",(VLOOKUP($B72,'F-1 Off-Site WaterC'' Baseline'!$C$8:$AD$257,20,FALSE))))</f>
        <v/>
      </c>
      <c r="BC72" s="30" t="str">
        <f>IF(B72="","",VLOOKUP($B72,'F-1 Off-Site WaterC'' Baseline'!$C$9:$AB$257,25,FALSE))</f>
        <v/>
      </c>
      <c r="BD72" s="30" t="str">
        <f t="shared" si="9"/>
        <v/>
      </c>
      <c r="BE72" s="30" t="str">
        <f>IF(B72="","",VLOOKUP($B72,'F-1 Off-Site WaterC'' Baseline'!$C$9:$AB$257,24,FALSE))</f>
        <v/>
      </c>
      <c r="BF72" s="30" t="str">
        <f>IF(B72="","",VLOOKUP($B72,'F-1 Off-Site WaterC'' Baseline'!$C$9:$AB$257,22,FALSE))</f>
        <v/>
      </c>
      <c r="BJ72" s="30" t="str">
        <f t="shared" si="10"/>
        <v>No</v>
      </c>
    </row>
    <row r="73" spans="2:62" ht="13.8" x14ac:dyDescent="0.25">
      <c r="B73" s="311" t="str">
        <f>'F-1 Off-Site WaterC'' Baseline'!AS71</f>
        <v/>
      </c>
      <c r="C73" s="301" t="str">
        <f>IF(B73="","",VLOOKUP($B73,'F-1 Off-Site WaterC'' Baseline'!$C$9:$R$257,2,FALSE))</f>
        <v/>
      </c>
      <c r="D73" s="301" t="str">
        <f>IF(C73="","",VLOOKUP($B73,'F-1 Off-Site WaterC'' Baseline'!$C$9:$R$257,3,FALSE))</f>
        <v/>
      </c>
      <c r="E73" s="301" t="str">
        <f>IF(D73="","",VLOOKUP($B73,'F-1 Off-Site WaterC'' Baseline'!$C$9:$R$257,4,FALSE))</f>
        <v/>
      </c>
      <c r="F73" s="301" t="str">
        <f>IF(E73="","",VLOOKUP($B73,'F-1 Off-Site WaterC'' Baseline'!$C$9:$R$257,5,FALSE))</f>
        <v/>
      </c>
      <c r="G73" s="301" t="str">
        <f>IF(F73="","",VLOOKUP($B73,'F-1 Off-Site WaterC'' Baseline'!$C$9:$R$257,6,FALSE))</f>
        <v/>
      </c>
      <c r="H73" s="301" t="str">
        <f>IF(G73="","",VLOOKUP($B73,'F-1 Off-Site WaterC'' Baseline'!$C$9:$R$257,7,FALSE))</f>
        <v/>
      </c>
      <c r="I73" s="301" t="str">
        <f>IF(H73="","",VLOOKUP($B73,'F-1 Off-Site WaterC'' Baseline'!$C$9:$R$257,8,FALSE))</f>
        <v/>
      </c>
      <c r="J73" s="301" t="str">
        <f>IF(I73="","",VLOOKUP($B73,'F-1 Off-Site WaterC'' Baseline'!$C$9:$R$257,9,FALSE))</f>
        <v/>
      </c>
      <c r="K73" s="301" t="str">
        <f>IF(J73="","",VLOOKUP($B73,'F-1 Off-Site WaterC'' Baseline'!$C$9:$R$257,10,FALSE))</f>
        <v/>
      </c>
      <c r="L73" s="289" t="str">
        <f>IF(B73="","",VLOOKUP($B73,'F-1 Off-Site WaterC'' Baseline'!$C$9:$R$257,15,FALSE))</f>
        <v/>
      </c>
      <c r="M73" s="305" t="str">
        <f>IF(L73="","",VLOOKUP($B73,'F-1 Off-Site WaterC'' Baseline'!$C$9:$V$257,19,FALSE))</f>
        <v/>
      </c>
      <c r="N73" s="250"/>
      <c r="O73" s="281" t="str">
        <f t="shared" si="2"/>
        <v/>
      </c>
      <c r="P73" s="282" t="str">
        <f t="shared" si="3"/>
        <v/>
      </c>
      <c r="Q73" s="287" t="str">
        <f>IF(N73="","",VLOOKUP(B73,'F-1 Off-Site WaterC'' Baseline'!$C$10:$AF$257,23,FALSE))</f>
        <v/>
      </c>
      <c r="R73" s="281" t="str">
        <f>IF(N73="","",VLOOKUP(N73,'G-7 WaterC'' Data'!$B$2:$G$8,2,FALSE))</f>
        <v/>
      </c>
      <c r="S73" s="282" t="str">
        <f>IFERROR(VLOOKUP(R73,'G-7 WaterC'' Data'!$C$4:$D$8,2,FALSE),"")</f>
        <v/>
      </c>
      <c r="T73" s="105"/>
      <c r="U73" s="282" t="str">
        <f>IFERROR(INDEX('G-7 WaterC'' Data'!$H$4:$L$8,MATCH(N73,'G-7 WaterC'' Data'!$B$4:$B$8,0),MATCH(T73,'G-7 WaterC'' Data'!$H$3:$L$3,0)),"")</f>
        <v/>
      </c>
      <c r="V73" s="109"/>
      <c r="W73" s="301" t="str">
        <f>IF(V73="","",IF(VLOOKUP(V73,'G-7 WaterC'' Data'!$AK$4:$AM$6,2,FALSE)=0,"Spatial Data Missing ⚠",VLOOKUP(V73,'G-7 WaterC'' Data'!$AK$4:$AM$6,2,FALSE)))</f>
        <v/>
      </c>
      <c r="X73" s="305" t="str">
        <f>IF(V73="","",IF(VLOOKUP(V73,'G-7 WaterC'' Data'!$AK$4:$AM$6,3,FALSE)=0,"Spatial Data Missing ⚠",VLOOKUP(V73,'G-7 WaterC'' Data'!$AK$4:$AM$6,3,FALSE)))</f>
        <v/>
      </c>
      <c r="Y73" s="317" t="str">
        <f>IFERROR(IF(OR(LEFT(P73,5)="Error",LEFT(O73,5)="Error"),"Check Data ⚠",IF(F73&lt;S73,'G-7 WaterC'' Data'!$R$3,INDEX('G-7 WaterC'' Data'!$U$5:$Y$9,MATCH(G73,'G-7 WaterC'' Data'!$T$5:$T$9,0),MATCH(T73,'G-7 WaterC'' Data'!$U$4:$Y$4,0)))),"")</f>
        <v/>
      </c>
      <c r="Z73" s="142"/>
      <c r="AA73" s="142"/>
      <c r="AB73" s="314" t="str">
        <f t="shared" si="4"/>
        <v/>
      </c>
      <c r="AC73" s="302" t="str">
        <f t="shared" si="5"/>
        <v/>
      </c>
      <c r="AD73" s="340" t="str">
        <f>IFERROR(IF(AC73="Check Data ⚠","Check Data ⚠",VLOOKUP(AC73,'G-4 Temporal multipliers'!$A$4:$C$37,3,FALSE)),"")</f>
        <v/>
      </c>
      <c r="AE73" s="317" t="str">
        <f>IF(N73="","",VLOOKUP(N73,'G-7 WaterC'' Data'!$B$4:$G$8,5,FALSE))</f>
        <v/>
      </c>
      <c r="AF73" s="301" t="str">
        <f t="shared" si="0"/>
        <v/>
      </c>
      <c r="AG73" s="301" t="str">
        <f t="shared" si="6"/>
        <v/>
      </c>
      <c r="AH73" s="282" t="str">
        <f t="shared" si="1"/>
        <v/>
      </c>
      <c r="AI73" s="109"/>
      <c r="AJ73" s="282" t="str">
        <f>IF(AI73="","",(IF(AND(AI73="N/A - Culvert",N73&lt;&gt;"Culvert"),"Not possible ▲",IF(VLOOKUP(AI73,'G-7 WaterC'' Data'!$AA$4:$AB$7,2,FALSE)=0,"Spatial Data Missing ⚠",VLOOKUP(AI73,'G-7 WaterC'' Data'!$AA$4:$AB$7,2,FALSE)))))</f>
        <v/>
      </c>
      <c r="AK73" s="110"/>
      <c r="AL73" s="316" t="str">
        <f>IF(AK73="","",IF(AND(AK73="N/A - Culvert",N73&lt;&gt;"Culvert"),"Not possible ▲",IF(VLOOKUP(AK73,'G-7 WaterC'' Data'!$AD$4:$AE$14,2,FALSE)=0,"Spatial Data Missing ⚠",VLOOKUP(AK73,'G-7 WaterC'' Data'!$AD$4:$AE$14,2,FALSE))))</f>
        <v/>
      </c>
      <c r="AM73" s="281" t="str">
        <f>IF(B73="","",VLOOKUP($B73,'F-1 Off-Site WaterC'' Baseline'!$C$9:$Z$257,17,FALSE))</f>
        <v/>
      </c>
      <c r="AN73" s="282" t="str">
        <f>IF(AM73="","",IF(VLOOKUP(AM73,'G-7 WaterC'' Data'!$AO$4:$BO$7,2,FALSE)=0,"Spatial Data Missing ⚠",VLOOKUP(AM73,'G-7 WaterC'' Data'!$AO$4:$BO$7,2,FALSE)))</f>
        <v/>
      </c>
      <c r="AO73" s="323" t="str">
        <f t="shared" si="7"/>
        <v/>
      </c>
      <c r="AP73" s="323" t="str">
        <f t="shared" si="8"/>
        <v/>
      </c>
      <c r="AQ73" s="105"/>
      <c r="AR73" s="119"/>
      <c r="AS73" s="108"/>
      <c r="AT73" s="108"/>
      <c r="AW73" s="30" t="str">
        <f>IF(E73="","",VLOOKUP($B73,'F-1 Off-Site WaterC'' Baseline'!$C$9:$Z$257,12,FALSE))</f>
        <v/>
      </c>
      <c r="AX73" s="30" t="str">
        <f>IF(E73="","",VLOOKUP($B73,'F-1 Off-Site WaterC'' Baseline'!$C$9:$Z$257,14,FALSE))</f>
        <v/>
      </c>
      <c r="AY73" s="30" t="str">
        <f>IFERROR(INDEX('G-7 WaterC'' Data'!$AZ$3:$AZ$7,MATCH(N73,'G-7 WaterC'' Data'!$AY$3:$AY$7,0)),"")</f>
        <v/>
      </c>
      <c r="AZ73" s="30" t="str">
        <f>IF(B73="","",IF(ISNA(VLOOKUP($B73,'F-1 Off-Site WaterC'' Baseline'!$C$8:$AD$257,20,FALSE)),"",(VLOOKUP($B73,'F-1 Off-Site WaterC'' Baseline'!$C$8:$AD$257,20,FALSE))))</f>
        <v/>
      </c>
      <c r="BC73" s="30" t="str">
        <f>IF(B73="","",VLOOKUP($B73,'F-1 Off-Site WaterC'' Baseline'!$C$9:$AB$257,25,FALSE))</f>
        <v/>
      </c>
      <c r="BD73" s="30" t="str">
        <f t="shared" si="9"/>
        <v/>
      </c>
      <c r="BE73" s="30" t="str">
        <f>IF(B73="","",VLOOKUP($B73,'F-1 Off-Site WaterC'' Baseline'!$C$9:$AB$257,24,FALSE))</f>
        <v/>
      </c>
      <c r="BF73" s="30" t="str">
        <f>IF(B73="","",VLOOKUP($B73,'F-1 Off-Site WaterC'' Baseline'!$C$9:$AB$257,22,FALSE))</f>
        <v/>
      </c>
      <c r="BJ73" s="30" t="str">
        <f t="shared" si="10"/>
        <v>No</v>
      </c>
    </row>
    <row r="74" spans="2:62" ht="13.8" x14ac:dyDescent="0.25">
      <c r="B74" s="311" t="str">
        <f>'F-1 Off-Site WaterC'' Baseline'!AS72</f>
        <v/>
      </c>
      <c r="C74" s="301" t="str">
        <f>IF(B74="","",VLOOKUP($B74,'F-1 Off-Site WaterC'' Baseline'!$C$9:$R$257,2,FALSE))</f>
        <v/>
      </c>
      <c r="D74" s="301" t="str">
        <f>IF(C74="","",VLOOKUP($B74,'F-1 Off-Site WaterC'' Baseline'!$C$9:$R$257,3,FALSE))</f>
        <v/>
      </c>
      <c r="E74" s="301" t="str">
        <f>IF(D74="","",VLOOKUP($B74,'F-1 Off-Site WaterC'' Baseline'!$C$9:$R$257,4,FALSE))</f>
        <v/>
      </c>
      <c r="F74" s="301" t="str">
        <f>IF(E74="","",VLOOKUP($B74,'F-1 Off-Site WaterC'' Baseline'!$C$9:$R$257,5,FALSE))</f>
        <v/>
      </c>
      <c r="G74" s="301" t="str">
        <f>IF(F74="","",VLOOKUP($B74,'F-1 Off-Site WaterC'' Baseline'!$C$9:$R$257,6,FALSE))</f>
        <v/>
      </c>
      <c r="H74" s="301" t="str">
        <f>IF(G74="","",VLOOKUP($B74,'F-1 Off-Site WaterC'' Baseline'!$C$9:$R$257,7,FALSE))</f>
        <v/>
      </c>
      <c r="I74" s="301" t="str">
        <f>IF(H74="","",VLOOKUP($B74,'F-1 Off-Site WaterC'' Baseline'!$C$9:$R$257,8,FALSE))</f>
        <v/>
      </c>
      <c r="J74" s="301" t="str">
        <f>IF(I74="","",VLOOKUP($B74,'F-1 Off-Site WaterC'' Baseline'!$C$9:$R$257,9,FALSE))</f>
        <v/>
      </c>
      <c r="K74" s="301" t="str">
        <f>IF(J74="","",VLOOKUP($B74,'F-1 Off-Site WaterC'' Baseline'!$C$9:$R$257,10,FALSE))</f>
        <v/>
      </c>
      <c r="L74" s="289" t="str">
        <f>IF(B74="","",VLOOKUP($B74,'F-1 Off-Site WaterC'' Baseline'!$C$9:$R$257,15,FALSE))</f>
        <v/>
      </c>
      <c r="M74" s="305" t="str">
        <f>IF(L74="","",VLOOKUP($B74,'F-1 Off-Site WaterC'' Baseline'!$C$9:$V$257,19,FALSE))</f>
        <v/>
      </c>
      <c r="N74" s="250"/>
      <c r="O74" s="281" t="str">
        <f t="shared" si="2"/>
        <v/>
      </c>
      <c r="P74" s="282" t="str">
        <f t="shared" si="3"/>
        <v/>
      </c>
      <c r="Q74" s="287" t="str">
        <f>IF(N74="","",VLOOKUP(B74,'F-1 Off-Site WaterC'' Baseline'!$C$10:$AF$257,23,FALSE))</f>
        <v/>
      </c>
      <c r="R74" s="281" t="str">
        <f>IF(N74="","",VLOOKUP(N74,'G-7 WaterC'' Data'!$B$2:$G$8,2,FALSE))</f>
        <v/>
      </c>
      <c r="S74" s="282" t="str">
        <f>IFERROR(VLOOKUP(R74,'G-7 WaterC'' Data'!$C$4:$D$8,2,FALSE),"")</f>
        <v/>
      </c>
      <c r="T74" s="105"/>
      <c r="U74" s="282" t="str">
        <f>IFERROR(INDEX('G-7 WaterC'' Data'!$H$4:$L$8,MATCH(N74,'G-7 WaterC'' Data'!$B$4:$B$8,0),MATCH(T74,'G-7 WaterC'' Data'!$H$3:$L$3,0)),"")</f>
        <v/>
      </c>
      <c r="V74" s="109"/>
      <c r="W74" s="301" t="str">
        <f>IF(V74="","",IF(VLOOKUP(V74,'G-7 WaterC'' Data'!$AK$4:$AM$6,2,FALSE)=0,"Spatial Data Missing ⚠",VLOOKUP(V74,'G-7 WaterC'' Data'!$AK$4:$AM$6,2,FALSE)))</f>
        <v/>
      </c>
      <c r="X74" s="305" t="str">
        <f>IF(V74="","",IF(VLOOKUP(V74,'G-7 WaterC'' Data'!$AK$4:$AM$6,3,FALSE)=0,"Spatial Data Missing ⚠",VLOOKUP(V74,'G-7 WaterC'' Data'!$AK$4:$AM$6,3,FALSE)))</f>
        <v/>
      </c>
      <c r="Y74" s="317" t="str">
        <f>IFERROR(IF(OR(LEFT(P74,5)="Error",LEFT(O74,5)="Error"),"Check Data ⚠",IF(F74&lt;S74,'G-7 WaterC'' Data'!$R$3,INDEX('G-7 WaterC'' Data'!$U$5:$Y$9,MATCH(G74,'G-7 WaterC'' Data'!$T$5:$T$9,0),MATCH(T74,'G-7 WaterC'' Data'!$U$4:$Y$4,0)))),"")</f>
        <v/>
      </c>
      <c r="Z74" s="142"/>
      <c r="AA74" s="142"/>
      <c r="AB74" s="314" t="str">
        <f t="shared" si="4"/>
        <v/>
      </c>
      <c r="AC74" s="302" t="str">
        <f t="shared" si="5"/>
        <v/>
      </c>
      <c r="AD74" s="340" t="str">
        <f>IFERROR(IF(AC74="Check Data ⚠","Check Data ⚠",VLOOKUP(AC74,'G-4 Temporal multipliers'!$A$4:$C$37,3,FALSE)),"")</f>
        <v/>
      </c>
      <c r="AE74" s="317" t="str">
        <f>IF(N74="","",VLOOKUP(N74,'G-7 WaterC'' Data'!$B$4:$G$8,5,FALSE))</f>
        <v/>
      </c>
      <c r="AF74" s="301" t="str">
        <f t="shared" si="0"/>
        <v/>
      </c>
      <c r="AG74" s="301" t="str">
        <f t="shared" si="6"/>
        <v/>
      </c>
      <c r="AH74" s="282" t="str">
        <f t="shared" si="1"/>
        <v/>
      </c>
      <c r="AI74" s="109"/>
      <c r="AJ74" s="282" t="str">
        <f>IF(AI74="","",(IF(AND(AI74="N/A - Culvert",N74&lt;&gt;"Culvert"),"Not possible ▲",IF(VLOOKUP(AI74,'G-7 WaterC'' Data'!$AA$4:$AB$7,2,FALSE)=0,"Spatial Data Missing ⚠",VLOOKUP(AI74,'G-7 WaterC'' Data'!$AA$4:$AB$7,2,FALSE)))))</f>
        <v/>
      </c>
      <c r="AK74" s="110"/>
      <c r="AL74" s="316" t="str">
        <f>IF(AK74="","",IF(AND(AK74="N/A - Culvert",N74&lt;&gt;"Culvert"),"Not possible ▲",IF(VLOOKUP(AK74,'G-7 WaterC'' Data'!$AD$4:$AE$14,2,FALSE)=0,"Spatial Data Missing ⚠",VLOOKUP(AK74,'G-7 WaterC'' Data'!$AD$4:$AE$14,2,FALSE))))</f>
        <v/>
      </c>
      <c r="AM74" s="281" t="str">
        <f>IF(B74="","",VLOOKUP($B74,'F-1 Off-Site WaterC'' Baseline'!$C$9:$Z$257,17,FALSE))</f>
        <v/>
      </c>
      <c r="AN74" s="282" t="str">
        <f>IF(AM74="","",IF(VLOOKUP(AM74,'G-7 WaterC'' Data'!$AO$4:$BO$7,2,FALSE)=0,"Spatial Data Missing ⚠",VLOOKUP(AM74,'G-7 WaterC'' Data'!$AO$4:$BO$7,2,FALSE)))</f>
        <v/>
      </c>
      <c r="AO74" s="323" t="str">
        <f t="shared" si="7"/>
        <v/>
      </c>
      <c r="AP74" s="323" t="str">
        <f t="shared" si="8"/>
        <v/>
      </c>
      <c r="AQ74" s="105"/>
      <c r="AR74" s="119"/>
      <c r="AS74" s="108"/>
      <c r="AT74" s="108"/>
      <c r="AW74" s="30" t="str">
        <f>IF(E74="","",VLOOKUP($B74,'F-1 Off-Site WaterC'' Baseline'!$C$9:$Z$257,12,FALSE))</f>
        <v/>
      </c>
      <c r="AX74" s="30" t="str">
        <f>IF(E74="","",VLOOKUP($B74,'F-1 Off-Site WaterC'' Baseline'!$C$9:$Z$257,14,FALSE))</f>
        <v/>
      </c>
      <c r="AY74" s="30" t="str">
        <f>IFERROR(INDEX('G-7 WaterC'' Data'!$AZ$3:$AZ$7,MATCH(N74,'G-7 WaterC'' Data'!$AY$3:$AY$7,0)),"")</f>
        <v/>
      </c>
      <c r="AZ74" s="30" t="str">
        <f>IF(B74="","",IF(ISNA(VLOOKUP($B74,'F-1 Off-Site WaterC'' Baseline'!$C$8:$AD$257,20,FALSE)),"",(VLOOKUP($B74,'F-1 Off-Site WaterC'' Baseline'!$C$8:$AD$257,20,FALSE))))</f>
        <v/>
      </c>
      <c r="BC74" s="30" t="str">
        <f>IF(B74="","",VLOOKUP($B74,'F-1 Off-Site WaterC'' Baseline'!$C$9:$AB$257,25,FALSE))</f>
        <v/>
      </c>
      <c r="BD74" s="30" t="str">
        <f t="shared" si="9"/>
        <v/>
      </c>
      <c r="BE74" s="30" t="str">
        <f>IF(B74="","",VLOOKUP($B74,'F-1 Off-Site WaterC'' Baseline'!$C$9:$AB$257,24,FALSE))</f>
        <v/>
      </c>
      <c r="BF74" s="30" t="str">
        <f>IF(B74="","",VLOOKUP($B74,'F-1 Off-Site WaterC'' Baseline'!$C$9:$AB$257,22,FALSE))</f>
        <v/>
      </c>
      <c r="BJ74" s="30" t="str">
        <f t="shared" si="10"/>
        <v>No</v>
      </c>
    </row>
    <row r="75" spans="2:62" ht="13.8" x14ac:dyDescent="0.25">
      <c r="B75" s="311" t="str">
        <f>'F-1 Off-Site WaterC'' Baseline'!AS73</f>
        <v/>
      </c>
      <c r="C75" s="301" t="str">
        <f>IF(B75="","",VLOOKUP($B75,'F-1 Off-Site WaterC'' Baseline'!$C$9:$R$257,2,FALSE))</f>
        <v/>
      </c>
      <c r="D75" s="301" t="str">
        <f>IF(C75="","",VLOOKUP($B75,'F-1 Off-Site WaterC'' Baseline'!$C$9:$R$257,3,FALSE))</f>
        <v/>
      </c>
      <c r="E75" s="301" t="str">
        <f>IF(D75="","",VLOOKUP($B75,'F-1 Off-Site WaterC'' Baseline'!$C$9:$R$257,4,FALSE))</f>
        <v/>
      </c>
      <c r="F75" s="301" t="str">
        <f>IF(E75="","",VLOOKUP($B75,'F-1 Off-Site WaterC'' Baseline'!$C$9:$R$257,5,FALSE))</f>
        <v/>
      </c>
      <c r="G75" s="301" t="str">
        <f>IF(F75="","",VLOOKUP($B75,'F-1 Off-Site WaterC'' Baseline'!$C$9:$R$257,6,FALSE))</f>
        <v/>
      </c>
      <c r="H75" s="301" t="str">
        <f>IF(G75="","",VLOOKUP($B75,'F-1 Off-Site WaterC'' Baseline'!$C$9:$R$257,7,FALSE))</f>
        <v/>
      </c>
      <c r="I75" s="301" t="str">
        <f>IF(H75="","",VLOOKUP($B75,'F-1 Off-Site WaterC'' Baseline'!$C$9:$R$257,8,FALSE))</f>
        <v/>
      </c>
      <c r="J75" s="301" t="str">
        <f>IF(I75="","",VLOOKUP($B75,'F-1 Off-Site WaterC'' Baseline'!$C$9:$R$257,9,FALSE))</f>
        <v/>
      </c>
      <c r="K75" s="301" t="str">
        <f>IF(J75="","",VLOOKUP($B75,'F-1 Off-Site WaterC'' Baseline'!$C$9:$R$257,10,FALSE))</f>
        <v/>
      </c>
      <c r="L75" s="289" t="str">
        <f>IF(B75="","",VLOOKUP($B75,'F-1 Off-Site WaterC'' Baseline'!$C$9:$R$257,15,FALSE))</f>
        <v/>
      </c>
      <c r="M75" s="305" t="str">
        <f>IF(L75="","",VLOOKUP($B75,'F-1 Off-Site WaterC'' Baseline'!$C$9:$V$257,19,FALSE))</f>
        <v/>
      </c>
      <c r="N75" s="250"/>
      <c r="O75" s="281" t="str">
        <f t="shared" si="2"/>
        <v/>
      </c>
      <c r="P75" s="282" t="str">
        <f t="shared" si="3"/>
        <v/>
      </c>
      <c r="Q75" s="287" t="str">
        <f>IF(N75="","",VLOOKUP(B75,'F-1 Off-Site WaterC'' Baseline'!$C$10:$AF$257,23,FALSE))</f>
        <v/>
      </c>
      <c r="R75" s="281" t="str">
        <f>IF(N75="","",VLOOKUP(N75,'G-7 WaterC'' Data'!$B$2:$G$8,2,FALSE))</f>
        <v/>
      </c>
      <c r="S75" s="282" t="str">
        <f>IFERROR(VLOOKUP(R75,'G-7 WaterC'' Data'!$C$4:$D$8,2,FALSE),"")</f>
        <v/>
      </c>
      <c r="T75" s="105"/>
      <c r="U75" s="282" t="str">
        <f>IFERROR(INDEX('G-7 WaterC'' Data'!$H$4:$L$8,MATCH(N75,'G-7 WaterC'' Data'!$B$4:$B$8,0),MATCH(T75,'G-7 WaterC'' Data'!$H$3:$L$3,0)),"")</f>
        <v/>
      </c>
      <c r="V75" s="109"/>
      <c r="W75" s="301" t="str">
        <f>IF(V75="","",IF(VLOOKUP(V75,'G-7 WaterC'' Data'!$AK$4:$AM$6,2,FALSE)=0,"Spatial Data Missing ⚠",VLOOKUP(V75,'G-7 WaterC'' Data'!$AK$4:$AM$6,2,FALSE)))</f>
        <v/>
      </c>
      <c r="X75" s="305" t="str">
        <f>IF(V75="","",IF(VLOOKUP(V75,'G-7 WaterC'' Data'!$AK$4:$AM$6,3,FALSE)=0,"Spatial Data Missing ⚠",VLOOKUP(V75,'G-7 WaterC'' Data'!$AK$4:$AM$6,3,FALSE)))</f>
        <v/>
      </c>
      <c r="Y75" s="317" t="str">
        <f>IFERROR(IF(OR(LEFT(P75,5)="Error",LEFT(O75,5)="Error"),"Check Data ⚠",IF(F75&lt;S75,'G-7 WaterC'' Data'!$R$3,INDEX('G-7 WaterC'' Data'!$U$5:$Y$9,MATCH(G75,'G-7 WaterC'' Data'!$T$5:$T$9,0),MATCH(T75,'G-7 WaterC'' Data'!$U$4:$Y$4,0)))),"")</f>
        <v/>
      </c>
      <c r="Z75" s="142"/>
      <c r="AA75" s="142"/>
      <c r="AB75" s="314" t="str">
        <f t="shared" si="4"/>
        <v/>
      </c>
      <c r="AC75" s="302" t="str">
        <f t="shared" si="5"/>
        <v/>
      </c>
      <c r="AD75" s="340" t="str">
        <f>IFERROR(IF(AC75="Check Data ⚠","Check Data ⚠",VLOOKUP(AC75,'G-4 Temporal multipliers'!$A$4:$C$37,3,FALSE)),"")</f>
        <v/>
      </c>
      <c r="AE75" s="317" t="str">
        <f>IF(N75="","",VLOOKUP(N75,'G-7 WaterC'' Data'!$B$4:$G$8,5,FALSE))</f>
        <v/>
      </c>
      <c r="AF75" s="301" t="str">
        <f t="shared" si="0"/>
        <v/>
      </c>
      <c r="AG75" s="301" t="str">
        <f t="shared" si="6"/>
        <v/>
      </c>
      <c r="AH75" s="282" t="str">
        <f t="shared" si="1"/>
        <v/>
      </c>
      <c r="AI75" s="109"/>
      <c r="AJ75" s="282" t="str">
        <f>IF(AI75="","",(IF(AND(AI75="N/A - Culvert",N75&lt;&gt;"Culvert"),"Not possible ▲",IF(VLOOKUP(AI75,'G-7 WaterC'' Data'!$AA$4:$AB$7,2,FALSE)=0,"Spatial Data Missing ⚠",VLOOKUP(AI75,'G-7 WaterC'' Data'!$AA$4:$AB$7,2,FALSE)))))</f>
        <v/>
      </c>
      <c r="AK75" s="110"/>
      <c r="AL75" s="316" t="str">
        <f>IF(AK75="","",IF(AND(AK75="N/A - Culvert",N75&lt;&gt;"Culvert"),"Not possible ▲",IF(VLOOKUP(AK75,'G-7 WaterC'' Data'!$AD$4:$AE$14,2,FALSE)=0,"Spatial Data Missing ⚠",VLOOKUP(AK75,'G-7 WaterC'' Data'!$AD$4:$AE$14,2,FALSE))))</f>
        <v/>
      </c>
      <c r="AM75" s="281" t="str">
        <f>IF(B75="","",VLOOKUP($B75,'F-1 Off-Site WaterC'' Baseline'!$C$9:$Z$257,17,FALSE))</f>
        <v/>
      </c>
      <c r="AN75" s="282" t="str">
        <f>IF(AM75="","",IF(VLOOKUP(AM75,'G-7 WaterC'' Data'!$AO$4:$BO$7,2,FALSE)=0,"Spatial Data Missing ⚠",VLOOKUP(AM75,'G-7 WaterC'' Data'!$AO$4:$BO$7,2,FALSE)))</f>
        <v/>
      </c>
      <c r="AO75" s="323" t="str">
        <f t="shared" si="7"/>
        <v/>
      </c>
      <c r="AP75" s="323" t="str">
        <f t="shared" si="8"/>
        <v/>
      </c>
      <c r="AQ75" s="105"/>
      <c r="AR75" s="119"/>
      <c r="AS75" s="108"/>
      <c r="AT75" s="108"/>
      <c r="AW75" s="30" t="str">
        <f>IF(E75="","",VLOOKUP($B75,'F-1 Off-Site WaterC'' Baseline'!$C$9:$Z$257,12,FALSE))</f>
        <v/>
      </c>
      <c r="AX75" s="30" t="str">
        <f>IF(E75="","",VLOOKUP($B75,'F-1 Off-Site WaterC'' Baseline'!$C$9:$Z$257,14,FALSE))</f>
        <v/>
      </c>
      <c r="AY75" s="30" t="str">
        <f>IFERROR(INDEX('G-7 WaterC'' Data'!$AZ$3:$AZ$7,MATCH(N75,'G-7 WaterC'' Data'!$AY$3:$AY$7,0)),"")</f>
        <v/>
      </c>
      <c r="AZ75" s="30" t="str">
        <f>IF(B75="","",IF(ISNA(VLOOKUP($B75,'F-1 Off-Site WaterC'' Baseline'!$C$8:$AD$257,20,FALSE)),"",(VLOOKUP($B75,'F-1 Off-Site WaterC'' Baseline'!$C$8:$AD$257,20,FALSE))))</f>
        <v/>
      </c>
      <c r="BC75" s="30" t="str">
        <f>IF(B75="","",VLOOKUP($B75,'F-1 Off-Site WaterC'' Baseline'!$C$9:$AB$257,25,FALSE))</f>
        <v/>
      </c>
      <c r="BD75" s="30" t="str">
        <f t="shared" si="9"/>
        <v/>
      </c>
      <c r="BE75" s="30" t="str">
        <f>IF(B75="","",VLOOKUP($B75,'F-1 Off-Site WaterC'' Baseline'!$C$9:$AB$257,24,FALSE))</f>
        <v/>
      </c>
      <c r="BF75" s="30" t="str">
        <f>IF(B75="","",VLOOKUP($B75,'F-1 Off-Site WaterC'' Baseline'!$C$9:$AB$257,22,FALSE))</f>
        <v/>
      </c>
      <c r="BJ75" s="30" t="str">
        <f t="shared" si="10"/>
        <v>No</v>
      </c>
    </row>
    <row r="76" spans="2:62" ht="13.8" x14ac:dyDescent="0.25">
      <c r="B76" s="311" t="str">
        <f>'F-1 Off-Site WaterC'' Baseline'!AS74</f>
        <v/>
      </c>
      <c r="C76" s="301" t="str">
        <f>IF(B76="","",VLOOKUP($B76,'F-1 Off-Site WaterC'' Baseline'!$C$9:$R$257,2,FALSE))</f>
        <v/>
      </c>
      <c r="D76" s="301" t="str">
        <f>IF(C76="","",VLOOKUP($B76,'F-1 Off-Site WaterC'' Baseline'!$C$9:$R$257,3,FALSE))</f>
        <v/>
      </c>
      <c r="E76" s="301" t="str">
        <f>IF(D76="","",VLOOKUP($B76,'F-1 Off-Site WaterC'' Baseline'!$C$9:$R$257,4,FALSE))</f>
        <v/>
      </c>
      <c r="F76" s="301" t="str">
        <f>IF(E76="","",VLOOKUP($B76,'F-1 Off-Site WaterC'' Baseline'!$C$9:$R$257,5,FALSE))</f>
        <v/>
      </c>
      <c r="G76" s="301" t="str">
        <f>IF(F76="","",VLOOKUP($B76,'F-1 Off-Site WaterC'' Baseline'!$C$9:$R$257,6,FALSE))</f>
        <v/>
      </c>
      <c r="H76" s="301" t="str">
        <f>IF(G76="","",VLOOKUP($B76,'F-1 Off-Site WaterC'' Baseline'!$C$9:$R$257,7,FALSE))</f>
        <v/>
      </c>
      <c r="I76" s="301" t="str">
        <f>IF(H76="","",VLOOKUP($B76,'F-1 Off-Site WaterC'' Baseline'!$C$9:$R$257,8,FALSE))</f>
        <v/>
      </c>
      <c r="J76" s="301" t="str">
        <f>IF(I76="","",VLOOKUP($B76,'F-1 Off-Site WaterC'' Baseline'!$C$9:$R$257,9,FALSE))</f>
        <v/>
      </c>
      <c r="K76" s="301" t="str">
        <f>IF(J76="","",VLOOKUP($B76,'F-1 Off-Site WaterC'' Baseline'!$C$9:$R$257,10,FALSE))</f>
        <v/>
      </c>
      <c r="L76" s="289" t="str">
        <f>IF(B76="","",VLOOKUP($B76,'F-1 Off-Site WaterC'' Baseline'!$C$9:$R$257,15,FALSE))</f>
        <v/>
      </c>
      <c r="M76" s="305" t="str">
        <f>IF(L76="","",VLOOKUP($B76,'F-1 Off-Site WaterC'' Baseline'!$C$9:$V$257,19,FALSE))</f>
        <v/>
      </c>
      <c r="N76" s="250"/>
      <c r="O76" s="281" t="str">
        <f t="shared" si="2"/>
        <v/>
      </c>
      <c r="P76" s="282" t="str">
        <f t="shared" si="3"/>
        <v/>
      </c>
      <c r="Q76" s="287" t="str">
        <f>IF(N76="","",VLOOKUP(B76,'F-1 Off-Site WaterC'' Baseline'!$C$10:$AF$257,23,FALSE))</f>
        <v/>
      </c>
      <c r="R76" s="281" t="str">
        <f>IF(N76="","",VLOOKUP(N76,'G-7 WaterC'' Data'!$B$2:$G$8,2,FALSE))</f>
        <v/>
      </c>
      <c r="S76" s="282" t="str">
        <f>IFERROR(VLOOKUP(R76,'G-7 WaterC'' Data'!$C$4:$D$8,2,FALSE),"")</f>
        <v/>
      </c>
      <c r="T76" s="105"/>
      <c r="U76" s="282" t="str">
        <f>IFERROR(INDEX('G-7 WaterC'' Data'!$H$4:$L$8,MATCH(N76,'G-7 WaterC'' Data'!$B$4:$B$8,0),MATCH(T76,'G-7 WaterC'' Data'!$H$3:$L$3,0)),"")</f>
        <v/>
      </c>
      <c r="V76" s="109"/>
      <c r="W76" s="301" t="str">
        <f>IF(V76="","",IF(VLOOKUP(V76,'G-7 WaterC'' Data'!$AK$4:$AM$6,2,FALSE)=0,"Spatial Data Missing ⚠",VLOOKUP(V76,'G-7 WaterC'' Data'!$AK$4:$AM$6,2,FALSE)))</f>
        <v/>
      </c>
      <c r="X76" s="305" t="str">
        <f>IF(V76="","",IF(VLOOKUP(V76,'G-7 WaterC'' Data'!$AK$4:$AM$6,3,FALSE)=0,"Spatial Data Missing ⚠",VLOOKUP(V76,'G-7 WaterC'' Data'!$AK$4:$AM$6,3,FALSE)))</f>
        <v/>
      </c>
      <c r="Y76" s="317" t="str">
        <f>IFERROR(IF(OR(LEFT(P76,5)="Error",LEFT(O76,5)="Error"),"Check Data ⚠",IF(F76&lt;S76,'G-7 WaterC'' Data'!$R$3,INDEX('G-7 WaterC'' Data'!$U$5:$Y$9,MATCH(G76,'G-7 WaterC'' Data'!$T$5:$T$9,0),MATCH(T76,'G-7 WaterC'' Data'!$U$4:$Y$4,0)))),"")</f>
        <v/>
      </c>
      <c r="Z76" s="142"/>
      <c r="AA76" s="142"/>
      <c r="AB76" s="314" t="str">
        <f t="shared" ref="AB76:AB139" si="11">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02" t="str">
        <f t="shared" si="5"/>
        <v/>
      </c>
      <c r="AD76" s="340" t="str">
        <f>IFERROR(IF(AC76="Check Data ⚠","Check Data ⚠",VLOOKUP(AC76,'G-4 Temporal multipliers'!$A$4:$C$37,3,FALSE)),"")</f>
        <v/>
      </c>
      <c r="AE76" s="317" t="str">
        <f>IF(N76="","",VLOOKUP(N76,'G-7 WaterC'' Data'!$B$4:$G$8,5,FALSE))</f>
        <v/>
      </c>
      <c r="AF76" s="301" t="str">
        <f t="shared" ref="AF76:AF139" si="12">IF(N76="","",IF(AC76="Check Data ⚠","Check Data ⚠",IF(T76="","",IF($AB76="Check details - Is there evidence that habitat has reached target condition? ⚠","Low Difficulty - only applicable if all habitat created before losses ⚠","Standard difficulty applied"))))</f>
        <v/>
      </c>
      <c r="AG76" s="301" t="str">
        <f t="shared" si="6"/>
        <v/>
      </c>
      <c r="AH76" s="282" t="str">
        <f t="shared" ref="AH76:AH139" si="13">IF(N76="","",VLOOKUP(AG76,Difficulty,2,FALSE))</f>
        <v/>
      </c>
      <c r="AI76" s="109"/>
      <c r="AJ76" s="282" t="str">
        <f>IF(AI76="","",(IF(AND(AI76="N/A - Culvert",N76&lt;&gt;"Culvert"),"Not possible ▲",IF(VLOOKUP(AI76,'G-7 WaterC'' Data'!$AA$4:$AB$7,2,FALSE)=0,"Spatial Data Missing ⚠",VLOOKUP(AI76,'G-7 WaterC'' Data'!$AA$4:$AB$7,2,FALSE)))))</f>
        <v/>
      </c>
      <c r="AK76" s="110"/>
      <c r="AL76" s="316" t="str">
        <f>IF(AK76="","",IF(AND(AK76="N/A - Culvert",N76&lt;&gt;"Culvert"),"Not possible ▲",IF(VLOOKUP(AK76,'G-7 WaterC'' Data'!$AD$4:$AE$14,2,FALSE)=0,"Spatial Data Missing ⚠",VLOOKUP(AK76,'G-7 WaterC'' Data'!$AD$4:$AE$14,2,FALSE))))</f>
        <v/>
      </c>
      <c r="AM76" s="281" t="str">
        <f>IF(B76="","",VLOOKUP($B76,'F-1 Off-Site WaterC'' Baseline'!$C$9:$Z$257,17,FALSE))</f>
        <v/>
      </c>
      <c r="AN76" s="282" t="str">
        <f>IF(AM76="","",IF(VLOOKUP(AM76,'G-7 WaterC'' Data'!$AO$4:$BO$7,2,FALSE)=0,"Spatial Data Missing ⚠",VLOOKUP(AM76,'G-7 WaterC'' Data'!$AO$4:$BO$7,2,FALSE)))</f>
        <v/>
      </c>
      <c r="AO76" s="323" t="str">
        <f t="shared" si="7"/>
        <v/>
      </c>
      <c r="AP76" s="323" t="str">
        <f t="shared" si="8"/>
        <v/>
      </c>
      <c r="AQ76" s="105"/>
      <c r="AR76" s="119"/>
      <c r="AS76" s="108"/>
      <c r="AT76" s="108"/>
      <c r="AW76" s="30" t="str">
        <f>IF(E76="","",VLOOKUP($B76,'F-1 Off-Site WaterC'' Baseline'!$C$9:$Z$257,12,FALSE))</f>
        <v/>
      </c>
      <c r="AX76" s="30" t="str">
        <f>IF(E76="","",VLOOKUP($B76,'F-1 Off-Site WaterC'' Baseline'!$C$9:$Z$257,14,FALSE))</f>
        <v/>
      </c>
      <c r="AY76" s="30" t="str">
        <f>IFERROR(INDEX('G-7 WaterC'' Data'!$AZ$3:$AZ$7,MATCH(N76,'G-7 WaterC'' Data'!$AY$3:$AY$7,0)),"")</f>
        <v/>
      </c>
      <c r="AZ76" s="30" t="str">
        <f>IF(B76="","",IF(ISNA(VLOOKUP($B76,'F-1 Off-Site WaterC'' Baseline'!$C$8:$AD$257,20,FALSE)),"",(VLOOKUP($B76,'F-1 Off-Site WaterC'' Baseline'!$C$8:$AD$257,20,FALSE))))</f>
        <v/>
      </c>
      <c r="BC76" s="30" t="str">
        <f>IF(B76="","",VLOOKUP($B76,'F-1 Off-Site WaterC'' Baseline'!$C$9:$AB$257,25,FALSE))</f>
        <v/>
      </c>
      <c r="BD76" s="30" t="str">
        <f t="shared" si="9"/>
        <v/>
      </c>
      <c r="BE76" s="30" t="str">
        <f>IF(B76="","",VLOOKUP($B76,'F-1 Off-Site WaterC'' Baseline'!$C$9:$AB$257,24,FALSE))</f>
        <v/>
      </c>
      <c r="BF76" s="30" t="str">
        <f>IF(B76="","",VLOOKUP($B76,'F-1 Off-Site WaterC'' Baseline'!$C$9:$AB$257,22,FALSE))</f>
        <v/>
      </c>
      <c r="BJ76" s="30" t="str">
        <f t="shared" si="10"/>
        <v>No</v>
      </c>
    </row>
    <row r="77" spans="2:62" ht="13.8" x14ac:dyDescent="0.25">
      <c r="B77" s="311" t="str">
        <f>'F-1 Off-Site WaterC'' Baseline'!AS75</f>
        <v/>
      </c>
      <c r="C77" s="301" t="str">
        <f>IF(B77="","",VLOOKUP($B77,'F-1 Off-Site WaterC'' Baseline'!$C$9:$R$257,2,FALSE))</f>
        <v/>
      </c>
      <c r="D77" s="301" t="str">
        <f>IF(C77="","",VLOOKUP($B77,'F-1 Off-Site WaterC'' Baseline'!$C$9:$R$257,3,FALSE))</f>
        <v/>
      </c>
      <c r="E77" s="301" t="str">
        <f>IF(D77="","",VLOOKUP($B77,'F-1 Off-Site WaterC'' Baseline'!$C$9:$R$257,4,FALSE))</f>
        <v/>
      </c>
      <c r="F77" s="301" t="str">
        <f>IF(E77="","",VLOOKUP($B77,'F-1 Off-Site WaterC'' Baseline'!$C$9:$R$257,5,FALSE))</f>
        <v/>
      </c>
      <c r="G77" s="301" t="str">
        <f>IF(F77="","",VLOOKUP($B77,'F-1 Off-Site WaterC'' Baseline'!$C$9:$R$257,6,FALSE))</f>
        <v/>
      </c>
      <c r="H77" s="301" t="str">
        <f>IF(G77="","",VLOOKUP($B77,'F-1 Off-Site WaterC'' Baseline'!$C$9:$R$257,7,FALSE))</f>
        <v/>
      </c>
      <c r="I77" s="301" t="str">
        <f>IF(H77="","",VLOOKUP($B77,'F-1 Off-Site WaterC'' Baseline'!$C$9:$R$257,8,FALSE))</f>
        <v/>
      </c>
      <c r="J77" s="301" t="str">
        <f>IF(I77="","",VLOOKUP($B77,'F-1 Off-Site WaterC'' Baseline'!$C$9:$R$257,9,FALSE))</f>
        <v/>
      </c>
      <c r="K77" s="301" t="str">
        <f>IF(J77="","",VLOOKUP($B77,'F-1 Off-Site WaterC'' Baseline'!$C$9:$R$257,10,FALSE))</f>
        <v/>
      </c>
      <c r="L77" s="289" t="str">
        <f>IF(B77="","",VLOOKUP($B77,'F-1 Off-Site WaterC'' Baseline'!$C$9:$R$257,15,FALSE))</f>
        <v/>
      </c>
      <c r="M77" s="305" t="str">
        <f>IF(L77="","",VLOOKUP($B77,'F-1 Off-Site WaterC'' Baseline'!$C$9:$V$257,19,FALSE))</f>
        <v/>
      </c>
      <c r="N77" s="250"/>
      <c r="O77" s="281" t="str">
        <f t="shared" ref="O77:O140" si="14">IF(B77="","",IF(S77&lt;F77,"Error Trading Down ▲",E77&amp;" - "&amp;R77))</f>
        <v/>
      </c>
      <c r="P77" s="282" t="str">
        <f t="shared" ref="P77:P140" si="15">IF(C77="","",IF(AND(N77&lt;&gt;C77,AZ77="Yes"),"Error you cannot replace an irreplaceable habitat ▲",IF(AND(LEFT(C77,55)&lt;&gt;LEFT(N77,55),O77="High - High"),"Error - Not like for like ▲",IF(H77&gt;U77,"Error - Can not reduce condition ▲",IF(AND(C77&lt;&gt;N77,F77&lt;S77),"Lower Distinctiveness Habitat"&amp;" - "&amp;T77,G77&amp;" - "&amp;T77)))))</f>
        <v/>
      </c>
      <c r="Q77" s="287" t="str">
        <f>IF(N77="","",VLOOKUP(B77,'F-1 Off-Site WaterC'' Baseline'!$C$10:$AF$257,23,FALSE))</f>
        <v/>
      </c>
      <c r="R77" s="281" t="str">
        <f>IF(N77="","",VLOOKUP(N77,'G-7 WaterC'' Data'!$B$2:$G$8,2,FALSE))</f>
        <v/>
      </c>
      <c r="S77" s="282" t="str">
        <f>IFERROR(VLOOKUP(R77,'G-7 WaterC'' Data'!$C$4:$D$8,2,FALSE),"")</f>
        <v/>
      </c>
      <c r="T77" s="105"/>
      <c r="U77" s="282" t="str">
        <f>IFERROR(INDEX('G-7 WaterC'' Data'!$H$4:$L$8,MATCH(N77,'G-7 WaterC'' Data'!$B$4:$B$8,0),MATCH(T77,'G-7 WaterC'' Data'!$H$3:$L$3,0)),"")</f>
        <v/>
      </c>
      <c r="V77" s="109"/>
      <c r="W77" s="301" t="str">
        <f>IF(V77="","",IF(VLOOKUP(V77,'G-7 WaterC'' Data'!$AK$4:$AM$6,2,FALSE)=0,"Spatial Data Missing ⚠",VLOOKUP(V77,'G-7 WaterC'' Data'!$AK$4:$AM$6,2,FALSE)))</f>
        <v/>
      </c>
      <c r="X77" s="305" t="str">
        <f>IF(V77="","",IF(VLOOKUP(V77,'G-7 WaterC'' Data'!$AK$4:$AM$6,3,FALSE)=0,"Spatial Data Missing ⚠",VLOOKUP(V77,'G-7 WaterC'' Data'!$AK$4:$AM$6,3,FALSE)))</f>
        <v/>
      </c>
      <c r="Y77" s="317" t="str">
        <f>IFERROR(IF(OR(LEFT(P77,5)="Error",LEFT(O77,5)="Error"),"Check Data ⚠",IF(F77&lt;S77,'G-7 WaterC'' Data'!$R$3,INDEX('G-7 WaterC'' Data'!$U$5:$Y$9,MATCH(G77,'G-7 WaterC'' Data'!$T$5:$T$9,0),MATCH(T77,'G-7 WaterC'' Data'!$U$4:$Y$4,0)))),"")</f>
        <v/>
      </c>
      <c r="Z77" s="142"/>
      <c r="AA77" s="142"/>
      <c r="AB77" s="314" t="str">
        <f t="shared" si="11"/>
        <v/>
      </c>
      <c r="AC77" s="302" t="str">
        <f t="shared" ref="AC77:AC140" si="16">IF(AB77="Error -both advance and delayed habitat creation ▲","Check Data ⚠",IF(AB77="Check Data ⚠","Check Data ⚠",IF(Y77="","",IF(Z77="30+",0,IF(AA77="30+","30+",IF(Y77+AA77&gt;30,"30+",IF(Y77+AA77-Z77&gt;0,Y77+AA77-Z77,IF(Y77-Z77&lt;0,0,Y77+AA77-Z77))))))))</f>
        <v/>
      </c>
      <c r="AD77" s="340" t="str">
        <f>IFERROR(IF(AC77="Check Data ⚠","Check Data ⚠",VLOOKUP(AC77,'G-4 Temporal multipliers'!$A$4:$C$37,3,FALSE)),"")</f>
        <v/>
      </c>
      <c r="AE77" s="317" t="str">
        <f>IF(N77="","",VLOOKUP(N77,'G-7 WaterC'' Data'!$B$4:$G$8,5,FALSE))</f>
        <v/>
      </c>
      <c r="AF77" s="301" t="str">
        <f t="shared" si="12"/>
        <v/>
      </c>
      <c r="AG77" s="301" t="str">
        <f t="shared" ref="AG77:AG140" si="17">(IF(AND(AF77="Standard difficulty applied",Y77&gt;Z77),AE77,IF(AND(AF77="Low Difficulty - only applicable if all habitat created before losses ⚠",Z77&gt;=Y77),"Low",AE77)))</f>
        <v/>
      </c>
      <c r="AH77" s="282" t="str">
        <f t="shared" si="13"/>
        <v/>
      </c>
      <c r="AI77" s="109"/>
      <c r="AJ77" s="282" t="str">
        <f>IF(AI77="","",(IF(AND(AI77="N/A - Culvert",N77&lt;&gt;"Culvert"),"Not possible ▲",IF(VLOOKUP(AI77,'G-7 WaterC'' Data'!$AA$4:$AB$7,2,FALSE)=0,"Spatial Data Missing ⚠",VLOOKUP(AI77,'G-7 WaterC'' Data'!$AA$4:$AB$7,2,FALSE)))))</f>
        <v/>
      </c>
      <c r="AK77" s="110"/>
      <c r="AL77" s="316" t="str">
        <f>IF(AK77="","",IF(AND(AK77="N/A - Culvert",N77&lt;&gt;"Culvert"),"Not possible ▲",IF(VLOOKUP(AK77,'G-7 WaterC'' Data'!$AD$4:$AE$14,2,FALSE)=0,"Spatial Data Missing ⚠",VLOOKUP(AK77,'G-7 WaterC'' Data'!$AD$4:$AE$14,2,FALSE))))</f>
        <v/>
      </c>
      <c r="AM77" s="281" t="str">
        <f>IF(B77="","",VLOOKUP($B77,'F-1 Off-Site WaterC'' Baseline'!$C$9:$Z$257,17,FALSE))</f>
        <v/>
      </c>
      <c r="AN77" s="282" t="str">
        <f>IF(AM77="","",IF(VLOOKUP(AM77,'G-7 WaterC'' Data'!$AO$4:$BO$7,2,FALSE)=0,"Spatial Data Missing ⚠",VLOOKUP(AM77,'G-7 WaterC'' Data'!$AO$4:$BO$7,2,FALSE)))</f>
        <v/>
      </c>
      <c r="AO77" s="323" t="str">
        <f t="shared" ref="AO77:AO140" si="18">IFERROR(IF(C77="","",IF(Q77&gt;D77,((((Q77*S77*U77)-(D77*F77*H77))*(AH77*AD77))+(D77*F77*H77))*(AL77*X77*AJ77*AN77),((((Q77*S77*U77)-(Q77*F77*H77))*(AH77*AD77))+(Q77*F77*H77))*(AL77*X77*AJ77*AN77))),"")</f>
        <v/>
      </c>
      <c r="AP77" s="323" t="str">
        <f t="shared" ref="AP77:AP140" si="19">IFERROR(IF(C77="","",IF(AM77="","", IF(AND(N77&lt;&gt;"",M77=""),"Check data ⚠",  (IF(AND(AM77&lt;&gt;"",AT77=""), "Off-site reference required ▲",IF(Q77&gt;D77,((((Q77*S77*U77)-(D77*F77*H77))*(AH77*AD77))+(D77*F77*H77))*(AL77*X77*AJ77),((((Q77*S77*U77)-(Q77*F77*H77))*(AH77*AD77))+(Q77*F77*H77))*(AL77*X77*AJ77))))))),"")</f>
        <v/>
      </c>
      <c r="AQ77" s="105"/>
      <c r="AR77" s="119"/>
      <c r="AS77" s="108"/>
      <c r="AT77" s="108"/>
      <c r="AW77" s="30" t="str">
        <f>IF(E77="","",VLOOKUP($B77,'F-1 Off-Site WaterC'' Baseline'!$C$9:$Z$257,12,FALSE))</f>
        <v/>
      </c>
      <c r="AX77" s="30" t="str">
        <f>IF(E77="","",VLOOKUP($B77,'F-1 Off-Site WaterC'' Baseline'!$C$9:$Z$257,14,FALSE))</f>
        <v/>
      </c>
      <c r="AY77" s="30" t="str">
        <f>IFERROR(INDEX('G-7 WaterC'' Data'!$AZ$3:$AZ$7,MATCH(N77,'G-7 WaterC'' Data'!$AY$3:$AY$7,0)),"")</f>
        <v/>
      </c>
      <c r="AZ77" s="30" t="str">
        <f>IF(B77="","",IF(ISNA(VLOOKUP($B77,'F-1 Off-Site WaterC'' Baseline'!$C$8:$AD$257,20,FALSE)),"",(VLOOKUP($B77,'F-1 Off-Site WaterC'' Baseline'!$C$8:$AD$257,20,FALSE))))</f>
        <v/>
      </c>
      <c r="BC77" s="30" t="str">
        <f>IF(B77="","",VLOOKUP($B77,'F-1 Off-Site WaterC'' Baseline'!$C$9:$AB$257,25,FALSE))</f>
        <v/>
      </c>
      <c r="BD77" s="30" t="str">
        <f t="shared" ref="BD77:BD140" si="20">IF(B77="","", IF(BC77&gt;M77, M77, IF((BF77+Q77)&gt;D77, M77 - BE77, BC77)))</f>
        <v/>
      </c>
      <c r="BE77" s="30" t="str">
        <f>IF(B77="","",VLOOKUP($B77,'F-1 Off-Site WaterC'' Baseline'!$C$9:$AB$257,24,FALSE))</f>
        <v/>
      </c>
      <c r="BF77" s="30" t="str">
        <f>IF(B77="","",VLOOKUP($B77,'F-1 Off-Site WaterC'' Baseline'!$C$9:$AB$257,22,FALSE))</f>
        <v/>
      </c>
      <c r="BJ77" s="30" t="str">
        <f t="shared" ref="BJ77:BJ140" si="21">IF(AND(N77="Ditches",(OR(T77="Fairly Poor",T77="Fairly Good"))), "Yes", "No")</f>
        <v>No</v>
      </c>
    </row>
    <row r="78" spans="2:62" ht="13.8" x14ac:dyDescent="0.25">
      <c r="B78" s="311" t="str">
        <f>'F-1 Off-Site WaterC'' Baseline'!AS76</f>
        <v/>
      </c>
      <c r="C78" s="301" t="str">
        <f>IF(B78="","",VLOOKUP($B78,'F-1 Off-Site WaterC'' Baseline'!$C$9:$R$257,2,FALSE))</f>
        <v/>
      </c>
      <c r="D78" s="301" t="str">
        <f>IF(C78="","",VLOOKUP($B78,'F-1 Off-Site WaterC'' Baseline'!$C$9:$R$257,3,FALSE))</f>
        <v/>
      </c>
      <c r="E78" s="301" t="str">
        <f>IF(D78="","",VLOOKUP($B78,'F-1 Off-Site WaterC'' Baseline'!$C$9:$R$257,4,FALSE))</f>
        <v/>
      </c>
      <c r="F78" s="301" t="str">
        <f>IF(E78="","",VLOOKUP($B78,'F-1 Off-Site WaterC'' Baseline'!$C$9:$R$257,5,FALSE))</f>
        <v/>
      </c>
      <c r="G78" s="301" t="str">
        <f>IF(F78="","",VLOOKUP($B78,'F-1 Off-Site WaterC'' Baseline'!$C$9:$R$257,6,FALSE))</f>
        <v/>
      </c>
      <c r="H78" s="301" t="str">
        <f>IF(G78="","",VLOOKUP($B78,'F-1 Off-Site WaterC'' Baseline'!$C$9:$R$257,7,FALSE))</f>
        <v/>
      </c>
      <c r="I78" s="301" t="str">
        <f>IF(H78="","",VLOOKUP($B78,'F-1 Off-Site WaterC'' Baseline'!$C$9:$R$257,8,FALSE))</f>
        <v/>
      </c>
      <c r="J78" s="301" t="str">
        <f>IF(I78="","",VLOOKUP($B78,'F-1 Off-Site WaterC'' Baseline'!$C$9:$R$257,9,FALSE))</f>
        <v/>
      </c>
      <c r="K78" s="301" t="str">
        <f>IF(J78="","",VLOOKUP($B78,'F-1 Off-Site WaterC'' Baseline'!$C$9:$R$257,10,FALSE))</f>
        <v/>
      </c>
      <c r="L78" s="289" t="str">
        <f>IF(B78="","",VLOOKUP($B78,'F-1 Off-Site WaterC'' Baseline'!$C$9:$R$257,15,FALSE))</f>
        <v/>
      </c>
      <c r="M78" s="305" t="str">
        <f>IF(L78="","",VLOOKUP($B78,'F-1 Off-Site WaterC'' Baseline'!$C$9:$V$257,19,FALSE))</f>
        <v/>
      </c>
      <c r="N78" s="250"/>
      <c r="O78" s="281" t="str">
        <f t="shared" si="14"/>
        <v/>
      </c>
      <c r="P78" s="282" t="str">
        <f t="shared" si="15"/>
        <v/>
      </c>
      <c r="Q78" s="287" t="str">
        <f>IF(N78="","",VLOOKUP(B78,'F-1 Off-Site WaterC'' Baseline'!$C$10:$AF$257,23,FALSE))</f>
        <v/>
      </c>
      <c r="R78" s="281" t="str">
        <f>IF(N78="","",VLOOKUP(N78,'G-7 WaterC'' Data'!$B$2:$G$8,2,FALSE))</f>
        <v/>
      </c>
      <c r="S78" s="282" t="str">
        <f>IFERROR(VLOOKUP(R78,'G-7 WaterC'' Data'!$C$4:$D$8,2,FALSE),"")</f>
        <v/>
      </c>
      <c r="T78" s="105"/>
      <c r="U78" s="282" t="str">
        <f>IFERROR(INDEX('G-7 WaterC'' Data'!$H$4:$L$8,MATCH(N78,'G-7 WaterC'' Data'!$B$4:$B$8,0),MATCH(T78,'G-7 WaterC'' Data'!$H$3:$L$3,0)),"")</f>
        <v/>
      </c>
      <c r="V78" s="109"/>
      <c r="W78" s="301" t="str">
        <f>IF(V78="","",IF(VLOOKUP(V78,'G-7 WaterC'' Data'!$AK$4:$AM$6,2,FALSE)=0,"Spatial Data Missing ⚠",VLOOKUP(V78,'G-7 WaterC'' Data'!$AK$4:$AM$6,2,FALSE)))</f>
        <v/>
      </c>
      <c r="X78" s="305" t="str">
        <f>IF(V78="","",IF(VLOOKUP(V78,'G-7 WaterC'' Data'!$AK$4:$AM$6,3,FALSE)=0,"Spatial Data Missing ⚠",VLOOKUP(V78,'G-7 WaterC'' Data'!$AK$4:$AM$6,3,FALSE)))</f>
        <v/>
      </c>
      <c r="Y78" s="317" t="str">
        <f>IFERROR(IF(OR(LEFT(P78,5)="Error",LEFT(O78,5)="Error"),"Check Data ⚠",IF(F78&lt;S78,'G-7 WaterC'' Data'!$R$3,INDEX('G-7 WaterC'' Data'!$U$5:$Y$9,MATCH(G78,'G-7 WaterC'' Data'!$T$5:$T$9,0),MATCH(T78,'G-7 WaterC'' Data'!$U$4:$Y$4,0)))),"")</f>
        <v/>
      </c>
      <c r="Z78" s="142"/>
      <c r="AA78" s="142"/>
      <c r="AB78" s="314" t="str">
        <f t="shared" si="11"/>
        <v/>
      </c>
      <c r="AC78" s="302" t="str">
        <f t="shared" si="16"/>
        <v/>
      </c>
      <c r="AD78" s="340" t="str">
        <f>IFERROR(IF(AC78="Check Data ⚠","Check Data ⚠",VLOOKUP(AC78,'G-4 Temporal multipliers'!$A$4:$C$37,3,FALSE)),"")</f>
        <v/>
      </c>
      <c r="AE78" s="317" t="str">
        <f>IF(N78="","",VLOOKUP(N78,'G-7 WaterC'' Data'!$B$4:$G$8,5,FALSE))</f>
        <v/>
      </c>
      <c r="AF78" s="301" t="str">
        <f t="shared" si="12"/>
        <v/>
      </c>
      <c r="AG78" s="301" t="str">
        <f t="shared" si="17"/>
        <v/>
      </c>
      <c r="AH78" s="282" t="str">
        <f t="shared" si="13"/>
        <v/>
      </c>
      <c r="AI78" s="109"/>
      <c r="AJ78" s="282" t="str">
        <f>IF(AI78="","",(IF(AND(AI78="N/A - Culvert",N78&lt;&gt;"Culvert"),"Not possible ▲",IF(VLOOKUP(AI78,'G-7 WaterC'' Data'!$AA$4:$AB$7,2,FALSE)=0,"Spatial Data Missing ⚠",VLOOKUP(AI78,'G-7 WaterC'' Data'!$AA$4:$AB$7,2,FALSE)))))</f>
        <v/>
      </c>
      <c r="AK78" s="110"/>
      <c r="AL78" s="316" t="str">
        <f>IF(AK78="","",IF(AND(AK78="N/A - Culvert",N78&lt;&gt;"Culvert"),"Not possible ▲",IF(VLOOKUP(AK78,'G-7 WaterC'' Data'!$AD$4:$AE$14,2,FALSE)=0,"Spatial Data Missing ⚠",VLOOKUP(AK78,'G-7 WaterC'' Data'!$AD$4:$AE$14,2,FALSE))))</f>
        <v/>
      </c>
      <c r="AM78" s="281" t="str">
        <f>IF(B78="","",VLOOKUP($B78,'F-1 Off-Site WaterC'' Baseline'!$C$9:$Z$257,17,FALSE))</f>
        <v/>
      </c>
      <c r="AN78" s="282" t="str">
        <f>IF(AM78="","",IF(VLOOKUP(AM78,'G-7 WaterC'' Data'!$AO$4:$BO$7,2,FALSE)=0,"Spatial Data Missing ⚠",VLOOKUP(AM78,'G-7 WaterC'' Data'!$AO$4:$BO$7,2,FALSE)))</f>
        <v/>
      </c>
      <c r="AO78" s="323" t="str">
        <f t="shared" si="18"/>
        <v/>
      </c>
      <c r="AP78" s="323" t="str">
        <f t="shared" si="19"/>
        <v/>
      </c>
      <c r="AQ78" s="105"/>
      <c r="AR78" s="119"/>
      <c r="AS78" s="108"/>
      <c r="AT78" s="108"/>
      <c r="AW78" s="30" t="str">
        <f>IF(E78="","",VLOOKUP($B78,'F-1 Off-Site WaterC'' Baseline'!$C$9:$Z$257,12,FALSE))</f>
        <v/>
      </c>
      <c r="AX78" s="30" t="str">
        <f>IF(E78="","",VLOOKUP($B78,'F-1 Off-Site WaterC'' Baseline'!$C$9:$Z$257,14,FALSE))</f>
        <v/>
      </c>
      <c r="AY78" s="30" t="str">
        <f>IFERROR(INDEX('G-7 WaterC'' Data'!$AZ$3:$AZ$7,MATCH(N78,'G-7 WaterC'' Data'!$AY$3:$AY$7,0)),"")</f>
        <v/>
      </c>
      <c r="AZ78" s="30" t="str">
        <f>IF(B78="","",IF(ISNA(VLOOKUP($B78,'F-1 Off-Site WaterC'' Baseline'!$C$8:$AD$257,20,FALSE)),"",(VLOOKUP($B78,'F-1 Off-Site WaterC'' Baseline'!$C$8:$AD$257,20,FALSE))))</f>
        <v/>
      </c>
      <c r="BC78" s="30" t="str">
        <f>IF(B78="","",VLOOKUP($B78,'F-1 Off-Site WaterC'' Baseline'!$C$9:$AB$257,25,FALSE))</f>
        <v/>
      </c>
      <c r="BD78" s="30" t="str">
        <f t="shared" si="20"/>
        <v/>
      </c>
      <c r="BE78" s="30" t="str">
        <f>IF(B78="","",VLOOKUP($B78,'F-1 Off-Site WaterC'' Baseline'!$C$9:$AB$257,24,FALSE))</f>
        <v/>
      </c>
      <c r="BF78" s="30" t="str">
        <f>IF(B78="","",VLOOKUP($B78,'F-1 Off-Site WaterC'' Baseline'!$C$9:$AB$257,22,FALSE))</f>
        <v/>
      </c>
      <c r="BJ78" s="30" t="str">
        <f t="shared" si="21"/>
        <v>No</v>
      </c>
    </row>
    <row r="79" spans="2:62" ht="13.8" x14ac:dyDescent="0.25">
      <c r="B79" s="311" t="str">
        <f>'F-1 Off-Site WaterC'' Baseline'!AS77</f>
        <v/>
      </c>
      <c r="C79" s="301" t="str">
        <f>IF(B79="","",VLOOKUP($B79,'F-1 Off-Site WaterC'' Baseline'!$C$9:$R$257,2,FALSE))</f>
        <v/>
      </c>
      <c r="D79" s="301" t="str">
        <f>IF(C79="","",VLOOKUP($B79,'F-1 Off-Site WaterC'' Baseline'!$C$9:$R$257,3,FALSE))</f>
        <v/>
      </c>
      <c r="E79" s="301" t="str">
        <f>IF(D79="","",VLOOKUP($B79,'F-1 Off-Site WaterC'' Baseline'!$C$9:$R$257,4,FALSE))</f>
        <v/>
      </c>
      <c r="F79" s="301" t="str">
        <f>IF(E79="","",VLOOKUP($B79,'F-1 Off-Site WaterC'' Baseline'!$C$9:$R$257,5,FALSE))</f>
        <v/>
      </c>
      <c r="G79" s="301" t="str">
        <f>IF(F79="","",VLOOKUP($B79,'F-1 Off-Site WaterC'' Baseline'!$C$9:$R$257,6,FALSE))</f>
        <v/>
      </c>
      <c r="H79" s="301" t="str">
        <f>IF(G79="","",VLOOKUP($B79,'F-1 Off-Site WaterC'' Baseline'!$C$9:$R$257,7,FALSE))</f>
        <v/>
      </c>
      <c r="I79" s="301" t="str">
        <f>IF(H79="","",VLOOKUP($B79,'F-1 Off-Site WaterC'' Baseline'!$C$9:$R$257,8,FALSE))</f>
        <v/>
      </c>
      <c r="J79" s="301" t="str">
        <f>IF(I79="","",VLOOKUP($B79,'F-1 Off-Site WaterC'' Baseline'!$C$9:$R$257,9,FALSE))</f>
        <v/>
      </c>
      <c r="K79" s="301" t="str">
        <f>IF(J79="","",VLOOKUP($B79,'F-1 Off-Site WaterC'' Baseline'!$C$9:$R$257,10,FALSE))</f>
        <v/>
      </c>
      <c r="L79" s="289" t="str">
        <f>IF(B79="","",VLOOKUP($B79,'F-1 Off-Site WaterC'' Baseline'!$C$9:$R$257,15,FALSE))</f>
        <v/>
      </c>
      <c r="M79" s="305" t="str">
        <f>IF(L79="","",VLOOKUP($B79,'F-1 Off-Site WaterC'' Baseline'!$C$9:$V$257,19,FALSE))</f>
        <v/>
      </c>
      <c r="N79" s="250"/>
      <c r="O79" s="281" t="str">
        <f t="shared" si="14"/>
        <v/>
      </c>
      <c r="P79" s="282" t="str">
        <f t="shared" si="15"/>
        <v/>
      </c>
      <c r="Q79" s="287" t="str">
        <f>IF(N79="","",VLOOKUP(B79,'F-1 Off-Site WaterC'' Baseline'!$C$10:$AF$257,23,FALSE))</f>
        <v/>
      </c>
      <c r="R79" s="281" t="str">
        <f>IF(N79="","",VLOOKUP(N79,'G-7 WaterC'' Data'!$B$2:$G$8,2,FALSE))</f>
        <v/>
      </c>
      <c r="S79" s="282" t="str">
        <f>IFERROR(VLOOKUP(R79,'G-7 WaterC'' Data'!$C$4:$D$8,2,FALSE),"")</f>
        <v/>
      </c>
      <c r="T79" s="105"/>
      <c r="U79" s="282" t="str">
        <f>IFERROR(INDEX('G-7 WaterC'' Data'!$H$4:$L$8,MATCH(N79,'G-7 WaterC'' Data'!$B$4:$B$8,0),MATCH(T79,'G-7 WaterC'' Data'!$H$3:$L$3,0)),"")</f>
        <v/>
      </c>
      <c r="V79" s="109"/>
      <c r="W79" s="301" t="str">
        <f>IF(V79="","",IF(VLOOKUP(V79,'G-7 WaterC'' Data'!$AK$4:$AM$6,2,FALSE)=0,"Spatial Data Missing ⚠",VLOOKUP(V79,'G-7 WaterC'' Data'!$AK$4:$AM$6,2,FALSE)))</f>
        <v/>
      </c>
      <c r="X79" s="305" t="str">
        <f>IF(V79="","",IF(VLOOKUP(V79,'G-7 WaterC'' Data'!$AK$4:$AM$6,3,FALSE)=0,"Spatial Data Missing ⚠",VLOOKUP(V79,'G-7 WaterC'' Data'!$AK$4:$AM$6,3,FALSE)))</f>
        <v/>
      </c>
      <c r="Y79" s="317" t="str">
        <f>IFERROR(IF(OR(LEFT(P79,5)="Error",LEFT(O79,5)="Error"),"Check Data ⚠",IF(F79&lt;S79,'G-7 WaterC'' Data'!$R$3,INDEX('G-7 WaterC'' Data'!$U$5:$Y$9,MATCH(G79,'G-7 WaterC'' Data'!$T$5:$T$9,0),MATCH(T79,'G-7 WaterC'' Data'!$U$4:$Y$4,0)))),"")</f>
        <v/>
      </c>
      <c r="Z79" s="142"/>
      <c r="AA79" s="142"/>
      <c r="AB79" s="314" t="str">
        <f t="shared" si="11"/>
        <v/>
      </c>
      <c r="AC79" s="302" t="str">
        <f t="shared" si="16"/>
        <v/>
      </c>
      <c r="AD79" s="340" t="str">
        <f>IFERROR(IF(AC79="Check Data ⚠","Check Data ⚠",VLOOKUP(AC79,'G-4 Temporal multipliers'!$A$4:$C$37,3,FALSE)),"")</f>
        <v/>
      </c>
      <c r="AE79" s="317" t="str">
        <f>IF(N79="","",VLOOKUP(N79,'G-7 WaterC'' Data'!$B$4:$G$8,5,FALSE))</f>
        <v/>
      </c>
      <c r="AF79" s="301" t="str">
        <f t="shared" si="12"/>
        <v/>
      </c>
      <c r="AG79" s="301" t="str">
        <f t="shared" si="17"/>
        <v/>
      </c>
      <c r="AH79" s="282" t="str">
        <f t="shared" si="13"/>
        <v/>
      </c>
      <c r="AI79" s="109"/>
      <c r="AJ79" s="282" t="str">
        <f>IF(AI79="","",(IF(AND(AI79="N/A - Culvert",N79&lt;&gt;"Culvert"),"Not possible ▲",IF(VLOOKUP(AI79,'G-7 WaterC'' Data'!$AA$4:$AB$7,2,FALSE)=0,"Spatial Data Missing ⚠",VLOOKUP(AI79,'G-7 WaterC'' Data'!$AA$4:$AB$7,2,FALSE)))))</f>
        <v/>
      </c>
      <c r="AK79" s="110"/>
      <c r="AL79" s="316" t="str">
        <f>IF(AK79="","",IF(AND(AK79="N/A - Culvert",N79&lt;&gt;"Culvert"),"Not possible ▲",IF(VLOOKUP(AK79,'G-7 WaterC'' Data'!$AD$4:$AE$14,2,FALSE)=0,"Spatial Data Missing ⚠",VLOOKUP(AK79,'G-7 WaterC'' Data'!$AD$4:$AE$14,2,FALSE))))</f>
        <v/>
      </c>
      <c r="AM79" s="281" t="str">
        <f>IF(B79="","",VLOOKUP($B79,'F-1 Off-Site WaterC'' Baseline'!$C$9:$Z$257,17,FALSE))</f>
        <v/>
      </c>
      <c r="AN79" s="282" t="str">
        <f>IF(AM79="","",IF(VLOOKUP(AM79,'G-7 WaterC'' Data'!$AO$4:$BO$7,2,FALSE)=0,"Spatial Data Missing ⚠",VLOOKUP(AM79,'G-7 WaterC'' Data'!$AO$4:$BO$7,2,FALSE)))</f>
        <v/>
      </c>
      <c r="AO79" s="323" t="str">
        <f t="shared" si="18"/>
        <v/>
      </c>
      <c r="AP79" s="323" t="str">
        <f t="shared" si="19"/>
        <v/>
      </c>
      <c r="AQ79" s="105"/>
      <c r="AR79" s="119"/>
      <c r="AS79" s="108"/>
      <c r="AT79" s="108"/>
      <c r="AW79" s="30" t="str">
        <f>IF(E79="","",VLOOKUP($B79,'F-1 Off-Site WaterC'' Baseline'!$C$9:$Z$257,12,FALSE))</f>
        <v/>
      </c>
      <c r="AX79" s="30" t="str">
        <f>IF(E79="","",VLOOKUP($B79,'F-1 Off-Site WaterC'' Baseline'!$C$9:$Z$257,14,FALSE))</f>
        <v/>
      </c>
      <c r="AY79" s="30" t="str">
        <f>IFERROR(INDEX('G-7 WaterC'' Data'!$AZ$3:$AZ$7,MATCH(N79,'G-7 WaterC'' Data'!$AY$3:$AY$7,0)),"")</f>
        <v/>
      </c>
      <c r="AZ79" s="30" t="str">
        <f>IF(B79="","",IF(ISNA(VLOOKUP($B79,'F-1 Off-Site WaterC'' Baseline'!$C$8:$AD$257,20,FALSE)),"",(VLOOKUP($B79,'F-1 Off-Site WaterC'' Baseline'!$C$8:$AD$257,20,FALSE))))</f>
        <v/>
      </c>
      <c r="BC79" s="30" t="str">
        <f>IF(B79="","",VLOOKUP($B79,'F-1 Off-Site WaterC'' Baseline'!$C$9:$AB$257,25,FALSE))</f>
        <v/>
      </c>
      <c r="BD79" s="30" t="str">
        <f t="shared" si="20"/>
        <v/>
      </c>
      <c r="BE79" s="30" t="str">
        <f>IF(B79="","",VLOOKUP($B79,'F-1 Off-Site WaterC'' Baseline'!$C$9:$AB$257,24,FALSE))</f>
        <v/>
      </c>
      <c r="BF79" s="30" t="str">
        <f>IF(B79="","",VLOOKUP($B79,'F-1 Off-Site WaterC'' Baseline'!$C$9:$AB$257,22,FALSE))</f>
        <v/>
      </c>
      <c r="BJ79" s="30" t="str">
        <f t="shared" si="21"/>
        <v>No</v>
      </c>
    </row>
    <row r="80" spans="2:62" ht="13.8" x14ac:dyDescent="0.25">
      <c r="B80" s="311" t="str">
        <f>'F-1 Off-Site WaterC'' Baseline'!AS78</f>
        <v/>
      </c>
      <c r="C80" s="301" t="str">
        <f>IF(B80="","",VLOOKUP($B80,'F-1 Off-Site WaterC'' Baseline'!$C$9:$R$257,2,FALSE))</f>
        <v/>
      </c>
      <c r="D80" s="301" t="str">
        <f>IF(C80="","",VLOOKUP($B80,'F-1 Off-Site WaterC'' Baseline'!$C$9:$R$257,3,FALSE))</f>
        <v/>
      </c>
      <c r="E80" s="301" t="str">
        <f>IF(D80="","",VLOOKUP($B80,'F-1 Off-Site WaterC'' Baseline'!$C$9:$R$257,4,FALSE))</f>
        <v/>
      </c>
      <c r="F80" s="301" t="str">
        <f>IF(E80="","",VLOOKUP($B80,'F-1 Off-Site WaterC'' Baseline'!$C$9:$R$257,5,FALSE))</f>
        <v/>
      </c>
      <c r="G80" s="301" t="str">
        <f>IF(F80="","",VLOOKUP($B80,'F-1 Off-Site WaterC'' Baseline'!$C$9:$R$257,6,FALSE))</f>
        <v/>
      </c>
      <c r="H80" s="301" t="str">
        <f>IF(G80="","",VLOOKUP($B80,'F-1 Off-Site WaterC'' Baseline'!$C$9:$R$257,7,FALSE))</f>
        <v/>
      </c>
      <c r="I80" s="301" t="str">
        <f>IF(H80="","",VLOOKUP($B80,'F-1 Off-Site WaterC'' Baseline'!$C$9:$R$257,8,FALSE))</f>
        <v/>
      </c>
      <c r="J80" s="301" t="str">
        <f>IF(I80="","",VLOOKUP($B80,'F-1 Off-Site WaterC'' Baseline'!$C$9:$R$257,9,FALSE))</f>
        <v/>
      </c>
      <c r="K80" s="301" t="str">
        <f>IF(J80="","",VLOOKUP($B80,'F-1 Off-Site WaterC'' Baseline'!$C$9:$R$257,10,FALSE))</f>
        <v/>
      </c>
      <c r="L80" s="289" t="str">
        <f>IF(B80="","",VLOOKUP($B80,'F-1 Off-Site WaterC'' Baseline'!$C$9:$R$257,15,FALSE))</f>
        <v/>
      </c>
      <c r="M80" s="305" t="str">
        <f>IF(L80="","",VLOOKUP($B80,'F-1 Off-Site WaterC'' Baseline'!$C$9:$V$257,19,FALSE))</f>
        <v/>
      </c>
      <c r="N80" s="250"/>
      <c r="O80" s="281" t="str">
        <f t="shared" si="14"/>
        <v/>
      </c>
      <c r="P80" s="282" t="str">
        <f t="shared" si="15"/>
        <v/>
      </c>
      <c r="Q80" s="287" t="str">
        <f>IF(N80="","",VLOOKUP(B80,'F-1 Off-Site WaterC'' Baseline'!$C$10:$AF$257,23,FALSE))</f>
        <v/>
      </c>
      <c r="R80" s="281" t="str">
        <f>IF(N80="","",VLOOKUP(N80,'G-7 WaterC'' Data'!$B$2:$G$8,2,FALSE))</f>
        <v/>
      </c>
      <c r="S80" s="282" t="str">
        <f>IFERROR(VLOOKUP(R80,'G-7 WaterC'' Data'!$C$4:$D$8,2,FALSE),"")</f>
        <v/>
      </c>
      <c r="T80" s="105"/>
      <c r="U80" s="282" t="str">
        <f>IFERROR(INDEX('G-7 WaterC'' Data'!$H$4:$L$8,MATCH(N80,'G-7 WaterC'' Data'!$B$4:$B$8,0),MATCH(T80,'G-7 WaterC'' Data'!$H$3:$L$3,0)),"")</f>
        <v/>
      </c>
      <c r="V80" s="109"/>
      <c r="W80" s="301" t="str">
        <f>IF(V80="","",IF(VLOOKUP(V80,'G-7 WaterC'' Data'!$AK$4:$AM$6,2,FALSE)=0,"Spatial Data Missing ⚠",VLOOKUP(V80,'G-7 WaterC'' Data'!$AK$4:$AM$6,2,FALSE)))</f>
        <v/>
      </c>
      <c r="X80" s="305" t="str">
        <f>IF(V80="","",IF(VLOOKUP(V80,'G-7 WaterC'' Data'!$AK$4:$AM$6,3,FALSE)=0,"Spatial Data Missing ⚠",VLOOKUP(V80,'G-7 WaterC'' Data'!$AK$4:$AM$6,3,FALSE)))</f>
        <v/>
      </c>
      <c r="Y80" s="317" t="str">
        <f>IFERROR(IF(OR(LEFT(P80,5)="Error",LEFT(O80,5)="Error"),"Check Data ⚠",IF(F80&lt;S80,'G-7 WaterC'' Data'!$R$3,INDEX('G-7 WaterC'' Data'!$U$5:$Y$9,MATCH(G80,'G-7 WaterC'' Data'!$T$5:$T$9,0),MATCH(T80,'G-7 WaterC'' Data'!$U$4:$Y$4,0)))),"")</f>
        <v/>
      </c>
      <c r="Z80" s="142"/>
      <c r="AA80" s="142"/>
      <c r="AB80" s="314" t="str">
        <f t="shared" si="11"/>
        <v/>
      </c>
      <c r="AC80" s="302" t="str">
        <f t="shared" si="16"/>
        <v/>
      </c>
      <c r="AD80" s="340" t="str">
        <f>IFERROR(IF(AC80="Check Data ⚠","Check Data ⚠",VLOOKUP(AC80,'G-4 Temporal multipliers'!$A$4:$C$37,3,FALSE)),"")</f>
        <v/>
      </c>
      <c r="AE80" s="317" t="str">
        <f>IF(N80="","",VLOOKUP(N80,'G-7 WaterC'' Data'!$B$4:$G$8,5,FALSE))</f>
        <v/>
      </c>
      <c r="AF80" s="301" t="str">
        <f t="shared" si="12"/>
        <v/>
      </c>
      <c r="AG80" s="301" t="str">
        <f t="shared" si="17"/>
        <v/>
      </c>
      <c r="AH80" s="282" t="str">
        <f t="shared" si="13"/>
        <v/>
      </c>
      <c r="AI80" s="109"/>
      <c r="AJ80" s="282" t="str">
        <f>IF(AI80="","",(IF(AND(AI80="N/A - Culvert",N80&lt;&gt;"Culvert"),"Not possible ▲",IF(VLOOKUP(AI80,'G-7 WaterC'' Data'!$AA$4:$AB$7,2,FALSE)=0,"Spatial Data Missing ⚠",VLOOKUP(AI80,'G-7 WaterC'' Data'!$AA$4:$AB$7,2,FALSE)))))</f>
        <v/>
      </c>
      <c r="AK80" s="110"/>
      <c r="AL80" s="316" t="str">
        <f>IF(AK80="","",IF(AND(AK80="N/A - Culvert",N80&lt;&gt;"Culvert"),"Not possible ▲",IF(VLOOKUP(AK80,'G-7 WaterC'' Data'!$AD$4:$AE$14,2,FALSE)=0,"Spatial Data Missing ⚠",VLOOKUP(AK80,'G-7 WaterC'' Data'!$AD$4:$AE$14,2,FALSE))))</f>
        <v/>
      </c>
      <c r="AM80" s="281" t="str">
        <f>IF(B80="","",VLOOKUP($B80,'F-1 Off-Site WaterC'' Baseline'!$C$9:$Z$257,17,FALSE))</f>
        <v/>
      </c>
      <c r="AN80" s="282" t="str">
        <f>IF(AM80="","",IF(VLOOKUP(AM80,'G-7 WaterC'' Data'!$AO$4:$BO$7,2,FALSE)=0,"Spatial Data Missing ⚠",VLOOKUP(AM80,'G-7 WaterC'' Data'!$AO$4:$BO$7,2,FALSE)))</f>
        <v/>
      </c>
      <c r="AO80" s="323" t="str">
        <f t="shared" si="18"/>
        <v/>
      </c>
      <c r="AP80" s="323" t="str">
        <f t="shared" si="19"/>
        <v/>
      </c>
      <c r="AQ80" s="105"/>
      <c r="AR80" s="119"/>
      <c r="AS80" s="108"/>
      <c r="AT80" s="108"/>
      <c r="AW80" s="30" t="str">
        <f>IF(E80="","",VLOOKUP($B80,'F-1 Off-Site WaterC'' Baseline'!$C$9:$Z$257,12,FALSE))</f>
        <v/>
      </c>
      <c r="AX80" s="30" t="str">
        <f>IF(E80="","",VLOOKUP($B80,'F-1 Off-Site WaterC'' Baseline'!$C$9:$Z$257,14,FALSE))</f>
        <v/>
      </c>
      <c r="AY80" s="30" t="str">
        <f>IFERROR(INDEX('G-7 WaterC'' Data'!$AZ$3:$AZ$7,MATCH(N80,'G-7 WaterC'' Data'!$AY$3:$AY$7,0)),"")</f>
        <v/>
      </c>
      <c r="AZ80" s="30" t="str">
        <f>IF(B80="","",IF(ISNA(VLOOKUP($B80,'F-1 Off-Site WaterC'' Baseline'!$C$8:$AD$257,20,FALSE)),"",(VLOOKUP($B80,'F-1 Off-Site WaterC'' Baseline'!$C$8:$AD$257,20,FALSE))))</f>
        <v/>
      </c>
      <c r="BC80" s="30" t="str">
        <f>IF(B80="","",VLOOKUP($B80,'F-1 Off-Site WaterC'' Baseline'!$C$9:$AB$257,25,FALSE))</f>
        <v/>
      </c>
      <c r="BD80" s="30" t="str">
        <f t="shared" si="20"/>
        <v/>
      </c>
      <c r="BE80" s="30" t="str">
        <f>IF(B80="","",VLOOKUP($B80,'F-1 Off-Site WaterC'' Baseline'!$C$9:$AB$257,24,FALSE))</f>
        <v/>
      </c>
      <c r="BF80" s="30" t="str">
        <f>IF(B80="","",VLOOKUP($B80,'F-1 Off-Site WaterC'' Baseline'!$C$9:$AB$257,22,FALSE))</f>
        <v/>
      </c>
      <c r="BJ80" s="30" t="str">
        <f t="shared" si="21"/>
        <v>No</v>
      </c>
    </row>
    <row r="81" spans="2:62" ht="13.8" x14ac:dyDescent="0.25">
      <c r="B81" s="311" t="str">
        <f>'F-1 Off-Site WaterC'' Baseline'!AS79</f>
        <v/>
      </c>
      <c r="C81" s="301" t="str">
        <f>IF(B81="","",VLOOKUP($B81,'F-1 Off-Site WaterC'' Baseline'!$C$9:$R$257,2,FALSE))</f>
        <v/>
      </c>
      <c r="D81" s="301" t="str">
        <f>IF(C81="","",VLOOKUP($B81,'F-1 Off-Site WaterC'' Baseline'!$C$9:$R$257,3,FALSE))</f>
        <v/>
      </c>
      <c r="E81" s="301" t="str">
        <f>IF(D81="","",VLOOKUP($B81,'F-1 Off-Site WaterC'' Baseline'!$C$9:$R$257,4,FALSE))</f>
        <v/>
      </c>
      <c r="F81" s="301" t="str">
        <f>IF(E81="","",VLOOKUP($B81,'F-1 Off-Site WaterC'' Baseline'!$C$9:$R$257,5,FALSE))</f>
        <v/>
      </c>
      <c r="G81" s="301" t="str">
        <f>IF(F81="","",VLOOKUP($B81,'F-1 Off-Site WaterC'' Baseline'!$C$9:$R$257,6,FALSE))</f>
        <v/>
      </c>
      <c r="H81" s="301" t="str">
        <f>IF(G81="","",VLOOKUP($B81,'F-1 Off-Site WaterC'' Baseline'!$C$9:$R$257,7,FALSE))</f>
        <v/>
      </c>
      <c r="I81" s="301" t="str">
        <f>IF(H81="","",VLOOKUP($B81,'F-1 Off-Site WaterC'' Baseline'!$C$9:$R$257,8,FALSE))</f>
        <v/>
      </c>
      <c r="J81" s="301" t="str">
        <f>IF(I81="","",VLOOKUP($B81,'F-1 Off-Site WaterC'' Baseline'!$C$9:$R$257,9,FALSE))</f>
        <v/>
      </c>
      <c r="K81" s="301" t="str">
        <f>IF(J81="","",VLOOKUP($B81,'F-1 Off-Site WaterC'' Baseline'!$C$9:$R$257,10,FALSE))</f>
        <v/>
      </c>
      <c r="L81" s="289" t="str">
        <f>IF(B81="","",VLOOKUP($B81,'F-1 Off-Site WaterC'' Baseline'!$C$9:$R$257,15,FALSE))</f>
        <v/>
      </c>
      <c r="M81" s="305" t="str">
        <f>IF(L81="","",VLOOKUP($B81,'F-1 Off-Site WaterC'' Baseline'!$C$9:$V$257,19,FALSE))</f>
        <v/>
      </c>
      <c r="N81" s="250"/>
      <c r="O81" s="281" t="str">
        <f t="shared" si="14"/>
        <v/>
      </c>
      <c r="P81" s="282" t="str">
        <f t="shared" si="15"/>
        <v/>
      </c>
      <c r="Q81" s="287" t="str">
        <f>IF(N81="","",VLOOKUP(B81,'F-1 Off-Site WaterC'' Baseline'!$C$10:$AF$257,23,FALSE))</f>
        <v/>
      </c>
      <c r="R81" s="281" t="str">
        <f>IF(N81="","",VLOOKUP(N81,'G-7 WaterC'' Data'!$B$2:$G$8,2,FALSE))</f>
        <v/>
      </c>
      <c r="S81" s="282" t="str">
        <f>IFERROR(VLOOKUP(R81,'G-7 WaterC'' Data'!$C$4:$D$8,2,FALSE),"")</f>
        <v/>
      </c>
      <c r="T81" s="105"/>
      <c r="U81" s="282" t="str">
        <f>IFERROR(INDEX('G-7 WaterC'' Data'!$H$4:$L$8,MATCH(N81,'G-7 WaterC'' Data'!$B$4:$B$8,0),MATCH(T81,'G-7 WaterC'' Data'!$H$3:$L$3,0)),"")</f>
        <v/>
      </c>
      <c r="V81" s="109"/>
      <c r="W81" s="301" t="str">
        <f>IF(V81="","",IF(VLOOKUP(V81,'G-7 WaterC'' Data'!$AK$4:$AM$6,2,FALSE)=0,"Spatial Data Missing ⚠",VLOOKUP(V81,'G-7 WaterC'' Data'!$AK$4:$AM$6,2,FALSE)))</f>
        <v/>
      </c>
      <c r="X81" s="305" t="str">
        <f>IF(V81="","",IF(VLOOKUP(V81,'G-7 WaterC'' Data'!$AK$4:$AM$6,3,FALSE)=0,"Spatial Data Missing ⚠",VLOOKUP(V81,'G-7 WaterC'' Data'!$AK$4:$AM$6,3,FALSE)))</f>
        <v/>
      </c>
      <c r="Y81" s="317" t="str">
        <f>IFERROR(IF(OR(LEFT(P81,5)="Error",LEFT(O81,5)="Error"),"Check Data ⚠",IF(F81&lt;S81,'G-7 WaterC'' Data'!$R$3,INDEX('G-7 WaterC'' Data'!$U$5:$Y$9,MATCH(G81,'G-7 WaterC'' Data'!$T$5:$T$9,0),MATCH(T81,'G-7 WaterC'' Data'!$U$4:$Y$4,0)))),"")</f>
        <v/>
      </c>
      <c r="Z81" s="142"/>
      <c r="AA81" s="142"/>
      <c r="AB81" s="314" t="str">
        <f t="shared" si="11"/>
        <v/>
      </c>
      <c r="AC81" s="302" t="str">
        <f t="shared" si="16"/>
        <v/>
      </c>
      <c r="AD81" s="340" t="str">
        <f>IFERROR(IF(AC81="Check Data ⚠","Check Data ⚠",VLOOKUP(AC81,'G-4 Temporal multipliers'!$A$4:$C$37,3,FALSE)),"")</f>
        <v/>
      </c>
      <c r="AE81" s="317" t="str">
        <f>IF(N81="","",VLOOKUP(N81,'G-7 WaterC'' Data'!$B$4:$G$8,5,FALSE))</f>
        <v/>
      </c>
      <c r="AF81" s="301" t="str">
        <f t="shared" si="12"/>
        <v/>
      </c>
      <c r="AG81" s="301" t="str">
        <f t="shared" si="17"/>
        <v/>
      </c>
      <c r="AH81" s="282" t="str">
        <f t="shared" si="13"/>
        <v/>
      </c>
      <c r="AI81" s="109"/>
      <c r="AJ81" s="282" t="str">
        <f>IF(AI81="","",(IF(AND(AI81="N/A - Culvert",N81&lt;&gt;"Culvert"),"Not possible ▲",IF(VLOOKUP(AI81,'G-7 WaterC'' Data'!$AA$4:$AB$7,2,FALSE)=0,"Spatial Data Missing ⚠",VLOOKUP(AI81,'G-7 WaterC'' Data'!$AA$4:$AB$7,2,FALSE)))))</f>
        <v/>
      </c>
      <c r="AK81" s="110"/>
      <c r="AL81" s="316" t="str">
        <f>IF(AK81="","",IF(AND(AK81="N/A - Culvert",N81&lt;&gt;"Culvert"),"Not possible ▲",IF(VLOOKUP(AK81,'G-7 WaterC'' Data'!$AD$4:$AE$14,2,FALSE)=0,"Spatial Data Missing ⚠",VLOOKUP(AK81,'G-7 WaterC'' Data'!$AD$4:$AE$14,2,FALSE))))</f>
        <v/>
      </c>
      <c r="AM81" s="281" t="str">
        <f>IF(B81="","",VLOOKUP($B81,'F-1 Off-Site WaterC'' Baseline'!$C$9:$Z$257,17,FALSE))</f>
        <v/>
      </c>
      <c r="AN81" s="282" t="str">
        <f>IF(AM81="","",IF(VLOOKUP(AM81,'G-7 WaterC'' Data'!$AO$4:$BO$7,2,FALSE)=0,"Spatial Data Missing ⚠",VLOOKUP(AM81,'G-7 WaterC'' Data'!$AO$4:$BO$7,2,FALSE)))</f>
        <v/>
      </c>
      <c r="AO81" s="323" t="str">
        <f t="shared" si="18"/>
        <v/>
      </c>
      <c r="AP81" s="323" t="str">
        <f t="shared" si="19"/>
        <v/>
      </c>
      <c r="AQ81" s="105"/>
      <c r="AR81" s="119"/>
      <c r="AS81" s="108"/>
      <c r="AT81" s="108"/>
      <c r="AW81" s="30" t="str">
        <f>IF(E81="","",VLOOKUP($B81,'F-1 Off-Site WaterC'' Baseline'!$C$9:$Z$257,12,FALSE))</f>
        <v/>
      </c>
      <c r="AX81" s="30" t="str">
        <f>IF(E81="","",VLOOKUP($B81,'F-1 Off-Site WaterC'' Baseline'!$C$9:$Z$257,14,FALSE))</f>
        <v/>
      </c>
      <c r="AY81" s="30" t="str">
        <f>IFERROR(INDEX('G-7 WaterC'' Data'!$AZ$3:$AZ$7,MATCH(N81,'G-7 WaterC'' Data'!$AY$3:$AY$7,0)),"")</f>
        <v/>
      </c>
      <c r="AZ81" s="30" t="str">
        <f>IF(B81="","",IF(ISNA(VLOOKUP($B81,'F-1 Off-Site WaterC'' Baseline'!$C$8:$AD$257,20,FALSE)),"",(VLOOKUP($B81,'F-1 Off-Site WaterC'' Baseline'!$C$8:$AD$257,20,FALSE))))</f>
        <v/>
      </c>
      <c r="BC81" s="30" t="str">
        <f>IF(B81="","",VLOOKUP($B81,'F-1 Off-Site WaterC'' Baseline'!$C$9:$AB$257,25,FALSE))</f>
        <v/>
      </c>
      <c r="BD81" s="30" t="str">
        <f t="shared" si="20"/>
        <v/>
      </c>
      <c r="BE81" s="30" t="str">
        <f>IF(B81="","",VLOOKUP($B81,'F-1 Off-Site WaterC'' Baseline'!$C$9:$AB$257,24,FALSE))</f>
        <v/>
      </c>
      <c r="BF81" s="30" t="str">
        <f>IF(B81="","",VLOOKUP($B81,'F-1 Off-Site WaterC'' Baseline'!$C$9:$AB$257,22,FALSE))</f>
        <v/>
      </c>
      <c r="BJ81" s="30" t="str">
        <f t="shared" si="21"/>
        <v>No</v>
      </c>
    </row>
    <row r="82" spans="2:62" ht="13.8" x14ac:dyDescent="0.25">
      <c r="B82" s="311" t="str">
        <f>'F-1 Off-Site WaterC'' Baseline'!AS80</f>
        <v/>
      </c>
      <c r="C82" s="301" t="str">
        <f>IF(B82="","",VLOOKUP($B82,'F-1 Off-Site WaterC'' Baseline'!$C$9:$R$257,2,FALSE))</f>
        <v/>
      </c>
      <c r="D82" s="301" t="str">
        <f>IF(C82="","",VLOOKUP($B82,'F-1 Off-Site WaterC'' Baseline'!$C$9:$R$257,3,FALSE))</f>
        <v/>
      </c>
      <c r="E82" s="301" t="str">
        <f>IF(D82="","",VLOOKUP($B82,'F-1 Off-Site WaterC'' Baseline'!$C$9:$R$257,4,FALSE))</f>
        <v/>
      </c>
      <c r="F82" s="301" t="str">
        <f>IF(E82="","",VLOOKUP($B82,'F-1 Off-Site WaterC'' Baseline'!$C$9:$R$257,5,FALSE))</f>
        <v/>
      </c>
      <c r="G82" s="301" t="str">
        <f>IF(F82="","",VLOOKUP($B82,'F-1 Off-Site WaterC'' Baseline'!$C$9:$R$257,6,FALSE))</f>
        <v/>
      </c>
      <c r="H82" s="301" t="str">
        <f>IF(G82="","",VLOOKUP($B82,'F-1 Off-Site WaterC'' Baseline'!$C$9:$R$257,7,FALSE))</f>
        <v/>
      </c>
      <c r="I82" s="301" t="str">
        <f>IF(H82="","",VLOOKUP($B82,'F-1 Off-Site WaterC'' Baseline'!$C$9:$R$257,8,FALSE))</f>
        <v/>
      </c>
      <c r="J82" s="301" t="str">
        <f>IF(I82="","",VLOOKUP($B82,'F-1 Off-Site WaterC'' Baseline'!$C$9:$R$257,9,FALSE))</f>
        <v/>
      </c>
      <c r="K82" s="301" t="str">
        <f>IF(J82="","",VLOOKUP($B82,'F-1 Off-Site WaterC'' Baseline'!$C$9:$R$257,10,FALSE))</f>
        <v/>
      </c>
      <c r="L82" s="289" t="str">
        <f>IF(B82="","",VLOOKUP($B82,'F-1 Off-Site WaterC'' Baseline'!$C$9:$R$257,15,FALSE))</f>
        <v/>
      </c>
      <c r="M82" s="305" t="str">
        <f>IF(L82="","",VLOOKUP($B82,'F-1 Off-Site WaterC'' Baseline'!$C$9:$V$257,19,FALSE))</f>
        <v/>
      </c>
      <c r="N82" s="250"/>
      <c r="O82" s="281" t="str">
        <f t="shared" si="14"/>
        <v/>
      </c>
      <c r="P82" s="282" t="str">
        <f t="shared" si="15"/>
        <v/>
      </c>
      <c r="Q82" s="287" t="str">
        <f>IF(N82="","",VLOOKUP(B82,'F-1 Off-Site WaterC'' Baseline'!$C$10:$AF$257,23,FALSE))</f>
        <v/>
      </c>
      <c r="R82" s="281" t="str">
        <f>IF(N82="","",VLOOKUP(N82,'G-7 WaterC'' Data'!$B$2:$G$8,2,FALSE))</f>
        <v/>
      </c>
      <c r="S82" s="282" t="str">
        <f>IFERROR(VLOOKUP(R82,'G-7 WaterC'' Data'!$C$4:$D$8,2,FALSE),"")</f>
        <v/>
      </c>
      <c r="T82" s="105"/>
      <c r="U82" s="282" t="str">
        <f>IFERROR(INDEX('G-7 WaterC'' Data'!$H$4:$L$8,MATCH(N82,'G-7 WaterC'' Data'!$B$4:$B$8,0),MATCH(T82,'G-7 WaterC'' Data'!$H$3:$L$3,0)),"")</f>
        <v/>
      </c>
      <c r="V82" s="109"/>
      <c r="W82" s="301" t="str">
        <f>IF(V82="","",IF(VLOOKUP(V82,'G-7 WaterC'' Data'!$AK$4:$AM$6,2,FALSE)=0,"Spatial Data Missing ⚠",VLOOKUP(V82,'G-7 WaterC'' Data'!$AK$4:$AM$6,2,FALSE)))</f>
        <v/>
      </c>
      <c r="X82" s="305" t="str">
        <f>IF(V82="","",IF(VLOOKUP(V82,'G-7 WaterC'' Data'!$AK$4:$AM$6,3,FALSE)=0,"Spatial Data Missing ⚠",VLOOKUP(V82,'G-7 WaterC'' Data'!$AK$4:$AM$6,3,FALSE)))</f>
        <v/>
      </c>
      <c r="Y82" s="317" t="str">
        <f>IFERROR(IF(OR(LEFT(P82,5)="Error",LEFT(O82,5)="Error"),"Check Data ⚠",IF(F82&lt;S82,'G-7 WaterC'' Data'!$R$3,INDEX('G-7 WaterC'' Data'!$U$5:$Y$9,MATCH(G82,'G-7 WaterC'' Data'!$T$5:$T$9,0),MATCH(T82,'G-7 WaterC'' Data'!$U$4:$Y$4,0)))),"")</f>
        <v/>
      </c>
      <c r="Z82" s="142"/>
      <c r="AA82" s="142"/>
      <c r="AB82" s="314" t="str">
        <f t="shared" si="11"/>
        <v/>
      </c>
      <c r="AC82" s="302" t="str">
        <f t="shared" si="16"/>
        <v/>
      </c>
      <c r="AD82" s="340" t="str">
        <f>IFERROR(IF(AC82="Check Data ⚠","Check Data ⚠",VLOOKUP(AC82,'G-4 Temporal multipliers'!$A$4:$C$37,3,FALSE)),"")</f>
        <v/>
      </c>
      <c r="AE82" s="317" t="str">
        <f>IF(N82="","",VLOOKUP(N82,'G-7 WaterC'' Data'!$B$4:$G$8,5,FALSE))</f>
        <v/>
      </c>
      <c r="AF82" s="301" t="str">
        <f t="shared" si="12"/>
        <v/>
      </c>
      <c r="AG82" s="301" t="str">
        <f t="shared" si="17"/>
        <v/>
      </c>
      <c r="AH82" s="282" t="str">
        <f t="shared" si="13"/>
        <v/>
      </c>
      <c r="AI82" s="109"/>
      <c r="AJ82" s="282" t="str">
        <f>IF(AI82="","",(IF(AND(AI82="N/A - Culvert",N82&lt;&gt;"Culvert"),"Not possible ▲",IF(VLOOKUP(AI82,'G-7 WaterC'' Data'!$AA$4:$AB$7,2,FALSE)=0,"Spatial Data Missing ⚠",VLOOKUP(AI82,'G-7 WaterC'' Data'!$AA$4:$AB$7,2,FALSE)))))</f>
        <v/>
      </c>
      <c r="AK82" s="110"/>
      <c r="AL82" s="316" t="str">
        <f>IF(AK82="","",IF(AND(AK82="N/A - Culvert",N82&lt;&gt;"Culvert"),"Not possible ▲",IF(VLOOKUP(AK82,'G-7 WaterC'' Data'!$AD$4:$AE$14,2,FALSE)=0,"Spatial Data Missing ⚠",VLOOKUP(AK82,'G-7 WaterC'' Data'!$AD$4:$AE$14,2,FALSE))))</f>
        <v/>
      </c>
      <c r="AM82" s="281" t="str">
        <f>IF(B82="","",VLOOKUP($B82,'F-1 Off-Site WaterC'' Baseline'!$C$9:$Z$257,17,FALSE))</f>
        <v/>
      </c>
      <c r="AN82" s="282" t="str">
        <f>IF(AM82="","",IF(VLOOKUP(AM82,'G-7 WaterC'' Data'!$AO$4:$BO$7,2,FALSE)=0,"Spatial Data Missing ⚠",VLOOKUP(AM82,'G-7 WaterC'' Data'!$AO$4:$BO$7,2,FALSE)))</f>
        <v/>
      </c>
      <c r="AO82" s="323" t="str">
        <f t="shared" si="18"/>
        <v/>
      </c>
      <c r="AP82" s="323" t="str">
        <f t="shared" si="19"/>
        <v/>
      </c>
      <c r="AQ82" s="105"/>
      <c r="AR82" s="119"/>
      <c r="AS82" s="108"/>
      <c r="AT82" s="108"/>
      <c r="AW82" s="30" t="str">
        <f>IF(E82="","",VLOOKUP($B82,'F-1 Off-Site WaterC'' Baseline'!$C$9:$Z$257,12,FALSE))</f>
        <v/>
      </c>
      <c r="AX82" s="30" t="str">
        <f>IF(E82="","",VLOOKUP($B82,'F-1 Off-Site WaterC'' Baseline'!$C$9:$Z$257,14,FALSE))</f>
        <v/>
      </c>
      <c r="AY82" s="30" t="str">
        <f>IFERROR(INDEX('G-7 WaterC'' Data'!$AZ$3:$AZ$7,MATCH(N82,'G-7 WaterC'' Data'!$AY$3:$AY$7,0)),"")</f>
        <v/>
      </c>
      <c r="AZ82" s="30" t="str">
        <f>IF(B82="","",IF(ISNA(VLOOKUP($B82,'F-1 Off-Site WaterC'' Baseline'!$C$8:$AD$257,20,FALSE)),"",(VLOOKUP($B82,'F-1 Off-Site WaterC'' Baseline'!$C$8:$AD$257,20,FALSE))))</f>
        <v/>
      </c>
      <c r="BC82" s="30" t="str">
        <f>IF(B82="","",VLOOKUP($B82,'F-1 Off-Site WaterC'' Baseline'!$C$9:$AB$257,25,FALSE))</f>
        <v/>
      </c>
      <c r="BD82" s="30" t="str">
        <f t="shared" si="20"/>
        <v/>
      </c>
      <c r="BE82" s="30" t="str">
        <f>IF(B82="","",VLOOKUP($B82,'F-1 Off-Site WaterC'' Baseline'!$C$9:$AB$257,24,FALSE))</f>
        <v/>
      </c>
      <c r="BF82" s="30" t="str">
        <f>IF(B82="","",VLOOKUP($B82,'F-1 Off-Site WaterC'' Baseline'!$C$9:$AB$257,22,FALSE))</f>
        <v/>
      </c>
      <c r="BJ82" s="30" t="str">
        <f t="shared" si="21"/>
        <v>No</v>
      </c>
    </row>
    <row r="83" spans="2:62" ht="13.8" x14ac:dyDescent="0.25">
      <c r="B83" s="311" t="str">
        <f>'F-1 Off-Site WaterC'' Baseline'!AS81</f>
        <v/>
      </c>
      <c r="C83" s="301" t="str">
        <f>IF(B83="","",VLOOKUP($B83,'F-1 Off-Site WaterC'' Baseline'!$C$9:$R$257,2,FALSE))</f>
        <v/>
      </c>
      <c r="D83" s="301" t="str">
        <f>IF(C83="","",VLOOKUP($B83,'F-1 Off-Site WaterC'' Baseline'!$C$9:$R$257,3,FALSE))</f>
        <v/>
      </c>
      <c r="E83" s="301" t="str">
        <f>IF(D83="","",VLOOKUP($B83,'F-1 Off-Site WaterC'' Baseline'!$C$9:$R$257,4,FALSE))</f>
        <v/>
      </c>
      <c r="F83" s="301" t="str">
        <f>IF(E83="","",VLOOKUP($B83,'F-1 Off-Site WaterC'' Baseline'!$C$9:$R$257,5,FALSE))</f>
        <v/>
      </c>
      <c r="G83" s="301" t="str">
        <f>IF(F83="","",VLOOKUP($B83,'F-1 Off-Site WaterC'' Baseline'!$C$9:$R$257,6,FALSE))</f>
        <v/>
      </c>
      <c r="H83" s="301" t="str">
        <f>IF(G83="","",VLOOKUP($B83,'F-1 Off-Site WaterC'' Baseline'!$C$9:$R$257,7,FALSE))</f>
        <v/>
      </c>
      <c r="I83" s="301" t="str">
        <f>IF(H83="","",VLOOKUP($B83,'F-1 Off-Site WaterC'' Baseline'!$C$9:$R$257,8,FALSE))</f>
        <v/>
      </c>
      <c r="J83" s="301" t="str">
        <f>IF(I83="","",VLOOKUP($B83,'F-1 Off-Site WaterC'' Baseline'!$C$9:$R$257,9,FALSE))</f>
        <v/>
      </c>
      <c r="K83" s="301" t="str">
        <f>IF(J83="","",VLOOKUP($B83,'F-1 Off-Site WaterC'' Baseline'!$C$9:$R$257,10,FALSE))</f>
        <v/>
      </c>
      <c r="L83" s="289" t="str">
        <f>IF(B83="","",VLOOKUP($B83,'F-1 Off-Site WaterC'' Baseline'!$C$9:$R$257,15,FALSE))</f>
        <v/>
      </c>
      <c r="M83" s="305" t="str">
        <f>IF(L83="","",VLOOKUP($B83,'F-1 Off-Site WaterC'' Baseline'!$C$9:$V$257,19,FALSE))</f>
        <v/>
      </c>
      <c r="N83" s="250"/>
      <c r="O83" s="281" t="str">
        <f t="shared" si="14"/>
        <v/>
      </c>
      <c r="P83" s="282" t="str">
        <f t="shared" si="15"/>
        <v/>
      </c>
      <c r="Q83" s="287" t="str">
        <f>IF(N83="","",VLOOKUP(B83,'F-1 Off-Site WaterC'' Baseline'!$C$10:$AF$257,23,FALSE))</f>
        <v/>
      </c>
      <c r="R83" s="281" t="str">
        <f>IF(N83="","",VLOOKUP(N83,'G-7 WaterC'' Data'!$B$2:$G$8,2,FALSE))</f>
        <v/>
      </c>
      <c r="S83" s="282" t="str">
        <f>IFERROR(VLOOKUP(R83,'G-7 WaterC'' Data'!$C$4:$D$8,2,FALSE),"")</f>
        <v/>
      </c>
      <c r="T83" s="105"/>
      <c r="U83" s="282" t="str">
        <f>IFERROR(INDEX('G-7 WaterC'' Data'!$H$4:$L$8,MATCH(N83,'G-7 WaterC'' Data'!$B$4:$B$8,0),MATCH(T83,'G-7 WaterC'' Data'!$H$3:$L$3,0)),"")</f>
        <v/>
      </c>
      <c r="V83" s="109"/>
      <c r="W83" s="301" t="str">
        <f>IF(V83="","",IF(VLOOKUP(V83,'G-7 WaterC'' Data'!$AK$4:$AM$6,2,FALSE)=0,"Spatial Data Missing ⚠",VLOOKUP(V83,'G-7 WaterC'' Data'!$AK$4:$AM$6,2,FALSE)))</f>
        <v/>
      </c>
      <c r="X83" s="305" t="str">
        <f>IF(V83="","",IF(VLOOKUP(V83,'G-7 WaterC'' Data'!$AK$4:$AM$6,3,FALSE)=0,"Spatial Data Missing ⚠",VLOOKUP(V83,'G-7 WaterC'' Data'!$AK$4:$AM$6,3,FALSE)))</f>
        <v/>
      </c>
      <c r="Y83" s="317" t="str">
        <f>IFERROR(IF(OR(LEFT(P83,5)="Error",LEFT(O83,5)="Error"),"Check Data ⚠",IF(F83&lt;S83,'G-7 WaterC'' Data'!$R$3,INDEX('G-7 WaterC'' Data'!$U$5:$Y$9,MATCH(G83,'G-7 WaterC'' Data'!$T$5:$T$9,0),MATCH(T83,'G-7 WaterC'' Data'!$U$4:$Y$4,0)))),"")</f>
        <v/>
      </c>
      <c r="Z83" s="142"/>
      <c r="AA83" s="142"/>
      <c r="AB83" s="314" t="str">
        <f t="shared" si="11"/>
        <v/>
      </c>
      <c r="AC83" s="302" t="str">
        <f t="shared" si="16"/>
        <v/>
      </c>
      <c r="AD83" s="340" t="str">
        <f>IFERROR(IF(AC83="Check Data ⚠","Check Data ⚠",VLOOKUP(AC83,'G-4 Temporal multipliers'!$A$4:$C$37,3,FALSE)),"")</f>
        <v/>
      </c>
      <c r="AE83" s="317" t="str">
        <f>IF(N83="","",VLOOKUP(N83,'G-7 WaterC'' Data'!$B$4:$G$8,5,FALSE))</f>
        <v/>
      </c>
      <c r="AF83" s="301" t="str">
        <f t="shared" si="12"/>
        <v/>
      </c>
      <c r="AG83" s="301" t="str">
        <f t="shared" si="17"/>
        <v/>
      </c>
      <c r="AH83" s="282" t="str">
        <f t="shared" si="13"/>
        <v/>
      </c>
      <c r="AI83" s="109"/>
      <c r="AJ83" s="282" t="str">
        <f>IF(AI83="","",(IF(AND(AI83="N/A - Culvert",N83&lt;&gt;"Culvert"),"Not possible ▲",IF(VLOOKUP(AI83,'G-7 WaterC'' Data'!$AA$4:$AB$7,2,FALSE)=0,"Spatial Data Missing ⚠",VLOOKUP(AI83,'G-7 WaterC'' Data'!$AA$4:$AB$7,2,FALSE)))))</f>
        <v/>
      </c>
      <c r="AK83" s="110"/>
      <c r="AL83" s="316" t="str">
        <f>IF(AK83="","",IF(AND(AK83="N/A - Culvert",N83&lt;&gt;"Culvert"),"Not possible ▲",IF(VLOOKUP(AK83,'G-7 WaterC'' Data'!$AD$4:$AE$14,2,FALSE)=0,"Spatial Data Missing ⚠",VLOOKUP(AK83,'G-7 WaterC'' Data'!$AD$4:$AE$14,2,FALSE))))</f>
        <v/>
      </c>
      <c r="AM83" s="281" t="str">
        <f>IF(B83="","",VLOOKUP($B83,'F-1 Off-Site WaterC'' Baseline'!$C$9:$Z$257,17,FALSE))</f>
        <v/>
      </c>
      <c r="AN83" s="282" t="str">
        <f>IF(AM83="","",IF(VLOOKUP(AM83,'G-7 WaterC'' Data'!$AO$4:$BO$7,2,FALSE)=0,"Spatial Data Missing ⚠",VLOOKUP(AM83,'G-7 WaterC'' Data'!$AO$4:$BO$7,2,FALSE)))</f>
        <v/>
      </c>
      <c r="AO83" s="323" t="str">
        <f t="shared" si="18"/>
        <v/>
      </c>
      <c r="AP83" s="323" t="str">
        <f t="shared" si="19"/>
        <v/>
      </c>
      <c r="AQ83" s="105"/>
      <c r="AR83" s="119"/>
      <c r="AS83" s="108"/>
      <c r="AT83" s="108"/>
      <c r="AW83" s="30" t="str">
        <f>IF(E83="","",VLOOKUP($B83,'F-1 Off-Site WaterC'' Baseline'!$C$9:$Z$257,12,FALSE))</f>
        <v/>
      </c>
      <c r="AX83" s="30" t="str">
        <f>IF(E83="","",VLOOKUP($B83,'F-1 Off-Site WaterC'' Baseline'!$C$9:$Z$257,14,FALSE))</f>
        <v/>
      </c>
      <c r="AY83" s="30" t="str">
        <f>IFERROR(INDEX('G-7 WaterC'' Data'!$AZ$3:$AZ$7,MATCH(N83,'G-7 WaterC'' Data'!$AY$3:$AY$7,0)),"")</f>
        <v/>
      </c>
      <c r="AZ83" s="30" t="str">
        <f>IF(B83="","",IF(ISNA(VLOOKUP($B83,'F-1 Off-Site WaterC'' Baseline'!$C$8:$AD$257,20,FALSE)),"",(VLOOKUP($B83,'F-1 Off-Site WaterC'' Baseline'!$C$8:$AD$257,20,FALSE))))</f>
        <v/>
      </c>
      <c r="BC83" s="30" t="str">
        <f>IF(B83="","",VLOOKUP($B83,'F-1 Off-Site WaterC'' Baseline'!$C$9:$AB$257,25,FALSE))</f>
        <v/>
      </c>
      <c r="BD83" s="30" t="str">
        <f t="shared" si="20"/>
        <v/>
      </c>
      <c r="BE83" s="30" t="str">
        <f>IF(B83="","",VLOOKUP($B83,'F-1 Off-Site WaterC'' Baseline'!$C$9:$AB$257,24,FALSE))</f>
        <v/>
      </c>
      <c r="BF83" s="30" t="str">
        <f>IF(B83="","",VLOOKUP($B83,'F-1 Off-Site WaterC'' Baseline'!$C$9:$AB$257,22,FALSE))</f>
        <v/>
      </c>
      <c r="BJ83" s="30" t="str">
        <f t="shared" si="21"/>
        <v>No</v>
      </c>
    </row>
    <row r="84" spans="2:62" ht="13.8" x14ac:dyDescent="0.25">
      <c r="B84" s="311" t="str">
        <f>'F-1 Off-Site WaterC'' Baseline'!AS82</f>
        <v/>
      </c>
      <c r="C84" s="301" t="str">
        <f>IF(B84="","",VLOOKUP($B84,'F-1 Off-Site WaterC'' Baseline'!$C$9:$R$257,2,FALSE))</f>
        <v/>
      </c>
      <c r="D84" s="301" t="str">
        <f>IF(C84="","",VLOOKUP($B84,'F-1 Off-Site WaterC'' Baseline'!$C$9:$R$257,3,FALSE))</f>
        <v/>
      </c>
      <c r="E84" s="301" t="str">
        <f>IF(D84="","",VLOOKUP($B84,'F-1 Off-Site WaterC'' Baseline'!$C$9:$R$257,4,FALSE))</f>
        <v/>
      </c>
      <c r="F84" s="301" t="str">
        <f>IF(E84="","",VLOOKUP($B84,'F-1 Off-Site WaterC'' Baseline'!$C$9:$R$257,5,FALSE))</f>
        <v/>
      </c>
      <c r="G84" s="301" t="str">
        <f>IF(F84="","",VLOOKUP($B84,'F-1 Off-Site WaterC'' Baseline'!$C$9:$R$257,6,FALSE))</f>
        <v/>
      </c>
      <c r="H84" s="301" t="str">
        <f>IF(G84="","",VLOOKUP($B84,'F-1 Off-Site WaterC'' Baseline'!$C$9:$R$257,7,FALSE))</f>
        <v/>
      </c>
      <c r="I84" s="301" t="str">
        <f>IF(H84="","",VLOOKUP($B84,'F-1 Off-Site WaterC'' Baseline'!$C$9:$R$257,8,FALSE))</f>
        <v/>
      </c>
      <c r="J84" s="301" t="str">
        <f>IF(I84="","",VLOOKUP($B84,'F-1 Off-Site WaterC'' Baseline'!$C$9:$R$257,9,FALSE))</f>
        <v/>
      </c>
      <c r="K84" s="301" t="str">
        <f>IF(J84="","",VLOOKUP($B84,'F-1 Off-Site WaterC'' Baseline'!$C$9:$R$257,10,FALSE))</f>
        <v/>
      </c>
      <c r="L84" s="289" t="str">
        <f>IF(B84="","",VLOOKUP($B84,'F-1 Off-Site WaterC'' Baseline'!$C$9:$R$257,15,FALSE))</f>
        <v/>
      </c>
      <c r="M84" s="305" t="str">
        <f>IF(L84="","",VLOOKUP($B84,'F-1 Off-Site WaterC'' Baseline'!$C$9:$V$257,19,FALSE))</f>
        <v/>
      </c>
      <c r="N84" s="250"/>
      <c r="O84" s="281" t="str">
        <f t="shared" si="14"/>
        <v/>
      </c>
      <c r="P84" s="282" t="str">
        <f t="shared" si="15"/>
        <v/>
      </c>
      <c r="Q84" s="287" t="str">
        <f>IF(N84="","",VLOOKUP(B84,'F-1 Off-Site WaterC'' Baseline'!$C$10:$AF$257,23,FALSE))</f>
        <v/>
      </c>
      <c r="R84" s="281" t="str">
        <f>IF(N84="","",VLOOKUP(N84,'G-7 WaterC'' Data'!$B$2:$G$8,2,FALSE))</f>
        <v/>
      </c>
      <c r="S84" s="282" t="str">
        <f>IFERROR(VLOOKUP(R84,'G-7 WaterC'' Data'!$C$4:$D$8,2,FALSE),"")</f>
        <v/>
      </c>
      <c r="T84" s="105"/>
      <c r="U84" s="282" t="str">
        <f>IFERROR(INDEX('G-7 WaterC'' Data'!$H$4:$L$8,MATCH(N84,'G-7 WaterC'' Data'!$B$4:$B$8,0),MATCH(T84,'G-7 WaterC'' Data'!$H$3:$L$3,0)),"")</f>
        <v/>
      </c>
      <c r="V84" s="109"/>
      <c r="W84" s="301" t="str">
        <f>IF(V84="","",IF(VLOOKUP(V84,'G-7 WaterC'' Data'!$AK$4:$AM$6,2,FALSE)=0,"Spatial Data Missing ⚠",VLOOKUP(V84,'G-7 WaterC'' Data'!$AK$4:$AM$6,2,FALSE)))</f>
        <v/>
      </c>
      <c r="X84" s="305" t="str">
        <f>IF(V84="","",IF(VLOOKUP(V84,'G-7 WaterC'' Data'!$AK$4:$AM$6,3,FALSE)=0,"Spatial Data Missing ⚠",VLOOKUP(V84,'G-7 WaterC'' Data'!$AK$4:$AM$6,3,FALSE)))</f>
        <v/>
      </c>
      <c r="Y84" s="317" t="str">
        <f>IFERROR(IF(OR(LEFT(P84,5)="Error",LEFT(O84,5)="Error"),"Check Data ⚠",IF(F84&lt;S84,'G-7 WaterC'' Data'!$R$3,INDEX('G-7 WaterC'' Data'!$U$5:$Y$9,MATCH(G84,'G-7 WaterC'' Data'!$T$5:$T$9,0),MATCH(T84,'G-7 WaterC'' Data'!$U$4:$Y$4,0)))),"")</f>
        <v/>
      </c>
      <c r="Z84" s="142"/>
      <c r="AA84" s="142"/>
      <c r="AB84" s="314" t="str">
        <f t="shared" si="11"/>
        <v/>
      </c>
      <c r="AC84" s="302" t="str">
        <f t="shared" si="16"/>
        <v/>
      </c>
      <c r="AD84" s="340" t="str">
        <f>IFERROR(IF(AC84="Check Data ⚠","Check Data ⚠",VLOOKUP(AC84,'G-4 Temporal multipliers'!$A$4:$C$37,3,FALSE)),"")</f>
        <v/>
      </c>
      <c r="AE84" s="317" t="str">
        <f>IF(N84="","",VLOOKUP(N84,'G-7 WaterC'' Data'!$B$4:$G$8,5,FALSE))</f>
        <v/>
      </c>
      <c r="AF84" s="301" t="str">
        <f t="shared" si="12"/>
        <v/>
      </c>
      <c r="AG84" s="301" t="str">
        <f t="shared" si="17"/>
        <v/>
      </c>
      <c r="AH84" s="282" t="str">
        <f t="shared" si="13"/>
        <v/>
      </c>
      <c r="AI84" s="109"/>
      <c r="AJ84" s="282" t="str">
        <f>IF(AI84="","",(IF(AND(AI84="N/A - Culvert",N84&lt;&gt;"Culvert"),"Not possible ▲",IF(VLOOKUP(AI84,'G-7 WaterC'' Data'!$AA$4:$AB$7,2,FALSE)=0,"Spatial Data Missing ⚠",VLOOKUP(AI84,'G-7 WaterC'' Data'!$AA$4:$AB$7,2,FALSE)))))</f>
        <v/>
      </c>
      <c r="AK84" s="110"/>
      <c r="AL84" s="316" t="str">
        <f>IF(AK84="","",IF(AND(AK84="N/A - Culvert",N84&lt;&gt;"Culvert"),"Not possible ▲",IF(VLOOKUP(AK84,'G-7 WaterC'' Data'!$AD$4:$AE$14,2,FALSE)=0,"Spatial Data Missing ⚠",VLOOKUP(AK84,'G-7 WaterC'' Data'!$AD$4:$AE$14,2,FALSE))))</f>
        <v/>
      </c>
      <c r="AM84" s="281" t="str">
        <f>IF(B84="","",VLOOKUP($B84,'F-1 Off-Site WaterC'' Baseline'!$C$9:$Z$257,17,FALSE))</f>
        <v/>
      </c>
      <c r="AN84" s="282" t="str">
        <f>IF(AM84="","",IF(VLOOKUP(AM84,'G-7 WaterC'' Data'!$AO$4:$BO$7,2,FALSE)=0,"Spatial Data Missing ⚠",VLOOKUP(AM84,'G-7 WaterC'' Data'!$AO$4:$BO$7,2,FALSE)))</f>
        <v/>
      </c>
      <c r="AO84" s="323" t="str">
        <f t="shared" si="18"/>
        <v/>
      </c>
      <c r="AP84" s="323" t="str">
        <f t="shared" si="19"/>
        <v/>
      </c>
      <c r="AQ84" s="105"/>
      <c r="AR84" s="119"/>
      <c r="AS84" s="108"/>
      <c r="AT84" s="108"/>
      <c r="AW84" s="30" t="str">
        <f>IF(E84="","",VLOOKUP($B84,'F-1 Off-Site WaterC'' Baseline'!$C$9:$Z$257,12,FALSE))</f>
        <v/>
      </c>
      <c r="AX84" s="30" t="str">
        <f>IF(E84="","",VLOOKUP($B84,'F-1 Off-Site WaterC'' Baseline'!$C$9:$Z$257,14,FALSE))</f>
        <v/>
      </c>
      <c r="AY84" s="30" t="str">
        <f>IFERROR(INDEX('G-7 WaterC'' Data'!$AZ$3:$AZ$7,MATCH(N84,'G-7 WaterC'' Data'!$AY$3:$AY$7,0)),"")</f>
        <v/>
      </c>
      <c r="AZ84" s="30" t="str">
        <f>IF(B84="","",IF(ISNA(VLOOKUP($B84,'F-1 Off-Site WaterC'' Baseline'!$C$8:$AD$257,20,FALSE)),"",(VLOOKUP($B84,'F-1 Off-Site WaterC'' Baseline'!$C$8:$AD$257,20,FALSE))))</f>
        <v/>
      </c>
      <c r="BC84" s="30" t="str">
        <f>IF(B84="","",VLOOKUP($B84,'F-1 Off-Site WaterC'' Baseline'!$C$9:$AB$257,25,FALSE))</f>
        <v/>
      </c>
      <c r="BD84" s="30" t="str">
        <f t="shared" si="20"/>
        <v/>
      </c>
      <c r="BE84" s="30" t="str">
        <f>IF(B84="","",VLOOKUP($B84,'F-1 Off-Site WaterC'' Baseline'!$C$9:$AB$257,24,FALSE))</f>
        <v/>
      </c>
      <c r="BF84" s="30" t="str">
        <f>IF(B84="","",VLOOKUP($B84,'F-1 Off-Site WaterC'' Baseline'!$C$9:$AB$257,22,FALSE))</f>
        <v/>
      </c>
      <c r="BJ84" s="30" t="str">
        <f t="shared" si="21"/>
        <v>No</v>
      </c>
    </row>
    <row r="85" spans="2:62" ht="13.8" x14ac:dyDescent="0.25">
      <c r="B85" s="311" t="str">
        <f>'F-1 Off-Site WaterC'' Baseline'!AS83</f>
        <v/>
      </c>
      <c r="C85" s="301" t="str">
        <f>IF(B85="","",VLOOKUP($B85,'F-1 Off-Site WaterC'' Baseline'!$C$9:$R$257,2,FALSE))</f>
        <v/>
      </c>
      <c r="D85" s="301" t="str">
        <f>IF(C85="","",VLOOKUP($B85,'F-1 Off-Site WaterC'' Baseline'!$C$9:$R$257,3,FALSE))</f>
        <v/>
      </c>
      <c r="E85" s="301" t="str">
        <f>IF(D85="","",VLOOKUP($B85,'F-1 Off-Site WaterC'' Baseline'!$C$9:$R$257,4,FALSE))</f>
        <v/>
      </c>
      <c r="F85" s="301" t="str">
        <f>IF(E85="","",VLOOKUP($B85,'F-1 Off-Site WaterC'' Baseline'!$C$9:$R$257,5,FALSE))</f>
        <v/>
      </c>
      <c r="G85" s="301" t="str">
        <f>IF(F85="","",VLOOKUP($B85,'F-1 Off-Site WaterC'' Baseline'!$C$9:$R$257,6,FALSE))</f>
        <v/>
      </c>
      <c r="H85" s="301" t="str">
        <f>IF(G85="","",VLOOKUP($B85,'F-1 Off-Site WaterC'' Baseline'!$C$9:$R$257,7,FALSE))</f>
        <v/>
      </c>
      <c r="I85" s="301" t="str">
        <f>IF(H85="","",VLOOKUP($B85,'F-1 Off-Site WaterC'' Baseline'!$C$9:$R$257,8,FALSE))</f>
        <v/>
      </c>
      <c r="J85" s="301" t="str">
        <f>IF(I85="","",VLOOKUP($B85,'F-1 Off-Site WaterC'' Baseline'!$C$9:$R$257,9,FALSE))</f>
        <v/>
      </c>
      <c r="K85" s="301" t="str">
        <f>IF(J85="","",VLOOKUP($B85,'F-1 Off-Site WaterC'' Baseline'!$C$9:$R$257,10,FALSE))</f>
        <v/>
      </c>
      <c r="L85" s="289" t="str">
        <f>IF(B85="","",VLOOKUP($B85,'F-1 Off-Site WaterC'' Baseline'!$C$9:$R$257,15,FALSE))</f>
        <v/>
      </c>
      <c r="M85" s="305" t="str">
        <f>IF(L85="","",VLOOKUP($B85,'F-1 Off-Site WaterC'' Baseline'!$C$9:$V$257,19,FALSE))</f>
        <v/>
      </c>
      <c r="N85" s="250"/>
      <c r="O85" s="281" t="str">
        <f t="shared" si="14"/>
        <v/>
      </c>
      <c r="P85" s="282" t="str">
        <f t="shared" si="15"/>
        <v/>
      </c>
      <c r="Q85" s="287" t="str">
        <f>IF(N85="","",VLOOKUP(B85,'F-1 Off-Site WaterC'' Baseline'!$C$10:$AF$257,23,FALSE))</f>
        <v/>
      </c>
      <c r="R85" s="281" t="str">
        <f>IF(N85="","",VLOOKUP(N85,'G-7 WaterC'' Data'!$B$2:$G$8,2,FALSE))</f>
        <v/>
      </c>
      <c r="S85" s="282" t="str">
        <f>IFERROR(VLOOKUP(R85,'G-7 WaterC'' Data'!$C$4:$D$8,2,FALSE),"")</f>
        <v/>
      </c>
      <c r="T85" s="105"/>
      <c r="U85" s="282" t="str">
        <f>IFERROR(INDEX('G-7 WaterC'' Data'!$H$4:$L$8,MATCH(N85,'G-7 WaterC'' Data'!$B$4:$B$8,0),MATCH(T85,'G-7 WaterC'' Data'!$H$3:$L$3,0)),"")</f>
        <v/>
      </c>
      <c r="V85" s="109"/>
      <c r="W85" s="301" t="str">
        <f>IF(V85="","",IF(VLOOKUP(V85,'G-7 WaterC'' Data'!$AK$4:$AM$6,2,FALSE)=0,"Spatial Data Missing ⚠",VLOOKUP(V85,'G-7 WaterC'' Data'!$AK$4:$AM$6,2,FALSE)))</f>
        <v/>
      </c>
      <c r="X85" s="305" t="str">
        <f>IF(V85="","",IF(VLOOKUP(V85,'G-7 WaterC'' Data'!$AK$4:$AM$6,3,FALSE)=0,"Spatial Data Missing ⚠",VLOOKUP(V85,'G-7 WaterC'' Data'!$AK$4:$AM$6,3,FALSE)))</f>
        <v/>
      </c>
      <c r="Y85" s="317" t="str">
        <f>IFERROR(IF(OR(LEFT(P85,5)="Error",LEFT(O85,5)="Error"),"Check Data ⚠",IF(F85&lt;S85,'G-7 WaterC'' Data'!$R$3,INDEX('G-7 WaterC'' Data'!$U$5:$Y$9,MATCH(G85,'G-7 WaterC'' Data'!$T$5:$T$9,0),MATCH(T85,'G-7 WaterC'' Data'!$U$4:$Y$4,0)))),"")</f>
        <v/>
      </c>
      <c r="Z85" s="142"/>
      <c r="AA85" s="142"/>
      <c r="AB85" s="314" t="str">
        <f t="shared" si="11"/>
        <v/>
      </c>
      <c r="AC85" s="302" t="str">
        <f t="shared" si="16"/>
        <v/>
      </c>
      <c r="AD85" s="340" t="str">
        <f>IFERROR(IF(AC85="Check Data ⚠","Check Data ⚠",VLOOKUP(AC85,'G-4 Temporal multipliers'!$A$4:$C$37,3,FALSE)),"")</f>
        <v/>
      </c>
      <c r="AE85" s="317" t="str">
        <f>IF(N85="","",VLOOKUP(N85,'G-7 WaterC'' Data'!$B$4:$G$8,5,FALSE))</f>
        <v/>
      </c>
      <c r="AF85" s="301" t="str">
        <f t="shared" si="12"/>
        <v/>
      </c>
      <c r="AG85" s="301" t="str">
        <f t="shared" si="17"/>
        <v/>
      </c>
      <c r="AH85" s="282" t="str">
        <f t="shared" si="13"/>
        <v/>
      </c>
      <c r="AI85" s="109"/>
      <c r="AJ85" s="282" t="str">
        <f>IF(AI85="","",(IF(AND(AI85="N/A - Culvert",N85&lt;&gt;"Culvert"),"Not possible ▲",IF(VLOOKUP(AI85,'G-7 WaterC'' Data'!$AA$4:$AB$7,2,FALSE)=0,"Spatial Data Missing ⚠",VLOOKUP(AI85,'G-7 WaterC'' Data'!$AA$4:$AB$7,2,FALSE)))))</f>
        <v/>
      </c>
      <c r="AK85" s="110"/>
      <c r="AL85" s="316" t="str">
        <f>IF(AK85="","",IF(AND(AK85="N/A - Culvert",N85&lt;&gt;"Culvert"),"Not possible ▲",IF(VLOOKUP(AK85,'G-7 WaterC'' Data'!$AD$4:$AE$14,2,FALSE)=0,"Spatial Data Missing ⚠",VLOOKUP(AK85,'G-7 WaterC'' Data'!$AD$4:$AE$14,2,FALSE))))</f>
        <v/>
      </c>
      <c r="AM85" s="281" t="str">
        <f>IF(B85="","",VLOOKUP($B85,'F-1 Off-Site WaterC'' Baseline'!$C$9:$Z$257,17,FALSE))</f>
        <v/>
      </c>
      <c r="AN85" s="282" t="str">
        <f>IF(AM85="","",IF(VLOOKUP(AM85,'G-7 WaterC'' Data'!$AO$4:$BO$7,2,FALSE)=0,"Spatial Data Missing ⚠",VLOOKUP(AM85,'G-7 WaterC'' Data'!$AO$4:$BO$7,2,FALSE)))</f>
        <v/>
      </c>
      <c r="AO85" s="323" t="str">
        <f t="shared" si="18"/>
        <v/>
      </c>
      <c r="AP85" s="323" t="str">
        <f t="shared" si="19"/>
        <v/>
      </c>
      <c r="AQ85" s="105"/>
      <c r="AR85" s="119"/>
      <c r="AS85" s="108"/>
      <c r="AT85" s="108"/>
      <c r="AW85" s="30" t="str">
        <f>IF(E85="","",VLOOKUP($B85,'F-1 Off-Site WaterC'' Baseline'!$C$9:$Z$257,12,FALSE))</f>
        <v/>
      </c>
      <c r="AX85" s="30" t="str">
        <f>IF(E85="","",VLOOKUP($B85,'F-1 Off-Site WaterC'' Baseline'!$C$9:$Z$257,14,FALSE))</f>
        <v/>
      </c>
      <c r="AY85" s="30" t="str">
        <f>IFERROR(INDEX('G-7 WaterC'' Data'!$AZ$3:$AZ$7,MATCH(N85,'G-7 WaterC'' Data'!$AY$3:$AY$7,0)),"")</f>
        <v/>
      </c>
      <c r="AZ85" s="30" t="str">
        <f>IF(B85="","",IF(ISNA(VLOOKUP($B85,'F-1 Off-Site WaterC'' Baseline'!$C$8:$AD$257,20,FALSE)),"",(VLOOKUP($B85,'F-1 Off-Site WaterC'' Baseline'!$C$8:$AD$257,20,FALSE))))</f>
        <v/>
      </c>
      <c r="BC85" s="30" t="str">
        <f>IF(B85="","",VLOOKUP($B85,'F-1 Off-Site WaterC'' Baseline'!$C$9:$AB$257,25,FALSE))</f>
        <v/>
      </c>
      <c r="BD85" s="30" t="str">
        <f t="shared" si="20"/>
        <v/>
      </c>
      <c r="BE85" s="30" t="str">
        <f>IF(B85="","",VLOOKUP($B85,'F-1 Off-Site WaterC'' Baseline'!$C$9:$AB$257,24,FALSE))</f>
        <v/>
      </c>
      <c r="BF85" s="30" t="str">
        <f>IF(B85="","",VLOOKUP($B85,'F-1 Off-Site WaterC'' Baseline'!$C$9:$AB$257,22,FALSE))</f>
        <v/>
      </c>
      <c r="BJ85" s="30" t="str">
        <f t="shared" si="21"/>
        <v>No</v>
      </c>
    </row>
    <row r="86" spans="2:62" ht="13.8" x14ac:dyDescent="0.25">
      <c r="B86" s="311" t="str">
        <f>'F-1 Off-Site WaterC'' Baseline'!AS84</f>
        <v/>
      </c>
      <c r="C86" s="301" t="str">
        <f>IF(B86="","",VLOOKUP($B86,'F-1 Off-Site WaterC'' Baseline'!$C$9:$R$257,2,FALSE))</f>
        <v/>
      </c>
      <c r="D86" s="301" t="str">
        <f>IF(C86="","",VLOOKUP($B86,'F-1 Off-Site WaterC'' Baseline'!$C$9:$R$257,3,FALSE))</f>
        <v/>
      </c>
      <c r="E86" s="301" t="str">
        <f>IF(D86="","",VLOOKUP($B86,'F-1 Off-Site WaterC'' Baseline'!$C$9:$R$257,4,FALSE))</f>
        <v/>
      </c>
      <c r="F86" s="301" t="str">
        <f>IF(E86="","",VLOOKUP($B86,'F-1 Off-Site WaterC'' Baseline'!$C$9:$R$257,5,FALSE))</f>
        <v/>
      </c>
      <c r="G86" s="301" t="str">
        <f>IF(F86="","",VLOOKUP($B86,'F-1 Off-Site WaterC'' Baseline'!$C$9:$R$257,6,FALSE))</f>
        <v/>
      </c>
      <c r="H86" s="301" t="str">
        <f>IF(G86="","",VLOOKUP($B86,'F-1 Off-Site WaterC'' Baseline'!$C$9:$R$257,7,FALSE))</f>
        <v/>
      </c>
      <c r="I86" s="301" t="str">
        <f>IF(H86="","",VLOOKUP($B86,'F-1 Off-Site WaterC'' Baseline'!$C$9:$R$257,8,FALSE))</f>
        <v/>
      </c>
      <c r="J86" s="301" t="str">
        <f>IF(I86="","",VLOOKUP($B86,'F-1 Off-Site WaterC'' Baseline'!$C$9:$R$257,9,FALSE))</f>
        <v/>
      </c>
      <c r="K86" s="301" t="str">
        <f>IF(J86="","",VLOOKUP($B86,'F-1 Off-Site WaterC'' Baseline'!$C$9:$R$257,10,FALSE))</f>
        <v/>
      </c>
      <c r="L86" s="289" t="str">
        <f>IF(B86="","",VLOOKUP($B86,'F-1 Off-Site WaterC'' Baseline'!$C$9:$R$257,15,FALSE))</f>
        <v/>
      </c>
      <c r="M86" s="305" t="str">
        <f>IF(L86="","",VLOOKUP($B86,'F-1 Off-Site WaterC'' Baseline'!$C$9:$V$257,19,FALSE))</f>
        <v/>
      </c>
      <c r="N86" s="250"/>
      <c r="O86" s="281" t="str">
        <f t="shared" si="14"/>
        <v/>
      </c>
      <c r="P86" s="282" t="str">
        <f t="shared" si="15"/>
        <v/>
      </c>
      <c r="Q86" s="287" t="str">
        <f>IF(N86="","",VLOOKUP(B86,'F-1 Off-Site WaterC'' Baseline'!$C$10:$AF$257,23,FALSE))</f>
        <v/>
      </c>
      <c r="R86" s="281" t="str">
        <f>IF(N86="","",VLOOKUP(N86,'G-7 WaterC'' Data'!$B$2:$G$8,2,FALSE))</f>
        <v/>
      </c>
      <c r="S86" s="282" t="str">
        <f>IFERROR(VLOOKUP(R86,'G-7 WaterC'' Data'!$C$4:$D$8,2,FALSE),"")</f>
        <v/>
      </c>
      <c r="T86" s="105"/>
      <c r="U86" s="282" t="str">
        <f>IFERROR(INDEX('G-7 WaterC'' Data'!$H$4:$L$8,MATCH(N86,'G-7 WaterC'' Data'!$B$4:$B$8,0),MATCH(T86,'G-7 WaterC'' Data'!$H$3:$L$3,0)),"")</f>
        <v/>
      </c>
      <c r="V86" s="109"/>
      <c r="W86" s="301" t="str">
        <f>IF(V86="","",IF(VLOOKUP(V86,'G-7 WaterC'' Data'!$AK$4:$AM$6,2,FALSE)=0,"Spatial Data Missing ⚠",VLOOKUP(V86,'G-7 WaterC'' Data'!$AK$4:$AM$6,2,FALSE)))</f>
        <v/>
      </c>
      <c r="X86" s="305" t="str">
        <f>IF(V86="","",IF(VLOOKUP(V86,'G-7 WaterC'' Data'!$AK$4:$AM$6,3,FALSE)=0,"Spatial Data Missing ⚠",VLOOKUP(V86,'G-7 WaterC'' Data'!$AK$4:$AM$6,3,FALSE)))</f>
        <v/>
      </c>
      <c r="Y86" s="317" t="str">
        <f>IFERROR(IF(OR(LEFT(P86,5)="Error",LEFT(O86,5)="Error"),"Check Data ⚠",IF(F86&lt;S86,'G-7 WaterC'' Data'!$R$3,INDEX('G-7 WaterC'' Data'!$U$5:$Y$9,MATCH(G86,'G-7 WaterC'' Data'!$T$5:$T$9,0),MATCH(T86,'G-7 WaterC'' Data'!$U$4:$Y$4,0)))),"")</f>
        <v/>
      </c>
      <c r="Z86" s="142"/>
      <c r="AA86" s="142"/>
      <c r="AB86" s="314" t="str">
        <f t="shared" si="11"/>
        <v/>
      </c>
      <c r="AC86" s="302" t="str">
        <f t="shared" si="16"/>
        <v/>
      </c>
      <c r="AD86" s="340" t="str">
        <f>IFERROR(IF(AC86="Check Data ⚠","Check Data ⚠",VLOOKUP(AC86,'G-4 Temporal multipliers'!$A$4:$C$37,3,FALSE)),"")</f>
        <v/>
      </c>
      <c r="AE86" s="317" t="str">
        <f>IF(N86="","",VLOOKUP(N86,'G-7 WaterC'' Data'!$B$4:$G$8,5,FALSE))</f>
        <v/>
      </c>
      <c r="AF86" s="301" t="str">
        <f t="shared" si="12"/>
        <v/>
      </c>
      <c r="AG86" s="301" t="str">
        <f t="shared" si="17"/>
        <v/>
      </c>
      <c r="AH86" s="282" t="str">
        <f t="shared" si="13"/>
        <v/>
      </c>
      <c r="AI86" s="109"/>
      <c r="AJ86" s="282" t="str">
        <f>IF(AI86="","",(IF(AND(AI86="N/A - Culvert",N86&lt;&gt;"Culvert"),"Not possible ▲",IF(VLOOKUP(AI86,'G-7 WaterC'' Data'!$AA$4:$AB$7,2,FALSE)=0,"Spatial Data Missing ⚠",VLOOKUP(AI86,'G-7 WaterC'' Data'!$AA$4:$AB$7,2,FALSE)))))</f>
        <v/>
      </c>
      <c r="AK86" s="110"/>
      <c r="AL86" s="316" t="str">
        <f>IF(AK86="","",IF(AND(AK86="N/A - Culvert",N86&lt;&gt;"Culvert"),"Not possible ▲",IF(VLOOKUP(AK86,'G-7 WaterC'' Data'!$AD$4:$AE$14,2,FALSE)=0,"Spatial Data Missing ⚠",VLOOKUP(AK86,'G-7 WaterC'' Data'!$AD$4:$AE$14,2,FALSE))))</f>
        <v/>
      </c>
      <c r="AM86" s="281" t="str">
        <f>IF(B86="","",VLOOKUP($B86,'F-1 Off-Site WaterC'' Baseline'!$C$9:$Z$257,17,FALSE))</f>
        <v/>
      </c>
      <c r="AN86" s="282" t="str">
        <f>IF(AM86="","",IF(VLOOKUP(AM86,'G-7 WaterC'' Data'!$AO$4:$BO$7,2,FALSE)=0,"Spatial Data Missing ⚠",VLOOKUP(AM86,'G-7 WaterC'' Data'!$AO$4:$BO$7,2,FALSE)))</f>
        <v/>
      </c>
      <c r="AO86" s="323" t="str">
        <f t="shared" si="18"/>
        <v/>
      </c>
      <c r="AP86" s="323" t="str">
        <f t="shared" si="19"/>
        <v/>
      </c>
      <c r="AQ86" s="105"/>
      <c r="AR86" s="119"/>
      <c r="AS86" s="108"/>
      <c r="AT86" s="108"/>
      <c r="AW86" s="30" t="str">
        <f>IF(E86="","",VLOOKUP($B86,'F-1 Off-Site WaterC'' Baseline'!$C$9:$Z$257,12,FALSE))</f>
        <v/>
      </c>
      <c r="AX86" s="30" t="str">
        <f>IF(E86="","",VLOOKUP($B86,'F-1 Off-Site WaterC'' Baseline'!$C$9:$Z$257,14,FALSE))</f>
        <v/>
      </c>
      <c r="AY86" s="30" t="str">
        <f>IFERROR(INDEX('G-7 WaterC'' Data'!$AZ$3:$AZ$7,MATCH(N86,'G-7 WaterC'' Data'!$AY$3:$AY$7,0)),"")</f>
        <v/>
      </c>
      <c r="AZ86" s="30" t="str">
        <f>IF(B86="","",IF(ISNA(VLOOKUP($B86,'F-1 Off-Site WaterC'' Baseline'!$C$8:$AD$257,20,FALSE)),"",(VLOOKUP($B86,'F-1 Off-Site WaterC'' Baseline'!$C$8:$AD$257,20,FALSE))))</f>
        <v/>
      </c>
      <c r="BC86" s="30" t="str">
        <f>IF(B86="","",VLOOKUP($B86,'F-1 Off-Site WaterC'' Baseline'!$C$9:$AB$257,25,FALSE))</f>
        <v/>
      </c>
      <c r="BD86" s="30" t="str">
        <f t="shared" si="20"/>
        <v/>
      </c>
      <c r="BE86" s="30" t="str">
        <f>IF(B86="","",VLOOKUP($B86,'F-1 Off-Site WaterC'' Baseline'!$C$9:$AB$257,24,FALSE))</f>
        <v/>
      </c>
      <c r="BF86" s="30" t="str">
        <f>IF(B86="","",VLOOKUP($B86,'F-1 Off-Site WaterC'' Baseline'!$C$9:$AB$257,22,FALSE))</f>
        <v/>
      </c>
      <c r="BJ86" s="30" t="str">
        <f t="shared" si="21"/>
        <v>No</v>
      </c>
    </row>
    <row r="87" spans="2:62" ht="13.8" x14ac:dyDescent="0.25">
      <c r="B87" s="311" t="str">
        <f>'F-1 Off-Site WaterC'' Baseline'!AS85</f>
        <v/>
      </c>
      <c r="C87" s="301" t="str">
        <f>IF(B87="","",VLOOKUP($B87,'F-1 Off-Site WaterC'' Baseline'!$C$9:$R$257,2,FALSE))</f>
        <v/>
      </c>
      <c r="D87" s="301" t="str">
        <f>IF(C87="","",VLOOKUP($B87,'F-1 Off-Site WaterC'' Baseline'!$C$9:$R$257,3,FALSE))</f>
        <v/>
      </c>
      <c r="E87" s="301" t="str">
        <f>IF(D87="","",VLOOKUP($B87,'F-1 Off-Site WaterC'' Baseline'!$C$9:$R$257,4,FALSE))</f>
        <v/>
      </c>
      <c r="F87" s="301" t="str">
        <f>IF(E87="","",VLOOKUP($B87,'F-1 Off-Site WaterC'' Baseline'!$C$9:$R$257,5,FALSE))</f>
        <v/>
      </c>
      <c r="G87" s="301" t="str">
        <f>IF(F87="","",VLOOKUP($B87,'F-1 Off-Site WaterC'' Baseline'!$C$9:$R$257,6,FALSE))</f>
        <v/>
      </c>
      <c r="H87" s="301" t="str">
        <f>IF(G87="","",VLOOKUP($B87,'F-1 Off-Site WaterC'' Baseline'!$C$9:$R$257,7,FALSE))</f>
        <v/>
      </c>
      <c r="I87" s="301" t="str">
        <f>IF(H87="","",VLOOKUP($B87,'F-1 Off-Site WaterC'' Baseline'!$C$9:$R$257,8,FALSE))</f>
        <v/>
      </c>
      <c r="J87" s="301" t="str">
        <f>IF(I87="","",VLOOKUP($B87,'F-1 Off-Site WaterC'' Baseline'!$C$9:$R$257,9,FALSE))</f>
        <v/>
      </c>
      <c r="K87" s="301" t="str">
        <f>IF(J87="","",VLOOKUP($B87,'F-1 Off-Site WaterC'' Baseline'!$C$9:$R$257,10,FALSE))</f>
        <v/>
      </c>
      <c r="L87" s="289" t="str">
        <f>IF(B87="","",VLOOKUP($B87,'F-1 Off-Site WaterC'' Baseline'!$C$9:$R$257,15,FALSE))</f>
        <v/>
      </c>
      <c r="M87" s="305" t="str">
        <f>IF(L87="","",VLOOKUP($B87,'F-1 Off-Site WaterC'' Baseline'!$C$9:$V$257,19,FALSE))</f>
        <v/>
      </c>
      <c r="N87" s="250"/>
      <c r="O87" s="281" t="str">
        <f t="shared" si="14"/>
        <v/>
      </c>
      <c r="P87" s="282" t="str">
        <f t="shared" si="15"/>
        <v/>
      </c>
      <c r="Q87" s="287" t="str">
        <f>IF(N87="","",VLOOKUP(B87,'F-1 Off-Site WaterC'' Baseline'!$C$10:$AF$257,23,FALSE))</f>
        <v/>
      </c>
      <c r="R87" s="281" t="str">
        <f>IF(N87="","",VLOOKUP(N87,'G-7 WaterC'' Data'!$B$2:$G$8,2,FALSE))</f>
        <v/>
      </c>
      <c r="S87" s="282" t="str">
        <f>IFERROR(VLOOKUP(R87,'G-7 WaterC'' Data'!$C$4:$D$8,2,FALSE),"")</f>
        <v/>
      </c>
      <c r="T87" s="105"/>
      <c r="U87" s="282" t="str">
        <f>IFERROR(INDEX('G-7 WaterC'' Data'!$H$4:$L$8,MATCH(N87,'G-7 WaterC'' Data'!$B$4:$B$8,0),MATCH(T87,'G-7 WaterC'' Data'!$H$3:$L$3,0)),"")</f>
        <v/>
      </c>
      <c r="V87" s="109"/>
      <c r="W87" s="301" t="str">
        <f>IF(V87="","",IF(VLOOKUP(V87,'G-7 WaterC'' Data'!$AK$4:$AM$6,2,FALSE)=0,"Spatial Data Missing ⚠",VLOOKUP(V87,'G-7 WaterC'' Data'!$AK$4:$AM$6,2,FALSE)))</f>
        <v/>
      </c>
      <c r="X87" s="305" t="str">
        <f>IF(V87="","",IF(VLOOKUP(V87,'G-7 WaterC'' Data'!$AK$4:$AM$6,3,FALSE)=0,"Spatial Data Missing ⚠",VLOOKUP(V87,'G-7 WaterC'' Data'!$AK$4:$AM$6,3,FALSE)))</f>
        <v/>
      </c>
      <c r="Y87" s="317" t="str">
        <f>IFERROR(IF(OR(LEFT(P87,5)="Error",LEFT(O87,5)="Error"),"Check Data ⚠",IF(F87&lt;S87,'G-7 WaterC'' Data'!$R$3,INDEX('G-7 WaterC'' Data'!$U$5:$Y$9,MATCH(G87,'G-7 WaterC'' Data'!$T$5:$T$9,0),MATCH(T87,'G-7 WaterC'' Data'!$U$4:$Y$4,0)))),"")</f>
        <v/>
      </c>
      <c r="Z87" s="142"/>
      <c r="AA87" s="142"/>
      <c r="AB87" s="314" t="str">
        <f t="shared" si="11"/>
        <v/>
      </c>
      <c r="AC87" s="302" t="str">
        <f t="shared" si="16"/>
        <v/>
      </c>
      <c r="AD87" s="340" t="str">
        <f>IFERROR(IF(AC87="Check Data ⚠","Check Data ⚠",VLOOKUP(AC87,'G-4 Temporal multipliers'!$A$4:$C$37,3,FALSE)),"")</f>
        <v/>
      </c>
      <c r="AE87" s="317" t="str">
        <f>IF(N87="","",VLOOKUP(N87,'G-7 WaterC'' Data'!$B$4:$G$8,5,FALSE))</f>
        <v/>
      </c>
      <c r="AF87" s="301" t="str">
        <f t="shared" si="12"/>
        <v/>
      </c>
      <c r="AG87" s="301" t="str">
        <f t="shared" si="17"/>
        <v/>
      </c>
      <c r="AH87" s="282" t="str">
        <f t="shared" si="13"/>
        <v/>
      </c>
      <c r="AI87" s="109"/>
      <c r="AJ87" s="282" t="str">
        <f>IF(AI87="","",(IF(AND(AI87="N/A - Culvert",N87&lt;&gt;"Culvert"),"Not possible ▲",IF(VLOOKUP(AI87,'G-7 WaterC'' Data'!$AA$4:$AB$7,2,FALSE)=0,"Spatial Data Missing ⚠",VLOOKUP(AI87,'G-7 WaterC'' Data'!$AA$4:$AB$7,2,FALSE)))))</f>
        <v/>
      </c>
      <c r="AK87" s="110"/>
      <c r="AL87" s="316" t="str">
        <f>IF(AK87="","",IF(AND(AK87="N/A - Culvert",N87&lt;&gt;"Culvert"),"Not possible ▲",IF(VLOOKUP(AK87,'G-7 WaterC'' Data'!$AD$4:$AE$14,2,FALSE)=0,"Spatial Data Missing ⚠",VLOOKUP(AK87,'G-7 WaterC'' Data'!$AD$4:$AE$14,2,FALSE))))</f>
        <v/>
      </c>
      <c r="AM87" s="281" t="str">
        <f>IF(B87="","",VLOOKUP($B87,'F-1 Off-Site WaterC'' Baseline'!$C$9:$Z$257,17,FALSE))</f>
        <v/>
      </c>
      <c r="AN87" s="282" t="str">
        <f>IF(AM87="","",IF(VLOOKUP(AM87,'G-7 WaterC'' Data'!$AO$4:$BO$7,2,FALSE)=0,"Spatial Data Missing ⚠",VLOOKUP(AM87,'G-7 WaterC'' Data'!$AO$4:$BO$7,2,FALSE)))</f>
        <v/>
      </c>
      <c r="AO87" s="323" t="str">
        <f t="shared" si="18"/>
        <v/>
      </c>
      <c r="AP87" s="323" t="str">
        <f t="shared" si="19"/>
        <v/>
      </c>
      <c r="AQ87" s="105"/>
      <c r="AR87" s="119"/>
      <c r="AS87" s="108"/>
      <c r="AT87" s="108"/>
      <c r="AW87" s="30" t="str">
        <f>IF(E87="","",VLOOKUP($B87,'F-1 Off-Site WaterC'' Baseline'!$C$9:$Z$257,12,FALSE))</f>
        <v/>
      </c>
      <c r="AX87" s="30" t="str">
        <f>IF(E87="","",VLOOKUP($B87,'F-1 Off-Site WaterC'' Baseline'!$C$9:$Z$257,14,FALSE))</f>
        <v/>
      </c>
      <c r="AY87" s="30" t="str">
        <f>IFERROR(INDEX('G-7 WaterC'' Data'!$AZ$3:$AZ$7,MATCH(N87,'G-7 WaterC'' Data'!$AY$3:$AY$7,0)),"")</f>
        <v/>
      </c>
      <c r="AZ87" s="30" t="str">
        <f>IF(B87="","",IF(ISNA(VLOOKUP($B87,'F-1 Off-Site WaterC'' Baseline'!$C$8:$AD$257,20,FALSE)),"",(VLOOKUP($B87,'F-1 Off-Site WaterC'' Baseline'!$C$8:$AD$257,20,FALSE))))</f>
        <v/>
      </c>
      <c r="BC87" s="30" t="str">
        <f>IF(B87="","",VLOOKUP($B87,'F-1 Off-Site WaterC'' Baseline'!$C$9:$AB$257,25,FALSE))</f>
        <v/>
      </c>
      <c r="BD87" s="30" t="str">
        <f t="shared" si="20"/>
        <v/>
      </c>
      <c r="BE87" s="30" t="str">
        <f>IF(B87="","",VLOOKUP($B87,'F-1 Off-Site WaterC'' Baseline'!$C$9:$AB$257,24,FALSE))</f>
        <v/>
      </c>
      <c r="BF87" s="30" t="str">
        <f>IF(B87="","",VLOOKUP($B87,'F-1 Off-Site WaterC'' Baseline'!$C$9:$AB$257,22,FALSE))</f>
        <v/>
      </c>
      <c r="BJ87" s="30" t="str">
        <f t="shared" si="21"/>
        <v>No</v>
      </c>
    </row>
    <row r="88" spans="2:62" ht="13.8" x14ac:dyDescent="0.25">
      <c r="B88" s="311" t="str">
        <f>'F-1 Off-Site WaterC'' Baseline'!AS86</f>
        <v/>
      </c>
      <c r="C88" s="301" t="str">
        <f>IF(B88="","",VLOOKUP($B88,'F-1 Off-Site WaterC'' Baseline'!$C$9:$R$257,2,FALSE))</f>
        <v/>
      </c>
      <c r="D88" s="301" t="str">
        <f>IF(C88="","",VLOOKUP($B88,'F-1 Off-Site WaterC'' Baseline'!$C$9:$R$257,3,FALSE))</f>
        <v/>
      </c>
      <c r="E88" s="301" t="str">
        <f>IF(D88="","",VLOOKUP($B88,'F-1 Off-Site WaterC'' Baseline'!$C$9:$R$257,4,FALSE))</f>
        <v/>
      </c>
      <c r="F88" s="301" t="str">
        <f>IF(E88="","",VLOOKUP($B88,'F-1 Off-Site WaterC'' Baseline'!$C$9:$R$257,5,FALSE))</f>
        <v/>
      </c>
      <c r="G88" s="301" t="str">
        <f>IF(F88="","",VLOOKUP($B88,'F-1 Off-Site WaterC'' Baseline'!$C$9:$R$257,6,FALSE))</f>
        <v/>
      </c>
      <c r="H88" s="301" t="str">
        <f>IF(G88="","",VLOOKUP($B88,'F-1 Off-Site WaterC'' Baseline'!$C$9:$R$257,7,FALSE))</f>
        <v/>
      </c>
      <c r="I88" s="301" t="str">
        <f>IF(H88="","",VLOOKUP($B88,'F-1 Off-Site WaterC'' Baseline'!$C$9:$R$257,8,FALSE))</f>
        <v/>
      </c>
      <c r="J88" s="301" t="str">
        <f>IF(I88="","",VLOOKUP($B88,'F-1 Off-Site WaterC'' Baseline'!$C$9:$R$257,9,FALSE))</f>
        <v/>
      </c>
      <c r="K88" s="301" t="str">
        <f>IF(J88="","",VLOOKUP($B88,'F-1 Off-Site WaterC'' Baseline'!$C$9:$R$257,10,FALSE))</f>
        <v/>
      </c>
      <c r="L88" s="289" t="str">
        <f>IF(B88="","",VLOOKUP($B88,'F-1 Off-Site WaterC'' Baseline'!$C$9:$R$257,15,FALSE))</f>
        <v/>
      </c>
      <c r="M88" s="305" t="str">
        <f>IF(L88="","",VLOOKUP($B88,'F-1 Off-Site WaterC'' Baseline'!$C$9:$V$257,19,FALSE))</f>
        <v/>
      </c>
      <c r="N88" s="250"/>
      <c r="O88" s="281" t="str">
        <f t="shared" si="14"/>
        <v/>
      </c>
      <c r="P88" s="282" t="str">
        <f t="shared" si="15"/>
        <v/>
      </c>
      <c r="Q88" s="287" t="str">
        <f>IF(N88="","",VLOOKUP(B88,'F-1 Off-Site WaterC'' Baseline'!$C$10:$AF$257,23,FALSE))</f>
        <v/>
      </c>
      <c r="R88" s="281" t="str">
        <f>IF(N88="","",VLOOKUP(N88,'G-7 WaterC'' Data'!$B$2:$G$8,2,FALSE))</f>
        <v/>
      </c>
      <c r="S88" s="282" t="str">
        <f>IFERROR(VLOOKUP(R88,'G-7 WaterC'' Data'!$C$4:$D$8,2,FALSE),"")</f>
        <v/>
      </c>
      <c r="T88" s="105"/>
      <c r="U88" s="282" t="str">
        <f>IFERROR(INDEX('G-7 WaterC'' Data'!$H$4:$L$8,MATCH(N88,'G-7 WaterC'' Data'!$B$4:$B$8,0),MATCH(T88,'G-7 WaterC'' Data'!$H$3:$L$3,0)),"")</f>
        <v/>
      </c>
      <c r="V88" s="109"/>
      <c r="W88" s="301" t="str">
        <f>IF(V88="","",IF(VLOOKUP(V88,'G-7 WaterC'' Data'!$AK$4:$AM$6,2,FALSE)=0,"Spatial Data Missing ⚠",VLOOKUP(V88,'G-7 WaterC'' Data'!$AK$4:$AM$6,2,FALSE)))</f>
        <v/>
      </c>
      <c r="X88" s="305" t="str">
        <f>IF(V88="","",IF(VLOOKUP(V88,'G-7 WaterC'' Data'!$AK$4:$AM$6,3,FALSE)=0,"Spatial Data Missing ⚠",VLOOKUP(V88,'G-7 WaterC'' Data'!$AK$4:$AM$6,3,FALSE)))</f>
        <v/>
      </c>
      <c r="Y88" s="317" t="str">
        <f>IFERROR(IF(OR(LEFT(P88,5)="Error",LEFT(O88,5)="Error"),"Check Data ⚠",IF(F88&lt;S88,'G-7 WaterC'' Data'!$R$3,INDEX('G-7 WaterC'' Data'!$U$5:$Y$9,MATCH(G88,'G-7 WaterC'' Data'!$T$5:$T$9,0),MATCH(T88,'G-7 WaterC'' Data'!$U$4:$Y$4,0)))),"")</f>
        <v/>
      </c>
      <c r="Z88" s="142"/>
      <c r="AA88" s="142"/>
      <c r="AB88" s="314" t="str">
        <f t="shared" si="11"/>
        <v/>
      </c>
      <c r="AC88" s="302" t="str">
        <f t="shared" si="16"/>
        <v/>
      </c>
      <c r="AD88" s="340" t="str">
        <f>IFERROR(IF(AC88="Check Data ⚠","Check Data ⚠",VLOOKUP(AC88,'G-4 Temporal multipliers'!$A$4:$C$37,3,FALSE)),"")</f>
        <v/>
      </c>
      <c r="AE88" s="317" t="str">
        <f>IF(N88="","",VLOOKUP(N88,'G-7 WaterC'' Data'!$B$4:$G$8,5,FALSE))</f>
        <v/>
      </c>
      <c r="AF88" s="301" t="str">
        <f t="shared" si="12"/>
        <v/>
      </c>
      <c r="AG88" s="301" t="str">
        <f t="shared" si="17"/>
        <v/>
      </c>
      <c r="AH88" s="282" t="str">
        <f t="shared" si="13"/>
        <v/>
      </c>
      <c r="AI88" s="109"/>
      <c r="AJ88" s="282" t="str">
        <f>IF(AI88="","",(IF(AND(AI88="N/A - Culvert",N88&lt;&gt;"Culvert"),"Not possible ▲",IF(VLOOKUP(AI88,'G-7 WaterC'' Data'!$AA$4:$AB$7,2,FALSE)=0,"Spatial Data Missing ⚠",VLOOKUP(AI88,'G-7 WaterC'' Data'!$AA$4:$AB$7,2,FALSE)))))</f>
        <v/>
      </c>
      <c r="AK88" s="110"/>
      <c r="AL88" s="316" t="str">
        <f>IF(AK88="","",IF(AND(AK88="N/A - Culvert",N88&lt;&gt;"Culvert"),"Not possible ▲",IF(VLOOKUP(AK88,'G-7 WaterC'' Data'!$AD$4:$AE$14,2,FALSE)=0,"Spatial Data Missing ⚠",VLOOKUP(AK88,'G-7 WaterC'' Data'!$AD$4:$AE$14,2,FALSE))))</f>
        <v/>
      </c>
      <c r="AM88" s="281" t="str">
        <f>IF(B88="","",VLOOKUP($B88,'F-1 Off-Site WaterC'' Baseline'!$C$9:$Z$257,17,FALSE))</f>
        <v/>
      </c>
      <c r="AN88" s="282" t="str">
        <f>IF(AM88="","",IF(VLOOKUP(AM88,'G-7 WaterC'' Data'!$AO$4:$BO$7,2,FALSE)=0,"Spatial Data Missing ⚠",VLOOKUP(AM88,'G-7 WaterC'' Data'!$AO$4:$BO$7,2,FALSE)))</f>
        <v/>
      </c>
      <c r="AO88" s="323" t="str">
        <f t="shared" si="18"/>
        <v/>
      </c>
      <c r="AP88" s="323" t="str">
        <f t="shared" si="19"/>
        <v/>
      </c>
      <c r="AQ88" s="105"/>
      <c r="AR88" s="119"/>
      <c r="AS88" s="108"/>
      <c r="AT88" s="108"/>
      <c r="AW88" s="30" t="str">
        <f>IF(E88="","",VLOOKUP($B88,'F-1 Off-Site WaterC'' Baseline'!$C$9:$Z$257,12,FALSE))</f>
        <v/>
      </c>
      <c r="AX88" s="30" t="str">
        <f>IF(E88="","",VLOOKUP($B88,'F-1 Off-Site WaterC'' Baseline'!$C$9:$Z$257,14,FALSE))</f>
        <v/>
      </c>
      <c r="AY88" s="30" t="str">
        <f>IFERROR(INDEX('G-7 WaterC'' Data'!$AZ$3:$AZ$7,MATCH(N88,'G-7 WaterC'' Data'!$AY$3:$AY$7,0)),"")</f>
        <v/>
      </c>
      <c r="AZ88" s="30" t="str">
        <f>IF(B88="","",IF(ISNA(VLOOKUP($B88,'F-1 Off-Site WaterC'' Baseline'!$C$8:$AD$257,20,FALSE)),"",(VLOOKUP($B88,'F-1 Off-Site WaterC'' Baseline'!$C$8:$AD$257,20,FALSE))))</f>
        <v/>
      </c>
      <c r="BC88" s="30" t="str">
        <f>IF(B88="","",VLOOKUP($B88,'F-1 Off-Site WaterC'' Baseline'!$C$9:$AB$257,25,FALSE))</f>
        <v/>
      </c>
      <c r="BD88" s="30" t="str">
        <f t="shared" si="20"/>
        <v/>
      </c>
      <c r="BE88" s="30" t="str">
        <f>IF(B88="","",VLOOKUP($B88,'F-1 Off-Site WaterC'' Baseline'!$C$9:$AB$257,24,FALSE))</f>
        <v/>
      </c>
      <c r="BF88" s="30" t="str">
        <f>IF(B88="","",VLOOKUP($B88,'F-1 Off-Site WaterC'' Baseline'!$C$9:$AB$257,22,FALSE))</f>
        <v/>
      </c>
      <c r="BJ88" s="30" t="str">
        <f t="shared" si="21"/>
        <v>No</v>
      </c>
    </row>
    <row r="89" spans="2:62" ht="13.8" x14ac:dyDescent="0.25">
      <c r="B89" s="311" t="str">
        <f>'F-1 Off-Site WaterC'' Baseline'!AS87</f>
        <v/>
      </c>
      <c r="C89" s="301" t="str">
        <f>IF(B89="","",VLOOKUP($B89,'F-1 Off-Site WaterC'' Baseline'!$C$9:$R$257,2,FALSE))</f>
        <v/>
      </c>
      <c r="D89" s="301" t="str">
        <f>IF(C89="","",VLOOKUP($B89,'F-1 Off-Site WaterC'' Baseline'!$C$9:$R$257,3,FALSE))</f>
        <v/>
      </c>
      <c r="E89" s="301" t="str">
        <f>IF(D89="","",VLOOKUP($B89,'F-1 Off-Site WaterC'' Baseline'!$C$9:$R$257,4,FALSE))</f>
        <v/>
      </c>
      <c r="F89" s="301" t="str">
        <f>IF(E89="","",VLOOKUP($B89,'F-1 Off-Site WaterC'' Baseline'!$C$9:$R$257,5,FALSE))</f>
        <v/>
      </c>
      <c r="G89" s="301" t="str">
        <f>IF(F89="","",VLOOKUP($B89,'F-1 Off-Site WaterC'' Baseline'!$C$9:$R$257,6,FALSE))</f>
        <v/>
      </c>
      <c r="H89" s="301" t="str">
        <f>IF(G89="","",VLOOKUP($B89,'F-1 Off-Site WaterC'' Baseline'!$C$9:$R$257,7,FALSE))</f>
        <v/>
      </c>
      <c r="I89" s="301" t="str">
        <f>IF(H89="","",VLOOKUP($B89,'F-1 Off-Site WaterC'' Baseline'!$C$9:$R$257,8,FALSE))</f>
        <v/>
      </c>
      <c r="J89" s="301" t="str">
        <f>IF(I89="","",VLOOKUP($B89,'F-1 Off-Site WaterC'' Baseline'!$C$9:$R$257,9,FALSE))</f>
        <v/>
      </c>
      <c r="K89" s="301" t="str">
        <f>IF(J89="","",VLOOKUP($B89,'F-1 Off-Site WaterC'' Baseline'!$C$9:$R$257,10,FALSE))</f>
        <v/>
      </c>
      <c r="L89" s="289" t="str">
        <f>IF(B89="","",VLOOKUP($B89,'F-1 Off-Site WaterC'' Baseline'!$C$9:$R$257,15,FALSE))</f>
        <v/>
      </c>
      <c r="M89" s="305" t="str">
        <f>IF(L89="","",VLOOKUP($B89,'F-1 Off-Site WaterC'' Baseline'!$C$9:$V$257,19,FALSE))</f>
        <v/>
      </c>
      <c r="N89" s="250"/>
      <c r="O89" s="281" t="str">
        <f t="shared" si="14"/>
        <v/>
      </c>
      <c r="P89" s="282" t="str">
        <f t="shared" si="15"/>
        <v/>
      </c>
      <c r="Q89" s="287" t="str">
        <f>IF(N89="","",VLOOKUP(B89,'F-1 Off-Site WaterC'' Baseline'!$C$10:$AF$257,23,FALSE))</f>
        <v/>
      </c>
      <c r="R89" s="281" t="str">
        <f>IF(N89="","",VLOOKUP(N89,'G-7 WaterC'' Data'!$B$2:$G$8,2,FALSE))</f>
        <v/>
      </c>
      <c r="S89" s="282" t="str">
        <f>IFERROR(VLOOKUP(R89,'G-7 WaterC'' Data'!$C$4:$D$8,2,FALSE),"")</f>
        <v/>
      </c>
      <c r="T89" s="105"/>
      <c r="U89" s="282" t="str">
        <f>IFERROR(INDEX('G-7 WaterC'' Data'!$H$4:$L$8,MATCH(N89,'G-7 WaterC'' Data'!$B$4:$B$8,0),MATCH(T89,'G-7 WaterC'' Data'!$H$3:$L$3,0)),"")</f>
        <v/>
      </c>
      <c r="V89" s="109"/>
      <c r="W89" s="301" t="str">
        <f>IF(V89="","",IF(VLOOKUP(V89,'G-7 WaterC'' Data'!$AK$4:$AM$6,2,FALSE)=0,"Spatial Data Missing ⚠",VLOOKUP(V89,'G-7 WaterC'' Data'!$AK$4:$AM$6,2,FALSE)))</f>
        <v/>
      </c>
      <c r="X89" s="305" t="str">
        <f>IF(V89="","",IF(VLOOKUP(V89,'G-7 WaterC'' Data'!$AK$4:$AM$6,3,FALSE)=0,"Spatial Data Missing ⚠",VLOOKUP(V89,'G-7 WaterC'' Data'!$AK$4:$AM$6,3,FALSE)))</f>
        <v/>
      </c>
      <c r="Y89" s="317" t="str">
        <f>IFERROR(IF(OR(LEFT(P89,5)="Error",LEFT(O89,5)="Error"),"Check Data ⚠",IF(F89&lt;S89,'G-7 WaterC'' Data'!$R$3,INDEX('G-7 WaterC'' Data'!$U$5:$Y$9,MATCH(G89,'G-7 WaterC'' Data'!$T$5:$T$9,0),MATCH(T89,'G-7 WaterC'' Data'!$U$4:$Y$4,0)))),"")</f>
        <v/>
      </c>
      <c r="Z89" s="142"/>
      <c r="AA89" s="142"/>
      <c r="AB89" s="314" t="str">
        <f t="shared" si="11"/>
        <v/>
      </c>
      <c r="AC89" s="302" t="str">
        <f t="shared" si="16"/>
        <v/>
      </c>
      <c r="AD89" s="340" t="str">
        <f>IFERROR(IF(AC89="Check Data ⚠","Check Data ⚠",VLOOKUP(AC89,'G-4 Temporal multipliers'!$A$4:$C$37,3,FALSE)),"")</f>
        <v/>
      </c>
      <c r="AE89" s="317" t="str">
        <f>IF(N89="","",VLOOKUP(N89,'G-7 WaterC'' Data'!$B$4:$G$8,5,FALSE))</f>
        <v/>
      </c>
      <c r="AF89" s="301" t="str">
        <f t="shared" si="12"/>
        <v/>
      </c>
      <c r="AG89" s="301" t="str">
        <f t="shared" si="17"/>
        <v/>
      </c>
      <c r="AH89" s="282" t="str">
        <f t="shared" si="13"/>
        <v/>
      </c>
      <c r="AI89" s="109"/>
      <c r="AJ89" s="282" t="str">
        <f>IF(AI89="","",(IF(AND(AI89="N/A - Culvert",N89&lt;&gt;"Culvert"),"Not possible ▲",IF(VLOOKUP(AI89,'G-7 WaterC'' Data'!$AA$4:$AB$7,2,FALSE)=0,"Spatial Data Missing ⚠",VLOOKUP(AI89,'G-7 WaterC'' Data'!$AA$4:$AB$7,2,FALSE)))))</f>
        <v/>
      </c>
      <c r="AK89" s="110"/>
      <c r="AL89" s="316" t="str">
        <f>IF(AK89="","",IF(AND(AK89="N/A - Culvert",N89&lt;&gt;"Culvert"),"Not possible ▲",IF(VLOOKUP(AK89,'G-7 WaterC'' Data'!$AD$4:$AE$14,2,FALSE)=0,"Spatial Data Missing ⚠",VLOOKUP(AK89,'G-7 WaterC'' Data'!$AD$4:$AE$14,2,FALSE))))</f>
        <v/>
      </c>
      <c r="AM89" s="281" t="str">
        <f>IF(B89="","",VLOOKUP($B89,'F-1 Off-Site WaterC'' Baseline'!$C$9:$Z$257,17,FALSE))</f>
        <v/>
      </c>
      <c r="AN89" s="282" t="str">
        <f>IF(AM89="","",IF(VLOOKUP(AM89,'G-7 WaterC'' Data'!$AO$4:$BO$7,2,FALSE)=0,"Spatial Data Missing ⚠",VLOOKUP(AM89,'G-7 WaterC'' Data'!$AO$4:$BO$7,2,FALSE)))</f>
        <v/>
      </c>
      <c r="AO89" s="323" t="str">
        <f t="shared" si="18"/>
        <v/>
      </c>
      <c r="AP89" s="323" t="str">
        <f t="shared" si="19"/>
        <v/>
      </c>
      <c r="AQ89" s="105"/>
      <c r="AR89" s="119"/>
      <c r="AS89" s="108"/>
      <c r="AT89" s="108"/>
      <c r="AW89" s="30" t="str">
        <f>IF(E89="","",VLOOKUP($B89,'F-1 Off-Site WaterC'' Baseline'!$C$9:$Z$257,12,FALSE))</f>
        <v/>
      </c>
      <c r="AX89" s="30" t="str">
        <f>IF(E89="","",VLOOKUP($B89,'F-1 Off-Site WaterC'' Baseline'!$C$9:$Z$257,14,FALSE))</f>
        <v/>
      </c>
      <c r="AY89" s="30" t="str">
        <f>IFERROR(INDEX('G-7 WaterC'' Data'!$AZ$3:$AZ$7,MATCH(N89,'G-7 WaterC'' Data'!$AY$3:$AY$7,0)),"")</f>
        <v/>
      </c>
      <c r="AZ89" s="30" t="str">
        <f>IF(B89="","",IF(ISNA(VLOOKUP($B89,'F-1 Off-Site WaterC'' Baseline'!$C$8:$AD$257,20,FALSE)),"",(VLOOKUP($B89,'F-1 Off-Site WaterC'' Baseline'!$C$8:$AD$257,20,FALSE))))</f>
        <v/>
      </c>
      <c r="BC89" s="30" t="str">
        <f>IF(B89="","",VLOOKUP($B89,'F-1 Off-Site WaterC'' Baseline'!$C$9:$AB$257,25,FALSE))</f>
        <v/>
      </c>
      <c r="BD89" s="30" t="str">
        <f t="shared" si="20"/>
        <v/>
      </c>
      <c r="BE89" s="30" t="str">
        <f>IF(B89="","",VLOOKUP($B89,'F-1 Off-Site WaterC'' Baseline'!$C$9:$AB$257,24,FALSE))</f>
        <v/>
      </c>
      <c r="BF89" s="30" t="str">
        <f>IF(B89="","",VLOOKUP($B89,'F-1 Off-Site WaterC'' Baseline'!$C$9:$AB$257,22,FALSE))</f>
        <v/>
      </c>
      <c r="BJ89" s="30" t="str">
        <f t="shared" si="21"/>
        <v>No</v>
      </c>
    </row>
    <row r="90" spans="2:62" ht="13.8" x14ac:dyDescent="0.25">
      <c r="B90" s="311" t="str">
        <f>'F-1 Off-Site WaterC'' Baseline'!AS88</f>
        <v/>
      </c>
      <c r="C90" s="301" t="str">
        <f>IF(B90="","",VLOOKUP($B90,'F-1 Off-Site WaterC'' Baseline'!$C$9:$R$257,2,FALSE))</f>
        <v/>
      </c>
      <c r="D90" s="301" t="str">
        <f>IF(C90="","",VLOOKUP($B90,'F-1 Off-Site WaterC'' Baseline'!$C$9:$R$257,3,FALSE))</f>
        <v/>
      </c>
      <c r="E90" s="301" t="str">
        <f>IF(D90="","",VLOOKUP($B90,'F-1 Off-Site WaterC'' Baseline'!$C$9:$R$257,4,FALSE))</f>
        <v/>
      </c>
      <c r="F90" s="301" t="str">
        <f>IF(E90="","",VLOOKUP($B90,'F-1 Off-Site WaterC'' Baseline'!$C$9:$R$257,5,FALSE))</f>
        <v/>
      </c>
      <c r="G90" s="301" t="str">
        <f>IF(F90="","",VLOOKUP($B90,'F-1 Off-Site WaterC'' Baseline'!$C$9:$R$257,6,FALSE))</f>
        <v/>
      </c>
      <c r="H90" s="301" t="str">
        <f>IF(G90="","",VLOOKUP($B90,'F-1 Off-Site WaterC'' Baseline'!$C$9:$R$257,7,FALSE))</f>
        <v/>
      </c>
      <c r="I90" s="301" t="str">
        <f>IF(H90="","",VLOOKUP($B90,'F-1 Off-Site WaterC'' Baseline'!$C$9:$R$257,8,FALSE))</f>
        <v/>
      </c>
      <c r="J90" s="301" t="str">
        <f>IF(I90="","",VLOOKUP($B90,'F-1 Off-Site WaterC'' Baseline'!$C$9:$R$257,9,FALSE))</f>
        <v/>
      </c>
      <c r="K90" s="301" t="str">
        <f>IF(J90="","",VLOOKUP($B90,'F-1 Off-Site WaterC'' Baseline'!$C$9:$R$257,10,FALSE))</f>
        <v/>
      </c>
      <c r="L90" s="289" t="str">
        <f>IF(B90="","",VLOOKUP($B90,'F-1 Off-Site WaterC'' Baseline'!$C$9:$R$257,15,FALSE))</f>
        <v/>
      </c>
      <c r="M90" s="305" t="str">
        <f>IF(L90="","",VLOOKUP($B90,'F-1 Off-Site WaterC'' Baseline'!$C$9:$V$257,19,FALSE))</f>
        <v/>
      </c>
      <c r="N90" s="250"/>
      <c r="O90" s="281" t="str">
        <f t="shared" si="14"/>
        <v/>
      </c>
      <c r="P90" s="282" t="str">
        <f t="shared" si="15"/>
        <v/>
      </c>
      <c r="Q90" s="287" t="str">
        <f>IF(N90="","",VLOOKUP(B90,'F-1 Off-Site WaterC'' Baseline'!$C$10:$AF$257,23,FALSE))</f>
        <v/>
      </c>
      <c r="R90" s="281" t="str">
        <f>IF(N90="","",VLOOKUP(N90,'G-7 WaterC'' Data'!$B$2:$G$8,2,FALSE))</f>
        <v/>
      </c>
      <c r="S90" s="282" t="str">
        <f>IFERROR(VLOOKUP(R90,'G-7 WaterC'' Data'!$C$4:$D$8,2,FALSE),"")</f>
        <v/>
      </c>
      <c r="T90" s="105"/>
      <c r="U90" s="282" t="str">
        <f>IFERROR(INDEX('G-7 WaterC'' Data'!$H$4:$L$8,MATCH(N90,'G-7 WaterC'' Data'!$B$4:$B$8,0),MATCH(T90,'G-7 WaterC'' Data'!$H$3:$L$3,0)),"")</f>
        <v/>
      </c>
      <c r="V90" s="109"/>
      <c r="W90" s="301" t="str">
        <f>IF(V90="","",IF(VLOOKUP(V90,'G-7 WaterC'' Data'!$AK$4:$AM$6,2,FALSE)=0,"Spatial Data Missing ⚠",VLOOKUP(V90,'G-7 WaterC'' Data'!$AK$4:$AM$6,2,FALSE)))</f>
        <v/>
      </c>
      <c r="X90" s="305" t="str">
        <f>IF(V90="","",IF(VLOOKUP(V90,'G-7 WaterC'' Data'!$AK$4:$AM$6,3,FALSE)=0,"Spatial Data Missing ⚠",VLOOKUP(V90,'G-7 WaterC'' Data'!$AK$4:$AM$6,3,FALSE)))</f>
        <v/>
      </c>
      <c r="Y90" s="317" t="str">
        <f>IFERROR(IF(OR(LEFT(P90,5)="Error",LEFT(O90,5)="Error"),"Check Data ⚠",IF(F90&lt;S90,'G-7 WaterC'' Data'!$R$3,INDEX('G-7 WaterC'' Data'!$U$5:$Y$9,MATCH(G90,'G-7 WaterC'' Data'!$T$5:$T$9,0),MATCH(T90,'G-7 WaterC'' Data'!$U$4:$Y$4,0)))),"")</f>
        <v/>
      </c>
      <c r="Z90" s="142"/>
      <c r="AA90" s="142"/>
      <c r="AB90" s="314" t="str">
        <f t="shared" si="11"/>
        <v/>
      </c>
      <c r="AC90" s="302" t="str">
        <f t="shared" si="16"/>
        <v/>
      </c>
      <c r="AD90" s="340" t="str">
        <f>IFERROR(IF(AC90="Check Data ⚠","Check Data ⚠",VLOOKUP(AC90,'G-4 Temporal multipliers'!$A$4:$C$37,3,FALSE)),"")</f>
        <v/>
      </c>
      <c r="AE90" s="317" t="str">
        <f>IF(N90="","",VLOOKUP(N90,'G-7 WaterC'' Data'!$B$4:$G$8,5,FALSE))</f>
        <v/>
      </c>
      <c r="AF90" s="301" t="str">
        <f t="shared" si="12"/>
        <v/>
      </c>
      <c r="AG90" s="301" t="str">
        <f t="shared" si="17"/>
        <v/>
      </c>
      <c r="AH90" s="282" t="str">
        <f t="shared" si="13"/>
        <v/>
      </c>
      <c r="AI90" s="109"/>
      <c r="AJ90" s="282" t="str">
        <f>IF(AI90="","",(IF(AND(AI90="N/A - Culvert",N90&lt;&gt;"Culvert"),"Not possible ▲",IF(VLOOKUP(AI90,'G-7 WaterC'' Data'!$AA$4:$AB$7,2,FALSE)=0,"Spatial Data Missing ⚠",VLOOKUP(AI90,'G-7 WaterC'' Data'!$AA$4:$AB$7,2,FALSE)))))</f>
        <v/>
      </c>
      <c r="AK90" s="110"/>
      <c r="AL90" s="316" t="str">
        <f>IF(AK90="","",IF(AND(AK90="N/A - Culvert",N90&lt;&gt;"Culvert"),"Not possible ▲",IF(VLOOKUP(AK90,'G-7 WaterC'' Data'!$AD$4:$AE$14,2,FALSE)=0,"Spatial Data Missing ⚠",VLOOKUP(AK90,'G-7 WaterC'' Data'!$AD$4:$AE$14,2,FALSE))))</f>
        <v/>
      </c>
      <c r="AM90" s="281" t="str">
        <f>IF(B90="","",VLOOKUP($B90,'F-1 Off-Site WaterC'' Baseline'!$C$9:$Z$257,17,FALSE))</f>
        <v/>
      </c>
      <c r="AN90" s="282" t="str">
        <f>IF(AM90="","",IF(VLOOKUP(AM90,'G-7 WaterC'' Data'!$AO$4:$BO$7,2,FALSE)=0,"Spatial Data Missing ⚠",VLOOKUP(AM90,'G-7 WaterC'' Data'!$AO$4:$BO$7,2,FALSE)))</f>
        <v/>
      </c>
      <c r="AO90" s="323" t="str">
        <f t="shared" si="18"/>
        <v/>
      </c>
      <c r="AP90" s="323" t="str">
        <f t="shared" si="19"/>
        <v/>
      </c>
      <c r="AQ90" s="105"/>
      <c r="AR90" s="119"/>
      <c r="AS90" s="108"/>
      <c r="AT90" s="108"/>
      <c r="AW90" s="30" t="str">
        <f>IF(E90="","",VLOOKUP($B90,'F-1 Off-Site WaterC'' Baseline'!$C$9:$Z$257,12,FALSE))</f>
        <v/>
      </c>
      <c r="AX90" s="30" t="str">
        <f>IF(E90="","",VLOOKUP($B90,'F-1 Off-Site WaterC'' Baseline'!$C$9:$Z$257,14,FALSE))</f>
        <v/>
      </c>
      <c r="AY90" s="30" t="str">
        <f>IFERROR(INDEX('G-7 WaterC'' Data'!$AZ$3:$AZ$7,MATCH(N90,'G-7 WaterC'' Data'!$AY$3:$AY$7,0)),"")</f>
        <v/>
      </c>
      <c r="AZ90" s="30" t="str">
        <f>IF(B90="","",IF(ISNA(VLOOKUP($B90,'F-1 Off-Site WaterC'' Baseline'!$C$8:$AD$257,20,FALSE)),"",(VLOOKUP($B90,'F-1 Off-Site WaterC'' Baseline'!$C$8:$AD$257,20,FALSE))))</f>
        <v/>
      </c>
      <c r="BC90" s="30" t="str">
        <f>IF(B90="","",VLOOKUP($B90,'F-1 Off-Site WaterC'' Baseline'!$C$9:$AB$257,25,FALSE))</f>
        <v/>
      </c>
      <c r="BD90" s="30" t="str">
        <f t="shared" si="20"/>
        <v/>
      </c>
      <c r="BE90" s="30" t="str">
        <f>IF(B90="","",VLOOKUP($B90,'F-1 Off-Site WaterC'' Baseline'!$C$9:$AB$257,24,FALSE))</f>
        <v/>
      </c>
      <c r="BF90" s="30" t="str">
        <f>IF(B90="","",VLOOKUP($B90,'F-1 Off-Site WaterC'' Baseline'!$C$9:$AB$257,22,FALSE))</f>
        <v/>
      </c>
      <c r="BJ90" s="30" t="str">
        <f t="shared" si="21"/>
        <v>No</v>
      </c>
    </row>
    <row r="91" spans="2:62" ht="13.8" x14ac:dyDescent="0.25">
      <c r="B91" s="311" t="str">
        <f>'F-1 Off-Site WaterC'' Baseline'!AS89</f>
        <v/>
      </c>
      <c r="C91" s="301" t="str">
        <f>IF(B91="","",VLOOKUP($B91,'F-1 Off-Site WaterC'' Baseline'!$C$9:$R$257,2,FALSE))</f>
        <v/>
      </c>
      <c r="D91" s="301" t="str">
        <f>IF(C91="","",VLOOKUP($B91,'F-1 Off-Site WaterC'' Baseline'!$C$9:$R$257,3,FALSE))</f>
        <v/>
      </c>
      <c r="E91" s="301" t="str">
        <f>IF(D91="","",VLOOKUP($B91,'F-1 Off-Site WaterC'' Baseline'!$C$9:$R$257,4,FALSE))</f>
        <v/>
      </c>
      <c r="F91" s="301" t="str">
        <f>IF(E91="","",VLOOKUP($B91,'F-1 Off-Site WaterC'' Baseline'!$C$9:$R$257,5,FALSE))</f>
        <v/>
      </c>
      <c r="G91" s="301" t="str">
        <f>IF(F91="","",VLOOKUP($B91,'F-1 Off-Site WaterC'' Baseline'!$C$9:$R$257,6,FALSE))</f>
        <v/>
      </c>
      <c r="H91" s="301" t="str">
        <f>IF(G91="","",VLOOKUP($B91,'F-1 Off-Site WaterC'' Baseline'!$C$9:$R$257,7,FALSE))</f>
        <v/>
      </c>
      <c r="I91" s="301" t="str">
        <f>IF(H91="","",VLOOKUP($B91,'F-1 Off-Site WaterC'' Baseline'!$C$9:$R$257,8,FALSE))</f>
        <v/>
      </c>
      <c r="J91" s="301" t="str">
        <f>IF(I91="","",VLOOKUP($B91,'F-1 Off-Site WaterC'' Baseline'!$C$9:$R$257,9,FALSE))</f>
        <v/>
      </c>
      <c r="K91" s="301" t="str">
        <f>IF(J91="","",VLOOKUP($B91,'F-1 Off-Site WaterC'' Baseline'!$C$9:$R$257,10,FALSE))</f>
        <v/>
      </c>
      <c r="L91" s="289" t="str">
        <f>IF(B91="","",VLOOKUP($B91,'F-1 Off-Site WaterC'' Baseline'!$C$9:$R$257,15,FALSE))</f>
        <v/>
      </c>
      <c r="M91" s="305" t="str">
        <f>IF(L91="","",VLOOKUP($B91,'F-1 Off-Site WaterC'' Baseline'!$C$9:$V$257,19,FALSE))</f>
        <v/>
      </c>
      <c r="N91" s="250"/>
      <c r="O91" s="281" t="str">
        <f t="shared" si="14"/>
        <v/>
      </c>
      <c r="P91" s="282" t="str">
        <f t="shared" si="15"/>
        <v/>
      </c>
      <c r="Q91" s="287" t="str">
        <f>IF(N91="","",VLOOKUP(B91,'F-1 Off-Site WaterC'' Baseline'!$C$10:$AF$257,23,FALSE))</f>
        <v/>
      </c>
      <c r="R91" s="281" t="str">
        <f>IF(N91="","",VLOOKUP(N91,'G-7 WaterC'' Data'!$B$2:$G$8,2,FALSE))</f>
        <v/>
      </c>
      <c r="S91" s="282" t="str">
        <f>IFERROR(VLOOKUP(R91,'G-7 WaterC'' Data'!$C$4:$D$8,2,FALSE),"")</f>
        <v/>
      </c>
      <c r="T91" s="105"/>
      <c r="U91" s="282" t="str">
        <f>IFERROR(INDEX('G-7 WaterC'' Data'!$H$4:$L$8,MATCH(N91,'G-7 WaterC'' Data'!$B$4:$B$8,0),MATCH(T91,'G-7 WaterC'' Data'!$H$3:$L$3,0)),"")</f>
        <v/>
      </c>
      <c r="V91" s="109"/>
      <c r="W91" s="301" t="str">
        <f>IF(V91="","",IF(VLOOKUP(V91,'G-7 WaterC'' Data'!$AK$4:$AM$6,2,FALSE)=0,"Spatial Data Missing ⚠",VLOOKUP(V91,'G-7 WaterC'' Data'!$AK$4:$AM$6,2,FALSE)))</f>
        <v/>
      </c>
      <c r="X91" s="305" t="str">
        <f>IF(V91="","",IF(VLOOKUP(V91,'G-7 WaterC'' Data'!$AK$4:$AM$6,3,FALSE)=0,"Spatial Data Missing ⚠",VLOOKUP(V91,'G-7 WaterC'' Data'!$AK$4:$AM$6,3,FALSE)))</f>
        <v/>
      </c>
      <c r="Y91" s="317" t="str">
        <f>IFERROR(IF(OR(LEFT(P91,5)="Error",LEFT(O91,5)="Error"),"Check Data ⚠",IF(F91&lt;S91,'G-7 WaterC'' Data'!$R$3,INDEX('G-7 WaterC'' Data'!$U$5:$Y$9,MATCH(G91,'G-7 WaterC'' Data'!$T$5:$T$9,0),MATCH(T91,'G-7 WaterC'' Data'!$U$4:$Y$4,0)))),"")</f>
        <v/>
      </c>
      <c r="Z91" s="142"/>
      <c r="AA91" s="142"/>
      <c r="AB91" s="314" t="str">
        <f t="shared" si="11"/>
        <v/>
      </c>
      <c r="AC91" s="302" t="str">
        <f t="shared" si="16"/>
        <v/>
      </c>
      <c r="AD91" s="340" t="str">
        <f>IFERROR(IF(AC91="Check Data ⚠","Check Data ⚠",VLOOKUP(AC91,'G-4 Temporal multipliers'!$A$4:$C$37,3,FALSE)),"")</f>
        <v/>
      </c>
      <c r="AE91" s="317" t="str">
        <f>IF(N91="","",VLOOKUP(N91,'G-7 WaterC'' Data'!$B$4:$G$8,5,FALSE))</f>
        <v/>
      </c>
      <c r="AF91" s="301" t="str">
        <f t="shared" si="12"/>
        <v/>
      </c>
      <c r="AG91" s="301" t="str">
        <f t="shared" si="17"/>
        <v/>
      </c>
      <c r="AH91" s="282" t="str">
        <f t="shared" si="13"/>
        <v/>
      </c>
      <c r="AI91" s="109"/>
      <c r="AJ91" s="282" t="str">
        <f>IF(AI91="","",(IF(AND(AI91="N/A - Culvert",N91&lt;&gt;"Culvert"),"Not possible ▲",IF(VLOOKUP(AI91,'G-7 WaterC'' Data'!$AA$4:$AB$7,2,FALSE)=0,"Spatial Data Missing ⚠",VLOOKUP(AI91,'G-7 WaterC'' Data'!$AA$4:$AB$7,2,FALSE)))))</f>
        <v/>
      </c>
      <c r="AK91" s="110"/>
      <c r="AL91" s="316" t="str">
        <f>IF(AK91="","",IF(AND(AK91="N/A - Culvert",N91&lt;&gt;"Culvert"),"Not possible ▲",IF(VLOOKUP(AK91,'G-7 WaterC'' Data'!$AD$4:$AE$14,2,FALSE)=0,"Spatial Data Missing ⚠",VLOOKUP(AK91,'G-7 WaterC'' Data'!$AD$4:$AE$14,2,FALSE))))</f>
        <v/>
      </c>
      <c r="AM91" s="281" t="str">
        <f>IF(B91="","",VLOOKUP($B91,'F-1 Off-Site WaterC'' Baseline'!$C$9:$Z$257,17,FALSE))</f>
        <v/>
      </c>
      <c r="AN91" s="282" t="str">
        <f>IF(AM91="","",IF(VLOOKUP(AM91,'G-7 WaterC'' Data'!$AO$4:$BO$7,2,FALSE)=0,"Spatial Data Missing ⚠",VLOOKUP(AM91,'G-7 WaterC'' Data'!$AO$4:$BO$7,2,FALSE)))</f>
        <v/>
      </c>
      <c r="AO91" s="323" t="str">
        <f t="shared" si="18"/>
        <v/>
      </c>
      <c r="AP91" s="323" t="str">
        <f t="shared" si="19"/>
        <v/>
      </c>
      <c r="AQ91" s="105"/>
      <c r="AR91" s="119"/>
      <c r="AS91" s="108"/>
      <c r="AT91" s="108"/>
      <c r="AW91" s="30" t="str">
        <f>IF(E91="","",VLOOKUP($B91,'F-1 Off-Site WaterC'' Baseline'!$C$9:$Z$257,12,FALSE))</f>
        <v/>
      </c>
      <c r="AX91" s="30" t="str">
        <f>IF(E91="","",VLOOKUP($B91,'F-1 Off-Site WaterC'' Baseline'!$C$9:$Z$257,14,FALSE))</f>
        <v/>
      </c>
      <c r="AY91" s="30" t="str">
        <f>IFERROR(INDEX('G-7 WaterC'' Data'!$AZ$3:$AZ$7,MATCH(N91,'G-7 WaterC'' Data'!$AY$3:$AY$7,0)),"")</f>
        <v/>
      </c>
      <c r="AZ91" s="30" t="str">
        <f>IF(B91="","",IF(ISNA(VLOOKUP($B91,'F-1 Off-Site WaterC'' Baseline'!$C$8:$AD$257,20,FALSE)),"",(VLOOKUP($B91,'F-1 Off-Site WaterC'' Baseline'!$C$8:$AD$257,20,FALSE))))</f>
        <v/>
      </c>
      <c r="BC91" s="30" t="str">
        <f>IF(B91="","",VLOOKUP($B91,'F-1 Off-Site WaterC'' Baseline'!$C$9:$AB$257,25,FALSE))</f>
        <v/>
      </c>
      <c r="BD91" s="30" t="str">
        <f t="shared" si="20"/>
        <v/>
      </c>
      <c r="BE91" s="30" t="str">
        <f>IF(B91="","",VLOOKUP($B91,'F-1 Off-Site WaterC'' Baseline'!$C$9:$AB$257,24,FALSE))</f>
        <v/>
      </c>
      <c r="BF91" s="30" t="str">
        <f>IF(B91="","",VLOOKUP($B91,'F-1 Off-Site WaterC'' Baseline'!$C$9:$AB$257,22,FALSE))</f>
        <v/>
      </c>
      <c r="BJ91" s="30" t="str">
        <f t="shared" si="21"/>
        <v>No</v>
      </c>
    </row>
    <row r="92" spans="2:62" ht="13.8" x14ac:dyDescent="0.25">
      <c r="B92" s="311" t="str">
        <f>'F-1 Off-Site WaterC'' Baseline'!AS90</f>
        <v/>
      </c>
      <c r="C92" s="301" t="str">
        <f>IF(B92="","",VLOOKUP($B92,'F-1 Off-Site WaterC'' Baseline'!$C$9:$R$257,2,FALSE))</f>
        <v/>
      </c>
      <c r="D92" s="301" t="str">
        <f>IF(C92="","",VLOOKUP($B92,'F-1 Off-Site WaterC'' Baseline'!$C$9:$R$257,3,FALSE))</f>
        <v/>
      </c>
      <c r="E92" s="301" t="str">
        <f>IF(D92="","",VLOOKUP($B92,'F-1 Off-Site WaterC'' Baseline'!$C$9:$R$257,4,FALSE))</f>
        <v/>
      </c>
      <c r="F92" s="301" t="str">
        <f>IF(E92="","",VLOOKUP($B92,'F-1 Off-Site WaterC'' Baseline'!$C$9:$R$257,5,FALSE))</f>
        <v/>
      </c>
      <c r="G92" s="301" t="str">
        <f>IF(F92="","",VLOOKUP($B92,'F-1 Off-Site WaterC'' Baseline'!$C$9:$R$257,6,FALSE))</f>
        <v/>
      </c>
      <c r="H92" s="301" t="str">
        <f>IF(G92="","",VLOOKUP($B92,'F-1 Off-Site WaterC'' Baseline'!$C$9:$R$257,7,FALSE))</f>
        <v/>
      </c>
      <c r="I92" s="301" t="str">
        <f>IF(H92="","",VLOOKUP($B92,'F-1 Off-Site WaterC'' Baseline'!$C$9:$R$257,8,FALSE))</f>
        <v/>
      </c>
      <c r="J92" s="301" t="str">
        <f>IF(I92="","",VLOOKUP($B92,'F-1 Off-Site WaterC'' Baseline'!$C$9:$R$257,9,FALSE))</f>
        <v/>
      </c>
      <c r="K92" s="301" t="str">
        <f>IF(J92="","",VLOOKUP($B92,'F-1 Off-Site WaterC'' Baseline'!$C$9:$R$257,10,FALSE))</f>
        <v/>
      </c>
      <c r="L92" s="289" t="str">
        <f>IF(B92="","",VLOOKUP($B92,'F-1 Off-Site WaterC'' Baseline'!$C$9:$R$257,15,FALSE))</f>
        <v/>
      </c>
      <c r="M92" s="305" t="str">
        <f>IF(L92="","",VLOOKUP($B92,'F-1 Off-Site WaterC'' Baseline'!$C$9:$V$257,19,FALSE))</f>
        <v/>
      </c>
      <c r="N92" s="250"/>
      <c r="O92" s="281" t="str">
        <f t="shared" si="14"/>
        <v/>
      </c>
      <c r="P92" s="282" t="str">
        <f t="shared" si="15"/>
        <v/>
      </c>
      <c r="Q92" s="287" t="str">
        <f>IF(N92="","",VLOOKUP(B92,'F-1 Off-Site WaterC'' Baseline'!$C$10:$AF$257,23,FALSE))</f>
        <v/>
      </c>
      <c r="R92" s="281" t="str">
        <f>IF(N92="","",VLOOKUP(N92,'G-7 WaterC'' Data'!$B$2:$G$8,2,FALSE))</f>
        <v/>
      </c>
      <c r="S92" s="282" t="str">
        <f>IFERROR(VLOOKUP(R92,'G-7 WaterC'' Data'!$C$4:$D$8,2,FALSE),"")</f>
        <v/>
      </c>
      <c r="T92" s="105"/>
      <c r="U92" s="282" t="str">
        <f>IFERROR(INDEX('G-7 WaterC'' Data'!$H$4:$L$8,MATCH(N92,'G-7 WaterC'' Data'!$B$4:$B$8,0),MATCH(T92,'G-7 WaterC'' Data'!$H$3:$L$3,0)),"")</f>
        <v/>
      </c>
      <c r="V92" s="109"/>
      <c r="W92" s="301" t="str">
        <f>IF(V92="","",IF(VLOOKUP(V92,'G-7 WaterC'' Data'!$AK$4:$AM$6,2,FALSE)=0,"Spatial Data Missing ⚠",VLOOKUP(V92,'G-7 WaterC'' Data'!$AK$4:$AM$6,2,FALSE)))</f>
        <v/>
      </c>
      <c r="X92" s="305" t="str">
        <f>IF(V92="","",IF(VLOOKUP(V92,'G-7 WaterC'' Data'!$AK$4:$AM$6,3,FALSE)=0,"Spatial Data Missing ⚠",VLOOKUP(V92,'G-7 WaterC'' Data'!$AK$4:$AM$6,3,FALSE)))</f>
        <v/>
      </c>
      <c r="Y92" s="317" t="str">
        <f>IFERROR(IF(OR(LEFT(P92,5)="Error",LEFT(O92,5)="Error"),"Check Data ⚠",IF(F92&lt;S92,'G-7 WaterC'' Data'!$R$3,INDEX('G-7 WaterC'' Data'!$U$5:$Y$9,MATCH(G92,'G-7 WaterC'' Data'!$T$5:$T$9,0),MATCH(T92,'G-7 WaterC'' Data'!$U$4:$Y$4,0)))),"")</f>
        <v/>
      </c>
      <c r="Z92" s="142"/>
      <c r="AA92" s="142"/>
      <c r="AB92" s="314" t="str">
        <f t="shared" si="11"/>
        <v/>
      </c>
      <c r="AC92" s="302" t="str">
        <f t="shared" si="16"/>
        <v/>
      </c>
      <c r="AD92" s="340" t="str">
        <f>IFERROR(IF(AC92="Check Data ⚠","Check Data ⚠",VLOOKUP(AC92,'G-4 Temporal multipliers'!$A$4:$C$37,3,FALSE)),"")</f>
        <v/>
      </c>
      <c r="AE92" s="317" t="str">
        <f>IF(N92="","",VLOOKUP(N92,'G-7 WaterC'' Data'!$B$4:$G$8,5,FALSE))</f>
        <v/>
      </c>
      <c r="AF92" s="301" t="str">
        <f t="shared" si="12"/>
        <v/>
      </c>
      <c r="AG92" s="301" t="str">
        <f t="shared" si="17"/>
        <v/>
      </c>
      <c r="AH92" s="282" t="str">
        <f t="shared" si="13"/>
        <v/>
      </c>
      <c r="AI92" s="109"/>
      <c r="AJ92" s="282" t="str">
        <f>IF(AI92="","",(IF(AND(AI92="N/A - Culvert",N92&lt;&gt;"Culvert"),"Not possible ▲",IF(VLOOKUP(AI92,'G-7 WaterC'' Data'!$AA$4:$AB$7,2,FALSE)=0,"Spatial Data Missing ⚠",VLOOKUP(AI92,'G-7 WaterC'' Data'!$AA$4:$AB$7,2,FALSE)))))</f>
        <v/>
      </c>
      <c r="AK92" s="110"/>
      <c r="AL92" s="316" t="str">
        <f>IF(AK92="","",IF(AND(AK92="N/A - Culvert",N92&lt;&gt;"Culvert"),"Not possible ▲",IF(VLOOKUP(AK92,'G-7 WaterC'' Data'!$AD$4:$AE$14,2,FALSE)=0,"Spatial Data Missing ⚠",VLOOKUP(AK92,'G-7 WaterC'' Data'!$AD$4:$AE$14,2,FALSE))))</f>
        <v/>
      </c>
      <c r="AM92" s="281" t="str">
        <f>IF(B92="","",VLOOKUP($B92,'F-1 Off-Site WaterC'' Baseline'!$C$9:$Z$257,17,FALSE))</f>
        <v/>
      </c>
      <c r="AN92" s="282" t="str">
        <f>IF(AM92="","",IF(VLOOKUP(AM92,'G-7 WaterC'' Data'!$AO$4:$BO$7,2,FALSE)=0,"Spatial Data Missing ⚠",VLOOKUP(AM92,'G-7 WaterC'' Data'!$AO$4:$BO$7,2,FALSE)))</f>
        <v/>
      </c>
      <c r="AO92" s="323" t="str">
        <f t="shared" si="18"/>
        <v/>
      </c>
      <c r="AP92" s="323" t="str">
        <f t="shared" si="19"/>
        <v/>
      </c>
      <c r="AQ92" s="105"/>
      <c r="AR92" s="119"/>
      <c r="AS92" s="108"/>
      <c r="AT92" s="108"/>
      <c r="AW92" s="30" t="str">
        <f>IF(E92="","",VLOOKUP($B92,'F-1 Off-Site WaterC'' Baseline'!$C$9:$Z$257,12,FALSE))</f>
        <v/>
      </c>
      <c r="AX92" s="30" t="str">
        <f>IF(E92="","",VLOOKUP($B92,'F-1 Off-Site WaterC'' Baseline'!$C$9:$Z$257,14,FALSE))</f>
        <v/>
      </c>
      <c r="AY92" s="30" t="str">
        <f>IFERROR(INDEX('G-7 WaterC'' Data'!$AZ$3:$AZ$7,MATCH(N92,'G-7 WaterC'' Data'!$AY$3:$AY$7,0)),"")</f>
        <v/>
      </c>
      <c r="AZ92" s="30" t="str">
        <f>IF(B92="","",IF(ISNA(VLOOKUP($B92,'F-1 Off-Site WaterC'' Baseline'!$C$8:$AD$257,20,FALSE)),"",(VLOOKUP($B92,'F-1 Off-Site WaterC'' Baseline'!$C$8:$AD$257,20,FALSE))))</f>
        <v/>
      </c>
      <c r="BC92" s="30" t="str">
        <f>IF(B92="","",VLOOKUP($B92,'F-1 Off-Site WaterC'' Baseline'!$C$9:$AB$257,25,FALSE))</f>
        <v/>
      </c>
      <c r="BD92" s="30" t="str">
        <f t="shared" si="20"/>
        <v/>
      </c>
      <c r="BE92" s="30" t="str">
        <f>IF(B92="","",VLOOKUP($B92,'F-1 Off-Site WaterC'' Baseline'!$C$9:$AB$257,24,FALSE))</f>
        <v/>
      </c>
      <c r="BF92" s="30" t="str">
        <f>IF(B92="","",VLOOKUP($B92,'F-1 Off-Site WaterC'' Baseline'!$C$9:$AB$257,22,FALSE))</f>
        <v/>
      </c>
      <c r="BJ92" s="30" t="str">
        <f t="shared" si="21"/>
        <v>No</v>
      </c>
    </row>
    <row r="93" spans="2:62" ht="13.8" x14ac:dyDescent="0.25">
      <c r="B93" s="311" t="str">
        <f>'F-1 Off-Site WaterC'' Baseline'!AS91</f>
        <v/>
      </c>
      <c r="C93" s="301" t="str">
        <f>IF(B93="","",VLOOKUP($B93,'F-1 Off-Site WaterC'' Baseline'!$C$9:$R$257,2,FALSE))</f>
        <v/>
      </c>
      <c r="D93" s="301" t="str">
        <f>IF(C93="","",VLOOKUP($B93,'F-1 Off-Site WaterC'' Baseline'!$C$9:$R$257,3,FALSE))</f>
        <v/>
      </c>
      <c r="E93" s="301" t="str">
        <f>IF(D93="","",VLOOKUP($B93,'F-1 Off-Site WaterC'' Baseline'!$C$9:$R$257,4,FALSE))</f>
        <v/>
      </c>
      <c r="F93" s="301" t="str">
        <f>IF(E93="","",VLOOKUP($B93,'F-1 Off-Site WaterC'' Baseline'!$C$9:$R$257,5,FALSE))</f>
        <v/>
      </c>
      <c r="G93" s="301" t="str">
        <f>IF(F93="","",VLOOKUP($B93,'F-1 Off-Site WaterC'' Baseline'!$C$9:$R$257,6,FALSE))</f>
        <v/>
      </c>
      <c r="H93" s="301" t="str">
        <f>IF(G93="","",VLOOKUP($B93,'F-1 Off-Site WaterC'' Baseline'!$C$9:$R$257,7,FALSE))</f>
        <v/>
      </c>
      <c r="I93" s="301" t="str">
        <f>IF(H93="","",VLOOKUP($B93,'F-1 Off-Site WaterC'' Baseline'!$C$9:$R$257,8,FALSE))</f>
        <v/>
      </c>
      <c r="J93" s="301" t="str">
        <f>IF(I93="","",VLOOKUP($B93,'F-1 Off-Site WaterC'' Baseline'!$C$9:$R$257,9,FALSE))</f>
        <v/>
      </c>
      <c r="K93" s="301" t="str">
        <f>IF(J93="","",VLOOKUP($B93,'F-1 Off-Site WaterC'' Baseline'!$C$9:$R$257,10,FALSE))</f>
        <v/>
      </c>
      <c r="L93" s="289" t="str">
        <f>IF(B93="","",VLOOKUP($B93,'F-1 Off-Site WaterC'' Baseline'!$C$9:$R$257,15,FALSE))</f>
        <v/>
      </c>
      <c r="M93" s="305" t="str">
        <f>IF(L93="","",VLOOKUP($B93,'F-1 Off-Site WaterC'' Baseline'!$C$9:$V$257,19,FALSE))</f>
        <v/>
      </c>
      <c r="N93" s="250"/>
      <c r="O93" s="281" t="str">
        <f t="shared" si="14"/>
        <v/>
      </c>
      <c r="P93" s="282" t="str">
        <f t="shared" si="15"/>
        <v/>
      </c>
      <c r="Q93" s="287" t="str">
        <f>IF(N93="","",VLOOKUP(B93,'F-1 Off-Site WaterC'' Baseline'!$C$10:$AF$257,23,FALSE))</f>
        <v/>
      </c>
      <c r="R93" s="281" t="str">
        <f>IF(N93="","",VLOOKUP(N93,'G-7 WaterC'' Data'!$B$2:$G$8,2,FALSE))</f>
        <v/>
      </c>
      <c r="S93" s="282" t="str">
        <f>IFERROR(VLOOKUP(R93,'G-7 WaterC'' Data'!$C$4:$D$8,2,FALSE),"")</f>
        <v/>
      </c>
      <c r="T93" s="105"/>
      <c r="U93" s="282" t="str">
        <f>IFERROR(INDEX('G-7 WaterC'' Data'!$H$4:$L$8,MATCH(N93,'G-7 WaterC'' Data'!$B$4:$B$8,0),MATCH(T93,'G-7 WaterC'' Data'!$H$3:$L$3,0)),"")</f>
        <v/>
      </c>
      <c r="V93" s="109"/>
      <c r="W93" s="301" t="str">
        <f>IF(V93="","",IF(VLOOKUP(V93,'G-7 WaterC'' Data'!$AK$4:$AM$6,2,FALSE)=0,"Spatial Data Missing ⚠",VLOOKUP(V93,'G-7 WaterC'' Data'!$AK$4:$AM$6,2,FALSE)))</f>
        <v/>
      </c>
      <c r="X93" s="305" t="str">
        <f>IF(V93="","",IF(VLOOKUP(V93,'G-7 WaterC'' Data'!$AK$4:$AM$6,3,FALSE)=0,"Spatial Data Missing ⚠",VLOOKUP(V93,'G-7 WaterC'' Data'!$AK$4:$AM$6,3,FALSE)))</f>
        <v/>
      </c>
      <c r="Y93" s="317" t="str">
        <f>IFERROR(IF(OR(LEFT(P93,5)="Error",LEFT(O93,5)="Error"),"Check Data ⚠",IF(F93&lt;S93,'G-7 WaterC'' Data'!$R$3,INDEX('G-7 WaterC'' Data'!$U$5:$Y$9,MATCH(G93,'G-7 WaterC'' Data'!$T$5:$T$9,0),MATCH(T93,'G-7 WaterC'' Data'!$U$4:$Y$4,0)))),"")</f>
        <v/>
      </c>
      <c r="Z93" s="142"/>
      <c r="AA93" s="142"/>
      <c r="AB93" s="314" t="str">
        <f t="shared" si="11"/>
        <v/>
      </c>
      <c r="AC93" s="302" t="str">
        <f t="shared" si="16"/>
        <v/>
      </c>
      <c r="AD93" s="340" t="str">
        <f>IFERROR(IF(AC93="Check Data ⚠","Check Data ⚠",VLOOKUP(AC93,'G-4 Temporal multipliers'!$A$4:$C$37,3,FALSE)),"")</f>
        <v/>
      </c>
      <c r="AE93" s="317" t="str">
        <f>IF(N93="","",VLOOKUP(N93,'G-7 WaterC'' Data'!$B$4:$G$8,5,FALSE))</f>
        <v/>
      </c>
      <c r="AF93" s="301" t="str">
        <f t="shared" si="12"/>
        <v/>
      </c>
      <c r="AG93" s="301" t="str">
        <f t="shared" si="17"/>
        <v/>
      </c>
      <c r="AH93" s="282" t="str">
        <f t="shared" si="13"/>
        <v/>
      </c>
      <c r="AI93" s="109"/>
      <c r="AJ93" s="282" t="str">
        <f>IF(AI93="","",(IF(AND(AI93="N/A - Culvert",N93&lt;&gt;"Culvert"),"Not possible ▲",IF(VLOOKUP(AI93,'G-7 WaterC'' Data'!$AA$4:$AB$7,2,FALSE)=0,"Spatial Data Missing ⚠",VLOOKUP(AI93,'G-7 WaterC'' Data'!$AA$4:$AB$7,2,FALSE)))))</f>
        <v/>
      </c>
      <c r="AK93" s="110"/>
      <c r="AL93" s="316" t="str">
        <f>IF(AK93="","",IF(AND(AK93="N/A - Culvert",N93&lt;&gt;"Culvert"),"Not possible ▲",IF(VLOOKUP(AK93,'G-7 WaterC'' Data'!$AD$4:$AE$14,2,FALSE)=0,"Spatial Data Missing ⚠",VLOOKUP(AK93,'G-7 WaterC'' Data'!$AD$4:$AE$14,2,FALSE))))</f>
        <v/>
      </c>
      <c r="AM93" s="281" t="str">
        <f>IF(B93="","",VLOOKUP($B93,'F-1 Off-Site WaterC'' Baseline'!$C$9:$Z$257,17,FALSE))</f>
        <v/>
      </c>
      <c r="AN93" s="282" t="str">
        <f>IF(AM93="","",IF(VLOOKUP(AM93,'G-7 WaterC'' Data'!$AO$4:$BO$7,2,FALSE)=0,"Spatial Data Missing ⚠",VLOOKUP(AM93,'G-7 WaterC'' Data'!$AO$4:$BO$7,2,FALSE)))</f>
        <v/>
      </c>
      <c r="AO93" s="323" t="str">
        <f t="shared" si="18"/>
        <v/>
      </c>
      <c r="AP93" s="323" t="str">
        <f t="shared" si="19"/>
        <v/>
      </c>
      <c r="AQ93" s="105"/>
      <c r="AR93" s="119"/>
      <c r="AS93" s="108"/>
      <c r="AT93" s="108"/>
      <c r="AW93" s="30" t="str">
        <f>IF(E93="","",VLOOKUP($B93,'F-1 Off-Site WaterC'' Baseline'!$C$9:$Z$257,12,FALSE))</f>
        <v/>
      </c>
      <c r="AX93" s="30" t="str">
        <f>IF(E93="","",VLOOKUP($B93,'F-1 Off-Site WaterC'' Baseline'!$C$9:$Z$257,14,FALSE))</f>
        <v/>
      </c>
      <c r="AY93" s="30" t="str">
        <f>IFERROR(INDEX('G-7 WaterC'' Data'!$AZ$3:$AZ$7,MATCH(N93,'G-7 WaterC'' Data'!$AY$3:$AY$7,0)),"")</f>
        <v/>
      </c>
      <c r="AZ93" s="30" t="str">
        <f>IF(B93="","",IF(ISNA(VLOOKUP($B93,'F-1 Off-Site WaterC'' Baseline'!$C$8:$AD$257,20,FALSE)),"",(VLOOKUP($B93,'F-1 Off-Site WaterC'' Baseline'!$C$8:$AD$257,20,FALSE))))</f>
        <v/>
      </c>
      <c r="BC93" s="30" t="str">
        <f>IF(B93="","",VLOOKUP($B93,'F-1 Off-Site WaterC'' Baseline'!$C$9:$AB$257,25,FALSE))</f>
        <v/>
      </c>
      <c r="BD93" s="30" t="str">
        <f t="shared" si="20"/>
        <v/>
      </c>
      <c r="BE93" s="30" t="str">
        <f>IF(B93="","",VLOOKUP($B93,'F-1 Off-Site WaterC'' Baseline'!$C$9:$AB$257,24,FALSE))</f>
        <v/>
      </c>
      <c r="BF93" s="30" t="str">
        <f>IF(B93="","",VLOOKUP($B93,'F-1 Off-Site WaterC'' Baseline'!$C$9:$AB$257,22,FALSE))</f>
        <v/>
      </c>
      <c r="BJ93" s="30" t="str">
        <f t="shared" si="21"/>
        <v>No</v>
      </c>
    </row>
    <row r="94" spans="2:62" ht="13.8" x14ac:dyDescent="0.25">
      <c r="B94" s="311" t="str">
        <f>'F-1 Off-Site WaterC'' Baseline'!AS92</f>
        <v/>
      </c>
      <c r="C94" s="301" t="str">
        <f>IF(B94="","",VLOOKUP($B94,'F-1 Off-Site WaterC'' Baseline'!$C$9:$R$257,2,FALSE))</f>
        <v/>
      </c>
      <c r="D94" s="301" t="str">
        <f>IF(C94="","",VLOOKUP($B94,'F-1 Off-Site WaterC'' Baseline'!$C$9:$R$257,3,FALSE))</f>
        <v/>
      </c>
      <c r="E94" s="301" t="str">
        <f>IF(D94="","",VLOOKUP($B94,'F-1 Off-Site WaterC'' Baseline'!$C$9:$R$257,4,FALSE))</f>
        <v/>
      </c>
      <c r="F94" s="301" t="str">
        <f>IF(E94="","",VLOOKUP($B94,'F-1 Off-Site WaterC'' Baseline'!$C$9:$R$257,5,FALSE))</f>
        <v/>
      </c>
      <c r="G94" s="301" t="str">
        <f>IF(F94="","",VLOOKUP($B94,'F-1 Off-Site WaterC'' Baseline'!$C$9:$R$257,6,FALSE))</f>
        <v/>
      </c>
      <c r="H94" s="301" t="str">
        <f>IF(G94="","",VLOOKUP($B94,'F-1 Off-Site WaterC'' Baseline'!$C$9:$R$257,7,FALSE))</f>
        <v/>
      </c>
      <c r="I94" s="301" t="str">
        <f>IF(H94="","",VLOOKUP($B94,'F-1 Off-Site WaterC'' Baseline'!$C$9:$R$257,8,FALSE))</f>
        <v/>
      </c>
      <c r="J94" s="301" t="str">
        <f>IF(I94="","",VLOOKUP($B94,'F-1 Off-Site WaterC'' Baseline'!$C$9:$R$257,9,FALSE))</f>
        <v/>
      </c>
      <c r="K94" s="301" t="str">
        <f>IF(J94="","",VLOOKUP($B94,'F-1 Off-Site WaterC'' Baseline'!$C$9:$R$257,10,FALSE))</f>
        <v/>
      </c>
      <c r="L94" s="289" t="str">
        <f>IF(B94="","",VLOOKUP($B94,'F-1 Off-Site WaterC'' Baseline'!$C$9:$R$257,15,FALSE))</f>
        <v/>
      </c>
      <c r="M94" s="305" t="str">
        <f>IF(L94="","",VLOOKUP($B94,'F-1 Off-Site WaterC'' Baseline'!$C$9:$V$257,19,FALSE))</f>
        <v/>
      </c>
      <c r="N94" s="250"/>
      <c r="O94" s="281" t="str">
        <f t="shared" si="14"/>
        <v/>
      </c>
      <c r="P94" s="282" t="str">
        <f t="shared" si="15"/>
        <v/>
      </c>
      <c r="Q94" s="287" t="str">
        <f>IF(N94="","",VLOOKUP(B94,'F-1 Off-Site WaterC'' Baseline'!$C$10:$AF$257,23,FALSE))</f>
        <v/>
      </c>
      <c r="R94" s="281" t="str">
        <f>IF(N94="","",VLOOKUP(N94,'G-7 WaterC'' Data'!$B$2:$G$8,2,FALSE))</f>
        <v/>
      </c>
      <c r="S94" s="282" t="str">
        <f>IFERROR(VLOOKUP(R94,'G-7 WaterC'' Data'!$C$4:$D$8,2,FALSE),"")</f>
        <v/>
      </c>
      <c r="T94" s="105"/>
      <c r="U94" s="282" t="str">
        <f>IFERROR(INDEX('G-7 WaterC'' Data'!$H$4:$L$8,MATCH(N94,'G-7 WaterC'' Data'!$B$4:$B$8,0),MATCH(T94,'G-7 WaterC'' Data'!$H$3:$L$3,0)),"")</f>
        <v/>
      </c>
      <c r="V94" s="109"/>
      <c r="W94" s="301" t="str">
        <f>IF(V94="","",IF(VLOOKUP(V94,'G-7 WaterC'' Data'!$AK$4:$AM$6,2,FALSE)=0,"Spatial Data Missing ⚠",VLOOKUP(V94,'G-7 WaterC'' Data'!$AK$4:$AM$6,2,FALSE)))</f>
        <v/>
      </c>
      <c r="X94" s="305" t="str">
        <f>IF(V94="","",IF(VLOOKUP(V94,'G-7 WaterC'' Data'!$AK$4:$AM$6,3,FALSE)=0,"Spatial Data Missing ⚠",VLOOKUP(V94,'G-7 WaterC'' Data'!$AK$4:$AM$6,3,FALSE)))</f>
        <v/>
      </c>
      <c r="Y94" s="317" t="str">
        <f>IFERROR(IF(OR(LEFT(P94,5)="Error",LEFT(O94,5)="Error"),"Check Data ⚠",IF(F94&lt;S94,'G-7 WaterC'' Data'!$R$3,INDEX('G-7 WaterC'' Data'!$U$5:$Y$9,MATCH(G94,'G-7 WaterC'' Data'!$T$5:$T$9,0),MATCH(T94,'G-7 WaterC'' Data'!$U$4:$Y$4,0)))),"")</f>
        <v/>
      </c>
      <c r="Z94" s="142"/>
      <c r="AA94" s="142"/>
      <c r="AB94" s="314" t="str">
        <f t="shared" si="11"/>
        <v/>
      </c>
      <c r="AC94" s="302" t="str">
        <f t="shared" si="16"/>
        <v/>
      </c>
      <c r="AD94" s="340" t="str">
        <f>IFERROR(IF(AC94="Check Data ⚠","Check Data ⚠",VLOOKUP(AC94,'G-4 Temporal multipliers'!$A$4:$C$37,3,FALSE)),"")</f>
        <v/>
      </c>
      <c r="AE94" s="317" t="str">
        <f>IF(N94="","",VLOOKUP(N94,'G-7 WaterC'' Data'!$B$4:$G$8,5,FALSE))</f>
        <v/>
      </c>
      <c r="AF94" s="301" t="str">
        <f t="shared" si="12"/>
        <v/>
      </c>
      <c r="AG94" s="301" t="str">
        <f t="shared" si="17"/>
        <v/>
      </c>
      <c r="AH94" s="282" t="str">
        <f t="shared" si="13"/>
        <v/>
      </c>
      <c r="AI94" s="109"/>
      <c r="AJ94" s="282" t="str">
        <f>IF(AI94="","",(IF(AND(AI94="N/A - Culvert",N94&lt;&gt;"Culvert"),"Not possible ▲",IF(VLOOKUP(AI94,'G-7 WaterC'' Data'!$AA$4:$AB$7,2,FALSE)=0,"Spatial Data Missing ⚠",VLOOKUP(AI94,'G-7 WaterC'' Data'!$AA$4:$AB$7,2,FALSE)))))</f>
        <v/>
      </c>
      <c r="AK94" s="110"/>
      <c r="AL94" s="316" t="str">
        <f>IF(AK94="","",IF(AND(AK94="N/A - Culvert",N94&lt;&gt;"Culvert"),"Not possible ▲",IF(VLOOKUP(AK94,'G-7 WaterC'' Data'!$AD$4:$AE$14,2,FALSE)=0,"Spatial Data Missing ⚠",VLOOKUP(AK94,'G-7 WaterC'' Data'!$AD$4:$AE$14,2,FALSE))))</f>
        <v/>
      </c>
      <c r="AM94" s="281" t="str">
        <f>IF(B94="","",VLOOKUP($B94,'F-1 Off-Site WaterC'' Baseline'!$C$9:$Z$257,17,FALSE))</f>
        <v/>
      </c>
      <c r="AN94" s="282" t="str">
        <f>IF(AM94="","",IF(VLOOKUP(AM94,'G-7 WaterC'' Data'!$AO$4:$BO$7,2,FALSE)=0,"Spatial Data Missing ⚠",VLOOKUP(AM94,'G-7 WaterC'' Data'!$AO$4:$BO$7,2,FALSE)))</f>
        <v/>
      </c>
      <c r="AO94" s="323" t="str">
        <f t="shared" si="18"/>
        <v/>
      </c>
      <c r="AP94" s="323" t="str">
        <f t="shared" si="19"/>
        <v/>
      </c>
      <c r="AQ94" s="105"/>
      <c r="AR94" s="119"/>
      <c r="AS94" s="108"/>
      <c r="AT94" s="108"/>
      <c r="AW94" s="30" t="str">
        <f>IF(E94="","",VLOOKUP($B94,'F-1 Off-Site WaterC'' Baseline'!$C$9:$Z$257,12,FALSE))</f>
        <v/>
      </c>
      <c r="AX94" s="30" t="str">
        <f>IF(E94="","",VLOOKUP($B94,'F-1 Off-Site WaterC'' Baseline'!$C$9:$Z$257,14,FALSE))</f>
        <v/>
      </c>
      <c r="AY94" s="30" t="str">
        <f>IFERROR(INDEX('G-7 WaterC'' Data'!$AZ$3:$AZ$7,MATCH(N94,'G-7 WaterC'' Data'!$AY$3:$AY$7,0)),"")</f>
        <v/>
      </c>
      <c r="AZ94" s="30" t="str">
        <f>IF(B94="","",IF(ISNA(VLOOKUP($B94,'F-1 Off-Site WaterC'' Baseline'!$C$8:$AD$257,20,FALSE)),"",(VLOOKUP($B94,'F-1 Off-Site WaterC'' Baseline'!$C$8:$AD$257,20,FALSE))))</f>
        <v/>
      </c>
      <c r="BC94" s="30" t="str">
        <f>IF(B94="","",VLOOKUP($B94,'F-1 Off-Site WaterC'' Baseline'!$C$9:$AB$257,25,FALSE))</f>
        <v/>
      </c>
      <c r="BD94" s="30" t="str">
        <f t="shared" si="20"/>
        <v/>
      </c>
      <c r="BE94" s="30" t="str">
        <f>IF(B94="","",VLOOKUP($B94,'F-1 Off-Site WaterC'' Baseline'!$C$9:$AB$257,24,FALSE))</f>
        <v/>
      </c>
      <c r="BF94" s="30" t="str">
        <f>IF(B94="","",VLOOKUP($B94,'F-1 Off-Site WaterC'' Baseline'!$C$9:$AB$257,22,FALSE))</f>
        <v/>
      </c>
      <c r="BJ94" s="30" t="str">
        <f t="shared" si="21"/>
        <v>No</v>
      </c>
    </row>
    <row r="95" spans="2:62" ht="13.8" x14ac:dyDescent="0.25">
      <c r="B95" s="311" t="str">
        <f>'F-1 Off-Site WaterC'' Baseline'!AS93</f>
        <v/>
      </c>
      <c r="C95" s="301" t="str">
        <f>IF(B95="","",VLOOKUP($B95,'F-1 Off-Site WaterC'' Baseline'!$C$9:$R$257,2,FALSE))</f>
        <v/>
      </c>
      <c r="D95" s="301" t="str">
        <f>IF(C95="","",VLOOKUP($B95,'F-1 Off-Site WaterC'' Baseline'!$C$9:$R$257,3,FALSE))</f>
        <v/>
      </c>
      <c r="E95" s="301" t="str">
        <f>IF(D95="","",VLOOKUP($B95,'F-1 Off-Site WaterC'' Baseline'!$C$9:$R$257,4,FALSE))</f>
        <v/>
      </c>
      <c r="F95" s="301" t="str">
        <f>IF(E95="","",VLOOKUP($B95,'F-1 Off-Site WaterC'' Baseline'!$C$9:$R$257,5,FALSE))</f>
        <v/>
      </c>
      <c r="G95" s="301" t="str">
        <f>IF(F95="","",VLOOKUP($B95,'F-1 Off-Site WaterC'' Baseline'!$C$9:$R$257,6,FALSE))</f>
        <v/>
      </c>
      <c r="H95" s="301" t="str">
        <f>IF(G95="","",VLOOKUP($B95,'F-1 Off-Site WaterC'' Baseline'!$C$9:$R$257,7,FALSE))</f>
        <v/>
      </c>
      <c r="I95" s="301" t="str">
        <f>IF(H95="","",VLOOKUP($B95,'F-1 Off-Site WaterC'' Baseline'!$C$9:$R$257,8,FALSE))</f>
        <v/>
      </c>
      <c r="J95" s="301" t="str">
        <f>IF(I95="","",VLOOKUP($B95,'F-1 Off-Site WaterC'' Baseline'!$C$9:$R$257,9,FALSE))</f>
        <v/>
      </c>
      <c r="K95" s="301" t="str">
        <f>IF(J95="","",VLOOKUP($B95,'F-1 Off-Site WaterC'' Baseline'!$C$9:$R$257,10,FALSE))</f>
        <v/>
      </c>
      <c r="L95" s="289" t="str">
        <f>IF(B95="","",VLOOKUP($B95,'F-1 Off-Site WaterC'' Baseline'!$C$9:$R$257,15,FALSE))</f>
        <v/>
      </c>
      <c r="M95" s="305" t="str">
        <f>IF(L95="","",VLOOKUP($B95,'F-1 Off-Site WaterC'' Baseline'!$C$9:$V$257,19,FALSE))</f>
        <v/>
      </c>
      <c r="N95" s="250"/>
      <c r="O95" s="281" t="str">
        <f t="shared" si="14"/>
        <v/>
      </c>
      <c r="P95" s="282" t="str">
        <f t="shared" si="15"/>
        <v/>
      </c>
      <c r="Q95" s="287" t="str">
        <f>IF(N95="","",VLOOKUP(B95,'F-1 Off-Site WaterC'' Baseline'!$C$10:$AF$257,23,FALSE))</f>
        <v/>
      </c>
      <c r="R95" s="281" t="str">
        <f>IF(N95="","",VLOOKUP(N95,'G-7 WaterC'' Data'!$B$2:$G$8,2,FALSE))</f>
        <v/>
      </c>
      <c r="S95" s="282" t="str">
        <f>IFERROR(VLOOKUP(R95,'G-7 WaterC'' Data'!$C$4:$D$8,2,FALSE),"")</f>
        <v/>
      </c>
      <c r="T95" s="105"/>
      <c r="U95" s="282" t="str">
        <f>IFERROR(INDEX('G-7 WaterC'' Data'!$H$4:$L$8,MATCH(N95,'G-7 WaterC'' Data'!$B$4:$B$8,0),MATCH(T95,'G-7 WaterC'' Data'!$H$3:$L$3,0)),"")</f>
        <v/>
      </c>
      <c r="V95" s="109"/>
      <c r="W95" s="301" t="str">
        <f>IF(V95="","",IF(VLOOKUP(V95,'G-7 WaterC'' Data'!$AK$4:$AM$6,2,FALSE)=0,"Spatial Data Missing ⚠",VLOOKUP(V95,'G-7 WaterC'' Data'!$AK$4:$AM$6,2,FALSE)))</f>
        <v/>
      </c>
      <c r="X95" s="305" t="str">
        <f>IF(V95="","",IF(VLOOKUP(V95,'G-7 WaterC'' Data'!$AK$4:$AM$6,3,FALSE)=0,"Spatial Data Missing ⚠",VLOOKUP(V95,'G-7 WaterC'' Data'!$AK$4:$AM$6,3,FALSE)))</f>
        <v/>
      </c>
      <c r="Y95" s="317" t="str">
        <f>IFERROR(IF(OR(LEFT(P95,5)="Error",LEFT(O95,5)="Error"),"Check Data ⚠",IF(F95&lt;S95,'G-7 WaterC'' Data'!$R$3,INDEX('G-7 WaterC'' Data'!$U$5:$Y$9,MATCH(G95,'G-7 WaterC'' Data'!$T$5:$T$9,0),MATCH(T95,'G-7 WaterC'' Data'!$U$4:$Y$4,0)))),"")</f>
        <v/>
      </c>
      <c r="Z95" s="142"/>
      <c r="AA95" s="142"/>
      <c r="AB95" s="314" t="str">
        <f t="shared" si="11"/>
        <v/>
      </c>
      <c r="AC95" s="302" t="str">
        <f t="shared" si="16"/>
        <v/>
      </c>
      <c r="AD95" s="340" t="str">
        <f>IFERROR(IF(AC95="Check Data ⚠","Check Data ⚠",VLOOKUP(AC95,'G-4 Temporal multipliers'!$A$4:$C$37,3,FALSE)),"")</f>
        <v/>
      </c>
      <c r="AE95" s="317" t="str">
        <f>IF(N95="","",VLOOKUP(N95,'G-7 WaterC'' Data'!$B$4:$G$8,5,FALSE))</f>
        <v/>
      </c>
      <c r="AF95" s="301" t="str">
        <f t="shared" si="12"/>
        <v/>
      </c>
      <c r="AG95" s="301" t="str">
        <f t="shared" si="17"/>
        <v/>
      </c>
      <c r="AH95" s="282" t="str">
        <f t="shared" si="13"/>
        <v/>
      </c>
      <c r="AI95" s="109"/>
      <c r="AJ95" s="282" t="str">
        <f>IF(AI95="","",(IF(AND(AI95="N/A - Culvert",N95&lt;&gt;"Culvert"),"Not possible ▲",IF(VLOOKUP(AI95,'G-7 WaterC'' Data'!$AA$4:$AB$7,2,FALSE)=0,"Spatial Data Missing ⚠",VLOOKUP(AI95,'G-7 WaterC'' Data'!$AA$4:$AB$7,2,FALSE)))))</f>
        <v/>
      </c>
      <c r="AK95" s="110"/>
      <c r="AL95" s="316" t="str">
        <f>IF(AK95="","",IF(AND(AK95="N/A - Culvert",N95&lt;&gt;"Culvert"),"Not possible ▲",IF(VLOOKUP(AK95,'G-7 WaterC'' Data'!$AD$4:$AE$14,2,FALSE)=0,"Spatial Data Missing ⚠",VLOOKUP(AK95,'G-7 WaterC'' Data'!$AD$4:$AE$14,2,FALSE))))</f>
        <v/>
      </c>
      <c r="AM95" s="281" t="str">
        <f>IF(B95="","",VLOOKUP($B95,'F-1 Off-Site WaterC'' Baseline'!$C$9:$Z$257,17,FALSE))</f>
        <v/>
      </c>
      <c r="AN95" s="282" t="str">
        <f>IF(AM95="","",IF(VLOOKUP(AM95,'G-7 WaterC'' Data'!$AO$4:$BO$7,2,FALSE)=0,"Spatial Data Missing ⚠",VLOOKUP(AM95,'G-7 WaterC'' Data'!$AO$4:$BO$7,2,FALSE)))</f>
        <v/>
      </c>
      <c r="AO95" s="323" t="str">
        <f t="shared" si="18"/>
        <v/>
      </c>
      <c r="AP95" s="323" t="str">
        <f t="shared" si="19"/>
        <v/>
      </c>
      <c r="AQ95" s="105"/>
      <c r="AR95" s="119"/>
      <c r="AS95" s="108"/>
      <c r="AT95" s="108"/>
      <c r="AW95" s="30" t="str">
        <f>IF(E95="","",VLOOKUP($B95,'F-1 Off-Site WaterC'' Baseline'!$C$9:$Z$257,12,FALSE))</f>
        <v/>
      </c>
      <c r="AX95" s="30" t="str">
        <f>IF(E95="","",VLOOKUP($B95,'F-1 Off-Site WaterC'' Baseline'!$C$9:$Z$257,14,FALSE))</f>
        <v/>
      </c>
      <c r="AY95" s="30" t="str">
        <f>IFERROR(INDEX('G-7 WaterC'' Data'!$AZ$3:$AZ$7,MATCH(N95,'G-7 WaterC'' Data'!$AY$3:$AY$7,0)),"")</f>
        <v/>
      </c>
      <c r="AZ95" s="30" t="str">
        <f>IF(B95="","",IF(ISNA(VLOOKUP($B95,'F-1 Off-Site WaterC'' Baseline'!$C$8:$AD$257,20,FALSE)),"",(VLOOKUP($B95,'F-1 Off-Site WaterC'' Baseline'!$C$8:$AD$257,20,FALSE))))</f>
        <v/>
      </c>
      <c r="BC95" s="30" t="str">
        <f>IF(B95="","",VLOOKUP($B95,'F-1 Off-Site WaterC'' Baseline'!$C$9:$AB$257,25,FALSE))</f>
        <v/>
      </c>
      <c r="BD95" s="30" t="str">
        <f t="shared" si="20"/>
        <v/>
      </c>
      <c r="BE95" s="30" t="str">
        <f>IF(B95="","",VLOOKUP($B95,'F-1 Off-Site WaterC'' Baseline'!$C$9:$AB$257,24,FALSE))</f>
        <v/>
      </c>
      <c r="BF95" s="30" t="str">
        <f>IF(B95="","",VLOOKUP($B95,'F-1 Off-Site WaterC'' Baseline'!$C$9:$AB$257,22,FALSE))</f>
        <v/>
      </c>
      <c r="BJ95" s="30" t="str">
        <f t="shared" si="21"/>
        <v>No</v>
      </c>
    </row>
    <row r="96" spans="2:62" ht="13.8" x14ac:dyDescent="0.25">
      <c r="B96" s="311" t="str">
        <f>'F-1 Off-Site WaterC'' Baseline'!AS94</f>
        <v/>
      </c>
      <c r="C96" s="301" t="str">
        <f>IF(B96="","",VLOOKUP($B96,'F-1 Off-Site WaterC'' Baseline'!$C$9:$R$257,2,FALSE))</f>
        <v/>
      </c>
      <c r="D96" s="301" t="str">
        <f>IF(C96="","",VLOOKUP($B96,'F-1 Off-Site WaterC'' Baseline'!$C$9:$R$257,3,FALSE))</f>
        <v/>
      </c>
      <c r="E96" s="301" t="str">
        <f>IF(D96="","",VLOOKUP($B96,'F-1 Off-Site WaterC'' Baseline'!$C$9:$R$257,4,FALSE))</f>
        <v/>
      </c>
      <c r="F96" s="301" t="str">
        <f>IF(E96="","",VLOOKUP($B96,'F-1 Off-Site WaterC'' Baseline'!$C$9:$R$257,5,FALSE))</f>
        <v/>
      </c>
      <c r="G96" s="301" t="str">
        <f>IF(F96="","",VLOOKUP($B96,'F-1 Off-Site WaterC'' Baseline'!$C$9:$R$257,6,FALSE))</f>
        <v/>
      </c>
      <c r="H96" s="301" t="str">
        <f>IF(G96="","",VLOOKUP($B96,'F-1 Off-Site WaterC'' Baseline'!$C$9:$R$257,7,FALSE))</f>
        <v/>
      </c>
      <c r="I96" s="301" t="str">
        <f>IF(H96="","",VLOOKUP($B96,'F-1 Off-Site WaterC'' Baseline'!$C$9:$R$257,8,FALSE))</f>
        <v/>
      </c>
      <c r="J96" s="301" t="str">
        <f>IF(I96="","",VLOOKUP($B96,'F-1 Off-Site WaterC'' Baseline'!$C$9:$R$257,9,FALSE))</f>
        <v/>
      </c>
      <c r="K96" s="301" t="str">
        <f>IF(J96="","",VLOOKUP($B96,'F-1 Off-Site WaterC'' Baseline'!$C$9:$R$257,10,FALSE))</f>
        <v/>
      </c>
      <c r="L96" s="289" t="str">
        <f>IF(B96="","",VLOOKUP($B96,'F-1 Off-Site WaterC'' Baseline'!$C$9:$R$257,15,FALSE))</f>
        <v/>
      </c>
      <c r="M96" s="305" t="str">
        <f>IF(L96="","",VLOOKUP($B96,'F-1 Off-Site WaterC'' Baseline'!$C$9:$V$257,19,FALSE))</f>
        <v/>
      </c>
      <c r="N96" s="250"/>
      <c r="O96" s="281" t="str">
        <f t="shared" si="14"/>
        <v/>
      </c>
      <c r="P96" s="282" t="str">
        <f t="shared" si="15"/>
        <v/>
      </c>
      <c r="Q96" s="287" t="str">
        <f>IF(N96="","",VLOOKUP(B96,'F-1 Off-Site WaterC'' Baseline'!$C$10:$AF$257,23,FALSE))</f>
        <v/>
      </c>
      <c r="R96" s="281" t="str">
        <f>IF(N96="","",VLOOKUP(N96,'G-7 WaterC'' Data'!$B$2:$G$8,2,FALSE))</f>
        <v/>
      </c>
      <c r="S96" s="282" t="str">
        <f>IFERROR(VLOOKUP(R96,'G-7 WaterC'' Data'!$C$4:$D$8,2,FALSE),"")</f>
        <v/>
      </c>
      <c r="T96" s="105"/>
      <c r="U96" s="282" t="str">
        <f>IFERROR(INDEX('G-7 WaterC'' Data'!$H$4:$L$8,MATCH(N96,'G-7 WaterC'' Data'!$B$4:$B$8,0),MATCH(T96,'G-7 WaterC'' Data'!$H$3:$L$3,0)),"")</f>
        <v/>
      </c>
      <c r="V96" s="109"/>
      <c r="W96" s="301" t="str">
        <f>IF(V96="","",IF(VLOOKUP(V96,'G-7 WaterC'' Data'!$AK$4:$AM$6,2,FALSE)=0,"Spatial Data Missing ⚠",VLOOKUP(V96,'G-7 WaterC'' Data'!$AK$4:$AM$6,2,FALSE)))</f>
        <v/>
      </c>
      <c r="X96" s="305" t="str">
        <f>IF(V96="","",IF(VLOOKUP(V96,'G-7 WaterC'' Data'!$AK$4:$AM$6,3,FALSE)=0,"Spatial Data Missing ⚠",VLOOKUP(V96,'G-7 WaterC'' Data'!$AK$4:$AM$6,3,FALSE)))</f>
        <v/>
      </c>
      <c r="Y96" s="317" t="str">
        <f>IFERROR(IF(OR(LEFT(P96,5)="Error",LEFT(O96,5)="Error"),"Check Data ⚠",IF(F96&lt;S96,'G-7 WaterC'' Data'!$R$3,INDEX('G-7 WaterC'' Data'!$U$5:$Y$9,MATCH(G96,'G-7 WaterC'' Data'!$T$5:$T$9,0),MATCH(T96,'G-7 WaterC'' Data'!$U$4:$Y$4,0)))),"")</f>
        <v/>
      </c>
      <c r="Z96" s="142"/>
      <c r="AA96" s="142"/>
      <c r="AB96" s="314" t="str">
        <f t="shared" si="11"/>
        <v/>
      </c>
      <c r="AC96" s="302" t="str">
        <f t="shared" si="16"/>
        <v/>
      </c>
      <c r="AD96" s="340" t="str">
        <f>IFERROR(IF(AC96="Check Data ⚠","Check Data ⚠",VLOOKUP(AC96,'G-4 Temporal multipliers'!$A$4:$C$37,3,FALSE)),"")</f>
        <v/>
      </c>
      <c r="AE96" s="317" t="str">
        <f>IF(N96="","",VLOOKUP(N96,'G-7 WaterC'' Data'!$B$4:$G$8,5,FALSE))</f>
        <v/>
      </c>
      <c r="AF96" s="301" t="str">
        <f t="shared" si="12"/>
        <v/>
      </c>
      <c r="AG96" s="301" t="str">
        <f t="shared" si="17"/>
        <v/>
      </c>
      <c r="AH96" s="282" t="str">
        <f t="shared" si="13"/>
        <v/>
      </c>
      <c r="AI96" s="109"/>
      <c r="AJ96" s="282" t="str">
        <f>IF(AI96="","",(IF(AND(AI96="N/A - Culvert",N96&lt;&gt;"Culvert"),"Not possible ▲",IF(VLOOKUP(AI96,'G-7 WaterC'' Data'!$AA$4:$AB$7,2,FALSE)=0,"Spatial Data Missing ⚠",VLOOKUP(AI96,'G-7 WaterC'' Data'!$AA$4:$AB$7,2,FALSE)))))</f>
        <v/>
      </c>
      <c r="AK96" s="110"/>
      <c r="AL96" s="316" t="str">
        <f>IF(AK96="","",IF(AND(AK96="N/A - Culvert",N96&lt;&gt;"Culvert"),"Not possible ▲",IF(VLOOKUP(AK96,'G-7 WaterC'' Data'!$AD$4:$AE$14,2,FALSE)=0,"Spatial Data Missing ⚠",VLOOKUP(AK96,'G-7 WaterC'' Data'!$AD$4:$AE$14,2,FALSE))))</f>
        <v/>
      </c>
      <c r="AM96" s="281" t="str">
        <f>IF(B96="","",VLOOKUP($B96,'F-1 Off-Site WaterC'' Baseline'!$C$9:$Z$257,17,FALSE))</f>
        <v/>
      </c>
      <c r="AN96" s="282" t="str">
        <f>IF(AM96="","",IF(VLOOKUP(AM96,'G-7 WaterC'' Data'!$AO$4:$BO$7,2,FALSE)=0,"Spatial Data Missing ⚠",VLOOKUP(AM96,'G-7 WaterC'' Data'!$AO$4:$BO$7,2,FALSE)))</f>
        <v/>
      </c>
      <c r="AO96" s="323" t="str">
        <f t="shared" si="18"/>
        <v/>
      </c>
      <c r="AP96" s="323" t="str">
        <f t="shared" si="19"/>
        <v/>
      </c>
      <c r="AQ96" s="105"/>
      <c r="AR96" s="119"/>
      <c r="AS96" s="108"/>
      <c r="AT96" s="108"/>
      <c r="AW96" s="30" t="str">
        <f>IF(E96="","",VLOOKUP($B96,'F-1 Off-Site WaterC'' Baseline'!$C$9:$Z$257,12,FALSE))</f>
        <v/>
      </c>
      <c r="AX96" s="30" t="str">
        <f>IF(E96="","",VLOOKUP($B96,'F-1 Off-Site WaterC'' Baseline'!$C$9:$Z$257,14,FALSE))</f>
        <v/>
      </c>
      <c r="AY96" s="30" t="str">
        <f>IFERROR(INDEX('G-7 WaterC'' Data'!$AZ$3:$AZ$7,MATCH(N96,'G-7 WaterC'' Data'!$AY$3:$AY$7,0)),"")</f>
        <v/>
      </c>
      <c r="AZ96" s="30" t="str">
        <f>IF(B96="","",IF(ISNA(VLOOKUP($B96,'F-1 Off-Site WaterC'' Baseline'!$C$8:$AD$257,20,FALSE)),"",(VLOOKUP($B96,'F-1 Off-Site WaterC'' Baseline'!$C$8:$AD$257,20,FALSE))))</f>
        <v/>
      </c>
      <c r="BC96" s="30" t="str">
        <f>IF(B96="","",VLOOKUP($B96,'F-1 Off-Site WaterC'' Baseline'!$C$9:$AB$257,25,FALSE))</f>
        <v/>
      </c>
      <c r="BD96" s="30" t="str">
        <f t="shared" si="20"/>
        <v/>
      </c>
      <c r="BE96" s="30" t="str">
        <f>IF(B96="","",VLOOKUP($B96,'F-1 Off-Site WaterC'' Baseline'!$C$9:$AB$257,24,FALSE))</f>
        <v/>
      </c>
      <c r="BF96" s="30" t="str">
        <f>IF(B96="","",VLOOKUP($B96,'F-1 Off-Site WaterC'' Baseline'!$C$9:$AB$257,22,FALSE))</f>
        <v/>
      </c>
      <c r="BJ96" s="30" t="str">
        <f t="shared" si="21"/>
        <v>No</v>
      </c>
    </row>
    <row r="97" spans="2:62" ht="13.8" x14ac:dyDescent="0.25">
      <c r="B97" s="311" t="str">
        <f>'F-1 Off-Site WaterC'' Baseline'!AS95</f>
        <v/>
      </c>
      <c r="C97" s="301" t="str">
        <f>IF(B97="","",VLOOKUP($B97,'F-1 Off-Site WaterC'' Baseline'!$C$9:$R$257,2,FALSE))</f>
        <v/>
      </c>
      <c r="D97" s="301" t="str">
        <f>IF(C97="","",VLOOKUP($B97,'F-1 Off-Site WaterC'' Baseline'!$C$9:$R$257,3,FALSE))</f>
        <v/>
      </c>
      <c r="E97" s="301" t="str">
        <f>IF(D97="","",VLOOKUP($B97,'F-1 Off-Site WaterC'' Baseline'!$C$9:$R$257,4,FALSE))</f>
        <v/>
      </c>
      <c r="F97" s="301" t="str">
        <f>IF(E97="","",VLOOKUP($B97,'F-1 Off-Site WaterC'' Baseline'!$C$9:$R$257,5,FALSE))</f>
        <v/>
      </c>
      <c r="G97" s="301" t="str">
        <f>IF(F97="","",VLOOKUP($B97,'F-1 Off-Site WaterC'' Baseline'!$C$9:$R$257,6,FALSE))</f>
        <v/>
      </c>
      <c r="H97" s="301" t="str">
        <f>IF(G97="","",VLOOKUP($B97,'F-1 Off-Site WaterC'' Baseline'!$C$9:$R$257,7,FALSE))</f>
        <v/>
      </c>
      <c r="I97" s="301" t="str">
        <f>IF(H97="","",VLOOKUP($B97,'F-1 Off-Site WaterC'' Baseline'!$C$9:$R$257,8,FALSE))</f>
        <v/>
      </c>
      <c r="J97" s="301" t="str">
        <f>IF(I97="","",VLOOKUP($B97,'F-1 Off-Site WaterC'' Baseline'!$C$9:$R$257,9,FALSE))</f>
        <v/>
      </c>
      <c r="K97" s="301" t="str">
        <f>IF(J97="","",VLOOKUP($B97,'F-1 Off-Site WaterC'' Baseline'!$C$9:$R$257,10,FALSE))</f>
        <v/>
      </c>
      <c r="L97" s="289" t="str">
        <f>IF(B97="","",VLOOKUP($B97,'F-1 Off-Site WaterC'' Baseline'!$C$9:$R$257,15,FALSE))</f>
        <v/>
      </c>
      <c r="M97" s="305" t="str">
        <f>IF(L97="","",VLOOKUP($B97,'F-1 Off-Site WaterC'' Baseline'!$C$9:$V$257,19,FALSE))</f>
        <v/>
      </c>
      <c r="N97" s="250"/>
      <c r="O97" s="281" t="str">
        <f t="shared" si="14"/>
        <v/>
      </c>
      <c r="P97" s="282" t="str">
        <f t="shared" si="15"/>
        <v/>
      </c>
      <c r="Q97" s="287" t="str">
        <f>IF(N97="","",VLOOKUP(B97,'F-1 Off-Site WaterC'' Baseline'!$C$10:$AF$257,23,FALSE))</f>
        <v/>
      </c>
      <c r="R97" s="281" t="str">
        <f>IF(N97="","",VLOOKUP(N97,'G-7 WaterC'' Data'!$B$2:$G$8,2,FALSE))</f>
        <v/>
      </c>
      <c r="S97" s="282" t="str">
        <f>IFERROR(VLOOKUP(R97,'G-7 WaterC'' Data'!$C$4:$D$8,2,FALSE),"")</f>
        <v/>
      </c>
      <c r="T97" s="105"/>
      <c r="U97" s="282" t="str">
        <f>IFERROR(INDEX('G-7 WaterC'' Data'!$H$4:$L$8,MATCH(N97,'G-7 WaterC'' Data'!$B$4:$B$8,0),MATCH(T97,'G-7 WaterC'' Data'!$H$3:$L$3,0)),"")</f>
        <v/>
      </c>
      <c r="V97" s="109"/>
      <c r="W97" s="301" t="str">
        <f>IF(V97="","",IF(VLOOKUP(V97,'G-7 WaterC'' Data'!$AK$4:$AM$6,2,FALSE)=0,"Spatial Data Missing ⚠",VLOOKUP(V97,'G-7 WaterC'' Data'!$AK$4:$AM$6,2,FALSE)))</f>
        <v/>
      </c>
      <c r="X97" s="305" t="str">
        <f>IF(V97="","",IF(VLOOKUP(V97,'G-7 WaterC'' Data'!$AK$4:$AM$6,3,FALSE)=0,"Spatial Data Missing ⚠",VLOOKUP(V97,'G-7 WaterC'' Data'!$AK$4:$AM$6,3,FALSE)))</f>
        <v/>
      </c>
      <c r="Y97" s="317" t="str">
        <f>IFERROR(IF(OR(LEFT(P97,5)="Error",LEFT(O97,5)="Error"),"Check Data ⚠",IF(F97&lt;S97,'G-7 WaterC'' Data'!$R$3,INDEX('G-7 WaterC'' Data'!$U$5:$Y$9,MATCH(G97,'G-7 WaterC'' Data'!$T$5:$T$9,0),MATCH(T97,'G-7 WaterC'' Data'!$U$4:$Y$4,0)))),"")</f>
        <v/>
      </c>
      <c r="Z97" s="142"/>
      <c r="AA97" s="142"/>
      <c r="AB97" s="314" t="str">
        <f t="shared" si="11"/>
        <v/>
      </c>
      <c r="AC97" s="302" t="str">
        <f t="shared" si="16"/>
        <v/>
      </c>
      <c r="AD97" s="340" t="str">
        <f>IFERROR(IF(AC97="Check Data ⚠","Check Data ⚠",VLOOKUP(AC97,'G-4 Temporal multipliers'!$A$4:$C$37,3,FALSE)),"")</f>
        <v/>
      </c>
      <c r="AE97" s="317" t="str">
        <f>IF(N97="","",VLOOKUP(N97,'G-7 WaterC'' Data'!$B$4:$G$8,5,FALSE))</f>
        <v/>
      </c>
      <c r="AF97" s="301" t="str">
        <f t="shared" si="12"/>
        <v/>
      </c>
      <c r="AG97" s="301" t="str">
        <f t="shared" si="17"/>
        <v/>
      </c>
      <c r="AH97" s="282" t="str">
        <f t="shared" si="13"/>
        <v/>
      </c>
      <c r="AI97" s="109"/>
      <c r="AJ97" s="282" t="str">
        <f>IF(AI97="","",(IF(AND(AI97="N/A - Culvert",N97&lt;&gt;"Culvert"),"Not possible ▲",IF(VLOOKUP(AI97,'G-7 WaterC'' Data'!$AA$4:$AB$7,2,FALSE)=0,"Spatial Data Missing ⚠",VLOOKUP(AI97,'G-7 WaterC'' Data'!$AA$4:$AB$7,2,FALSE)))))</f>
        <v/>
      </c>
      <c r="AK97" s="110"/>
      <c r="AL97" s="316" t="str">
        <f>IF(AK97="","",IF(AND(AK97="N/A - Culvert",N97&lt;&gt;"Culvert"),"Not possible ▲",IF(VLOOKUP(AK97,'G-7 WaterC'' Data'!$AD$4:$AE$14,2,FALSE)=0,"Spatial Data Missing ⚠",VLOOKUP(AK97,'G-7 WaterC'' Data'!$AD$4:$AE$14,2,FALSE))))</f>
        <v/>
      </c>
      <c r="AM97" s="281" t="str">
        <f>IF(B97="","",VLOOKUP($B97,'F-1 Off-Site WaterC'' Baseline'!$C$9:$Z$257,17,FALSE))</f>
        <v/>
      </c>
      <c r="AN97" s="282" t="str">
        <f>IF(AM97="","",IF(VLOOKUP(AM97,'G-7 WaterC'' Data'!$AO$4:$BO$7,2,FALSE)=0,"Spatial Data Missing ⚠",VLOOKUP(AM97,'G-7 WaterC'' Data'!$AO$4:$BO$7,2,FALSE)))</f>
        <v/>
      </c>
      <c r="AO97" s="323" t="str">
        <f t="shared" si="18"/>
        <v/>
      </c>
      <c r="AP97" s="323" t="str">
        <f t="shared" si="19"/>
        <v/>
      </c>
      <c r="AQ97" s="105"/>
      <c r="AR97" s="119"/>
      <c r="AS97" s="108"/>
      <c r="AT97" s="108"/>
      <c r="AW97" s="30" t="str">
        <f>IF(E97="","",VLOOKUP($B97,'F-1 Off-Site WaterC'' Baseline'!$C$9:$Z$257,12,FALSE))</f>
        <v/>
      </c>
      <c r="AX97" s="30" t="str">
        <f>IF(E97="","",VLOOKUP($B97,'F-1 Off-Site WaterC'' Baseline'!$C$9:$Z$257,14,FALSE))</f>
        <v/>
      </c>
      <c r="AY97" s="30" t="str">
        <f>IFERROR(INDEX('G-7 WaterC'' Data'!$AZ$3:$AZ$7,MATCH(N97,'G-7 WaterC'' Data'!$AY$3:$AY$7,0)),"")</f>
        <v/>
      </c>
      <c r="AZ97" s="30" t="str">
        <f>IF(B97="","",IF(ISNA(VLOOKUP($B97,'F-1 Off-Site WaterC'' Baseline'!$C$8:$AD$257,20,FALSE)),"",(VLOOKUP($B97,'F-1 Off-Site WaterC'' Baseline'!$C$8:$AD$257,20,FALSE))))</f>
        <v/>
      </c>
      <c r="BC97" s="30" t="str">
        <f>IF(B97="","",VLOOKUP($B97,'F-1 Off-Site WaterC'' Baseline'!$C$9:$AB$257,25,FALSE))</f>
        <v/>
      </c>
      <c r="BD97" s="30" t="str">
        <f t="shared" si="20"/>
        <v/>
      </c>
      <c r="BE97" s="30" t="str">
        <f>IF(B97="","",VLOOKUP($B97,'F-1 Off-Site WaterC'' Baseline'!$C$9:$AB$257,24,FALSE))</f>
        <v/>
      </c>
      <c r="BF97" s="30" t="str">
        <f>IF(B97="","",VLOOKUP($B97,'F-1 Off-Site WaterC'' Baseline'!$C$9:$AB$257,22,FALSE))</f>
        <v/>
      </c>
      <c r="BJ97" s="30" t="str">
        <f t="shared" si="21"/>
        <v>No</v>
      </c>
    </row>
    <row r="98" spans="2:62" ht="13.8" x14ac:dyDescent="0.25">
      <c r="B98" s="311" t="str">
        <f>'F-1 Off-Site WaterC'' Baseline'!AS96</f>
        <v/>
      </c>
      <c r="C98" s="301" t="str">
        <f>IF(B98="","",VLOOKUP($B98,'F-1 Off-Site WaterC'' Baseline'!$C$9:$R$257,2,FALSE))</f>
        <v/>
      </c>
      <c r="D98" s="301" t="str">
        <f>IF(C98="","",VLOOKUP($B98,'F-1 Off-Site WaterC'' Baseline'!$C$9:$R$257,3,FALSE))</f>
        <v/>
      </c>
      <c r="E98" s="301" t="str">
        <f>IF(D98="","",VLOOKUP($B98,'F-1 Off-Site WaterC'' Baseline'!$C$9:$R$257,4,FALSE))</f>
        <v/>
      </c>
      <c r="F98" s="301" t="str">
        <f>IF(E98="","",VLOOKUP($B98,'F-1 Off-Site WaterC'' Baseline'!$C$9:$R$257,5,FALSE))</f>
        <v/>
      </c>
      <c r="G98" s="301" t="str">
        <f>IF(F98="","",VLOOKUP($B98,'F-1 Off-Site WaterC'' Baseline'!$C$9:$R$257,6,FALSE))</f>
        <v/>
      </c>
      <c r="H98" s="301" t="str">
        <f>IF(G98="","",VLOOKUP($B98,'F-1 Off-Site WaterC'' Baseline'!$C$9:$R$257,7,FALSE))</f>
        <v/>
      </c>
      <c r="I98" s="301" t="str">
        <f>IF(H98="","",VLOOKUP($B98,'F-1 Off-Site WaterC'' Baseline'!$C$9:$R$257,8,FALSE))</f>
        <v/>
      </c>
      <c r="J98" s="301" t="str">
        <f>IF(I98="","",VLOOKUP($B98,'F-1 Off-Site WaterC'' Baseline'!$C$9:$R$257,9,FALSE))</f>
        <v/>
      </c>
      <c r="K98" s="301" t="str">
        <f>IF(J98="","",VLOOKUP($B98,'F-1 Off-Site WaterC'' Baseline'!$C$9:$R$257,10,FALSE))</f>
        <v/>
      </c>
      <c r="L98" s="289" t="str">
        <f>IF(B98="","",VLOOKUP($B98,'F-1 Off-Site WaterC'' Baseline'!$C$9:$R$257,15,FALSE))</f>
        <v/>
      </c>
      <c r="M98" s="305" t="str">
        <f>IF(L98="","",VLOOKUP($B98,'F-1 Off-Site WaterC'' Baseline'!$C$9:$V$257,19,FALSE))</f>
        <v/>
      </c>
      <c r="N98" s="250"/>
      <c r="O98" s="281" t="str">
        <f t="shared" si="14"/>
        <v/>
      </c>
      <c r="P98" s="282" t="str">
        <f t="shared" si="15"/>
        <v/>
      </c>
      <c r="Q98" s="287" t="str">
        <f>IF(N98="","",VLOOKUP(B98,'F-1 Off-Site WaterC'' Baseline'!$C$10:$AF$257,23,FALSE))</f>
        <v/>
      </c>
      <c r="R98" s="281" t="str">
        <f>IF(N98="","",VLOOKUP(N98,'G-7 WaterC'' Data'!$B$2:$G$8,2,FALSE))</f>
        <v/>
      </c>
      <c r="S98" s="282" t="str">
        <f>IFERROR(VLOOKUP(R98,'G-7 WaterC'' Data'!$C$4:$D$8,2,FALSE),"")</f>
        <v/>
      </c>
      <c r="T98" s="105"/>
      <c r="U98" s="282" t="str">
        <f>IFERROR(INDEX('G-7 WaterC'' Data'!$H$4:$L$8,MATCH(N98,'G-7 WaterC'' Data'!$B$4:$B$8,0),MATCH(T98,'G-7 WaterC'' Data'!$H$3:$L$3,0)),"")</f>
        <v/>
      </c>
      <c r="V98" s="109"/>
      <c r="W98" s="301" t="str">
        <f>IF(V98="","",IF(VLOOKUP(V98,'G-7 WaterC'' Data'!$AK$4:$AM$6,2,FALSE)=0,"Spatial Data Missing ⚠",VLOOKUP(V98,'G-7 WaterC'' Data'!$AK$4:$AM$6,2,FALSE)))</f>
        <v/>
      </c>
      <c r="X98" s="305" t="str">
        <f>IF(V98="","",IF(VLOOKUP(V98,'G-7 WaterC'' Data'!$AK$4:$AM$6,3,FALSE)=0,"Spatial Data Missing ⚠",VLOOKUP(V98,'G-7 WaterC'' Data'!$AK$4:$AM$6,3,FALSE)))</f>
        <v/>
      </c>
      <c r="Y98" s="317" t="str">
        <f>IFERROR(IF(OR(LEFT(P98,5)="Error",LEFT(O98,5)="Error"),"Check Data ⚠",IF(F98&lt;S98,'G-7 WaterC'' Data'!$R$3,INDEX('G-7 WaterC'' Data'!$U$5:$Y$9,MATCH(G98,'G-7 WaterC'' Data'!$T$5:$T$9,0),MATCH(T98,'G-7 WaterC'' Data'!$U$4:$Y$4,0)))),"")</f>
        <v/>
      </c>
      <c r="Z98" s="142"/>
      <c r="AA98" s="142"/>
      <c r="AB98" s="314" t="str">
        <f t="shared" si="11"/>
        <v/>
      </c>
      <c r="AC98" s="302" t="str">
        <f t="shared" si="16"/>
        <v/>
      </c>
      <c r="AD98" s="340" t="str">
        <f>IFERROR(IF(AC98="Check Data ⚠","Check Data ⚠",VLOOKUP(AC98,'G-4 Temporal multipliers'!$A$4:$C$37,3,FALSE)),"")</f>
        <v/>
      </c>
      <c r="AE98" s="317" t="str">
        <f>IF(N98="","",VLOOKUP(N98,'G-7 WaterC'' Data'!$B$4:$G$8,5,FALSE))</f>
        <v/>
      </c>
      <c r="AF98" s="301" t="str">
        <f t="shared" si="12"/>
        <v/>
      </c>
      <c r="AG98" s="301" t="str">
        <f t="shared" si="17"/>
        <v/>
      </c>
      <c r="AH98" s="282" t="str">
        <f t="shared" si="13"/>
        <v/>
      </c>
      <c r="AI98" s="109"/>
      <c r="AJ98" s="282" t="str">
        <f>IF(AI98="","",(IF(AND(AI98="N/A - Culvert",N98&lt;&gt;"Culvert"),"Not possible ▲",IF(VLOOKUP(AI98,'G-7 WaterC'' Data'!$AA$4:$AB$7,2,FALSE)=0,"Spatial Data Missing ⚠",VLOOKUP(AI98,'G-7 WaterC'' Data'!$AA$4:$AB$7,2,FALSE)))))</f>
        <v/>
      </c>
      <c r="AK98" s="110"/>
      <c r="AL98" s="316" t="str">
        <f>IF(AK98="","",IF(AND(AK98="N/A - Culvert",N98&lt;&gt;"Culvert"),"Not possible ▲",IF(VLOOKUP(AK98,'G-7 WaterC'' Data'!$AD$4:$AE$14,2,FALSE)=0,"Spatial Data Missing ⚠",VLOOKUP(AK98,'G-7 WaterC'' Data'!$AD$4:$AE$14,2,FALSE))))</f>
        <v/>
      </c>
      <c r="AM98" s="281" t="str">
        <f>IF(B98="","",VLOOKUP($B98,'F-1 Off-Site WaterC'' Baseline'!$C$9:$Z$257,17,FALSE))</f>
        <v/>
      </c>
      <c r="AN98" s="282" t="str">
        <f>IF(AM98="","",IF(VLOOKUP(AM98,'G-7 WaterC'' Data'!$AO$4:$BO$7,2,FALSE)=0,"Spatial Data Missing ⚠",VLOOKUP(AM98,'G-7 WaterC'' Data'!$AO$4:$BO$7,2,FALSE)))</f>
        <v/>
      </c>
      <c r="AO98" s="323" t="str">
        <f t="shared" si="18"/>
        <v/>
      </c>
      <c r="AP98" s="323" t="str">
        <f t="shared" si="19"/>
        <v/>
      </c>
      <c r="AQ98" s="105"/>
      <c r="AR98" s="119"/>
      <c r="AS98" s="108"/>
      <c r="AT98" s="108"/>
      <c r="AW98" s="30" t="str">
        <f>IF(E98="","",VLOOKUP($B98,'F-1 Off-Site WaterC'' Baseline'!$C$9:$Z$257,12,FALSE))</f>
        <v/>
      </c>
      <c r="AX98" s="30" t="str">
        <f>IF(E98="","",VLOOKUP($B98,'F-1 Off-Site WaterC'' Baseline'!$C$9:$Z$257,14,FALSE))</f>
        <v/>
      </c>
      <c r="AY98" s="30" t="str">
        <f>IFERROR(INDEX('G-7 WaterC'' Data'!$AZ$3:$AZ$7,MATCH(N98,'G-7 WaterC'' Data'!$AY$3:$AY$7,0)),"")</f>
        <v/>
      </c>
      <c r="AZ98" s="30" t="str">
        <f>IF(B98="","",IF(ISNA(VLOOKUP($B98,'F-1 Off-Site WaterC'' Baseline'!$C$8:$AD$257,20,FALSE)),"",(VLOOKUP($B98,'F-1 Off-Site WaterC'' Baseline'!$C$8:$AD$257,20,FALSE))))</f>
        <v/>
      </c>
      <c r="BC98" s="30" t="str">
        <f>IF(B98="","",VLOOKUP($B98,'F-1 Off-Site WaterC'' Baseline'!$C$9:$AB$257,25,FALSE))</f>
        <v/>
      </c>
      <c r="BD98" s="30" t="str">
        <f t="shared" si="20"/>
        <v/>
      </c>
      <c r="BE98" s="30" t="str">
        <f>IF(B98="","",VLOOKUP($B98,'F-1 Off-Site WaterC'' Baseline'!$C$9:$AB$257,24,FALSE))</f>
        <v/>
      </c>
      <c r="BF98" s="30" t="str">
        <f>IF(B98="","",VLOOKUP($B98,'F-1 Off-Site WaterC'' Baseline'!$C$9:$AB$257,22,FALSE))</f>
        <v/>
      </c>
      <c r="BJ98" s="30" t="str">
        <f t="shared" si="21"/>
        <v>No</v>
      </c>
    </row>
    <row r="99" spans="2:62" ht="13.8" x14ac:dyDescent="0.25">
      <c r="B99" s="311" t="str">
        <f>'F-1 Off-Site WaterC'' Baseline'!AS97</f>
        <v/>
      </c>
      <c r="C99" s="301" t="str">
        <f>IF(B99="","",VLOOKUP($B99,'F-1 Off-Site WaterC'' Baseline'!$C$9:$R$257,2,FALSE))</f>
        <v/>
      </c>
      <c r="D99" s="301" t="str">
        <f>IF(C99="","",VLOOKUP($B99,'F-1 Off-Site WaterC'' Baseline'!$C$9:$R$257,3,FALSE))</f>
        <v/>
      </c>
      <c r="E99" s="301" t="str">
        <f>IF(D99="","",VLOOKUP($B99,'F-1 Off-Site WaterC'' Baseline'!$C$9:$R$257,4,FALSE))</f>
        <v/>
      </c>
      <c r="F99" s="301" t="str">
        <f>IF(E99="","",VLOOKUP($B99,'F-1 Off-Site WaterC'' Baseline'!$C$9:$R$257,5,FALSE))</f>
        <v/>
      </c>
      <c r="G99" s="301" t="str">
        <f>IF(F99="","",VLOOKUP($B99,'F-1 Off-Site WaterC'' Baseline'!$C$9:$R$257,6,FALSE))</f>
        <v/>
      </c>
      <c r="H99" s="301" t="str">
        <f>IF(G99="","",VLOOKUP($B99,'F-1 Off-Site WaterC'' Baseline'!$C$9:$R$257,7,FALSE))</f>
        <v/>
      </c>
      <c r="I99" s="301" t="str">
        <f>IF(H99="","",VLOOKUP($B99,'F-1 Off-Site WaterC'' Baseline'!$C$9:$R$257,8,FALSE))</f>
        <v/>
      </c>
      <c r="J99" s="301" t="str">
        <f>IF(I99="","",VLOOKUP($B99,'F-1 Off-Site WaterC'' Baseline'!$C$9:$R$257,9,FALSE))</f>
        <v/>
      </c>
      <c r="K99" s="301" t="str">
        <f>IF(J99="","",VLOOKUP($B99,'F-1 Off-Site WaterC'' Baseline'!$C$9:$R$257,10,FALSE))</f>
        <v/>
      </c>
      <c r="L99" s="289" t="str">
        <f>IF(B99="","",VLOOKUP($B99,'F-1 Off-Site WaterC'' Baseline'!$C$9:$R$257,15,FALSE))</f>
        <v/>
      </c>
      <c r="M99" s="305" t="str">
        <f>IF(L99="","",VLOOKUP($B99,'F-1 Off-Site WaterC'' Baseline'!$C$9:$V$257,19,FALSE))</f>
        <v/>
      </c>
      <c r="N99" s="250"/>
      <c r="O99" s="281" t="str">
        <f t="shared" si="14"/>
        <v/>
      </c>
      <c r="P99" s="282" t="str">
        <f t="shared" si="15"/>
        <v/>
      </c>
      <c r="Q99" s="287" t="str">
        <f>IF(N99="","",VLOOKUP(B99,'F-1 Off-Site WaterC'' Baseline'!$C$10:$AF$257,23,FALSE))</f>
        <v/>
      </c>
      <c r="R99" s="281" t="str">
        <f>IF(N99="","",VLOOKUP(N99,'G-7 WaterC'' Data'!$B$2:$G$8,2,FALSE))</f>
        <v/>
      </c>
      <c r="S99" s="282" t="str">
        <f>IFERROR(VLOOKUP(R99,'G-7 WaterC'' Data'!$C$4:$D$8,2,FALSE),"")</f>
        <v/>
      </c>
      <c r="T99" s="105"/>
      <c r="U99" s="282" t="str">
        <f>IFERROR(INDEX('G-7 WaterC'' Data'!$H$4:$L$8,MATCH(N99,'G-7 WaterC'' Data'!$B$4:$B$8,0),MATCH(T99,'G-7 WaterC'' Data'!$H$3:$L$3,0)),"")</f>
        <v/>
      </c>
      <c r="V99" s="109"/>
      <c r="W99" s="301" t="str">
        <f>IF(V99="","",IF(VLOOKUP(V99,'G-7 WaterC'' Data'!$AK$4:$AM$6,2,FALSE)=0,"Spatial Data Missing ⚠",VLOOKUP(V99,'G-7 WaterC'' Data'!$AK$4:$AM$6,2,FALSE)))</f>
        <v/>
      </c>
      <c r="X99" s="305" t="str">
        <f>IF(V99="","",IF(VLOOKUP(V99,'G-7 WaterC'' Data'!$AK$4:$AM$6,3,FALSE)=0,"Spatial Data Missing ⚠",VLOOKUP(V99,'G-7 WaterC'' Data'!$AK$4:$AM$6,3,FALSE)))</f>
        <v/>
      </c>
      <c r="Y99" s="317" t="str">
        <f>IFERROR(IF(OR(LEFT(P99,5)="Error",LEFT(O99,5)="Error"),"Check Data ⚠",IF(F99&lt;S99,'G-7 WaterC'' Data'!$R$3,INDEX('G-7 WaterC'' Data'!$U$5:$Y$9,MATCH(G99,'G-7 WaterC'' Data'!$T$5:$T$9,0),MATCH(T99,'G-7 WaterC'' Data'!$U$4:$Y$4,0)))),"")</f>
        <v/>
      </c>
      <c r="Z99" s="142"/>
      <c r="AA99" s="142"/>
      <c r="AB99" s="314" t="str">
        <f t="shared" si="11"/>
        <v/>
      </c>
      <c r="AC99" s="302" t="str">
        <f t="shared" si="16"/>
        <v/>
      </c>
      <c r="AD99" s="340" t="str">
        <f>IFERROR(IF(AC99="Check Data ⚠","Check Data ⚠",VLOOKUP(AC99,'G-4 Temporal multipliers'!$A$4:$C$37,3,FALSE)),"")</f>
        <v/>
      </c>
      <c r="AE99" s="317" t="str">
        <f>IF(N99="","",VLOOKUP(N99,'G-7 WaterC'' Data'!$B$4:$G$8,5,FALSE))</f>
        <v/>
      </c>
      <c r="AF99" s="301" t="str">
        <f t="shared" si="12"/>
        <v/>
      </c>
      <c r="AG99" s="301" t="str">
        <f t="shared" si="17"/>
        <v/>
      </c>
      <c r="AH99" s="282" t="str">
        <f t="shared" si="13"/>
        <v/>
      </c>
      <c r="AI99" s="109"/>
      <c r="AJ99" s="282" t="str">
        <f>IF(AI99="","",(IF(AND(AI99="N/A - Culvert",N99&lt;&gt;"Culvert"),"Not possible ▲",IF(VLOOKUP(AI99,'G-7 WaterC'' Data'!$AA$4:$AB$7,2,FALSE)=0,"Spatial Data Missing ⚠",VLOOKUP(AI99,'G-7 WaterC'' Data'!$AA$4:$AB$7,2,FALSE)))))</f>
        <v/>
      </c>
      <c r="AK99" s="110"/>
      <c r="AL99" s="316" t="str">
        <f>IF(AK99="","",IF(AND(AK99="N/A - Culvert",N99&lt;&gt;"Culvert"),"Not possible ▲",IF(VLOOKUP(AK99,'G-7 WaterC'' Data'!$AD$4:$AE$14,2,FALSE)=0,"Spatial Data Missing ⚠",VLOOKUP(AK99,'G-7 WaterC'' Data'!$AD$4:$AE$14,2,FALSE))))</f>
        <v/>
      </c>
      <c r="AM99" s="281" t="str">
        <f>IF(B99="","",VLOOKUP($B99,'F-1 Off-Site WaterC'' Baseline'!$C$9:$Z$257,17,FALSE))</f>
        <v/>
      </c>
      <c r="AN99" s="282" t="str">
        <f>IF(AM99="","",IF(VLOOKUP(AM99,'G-7 WaterC'' Data'!$AO$4:$BO$7,2,FALSE)=0,"Spatial Data Missing ⚠",VLOOKUP(AM99,'G-7 WaterC'' Data'!$AO$4:$BO$7,2,FALSE)))</f>
        <v/>
      </c>
      <c r="AO99" s="323" t="str">
        <f t="shared" si="18"/>
        <v/>
      </c>
      <c r="AP99" s="323" t="str">
        <f t="shared" si="19"/>
        <v/>
      </c>
      <c r="AQ99" s="105"/>
      <c r="AR99" s="119"/>
      <c r="AS99" s="108"/>
      <c r="AT99" s="108"/>
      <c r="AW99" s="30" t="str">
        <f>IF(E99="","",VLOOKUP($B99,'F-1 Off-Site WaterC'' Baseline'!$C$9:$Z$257,12,FALSE))</f>
        <v/>
      </c>
      <c r="AX99" s="30" t="str">
        <f>IF(E99="","",VLOOKUP($B99,'F-1 Off-Site WaterC'' Baseline'!$C$9:$Z$257,14,FALSE))</f>
        <v/>
      </c>
      <c r="AY99" s="30" t="str">
        <f>IFERROR(INDEX('G-7 WaterC'' Data'!$AZ$3:$AZ$7,MATCH(N99,'G-7 WaterC'' Data'!$AY$3:$AY$7,0)),"")</f>
        <v/>
      </c>
      <c r="AZ99" s="30" t="str">
        <f>IF(B99="","",IF(ISNA(VLOOKUP($B99,'F-1 Off-Site WaterC'' Baseline'!$C$8:$AD$257,20,FALSE)),"",(VLOOKUP($B99,'F-1 Off-Site WaterC'' Baseline'!$C$8:$AD$257,20,FALSE))))</f>
        <v/>
      </c>
      <c r="BC99" s="30" t="str">
        <f>IF(B99="","",VLOOKUP($B99,'F-1 Off-Site WaterC'' Baseline'!$C$9:$AB$257,25,FALSE))</f>
        <v/>
      </c>
      <c r="BD99" s="30" t="str">
        <f t="shared" si="20"/>
        <v/>
      </c>
      <c r="BE99" s="30" t="str">
        <f>IF(B99="","",VLOOKUP($B99,'F-1 Off-Site WaterC'' Baseline'!$C$9:$AB$257,24,FALSE))</f>
        <v/>
      </c>
      <c r="BF99" s="30" t="str">
        <f>IF(B99="","",VLOOKUP($B99,'F-1 Off-Site WaterC'' Baseline'!$C$9:$AB$257,22,FALSE))</f>
        <v/>
      </c>
      <c r="BJ99" s="30" t="str">
        <f t="shared" si="21"/>
        <v>No</v>
      </c>
    </row>
    <row r="100" spans="2:62" ht="13.8" x14ac:dyDescent="0.25">
      <c r="B100" s="311" t="str">
        <f>'F-1 Off-Site WaterC'' Baseline'!AS98</f>
        <v/>
      </c>
      <c r="C100" s="301" t="str">
        <f>IF(B100="","",VLOOKUP($B100,'F-1 Off-Site WaterC'' Baseline'!$C$9:$R$257,2,FALSE))</f>
        <v/>
      </c>
      <c r="D100" s="301" t="str">
        <f>IF(C100="","",VLOOKUP($B100,'F-1 Off-Site WaterC'' Baseline'!$C$9:$R$257,3,FALSE))</f>
        <v/>
      </c>
      <c r="E100" s="301" t="str">
        <f>IF(D100="","",VLOOKUP($B100,'F-1 Off-Site WaterC'' Baseline'!$C$9:$R$257,4,FALSE))</f>
        <v/>
      </c>
      <c r="F100" s="301" t="str">
        <f>IF(E100="","",VLOOKUP($B100,'F-1 Off-Site WaterC'' Baseline'!$C$9:$R$257,5,FALSE))</f>
        <v/>
      </c>
      <c r="G100" s="301" t="str">
        <f>IF(F100="","",VLOOKUP($B100,'F-1 Off-Site WaterC'' Baseline'!$C$9:$R$257,6,FALSE))</f>
        <v/>
      </c>
      <c r="H100" s="301" t="str">
        <f>IF(G100="","",VLOOKUP($B100,'F-1 Off-Site WaterC'' Baseline'!$C$9:$R$257,7,FALSE))</f>
        <v/>
      </c>
      <c r="I100" s="301" t="str">
        <f>IF(H100="","",VLOOKUP($B100,'F-1 Off-Site WaterC'' Baseline'!$C$9:$R$257,8,FALSE))</f>
        <v/>
      </c>
      <c r="J100" s="301" t="str">
        <f>IF(I100="","",VLOOKUP($B100,'F-1 Off-Site WaterC'' Baseline'!$C$9:$R$257,9,FALSE))</f>
        <v/>
      </c>
      <c r="K100" s="301" t="str">
        <f>IF(J100="","",VLOOKUP($B100,'F-1 Off-Site WaterC'' Baseline'!$C$9:$R$257,10,FALSE))</f>
        <v/>
      </c>
      <c r="L100" s="289" t="str">
        <f>IF(B100="","",VLOOKUP($B100,'F-1 Off-Site WaterC'' Baseline'!$C$9:$R$257,15,FALSE))</f>
        <v/>
      </c>
      <c r="M100" s="305" t="str">
        <f>IF(L100="","",VLOOKUP($B100,'F-1 Off-Site WaterC'' Baseline'!$C$9:$V$257,19,FALSE))</f>
        <v/>
      </c>
      <c r="N100" s="250"/>
      <c r="O100" s="281" t="str">
        <f t="shared" si="14"/>
        <v/>
      </c>
      <c r="P100" s="282" t="str">
        <f t="shared" si="15"/>
        <v/>
      </c>
      <c r="Q100" s="287" t="str">
        <f>IF(N100="","",VLOOKUP(B100,'F-1 Off-Site WaterC'' Baseline'!$C$10:$AF$257,23,FALSE))</f>
        <v/>
      </c>
      <c r="R100" s="281" t="str">
        <f>IF(N100="","",VLOOKUP(N100,'G-7 WaterC'' Data'!$B$2:$G$8,2,FALSE))</f>
        <v/>
      </c>
      <c r="S100" s="282" t="str">
        <f>IFERROR(VLOOKUP(R100,'G-7 WaterC'' Data'!$C$4:$D$8,2,FALSE),"")</f>
        <v/>
      </c>
      <c r="T100" s="105"/>
      <c r="U100" s="282" t="str">
        <f>IFERROR(INDEX('G-7 WaterC'' Data'!$H$4:$L$8,MATCH(N100,'G-7 WaterC'' Data'!$B$4:$B$8,0),MATCH(T100,'G-7 WaterC'' Data'!$H$3:$L$3,0)),"")</f>
        <v/>
      </c>
      <c r="V100" s="109"/>
      <c r="W100" s="301" t="str">
        <f>IF(V100="","",IF(VLOOKUP(V100,'G-7 WaterC'' Data'!$AK$4:$AM$6,2,FALSE)=0,"Spatial Data Missing ⚠",VLOOKUP(V100,'G-7 WaterC'' Data'!$AK$4:$AM$6,2,FALSE)))</f>
        <v/>
      </c>
      <c r="X100" s="305" t="str">
        <f>IF(V100="","",IF(VLOOKUP(V100,'G-7 WaterC'' Data'!$AK$4:$AM$6,3,FALSE)=0,"Spatial Data Missing ⚠",VLOOKUP(V100,'G-7 WaterC'' Data'!$AK$4:$AM$6,3,FALSE)))</f>
        <v/>
      </c>
      <c r="Y100" s="317" t="str">
        <f>IFERROR(IF(OR(LEFT(P100,5)="Error",LEFT(O100,5)="Error"),"Check Data ⚠",IF(F100&lt;S100,'G-7 WaterC'' Data'!$R$3,INDEX('G-7 WaterC'' Data'!$U$5:$Y$9,MATCH(G100,'G-7 WaterC'' Data'!$T$5:$T$9,0),MATCH(T100,'G-7 WaterC'' Data'!$U$4:$Y$4,0)))),"")</f>
        <v/>
      </c>
      <c r="Z100" s="142"/>
      <c r="AA100" s="142"/>
      <c r="AB100" s="314" t="str">
        <f t="shared" si="11"/>
        <v/>
      </c>
      <c r="AC100" s="302" t="str">
        <f t="shared" si="16"/>
        <v/>
      </c>
      <c r="AD100" s="340" t="str">
        <f>IFERROR(IF(AC100="Check Data ⚠","Check Data ⚠",VLOOKUP(AC100,'G-4 Temporal multipliers'!$A$4:$C$37,3,FALSE)),"")</f>
        <v/>
      </c>
      <c r="AE100" s="317" t="str">
        <f>IF(N100="","",VLOOKUP(N100,'G-7 WaterC'' Data'!$B$4:$G$8,5,FALSE))</f>
        <v/>
      </c>
      <c r="AF100" s="301" t="str">
        <f t="shared" si="12"/>
        <v/>
      </c>
      <c r="AG100" s="301" t="str">
        <f t="shared" si="17"/>
        <v/>
      </c>
      <c r="AH100" s="282" t="str">
        <f t="shared" si="13"/>
        <v/>
      </c>
      <c r="AI100" s="109"/>
      <c r="AJ100" s="282" t="str">
        <f>IF(AI100="","",(IF(AND(AI100="N/A - Culvert",N100&lt;&gt;"Culvert"),"Not possible ▲",IF(VLOOKUP(AI100,'G-7 WaterC'' Data'!$AA$4:$AB$7,2,FALSE)=0,"Spatial Data Missing ⚠",VLOOKUP(AI100,'G-7 WaterC'' Data'!$AA$4:$AB$7,2,FALSE)))))</f>
        <v/>
      </c>
      <c r="AK100" s="110"/>
      <c r="AL100" s="316" t="str">
        <f>IF(AK100="","",IF(AND(AK100="N/A - Culvert",N100&lt;&gt;"Culvert"),"Not possible ▲",IF(VLOOKUP(AK100,'G-7 WaterC'' Data'!$AD$4:$AE$14,2,FALSE)=0,"Spatial Data Missing ⚠",VLOOKUP(AK100,'G-7 WaterC'' Data'!$AD$4:$AE$14,2,FALSE))))</f>
        <v/>
      </c>
      <c r="AM100" s="281" t="str">
        <f>IF(B100="","",VLOOKUP($B100,'F-1 Off-Site WaterC'' Baseline'!$C$9:$Z$257,17,FALSE))</f>
        <v/>
      </c>
      <c r="AN100" s="282" t="str">
        <f>IF(AM100="","",IF(VLOOKUP(AM100,'G-7 WaterC'' Data'!$AO$4:$BO$7,2,FALSE)=0,"Spatial Data Missing ⚠",VLOOKUP(AM100,'G-7 WaterC'' Data'!$AO$4:$BO$7,2,FALSE)))</f>
        <v/>
      </c>
      <c r="AO100" s="323" t="str">
        <f t="shared" si="18"/>
        <v/>
      </c>
      <c r="AP100" s="323" t="str">
        <f t="shared" si="19"/>
        <v/>
      </c>
      <c r="AQ100" s="105"/>
      <c r="AR100" s="119"/>
      <c r="AS100" s="108"/>
      <c r="AT100" s="108"/>
      <c r="AW100" s="30" t="str">
        <f>IF(E100="","",VLOOKUP($B100,'F-1 Off-Site WaterC'' Baseline'!$C$9:$Z$257,12,FALSE))</f>
        <v/>
      </c>
      <c r="AX100" s="30" t="str">
        <f>IF(E100="","",VLOOKUP($B100,'F-1 Off-Site WaterC'' Baseline'!$C$9:$Z$257,14,FALSE))</f>
        <v/>
      </c>
      <c r="AY100" s="30" t="str">
        <f>IFERROR(INDEX('G-7 WaterC'' Data'!$AZ$3:$AZ$7,MATCH(N100,'G-7 WaterC'' Data'!$AY$3:$AY$7,0)),"")</f>
        <v/>
      </c>
      <c r="AZ100" s="30" t="str">
        <f>IF(B100="","",IF(ISNA(VLOOKUP($B100,'F-1 Off-Site WaterC'' Baseline'!$C$8:$AD$257,20,FALSE)),"",(VLOOKUP($B100,'F-1 Off-Site WaterC'' Baseline'!$C$8:$AD$257,20,FALSE))))</f>
        <v/>
      </c>
      <c r="BC100" s="30" t="str">
        <f>IF(B100="","",VLOOKUP($B100,'F-1 Off-Site WaterC'' Baseline'!$C$9:$AB$257,25,FALSE))</f>
        <v/>
      </c>
      <c r="BD100" s="30" t="str">
        <f t="shared" si="20"/>
        <v/>
      </c>
      <c r="BE100" s="30" t="str">
        <f>IF(B100="","",VLOOKUP($B100,'F-1 Off-Site WaterC'' Baseline'!$C$9:$AB$257,24,FALSE))</f>
        <v/>
      </c>
      <c r="BF100" s="30" t="str">
        <f>IF(B100="","",VLOOKUP($B100,'F-1 Off-Site WaterC'' Baseline'!$C$9:$AB$257,22,FALSE))</f>
        <v/>
      </c>
      <c r="BJ100" s="30" t="str">
        <f t="shared" si="21"/>
        <v>No</v>
      </c>
    </row>
    <row r="101" spans="2:62" ht="13.8" x14ac:dyDescent="0.25">
      <c r="B101" s="311" t="str">
        <f>'F-1 Off-Site WaterC'' Baseline'!AS99</f>
        <v/>
      </c>
      <c r="C101" s="301" t="str">
        <f>IF(B101="","",VLOOKUP($B101,'F-1 Off-Site WaterC'' Baseline'!$C$9:$R$257,2,FALSE))</f>
        <v/>
      </c>
      <c r="D101" s="301" t="str">
        <f>IF(C101="","",VLOOKUP($B101,'F-1 Off-Site WaterC'' Baseline'!$C$9:$R$257,3,FALSE))</f>
        <v/>
      </c>
      <c r="E101" s="301" t="str">
        <f>IF(D101="","",VLOOKUP($B101,'F-1 Off-Site WaterC'' Baseline'!$C$9:$R$257,4,FALSE))</f>
        <v/>
      </c>
      <c r="F101" s="301" t="str">
        <f>IF(E101="","",VLOOKUP($B101,'F-1 Off-Site WaterC'' Baseline'!$C$9:$R$257,5,FALSE))</f>
        <v/>
      </c>
      <c r="G101" s="301" t="str">
        <f>IF(F101="","",VLOOKUP($B101,'F-1 Off-Site WaterC'' Baseline'!$C$9:$R$257,6,FALSE))</f>
        <v/>
      </c>
      <c r="H101" s="301" t="str">
        <f>IF(G101="","",VLOOKUP($B101,'F-1 Off-Site WaterC'' Baseline'!$C$9:$R$257,7,FALSE))</f>
        <v/>
      </c>
      <c r="I101" s="301" t="str">
        <f>IF(H101="","",VLOOKUP($B101,'F-1 Off-Site WaterC'' Baseline'!$C$9:$R$257,8,FALSE))</f>
        <v/>
      </c>
      <c r="J101" s="301" t="str">
        <f>IF(I101="","",VLOOKUP($B101,'F-1 Off-Site WaterC'' Baseline'!$C$9:$R$257,9,FALSE))</f>
        <v/>
      </c>
      <c r="K101" s="301" t="str">
        <f>IF(J101="","",VLOOKUP($B101,'F-1 Off-Site WaterC'' Baseline'!$C$9:$R$257,10,FALSE))</f>
        <v/>
      </c>
      <c r="L101" s="289" t="str">
        <f>IF(B101="","",VLOOKUP($B101,'F-1 Off-Site WaterC'' Baseline'!$C$9:$R$257,15,FALSE))</f>
        <v/>
      </c>
      <c r="M101" s="305" t="str">
        <f>IF(L101="","",VLOOKUP($B101,'F-1 Off-Site WaterC'' Baseline'!$C$9:$V$257,19,FALSE))</f>
        <v/>
      </c>
      <c r="N101" s="250"/>
      <c r="O101" s="281" t="str">
        <f t="shared" si="14"/>
        <v/>
      </c>
      <c r="P101" s="282" t="str">
        <f t="shared" si="15"/>
        <v/>
      </c>
      <c r="Q101" s="287" t="str">
        <f>IF(N101="","",VLOOKUP(B101,'F-1 Off-Site WaterC'' Baseline'!$C$10:$AF$257,23,FALSE))</f>
        <v/>
      </c>
      <c r="R101" s="281" t="str">
        <f>IF(N101="","",VLOOKUP(N101,'G-7 WaterC'' Data'!$B$2:$G$8,2,FALSE))</f>
        <v/>
      </c>
      <c r="S101" s="282" t="str">
        <f>IFERROR(VLOOKUP(R101,'G-7 WaterC'' Data'!$C$4:$D$8,2,FALSE),"")</f>
        <v/>
      </c>
      <c r="T101" s="105"/>
      <c r="U101" s="282" t="str">
        <f>IFERROR(INDEX('G-7 WaterC'' Data'!$H$4:$L$8,MATCH(N101,'G-7 WaterC'' Data'!$B$4:$B$8,0),MATCH(T101,'G-7 WaterC'' Data'!$H$3:$L$3,0)),"")</f>
        <v/>
      </c>
      <c r="V101" s="109"/>
      <c r="W101" s="301" t="str">
        <f>IF(V101="","",IF(VLOOKUP(V101,'G-7 WaterC'' Data'!$AK$4:$AM$6,2,FALSE)=0,"Spatial Data Missing ⚠",VLOOKUP(V101,'G-7 WaterC'' Data'!$AK$4:$AM$6,2,FALSE)))</f>
        <v/>
      </c>
      <c r="X101" s="305" t="str">
        <f>IF(V101="","",IF(VLOOKUP(V101,'G-7 WaterC'' Data'!$AK$4:$AM$6,3,FALSE)=0,"Spatial Data Missing ⚠",VLOOKUP(V101,'G-7 WaterC'' Data'!$AK$4:$AM$6,3,FALSE)))</f>
        <v/>
      </c>
      <c r="Y101" s="317" t="str">
        <f>IFERROR(IF(OR(LEFT(P101,5)="Error",LEFT(O101,5)="Error"),"Check Data ⚠",IF(F101&lt;S101,'G-7 WaterC'' Data'!$R$3,INDEX('G-7 WaterC'' Data'!$U$5:$Y$9,MATCH(G101,'G-7 WaterC'' Data'!$T$5:$T$9,0),MATCH(T101,'G-7 WaterC'' Data'!$U$4:$Y$4,0)))),"")</f>
        <v/>
      </c>
      <c r="Z101" s="142"/>
      <c r="AA101" s="142"/>
      <c r="AB101" s="314" t="str">
        <f t="shared" si="11"/>
        <v/>
      </c>
      <c r="AC101" s="302" t="str">
        <f t="shared" si="16"/>
        <v/>
      </c>
      <c r="AD101" s="340" t="str">
        <f>IFERROR(IF(AC101="Check Data ⚠","Check Data ⚠",VLOOKUP(AC101,'G-4 Temporal multipliers'!$A$4:$C$37,3,FALSE)),"")</f>
        <v/>
      </c>
      <c r="AE101" s="317" t="str">
        <f>IF(N101="","",VLOOKUP(N101,'G-7 WaterC'' Data'!$B$4:$G$8,5,FALSE))</f>
        <v/>
      </c>
      <c r="AF101" s="301" t="str">
        <f t="shared" si="12"/>
        <v/>
      </c>
      <c r="AG101" s="301" t="str">
        <f t="shared" si="17"/>
        <v/>
      </c>
      <c r="AH101" s="282" t="str">
        <f t="shared" si="13"/>
        <v/>
      </c>
      <c r="AI101" s="109"/>
      <c r="AJ101" s="282" t="str">
        <f>IF(AI101="","",(IF(AND(AI101="N/A - Culvert",N101&lt;&gt;"Culvert"),"Not possible ▲",IF(VLOOKUP(AI101,'G-7 WaterC'' Data'!$AA$4:$AB$7,2,FALSE)=0,"Spatial Data Missing ⚠",VLOOKUP(AI101,'G-7 WaterC'' Data'!$AA$4:$AB$7,2,FALSE)))))</f>
        <v/>
      </c>
      <c r="AK101" s="110"/>
      <c r="AL101" s="316" t="str">
        <f>IF(AK101="","",IF(AND(AK101="N/A - Culvert",N101&lt;&gt;"Culvert"),"Not possible ▲",IF(VLOOKUP(AK101,'G-7 WaterC'' Data'!$AD$4:$AE$14,2,FALSE)=0,"Spatial Data Missing ⚠",VLOOKUP(AK101,'G-7 WaterC'' Data'!$AD$4:$AE$14,2,FALSE))))</f>
        <v/>
      </c>
      <c r="AM101" s="281" t="str">
        <f>IF(B101="","",VLOOKUP($B101,'F-1 Off-Site WaterC'' Baseline'!$C$9:$Z$257,17,FALSE))</f>
        <v/>
      </c>
      <c r="AN101" s="282" t="str">
        <f>IF(AM101="","",IF(VLOOKUP(AM101,'G-7 WaterC'' Data'!$AO$4:$BO$7,2,FALSE)=0,"Spatial Data Missing ⚠",VLOOKUP(AM101,'G-7 WaterC'' Data'!$AO$4:$BO$7,2,FALSE)))</f>
        <v/>
      </c>
      <c r="AO101" s="323" t="str">
        <f t="shared" si="18"/>
        <v/>
      </c>
      <c r="AP101" s="323" t="str">
        <f t="shared" si="19"/>
        <v/>
      </c>
      <c r="AQ101" s="105"/>
      <c r="AR101" s="119"/>
      <c r="AS101" s="108"/>
      <c r="AT101" s="108"/>
      <c r="AW101" s="30" t="str">
        <f>IF(E101="","",VLOOKUP($B101,'F-1 Off-Site WaterC'' Baseline'!$C$9:$Z$257,12,FALSE))</f>
        <v/>
      </c>
      <c r="AX101" s="30" t="str">
        <f>IF(E101="","",VLOOKUP($B101,'F-1 Off-Site WaterC'' Baseline'!$C$9:$Z$257,14,FALSE))</f>
        <v/>
      </c>
      <c r="AY101" s="30" t="str">
        <f>IFERROR(INDEX('G-7 WaterC'' Data'!$AZ$3:$AZ$7,MATCH(N101,'G-7 WaterC'' Data'!$AY$3:$AY$7,0)),"")</f>
        <v/>
      </c>
      <c r="AZ101" s="30" t="str">
        <f>IF(B101="","",IF(ISNA(VLOOKUP($B101,'F-1 Off-Site WaterC'' Baseline'!$C$8:$AD$257,20,FALSE)),"",(VLOOKUP($B101,'F-1 Off-Site WaterC'' Baseline'!$C$8:$AD$257,20,FALSE))))</f>
        <v/>
      </c>
      <c r="BC101" s="30" t="str">
        <f>IF(B101="","",VLOOKUP($B101,'F-1 Off-Site WaterC'' Baseline'!$C$9:$AB$257,25,FALSE))</f>
        <v/>
      </c>
      <c r="BD101" s="30" t="str">
        <f t="shared" si="20"/>
        <v/>
      </c>
      <c r="BE101" s="30" t="str">
        <f>IF(B101="","",VLOOKUP($B101,'F-1 Off-Site WaterC'' Baseline'!$C$9:$AB$257,24,FALSE))</f>
        <v/>
      </c>
      <c r="BF101" s="30" t="str">
        <f>IF(B101="","",VLOOKUP($B101,'F-1 Off-Site WaterC'' Baseline'!$C$9:$AB$257,22,FALSE))</f>
        <v/>
      </c>
      <c r="BJ101" s="30" t="str">
        <f t="shared" si="21"/>
        <v>No</v>
      </c>
    </row>
    <row r="102" spans="2:62" ht="13.8" x14ac:dyDescent="0.25">
      <c r="B102" s="311" t="str">
        <f>'F-1 Off-Site WaterC'' Baseline'!AS100</f>
        <v/>
      </c>
      <c r="C102" s="301" t="str">
        <f>IF(B102="","",VLOOKUP($B102,'F-1 Off-Site WaterC'' Baseline'!$C$9:$R$257,2,FALSE))</f>
        <v/>
      </c>
      <c r="D102" s="301" t="str">
        <f>IF(C102="","",VLOOKUP($B102,'F-1 Off-Site WaterC'' Baseline'!$C$9:$R$257,3,FALSE))</f>
        <v/>
      </c>
      <c r="E102" s="301" t="str">
        <f>IF(D102="","",VLOOKUP($B102,'F-1 Off-Site WaterC'' Baseline'!$C$9:$R$257,4,FALSE))</f>
        <v/>
      </c>
      <c r="F102" s="301" t="str">
        <f>IF(E102="","",VLOOKUP($B102,'F-1 Off-Site WaterC'' Baseline'!$C$9:$R$257,5,FALSE))</f>
        <v/>
      </c>
      <c r="G102" s="301" t="str">
        <f>IF(F102="","",VLOOKUP($B102,'F-1 Off-Site WaterC'' Baseline'!$C$9:$R$257,6,FALSE))</f>
        <v/>
      </c>
      <c r="H102" s="301" t="str">
        <f>IF(G102="","",VLOOKUP($B102,'F-1 Off-Site WaterC'' Baseline'!$C$9:$R$257,7,FALSE))</f>
        <v/>
      </c>
      <c r="I102" s="301" t="str">
        <f>IF(H102="","",VLOOKUP($B102,'F-1 Off-Site WaterC'' Baseline'!$C$9:$R$257,8,FALSE))</f>
        <v/>
      </c>
      <c r="J102" s="301" t="str">
        <f>IF(I102="","",VLOOKUP($B102,'F-1 Off-Site WaterC'' Baseline'!$C$9:$R$257,9,FALSE))</f>
        <v/>
      </c>
      <c r="K102" s="301" t="str">
        <f>IF(J102="","",VLOOKUP($B102,'F-1 Off-Site WaterC'' Baseline'!$C$9:$R$257,10,FALSE))</f>
        <v/>
      </c>
      <c r="L102" s="289" t="str">
        <f>IF(B102="","",VLOOKUP($B102,'F-1 Off-Site WaterC'' Baseline'!$C$9:$R$257,15,FALSE))</f>
        <v/>
      </c>
      <c r="M102" s="305" t="str">
        <f>IF(L102="","",VLOOKUP($B102,'F-1 Off-Site WaterC'' Baseline'!$C$9:$V$257,19,FALSE))</f>
        <v/>
      </c>
      <c r="N102" s="250"/>
      <c r="O102" s="281" t="str">
        <f t="shared" si="14"/>
        <v/>
      </c>
      <c r="P102" s="282" t="str">
        <f t="shared" si="15"/>
        <v/>
      </c>
      <c r="Q102" s="287" t="str">
        <f>IF(N102="","",VLOOKUP(B102,'F-1 Off-Site WaterC'' Baseline'!$C$10:$AF$257,23,FALSE))</f>
        <v/>
      </c>
      <c r="R102" s="281" t="str">
        <f>IF(N102="","",VLOOKUP(N102,'G-7 WaterC'' Data'!$B$2:$G$8,2,FALSE))</f>
        <v/>
      </c>
      <c r="S102" s="282" t="str">
        <f>IFERROR(VLOOKUP(R102,'G-7 WaterC'' Data'!$C$4:$D$8,2,FALSE),"")</f>
        <v/>
      </c>
      <c r="T102" s="105"/>
      <c r="U102" s="282" t="str">
        <f>IFERROR(INDEX('G-7 WaterC'' Data'!$H$4:$L$8,MATCH(N102,'G-7 WaterC'' Data'!$B$4:$B$8,0),MATCH(T102,'G-7 WaterC'' Data'!$H$3:$L$3,0)),"")</f>
        <v/>
      </c>
      <c r="V102" s="109"/>
      <c r="W102" s="301" t="str">
        <f>IF(V102="","",IF(VLOOKUP(V102,'G-7 WaterC'' Data'!$AK$4:$AM$6,2,FALSE)=0,"Spatial Data Missing ⚠",VLOOKUP(V102,'G-7 WaterC'' Data'!$AK$4:$AM$6,2,FALSE)))</f>
        <v/>
      </c>
      <c r="X102" s="305" t="str">
        <f>IF(V102="","",IF(VLOOKUP(V102,'G-7 WaterC'' Data'!$AK$4:$AM$6,3,FALSE)=0,"Spatial Data Missing ⚠",VLOOKUP(V102,'G-7 WaterC'' Data'!$AK$4:$AM$6,3,FALSE)))</f>
        <v/>
      </c>
      <c r="Y102" s="317" t="str">
        <f>IFERROR(IF(OR(LEFT(P102,5)="Error",LEFT(O102,5)="Error"),"Check Data ⚠",IF(F102&lt;S102,'G-7 WaterC'' Data'!$R$3,INDEX('G-7 WaterC'' Data'!$U$5:$Y$9,MATCH(G102,'G-7 WaterC'' Data'!$T$5:$T$9,0),MATCH(T102,'G-7 WaterC'' Data'!$U$4:$Y$4,0)))),"")</f>
        <v/>
      </c>
      <c r="Z102" s="142"/>
      <c r="AA102" s="142"/>
      <c r="AB102" s="314" t="str">
        <f t="shared" si="11"/>
        <v/>
      </c>
      <c r="AC102" s="302" t="str">
        <f t="shared" si="16"/>
        <v/>
      </c>
      <c r="AD102" s="340" t="str">
        <f>IFERROR(IF(AC102="Check Data ⚠","Check Data ⚠",VLOOKUP(AC102,'G-4 Temporal multipliers'!$A$4:$C$37,3,FALSE)),"")</f>
        <v/>
      </c>
      <c r="AE102" s="317" t="str">
        <f>IF(N102="","",VLOOKUP(N102,'G-7 WaterC'' Data'!$B$4:$G$8,5,FALSE))</f>
        <v/>
      </c>
      <c r="AF102" s="301" t="str">
        <f t="shared" si="12"/>
        <v/>
      </c>
      <c r="AG102" s="301" t="str">
        <f t="shared" si="17"/>
        <v/>
      </c>
      <c r="AH102" s="282" t="str">
        <f t="shared" si="13"/>
        <v/>
      </c>
      <c r="AI102" s="109"/>
      <c r="AJ102" s="282" t="str">
        <f>IF(AI102="","",(IF(AND(AI102="N/A - Culvert",N102&lt;&gt;"Culvert"),"Not possible ▲",IF(VLOOKUP(AI102,'G-7 WaterC'' Data'!$AA$4:$AB$7,2,FALSE)=0,"Spatial Data Missing ⚠",VLOOKUP(AI102,'G-7 WaterC'' Data'!$AA$4:$AB$7,2,FALSE)))))</f>
        <v/>
      </c>
      <c r="AK102" s="110"/>
      <c r="AL102" s="316" t="str">
        <f>IF(AK102="","",IF(AND(AK102="N/A - Culvert",N102&lt;&gt;"Culvert"),"Not possible ▲",IF(VLOOKUP(AK102,'G-7 WaterC'' Data'!$AD$4:$AE$14,2,FALSE)=0,"Spatial Data Missing ⚠",VLOOKUP(AK102,'G-7 WaterC'' Data'!$AD$4:$AE$14,2,FALSE))))</f>
        <v/>
      </c>
      <c r="AM102" s="281" t="str">
        <f>IF(B102="","",VLOOKUP($B102,'F-1 Off-Site WaterC'' Baseline'!$C$9:$Z$257,17,FALSE))</f>
        <v/>
      </c>
      <c r="AN102" s="282" t="str">
        <f>IF(AM102="","",IF(VLOOKUP(AM102,'G-7 WaterC'' Data'!$AO$4:$BO$7,2,FALSE)=0,"Spatial Data Missing ⚠",VLOOKUP(AM102,'G-7 WaterC'' Data'!$AO$4:$BO$7,2,FALSE)))</f>
        <v/>
      </c>
      <c r="AO102" s="323" t="str">
        <f t="shared" si="18"/>
        <v/>
      </c>
      <c r="AP102" s="323" t="str">
        <f t="shared" si="19"/>
        <v/>
      </c>
      <c r="AQ102" s="105"/>
      <c r="AR102" s="119"/>
      <c r="AS102" s="108"/>
      <c r="AT102" s="108"/>
      <c r="AW102" s="30" t="str">
        <f>IF(E102="","",VLOOKUP($B102,'F-1 Off-Site WaterC'' Baseline'!$C$9:$Z$257,12,FALSE))</f>
        <v/>
      </c>
      <c r="AX102" s="30" t="str">
        <f>IF(E102="","",VLOOKUP($B102,'F-1 Off-Site WaterC'' Baseline'!$C$9:$Z$257,14,FALSE))</f>
        <v/>
      </c>
      <c r="AY102" s="30" t="str">
        <f>IFERROR(INDEX('G-7 WaterC'' Data'!$AZ$3:$AZ$7,MATCH(N102,'G-7 WaterC'' Data'!$AY$3:$AY$7,0)),"")</f>
        <v/>
      </c>
      <c r="AZ102" s="30" t="str">
        <f>IF(B102="","",IF(ISNA(VLOOKUP($B102,'F-1 Off-Site WaterC'' Baseline'!$C$8:$AD$257,20,FALSE)),"",(VLOOKUP($B102,'F-1 Off-Site WaterC'' Baseline'!$C$8:$AD$257,20,FALSE))))</f>
        <v/>
      </c>
      <c r="BC102" s="30" t="str">
        <f>IF(B102="","",VLOOKUP($B102,'F-1 Off-Site WaterC'' Baseline'!$C$9:$AB$257,25,FALSE))</f>
        <v/>
      </c>
      <c r="BD102" s="30" t="str">
        <f t="shared" si="20"/>
        <v/>
      </c>
      <c r="BE102" s="30" t="str">
        <f>IF(B102="","",VLOOKUP($B102,'F-1 Off-Site WaterC'' Baseline'!$C$9:$AB$257,24,FALSE))</f>
        <v/>
      </c>
      <c r="BF102" s="30" t="str">
        <f>IF(B102="","",VLOOKUP($B102,'F-1 Off-Site WaterC'' Baseline'!$C$9:$AB$257,22,FALSE))</f>
        <v/>
      </c>
      <c r="BJ102" s="30" t="str">
        <f t="shared" si="21"/>
        <v>No</v>
      </c>
    </row>
    <row r="103" spans="2:62" ht="13.8" x14ac:dyDescent="0.25">
      <c r="B103" s="311" t="str">
        <f>'F-1 Off-Site WaterC'' Baseline'!AS101</f>
        <v/>
      </c>
      <c r="C103" s="301" t="str">
        <f>IF(B103="","",VLOOKUP($B103,'F-1 Off-Site WaterC'' Baseline'!$C$9:$R$257,2,FALSE))</f>
        <v/>
      </c>
      <c r="D103" s="301" t="str">
        <f>IF(C103="","",VLOOKUP($B103,'F-1 Off-Site WaterC'' Baseline'!$C$9:$R$257,3,FALSE))</f>
        <v/>
      </c>
      <c r="E103" s="301" t="str">
        <f>IF(D103="","",VLOOKUP($B103,'F-1 Off-Site WaterC'' Baseline'!$C$9:$R$257,4,FALSE))</f>
        <v/>
      </c>
      <c r="F103" s="301" t="str">
        <f>IF(E103="","",VLOOKUP($B103,'F-1 Off-Site WaterC'' Baseline'!$C$9:$R$257,5,FALSE))</f>
        <v/>
      </c>
      <c r="G103" s="301" t="str">
        <f>IF(F103="","",VLOOKUP($B103,'F-1 Off-Site WaterC'' Baseline'!$C$9:$R$257,6,FALSE))</f>
        <v/>
      </c>
      <c r="H103" s="301" t="str">
        <f>IF(G103="","",VLOOKUP($B103,'F-1 Off-Site WaterC'' Baseline'!$C$9:$R$257,7,FALSE))</f>
        <v/>
      </c>
      <c r="I103" s="301" t="str">
        <f>IF(H103="","",VLOOKUP($B103,'F-1 Off-Site WaterC'' Baseline'!$C$9:$R$257,8,FALSE))</f>
        <v/>
      </c>
      <c r="J103" s="301" t="str">
        <f>IF(I103="","",VLOOKUP($B103,'F-1 Off-Site WaterC'' Baseline'!$C$9:$R$257,9,FALSE))</f>
        <v/>
      </c>
      <c r="K103" s="301" t="str">
        <f>IF(J103="","",VLOOKUP($B103,'F-1 Off-Site WaterC'' Baseline'!$C$9:$R$257,10,FALSE))</f>
        <v/>
      </c>
      <c r="L103" s="289" t="str">
        <f>IF(B103="","",VLOOKUP($B103,'F-1 Off-Site WaterC'' Baseline'!$C$9:$R$257,15,FALSE))</f>
        <v/>
      </c>
      <c r="M103" s="305" t="str">
        <f>IF(L103="","",VLOOKUP($B103,'F-1 Off-Site WaterC'' Baseline'!$C$9:$V$257,19,FALSE))</f>
        <v/>
      </c>
      <c r="N103" s="250"/>
      <c r="O103" s="281" t="str">
        <f t="shared" si="14"/>
        <v/>
      </c>
      <c r="P103" s="282" t="str">
        <f t="shared" si="15"/>
        <v/>
      </c>
      <c r="Q103" s="287" t="str">
        <f>IF(N103="","",VLOOKUP(B103,'F-1 Off-Site WaterC'' Baseline'!$C$10:$AF$257,23,FALSE))</f>
        <v/>
      </c>
      <c r="R103" s="281" t="str">
        <f>IF(N103="","",VLOOKUP(N103,'G-7 WaterC'' Data'!$B$2:$G$8,2,FALSE))</f>
        <v/>
      </c>
      <c r="S103" s="282" t="str">
        <f>IFERROR(VLOOKUP(R103,'G-7 WaterC'' Data'!$C$4:$D$8,2,FALSE),"")</f>
        <v/>
      </c>
      <c r="T103" s="105"/>
      <c r="U103" s="282" t="str">
        <f>IFERROR(INDEX('G-7 WaterC'' Data'!$H$4:$L$8,MATCH(N103,'G-7 WaterC'' Data'!$B$4:$B$8,0),MATCH(T103,'G-7 WaterC'' Data'!$H$3:$L$3,0)),"")</f>
        <v/>
      </c>
      <c r="V103" s="109"/>
      <c r="W103" s="301" t="str">
        <f>IF(V103="","",IF(VLOOKUP(V103,'G-7 WaterC'' Data'!$AK$4:$AM$6,2,FALSE)=0,"Spatial Data Missing ⚠",VLOOKUP(V103,'G-7 WaterC'' Data'!$AK$4:$AM$6,2,FALSE)))</f>
        <v/>
      </c>
      <c r="X103" s="305" t="str">
        <f>IF(V103="","",IF(VLOOKUP(V103,'G-7 WaterC'' Data'!$AK$4:$AM$6,3,FALSE)=0,"Spatial Data Missing ⚠",VLOOKUP(V103,'G-7 WaterC'' Data'!$AK$4:$AM$6,3,FALSE)))</f>
        <v/>
      </c>
      <c r="Y103" s="317" t="str">
        <f>IFERROR(IF(OR(LEFT(P103,5)="Error",LEFT(O103,5)="Error"),"Check Data ⚠",IF(F103&lt;S103,'G-7 WaterC'' Data'!$R$3,INDEX('G-7 WaterC'' Data'!$U$5:$Y$9,MATCH(G103,'G-7 WaterC'' Data'!$T$5:$T$9,0),MATCH(T103,'G-7 WaterC'' Data'!$U$4:$Y$4,0)))),"")</f>
        <v/>
      </c>
      <c r="Z103" s="142"/>
      <c r="AA103" s="142"/>
      <c r="AB103" s="314" t="str">
        <f t="shared" si="11"/>
        <v/>
      </c>
      <c r="AC103" s="302" t="str">
        <f t="shared" si="16"/>
        <v/>
      </c>
      <c r="AD103" s="340" t="str">
        <f>IFERROR(IF(AC103="Check Data ⚠","Check Data ⚠",VLOOKUP(AC103,'G-4 Temporal multipliers'!$A$4:$C$37,3,FALSE)),"")</f>
        <v/>
      </c>
      <c r="AE103" s="317" t="str">
        <f>IF(N103="","",VLOOKUP(N103,'G-7 WaterC'' Data'!$B$4:$G$8,5,FALSE))</f>
        <v/>
      </c>
      <c r="AF103" s="301" t="str">
        <f t="shared" si="12"/>
        <v/>
      </c>
      <c r="AG103" s="301" t="str">
        <f t="shared" si="17"/>
        <v/>
      </c>
      <c r="AH103" s="282" t="str">
        <f t="shared" si="13"/>
        <v/>
      </c>
      <c r="AI103" s="109"/>
      <c r="AJ103" s="282" t="str">
        <f>IF(AI103="","",(IF(AND(AI103="N/A - Culvert",N103&lt;&gt;"Culvert"),"Not possible ▲",IF(VLOOKUP(AI103,'G-7 WaterC'' Data'!$AA$4:$AB$7,2,FALSE)=0,"Spatial Data Missing ⚠",VLOOKUP(AI103,'G-7 WaterC'' Data'!$AA$4:$AB$7,2,FALSE)))))</f>
        <v/>
      </c>
      <c r="AK103" s="110"/>
      <c r="AL103" s="316" t="str">
        <f>IF(AK103="","",IF(AND(AK103="N/A - Culvert",N103&lt;&gt;"Culvert"),"Not possible ▲",IF(VLOOKUP(AK103,'G-7 WaterC'' Data'!$AD$4:$AE$14,2,FALSE)=0,"Spatial Data Missing ⚠",VLOOKUP(AK103,'G-7 WaterC'' Data'!$AD$4:$AE$14,2,FALSE))))</f>
        <v/>
      </c>
      <c r="AM103" s="281" t="str">
        <f>IF(B103="","",VLOOKUP($B103,'F-1 Off-Site WaterC'' Baseline'!$C$9:$Z$257,17,FALSE))</f>
        <v/>
      </c>
      <c r="AN103" s="282" t="str">
        <f>IF(AM103="","",IF(VLOOKUP(AM103,'G-7 WaterC'' Data'!$AO$4:$BO$7,2,FALSE)=0,"Spatial Data Missing ⚠",VLOOKUP(AM103,'G-7 WaterC'' Data'!$AO$4:$BO$7,2,FALSE)))</f>
        <v/>
      </c>
      <c r="AO103" s="323" t="str">
        <f t="shared" si="18"/>
        <v/>
      </c>
      <c r="AP103" s="323" t="str">
        <f t="shared" si="19"/>
        <v/>
      </c>
      <c r="AQ103" s="105"/>
      <c r="AR103" s="119"/>
      <c r="AS103" s="108"/>
      <c r="AT103" s="108"/>
      <c r="AW103" s="30" t="str">
        <f>IF(E103="","",VLOOKUP($B103,'F-1 Off-Site WaterC'' Baseline'!$C$9:$Z$257,12,FALSE))</f>
        <v/>
      </c>
      <c r="AX103" s="30" t="str">
        <f>IF(E103="","",VLOOKUP($B103,'F-1 Off-Site WaterC'' Baseline'!$C$9:$Z$257,14,FALSE))</f>
        <v/>
      </c>
      <c r="AY103" s="30" t="str">
        <f>IFERROR(INDEX('G-7 WaterC'' Data'!$AZ$3:$AZ$7,MATCH(N103,'G-7 WaterC'' Data'!$AY$3:$AY$7,0)),"")</f>
        <v/>
      </c>
      <c r="AZ103" s="30" t="str">
        <f>IF(B103="","",IF(ISNA(VLOOKUP($B103,'F-1 Off-Site WaterC'' Baseline'!$C$8:$AD$257,20,FALSE)),"",(VLOOKUP($B103,'F-1 Off-Site WaterC'' Baseline'!$C$8:$AD$257,20,FALSE))))</f>
        <v/>
      </c>
      <c r="BC103" s="30" t="str">
        <f>IF(B103="","",VLOOKUP($B103,'F-1 Off-Site WaterC'' Baseline'!$C$9:$AB$257,25,FALSE))</f>
        <v/>
      </c>
      <c r="BD103" s="30" t="str">
        <f t="shared" si="20"/>
        <v/>
      </c>
      <c r="BE103" s="30" t="str">
        <f>IF(B103="","",VLOOKUP($B103,'F-1 Off-Site WaterC'' Baseline'!$C$9:$AB$257,24,FALSE))</f>
        <v/>
      </c>
      <c r="BF103" s="30" t="str">
        <f>IF(B103="","",VLOOKUP($B103,'F-1 Off-Site WaterC'' Baseline'!$C$9:$AB$257,22,FALSE))</f>
        <v/>
      </c>
      <c r="BJ103" s="30" t="str">
        <f t="shared" si="21"/>
        <v>No</v>
      </c>
    </row>
    <row r="104" spans="2:62" ht="13.8" x14ac:dyDescent="0.25">
      <c r="B104" s="311" t="str">
        <f>'F-1 Off-Site WaterC'' Baseline'!AS102</f>
        <v/>
      </c>
      <c r="C104" s="301" t="str">
        <f>IF(B104="","",VLOOKUP($B104,'F-1 Off-Site WaterC'' Baseline'!$C$9:$R$257,2,FALSE))</f>
        <v/>
      </c>
      <c r="D104" s="301" t="str">
        <f>IF(C104="","",VLOOKUP($B104,'F-1 Off-Site WaterC'' Baseline'!$C$9:$R$257,3,FALSE))</f>
        <v/>
      </c>
      <c r="E104" s="301" t="str">
        <f>IF(D104="","",VLOOKUP($B104,'F-1 Off-Site WaterC'' Baseline'!$C$9:$R$257,4,FALSE))</f>
        <v/>
      </c>
      <c r="F104" s="301" t="str">
        <f>IF(E104="","",VLOOKUP($B104,'F-1 Off-Site WaterC'' Baseline'!$C$9:$R$257,5,FALSE))</f>
        <v/>
      </c>
      <c r="G104" s="301" t="str">
        <f>IF(F104="","",VLOOKUP($B104,'F-1 Off-Site WaterC'' Baseline'!$C$9:$R$257,6,FALSE))</f>
        <v/>
      </c>
      <c r="H104" s="301" t="str">
        <f>IF(G104="","",VLOOKUP($B104,'F-1 Off-Site WaterC'' Baseline'!$C$9:$R$257,7,FALSE))</f>
        <v/>
      </c>
      <c r="I104" s="301" t="str">
        <f>IF(H104="","",VLOOKUP($B104,'F-1 Off-Site WaterC'' Baseline'!$C$9:$R$257,8,FALSE))</f>
        <v/>
      </c>
      <c r="J104" s="301" t="str">
        <f>IF(I104="","",VLOOKUP($B104,'F-1 Off-Site WaterC'' Baseline'!$C$9:$R$257,9,FALSE))</f>
        <v/>
      </c>
      <c r="K104" s="301" t="str">
        <f>IF(J104="","",VLOOKUP($B104,'F-1 Off-Site WaterC'' Baseline'!$C$9:$R$257,10,FALSE))</f>
        <v/>
      </c>
      <c r="L104" s="289" t="str">
        <f>IF(B104="","",VLOOKUP($B104,'F-1 Off-Site WaterC'' Baseline'!$C$9:$R$257,15,FALSE))</f>
        <v/>
      </c>
      <c r="M104" s="305" t="str">
        <f>IF(L104="","",VLOOKUP($B104,'F-1 Off-Site WaterC'' Baseline'!$C$9:$V$257,19,FALSE))</f>
        <v/>
      </c>
      <c r="N104" s="250"/>
      <c r="O104" s="281" t="str">
        <f t="shared" si="14"/>
        <v/>
      </c>
      <c r="P104" s="282" t="str">
        <f t="shared" si="15"/>
        <v/>
      </c>
      <c r="Q104" s="287" t="str">
        <f>IF(N104="","",VLOOKUP(B104,'F-1 Off-Site WaterC'' Baseline'!$C$10:$AF$257,23,FALSE))</f>
        <v/>
      </c>
      <c r="R104" s="281" t="str">
        <f>IF(N104="","",VLOOKUP(N104,'G-7 WaterC'' Data'!$B$2:$G$8,2,FALSE))</f>
        <v/>
      </c>
      <c r="S104" s="282" t="str">
        <f>IFERROR(VLOOKUP(R104,'G-7 WaterC'' Data'!$C$4:$D$8,2,FALSE),"")</f>
        <v/>
      </c>
      <c r="T104" s="105"/>
      <c r="U104" s="282" t="str">
        <f>IFERROR(INDEX('G-7 WaterC'' Data'!$H$4:$L$8,MATCH(N104,'G-7 WaterC'' Data'!$B$4:$B$8,0),MATCH(T104,'G-7 WaterC'' Data'!$H$3:$L$3,0)),"")</f>
        <v/>
      </c>
      <c r="V104" s="109"/>
      <c r="W104" s="301" t="str">
        <f>IF(V104="","",IF(VLOOKUP(V104,'G-7 WaterC'' Data'!$AK$4:$AM$6,2,FALSE)=0,"Spatial Data Missing ⚠",VLOOKUP(V104,'G-7 WaterC'' Data'!$AK$4:$AM$6,2,FALSE)))</f>
        <v/>
      </c>
      <c r="X104" s="305" t="str">
        <f>IF(V104="","",IF(VLOOKUP(V104,'G-7 WaterC'' Data'!$AK$4:$AM$6,3,FALSE)=0,"Spatial Data Missing ⚠",VLOOKUP(V104,'G-7 WaterC'' Data'!$AK$4:$AM$6,3,FALSE)))</f>
        <v/>
      </c>
      <c r="Y104" s="317" t="str">
        <f>IFERROR(IF(OR(LEFT(P104,5)="Error",LEFT(O104,5)="Error"),"Check Data ⚠",IF(F104&lt;S104,'G-7 WaterC'' Data'!$R$3,INDEX('G-7 WaterC'' Data'!$U$5:$Y$9,MATCH(G104,'G-7 WaterC'' Data'!$T$5:$T$9,0),MATCH(T104,'G-7 WaterC'' Data'!$U$4:$Y$4,0)))),"")</f>
        <v/>
      </c>
      <c r="Z104" s="142"/>
      <c r="AA104" s="142"/>
      <c r="AB104" s="314" t="str">
        <f t="shared" si="11"/>
        <v/>
      </c>
      <c r="AC104" s="302" t="str">
        <f t="shared" si="16"/>
        <v/>
      </c>
      <c r="AD104" s="340" t="str">
        <f>IFERROR(IF(AC104="Check Data ⚠","Check Data ⚠",VLOOKUP(AC104,'G-4 Temporal multipliers'!$A$4:$C$37,3,FALSE)),"")</f>
        <v/>
      </c>
      <c r="AE104" s="317" t="str">
        <f>IF(N104="","",VLOOKUP(N104,'G-7 WaterC'' Data'!$B$4:$G$8,5,FALSE))</f>
        <v/>
      </c>
      <c r="AF104" s="301" t="str">
        <f t="shared" si="12"/>
        <v/>
      </c>
      <c r="AG104" s="301" t="str">
        <f t="shared" si="17"/>
        <v/>
      </c>
      <c r="AH104" s="282" t="str">
        <f t="shared" si="13"/>
        <v/>
      </c>
      <c r="AI104" s="109"/>
      <c r="AJ104" s="282" t="str">
        <f>IF(AI104="","",(IF(AND(AI104="N/A - Culvert",N104&lt;&gt;"Culvert"),"Not possible ▲",IF(VLOOKUP(AI104,'G-7 WaterC'' Data'!$AA$4:$AB$7,2,FALSE)=0,"Spatial Data Missing ⚠",VLOOKUP(AI104,'G-7 WaterC'' Data'!$AA$4:$AB$7,2,FALSE)))))</f>
        <v/>
      </c>
      <c r="AK104" s="110"/>
      <c r="AL104" s="316" t="str">
        <f>IF(AK104="","",IF(AND(AK104="N/A - Culvert",N104&lt;&gt;"Culvert"),"Not possible ▲",IF(VLOOKUP(AK104,'G-7 WaterC'' Data'!$AD$4:$AE$14,2,FALSE)=0,"Spatial Data Missing ⚠",VLOOKUP(AK104,'G-7 WaterC'' Data'!$AD$4:$AE$14,2,FALSE))))</f>
        <v/>
      </c>
      <c r="AM104" s="281" t="str">
        <f>IF(B104="","",VLOOKUP($B104,'F-1 Off-Site WaterC'' Baseline'!$C$9:$Z$257,17,FALSE))</f>
        <v/>
      </c>
      <c r="AN104" s="282" t="str">
        <f>IF(AM104="","",IF(VLOOKUP(AM104,'G-7 WaterC'' Data'!$AO$4:$BO$7,2,FALSE)=0,"Spatial Data Missing ⚠",VLOOKUP(AM104,'G-7 WaterC'' Data'!$AO$4:$BO$7,2,FALSE)))</f>
        <v/>
      </c>
      <c r="AO104" s="323" t="str">
        <f t="shared" si="18"/>
        <v/>
      </c>
      <c r="AP104" s="323" t="str">
        <f t="shared" si="19"/>
        <v/>
      </c>
      <c r="AQ104" s="105"/>
      <c r="AR104" s="119"/>
      <c r="AS104" s="108"/>
      <c r="AT104" s="108"/>
      <c r="AW104" s="30" t="str">
        <f>IF(E104="","",VLOOKUP($B104,'F-1 Off-Site WaterC'' Baseline'!$C$9:$Z$257,12,FALSE))</f>
        <v/>
      </c>
      <c r="AX104" s="30" t="str">
        <f>IF(E104="","",VLOOKUP($B104,'F-1 Off-Site WaterC'' Baseline'!$C$9:$Z$257,14,FALSE))</f>
        <v/>
      </c>
      <c r="AY104" s="30" t="str">
        <f>IFERROR(INDEX('G-7 WaterC'' Data'!$AZ$3:$AZ$7,MATCH(N104,'G-7 WaterC'' Data'!$AY$3:$AY$7,0)),"")</f>
        <v/>
      </c>
      <c r="AZ104" s="30" t="str">
        <f>IF(B104="","",IF(ISNA(VLOOKUP($B104,'F-1 Off-Site WaterC'' Baseline'!$C$8:$AD$257,20,FALSE)),"",(VLOOKUP($B104,'F-1 Off-Site WaterC'' Baseline'!$C$8:$AD$257,20,FALSE))))</f>
        <v/>
      </c>
      <c r="BC104" s="30" t="str">
        <f>IF(B104="","",VLOOKUP($B104,'F-1 Off-Site WaterC'' Baseline'!$C$9:$AB$257,25,FALSE))</f>
        <v/>
      </c>
      <c r="BD104" s="30" t="str">
        <f t="shared" si="20"/>
        <v/>
      </c>
      <c r="BE104" s="30" t="str">
        <f>IF(B104="","",VLOOKUP($B104,'F-1 Off-Site WaterC'' Baseline'!$C$9:$AB$257,24,FALSE))</f>
        <v/>
      </c>
      <c r="BF104" s="30" t="str">
        <f>IF(B104="","",VLOOKUP($B104,'F-1 Off-Site WaterC'' Baseline'!$C$9:$AB$257,22,FALSE))</f>
        <v/>
      </c>
      <c r="BJ104" s="30" t="str">
        <f t="shared" si="21"/>
        <v>No</v>
      </c>
    </row>
    <row r="105" spans="2:62" ht="13.8" x14ac:dyDescent="0.25">
      <c r="B105" s="311" t="str">
        <f>'F-1 Off-Site WaterC'' Baseline'!AS103</f>
        <v/>
      </c>
      <c r="C105" s="301" t="str">
        <f>IF(B105="","",VLOOKUP($B105,'F-1 Off-Site WaterC'' Baseline'!$C$9:$R$257,2,FALSE))</f>
        <v/>
      </c>
      <c r="D105" s="301" t="str">
        <f>IF(C105="","",VLOOKUP($B105,'F-1 Off-Site WaterC'' Baseline'!$C$9:$R$257,3,FALSE))</f>
        <v/>
      </c>
      <c r="E105" s="301" t="str">
        <f>IF(D105="","",VLOOKUP($B105,'F-1 Off-Site WaterC'' Baseline'!$C$9:$R$257,4,FALSE))</f>
        <v/>
      </c>
      <c r="F105" s="301" t="str">
        <f>IF(E105="","",VLOOKUP($B105,'F-1 Off-Site WaterC'' Baseline'!$C$9:$R$257,5,FALSE))</f>
        <v/>
      </c>
      <c r="G105" s="301" t="str">
        <f>IF(F105="","",VLOOKUP($B105,'F-1 Off-Site WaterC'' Baseline'!$C$9:$R$257,6,FALSE))</f>
        <v/>
      </c>
      <c r="H105" s="301" t="str">
        <f>IF(G105="","",VLOOKUP($B105,'F-1 Off-Site WaterC'' Baseline'!$C$9:$R$257,7,FALSE))</f>
        <v/>
      </c>
      <c r="I105" s="301" t="str">
        <f>IF(H105="","",VLOOKUP($B105,'F-1 Off-Site WaterC'' Baseline'!$C$9:$R$257,8,FALSE))</f>
        <v/>
      </c>
      <c r="J105" s="301" t="str">
        <f>IF(I105="","",VLOOKUP($B105,'F-1 Off-Site WaterC'' Baseline'!$C$9:$R$257,9,FALSE))</f>
        <v/>
      </c>
      <c r="K105" s="301" t="str">
        <f>IF(J105="","",VLOOKUP($B105,'F-1 Off-Site WaterC'' Baseline'!$C$9:$R$257,10,FALSE))</f>
        <v/>
      </c>
      <c r="L105" s="289" t="str">
        <f>IF(B105="","",VLOOKUP($B105,'F-1 Off-Site WaterC'' Baseline'!$C$9:$R$257,15,FALSE))</f>
        <v/>
      </c>
      <c r="M105" s="305" t="str">
        <f>IF(L105="","",VLOOKUP($B105,'F-1 Off-Site WaterC'' Baseline'!$C$9:$V$257,19,FALSE))</f>
        <v/>
      </c>
      <c r="N105" s="250"/>
      <c r="O105" s="281" t="str">
        <f t="shared" si="14"/>
        <v/>
      </c>
      <c r="P105" s="282" t="str">
        <f t="shared" si="15"/>
        <v/>
      </c>
      <c r="Q105" s="287" t="str">
        <f>IF(N105="","",VLOOKUP(B105,'F-1 Off-Site WaterC'' Baseline'!$C$10:$AF$257,23,FALSE))</f>
        <v/>
      </c>
      <c r="R105" s="281" t="str">
        <f>IF(N105="","",VLOOKUP(N105,'G-7 WaterC'' Data'!$B$2:$G$8,2,FALSE))</f>
        <v/>
      </c>
      <c r="S105" s="282" t="str">
        <f>IFERROR(VLOOKUP(R105,'G-7 WaterC'' Data'!$C$4:$D$8,2,FALSE),"")</f>
        <v/>
      </c>
      <c r="T105" s="105"/>
      <c r="U105" s="282" t="str">
        <f>IFERROR(INDEX('G-7 WaterC'' Data'!$H$4:$L$8,MATCH(N105,'G-7 WaterC'' Data'!$B$4:$B$8,0),MATCH(T105,'G-7 WaterC'' Data'!$H$3:$L$3,0)),"")</f>
        <v/>
      </c>
      <c r="V105" s="109"/>
      <c r="W105" s="301" t="str">
        <f>IF(V105="","",IF(VLOOKUP(V105,'G-7 WaterC'' Data'!$AK$4:$AM$6,2,FALSE)=0,"Spatial Data Missing ⚠",VLOOKUP(V105,'G-7 WaterC'' Data'!$AK$4:$AM$6,2,FALSE)))</f>
        <v/>
      </c>
      <c r="X105" s="305" t="str">
        <f>IF(V105="","",IF(VLOOKUP(V105,'G-7 WaterC'' Data'!$AK$4:$AM$6,3,FALSE)=0,"Spatial Data Missing ⚠",VLOOKUP(V105,'G-7 WaterC'' Data'!$AK$4:$AM$6,3,FALSE)))</f>
        <v/>
      </c>
      <c r="Y105" s="317" t="str">
        <f>IFERROR(IF(OR(LEFT(P105,5)="Error",LEFT(O105,5)="Error"),"Check Data ⚠",IF(F105&lt;S105,'G-7 WaterC'' Data'!$R$3,INDEX('G-7 WaterC'' Data'!$U$5:$Y$9,MATCH(G105,'G-7 WaterC'' Data'!$T$5:$T$9,0),MATCH(T105,'G-7 WaterC'' Data'!$U$4:$Y$4,0)))),"")</f>
        <v/>
      </c>
      <c r="Z105" s="142"/>
      <c r="AA105" s="142"/>
      <c r="AB105" s="314" t="str">
        <f t="shared" si="11"/>
        <v/>
      </c>
      <c r="AC105" s="302" t="str">
        <f t="shared" si="16"/>
        <v/>
      </c>
      <c r="AD105" s="340" t="str">
        <f>IFERROR(IF(AC105="Check Data ⚠","Check Data ⚠",VLOOKUP(AC105,'G-4 Temporal multipliers'!$A$4:$C$37,3,FALSE)),"")</f>
        <v/>
      </c>
      <c r="AE105" s="317" t="str">
        <f>IF(N105="","",VLOOKUP(N105,'G-7 WaterC'' Data'!$B$4:$G$8,5,FALSE))</f>
        <v/>
      </c>
      <c r="AF105" s="301" t="str">
        <f t="shared" si="12"/>
        <v/>
      </c>
      <c r="AG105" s="301" t="str">
        <f t="shared" si="17"/>
        <v/>
      </c>
      <c r="AH105" s="282" t="str">
        <f t="shared" si="13"/>
        <v/>
      </c>
      <c r="AI105" s="109"/>
      <c r="AJ105" s="282" t="str">
        <f>IF(AI105="","",(IF(AND(AI105="N/A - Culvert",N105&lt;&gt;"Culvert"),"Not possible ▲",IF(VLOOKUP(AI105,'G-7 WaterC'' Data'!$AA$4:$AB$7,2,FALSE)=0,"Spatial Data Missing ⚠",VLOOKUP(AI105,'G-7 WaterC'' Data'!$AA$4:$AB$7,2,FALSE)))))</f>
        <v/>
      </c>
      <c r="AK105" s="110"/>
      <c r="AL105" s="316" t="str">
        <f>IF(AK105="","",IF(AND(AK105="N/A - Culvert",N105&lt;&gt;"Culvert"),"Not possible ▲",IF(VLOOKUP(AK105,'G-7 WaterC'' Data'!$AD$4:$AE$14,2,FALSE)=0,"Spatial Data Missing ⚠",VLOOKUP(AK105,'G-7 WaterC'' Data'!$AD$4:$AE$14,2,FALSE))))</f>
        <v/>
      </c>
      <c r="AM105" s="281" t="str">
        <f>IF(B105="","",VLOOKUP($B105,'F-1 Off-Site WaterC'' Baseline'!$C$9:$Z$257,17,FALSE))</f>
        <v/>
      </c>
      <c r="AN105" s="282" t="str">
        <f>IF(AM105="","",IF(VLOOKUP(AM105,'G-7 WaterC'' Data'!$AO$4:$BO$7,2,FALSE)=0,"Spatial Data Missing ⚠",VLOOKUP(AM105,'G-7 WaterC'' Data'!$AO$4:$BO$7,2,FALSE)))</f>
        <v/>
      </c>
      <c r="AO105" s="323" t="str">
        <f t="shared" si="18"/>
        <v/>
      </c>
      <c r="AP105" s="323" t="str">
        <f t="shared" si="19"/>
        <v/>
      </c>
      <c r="AQ105" s="105"/>
      <c r="AR105" s="119"/>
      <c r="AS105" s="108"/>
      <c r="AT105" s="108"/>
      <c r="AW105" s="30" t="str">
        <f>IF(E105="","",VLOOKUP($B105,'F-1 Off-Site WaterC'' Baseline'!$C$9:$Z$257,12,FALSE))</f>
        <v/>
      </c>
      <c r="AX105" s="30" t="str">
        <f>IF(E105="","",VLOOKUP($B105,'F-1 Off-Site WaterC'' Baseline'!$C$9:$Z$257,14,FALSE))</f>
        <v/>
      </c>
      <c r="AY105" s="30" t="str">
        <f>IFERROR(INDEX('G-7 WaterC'' Data'!$AZ$3:$AZ$7,MATCH(N105,'G-7 WaterC'' Data'!$AY$3:$AY$7,0)),"")</f>
        <v/>
      </c>
      <c r="AZ105" s="30" t="str">
        <f>IF(B105="","",IF(ISNA(VLOOKUP($B105,'F-1 Off-Site WaterC'' Baseline'!$C$8:$AD$257,20,FALSE)),"",(VLOOKUP($B105,'F-1 Off-Site WaterC'' Baseline'!$C$8:$AD$257,20,FALSE))))</f>
        <v/>
      </c>
      <c r="BC105" s="30" t="str">
        <f>IF(B105="","",VLOOKUP($B105,'F-1 Off-Site WaterC'' Baseline'!$C$9:$AB$257,25,FALSE))</f>
        <v/>
      </c>
      <c r="BD105" s="30" t="str">
        <f t="shared" si="20"/>
        <v/>
      </c>
      <c r="BE105" s="30" t="str">
        <f>IF(B105="","",VLOOKUP($B105,'F-1 Off-Site WaterC'' Baseline'!$C$9:$AB$257,24,FALSE))</f>
        <v/>
      </c>
      <c r="BF105" s="30" t="str">
        <f>IF(B105="","",VLOOKUP($B105,'F-1 Off-Site WaterC'' Baseline'!$C$9:$AB$257,22,FALSE))</f>
        <v/>
      </c>
      <c r="BJ105" s="30" t="str">
        <f t="shared" si="21"/>
        <v>No</v>
      </c>
    </row>
    <row r="106" spans="2:62" ht="13.8" x14ac:dyDescent="0.25">
      <c r="B106" s="311" t="str">
        <f>'F-1 Off-Site WaterC'' Baseline'!AS104</f>
        <v/>
      </c>
      <c r="C106" s="301" t="str">
        <f>IF(B106="","",VLOOKUP($B106,'F-1 Off-Site WaterC'' Baseline'!$C$9:$R$257,2,FALSE))</f>
        <v/>
      </c>
      <c r="D106" s="301" t="str">
        <f>IF(C106="","",VLOOKUP($B106,'F-1 Off-Site WaterC'' Baseline'!$C$9:$R$257,3,FALSE))</f>
        <v/>
      </c>
      <c r="E106" s="301" t="str">
        <f>IF(D106="","",VLOOKUP($B106,'F-1 Off-Site WaterC'' Baseline'!$C$9:$R$257,4,FALSE))</f>
        <v/>
      </c>
      <c r="F106" s="301" t="str">
        <f>IF(E106="","",VLOOKUP($B106,'F-1 Off-Site WaterC'' Baseline'!$C$9:$R$257,5,FALSE))</f>
        <v/>
      </c>
      <c r="G106" s="301" t="str">
        <f>IF(F106="","",VLOOKUP($B106,'F-1 Off-Site WaterC'' Baseline'!$C$9:$R$257,6,FALSE))</f>
        <v/>
      </c>
      <c r="H106" s="301" t="str">
        <f>IF(G106="","",VLOOKUP($B106,'F-1 Off-Site WaterC'' Baseline'!$C$9:$R$257,7,FALSE))</f>
        <v/>
      </c>
      <c r="I106" s="301" t="str">
        <f>IF(H106="","",VLOOKUP($B106,'F-1 Off-Site WaterC'' Baseline'!$C$9:$R$257,8,FALSE))</f>
        <v/>
      </c>
      <c r="J106" s="301" t="str">
        <f>IF(I106="","",VLOOKUP($B106,'F-1 Off-Site WaterC'' Baseline'!$C$9:$R$257,9,FALSE))</f>
        <v/>
      </c>
      <c r="K106" s="301" t="str">
        <f>IF(J106="","",VLOOKUP($B106,'F-1 Off-Site WaterC'' Baseline'!$C$9:$R$257,10,FALSE))</f>
        <v/>
      </c>
      <c r="L106" s="289" t="str">
        <f>IF(B106="","",VLOOKUP($B106,'F-1 Off-Site WaterC'' Baseline'!$C$9:$R$257,15,FALSE))</f>
        <v/>
      </c>
      <c r="M106" s="305" t="str">
        <f>IF(L106="","",VLOOKUP($B106,'F-1 Off-Site WaterC'' Baseline'!$C$9:$V$257,19,FALSE))</f>
        <v/>
      </c>
      <c r="N106" s="250"/>
      <c r="O106" s="281" t="str">
        <f t="shared" si="14"/>
        <v/>
      </c>
      <c r="P106" s="282" t="str">
        <f t="shared" si="15"/>
        <v/>
      </c>
      <c r="Q106" s="287" t="str">
        <f>IF(N106="","",VLOOKUP(B106,'F-1 Off-Site WaterC'' Baseline'!$C$10:$AF$257,23,FALSE))</f>
        <v/>
      </c>
      <c r="R106" s="281" t="str">
        <f>IF(N106="","",VLOOKUP(N106,'G-7 WaterC'' Data'!$B$2:$G$8,2,FALSE))</f>
        <v/>
      </c>
      <c r="S106" s="282" t="str">
        <f>IFERROR(VLOOKUP(R106,'G-7 WaterC'' Data'!$C$4:$D$8,2,FALSE),"")</f>
        <v/>
      </c>
      <c r="T106" s="105"/>
      <c r="U106" s="282" t="str">
        <f>IFERROR(INDEX('G-7 WaterC'' Data'!$H$4:$L$8,MATCH(N106,'G-7 WaterC'' Data'!$B$4:$B$8,0),MATCH(T106,'G-7 WaterC'' Data'!$H$3:$L$3,0)),"")</f>
        <v/>
      </c>
      <c r="V106" s="109"/>
      <c r="W106" s="301" t="str">
        <f>IF(V106="","",IF(VLOOKUP(V106,'G-7 WaterC'' Data'!$AK$4:$AM$6,2,FALSE)=0,"Spatial Data Missing ⚠",VLOOKUP(V106,'G-7 WaterC'' Data'!$AK$4:$AM$6,2,FALSE)))</f>
        <v/>
      </c>
      <c r="X106" s="305" t="str">
        <f>IF(V106="","",IF(VLOOKUP(V106,'G-7 WaterC'' Data'!$AK$4:$AM$6,3,FALSE)=0,"Spatial Data Missing ⚠",VLOOKUP(V106,'G-7 WaterC'' Data'!$AK$4:$AM$6,3,FALSE)))</f>
        <v/>
      </c>
      <c r="Y106" s="317" t="str">
        <f>IFERROR(IF(OR(LEFT(P106,5)="Error",LEFT(O106,5)="Error"),"Check Data ⚠",IF(F106&lt;S106,'G-7 WaterC'' Data'!$R$3,INDEX('G-7 WaterC'' Data'!$U$5:$Y$9,MATCH(G106,'G-7 WaterC'' Data'!$T$5:$T$9,0),MATCH(T106,'G-7 WaterC'' Data'!$U$4:$Y$4,0)))),"")</f>
        <v/>
      </c>
      <c r="Z106" s="142"/>
      <c r="AA106" s="142"/>
      <c r="AB106" s="314" t="str">
        <f t="shared" si="11"/>
        <v/>
      </c>
      <c r="AC106" s="302" t="str">
        <f t="shared" si="16"/>
        <v/>
      </c>
      <c r="AD106" s="340" t="str">
        <f>IFERROR(IF(AC106="Check Data ⚠","Check Data ⚠",VLOOKUP(AC106,'G-4 Temporal multipliers'!$A$4:$C$37,3,FALSE)),"")</f>
        <v/>
      </c>
      <c r="AE106" s="317" t="str">
        <f>IF(N106="","",VLOOKUP(N106,'G-7 WaterC'' Data'!$B$4:$G$8,5,FALSE))</f>
        <v/>
      </c>
      <c r="AF106" s="301" t="str">
        <f t="shared" si="12"/>
        <v/>
      </c>
      <c r="AG106" s="301" t="str">
        <f t="shared" si="17"/>
        <v/>
      </c>
      <c r="AH106" s="282" t="str">
        <f t="shared" si="13"/>
        <v/>
      </c>
      <c r="AI106" s="109"/>
      <c r="AJ106" s="282" t="str">
        <f>IF(AI106="","",(IF(AND(AI106="N/A - Culvert",N106&lt;&gt;"Culvert"),"Not possible ▲",IF(VLOOKUP(AI106,'G-7 WaterC'' Data'!$AA$4:$AB$7,2,FALSE)=0,"Spatial Data Missing ⚠",VLOOKUP(AI106,'G-7 WaterC'' Data'!$AA$4:$AB$7,2,FALSE)))))</f>
        <v/>
      </c>
      <c r="AK106" s="110"/>
      <c r="AL106" s="316" t="str">
        <f>IF(AK106="","",IF(AND(AK106="N/A - Culvert",N106&lt;&gt;"Culvert"),"Not possible ▲",IF(VLOOKUP(AK106,'G-7 WaterC'' Data'!$AD$4:$AE$14,2,FALSE)=0,"Spatial Data Missing ⚠",VLOOKUP(AK106,'G-7 WaterC'' Data'!$AD$4:$AE$14,2,FALSE))))</f>
        <v/>
      </c>
      <c r="AM106" s="281" t="str">
        <f>IF(B106="","",VLOOKUP($B106,'F-1 Off-Site WaterC'' Baseline'!$C$9:$Z$257,17,FALSE))</f>
        <v/>
      </c>
      <c r="AN106" s="282" t="str">
        <f>IF(AM106="","",IF(VLOOKUP(AM106,'G-7 WaterC'' Data'!$AO$4:$BO$7,2,FALSE)=0,"Spatial Data Missing ⚠",VLOOKUP(AM106,'G-7 WaterC'' Data'!$AO$4:$BO$7,2,FALSE)))</f>
        <v/>
      </c>
      <c r="AO106" s="323" t="str">
        <f t="shared" si="18"/>
        <v/>
      </c>
      <c r="AP106" s="323" t="str">
        <f t="shared" si="19"/>
        <v/>
      </c>
      <c r="AQ106" s="105"/>
      <c r="AR106" s="119"/>
      <c r="AS106" s="108"/>
      <c r="AT106" s="108"/>
      <c r="AW106" s="30" t="str">
        <f>IF(E106="","",VLOOKUP($B106,'F-1 Off-Site WaterC'' Baseline'!$C$9:$Z$257,12,FALSE))</f>
        <v/>
      </c>
      <c r="AX106" s="30" t="str">
        <f>IF(E106="","",VLOOKUP($B106,'F-1 Off-Site WaterC'' Baseline'!$C$9:$Z$257,14,FALSE))</f>
        <v/>
      </c>
      <c r="AY106" s="30" t="str">
        <f>IFERROR(INDEX('G-7 WaterC'' Data'!$AZ$3:$AZ$7,MATCH(N106,'G-7 WaterC'' Data'!$AY$3:$AY$7,0)),"")</f>
        <v/>
      </c>
      <c r="AZ106" s="30" t="str">
        <f>IF(B106="","",IF(ISNA(VLOOKUP($B106,'F-1 Off-Site WaterC'' Baseline'!$C$8:$AD$257,20,FALSE)),"",(VLOOKUP($B106,'F-1 Off-Site WaterC'' Baseline'!$C$8:$AD$257,20,FALSE))))</f>
        <v/>
      </c>
      <c r="BC106" s="30" t="str">
        <f>IF(B106="","",VLOOKUP($B106,'F-1 Off-Site WaterC'' Baseline'!$C$9:$AB$257,25,FALSE))</f>
        <v/>
      </c>
      <c r="BD106" s="30" t="str">
        <f t="shared" si="20"/>
        <v/>
      </c>
      <c r="BE106" s="30" t="str">
        <f>IF(B106="","",VLOOKUP($B106,'F-1 Off-Site WaterC'' Baseline'!$C$9:$AB$257,24,FALSE))</f>
        <v/>
      </c>
      <c r="BF106" s="30" t="str">
        <f>IF(B106="","",VLOOKUP($B106,'F-1 Off-Site WaterC'' Baseline'!$C$9:$AB$257,22,FALSE))</f>
        <v/>
      </c>
      <c r="BJ106" s="30" t="str">
        <f t="shared" si="21"/>
        <v>No</v>
      </c>
    </row>
    <row r="107" spans="2:62" ht="13.8" x14ac:dyDescent="0.25">
      <c r="B107" s="311" t="str">
        <f>'F-1 Off-Site WaterC'' Baseline'!AS105</f>
        <v/>
      </c>
      <c r="C107" s="301" t="str">
        <f>IF(B107="","",VLOOKUP($B107,'F-1 Off-Site WaterC'' Baseline'!$C$9:$R$257,2,FALSE))</f>
        <v/>
      </c>
      <c r="D107" s="301" t="str">
        <f>IF(C107="","",VLOOKUP($B107,'F-1 Off-Site WaterC'' Baseline'!$C$9:$R$257,3,FALSE))</f>
        <v/>
      </c>
      <c r="E107" s="301" t="str">
        <f>IF(D107="","",VLOOKUP($B107,'F-1 Off-Site WaterC'' Baseline'!$C$9:$R$257,4,FALSE))</f>
        <v/>
      </c>
      <c r="F107" s="301" t="str">
        <f>IF(E107="","",VLOOKUP($B107,'F-1 Off-Site WaterC'' Baseline'!$C$9:$R$257,5,FALSE))</f>
        <v/>
      </c>
      <c r="G107" s="301" t="str">
        <f>IF(F107="","",VLOOKUP($B107,'F-1 Off-Site WaterC'' Baseline'!$C$9:$R$257,6,FALSE))</f>
        <v/>
      </c>
      <c r="H107" s="301" t="str">
        <f>IF(G107="","",VLOOKUP($B107,'F-1 Off-Site WaterC'' Baseline'!$C$9:$R$257,7,FALSE))</f>
        <v/>
      </c>
      <c r="I107" s="301" t="str">
        <f>IF(H107="","",VLOOKUP($B107,'F-1 Off-Site WaterC'' Baseline'!$C$9:$R$257,8,FALSE))</f>
        <v/>
      </c>
      <c r="J107" s="301" t="str">
        <f>IF(I107="","",VLOOKUP($B107,'F-1 Off-Site WaterC'' Baseline'!$C$9:$R$257,9,FALSE))</f>
        <v/>
      </c>
      <c r="K107" s="301" t="str">
        <f>IF(J107="","",VLOOKUP($B107,'F-1 Off-Site WaterC'' Baseline'!$C$9:$R$257,10,FALSE))</f>
        <v/>
      </c>
      <c r="L107" s="289" t="str">
        <f>IF(B107="","",VLOOKUP($B107,'F-1 Off-Site WaterC'' Baseline'!$C$9:$R$257,15,FALSE))</f>
        <v/>
      </c>
      <c r="M107" s="305" t="str">
        <f>IF(L107="","",VLOOKUP($B107,'F-1 Off-Site WaterC'' Baseline'!$C$9:$V$257,19,FALSE))</f>
        <v/>
      </c>
      <c r="N107" s="250"/>
      <c r="O107" s="281" t="str">
        <f t="shared" si="14"/>
        <v/>
      </c>
      <c r="P107" s="282" t="str">
        <f t="shared" si="15"/>
        <v/>
      </c>
      <c r="Q107" s="287" t="str">
        <f>IF(N107="","",VLOOKUP(B107,'F-1 Off-Site WaterC'' Baseline'!$C$10:$AF$257,23,FALSE))</f>
        <v/>
      </c>
      <c r="R107" s="281" t="str">
        <f>IF(N107="","",VLOOKUP(N107,'G-7 WaterC'' Data'!$B$2:$G$8,2,FALSE))</f>
        <v/>
      </c>
      <c r="S107" s="282" t="str">
        <f>IFERROR(VLOOKUP(R107,'G-7 WaterC'' Data'!$C$4:$D$8,2,FALSE),"")</f>
        <v/>
      </c>
      <c r="T107" s="105"/>
      <c r="U107" s="282" t="str">
        <f>IFERROR(INDEX('G-7 WaterC'' Data'!$H$4:$L$8,MATCH(N107,'G-7 WaterC'' Data'!$B$4:$B$8,0),MATCH(T107,'G-7 WaterC'' Data'!$H$3:$L$3,0)),"")</f>
        <v/>
      </c>
      <c r="V107" s="109"/>
      <c r="W107" s="301" t="str">
        <f>IF(V107="","",IF(VLOOKUP(V107,'G-7 WaterC'' Data'!$AK$4:$AM$6,2,FALSE)=0,"Spatial Data Missing ⚠",VLOOKUP(V107,'G-7 WaterC'' Data'!$AK$4:$AM$6,2,FALSE)))</f>
        <v/>
      </c>
      <c r="X107" s="305" t="str">
        <f>IF(V107="","",IF(VLOOKUP(V107,'G-7 WaterC'' Data'!$AK$4:$AM$6,3,FALSE)=0,"Spatial Data Missing ⚠",VLOOKUP(V107,'G-7 WaterC'' Data'!$AK$4:$AM$6,3,FALSE)))</f>
        <v/>
      </c>
      <c r="Y107" s="317" t="str">
        <f>IFERROR(IF(OR(LEFT(P107,5)="Error",LEFT(O107,5)="Error"),"Check Data ⚠",IF(F107&lt;S107,'G-7 WaterC'' Data'!$R$3,INDEX('G-7 WaterC'' Data'!$U$5:$Y$9,MATCH(G107,'G-7 WaterC'' Data'!$T$5:$T$9,0),MATCH(T107,'G-7 WaterC'' Data'!$U$4:$Y$4,0)))),"")</f>
        <v/>
      </c>
      <c r="Z107" s="142"/>
      <c r="AA107" s="142"/>
      <c r="AB107" s="314" t="str">
        <f t="shared" si="11"/>
        <v/>
      </c>
      <c r="AC107" s="302" t="str">
        <f t="shared" si="16"/>
        <v/>
      </c>
      <c r="AD107" s="340" t="str">
        <f>IFERROR(IF(AC107="Check Data ⚠","Check Data ⚠",VLOOKUP(AC107,'G-4 Temporal multipliers'!$A$4:$C$37,3,FALSE)),"")</f>
        <v/>
      </c>
      <c r="AE107" s="317" t="str">
        <f>IF(N107="","",VLOOKUP(N107,'G-7 WaterC'' Data'!$B$4:$G$8,5,FALSE))</f>
        <v/>
      </c>
      <c r="AF107" s="301" t="str">
        <f t="shared" si="12"/>
        <v/>
      </c>
      <c r="AG107" s="301" t="str">
        <f t="shared" si="17"/>
        <v/>
      </c>
      <c r="AH107" s="282" t="str">
        <f t="shared" si="13"/>
        <v/>
      </c>
      <c r="AI107" s="109"/>
      <c r="AJ107" s="282" t="str">
        <f>IF(AI107="","",(IF(AND(AI107="N/A - Culvert",N107&lt;&gt;"Culvert"),"Not possible ▲",IF(VLOOKUP(AI107,'G-7 WaterC'' Data'!$AA$4:$AB$7,2,FALSE)=0,"Spatial Data Missing ⚠",VLOOKUP(AI107,'G-7 WaterC'' Data'!$AA$4:$AB$7,2,FALSE)))))</f>
        <v/>
      </c>
      <c r="AK107" s="110"/>
      <c r="AL107" s="316" t="str">
        <f>IF(AK107="","",IF(AND(AK107="N/A - Culvert",N107&lt;&gt;"Culvert"),"Not possible ▲",IF(VLOOKUP(AK107,'G-7 WaterC'' Data'!$AD$4:$AE$14,2,FALSE)=0,"Spatial Data Missing ⚠",VLOOKUP(AK107,'G-7 WaterC'' Data'!$AD$4:$AE$14,2,FALSE))))</f>
        <v/>
      </c>
      <c r="AM107" s="281" t="str">
        <f>IF(B107="","",VLOOKUP($B107,'F-1 Off-Site WaterC'' Baseline'!$C$9:$Z$257,17,FALSE))</f>
        <v/>
      </c>
      <c r="AN107" s="282" t="str">
        <f>IF(AM107="","",IF(VLOOKUP(AM107,'G-7 WaterC'' Data'!$AO$4:$BO$7,2,FALSE)=0,"Spatial Data Missing ⚠",VLOOKUP(AM107,'G-7 WaterC'' Data'!$AO$4:$BO$7,2,FALSE)))</f>
        <v/>
      </c>
      <c r="AO107" s="323" t="str">
        <f t="shared" si="18"/>
        <v/>
      </c>
      <c r="AP107" s="323" t="str">
        <f t="shared" si="19"/>
        <v/>
      </c>
      <c r="AQ107" s="105"/>
      <c r="AR107" s="119"/>
      <c r="AS107" s="108"/>
      <c r="AT107" s="108"/>
      <c r="AW107" s="30" t="str">
        <f>IF(E107="","",VLOOKUP($B107,'F-1 Off-Site WaterC'' Baseline'!$C$9:$Z$257,12,FALSE))</f>
        <v/>
      </c>
      <c r="AX107" s="30" t="str">
        <f>IF(E107="","",VLOOKUP($B107,'F-1 Off-Site WaterC'' Baseline'!$C$9:$Z$257,14,FALSE))</f>
        <v/>
      </c>
      <c r="AY107" s="30" t="str">
        <f>IFERROR(INDEX('G-7 WaterC'' Data'!$AZ$3:$AZ$7,MATCH(N107,'G-7 WaterC'' Data'!$AY$3:$AY$7,0)),"")</f>
        <v/>
      </c>
      <c r="AZ107" s="30" t="str">
        <f>IF(B107="","",IF(ISNA(VLOOKUP($B107,'F-1 Off-Site WaterC'' Baseline'!$C$8:$AD$257,20,FALSE)),"",(VLOOKUP($B107,'F-1 Off-Site WaterC'' Baseline'!$C$8:$AD$257,20,FALSE))))</f>
        <v/>
      </c>
      <c r="BC107" s="30" t="str">
        <f>IF(B107="","",VLOOKUP($B107,'F-1 Off-Site WaterC'' Baseline'!$C$9:$AB$257,25,FALSE))</f>
        <v/>
      </c>
      <c r="BD107" s="30" t="str">
        <f t="shared" si="20"/>
        <v/>
      </c>
      <c r="BE107" s="30" t="str">
        <f>IF(B107="","",VLOOKUP($B107,'F-1 Off-Site WaterC'' Baseline'!$C$9:$AB$257,24,FALSE))</f>
        <v/>
      </c>
      <c r="BF107" s="30" t="str">
        <f>IF(B107="","",VLOOKUP($B107,'F-1 Off-Site WaterC'' Baseline'!$C$9:$AB$257,22,FALSE))</f>
        <v/>
      </c>
      <c r="BJ107" s="30" t="str">
        <f t="shared" si="21"/>
        <v>No</v>
      </c>
    </row>
    <row r="108" spans="2:62" ht="13.8" x14ac:dyDescent="0.25">
      <c r="B108" s="311" t="str">
        <f>'F-1 Off-Site WaterC'' Baseline'!AS106</f>
        <v/>
      </c>
      <c r="C108" s="301" t="str">
        <f>IF(B108="","",VLOOKUP($B108,'F-1 Off-Site WaterC'' Baseline'!$C$9:$R$257,2,FALSE))</f>
        <v/>
      </c>
      <c r="D108" s="301" t="str">
        <f>IF(C108="","",VLOOKUP($B108,'F-1 Off-Site WaterC'' Baseline'!$C$9:$R$257,3,FALSE))</f>
        <v/>
      </c>
      <c r="E108" s="301" t="str">
        <f>IF(D108="","",VLOOKUP($B108,'F-1 Off-Site WaterC'' Baseline'!$C$9:$R$257,4,FALSE))</f>
        <v/>
      </c>
      <c r="F108" s="301" t="str">
        <f>IF(E108="","",VLOOKUP($B108,'F-1 Off-Site WaterC'' Baseline'!$C$9:$R$257,5,FALSE))</f>
        <v/>
      </c>
      <c r="G108" s="301" t="str">
        <f>IF(F108="","",VLOOKUP($B108,'F-1 Off-Site WaterC'' Baseline'!$C$9:$R$257,6,FALSE))</f>
        <v/>
      </c>
      <c r="H108" s="301" t="str">
        <f>IF(G108="","",VLOOKUP($B108,'F-1 Off-Site WaterC'' Baseline'!$C$9:$R$257,7,FALSE))</f>
        <v/>
      </c>
      <c r="I108" s="301" t="str">
        <f>IF(H108="","",VLOOKUP($B108,'F-1 Off-Site WaterC'' Baseline'!$C$9:$R$257,8,FALSE))</f>
        <v/>
      </c>
      <c r="J108" s="301" t="str">
        <f>IF(I108="","",VLOOKUP($B108,'F-1 Off-Site WaterC'' Baseline'!$C$9:$R$257,9,FALSE))</f>
        <v/>
      </c>
      <c r="K108" s="301" t="str">
        <f>IF(J108="","",VLOOKUP($B108,'F-1 Off-Site WaterC'' Baseline'!$C$9:$R$257,10,FALSE))</f>
        <v/>
      </c>
      <c r="L108" s="289" t="str">
        <f>IF(B108="","",VLOOKUP($B108,'F-1 Off-Site WaterC'' Baseline'!$C$9:$R$257,15,FALSE))</f>
        <v/>
      </c>
      <c r="M108" s="305" t="str">
        <f>IF(L108="","",VLOOKUP($B108,'F-1 Off-Site WaterC'' Baseline'!$C$9:$V$257,19,FALSE))</f>
        <v/>
      </c>
      <c r="N108" s="250"/>
      <c r="O108" s="281" t="str">
        <f t="shared" si="14"/>
        <v/>
      </c>
      <c r="P108" s="282" t="str">
        <f t="shared" si="15"/>
        <v/>
      </c>
      <c r="Q108" s="287" t="str">
        <f>IF(N108="","",VLOOKUP(B108,'F-1 Off-Site WaterC'' Baseline'!$C$10:$AF$257,23,FALSE))</f>
        <v/>
      </c>
      <c r="R108" s="281" t="str">
        <f>IF(N108="","",VLOOKUP(N108,'G-7 WaterC'' Data'!$B$2:$G$8,2,FALSE))</f>
        <v/>
      </c>
      <c r="S108" s="282" t="str">
        <f>IFERROR(VLOOKUP(R108,'G-7 WaterC'' Data'!$C$4:$D$8,2,FALSE),"")</f>
        <v/>
      </c>
      <c r="T108" s="105"/>
      <c r="U108" s="282" t="str">
        <f>IFERROR(INDEX('G-7 WaterC'' Data'!$H$4:$L$8,MATCH(N108,'G-7 WaterC'' Data'!$B$4:$B$8,0),MATCH(T108,'G-7 WaterC'' Data'!$H$3:$L$3,0)),"")</f>
        <v/>
      </c>
      <c r="V108" s="109"/>
      <c r="W108" s="301" t="str">
        <f>IF(V108="","",IF(VLOOKUP(V108,'G-7 WaterC'' Data'!$AK$4:$AM$6,2,FALSE)=0,"Spatial Data Missing ⚠",VLOOKUP(V108,'G-7 WaterC'' Data'!$AK$4:$AM$6,2,FALSE)))</f>
        <v/>
      </c>
      <c r="X108" s="305" t="str">
        <f>IF(V108="","",IF(VLOOKUP(V108,'G-7 WaterC'' Data'!$AK$4:$AM$6,3,FALSE)=0,"Spatial Data Missing ⚠",VLOOKUP(V108,'G-7 WaterC'' Data'!$AK$4:$AM$6,3,FALSE)))</f>
        <v/>
      </c>
      <c r="Y108" s="317" t="str">
        <f>IFERROR(IF(OR(LEFT(P108,5)="Error",LEFT(O108,5)="Error"),"Check Data ⚠",IF(F108&lt;S108,'G-7 WaterC'' Data'!$R$3,INDEX('G-7 WaterC'' Data'!$U$5:$Y$9,MATCH(G108,'G-7 WaterC'' Data'!$T$5:$T$9,0),MATCH(T108,'G-7 WaterC'' Data'!$U$4:$Y$4,0)))),"")</f>
        <v/>
      </c>
      <c r="Z108" s="142"/>
      <c r="AA108" s="142"/>
      <c r="AB108" s="314" t="str">
        <f t="shared" si="11"/>
        <v/>
      </c>
      <c r="AC108" s="302" t="str">
        <f t="shared" si="16"/>
        <v/>
      </c>
      <c r="AD108" s="340" t="str">
        <f>IFERROR(IF(AC108="Check Data ⚠","Check Data ⚠",VLOOKUP(AC108,'G-4 Temporal multipliers'!$A$4:$C$37,3,FALSE)),"")</f>
        <v/>
      </c>
      <c r="AE108" s="317" t="str">
        <f>IF(N108="","",VLOOKUP(N108,'G-7 WaterC'' Data'!$B$4:$G$8,5,FALSE))</f>
        <v/>
      </c>
      <c r="AF108" s="301" t="str">
        <f t="shared" si="12"/>
        <v/>
      </c>
      <c r="AG108" s="301" t="str">
        <f t="shared" si="17"/>
        <v/>
      </c>
      <c r="AH108" s="282" t="str">
        <f t="shared" si="13"/>
        <v/>
      </c>
      <c r="AI108" s="109"/>
      <c r="AJ108" s="282" t="str">
        <f>IF(AI108="","",(IF(AND(AI108="N/A - Culvert",N108&lt;&gt;"Culvert"),"Not possible ▲",IF(VLOOKUP(AI108,'G-7 WaterC'' Data'!$AA$4:$AB$7,2,FALSE)=0,"Spatial Data Missing ⚠",VLOOKUP(AI108,'G-7 WaterC'' Data'!$AA$4:$AB$7,2,FALSE)))))</f>
        <v/>
      </c>
      <c r="AK108" s="110"/>
      <c r="AL108" s="316" t="str">
        <f>IF(AK108="","",IF(AND(AK108="N/A - Culvert",N108&lt;&gt;"Culvert"),"Not possible ▲",IF(VLOOKUP(AK108,'G-7 WaterC'' Data'!$AD$4:$AE$14,2,FALSE)=0,"Spatial Data Missing ⚠",VLOOKUP(AK108,'G-7 WaterC'' Data'!$AD$4:$AE$14,2,FALSE))))</f>
        <v/>
      </c>
      <c r="AM108" s="281" t="str">
        <f>IF(B108="","",VLOOKUP($B108,'F-1 Off-Site WaterC'' Baseline'!$C$9:$Z$257,17,FALSE))</f>
        <v/>
      </c>
      <c r="AN108" s="282" t="str">
        <f>IF(AM108="","",IF(VLOOKUP(AM108,'G-7 WaterC'' Data'!$AO$4:$BO$7,2,FALSE)=0,"Spatial Data Missing ⚠",VLOOKUP(AM108,'G-7 WaterC'' Data'!$AO$4:$BO$7,2,FALSE)))</f>
        <v/>
      </c>
      <c r="AO108" s="323" t="str">
        <f t="shared" si="18"/>
        <v/>
      </c>
      <c r="AP108" s="323" t="str">
        <f t="shared" si="19"/>
        <v/>
      </c>
      <c r="AQ108" s="105"/>
      <c r="AR108" s="119"/>
      <c r="AS108" s="108"/>
      <c r="AT108" s="108"/>
      <c r="AW108" s="30" t="str">
        <f>IF(E108="","",VLOOKUP($B108,'F-1 Off-Site WaterC'' Baseline'!$C$9:$Z$257,12,FALSE))</f>
        <v/>
      </c>
      <c r="AX108" s="30" t="str">
        <f>IF(E108="","",VLOOKUP($B108,'F-1 Off-Site WaterC'' Baseline'!$C$9:$Z$257,14,FALSE))</f>
        <v/>
      </c>
      <c r="AY108" s="30" t="str">
        <f>IFERROR(INDEX('G-7 WaterC'' Data'!$AZ$3:$AZ$7,MATCH(N108,'G-7 WaterC'' Data'!$AY$3:$AY$7,0)),"")</f>
        <v/>
      </c>
      <c r="AZ108" s="30" t="str">
        <f>IF(B108="","",IF(ISNA(VLOOKUP($B108,'F-1 Off-Site WaterC'' Baseline'!$C$8:$AD$257,20,FALSE)),"",(VLOOKUP($B108,'F-1 Off-Site WaterC'' Baseline'!$C$8:$AD$257,20,FALSE))))</f>
        <v/>
      </c>
      <c r="BC108" s="30" t="str">
        <f>IF(B108="","",VLOOKUP($B108,'F-1 Off-Site WaterC'' Baseline'!$C$9:$AB$257,25,FALSE))</f>
        <v/>
      </c>
      <c r="BD108" s="30" t="str">
        <f t="shared" si="20"/>
        <v/>
      </c>
      <c r="BE108" s="30" t="str">
        <f>IF(B108="","",VLOOKUP($B108,'F-1 Off-Site WaterC'' Baseline'!$C$9:$AB$257,24,FALSE))</f>
        <v/>
      </c>
      <c r="BF108" s="30" t="str">
        <f>IF(B108="","",VLOOKUP($B108,'F-1 Off-Site WaterC'' Baseline'!$C$9:$AB$257,22,FALSE))</f>
        <v/>
      </c>
      <c r="BJ108" s="30" t="str">
        <f t="shared" si="21"/>
        <v>No</v>
      </c>
    </row>
    <row r="109" spans="2:62" ht="13.8" x14ac:dyDescent="0.25">
      <c r="B109" s="311" t="str">
        <f>'F-1 Off-Site WaterC'' Baseline'!AS107</f>
        <v/>
      </c>
      <c r="C109" s="301" t="str">
        <f>IF(B109="","",VLOOKUP($B109,'F-1 Off-Site WaterC'' Baseline'!$C$9:$R$257,2,FALSE))</f>
        <v/>
      </c>
      <c r="D109" s="301" t="str">
        <f>IF(C109="","",VLOOKUP($B109,'F-1 Off-Site WaterC'' Baseline'!$C$9:$R$257,3,FALSE))</f>
        <v/>
      </c>
      <c r="E109" s="301" t="str">
        <f>IF(D109="","",VLOOKUP($B109,'F-1 Off-Site WaterC'' Baseline'!$C$9:$R$257,4,FALSE))</f>
        <v/>
      </c>
      <c r="F109" s="301" t="str">
        <f>IF(E109="","",VLOOKUP($B109,'F-1 Off-Site WaterC'' Baseline'!$C$9:$R$257,5,FALSE))</f>
        <v/>
      </c>
      <c r="G109" s="301" t="str">
        <f>IF(F109="","",VLOOKUP($B109,'F-1 Off-Site WaterC'' Baseline'!$C$9:$R$257,6,FALSE))</f>
        <v/>
      </c>
      <c r="H109" s="301" t="str">
        <f>IF(G109="","",VLOOKUP($B109,'F-1 Off-Site WaterC'' Baseline'!$C$9:$R$257,7,FALSE))</f>
        <v/>
      </c>
      <c r="I109" s="301" t="str">
        <f>IF(H109="","",VLOOKUP($B109,'F-1 Off-Site WaterC'' Baseline'!$C$9:$R$257,8,FALSE))</f>
        <v/>
      </c>
      <c r="J109" s="301" t="str">
        <f>IF(I109="","",VLOOKUP($B109,'F-1 Off-Site WaterC'' Baseline'!$C$9:$R$257,9,FALSE))</f>
        <v/>
      </c>
      <c r="K109" s="301" t="str">
        <f>IF(J109="","",VLOOKUP($B109,'F-1 Off-Site WaterC'' Baseline'!$C$9:$R$257,10,FALSE))</f>
        <v/>
      </c>
      <c r="L109" s="289" t="str">
        <f>IF(B109="","",VLOOKUP($B109,'F-1 Off-Site WaterC'' Baseline'!$C$9:$R$257,15,FALSE))</f>
        <v/>
      </c>
      <c r="M109" s="305" t="str">
        <f>IF(L109="","",VLOOKUP($B109,'F-1 Off-Site WaterC'' Baseline'!$C$9:$V$257,19,FALSE))</f>
        <v/>
      </c>
      <c r="N109" s="250"/>
      <c r="O109" s="281" t="str">
        <f t="shared" si="14"/>
        <v/>
      </c>
      <c r="P109" s="282" t="str">
        <f t="shared" si="15"/>
        <v/>
      </c>
      <c r="Q109" s="287" t="str">
        <f>IF(N109="","",VLOOKUP(B109,'F-1 Off-Site WaterC'' Baseline'!$C$10:$AF$257,23,FALSE))</f>
        <v/>
      </c>
      <c r="R109" s="281" t="str">
        <f>IF(N109="","",VLOOKUP(N109,'G-7 WaterC'' Data'!$B$2:$G$8,2,FALSE))</f>
        <v/>
      </c>
      <c r="S109" s="282" t="str">
        <f>IFERROR(VLOOKUP(R109,'G-7 WaterC'' Data'!$C$4:$D$8,2,FALSE),"")</f>
        <v/>
      </c>
      <c r="T109" s="105"/>
      <c r="U109" s="282" t="str">
        <f>IFERROR(INDEX('G-7 WaterC'' Data'!$H$4:$L$8,MATCH(N109,'G-7 WaterC'' Data'!$B$4:$B$8,0),MATCH(T109,'G-7 WaterC'' Data'!$H$3:$L$3,0)),"")</f>
        <v/>
      </c>
      <c r="V109" s="109"/>
      <c r="W109" s="301" t="str">
        <f>IF(V109="","",IF(VLOOKUP(V109,'G-7 WaterC'' Data'!$AK$4:$AM$6,2,FALSE)=0,"Spatial Data Missing ⚠",VLOOKUP(V109,'G-7 WaterC'' Data'!$AK$4:$AM$6,2,FALSE)))</f>
        <v/>
      </c>
      <c r="X109" s="305" t="str">
        <f>IF(V109="","",IF(VLOOKUP(V109,'G-7 WaterC'' Data'!$AK$4:$AM$6,3,FALSE)=0,"Spatial Data Missing ⚠",VLOOKUP(V109,'G-7 WaterC'' Data'!$AK$4:$AM$6,3,FALSE)))</f>
        <v/>
      </c>
      <c r="Y109" s="317" t="str">
        <f>IFERROR(IF(OR(LEFT(P109,5)="Error",LEFT(O109,5)="Error"),"Check Data ⚠",IF(F109&lt;S109,'G-7 WaterC'' Data'!$R$3,INDEX('G-7 WaterC'' Data'!$U$5:$Y$9,MATCH(G109,'G-7 WaterC'' Data'!$T$5:$T$9,0),MATCH(T109,'G-7 WaterC'' Data'!$U$4:$Y$4,0)))),"")</f>
        <v/>
      </c>
      <c r="Z109" s="142"/>
      <c r="AA109" s="142"/>
      <c r="AB109" s="314" t="str">
        <f t="shared" si="11"/>
        <v/>
      </c>
      <c r="AC109" s="302" t="str">
        <f t="shared" si="16"/>
        <v/>
      </c>
      <c r="AD109" s="340" t="str">
        <f>IFERROR(IF(AC109="Check Data ⚠","Check Data ⚠",VLOOKUP(AC109,'G-4 Temporal multipliers'!$A$4:$C$37,3,FALSE)),"")</f>
        <v/>
      </c>
      <c r="AE109" s="317" t="str">
        <f>IF(N109="","",VLOOKUP(N109,'G-7 WaterC'' Data'!$B$4:$G$8,5,FALSE))</f>
        <v/>
      </c>
      <c r="AF109" s="301" t="str">
        <f t="shared" si="12"/>
        <v/>
      </c>
      <c r="AG109" s="301" t="str">
        <f t="shared" si="17"/>
        <v/>
      </c>
      <c r="AH109" s="282" t="str">
        <f t="shared" si="13"/>
        <v/>
      </c>
      <c r="AI109" s="109"/>
      <c r="AJ109" s="282" t="str">
        <f>IF(AI109="","",(IF(AND(AI109="N/A - Culvert",N109&lt;&gt;"Culvert"),"Not possible ▲",IF(VLOOKUP(AI109,'G-7 WaterC'' Data'!$AA$4:$AB$7,2,FALSE)=0,"Spatial Data Missing ⚠",VLOOKUP(AI109,'G-7 WaterC'' Data'!$AA$4:$AB$7,2,FALSE)))))</f>
        <v/>
      </c>
      <c r="AK109" s="110"/>
      <c r="AL109" s="316" t="str">
        <f>IF(AK109="","",IF(AND(AK109="N/A - Culvert",N109&lt;&gt;"Culvert"),"Not possible ▲",IF(VLOOKUP(AK109,'G-7 WaterC'' Data'!$AD$4:$AE$14,2,FALSE)=0,"Spatial Data Missing ⚠",VLOOKUP(AK109,'G-7 WaterC'' Data'!$AD$4:$AE$14,2,FALSE))))</f>
        <v/>
      </c>
      <c r="AM109" s="281" t="str">
        <f>IF(B109="","",VLOOKUP($B109,'F-1 Off-Site WaterC'' Baseline'!$C$9:$Z$257,17,FALSE))</f>
        <v/>
      </c>
      <c r="AN109" s="282" t="str">
        <f>IF(AM109="","",IF(VLOOKUP(AM109,'G-7 WaterC'' Data'!$AO$4:$BO$7,2,FALSE)=0,"Spatial Data Missing ⚠",VLOOKUP(AM109,'G-7 WaterC'' Data'!$AO$4:$BO$7,2,FALSE)))</f>
        <v/>
      </c>
      <c r="AO109" s="323" t="str">
        <f t="shared" si="18"/>
        <v/>
      </c>
      <c r="AP109" s="323" t="str">
        <f t="shared" si="19"/>
        <v/>
      </c>
      <c r="AQ109" s="105"/>
      <c r="AR109" s="119"/>
      <c r="AS109" s="108"/>
      <c r="AT109" s="108"/>
      <c r="AW109" s="30" t="str">
        <f>IF(E109="","",VLOOKUP($B109,'F-1 Off-Site WaterC'' Baseline'!$C$9:$Z$257,12,FALSE))</f>
        <v/>
      </c>
      <c r="AX109" s="30" t="str">
        <f>IF(E109="","",VLOOKUP($B109,'F-1 Off-Site WaterC'' Baseline'!$C$9:$Z$257,14,FALSE))</f>
        <v/>
      </c>
      <c r="AY109" s="30" t="str">
        <f>IFERROR(INDEX('G-7 WaterC'' Data'!$AZ$3:$AZ$7,MATCH(N109,'G-7 WaterC'' Data'!$AY$3:$AY$7,0)),"")</f>
        <v/>
      </c>
      <c r="AZ109" s="30" t="str">
        <f>IF(B109="","",IF(ISNA(VLOOKUP($B109,'F-1 Off-Site WaterC'' Baseline'!$C$8:$AD$257,20,FALSE)),"",(VLOOKUP($B109,'F-1 Off-Site WaterC'' Baseline'!$C$8:$AD$257,20,FALSE))))</f>
        <v/>
      </c>
      <c r="BC109" s="30" t="str">
        <f>IF(B109="","",VLOOKUP($B109,'F-1 Off-Site WaterC'' Baseline'!$C$9:$AB$257,25,FALSE))</f>
        <v/>
      </c>
      <c r="BD109" s="30" t="str">
        <f t="shared" si="20"/>
        <v/>
      </c>
      <c r="BE109" s="30" t="str">
        <f>IF(B109="","",VLOOKUP($B109,'F-1 Off-Site WaterC'' Baseline'!$C$9:$AB$257,24,FALSE))</f>
        <v/>
      </c>
      <c r="BF109" s="30" t="str">
        <f>IF(B109="","",VLOOKUP($B109,'F-1 Off-Site WaterC'' Baseline'!$C$9:$AB$257,22,FALSE))</f>
        <v/>
      </c>
      <c r="BJ109" s="30" t="str">
        <f t="shared" si="21"/>
        <v>No</v>
      </c>
    </row>
    <row r="110" spans="2:62" ht="13.8" x14ac:dyDescent="0.25">
      <c r="B110" s="311" t="str">
        <f>'F-1 Off-Site WaterC'' Baseline'!AS108</f>
        <v/>
      </c>
      <c r="C110" s="301" t="str">
        <f>IF(B110="","",VLOOKUP($B110,'F-1 Off-Site WaterC'' Baseline'!$C$9:$R$257,2,FALSE))</f>
        <v/>
      </c>
      <c r="D110" s="301" t="str">
        <f>IF(C110="","",VLOOKUP($B110,'F-1 Off-Site WaterC'' Baseline'!$C$9:$R$257,3,FALSE))</f>
        <v/>
      </c>
      <c r="E110" s="301" t="str">
        <f>IF(D110="","",VLOOKUP($B110,'F-1 Off-Site WaterC'' Baseline'!$C$9:$R$257,4,FALSE))</f>
        <v/>
      </c>
      <c r="F110" s="301" t="str">
        <f>IF(E110="","",VLOOKUP($B110,'F-1 Off-Site WaterC'' Baseline'!$C$9:$R$257,5,FALSE))</f>
        <v/>
      </c>
      <c r="G110" s="301" t="str">
        <f>IF(F110="","",VLOOKUP($B110,'F-1 Off-Site WaterC'' Baseline'!$C$9:$R$257,6,FALSE))</f>
        <v/>
      </c>
      <c r="H110" s="301" t="str">
        <f>IF(G110="","",VLOOKUP($B110,'F-1 Off-Site WaterC'' Baseline'!$C$9:$R$257,7,FALSE))</f>
        <v/>
      </c>
      <c r="I110" s="301" t="str">
        <f>IF(H110="","",VLOOKUP($B110,'F-1 Off-Site WaterC'' Baseline'!$C$9:$R$257,8,FALSE))</f>
        <v/>
      </c>
      <c r="J110" s="301" t="str">
        <f>IF(I110="","",VLOOKUP($B110,'F-1 Off-Site WaterC'' Baseline'!$C$9:$R$257,9,FALSE))</f>
        <v/>
      </c>
      <c r="K110" s="301" t="str">
        <f>IF(J110="","",VLOOKUP($B110,'F-1 Off-Site WaterC'' Baseline'!$C$9:$R$257,10,FALSE))</f>
        <v/>
      </c>
      <c r="L110" s="289" t="str">
        <f>IF(B110="","",VLOOKUP($B110,'F-1 Off-Site WaterC'' Baseline'!$C$9:$R$257,15,FALSE))</f>
        <v/>
      </c>
      <c r="M110" s="305" t="str">
        <f>IF(L110="","",VLOOKUP($B110,'F-1 Off-Site WaterC'' Baseline'!$C$9:$V$257,19,FALSE))</f>
        <v/>
      </c>
      <c r="N110" s="250"/>
      <c r="O110" s="281" t="str">
        <f t="shared" si="14"/>
        <v/>
      </c>
      <c r="P110" s="282" t="str">
        <f t="shared" si="15"/>
        <v/>
      </c>
      <c r="Q110" s="287" t="str">
        <f>IF(N110="","",VLOOKUP(B110,'F-1 Off-Site WaterC'' Baseline'!$C$10:$AF$257,23,FALSE))</f>
        <v/>
      </c>
      <c r="R110" s="281" t="str">
        <f>IF(N110="","",VLOOKUP(N110,'G-7 WaterC'' Data'!$B$2:$G$8,2,FALSE))</f>
        <v/>
      </c>
      <c r="S110" s="282" t="str">
        <f>IFERROR(VLOOKUP(R110,'G-7 WaterC'' Data'!$C$4:$D$8,2,FALSE),"")</f>
        <v/>
      </c>
      <c r="T110" s="105"/>
      <c r="U110" s="282" t="str">
        <f>IFERROR(INDEX('G-7 WaterC'' Data'!$H$4:$L$8,MATCH(N110,'G-7 WaterC'' Data'!$B$4:$B$8,0),MATCH(T110,'G-7 WaterC'' Data'!$H$3:$L$3,0)),"")</f>
        <v/>
      </c>
      <c r="V110" s="109"/>
      <c r="W110" s="301" t="str">
        <f>IF(V110="","",IF(VLOOKUP(V110,'G-7 WaterC'' Data'!$AK$4:$AM$6,2,FALSE)=0,"Spatial Data Missing ⚠",VLOOKUP(V110,'G-7 WaterC'' Data'!$AK$4:$AM$6,2,FALSE)))</f>
        <v/>
      </c>
      <c r="X110" s="305" t="str">
        <f>IF(V110="","",IF(VLOOKUP(V110,'G-7 WaterC'' Data'!$AK$4:$AM$6,3,FALSE)=0,"Spatial Data Missing ⚠",VLOOKUP(V110,'G-7 WaterC'' Data'!$AK$4:$AM$6,3,FALSE)))</f>
        <v/>
      </c>
      <c r="Y110" s="317" t="str">
        <f>IFERROR(IF(OR(LEFT(P110,5)="Error",LEFT(O110,5)="Error"),"Check Data ⚠",IF(F110&lt;S110,'G-7 WaterC'' Data'!$R$3,INDEX('G-7 WaterC'' Data'!$U$5:$Y$9,MATCH(G110,'G-7 WaterC'' Data'!$T$5:$T$9,0),MATCH(T110,'G-7 WaterC'' Data'!$U$4:$Y$4,0)))),"")</f>
        <v/>
      </c>
      <c r="Z110" s="142"/>
      <c r="AA110" s="142"/>
      <c r="AB110" s="314" t="str">
        <f t="shared" si="11"/>
        <v/>
      </c>
      <c r="AC110" s="302" t="str">
        <f t="shared" si="16"/>
        <v/>
      </c>
      <c r="AD110" s="340" t="str">
        <f>IFERROR(IF(AC110="Check Data ⚠","Check Data ⚠",VLOOKUP(AC110,'G-4 Temporal multipliers'!$A$4:$C$37,3,FALSE)),"")</f>
        <v/>
      </c>
      <c r="AE110" s="317" t="str">
        <f>IF(N110="","",VLOOKUP(N110,'G-7 WaterC'' Data'!$B$4:$G$8,5,FALSE))</f>
        <v/>
      </c>
      <c r="AF110" s="301" t="str">
        <f t="shared" si="12"/>
        <v/>
      </c>
      <c r="AG110" s="301" t="str">
        <f t="shared" si="17"/>
        <v/>
      </c>
      <c r="AH110" s="282" t="str">
        <f t="shared" si="13"/>
        <v/>
      </c>
      <c r="AI110" s="109"/>
      <c r="AJ110" s="282" t="str">
        <f>IF(AI110="","",(IF(AND(AI110="N/A - Culvert",N110&lt;&gt;"Culvert"),"Not possible ▲",IF(VLOOKUP(AI110,'G-7 WaterC'' Data'!$AA$4:$AB$7,2,FALSE)=0,"Spatial Data Missing ⚠",VLOOKUP(AI110,'G-7 WaterC'' Data'!$AA$4:$AB$7,2,FALSE)))))</f>
        <v/>
      </c>
      <c r="AK110" s="110"/>
      <c r="AL110" s="316" t="str">
        <f>IF(AK110="","",IF(AND(AK110="N/A - Culvert",N110&lt;&gt;"Culvert"),"Not possible ▲",IF(VLOOKUP(AK110,'G-7 WaterC'' Data'!$AD$4:$AE$14,2,FALSE)=0,"Spatial Data Missing ⚠",VLOOKUP(AK110,'G-7 WaterC'' Data'!$AD$4:$AE$14,2,FALSE))))</f>
        <v/>
      </c>
      <c r="AM110" s="281" t="str">
        <f>IF(B110="","",VLOOKUP($B110,'F-1 Off-Site WaterC'' Baseline'!$C$9:$Z$257,17,FALSE))</f>
        <v/>
      </c>
      <c r="AN110" s="282" t="str">
        <f>IF(AM110="","",IF(VLOOKUP(AM110,'G-7 WaterC'' Data'!$AO$4:$BO$7,2,FALSE)=0,"Spatial Data Missing ⚠",VLOOKUP(AM110,'G-7 WaterC'' Data'!$AO$4:$BO$7,2,FALSE)))</f>
        <v/>
      </c>
      <c r="AO110" s="323" t="str">
        <f t="shared" si="18"/>
        <v/>
      </c>
      <c r="AP110" s="323" t="str">
        <f t="shared" si="19"/>
        <v/>
      </c>
      <c r="AQ110" s="105"/>
      <c r="AR110" s="119"/>
      <c r="AS110" s="108"/>
      <c r="AT110" s="108"/>
      <c r="AW110" s="30" t="str">
        <f>IF(E110="","",VLOOKUP($B110,'F-1 Off-Site WaterC'' Baseline'!$C$9:$Z$257,12,FALSE))</f>
        <v/>
      </c>
      <c r="AX110" s="30" t="str">
        <f>IF(E110="","",VLOOKUP($B110,'F-1 Off-Site WaterC'' Baseline'!$C$9:$Z$257,14,FALSE))</f>
        <v/>
      </c>
      <c r="AY110" s="30" t="str">
        <f>IFERROR(INDEX('G-7 WaterC'' Data'!$AZ$3:$AZ$7,MATCH(N110,'G-7 WaterC'' Data'!$AY$3:$AY$7,0)),"")</f>
        <v/>
      </c>
      <c r="AZ110" s="30" t="str">
        <f>IF(B110="","",IF(ISNA(VLOOKUP($B110,'F-1 Off-Site WaterC'' Baseline'!$C$8:$AD$257,20,FALSE)),"",(VLOOKUP($B110,'F-1 Off-Site WaterC'' Baseline'!$C$8:$AD$257,20,FALSE))))</f>
        <v/>
      </c>
      <c r="BC110" s="30" t="str">
        <f>IF(B110="","",VLOOKUP($B110,'F-1 Off-Site WaterC'' Baseline'!$C$9:$AB$257,25,FALSE))</f>
        <v/>
      </c>
      <c r="BD110" s="30" t="str">
        <f t="shared" si="20"/>
        <v/>
      </c>
      <c r="BE110" s="30" t="str">
        <f>IF(B110="","",VLOOKUP($B110,'F-1 Off-Site WaterC'' Baseline'!$C$9:$AB$257,24,FALSE))</f>
        <v/>
      </c>
      <c r="BF110" s="30" t="str">
        <f>IF(B110="","",VLOOKUP($B110,'F-1 Off-Site WaterC'' Baseline'!$C$9:$AB$257,22,FALSE))</f>
        <v/>
      </c>
      <c r="BJ110" s="30" t="str">
        <f t="shared" si="21"/>
        <v>No</v>
      </c>
    </row>
    <row r="111" spans="2:62" ht="13.8" x14ac:dyDescent="0.25">
      <c r="B111" s="311" t="str">
        <f>'F-1 Off-Site WaterC'' Baseline'!AS109</f>
        <v/>
      </c>
      <c r="C111" s="301" t="str">
        <f>IF(B111="","",VLOOKUP($B111,'F-1 Off-Site WaterC'' Baseline'!$C$9:$R$257,2,FALSE))</f>
        <v/>
      </c>
      <c r="D111" s="301" t="str">
        <f>IF(C111="","",VLOOKUP($B111,'F-1 Off-Site WaterC'' Baseline'!$C$9:$R$257,3,FALSE))</f>
        <v/>
      </c>
      <c r="E111" s="301" t="str">
        <f>IF(D111="","",VLOOKUP($B111,'F-1 Off-Site WaterC'' Baseline'!$C$9:$R$257,4,FALSE))</f>
        <v/>
      </c>
      <c r="F111" s="301" t="str">
        <f>IF(E111="","",VLOOKUP($B111,'F-1 Off-Site WaterC'' Baseline'!$C$9:$R$257,5,FALSE))</f>
        <v/>
      </c>
      <c r="G111" s="301" t="str">
        <f>IF(F111="","",VLOOKUP($B111,'F-1 Off-Site WaterC'' Baseline'!$C$9:$R$257,6,FALSE))</f>
        <v/>
      </c>
      <c r="H111" s="301" t="str">
        <f>IF(G111="","",VLOOKUP($B111,'F-1 Off-Site WaterC'' Baseline'!$C$9:$R$257,7,FALSE))</f>
        <v/>
      </c>
      <c r="I111" s="301" t="str">
        <f>IF(H111="","",VLOOKUP($B111,'F-1 Off-Site WaterC'' Baseline'!$C$9:$R$257,8,FALSE))</f>
        <v/>
      </c>
      <c r="J111" s="301" t="str">
        <f>IF(I111="","",VLOOKUP($B111,'F-1 Off-Site WaterC'' Baseline'!$C$9:$R$257,9,FALSE))</f>
        <v/>
      </c>
      <c r="K111" s="301" t="str">
        <f>IF(J111="","",VLOOKUP($B111,'F-1 Off-Site WaterC'' Baseline'!$C$9:$R$257,10,FALSE))</f>
        <v/>
      </c>
      <c r="L111" s="289" t="str">
        <f>IF(B111="","",VLOOKUP($B111,'F-1 Off-Site WaterC'' Baseline'!$C$9:$R$257,15,FALSE))</f>
        <v/>
      </c>
      <c r="M111" s="305" t="str">
        <f>IF(L111="","",VLOOKUP($B111,'F-1 Off-Site WaterC'' Baseline'!$C$9:$V$257,19,FALSE))</f>
        <v/>
      </c>
      <c r="N111" s="250"/>
      <c r="O111" s="281" t="str">
        <f t="shared" si="14"/>
        <v/>
      </c>
      <c r="P111" s="282" t="str">
        <f t="shared" si="15"/>
        <v/>
      </c>
      <c r="Q111" s="287" t="str">
        <f>IF(N111="","",VLOOKUP(B111,'F-1 Off-Site WaterC'' Baseline'!$C$10:$AF$257,23,FALSE))</f>
        <v/>
      </c>
      <c r="R111" s="281" t="str">
        <f>IF(N111="","",VLOOKUP(N111,'G-7 WaterC'' Data'!$B$2:$G$8,2,FALSE))</f>
        <v/>
      </c>
      <c r="S111" s="282" t="str">
        <f>IFERROR(VLOOKUP(R111,'G-7 WaterC'' Data'!$C$4:$D$8,2,FALSE),"")</f>
        <v/>
      </c>
      <c r="T111" s="105"/>
      <c r="U111" s="282" t="str">
        <f>IFERROR(INDEX('G-7 WaterC'' Data'!$H$4:$L$8,MATCH(N111,'G-7 WaterC'' Data'!$B$4:$B$8,0),MATCH(T111,'G-7 WaterC'' Data'!$H$3:$L$3,0)),"")</f>
        <v/>
      </c>
      <c r="V111" s="109"/>
      <c r="W111" s="301" t="str">
        <f>IF(V111="","",IF(VLOOKUP(V111,'G-7 WaterC'' Data'!$AK$4:$AM$6,2,FALSE)=0,"Spatial Data Missing ⚠",VLOOKUP(V111,'G-7 WaterC'' Data'!$AK$4:$AM$6,2,FALSE)))</f>
        <v/>
      </c>
      <c r="X111" s="305" t="str">
        <f>IF(V111="","",IF(VLOOKUP(V111,'G-7 WaterC'' Data'!$AK$4:$AM$6,3,FALSE)=0,"Spatial Data Missing ⚠",VLOOKUP(V111,'G-7 WaterC'' Data'!$AK$4:$AM$6,3,FALSE)))</f>
        <v/>
      </c>
      <c r="Y111" s="317" t="str">
        <f>IFERROR(IF(OR(LEFT(P111,5)="Error",LEFT(O111,5)="Error"),"Check Data ⚠",IF(F111&lt;S111,'G-7 WaterC'' Data'!$R$3,INDEX('G-7 WaterC'' Data'!$U$5:$Y$9,MATCH(G111,'G-7 WaterC'' Data'!$T$5:$T$9,0),MATCH(T111,'G-7 WaterC'' Data'!$U$4:$Y$4,0)))),"")</f>
        <v/>
      </c>
      <c r="Z111" s="142"/>
      <c r="AA111" s="142"/>
      <c r="AB111" s="314" t="str">
        <f t="shared" si="11"/>
        <v/>
      </c>
      <c r="AC111" s="302" t="str">
        <f t="shared" si="16"/>
        <v/>
      </c>
      <c r="AD111" s="340" t="str">
        <f>IFERROR(IF(AC111="Check Data ⚠","Check Data ⚠",VLOOKUP(AC111,'G-4 Temporal multipliers'!$A$4:$C$37,3,FALSE)),"")</f>
        <v/>
      </c>
      <c r="AE111" s="317" t="str">
        <f>IF(N111="","",VLOOKUP(N111,'G-7 WaterC'' Data'!$B$4:$G$8,5,FALSE))</f>
        <v/>
      </c>
      <c r="AF111" s="301" t="str">
        <f t="shared" si="12"/>
        <v/>
      </c>
      <c r="AG111" s="301" t="str">
        <f t="shared" si="17"/>
        <v/>
      </c>
      <c r="AH111" s="282" t="str">
        <f t="shared" si="13"/>
        <v/>
      </c>
      <c r="AI111" s="109"/>
      <c r="AJ111" s="282" t="str">
        <f>IF(AI111="","",(IF(AND(AI111="N/A - Culvert",N111&lt;&gt;"Culvert"),"Not possible ▲",IF(VLOOKUP(AI111,'G-7 WaterC'' Data'!$AA$4:$AB$7,2,FALSE)=0,"Spatial Data Missing ⚠",VLOOKUP(AI111,'G-7 WaterC'' Data'!$AA$4:$AB$7,2,FALSE)))))</f>
        <v/>
      </c>
      <c r="AK111" s="110"/>
      <c r="AL111" s="316" t="str">
        <f>IF(AK111="","",IF(AND(AK111="N/A - Culvert",N111&lt;&gt;"Culvert"),"Not possible ▲",IF(VLOOKUP(AK111,'G-7 WaterC'' Data'!$AD$4:$AE$14,2,FALSE)=0,"Spatial Data Missing ⚠",VLOOKUP(AK111,'G-7 WaterC'' Data'!$AD$4:$AE$14,2,FALSE))))</f>
        <v/>
      </c>
      <c r="AM111" s="281" t="str">
        <f>IF(B111="","",VLOOKUP($B111,'F-1 Off-Site WaterC'' Baseline'!$C$9:$Z$257,17,FALSE))</f>
        <v/>
      </c>
      <c r="AN111" s="282" t="str">
        <f>IF(AM111="","",IF(VLOOKUP(AM111,'G-7 WaterC'' Data'!$AO$4:$BO$7,2,FALSE)=0,"Spatial Data Missing ⚠",VLOOKUP(AM111,'G-7 WaterC'' Data'!$AO$4:$BO$7,2,FALSE)))</f>
        <v/>
      </c>
      <c r="AO111" s="323" t="str">
        <f t="shared" si="18"/>
        <v/>
      </c>
      <c r="AP111" s="323" t="str">
        <f t="shared" si="19"/>
        <v/>
      </c>
      <c r="AQ111" s="105"/>
      <c r="AR111" s="119"/>
      <c r="AS111" s="108"/>
      <c r="AT111" s="108"/>
      <c r="AW111" s="30" t="str">
        <f>IF(E111="","",VLOOKUP($B111,'F-1 Off-Site WaterC'' Baseline'!$C$9:$Z$257,12,FALSE))</f>
        <v/>
      </c>
      <c r="AX111" s="30" t="str">
        <f>IF(E111="","",VLOOKUP($B111,'F-1 Off-Site WaterC'' Baseline'!$C$9:$Z$257,14,FALSE))</f>
        <v/>
      </c>
      <c r="AY111" s="30" t="str">
        <f>IFERROR(INDEX('G-7 WaterC'' Data'!$AZ$3:$AZ$7,MATCH(N111,'G-7 WaterC'' Data'!$AY$3:$AY$7,0)),"")</f>
        <v/>
      </c>
      <c r="AZ111" s="30" t="str">
        <f>IF(B111="","",IF(ISNA(VLOOKUP($B111,'F-1 Off-Site WaterC'' Baseline'!$C$8:$AD$257,20,FALSE)),"",(VLOOKUP($B111,'F-1 Off-Site WaterC'' Baseline'!$C$8:$AD$257,20,FALSE))))</f>
        <v/>
      </c>
      <c r="BC111" s="30" t="str">
        <f>IF(B111="","",VLOOKUP($B111,'F-1 Off-Site WaterC'' Baseline'!$C$9:$AB$257,25,FALSE))</f>
        <v/>
      </c>
      <c r="BD111" s="30" t="str">
        <f t="shared" si="20"/>
        <v/>
      </c>
      <c r="BE111" s="30" t="str">
        <f>IF(B111="","",VLOOKUP($B111,'F-1 Off-Site WaterC'' Baseline'!$C$9:$AB$257,24,FALSE))</f>
        <v/>
      </c>
      <c r="BF111" s="30" t="str">
        <f>IF(B111="","",VLOOKUP($B111,'F-1 Off-Site WaterC'' Baseline'!$C$9:$AB$257,22,FALSE))</f>
        <v/>
      </c>
      <c r="BJ111" s="30" t="str">
        <f t="shared" si="21"/>
        <v>No</v>
      </c>
    </row>
    <row r="112" spans="2:62" ht="13.8" x14ac:dyDescent="0.25">
      <c r="B112" s="311" t="str">
        <f>'F-1 Off-Site WaterC'' Baseline'!AS110</f>
        <v/>
      </c>
      <c r="C112" s="301" t="str">
        <f>IF(B112="","",VLOOKUP($B112,'F-1 Off-Site WaterC'' Baseline'!$C$9:$R$257,2,FALSE))</f>
        <v/>
      </c>
      <c r="D112" s="301" t="str">
        <f>IF(C112="","",VLOOKUP($B112,'F-1 Off-Site WaterC'' Baseline'!$C$9:$R$257,3,FALSE))</f>
        <v/>
      </c>
      <c r="E112" s="301" t="str">
        <f>IF(D112="","",VLOOKUP($B112,'F-1 Off-Site WaterC'' Baseline'!$C$9:$R$257,4,FALSE))</f>
        <v/>
      </c>
      <c r="F112" s="301" t="str">
        <f>IF(E112="","",VLOOKUP($B112,'F-1 Off-Site WaterC'' Baseline'!$C$9:$R$257,5,FALSE))</f>
        <v/>
      </c>
      <c r="G112" s="301" t="str">
        <f>IF(F112="","",VLOOKUP($B112,'F-1 Off-Site WaterC'' Baseline'!$C$9:$R$257,6,FALSE))</f>
        <v/>
      </c>
      <c r="H112" s="301" t="str">
        <f>IF(G112="","",VLOOKUP($B112,'F-1 Off-Site WaterC'' Baseline'!$C$9:$R$257,7,FALSE))</f>
        <v/>
      </c>
      <c r="I112" s="301" t="str">
        <f>IF(H112="","",VLOOKUP($B112,'F-1 Off-Site WaterC'' Baseline'!$C$9:$R$257,8,FALSE))</f>
        <v/>
      </c>
      <c r="J112" s="301" t="str">
        <f>IF(I112="","",VLOOKUP($B112,'F-1 Off-Site WaterC'' Baseline'!$C$9:$R$257,9,FALSE))</f>
        <v/>
      </c>
      <c r="K112" s="301" t="str">
        <f>IF(J112="","",VLOOKUP($B112,'F-1 Off-Site WaterC'' Baseline'!$C$9:$R$257,10,FALSE))</f>
        <v/>
      </c>
      <c r="L112" s="289" t="str">
        <f>IF(B112="","",VLOOKUP($B112,'F-1 Off-Site WaterC'' Baseline'!$C$9:$R$257,15,FALSE))</f>
        <v/>
      </c>
      <c r="M112" s="305" t="str">
        <f>IF(L112="","",VLOOKUP($B112,'F-1 Off-Site WaterC'' Baseline'!$C$9:$V$257,19,FALSE))</f>
        <v/>
      </c>
      <c r="N112" s="250"/>
      <c r="O112" s="281" t="str">
        <f t="shared" si="14"/>
        <v/>
      </c>
      <c r="P112" s="282" t="str">
        <f t="shared" si="15"/>
        <v/>
      </c>
      <c r="Q112" s="287" t="str">
        <f>IF(N112="","",VLOOKUP(B112,'F-1 Off-Site WaterC'' Baseline'!$C$10:$AF$257,23,FALSE))</f>
        <v/>
      </c>
      <c r="R112" s="281" t="str">
        <f>IF(N112="","",VLOOKUP(N112,'G-7 WaterC'' Data'!$B$2:$G$8,2,FALSE))</f>
        <v/>
      </c>
      <c r="S112" s="282" t="str">
        <f>IFERROR(VLOOKUP(R112,'G-7 WaterC'' Data'!$C$4:$D$8,2,FALSE),"")</f>
        <v/>
      </c>
      <c r="T112" s="105"/>
      <c r="U112" s="282" t="str">
        <f>IFERROR(INDEX('G-7 WaterC'' Data'!$H$4:$L$8,MATCH(N112,'G-7 WaterC'' Data'!$B$4:$B$8,0),MATCH(T112,'G-7 WaterC'' Data'!$H$3:$L$3,0)),"")</f>
        <v/>
      </c>
      <c r="V112" s="109"/>
      <c r="W112" s="301" t="str">
        <f>IF(V112="","",IF(VLOOKUP(V112,'G-7 WaterC'' Data'!$AK$4:$AM$6,2,FALSE)=0,"Spatial Data Missing ⚠",VLOOKUP(V112,'G-7 WaterC'' Data'!$AK$4:$AM$6,2,FALSE)))</f>
        <v/>
      </c>
      <c r="X112" s="305" t="str">
        <f>IF(V112="","",IF(VLOOKUP(V112,'G-7 WaterC'' Data'!$AK$4:$AM$6,3,FALSE)=0,"Spatial Data Missing ⚠",VLOOKUP(V112,'G-7 WaterC'' Data'!$AK$4:$AM$6,3,FALSE)))</f>
        <v/>
      </c>
      <c r="Y112" s="317" t="str">
        <f>IFERROR(IF(OR(LEFT(P112,5)="Error",LEFT(O112,5)="Error"),"Check Data ⚠",IF(F112&lt;S112,'G-7 WaterC'' Data'!$R$3,INDEX('G-7 WaterC'' Data'!$U$5:$Y$9,MATCH(G112,'G-7 WaterC'' Data'!$T$5:$T$9,0),MATCH(T112,'G-7 WaterC'' Data'!$U$4:$Y$4,0)))),"")</f>
        <v/>
      </c>
      <c r="Z112" s="142"/>
      <c r="AA112" s="142"/>
      <c r="AB112" s="314" t="str">
        <f t="shared" si="11"/>
        <v/>
      </c>
      <c r="AC112" s="302" t="str">
        <f t="shared" si="16"/>
        <v/>
      </c>
      <c r="AD112" s="340" t="str">
        <f>IFERROR(IF(AC112="Check Data ⚠","Check Data ⚠",VLOOKUP(AC112,'G-4 Temporal multipliers'!$A$4:$C$37,3,FALSE)),"")</f>
        <v/>
      </c>
      <c r="AE112" s="317" t="str">
        <f>IF(N112="","",VLOOKUP(N112,'G-7 WaterC'' Data'!$B$4:$G$8,5,FALSE))</f>
        <v/>
      </c>
      <c r="AF112" s="301" t="str">
        <f t="shared" si="12"/>
        <v/>
      </c>
      <c r="AG112" s="301" t="str">
        <f t="shared" si="17"/>
        <v/>
      </c>
      <c r="AH112" s="282" t="str">
        <f t="shared" si="13"/>
        <v/>
      </c>
      <c r="AI112" s="109"/>
      <c r="AJ112" s="282" t="str">
        <f>IF(AI112="","",(IF(AND(AI112="N/A - Culvert",N112&lt;&gt;"Culvert"),"Not possible ▲",IF(VLOOKUP(AI112,'G-7 WaterC'' Data'!$AA$4:$AB$7,2,FALSE)=0,"Spatial Data Missing ⚠",VLOOKUP(AI112,'G-7 WaterC'' Data'!$AA$4:$AB$7,2,FALSE)))))</f>
        <v/>
      </c>
      <c r="AK112" s="110"/>
      <c r="AL112" s="316" t="str">
        <f>IF(AK112="","",IF(AND(AK112="N/A - Culvert",N112&lt;&gt;"Culvert"),"Not possible ▲",IF(VLOOKUP(AK112,'G-7 WaterC'' Data'!$AD$4:$AE$14,2,FALSE)=0,"Spatial Data Missing ⚠",VLOOKUP(AK112,'G-7 WaterC'' Data'!$AD$4:$AE$14,2,FALSE))))</f>
        <v/>
      </c>
      <c r="AM112" s="281" t="str">
        <f>IF(B112="","",VLOOKUP($B112,'F-1 Off-Site WaterC'' Baseline'!$C$9:$Z$257,17,FALSE))</f>
        <v/>
      </c>
      <c r="AN112" s="282" t="str">
        <f>IF(AM112="","",IF(VLOOKUP(AM112,'G-7 WaterC'' Data'!$AO$4:$BO$7,2,FALSE)=0,"Spatial Data Missing ⚠",VLOOKUP(AM112,'G-7 WaterC'' Data'!$AO$4:$BO$7,2,FALSE)))</f>
        <v/>
      </c>
      <c r="AO112" s="323" t="str">
        <f t="shared" si="18"/>
        <v/>
      </c>
      <c r="AP112" s="323" t="str">
        <f t="shared" si="19"/>
        <v/>
      </c>
      <c r="AQ112" s="105"/>
      <c r="AR112" s="119"/>
      <c r="AS112" s="108"/>
      <c r="AT112" s="108"/>
      <c r="AW112" s="30" t="str">
        <f>IF(E112="","",VLOOKUP($B112,'F-1 Off-Site WaterC'' Baseline'!$C$9:$Z$257,12,FALSE))</f>
        <v/>
      </c>
      <c r="AX112" s="30" t="str">
        <f>IF(E112="","",VLOOKUP($B112,'F-1 Off-Site WaterC'' Baseline'!$C$9:$Z$257,14,FALSE))</f>
        <v/>
      </c>
      <c r="AY112" s="30" t="str">
        <f>IFERROR(INDEX('G-7 WaterC'' Data'!$AZ$3:$AZ$7,MATCH(N112,'G-7 WaterC'' Data'!$AY$3:$AY$7,0)),"")</f>
        <v/>
      </c>
      <c r="AZ112" s="30" t="str">
        <f>IF(B112="","",IF(ISNA(VLOOKUP($B112,'F-1 Off-Site WaterC'' Baseline'!$C$8:$AD$257,20,FALSE)),"",(VLOOKUP($B112,'F-1 Off-Site WaterC'' Baseline'!$C$8:$AD$257,20,FALSE))))</f>
        <v/>
      </c>
      <c r="BC112" s="30" t="str">
        <f>IF(B112="","",VLOOKUP($B112,'F-1 Off-Site WaterC'' Baseline'!$C$9:$AB$257,25,FALSE))</f>
        <v/>
      </c>
      <c r="BD112" s="30" t="str">
        <f t="shared" si="20"/>
        <v/>
      </c>
      <c r="BE112" s="30" t="str">
        <f>IF(B112="","",VLOOKUP($B112,'F-1 Off-Site WaterC'' Baseline'!$C$9:$AB$257,24,FALSE))</f>
        <v/>
      </c>
      <c r="BF112" s="30" t="str">
        <f>IF(B112="","",VLOOKUP($B112,'F-1 Off-Site WaterC'' Baseline'!$C$9:$AB$257,22,FALSE))</f>
        <v/>
      </c>
      <c r="BJ112" s="30" t="str">
        <f t="shared" si="21"/>
        <v>No</v>
      </c>
    </row>
    <row r="113" spans="2:62" ht="13.8" x14ac:dyDescent="0.25">
      <c r="B113" s="311" t="str">
        <f>'F-1 Off-Site WaterC'' Baseline'!AS111</f>
        <v/>
      </c>
      <c r="C113" s="301" t="str">
        <f>IF(B113="","",VLOOKUP($B113,'F-1 Off-Site WaterC'' Baseline'!$C$9:$R$257,2,FALSE))</f>
        <v/>
      </c>
      <c r="D113" s="301" t="str">
        <f>IF(C113="","",VLOOKUP($B113,'F-1 Off-Site WaterC'' Baseline'!$C$9:$R$257,3,FALSE))</f>
        <v/>
      </c>
      <c r="E113" s="301" t="str">
        <f>IF(D113="","",VLOOKUP($B113,'F-1 Off-Site WaterC'' Baseline'!$C$9:$R$257,4,FALSE))</f>
        <v/>
      </c>
      <c r="F113" s="301" t="str">
        <f>IF(E113="","",VLOOKUP($B113,'F-1 Off-Site WaterC'' Baseline'!$C$9:$R$257,5,FALSE))</f>
        <v/>
      </c>
      <c r="G113" s="301" t="str">
        <f>IF(F113="","",VLOOKUP($B113,'F-1 Off-Site WaterC'' Baseline'!$C$9:$R$257,6,FALSE))</f>
        <v/>
      </c>
      <c r="H113" s="301" t="str">
        <f>IF(G113="","",VLOOKUP($B113,'F-1 Off-Site WaterC'' Baseline'!$C$9:$R$257,7,FALSE))</f>
        <v/>
      </c>
      <c r="I113" s="301" t="str">
        <f>IF(H113="","",VLOOKUP($B113,'F-1 Off-Site WaterC'' Baseline'!$C$9:$R$257,8,FALSE))</f>
        <v/>
      </c>
      <c r="J113" s="301" t="str">
        <f>IF(I113="","",VLOOKUP($B113,'F-1 Off-Site WaterC'' Baseline'!$C$9:$R$257,9,FALSE))</f>
        <v/>
      </c>
      <c r="K113" s="301" t="str">
        <f>IF(J113="","",VLOOKUP($B113,'F-1 Off-Site WaterC'' Baseline'!$C$9:$R$257,10,FALSE))</f>
        <v/>
      </c>
      <c r="L113" s="289" t="str">
        <f>IF(B113="","",VLOOKUP($B113,'F-1 Off-Site WaterC'' Baseline'!$C$9:$R$257,15,FALSE))</f>
        <v/>
      </c>
      <c r="M113" s="305" t="str">
        <f>IF(L113="","",VLOOKUP($B113,'F-1 Off-Site WaterC'' Baseline'!$C$9:$V$257,19,FALSE))</f>
        <v/>
      </c>
      <c r="N113" s="250"/>
      <c r="O113" s="281" t="str">
        <f t="shared" si="14"/>
        <v/>
      </c>
      <c r="P113" s="282" t="str">
        <f t="shared" si="15"/>
        <v/>
      </c>
      <c r="Q113" s="287" t="str">
        <f>IF(N113="","",VLOOKUP(B113,'F-1 Off-Site WaterC'' Baseline'!$C$10:$AF$257,23,FALSE))</f>
        <v/>
      </c>
      <c r="R113" s="281" t="str">
        <f>IF(N113="","",VLOOKUP(N113,'G-7 WaterC'' Data'!$B$2:$G$8,2,FALSE))</f>
        <v/>
      </c>
      <c r="S113" s="282" t="str">
        <f>IFERROR(VLOOKUP(R113,'G-7 WaterC'' Data'!$C$4:$D$8,2,FALSE),"")</f>
        <v/>
      </c>
      <c r="T113" s="105"/>
      <c r="U113" s="282" t="str">
        <f>IFERROR(INDEX('G-7 WaterC'' Data'!$H$4:$L$8,MATCH(N113,'G-7 WaterC'' Data'!$B$4:$B$8,0),MATCH(T113,'G-7 WaterC'' Data'!$H$3:$L$3,0)),"")</f>
        <v/>
      </c>
      <c r="V113" s="109"/>
      <c r="W113" s="301" t="str">
        <f>IF(V113="","",IF(VLOOKUP(V113,'G-7 WaterC'' Data'!$AK$4:$AM$6,2,FALSE)=0,"Spatial Data Missing ⚠",VLOOKUP(V113,'G-7 WaterC'' Data'!$AK$4:$AM$6,2,FALSE)))</f>
        <v/>
      </c>
      <c r="X113" s="305" t="str">
        <f>IF(V113="","",IF(VLOOKUP(V113,'G-7 WaterC'' Data'!$AK$4:$AM$6,3,FALSE)=0,"Spatial Data Missing ⚠",VLOOKUP(V113,'G-7 WaterC'' Data'!$AK$4:$AM$6,3,FALSE)))</f>
        <v/>
      </c>
      <c r="Y113" s="317" t="str">
        <f>IFERROR(IF(OR(LEFT(P113,5)="Error",LEFT(O113,5)="Error"),"Check Data ⚠",IF(F113&lt;S113,'G-7 WaterC'' Data'!$R$3,INDEX('G-7 WaterC'' Data'!$U$5:$Y$9,MATCH(G113,'G-7 WaterC'' Data'!$T$5:$T$9,0),MATCH(T113,'G-7 WaterC'' Data'!$U$4:$Y$4,0)))),"")</f>
        <v/>
      </c>
      <c r="Z113" s="142"/>
      <c r="AA113" s="142"/>
      <c r="AB113" s="314" t="str">
        <f t="shared" si="11"/>
        <v/>
      </c>
      <c r="AC113" s="302" t="str">
        <f t="shared" si="16"/>
        <v/>
      </c>
      <c r="AD113" s="340" t="str">
        <f>IFERROR(IF(AC113="Check Data ⚠","Check Data ⚠",VLOOKUP(AC113,'G-4 Temporal multipliers'!$A$4:$C$37,3,FALSE)),"")</f>
        <v/>
      </c>
      <c r="AE113" s="317" t="str">
        <f>IF(N113="","",VLOOKUP(N113,'G-7 WaterC'' Data'!$B$4:$G$8,5,FALSE))</f>
        <v/>
      </c>
      <c r="AF113" s="301" t="str">
        <f t="shared" si="12"/>
        <v/>
      </c>
      <c r="AG113" s="301" t="str">
        <f t="shared" si="17"/>
        <v/>
      </c>
      <c r="AH113" s="282" t="str">
        <f t="shared" si="13"/>
        <v/>
      </c>
      <c r="AI113" s="109"/>
      <c r="AJ113" s="282" t="str">
        <f>IF(AI113="","",(IF(AND(AI113="N/A - Culvert",N113&lt;&gt;"Culvert"),"Not possible ▲",IF(VLOOKUP(AI113,'G-7 WaterC'' Data'!$AA$4:$AB$7,2,FALSE)=0,"Spatial Data Missing ⚠",VLOOKUP(AI113,'G-7 WaterC'' Data'!$AA$4:$AB$7,2,FALSE)))))</f>
        <v/>
      </c>
      <c r="AK113" s="110"/>
      <c r="AL113" s="316" t="str">
        <f>IF(AK113="","",IF(AND(AK113="N/A - Culvert",N113&lt;&gt;"Culvert"),"Not possible ▲",IF(VLOOKUP(AK113,'G-7 WaterC'' Data'!$AD$4:$AE$14,2,FALSE)=0,"Spatial Data Missing ⚠",VLOOKUP(AK113,'G-7 WaterC'' Data'!$AD$4:$AE$14,2,FALSE))))</f>
        <v/>
      </c>
      <c r="AM113" s="281" t="str">
        <f>IF(B113="","",VLOOKUP($B113,'F-1 Off-Site WaterC'' Baseline'!$C$9:$Z$257,17,FALSE))</f>
        <v/>
      </c>
      <c r="AN113" s="282" t="str">
        <f>IF(AM113="","",IF(VLOOKUP(AM113,'G-7 WaterC'' Data'!$AO$4:$BO$7,2,FALSE)=0,"Spatial Data Missing ⚠",VLOOKUP(AM113,'G-7 WaterC'' Data'!$AO$4:$BO$7,2,FALSE)))</f>
        <v/>
      </c>
      <c r="AO113" s="323" t="str">
        <f t="shared" si="18"/>
        <v/>
      </c>
      <c r="AP113" s="323" t="str">
        <f t="shared" si="19"/>
        <v/>
      </c>
      <c r="AQ113" s="105"/>
      <c r="AR113" s="119"/>
      <c r="AS113" s="108"/>
      <c r="AT113" s="108"/>
      <c r="AW113" s="30" t="str">
        <f>IF(E113="","",VLOOKUP($B113,'F-1 Off-Site WaterC'' Baseline'!$C$9:$Z$257,12,FALSE))</f>
        <v/>
      </c>
      <c r="AX113" s="30" t="str">
        <f>IF(E113="","",VLOOKUP($B113,'F-1 Off-Site WaterC'' Baseline'!$C$9:$Z$257,14,FALSE))</f>
        <v/>
      </c>
      <c r="AY113" s="30" t="str">
        <f>IFERROR(INDEX('G-7 WaterC'' Data'!$AZ$3:$AZ$7,MATCH(N113,'G-7 WaterC'' Data'!$AY$3:$AY$7,0)),"")</f>
        <v/>
      </c>
      <c r="AZ113" s="30" t="str">
        <f>IF(B113="","",IF(ISNA(VLOOKUP($B113,'F-1 Off-Site WaterC'' Baseline'!$C$8:$AD$257,20,FALSE)),"",(VLOOKUP($B113,'F-1 Off-Site WaterC'' Baseline'!$C$8:$AD$257,20,FALSE))))</f>
        <v/>
      </c>
      <c r="BC113" s="30" t="str">
        <f>IF(B113="","",VLOOKUP($B113,'F-1 Off-Site WaterC'' Baseline'!$C$9:$AB$257,25,FALSE))</f>
        <v/>
      </c>
      <c r="BD113" s="30" t="str">
        <f t="shared" si="20"/>
        <v/>
      </c>
      <c r="BE113" s="30" t="str">
        <f>IF(B113="","",VLOOKUP($B113,'F-1 Off-Site WaterC'' Baseline'!$C$9:$AB$257,24,FALSE))</f>
        <v/>
      </c>
      <c r="BF113" s="30" t="str">
        <f>IF(B113="","",VLOOKUP($B113,'F-1 Off-Site WaterC'' Baseline'!$C$9:$AB$257,22,FALSE))</f>
        <v/>
      </c>
      <c r="BJ113" s="30" t="str">
        <f t="shared" si="21"/>
        <v>No</v>
      </c>
    </row>
    <row r="114" spans="2:62" ht="13.8" x14ac:dyDescent="0.25">
      <c r="B114" s="311" t="str">
        <f>'F-1 Off-Site WaterC'' Baseline'!AS112</f>
        <v/>
      </c>
      <c r="C114" s="301" t="str">
        <f>IF(B114="","",VLOOKUP($B114,'F-1 Off-Site WaterC'' Baseline'!$C$9:$R$257,2,FALSE))</f>
        <v/>
      </c>
      <c r="D114" s="301" t="str">
        <f>IF(C114="","",VLOOKUP($B114,'F-1 Off-Site WaterC'' Baseline'!$C$9:$R$257,3,FALSE))</f>
        <v/>
      </c>
      <c r="E114" s="301" t="str">
        <f>IF(D114="","",VLOOKUP($B114,'F-1 Off-Site WaterC'' Baseline'!$C$9:$R$257,4,FALSE))</f>
        <v/>
      </c>
      <c r="F114" s="301" t="str">
        <f>IF(E114="","",VLOOKUP($B114,'F-1 Off-Site WaterC'' Baseline'!$C$9:$R$257,5,FALSE))</f>
        <v/>
      </c>
      <c r="G114" s="301" t="str">
        <f>IF(F114="","",VLOOKUP($B114,'F-1 Off-Site WaterC'' Baseline'!$C$9:$R$257,6,FALSE))</f>
        <v/>
      </c>
      <c r="H114" s="301" t="str">
        <f>IF(G114="","",VLOOKUP($B114,'F-1 Off-Site WaterC'' Baseline'!$C$9:$R$257,7,FALSE))</f>
        <v/>
      </c>
      <c r="I114" s="301" t="str">
        <f>IF(H114="","",VLOOKUP($B114,'F-1 Off-Site WaterC'' Baseline'!$C$9:$R$257,8,FALSE))</f>
        <v/>
      </c>
      <c r="J114" s="301" t="str">
        <f>IF(I114="","",VLOOKUP($B114,'F-1 Off-Site WaterC'' Baseline'!$C$9:$R$257,9,FALSE))</f>
        <v/>
      </c>
      <c r="K114" s="301" t="str">
        <f>IF(J114="","",VLOOKUP($B114,'F-1 Off-Site WaterC'' Baseline'!$C$9:$R$257,10,FALSE))</f>
        <v/>
      </c>
      <c r="L114" s="289" t="str">
        <f>IF(B114="","",VLOOKUP($B114,'F-1 Off-Site WaterC'' Baseline'!$C$9:$R$257,15,FALSE))</f>
        <v/>
      </c>
      <c r="M114" s="305" t="str">
        <f>IF(L114="","",VLOOKUP($B114,'F-1 Off-Site WaterC'' Baseline'!$C$9:$V$257,19,FALSE))</f>
        <v/>
      </c>
      <c r="N114" s="250"/>
      <c r="O114" s="281" t="str">
        <f t="shared" si="14"/>
        <v/>
      </c>
      <c r="P114" s="282" t="str">
        <f t="shared" si="15"/>
        <v/>
      </c>
      <c r="Q114" s="287" t="str">
        <f>IF(N114="","",VLOOKUP(B114,'F-1 Off-Site WaterC'' Baseline'!$C$10:$AF$257,23,FALSE))</f>
        <v/>
      </c>
      <c r="R114" s="281" t="str">
        <f>IF(N114="","",VLOOKUP(N114,'G-7 WaterC'' Data'!$B$2:$G$8,2,FALSE))</f>
        <v/>
      </c>
      <c r="S114" s="282" t="str">
        <f>IFERROR(VLOOKUP(R114,'G-7 WaterC'' Data'!$C$4:$D$8,2,FALSE),"")</f>
        <v/>
      </c>
      <c r="T114" s="105"/>
      <c r="U114" s="282" t="str">
        <f>IFERROR(INDEX('G-7 WaterC'' Data'!$H$4:$L$8,MATCH(N114,'G-7 WaterC'' Data'!$B$4:$B$8,0),MATCH(T114,'G-7 WaterC'' Data'!$H$3:$L$3,0)),"")</f>
        <v/>
      </c>
      <c r="V114" s="109"/>
      <c r="W114" s="301" t="str">
        <f>IF(V114="","",IF(VLOOKUP(V114,'G-7 WaterC'' Data'!$AK$4:$AM$6,2,FALSE)=0,"Spatial Data Missing ⚠",VLOOKUP(V114,'G-7 WaterC'' Data'!$AK$4:$AM$6,2,FALSE)))</f>
        <v/>
      </c>
      <c r="X114" s="305" t="str">
        <f>IF(V114="","",IF(VLOOKUP(V114,'G-7 WaterC'' Data'!$AK$4:$AM$6,3,FALSE)=0,"Spatial Data Missing ⚠",VLOOKUP(V114,'G-7 WaterC'' Data'!$AK$4:$AM$6,3,FALSE)))</f>
        <v/>
      </c>
      <c r="Y114" s="317" t="str">
        <f>IFERROR(IF(OR(LEFT(P114,5)="Error",LEFT(O114,5)="Error"),"Check Data ⚠",IF(F114&lt;S114,'G-7 WaterC'' Data'!$R$3,INDEX('G-7 WaterC'' Data'!$U$5:$Y$9,MATCH(G114,'G-7 WaterC'' Data'!$T$5:$T$9,0),MATCH(T114,'G-7 WaterC'' Data'!$U$4:$Y$4,0)))),"")</f>
        <v/>
      </c>
      <c r="Z114" s="142"/>
      <c r="AA114" s="142"/>
      <c r="AB114" s="314" t="str">
        <f t="shared" si="11"/>
        <v/>
      </c>
      <c r="AC114" s="302" t="str">
        <f t="shared" si="16"/>
        <v/>
      </c>
      <c r="AD114" s="340" t="str">
        <f>IFERROR(IF(AC114="Check Data ⚠","Check Data ⚠",VLOOKUP(AC114,'G-4 Temporal multipliers'!$A$4:$C$37,3,FALSE)),"")</f>
        <v/>
      </c>
      <c r="AE114" s="317" t="str">
        <f>IF(N114="","",VLOOKUP(N114,'G-7 WaterC'' Data'!$B$4:$G$8,5,FALSE))</f>
        <v/>
      </c>
      <c r="AF114" s="301" t="str">
        <f t="shared" si="12"/>
        <v/>
      </c>
      <c r="AG114" s="301" t="str">
        <f t="shared" si="17"/>
        <v/>
      </c>
      <c r="AH114" s="282" t="str">
        <f t="shared" si="13"/>
        <v/>
      </c>
      <c r="AI114" s="109"/>
      <c r="AJ114" s="282" t="str">
        <f>IF(AI114="","",(IF(AND(AI114="N/A - Culvert",N114&lt;&gt;"Culvert"),"Not possible ▲",IF(VLOOKUP(AI114,'G-7 WaterC'' Data'!$AA$4:$AB$7,2,FALSE)=0,"Spatial Data Missing ⚠",VLOOKUP(AI114,'G-7 WaterC'' Data'!$AA$4:$AB$7,2,FALSE)))))</f>
        <v/>
      </c>
      <c r="AK114" s="110"/>
      <c r="AL114" s="316" t="str">
        <f>IF(AK114="","",IF(AND(AK114="N/A - Culvert",N114&lt;&gt;"Culvert"),"Not possible ▲",IF(VLOOKUP(AK114,'G-7 WaterC'' Data'!$AD$4:$AE$14,2,FALSE)=0,"Spatial Data Missing ⚠",VLOOKUP(AK114,'G-7 WaterC'' Data'!$AD$4:$AE$14,2,FALSE))))</f>
        <v/>
      </c>
      <c r="AM114" s="281" t="str">
        <f>IF(B114="","",VLOOKUP($B114,'F-1 Off-Site WaterC'' Baseline'!$C$9:$Z$257,17,FALSE))</f>
        <v/>
      </c>
      <c r="AN114" s="282" t="str">
        <f>IF(AM114="","",IF(VLOOKUP(AM114,'G-7 WaterC'' Data'!$AO$4:$BO$7,2,FALSE)=0,"Spatial Data Missing ⚠",VLOOKUP(AM114,'G-7 WaterC'' Data'!$AO$4:$BO$7,2,FALSE)))</f>
        <v/>
      </c>
      <c r="AO114" s="323" t="str">
        <f t="shared" si="18"/>
        <v/>
      </c>
      <c r="AP114" s="323" t="str">
        <f t="shared" si="19"/>
        <v/>
      </c>
      <c r="AQ114" s="105"/>
      <c r="AR114" s="119"/>
      <c r="AS114" s="108"/>
      <c r="AT114" s="108"/>
      <c r="AW114" s="30" t="str">
        <f>IF(E114="","",VLOOKUP($B114,'F-1 Off-Site WaterC'' Baseline'!$C$9:$Z$257,12,FALSE))</f>
        <v/>
      </c>
      <c r="AX114" s="30" t="str">
        <f>IF(E114="","",VLOOKUP($B114,'F-1 Off-Site WaterC'' Baseline'!$C$9:$Z$257,14,FALSE))</f>
        <v/>
      </c>
      <c r="AY114" s="30" t="str">
        <f>IFERROR(INDEX('G-7 WaterC'' Data'!$AZ$3:$AZ$7,MATCH(N114,'G-7 WaterC'' Data'!$AY$3:$AY$7,0)),"")</f>
        <v/>
      </c>
      <c r="AZ114" s="30" t="str">
        <f>IF(B114="","",IF(ISNA(VLOOKUP($B114,'F-1 Off-Site WaterC'' Baseline'!$C$8:$AD$257,20,FALSE)),"",(VLOOKUP($B114,'F-1 Off-Site WaterC'' Baseline'!$C$8:$AD$257,20,FALSE))))</f>
        <v/>
      </c>
      <c r="BC114" s="30" t="str">
        <f>IF(B114="","",VLOOKUP($B114,'F-1 Off-Site WaterC'' Baseline'!$C$9:$AB$257,25,FALSE))</f>
        <v/>
      </c>
      <c r="BD114" s="30" t="str">
        <f t="shared" si="20"/>
        <v/>
      </c>
      <c r="BE114" s="30" t="str">
        <f>IF(B114="","",VLOOKUP($B114,'F-1 Off-Site WaterC'' Baseline'!$C$9:$AB$257,24,FALSE))</f>
        <v/>
      </c>
      <c r="BF114" s="30" t="str">
        <f>IF(B114="","",VLOOKUP($B114,'F-1 Off-Site WaterC'' Baseline'!$C$9:$AB$257,22,FALSE))</f>
        <v/>
      </c>
      <c r="BJ114" s="30" t="str">
        <f t="shared" si="21"/>
        <v>No</v>
      </c>
    </row>
    <row r="115" spans="2:62" ht="13.8" x14ac:dyDescent="0.25">
      <c r="B115" s="311" t="str">
        <f>'F-1 Off-Site WaterC'' Baseline'!AS113</f>
        <v/>
      </c>
      <c r="C115" s="301" t="str">
        <f>IF(B115="","",VLOOKUP($B115,'F-1 Off-Site WaterC'' Baseline'!$C$9:$R$257,2,FALSE))</f>
        <v/>
      </c>
      <c r="D115" s="301" t="str">
        <f>IF(C115="","",VLOOKUP($B115,'F-1 Off-Site WaterC'' Baseline'!$C$9:$R$257,3,FALSE))</f>
        <v/>
      </c>
      <c r="E115" s="301" t="str">
        <f>IF(D115="","",VLOOKUP($B115,'F-1 Off-Site WaterC'' Baseline'!$C$9:$R$257,4,FALSE))</f>
        <v/>
      </c>
      <c r="F115" s="301" t="str">
        <f>IF(E115="","",VLOOKUP($B115,'F-1 Off-Site WaterC'' Baseline'!$C$9:$R$257,5,FALSE))</f>
        <v/>
      </c>
      <c r="G115" s="301" t="str">
        <f>IF(F115="","",VLOOKUP($B115,'F-1 Off-Site WaterC'' Baseline'!$C$9:$R$257,6,FALSE))</f>
        <v/>
      </c>
      <c r="H115" s="301" t="str">
        <f>IF(G115="","",VLOOKUP($B115,'F-1 Off-Site WaterC'' Baseline'!$C$9:$R$257,7,FALSE))</f>
        <v/>
      </c>
      <c r="I115" s="301" t="str">
        <f>IF(H115="","",VLOOKUP($B115,'F-1 Off-Site WaterC'' Baseline'!$C$9:$R$257,8,FALSE))</f>
        <v/>
      </c>
      <c r="J115" s="301" t="str">
        <f>IF(I115="","",VLOOKUP($B115,'F-1 Off-Site WaterC'' Baseline'!$C$9:$R$257,9,FALSE))</f>
        <v/>
      </c>
      <c r="K115" s="301" t="str">
        <f>IF(J115="","",VLOOKUP($B115,'F-1 Off-Site WaterC'' Baseline'!$C$9:$R$257,10,FALSE))</f>
        <v/>
      </c>
      <c r="L115" s="289" t="str">
        <f>IF(B115="","",VLOOKUP($B115,'F-1 Off-Site WaterC'' Baseline'!$C$9:$R$257,15,FALSE))</f>
        <v/>
      </c>
      <c r="M115" s="305" t="str">
        <f>IF(L115="","",VLOOKUP($B115,'F-1 Off-Site WaterC'' Baseline'!$C$9:$V$257,19,FALSE))</f>
        <v/>
      </c>
      <c r="N115" s="250"/>
      <c r="O115" s="281" t="str">
        <f t="shared" si="14"/>
        <v/>
      </c>
      <c r="P115" s="282" t="str">
        <f t="shared" si="15"/>
        <v/>
      </c>
      <c r="Q115" s="287" t="str">
        <f>IF(N115="","",VLOOKUP(B115,'F-1 Off-Site WaterC'' Baseline'!$C$10:$AF$257,23,FALSE))</f>
        <v/>
      </c>
      <c r="R115" s="281" t="str">
        <f>IF(N115="","",VLOOKUP(N115,'G-7 WaterC'' Data'!$B$2:$G$8,2,FALSE))</f>
        <v/>
      </c>
      <c r="S115" s="282" t="str">
        <f>IFERROR(VLOOKUP(R115,'G-7 WaterC'' Data'!$C$4:$D$8,2,FALSE),"")</f>
        <v/>
      </c>
      <c r="T115" s="105"/>
      <c r="U115" s="282" t="str">
        <f>IFERROR(INDEX('G-7 WaterC'' Data'!$H$4:$L$8,MATCH(N115,'G-7 WaterC'' Data'!$B$4:$B$8,0),MATCH(T115,'G-7 WaterC'' Data'!$H$3:$L$3,0)),"")</f>
        <v/>
      </c>
      <c r="V115" s="109"/>
      <c r="W115" s="301" t="str">
        <f>IF(V115="","",IF(VLOOKUP(V115,'G-7 WaterC'' Data'!$AK$4:$AM$6,2,FALSE)=0,"Spatial Data Missing ⚠",VLOOKUP(V115,'G-7 WaterC'' Data'!$AK$4:$AM$6,2,FALSE)))</f>
        <v/>
      </c>
      <c r="X115" s="305" t="str">
        <f>IF(V115="","",IF(VLOOKUP(V115,'G-7 WaterC'' Data'!$AK$4:$AM$6,3,FALSE)=0,"Spatial Data Missing ⚠",VLOOKUP(V115,'G-7 WaterC'' Data'!$AK$4:$AM$6,3,FALSE)))</f>
        <v/>
      </c>
      <c r="Y115" s="317" t="str">
        <f>IFERROR(IF(OR(LEFT(P115,5)="Error",LEFT(O115,5)="Error"),"Check Data ⚠",IF(F115&lt;S115,'G-7 WaterC'' Data'!$R$3,INDEX('G-7 WaterC'' Data'!$U$5:$Y$9,MATCH(G115,'G-7 WaterC'' Data'!$T$5:$T$9,0),MATCH(T115,'G-7 WaterC'' Data'!$U$4:$Y$4,0)))),"")</f>
        <v/>
      </c>
      <c r="Z115" s="142"/>
      <c r="AA115" s="142"/>
      <c r="AB115" s="314" t="str">
        <f t="shared" si="11"/>
        <v/>
      </c>
      <c r="AC115" s="302" t="str">
        <f t="shared" si="16"/>
        <v/>
      </c>
      <c r="AD115" s="340" t="str">
        <f>IFERROR(IF(AC115="Check Data ⚠","Check Data ⚠",VLOOKUP(AC115,'G-4 Temporal multipliers'!$A$4:$C$37,3,FALSE)),"")</f>
        <v/>
      </c>
      <c r="AE115" s="317" t="str">
        <f>IF(N115="","",VLOOKUP(N115,'G-7 WaterC'' Data'!$B$4:$G$8,5,FALSE))</f>
        <v/>
      </c>
      <c r="AF115" s="301" t="str">
        <f t="shared" si="12"/>
        <v/>
      </c>
      <c r="AG115" s="301" t="str">
        <f t="shared" si="17"/>
        <v/>
      </c>
      <c r="AH115" s="282" t="str">
        <f t="shared" si="13"/>
        <v/>
      </c>
      <c r="AI115" s="109"/>
      <c r="AJ115" s="282" t="str">
        <f>IF(AI115="","",(IF(AND(AI115="N/A - Culvert",N115&lt;&gt;"Culvert"),"Not possible ▲",IF(VLOOKUP(AI115,'G-7 WaterC'' Data'!$AA$4:$AB$7,2,FALSE)=0,"Spatial Data Missing ⚠",VLOOKUP(AI115,'G-7 WaterC'' Data'!$AA$4:$AB$7,2,FALSE)))))</f>
        <v/>
      </c>
      <c r="AK115" s="110"/>
      <c r="AL115" s="316" t="str">
        <f>IF(AK115="","",IF(AND(AK115="N/A - Culvert",N115&lt;&gt;"Culvert"),"Not possible ▲",IF(VLOOKUP(AK115,'G-7 WaterC'' Data'!$AD$4:$AE$14,2,FALSE)=0,"Spatial Data Missing ⚠",VLOOKUP(AK115,'G-7 WaterC'' Data'!$AD$4:$AE$14,2,FALSE))))</f>
        <v/>
      </c>
      <c r="AM115" s="281" t="str">
        <f>IF(B115="","",VLOOKUP($B115,'F-1 Off-Site WaterC'' Baseline'!$C$9:$Z$257,17,FALSE))</f>
        <v/>
      </c>
      <c r="AN115" s="282" t="str">
        <f>IF(AM115="","",IF(VLOOKUP(AM115,'G-7 WaterC'' Data'!$AO$4:$BO$7,2,FALSE)=0,"Spatial Data Missing ⚠",VLOOKUP(AM115,'G-7 WaterC'' Data'!$AO$4:$BO$7,2,FALSE)))</f>
        <v/>
      </c>
      <c r="AO115" s="323" t="str">
        <f t="shared" si="18"/>
        <v/>
      </c>
      <c r="AP115" s="323" t="str">
        <f t="shared" si="19"/>
        <v/>
      </c>
      <c r="AQ115" s="105"/>
      <c r="AR115" s="119"/>
      <c r="AS115" s="108"/>
      <c r="AT115" s="108"/>
      <c r="AW115" s="30" t="str">
        <f>IF(E115="","",VLOOKUP($B115,'F-1 Off-Site WaterC'' Baseline'!$C$9:$Z$257,12,FALSE))</f>
        <v/>
      </c>
      <c r="AX115" s="30" t="str">
        <f>IF(E115="","",VLOOKUP($B115,'F-1 Off-Site WaterC'' Baseline'!$C$9:$Z$257,14,FALSE))</f>
        <v/>
      </c>
      <c r="AY115" s="30" t="str">
        <f>IFERROR(INDEX('G-7 WaterC'' Data'!$AZ$3:$AZ$7,MATCH(N115,'G-7 WaterC'' Data'!$AY$3:$AY$7,0)),"")</f>
        <v/>
      </c>
      <c r="AZ115" s="30" t="str">
        <f>IF(B115="","",IF(ISNA(VLOOKUP($B115,'F-1 Off-Site WaterC'' Baseline'!$C$8:$AD$257,20,FALSE)),"",(VLOOKUP($B115,'F-1 Off-Site WaterC'' Baseline'!$C$8:$AD$257,20,FALSE))))</f>
        <v/>
      </c>
      <c r="BC115" s="30" t="str">
        <f>IF(B115="","",VLOOKUP($B115,'F-1 Off-Site WaterC'' Baseline'!$C$9:$AB$257,25,FALSE))</f>
        <v/>
      </c>
      <c r="BD115" s="30" t="str">
        <f t="shared" si="20"/>
        <v/>
      </c>
      <c r="BE115" s="30" t="str">
        <f>IF(B115="","",VLOOKUP($B115,'F-1 Off-Site WaterC'' Baseline'!$C$9:$AB$257,24,FALSE))</f>
        <v/>
      </c>
      <c r="BF115" s="30" t="str">
        <f>IF(B115="","",VLOOKUP($B115,'F-1 Off-Site WaterC'' Baseline'!$C$9:$AB$257,22,FALSE))</f>
        <v/>
      </c>
      <c r="BJ115" s="30" t="str">
        <f t="shared" si="21"/>
        <v>No</v>
      </c>
    </row>
    <row r="116" spans="2:62" ht="13.8" x14ac:dyDescent="0.25">
      <c r="B116" s="311" t="str">
        <f>'F-1 Off-Site WaterC'' Baseline'!AS114</f>
        <v/>
      </c>
      <c r="C116" s="301" t="str">
        <f>IF(B116="","",VLOOKUP($B116,'F-1 Off-Site WaterC'' Baseline'!$C$9:$R$257,2,FALSE))</f>
        <v/>
      </c>
      <c r="D116" s="301" t="str">
        <f>IF(C116="","",VLOOKUP($B116,'F-1 Off-Site WaterC'' Baseline'!$C$9:$R$257,3,FALSE))</f>
        <v/>
      </c>
      <c r="E116" s="301" t="str">
        <f>IF(D116="","",VLOOKUP($B116,'F-1 Off-Site WaterC'' Baseline'!$C$9:$R$257,4,FALSE))</f>
        <v/>
      </c>
      <c r="F116" s="301" t="str">
        <f>IF(E116="","",VLOOKUP($B116,'F-1 Off-Site WaterC'' Baseline'!$C$9:$R$257,5,FALSE))</f>
        <v/>
      </c>
      <c r="G116" s="301" t="str">
        <f>IF(F116="","",VLOOKUP($B116,'F-1 Off-Site WaterC'' Baseline'!$C$9:$R$257,6,FALSE))</f>
        <v/>
      </c>
      <c r="H116" s="301" t="str">
        <f>IF(G116="","",VLOOKUP($B116,'F-1 Off-Site WaterC'' Baseline'!$C$9:$R$257,7,FALSE))</f>
        <v/>
      </c>
      <c r="I116" s="301" t="str">
        <f>IF(H116="","",VLOOKUP($B116,'F-1 Off-Site WaterC'' Baseline'!$C$9:$R$257,8,FALSE))</f>
        <v/>
      </c>
      <c r="J116" s="301" t="str">
        <f>IF(I116="","",VLOOKUP($B116,'F-1 Off-Site WaterC'' Baseline'!$C$9:$R$257,9,FALSE))</f>
        <v/>
      </c>
      <c r="K116" s="301" t="str">
        <f>IF(J116="","",VLOOKUP($B116,'F-1 Off-Site WaterC'' Baseline'!$C$9:$R$257,10,FALSE))</f>
        <v/>
      </c>
      <c r="L116" s="289" t="str">
        <f>IF(B116="","",VLOOKUP($B116,'F-1 Off-Site WaterC'' Baseline'!$C$9:$R$257,15,FALSE))</f>
        <v/>
      </c>
      <c r="M116" s="305" t="str">
        <f>IF(L116="","",VLOOKUP($B116,'F-1 Off-Site WaterC'' Baseline'!$C$9:$V$257,19,FALSE))</f>
        <v/>
      </c>
      <c r="N116" s="250"/>
      <c r="O116" s="281" t="str">
        <f t="shared" si="14"/>
        <v/>
      </c>
      <c r="P116" s="282" t="str">
        <f t="shared" si="15"/>
        <v/>
      </c>
      <c r="Q116" s="287" t="str">
        <f>IF(N116="","",VLOOKUP(B116,'F-1 Off-Site WaterC'' Baseline'!$C$10:$AF$257,23,FALSE))</f>
        <v/>
      </c>
      <c r="R116" s="281" t="str">
        <f>IF(N116="","",VLOOKUP(N116,'G-7 WaterC'' Data'!$B$2:$G$8,2,FALSE))</f>
        <v/>
      </c>
      <c r="S116" s="282" t="str">
        <f>IFERROR(VLOOKUP(R116,'G-7 WaterC'' Data'!$C$4:$D$8,2,FALSE),"")</f>
        <v/>
      </c>
      <c r="T116" s="105"/>
      <c r="U116" s="282" t="str">
        <f>IFERROR(INDEX('G-7 WaterC'' Data'!$H$4:$L$8,MATCH(N116,'G-7 WaterC'' Data'!$B$4:$B$8,0),MATCH(T116,'G-7 WaterC'' Data'!$H$3:$L$3,0)),"")</f>
        <v/>
      </c>
      <c r="V116" s="109"/>
      <c r="W116" s="301" t="str">
        <f>IF(V116="","",IF(VLOOKUP(V116,'G-7 WaterC'' Data'!$AK$4:$AM$6,2,FALSE)=0,"Spatial Data Missing ⚠",VLOOKUP(V116,'G-7 WaterC'' Data'!$AK$4:$AM$6,2,FALSE)))</f>
        <v/>
      </c>
      <c r="X116" s="305" t="str">
        <f>IF(V116="","",IF(VLOOKUP(V116,'G-7 WaterC'' Data'!$AK$4:$AM$6,3,FALSE)=0,"Spatial Data Missing ⚠",VLOOKUP(V116,'G-7 WaterC'' Data'!$AK$4:$AM$6,3,FALSE)))</f>
        <v/>
      </c>
      <c r="Y116" s="317" t="str">
        <f>IFERROR(IF(OR(LEFT(P116,5)="Error",LEFT(O116,5)="Error"),"Check Data ⚠",IF(F116&lt;S116,'G-7 WaterC'' Data'!$R$3,INDEX('G-7 WaterC'' Data'!$U$5:$Y$9,MATCH(G116,'G-7 WaterC'' Data'!$T$5:$T$9,0),MATCH(T116,'G-7 WaterC'' Data'!$U$4:$Y$4,0)))),"")</f>
        <v/>
      </c>
      <c r="Z116" s="142"/>
      <c r="AA116" s="142"/>
      <c r="AB116" s="314" t="str">
        <f t="shared" si="11"/>
        <v/>
      </c>
      <c r="AC116" s="302" t="str">
        <f t="shared" si="16"/>
        <v/>
      </c>
      <c r="AD116" s="340" t="str">
        <f>IFERROR(IF(AC116="Check Data ⚠","Check Data ⚠",VLOOKUP(AC116,'G-4 Temporal multipliers'!$A$4:$C$37,3,FALSE)),"")</f>
        <v/>
      </c>
      <c r="AE116" s="317" t="str">
        <f>IF(N116="","",VLOOKUP(N116,'G-7 WaterC'' Data'!$B$4:$G$8,5,FALSE))</f>
        <v/>
      </c>
      <c r="AF116" s="301" t="str">
        <f t="shared" si="12"/>
        <v/>
      </c>
      <c r="AG116" s="301" t="str">
        <f t="shared" si="17"/>
        <v/>
      </c>
      <c r="AH116" s="282" t="str">
        <f t="shared" si="13"/>
        <v/>
      </c>
      <c r="AI116" s="109"/>
      <c r="AJ116" s="282" t="str">
        <f>IF(AI116="","",(IF(AND(AI116="N/A - Culvert",N116&lt;&gt;"Culvert"),"Not possible ▲",IF(VLOOKUP(AI116,'G-7 WaterC'' Data'!$AA$4:$AB$7,2,FALSE)=0,"Spatial Data Missing ⚠",VLOOKUP(AI116,'G-7 WaterC'' Data'!$AA$4:$AB$7,2,FALSE)))))</f>
        <v/>
      </c>
      <c r="AK116" s="110"/>
      <c r="AL116" s="316" t="str">
        <f>IF(AK116="","",IF(AND(AK116="N/A - Culvert",N116&lt;&gt;"Culvert"),"Not possible ▲",IF(VLOOKUP(AK116,'G-7 WaterC'' Data'!$AD$4:$AE$14,2,FALSE)=0,"Spatial Data Missing ⚠",VLOOKUP(AK116,'G-7 WaterC'' Data'!$AD$4:$AE$14,2,FALSE))))</f>
        <v/>
      </c>
      <c r="AM116" s="281" t="str">
        <f>IF(B116="","",VLOOKUP($B116,'F-1 Off-Site WaterC'' Baseline'!$C$9:$Z$257,17,FALSE))</f>
        <v/>
      </c>
      <c r="AN116" s="282" t="str">
        <f>IF(AM116="","",IF(VLOOKUP(AM116,'G-7 WaterC'' Data'!$AO$4:$BO$7,2,FALSE)=0,"Spatial Data Missing ⚠",VLOOKUP(AM116,'G-7 WaterC'' Data'!$AO$4:$BO$7,2,FALSE)))</f>
        <v/>
      </c>
      <c r="AO116" s="323" t="str">
        <f t="shared" si="18"/>
        <v/>
      </c>
      <c r="AP116" s="323" t="str">
        <f t="shared" si="19"/>
        <v/>
      </c>
      <c r="AQ116" s="105"/>
      <c r="AR116" s="119"/>
      <c r="AS116" s="108"/>
      <c r="AT116" s="108"/>
      <c r="AW116" s="30" t="str">
        <f>IF(E116="","",VLOOKUP($B116,'F-1 Off-Site WaterC'' Baseline'!$C$9:$Z$257,12,FALSE))</f>
        <v/>
      </c>
      <c r="AX116" s="30" t="str">
        <f>IF(E116="","",VLOOKUP($B116,'F-1 Off-Site WaterC'' Baseline'!$C$9:$Z$257,14,FALSE))</f>
        <v/>
      </c>
      <c r="AY116" s="30" t="str">
        <f>IFERROR(INDEX('G-7 WaterC'' Data'!$AZ$3:$AZ$7,MATCH(N116,'G-7 WaterC'' Data'!$AY$3:$AY$7,0)),"")</f>
        <v/>
      </c>
      <c r="AZ116" s="30" t="str">
        <f>IF(B116="","",IF(ISNA(VLOOKUP($B116,'F-1 Off-Site WaterC'' Baseline'!$C$8:$AD$257,20,FALSE)),"",(VLOOKUP($B116,'F-1 Off-Site WaterC'' Baseline'!$C$8:$AD$257,20,FALSE))))</f>
        <v/>
      </c>
      <c r="BC116" s="30" t="str">
        <f>IF(B116="","",VLOOKUP($B116,'F-1 Off-Site WaterC'' Baseline'!$C$9:$AB$257,25,FALSE))</f>
        <v/>
      </c>
      <c r="BD116" s="30" t="str">
        <f t="shared" si="20"/>
        <v/>
      </c>
      <c r="BE116" s="30" t="str">
        <f>IF(B116="","",VLOOKUP($B116,'F-1 Off-Site WaterC'' Baseline'!$C$9:$AB$257,24,FALSE))</f>
        <v/>
      </c>
      <c r="BF116" s="30" t="str">
        <f>IF(B116="","",VLOOKUP($B116,'F-1 Off-Site WaterC'' Baseline'!$C$9:$AB$257,22,FALSE))</f>
        <v/>
      </c>
      <c r="BJ116" s="30" t="str">
        <f t="shared" si="21"/>
        <v>No</v>
      </c>
    </row>
    <row r="117" spans="2:62" ht="13.8" x14ac:dyDescent="0.25">
      <c r="B117" s="311" t="str">
        <f>'F-1 Off-Site WaterC'' Baseline'!AS115</f>
        <v/>
      </c>
      <c r="C117" s="301" t="str">
        <f>IF(B117="","",VLOOKUP($B117,'F-1 Off-Site WaterC'' Baseline'!$C$9:$R$257,2,FALSE))</f>
        <v/>
      </c>
      <c r="D117" s="301" t="str">
        <f>IF(C117="","",VLOOKUP($B117,'F-1 Off-Site WaterC'' Baseline'!$C$9:$R$257,3,FALSE))</f>
        <v/>
      </c>
      <c r="E117" s="301" t="str">
        <f>IF(D117="","",VLOOKUP($B117,'F-1 Off-Site WaterC'' Baseline'!$C$9:$R$257,4,FALSE))</f>
        <v/>
      </c>
      <c r="F117" s="301" t="str">
        <f>IF(E117="","",VLOOKUP($B117,'F-1 Off-Site WaterC'' Baseline'!$C$9:$R$257,5,FALSE))</f>
        <v/>
      </c>
      <c r="G117" s="301" t="str">
        <f>IF(F117="","",VLOOKUP($B117,'F-1 Off-Site WaterC'' Baseline'!$C$9:$R$257,6,FALSE))</f>
        <v/>
      </c>
      <c r="H117" s="301" t="str">
        <f>IF(G117="","",VLOOKUP($B117,'F-1 Off-Site WaterC'' Baseline'!$C$9:$R$257,7,FALSE))</f>
        <v/>
      </c>
      <c r="I117" s="301" t="str">
        <f>IF(H117="","",VLOOKUP($B117,'F-1 Off-Site WaterC'' Baseline'!$C$9:$R$257,8,FALSE))</f>
        <v/>
      </c>
      <c r="J117" s="301" t="str">
        <f>IF(I117="","",VLOOKUP($B117,'F-1 Off-Site WaterC'' Baseline'!$C$9:$R$257,9,FALSE))</f>
        <v/>
      </c>
      <c r="K117" s="301" t="str">
        <f>IF(J117="","",VLOOKUP($B117,'F-1 Off-Site WaterC'' Baseline'!$C$9:$R$257,10,FALSE))</f>
        <v/>
      </c>
      <c r="L117" s="289" t="str">
        <f>IF(B117="","",VLOOKUP($B117,'F-1 Off-Site WaterC'' Baseline'!$C$9:$R$257,15,FALSE))</f>
        <v/>
      </c>
      <c r="M117" s="305" t="str">
        <f>IF(L117="","",VLOOKUP($B117,'F-1 Off-Site WaterC'' Baseline'!$C$9:$V$257,19,FALSE))</f>
        <v/>
      </c>
      <c r="N117" s="250"/>
      <c r="O117" s="281" t="str">
        <f t="shared" si="14"/>
        <v/>
      </c>
      <c r="P117" s="282" t="str">
        <f t="shared" si="15"/>
        <v/>
      </c>
      <c r="Q117" s="287" t="str">
        <f>IF(N117="","",VLOOKUP(B117,'F-1 Off-Site WaterC'' Baseline'!$C$10:$AF$257,23,FALSE))</f>
        <v/>
      </c>
      <c r="R117" s="281" t="str">
        <f>IF(N117="","",VLOOKUP(N117,'G-7 WaterC'' Data'!$B$2:$G$8,2,FALSE))</f>
        <v/>
      </c>
      <c r="S117" s="282" t="str">
        <f>IFERROR(VLOOKUP(R117,'G-7 WaterC'' Data'!$C$4:$D$8,2,FALSE),"")</f>
        <v/>
      </c>
      <c r="T117" s="105"/>
      <c r="U117" s="282" t="str">
        <f>IFERROR(INDEX('G-7 WaterC'' Data'!$H$4:$L$8,MATCH(N117,'G-7 WaterC'' Data'!$B$4:$B$8,0),MATCH(T117,'G-7 WaterC'' Data'!$H$3:$L$3,0)),"")</f>
        <v/>
      </c>
      <c r="V117" s="109"/>
      <c r="W117" s="301" t="str">
        <f>IF(V117="","",IF(VLOOKUP(V117,'G-7 WaterC'' Data'!$AK$4:$AM$6,2,FALSE)=0,"Spatial Data Missing ⚠",VLOOKUP(V117,'G-7 WaterC'' Data'!$AK$4:$AM$6,2,FALSE)))</f>
        <v/>
      </c>
      <c r="X117" s="305" t="str">
        <f>IF(V117="","",IF(VLOOKUP(V117,'G-7 WaterC'' Data'!$AK$4:$AM$6,3,FALSE)=0,"Spatial Data Missing ⚠",VLOOKUP(V117,'G-7 WaterC'' Data'!$AK$4:$AM$6,3,FALSE)))</f>
        <v/>
      </c>
      <c r="Y117" s="317" t="str">
        <f>IFERROR(IF(OR(LEFT(P117,5)="Error",LEFT(O117,5)="Error"),"Check Data ⚠",IF(F117&lt;S117,'G-7 WaterC'' Data'!$R$3,INDEX('G-7 WaterC'' Data'!$U$5:$Y$9,MATCH(G117,'G-7 WaterC'' Data'!$T$5:$T$9,0),MATCH(T117,'G-7 WaterC'' Data'!$U$4:$Y$4,0)))),"")</f>
        <v/>
      </c>
      <c r="Z117" s="142"/>
      <c r="AA117" s="142"/>
      <c r="AB117" s="314" t="str">
        <f t="shared" si="11"/>
        <v/>
      </c>
      <c r="AC117" s="302" t="str">
        <f t="shared" si="16"/>
        <v/>
      </c>
      <c r="AD117" s="340" t="str">
        <f>IFERROR(IF(AC117="Check Data ⚠","Check Data ⚠",VLOOKUP(AC117,'G-4 Temporal multipliers'!$A$4:$C$37,3,FALSE)),"")</f>
        <v/>
      </c>
      <c r="AE117" s="317" t="str">
        <f>IF(N117="","",VLOOKUP(N117,'G-7 WaterC'' Data'!$B$4:$G$8,5,FALSE))</f>
        <v/>
      </c>
      <c r="AF117" s="301" t="str">
        <f t="shared" si="12"/>
        <v/>
      </c>
      <c r="AG117" s="301" t="str">
        <f t="shared" si="17"/>
        <v/>
      </c>
      <c r="AH117" s="282" t="str">
        <f t="shared" si="13"/>
        <v/>
      </c>
      <c r="AI117" s="109"/>
      <c r="AJ117" s="282" t="str">
        <f>IF(AI117="","",(IF(AND(AI117="N/A - Culvert",N117&lt;&gt;"Culvert"),"Not possible ▲",IF(VLOOKUP(AI117,'G-7 WaterC'' Data'!$AA$4:$AB$7,2,FALSE)=0,"Spatial Data Missing ⚠",VLOOKUP(AI117,'G-7 WaterC'' Data'!$AA$4:$AB$7,2,FALSE)))))</f>
        <v/>
      </c>
      <c r="AK117" s="110"/>
      <c r="AL117" s="316" t="str">
        <f>IF(AK117="","",IF(AND(AK117="N/A - Culvert",N117&lt;&gt;"Culvert"),"Not possible ▲",IF(VLOOKUP(AK117,'G-7 WaterC'' Data'!$AD$4:$AE$14,2,FALSE)=0,"Spatial Data Missing ⚠",VLOOKUP(AK117,'G-7 WaterC'' Data'!$AD$4:$AE$14,2,FALSE))))</f>
        <v/>
      </c>
      <c r="AM117" s="281" t="str">
        <f>IF(B117="","",VLOOKUP($B117,'F-1 Off-Site WaterC'' Baseline'!$C$9:$Z$257,17,FALSE))</f>
        <v/>
      </c>
      <c r="AN117" s="282" t="str">
        <f>IF(AM117="","",IF(VLOOKUP(AM117,'G-7 WaterC'' Data'!$AO$4:$BO$7,2,FALSE)=0,"Spatial Data Missing ⚠",VLOOKUP(AM117,'G-7 WaterC'' Data'!$AO$4:$BO$7,2,FALSE)))</f>
        <v/>
      </c>
      <c r="AO117" s="323" t="str">
        <f t="shared" si="18"/>
        <v/>
      </c>
      <c r="AP117" s="323" t="str">
        <f t="shared" si="19"/>
        <v/>
      </c>
      <c r="AQ117" s="105"/>
      <c r="AR117" s="119"/>
      <c r="AS117" s="108"/>
      <c r="AT117" s="108"/>
      <c r="AW117" s="30" t="str">
        <f>IF(E117="","",VLOOKUP($B117,'F-1 Off-Site WaterC'' Baseline'!$C$9:$Z$257,12,FALSE))</f>
        <v/>
      </c>
      <c r="AX117" s="30" t="str">
        <f>IF(E117="","",VLOOKUP($B117,'F-1 Off-Site WaterC'' Baseline'!$C$9:$Z$257,14,FALSE))</f>
        <v/>
      </c>
      <c r="AY117" s="30" t="str">
        <f>IFERROR(INDEX('G-7 WaterC'' Data'!$AZ$3:$AZ$7,MATCH(N117,'G-7 WaterC'' Data'!$AY$3:$AY$7,0)),"")</f>
        <v/>
      </c>
      <c r="AZ117" s="30" t="str">
        <f>IF(B117="","",IF(ISNA(VLOOKUP($B117,'F-1 Off-Site WaterC'' Baseline'!$C$8:$AD$257,20,FALSE)),"",(VLOOKUP($B117,'F-1 Off-Site WaterC'' Baseline'!$C$8:$AD$257,20,FALSE))))</f>
        <v/>
      </c>
      <c r="BC117" s="30" t="str">
        <f>IF(B117="","",VLOOKUP($B117,'F-1 Off-Site WaterC'' Baseline'!$C$9:$AB$257,25,FALSE))</f>
        <v/>
      </c>
      <c r="BD117" s="30" t="str">
        <f t="shared" si="20"/>
        <v/>
      </c>
      <c r="BE117" s="30" t="str">
        <f>IF(B117="","",VLOOKUP($B117,'F-1 Off-Site WaterC'' Baseline'!$C$9:$AB$257,24,FALSE))</f>
        <v/>
      </c>
      <c r="BF117" s="30" t="str">
        <f>IF(B117="","",VLOOKUP($B117,'F-1 Off-Site WaterC'' Baseline'!$C$9:$AB$257,22,FALSE))</f>
        <v/>
      </c>
      <c r="BJ117" s="30" t="str">
        <f t="shared" si="21"/>
        <v>No</v>
      </c>
    </row>
    <row r="118" spans="2:62" ht="13.8" x14ac:dyDescent="0.25">
      <c r="B118" s="311" t="str">
        <f>'F-1 Off-Site WaterC'' Baseline'!AS116</f>
        <v/>
      </c>
      <c r="C118" s="301" t="str">
        <f>IF(B118="","",VLOOKUP($B118,'F-1 Off-Site WaterC'' Baseline'!$C$9:$R$257,2,FALSE))</f>
        <v/>
      </c>
      <c r="D118" s="301" t="str">
        <f>IF(C118="","",VLOOKUP($B118,'F-1 Off-Site WaterC'' Baseline'!$C$9:$R$257,3,FALSE))</f>
        <v/>
      </c>
      <c r="E118" s="301" t="str">
        <f>IF(D118="","",VLOOKUP($B118,'F-1 Off-Site WaterC'' Baseline'!$C$9:$R$257,4,FALSE))</f>
        <v/>
      </c>
      <c r="F118" s="301" t="str">
        <f>IF(E118="","",VLOOKUP($B118,'F-1 Off-Site WaterC'' Baseline'!$C$9:$R$257,5,FALSE))</f>
        <v/>
      </c>
      <c r="G118" s="301" t="str">
        <f>IF(F118="","",VLOOKUP($B118,'F-1 Off-Site WaterC'' Baseline'!$C$9:$R$257,6,FALSE))</f>
        <v/>
      </c>
      <c r="H118" s="301" t="str">
        <f>IF(G118="","",VLOOKUP($B118,'F-1 Off-Site WaterC'' Baseline'!$C$9:$R$257,7,FALSE))</f>
        <v/>
      </c>
      <c r="I118" s="301" t="str">
        <f>IF(H118="","",VLOOKUP($B118,'F-1 Off-Site WaterC'' Baseline'!$C$9:$R$257,8,FALSE))</f>
        <v/>
      </c>
      <c r="J118" s="301" t="str">
        <f>IF(I118="","",VLOOKUP($B118,'F-1 Off-Site WaterC'' Baseline'!$C$9:$R$257,9,FALSE))</f>
        <v/>
      </c>
      <c r="K118" s="301" t="str">
        <f>IF(J118="","",VLOOKUP($B118,'F-1 Off-Site WaterC'' Baseline'!$C$9:$R$257,10,FALSE))</f>
        <v/>
      </c>
      <c r="L118" s="289" t="str">
        <f>IF(B118="","",VLOOKUP($B118,'F-1 Off-Site WaterC'' Baseline'!$C$9:$R$257,15,FALSE))</f>
        <v/>
      </c>
      <c r="M118" s="305" t="str">
        <f>IF(L118="","",VLOOKUP($B118,'F-1 Off-Site WaterC'' Baseline'!$C$9:$V$257,19,FALSE))</f>
        <v/>
      </c>
      <c r="N118" s="250"/>
      <c r="O118" s="281" t="str">
        <f t="shared" si="14"/>
        <v/>
      </c>
      <c r="P118" s="282" t="str">
        <f t="shared" si="15"/>
        <v/>
      </c>
      <c r="Q118" s="287" t="str">
        <f>IF(N118="","",VLOOKUP(B118,'F-1 Off-Site WaterC'' Baseline'!$C$10:$AF$257,23,FALSE))</f>
        <v/>
      </c>
      <c r="R118" s="281" t="str">
        <f>IF(N118="","",VLOOKUP(N118,'G-7 WaterC'' Data'!$B$2:$G$8,2,FALSE))</f>
        <v/>
      </c>
      <c r="S118" s="282" t="str">
        <f>IFERROR(VLOOKUP(R118,'G-7 WaterC'' Data'!$C$4:$D$8,2,FALSE),"")</f>
        <v/>
      </c>
      <c r="T118" s="105"/>
      <c r="U118" s="282" t="str">
        <f>IFERROR(INDEX('G-7 WaterC'' Data'!$H$4:$L$8,MATCH(N118,'G-7 WaterC'' Data'!$B$4:$B$8,0),MATCH(T118,'G-7 WaterC'' Data'!$H$3:$L$3,0)),"")</f>
        <v/>
      </c>
      <c r="V118" s="109"/>
      <c r="W118" s="301" t="str">
        <f>IF(V118="","",IF(VLOOKUP(V118,'G-7 WaterC'' Data'!$AK$4:$AM$6,2,FALSE)=0,"Spatial Data Missing ⚠",VLOOKUP(V118,'G-7 WaterC'' Data'!$AK$4:$AM$6,2,FALSE)))</f>
        <v/>
      </c>
      <c r="X118" s="305" t="str">
        <f>IF(V118="","",IF(VLOOKUP(V118,'G-7 WaterC'' Data'!$AK$4:$AM$6,3,FALSE)=0,"Spatial Data Missing ⚠",VLOOKUP(V118,'G-7 WaterC'' Data'!$AK$4:$AM$6,3,FALSE)))</f>
        <v/>
      </c>
      <c r="Y118" s="317" t="str">
        <f>IFERROR(IF(OR(LEFT(P118,5)="Error",LEFT(O118,5)="Error"),"Check Data ⚠",IF(F118&lt;S118,'G-7 WaterC'' Data'!$R$3,INDEX('G-7 WaterC'' Data'!$U$5:$Y$9,MATCH(G118,'G-7 WaterC'' Data'!$T$5:$T$9,0),MATCH(T118,'G-7 WaterC'' Data'!$U$4:$Y$4,0)))),"")</f>
        <v/>
      </c>
      <c r="Z118" s="142"/>
      <c r="AA118" s="142"/>
      <c r="AB118" s="314" t="str">
        <f t="shared" si="11"/>
        <v/>
      </c>
      <c r="AC118" s="302" t="str">
        <f t="shared" si="16"/>
        <v/>
      </c>
      <c r="AD118" s="340" t="str">
        <f>IFERROR(IF(AC118="Check Data ⚠","Check Data ⚠",VLOOKUP(AC118,'G-4 Temporal multipliers'!$A$4:$C$37,3,FALSE)),"")</f>
        <v/>
      </c>
      <c r="AE118" s="317" t="str">
        <f>IF(N118="","",VLOOKUP(N118,'G-7 WaterC'' Data'!$B$4:$G$8,5,FALSE))</f>
        <v/>
      </c>
      <c r="AF118" s="301" t="str">
        <f t="shared" si="12"/>
        <v/>
      </c>
      <c r="AG118" s="301" t="str">
        <f t="shared" si="17"/>
        <v/>
      </c>
      <c r="AH118" s="282" t="str">
        <f t="shared" si="13"/>
        <v/>
      </c>
      <c r="AI118" s="109"/>
      <c r="AJ118" s="282" t="str">
        <f>IF(AI118="","",(IF(AND(AI118="N/A - Culvert",N118&lt;&gt;"Culvert"),"Not possible ▲",IF(VLOOKUP(AI118,'G-7 WaterC'' Data'!$AA$4:$AB$7,2,FALSE)=0,"Spatial Data Missing ⚠",VLOOKUP(AI118,'G-7 WaterC'' Data'!$AA$4:$AB$7,2,FALSE)))))</f>
        <v/>
      </c>
      <c r="AK118" s="110"/>
      <c r="AL118" s="316" t="str">
        <f>IF(AK118="","",IF(AND(AK118="N/A - Culvert",N118&lt;&gt;"Culvert"),"Not possible ▲",IF(VLOOKUP(AK118,'G-7 WaterC'' Data'!$AD$4:$AE$14,2,FALSE)=0,"Spatial Data Missing ⚠",VLOOKUP(AK118,'G-7 WaterC'' Data'!$AD$4:$AE$14,2,FALSE))))</f>
        <v/>
      </c>
      <c r="AM118" s="281" t="str">
        <f>IF(B118="","",VLOOKUP($B118,'F-1 Off-Site WaterC'' Baseline'!$C$9:$Z$257,17,FALSE))</f>
        <v/>
      </c>
      <c r="AN118" s="282" t="str">
        <f>IF(AM118="","",IF(VLOOKUP(AM118,'G-7 WaterC'' Data'!$AO$4:$BO$7,2,FALSE)=0,"Spatial Data Missing ⚠",VLOOKUP(AM118,'G-7 WaterC'' Data'!$AO$4:$BO$7,2,FALSE)))</f>
        <v/>
      </c>
      <c r="AO118" s="323" t="str">
        <f t="shared" si="18"/>
        <v/>
      </c>
      <c r="AP118" s="323" t="str">
        <f t="shared" si="19"/>
        <v/>
      </c>
      <c r="AQ118" s="105"/>
      <c r="AR118" s="119"/>
      <c r="AS118" s="108"/>
      <c r="AT118" s="108"/>
      <c r="AW118" s="30" t="str">
        <f>IF(E118="","",VLOOKUP($B118,'F-1 Off-Site WaterC'' Baseline'!$C$9:$Z$257,12,FALSE))</f>
        <v/>
      </c>
      <c r="AX118" s="30" t="str">
        <f>IF(E118="","",VLOOKUP($B118,'F-1 Off-Site WaterC'' Baseline'!$C$9:$Z$257,14,FALSE))</f>
        <v/>
      </c>
      <c r="AY118" s="30" t="str">
        <f>IFERROR(INDEX('G-7 WaterC'' Data'!$AZ$3:$AZ$7,MATCH(N118,'G-7 WaterC'' Data'!$AY$3:$AY$7,0)),"")</f>
        <v/>
      </c>
      <c r="AZ118" s="30" t="str">
        <f>IF(B118="","",IF(ISNA(VLOOKUP($B118,'F-1 Off-Site WaterC'' Baseline'!$C$8:$AD$257,20,FALSE)),"",(VLOOKUP($B118,'F-1 Off-Site WaterC'' Baseline'!$C$8:$AD$257,20,FALSE))))</f>
        <v/>
      </c>
      <c r="BC118" s="30" t="str">
        <f>IF(B118="","",VLOOKUP($B118,'F-1 Off-Site WaterC'' Baseline'!$C$9:$AB$257,25,FALSE))</f>
        <v/>
      </c>
      <c r="BD118" s="30" t="str">
        <f t="shared" si="20"/>
        <v/>
      </c>
      <c r="BE118" s="30" t="str">
        <f>IF(B118="","",VLOOKUP($B118,'F-1 Off-Site WaterC'' Baseline'!$C$9:$AB$257,24,FALSE))</f>
        <v/>
      </c>
      <c r="BF118" s="30" t="str">
        <f>IF(B118="","",VLOOKUP($B118,'F-1 Off-Site WaterC'' Baseline'!$C$9:$AB$257,22,FALSE))</f>
        <v/>
      </c>
      <c r="BJ118" s="30" t="str">
        <f t="shared" si="21"/>
        <v>No</v>
      </c>
    </row>
    <row r="119" spans="2:62" ht="13.8" x14ac:dyDescent="0.25">
      <c r="B119" s="311" t="str">
        <f>'F-1 Off-Site WaterC'' Baseline'!AS117</f>
        <v/>
      </c>
      <c r="C119" s="301" t="str">
        <f>IF(B119="","",VLOOKUP($B119,'F-1 Off-Site WaterC'' Baseline'!$C$9:$R$257,2,FALSE))</f>
        <v/>
      </c>
      <c r="D119" s="301" t="str">
        <f>IF(C119="","",VLOOKUP($B119,'F-1 Off-Site WaterC'' Baseline'!$C$9:$R$257,3,FALSE))</f>
        <v/>
      </c>
      <c r="E119" s="301" t="str">
        <f>IF(D119="","",VLOOKUP($B119,'F-1 Off-Site WaterC'' Baseline'!$C$9:$R$257,4,FALSE))</f>
        <v/>
      </c>
      <c r="F119" s="301" t="str">
        <f>IF(E119="","",VLOOKUP($B119,'F-1 Off-Site WaterC'' Baseline'!$C$9:$R$257,5,FALSE))</f>
        <v/>
      </c>
      <c r="G119" s="301" t="str">
        <f>IF(F119="","",VLOOKUP($B119,'F-1 Off-Site WaterC'' Baseline'!$C$9:$R$257,6,FALSE))</f>
        <v/>
      </c>
      <c r="H119" s="301" t="str">
        <f>IF(G119="","",VLOOKUP($B119,'F-1 Off-Site WaterC'' Baseline'!$C$9:$R$257,7,FALSE))</f>
        <v/>
      </c>
      <c r="I119" s="301" t="str">
        <f>IF(H119="","",VLOOKUP($B119,'F-1 Off-Site WaterC'' Baseline'!$C$9:$R$257,8,FALSE))</f>
        <v/>
      </c>
      <c r="J119" s="301" t="str">
        <f>IF(I119="","",VLOOKUP($B119,'F-1 Off-Site WaterC'' Baseline'!$C$9:$R$257,9,FALSE))</f>
        <v/>
      </c>
      <c r="K119" s="301" t="str">
        <f>IF(J119="","",VLOOKUP($B119,'F-1 Off-Site WaterC'' Baseline'!$C$9:$R$257,10,FALSE))</f>
        <v/>
      </c>
      <c r="L119" s="289" t="str">
        <f>IF(B119="","",VLOOKUP($B119,'F-1 Off-Site WaterC'' Baseline'!$C$9:$R$257,15,FALSE))</f>
        <v/>
      </c>
      <c r="M119" s="305" t="str">
        <f>IF(L119="","",VLOOKUP($B119,'F-1 Off-Site WaterC'' Baseline'!$C$9:$V$257,19,FALSE))</f>
        <v/>
      </c>
      <c r="N119" s="250"/>
      <c r="O119" s="281" t="str">
        <f t="shared" si="14"/>
        <v/>
      </c>
      <c r="P119" s="282" t="str">
        <f t="shared" si="15"/>
        <v/>
      </c>
      <c r="Q119" s="287" t="str">
        <f>IF(N119="","",VLOOKUP(B119,'F-1 Off-Site WaterC'' Baseline'!$C$10:$AF$257,23,FALSE))</f>
        <v/>
      </c>
      <c r="R119" s="281" t="str">
        <f>IF(N119="","",VLOOKUP(N119,'G-7 WaterC'' Data'!$B$2:$G$8,2,FALSE))</f>
        <v/>
      </c>
      <c r="S119" s="282" t="str">
        <f>IFERROR(VLOOKUP(R119,'G-7 WaterC'' Data'!$C$4:$D$8,2,FALSE),"")</f>
        <v/>
      </c>
      <c r="T119" s="105"/>
      <c r="U119" s="282" t="str">
        <f>IFERROR(INDEX('G-7 WaterC'' Data'!$H$4:$L$8,MATCH(N119,'G-7 WaterC'' Data'!$B$4:$B$8,0),MATCH(T119,'G-7 WaterC'' Data'!$H$3:$L$3,0)),"")</f>
        <v/>
      </c>
      <c r="V119" s="109"/>
      <c r="W119" s="301" t="str">
        <f>IF(V119="","",IF(VLOOKUP(V119,'G-7 WaterC'' Data'!$AK$4:$AM$6,2,FALSE)=0,"Spatial Data Missing ⚠",VLOOKUP(V119,'G-7 WaterC'' Data'!$AK$4:$AM$6,2,FALSE)))</f>
        <v/>
      </c>
      <c r="X119" s="305" t="str">
        <f>IF(V119="","",IF(VLOOKUP(V119,'G-7 WaterC'' Data'!$AK$4:$AM$6,3,FALSE)=0,"Spatial Data Missing ⚠",VLOOKUP(V119,'G-7 WaterC'' Data'!$AK$4:$AM$6,3,FALSE)))</f>
        <v/>
      </c>
      <c r="Y119" s="317" t="str">
        <f>IFERROR(IF(OR(LEFT(P119,5)="Error",LEFT(O119,5)="Error"),"Check Data ⚠",IF(F119&lt;S119,'G-7 WaterC'' Data'!$R$3,INDEX('G-7 WaterC'' Data'!$U$5:$Y$9,MATCH(G119,'G-7 WaterC'' Data'!$T$5:$T$9,0),MATCH(T119,'G-7 WaterC'' Data'!$U$4:$Y$4,0)))),"")</f>
        <v/>
      </c>
      <c r="Z119" s="142"/>
      <c r="AA119" s="142"/>
      <c r="AB119" s="314" t="str">
        <f t="shared" si="11"/>
        <v/>
      </c>
      <c r="AC119" s="302" t="str">
        <f t="shared" si="16"/>
        <v/>
      </c>
      <c r="AD119" s="340" t="str">
        <f>IFERROR(IF(AC119="Check Data ⚠","Check Data ⚠",VLOOKUP(AC119,'G-4 Temporal multipliers'!$A$4:$C$37,3,FALSE)),"")</f>
        <v/>
      </c>
      <c r="AE119" s="317" t="str">
        <f>IF(N119="","",VLOOKUP(N119,'G-7 WaterC'' Data'!$B$4:$G$8,5,FALSE))</f>
        <v/>
      </c>
      <c r="AF119" s="301" t="str">
        <f t="shared" si="12"/>
        <v/>
      </c>
      <c r="AG119" s="301" t="str">
        <f t="shared" si="17"/>
        <v/>
      </c>
      <c r="AH119" s="282" t="str">
        <f t="shared" si="13"/>
        <v/>
      </c>
      <c r="AI119" s="109"/>
      <c r="AJ119" s="282" t="str">
        <f>IF(AI119="","",(IF(AND(AI119="N/A - Culvert",N119&lt;&gt;"Culvert"),"Not possible ▲",IF(VLOOKUP(AI119,'G-7 WaterC'' Data'!$AA$4:$AB$7,2,FALSE)=0,"Spatial Data Missing ⚠",VLOOKUP(AI119,'G-7 WaterC'' Data'!$AA$4:$AB$7,2,FALSE)))))</f>
        <v/>
      </c>
      <c r="AK119" s="110"/>
      <c r="AL119" s="316" t="str">
        <f>IF(AK119="","",IF(AND(AK119="N/A - Culvert",N119&lt;&gt;"Culvert"),"Not possible ▲",IF(VLOOKUP(AK119,'G-7 WaterC'' Data'!$AD$4:$AE$14,2,FALSE)=0,"Spatial Data Missing ⚠",VLOOKUP(AK119,'G-7 WaterC'' Data'!$AD$4:$AE$14,2,FALSE))))</f>
        <v/>
      </c>
      <c r="AM119" s="281" t="str">
        <f>IF(B119="","",VLOOKUP($B119,'F-1 Off-Site WaterC'' Baseline'!$C$9:$Z$257,17,FALSE))</f>
        <v/>
      </c>
      <c r="AN119" s="282" t="str">
        <f>IF(AM119="","",IF(VLOOKUP(AM119,'G-7 WaterC'' Data'!$AO$4:$BO$7,2,FALSE)=0,"Spatial Data Missing ⚠",VLOOKUP(AM119,'G-7 WaterC'' Data'!$AO$4:$BO$7,2,FALSE)))</f>
        <v/>
      </c>
      <c r="AO119" s="323" t="str">
        <f t="shared" si="18"/>
        <v/>
      </c>
      <c r="AP119" s="323" t="str">
        <f t="shared" si="19"/>
        <v/>
      </c>
      <c r="AQ119" s="105"/>
      <c r="AR119" s="119"/>
      <c r="AS119" s="108"/>
      <c r="AT119" s="108"/>
      <c r="AW119" s="30" t="str">
        <f>IF(E119="","",VLOOKUP($B119,'F-1 Off-Site WaterC'' Baseline'!$C$9:$Z$257,12,FALSE))</f>
        <v/>
      </c>
      <c r="AX119" s="30" t="str">
        <f>IF(E119="","",VLOOKUP($B119,'F-1 Off-Site WaterC'' Baseline'!$C$9:$Z$257,14,FALSE))</f>
        <v/>
      </c>
      <c r="AY119" s="30" t="str">
        <f>IFERROR(INDEX('G-7 WaterC'' Data'!$AZ$3:$AZ$7,MATCH(N119,'G-7 WaterC'' Data'!$AY$3:$AY$7,0)),"")</f>
        <v/>
      </c>
      <c r="AZ119" s="30" t="str">
        <f>IF(B119="","",IF(ISNA(VLOOKUP($B119,'F-1 Off-Site WaterC'' Baseline'!$C$8:$AD$257,20,FALSE)),"",(VLOOKUP($B119,'F-1 Off-Site WaterC'' Baseline'!$C$8:$AD$257,20,FALSE))))</f>
        <v/>
      </c>
      <c r="BC119" s="30" t="str">
        <f>IF(B119="","",VLOOKUP($B119,'F-1 Off-Site WaterC'' Baseline'!$C$9:$AB$257,25,FALSE))</f>
        <v/>
      </c>
      <c r="BD119" s="30" t="str">
        <f t="shared" si="20"/>
        <v/>
      </c>
      <c r="BE119" s="30" t="str">
        <f>IF(B119="","",VLOOKUP($B119,'F-1 Off-Site WaterC'' Baseline'!$C$9:$AB$257,24,FALSE))</f>
        <v/>
      </c>
      <c r="BF119" s="30" t="str">
        <f>IF(B119="","",VLOOKUP($B119,'F-1 Off-Site WaterC'' Baseline'!$C$9:$AB$257,22,FALSE))</f>
        <v/>
      </c>
      <c r="BJ119" s="30" t="str">
        <f t="shared" si="21"/>
        <v>No</v>
      </c>
    </row>
    <row r="120" spans="2:62" ht="13.8" x14ac:dyDescent="0.25">
      <c r="B120" s="311" t="str">
        <f>'F-1 Off-Site WaterC'' Baseline'!AS118</f>
        <v/>
      </c>
      <c r="C120" s="301" t="str">
        <f>IF(B120="","",VLOOKUP($B120,'F-1 Off-Site WaterC'' Baseline'!$C$9:$R$257,2,FALSE))</f>
        <v/>
      </c>
      <c r="D120" s="301" t="str">
        <f>IF(C120="","",VLOOKUP($B120,'F-1 Off-Site WaterC'' Baseline'!$C$9:$R$257,3,FALSE))</f>
        <v/>
      </c>
      <c r="E120" s="301" t="str">
        <f>IF(D120="","",VLOOKUP($B120,'F-1 Off-Site WaterC'' Baseline'!$C$9:$R$257,4,FALSE))</f>
        <v/>
      </c>
      <c r="F120" s="301" t="str">
        <f>IF(E120="","",VLOOKUP($B120,'F-1 Off-Site WaterC'' Baseline'!$C$9:$R$257,5,FALSE))</f>
        <v/>
      </c>
      <c r="G120" s="301" t="str">
        <f>IF(F120="","",VLOOKUP($B120,'F-1 Off-Site WaterC'' Baseline'!$C$9:$R$257,6,FALSE))</f>
        <v/>
      </c>
      <c r="H120" s="301" t="str">
        <f>IF(G120="","",VLOOKUP($B120,'F-1 Off-Site WaterC'' Baseline'!$C$9:$R$257,7,FALSE))</f>
        <v/>
      </c>
      <c r="I120" s="301" t="str">
        <f>IF(H120="","",VLOOKUP($B120,'F-1 Off-Site WaterC'' Baseline'!$C$9:$R$257,8,FALSE))</f>
        <v/>
      </c>
      <c r="J120" s="301" t="str">
        <f>IF(I120="","",VLOOKUP($B120,'F-1 Off-Site WaterC'' Baseline'!$C$9:$R$257,9,FALSE))</f>
        <v/>
      </c>
      <c r="K120" s="301" t="str">
        <f>IF(J120="","",VLOOKUP($B120,'F-1 Off-Site WaterC'' Baseline'!$C$9:$R$257,10,FALSE))</f>
        <v/>
      </c>
      <c r="L120" s="289" t="str">
        <f>IF(B120="","",VLOOKUP($B120,'F-1 Off-Site WaterC'' Baseline'!$C$9:$R$257,15,FALSE))</f>
        <v/>
      </c>
      <c r="M120" s="305" t="str">
        <f>IF(L120="","",VLOOKUP($B120,'F-1 Off-Site WaterC'' Baseline'!$C$9:$V$257,19,FALSE))</f>
        <v/>
      </c>
      <c r="N120" s="250"/>
      <c r="O120" s="281" t="str">
        <f t="shared" si="14"/>
        <v/>
      </c>
      <c r="P120" s="282" t="str">
        <f t="shared" si="15"/>
        <v/>
      </c>
      <c r="Q120" s="287" t="str">
        <f>IF(N120="","",VLOOKUP(B120,'F-1 Off-Site WaterC'' Baseline'!$C$10:$AF$257,23,FALSE))</f>
        <v/>
      </c>
      <c r="R120" s="281" t="str">
        <f>IF(N120="","",VLOOKUP(N120,'G-7 WaterC'' Data'!$B$2:$G$8,2,FALSE))</f>
        <v/>
      </c>
      <c r="S120" s="282" t="str">
        <f>IFERROR(VLOOKUP(R120,'G-7 WaterC'' Data'!$C$4:$D$8,2,FALSE),"")</f>
        <v/>
      </c>
      <c r="T120" s="105"/>
      <c r="U120" s="282" t="str">
        <f>IFERROR(INDEX('G-7 WaterC'' Data'!$H$4:$L$8,MATCH(N120,'G-7 WaterC'' Data'!$B$4:$B$8,0),MATCH(T120,'G-7 WaterC'' Data'!$H$3:$L$3,0)),"")</f>
        <v/>
      </c>
      <c r="V120" s="109"/>
      <c r="W120" s="301" t="str">
        <f>IF(V120="","",IF(VLOOKUP(V120,'G-7 WaterC'' Data'!$AK$4:$AM$6,2,FALSE)=0,"Spatial Data Missing ⚠",VLOOKUP(V120,'G-7 WaterC'' Data'!$AK$4:$AM$6,2,FALSE)))</f>
        <v/>
      </c>
      <c r="X120" s="305" t="str">
        <f>IF(V120="","",IF(VLOOKUP(V120,'G-7 WaterC'' Data'!$AK$4:$AM$6,3,FALSE)=0,"Spatial Data Missing ⚠",VLOOKUP(V120,'G-7 WaterC'' Data'!$AK$4:$AM$6,3,FALSE)))</f>
        <v/>
      </c>
      <c r="Y120" s="317" t="str">
        <f>IFERROR(IF(OR(LEFT(P120,5)="Error",LEFT(O120,5)="Error"),"Check Data ⚠",IF(F120&lt;S120,'G-7 WaterC'' Data'!$R$3,INDEX('G-7 WaterC'' Data'!$U$5:$Y$9,MATCH(G120,'G-7 WaterC'' Data'!$T$5:$T$9,0),MATCH(T120,'G-7 WaterC'' Data'!$U$4:$Y$4,0)))),"")</f>
        <v/>
      </c>
      <c r="Z120" s="142"/>
      <c r="AA120" s="142"/>
      <c r="AB120" s="314" t="str">
        <f t="shared" si="11"/>
        <v/>
      </c>
      <c r="AC120" s="302" t="str">
        <f t="shared" si="16"/>
        <v/>
      </c>
      <c r="AD120" s="340" t="str">
        <f>IFERROR(IF(AC120="Check Data ⚠","Check Data ⚠",VLOOKUP(AC120,'G-4 Temporal multipliers'!$A$4:$C$37,3,FALSE)),"")</f>
        <v/>
      </c>
      <c r="AE120" s="317" t="str">
        <f>IF(N120="","",VLOOKUP(N120,'G-7 WaterC'' Data'!$B$4:$G$8,5,FALSE))</f>
        <v/>
      </c>
      <c r="AF120" s="301" t="str">
        <f t="shared" si="12"/>
        <v/>
      </c>
      <c r="AG120" s="301" t="str">
        <f t="shared" si="17"/>
        <v/>
      </c>
      <c r="AH120" s="282" t="str">
        <f t="shared" si="13"/>
        <v/>
      </c>
      <c r="AI120" s="109"/>
      <c r="AJ120" s="282" t="str">
        <f>IF(AI120="","",(IF(AND(AI120="N/A - Culvert",N120&lt;&gt;"Culvert"),"Not possible ▲",IF(VLOOKUP(AI120,'G-7 WaterC'' Data'!$AA$4:$AB$7,2,FALSE)=0,"Spatial Data Missing ⚠",VLOOKUP(AI120,'G-7 WaterC'' Data'!$AA$4:$AB$7,2,FALSE)))))</f>
        <v/>
      </c>
      <c r="AK120" s="110"/>
      <c r="AL120" s="316" t="str">
        <f>IF(AK120="","",IF(AND(AK120="N/A - Culvert",N120&lt;&gt;"Culvert"),"Not possible ▲",IF(VLOOKUP(AK120,'G-7 WaterC'' Data'!$AD$4:$AE$14,2,FALSE)=0,"Spatial Data Missing ⚠",VLOOKUP(AK120,'G-7 WaterC'' Data'!$AD$4:$AE$14,2,FALSE))))</f>
        <v/>
      </c>
      <c r="AM120" s="281" t="str">
        <f>IF(B120="","",VLOOKUP($B120,'F-1 Off-Site WaterC'' Baseline'!$C$9:$Z$257,17,FALSE))</f>
        <v/>
      </c>
      <c r="AN120" s="282" t="str">
        <f>IF(AM120="","",IF(VLOOKUP(AM120,'G-7 WaterC'' Data'!$AO$4:$BO$7,2,FALSE)=0,"Spatial Data Missing ⚠",VLOOKUP(AM120,'G-7 WaterC'' Data'!$AO$4:$BO$7,2,FALSE)))</f>
        <v/>
      </c>
      <c r="AO120" s="323" t="str">
        <f t="shared" si="18"/>
        <v/>
      </c>
      <c r="AP120" s="323" t="str">
        <f t="shared" si="19"/>
        <v/>
      </c>
      <c r="AQ120" s="105"/>
      <c r="AR120" s="119"/>
      <c r="AS120" s="108"/>
      <c r="AT120" s="108"/>
      <c r="AW120" s="30" t="str">
        <f>IF(E120="","",VLOOKUP($B120,'F-1 Off-Site WaterC'' Baseline'!$C$9:$Z$257,12,FALSE))</f>
        <v/>
      </c>
      <c r="AX120" s="30" t="str">
        <f>IF(E120="","",VLOOKUP($B120,'F-1 Off-Site WaterC'' Baseline'!$C$9:$Z$257,14,FALSE))</f>
        <v/>
      </c>
      <c r="AY120" s="30" t="str">
        <f>IFERROR(INDEX('G-7 WaterC'' Data'!$AZ$3:$AZ$7,MATCH(N120,'G-7 WaterC'' Data'!$AY$3:$AY$7,0)),"")</f>
        <v/>
      </c>
      <c r="AZ120" s="30" t="str">
        <f>IF(B120="","",IF(ISNA(VLOOKUP($B120,'F-1 Off-Site WaterC'' Baseline'!$C$8:$AD$257,20,FALSE)),"",(VLOOKUP($B120,'F-1 Off-Site WaterC'' Baseline'!$C$8:$AD$257,20,FALSE))))</f>
        <v/>
      </c>
      <c r="BC120" s="30" t="str">
        <f>IF(B120="","",VLOOKUP($B120,'F-1 Off-Site WaterC'' Baseline'!$C$9:$AB$257,25,FALSE))</f>
        <v/>
      </c>
      <c r="BD120" s="30" t="str">
        <f t="shared" si="20"/>
        <v/>
      </c>
      <c r="BE120" s="30" t="str">
        <f>IF(B120="","",VLOOKUP($B120,'F-1 Off-Site WaterC'' Baseline'!$C$9:$AB$257,24,FALSE))</f>
        <v/>
      </c>
      <c r="BF120" s="30" t="str">
        <f>IF(B120="","",VLOOKUP($B120,'F-1 Off-Site WaterC'' Baseline'!$C$9:$AB$257,22,FALSE))</f>
        <v/>
      </c>
      <c r="BJ120" s="30" t="str">
        <f t="shared" si="21"/>
        <v>No</v>
      </c>
    </row>
    <row r="121" spans="2:62" ht="13.8" x14ac:dyDescent="0.25">
      <c r="B121" s="311" t="str">
        <f>'F-1 Off-Site WaterC'' Baseline'!AS119</f>
        <v/>
      </c>
      <c r="C121" s="301" t="str">
        <f>IF(B121="","",VLOOKUP($B121,'F-1 Off-Site WaterC'' Baseline'!$C$9:$R$257,2,FALSE))</f>
        <v/>
      </c>
      <c r="D121" s="301" t="str">
        <f>IF(C121="","",VLOOKUP($B121,'F-1 Off-Site WaterC'' Baseline'!$C$9:$R$257,3,FALSE))</f>
        <v/>
      </c>
      <c r="E121" s="301" t="str">
        <f>IF(D121="","",VLOOKUP($B121,'F-1 Off-Site WaterC'' Baseline'!$C$9:$R$257,4,FALSE))</f>
        <v/>
      </c>
      <c r="F121" s="301" t="str">
        <f>IF(E121="","",VLOOKUP($B121,'F-1 Off-Site WaterC'' Baseline'!$C$9:$R$257,5,FALSE))</f>
        <v/>
      </c>
      <c r="G121" s="301" t="str">
        <f>IF(F121="","",VLOOKUP($B121,'F-1 Off-Site WaterC'' Baseline'!$C$9:$R$257,6,FALSE))</f>
        <v/>
      </c>
      <c r="H121" s="301" t="str">
        <f>IF(G121="","",VLOOKUP($B121,'F-1 Off-Site WaterC'' Baseline'!$C$9:$R$257,7,FALSE))</f>
        <v/>
      </c>
      <c r="I121" s="301" t="str">
        <f>IF(H121="","",VLOOKUP($B121,'F-1 Off-Site WaterC'' Baseline'!$C$9:$R$257,8,FALSE))</f>
        <v/>
      </c>
      <c r="J121" s="301" t="str">
        <f>IF(I121="","",VLOOKUP($B121,'F-1 Off-Site WaterC'' Baseline'!$C$9:$R$257,9,FALSE))</f>
        <v/>
      </c>
      <c r="K121" s="301" t="str">
        <f>IF(J121="","",VLOOKUP($B121,'F-1 Off-Site WaterC'' Baseline'!$C$9:$R$257,10,FALSE))</f>
        <v/>
      </c>
      <c r="L121" s="289" t="str">
        <f>IF(B121="","",VLOOKUP($B121,'F-1 Off-Site WaterC'' Baseline'!$C$9:$R$257,15,FALSE))</f>
        <v/>
      </c>
      <c r="M121" s="305" t="str">
        <f>IF(L121="","",VLOOKUP($B121,'F-1 Off-Site WaterC'' Baseline'!$C$9:$V$257,19,FALSE))</f>
        <v/>
      </c>
      <c r="N121" s="250"/>
      <c r="O121" s="281" t="str">
        <f t="shared" si="14"/>
        <v/>
      </c>
      <c r="P121" s="282" t="str">
        <f t="shared" si="15"/>
        <v/>
      </c>
      <c r="Q121" s="287" t="str">
        <f>IF(N121="","",VLOOKUP(B121,'F-1 Off-Site WaterC'' Baseline'!$C$10:$AF$257,23,FALSE))</f>
        <v/>
      </c>
      <c r="R121" s="281" t="str">
        <f>IF(N121="","",VLOOKUP(N121,'G-7 WaterC'' Data'!$B$2:$G$8,2,FALSE))</f>
        <v/>
      </c>
      <c r="S121" s="282" t="str">
        <f>IFERROR(VLOOKUP(R121,'G-7 WaterC'' Data'!$C$4:$D$8,2,FALSE),"")</f>
        <v/>
      </c>
      <c r="T121" s="105"/>
      <c r="U121" s="282" t="str">
        <f>IFERROR(INDEX('G-7 WaterC'' Data'!$H$4:$L$8,MATCH(N121,'G-7 WaterC'' Data'!$B$4:$B$8,0),MATCH(T121,'G-7 WaterC'' Data'!$H$3:$L$3,0)),"")</f>
        <v/>
      </c>
      <c r="V121" s="109"/>
      <c r="W121" s="301" t="str">
        <f>IF(V121="","",IF(VLOOKUP(V121,'G-7 WaterC'' Data'!$AK$4:$AM$6,2,FALSE)=0,"Spatial Data Missing ⚠",VLOOKUP(V121,'G-7 WaterC'' Data'!$AK$4:$AM$6,2,FALSE)))</f>
        <v/>
      </c>
      <c r="X121" s="305" t="str">
        <f>IF(V121="","",IF(VLOOKUP(V121,'G-7 WaterC'' Data'!$AK$4:$AM$6,3,FALSE)=0,"Spatial Data Missing ⚠",VLOOKUP(V121,'G-7 WaterC'' Data'!$AK$4:$AM$6,3,FALSE)))</f>
        <v/>
      </c>
      <c r="Y121" s="317" t="str">
        <f>IFERROR(IF(OR(LEFT(P121,5)="Error",LEFT(O121,5)="Error"),"Check Data ⚠",IF(F121&lt;S121,'G-7 WaterC'' Data'!$R$3,INDEX('G-7 WaterC'' Data'!$U$5:$Y$9,MATCH(G121,'G-7 WaterC'' Data'!$T$5:$T$9,0),MATCH(T121,'G-7 WaterC'' Data'!$U$4:$Y$4,0)))),"")</f>
        <v/>
      </c>
      <c r="Z121" s="142"/>
      <c r="AA121" s="142"/>
      <c r="AB121" s="314" t="str">
        <f t="shared" si="11"/>
        <v/>
      </c>
      <c r="AC121" s="302" t="str">
        <f t="shared" si="16"/>
        <v/>
      </c>
      <c r="AD121" s="340" t="str">
        <f>IFERROR(IF(AC121="Check Data ⚠","Check Data ⚠",VLOOKUP(AC121,'G-4 Temporal multipliers'!$A$4:$C$37,3,FALSE)),"")</f>
        <v/>
      </c>
      <c r="AE121" s="317" t="str">
        <f>IF(N121="","",VLOOKUP(N121,'G-7 WaterC'' Data'!$B$4:$G$8,5,FALSE))</f>
        <v/>
      </c>
      <c r="AF121" s="301" t="str">
        <f t="shared" si="12"/>
        <v/>
      </c>
      <c r="AG121" s="301" t="str">
        <f t="shared" si="17"/>
        <v/>
      </c>
      <c r="AH121" s="282" t="str">
        <f t="shared" si="13"/>
        <v/>
      </c>
      <c r="AI121" s="109"/>
      <c r="AJ121" s="282" t="str">
        <f>IF(AI121="","",(IF(AND(AI121="N/A - Culvert",N121&lt;&gt;"Culvert"),"Not possible ▲",IF(VLOOKUP(AI121,'G-7 WaterC'' Data'!$AA$4:$AB$7,2,FALSE)=0,"Spatial Data Missing ⚠",VLOOKUP(AI121,'G-7 WaterC'' Data'!$AA$4:$AB$7,2,FALSE)))))</f>
        <v/>
      </c>
      <c r="AK121" s="110"/>
      <c r="AL121" s="316" t="str">
        <f>IF(AK121="","",IF(AND(AK121="N/A - Culvert",N121&lt;&gt;"Culvert"),"Not possible ▲",IF(VLOOKUP(AK121,'G-7 WaterC'' Data'!$AD$4:$AE$14,2,FALSE)=0,"Spatial Data Missing ⚠",VLOOKUP(AK121,'G-7 WaterC'' Data'!$AD$4:$AE$14,2,FALSE))))</f>
        <v/>
      </c>
      <c r="AM121" s="281" t="str">
        <f>IF(B121="","",VLOOKUP($B121,'F-1 Off-Site WaterC'' Baseline'!$C$9:$Z$257,17,FALSE))</f>
        <v/>
      </c>
      <c r="AN121" s="282" t="str">
        <f>IF(AM121="","",IF(VLOOKUP(AM121,'G-7 WaterC'' Data'!$AO$4:$BO$7,2,FALSE)=0,"Spatial Data Missing ⚠",VLOOKUP(AM121,'G-7 WaterC'' Data'!$AO$4:$BO$7,2,FALSE)))</f>
        <v/>
      </c>
      <c r="AO121" s="323" t="str">
        <f t="shared" si="18"/>
        <v/>
      </c>
      <c r="AP121" s="323" t="str">
        <f t="shared" si="19"/>
        <v/>
      </c>
      <c r="AQ121" s="105"/>
      <c r="AR121" s="119"/>
      <c r="AS121" s="108"/>
      <c r="AT121" s="108"/>
      <c r="AW121" s="30" t="str">
        <f>IF(E121="","",VLOOKUP($B121,'F-1 Off-Site WaterC'' Baseline'!$C$9:$Z$257,12,FALSE))</f>
        <v/>
      </c>
      <c r="AX121" s="30" t="str">
        <f>IF(E121="","",VLOOKUP($B121,'F-1 Off-Site WaterC'' Baseline'!$C$9:$Z$257,14,FALSE))</f>
        <v/>
      </c>
      <c r="AY121" s="30" t="str">
        <f>IFERROR(INDEX('G-7 WaterC'' Data'!$AZ$3:$AZ$7,MATCH(N121,'G-7 WaterC'' Data'!$AY$3:$AY$7,0)),"")</f>
        <v/>
      </c>
      <c r="AZ121" s="30" t="str">
        <f>IF(B121="","",IF(ISNA(VLOOKUP($B121,'F-1 Off-Site WaterC'' Baseline'!$C$8:$AD$257,20,FALSE)),"",(VLOOKUP($B121,'F-1 Off-Site WaterC'' Baseline'!$C$8:$AD$257,20,FALSE))))</f>
        <v/>
      </c>
      <c r="BC121" s="30" t="str">
        <f>IF(B121="","",VLOOKUP($B121,'F-1 Off-Site WaterC'' Baseline'!$C$9:$AB$257,25,FALSE))</f>
        <v/>
      </c>
      <c r="BD121" s="30" t="str">
        <f t="shared" si="20"/>
        <v/>
      </c>
      <c r="BE121" s="30" t="str">
        <f>IF(B121="","",VLOOKUP($B121,'F-1 Off-Site WaterC'' Baseline'!$C$9:$AB$257,24,FALSE))</f>
        <v/>
      </c>
      <c r="BF121" s="30" t="str">
        <f>IF(B121="","",VLOOKUP($B121,'F-1 Off-Site WaterC'' Baseline'!$C$9:$AB$257,22,FALSE))</f>
        <v/>
      </c>
      <c r="BJ121" s="30" t="str">
        <f t="shared" si="21"/>
        <v>No</v>
      </c>
    </row>
    <row r="122" spans="2:62" ht="13.8" x14ac:dyDescent="0.25">
      <c r="B122" s="311" t="str">
        <f>'F-1 Off-Site WaterC'' Baseline'!AS120</f>
        <v/>
      </c>
      <c r="C122" s="301" t="str">
        <f>IF(B122="","",VLOOKUP($B122,'F-1 Off-Site WaterC'' Baseline'!$C$9:$R$257,2,FALSE))</f>
        <v/>
      </c>
      <c r="D122" s="301" t="str">
        <f>IF(C122="","",VLOOKUP($B122,'F-1 Off-Site WaterC'' Baseline'!$C$9:$R$257,3,FALSE))</f>
        <v/>
      </c>
      <c r="E122" s="301" t="str">
        <f>IF(D122="","",VLOOKUP($B122,'F-1 Off-Site WaterC'' Baseline'!$C$9:$R$257,4,FALSE))</f>
        <v/>
      </c>
      <c r="F122" s="301" t="str">
        <f>IF(E122="","",VLOOKUP($B122,'F-1 Off-Site WaterC'' Baseline'!$C$9:$R$257,5,FALSE))</f>
        <v/>
      </c>
      <c r="G122" s="301" t="str">
        <f>IF(F122="","",VLOOKUP($B122,'F-1 Off-Site WaterC'' Baseline'!$C$9:$R$257,6,FALSE))</f>
        <v/>
      </c>
      <c r="H122" s="301" t="str">
        <f>IF(G122="","",VLOOKUP($B122,'F-1 Off-Site WaterC'' Baseline'!$C$9:$R$257,7,FALSE))</f>
        <v/>
      </c>
      <c r="I122" s="301" t="str">
        <f>IF(H122="","",VLOOKUP($B122,'F-1 Off-Site WaterC'' Baseline'!$C$9:$R$257,8,FALSE))</f>
        <v/>
      </c>
      <c r="J122" s="301" t="str">
        <f>IF(I122="","",VLOOKUP($B122,'F-1 Off-Site WaterC'' Baseline'!$C$9:$R$257,9,FALSE))</f>
        <v/>
      </c>
      <c r="K122" s="301" t="str">
        <f>IF(J122="","",VLOOKUP($B122,'F-1 Off-Site WaterC'' Baseline'!$C$9:$R$257,10,FALSE))</f>
        <v/>
      </c>
      <c r="L122" s="289" t="str">
        <f>IF(B122="","",VLOOKUP($B122,'F-1 Off-Site WaterC'' Baseline'!$C$9:$R$257,15,FALSE))</f>
        <v/>
      </c>
      <c r="M122" s="305" t="str">
        <f>IF(L122="","",VLOOKUP($B122,'F-1 Off-Site WaterC'' Baseline'!$C$9:$V$257,19,FALSE))</f>
        <v/>
      </c>
      <c r="N122" s="250"/>
      <c r="O122" s="281" t="str">
        <f t="shared" si="14"/>
        <v/>
      </c>
      <c r="P122" s="282" t="str">
        <f t="shared" si="15"/>
        <v/>
      </c>
      <c r="Q122" s="287" t="str">
        <f>IF(N122="","",VLOOKUP(B122,'F-1 Off-Site WaterC'' Baseline'!$C$10:$AF$257,23,FALSE))</f>
        <v/>
      </c>
      <c r="R122" s="281" t="str">
        <f>IF(N122="","",VLOOKUP(N122,'G-7 WaterC'' Data'!$B$2:$G$8,2,FALSE))</f>
        <v/>
      </c>
      <c r="S122" s="282" t="str">
        <f>IFERROR(VLOOKUP(R122,'G-7 WaterC'' Data'!$C$4:$D$8,2,FALSE),"")</f>
        <v/>
      </c>
      <c r="T122" s="105"/>
      <c r="U122" s="282" t="str">
        <f>IFERROR(INDEX('G-7 WaterC'' Data'!$H$4:$L$8,MATCH(N122,'G-7 WaterC'' Data'!$B$4:$B$8,0),MATCH(T122,'G-7 WaterC'' Data'!$H$3:$L$3,0)),"")</f>
        <v/>
      </c>
      <c r="V122" s="109"/>
      <c r="W122" s="301" t="str">
        <f>IF(V122="","",IF(VLOOKUP(V122,'G-7 WaterC'' Data'!$AK$4:$AM$6,2,FALSE)=0,"Spatial Data Missing ⚠",VLOOKUP(V122,'G-7 WaterC'' Data'!$AK$4:$AM$6,2,FALSE)))</f>
        <v/>
      </c>
      <c r="X122" s="305" t="str">
        <f>IF(V122="","",IF(VLOOKUP(V122,'G-7 WaterC'' Data'!$AK$4:$AM$6,3,FALSE)=0,"Spatial Data Missing ⚠",VLOOKUP(V122,'G-7 WaterC'' Data'!$AK$4:$AM$6,3,FALSE)))</f>
        <v/>
      </c>
      <c r="Y122" s="317" t="str">
        <f>IFERROR(IF(OR(LEFT(P122,5)="Error",LEFT(O122,5)="Error"),"Check Data ⚠",IF(F122&lt;S122,'G-7 WaterC'' Data'!$R$3,INDEX('G-7 WaterC'' Data'!$U$5:$Y$9,MATCH(G122,'G-7 WaterC'' Data'!$T$5:$T$9,0),MATCH(T122,'G-7 WaterC'' Data'!$U$4:$Y$4,0)))),"")</f>
        <v/>
      </c>
      <c r="Z122" s="142"/>
      <c r="AA122" s="142"/>
      <c r="AB122" s="314" t="str">
        <f t="shared" si="11"/>
        <v/>
      </c>
      <c r="AC122" s="302" t="str">
        <f t="shared" si="16"/>
        <v/>
      </c>
      <c r="AD122" s="340" t="str">
        <f>IFERROR(IF(AC122="Check Data ⚠","Check Data ⚠",VLOOKUP(AC122,'G-4 Temporal multipliers'!$A$4:$C$37,3,FALSE)),"")</f>
        <v/>
      </c>
      <c r="AE122" s="317" t="str">
        <f>IF(N122="","",VLOOKUP(N122,'G-7 WaterC'' Data'!$B$4:$G$8,5,FALSE))</f>
        <v/>
      </c>
      <c r="AF122" s="301" t="str">
        <f t="shared" si="12"/>
        <v/>
      </c>
      <c r="AG122" s="301" t="str">
        <f t="shared" si="17"/>
        <v/>
      </c>
      <c r="AH122" s="282" t="str">
        <f t="shared" si="13"/>
        <v/>
      </c>
      <c r="AI122" s="109"/>
      <c r="AJ122" s="282" t="str">
        <f>IF(AI122="","",(IF(AND(AI122="N/A - Culvert",N122&lt;&gt;"Culvert"),"Not possible ▲",IF(VLOOKUP(AI122,'G-7 WaterC'' Data'!$AA$4:$AB$7,2,FALSE)=0,"Spatial Data Missing ⚠",VLOOKUP(AI122,'G-7 WaterC'' Data'!$AA$4:$AB$7,2,FALSE)))))</f>
        <v/>
      </c>
      <c r="AK122" s="110"/>
      <c r="AL122" s="316" t="str">
        <f>IF(AK122="","",IF(AND(AK122="N/A - Culvert",N122&lt;&gt;"Culvert"),"Not possible ▲",IF(VLOOKUP(AK122,'G-7 WaterC'' Data'!$AD$4:$AE$14,2,FALSE)=0,"Spatial Data Missing ⚠",VLOOKUP(AK122,'G-7 WaterC'' Data'!$AD$4:$AE$14,2,FALSE))))</f>
        <v/>
      </c>
      <c r="AM122" s="281" t="str">
        <f>IF(B122="","",VLOOKUP($B122,'F-1 Off-Site WaterC'' Baseline'!$C$9:$Z$257,17,FALSE))</f>
        <v/>
      </c>
      <c r="AN122" s="282" t="str">
        <f>IF(AM122="","",IF(VLOOKUP(AM122,'G-7 WaterC'' Data'!$AO$4:$BO$7,2,FALSE)=0,"Spatial Data Missing ⚠",VLOOKUP(AM122,'G-7 WaterC'' Data'!$AO$4:$BO$7,2,FALSE)))</f>
        <v/>
      </c>
      <c r="AO122" s="323" t="str">
        <f t="shared" si="18"/>
        <v/>
      </c>
      <c r="AP122" s="323" t="str">
        <f t="shared" si="19"/>
        <v/>
      </c>
      <c r="AQ122" s="105"/>
      <c r="AR122" s="119"/>
      <c r="AS122" s="108"/>
      <c r="AT122" s="108"/>
      <c r="AW122" s="30" t="str">
        <f>IF(E122="","",VLOOKUP($B122,'F-1 Off-Site WaterC'' Baseline'!$C$9:$Z$257,12,FALSE))</f>
        <v/>
      </c>
      <c r="AX122" s="30" t="str">
        <f>IF(E122="","",VLOOKUP($B122,'F-1 Off-Site WaterC'' Baseline'!$C$9:$Z$257,14,FALSE))</f>
        <v/>
      </c>
      <c r="AY122" s="30" t="str">
        <f>IFERROR(INDEX('G-7 WaterC'' Data'!$AZ$3:$AZ$7,MATCH(N122,'G-7 WaterC'' Data'!$AY$3:$AY$7,0)),"")</f>
        <v/>
      </c>
      <c r="AZ122" s="30" t="str">
        <f>IF(B122="","",IF(ISNA(VLOOKUP($B122,'F-1 Off-Site WaterC'' Baseline'!$C$8:$AD$257,20,FALSE)),"",(VLOOKUP($B122,'F-1 Off-Site WaterC'' Baseline'!$C$8:$AD$257,20,FALSE))))</f>
        <v/>
      </c>
      <c r="BC122" s="30" t="str">
        <f>IF(B122="","",VLOOKUP($B122,'F-1 Off-Site WaterC'' Baseline'!$C$9:$AB$257,25,FALSE))</f>
        <v/>
      </c>
      <c r="BD122" s="30" t="str">
        <f t="shared" si="20"/>
        <v/>
      </c>
      <c r="BE122" s="30" t="str">
        <f>IF(B122="","",VLOOKUP($B122,'F-1 Off-Site WaterC'' Baseline'!$C$9:$AB$257,24,FALSE))</f>
        <v/>
      </c>
      <c r="BF122" s="30" t="str">
        <f>IF(B122="","",VLOOKUP($B122,'F-1 Off-Site WaterC'' Baseline'!$C$9:$AB$257,22,FALSE))</f>
        <v/>
      </c>
      <c r="BJ122" s="30" t="str">
        <f t="shared" si="21"/>
        <v>No</v>
      </c>
    </row>
    <row r="123" spans="2:62" ht="13.8" x14ac:dyDescent="0.25">
      <c r="B123" s="311" t="str">
        <f>'F-1 Off-Site WaterC'' Baseline'!AS121</f>
        <v/>
      </c>
      <c r="C123" s="301" t="str">
        <f>IF(B123="","",VLOOKUP($B123,'F-1 Off-Site WaterC'' Baseline'!$C$9:$R$257,2,FALSE))</f>
        <v/>
      </c>
      <c r="D123" s="301" t="str">
        <f>IF(C123="","",VLOOKUP($B123,'F-1 Off-Site WaterC'' Baseline'!$C$9:$R$257,3,FALSE))</f>
        <v/>
      </c>
      <c r="E123" s="301" t="str">
        <f>IF(D123="","",VLOOKUP($B123,'F-1 Off-Site WaterC'' Baseline'!$C$9:$R$257,4,FALSE))</f>
        <v/>
      </c>
      <c r="F123" s="301" t="str">
        <f>IF(E123="","",VLOOKUP($B123,'F-1 Off-Site WaterC'' Baseline'!$C$9:$R$257,5,FALSE))</f>
        <v/>
      </c>
      <c r="G123" s="301" t="str">
        <f>IF(F123="","",VLOOKUP($B123,'F-1 Off-Site WaterC'' Baseline'!$C$9:$R$257,6,FALSE))</f>
        <v/>
      </c>
      <c r="H123" s="301" t="str">
        <f>IF(G123="","",VLOOKUP($B123,'F-1 Off-Site WaterC'' Baseline'!$C$9:$R$257,7,FALSE))</f>
        <v/>
      </c>
      <c r="I123" s="301" t="str">
        <f>IF(H123="","",VLOOKUP($B123,'F-1 Off-Site WaterC'' Baseline'!$C$9:$R$257,8,FALSE))</f>
        <v/>
      </c>
      <c r="J123" s="301" t="str">
        <f>IF(I123="","",VLOOKUP($B123,'F-1 Off-Site WaterC'' Baseline'!$C$9:$R$257,9,FALSE))</f>
        <v/>
      </c>
      <c r="K123" s="301" t="str">
        <f>IF(J123="","",VLOOKUP($B123,'F-1 Off-Site WaterC'' Baseline'!$C$9:$R$257,10,FALSE))</f>
        <v/>
      </c>
      <c r="L123" s="289" t="str">
        <f>IF(B123="","",VLOOKUP($B123,'F-1 Off-Site WaterC'' Baseline'!$C$9:$R$257,15,FALSE))</f>
        <v/>
      </c>
      <c r="M123" s="305" t="str">
        <f>IF(L123="","",VLOOKUP($B123,'F-1 Off-Site WaterC'' Baseline'!$C$9:$V$257,19,FALSE))</f>
        <v/>
      </c>
      <c r="N123" s="250"/>
      <c r="O123" s="281" t="str">
        <f t="shared" si="14"/>
        <v/>
      </c>
      <c r="P123" s="282" t="str">
        <f t="shared" si="15"/>
        <v/>
      </c>
      <c r="Q123" s="287" t="str">
        <f>IF(N123="","",VLOOKUP(B123,'F-1 Off-Site WaterC'' Baseline'!$C$10:$AF$257,23,FALSE))</f>
        <v/>
      </c>
      <c r="R123" s="281" t="str">
        <f>IF(N123="","",VLOOKUP(N123,'G-7 WaterC'' Data'!$B$2:$G$8,2,FALSE))</f>
        <v/>
      </c>
      <c r="S123" s="282" t="str">
        <f>IFERROR(VLOOKUP(R123,'G-7 WaterC'' Data'!$C$4:$D$8,2,FALSE),"")</f>
        <v/>
      </c>
      <c r="T123" s="105"/>
      <c r="U123" s="282" t="str">
        <f>IFERROR(INDEX('G-7 WaterC'' Data'!$H$4:$L$8,MATCH(N123,'G-7 WaterC'' Data'!$B$4:$B$8,0),MATCH(T123,'G-7 WaterC'' Data'!$H$3:$L$3,0)),"")</f>
        <v/>
      </c>
      <c r="V123" s="109"/>
      <c r="W123" s="301" t="str">
        <f>IF(V123="","",IF(VLOOKUP(V123,'G-7 WaterC'' Data'!$AK$4:$AM$6,2,FALSE)=0,"Spatial Data Missing ⚠",VLOOKUP(V123,'G-7 WaterC'' Data'!$AK$4:$AM$6,2,FALSE)))</f>
        <v/>
      </c>
      <c r="X123" s="305" t="str">
        <f>IF(V123="","",IF(VLOOKUP(V123,'G-7 WaterC'' Data'!$AK$4:$AM$6,3,FALSE)=0,"Spatial Data Missing ⚠",VLOOKUP(V123,'G-7 WaterC'' Data'!$AK$4:$AM$6,3,FALSE)))</f>
        <v/>
      </c>
      <c r="Y123" s="317" t="str">
        <f>IFERROR(IF(OR(LEFT(P123,5)="Error",LEFT(O123,5)="Error"),"Check Data ⚠",IF(F123&lt;S123,'G-7 WaterC'' Data'!$R$3,INDEX('G-7 WaterC'' Data'!$U$5:$Y$9,MATCH(G123,'G-7 WaterC'' Data'!$T$5:$T$9,0),MATCH(T123,'G-7 WaterC'' Data'!$U$4:$Y$4,0)))),"")</f>
        <v/>
      </c>
      <c r="Z123" s="142"/>
      <c r="AA123" s="142"/>
      <c r="AB123" s="314" t="str">
        <f t="shared" si="11"/>
        <v/>
      </c>
      <c r="AC123" s="302" t="str">
        <f t="shared" si="16"/>
        <v/>
      </c>
      <c r="AD123" s="340" t="str">
        <f>IFERROR(IF(AC123="Check Data ⚠","Check Data ⚠",VLOOKUP(AC123,'G-4 Temporal multipliers'!$A$4:$C$37,3,FALSE)),"")</f>
        <v/>
      </c>
      <c r="AE123" s="317" t="str">
        <f>IF(N123="","",VLOOKUP(N123,'G-7 WaterC'' Data'!$B$4:$G$8,5,FALSE))</f>
        <v/>
      </c>
      <c r="AF123" s="301" t="str">
        <f t="shared" si="12"/>
        <v/>
      </c>
      <c r="AG123" s="301" t="str">
        <f t="shared" si="17"/>
        <v/>
      </c>
      <c r="AH123" s="282" t="str">
        <f t="shared" si="13"/>
        <v/>
      </c>
      <c r="AI123" s="109"/>
      <c r="AJ123" s="282" t="str">
        <f>IF(AI123="","",(IF(AND(AI123="N/A - Culvert",N123&lt;&gt;"Culvert"),"Not possible ▲",IF(VLOOKUP(AI123,'G-7 WaterC'' Data'!$AA$4:$AB$7,2,FALSE)=0,"Spatial Data Missing ⚠",VLOOKUP(AI123,'G-7 WaterC'' Data'!$AA$4:$AB$7,2,FALSE)))))</f>
        <v/>
      </c>
      <c r="AK123" s="110"/>
      <c r="AL123" s="316" t="str">
        <f>IF(AK123="","",IF(AND(AK123="N/A - Culvert",N123&lt;&gt;"Culvert"),"Not possible ▲",IF(VLOOKUP(AK123,'G-7 WaterC'' Data'!$AD$4:$AE$14,2,FALSE)=0,"Spatial Data Missing ⚠",VLOOKUP(AK123,'G-7 WaterC'' Data'!$AD$4:$AE$14,2,FALSE))))</f>
        <v/>
      </c>
      <c r="AM123" s="281" t="str">
        <f>IF(B123="","",VLOOKUP($B123,'F-1 Off-Site WaterC'' Baseline'!$C$9:$Z$257,17,FALSE))</f>
        <v/>
      </c>
      <c r="AN123" s="282" t="str">
        <f>IF(AM123="","",IF(VLOOKUP(AM123,'G-7 WaterC'' Data'!$AO$4:$BO$7,2,FALSE)=0,"Spatial Data Missing ⚠",VLOOKUP(AM123,'G-7 WaterC'' Data'!$AO$4:$BO$7,2,FALSE)))</f>
        <v/>
      </c>
      <c r="AO123" s="323" t="str">
        <f t="shared" si="18"/>
        <v/>
      </c>
      <c r="AP123" s="323" t="str">
        <f t="shared" si="19"/>
        <v/>
      </c>
      <c r="AQ123" s="105"/>
      <c r="AR123" s="119"/>
      <c r="AS123" s="108"/>
      <c r="AT123" s="108"/>
      <c r="AW123" s="30" t="str">
        <f>IF(E123="","",VLOOKUP($B123,'F-1 Off-Site WaterC'' Baseline'!$C$9:$Z$257,12,FALSE))</f>
        <v/>
      </c>
      <c r="AX123" s="30" t="str">
        <f>IF(E123="","",VLOOKUP($B123,'F-1 Off-Site WaterC'' Baseline'!$C$9:$Z$257,14,FALSE))</f>
        <v/>
      </c>
      <c r="AY123" s="30" t="str">
        <f>IFERROR(INDEX('G-7 WaterC'' Data'!$AZ$3:$AZ$7,MATCH(N123,'G-7 WaterC'' Data'!$AY$3:$AY$7,0)),"")</f>
        <v/>
      </c>
      <c r="AZ123" s="30" t="str">
        <f>IF(B123="","",IF(ISNA(VLOOKUP($B123,'F-1 Off-Site WaterC'' Baseline'!$C$8:$AD$257,20,FALSE)),"",(VLOOKUP($B123,'F-1 Off-Site WaterC'' Baseline'!$C$8:$AD$257,20,FALSE))))</f>
        <v/>
      </c>
      <c r="BC123" s="30" t="str">
        <f>IF(B123="","",VLOOKUP($B123,'F-1 Off-Site WaterC'' Baseline'!$C$9:$AB$257,25,FALSE))</f>
        <v/>
      </c>
      <c r="BD123" s="30" t="str">
        <f t="shared" si="20"/>
        <v/>
      </c>
      <c r="BE123" s="30" t="str">
        <f>IF(B123="","",VLOOKUP($B123,'F-1 Off-Site WaterC'' Baseline'!$C$9:$AB$257,24,FALSE))</f>
        <v/>
      </c>
      <c r="BF123" s="30" t="str">
        <f>IF(B123="","",VLOOKUP($B123,'F-1 Off-Site WaterC'' Baseline'!$C$9:$AB$257,22,FALSE))</f>
        <v/>
      </c>
      <c r="BJ123" s="30" t="str">
        <f t="shared" si="21"/>
        <v>No</v>
      </c>
    </row>
    <row r="124" spans="2:62" ht="13.8" x14ac:dyDescent="0.25">
      <c r="B124" s="311" t="str">
        <f>'F-1 Off-Site WaterC'' Baseline'!AS122</f>
        <v/>
      </c>
      <c r="C124" s="301" t="str">
        <f>IF(B124="","",VLOOKUP($B124,'F-1 Off-Site WaterC'' Baseline'!$C$9:$R$257,2,FALSE))</f>
        <v/>
      </c>
      <c r="D124" s="301" t="str">
        <f>IF(C124="","",VLOOKUP($B124,'F-1 Off-Site WaterC'' Baseline'!$C$9:$R$257,3,FALSE))</f>
        <v/>
      </c>
      <c r="E124" s="301" t="str">
        <f>IF(D124="","",VLOOKUP($B124,'F-1 Off-Site WaterC'' Baseline'!$C$9:$R$257,4,FALSE))</f>
        <v/>
      </c>
      <c r="F124" s="301" t="str">
        <f>IF(E124="","",VLOOKUP($B124,'F-1 Off-Site WaterC'' Baseline'!$C$9:$R$257,5,FALSE))</f>
        <v/>
      </c>
      <c r="G124" s="301" t="str">
        <f>IF(F124="","",VLOOKUP($B124,'F-1 Off-Site WaterC'' Baseline'!$C$9:$R$257,6,FALSE))</f>
        <v/>
      </c>
      <c r="H124" s="301" t="str">
        <f>IF(G124="","",VLOOKUP($B124,'F-1 Off-Site WaterC'' Baseline'!$C$9:$R$257,7,FALSE))</f>
        <v/>
      </c>
      <c r="I124" s="301" t="str">
        <f>IF(H124="","",VLOOKUP($B124,'F-1 Off-Site WaterC'' Baseline'!$C$9:$R$257,8,FALSE))</f>
        <v/>
      </c>
      <c r="J124" s="301" t="str">
        <f>IF(I124="","",VLOOKUP($B124,'F-1 Off-Site WaterC'' Baseline'!$C$9:$R$257,9,FALSE))</f>
        <v/>
      </c>
      <c r="K124" s="301" t="str">
        <f>IF(J124="","",VLOOKUP($B124,'F-1 Off-Site WaterC'' Baseline'!$C$9:$R$257,10,FALSE))</f>
        <v/>
      </c>
      <c r="L124" s="289" t="str">
        <f>IF(B124="","",VLOOKUP($B124,'F-1 Off-Site WaterC'' Baseline'!$C$9:$R$257,15,FALSE))</f>
        <v/>
      </c>
      <c r="M124" s="305" t="str">
        <f>IF(L124="","",VLOOKUP($B124,'F-1 Off-Site WaterC'' Baseline'!$C$9:$V$257,19,FALSE))</f>
        <v/>
      </c>
      <c r="N124" s="250"/>
      <c r="O124" s="281" t="str">
        <f t="shared" si="14"/>
        <v/>
      </c>
      <c r="P124" s="282" t="str">
        <f t="shared" si="15"/>
        <v/>
      </c>
      <c r="Q124" s="287" t="str">
        <f>IF(N124="","",VLOOKUP(B124,'F-1 Off-Site WaterC'' Baseline'!$C$10:$AF$257,23,FALSE))</f>
        <v/>
      </c>
      <c r="R124" s="281" t="str">
        <f>IF(N124="","",VLOOKUP(N124,'G-7 WaterC'' Data'!$B$2:$G$8,2,FALSE))</f>
        <v/>
      </c>
      <c r="S124" s="282" t="str">
        <f>IFERROR(VLOOKUP(R124,'G-7 WaterC'' Data'!$C$4:$D$8,2,FALSE),"")</f>
        <v/>
      </c>
      <c r="T124" s="105"/>
      <c r="U124" s="282" t="str">
        <f>IFERROR(INDEX('G-7 WaterC'' Data'!$H$4:$L$8,MATCH(N124,'G-7 WaterC'' Data'!$B$4:$B$8,0),MATCH(T124,'G-7 WaterC'' Data'!$H$3:$L$3,0)),"")</f>
        <v/>
      </c>
      <c r="V124" s="109"/>
      <c r="W124" s="301" t="str">
        <f>IF(V124="","",IF(VLOOKUP(V124,'G-7 WaterC'' Data'!$AK$4:$AM$6,2,FALSE)=0,"Spatial Data Missing ⚠",VLOOKUP(V124,'G-7 WaterC'' Data'!$AK$4:$AM$6,2,FALSE)))</f>
        <v/>
      </c>
      <c r="X124" s="305" t="str">
        <f>IF(V124="","",IF(VLOOKUP(V124,'G-7 WaterC'' Data'!$AK$4:$AM$6,3,FALSE)=0,"Spatial Data Missing ⚠",VLOOKUP(V124,'G-7 WaterC'' Data'!$AK$4:$AM$6,3,FALSE)))</f>
        <v/>
      </c>
      <c r="Y124" s="317" t="str">
        <f>IFERROR(IF(OR(LEFT(P124,5)="Error",LEFT(O124,5)="Error"),"Check Data ⚠",IF(F124&lt;S124,'G-7 WaterC'' Data'!$R$3,INDEX('G-7 WaterC'' Data'!$U$5:$Y$9,MATCH(G124,'G-7 WaterC'' Data'!$T$5:$T$9,0),MATCH(T124,'G-7 WaterC'' Data'!$U$4:$Y$4,0)))),"")</f>
        <v/>
      </c>
      <c r="Z124" s="142"/>
      <c r="AA124" s="142"/>
      <c r="AB124" s="314" t="str">
        <f t="shared" si="11"/>
        <v/>
      </c>
      <c r="AC124" s="302" t="str">
        <f t="shared" si="16"/>
        <v/>
      </c>
      <c r="AD124" s="340" t="str">
        <f>IFERROR(IF(AC124="Check Data ⚠","Check Data ⚠",VLOOKUP(AC124,'G-4 Temporal multipliers'!$A$4:$C$37,3,FALSE)),"")</f>
        <v/>
      </c>
      <c r="AE124" s="317" t="str">
        <f>IF(N124="","",VLOOKUP(N124,'G-7 WaterC'' Data'!$B$4:$G$8,5,FALSE))</f>
        <v/>
      </c>
      <c r="AF124" s="301" t="str">
        <f t="shared" si="12"/>
        <v/>
      </c>
      <c r="AG124" s="301" t="str">
        <f t="shared" si="17"/>
        <v/>
      </c>
      <c r="AH124" s="282" t="str">
        <f t="shared" si="13"/>
        <v/>
      </c>
      <c r="AI124" s="109"/>
      <c r="AJ124" s="282" t="str">
        <f>IF(AI124="","",(IF(AND(AI124="N/A - Culvert",N124&lt;&gt;"Culvert"),"Not possible ▲",IF(VLOOKUP(AI124,'G-7 WaterC'' Data'!$AA$4:$AB$7,2,FALSE)=0,"Spatial Data Missing ⚠",VLOOKUP(AI124,'G-7 WaterC'' Data'!$AA$4:$AB$7,2,FALSE)))))</f>
        <v/>
      </c>
      <c r="AK124" s="110"/>
      <c r="AL124" s="316" t="str">
        <f>IF(AK124="","",IF(AND(AK124="N/A - Culvert",N124&lt;&gt;"Culvert"),"Not possible ▲",IF(VLOOKUP(AK124,'G-7 WaterC'' Data'!$AD$4:$AE$14,2,FALSE)=0,"Spatial Data Missing ⚠",VLOOKUP(AK124,'G-7 WaterC'' Data'!$AD$4:$AE$14,2,FALSE))))</f>
        <v/>
      </c>
      <c r="AM124" s="281" t="str">
        <f>IF(B124="","",VLOOKUP($B124,'F-1 Off-Site WaterC'' Baseline'!$C$9:$Z$257,17,FALSE))</f>
        <v/>
      </c>
      <c r="AN124" s="282" t="str">
        <f>IF(AM124="","",IF(VLOOKUP(AM124,'G-7 WaterC'' Data'!$AO$4:$BO$7,2,FALSE)=0,"Spatial Data Missing ⚠",VLOOKUP(AM124,'G-7 WaterC'' Data'!$AO$4:$BO$7,2,FALSE)))</f>
        <v/>
      </c>
      <c r="AO124" s="323" t="str">
        <f t="shared" si="18"/>
        <v/>
      </c>
      <c r="AP124" s="323" t="str">
        <f t="shared" si="19"/>
        <v/>
      </c>
      <c r="AQ124" s="105"/>
      <c r="AR124" s="119"/>
      <c r="AS124" s="108"/>
      <c r="AT124" s="108"/>
      <c r="AW124" s="30" t="str">
        <f>IF(E124="","",VLOOKUP($B124,'F-1 Off-Site WaterC'' Baseline'!$C$9:$Z$257,12,FALSE))</f>
        <v/>
      </c>
      <c r="AX124" s="30" t="str">
        <f>IF(E124="","",VLOOKUP($B124,'F-1 Off-Site WaterC'' Baseline'!$C$9:$Z$257,14,FALSE))</f>
        <v/>
      </c>
      <c r="AY124" s="30" t="str">
        <f>IFERROR(INDEX('G-7 WaterC'' Data'!$AZ$3:$AZ$7,MATCH(N124,'G-7 WaterC'' Data'!$AY$3:$AY$7,0)),"")</f>
        <v/>
      </c>
      <c r="AZ124" s="30" t="str">
        <f>IF(B124="","",IF(ISNA(VLOOKUP($B124,'F-1 Off-Site WaterC'' Baseline'!$C$8:$AD$257,20,FALSE)),"",(VLOOKUP($B124,'F-1 Off-Site WaterC'' Baseline'!$C$8:$AD$257,20,FALSE))))</f>
        <v/>
      </c>
      <c r="BC124" s="30" t="str">
        <f>IF(B124="","",VLOOKUP($B124,'F-1 Off-Site WaterC'' Baseline'!$C$9:$AB$257,25,FALSE))</f>
        <v/>
      </c>
      <c r="BD124" s="30" t="str">
        <f t="shared" si="20"/>
        <v/>
      </c>
      <c r="BE124" s="30" t="str">
        <f>IF(B124="","",VLOOKUP($B124,'F-1 Off-Site WaterC'' Baseline'!$C$9:$AB$257,24,FALSE))</f>
        <v/>
      </c>
      <c r="BF124" s="30" t="str">
        <f>IF(B124="","",VLOOKUP($B124,'F-1 Off-Site WaterC'' Baseline'!$C$9:$AB$257,22,FALSE))</f>
        <v/>
      </c>
      <c r="BJ124" s="30" t="str">
        <f t="shared" si="21"/>
        <v>No</v>
      </c>
    </row>
    <row r="125" spans="2:62" ht="13.8" x14ac:dyDescent="0.25">
      <c r="B125" s="311" t="str">
        <f>'F-1 Off-Site WaterC'' Baseline'!AS123</f>
        <v/>
      </c>
      <c r="C125" s="301" t="str">
        <f>IF(B125="","",VLOOKUP($B125,'F-1 Off-Site WaterC'' Baseline'!$C$9:$R$257,2,FALSE))</f>
        <v/>
      </c>
      <c r="D125" s="301" t="str">
        <f>IF(C125="","",VLOOKUP($B125,'F-1 Off-Site WaterC'' Baseline'!$C$9:$R$257,3,FALSE))</f>
        <v/>
      </c>
      <c r="E125" s="301" t="str">
        <f>IF(D125="","",VLOOKUP($B125,'F-1 Off-Site WaterC'' Baseline'!$C$9:$R$257,4,FALSE))</f>
        <v/>
      </c>
      <c r="F125" s="301" t="str">
        <f>IF(E125="","",VLOOKUP($B125,'F-1 Off-Site WaterC'' Baseline'!$C$9:$R$257,5,FALSE))</f>
        <v/>
      </c>
      <c r="G125" s="301" t="str">
        <f>IF(F125="","",VLOOKUP($B125,'F-1 Off-Site WaterC'' Baseline'!$C$9:$R$257,6,FALSE))</f>
        <v/>
      </c>
      <c r="H125" s="301" t="str">
        <f>IF(G125="","",VLOOKUP($B125,'F-1 Off-Site WaterC'' Baseline'!$C$9:$R$257,7,FALSE))</f>
        <v/>
      </c>
      <c r="I125" s="301" t="str">
        <f>IF(H125="","",VLOOKUP($B125,'F-1 Off-Site WaterC'' Baseline'!$C$9:$R$257,8,FALSE))</f>
        <v/>
      </c>
      <c r="J125" s="301" t="str">
        <f>IF(I125="","",VLOOKUP($B125,'F-1 Off-Site WaterC'' Baseline'!$C$9:$R$257,9,FALSE))</f>
        <v/>
      </c>
      <c r="K125" s="301" t="str">
        <f>IF(J125="","",VLOOKUP($B125,'F-1 Off-Site WaterC'' Baseline'!$C$9:$R$257,10,FALSE))</f>
        <v/>
      </c>
      <c r="L125" s="289" t="str">
        <f>IF(B125="","",VLOOKUP($B125,'F-1 Off-Site WaterC'' Baseline'!$C$9:$R$257,15,FALSE))</f>
        <v/>
      </c>
      <c r="M125" s="305" t="str">
        <f>IF(L125="","",VLOOKUP($B125,'F-1 Off-Site WaterC'' Baseline'!$C$9:$V$257,19,FALSE))</f>
        <v/>
      </c>
      <c r="N125" s="250"/>
      <c r="O125" s="281" t="str">
        <f t="shared" si="14"/>
        <v/>
      </c>
      <c r="P125" s="282" t="str">
        <f t="shared" si="15"/>
        <v/>
      </c>
      <c r="Q125" s="287" t="str">
        <f>IF(N125="","",VLOOKUP(B125,'F-1 Off-Site WaterC'' Baseline'!$C$10:$AF$257,23,FALSE))</f>
        <v/>
      </c>
      <c r="R125" s="281" t="str">
        <f>IF(N125="","",VLOOKUP(N125,'G-7 WaterC'' Data'!$B$2:$G$8,2,FALSE))</f>
        <v/>
      </c>
      <c r="S125" s="282" t="str">
        <f>IFERROR(VLOOKUP(R125,'G-7 WaterC'' Data'!$C$4:$D$8,2,FALSE),"")</f>
        <v/>
      </c>
      <c r="T125" s="105"/>
      <c r="U125" s="282" t="str">
        <f>IFERROR(INDEX('G-7 WaterC'' Data'!$H$4:$L$8,MATCH(N125,'G-7 WaterC'' Data'!$B$4:$B$8,0),MATCH(T125,'G-7 WaterC'' Data'!$H$3:$L$3,0)),"")</f>
        <v/>
      </c>
      <c r="V125" s="109"/>
      <c r="W125" s="301" t="str">
        <f>IF(V125="","",IF(VLOOKUP(V125,'G-7 WaterC'' Data'!$AK$4:$AM$6,2,FALSE)=0,"Spatial Data Missing ⚠",VLOOKUP(V125,'G-7 WaterC'' Data'!$AK$4:$AM$6,2,FALSE)))</f>
        <v/>
      </c>
      <c r="X125" s="305" t="str">
        <f>IF(V125="","",IF(VLOOKUP(V125,'G-7 WaterC'' Data'!$AK$4:$AM$6,3,FALSE)=0,"Spatial Data Missing ⚠",VLOOKUP(V125,'G-7 WaterC'' Data'!$AK$4:$AM$6,3,FALSE)))</f>
        <v/>
      </c>
      <c r="Y125" s="317" t="str">
        <f>IFERROR(IF(OR(LEFT(P125,5)="Error",LEFT(O125,5)="Error"),"Check Data ⚠",IF(F125&lt;S125,'G-7 WaterC'' Data'!$R$3,INDEX('G-7 WaterC'' Data'!$U$5:$Y$9,MATCH(G125,'G-7 WaterC'' Data'!$T$5:$T$9,0),MATCH(T125,'G-7 WaterC'' Data'!$U$4:$Y$4,0)))),"")</f>
        <v/>
      </c>
      <c r="Z125" s="142"/>
      <c r="AA125" s="142"/>
      <c r="AB125" s="314" t="str">
        <f t="shared" si="11"/>
        <v/>
      </c>
      <c r="AC125" s="302" t="str">
        <f t="shared" si="16"/>
        <v/>
      </c>
      <c r="AD125" s="340" t="str">
        <f>IFERROR(IF(AC125="Check Data ⚠","Check Data ⚠",VLOOKUP(AC125,'G-4 Temporal multipliers'!$A$4:$C$37,3,FALSE)),"")</f>
        <v/>
      </c>
      <c r="AE125" s="317" t="str">
        <f>IF(N125="","",VLOOKUP(N125,'G-7 WaterC'' Data'!$B$4:$G$8,5,FALSE))</f>
        <v/>
      </c>
      <c r="AF125" s="301" t="str">
        <f t="shared" si="12"/>
        <v/>
      </c>
      <c r="AG125" s="301" t="str">
        <f t="shared" si="17"/>
        <v/>
      </c>
      <c r="AH125" s="282" t="str">
        <f t="shared" si="13"/>
        <v/>
      </c>
      <c r="AI125" s="109"/>
      <c r="AJ125" s="282" t="str">
        <f>IF(AI125="","",(IF(AND(AI125="N/A - Culvert",N125&lt;&gt;"Culvert"),"Not possible ▲",IF(VLOOKUP(AI125,'G-7 WaterC'' Data'!$AA$4:$AB$7,2,FALSE)=0,"Spatial Data Missing ⚠",VLOOKUP(AI125,'G-7 WaterC'' Data'!$AA$4:$AB$7,2,FALSE)))))</f>
        <v/>
      </c>
      <c r="AK125" s="110"/>
      <c r="AL125" s="316" t="str">
        <f>IF(AK125="","",IF(AND(AK125="N/A - Culvert",N125&lt;&gt;"Culvert"),"Not possible ▲",IF(VLOOKUP(AK125,'G-7 WaterC'' Data'!$AD$4:$AE$14,2,FALSE)=0,"Spatial Data Missing ⚠",VLOOKUP(AK125,'G-7 WaterC'' Data'!$AD$4:$AE$14,2,FALSE))))</f>
        <v/>
      </c>
      <c r="AM125" s="281" t="str">
        <f>IF(B125="","",VLOOKUP($B125,'F-1 Off-Site WaterC'' Baseline'!$C$9:$Z$257,17,FALSE))</f>
        <v/>
      </c>
      <c r="AN125" s="282" t="str">
        <f>IF(AM125="","",IF(VLOOKUP(AM125,'G-7 WaterC'' Data'!$AO$4:$BO$7,2,FALSE)=0,"Spatial Data Missing ⚠",VLOOKUP(AM125,'G-7 WaterC'' Data'!$AO$4:$BO$7,2,FALSE)))</f>
        <v/>
      </c>
      <c r="AO125" s="323" t="str">
        <f t="shared" si="18"/>
        <v/>
      </c>
      <c r="AP125" s="323" t="str">
        <f t="shared" si="19"/>
        <v/>
      </c>
      <c r="AQ125" s="105"/>
      <c r="AR125" s="119"/>
      <c r="AS125" s="108"/>
      <c r="AT125" s="108"/>
      <c r="AW125" s="30" t="str">
        <f>IF(E125="","",VLOOKUP($B125,'F-1 Off-Site WaterC'' Baseline'!$C$9:$Z$257,12,FALSE))</f>
        <v/>
      </c>
      <c r="AX125" s="30" t="str">
        <f>IF(E125="","",VLOOKUP($B125,'F-1 Off-Site WaterC'' Baseline'!$C$9:$Z$257,14,FALSE))</f>
        <v/>
      </c>
      <c r="AY125" s="30" t="str">
        <f>IFERROR(INDEX('G-7 WaterC'' Data'!$AZ$3:$AZ$7,MATCH(N125,'G-7 WaterC'' Data'!$AY$3:$AY$7,0)),"")</f>
        <v/>
      </c>
      <c r="AZ125" s="30" t="str">
        <f>IF(B125="","",IF(ISNA(VLOOKUP($B125,'F-1 Off-Site WaterC'' Baseline'!$C$8:$AD$257,20,FALSE)),"",(VLOOKUP($B125,'F-1 Off-Site WaterC'' Baseline'!$C$8:$AD$257,20,FALSE))))</f>
        <v/>
      </c>
      <c r="BC125" s="30" t="str">
        <f>IF(B125="","",VLOOKUP($B125,'F-1 Off-Site WaterC'' Baseline'!$C$9:$AB$257,25,FALSE))</f>
        <v/>
      </c>
      <c r="BD125" s="30" t="str">
        <f t="shared" si="20"/>
        <v/>
      </c>
      <c r="BE125" s="30" t="str">
        <f>IF(B125="","",VLOOKUP($B125,'F-1 Off-Site WaterC'' Baseline'!$C$9:$AB$257,24,FALSE))</f>
        <v/>
      </c>
      <c r="BF125" s="30" t="str">
        <f>IF(B125="","",VLOOKUP($B125,'F-1 Off-Site WaterC'' Baseline'!$C$9:$AB$257,22,FALSE))</f>
        <v/>
      </c>
      <c r="BJ125" s="30" t="str">
        <f t="shared" si="21"/>
        <v>No</v>
      </c>
    </row>
    <row r="126" spans="2:62" ht="13.8" x14ac:dyDescent="0.25">
      <c r="B126" s="311" t="str">
        <f>'F-1 Off-Site WaterC'' Baseline'!AS124</f>
        <v/>
      </c>
      <c r="C126" s="301" t="str">
        <f>IF(B126="","",VLOOKUP($B126,'F-1 Off-Site WaterC'' Baseline'!$C$9:$R$257,2,FALSE))</f>
        <v/>
      </c>
      <c r="D126" s="301" t="str">
        <f>IF(C126="","",VLOOKUP($B126,'F-1 Off-Site WaterC'' Baseline'!$C$9:$R$257,3,FALSE))</f>
        <v/>
      </c>
      <c r="E126" s="301" t="str">
        <f>IF(D126="","",VLOOKUP($B126,'F-1 Off-Site WaterC'' Baseline'!$C$9:$R$257,4,FALSE))</f>
        <v/>
      </c>
      <c r="F126" s="301" t="str">
        <f>IF(E126="","",VLOOKUP($B126,'F-1 Off-Site WaterC'' Baseline'!$C$9:$R$257,5,FALSE))</f>
        <v/>
      </c>
      <c r="G126" s="301" t="str">
        <f>IF(F126="","",VLOOKUP($B126,'F-1 Off-Site WaterC'' Baseline'!$C$9:$R$257,6,FALSE))</f>
        <v/>
      </c>
      <c r="H126" s="301" t="str">
        <f>IF(G126="","",VLOOKUP($B126,'F-1 Off-Site WaterC'' Baseline'!$C$9:$R$257,7,FALSE))</f>
        <v/>
      </c>
      <c r="I126" s="301" t="str">
        <f>IF(H126="","",VLOOKUP($B126,'F-1 Off-Site WaterC'' Baseline'!$C$9:$R$257,8,FALSE))</f>
        <v/>
      </c>
      <c r="J126" s="301" t="str">
        <f>IF(I126="","",VLOOKUP($B126,'F-1 Off-Site WaterC'' Baseline'!$C$9:$R$257,9,FALSE))</f>
        <v/>
      </c>
      <c r="K126" s="301" t="str">
        <f>IF(J126="","",VLOOKUP($B126,'F-1 Off-Site WaterC'' Baseline'!$C$9:$R$257,10,FALSE))</f>
        <v/>
      </c>
      <c r="L126" s="289" t="str">
        <f>IF(B126="","",VLOOKUP($B126,'F-1 Off-Site WaterC'' Baseline'!$C$9:$R$257,15,FALSE))</f>
        <v/>
      </c>
      <c r="M126" s="305" t="str">
        <f>IF(L126="","",VLOOKUP($B126,'F-1 Off-Site WaterC'' Baseline'!$C$9:$V$257,19,FALSE))</f>
        <v/>
      </c>
      <c r="N126" s="250"/>
      <c r="O126" s="281" t="str">
        <f t="shared" si="14"/>
        <v/>
      </c>
      <c r="P126" s="282" t="str">
        <f t="shared" si="15"/>
        <v/>
      </c>
      <c r="Q126" s="287" t="str">
        <f>IF(N126="","",VLOOKUP(B126,'F-1 Off-Site WaterC'' Baseline'!$C$10:$AF$257,23,FALSE))</f>
        <v/>
      </c>
      <c r="R126" s="281" t="str">
        <f>IF(N126="","",VLOOKUP(N126,'G-7 WaterC'' Data'!$B$2:$G$8,2,FALSE))</f>
        <v/>
      </c>
      <c r="S126" s="282" t="str">
        <f>IFERROR(VLOOKUP(R126,'G-7 WaterC'' Data'!$C$4:$D$8,2,FALSE),"")</f>
        <v/>
      </c>
      <c r="T126" s="105"/>
      <c r="U126" s="282" t="str">
        <f>IFERROR(INDEX('G-7 WaterC'' Data'!$H$4:$L$8,MATCH(N126,'G-7 WaterC'' Data'!$B$4:$B$8,0),MATCH(T126,'G-7 WaterC'' Data'!$H$3:$L$3,0)),"")</f>
        <v/>
      </c>
      <c r="V126" s="109"/>
      <c r="W126" s="301" t="str">
        <f>IF(V126="","",IF(VLOOKUP(V126,'G-7 WaterC'' Data'!$AK$4:$AM$6,2,FALSE)=0,"Spatial Data Missing ⚠",VLOOKUP(V126,'G-7 WaterC'' Data'!$AK$4:$AM$6,2,FALSE)))</f>
        <v/>
      </c>
      <c r="X126" s="305" t="str">
        <f>IF(V126="","",IF(VLOOKUP(V126,'G-7 WaterC'' Data'!$AK$4:$AM$6,3,FALSE)=0,"Spatial Data Missing ⚠",VLOOKUP(V126,'G-7 WaterC'' Data'!$AK$4:$AM$6,3,FALSE)))</f>
        <v/>
      </c>
      <c r="Y126" s="317" t="str">
        <f>IFERROR(IF(OR(LEFT(P126,5)="Error",LEFT(O126,5)="Error"),"Check Data ⚠",IF(F126&lt;S126,'G-7 WaterC'' Data'!$R$3,INDEX('G-7 WaterC'' Data'!$U$5:$Y$9,MATCH(G126,'G-7 WaterC'' Data'!$T$5:$T$9,0),MATCH(T126,'G-7 WaterC'' Data'!$U$4:$Y$4,0)))),"")</f>
        <v/>
      </c>
      <c r="Z126" s="142"/>
      <c r="AA126" s="142"/>
      <c r="AB126" s="314" t="str">
        <f t="shared" si="11"/>
        <v/>
      </c>
      <c r="AC126" s="302" t="str">
        <f t="shared" si="16"/>
        <v/>
      </c>
      <c r="AD126" s="340" t="str">
        <f>IFERROR(IF(AC126="Check Data ⚠","Check Data ⚠",VLOOKUP(AC126,'G-4 Temporal multipliers'!$A$4:$C$37,3,FALSE)),"")</f>
        <v/>
      </c>
      <c r="AE126" s="317" t="str">
        <f>IF(N126="","",VLOOKUP(N126,'G-7 WaterC'' Data'!$B$4:$G$8,5,FALSE))</f>
        <v/>
      </c>
      <c r="AF126" s="301" t="str">
        <f t="shared" si="12"/>
        <v/>
      </c>
      <c r="AG126" s="301" t="str">
        <f t="shared" si="17"/>
        <v/>
      </c>
      <c r="AH126" s="282" t="str">
        <f t="shared" si="13"/>
        <v/>
      </c>
      <c r="AI126" s="109"/>
      <c r="AJ126" s="282" t="str">
        <f>IF(AI126="","",(IF(AND(AI126="N/A - Culvert",N126&lt;&gt;"Culvert"),"Not possible ▲",IF(VLOOKUP(AI126,'G-7 WaterC'' Data'!$AA$4:$AB$7,2,FALSE)=0,"Spatial Data Missing ⚠",VLOOKUP(AI126,'G-7 WaterC'' Data'!$AA$4:$AB$7,2,FALSE)))))</f>
        <v/>
      </c>
      <c r="AK126" s="110"/>
      <c r="AL126" s="316" t="str">
        <f>IF(AK126="","",IF(AND(AK126="N/A - Culvert",N126&lt;&gt;"Culvert"),"Not possible ▲",IF(VLOOKUP(AK126,'G-7 WaterC'' Data'!$AD$4:$AE$14,2,FALSE)=0,"Spatial Data Missing ⚠",VLOOKUP(AK126,'G-7 WaterC'' Data'!$AD$4:$AE$14,2,FALSE))))</f>
        <v/>
      </c>
      <c r="AM126" s="281" t="str">
        <f>IF(B126="","",VLOOKUP($B126,'F-1 Off-Site WaterC'' Baseline'!$C$9:$Z$257,17,FALSE))</f>
        <v/>
      </c>
      <c r="AN126" s="282" t="str">
        <f>IF(AM126="","",IF(VLOOKUP(AM126,'G-7 WaterC'' Data'!$AO$4:$BO$7,2,FALSE)=0,"Spatial Data Missing ⚠",VLOOKUP(AM126,'G-7 WaterC'' Data'!$AO$4:$BO$7,2,FALSE)))</f>
        <v/>
      </c>
      <c r="AO126" s="323" t="str">
        <f t="shared" si="18"/>
        <v/>
      </c>
      <c r="AP126" s="323" t="str">
        <f t="shared" si="19"/>
        <v/>
      </c>
      <c r="AQ126" s="105"/>
      <c r="AR126" s="119"/>
      <c r="AS126" s="108"/>
      <c r="AT126" s="108"/>
      <c r="AW126" s="30" t="str">
        <f>IF(E126="","",VLOOKUP($B126,'F-1 Off-Site WaterC'' Baseline'!$C$9:$Z$257,12,FALSE))</f>
        <v/>
      </c>
      <c r="AX126" s="30" t="str">
        <f>IF(E126="","",VLOOKUP($B126,'F-1 Off-Site WaterC'' Baseline'!$C$9:$Z$257,14,FALSE))</f>
        <v/>
      </c>
      <c r="AY126" s="30" t="str">
        <f>IFERROR(INDEX('G-7 WaterC'' Data'!$AZ$3:$AZ$7,MATCH(N126,'G-7 WaterC'' Data'!$AY$3:$AY$7,0)),"")</f>
        <v/>
      </c>
      <c r="AZ126" s="30" t="str">
        <f>IF(B126="","",IF(ISNA(VLOOKUP($B126,'F-1 Off-Site WaterC'' Baseline'!$C$8:$AD$257,20,FALSE)),"",(VLOOKUP($B126,'F-1 Off-Site WaterC'' Baseline'!$C$8:$AD$257,20,FALSE))))</f>
        <v/>
      </c>
      <c r="BC126" s="30" t="str">
        <f>IF(B126="","",VLOOKUP($B126,'F-1 Off-Site WaterC'' Baseline'!$C$9:$AB$257,25,FALSE))</f>
        <v/>
      </c>
      <c r="BD126" s="30" t="str">
        <f t="shared" si="20"/>
        <v/>
      </c>
      <c r="BE126" s="30" t="str">
        <f>IF(B126="","",VLOOKUP($B126,'F-1 Off-Site WaterC'' Baseline'!$C$9:$AB$257,24,FALSE))</f>
        <v/>
      </c>
      <c r="BF126" s="30" t="str">
        <f>IF(B126="","",VLOOKUP($B126,'F-1 Off-Site WaterC'' Baseline'!$C$9:$AB$257,22,FALSE))</f>
        <v/>
      </c>
      <c r="BJ126" s="30" t="str">
        <f t="shared" si="21"/>
        <v>No</v>
      </c>
    </row>
    <row r="127" spans="2:62" ht="13.8" x14ac:dyDescent="0.25">
      <c r="B127" s="311" t="str">
        <f>'F-1 Off-Site WaterC'' Baseline'!AS125</f>
        <v/>
      </c>
      <c r="C127" s="301" t="str">
        <f>IF(B127="","",VLOOKUP($B127,'F-1 Off-Site WaterC'' Baseline'!$C$9:$R$257,2,FALSE))</f>
        <v/>
      </c>
      <c r="D127" s="301" t="str">
        <f>IF(C127="","",VLOOKUP($B127,'F-1 Off-Site WaterC'' Baseline'!$C$9:$R$257,3,FALSE))</f>
        <v/>
      </c>
      <c r="E127" s="301" t="str">
        <f>IF(D127="","",VLOOKUP($B127,'F-1 Off-Site WaterC'' Baseline'!$C$9:$R$257,4,FALSE))</f>
        <v/>
      </c>
      <c r="F127" s="301" t="str">
        <f>IF(E127="","",VLOOKUP($B127,'F-1 Off-Site WaterC'' Baseline'!$C$9:$R$257,5,FALSE))</f>
        <v/>
      </c>
      <c r="G127" s="301" t="str">
        <f>IF(F127="","",VLOOKUP($B127,'F-1 Off-Site WaterC'' Baseline'!$C$9:$R$257,6,FALSE))</f>
        <v/>
      </c>
      <c r="H127" s="301" t="str">
        <f>IF(G127="","",VLOOKUP($B127,'F-1 Off-Site WaterC'' Baseline'!$C$9:$R$257,7,FALSE))</f>
        <v/>
      </c>
      <c r="I127" s="301" t="str">
        <f>IF(H127="","",VLOOKUP($B127,'F-1 Off-Site WaterC'' Baseline'!$C$9:$R$257,8,FALSE))</f>
        <v/>
      </c>
      <c r="J127" s="301" t="str">
        <f>IF(I127="","",VLOOKUP($B127,'F-1 Off-Site WaterC'' Baseline'!$C$9:$R$257,9,FALSE))</f>
        <v/>
      </c>
      <c r="K127" s="301" t="str">
        <f>IF(J127="","",VLOOKUP($B127,'F-1 Off-Site WaterC'' Baseline'!$C$9:$R$257,10,FALSE))</f>
        <v/>
      </c>
      <c r="L127" s="289" t="str">
        <f>IF(B127="","",VLOOKUP($B127,'F-1 Off-Site WaterC'' Baseline'!$C$9:$R$257,15,FALSE))</f>
        <v/>
      </c>
      <c r="M127" s="305" t="str">
        <f>IF(L127="","",VLOOKUP($B127,'F-1 Off-Site WaterC'' Baseline'!$C$9:$V$257,19,FALSE))</f>
        <v/>
      </c>
      <c r="N127" s="250"/>
      <c r="O127" s="281" t="str">
        <f t="shared" si="14"/>
        <v/>
      </c>
      <c r="P127" s="282" t="str">
        <f t="shared" si="15"/>
        <v/>
      </c>
      <c r="Q127" s="287" t="str">
        <f>IF(N127="","",VLOOKUP(B127,'F-1 Off-Site WaterC'' Baseline'!$C$10:$AF$257,23,FALSE))</f>
        <v/>
      </c>
      <c r="R127" s="281" t="str">
        <f>IF(N127="","",VLOOKUP(N127,'G-7 WaterC'' Data'!$B$2:$G$8,2,FALSE))</f>
        <v/>
      </c>
      <c r="S127" s="282" t="str">
        <f>IFERROR(VLOOKUP(R127,'G-7 WaterC'' Data'!$C$4:$D$8,2,FALSE),"")</f>
        <v/>
      </c>
      <c r="T127" s="105"/>
      <c r="U127" s="282" t="str">
        <f>IFERROR(INDEX('G-7 WaterC'' Data'!$H$4:$L$8,MATCH(N127,'G-7 WaterC'' Data'!$B$4:$B$8,0),MATCH(T127,'G-7 WaterC'' Data'!$H$3:$L$3,0)),"")</f>
        <v/>
      </c>
      <c r="V127" s="109"/>
      <c r="W127" s="301" t="str">
        <f>IF(V127="","",IF(VLOOKUP(V127,'G-7 WaterC'' Data'!$AK$4:$AM$6,2,FALSE)=0,"Spatial Data Missing ⚠",VLOOKUP(V127,'G-7 WaterC'' Data'!$AK$4:$AM$6,2,FALSE)))</f>
        <v/>
      </c>
      <c r="X127" s="305" t="str">
        <f>IF(V127="","",IF(VLOOKUP(V127,'G-7 WaterC'' Data'!$AK$4:$AM$6,3,FALSE)=0,"Spatial Data Missing ⚠",VLOOKUP(V127,'G-7 WaterC'' Data'!$AK$4:$AM$6,3,FALSE)))</f>
        <v/>
      </c>
      <c r="Y127" s="317" t="str">
        <f>IFERROR(IF(OR(LEFT(P127,5)="Error",LEFT(O127,5)="Error"),"Check Data ⚠",IF(F127&lt;S127,'G-7 WaterC'' Data'!$R$3,INDEX('G-7 WaterC'' Data'!$U$5:$Y$9,MATCH(G127,'G-7 WaterC'' Data'!$T$5:$T$9,0),MATCH(T127,'G-7 WaterC'' Data'!$U$4:$Y$4,0)))),"")</f>
        <v/>
      </c>
      <c r="Z127" s="142"/>
      <c r="AA127" s="142"/>
      <c r="AB127" s="314" t="str">
        <f t="shared" si="11"/>
        <v/>
      </c>
      <c r="AC127" s="302" t="str">
        <f t="shared" si="16"/>
        <v/>
      </c>
      <c r="AD127" s="340" t="str">
        <f>IFERROR(IF(AC127="Check Data ⚠","Check Data ⚠",VLOOKUP(AC127,'G-4 Temporal multipliers'!$A$4:$C$37,3,FALSE)),"")</f>
        <v/>
      </c>
      <c r="AE127" s="317" t="str">
        <f>IF(N127="","",VLOOKUP(N127,'G-7 WaterC'' Data'!$B$4:$G$8,5,FALSE))</f>
        <v/>
      </c>
      <c r="AF127" s="301" t="str">
        <f t="shared" si="12"/>
        <v/>
      </c>
      <c r="AG127" s="301" t="str">
        <f t="shared" si="17"/>
        <v/>
      </c>
      <c r="AH127" s="282" t="str">
        <f t="shared" si="13"/>
        <v/>
      </c>
      <c r="AI127" s="109"/>
      <c r="AJ127" s="282" t="str">
        <f>IF(AI127="","",(IF(AND(AI127="N/A - Culvert",N127&lt;&gt;"Culvert"),"Not possible ▲",IF(VLOOKUP(AI127,'G-7 WaterC'' Data'!$AA$4:$AB$7,2,FALSE)=0,"Spatial Data Missing ⚠",VLOOKUP(AI127,'G-7 WaterC'' Data'!$AA$4:$AB$7,2,FALSE)))))</f>
        <v/>
      </c>
      <c r="AK127" s="110"/>
      <c r="AL127" s="316" t="str">
        <f>IF(AK127="","",IF(AND(AK127="N/A - Culvert",N127&lt;&gt;"Culvert"),"Not possible ▲",IF(VLOOKUP(AK127,'G-7 WaterC'' Data'!$AD$4:$AE$14,2,FALSE)=0,"Spatial Data Missing ⚠",VLOOKUP(AK127,'G-7 WaterC'' Data'!$AD$4:$AE$14,2,FALSE))))</f>
        <v/>
      </c>
      <c r="AM127" s="281" t="str">
        <f>IF(B127="","",VLOOKUP($B127,'F-1 Off-Site WaterC'' Baseline'!$C$9:$Z$257,17,FALSE))</f>
        <v/>
      </c>
      <c r="AN127" s="282" t="str">
        <f>IF(AM127="","",IF(VLOOKUP(AM127,'G-7 WaterC'' Data'!$AO$4:$BO$7,2,FALSE)=0,"Spatial Data Missing ⚠",VLOOKUP(AM127,'G-7 WaterC'' Data'!$AO$4:$BO$7,2,FALSE)))</f>
        <v/>
      </c>
      <c r="AO127" s="323" t="str">
        <f t="shared" si="18"/>
        <v/>
      </c>
      <c r="AP127" s="323" t="str">
        <f t="shared" si="19"/>
        <v/>
      </c>
      <c r="AQ127" s="105"/>
      <c r="AR127" s="119"/>
      <c r="AS127" s="108"/>
      <c r="AT127" s="108"/>
      <c r="AW127" s="30" t="str">
        <f>IF(E127="","",VLOOKUP($B127,'F-1 Off-Site WaterC'' Baseline'!$C$9:$Z$257,12,FALSE))</f>
        <v/>
      </c>
      <c r="AX127" s="30" t="str">
        <f>IF(E127="","",VLOOKUP($B127,'F-1 Off-Site WaterC'' Baseline'!$C$9:$Z$257,14,FALSE))</f>
        <v/>
      </c>
      <c r="AY127" s="30" t="str">
        <f>IFERROR(INDEX('G-7 WaterC'' Data'!$AZ$3:$AZ$7,MATCH(N127,'G-7 WaterC'' Data'!$AY$3:$AY$7,0)),"")</f>
        <v/>
      </c>
      <c r="AZ127" s="30" t="str">
        <f>IF(B127="","",IF(ISNA(VLOOKUP($B127,'F-1 Off-Site WaterC'' Baseline'!$C$8:$AD$257,20,FALSE)),"",(VLOOKUP($B127,'F-1 Off-Site WaterC'' Baseline'!$C$8:$AD$257,20,FALSE))))</f>
        <v/>
      </c>
      <c r="BC127" s="30" t="str">
        <f>IF(B127="","",VLOOKUP($B127,'F-1 Off-Site WaterC'' Baseline'!$C$9:$AB$257,25,FALSE))</f>
        <v/>
      </c>
      <c r="BD127" s="30" t="str">
        <f t="shared" si="20"/>
        <v/>
      </c>
      <c r="BE127" s="30" t="str">
        <f>IF(B127="","",VLOOKUP($B127,'F-1 Off-Site WaterC'' Baseline'!$C$9:$AB$257,24,FALSE))</f>
        <v/>
      </c>
      <c r="BF127" s="30" t="str">
        <f>IF(B127="","",VLOOKUP($B127,'F-1 Off-Site WaterC'' Baseline'!$C$9:$AB$257,22,FALSE))</f>
        <v/>
      </c>
      <c r="BJ127" s="30" t="str">
        <f t="shared" si="21"/>
        <v>No</v>
      </c>
    </row>
    <row r="128" spans="2:62" ht="13.8" x14ac:dyDescent="0.25">
      <c r="B128" s="311" t="str">
        <f>'F-1 Off-Site WaterC'' Baseline'!AS126</f>
        <v/>
      </c>
      <c r="C128" s="301" t="str">
        <f>IF(B128="","",VLOOKUP($B128,'F-1 Off-Site WaterC'' Baseline'!$C$9:$R$257,2,FALSE))</f>
        <v/>
      </c>
      <c r="D128" s="301" t="str">
        <f>IF(C128="","",VLOOKUP($B128,'F-1 Off-Site WaterC'' Baseline'!$C$9:$R$257,3,FALSE))</f>
        <v/>
      </c>
      <c r="E128" s="301" t="str">
        <f>IF(D128="","",VLOOKUP($B128,'F-1 Off-Site WaterC'' Baseline'!$C$9:$R$257,4,FALSE))</f>
        <v/>
      </c>
      <c r="F128" s="301" t="str">
        <f>IF(E128="","",VLOOKUP($B128,'F-1 Off-Site WaterC'' Baseline'!$C$9:$R$257,5,FALSE))</f>
        <v/>
      </c>
      <c r="G128" s="301" t="str">
        <f>IF(F128="","",VLOOKUP($B128,'F-1 Off-Site WaterC'' Baseline'!$C$9:$R$257,6,FALSE))</f>
        <v/>
      </c>
      <c r="H128" s="301" t="str">
        <f>IF(G128="","",VLOOKUP($B128,'F-1 Off-Site WaterC'' Baseline'!$C$9:$R$257,7,FALSE))</f>
        <v/>
      </c>
      <c r="I128" s="301" t="str">
        <f>IF(H128="","",VLOOKUP($B128,'F-1 Off-Site WaterC'' Baseline'!$C$9:$R$257,8,FALSE))</f>
        <v/>
      </c>
      <c r="J128" s="301" t="str">
        <f>IF(I128="","",VLOOKUP($B128,'F-1 Off-Site WaterC'' Baseline'!$C$9:$R$257,9,FALSE))</f>
        <v/>
      </c>
      <c r="K128" s="301" t="str">
        <f>IF(J128="","",VLOOKUP($B128,'F-1 Off-Site WaterC'' Baseline'!$C$9:$R$257,10,FALSE))</f>
        <v/>
      </c>
      <c r="L128" s="289" t="str">
        <f>IF(B128="","",VLOOKUP($B128,'F-1 Off-Site WaterC'' Baseline'!$C$9:$R$257,15,FALSE))</f>
        <v/>
      </c>
      <c r="M128" s="305" t="str">
        <f>IF(L128="","",VLOOKUP($B128,'F-1 Off-Site WaterC'' Baseline'!$C$9:$V$257,19,FALSE))</f>
        <v/>
      </c>
      <c r="N128" s="250"/>
      <c r="O128" s="281" t="str">
        <f t="shared" si="14"/>
        <v/>
      </c>
      <c r="P128" s="282" t="str">
        <f t="shared" si="15"/>
        <v/>
      </c>
      <c r="Q128" s="287" t="str">
        <f>IF(N128="","",VLOOKUP(B128,'F-1 Off-Site WaterC'' Baseline'!$C$10:$AF$257,23,FALSE))</f>
        <v/>
      </c>
      <c r="R128" s="281" t="str">
        <f>IF(N128="","",VLOOKUP(N128,'G-7 WaterC'' Data'!$B$2:$G$8,2,FALSE))</f>
        <v/>
      </c>
      <c r="S128" s="282" t="str">
        <f>IFERROR(VLOOKUP(R128,'G-7 WaterC'' Data'!$C$4:$D$8,2,FALSE),"")</f>
        <v/>
      </c>
      <c r="T128" s="105"/>
      <c r="U128" s="282" t="str">
        <f>IFERROR(INDEX('G-7 WaterC'' Data'!$H$4:$L$8,MATCH(N128,'G-7 WaterC'' Data'!$B$4:$B$8,0),MATCH(T128,'G-7 WaterC'' Data'!$H$3:$L$3,0)),"")</f>
        <v/>
      </c>
      <c r="V128" s="109"/>
      <c r="W128" s="301" t="str">
        <f>IF(V128="","",IF(VLOOKUP(V128,'G-7 WaterC'' Data'!$AK$4:$AM$6,2,FALSE)=0,"Spatial Data Missing ⚠",VLOOKUP(V128,'G-7 WaterC'' Data'!$AK$4:$AM$6,2,FALSE)))</f>
        <v/>
      </c>
      <c r="X128" s="305" t="str">
        <f>IF(V128="","",IF(VLOOKUP(V128,'G-7 WaterC'' Data'!$AK$4:$AM$6,3,FALSE)=0,"Spatial Data Missing ⚠",VLOOKUP(V128,'G-7 WaterC'' Data'!$AK$4:$AM$6,3,FALSE)))</f>
        <v/>
      </c>
      <c r="Y128" s="317" t="str">
        <f>IFERROR(IF(OR(LEFT(P128,5)="Error",LEFT(O128,5)="Error"),"Check Data ⚠",IF(F128&lt;S128,'G-7 WaterC'' Data'!$R$3,INDEX('G-7 WaterC'' Data'!$U$5:$Y$9,MATCH(G128,'G-7 WaterC'' Data'!$T$5:$T$9,0),MATCH(T128,'G-7 WaterC'' Data'!$U$4:$Y$4,0)))),"")</f>
        <v/>
      </c>
      <c r="Z128" s="142"/>
      <c r="AA128" s="142"/>
      <c r="AB128" s="314" t="str">
        <f t="shared" si="11"/>
        <v/>
      </c>
      <c r="AC128" s="302" t="str">
        <f t="shared" si="16"/>
        <v/>
      </c>
      <c r="AD128" s="340" t="str">
        <f>IFERROR(IF(AC128="Check Data ⚠","Check Data ⚠",VLOOKUP(AC128,'G-4 Temporal multipliers'!$A$4:$C$37,3,FALSE)),"")</f>
        <v/>
      </c>
      <c r="AE128" s="317" t="str">
        <f>IF(N128="","",VLOOKUP(N128,'G-7 WaterC'' Data'!$B$4:$G$8,5,FALSE))</f>
        <v/>
      </c>
      <c r="AF128" s="301" t="str">
        <f t="shared" si="12"/>
        <v/>
      </c>
      <c r="AG128" s="301" t="str">
        <f t="shared" si="17"/>
        <v/>
      </c>
      <c r="AH128" s="282" t="str">
        <f t="shared" si="13"/>
        <v/>
      </c>
      <c r="AI128" s="109"/>
      <c r="AJ128" s="282" t="str">
        <f>IF(AI128="","",(IF(AND(AI128="N/A - Culvert",N128&lt;&gt;"Culvert"),"Not possible ▲",IF(VLOOKUP(AI128,'G-7 WaterC'' Data'!$AA$4:$AB$7,2,FALSE)=0,"Spatial Data Missing ⚠",VLOOKUP(AI128,'G-7 WaterC'' Data'!$AA$4:$AB$7,2,FALSE)))))</f>
        <v/>
      </c>
      <c r="AK128" s="110"/>
      <c r="AL128" s="316" t="str">
        <f>IF(AK128="","",IF(AND(AK128="N/A - Culvert",N128&lt;&gt;"Culvert"),"Not possible ▲",IF(VLOOKUP(AK128,'G-7 WaterC'' Data'!$AD$4:$AE$14,2,FALSE)=0,"Spatial Data Missing ⚠",VLOOKUP(AK128,'G-7 WaterC'' Data'!$AD$4:$AE$14,2,FALSE))))</f>
        <v/>
      </c>
      <c r="AM128" s="281" t="str">
        <f>IF(B128="","",VLOOKUP($B128,'F-1 Off-Site WaterC'' Baseline'!$C$9:$Z$257,17,FALSE))</f>
        <v/>
      </c>
      <c r="AN128" s="282" t="str">
        <f>IF(AM128="","",IF(VLOOKUP(AM128,'G-7 WaterC'' Data'!$AO$4:$BO$7,2,FALSE)=0,"Spatial Data Missing ⚠",VLOOKUP(AM128,'G-7 WaterC'' Data'!$AO$4:$BO$7,2,FALSE)))</f>
        <v/>
      </c>
      <c r="AO128" s="323" t="str">
        <f t="shared" si="18"/>
        <v/>
      </c>
      <c r="AP128" s="323" t="str">
        <f t="shared" si="19"/>
        <v/>
      </c>
      <c r="AQ128" s="105"/>
      <c r="AR128" s="119"/>
      <c r="AS128" s="108"/>
      <c r="AT128" s="108"/>
      <c r="AW128" s="30" t="str">
        <f>IF(E128="","",VLOOKUP($B128,'F-1 Off-Site WaterC'' Baseline'!$C$9:$Z$257,12,FALSE))</f>
        <v/>
      </c>
      <c r="AX128" s="30" t="str">
        <f>IF(E128="","",VLOOKUP($B128,'F-1 Off-Site WaterC'' Baseline'!$C$9:$Z$257,14,FALSE))</f>
        <v/>
      </c>
      <c r="AY128" s="30" t="str">
        <f>IFERROR(INDEX('G-7 WaterC'' Data'!$AZ$3:$AZ$7,MATCH(N128,'G-7 WaterC'' Data'!$AY$3:$AY$7,0)),"")</f>
        <v/>
      </c>
      <c r="AZ128" s="30" t="str">
        <f>IF(B128="","",IF(ISNA(VLOOKUP($B128,'F-1 Off-Site WaterC'' Baseline'!$C$8:$AD$257,20,FALSE)),"",(VLOOKUP($B128,'F-1 Off-Site WaterC'' Baseline'!$C$8:$AD$257,20,FALSE))))</f>
        <v/>
      </c>
      <c r="BC128" s="30" t="str">
        <f>IF(B128="","",VLOOKUP($B128,'F-1 Off-Site WaterC'' Baseline'!$C$9:$AB$257,25,FALSE))</f>
        <v/>
      </c>
      <c r="BD128" s="30" t="str">
        <f t="shared" si="20"/>
        <v/>
      </c>
      <c r="BE128" s="30" t="str">
        <f>IF(B128="","",VLOOKUP($B128,'F-1 Off-Site WaterC'' Baseline'!$C$9:$AB$257,24,FALSE))</f>
        <v/>
      </c>
      <c r="BF128" s="30" t="str">
        <f>IF(B128="","",VLOOKUP($B128,'F-1 Off-Site WaterC'' Baseline'!$C$9:$AB$257,22,FALSE))</f>
        <v/>
      </c>
      <c r="BJ128" s="30" t="str">
        <f t="shared" si="21"/>
        <v>No</v>
      </c>
    </row>
    <row r="129" spans="2:62" ht="13.8" x14ac:dyDescent="0.25">
      <c r="B129" s="311" t="str">
        <f>'F-1 Off-Site WaterC'' Baseline'!AS127</f>
        <v/>
      </c>
      <c r="C129" s="301" t="str">
        <f>IF(B129="","",VLOOKUP($B129,'F-1 Off-Site WaterC'' Baseline'!$C$9:$R$257,2,FALSE))</f>
        <v/>
      </c>
      <c r="D129" s="301" t="str">
        <f>IF(C129="","",VLOOKUP($B129,'F-1 Off-Site WaterC'' Baseline'!$C$9:$R$257,3,FALSE))</f>
        <v/>
      </c>
      <c r="E129" s="301" t="str">
        <f>IF(D129="","",VLOOKUP($B129,'F-1 Off-Site WaterC'' Baseline'!$C$9:$R$257,4,FALSE))</f>
        <v/>
      </c>
      <c r="F129" s="301" t="str">
        <f>IF(E129="","",VLOOKUP($B129,'F-1 Off-Site WaterC'' Baseline'!$C$9:$R$257,5,FALSE))</f>
        <v/>
      </c>
      <c r="G129" s="301" t="str">
        <f>IF(F129="","",VLOOKUP($B129,'F-1 Off-Site WaterC'' Baseline'!$C$9:$R$257,6,FALSE))</f>
        <v/>
      </c>
      <c r="H129" s="301" t="str">
        <f>IF(G129="","",VLOOKUP($B129,'F-1 Off-Site WaterC'' Baseline'!$C$9:$R$257,7,FALSE))</f>
        <v/>
      </c>
      <c r="I129" s="301" t="str">
        <f>IF(H129="","",VLOOKUP($B129,'F-1 Off-Site WaterC'' Baseline'!$C$9:$R$257,8,FALSE))</f>
        <v/>
      </c>
      <c r="J129" s="301" t="str">
        <f>IF(I129="","",VLOOKUP($B129,'F-1 Off-Site WaterC'' Baseline'!$C$9:$R$257,9,FALSE))</f>
        <v/>
      </c>
      <c r="K129" s="301" t="str">
        <f>IF(J129="","",VLOOKUP($B129,'F-1 Off-Site WaterC'' Baseline'!$C$9:$R$257,10,FALSE))</f>
        <v/>
      </c>
      <c r="L129" s="289" t="str">
        <f>IF(B129="","",VLOOKUP($B129,'F-1 Off-Site WaterC'' Baseline'!$C$9:$R$257,15,FALSE))</f>
        <v/>
      </c>
      <c r="M129" s="305" t="str">
        <f>IF(L129="","",VLOOKUP($B129,'F-1 Off-Site WaterC'' Baseline'!$C$9:$V$257,19,FALSE))</f>
        <v/>
      </c>
      <c r="N129" s="250"/>
      <c r="O129" s="281" t="str">
        <f t="shared" si="14"/>
        <v/>
      </c>
      <c r="P129" s="282" t="str">
        <f t="shared" si="15"/>
        <v/>
      </c>
      <c r="Q129" s="287" t="str">
        <f>IF(N129="","",VLOOKUP(B129,'F-1 Off-Site WaterC'' Baseline'!$C$10:$AF$257,23,FALSE))</f>
        <v/>
      </c>
      <c r="R129" s="281" t="str">
        <f>IF(N129="","",VLOOKUP(N129,'G-7 WaterC'' Data'!$B$2:$G$8,2,FALSE))</f>
        <v/>
      </c>
      <c r="S129" s="282" t="str">
        <f>IFERROR(VLOOKUP(R129,'G-7 WaterC'' Data'!$C$4:$D$8,2,FALSE),"")</f>
        <v/>
      </c>
      <c r="T129" s="105"/>
      <c r="U129" s="282" t="str">
        <f>IFERROR(INDEX('G-7 WaterC'' Data'!$H$4:$L$8,MATCH(N129,'G-7 WaterC'' Data'!$B$4:$B$8,0),MATCH(T129,'G-7 WaterC'' Data'!$H$3:$L$3,0)),"")</f>
        <v/>
      </c>
      <c r="V129" s="109"/>
      <c r="W129" s="301" t="str">
        <f>IF(V129="","",IF(VLOOKUP(V129,'G-7 WaterC'' Data'!$AK$4:$AM$6,2,FALSE)=0,"Spatial Data Missing ⚠",VLOOKUP(V129,'G-7 WaterC'' Data'!$AK$4:$AM$6,2,FALSE)))</f>
        <v/>
      </c>
      <c r="X129" s="305" t="str">
        <f>IF(V129="","",IF(VLOOKUP(V129,'G-7 WaterC'' Data'!$AK$4:$AM$6,3,FALSE)=0,"Spatial Data Missing ⚠",VLOOKUP(V129,'G-7 WaterC'' Data'!$AK$4:$AM$6,3,FALSE)))</f>
        <v/>
      </c>
      <c r="Y129" s="317" t="str">
        <f>IFERROR(IF(OR(LEFT(P129,5)="Error",LEFT(O129,5)="Error"),"Check Data ⚠",IF(F129&lt;S129,'G-7 WaterC'' Data'!$R$3,INDEX('G-7 WaterC'' Data'!$U$5:$Y$9,MATCH(G129,'G-7 WaterC'' Data'!$T$5:$T$9,0),MATCH(T129,'G-7 WaterC'' Data'!$U$4:$Y$4,0)))),"")</f>
        <v/>
      </c>
      <c r="Z129" s="142"/>
      <c r="AA129" s="142"/>
      <c r="AB129" s="314" t="str">
        <f t="shared" si="11"/>
        <v/>
      </c>
      <c r="AC129" s="302" t="str">
        <f t="shared" si="16"/>
        <v/>
      </c>
      <c r="AD129" s="340" t="str">
        <f>IFERROR(IF(AC129="Check Data ⚠","Check Data ⚠",VLOOKUP(AC129,'G-4 Temporal multipliers'!$A$4:$C$37,3,FALSE)),"")</f>
        <v/>
      </c>
      <c r="AE129" s="317" t="str">
        <f>IF(N129="","",VLOOKUP(N129,'G-7 WaterC'' Data'!$B$4:$G$8,5,FALSE))</f>
        <v/>
      </c>
      <c r="AF129" s="301" t="str">
        <f t="shared" si="12"/>
        <v/>
      </c>
      <c r="AG129" s="301" t="str">
        <f t="shared" si="17"/>
        <v/>
      </c>
      <c r="AH129" s="282" t="str">
        <f t="shared" si="13"/>
        <v/>
      </c>
      <c r="AI129" s="109"/>
      <c r="AJ129" s="282" t="str">
        <f>IF(AI129="","",(IF(AND(AI129="N/A - Culvert",N129&lt;&gt;"Culvert"),"Not possible ▲",IF(VLOOKUP(AI129,'G-7 WaterC'' Data'!$AA$4:$AB$7,2,FALSE)=0,"Spatial Data Missing ⚠",VLOOKUP(AI129,'G-7 WaterC'' Data'!$AA$4:$AB$7,2,FALSE)))))</f>
        <v/>
      </c>
      <c r="AK129" s="110"/>
      <c r="AL129" s="316" t="str">
        <f>IF(AK129="","",IF(AND(AK129="N/A - Culvert",N129&lt;&gt;"Culvert"),"Not possible ▲",IF(VLOOKUP(AK129,'G-7 WaterC'' Data'!$AD$4:$AE$14,2,FALSE)=0,"Spatial Data Missing ⚠",VLOOKUP(AK129,'G-7 WaterC'' Data'!$AD$4:$AE$14,2,FALSE))))</f>
        <v/>
      </c>
      <c r="AM129" s="281" t="str">
        <f>IF(B129="","",VLOOKUP($B129,'F-1 Off-Site WaterC'' Baseline'!$C$9:$Z$257,17,FALSE))</f>
        <v/>
      </c>
      <c r="AN129" s="282" t="str">
        <f>IF(AM129="","",IF(VLOOKUP(AM129,'G-7 WaterC'' Data'!$AO$4:$BO$7,2,FALSE)=0,"Spatial Data Missing ⚠",VLOOKUP(AM129,'G-7 WaterC'' Data'!$AO$4:$BO$7,2,FALSE)))</f>
        <v/>
      </c>
      <c r="AO129" s="323" t="str">
        <f t="shared" si="18"/>
        <v/>
      </c>
      <c r="AP129" s="323" t="str">
        <f t="shared" si="19"/>
        <v/>
      </c>
      <c r="AQ129" s="105"/>
      <c r="AR129" s="119"/>
      <c r="AS129" s="108"/>
      <c r="AT129" s="108"/>
      <c r="AW129" s="30" t="str">
        <f>IF(E129="","",VLOOKUP($B129,'F-1 Off-Site WaterC'' Baseline'!$C$9:$Z$257,12,FALSE))</f>
        <v/>
      </c>
      <c r="AX129" s="30" t="str">
        <f>IF(E129="","",VLOOKUP($B129,'F-1 Off-Site WaterC'' Baseline'!$C$9:$Z$257,14,FALSE))</f>
        <v/>
      </c>
      <c r="AY129" s="30" t="str">
        <f>IFERROR(INDEX('G-7 WaterC'' Data'!$AZ$3:$AZ$7,MATCH(N129,'G-7 WaterC'' Data'!$AY$3:$AY$7,0)),"")</f>
        <v/>
      </c>
      <c r="AZ129" s="30" t="str">
        <f>IF(B129="","",IF(ISNA(VLOOKUP($B129,'F-1 Off-Site WaterC'' Baseline'!$C$8:$AD$257,20,FALSE)),"",(VLOOKUP($B129,'F-1 Off-Site WaterC'' Baseline'!$C$8:$AD$257,20,FALSE))))</f>
        <v/>
      </c>
      <c r="BC129" s="30" t="str">
        <f>IF(B129="","",VLOOKUP($B129,'F-1 Off-Site WaterC'' Baseline'!$C$9:$AB$257,25,FALSE))</f>
        <v/>
      </c>
      <c r="BD129" s="30" t="str">
        <f t="shared" si="20"/>
        <v/>
      </c>
      <c r="BE129" s="30" t="str">
        <f>IF(B129="","",VLOOKUP($B129,'F-1 Off-Site WaterC'' Baseline'!$C$9:$AB$257,24,FALSE))</f>
        <v/>
      </c>
      <c r="BF129" s="30" t="str">
        <f>IF(B129="","",VLOOKUP($B129,'F-1 Off-Site WaterC'' Baseline'!$C$9:$AB$257,22,FALSE))</f>
        <v/>
      </c>
      <c r="BJ129" s="30" t="str">
        <f t="shared" si="21"/>
        <v>No</v>
      </c>
    </row>
    <row r="130" spans="2:62" ht="13.8" x14ac:dyDescent="0.25">
      <c r="B130" s="311" t="str">
        <f>'F-1 Off-Site WaterC'' Baseline'!AS128</f>
        <v/>
      </c>
      <c r="C130" s="301" t="str">
        <f>IF(B130="","",VLOOKUP($B130,'F-1 Off-Site WaterC'' Baseline'!$C$9:$R$257,2,FALSE))</f>
        <v/>
      </c>
      <c r="D130" s="301" t="str">
        <f>IF(C130="","",VLOOKUP($B130,'F-1 Off-Site WaterC'' Baseline'!$C$9:$R$257,3,FALSE))</f>
        <v/>
      </c>
      <c r="E130" s="301" t="str">
        <f>IF(D130="","",VLOOKUP($B130,'F-1 Off-Site WaterC'' Baseline'!$C$9:$R$257,4,FALSE))</f>
        <v/>
      </c>
      <c r="F130" s="301" t="str">
        <f>IF(E130="","",VLOOKUP($B130,'F-1 Off-Site WaterC'' Baseline'!$C$9:$R$257,5,FALSE))</f>
        <v/>
      </c>
      <c r="G130" s="301" t="str">
        <f>IF(F130="","",VLOOKUP($B130,'F-1 Off-Site WaterC'' Baseline'!$C$9:$R$257,6,FALSE))</f>
        <v/>
      </c>
      <c r="H130" s="301" t="str">
        <f>IF(G130="","",VLOOKUP($B130,'F-1 Off-Site WaterC'' Baseline'!$C$9:$R$257,7,FALSE))</f>
        <v/>
      </c>
      <c r="I130" s="301" t="str">
        <f>IF(H130="","",VLOOKUP($B130,'F-1 Off-Site WaterC'' Baseline'!$C$9:$R$257,8,FALSE))</f>
        <v/>
      </c>
      <c r="J130" s="301" t="str">
        <f>IF(I130="","",VLOOKUP($B130,'F-1 Off-Site WaterC'' Baseline'!$C$9:$R$257,9,FALSE))</f>
        <v/>
      </c>
      <c r="K130" s="301" t="str">
        <f>IF(J130="","",VLOOKUP($B130,'F-1 Off-Site WaterC'' Baseline'!$C$9:$R$257,10,FALSE))</f>
        <v/>
      </c>
      <c r="L130" s="289" t="str">
        <f>IF(B130="","",VLOOKUP($B130,'F-1 Off-Site WaterC'' Baseline'!$C$9:$R$257,15,FALSE))</f>
        <v/>
      </c>
      <c r="M130" s="305" t="str">
        <f>IF(L130="","",VLOOKUP($B130,'F-1 Off-Site WaterC'' Baseline'!$C$9:$V$257,19,FALSE))</f>
        <v/>
      </c>
      <c r="N130" s="250"/>
      <c r="O130" s="281" t="str">
        <f t="shared" si="14"/>
        <v/>
      </c>
      <c r="P130" s="282" t="str">
        <f t="shared" si="15"/>
        <v/>
      </c>
      <c r="Q130" s="287" t="str">
        <f>IF(N130="","",VLOOKUP(B130,'F-1 Off-Site WaterC'' Baseline'!$C$10:$AF$257,23,FALSE))</f>
        <v/>
      </c>
      <c r="R130" s="281" t="str">
        <f>IF(N130="","",VLOOKUP(N130,'G-7 WaterC'' Data'!$B$2:$G$8,2,FALSE))</f>
        <v/>
      </c>
      <c r="S130" s="282" t="str">
        <f>IFERROR(VLOOKUP(R130,'G-7 WaterC'' Data'!$C$4:$D$8,2,FALSE),"")</f>
        <v/>
      </c>
      <c r="T130" s="105"/>
      <c r="U130" s="282" t="str">
        <f>IFERROR(INDEX('G-7 WaterC'' Data'!$H$4:$L$8,MATCH(N130,'G-7 WaterC'' Data'!$B$4:$B$8,0),MATCH(T130,'G-7 WaterC'' Data'!$H$3:$L$3,0)),"")</f>
        <v/>
      </c>
      <c r="V130" s="109"/>
      <c r="W130" s="301" t="str">
        <f>IF(V130="","",IF(VLOOKUP(V130,'G-7 WaterC'' Data'!$AK$4:$AM$6,2,FALSE)=0,"Spatial Data Missing ⚠",VLOOKUP(V130,'G-7 WaterC'' Data'!$AK$4:$AM$6,2,FALSE)))</f>
        <v/>
      </c>
      <c r="X130" s="305" t="str">
        <f>IF(V130="","",IF(VLOOKUP(V130,'G-7 WaterC'' Data'!$AK$4:$AM$6,3,FALSE)=0,"Spatial Data Missing ⚠",VLOOKUP(V130,'G-7 WaterC'' Data'!$AK$4:$AM$6,3,FALSE)))</f>
        <v/>
      </c>
      <c r="Y130" s="317" t="str">
        <f>IFERROR(IF(OR(LEFT(P130,5)="Error",LEFT(O130,5)="Error"),"Check Data ⚠",IF(F130&lt;S130,'G-7 WaterC'' Data'!$R$3,INDEX('G-7 WaterC'' Data'!$U$5:$Y$9,MATCH(G130,'G-7 WaterC'' Data'!$T$5:$T$9,0),MATCH(T130,'G-7 WaterC'' Data'!$U$4:$Y$4,0)))),"")</f>
        <v/>
      </c>
      <c r="Z130" s="142"/>
      <c r="AA130" s="142"/>
      <c r="AB130" s="314" t="str">
        <f t="shared" si="11"/>
        <v/>
      </c>
      <c r="AC130" s="302" t="str">
        <f t="shared" si="16"/>
        <v/>
      </c>
      <c r="AD130" s="340" t="str">
        <f>IFERROR(IF(AC130="Check Data ⚠","Check Data ⚠",VLOOKUP(AC130,'G-4 Temporal multipliers'!$A$4:$C$37,3,FALSE)),"")</f>
        <v/>
      </c>
      <c r="AE130" s="317" t="str">
        <f>IF(N130="","",VLOOKUP(N130,'G-7 WaterC'' Data'!$B$4:$G$8,5,FALSE))</f>
        <v/>
      </c>
      <c r="AF130" s="301" t="str">
        <f t="shared" si="12"/>
        <v/>
      </c>
      <c r="AG130" s="301" t="str">
        <f t="shared" si="17"/>
        <v/>
      </c>
      <c r="AH130" s="282" t="str">
        <f t="shared" si="13"/>
        <v/>
      </c>
      <c r="AI130" s="109"/>
      <c r="AJ130" s="282" t="str">
        <f>IF(AI130="","",(IF(AND(AI130="N/A - Culvert",N130&lt;&gt;"Culvert"),"Not possible ▲",IF(VLOOKUP(AI130,'G-7 WaterC'' Data'!$AA$4:$AB$7,2,FALSE)=0,"Spatial Data Missing ⚠",VLOOKUP(AI130,'G-7 WaterC'' Data'!$AA$4:$AB$7,2,FALSE)))))</f>
        <v/>
      </c>
      <c r="AK130" s="110"/>
      <c r="AL130" s="316" t="str">
        <f>IF(AK130="","",IF(AND(AK130="N/A - Culvert",N130&lt;&gt;"Culvert"),"Not possible ▲",IF(VLOOKUP(AK130,'G-7 WaterC'' Data'!$AD$4:$AE$14,2,FALSE)=0,"Spatial Data Missing ⚠",VLOOKUP(AK130,'G-7 WaterC'' Data'!$AD$4:$AE$14,2,FALSE))))</f>
        <v/>
      </c>
      <c r="AM130" s="281" t="str">
        <f>IF(B130="","",VLOOKUP($B130,'F-1 Off-Site WaterC'' Baseline'!$C$9:$Z$257,17,FALSE))</f>
        <v/>
      </c>
      <c r="AN130" s="282" t="str">
        <f>IF(AM130="","",IF(VLOOKUP(AM130,'G-7 WaterC'' Data'!$AO$4:$BO$7,2,FALSE)=0,"Spatial Data Missing ⚠",VLOOKUP(AM130,'G-7 WaterC'' Data'!$AO$4:$BO$7,2,FALSE)))</f>
        <v/>
      </c>
      <c r="AO130" s="323" t="str">
        <f t="shared" si="18"/>
        <v/>
      </c>
      <c r="AP130" s="323" t="str">
        <f t="shared" si="19"/>
        <v/>
      </c>
      <c r="AQ130" s="105"/>
      <c r="AR130" s="119"/>
      <c r="AS130" s="108"/>
      <c r="AT130" s="108"/>
      <c r="AW130" s="30" t="str">
        <f>IF(E130="","",VLOOKUP($B130,'F-1 Off-Site WaterC'' Baseline'!$C$9:$Z$257,12,FALSE))</f>
        <v/>
      </c>
      <c r="AX130" s="30" t="str">
        <f>IF(E130="","",VLOOKUP($B130,'F-1 Off-Site WaterC'' Baseline'!$C$9:$Z$257,14,FALSE))</f>
        <v/>
      </c>
      <c r="AY130" s="30" t="str">
        <f>IFERROR(INDEX('G-7 WaterC'' Data'!$AZ$3:$AZ$7,MATCH(N130,'G-7 WaterC'' Data'!$AY$3:$AY$7,0)),"")</f>
        <v/>
      </c>
      <c r="AZ130" s="30" t="str">
        <f>IF(B130="","",IF(ISNA(VLOOKUP($B130,'F-1 Off-Site WaterC'' Baseline'!$C$8:$AD$257,20,FALSE)),"",(VLOOKUP($B130,'F-1 Off-Site WaterC'' Baseline'!$C$8:$AD$257,20,FALSE))))</f>
        <v/>
      </c>
      <c r="BC130" s="30" t="str">
        <f>IF(B130="","",VLOOKUP($B130,'F-1 Off-Site WaterC'' Baseline'!$C$9:$AB$257,25,FALSE))</f>
        <v/>
      </c>
      <c r="BD130" s="30" t="str">
        <f t="shared" si="20"/>
        <v/>
      </c>
      <c r="BE130" s="30" t="str">
        <f>IF(B130="","",VLOOKUP($B130,'F-1 Off-Site WaterC'' Baseline'!$C$9:$AB$257,24,FALSE))</f>
        <v/>
      </c>
      <c r="BF130" s="30" t="str">
        <f>IF(B130="","",VLOOKUP($B130,'F-1 Off-Site WaterC'' Baseline'!$C$9:$AB$257,22,FALSE))</f>
        <v/>
      </c>
      <c r="BJ130" s="30" t="str">
        <f t="shared" si="21"/>
        <v>No</v>
      </c>
    </row>
    <row r="131" spans="2:62" ht="13.8" x14ac:dyDescent="0.25">
      <c r="B131" s="311" t="str">
        <f>'F-1 Off-Site WaterC'' Baseline'!AS129</f>
        <v/>
      </c>
      <c r="C131" s="301" t="str">
        <f>IF(B131="","",VLOOKUP($B131,'F-1 Off-Site WaterC'' Baseline'!$C$9:$R$257,2,FALSE))</f>
        <v/>
      </c>
      <c r="D131" s="301" t="str">
        <f>IF(C131="","",VLOOKUP($B131,'F-1 Off-Site WaterC'' Baseline'!$C$9:$R$257,3,FALSE))</f>
        <v/>
      </c>
      <c r="E131" s="301" t="str">
        <f>IF(D131="","",VLOOKUP($B131,'F-1 Off-Site WaterC'' Baseline'!$C$9:$R$257,4,FALSE))</f>
        <v/>
      </c>
      <c r="F131" s="301" t="str">
        <f>IF(E131="","",VLOOKUP($B131,'F-1 Off-Site WaterC'' Baseline'!$C$9:$R$257,5,FALSE))</f>
        <v/>
      </c>
      <c r="G131" s="301" t="str">
        <f>IF(F131="","",VLOOKUP($B131,'F-1 Off-Site WaterC'' Baseline'!$C$9:$R$257,6,FALSE))</f>
        <v/>
      </c>
      <c r="H131" s="301" t="str">
        <f>IF(G131="","",VLOOKUP($B131,'F-1 Off-Site WaterC'' Baseline'!$C$9:$R$257,7,FALSE))</f>
        <v/>
      </c>
      <c r="I131" s="301" t="str">
        <f>IF(H131="","",VLOOKUP($B131,'F-1 Off-Site WaterC'' Baseline'!$C$9:$R$257,8,FALSE))</f>
        <v/>
      </c>
      <c r="J131" s="301" t="str">
        <f>IF(I131="","",VLOOKUP($B131,'F-1 Off-Site WaterC'' Baseline'!$C$9:$R$257,9,FALSE))</f>
        <v/>
      </c>
      <c r="K131" s="301" t="str">
        <f>IF(J131="","",VLOOKUP($B131,'F-1 Off-Site WaterC'' Baseline'!$C$9:$R$257,10,FALSE))</f>
        <v/>
      </c>
      <c r="L131" s="289" t="str">
        <f>IF(B131="","",VLOOKUP($B131,'F-1 Off-Site WaterC'' Baseline'!$C$9:$R$257,15,FALSE))</f>
        <v/>
      </c>
      <c r="M131" s="305" t="str">
        <f>IF(L131="","",VLOOKUP($B131,'F-1 Off-Site WaterC'' Baseline'!$C$9:$V$257,19,FALSE))</f>
        <v/>
      </c>
      <c r="N131" s="250"/>
      <c r="O131" s="281" t="str">
        <f t="shared" si="14"/>
        <v/>
      </c>
      <c r="P131" s="282" t="str">
        <f t="shared" si="15"/>
        <v/>
      </c>
      <c r="Q131" s="287" t="str">
        <f>IF(N131="","",VLOOKUP(B131,'F-1 Off-Site WaterC'' Baseline'!$C$10:$AF$257,23,FALSE))</f>
        <v/>
      </c>
      <c r="R131" s="281" t="str">
        <f>IF(N131="","",VLOOKUP(N131,'G-7 WaterC'' Data'!$B$2:$G$8,2,FALSE))</f>
        <v/>
      </c>
      <c r="S131" s="282" t="str">
        <f>IFERROR(VLOOKUP(R131,'G-7 WaterC'' Data'!$C$4:$D$8,2,FALSE),"")</f>
        <v/>
      </c>
      <c r="T131" s="105"/>
      <c r="U131" s="282" t="str">
        <f>IFERROR(INDEX('G-7 WaterC'' Data'!$H$4:$L$8,MATCH(N131,'G-7 WaterC'' Data'!$B$4:$B$8,0),MATCH(T131,'G-7 WaterC'' Data'!$H$3:$L$3,0)),"")</f>
        <v/>
      </c>
      <c r="V131" s="109"/>
      <c r="W131" s="301" t="str">
        <f>IF(V131="","",IF(VLOOKUP(V131,'G-7 WaterC'' Data'!$AK$4:$AM$6,2,FALSE)=0,"Spatial Data Missing ⚠",VLOOKUP(V131,'G-7 WaterC'' Data'!$AK$4:$AM$6,2,FALSE)))</f>
        <v/>
      </c>
      <c r="X131" s="305" t="str">
        <f>IF(V131="","",IF(VLOOKUP(V131,'G-7 WaterC'' Data'!$AK$4:$AM$6,3,FALSE)=0,"Spatial Data Missing ⚠",VLOOKUP(V131,'G-7 WaterC'' Data'!$AK$4:$AM$6,3,FALSE)))</f>
        <v/>
      </c>
      <c r="Y131" s="317" t="str">
        <f>IFERROR(IF(OR(LEFT(P131,5)="Error",LEFT(O131,5)="Error"),"Check Data ⚠",IF(F131&lt;S131,'G-7 WaterC'' Data'!$R$3,INDEX('G-7 WaterC'' Data'!$U$5:$Y$9,MATCH(G131,'G-7 WaterC'' Data'!$T$5:$T$9,0),MATCH(T131,'G-7 WaterC'' Data'!$U$4:$Y$4,0)))),"")</f>
        <v/>
      </c>
      <c r="Z131" s="142"/>
      <c r="AA131" s="142"/>
      <c r="AB131" s="314" t="str">
        <f t="shared" si="11"/>
        <v/>
      </c>
      <c r="AC131" s="302" t="str">
        <f t="shared" si="16"/>
        <v/>
      </c>
      <c r="AD131" s="340" t="str">
        <f>IFERROR(IF(AC131="Check Data ⚠","Check Data ⚠",VLOOKUP(AC131,'G-4 Temporal multipliers'!$A$4:$C$37,3,FALSE)),"")</f>
        <v/>
      </c>
      <c r="AE131" s="317" t="str">
        <f>IF(N131="","",VLOOKUP(N131,'G-7 WaterC'' Data'!$B$4:$G$8,5,FALSE))</f>
        <v/>
      </c>
      <c r="AF131" s="301" t="str">
        <f t="shared" si="12"/>
        <v/>
      </c>
      <c r="AG131" s="301" t="str">
        <f t="shared" si="17"/>
        <v/>
      </c>
      <c r="AH131" s="282" t="str">
        <f t="shared" si="13"/>
        <v/>
      </c>
      <c r="AI131" s="109"/>
      <c r="AJ131" s="282" t="str">
        <f>IF(AI131="","",(IF(AND(AI131="N/A - Culvert",N131&lt;&gt;"Culvert"),"Not possible ▲",IF(VLOOKUP(AI131,'G-7 WaterC'' Data'!$AA$4:$AB$7,2,FALSE)=0,"Spatial Data Missing ⚠",VLOOKUP(AI131,'G-7 WaterC'' Data'!$AA$4:$AB$7,2,FALSE)))))</f>
        <v/>
      </c>
      <c r="AK131" s="110"/>
      <c r="AL131" s="316" t="str">
        <f>IF(AK131="","",IF(AND(AK131="N/A - Culvert",N131&lt;&gt;"Culvert"),"Not possible ▲",IF(VLOOKUP(AK131,'G-7 WaterC'' Data'!$AD$4:$AE$14,2,FALSE)=0,"Spatial Data Missing ⚠",VLOOKUP(AK131,'G-7 WaterC'' Data'!$AD$4:$AE$14,2,FALSE))))</f>
        <v/>
      </c>
      <c r="AM131" s="281" t="str">
        <f>IF(B131="","",VLOOKUP($B131,'F-1 Off-Site WaterC'' Baseline'!$C$9:$Z$257,17,FALSE))</f>
        <v/>
      </c>
      <c r="AN131" s="282" t="str">
        <f>IF(AM131="","",IF(VLOOKUP(AM131,'G-7 WaterC'' Data'!$AO$4:$BO$7,2,FALSE)=0,"Spatial Data Missing ⚠",VLOOKUP(AM131,'G-7 WaterC'' Data'!$AO$4:$BO$7,2,FALSE)))</f>
        <v/>
      </c>
      <c r="AO131" s="323" t="str">
        <f t="shared" si="18"/>
        <v/>
      </c>
      <c r="AP131" s="323" t="str">
        <f t="shared" si="19"/>
        <v/>
      </c>
      <c r="AQ131" s="105"/>
      <c r="AR131" s="119"/>
      <c r="AS131" s="108"/>
      <c r="AT131" s="108"/>
      <c r="AW131" s="30" t="str">
        <f>IF(E131="","",VLOOKUP($B131,'F-1 Off-Site WaterC'' Baseline'!$C$9:$Z$257,12,FALSE))</f>
        <v/>
      </c>
      <c r="AX131" s="30" t="str">
        <f>IF(E131="","",VLOOKUP($B131,'F-1 Off-Site WaterC'' Baseline'!$C$9:$Z$257,14,FALSE))</f>
        <v/>
      </c>
      <c r="AY131" s="30" t="str">
        <f>IFERROR(INDEX('G-7 WaterC'' Data'!$AZ$3:$AZ$7,MATCH(N131,'G-7 WaterC'' Data'!$AY$3:$AY$7,0)),"")</f>
        <v/>
      </c>
      <c r="AZ131" s="30" t="str">
        <f>IF(B131="","",IF(ISNA(VLOOKUP($B131,'F-1 Off-Site WaterC'' Baseline'!$C$8:$AD$257,20,FALSE)),"",(VLOOKUP($B131,'F-1 Off-Site WaterC'' Baseline'!$C$8:$AD$257,20,FALSE))))</f>
        <v/>
      </c>
      <c r="BC131" s="30" t="str">
        <f>IF(B131="","",VLOOKUP($B131,'F-1 Off-Site WaterC'' Baseline'!$C$9:$AB$257,25,FALSE))</f>
        <v/>
      </c>
      <c r="BD131" s="30" t="str">
        <f t="shared" si="20"/>
        <v/>
      </c>
      <c r="BE131" s="30" t="str">
        <f>IF(B131="","",VLOOKUP($B131,'F-1 Off-Site WaterC'' Baseline'!$C$9:$AB$257,24,FALSE))</f>
        <v/>
      </c>
      <c r="BF131" s="30" t="str">
        <f>IF(B131="","",VLOOKUP($B131,'F-1 Off-Site WaterC'' Baseline'!$C$9:$AB$257,22,FALSE))</f>
        <v/>
      </c>
      <c r="BJ131" s="30" t="str">
        <f t="shared" si="21"/>
        <v>No</v>
      </c>
    </row>
    <row r="132" spans="2:62" ht="13.8" x14ac:dyDescent="0.25">
      <c r="B132" s="311" t="str">
        <f>'F-1 Off-Site WaterC'' Baseline'!AS130</f>
        <v/>
      </c>
      <c r="C132" s="301" t="str">
        <f>IF(B132="","",VLOOKUP($B132,'F-1 Off-Site WaterC'' Baseline'!$C$9:$R$257,2,FALSE))</f>
        <v/>
      </c>
      <c r="D132" s="301" t="str">
        <f>IF(C132="","",VLOOKUP($B132,'F-1 Off-Site WaterC'' Baseline'!$C$9:$R$257,3,FALSE))</f>
        <v/>
      </c>
      <c r="E132" s="301" t="str">
        <f>IF(D132="","",VLOOKUP($B132,'F-1 Off-Site WaterC'' Baseline'!$C$9:$R$257,4,FALSE))</f>
        <v/>
      </c>
      <c r="F132" s="301" t="str">
        <f>IF(E132="","",VLOOKUP($B132,'F-1 Off-Site WaterC'' Baseline'!$C$9:$R$257,5,FALSE))</f>
        <v/>
      </c>
      <c r="G132" s="301" t="str">
        <f>IF(F132="","",VLOOKUP($B132,'F-1 Off-Site WaterC'' Baseline'!$C$9:$R$257,6,FALSE))</f>
        <v/>
      </c>
      <c r="H132" s="301" t="str">
        <f>IF(G132="","",VLOOKUP($B132,'F-1 Off-Site WaterC'' Baseline'!$C$9:$R$257,7,FALSE))</f>
        <v/>
      </c>
      <c r="I132" s="301" t="str">
        <f>IF(H132="","",VLOOKUP($B132,'F-1 Off-Site WaterC'' Baseline'!$C$9:$R$257,8,FALSE))</f>
        <v/>
      </c>
      <c r="J132" s="301" t="str">
        <f>IF(I132="","",VLOOKUP($B132,'F-1 Off-Site WaterC'' Baseline'!$C$9:$R$257,9,FALSE))</f>
        <v/>
      </c>
      <c r="K132" s="301" t="str">
        <f>IF(J132="","",VLOOKUP($B132,'F-1 Off-Site WaterC'' Baseline'!$C$9:$R$257,10,FALSE))</f>
        <v/>
      </c>
      <c r="L132" s="289" t="str">
        <f>IF(B132="","",VLOOKUP($B132,'F-1 Off-Site WaterC'' Baseline'!$C$9:$R$257,15,FALSE))</f>
        <v/>
      </c>
      <c r="M132" s="305" t="str">
        <f>IF(L132="","",VLOOKUP($B132,'F-1 Off-Site WaterC'' Baseline'!$C$9:$V$257,19,FALSE))</f>
        <v/>
      </c>
      <c r="N132" s="250"/>
      <c r="O132" s="281" t="str">
        <f t="shared" si="14"/>
        <v/>
      </c>
      <c r="P132" s="282" t="str">
        <f t="shared" si="15"/>
        <v/>
      </c>
      <c r="Q132" s="287" t="str">
        <f>IF(N132="","",VLOOKUP(B132,'F-1 Off-Site WaterC'' Baseline'!$C$10:$AF$257,23,FALSE))</f>
        <v/>
      </c>
      <c r="R132" s="281" t="str">
        <f>IF(N132="","",VLOOKUP(N132,'G-7 WaterC'' Data'!$B$2:$G$8,2,FALSE))</f>
        <v/>
      </c>
      <c r="S132" s="282" t="str">
        <f>IFERROR(VLOOKUP(R132,'G-7 WaterC'' Data'!$C$4:$D$8,2,FALSE),"")</f>
        <v/>
      </c>
      <c r="T132" s="105"/>
      <c r="U132" s="282" t="str">
        <f>IFERROR(INDEX('G-7 WaterC'' Data'!$H$4:$L$8,MATCH(N132,'G-7 WaterC'' Data'!$B$4:$B$8,0),MATCH(T132,'G-7 WaterC'' Data'!$H$3:$L$3,0)),"")</f>
        <v/>
      </c>
      <c r="V132" s="109"/>
      <c r="W132" s="301" t="str">
        <f>IF(V132="","",IF(VLOOKUP(V132,'G-7 WaterC'' Data'!$AK$4:$AM$6,2,FALSE)=0,"Spatial Data Missing ⚠",VLOOKUP(V132,'G-7 WaterC'' Data'!$AK$4:$AM$6,2,FALSE)))</f>
        <v/>
      </c>
      <c r="X132" s="305" t="str">
        <f>IF(V132="","",IF(VLOOKUP(V132,'G-7 WaterC'' Data'!$AK$4:$AM$6,3,FALSE)=0,"Spatial Data Missing ⚠",VLOOKUP(V132,'G-7 WaterC'' Data'!$AK$4:$AM$6,3,FALSE)))</f>
        <v/>
      </c>
      <c r="Y132" s="317" t="str">
        <f>IFERROR(IF(OR(LEFT(P132,5)="Error",LEFT(O132,5)="Error"),"Check Data ⚠",IF(F132&lt;S132,'G-7 WaterC'' Data'!$R$3,INDEX('G-7 WaterC'' Data'!$U$5:$Y$9,MATCH(G132,'G-7 WaterC'' Data'!$T$5:$T$9,0),MATCH(T132,'G-7 WaterC'' Data'!$U$4:$Y$4,0)))),"")</f>
        <v/>
      </c>
      <c r="Z132" s="142"/>
      <c r="AA132" s="142"/>
      <c r="AB132" s="314" t="str">
        <f t="shared" si="11"/>
        <v/>
      </c>
      <c r="AC132" s="302" t="str">
        <f t="shared" si="16"/>
        <v/>
      </c>
      <c r="AD132" s="340" t="str">
        <f>IFERROR(IF(AC132="Check Data ⚠","Check Data ⚠",VLOOKUP(AC132,'G-4 Temporal multipliers'!$A$4:$C$37,3,FALSE)),"")</f>
        <v/>
      </c>
      <c r="AE132" s="317" t="str">
        <f>IF(N132="","",VLOOKUP(N132,'G-7 WaterC'' Data'!$B$4:$G$8,5,FALSE))</f>
        <v/>
      </c>
      <c r="AF132" s="301" t="str">
        <f t="shared" si="12"/>
        <v/>
      </c>
      <c r="AG132" s="301" t="str">
        <f t="shared" si="17"/>
        <v/>
      </c>
      <c r="AH132" s="282" t="str">
        <f t="shared" si="13"/>
        <v/>
      </c>
      <c r="AI132" s="109"/>
      <c r="AJ132" s="282" t="str">
        <f>IF(AI132="","",(IF(AND(AI132="N/A - Culvert",N132&lt;&gt;"Culvert"),"Not possible ▲",IF(VLOOKUP(AI132,'G-7 WaterC'' Data'!$AA$4:$AB$7,2,FALSE)=0,"Spatial Data Missing ⚠",VLOOKUP(AI132,'G-7 WaterC'' Data'!$AA$4:$AB$7,2,FALSE)))))</f>
        <v/>
      </c>
      <c r="AK132" s="110"/>
      <c r="AL132" s="316" t="str">
        <f>IF(AK132="","",IF(AND(AK132="N/A - Culvert",N132&lt;&gt;"Culvert"),"Not possible ▲",IF(VLOOKUP(AK132,'G-7 WaterC'' Data'!$AD$4:$AE$14,2,FALSE)=0,"Spatial Data Missing ⚠",VLOOKUP(AK132,'G-7 WaterC'' Data'!$AD$4:$AE$14,2,FALSE))))</f>
        <v/>
      </c>
      <c r="AM132" s="281" t="str">
        <f>IF(B132="","",VLOOKUP($B132,'F-1 Off-Site WaterC'' Baseline'!$C$9:$Z$257,17,FALSE))</f>
        <v/>
      </c>
      <c r="AN132" s="282" t="str">
        <f>IF(AM132="","",IF(VLOOKUP(AM132,'G-7 WaterC'' Data'!$AO$4:$BO$7,2,FALSE)=0,"Spatial Data Missing ⚠",VLOOKUP(AM132,'G-7 WaterC'' Data'!$AO$4:$BO$7,2,FALSE)))</f>
        <v/>
      </c>
      <c r="AO132" s="323" t="str">
        <f t="shared" si="18"/>
        <v/>
      </c>
      <c r="AP132" s="323" t="str">
        <f t="shared" si="19"/>
        <v/>
      </c>
      <c r="AQ132" s="105"/>
      <c r="AR132" s="119"/>
      <c r="AS132" s="108"/>
      <c r="AT132" s="108"/>
      <c r="AW132" s="30" t="str">
        <f>IF(E132="","",VLOOKUP($B132,'F-1 Off-Site WaterC'' Baseline'!$C$9:$Z$257,12,FALSE))</f>
        <v/>
      </c>
      <c r="AX132" s="30" t="str">
        <f>IF(E132="","",VLOOKUP($B132,'F-1 Off-Site WaterC'' Baseline'!$C$9:$Z$257,14,FALSE))</f>
        <v/>
      </c>
      <c r="AY132" s="30" t="str">
        <f>IFERROR(INDEX('G-7 WaterC'' Data'!$AZ$3:$AZ$7,MATCH(N132,'G-7 WaterC'' Data'!$AY$3:$AY$7,0)),"")</f>
        <v/>
      </c>
      <c r="AZ132" s="30" t="str">
        <f>IF(B132="","",IF(ISNA(VLOOKUP($B132,'F-1 Off-Site WaterC'' Baseline'!$C$8:$AD$257,20,FALSE)),"",(VLOOKUP($B132,'F-1 Off-Site WaterC'' Baseline'!$C$8:$AD$257,20,FALSE))))</f>
        <v/>
      </c>
      <c r="BC132" s="30" t="str">
        <f>IF(B132="","",VLOOKUP($B132,'F-1 Off-Site WaterC'' Baseline'!$C$9:$AB$257,25,FALSE))</f>
        <v/>
      </c>
      <c r="BD132" s="30" t="str">
        <f t="shared" si="20"/>
        <v/>
      </c>
      <c r="BE132" s="30" t="str">
        <f>IF(B132="","",VLOOKUP($B132,'F-1 Off-Site WaterC'' Baseline'!$C$9:$AB$257,24,FALSE))</f>
        <v/>
      </c>
      <c r="BF132" s="30" t="str">
        <f>IF(B132="","",VLOOKUP($B132,'F-1 Off-Site WaterC'' Baseline'!$C$9:$AB$257,22,FALSE))</f>
        <v/>
      </c>
      <c r="BJ132" s="30" t="str">
        <f t="shared" si="21"/>
        <v>No</v>
      </c>
    </row>
    <row r="133" spans="2:62" ht="13.8" x14ac:dyDescent="0.25">
      <c r="B133" s="311" t="str">
        <f>'F-1 Off-Site WaterC'' Baseline'!AS131</f>
        <v/>
      </c>
      <c r="C133" s="301" t="str">
        <f>IF(B133="","",VLOOKUP($B133,'F-1 Off-Site WaterC'' Baseline'!$C$9:$R$257,2,FALSE))</f>
        <v/>
      </c>
      <c r="D133" s="301" t="str">
        <f>IF(C133="","",VLOOKUP($B133,'F-1 Off-Site WaterC'' Baseline'!$C$9:$R$257,3,FALSE))</f>
        <v/>
      </c>
      <c r="E133" s="301" t="str">
        <f>IF(D133="","",VLOOKUP($B133,'F-1 Off-Site WaterC'' Baseline'!$C$9:$R$257,4,FALSE))</f>
        <v/>
      </c>
      <c r="F133" s="301" t="str">
        <f>IF(E133="","",VLOOKUP($B133,'F-1 Off-Site WaterC'' Baseline'!$C$9:$R$257,5,FALSE))</f>
        <v/>
      </c>
      <c r="G133" s="301" t="str">
        <f>IF(F133="","",VLOOKUP($B133,'F-1 Off-Site WaterC'' Baseline'!$C$9:$R$257,6,FALSE))</f>
        <v/>
      </c>
      <c r="H133" s="301" t="str">
        <f>IF(G133="","",VLOOKUP($B133,'F-1 Off-Site WaterC'' Baseline'!$C$9:$R$257,7,FALSE))</f>
        <v/>
      </c>
      <c r="I133" s="301" t="str">
        <f>IF(H133="","",VLOOKUP($B133,'F-1 Off-Site WaterC'' Baseline'!$C$9:$R$257,8,FALSE))</f>
        <v/>
      </c>
      <c r="J133" s="301" t="str">
        <f>IF(I133="","",VLOOKUP($B133,'F-1 Off-Site WaterC'' Baseline'!$C$9:$R$257,9,FALSE))</f>
        <v/>
      </c>
      <c r="K133" s="301" t="str">
        <f>IF(J133="","",VLOOKUP($B133,'F-1 Off-Site WaterC'' Baseline'!$C$9:$R$257,10,FALSE))</f>
        <v/>
      </c>
      <c r="L133" s="289" t="str">
        <f>IF(B133="","",VLOOKUP($B133,'F-1 Off-Site WaterC'' Baseline'!$C$9:$R$257,15,FALSE))</f>
        <v/>
      </c>
      <c r="M133" s="305" t="str">
        <f>IF(L133="","",VLOOKUP($B133,'F-1 Off-Site WaterC'' Baseline'!$C$9:$V$257,19,FALSE))</f>
        <v/>
      </c>
      <c r="N133" s="250"/>
      <c r="O133" s="281" t="str">
        <f t="shared" si="14"/>
        <v/>
      </c>
      <c r="P133" s="282" t="str">
        <f t="shared" si="15"/>
        <v/>
      </c>
      <c r="Q133" s="287" t="str">
        <f>IF(N133="","",VLOOKUP(B133,'F-1 Off-Site WaterC'' Baseline'!$C$10:$AF$257,23,FALSE))</f>
        <v/>
      </c>
      <c r="R133" s="281" t="str">
        <f>IF(N133="","",VLOOKUP(N133,'G-7 WaterC'' Data'!$B$2:$G$8,2,FALSE))</f>
        <v/>
      </c>
      <c r="S133" s="282" t="str">
        <f>IFERROR(VLOOKUP(R133,'G-7 WaterC'' Data'!$C$4:$D$8,2,FALSE),"")</f>
        <v/>
      </c>
      <c r="T133" s="105"/>
      <c r="U133" s="282" t="str">
        <f>IFERROR(INDEX('G-7 WaterC'' Data'!$H$4:$L$8,MATCH(N133,'G-7 WaterC'' Data'!$B$4:$B$8,0),MATCH(T133,'G-7 WaterC'' Data'!$H$3:$L$3,0)),"")</f>
        <v/>
      </c>
      <c r="V133" s="109"/>
      <c r="W133" s="301" t="str">
        <f>IF(V133="","",IF(VLOOKUP(V133,'G-7 WaterC'' Data'!$AK$4:$AM$6,2,FALSE)=0,"Spatial Data Missing ⚠",VLOOKUP(V133,'G-7 WaterC'' Data'!$AK$4:$AM$6,2,FALSE)))</f>
        <v/>
      </c>
      <c r="X133" s="305" t="str">
        <f>IF(V133="","",IF(VLOOKUP(V133,'G-7 WaterC'' Data'!$AK$4:$AM$6,3,FALSE)=0,"Spatial Data Missing ⚠",VLOOKUP(V133,'G-7 WaterC'' Data'!$AK$4:$AM$6,3,FALSE)))</f>
        <v/>
      </c>
      <c r="Y133" s="317" t="str">
        <f>IFERROR(IF(OR(LEFT(P133,5)="Error",LEFT(O133,5)="Error"),"Check Data ⚠",IF(F133&lt;S133,'G-7 WaterC'' Data'!$R$3,INDEX('G-7 WaterC'' Data'!$U$5:$Y$9,MATCH(G133,'G-7 WaterC'' Data'!$T$5:$T$9,0),MATCH(T133,'G-7 WaterC'' Data'!$U$4:$Y$4,0)))),"")</f>
        <v/>
      </c>
      <c r="Z133" s="142"/>
      <c r="AA133" s="142"/>
      <c r="AB133" s="314" t="str">
        <f t="shared" si="11"/>
        <v/>
      </c>
      <c r="AC133" s="302" t="str">
        <f t="shared" si="16"/>
        <v/>
      </c>
      <c r="AD133" s="340" t="str">
        <f>IFERROR(IF(AC133="Check Data ⚠","Check Data ⚠",VLOOKUP(AC133,'G-4 Temporal multipliers'!$A$4:$C$37,3,FALSE)),"")</f>
        <v/>
      </c>
      <c r="AE133" s="317" t="str">
        <f>IF(N133="","",VLOOKUP(N133,'G-7 WaterC'' Data'!$B$4:$G$8,5,FALSE))</f>
        <v/>
      </c>
      <c r="AF133" s="301" t="str">
        <f t="shared" si="12"/>
        <v/>
      </c>
      <c r="AG133" s="301" t="str">
        <f t="shared" si="17"/>
        <v/>
      </c>
      <c r="AH133" s="282" t="str">
        <f t="shared" si="13"/>
        <v/>
      </c>
      <c r="AI133" s="109"/>
      <c r="AJ133" s="282" t="str">
        <f>IF(AI133="","",(IF(AND(AI133="N/A - Culvert",N133&lt;&gt;"Culvert"),"Not possible ▲",IF(VLOOKUP(AI133,'G-7 WaterC'' Data'!$AA$4:$AB$7,2,FALSE)=0,"Spatial Data Missing ⚠",VLOOKUP(AI133,'G-7 WaterC'' Data'!$AA$4:$AB$7,2,FALSE)))))</f>
        <v/>
      </c>
      <c r="AK133" s="110"/>
      <c r="AL133" s="316" t="str">
        <f>IF(AK133="","",IF(AND(AK133="N/A - Culvert",N133&lt;&gt;"Culvert"),"Not possible ▲",IF(VLOOKUP(AK133,'G-7 WaterC'' Data'!$AD$4:$AE$14,2,FALSE)=0,"Spatial Data Missing ⚠",VLOOKUP(AK133,'G-7 WaterC'' Data'!$AD$4:$AE$14,2,FALSE))))</f>
        <v/>
      </c>
      <c r="AM133" s="281" t="str">
        <f>IF(B133="","",VLOOKUP($B133,'F-1 Off-Site WaterC'' Baseline'!$C$9:$Z$257,17,FALSE))</f>
        <v/>
      </c>
      <c r="AN133" s="282" t="str">
        <f>IF(AM133="","",IF(VLOOKUP(AM133,'G-7 WaterC'' Data'!$AO$4:$BO$7,2,FALSE)=0,"Spatial Data Missing ⚠",VLOOKUP(AM133,'G-7 WaterC'' Data'!$AO$4:$BO$7,2,FALSE)))</f>
        <v/>
      </c>
      <c r="AO133" s="323" t="str">
        <f t="shared" si="18"/>
        <v/>
      </c>
      <c r="AP133" s="323" t="str">
        <f t="shared" si="19"/>
        <v/>
      </c>
      <c r="AQ133" s="105"/>
      <c r="AR133" s="119"/>
      <c r="AS133" s="108"/>
      <c r="AT133" s="108"/>
      <c r="AW133" s="30" t="str">
        <f>IF(E133="","",VLOOKUP($B133,'F-1 Off-Site WaterC'' Baseline'!$C$9:$Z$257,12,FALSE))</f>
        <v/>
      </c>
      <c r="AX133" s="30" t="str">
        <f>IF(E133="","",VLOOKUP($B133,'F-1 Off-Site WaterC'' Baseline'!$C$9:$Z$257,14,FALSE))</f>
        <v/>
      </c>
      <c r="AY133" s="30" t="str">
        <f>IFERROR(INDEX('G-7 WaterC'' Data'!$AZ$3:$AZ$7,MATCH(N133,'G-7 WaterC'' Data'!$AY$3:$AY$7,0)),"")</f>
        <v/>
      </c>
      <c r="AZ133" s="30" t="str">
        <f>IF(B133="","",IF(ISNA(VLOOKUP($B133,'F-1 Off-Site WaterC'' Baseline'!$C$8:$AD$257,20,FALSE)),"",(VLOOKUP($B133,'F-1 Off-Site WaterC'' Baseline'!$C$8:$AD$257,20,FALSE))))</f>
        <v/>
      </c>
      <c r="BC133" s="30" t="str">
        <f>IF(B133="","",VLOOKUP($B133,'F-1 Off-Site WaterC'' Baseline'!$C$9:$AB$257,25,FALSE))</f>
        <v/>
      </c>
      <c r="BD133" s="30" t="str">
        <f t="shared" si="20"/>
        <v/>
      </c>
      <c r="BE133" s="30" t="str">
        <f>IF(B133="","",VLOOKUP($B133,'F-1 Off-Site WaterC'' Baseline'!$C$9:$AB$257,24,FALSE))</f>
        <v/>
      </c>
      <c r="BF133" s="30" t="str">
        <f>IF(B133="","",VLOOKUP($B133,'F-1 Off-Site WaterC'' Baseline'!$C$9:$AB$257,22,FALSE))</f>
        <v/>
      </c>
      <c r="BJ133" s="30" t="str">
        <f t="shared" si="21"/>
        <v>No</v>
      </c>
    </row>
    <row r="134" spans="2:62" ht="13.8" x14ac:dyDescent="0.25">
      <c r="B134" s="311" t="str">
        <f>'F-1 Off-Site WaterC'' Baseline'!AS132</f>
        <v/>
      </c>
      <c r="C134" s="301" t="str">
        <f>IF(B134="","",VLOOKUP($B134,'F-1 Off-Site WaterC'' Baseline'!$C$9:$R$257,2,FALSE))</f>
        <v/>
      </c>
      <c r="D134" s="301" t="str">
        <f>IF(C134="","",VLOOKUP($B134,'F-1 Off-Site WaterC'' Baseline'!$C$9:$R$257,3,FALSE))</f>
        <v/>
      </c>
      <c r="E134" s="301" t="str">
        <f>IF(D134="","",VLOOKUP($B134,'F-1 Off-Site WaterC'' Baseline'!$C$9:$R$257,4,FALSE))</f>
        <v/>
      </c>
      <c r="F134" s="301" t="str">
        <f>IF(E134="","",VLOOKUP($B134,'F-1 Off-Site WaterC'' Baseline'!$C$9:$R$257,5,FALSE))</f>
        <v/>
      </c>
      <c r="G134" s="301" t="str">
        <f>IF(F134="","",VLOOKUP($B134,'F-1 Off-Site WaterC'' Baseline'!$C$9:$R$257,6,FALSE))</f>
        <v/>
      </c>
      <c r="H134" s="301" t="str">
        <f>IF(G134="","",VLOOKUP($B134,'F-1 Off-Site WaterC'' Baseline'!$C$9:$R$257,7,FALSE))</f>
        <v/>
      </c>
      <c r="I134" s="301" t="str">
        <f>IF(H134="","",VLOOKUP($B134,'F-1 Off-Site WaterC'' Baseline'!$C$9:$R$257,8,FALSE))</f>
        <v/>
      </c>
      <c r="J134" s="301" t="str">
        <f>IF(I134="","",VLOOKUP($B134,'F-1 Off-Site WaterC'' Baseline'!$C$9:$R$257,9,FALSE))</f>
        <v/>
      </c>
      <c r="K134" s="301" t="str">
        <f>IF(J134="","",VLOOKUP($B134,'F-1 Off-Site WaterC'' Baseline'!$C$9:$R$257,10,FALSE))</f>
        <v/>
      </c>
      <c r="L134" s="289" t="str">
        <f>IF(B134="","",VLOOKUP($B134,'F-1 Off-Site WaterC'' Baseline'!$C$9:$R$257,15,FALSE))</f>
        <v/>
      </c>
      <c r="M134" s="305" t="str">
        <f>IF(L134="","",VLOOKUP($B134,'F-1 Off-Site WaterC'' Baseline'!$C$9:$V$257,19,FALSE))</f>
        <v/>
      </c>
      <c r="N134" s="250"/>
      <c r="O134" s="281" t="str">
        <f t="shared" si="14"/>
        <v/>
      </c>
      <c r="P134" s="282" t="str">
        <f t="shared" si="15"/>
        <v/>
      </c>
      <c r="Q134" s="287" t="str">
        <f>IF(N134="","",VLOOKUP(B134,'F-1 Off-Site WaterC'' Baseline'!$C$10:$AF$257,23,FALSE))</f>
        <v/>
      </c>
      <c r="R134" s="281" t="str">
        <f>IF(N134="","",VLOOKUP(N134,'G-7 WaterC'' Data'!$B$2:$G$8,2,FALSE))</f>
        <v/>
      </c>
      <c r="S134" s="282" t="str">
        <f>IFERROR(VLOOKUP(R134,'G-7 WaterC'' Data'!$C$4:$D$8,2,FALSE),"")</f>
        <v/>
      </c>
      <c r="T134" s="105"/>
      <c r="U134" s="282" t="str">
        <f>IFERROR(INDEX('G-7 WaterC'' Data'!$H$4:$L$8,MATCH(N134,'G-7 WaterC'' Data'!$B$4:$B$8,0),MATCH(T134,'G-7 WaterC'' Data'!$H$3:$L$3,0)),"")</f>
        <v/>
      </c>
      <c r="V134" s="109"/>
      <c r="W134" s="301" t="str">
        <f>IF(V134="","",IF(VLOOKUP(V134,'G-7 WaterC'' Data'!$AK$4:$AM$6,2,FALSE)=0,"Spatial Data Missing ⚠",VLOOKUP(V134,'G-7 WaterC'' Data'!$AK$4:$AM$6,2,FALSE)))</f>
        <v/>
      </c>
      <c r="X134" s="305" t="str">
        <f>IF(V134="","",IF(VLOOKUP(V134,'G-7 WaterC'' Data'!$AK$4:$AM$6,3,FALSE)=0,"Spatial Data Missing ⚠",VLOOKUP(V134,'G-7 WaterC'' Data'!$AK$4:$AM$6,3,FALSE)))</f>
        <v/>
      </c>
      <c r="Y134" s="317" t="str">
        <f>IFERROR(IF(OR(LEFT(P134,5)="Error",LEFT(O134,5)="Error"),"Check Data ⚠",IF(F134&lt;S134,'G-7 WaterC'' Data'!$R$3,INDEX('G-7 WaterC'' Data'!$U$5:$Y$9,MATCH(G134,'G-7 WaterC'' Data'!$T$5:$T$9,0),MATCH(T134,'G-7 WaterC'' Data'!$U$4:$Y$4,0)))),"")</f>
        <v/>
      </c>
      <c r="Z134" s="142"/>
      <c r="AA134" s="142"/>
      <c r="AB134" s="314" t="str">
        <f t="shared" si="11"/>
        <v/>
      </c>
      <c r="AC134" s="302" t="str">
        <f t="shared" si="16"/>
        <v/>
      </c>
      <c r="AD134" s="340" t="str">
        <f>IFERROR(IF(AC134="Check Data ⚠","Check Data ⚠",VLOOKUP(AC134,'G-4 Temporal multipliers'!$A$4:$C$37,3,FALSE)),"")</f>
        <v/>
      </c>
      <c r="AE134" s="317" t="str">
        <f>IF(N134="","",VLOOKUP(N134,'G-7 WaterC'' Data'!$B$4:$G$8,5,FALSE))</f>
        <v/>
      </c>
      <c r="AF134" s="301" t="str">
        <f t="shared" si="12"/>
        <v/>
      </c>
      <c r="AG134" s="301" t="str">
        <f t="shared" si="17"/>
        <v/>
      </c>
      <c r="AH134" s="282" t="str">
        <f t="shared" si="13"/>
        <v/>
      </c>
      <c r="AI134" s="109"/>
      <c r="AJ134" s="282" t="str">
        <f>IF(AI134="","",(IF(AND(AI134="N/A - Culvert",N134&lt;&gt;"Culvert"),"Not possible ▲",IF(VLOOKUP(AI134,'G-7 WaterC'' Data'!$AA$4:$AB$7,2,FALSE)=0,"Spatial Data Missing ⚠",VLOOKUP(AI134,'G-7 WaterC'' Data'!$AA$4:$AB$7,2,FALSE)))))</f>
        <v/>
      </c>
      <c r="AK134" s="110"/>
      <c r="AL134" s="316" t="str">
        <f>IF(AK134="","",IF(AND(AK134="N/A - Culvert",N134&lt;&gt;"Culvert"),"Not possible ▲",IF(VLOOKUP(AK134,'G-7 WaterC'' Data'!$AD$4:$AE$14,2,FALSE)=0,"Spatial Data Missing ⚠",VLOOKUP(AK134,'G-7 WaterC'' Data'!$AD$4:$AE$14,2,FALSE))))</f>
        <v/>
      </c>
      <c r="AM134" s="281" t="str">
        <f>IF(B134="","",VLOOKUP($B134,'F-1 Off-Site WaterC'' Baseline'!$C$9:$Z$257,17,FALSE))</f>
        <v/>
      </c>
      <c r="AN134" s="282" t="str">
        <f>IF(AM134="","",IF(VLOOKUP(AM134,'G-7 WaterC'' Data'!$AO$4:$BO$7,2,FALSE)=0,"Spatial Data Missing ⚠",VLOOKUP(AM134,'G-7 WaterC'' Data'!$AO$4:$BO$7,2,FALSE)))</f>
        <v/>
      </c>
      <c r="AO134" s="323" t="str">
        <f t="shared" si="18"/>
        <v/>
      </c>
      <c r="AP134" s="323" t="str">
        <f t="shared" si="19"/>
        <v/>
      </c>
      <c r="AQ134" s="105"/>
      <c r="AR134" s="119"/>
      <c r="AS134" s="108"/>
      <c r="AT134" s="108"/>
      <c r="AW134" s="30" t="str">
        <f>IF(E134="","",VLOOKUP($B134,'F-1 Off-Site WaterC'' Baseline'!$C$9:$Z$257,12,FALSE))</f>
        <v/>
      </c>
      <c r="AX134" s="30" t="str">
        <f>IF(E134="","",VLOOKUP($B134,'F-1 Off-Site WaterC'' Baseline'!$C$9:$Z$257,14,FALSE))</f>
        <v/>
      </c>
      <c r="AY134" s="30" t="str">
        <f>IFERROR(INDEX('G-7 WaterC'' Data'!$AZ$3:$AZ$7,MATCH(N134,'G-7 WaterC'' Data'!$AY$3:$AY$7,0)),"")</f>
        <v/>
      </c>
      <c r="AZ134" s="30" t="str">
        <f>IF(B134="","",IF(ISNA(VLOOKUP($B134,'F-1 Off-Site WaterC'' Baseline'!$C$8:$AD$257,20,FALSE)),"",(VLOOKUP($B134,'F-1 Off-Site WaterC'' Baseline'!$C$8:$AD$257,20,FALSE))))</f>
        <v/>
      </c>
      <c r="BC134" s="30" t="str">
        <f>IF(B134="","",VLOOKUP($B134,'F-1 Off-Site WaterC'' Baseline'!$C$9:$AB$257,25,FALSE))</f>
        <v/>
      </c>
      <c r="BD134" s="30" t="str">
        <f t="shared" si="20"/>
        <v/>
      </c>
      <c r="BE134" s="30" t="str">
        <f>IF(B134="","",VLOOKUP($B134,'F-1 Off-Site WaterC'' Baseline'!$C$9:$AB$257,24,FALSE))</f>
        <v/>
      </c>
      <c r="BF134" s="30" t="str">
        <f>IF(B134="","",VLOOKUP($B134,'F-1 Off-Site WaterC'' Baseline'!$C$9:$AB$257,22,FALSE))</f>
        <v/>
      </c>
      <c r="BJ134" s="30" t="str">
        <f t="shared" si="21"/>
        <v>No</v>
      </c>
    </row>
    <row r="135" spans="2:62" ht="13.8" x14ac:dyDescent="0.25">
      <c r="B135" s="311" t="str">
        <f>'F-1 Off-Site WaterC'' Baseline'!AS133</f>
        <v/>
      </c>
      <c r="C135" s="301" t="str">
        <f>IF(B135="","",VLOOKUP($B135,'F-1 Off-Site WaterC'' Baseline'!$C$9:$R$257,2,FALSE))</f>
        <v/>
      </c>
      <c r="D135" s="301" t="str">
        <f>IF(C135="","",VLOOKUP($B135,'F-1 Off-Site WaterC'' Baseline'!$C$9:$R$257,3,FALSE))</f>
        <v/>
      </c>
      <c r="E135" s="301" t="str">
        <f>IF(D135="","",VLOOKUP($B135,'F-1 Off-Site WaterC'' Baseline'!$C$9:$R$257,4,FALSE))</f>
        <v/>
      </c>
      <c r="F135" s="301" t="str">
        <f>IF(E135="","",VLOOKUP($B135,'F-1 Off-Site WaterC'' Baseline'!$C$9:$R$257,5,FALSE))</f>
        <v/>
      </c>
      <c r="G135" s="301" t="str">
        <f>IF(F135="","",VLOOKUP($B135,'F-1 Off-Site WaterC'' Baseline'!$C$9:$R$257,6,FALSE))</f>
        <v/>
      </c>
      <c r="H135" s="301" t="str">
        <f>IF(G135="","",VLOOKUP($B135,'F-1 Off-Site WaterC'' Baseline'!$C$9:$R$257,7,FALSE))</f>
        <v/>
      </c>
      <c r="I135" s="301" t="str">
        <f>IF(H135="","",VLOOKUP($B135,'F-1 Off-Site WaterC'' Baseline'!$C$9:$R$257,8,FALSE))</f>
        <v/>
      </c>
      <c r="J135" s="301" t="str">
        <f>IF(I135="","",VLOOKUP($B135,'F-1 Off-Site WaterC'' Baseline'!$C$9:$R$257,9,FALSE))</f>
        <v/>
      </c>
      <c r="K135" s="301" t="str">
        <f>IF(J135="","",VLOOKUP($B135,'F-1 Off-Site WaterC'' Baseline'!$C$9:$R$257,10,FALSE))</f>
        <v/>
      </c>
      <c r="L135" s="289" t="str">
        <f>IF(B135="","",VLOOKUP($B135,'F-1 Off-Site WaterC'' Baseline'!$C$9:$R$257,15,FALSE))</f>
        <v/>
      </c>
      <c r="M135" s="305" t="str">
        <f>IF(L135="","",VLOOKUP($B135,'F-1 Off-Site WaterC'' Baseline'!$C$9:$V$257,19,FALSE))</f>
        <v/>
      </c>
      <c r="N135" s="250"/>
      <c r="O135" s="281" t="str">
        <f t="shared" si="14"/>
        <v/>
      </c>
      <c r="P135" s="282" t="str">
        <f t="shared" si="15"/>
        <v/>
      </c>
      <c r="Q135" s="287" t="str">
        <f>IF(N135="","",VLOOKUP(B135,'F-1 Off-Site WaterC'' Baseline'!$C$10:$AF$257,23,FALSE))</f>
        <v/>
      </c>
      <c r="R135" s="281" t="str">
        <f>IF(N135="","",VLOOKUP(N135,'G-7 WaterC'' Data'!$B$2:$G$8,2,FALSE))</f>
        <v/>
      </c>
      <c r="S135" s="282" t="str">
        <f>IFERROR(VLOOKUP(R135,'G-7 WaterC'' Data'!$C$4:$D$8,2,FALSE),"")</f>
        <v/>
      </c>
      <c r="T135" s="105"/>
      <c r="U135" s="282" t="str">
        <f>IFERROR(INDEX('G-7 WaterC'' Data'!$H$4:$L$8,MATCH(N135,'G-7 WaterC'' Data'!$B$4:$B$8,0),MATCH(T135,'G-7 WaterC'' Data'!$H$3:$L$3,0)),"")</f>
        <v/>
      </c>
      <c r="V135" s="109"/>
      <c r="W135" s="301" t="str">
        <f>IF(V135="","",IF(VLOOKUP(V135,'G-7 WaterC'' Data'!$AK$4:$AM$6,2,FALSE)=0,"Spatial Data Missing ⚠",VLOOKUP(V135,'G-7 WaterC'' Data'!$AK$4:$AM$6,2,FALSE)))</f>
        <v/>
      </c>
      <c r="X135" s="305" t="str">
        <f>IF(V135="","",IF(VLOOKUP(V135,'G-7 WaterC'' Data'!$AK$4:$AM$6,3,FALSE)=0,"Spatial Data Missing ⚠",VLOOKUP(V135,'G-7 WaterC'' Data'!$AK$4:$AM$6,3,FALSE)))</f>
        <v/>
      </c>
      <c r="Y135" s="317" t="str">
        <f>IFERROR(IF(OR(LEFT(P135,5)="Error",LEFT(O135,5)="Error"),"Check Data ⚠",IF(F135&lt;S135,'G-7 WaterC'' Data'!$R$3,INDEX('G-7 WaterC'' Data'!$U$5:$Y$9,MATCH(G135,'G-7 WaterC'' Data'!$T$5:$T$9,0),MATCH(T135,'G-7 WaterC'' Data'!$U$4:$Y$4,0)))),"")</f>
        <v/>
      </c>
      <c r="Z135" s="142"/>
      <c r="AA135" s="142"/>
      <c r="AB135" s="314" t="str">
        <f t="shared" si="11"/>
        <v/>
      </c>
      <c r="AC135" s="302" t="str">
        <f t="shared" si="16"/>
        <v/>
      </c>
      <c r="AD135" s="340" t="str">
        <f>IFERROR(IF(AC135="Check Data ⚠","Check Data ⚠",VLOOKUP(AC135,'G-4 Temporal multipliers'!$A$4:$C$37,3,FALSE)),"")</f>
        <v/>
      </c>
      <c r="AE135" s="317" t="str">
        <f>IF(N135="","",VLOOKUP(N135,'G-7 WaterC'' Data'!$B$4:$G$8,5,FALSE))</f>
        <v/>
      </c>
      <c r="AF135" s="301" t="str">
        <f t="shared" si="12"/>
        <v/>
      </c>
      <c r="AG135" s="301" t="str">
        <f t="shared" si="17"/>
        <v/>
      </c>
      <c r="AH135" s="282" t="str">
        <f t="shared" si="13"/>
        <v/>
      </c>
      <c r="AI135" s="109"/>
      <c r="AJ135" s="282" t="str">
        <f>IF(AI135="","",(IF(AND(AI135="N/A - Culvert",N135&lt;&gt;"Culvert"),"Not possible ▲",IF(VLOOKUP(AI135,'G-7 WaterC'' Data'!$AA$4:$AB$7,2,FALSE)=0,"Spatial Data Missing ⚠",VLOOKUP(AI135,'G-7 WaterC'' Data'!$AA$4:$AB$7,2,FALSE)))))</f>
        <v/>
      </c>
      <c r="AK135" s="110"/>
      <c r="AL135" s="316" t="str">
        <f>IF(AK135="","",IF(AND(AK135="N/A - Culvert",N135&lt;&gt;"Culvert"),"Not possible ▲",IF(VLOOKUP(AK135,'G-7 WaterC'' Data'!$AD$4:$AE$14,2,FALSE)=0,"Spatial Data Missing ⚠",VLOOKUP(AK135,'G-7 WaterC'' Data'!$AD$4:$AE$14,2,FALSE))))</f>
        <v/>
      </c>
      <c r="AM135" s="281" t="str">
        <f>IF(B135="","",VLOOKUP($B135,'F-1 Off-Site WaterC'' Baseline'!$C$9:$Z$257,17,FALSE))</f>
        <v/>
      </c>
      <c r="AN135" s="282" t="str">
        <f>IF(AM135="","",IF(VLOOKUP(AM135,'G-7 WaterC'' Data'!$AO$4:$BO$7,2,FALSE)=0,"Spatial Data Missing ⚠",VLOOKUP(AM135,'G-7 WaterC'' Data'!$AO$4:$BO$7,2,FALSE)))</f>
        <v/>
      </c>
      <c r="AO135" s="323" t="str">
        <f t="shared" si="18"/>
        <v/>
      </c>
      <c r="AP135" s="323" t="str">
        <f t="shared" si="19"/>
        <v/>
      </c>
      <c r="AQ135" s="105"/>
      <c r="AR135" s="119"/>
      <c r="AS135" s="108"/>
      <c r="AT135" s="108"/>
      <c r="AW135" s="30" t="str">
        <f>IF(E135="","",VLOOKUP($B135,'F-1 Off-Site WaterC'' Baseline'!$C$9:$Z$257,12,FALSE))</f>
        <v/>
      </c>
      <c r="AX135" s="30" t="str">
        <f>IF(E135="","",VLOOKUP($B135,'F-1 Off-Site WaterC'' Baseline'!$C$9:$Z$257,14,FALSE))</f>
        <v/>
      </c>
      <c r="AY135" s="30" t="str">
        <f>IFERROR(INDEX('G-7 WaterC'' Data'!$AZ$3:$AZ$7,MATCH(N135,'G-7 WaterC'' Data'!$AY$3:$AY$7,0)),"")</f>
        <v/>
      </c>
      <c r="AZ135" s="30" t="str">
        <f>IF(B135="","",IF(ISNA(VLOOKUP($B135,'F-1 Off-Site WaterC'' Baseline'!$C$8:$AD$257,20,FALSE)),"",(VLOOKUP($B135,'F-1 Off-Site WaterC'' Baseline'!$C$8:$AD$257,20,FALSE))))</f>
        <v/>
      </c>
      <c r="BC135" s="30" t="str">
        <f>IF(B135="","",VLOOKUP($B135,'F-1 Off-Site WaterC'' Baseline'!$C$9:$AB$257,25,FALSE))</f>
        <v/>
      </c>
      <c r="BD135" s="30" t="str">
        <f t="shared" si="20"/>
        <v/>
      </c>
      <c r="BE135" s="30" t="str">
        <f>IF(B135="","",VLOOKUP($B135,'F-1 Off-Site WaterC'' Baseline'!$C$9:$AB$257,24,FALSE))</f>
        <v/>
      </c>
      <c r="BF135" s="30" t="str">
        <f>IF(B135="","",VLOOKUP($B135,'F-1 Off-Site WaterC'' Baseline'!$C$9:$AB$257,22,FALSE))</f>
        <v/>
      </c>
      <c r="BJ135" s="30" t="str">
        <f t="shared" si="21"/>
        <v>No</v>
      </c>
    </row>
    <row r="136" spans="2:62" ht="13.8" x14ac:dyDescent="0.25">
      <c r="B136" s="311" t="str">
        <f>'F-1 Off-Site WaterC'' Baseline'!AS134</f>
        <v/>
      </c>
      <c r="C136" s="301" t="str">
        <f>IF(B136="","",VLOOKUP($B136,'F-1 Off-Site WaterC'' Baseline'!$C$9:$R$257,2,FALSE))</f>
        <v/>
      </c>
      <c r="D136" s="301" t="str">
        <f>IF(C136="","",VLOOKUP($B136,'F-1 Off-Site WaterC'' Baseline'!$C$9:$R$257,3,FALSE))</f>
        <v/>
      </c>
      <c r="E136" s="301" t="str">
        <f>IF(D136="","",VLOOKUP($B136,'F-1 Off-Site WaterC'' Baseline'!$C$9:$R$257,4,FALSE))</f>
        <v/>
      </c>
      <c r="F136" s="301" t="str">
        <f>IF(E136="","",VLOOKUP($B136,'F-1 Off-Site WaterC'' Baseline'!$C$9:$R$257,5,FALSE))</f>
        <v/>
      </c>
      <c r="G136" s="301" t="str">
        <f>IF(F136="","",VLOOKUP($B136,'F-1 Off-Site WaterC'' Baseline'!$C$9:$R$257,6,FALSE))</f>
        <v/>
      </c>
      <c r="H136" s="301" t="str">
        <f>IF(G136="","",VLOOKUP($B136,'F-1 Off-Site WaterC'' Baseline'!$C$9:$R$257,7,FALSE))</f>
        <v/>
      </c>
      <c r="I136" s="301" t="str">
        <f>IF(H136="","",VLOOKUP($B136,'F-1 Off-Site WaterC'' Baseline'!$C$9:$R$257,8,FALSE))</f>
        <v/>
      </c>
      <c r="J136" s="301" t="str">
        <f>IF(I136="","",VLOOKUP($B136,'F-1 Off-Site WaterC'' Baseline'!$C$9:$R$257,9,FALSE))</f>
        <v/>
      </c>
      <c r="K136" s="301" t="str">
        <f>IF(J136="","",VLOOKUP($B136,'F-1 Off-Site WaterC'' Baseline'!$C$9:$R$257,10,FALSE))</f>
        <v/>
      </c>
      <c r="L136" s="289" t="str">
        <f>IF(B136="","",VLOOKUP($B136,'F-1 Off-Site WaterC'' Baseline'!$C$9:$R$257,15,FALSE))</f>
        <v/>
      </c>
      <c r="M136" s="305" t="str">
        <f>IF(L136="","",VLOOKUP($B136,'F-1 Off-Site WaterC'' Baseline'!$C$9:$V$257,19,FALSE))</f>
        <v/>
      </c>
      <c r="N136" s="250"/>
      <c r="O136" s="281" t="str">
        <f t="shared" si="14"/>
        <v/>
      </c>
      <c r="P136" s="282" t="str">
        <f t="shared" si="15"/>
        <v/>
      </c>
      <c r="Q136" s="287" t="str">
        <f>IF(N136="","",VLOOKUP(B136,'F-1 Off-Site WaterC'' Baseline'!$C$10:$AF$257,23,FALSE))</f>
        <v/>
      </c>
      <c r="R136" s="281" t="str">
        <f>IF(N136="","",VLOOKUP(N136,'G-7 WaterC'' Data'!$B$2:$G$8,2,FALSE))</f>
        <v/>
      </c>
      <c r="S136" s="282" t="str">
        <f>IFERROR(VLOOKUP(R136,'G-7 WaterC'' Data'!$C$4:$D$8,2,FALSE),"")</f>
        <v/>
      </c>
      <c r="T136" s="105"/>
      <c r="U136" s="282" t="str">
        <f>IFERROR(INDEX('G-7 WaterC'' Data'!$H$4:$L$8,MATCH(N136,'G-7 WaterC'' Data'!$B$4:$B$8,0),MATCH(T136,'G-7 WaterC'' Data'!$H$3:$L$3,0)),"")</f>
        <v/>
      </c>
      <c r="V136" s="109"/>
      <c r="W136" s="301" t="str">
        <f>IF(V136="","",IF(VLOOKUP(V136,'G-7 WaterC'' Data'!$AK$4:$AM$6,2,FALSE)=0,"Spatial Data Missing ⚠",VLOOKUP(V136,'G-7 WaterC'' Data'!$AK$4:$AM$6,2,FALSE)))</f>
        <v/>
      </c>
      <c r="X136" s="305" t="str">
        <f>IF(V136="","",IF(VLOOKUP(V136,'G-7 WaterC'' Data'!$AK$4:$AM$6,3,FALSE)=0,"Spatial Data Missing ⚠",VLOOKUP(V136,'G-7 WaterC'' Data'!$AK$4:$AM$6,3,FALSE)))</f>
        <v/>
      </c>
      <c r="Y136" s="317" t="str">
        <f>IFERROR(IF(OR(LEFT(P136,5)="Error",LEFT(O136,5)="Error"),"Check Data ⚠",IF(F136&lt;S136,'G-7 WaterC'' Data'!$R$3,INDEX('G-7 WaterC'' Data'!$U$5:$Y$9,MATCH(G136,'G-7 WaterC'' Data'!$T$5:$T$9,0),MATCH(T136,'G-7 WaterC'' Data'!$U$4:$Y$4,0)))),"")</f>
        <v/>
      </c>
      <c r="Z136" s="142"/>
      <c r="AA136" s="142"/>
      <c r="AB136" s="314" t="str">
        <f t="shared" si="11"/>
        <v/>
      </c>
      <c r="AC136" s="302" t="str">
        <f t="shared" si="16"/>
        <v/>
      </c>
      <c r="AD136" s="340" t="str">
        <f>IFERROR(IF(AC136="Check Data ⚠","Check Data ⚠",VLOOKUP(AC136,'G-4 Temporal multipliers'!$A$4:$C$37,3,FALSE)),"")</f>
        <v/>
      </c>
      <c r="AE136" s="317" t="str">
        <f>IF(N136="","",VLOOKUP(N136,'G-7 WaterC'' Data'!$B$4:$G$8,5,FALSE))</f>
        <v/>
      </c>
      <c r="AF136" s="301" t="str">
        <f t="shared" si="12"/>
        <v/>
      </c>
      <c r="AG136" s="301" t="str">
        <f t="shared" si="17"/>
        <v/>
      </c>
      <c r="AH136" s="282" t="str">
        <f t="shared" si="13"/>
        <v/>
      </c>
      <c r="AI136" s="109"/>
      <c r="AJ136" s="282" t="str">
        <f>IF(AI136="","",(IF(AND(AI136="N/A - Culvert",N136&lt;&gt;"Culvert"),"Not possible ▲",IF(VLOOKUP(AI136,'G-7 WaterC'' Data'!$AA$4:$AB$7,2,FALSE)=0,"Spatial Data Missing ⚠",VLOOKUP(AI136,'G-7 WaterC'' Data'!$AA$4:$AB$7,2,FALSE)))))</f>
        <v/>
      </c>
      <c r="AK136" s="110"/>
      <c r="AL136" s="316" t="str">
        <f>IF(AK136="","",IF(AND(AK136="N/A - Culvert",N136&lt;&gt;"Culvert"),"Not possible ▲",IF(VLOOKUP(AK136,'G-7 WaterC'' Data'!$AD$4:$AE$14,2,FALSE)=0,"Spatial Data Missing ⚠",VLOOKUP(AK136,'G-7 WaterC'' Data'!$AD$4:$AE$14,2,FALSE))))</f>
        <v/>
      </c>
      <c r="AM136" s="281" t="str">
        <f>IF(B136="","",VLOOKUP($B136,'F-1 Off-Site WaterC'' Baseline'!$C$9:$Z$257,17,FALSE))</f>
        <v/>
      </c>
      <c r="AN136" s="282" t="str">
        <f>IF(AM136="","",IF(VLOOKUP(AM136,'G-7 WaterC'' Data'!$AO$4:$BO$7,2,FALSE)=0,"Spatial Data Missing ⚠",VLOOKUP(AM136,'G-7 WaterC'' Data'!$AO$4:$BO$7,2,FALSE)))</f>
        <v/>
      </c>
      <c r="AO136" s="323" t="str">
        <f t="shared" si="18"/>
        <v/>
      </c>
      <c r="AP136" s="323" t="str">
        <f t="shared" si="19"/>
        <v/>
      </c>
      <c r="AQ136" s="105"/>
      <c r="AR136" s="119"/>
      <c r="AS136" s="108"/>
      <c r="AT136" s="108"/>
      <c r="AW136" s="30" t="str">
        <f>IF(E136="","",VLOOKUP($B136,'F-1 Off-Site WaterC'' Baseline'!$C$9:$Z$257,12,FALSE))</f>
        <v/>
      </c>
      <c r="AX136" s="30" t="str">
        <f>IF(E136="","",VLOOKUP($B136,'F-1 Off-Site WaterC'' Baseline'!$C$9:$Z$257,14,FALSE))</f>
        <v/>
      </c>
      <c r="AY136" s="30" t="str">
        <f>IFERROR(INDEX('G-7 WaterC'' Data'!$AZ$3:$AZ$7,MATCH(N136,'G-7 WaterC'' Data'!$AY$3:$AY$7,0)),"")</f>
        <v/>
      </c>
      <c r="AZ136" s="30" t="str">
        <f>IF(B136="","",IF(ISNA(VLOOKUP($B136,'F-1 Off-Site WaterC'' Baseline'!$C$8:$AD$257,20,FALSE)),"",(VLOOKUP($B136,'F-1 Off-Site WaterC'' Baseline'!$C$8:$AD$257,20,FALSE))))</f>
        <v/>
      </c>
      <c r="BC136" s="30" t="str">
        <f>IF(B136="","",VLOOKUP($B136,'F-1 Off-Site WaterC'' Baseline'!$C$9:$AB$257,25,FALSE))</f>
        <v/>
      </c>
      <c r="BD136" s="30" t="str">
        <f t="shared" si="20"/>
        <v/>
      </c>
      <c r="BE136" s="30" t="str">
        <f>IF(B136="","",VLOOKUP($B136,'F-1 Off-Site WaterC'' Baseline'!$C$9:$AB$257,24,FALSE))</f>
        <v/>
      </c>
      <c r="BF136" s="30" t="str">
        <f>IF(B136="","",VLOOKUP($B136,'F-1 Off-Site WaterC'' Baseline'!$C$9:$AB$257,22,FALSE))</f>
        <v/>
      </c>
      <c r="BJ136" s="30" t="str">
        <f t="shared" si="21"/>
        <v>No</v>
      </c>
    </row>
    <row r="137" spans="2:62" ht="13.8" x14ac:dyDescent="0.25">
      <c r="B137" s="311" t="str">
        <f>'F-1 Off-Site WaterC'' Baseline'!AS135</f>
        <v/>
      </c>
      <c r="C137" s="301" t="str">
        <f>IF(B137="","",VLOOKUP($B137,'F-1 Off-Site WaterC'' Baseline'!$C$9:$R$257,2,FALSE))</f>
        <v/>
      </c>
      <c r="D137" s="301" t="str">
        <f>IF(C137="","",VLOOKUP($B137,'F-1 Off-Site WaterC'' Baseline'!$C$9:$R$257,3,FALSE))</f>
        <v/>
      </c>
      <c r="E137" s="301" t="str">
        <f>IF(D137="","",VLOOKUP($B137,'F-1 Off-Site WaterC'' Baseline'!$C$9:$R$257,4,FALSE))</f>
        <v/>
      </c>
      <c r="F137" s="301" t="str">
        <f>IF(E137="","",VLOOKUP($B137,'F-1 Off-Site WaterC'' Baseline'!$C$9:$R$257,5,FALSE))</f>
        <v/>
      </c>
      <c r="G137" s="301" t="str">
        <f>IF(F137="","",VLOOKUP($B137,'F-1 Off-Site WaterC'' Baseline'!$C$9:$R$257,6,FALSE))</f>
        <v/>
      </c>
      <c r="H137" s="301" t="str">
        <f>IF(G137="","",VLOOKUP($B137,'F-1 Off-Site WaterC'' Baseline'!$C$9:$R$257,7,FALSE))</f>
        <v/>
      </c>
      <c r="I137" s="301" t="str">
        <f>IF(H137="","",VLOOKUP($B137,'F-1 Off-Site WaterC'' Baseline'!$C$9:$R$257,8,FALSE))</f>
        <v/>
      </c>
      <c r="J137" s="301" t="str">
        <f>IF(I137="","",VLOOKUP($B137,'F-1 Off-Site WaterC'' Baseline'!$C$9:$R$257,9,FALSE))</f>
        <v/>
      </c>
      <c r="K137" s="301" t="str">
        <f>IF(J137="","",VLOOKUP($B137,'F-1 Off-Site WaterC'' Baseline'!$C$9:$R$257,10,FALSE))</f>
        <v/>
      </c>
      <c r="L137" s="289" t="str">
        <f>IF(B137="","",VLOOKUP($B137,'F-1 Off-Site WaterC'' Baseline'!$C$9:$R$257,15,FALSE))</f>
        <v/>
      </c>
      <c r="M137" s="305" t="str">
        <f>IF(L137="","",VLOOKUP($B137,'F-1 Off-Site WaterC'' Baseline'!$C$9:$V$257,19,FALSE))</f>
        <v/>
      </c>
      <c r="N137" s="250"/>
      <c r="O137" s="281" t="str">
        <f t="shared" si="14"/>
        <v/>
      </c>
      <c r="P137" s="282" t="str">
        <f t="shared" si="15"/>
        <v/>
      </c>
      <c r="Q137" s="287" t="str">
        <f>IF(N137="","",VLOOKUP(B137,'F-1 Off-Site WaterC'' Baseline'!$C$10:$AF$257,23,FALSE))</f>
        <v/>
      </c>
      <c r="R137" s="281" t="str">
        <f>IF(N137="","",VLOOKUP(N137,'G-7 WaterC'' Data'!$B$2:$G$8,2,FALSE))</f>
        <v/>
      </c>
      <c r="S137" s="282" t="str">
        <f>IFERROR(VLOOKUP(R137,'G-7 WaterC'' Data'!$C$4:$D$8,2,FALSE),"")</f>
        <v/>
      </c>
      <c r="T137" s="105"/>
      <c r="U137" s="282" t="str">
        <f>IFERROR(INDEX('G-7 WaterC'' Data'!$H$4:$L$8,MATCH(N137,'G-7 WaterC'' Data'!$B$4:$B$8,0),MATCH(T137,'G-7 WaterC'' Data'!$H$3:$L$3,0)),"")</f>
        <v/>
      </c>
      <c r="V137" s="109"/>
      <c r="W137" s="301" t="str">
        <f>IF(V137="","",IF(VLOOKUP(V137,'G-7 WaterC'' Data'!$AK$4:$AM$6,2,FALSE)=0,"Spatial Data Missing ⚠",VLOOKUP(V137,'G-7 WaterC'' Data'!$AK$4:$AM$6,2,FALSE)))</f>
        <v/>
      </c>
      <c r="X137" s="305" t="str">
        <f>IF(V137="","",IF(VLOOKUP(V137,'G-7 WaterC'' Data'!$AK$4:$AM$6,3,FALSE)=0,"Spatial Data Missing ⚠",VLOOKUP(V137,'G-7 WaterC'' Data'!$AK$4:$AM$6,3,FALSE)))</f>
        <v/>
      </c>
      <c r="Y137" s="317" t="str">
        <f>IFERROR(IF(OR(LEFT(P137,5)="Error",LEFT(O137,5)="Error"),"Check Data ⚠",IF(F137&lt;S137,'G-7 WaterC'' Data'!$R$3,INDEX('G-7 WaterC'' Data'!$U$5:$Y$9,MATCH(G137,'G-7 WaterC'' Data'!$T$5:$T$9,0),MATCH(T137,'G-7 WaterC'' Data'!$U$4:$Y$4,0)))),"")</f>
        <v/>
      </c>
      <c r="Z137" s="142"/>
      <c r="AA137" s="142"/>
      <c r="AB137" s="314" t="str">
        <f t="shared" si="11"/>
        <v/>
      </c>
      <c r="AC137" s="302" t="str">
        <f t="shared" si="16"/>
        <v/>
      </c>
      <c r="AD137" s="340" t="str">
        <f>IFERROR(IF(AC137="Check Data ⚠","Check Data ⚠",VLOOKUP(AC137,'G-4 Temporal multipliers'!$A$4:$C$37,3,FALSE)),"")</f>
        <v/>
      </c>
      <c r="AE137" s="317" t="str">
        <f>IF(N137="","",VLOOKUP(N137,'G-7 WaterC'' Data'!$B$4:$G$8,5,FALSE))</f>
        <v/>
      </c>
      <c r="AF137" s="301" t="str">
        <f t="shared" si="12"/>
        <v/>
      </c>
      <c r="AG137" s="301" t="str">
        <f t="shared" si="17"/>
        <v/>
      </c>
      <c r="AH137" s="282" t="str">
        <f t="shared" si="13"/>
        <v/>
      </c>
      <c r="AI137" s="109"/>
      <c r="AJ137" s="282" t="str">
        <f>IF(AI137="","",(IF(AND(AI137="N/A - Culvert",N137&lt;&gt;"Culvert"),"Not possible ▲",IF(VLOOKUP(AI137,'G-7 WaterC'' Data'!$AA$4:$AB$7,2,FALSE)=0,"Spatial Data Missing ⚠",VLOOKUP(AI137,'G-7 WaterC'' Data'!$AA$4:$AB$7,2,FALSE)))))</f>
        <v/>
      </c>
      <c r="AK137" s="110"/>
      <c r="AL137" s="316" t="str">
        <f>IF(AK137="","",IF(AND(AK137="N/A - Culvert",N137&lt;&gt;"Culvert"),"Not possible ▲",IF(VLOOKUP(AK137,'G-7 WaterC'' Data'!$AD$4:$AE$14,2,FALSE)=0,"Spatial Data Missing ⚠",VLOOKUP(AK137,'G-7 WaterC'' Data'!$AD$4:$AE$14,2,FALSE))))</f>
        <v/>
      </c>
      <c r="AM137" s="281" t="str">
        <f>IF(B137="","",VLOOKUP($B137,'F-1 Off-Site WaterC'' Baseline'!$C$9:$Z$257,17,FALSE))</f>
        <v/>
      </c>
      <c r="AN137" s="282" t="str">
        <f>IF(AM137="","",IF(VLOOKUP(AM137,'G-7 WaterC'' Data'!$AO$4:$BO$7,2,FALSE)=0,"Spatial Data Missing ⚠",VLOOKUP(AM137,'G-7 WaterC'' Data'!$AO$4:$BO$7,2,FALSE)))</f>
        <v/>
      </c>
      <c r="AO137" s="323" t="str">
        <f t="shared" si="18"/>
        <v/>
      </c>
      <c r="AP137" s="323" t="str">
        <f t="shared" si="19"/>
        <v/>
      </c>
      <c r="AQ137" s="105"/>
      <c r="AR137" s="119"/>
      <c r="AS137" s="108"/>
      <c r="AT137" s="108"/>
      <c r="AW137" s="30" t="str">
        <f>IF(E137="","",VLOOKUP($B137,'F-1 Off-Site WaterC'' Baseline'!$C$9:$Z$257,12,FALSE))</f>
        <v/>
      </c>
      <c r="AX137" s="30" t="str">
        <f>IF(E137="","",VLOOKUP($B137,'F-1 Off-Site WaterC'' Baseline'!$C$9:$Z$257,14,FALSE))</f>
        <v/>
      </c>
      <c r="AY137" s="30" t="str">
        <f>IFERROR(INDEX('G-7 WaterC'' Data'!$AZ$3:$AZ$7,MATCH(N137,'G-7 WaterC'' Data'!$AY$3:$AY$7,0)),"")</f>
        <v/>
      </c>
      <c r="AZ137" s="30" t="str">
        <f>IF(B137="","",IF(ISNA(VLOOKUP($B137,'F-1 Off-Site WaterC'' Baseline'!$C$8:$AD$257,20,FALSE)),"",(VLOOKUP($B137,'F-1 Off-Site WaterC'' Baseline'!$C$8:$AD$257,20,FALSE))))</f>
        <v/>
      </c>
      <c r="BC137" s="30" t="str">
        <f>IF(B137="","",VLOOKUP($B137,'F-1 Off-Site WaterC'' Baseline'!$C$9:$AB$257,25,FALSE))</f>
        <v/>
      </c>
      <c r="BD137" s="30" t="str">
        <f t="shared" si="20"/>
        <v/>
      </c>
      <c r="BE137" s="30" t="str">
        <f>IF(B137="","",VLOOKUP($B137,'F-1 Off-Site WaterC'' Baseline'!$C$9:$AB$257,24,FALSE))</f>
        <v/>
      </c>
      <c r="BF137" s="30" t="str">
        <f>IF(B137="","",VLOOKUP($B137,'F-1 Off-Site WaterC'' Baseline'!$C$9:$AB$257,22,FALSE))</f>
        <v/>
      </c>
      <c r="BJ137" s="30" t="str">
        <f t="shared" si="21"/>
        <v>No</v>
      </c>
    </row>
    <row r="138" spans="2:62" ht="13.8" x14ac:dyDescent="0.25">
      <c r="B138" s="311" t="str">
        <f>'F-1 Off-Site WaterC'' Baseline'!AS136</f>
        <v/>
      </c>
      <c r="C138" s="301" t="str">
        <f>IF(B138="","",VLOOKUP($B138,'F-1 Off-Site WaterC'' Baseline'!$C$9:$R$257,2,FALSE))</f>
        <v/>
      </c>
      <c r="D138" s="301" t="str">
        <f>IF(C138="","",VLOOKUP($B138,'F-1 Off-Site WaterC'' Baseline'!$C$9:$R$257,3,FALSE))</f>
        <v/>
      </c>
      <c r="E138" s="301" t="str">
        <f>IF(D138="","",VLOOKUP($B138,'F-1 Off-Site WaterC'' Baseline'!$C$9:$R$257,4,FALSE))</f>
        <v/>
      </c>
      <c r="F138" s="301" t="str">
        <f>IF(E138="","",VLOOKUP($B138,'F-1 Off-Site WaterC'' Baseline'!$C$9:$R$257,5,FALSE))</f>
        <v/>
      </c>
      <c r="G138" s="301" t="str">
        <f>IF(F138="","",VLOOKUP($B138,'F-1 Off-Site WaterC'' Baseline'!$C$9:$R$257,6,FALSE))</f>
        <v/>
      </c>
      <c r="H138" s="301" t="str">
        <f>IF(G138="","",VLOOKUP($B138,'F-1 Off-Site WaterC'' Baseline'!$C$9:$R$257,7,FALSE))</f>
        <v/>
      </c>
      <c r="I138" s="301" t="str">
        <f>IF(H138="","",VLOOKUP($B138,'F-1 Off-Site WaterC'' Baseline'!$C$9:$R$257,8,FALSE))</f>
        <v/>
      </c>
      <c r="J138" s="301" t="str">
        <f>IF(I138="","",VLOOKUP($B138,'F-1 Off-Site WaterC'' Baseline'!$C$9:$R$257,9,FALSE))</f>
        <v/>
      </c>
      <c r="K138" s="301" t="str">
        <f>IF(J138="","",VLOOKUP($B138,'F-1 Off-Site WaterC'' Baseline'!$C$9:$R$257,10,FALSE))</f>
        <v/>
      </c>
      <c r="L138" s="289" t="str">
        <f>IF(B138="","",VLOOKUP($B138,'F-1 Off-Site WaterC'' Baseline'!$C$9:$R$257,15,FALSE))</f>
        <v/>
      </c>
      <c r="M138" s="305" t="str">
        <f>IF(L138="","",VLOOKUP($B138,'F-1 Off-Site WaterC'' Baseline'!$C$9:$V$257,19,FALSE))</f>
        <v/>
      </c>
      <c r="N138" s="250"/>
      <c r="O138" s="281" t="str">
        <f t="shared" si="14"/>
        <v/>
      </c>
      <c r="P138" s="282" t="str">
        <f t="shared" si="15"/>
        <v/>
      </c>
      <c r="Q138" s="287" t="str">
        <f>IF(N138="","",VLOOKUP(B138,'F-1 Off-Site WaterC'' Baseline'!$C$10:$AF$257,23,FALSE))</f>
        <v/>
      </c>
      <c r="R138" s="281" t="str">
        <f>IF(N138="","",VLOOKUP(N138,'G-7 WaterC'' Data'!$B$2:$G$8,2,FALSE))</f>
        <v/>
      </c>
      <c r="S138" s="282" t="str">
        <f>IFERROR(VLOOKUP(R138,'G-7 WaterC'' Data'!$C$4:$D$8,2,FALSE),"")</f>
        <v/>
      </c>
      <c r="T138" s="105"/>
      <c r="U138" s="282" t="str">
        <f>IFERROR(INDEX('G-7 WaterC'' Data'!$H$4:$L$8,MATCH(N138,'G-7 WaterC'' Data'!$B$4:$B$8,0),MATCH(T138,'G-7 WaterC'' Data'!$H$3:$L$3,0)),"")</f>
        <v/>
      </c>
      <c r="V138" s="109"/>
      <c r="W138" s="301" t="str">
        <f>IF(V138="","",IF(VLOOKUP(V138,'G-7 WaterC'' Data'!$AK$4:$AM$6,2,FALSE)=0,"Spatial Data Missing ⚠",VLOOKUP(V138,'G-7 WaterC'' Data'!$AK$4:$AM$6,2,FALSE)))</f>
        <v/>
      </c>
      <c r="X138" s="305" t="str">
        <f>IF(V138="","",IF(VLOOKUP(V138,'G-7 WaterC'' Data'!$AK$4:$AM$6,3,FALSE)=0,"Spatial Data Missing ⚠",VLOOKUP(V138,'G-7 WaterC'' Data'!$AK$4:$AM$6,3,FALSE)))</f>
        <v/>
      </c>
      <c r="Y138" s="317" t="str">
        <f>IFERROR(IF(OR(LEFT(P138,5)="Error",LEFT(O138,5)="Error"),"Check Data ⚠",IF(F138&lt;S138,'G-7 WaterC'' Data'!$R$3,INDEX('G-7 WaterC'' Data'!$U$5:$Y$9,MATCH(G138,'G-7 WaterC'' Data'!$T$5:$T$9,0),MATCH(T138,'G-7 WaterC'' Data'!$U$4:$Y$4,0)))),"")</f>
        <v/>
      </c>
      <c r="Z138" s="142"/>
      <c r="AA138" s="142"/>
      <c r="AB138" s="314" t="str">
        <f t="shared" si="11"/>
        <v/>
      </c>
      <c r="AC138" s="302" t="str">
        <f t="shared" si="16"/>
        <v/>
      </c>
      <c r="AD138" s="340" t="str">
        <f>IFERROR(IF(AC138="Check Data ⚠","Check Data ⚠",VLOOKUP(AC138,'G-4 Temporal multipliers'!$A$4:$C$37,3,FALSE)),"")</f>
        <v/>
      </c>
      <c r="AE138" s="317" t="str">
        <f>IF(N138="","",VLOOKUP(N138,'G-7 WaterC'' Data'!$B$4:$G$8,5,FALSE))</f>
        <v/>
      </c>
      <c r="AF138" s="301" t="str">
        <f t="shared" si="12"/>
        <v/>
      </c>
      <c r="AG138" s="301" t="str">
        <f t="shared" si="17"/>
        <v/>
      </c>
      <c r="AH138" s="282" t="str">
        <f t="shared" si="13"/>
        <v/>
      </c>
      <c r="AI138" s="109"/>
      <c r="AJ138" s="282" t="str">
        <f>IF(AI138="","",(IF(AND(AI138="N/A - Culvert",N138&lt;&gt;"Culvert"),"Not possible ▲",IF(VLOOKUP(AI138,'G-7 WaterC'' Data'!$AA$4:$AB$7,2,FALSE)=0,"Spatial Data Missing ⚠",VLOOKUP(AI138,'G-7 WaterC'' Data'!$AA$4:$AB$7,2,FALSE)))))</f>
        <v/>
      </c>
      <c r="AK138" s="110"/>
      <c r="AL138" s="316" t="str">
        <f>IF(AK138="","",IF(AND(AK138="N/A - Culvert",N138&lt;&gt;"Culvert"),"Not possible ▲",IF(VLOOKUP(AK138,'G-7 WaterC'' Data'!$AD$4:$AE$14,2,FALSE)=0,"Spatial Data Missing ⚠",VLOOKUP(AK138,'G-7 WaterC'' Data'!$AD$4:$AE$14,2,FALSE))))</f>
        <v/>
      </c>
      <c r="AM138" s="281" t="str">
        <f>IF(B138="","",VLOOKUP($B138,'F-1 Off-Site WaterC'' Baseline'!$C$9:$Z$257,17,FALSE))</f>
        <v/>
      </c>
      <c r="AN138" s="282" t="str">
        <f>IF(AM138="","",IF(VLOOKUP(AM138,'G-7 WaterC'' Data'!$AO$4:$BO$7,2,FALSE)=0,"Spatial Data Missing ⚠",VLOOKUP(AM138,'G-7 WaterC'' Data'!$AO$4:$BO$7,2,FALSE)))</f>
        <v/>
      </c>
      <c r="AO138" s="323" t="str">
        <f t="shared" si="18"/>
        <v/>
      </c>
      <c r="AP138" s="323" t="str">
        <f t="shared" si="19"/>
        <v/>
      </c>
      <c r="AQ138" s="105"/>
      <c r="AR138" s="119"/>
      <c r="AS138" s="108"/>
      <c r="AT138" s="108"/>
      <c r="AW138" s="30" t="str">
        <f>IF(E138="","",VLOOKUP($B138,'F-1 Off-Site WaterC'' Baseline'!$C$9:$Z$257,12,FALSE))</f>
        <v/>
      </c>
      <c r="AX138" s="30" t="str">
        <f>IF(E138="","",VLOOKUP($B138,'F-1 Off-Site WaterC'' Baseline'!$C$9:$Z$257,14,FALSE))</f>
        <v/>
      </c>
      <c r="AY138" s="30" t="str">
        <f>IFERROR(INDEX('G-7 WaterC'' Data'!$AZ$3:$AZ$7,MATCH(N138,'G-7 WaterC'' Data'!$AY$3:$AY$7,0)),"")</f>
        <v/>
      </c>
      <c r="AZ138" s="30" t="str">
        <f>IF(B138="","",IF(ISNA(VLOOKUP($B138,'F-1 Off-Site WaterC'' Baseline'!$C$8:$AD$257,20,FALSE)),"",(VLOOKUP($B138,'F-1 Off-Site WaterC'' Baseline'!$C$8:$AD$257,20,FALSE))))</f>
        <v/>
      </c>
      <c r="BC138" s="30" t="str">
        <f>IF(B138="","",VLOOKUP($B138,'F-1 Off-Site WaterC'' Baseline'!$C$9:$AB$257,25,FALSE))</f>
        <v/>
      </c>
      <c r="BD138" s="30" t="str">
        <f t="shared" si="20"/>
        <v/>
      </c>
      <c r="BE138" s="30" t="str">
        <f>IF(B138="","",VLOOKUP($B138,'F-1 Off-Site WaterC'' Baseline'!$C$9:$AB$257,24,FALSE))</f>
        <v/>
      </c>
      <c r="BF138" s="30" t="str">
        <f>IF(B138="","",VLOOKUP($B138,'F-1 Off-Site WaterC'' Baseline'!$C$9:$AB$257,22,FALSE))</f>
        <v/>
      </c>
      <c r="BJ138" s="30" t="str">
        <f t="shared" si="21"/>
        <v>No</v>
      </c>
    </row>
    <row r="139" spans="2:62" ht="13.8" x14ac:dyDescent="0.25">
      <c r="B139" s="311" t="str">
        <f>'F-1 Off-Site WaterC'' Baseline'!AS137</f>
        <v/>
      </c>
      <c r="C139" s="301" t="str">
        <f>IF(B139="","",VLOOKUP($B139,'F-1 Off-Site WaterC'' Baseline'!$C$9:$R$257,2,FALSE))</f>
        <v/>
      </c>
      <c r="D139" s="301" t="str">
        <f>IF(C139="","",VLOOKUP($B139,'F-1 Off-Site WaterC'' Baseline'!$C$9:$R$257,3,FALSE))</f>
        <v/>
      </c>
      <c r="E139" s="301" t="str">
        <f>IF(D139="","",VLOOKUP($B139,'F-1 Off-Site WaterC'' Baseline'!$C$9:$R$257,4,FALSE))</f>
        <v/>
      </c>
      <c r="F139" s="301" t="str">
        <f>IF(E139="","",VLOOKUP($B139,'F-1 Off-Site WaterC'' Baseline'!$C$9:$R$257,5,FALSE))</f>
        <v/>
      </c>
      <c r="G139" s="301" t="str">
        <f>IF(F139="","",VLOOKUP($B139,'F-1 Off-Site WaterC'' Baseline'!$C$9:$R$257,6,FALSE))</f>
        <v/>
      </c>
      <c r="H139" s="301" t="str">
        <f>IF(G139="","",VLOOKUP($B139,'F-1 Off-Site WaterC'' Baseline'!$C$9:$R$257,7,FALSE))</f>
        <v/>
      </c>
      <c r="I139" s="301" t="str">
        <f>IF(H139="","",VLOOKUP($B139,'F-1 Off-Site WaterC'' Baseline'!$C$9:$R$257,8,FALSE))</f>
        <v/>
      </c>
      <c r="J139" s="301" t="str">
        <f>IF(I139="","",VLOOKUP($B139,'F-1 Off-Site WaterC'' Baseline'!$C$9:$R$257,9,FALSE))</f>
        <v/>
      </c>
      <c r="K139" s="301" t="str">
        <f>IF(J139="","",VLOOKUP($B139,'F-1 Off-Site WaterC'' Baseline'!$C$9:$R$257,10,FALSE))</f>
        <v/>
      </c>
      <c r="L139" s="289" t="str">
        <f>IF(B139="","",VLOOKUP($B139,'F-1 Off-Site WaterC'' Baseline'!$C$9:$R$257,15,FALSE))</f>
        <v/>
      </c>
      <c r="M139" s="305" t="str">
        <f>IF(L139="","",VLOOKUP($B139,'F-1 Off-Site WaterC'' Baseline'!$C$9:$V$257,19,FALSE))</f>
        <v/>
      </c>
      <c r="N139" s="250"/>
      <c r="O139" s="281" t="str">
        <f t="shared" si="14"/>
        <v/>
      </c>
      <c r="P139" s="282" t="str">
        <f t="shared" si="15"/>
        <v/>
      </c>
      <c r="Q139" s="287" t="str">
        <f>IF(N139="","",VLOOKUP(B139,'F-1 Off-Site WaterC'' Baseline'!$C$10:$AF$257,23,FALSE))</f>
        <v/>
      </c>
      <c r="R139" s="281" t="str">
        <f>IF(N139="","",VLOOKUP(N139,'G-7 WaterC'' Data'!$B$2:$G$8,2,FALSE))</f>
        <v/>
      </c>
      <c r="S139" s="282" t="str">
        <f>IFERROR(VLOOKUP(R139,'G-7 WaterC'' Data'!$C$4:$D$8,2,FALSE),"")</f>
        <v/>
      </c>
      <c r="T139" s="105"/>
      <c r="U139" s="282" t="str">
        <f>IFERROR(INDEX('G-7 WaterC'' Data'!$H$4:$L$8,MATCH(N139,'G-7 WaterC'' Data'!$B$4:$B$8,0),MATCH(T139,'G-7 WaterC'' Data'!$H$3:$L$3,0)),"")</f>
        <v/>
      </c>
      <c r="V139" s="109"/>
      <c r="W139" s="301" t="str">
        <f>IF(V139="","",IF(VLOOKUP(V139,'G-7 WaterC'' Data'!$AK$4:$AM$6,2,FALSE)=0,"Spatial Data Missing ⚠",VLOOKUP(V139,'G-7 WaterC'' Data'!$AK$4:$AM$6,2,FALSE)))</f>
        <v/>
      </c>
      <c r="X139" s="305" t="str">
        <f>IF(V139="","",IF(VLOOKUP(V139,'G-7 WaterC'' Data'!$AK$4:$AM$6,3,FALSE)=0,"Spatial Data Missing ⚠",VLOOKUP(V139,'G-7 WaterC'' Data'!$AK$4:$AM$6,3,FALSE)))</f>
        <v/>
      </c>
      <c r="Y139" s="317" t="str">
        <f>IFERROR(IF(OR(LEFT(P139,5)="Error",LEFT(O139,5)="Error"),"Check Data ⚠",IF(F139&lt;S139,'G-7 WaterC'' Data'!$R$3,INDEX('G-7 WaterC'' Data'!$U$5:$Y$9,MATCH(G139,'G-7 WaterC'' Data'!$T$5:$T$9,0),MATCH(T139,'G-7 WaterC'' Data'!$U$4:$Y$4,0)))),"")</f>
        <v/>
      </c>
      <c r="Z139" s="142"/>
      <c r="AA139" s="142"/>
      <c r="AB139" s="314" t="str">
        <f t="shared" si="11"/>
        <v/>
      </c>
      <c r="AC139" s="302" t="str">
        <f t="shared" si="16"/>
        <v/>
      </c>
      <c r="AD139" s="340" t="str">
        <f>IFERROR(IF(AC139="Check Data ⚠","Check Data ⚠",VLOOKUP(AC139,'G-4 Temporal multipliers'!$A$4:$C$37,3,FALSE)),"")</f>
        <v/>
      </c>
      <c r="AE139" s="317" t="str">
        <f>IF(N139="","",VLOOKUP(N139,'G-7 WaterC'' Data'!$B$4:$G$8,5,FALSE))</f>
        <v/>
      </c>
      <c r="AF139" s="301" t="str">
        <f t="shared" si="12"/>
        <v/>
      </c>
      <c r="AG139" s="301" t="str">
        <f t="shared" si="17"/>
        <v/>
      </c>
      <c r="AH139" s="282" t="str">
        <f t="shared" si="13"/>
        <v/>
      </c>
      <c r="AI139" s="109"/>
      <c r="AJ139" s="282" t="str">
        <f>IF(AI139="","",(IF(AND(AI139="N/A - Culvert",N139&lt;&gt;"Culvert"),"Not possible ▲",IF(VLOOKUP(AI139,'G-7 WaterC'' Data'!$AA$4:$AB$7,2,FALSE)=0,"Spatial Data Missing ⚠",VLOOKUP(AI139,'G-7 WaterC'' Data'!$AA$4:$AB$7,2,FALSE)))))</f>
        <v/>
      </c>
      <c r="AK139" s="110"/>
      <c r="AL139" s="316" t="str">
        <f>IF(AK139="","",IF(AND(AK139="N/A - Culvert",N139&lt;&gt;"Culvert"),"Not possible ▲",IF(VLOOKUP(AK139,'G-7 WaterC'' Data'!$AD$4:$AE$14,2,FALSE)=0,"Spatial Data Missing ⚠",VLOOKUP(AK139,'G-7 WaterC'' Data'!$AD$4:$AE$14,2,FALSE))))</f>
        <v/>
      </c>
      <c r="AM139" s="281" t="str">
        <f>IF(B139="","",VLOOKUP($B139,'F-1 Off-Site WaterC'' Baseline'!$C$9:$Z$257,17,FALSE))</f>
        <v/>
      </c>
      <c r="AN139" s="282" t="str">
        <f>IF(AM139="","",IF(VLOOKUP(AM139,'G-7 WaterC'' Data'!$AO$4:$BO$7,2,FALSE)=0,"Spatial Data Missing ⚠",VLOOKUP(AM139,'G-7 WaterC'' Data'!$AO$4:$BO$7,2,FALSE)))</f>
        <v/>
      </c>
      <c r="AO139" s="323" t="str">
        <f t="shared" si="18"/>
        <v/>
      </c>
      <c r="AP139" s="323" t="str">
        <f t="shared" si="19"/>
        <v/>
      </c>
      <c r="AQ139" s="105"/>
      <c r="AR139" s="119"/>
      <c r="AS139" s="108"/>
      <c r="AT139" s="108"/>
      <c r="AW139" s="30" t="str">
        <f>IF(E139="","",VLOOKUP($B139,'F-1 Off-Site WaterC'' Baseline'!$C$9:$Z$257,12,FALSE))</f>
        <v/>
      </c>
      <c r="AX139" s="30" t="str">
        <f>IF(E139="","",VLOOKUP($B139,'F-1 Off-Site WaterC'' Baseline'!$C$9:$Z$257,14,FALSE))</f>
        <v/>
      </c>
      <c r="AY139" s="30" t="str">
        <f>IFERROR(INDEX('G-7 WaterC'' Data'!$AZ$3:$AZ$7,MATCH(N139,'G-7 WaterC'' Data'!$AY$3:$AY$7,0)),"")</f>
        <v/>
      </c>
      <c r="AZ139" s="30" t="str">
        <f>IF(B139="","",IF(ISNA(VLOOKUP($B139,'F-1 Off-Site WaterC'' Baseline'!$C$8:$AD$257,20,FALSE)),"",(VLOOKUP($B139,'F-1 Off-Site WaterC'' Baseline'!$C$8:$AD$257,20,FALSE))))</f>
        <v/>
      </c>
      <c r="BC139" s="30" t="str">
        <f>IF(B139="","",VLOOKUP($B139,'F-1 Off-Site WaterC'' Baseline'!$C$9:$AB$257,25,FALSE))</f>
        <v/>
      </c>
      <c r="BD139" s="30" t="str">
        <f t="shared" si="20"/>
        <v/>
      </c>
      <c r="BE139" s="30" t="str">
        <f>IF(B139="","",VLOOKUP($B139,'F-1 Off-Site WaterC'' Baseline'!$C$9:$AB$257,24,FALSE))</f>
        <v/>
      </c>
      <c r="BF139" s="30" t="str">
        <f>IF(B139="","",VLOOKUP($B139,'F-1 Off-Site WaterC'' Baseline'!$C$9:$AB$257,22,FALSE))</f>
        <v/>
      </c>
      <c r="BJ139" s="30" t="str">
        <f t="shared" si="21"/>
        <v>No</v>
      </c>
    </row>
    <row r="140" spans="2:62" ht="13.8" x14ac:dyDescent="0.25">
      <c r="B140" s="311" t="str">
        <f>'F-1 Off-Site WaterC'' Baseline'!AS138</f>
        <v/>
      </c>
      <c r="C140" s="301" t="str">
        <f>IF(B140="","",VLOOKUP($B140,'F-1 Off-Site WaterC'' Baseline'!$C$9:$R$257,2,FALSE))</f>
        <v/>
      </c>
      <c r="D140" s="301" t="str">
        <f>IF(C140="","",VLOOKUP($B140,'F-1 Off-Site WaterC'' Baseline'!$C$9:$R$257,3,FALSE))</f>
        <v/>
      </c>
      <c r="E140" s="301" t="str">
        <f>IF(D140="","",VLOOKUP($B140,'F-1 Off-Site WaterC'' Baseline'!$C$9:$R$257,4,FALSE))</f>
        <v/>
      </c>
      <c r="F140" s="301" t="str">
        <f>IF(E140="","",VLOOKUP($B140,'F-1 Off-Site WaterC'' Baseline'!$C$9:$R$257,5,FALSE))</f>
        <v/>
      </c>
      <c r="G140" s="301" t="str">
        <f>IF(F140="","",VLOOKUP($B140,'F-1 Off-Site WaterC'' Baseline'!$C$9:$R$257,6,FALSE))</f>
        <v/>
      </c>
      <c r="H140" s="301" t="str">
        <f>IF(G140="","",VLOOKUP($B140,'F-1 Off-Site WaterC'' Baseline'!$C$9:$R$257,7,FALSE))</f>
        <v/>
      </c>
      <c r="I140" s="301" t="str">
        <f>IF(H140="","",VLOOKUP($B140,'F-1 Off-Site WaterC'' Baseline'!$C$9:$R$257,8,FALSE))</f>
        <v/>
      </c>
      <c r="J140" s="301" t="str">
        <f>IF(I140="","",VLOOKUP($B140,'F-1 Off-Site WaterC'' Baseline'!$C$9:$R$257,9,FALSE))</f>
        <v/>
      </c>
      <c r="K140" s="301" t="str">
        <f>IF(J140="","",VLOOKUP($B140,'F-1 Off-Site WaterC'' Baseline'!$C$9:$R$257,10,FALSE))</f>
        <v/>
      </c>
      <c r="L140" s="289" t="str">
        <f>IF(B140="","",VLOOKUP($B140,'F-1 Off-Site WaterC'' Baseline'!$C$9:$R$257,15,FALSE))</f>
        <v/>
      </c>
      <c r="M140" s="305" t="str">
        <f>IF(L140="","",VLOOKUP($B140,'F-1 Off-Site WaterC'' Baseline'!$C$9:$V$257,19,FALSE))</f>
        <v/>
      </c>
      <c r="N140" s="250"/>
      <c r="O140" s="281" t="str">
        <f t="shared" si="14"/>
        <v/>
      </c>
      <c r="P140" s="282" t="str">
        <f t="shared" si="15"/>
        <v/>
      </c>
      <c r="Q140" s="287" t="str">
        <f>IF(N140="","",VLOOKUP(B140,'F-1 Off-Site WaterC'' Baseline'!$C$10:$AF$257,23,FALSE))</f>
        <v/>
      </c>
      <c r="R140" s="281" t="str">
        <f>IF(N140="","",VLOOKUP(N140,'G-7 WaterC'' Data'!$B$2:$G$8,2,FALSE))</f>
        <v/>
      </c>
      <c r="S140" s="282" t="str">
        <f>IFERROR(VLOOKUP(R140,'G-7 WaterC'' Data'!$C$4:$D$8,2,FALSE),"")</f>
        <v/>
      </c>
      <c r="T140" s="105"/>
      <c r="U140" s="282" t="str">
        <f>IFERROR(INDEX('G-7 WaterC'' Data'!$H$4:$L$8,MATCH(N140,'G-7 WaterC'' Data'!$B$4:$B$8,0),MATCH(T140,'G-7 WaterC'' Data'!$H$3:$L$3,0)),"")</f>
        <v/>
      </c>
      <c r="V140" s="109"/>
      <c r="W140" s="301" t="str">
        <f>IF(V140="","",IF(VLOOKUP(V140,'G-7 WaterC'' Data'!$AK$4:$AM$6,2,FALSE)=0,"Spatial Data Missing ⚠",VLOOKUP(V140,'G-7 WaterC'' Data'!$AK$4:$AM$6,2,FALSE)))</f>
        <v/>
      </c>
      <c r="X140" s="305" t="str">
        <f>IF(V140="","",IF(VLOOKUP(V140,'G-7 WaterC'' Data'!$AK$4:$AM$6,3,FALSE)=0,"Spatial Data Missing ⚠",VLOOKUP(V140,'G-7 WaterC'' Data'!$AK$4:$AM$6,3,FALSE)))</f>
        <v/>
      </c>
      <c r="Y140" s="317" t="str">
        <f>IFERROR(IF(OR(LEFT(P140,5)="Error",LEFT(O140,5)="Error"),"Check Data ⚠",IF(F140&lt;S140,'G-7 WaterC'' Data'!$R$3,INDEX('G-7 WaterC'' Data'!$U$5:$Y$9,MATCH(G140,'G-7 WaterC'' Data'!$T$5:$T$9,0),MATCH(T140,'G-7 WaterC'' Data'!$U$4:$Y$4,0)))),"")</f>
        <v/>
      </c>
      <c r="Z140" s="142"/>
      <c r="AA140" s="142"/>
      <c r="AB140" s="314" t="str">
        <f t="shared" ref="AB140:AB203" si="22">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02" t="str">
        <f t="shared" si="16"/>
        <v/>
      </c>
      <c r="AD140" s="340" t="str">
        <f>IFERROR(IF(AC140="Check Data ⚠","Check Data ⚠",VLOOKUP(AC140,'G-4 Temporal multipliers'!$A$4:$C$37,3,FALSE)),"")</f>
        <v/>
      </c>
      <c r="AE140" s="317" t="str">
        <f>IF(N140="","",VLOOKUP(N140,'G-7 WaterC'' Data'!$B$4:$G$8,5,FALSE))</f>
        <v/>
      </c>
      <c r="AF140" s="301" t="str">
        <f t="shared" ref="AF140:AF203" si="23">IF(N140="","",IF(AC140="Check Data ⚠","Check Data ⚠",IF(T140="","",IF($AB140="Check details - Is there evidence that habitat has reached target condition? ⚠","Low Difficulty - only applicable if all habitat created before losses ⚠","Standard difficulty applied"))))</f>
        <v/>
      </c>
      <c r="AG140" s="301" t="str">
        <f t="shared" si="17"/>
        <v/>
      </c>
      <c r="AH140" s="282" t="str">
        <f t="shared" ref="AH140:AH203" si="24">IF(N140="","",VLOOKUP(AG140,Difficulty,2,FALSE))</f>
        <v/>
      </c>
      <c r="AI140" s="109"/>
      <c r="AJ140" s="282" t="str">
        <f>IF(AI140="","",(IF(AND(AI140="N/A - Culvert",N140&lt;&gt;"Culvert"),"Not possible ▲",IF(VLOOKUP(AI140,'G-7 WaterC'' Data'!$AA$4:$AB$7,2,FALSE)=0,"Spatial Data Missing ⚠",VLOOKUP(AI140,'G-7 WaterC'' Data'!$AA$4:$AB$7,2,FALSE)))))</f>
        <v/>
      </c>
      <c r="AK140" s="110"/>
      <c r="AL140" s="316" t="str">
        <f>IF(AK140="","",IF(AND(AK140="N/A - Culvert",N140&lt;&gt;"Culvert"),"Not possible ▲",IF(VLOOKUP(AK140,'G-7 WaterC'' Data'!$AD$4:$AE$14,2,FALSE)=0,"Spatial Data Missing ⚠",VLOOKUP(AK140,'G-7 WaterC'' Data'!$AD$4:$AE$14,2,FALSE))))</f>
        <v/>
      </c>
      <c r="AM140" s="281" t="str">
        <f>IF(B140="","",VLOOKUP($B140,'F-1 Off-Site WaterC'' Baseline'!$C$9:$Z$257,17,FALSE))</f>
        <v/>
      </c>
      <c r="AN140" s="282" t="str">
        <f>IF(AM140="","",IF(VLOOKUP(AM140,'G-7 WaterC'' Data'!$AO$4:$BO$7,2,FALSE)=0,"Spatial Data Missing ⚠",VLOOKUP(AM140,'G-7 WaterC'' Data'!$AO$4:$BO$7,2,FALSE)))</f>
        <v/>
      </c>
      <c r="AO140" s="323" t="str">
        <f t="shared" si="18"/>
        <v/>
      </c>
      <c r="AP140" s="323" t="str">
        <f t="shared" si="19"/>
        <v/>
      </c>
      <c r="AQ140" s="105"/>
      <c r="AR140" s="119"/>
      <c r="AS140" s="108"/>
      <c r="AT140" s="108"/>
      <c r="AW140" s="30" t="str">
        <f>IF(E140="","",VLOOKUP($B140,'F-1 Off-Site WaterC'' Baseline'!$C$9:$Z$257,12,FALSE))</f>
        <v/>
      </c>
      <c r="AX140" s="30" t="str">
        <f>IF(E140="","",VLOOKUP($B140,'F-1 Off-Site WaterC'' Baseline'!$C$9:$Z$257,14,FALSE))</f>
        <v/>
      </c>
      <c r="AY140" s="30" t="str">
        <f>IFERROR(INDEX('G-7 WaterC'' Data'!$AZ$3:$AZ$7,MATCH(N140,'G-7 WaterC'' Data'!$AY$3:$AY$7,0)),"")</f>
        <v/>
      </c>
      <c r="AZ140" s="30" t="str">
        <f>IF(B140="","",IF(ISNA(VLOOKUP($B140,'F-1 Off-Site WaterC'' Baseline'!$C$8:$AD$257,20,FALSE)),"",(VLOOKUP($B140,'F-1 Off-Site WaterC'' Baseline'!$C$8:$AD$257,20,FALSE))))</f>
        <v/>
      </c>
      <c r="BC140" s="30" t="str">
        <f>IF(B140="","",VLOOKUP($B140,'F-1 Off-Site WaterC'' Baseline'!$C$9:$AB$257,25,FALSE))</f>
        <v/>
      </c>
      <c r="BD140" s="30" t="str">
        <f t="shared" si="20"/>
        <v/>
      </c>
      <c r="BE140" s="30" t="str">
        <f>IF(B140="","",VLOOKUP($B140,'F-1 Off-Site WaterC'' Baseline'!$C$9:$AB$257,24,FALSE))</f>
        <v/>
      </c>
      <c r="BF140" s="30" t="str">
        <f>IF(B140="","",VLOOKUP($B140,'F-1 Off-Site WaterC'' Baseline'!$C$9:$AB$257,22,FALSE))</f>
        <v/>
      </c>
      <c r="BJ140" s="30" t="str">
        <f t="shared" si="21"/>
        <v>No</v>
      </c>
    </row>
    <row r="141" spans="2:62" ht="13.8" x14ac:dyDescent="0.25">
      <c r="B141" s="311" t="str">
        <f>'F-1 Off-Site WaterC'' Baseline'!AS139</f>
        <v/>
      </c>
      <c r="C141" s="301" t="str">
        <f>IF(B141="","",VLOOKUP($B141,'F-1 Off-Site WaterC'' Baseline'!$C$9:$R$257,2,FALSE))</f>
        <v/>
      </c>
      <c r="D141" s="301" t="str">
        <f>IF(C141="","",VLOOKUP($B141,'F-1 Off-Site WaterC'' Baseline'!$C$9:$R$257,3,FALSE))</f>
        <v/>
      </c>
      <c r="E141" s="301" t="str">
        <f>IF(D141="","",VLOOKUP($B141,'F-1 Off-Site WaterC'' Baseline'!$C$9:$R$257,4,FALSE))</f>
        <v/>
      </c>
      <c r="F141" s="301" t="str">
        <f>IF(E141="","",VLOOKUP($B141,'F-1 Off-Site WaterC'' Baseline'!$C$9:$R$257,5,FALSE))</f>
        <v/>
      </c>
      <c r="G141" s="301" t="str">
        <f>IF(F141="","",VLOOKUP($B141,'F-1 Off-Site WaterC'' Baseline'!$C$9:$R$257,6,FALSE))</f>
        <v/>
      </c>
      <c r="H141" s="301" t="str">
        <f>IF(G141="","",VLOOKUP($B141,'F-1 Off-Site WaterC'' Baseline'!$C$9:$R$257,7,FALSE))</f>
        <v/>
      </c>
      <c r="I141" s="301" t="str">
        <f>IF(H141="","",VLOOKUP($B141,'F-1 Off-Site WaterC'' Baseline'!$C$9:$R$257,8,FALSE))</f>
        <v/>
      </c>
      <c r="J141" s="301" t="str">
        <f>IF(I141="","",VLOOKUP($B141,'F-1 Off-Site WaterC'' Baseline'!$C$9:$R$257,9,FALSE))</f>
        <v/>
      </c>
      <c r="K141" s="301" t="str">
        <f>IF(J141="","",VLOOKUP($B141,'F-1 Off-Site WaterC'' Baseline'!$C$9:$R$257,10,FALSE))</f>
        <v/>
      </c>
      <c r="L141" s="289" t="str">
        <f>IF(B141="","",VLOOKUP($B141,'F-1 Off-Site WaterC'' Baseline'!$C$9:$R$257,15,FALSE))</f>
        <v/>
      </c>
      <c r="M141" s="305" t="str">
        <f>IF(L141="","",VLOOKUP($B141,'F-1 Off-Site WaterC'' Baseline'!$C$9:$V$257,19,FALSE))</f>
        <v/>
      </c>
      <c r="N141" s="250"/>
      <c r="O141" s="281" t="str">
        <f t="shared" ref="O141:O204" si="25">IF(B141="","",IF(S141&lt;F141,"Error Trading Down ▲",E141&amp;" - "&amp;R141))</f>
        <v/>
      </c>
      <c r="P141" s="282" t="str">
        <f t="shared" ref="P141:P204" si="26">IF(C141="","",IF(AND(N141&lt;&gt;C141,AZ141="Yes"),"Error you cannot replace an irreplaceable habitat ▲",IF(AND(LEFT(C141,55)&lt;&gt;LEFT(N141,55),O141="High - High"),"Error - Not like for like ▲",IF(H141&gt;U141,"Error - Can not reduce condition ▲",IF(AND(C141&lt;&gt;N141,F141&lt;S141),"Lower Distinctiveness Habitat"&amp;" - "&amp;T141,G141&amp;" - "&amp;T141)))))</f>
        <v/>
      </c>
      <c r="Q141" s="287" t="str">
        <f>IF(N141="","",VLOOKUP(B141,'F-1 Off-Site WaterC'' Baseline'!$C$10:$AF$257,23,FALSE))</f>
        <v/>
      </c>
      <c r="R141" s="281" t="str">
        <f>IF(N141="","",VLOOKUP(N141,'G-7 WaterC'' Data'!$B$2:$G$8,2,FALSE))</f>
        <v/>
      </c>
      <c r="S141" s="282" t="str">
        <f>IFERROR(VLOOKUP(R141,'G-7 WaterC'' Data'!$C$4:$D$8,2,FALSE),"")</f>
        <v/>
      </c>
      <c r="T141" s="105"/>
      <c r="U141" s="282" t="str">
        <f>IFERROR(INDEX('G-7 WaterC'' Data'!$H$4:$L$8,MATCH(N141,'G-7 WaterC'' Data'!$B$4:$B$8,0),MATCH(T141,'G-7 WaterC'' Data'!$H$3:$L$3,0)),"")</f>
        <v/>
      </c>
      <c r="V141" s="109"/>
      <c r="W141" s="301" t="str">
        <f>IF(V141="","",IF(VLOOKUP(V141,'G-7 WaterC'' Data'!$AK$4:$AM$6,2,FALSE)=0,"Spatial Data Missing ⚠",VLOOKUP(V141,'G-7 WaterC'' Data'!$AK$4:$AM$6,2,FALSE)))</f>
        <v/>
      </c>
      <c r="X141" s="305" t="str">
        <f>IF(V141="","",IF(VLOOKUP(V141,'G-7 WaterC'' Data'!$AK$4:$AM$6,3,FALSE)=0,"Spatial Data Missing ⚠",VLOOKUP(V141,'G-7 WaterC'' Data'!$AK$4:$AM$6,3,FALSE)))</f>
        <v/>
      </c>
      <c r="Y141" s="317" t="str">
        <f>IFERROR(IF(OR(LEFT(P141,5)="Error",LEFT(O141,5)="Error"),"Check Data ⚠",IF(F141&lt;S141,'G-7 WaterC'' Data'!$R$3,INDEX('G-7 WaterC'' Data'!$U$5:$Y$9,MATCH(G141,'G-7 WaterC'' Data'!$T$5:$T$9,0),MATCH(T141,'G-7 WaterC'' Data'!$U$4:$Y$4,0)))),"")</f>
        <v/>
      </c>
      <c r="Z141" s="142"/>
      <c r="AA141" s="142"/>
      <c r="AB141" s="314" t="str">
        <f t="shared" si="22"/>
        <v/>
      </c>
      <c r="AC141" s="302" t="str">
        <f t="shared" ref="AC141:AC204" si="27">IF(AB141="Error -both advance and delayed habitat creation ▲","Check Data ⚠",IF(AB141="Check Data ⚠","Check Data ⚠",IF(Y141="","",IF(Z141="30+",0,IF(AA141="30+","30+",IF(Y141+AA141&gt;30,"30+",IF(Y141+AA141-Z141&gt;0,Y141+AA141-Z141,IF(Y141-Z141&lt;0,0,Y141+AA141-Z141))))))))</f>
        <v/>
      </c>
      <c r="AD141" s="340" t="str">
        <f>IFERROR(IF(AC141="Check Data ⚠","Check Data ⚠",VLOOKUP(AC141,'G-4 Temporal multipliers'!$A$4:$C$37,3,FALSE)),"")</f>
        <v/>
      </c>
      <c r="AE141" s="317" t="str">
        <f>IF(N141="","",VLOOKUP(N141,'G-7 WaterC'' Data'!$B$4:$G$8,5,FALSE))</f>
        <v/>
      </c>
      <c r="AF141" s="301" t="str">
        <f t="shared" si="23"/>
        <v/>
      </c>
      <c r="AG141" s="301" t="str">
        <f t="shared" ref="AG141:AG204" si="28">(IF(AND(AF141="Standard difficulty applied",Y141&gt;Z141),AE141,IF(AND(AF141="Low Difficulty - only applicable if all habitat created before losses ⚠",Z141&gt;=Y141),"Low",AE141)))</f>
        <v/>
      </c>
      <c r="AH141" s="282" t="str">
        <f t="shared" si="24"/>
        <v/>
      </c>
      <c r="AI141" s="109"/>
      <c r="AJ141" s="282" t="str">
        <f>IF(AI141="","",(IF(AND(AI141="N/A - Culvert",N141&lt;&gt;"Culvert"),"Not possible ▲",IF(VLOOKUP(AI141,'G-7 WaterC'' Data'!$AA$4:$AB$7,2,FALSE)=0,"Spatial Data Missing ⚠",VLOOKUP(AI141,'G-7 WaterC'' Data'!$AA$4:$AB$7,2,FALSE)))))</f>
        <v/>
      </c>
      <c r="AK141" s="110"/>
      <c r="AL141" s="316" t="str">
        <f>IF(AK141="","",IF(AND(AK141="N/A - Culvert",N141&lt;&gt;"Culvert"),"Not possible ▲",IF(VLOOKUP(AK141,'G-7 WaterC'' Data'!$AD$4:$AE$14,2,FALSE)=0,"Spatial Data Missing ⚠",VLOOKUP(AK141,'G-7 WaterC'' Data'!$AD$4:$AE$14,2,FALSE))))</f>
        <v/>
      </c>
      <c r="AM141" s="281" t="str">
        <f>IF(B141="","",VLOOKUP($B141,'F-1 Off-Site WaterC'' Baseline'!$C$9:$Z$257,17,FALSE))</f>
        <v/>
      </c>
      <c r="AN141" s="282" t="str">
        <f>IF(AM141="","",IF(VLOOKUP(AM141,'G-7 WaterC'' Data'!$AO$4:$BO$7,2,FALSE)=0,"Spatial Data Missing ⚠",VLOOKUP(AM141,'G-7 WaterC'' Data'!$AO$4:$BO$7,2,FALSE)))</f>
        <v/>
      </c>
      <c r="AO141" s="323" t="str">
        <f t="shared" ref="AO141:AO204" si="29">IFERROR(IF(C141="","",IF(Q141&gt;D141,((((Q141*S141*U141)-(D141*F141*H141))*(AH141*AD141))+(D141*F141*H141))*(AL141*X141*AJ141*AN141),((((Q141*S141*U141)-(Q141*F141*H141))*(AH141*AD141))+(Q141*F141*H141))*(AL141*X141*AJ141*AN141))),"")</f>
        <v/>
      </c>
      <c r="AP141" s="323" t="str">
        <f t="shared" ref="AP141:AP204" si="30">IFERROR(IF(C141="","",IF(AM141="","", IF(AND(N141&lt;&gt;"",M141=""),"Check data ⚠",  (IF(AND(AM141&lt;&gt;"",AT141=""), "Off-site reference required ▲",IF(Q141&gt;D141,((((Q141*S141*U141)-(D141*F141*H141))*(AH141*AD141))+(D141*F141*H141))*(AL141*X141*AJ141),((((Q141*S141*U141)-(Q141*F141*H141))*(AH141*AD141))+(Q141*F141*H141))*(AL141*X141*AJ141))))))),"")</f>
        <v/>
      </c>
      <c r="AQ141" s="105"/>
      <c r="AR141" s="119"/>
      <c r="AS141" s="108"/>
      <c r="AT141" s="108"/>
      <c r="AW141" s="30" t="str">
        <f>IF(E141="","",VLOOKUP($B141,'F-1 Off-Site WaterC'' Baseline'!$C$9:$Z$257,12,FALSE))</f>
        <v/>
      </c>
      <c r="AX141" s="30" t="str">
        <f>IF(E141="","",VLOOKUP($B141,'F-1 Off-Site WaterC'' Baseline'!$C$9:$Z$257,14,FALSE))</f>
        <v/>
      </c>
      <c r="AY141" s="30" t="str">
        <f>IFERROR(INDEX('G-7 WaterC'' Data'!$AZ$3:$AZ$7,MATCH(N141,'G-7 WaterC'' Data'!$AY$3:$AY$7,0)),"")</f>
        <v/>
      </c>
      <c r="AZ141" s="30" t="str">
        <f>IF(B141="","",IF(ISNA(VLOOKUP($B141,'F-1 Off-Site WaterC'' Baseline'!$C$8:$AD$257,20,FALSE)),"",(VLOOKUP($B141,'F-1 Off-Site WaterC'' Baseline'!$C$8:$AD$257,20,FALSE))))</f>
        <v/>
      </c>
      <c r="BC141" s="30" t="str">
        <f>IF(B141="","",VLOOKUP($B141,'F-1 Off-Site WaterC'' Baseline'!$C$9:$AB$257,25,FALSE))</f>
        <v/>
      </c>
      <c r="BD141" s="30" t="str">
        <f t="shared" ref="BD141:BD204" si="31">IF(B141="","", IF(BC141&gt;M141, M141, IF((BF141+Q141)&gt;D141, M141 - BE141, BC141)))</f>
        <v/>
      </c>
      <c r="BE141" s="30" t="str">
        <f>IF(B141="","",VLOOKUP($B141,'F-1 Off-Site WaterC'' Baseline'!$C$9:$AB$257,24,FALSE))</f>
        <v/>
      </c>
      <c r="BF141" s="30" t="str">
        <f>IF(B141="","",VLOOKUP($B141,'F-1 Off-Site WaterC'' Baseline'!$C$9:$AB$257,22,FALSE))</f>
        <v/>
      </c>
      <c r="BJ141" s="30" t="str">
        <f t="shared" ref="BJ141:BJ204" si="32">IF(AND(N141="Ditches",(OR(T141="Fairly Poor",T141="Fairly Good"))), "Yes", "No")</f>
        <v>No</v>
      </c>
    </row>
    <row r="142" spans="2:62" ht="13.8" x14ac:dyDescent="0.25">
      <c r="B142" s="311" t="str">
        <f>'F-1 Off-Site WaterC'' Baseline'!AS140</f>
        <v/>
      </c>
      <c r="C142" s="301" t="str">
        <f>IF(B142="","",VLOOKUP($B142,'F-1 Off-Site WaterC'' Baseline'!$C$9:$R$257,2,FALSE))</f>
        <v/>
      </c>
      <c r="D142" s="301" t="str">
        <f>IF(C142="","",VLOOKUP($B142,'F-1 Off-Site WaterC'' Baseline'!$C$9:$R$257,3,FALSE))</f>
        <v/>
      </c>
      <c r="E142" s="301" t="str">
        <f>IF(D142="","",VLOOKUP($B142,'F-1 Off-Site WaterC'' Baseline'!$C$9:$R$257,4,FALSE))</f>
        <v/>
      </c>
      <c r="F142" s="301" t="str">
        <f>IF(E142="","",VLOOKUP($B142,'F-1 Off-Site WaterC'' Baseline'!$C$9:$R$257,5,FALSE))</f>
        <v/>
      </c>
      <c r="G142" s="301" t="str">
        <f>IF(F142="","",VLOOKUP($B142,'F-1 Off-Site WaterC'' Baseline'!$C$9:$R$257,6,FALSE))</f>
        <v/>
      </c>
      <c r="H142" s="301" t="str">
        <f>IF(G142="","",VLOOKUP($B142,'F-1 Off-Site WaterC'' Baseline'!$C$9:$R$257,7,FALSE))</f>
        <v/>
      </c>
      <c r="I142" s="301" t="str">
        <f>IF(H142="","",VLOOKUP($B142,'F-1 Off-Site WaterC'' Baseline'!$C$9:$R$257,8,FALSE))</f>
        <v/>
      </c>
      <c r="J142" s="301" t="str">
        <f>IF(I142="","",VLOOKUP($B142,'F-1 Off-Site WaterC'' Baseline'!$C$9:$R$257,9,FALSE))</f>
        <v/>
      </c>
      <c r="K142" s="301" t="str">
        <f>IF(J142="","",VLOOKUP($B142,'F-1 Off-Site WaterC'' Baseline'!$C$9:$R$257,10,FALSE))</f>
        <v/>
      </c>
      <c r="L142" s="289" t="str">
        <f>IF(B142="","",VLOOKUP($B142,'F-1 Off-Site WaterC'' Baseline'!$C$9:$R$257,15,FALSE))</f>
        <v/>
      </c>
      <c r="M142" s="305" t="str">
        <f>IF(L142="","",VLOOKUP($B142,'F-1 Off-Site WaterC'' Baseline'!$C$9:$V$257,19,FALSE))</f>
        <v/>
      </c>
      <c r="N142" s="250"/>
      <c r="O142" s="281" t="str">
        <f t="shared" si="25"/>
        <v/>
      </c>
      <c r="P142" s="282" t="str">
        <f t="shared" si="26"/>
        <v/>
      </c>
      <c r="Q142" s="287" t="str">
        <f>IF(N142="","",VLOOKUP(B142,'F-1 Off-Site WaterC'' Baseline'!$C$10:$AF$257,23,FALSE))</f>
        <v/>
      </c>
      <c r="R142" s="281" t="str">
        <f>IF(N142="","",VLOOKUP(N142,'G-7 WaterC'' Data'!$B$2:$G$8,2,FALSE))</f>
        <v/>
      </c>
      <c r="S142" s="282" t="str">
        <f>IFERROR(VLOOKUP(R142,'G-7 WaterC'' Data'!$C$4:$D$8,2,FALSE),"")</f>
        <v/>
      </c>
      <c r="T142" s="105"/>
      <c r="U142" s="282" t="str">
        <f>IFERROR(INDEX('G-7 WaterC'' Data'!$H$4:$L$8,MATCH(N142,'G-7 WaterC'' Data'!$B$4:$B$8,0),MATCH(T142,'G-7 WaterC'' Data'!$H$3:$L$3,0)),"")</f>
        <v/>
      </c>
      <c r="V142" s="109"/>
      <c r="W142" s="301" t="str">
        <f>IF(V142="","",IF(VLOOKUP(V142,'G-7 WaterC'' Data'!$AK$4:$AM$6,2,FALSE)=0,"Spatial Data Missing ⚠",VLOOKUP(V142,'G-7 WaterC'' Data'!$AK$4:$AM$6,2,FALSE)))</f>
        <v/>
      </c>
      <c r="X142" s="305" t="str">
        <f>IF(V142="","",IF(VLOOKUP(V142,'G-7 WaterC'' Data'!$AK$4:$AM$6,3,FALSE)=0,"Spatial Data Missing ⚠",VLOOKUP(V142,'G-7 WaterC'' Data'!$AK$4:$AM$6,3,FALSE)))</f>
        <v/>
      </c>
      <c r="Y142" s="317" t="str">
        <f>IFERROR(IF(OR(LEFT(P142,5)="Error",LEFT(O142,5)="Error"),"Check Data ⚠",IF(F142&lt;S142,'G-7 WaterC'' Data'!$R$3,INDEX('G-7 WaterC'' Data'!$U$5:$Y$9,MATCH(G142,'G-7 WaterC'' Data'!$T$5:$T$9,0),MATCH(T142,'G-7 WaterC'' Data'!$U$4:$Y$4,0)))),"")</f>
        <v/>
      </c>
      <c r="Z142" s="142"/>
      <c r="AA142" s="142"/>
      <c r="AB142" s="314" t="str">
        <f t="shared" si="22"/>
        <v/>
      </c>
      <c r="AC142" s="302" t="str">
        <f t="shared" si="27"/>
        <v/>
      </c>
      <c r="AD142" s="340" t="str">
        <f>IFERROR(IF(AC142="Check Data ⚠","Check Data ⚠",VLOOKUP(AC142,'G-4 Temporal multipliers'!$A$4:$C$37,3,FALSE)),"")</f>
        <v/>
      </c>
      <c r="AE142" s="317" t="str">
        <f>IF(N142="","",VLOOKUP(N142,'G-7 WaterC'' Data'!$B$4:$G$8,5,FALSE))</f>
        <v/>
      </c>
      <c r="AF142" s="301" t="str">
        <f t="shared" si="23"/>
        <v/>
      </c>
      <c r="AG142" s="301" t="str">
        <f t="shared" si="28"/>
        <v/>
      </c>
      <c r="AH142" s="282" t="str">
        <f t="shared" si="24"/>
        <v/>
      </c>
      <c r="AI142" s="109"/>
      <c r="AJ142" s="282" t="str">
        <f>IF(AI142="","",(IF(AND(AI142="N/A - Culvert",N142&lt;&gt;"Culvert"),"Not possible ▲",IF(VLOOKUP(AI142,'G-7 WaterC'' Data'!$AA$4:$AB$7,2,FALSE)=0,"Spatial Data Missing ⚠",VLOOKUP(AI142,'G-7 WaterC'' Data'!$AA$4:$AB$7,2,FALSE)))))</f>
        <v/>
      </c>
      <c r="AK142" s="110"/>
      <c r="AL142" s="316" t="str">
        <f>IF(AK142="","",IF(AND(AK142="N/A - Culvert",N142&lt;&gt;"Culvert"),"Not possible ▲",IF(VLOOKUP(AK142,'G-7 WaterC'' Data'!$AD$4:$AE$14,2,FALSE)=0,"Spatial Data Missing ⚠",VLOOKUP(AK142,'G-7 WaterC'' Data'!$AD$4:$AE$14,2,FALSE))))</f>
        <v/>
      </c>
      <c r="AM142" s="281" t="str">
        <f>IF(B142="","",VLOOKUP($B142,'F-1 Off-Site WaterC'' Baseline'!$C$9:$Z$257,17,FALSE))</f>
        <v/>
      </c>
      <c r="AN142" s="282" t="str">
        <f>IF(AM142="","",IF(VLOOKUP(AM142,'G-7 WaterC'' Data'!$AO$4:$BO$7,2,FALSE)=0,"Spatial Data Missing ⚠",VLOOKUP(AM142,'G-7 WaterC'' Data'!$AO$4:$BO$7,2,FALSE)))</f>
        <v/>
      </c>
      <c r="AO142" s="323" t="str">
        <f t="shared" si="29"/>
        <v/>
      </c>
      <c r="AP142" s="323" t="str">
        <f t="shared" si="30"/>
        <v/>
      </c>
      <c r="AQ142" s="105"/>
      <c r="AR142" s="119"/>
      <c r="AS142" s="108"/>
      <c r="AT142" s="108"/>
      <c r="AW142" s="30" t="str">
        <f>IF(E142="","",VLOOKUP($B142,'F-1 Off-Site WaterC'' Baseline'!$C$9:$Z$257,12,FALSE))</f>
        <v/>
      </c>
      <c r="AX142" s="30" t="str">
        <f>IF(E142="","",VLOOKUP($B142,'F-1 Off-Site WaterC'' Baseline'!$C$9:$Z$257,14,FALSE))</f>
        <v/>
      </c>
      <c r="AY142" s="30" t="str">
        <f>IFERROR(INDEX('G-7 WaterC'' Data'!$AZ$3:$AZ$7,MATCH(N142,'G-7 WaterC'' Data'!$AY$3:$AY$7,0)),"")</f>
        <v/>
      </c>
      <c r="AZ142" s="30" t="str">
        <f>IF(B142="","",IF(ISNA(VLOOKUP($B142,'F-1 Off-Site WaterC'' Baseline'!$C$8:$AD$257,20,FALSE)),"",(VLOOKUP($B142,'F-1 Off-Site WaterC'' Baseline'!$C$8:$AD$257,20,FALSE))))</f>
        <v/>
      </c>
      <c r="BC142" s="30" t="str">
        <f>IF(B142="","",VLOOKUP($B142,'F-1 Off-Site WaterC'' Baseline'!$C$9:$AB$257,25,FALSE))</f>
        <v/>
      </c>
      <c r="BD142" s="30" t="str">
        <f t="shared" si="31"/>
        <v/>
      </c>
      <c r="BE142" s="30" t="str">
        <f>IF(B142="","",VLOOKUP($B142,'F-1 Off-Site WaterC'' Baseline'!$C$9:$AB$257,24,FALSE))</f>
        <v/>
      </c>
      <c r="BF142" s="30" t="str">
        <f>IF(B142="","",VLOOKUP($B142,'F-1 Off-Site WaterC'' Baseline'!$C$9:$AB$257,22,FALSE))</f>
        <v/>
      </c>
      <c r="BJ142" s="30" t="str">
        <f t="shared" si="32"/>
        <v>No</v>
      </c>
    </row>
    <row r="143" spans="2:62" ht="13.8" x14ac:dyDescent="0.25">
      <c r="B143" s="311" t="str">
        <f>'F-1 Off-Site WaterC'' Baseline'!AS141</f>
        <v/>
      </c>
      <c r="C143" s="301" t="str">
        <f>IF(B143="","",VLOOKUP($B143,'F-1 Off-Site WaterC'' Baseline'!$C$9:$R$257,2,FALSE))</f>
        <v/>
      </c>
      <c r="D143" s="301" t="str">
        <f>IF(C143="","",VLOOKUP($B143,'F-1 Off-Site WaterC'' Baseline'!$C$9:$R$257,3,FALSE))</f>
        <v/>
      </c>
      <c r="E143" s="301" t="str">
        <f>IF(D143="","",VLOOKUP($B143,'F-1 Off-Site WaterC'' Baseline'!$C$9:$R$257,4,FALSE))</f>
        <v/>
      </c>
      <c r="F143" s="301" t="str">
        <f>IF(E143="","",VLOOKUP($B143,'F-1 Off-Site WaterC'' Baseline'!$C$9:$R$257,5,FALSE))</f>
        <v/>
      </c>
      <c r="G143" s="301" t="str">
        <f>IF(F143="","",VLOOKUP($B143,'F-1 Off-Site WaterC'' Baseline'!$C$9:$R$257,6,FALSE))</f>
        <v/>
      </c>
      <c r="H143" s="301" t="str">
        <f>IF(G143="","",VLOOKUP($B143,'F-1 Off-Site WaterC'' Baseline'!$C$9:$R$257,7,FALSE))</f>
        <v/>
      </c>
      <c r="I143" s="301" t="str">
        <f>IF(H143="","",VLOOKUP($B143,'F-1 Off-Site WaterC'' Baseline'!$C$9:$R$257,8,FALSE))</f>
        <v/>
      </c>
      <c r="J143" s="301" t="str">
        <f>IF(I143="","",VLOOKUP($B143,'F-1 Off-Site WaterC'' Baseline'!$C$9:$R$257,9,FALSE))</f>
        <v/>
      </c>
      <c r="K143" s="301" t="str">
        <f>IF(J143="","",VLOOKUP($B143,'F-1 Off-Site WaterC'' Baseline'!$C$9:$R$257,10,FALSE))</f>
        <v/>
      </c>
      <c r="L143" s="289" t="str">
        <f>IF(B143="","",VLOOKUP($B143,'F-1 Off-Site WaterC'' Baseline'!$C$9:$R$257,15,FALSE))</f>
        <v/>
      </c>
      <c r="M143" s="305" t="str">
        <f>IF(L143="","",VLOOKUP($B143,'F-1 Off-Site WaterC'' Baseline'!$C$9:$V$257,19,FALSE))</f>
        <v/>
      </c>
      <c r="N143" s="250"/>
      <c r="O143" s="281" t="str">
        <f t="shared" si="25"/>
        <v/>
      </c>
      <c r="P143" s="282" t="str">
        <f t="shared" si="26"/>
        <v/>
      </c>
      <c r="Q143" s="287" t="str">
        <f>IF(N143="","",VLOOKUP(B143,'F-1 Off-Site WaterC'' Baseline'!$C$10:$AF$257,23,FALSE))</f>
        <v/>
      </c>
      <c r="R143" s="281" t="str">
        <f>IF(N143="","",VLOOKUP(N143,'G-7 WaterC'' Data'!$B$2:$G$8,2,FALSE))</f>
        <v/>
      </c>
      <c r="S143" s="282" t="str">
        <f>IFERROR(VLOOKUP(R143,'G-7 WaterC'' Data'!$C$4:$D$8,2,FALSE),"")</f>
        <v/>
      </c>
      <c r="T143" s="105"/>
      <c r="U143" s="282" t="str">
        <f>IFERROR(INDEX('G-7 WaterC'' Data'!$H$4:$L$8,MATCH(N143,'G-7 WaterC'' Data'!$B$4:$B$8,0),MATCH(T143,'G-7 WaterC'' Data'!$H$3:$L$3,0)),"")</f>
        <v/>
      </c>
      <c r="V143" s="109"/>
      <c r="W143" s="301" t="str">
        <f>IF(V143="","",IF(VLOOKUP(V143,'G-7 WaterC'' Data'!$AK$4:$AM$6,2,FALSE)=0,"Spatial Data Missing ⚠",VLOOKUP(V143,'G-7 WaterC'' Data'!$AK$4:$AM$6,2,FALSE)))</f>
        <v/>
      </c>
      <c r="X143" s="305" t="str">
        <f>IF(V143="","",IF(VLOOKUP(V143,'G-7 WaterC'' Data'!$AK$4:$AM$6,3,FALSE)=0,"Spatial Data Missing ⚠",VLOOKUP(V143,'G-7 WaterC'' Data'!$AK$4:$AM$6,3,FALSE)))</f>
        <v/>
      </c>
      <c r="Y143" s="317" t="str">
        <f>IFERROR(IF(OR(LEFT(P143,5)="Error",LEFT(O143,5)="Error"),"Check Data ⚠",IF(F143&lt;S143,'G-7 WaterC'' Data'!$R$3,INDEX('G-7 WaterC'' Data'!$U$5:$Y$9,MATCH(G143,'G-7 WaterC'' Data'!$T$5:$T$9,0),MATCH(T143,'G-7 WaterC'' Data'!$U$4:$Y$4,0)))),"")</f>
        <v/>
      </c>
      <c r="Z143" s="142"/>
      <c r="AA143" s="142"/>
      <c r="AB143" s="314" t="str">
        <f t="shared" si="22"/>
        <v/>
      </c>
      <c r="AC143" s="302" t="str">
        <f t="shared" si="27"/>
        <v/>
      </c>
      <c r="AD143" s="340" t="str">
        <f>IFERROR(IF(AC143="Check Data ⚠","Check Data ⚠",VLOOKUP(AC143,'G-4 Temporal multipliers'!$A$4:$C$37,3,FALSE)),"")</f>
        <v/>
      </c>
      <c r="AE143" s="317" t="str">
        <f>IF(N143="","",VLOOKUP(N143,'G-7 WaterC'' Data'!$B$4:$G$8,5,FALSE))</f>
        <v/>
      </c>
      <c r="AF143" s="301" t="str">
        <f t="shared" si="23"/>
        <v/>
      </c>
      <c r="AG143" s="301" t="str">
        <f t="shared" si="28"/>
        <v/>
      </c>
      <c r="AH143" s="282" t="str">
        <f t="shared" si="24"/>
        <v/>
      </c>
      <c r="AI143" s="109"/>
      <c r="AJ143" s="282" t="str">
        <f>IF(AI143="","",(IF(AND(AI143="N/A - Culvert",N143&lt;&gt;"Culvert"),"Not possible ▲",IF(VLOOKUP(AI143,'G-7 WaterC'' Data'!$AA$4:$AB$7,2,FALSE)=0,"Spatial Data Missing ⚠",VLOOKUP(AI143,'G-7 WaterC'' Data'!$AA$4:$AB$7,2,FALSE)))))</f>
        <v/>
      </c>
      <c r="AK143" s="110"/>
      <c r="AL143" s="316" t="str">
        <f>IF(AK143="","",IF(AND(AK143="N/A - Culvert",N143&lt;&gt;"Culvert"),"Not possible ▲",IF(VLOOKUP(AK143,'G-7 WaterC'' Data'!$AD$4:$AE$14,2,FALSE)=0,"Spatial Data Missing ⚠",VLOOKUP(AK143,'G-7 WaterC'' Data'!$AD$4:$AE$14,2,FALSE))))</f>
        <v/>
      </c>
      <c r="AM143" s="281" t="str">
        <f>IF(B143="","",VLOOKUP($B143,'F-1 Off-Site WaterC'' Baseline'!$C$9:$Z$257,17,FALSE))</f>
        <v/>
      </c>
      <c r="AN143" s="282" t="str">
        <f>IF(AM143="","",IF(VLOOKUP(AM143,'G-7 WaterC'' Data'!$AO$4:$BO$7,2,FALSE)=0,"Spatial Data Missing ⚠",VLOOKUP(AM143,'G-7 WaterC'' Data'!$AO$4:$BO$7,2,FALSE)))</f>
        <v/>
      </c>
      <c r="AO143" s="323" t="str">
        <f t="shared" si="29"/>
        <v/>
      </c>
      <c r="AP143" s="323" t="str">
        <f t="shared" si="30"/>
        <v/>
      </c>
      <c r="AQ143" s="105"/>
      <c r="AR143" s="119"/>
      <c r="AS143" s="108"/>
      <c r="AT143" s="108"/>
      <c r="AW143" s="30" t="str">
        <f>IF(E143="","",VLOOKUP($B143,'F-1 Off-Site WaterC'' Baseline'!$C$9:$Z$257,12,FALSE))</f>
        <v/>
      </c>
      <c r="AX143" s="30" t="str">
        <f>IF(E143="","",VLOOKUP($B143,'F-1 Off-Site WaterC'' Baseline'!$C$9:$Z$257,14,FALSE))</f>
        <v/>
      </c>
      <c r="AY143" s="30" t="str">
        <f>IFERROR(INDEX('G-7 WaterC'' Data'!$AZ$3:$AZ$7,MATCH(N143,'G-7 WaterC'' Data'!$AY$3:$AY$7,0)),"")</f>
        <v/>
      </c>
      <c r="AZ143" s="30" t="str">
        <f>IF(B143="","",IF(ISNA(VLOOKUP($B143,'F-1 Off-Site WaterC'' Baseline'!$C$8:$AD$257,20,FALSE)),"",(VLOOKUP($B143,'F-1 Off-Site WaterC'' Baseline'!$C$8:$AD$257,20,FALSE))))</f>
        <v/>
      </c>
      <c r="BC143" s="30" t="str">
        <f>IF(B143="","",VLOOKUP($B143,'F-1 Off-Site WaterC'' Baseline'!$C$9:$AB$257,25,FALSE))</f>
        <v/>
      </c>
      <c r="BD143" s="30" t="str">
        <f t="shared" si="31"/>
        <v/>
      </c>
      <c r="BE143" s="30" t="str">
        <f>IF(B143="","",VLOOKUP($B143,'F-1 Off-Site WaterC'' Baseline'!$C$9:$AB$257,24,FALSE))</f>
        <v/>
      </c>
      <c r="BF143" s="30" t="str">
        <f>IF(B143="","",VLOOKUP($B143,'F-1 Off-Site WaterC'' Baseline'!$C$9:$AB$257,22,FALSE))</f>
        <v/>
      </c>
      <c r="BJ143" s="30" t="str">
        <f t="shared" si="32"/>
        <v>No</v>
      </c>
    </row>
    <row r="144" spans="2:62" ht="13.8" x14ac:dyDescent="0.25">
      <c r="B144" s="311" t="str">
        <f>'F-1 Off-Site WaterC'' Baseline'!AS142</f>
        <v/>
      </c>
      <c r="C144" s="301" t="str">
        <f>IF(B144="","",VLOOKUP($B144,'F-1 Off-Site WaterC'' Baseline'!$C$9:$R$257,2,FALSE))</f>
        <v/>
      </c>
      <c r="D144" s="301" t="str">
        <f>IF(C144="","",VLOOKUP($B144,'F-1 Off-Site WaterC'' Baseline'!$C$9:$R$257,3,FALSE))</f>
        <v/>
      </c>
      <c r="E144" s="301" t="str">
        <f>IF(D144="","",VLOOKUP($B144,'F-1 Off-Site WaterC'' Baseline'!$C$9:$R$257,4,FALSE))</f>
        <v/>
      </c>
      <c r="F144" s="301" t="str">
        <f>IF(E144="","",VLOOKUP($B144,'F-1 Off-Site WaterC'' Baseline'!$C$9:$R$257,5,FALSE))</f>
        <v/>
      </c>
      <c r="G144" s="301" t="str">
        <f>IF(F144="","",VLOOKUP($B144,'F-1 Off-Site WaterC'' Baseline'!$C$9:$R$257,6,FALSE))</f>
        <v/>
      </c>
      <c r="H144" s="301" t="str">
        <f>IF(G144="","",VLOOKUP($B144,'F-1 Off-Site WaterC'' Baseline'!$C$9:$R$257,7,FALSE))</f>
        <v/>
      </c>
      <c r="I144" s="301" t="str">
        <f>IF(H144="","",VLOOKUP($B144,'F-1 Off-Site WaterC'' Baseline'!$C$9:$R$257,8,FALSE))</f>
        <v/>
      </c>
      <c r="J144" s="301" t="str">
        <f>IF(I144="","",VLOOKUP($B144,'F-1 Off-Site WaterC'' Baseline'!$C$9:$R$257,9,FALSE))</f>
        <v/>
      </c>
      <c r="K144" s="301" t="str">
        <f>IF(J144="","",VLOOKUP($B144,'F-1 Off-Site WaterC'' Baseline'!$C$9:$R$257,10,FALSE))</f>
        <v/>
      </c>
      <c r="L144" s="289" t="str">
        <f>IF(B144="","",VLOOKUP($B144,'F-1 Off-Site WaterC'' Baseline'!$C$9:$R$257,15,FALSE))</f>
        <v/>
      </c>
      <c r="M144" s="305" t="str">
        <f>IF(L144="","",VLOOKUP($B144,'F-1 Off-Site WaterC'' Baseline'!$C$9:$V$257,19,FALSE))</f>
        <v/>
      </c>
      <c r="N144" s="250"/>
      <c r="O144" s="281" t="str">
        <f t="shared" si="25"/>
        <v/>
      </c>
      <c r="P144" s="282" t="str">
        <f t="shared" si="26"/>
        <v/>
      </c>
      <c r="Q144" s="287" t="str">
        <f>IF(N144="","",VLOOKUP(B144,'F-1 Off-Site WaterC'' Baseline'!$C$10:$AF$257,23,FALSE))</f>
        <v/>
      </c>
      <c r="R144" s="281" t="str">
        <f>IF(N144="","",VLOOKUP(N144,'G-7 WaterC'' Data'!$B$2:$G$8,2,FALSE))</f>
        <v/>
      </c>
      <c r="S144" s="282" t="str">
        <f>IFERROR(VLOOKUP(R144,'G-7 WaterC'' Data'!$C$4:$D$8,2,FALSE),"")</f>
        <v/>
      </c>
      <c r="T144" s="105"/>
      <c r="U144" s="282" t="str">
        <f>IFERROR(INDEX('G-7 WaterC'' Data'!$H$4:$L$8,MATCH(N144,'G-7 WaterC'' Data'!$B$4:$B$8,0),MATCH(T144,'G-7 WaterC'' Data'!$H$3:$L$3,0)),"")</f>
        <v/>
      </c>
      <c r="V144" s="109"/>
      <c r="W144" s="301" t="str">
        <f>IF(V144="","",IF(VLOOKUP(V144,'G-7 WaterC'' Data'!$AK$4:$AM$6,2,FALSE)=0,"Spatial Data Missing ⚠",VLOOKUP(V144,'G-7 WaterC'' Data'!$AK$4:$AM$6,2,FALSE)))</f>
        <v/>
      </c>
      <c r="X144" s="305" t="str">
        <f>IF(V144="","",IF(VLOOKUP(V144,'G-7 WaterC'' Data'!$AK$4:$AM$6,3,FALSE)=0,"Spatial Data Missing ⚠",VLOOKUP(V144,'G-7 WaterC'' Data'!$AK$4:$AM$6,3,FALSE)))</f>
        <v/>
      </c>
      <c r="Y144" s="317" t="str">
        <f>IFERROR(IF(OR(LEFT(P144,5)="Error",LEFT(O144,5)="Error"),"Check Data ⚠",IF(F144&lt;S144,'G-7 WaterC'' Data'!$R$3,INDEX('G-7 WaterC'' Data'!$U$5:$Y$9,MATCH(G144,'G-7 WaterC'' Data'!$T$5:$T$9,0),MATCH(T144,'G-7 WaterC'' Data'!$U$4:$Y$4,0)))),"")</f>
        <v/>
      </c>
      <c r="Z144" s="142"/>
      <c r="AA144" s="142"/>
      <c r="AB144" s="314" t="str">
        <f t="shared" si="22"/>
        <v/>
      </c>
      <c r="AC144" s="302" t="str">
        <f t="shared" si="27"/>
        <v/>
      </c>
      <c r="AD144" s="340" t="str">
        <f>IFERROR(IF(AC144="Check Data ⚠","Check Data ⚠",VLOOKUP(AC144,'G-4 Temporal multipliers'!$A$4:$C$37,3,FALSE)),"")</f>
        <v/>
      </c>
      <c r="AE144" s="317" t="str">
        <f>IF(N144="","",VLOOKUP(N144,'G-7 WaterC'' Data'!$B$4:$G$8,5,FALSE))</f>
        <v/>
      </c>
      <c r="AF144" s="301" t="str">
        <f t="shared" si="23"/>
        <v/>
      </c>
      <c r="AG144" s="301" t="str">
        <f t="shared" si="28"/>
        <v/>
      </c>
      <c r="AH144" s="282" t="str">
        <f t="shared" si="24"/>
        <v/>
      </c>
      <c r="AI144" s="109"/>
      <c r="AJ144" s="282" t="str">
        <f>IF(AI144="","",(IF(AND(AI144="N/A - Culvert",N144&lt;&gt;"Culvert"),"Not possible ▲",IF(VLOOKUP(AI144,'G-7 WaterC'' Data'!$AA$4:$AB$7,2,FALSE)=0,"Spatial Data Missing ⚠",VLOOKUP(AI144,'G-7 WaterC'' Data'!$AA$4:$AB$7,2,FALSE)))))</f>
        <v/>
      </c>
      <c r="AK144" s="110"/>
      <c r="AL144" s="316" t="str">
        <f>IF(AK144="","",IF(AND(AK144="N/A - Culvert",N144&lt;&gt;"Culvert"),"Not possible ▲",IF(VLOOKUP(AK144,'G-7 WaterC'' Data'!$AD$4:$AE$14,2,FALSE)=0,"Spatial Data Missing ⚠",VLOOKUP(AK144,'G-7 WaterC'' Data'!$AD$4:$AE$14,2,FALSE))))</f>
        <v/>
      </c>
      <c r="AM144" s="281" t="str">
        <f>IF(B144="","",VLOOKUP($B144,'F-1 Off-Site WaterC'' Baseline'!$C$9:$Z$257,17,FALSE))</f>
        <v/>
      </c>
      <c r="AN144" s="282" t="str">
        <f>IF(AM144="","",IF(VLOOKUP(AM144,'G-7 WaterC'' Data'!$AO$4:$BO$7,2,FALSE)=0,"Spatial Data Missing ⚠",VLOOKUP(AM144,'G-7 WaterC'' Data'!$AO$4:$BO$7,2,FALSE)))</f>
        <v/>
      </c>
      <c r="AO144" s="323" t="str">
        <f t="shared" si="29"/>
        <v/>
      </c>
      <c r="AP144" s="323" t="str">
        <f t="shared" si="30"/>
        <v/>
      </c>
      <c r="AQ144" s="105"/>
      <c r="AR144" s="119"/>
      <c r="AS144" s="108"/>
      <c r="AT144" s="108"/>
      <c r="AW144" s="30" t="str">
        <f>IF(E144="","",VLOOKUP($B144,'F-1 Off-Site WaterC'' Baseline'!$C$9:$Z$257,12,FALSE))</f>
        <v/>
      </c>
      <c r="AX144" s="30" t="str">
        <f>IF(E144="","",VLOOKUP($B144,'F-1 Off-Site WaterC'' Baseline'!$C$9:$Z$257,14,FALSE))</f>
        <v/>
      </c>
      <c r="AY144" s="30" t="str">
        <f>IFERROR(INDEX('G-7 WaterC'' Data'!$AZ$3:$AZ$7,MATCH(N144,'G-7 WaterC'' Data'!$AY$3:$AY$7,0)),"")</f>
        <v/>
      </c>
      <c r="AZ144" s="30" t="str">
        <f>IF(B144="","",IF(ISNA(VLOOKUP($B144,'F-1 Off-Site WaterC'' Baseline'!$C$8:$AD$257,20,FALSE)),"",(VLOOKUP($B144,'F-1 Off-Site WaterC'' Baseline'!$C$8:$AD$257,20,FALSE))))</f>
        <v/>
      </c>
      <c r="BC144" s="30" t="str">
        <f>IF(B144="","",VLOOKUP($B144,'F-1 Off-Site WaterC'' Baseline'!$C$9:$AB$257,25,FALSE))</f>
        <v/>
      </c>
      <c r="BD144" s="30" t="str">
        <f t="shared" si="31"/>
        <v/>
      </c>
      <c r="BE144" s="30" t="str">
        <f>IF(B144="","",VLOOKUP($B144,'F-1 Off-Site WaterC'' Baseline'!$C$9:$AB$257,24,FALSE))</f>
        <v/>
      </c>
      <c r="BF144" s="30" t="str">
        <f>IF(B144="","",VLOOKUP($B144,'F-1 Off-Site WaterC'' Baseline'!$C$9:$AB$257,22,FALSE))</f>
        <v/>
      </c>
      <c r="BJ144" s="30" t="str">
        <f t="shared" si="32"/>
        <v>No</v>
      </c>
    </row>
    <row r="145" spans="2:62" ht="13.8" x14ac:dyDescent="0.25">
      <c r="B145" s="311" t="str">
        <f>'F-1 Off-Site WaterC'' Baseline'!AS143</f>
        <v/>
      </c>
      <c r="C145" s="301" t="str">
        <f>IF(B145="","",VLOOKUP($B145,'F-1 Off-Site WaterC'' Baseline'!$C$9:$R$257,2,FALSE))</f>
        <v/>
      </c>
      <c r="D145" s="301" t="str">
        <f>IF(C145="","",VLOOKUP($B145,'F-1 Off-Site WaterC'' Baseline'!$C$9:$R$257,3,FALSE))</f>
        <v/>
      </c>
      <c r="E145" s="301" t="str">
        <f>IF(D145="","",VLOOKUP($B145,'F-1 Off-Site WaterC'' Baseline'!$C$9:$R$257,4,FALSE))</f>
        <v/>
      </c>
      <c r="F145" s="301" t="str">
        <f>IF(E145="","",VLOOKUP($B145,'F-1 Off-Site WaterC'' Baseline'!$C$9:$R$257,5,FALSE))</f>
        <v/>
      </c>
      <c r="G145" s="301" t="str">
        <f>IF(F145="","",VLOOKUP($B145,'F-1 Off-Site WaterC'' Baseline'!$C$9:$R$257,6,FALSE))</f>
        <v/>
      </c>
      <c r="H145" s="301" t="str">
        <f>IF(G145="","",VLOOKUP($B145,'F-1 Off-Site WaterC'' Baseline'!$C$9:$R$257,7,FALSE))</f>
        <v/>
      </c>
      <c r="I145" s="301" t="str">
        <f>IF(H145="","",VLOOKUP($B145,'F-1 Off-Site WaterC'' Baseline'!$C$9:$R$257,8,FALSE))</f>
        <v/>
      </c>
      <c r="J145" s="301" t="str">
        <f>IF(I145="","",VLOOKUP($B145,'F-1 Off-Site WaterC'' Baseline'!$C$9:$R$257,9,FALSE))</f>
        <v/>
      </c>
      <c r="K145" s="301" t="str">
        <f>IF(J145="","",VLOOKUP($B145,'F-1 Off-Site WaterC'' Baseline'!$C$9:$R$257,10,FALSE))</f>
        <v/>
      </c>
      <c r="L145" s="289" t="str">
        <f>IF(B145="","",VLOOKUP($B145,'F-1 Off-Site WaterC'' Baseline'!$C$9:$R$257,15,FALSE))</f>
        <v/>
      </c>
      <c r="M145" s="305" t="str">
        <f>IF(L145="","",VLOOKUP($B145,'F-1 Off-Site WaterC'' Baseline'!$C$9:$V$257,19,FALSE))</f>
        <v/>
      </c>
      <c r="N145" s="250"/>
      <c r="O145" s="281" t="str">
        <f t="shared" si="25"/>
        <v/>
      </c>
      <c r="P145" s="282" t="str">
        <f t="shared" si="26"/>
        <v/>
      </c>
      <c r="Q145" s="287" t="str">
        <f>IF(N145="","",VLOOKUP(B145,'F-1 Off-Site WaterC'' Baseline'!$C$10:$AF$257,23,FALSE))</f>
        <v/>
      </c>
      <c r="R145" s="281" t="str">
        <f>IF(N145="","",VLOOKUP(N145,'G-7 WaterC'' Data'!$B$2:$G$8,2,FALSE))</f>
        <v/>
      </c>
      <c r="S145" s="282" t="str">
        <f>IFERROR(VLOOKUP(R145,'G-7 WaterC'' Data'!$C$4:$D$8,2,FALSE),"")</f>
        <v/>
      </c>
      <c r="T145" s="105"/>
      <c r="U145" s="282" t="str">
        <f>IFERROR(INDEX('G-7 WaterC'' Data'!$H$4:$L$8,MATCH(N145,'G-7 WaterC'' Data'!$B$4:$B$8,0),MATCH(T145,'G-7 WaterC'' Data'!$H$3:$L$3,0)),"")</f>
        <v/>
      </c>
      <c r="V145" s="109"/>
      <c r="W145" s="301" t="str">
        <f>IF(V145="","",IF(VLOOKUP(V145,'G-7 WaterC'' Data'!$AK$4:$AM$6,2,FALSE)=0,"Spatial Data Missing ⚠",VLOOKUP(V145,'G-7 WaterC'' Data'!$AK$4:$AM$6,2,FALSE)))</f>
        <v/>
      </c>
      <c r="X145" s="305" t="str">
        <f>IF(V145="","",IF(VLOOKUP(V145,'G-7 WaterC'' Data'!$AK$4:$AM$6,3,FALSE)=0,"Spatial Data Missing ⚠",VLOOKUP(V145,'G-7 WaterC'' Data'!$AK$4:$AM$6,3,FALSE)))</f>
        <v/>
      </c>
      <c r="Y145" s="317" t="str">
        <f>IFERROR(IF(OR(LEFT(P145,5)="Error",LEFT(O145,5)="Error"),"Check Data ⚠",IF(F145&lt;S145,'G-7 WaterC'' Data'!$R$3,INDEX('G-7 WaterC'' Data'!$U$5:$Y$9,MATCH(G145,'G-7 WaterC'' Data'!$T$5:$T$9,0),MATCH(T145,'G-7 WaterC'' Data'!$U$4:$Y$4,0)))),"")</f>
        <v/>
      </c>
      <c r="Z145" s="142"/>
      <c r="AA145" s="142"/>
      <c r="AB145" s="314" t="str">
        <f t="shared" si="22"/>
        <v/>
      </c>
      <c r="AC145" s="302" t="str">
        <f t="shared" si="27"/>
        <v/>
      </c>
      <c r="AD145" s="340" t="str">
        <f>IFERROR(IF(AC145="Check Data ⚠","Check Data ⚠",VLOOKUP(AC145,'G-4 Temporal multipliers'!$A$4:$C$37,3,FALSE)),"")</f>
        <v/>
      </c>
      <c r="AE145" s="317" t="str">
        <f>IF(N145="","",VLOOKUP(N145,'G-7 WaterC'' Data'!$B$4:$G$8,5,FALSE))</f>
        <v/>
      </c>
      <c r="AF145" s="301" t="str">
        <f t="shared" si="23"/>
        <v/>
      </c>
      <c r="AG145" s="301" t="str">
        <f t="shared" si="28"/>
        <v/>
      </c>
      <c r="AH145" s="282" t="str">
        <f t="shared" si="24"/>
        <v/>
      </c>
      <c r="AI145" s="109"/>
      <c r="AJ145" s="282" t="str">
        <f>IF(AI145="","",(IF(AND(AI145="N/A - Culvert",N145&lt;&gt;"Culvert"),"Not possible ▲",IF(VLOOKUP(AI145,'G-7 WaterC'' Data'!$AA$4:$AB$7,2,FALSE)=0,"Spatial Data Missing ⚠",VLOOKUP(AI145,'G-7 WaterC'' Data'!$AA$4:$AB$7,2,FALSE)))))</f>
        <v/>
      </c>
      <c r="AK145" s="110"/>
      <c r="AL145" s="316" t="str">
        <f>IF(AK145="","",IF(AND(AK145="N/A - Culvert",N145&lt;&gt;"Culvert"),"Not possible ▲",IF(VLOOKUP(AK145,'G-7 WaterC'' Data'!$AD$4:$AE$14,2,FALSE)=0,"Spatial Data Missing ⚠",VLOOKUP(AK145,'G-7 WaterC'' Data'!$AD$4:$AE$14,2,FALSE))))</f>
        <v/>
      </c>
      <c r="AM145" s="281" t="str">
        <f>IF(B145="","",VLOOKUP($B145,'F-1 Off-Site WaterC'' Baseline'!$C$9:$Z$257,17,FALSE))</f>
        <v/>
      </c>
      <c r="AN145" s="282" t="str">
        <f>IF(AM145="","",IF(VLOOKUP(AM145,'G-7 WaterC'' Data'!$AO$4:$BO$7,2,FALSE)=0,"Spatial Data Missing ⚠",VLOOKUP(AM145,'G-7 WaterC'' Data'!$AO$4:$BO$7,2,FALSE)))</f>
        <v/>
      </c>
      <c r="AO145" s="323" t="str">
        <f t="shared" si="29"/>
        <v/>
      </c>
      <c r="AP145" s="323" t="str">
        <f t="shared" si="30"/>
        <v/>
      </c>
      <c r="AQ145" s="105"/>
      <c r="AR145" s="119"/>
      <c r="AS145" s="108"/>
      <c r="AT145" s="108"/>
      <c r="AW145" s="30" t="str">
        <f>IF(E145="","",VLOOKUP($B145,'F-1 Off-Site WaterC'' Baseline'!$C$9:$Z$257,12,FALSE))</f>
        <v/>
      </c>
      <c r="AX145" s="30" t="str">
        <f>IF(E145="","",VLOOKUP($B145,'F-1 Off-Site WaterC'' Baseline'!$C$9:$Z$257,14,FALSE))</f>
        <v/>
      </c>
      <c r="AY145" s="30" t="str">
        <f>IFERROR(INDEX('G-7 WaterC'' Data'!$AZ$3:$AZ$7,MATCH(N145,'G-7 WaterC'' Data'!$AY$3:$AY$7,0)),"")</f>
        <v/>
      </c>
      <c r="AZ145" s="30" t="str">
        <f>IF(B145="","",IF(ISNA(VLOOKUP($B145,'F-1 Off-Site WaterC'' Baseline'!$C$8:$AD$257,20,FALSE)),"",(VLOOKUP($B145,'F-1 Off-Site WaterC'' Baseline'!$C$8:$AD$257,20,FALSE))))</f>
        <v/>
      </c>
      <c r="BC145" s="30" t="str">
        <f>IF(B145="","",VLOOKUP($B145,'F-1 Off-Site WaterC'' Baseline'!$C$9:$AB$257,25,FALSE))</f>
        <v/>
      </c>
      <c r="BD145" s="30" t="str">
        <f t="shared" si="31"/>
        <v/>
      </c>
      <c r="BE145" s="30" t="str">
        <f>IF(B145="","",VLOOKUP($B145,'F-1 Off-Site WaterC'' Baseline'!$C$9:$AB$257,24,FALSE))</f>
        <v/>
      </c>
      <c r="BF145" s="30" t="str">
        <f>IF(B145="","",VLOOKUP($B145,'F-1 Off-Site WaterC'' Baseline'!$C$9:$AB$257,22,FALSE))</f>
        <v/>
      </c>
      <c r="BJ145" s="30" t="str">
        <f t="shared" si="32"/>
        <v>No</v>
      </c>
    </row>
    <row r="146" spans="2:62" ht="13.8" x14ac:dyDescent="0.25">
      <c r="B146" s="311" t="str">
        <f>'F-1 Off-Site WaterC'' Baseline'!AS144</f>
        <v/>
      </c>
      <c r="C146" s="301" t="str">
        <f>IF(B146="","",VLOOKUP($B146,'F-1 Off-Site WaterC'' Baseline'!$C$9:$R$257,2,FALSE))</f>
        <v/>
      </c>
      <c r="D146" s="301" t="str">
        <f>IF(C146="","",VLOOKUP($B146,'F-1 Off-Site WaterC'' Baseline'!$C$9:$R$257,3,FALSE))</f>
        <v/>
      </c>
      <c r="E146" s="301" t="str">
        <f>IF(D146="","",VLOOKUP($B146,'F-1 Off-Site WaterC'' Baseline'!$C$9:$R$257,4,FALSE))</f>
        <v/>
      </c>
      <c r="F146" s="301" t="str">
        <f>IF(E146="","",VLOOKUP($B146,'F-1 Off-Site WaterC'' Baseline'!$C$9:$R$257,5,FALSE))</f>
        <v/>
      </c>
      <c r="G146" s="301" t="str">
        <f>IF(F146="","",VLOOKUP($B146,'F-1 Off-Site WaterC'' Baseline'!$C$9:$R$257,6,FALSE))</f>
        <v/>
      </c>
      <c r="H146" s="301" t="str">
        <f>IF(G146="","",VLOOKUP($B146,'F-1 Off-Site WaterC'' Baseline'!$C$9:$R$257,7,FALSE))</f>
        <v/>
      </c>
      <c r="I146" s="301" t="str">
        <f>IF(H146="","",VLOOKUP($B146,'F-1 Off-Site WaterC'' Baseline'!$C$9:$R$257,8,FALSE))</f>
        <v/>
      </c>
      <c r="J146" s="301" t="str">
        <f>IF(I146="","",VLOOKUP($B146,'F-1 Off-Site WaterC'' Baseline'!$C$9:$R$257,9,FALSE))</f>
        <v/>
      </c>
      <c r="K146" s="301" t="str">
        <f>IF(J146="","",VLOOKUP($B146,'F-1 Off-Site WaterC'' Baseline'!$C$9:$R$257,10,FALSE))</f>
        <v/>
      </c>
      <c r="L146" s="289" t="str">
        <f>IF(B146="","",VLOOKUP($B146,'F-1 Off-Site WaterC'' Baseline'!$C$9:$R$257,15,FALSE))</f>
        <v/>
      </c>
      <c r="M146" s="305" t="str">
        <f>IF(L146="","",VLOOKUP($B146,'F-1 Off-Site WaterC'' Baseline'!$C$9:$V$257,19,FALSE))</f>
        <v/>
      </c>
      <c r="N146" s="250"/>
      <c r="O146" s="281" t="str">
        <f t="shared" si="25"/>
        <v/>
      </c>
      <c r="P146" s="282" t="str">
        <f t="shared" si="26"/>
        <v/>
      </c>
      <c r="Q146" s="287" t="str">
        <f>IF(N146="","",VLOOKUP(B146,'F-1 Off-Site WaterC'' Baseline'!$C$10:$AF$257,23,FALSE))</f>
        <v/>
      </c>
      <c r="R146" s="281" t="str">
        <f>IF(N146="","",VLOOKUP(N146,'G-7 WaterC'' Data'!$B$2:$G$8,2,FALSE))</f>
        <v/>
      </c>
      <c r="S146" s="282" t="str">
        <f>IFERROR(VLOOKUP(R146,'G-7 WaterC'' Data'!$C$4:$D$8,2,FALSE),"")</f>
        <v/>
      </c>
      <c r="T146" s="105"/>
      <c r="U146" s="282" t="str">
        <f>IFERROR(INDEX('G-7 WaterC'' Data'!$H$4:$L$8,MATCH(N146,'G-7 WaterC'' Data'!$B$4:$B$8,0),MATCH(T146,'G-7 WaterC'' Data'!$H$3:$L$3,0)),"")</f>
        <v/>
      </c>
      <c r="V146" s="109"/>
      <c r="W146" s="301" t="str">
        <f>IF(V146="","",IF(VLOOKUP(V146,'G-7 WaterC'' Data'!$AK$4:$AM$6,2,FALSE)=0,"Spatial Data Missing ⚠",VLOOKUP(V146,'G-7 WaterC'' Data'!$AK$4:$AM$6,2,FALSE)))</f>
        <v/>
      </c>
      <c r="X146" s="305" t="str">
        <f>IF(V146="","",IF(VLOOKUP(V146,'G-7 WaterC'' Data'!$AK$4:$AM$6,3,FALSE)=0,"Spatial Data Missing ⚠",VLOOKUP(V146,'G-7 WaterC'' Data'!$AK$4:$AM$6,3,FALSE)))</f>
        <v/>
      </c>
      <c r="Y146" s="317" t="str">
        <f>IFERROR(IF(OR(LEFT(P146,5)="Error",LEFT(O146,5)="Error"),"Check Data ⚠",IF(F146&lt;S146,'G-7 WaterC'' Data'!$R$3,INDEX('G-7 WaterC'' Data'!$U$5:$Y$9,MATCH(G146,'G-7 WaterC'' Data'!$T$5:$T$9,0),MATCH(T146,'G-7 WaterC'' Data'!$U$4:$Y$4,0)))),"")</f>
        <v/>
      </c>
      <c r="Z146" s="142"/>
      <c r="AA146" s="142"/>
      <c r="AB146" s="314" t="str">
        <f t="shared" si="22"/>
        <v/>
      </c>
      <c r="AC146" s="302" t="str">
        <f t="shared" si="27"/>
        <v/>
      </c>
      <c r="AD146" s="340" t="str">
        <f>IFERROR(IF(AC146="Check Data ⚠","Check Data ⚠",VLOOKUP(AC146,'G-4 Temporal multipliers'!$A$4:$C$37,3,FALSE)),"")</f>
        <v/>
      </c>
      <c r="AE146" s="317" t="str">
        <f>IF(N146="","",VLOOKUP(N146,'G-7 WaterC'' Data'!$B$4:$G$8,5,FALSE))</f>
        <v/>
      </c>
      <c r="AF146" s="301" t="str">
        <f t="shared" si="23"/>
        <v/>
      </c>
      <c r="AG146" s="301" t="str">
        <f t="shared" si="28"/>
        <v/>
      </c>
      <c r="AH146" s="282" t="str">
        <f t="shared" si="24"/>
        <v/>
      </c>
      <c r="AI146" s="109"/>
      <c r="AJ146" s="282" t="str">
        <f>IF(AI146="","",(IF(AND(AI146="N/A - Culvert",N146&lt;&gt;"Culvert"),"Not possible ▲",IF(VLOOKUP(AI146,'G-7 WaterC'' Data'!$AA$4:$AB$7,2,FALSE)=0,"Spatial Data Missing ⚠",VLOOKUP(AI146,'G-7 WaterC'' Data'!$AA$4:$AB$7,2,FALSE)))))</f>
        <v/>
      </c>
      <c r="AK146" s="110"/>
      <c r="AL146" s="316" t="str">
        <f>IF(AK146="","",IF(AND(AK146="N/A - Culvert",N146&lt;&gt;"Culvert"),"Not possible ▲",IF(VLOOKUP(AK146,'G-7 WaterC'' Data'!$AD$4:$AE$14,2,FALSE)=0,"Spatial Data Missing ⚠",VLOOKUP(AK146,'G-7 WaterC'' Data'!$AD$4:$AE$14,2,FALSE))))</f>
        <v/>
      </c>
      <c r="AM146" s="281" t="str">
        <f>IF(B146="","",VLOOKUP($B146,'F-1 Off-Site WaterC'' Baseline'!$C$9:$Z$257,17,FALSE))</f>
        <v/>
      </c>
      <c r="AN146" s="282" t="str">
        <f>IF(AM146="","",IF(VLOOKUP(AM146,'G-7 WaterC'' Data'!$AO$4:$BO$7,2,FALSE)=0,"Spatial Data Missing ⚠",VLOOKUP(AM146,'G-7 WaterC'' Data'!$AO$4:$BO$7,2,FALSE)))</f>
        <v/>
      </c>
      <c r="AO146" s="323" t="str">
        <f t="shared" si="29"/>
        <v/>
      </c>
      <c r="AP146" s="323" t="str">
        <f t="shared" si="30"/>
        <v/>
      </c>
      <c r="AQ146" s="105"/>
      <c r="AR146" s="119"/>
      <c r="AS146" s="108"/>
      <c r="AT146" s="108"/>
      <c r="AW146" s="30" t="str">
        <f>IF(E146="","",VLOOKUP($B146,'F-1 Off-Site WaterC'' Baseline'!$C$9:$Z$257,12,FALSE))</f>
        <v/>
      </c>
      <c r="AX146" s="30" t="str">
        <f>IF(E146="","",VLOOKUP($B146,'F-1 Off-Site WaterC'' Baseline'!$C$9:$Z$257,14,FALSE))</f>
        <v/>
      </c>
      <c r="AY146" s="30" t="str">
        <f>IFERROR(INDEX('G-7 WaterC'' Data'!$AZ$3:$AZ$7,MATCH(N146,'G-7 WaterC'' Data'!$AY$3:$AY$7,0)),"")</f>
        <v/>
      </c>
      <c r="AZ146" s="30" t="str">
        <f>IF(B146="","",IF(ISNA(VLOOKUP($B146,'F-1 Off-Site WaterC'' Baseline'!$C$8:$AD$257,20,FALSE)),"",(VLOOKUP($B146,'F-1 Off-Site WaterC'' Baseline'!$C$8:$AD$257,20,FALSE))))</f>
        <v/>
      </c>
      <c r="BC146" s="30" t="str">
        <f>IF(B146="","",VLOOKUP($B146,'F-1 Off-Site WaterC'' Baseline'!$C$9:$AB$257,25,FALSE))</f>
        <v/>
      </c>
      <c r="BD146" s="30" t="str">
        <f t="shared" si="31"/>
        <v/>
      </c>
      <c r="BE146" s="30" t="str">
        <f>IF(B146="","",VLOOKUP($B146,'F-1 Off-Site WaterC'' Baseline'!$C$9:$AB$257,24,FALSE))</f>
        <v/>
      </c>
      <c r="BF146" s="30" t="str">
        <f>IF(B146="","",VLOOKUP($B146,'F-1 Off-Site WaterC'' Baseline'!$C$9:$AB$257,22,FALSE))</f>
        <v/>
      </c>
      <c r="BJ146" s="30" t="str">
        <f t="shared" si="32"/>
        <v>No</v>
      </c>
    </row>
    <row r="147" spans="2:62" ht="13.8" x14ac:dyDescent="0.25">
      <c r="B147" s="311" t="str">
        <f>'F-1 Off-Site WaterC'' Baseline'!AS145</f>
        <v/>
      </c>
      <c r="C147" s="301" t="str">
        <f>IF(B147="","",VLOOKUP($B147,'F-1 Off-Site WaterC'' Baseline'!$C$9:$R$257,2,FALSE))</f>
        <v/>
      </c>
      <c r="D147" s="301" t="str">
        <f>IF(C147="","",VLOOKUP($B147,'F-1 Off-Site WaterC'' Baseline'!$C$9:$R$257,3,FALSE))</f>
        <v/>
      </c>
      <c r="E147" s="301" t="str">
        <f>IF(D147="","",VLOOKUP($B147,'F-1 Off-Site WaterC'' Baseline'!$C$9:$R$257,4,FALSE))</f>
        <v/>
      </c>
      <c r="F147" s="301" t="str">
        <f>IF(E147="","",VLOOKUP($B147,'F-1 Off-Site WaterC'' Baseline'!$C$9:$R$257,5,FALSE))</f>
        <v/>
      </c>
      <c r="G147" s="301" t="str">
        <f>IF(F147="","",VLOOKUP($B147,'F-1 Off-Site WaterC'' Baseline'!$C$9:$R$257,6,FALSE))</f>
        <v/>
      </c>
      <c r="H147" s="301" t="str">
        <f>IF(G147="","",VLOOKUP($B147,'F-1 Off-Site WaterC'' Baseline'!$C$9:$R$257,7,FALSE))</f>
        <v/>
      </c>
      <c r="I147" s="301" t="str">
        <f>IF(H147="","",VLOOKUP($B147,'F-1 Off-Site WaterC'' Baseline'!$C$9:$R$257,8,FALSE))</f>
        <v/>
      </c>
      <c r="J147" s="301" t="str">
        <f>IF(I147="","",VLOOKUP($B147,'F-1 Off-Site WaterC'' Baseline'!$C$9:$R$257,9,FALSE))</f>
        <v/>
      </c>
      <c r="K147" s="301" t="str">
        <f>IF(J147="","",VLOOKUP($B147,'F-1 Off-Site WaterC'' Baseline'!$C$9:$R$257,10,FALSE))</f>
        <v/>
      </c>
      <c r="L147" s="289" t="str">
        <f>IF(B147="","",VLOOKUP($B147,'F-1 Off-Site WaterC'' Baseline'!$C$9:$R$257,15,FALSE))</f>
        <v/>
      </c>
      <c r="M147" s="305" t="str">
        <f>IF(L147="","",VLOOKUP($B147,'F-1 Off-Site WaterC'' Baseline'!$C$9:$V$257,19,FALSE))</f>
        <v/>
      </c>
      <c r="N147" s="250"/>
      <c r="O147" s="281" t="str">
        <f t="shared" si="25"/>
        <v/>
      </c>
      <c r="P147" s="282" t="str">
        <f t="shared" si="26"/>
        <v/>
      </c>
      <c r="Q147" s="287" t="str">
        <f>IF(N147="","",VLOOKUP(B147,'F-1 Off-Site WaterC'' Baseline'!$C$10:$AF$257,23,FALSE))</f>
        <v/>
      </c>
      <c r="R147" s="281" t="str">
        <f>IF(N147="","",VLOOKUP(N147,'G-7 WaterC'' Data'!$B$2:$G$8,2,FALSE))</f>
        <v/>
      </c>
      <c r="S147" s="282" t="str">
        <f>IFERROR(VLOOKUP(R147,'G-7 WaterC'' Data'!$C$4:$D$8,2,FALSE),"")</f>
        <v/>
      </c>
      <c r="T147" s="105"/>
      <c r="U147" s="282" t="str">
        <f>IFERROR(INDEX('G-7 WaterC'' Data'!$H$4:$L$8,MATCH(N147,'G-7 WaterC'' Data'!$B$4:$B$8,0),MATCH(T147,'G-7 WaterC'' Data'!$H$3:$L$3,0)),"")</f>
        <v/>
      </c>
      <c r="V147" s="109"/>
      <c r="W147" s="301" t="str">
        <f>IF(V147="","",IF(VLOOKUP(V147,'G-7 WaterC'' Data'!$AK$4:$AM$6,2,FALSE)=0,"Spatial Data Missing ⚠",VLOOKUP(V147,'G-7 WaterC'' Data'!$AK$4:$AM$6,2,FALSE)))</f>
        <v/>
      </c>
      <c r="X147" s="305" t="str">
        <f>IF(V147="","",IF(VLOOKUP(V147,'G-7 WaterC'' Data'!$AK$4:$AM$6,3,FALSE)=0,"Spatial Data Missing ⚠",VLOOKUP(V147,'G-7 WaterC'' Data'!$AK$4:$AM$6,3,FALSE)))</f>
        <v/>
      </c>
      <c r="Y147" s="317" t="str">
        <f>IFERROR(IF(OR(LEFT(P147,5)="Error",LEFT(O147,5)="Error"),"Check Data ⚠",IF(F147&lt;S147,'G-7 WaterC'' Data'!$R$3,INDEX('G-7 WaterC'' Data'!$U$5:$Y$9,MATCH(G147,'G-7 WaterC'' Data'!$T$5:$T$9,0),MATCH(T147,'G-7 WaterC'' Data'!$U$4:$Y$4,0)))),"")</f>
        <v/>
      </c>
      <c r="Z147" s="142"/>
      <c r="AA147" s="142"/>
      <c r="AB147" s="314" t="str">
        <f t="shared" si="22"/>
        <v/>
      </c>
      <c r="AC147" s="302" t="str">
        <f t="shared" si="27"/>
        <v/>
      </c>
      <c r="AD147" s="340" t="str">
        <f>IFERROR(IF(AC147="Check Data ⚠","Check Data ⚠",VLOOKUP(AC147,'G-4 Temporal multipliers'!$A$4:$C$37,3,FALSE)),"")</f>
        <v/>
      </c>
      <c r="AE147" s="317" t="str">
        <f>IF(N147="","",VLOOKUP(N147,'G-7 WaterC'' Data'!$B$4:$G$8,5,FALSE))</f>
        <v/>
      </c>
      <c r="AF147" s="301" t="str">
        <f t="shared" si="23"/>
        <v/>
      </c>
      <c r="AG147" s="301" t="str">
        <f t="shared" si="28"/>
        <v/>
      </c>
      <c r="AH147" s="282" t="str">
        <f t="shared" si="24"/>
        <v/>
      </c>
      <c r="AI147" s="109"/>
      <c r="AJ147" s="282" t="str">
        <f>IF(AI147="","",(IF(AND(AI147="N/A - Culvert",N147&lt;&gt;"Culvert"),"Not possible ▲",IF(VLOOKUP(AI147,'G-7 WaterC'' Data'!$AA$4:$AB$7,2,FALSE)=0,"Spatial Data Missing ⚠",VLOOKUP(AI147,'G-7 WaterC'' Data'!$AA$4:$AB$7,2,FALSE)))))</f>
        <v/>
      </c>
      <c r="AK147" s="110"/>
      <c r="AL147" s="316" t="str">
        <f>IF(AK147="","",IF(AND(AK147="N/A - Culvert",N147&lt;&gt;"Culvert"),"Not possible ▲",IF(VLOOKUP(AK147,'G-7 WaterC'' Data'!$AD$4:$AE$14,2,FALSE)=0,"Spatial Data Missing ⚠",VLOOKUP(AK147,'G-7 WaterC'' Data'!$AD$4:$AE$14,2,FALSE))))</f>
        <v/>
      </c>
      <c r="AM147" s="281" t="str">
        <f>IF(B147="","",VLOOKUP($B147,'F-1 Off-Site WaterC'' Baseline'!$C$9:$Z$257,17,FALSE))</f>
        <v/>
      </c>
      <c r="AN147" s="282" t="str">
        <f>IF(AM147="","",IF(VLOOKUP(AM147,'G-7 WaterC'' Data'!$AO$4:$BO$7,2,FALSE)=0,"Spatial Data Missing ⚠",VLOOKUP(AM147,'G-7 WaterC'' Data'!$AO$4:$BO$7,2,FALSE)))</f>
        <v/>
      </c>
      <c r="AO147" s="323" t="str">
        <f t="shared" si="29"/>
        <v/>
      </c>
      <c r="AP147" s="323" t="str">
        <f t="shared" si="30"/>
        <v/>
      </c>
      <c r="AQ147" s="105"/>
      <c r="AR147" s="119"/>
      <c r="AS147" s="108"/>
      <c r="AT147" s="108"/>
      <c r="AW147" s="30" t="str">
        <f>IF(E147="","",VLOOKUP($B147,'F-1 Off-Site WaterC'' Baseline'!$C$9:$Z$257,12,FALSE))</f>
        <v/>
      </c>
      <c r="AX147" s="30" t="str">
        <f>IF(E147="","",VLOOKUP($B147,'F-1 Off-Site WaterC'' Baseline'!$C$9:$Z$257,14,FALSE))</f>
        <v/>
      </c>
      <c r="AY147" s="30" t="str">
        <f>IFERROR(INDEX('G-7 WaterC'' Data'!$AZ$3:$AZ$7,MATCH(N147,'G-7 WaterC'' Data'!$AY$3:$AY$7,0)),"")</f>
        <v/>
      </c>
      <c r="AZ147" s="30" t="str">
        <f>IF(B147="","",IF(ISNA(VLOOKUP($B147,'F-1 Off-Site WaterC'' Baseline'!$C$8:$AD$257,20,FALSE)),"",(VLOOKUP($B147,'F-1 Off-Site WaterC'' Baseline'!$C$8:$AD$257,20,FALSE))))</f>
        <v/>
      </c>
      <c r="BC147" s="30" t="str">
        <f>IF(B147="","",VLOOKUP($B147,'F-1 Off-Site WaterC'' Baseline'!$C$9:$AB$257,25,FALSE))</f>
        <v/>
      </c>
      <c r="BD147" s="30" t="str">
        <f t="shared" si="31"/>
        <v/>
      </c>
      <c r="BE147" s="30" t="str">
        <f>IF(B147="","",VLOOKUP($B147,'F-1 Off-Site WaterC'' Baseline'!$C$9:$AB$257,24,FALSE))</f>
        <v/>
      </c>
      <c r="BF147" s="30" t="str">
        <f>IF(B147="","",VLOOKUP($B147,'F-1 Off-Site WaterC'' Baseline'!$C$9:$AB$257,22,FALSE))</f>
        <v/>
      </c>
      <c r="BJ147" s="30" t="str">
        <f t="shared" si="32"/>
        <v>No</v>
      </c>
    </row>
    <row r="148" spans="2:62" ht="13.8" x14ac:dyDescent="0.25">
      <c r="B148" s="311" t="str">
        <f>'F-1 Off-Site WaterC'' Baseline'!AS146</f>
        <v/>
      </c>
      <c r="C148" s="301" t="str">
        <f>IF(B148="","",VLOOKUP($B148,'F-1 Off-Site WaterC'' Baseline'!$C$9:$R$257,2,FALSE))</f>
        <v/>
      </c>
      <c r="D148" s="301" t="str">
        <f>IF(C148="","",VLOOKUP($B148,'F-1 Off-Site WaterC'' Baseline'!$C$9:$R$257,3,FALSE))</f>
        <v/>
      </c>
      <c r="E148" s="301" t="str">
        <f>IF(D148="","",VLOOKUP($B148,'F-1 Off-Site WaterC'' Baseline'!$C$9:$R$257,4,FALSE))</f>
        <v/>
      </c>
      <c r="F148" s="301" t="str">
        <f>IF(E148="","",VLOOKUP($B148,'F-1 Off-Site WaterC'' Baseline'!$C$9:$R$257,5,FALSE))</f>
        <v/>
      </c>
      <c r="G148" s="301" t="str">
        <f>IF(F148="","",VLOOKUP($B148,'F-1 Off-Site WaterC'' Baseline'!$C$9:$R$257,6,FALSE))</f>
        <v/>
      </c>
      <c r="H148" s="301" t="str">
        <f>IF(G148="","",VLOOKUP($B148,'F-1 Off-Site WaterC'' Baseline'!$C$9:$R$257,7,FALSE))</f>
        <v/>
      </c>
      <c r="I148" s="301" t="str">
        <f>IF(H148="","",VLOOKUP($B148,'F-1 Off-Site WaterC'' Baseline'!$C$9:$R$257,8,FALSE))</f>
        <v/>
      </c>
      <c r="J148" s="301" t="str">
        <f>IF(I148="","",VLOOKUP($B148,'F-1 Off-Site WaterC'' Baseline'!$C$9:$R$257,9,FALSE))</f>
        <v/>
      </c>
      <c r="K148" s="301" t="str">
        <f>IF(J148="","",VLOOKUP($B148,'F-1 Off-Site WaterC'' Baseline'!$C$9:$R$257,10,FALSE))</f>
        <v/>
      </c>
      <c r="L148" s="289" t="str">
        <f>IF(B148="","",VLOOKUP($B148,'F-1 Off-Site WaterC'' Baseline'!$C$9:$R$257,15,FALSE))</f>
        <v/>
      </c>
      <c r="M148" s="305" t="str">
        <f>IF(L148="","",VLOOKUP($B148,'F-1 Off-Site WaterC'' Baseline'!$C$9:$V$257,19,FALSE))</f>
        <v/>
      </c>
      <c r="N148" s="250"/>
      <c r="O148" s="281" t="str">
        <f t="shared" si="25"/>
        <v/>
      </c>
      <c r="P148" s="282" t="str">
        <f t="shared" si="26"/>
        <v/>
      </c>
      <c r="Q148" s="287" t="str">
        <f>IF(N148="","",VLOOKUP(B148,'F-1 Off-Site WaterC'' Baseline'!$C$10:$AF$257,23,FALSE))</f>
        <v/>
      </c>
      <c r="R148" s="281" t="str">
        <f>IF(N148="","",VLOOKUP(N148,'G-7 WaterC'' Data'!$B$2:$G$8,2,FALSE))</f>
        <v/>
      </c>
      <c r="S148" s="282" t="str">
        <f>IFERROR(VLOOKUP(R148,'G-7 WaterC'' Data'!$C$4:$D$8,2,FALSE),"")</f>
        <v/>
      </c>
      <c r="T148" s="105"/>
      <c r="U148" s="282" t="str">
        <f>IFERROR(INDEX('G-7 WaterC'' Data'!$H$4:$L$8,MATCH(N148,'G-7 WaterC'' Data'!$B$4:$B$8,0),MATCH(T148,'G-7 WaterC'' Data'!$H$3:$L$3,0)),"")</f>
        <v/>
      </c>
      <c r="V148" s="109"/>
      <c r="W148" s="301" t="str">
        <f>IF(V148="","",IF(VLOOKUP(V148,'G-7 WaterC'' Data'!$AK$4:$AM$6,2,FALSE)=0,"Spatial Data Missing ⚠",VLOOKUP(V148,'G-7 WaterC'' Data'!$AK$4:$AM$6,2,FALSE)))</f>
        <v/>
      </c>
      <c r="X148" s="305" t="str">
        <f>IF(V148="","",IF(VLOOKUP(V148,'G-7 WaterC'' Data'!$AK$4:$AM$6,3,FALSE)=0,"Spatial Data Missing ⚠",VLOOKUP(V148,'G-7 WaterC'' Data'!$AK$4:$AM$6,3,FALSE)))</f>
        <v/>
      </c>
      <c r="Y148" s="317" t="str">
        <f>IFERROR(IF(OR(LEFT(P148,5)="Error",LEFT(O148,5)="Error"),"Check Data ⚠",IF(F148&lt;S148,'G-7 WaterC'' Data'!$R$3,INDEX('G-7 WaterC'' Data'!$U$5:$Y$9,MATCH(G148,'G-7 WaterC'' Data'!$T$5:$T$9,0),MATCH(T148,'G-7 WaterC'' Data'!$U$4:$Y$4,0)))),"")</f>
        <v/>
      </c>
      <c r="Z148" s="142"/>
      <c r="AA148" s="142"/>
      <c r="AB148" s="314" t="str">
        <f t="shared" si="22"/>
        <v/>
      </c>
      <c r="AC148" s="302" t="str">
        <f t="shared" si="27"/>
        <v/>
      </c>
      <c r="AD148" s="340" t="str">
        <f>IFERROR(IF(AC148="Check Data ⚠","Check Data ⚠",VLOOKUP(AC148,'G-4 Temporal multipliers'!$A$4:$C$37,3,FALSE)),"")</f>
        <v/>
      </c>
      <c r="AE148" s="317" t="str">
        <f>IF(N148="","",VLOOKUP(N148,'G-7 WaterC'' Data'!$B$4:$G$8,5,FALSE))</f>
        <v/>
      </c>
      <c r="AF148" s="301" t="str">
        <f t="shared" si="23"/>
        <v/>
      </c>
      <c r="AG148" s="301" t="str">
        <f t="shared" si="28"/>
        <v/>
      </c>
      <c r="AH148" s="282" t="str">
        <f t="shared" si="24"/>
        <v/>
      </c>
      <c r="AI148" s="109"/>
      <c r="AJ148" s="282" t="str">
        <f>IF(AI148="","",(IF(AND(AI148="N/A - Culvert",N148&lt;&gt;"Culvert"),"Not possible ▲",IF(VLOOKUP(AI148,'G-7 WaterC'' Data'!$AA$4:$AB$7,2,FALSE)=0,"Spatial Data Missing ⚠",VLOOKUP(AI148,'G-7 WaterC'' Data'!$AA$4:$AB$7,2,FALSE)))))</f>
        <v/>
      </c>
      <c r="AK148" s="110"/>
      <c r="AL148" s="316" t="str">
        <f>IF(AK148="","",IF(AND(AK148="N/A - Culvert",N148&lt;&gt;"Culvert"),"Not possible ▲",IF(VLOOKUP(AK148,'G-7 WaterC'' Data'!$AD$4:$AE$14,2,FALSE)=0,"Spatial Data Missing ⚠",VLOOKUP(AK148,'G-7 WaterC'' Data'!$AD$4:$AE$14,2,FALSE))))</f>
        <v/>
      </c>
      <c r="AM148" s="281" t="str">
        <f>IF(B148="","",VLOOKUP($B148,'F-1 Off-Site WaterC'' Baseline'!$C$9:$Z$257,17,FALSE))</f>
        <v/>
      </c>
      <c r="AN148" s="282" t="str">
        <f>IF(AM148="","",IF(VLOOKUP(AM148,'G-7 WaterC'' Data'!$AO$4:$BO$7,2,FALSE)=0,"Spatial Data Missing ⚠",VLOOKUP(AM148,'G-7 WaterC'' Data'!$AO$4:$BO$7,2,FALSE)))</f>
        <v/>
      </c>
      <c r="AO148" s="323" t="str">
        <f t="shared" si="29"/>
        <v/>
      </c>
      <c r="AP148" s="323" t="str">
        <f t="shared" si="30"/>
        <v/>
      </c>
      <c r="AQ148" s="105"/>
      <c r="AR148" s="119"/>
      <c r="AS148" s="108"/>
      <c r="AT148" s="108"/>
      <c r="AW148" s="30" t="str">
        <f>IF(E148="","",VLOOKUP($B148,'F-1 Off-Site WaterC'' Baseline'!$C$9:$Z$257,12,FALSE))</f>
        <v/>
      </c>
      <c r="AX148" s="30" t="str">
        <f>IF(E148="","",VLOOKUP($B148,'F-1 Off-Site WaterC'' Baseline'!$C$9:$Z$257,14,FALSE))</f>
        <v/>
      </c>
      <c r="AY148" s="30" t="str">
        <f>IFERROR(INDEX('G-7 WaterC'' Data'!$AZ$3:$AZ$7,MATCH(N148,'G-7 WaterC'' Data'!$AY$3:$AY$7,0)),"")</f>
        <v/>
      </c>
      <c r="AZ148" s="30" t="str">
        <f>IF(B148="","",IF(ISNA(VLOOKUP($B148,'F-1 Off-Site WaterC'' Baseline'!$C$8:$AD$257,20,FALSE)),"",(VLOOKUP($B148,'F-1 Off-Site WaterC'' Baseline'!$C$8:$AD$257,20,FALSE))))</f>
        <v/>
      </c>
      <c r="BC148" s="30" t="str">
        <f>IF(B148="","",VLOOKUP($B148,'F-1 Off-Site WaterC'' Baseline'!$C$9:$AB$257,25,FALSE))</f>
        <v/>
      </c>
      <c r="BD148" s="30" t="str">
        <f t="shared" si="31"/>
        <v/>
      </c>
      <c r="BE148" s="30" t="str">
        <f>IF(B148="","",VLOOKUP($B148,'F-1 Off-Site WaterC'' Baseline'!$C$9:$AB$257,24,FALSE))</f>
        <v/>
      </c>
      <c r="BF148" s="30" t="str">
        <f>IF(B148="","",VLOOKUP($B148,'F-1 Off-Site WaterC'' Baseline'!$C$9:$AB$257,22,FALSE))</f>
        <v/>
      </c>
      <c r="BJ148" s="30" t="str">
        <f t="shared" si="32"/>
        <v>No</v>
      </c>
    </row>
    <row r="149" spans="2:62" ht="13.8" x14ac:dyDescent="0.25">
      <c r="B149" s="311" t="str">
        <f>'F-1 Off-Site WaterC'' Baseline'!AS147</f>
        <v/>
      </c>
      <c r="C149" s="301" t="str">
        <f>IF(B149="","",VLOOKUP($B149,'F-1 Off-Site WaterC'' Baseline'!$C$9:$R$257,2,FALSE))</f>
        <v/>
      </c>
      <c r="D149" s="301" t="str">
        <f>IF(C149="","",VLOOKUP($B149,'F-1 Off-Site WaterC'' Baseline'!$C$9:$R$257,3,FALSE))</f>
        <v/>
      </c>
      <c r="E149" s="301" t="str">
        <f>IF(D149="","",VLOOKUP($B149,'F-1 Off-Site WaterC'' Baseline'!$C$9:$R$257,4,FALSE))</f>
        <v/>
      </c>
      <c r="F149" s="301" t="str">
        <f>IF(E149="","",VLOOKUP($B149,'F-1 Off-Site WaterC'' Baseline'!$C$9:$R$257,5,FALSE))</f>
        <v/>
      </c>
      <c r="G149" s="301" t="str">
        <f>IF(F149="","",VLOOKUP($B149,'F-1 Off-Site WaterC'' Baseline'!$C$9:$R$257,6,FALSE))</f>
        <v/>
      </c>
      <c r="H149" s="301" t="str">
        <f>IF(G149="","",VLOOKUP($B149,'F-1 Off-Site WaterC'' Baseline'!$C$9:$R$257,7,FALSE))</f>
        <v/>
      </c>
      <c r="I149" s="301" t="str">
        <f>IF(H149="","",VLOOKUP($B149,'F-1 Off-Site WaterC'' Baseline'!$C$9:$R$257,8,FALSE))</f>
        <v/>
      </c>
      <c r="J149" s="301" t="str">
        <f>IF(I149="","",VLOOKUP($B149,'F-1 Off-Site WaterC'' Baseline'!$C$9:$R$257,9,FALSE))</f>
        <v/>
      </c>
      <c r="K149" s="301" t="str">
        <f>IF(J149="","",VLOOKUP($B149,'F-1 Off-Site WaterC'' Baseline'!$C$9:$R$257,10,FALSE))</f>
        <v/>
      </c>
      <c r="L149" s="289" t="str">
        <f>IF(B149="","",VLOOKUP($B149,'F-1 Off-Site WaterC'' Baseline'!$C$9:$R$257,15,FALSE))</f>
        <v/>
      </c>
      <c r="M149" s="305" t="str">
        <f>IF(L149="","",VLOOKUP($B149,'F-1 Off-Site WaterC'' Baseline'!$C$9:$V$257,19,FALSE))</f>
        <v/>
      </c>
      <c r="N149" s="250"/>
      <c r="O149" s="281" t="str">
        <f t="shared" si="25"/>
        <v/>
      </c>
      <c r="P149" s="282" t="str">
        <f t="shared" si="26"/>
        <v/>
      </c>
      <c r="Q149" s="287" t="str">
        <f>IF(N149="","",VLOOKUP(B149,'F-1 Off-Site WaterC'' Baseline'!$C$10:$AF$257,23,FALSE))</f>
        <v/>
      </c>
      <c r="R149" s="281" t="str">
        <f>IF(N149="","",VLOOKUP(N149,'G-7 WaterC'' Data'!$B$2:$G$8,2,FALSE))</f>
        <v/>
      </c>
      <c r="S149" s="282" t="str">
        <f>IFERROR(VLOOKUP(R149,'G-7 WaterC'' Data'!$C$4:$D$8,2,FALSE),"")</f>
        <v/>
      </c>
      <c r="T149" s="105"/>
      <c r="U149" s="282" t="str">
        <f>IFERROR(INDEX('G-7 WaterC'' Data'!$H$4:$L$8,MATCH(N149,'G-7 WaterC'' Data'!$B$4:$B$8,0),MATCH(T149,'G-7 WaterC'' Data'!$H$3:$L$3,0)),"")</f>
        <v/>
      </c>
      <c r="V149" s="109"/>
      <c r="W149" s="301" t="str">
        <f>IF(V149="","",IF(VLOOKUP(V149,'G-7 WaterC'' Data'!$AK$4:$AM$6,2,FALSE)=0,"Spatial Data Missing ⚠",VLOOKUP(V149,'G-7 WaterC'' Data'!$AK$4:$AM$6,2,FALSE)))</f>
        <v/>
      </c>
      <c r="X149" s="305" t="str">
        <f>IF(V149="","",IF(VLOOKUP(V149,'G-7 WaterC'' Data'!$AK$4:$AM$6,3,FALSE)=0,"Spatial Data Missing ⚠",VLOOKUP(V149,'G-7 WaterC'' Data'!$AK$4:$AM$6,3,FALSE)))</f>
        <v/>
      </c>
      <c r="Y149" s="317" t="str">
        <f>IFERROR(IF(OR(LEFT(P149,5)="Error",LEFT(O149,5)="Error"),"Check Data ⚠",IF(F149&lt;S149,'G-7 WaterC'' Data'!$R$3,INDEX('G-7 WaterC'' Data'!$U$5:$Y$9,MATCH(G149,'G-7 WaterC'' Data'!$T$5:$T$9,0),MATCH(T149,'G-7 WaterC'' Data'!$U$4:$Y$4,0)))),"")</f>
        <v/>
      </c>
      <c r="Z149" s="142"/>
      <c r="AA149" s="142"/>
      <c r="AB149" s="314" t="str">
        <f t="shared" si="22"/>
        <v/>
      </c>
      <c r="AC149" s="302" t="str">
        <f t="shared" si="27"/>
        <v/>
      </c>
      <c r="AD149" s="340" t="str">
        <f>IFERROR(IF(AC149="Check Data ⚠","Check Data ⚠",VLOOKUP(AC149,'G-4 Temporal multipliers'!$A$4:$C$37,3,FALSE)),"")</f>
        <v/>
      </c>
      <c r="AE149" s="317" t="str">
        <f>IF(N149="","",VLOOKUP(N149,'G-7 WaterC'' Data'!$B$4:$G$8,5,FALSE))</f>
        <v/>
      </c>
      <c r="AF149" s="301" t="str">
        <f t="shared" si="23"/>
        <v/>
      </c>
      <c r="AG149" s="301" t="str">
        <f t="shared" si="28"/>
        <v/>
      </c>
      <c r="AH149" s="282" t="str">
        <f t="shared" si="24"/>
        <v/>
      </c>
      <c r="AI149" s="109"/>
      <c r="AJ149" s="282" t="str">
        <f>IF(AI149="","",(IF(AND(AI149="N/A - Culvert",N149&lt;&gt;"Culvert"),"Not possible ▲",IF(VLOOKUP(AI149,'G-7 WaterC'' Data'!$AA$4:$AB$7,2,FALSE)=0,"Spatial Data Missing ⚠",VLOOKUP(AI149,'G-7 WaterC'' Data'!$AA$4:$AB$7,2,FALSE)))))</f>
        <v/>
      </c>
      <c r="AK149" s="110"/>
      <c r="AL149" s="316" t="str">
        <f>IF(AK149="","",IF(AND(AK149="N/A - Culvert",N149&lt;&gt;"Culvert"),"Not possible ▲",IF(VLOOKUP(AK149,'G-7 WaterC'' Data'!$AD$4:$AE$14,2,FALSE)=0,"Spatial Data Missing ⚠",VLOOKUP(AK149,'G-7 WaterC'' Data'!$AD$4:$AE$14,2,FALSE))))</f>
        <v/>
      </c>
      <c r="AM149" s="281" t="str">
        <f>IF(B149="","",VLOOKUP($B149,'F-1 Off-Site WaterC'' Baseline'!$C$9:$Z$257,17,FALSE))</f>
        <v/>
      </c>
      <c r="AN149" s="282" t="str">
        <f>IF(AM149="","",IF(VLOOKUP(AM149,'G-7 WaterC'' Data'!$AO$4:$BO$7,2,FALSE)=0,"Spatial Data Missing ⚠",VLOOKUP(AM149,'G-7 WaterC'' Data'!$AO$4:$BO$7,2,FALSE)))</f>
        <v/>
      </c>
      <c r="AO149" s="323" t="str">
        <f t="shared" si="29"/>
        <v/>
      </c>
      <c r="AP149" s="323" t="str">
        <f t="shared" si="30"/>
        <v/>
      </c>
      <c r="AQ149" s="105"/>
      <c r="AR149" s="119"/>
      <c r="AS149" s="108"/>
      <c r="AT149" s="108"/>
      <c r="AW149" s="30" t="str">
        <f>IF(E149="","",VLOOKUP($B149,'F-1 Off-Site WaterC'' Baseline'!$C$9:$Z$257,12,FALSE))</f>
        <v/>
      </c>
      <c r="AX149" s="30" t="str">
        <f>IF(E149="","",VLOOKUP($B149,'F-1 Off-Site WaterC'' Baseline'!$C$9:$Z$257,14,FALSE))</f>
        <v/>
      </c>
      <c r="AY149" s="30" t="str">
        <f>IFERROR(INDEX('G-7 WaterC'' Data'!$AZ$3:$AZ$7,MATCH(N149,'G-7 WaterC'' Data'!$AY$3:$AY$7,0)),"")</f>
        <v/>
      </c>
      <c r="AZ149" s="30" t="str">
        <f>IF(B149="","",IF(ISNA(VLOOKUP($B149,'F-1 Off-Site WaterC'' Baseline'!$C$8:$AD$257,20,FALSE)),"",(VLOOKUP($B149,'F-1 Off-Site WaterC'' Baseline'!$C$8:$AD$257,20,FALSE))))</f>
        <v/>
      </c>
      <c r="BC149" s="30" t="str">
        <f>IF(B149="","",VLOOKUP($B149,'F-1 Off-Site WaterC'' Baseline'!$C$9:$AB$257,25,FALSE))</f>
        <v/>
      </c>
      <c r="BD149" s="30" t="str">
        <f t="shared" si="31"/>
        <v/>
      </c>
      <c r="BE149" s="30" t="str">
        <f>IF(B149="","",VLOOKUP($B149,'F-1 Off-Site WaterC'' Baseline'!$C$9:$AB$257,24,FALSE))</f>
        <v/>
      </c>
      <c r="BF149" s="30" t="str">
        <f>IF(B149="","",VLOOKUP($B149,'F-1 Off-Site WaterC'' Baseline'!$C$9:$AB$257,22,FALSE))</f>
        <v/>
      </c>
      <c r="BJ149" s="30" t="str">
        <f t="shared" si="32"/>
        <v>No</v>
      </c>
    </row>
    <row r="150" spans="2:62" ht="13.8" x14ac:dyDescent="0.25">
      <c r="B150" s="311" t="str">
        <f>'F-1 Off-Site WaterC'' Baseline'!AS148</f>
        <v/>
      </c>
      <c r="C150" s="301" t="str">
        <f>IF(B150="","",VLOOKUP($B150,'F-1 Off-Site WaterC'' Baseline'!$C$9:$R$257,2,FALSE))</f>
        <v/>
      </c>
      <c r="D150" s="301" t="str">
        <f>IF(C150="","",VLOOKUP($B150,'F-1 Off-Site WaterC'' Baseline'!$C$9:$R$257,3,FALSE))</f>
        <v/>
      </c>
      <c r="E150" s="301" t="str">
        <f>IF(D150="","",VLOOKUP($B150,'F-1 Off-Site WaterC'' Baseline'!$C$9:$R$257,4,FALSE))</f>
        <v/>
      </c>
      <c r="F150" s="301" t="str">
        <f>IF(E150="","",VLOOKUP($B150,'F-1 Off-Site WaterC'' Baseline'!$C$9:$R$257,5,FALSE))</f>
        <v/>
      </c>
      <c r="G150" s="301" t="str">
        <f>IF(F150="","",VLOOKUP($B150,'F-1 Off-Site WaterC'' Baseline'!$C$9:$R$257,6,FALSE))</f>
        <v/>
      </c>
      <c r="H150" s="301" t="str">
        <f>IF(G150="","",VLOOKUP($B150,'F-1 Off-Site WaterC'' Baseline'!$C$9:$R$257,7,FALSE))</f>
        <v/>
      </c>
      <c r="I150" s="301" t="str">
        <f>IF(H150="","",VLOOKUP($B150,'F-1 Off-Site WaterC'' Baseline'!$C$9:$R$257,8,FALSE))</f>
        <v/>
      </c>
      <c r="J150" s="301" t="str">
        <f>IF(I150="","",VLOOKUP($B150,'F-1 Off-Site WaterC'' Baseline'!$C$9:$R$257,9,FALSE))</f>
        <v/>
      </c>
      <c r="K150" s="301" t="str">
        <f>IF(J150="","",VLOOKUP($B150,'F-1 Off-Site WaterC'' Baseline'!$C$9:$R$257,10,FALSE))</f>
        <v/>
      </c>
      <c r="L150" s="289" t="str">
        <f>IF(B150="","",VLOOKUP($B150,'F-1 Off-Site WaterC'' Baseline'!$C$9:$R$257,15,FALSE))</f>
        <v/>
      </c>
      <c r="M150" s="305" t="str">
        <f>IF(L150="","",VLOOKUP($B150,'F-1 Off-Site WaterC'' Baseline'!$C$9:$V$257,19,FALSE))</f>
        <v/>
      </c>
      <c r="N150" s="250"/>
      <c r="O150" s="281" t="str">
        <f t="shared" si="25"/>
        <v/>
      </c>
      <c r="P150" s="282" t="str">
        <f t="shared" si="26"/>
        <v/>
      </c>
      <c r="Q150" s="287" t="str">
        <f>IF(N150="","",VLOOKUP(B150,'F-1 Off-Site WaterC'' Baseline'!$C$10:$AF$257,23,FALSE))</f>
        <v/>
      </c>
      <c r="R150" s="281" t="str">
        <f>IF(N150="","",VLOOKUP(N150,'G-7 WaterC'' Data'!$B$2:$G$8,2,FALSE))</f>
        <v/>
      </c>
      <c r="S150" s="282" t="str">
        <f>IFERROR(VLOOKUP(R150,'G-7 WaterC'' Data'!$C$4:$D$8,2,FALSE),"")</f>
        <v/>
      </c>
      <c r="T150" s="105"/>
      <c r="U150" s="282" t="str">
        <f>IFERROR(INDEX('G-7 WaterC'' Data'!$H$4:$L$8,MATCH(N150,'G-7 WaterC'' Data'!$B$4:$B$8,0),MATCH(T150,'G-7 WaterC'' Data'!$H$3:$L$3,0)),"")</f>
        <v/>
      </c>
      <c r="V150" s="109"/>
      <c r="W150" s="301" t="str">
        <f>IF(V150="","",IF(VLOOKUP(V150,'G-7 WaterC'' Data'!$AK$4:$AM$6,2,FALSE)=0,"Spatial Data Missing ⚠",VLOOKUP(V150,'G-7 WaterC'' Data'!$AK$4:$AM$6,2,FALSE)))</f>
        <v/>
      </c>
      <c r="X150" s="305" t="str">
        <f>IF(V150="","",IF(VLOOKUP(V150,'G-7 WaterC'' Data'!$AK$4:$AM$6,3,FALSE)=0,"Spatial Data Missing ⚠",VLOOKUP(V150,'G-7 WaterC'' Data'!$AK$4:$AM$6,3,FALSE)))</f>
        <v/>
      </c>
      <c r="Y150" s="317" t="str">
        <f>IFERROR(IF(OR(LEFT(P150,5)="Error",LEFT(O150,5)="Error"),"Check Data ⚠",IF(F150&lt;S150,'G-7 WaterC'' Data'!$R$3,INDEX('G-7 WaterC'' Data'!$U$5:$Y$9,MATCH(G150,'G-7 WaterC'' Data'!$T$5:$T$9,0),MATCH(T150,'G-7 WaterC'' Data'!$U$4:$Y$4,0)))),"")</f>
        <v/>
      </c>
      <c r="Z150" s="142"/>
      <c r="AA150" s="142"/>
      <c r="AB150" s="314" t="str">
        <f t="shared" si="22"/>
        <v/>
      </c>
      <c r="AC150" s="302" t="str">
        <f t="shared" si="27"/>
        <v/>
      </c>
      <c r="AD150" s="340" t="str">
        <f>IFERROR(IF(AC150="Check Data ⚠","Check Data ⚠",VLOOKUP(AC150,'G-4 Temporal multipliers'!$A$4:$C$37,3,FALSE)),"")</f>
        <v/>
      </c>
      <c r="AE150" s="317" t="str">
        <f>IF(N150="","",VLOOKUP(N150,'G-7 WaterC'' Data'!$B$4:$G$8,5,FALSE))</f>
        <v/>
      </c>
      <c r="AF150" s="301" t="str">
        <f t="shared" si="23"/>
        <v/>
      </c>
      <c r="AG150" s="301" t="str">
        <f t="shared" si="28"/>
        <v/>
      </c>
      <c r="AH150" s="282" t="str">
        <f t="shared" si="24"/>
        <v/>
      </c>
      <c r="AI150" s="109"/>
      <c r="AJ150" s="282" t="str">
        <f>IF(AI150="","",(IF(AND(AI150="N/A - Culvert",N150&lt;&gt;"Culvert"),"Not possible ▲",IF(VLOOKUP(AI150,'G-7 WaterC'' Data'!$AA$4:$AB$7,2,FALSE)=0,"Spatial Data Missing ⚠",VLOOKUP(AI150,'G-7 WaterC'' Data'!$AA$4:$AB$7,2,FALSE)))))</f>
        <v/>
      </c>
      <c r="AK150" s="110"/>
      <c r="AL150" s="316" t="str">
        <f>IF(AK150="","",IF(AND(AK150="N/A - Culvert",N150&lt;&gt;"Culvert"),"Not possible ▲",IF(VLOOKUP(AK150,'G-7 WaterC'' Data'!$AD$4:$AE$14,2,FALSE)=0,"Spatial Data Missing ⚠",VLOOKUP(AK150,'G-7 WaterC'' Data'!$AD$4:$AE$14,2,FALSE))))</f>
        <v/>
      </c>
      <c r="AM150" s="281" t="str">
        <f>IF(B150="","",VLOOKUP($B150,'F-1 Off-Site WaterC'' Baseline'!$C$9:$Z$257,17,FALSE))</f>
        <v/>
      </c>
      <c r="AN150" s="282" t="str">
        <f>IF(AM150="","",IF(VLOOKUP(AM150,'G-7 WaterC'' Data'!$AO$4:$BO$7,2,FALSE)=0,"Spatial Data Missing ⚠",VLOOKUP(AM150,'G-7 WaterC'' Data'!$AO$4:$BO$7,2,FALSE)))</f>
        <v/>
      </c>
      <c r="AO150" s="323" t="str">
        <f t="shared" si="29"/>
        <v/>
      </c>
      <c r="AP150" s="323" t="str">
        <f t="shared" si="30"/>
        <v/>
      </c>
      <c r="AQ150" s="105"/>
      <c r="AR150" s="119"/>
      <c r="AS150" s="108"/>
      <c r="AT150" s="108"/>
      <c r="AW150" s="30" t="str">
        <f>IF(E150="","",VLOOKUP($B150,'F-1 Off-Site WaterC'' Baseline'!$C$9:$Z$257,12,FALSE))</f>
        <v/>
      </c>
      <c r="AX150" s="30" t="str">
        <f>IF(E150="","",VLOOKUP($B150,'F-1 Off-Site WaterC'' Baseline'!$C$9:$Z$257,14,FALSE))</f>
        <v/>
      </c>
      <c r="AY150" s="30" t="str">
        <f>IFERROR(INDEX('G-7 WaterC'' Data'!$AZ$3:$AZ$7,MATCH(N150,'G-7 WaterC'' Data'!$AY$3:$AY$7,0)),"")</f>
        <v/>
      </c>
      <c r="AZ150" s="30" t="str">
        <f>IF(B150="","",IF(ISNA(VLOOKUP($B150,'F-1 Off-Site WaterC'' Baseline'!$C$8:$AD$257,20,FALSE)),"",(VLOOKUP($B150,'F-1 Off-Site WaterC'' Baseline'!$C$8:$AD$257,20,FALSE))))</f>
        <v/>
      </c>
      <c r="BC150" s="30" t="str">
        <f>IF(B150="","",VLOOKUP($B150,'F-1 Off-Site WaterC'' Baseline'!$C$9:$AB$257,25,FALSE))</f>
        <v/>
      </c>
      <c r="BD150" s="30" t="str">
        <f t="shared" si="31"/>
        <v/>
      </c>
      <c r="BE150" s="30" t="str">
        <f>IF(B150="","",VLOOKUP($B150,'F-1 Off-Site WaterC'' Baseline'!$C$9:$AB$257,24,FALSE))</f>
        <v/>
      </c>
      <c r="BF150" s="30" t="str">
        <f>IF(B150="","",VLOOKUP($B150,'F-1 Off-Site WaterC'' Baseline'!$C$9:$AB$257,22,FALSE))</f>
        <v/>
      </c>
      <c r="BJ150" s="30" t="str">
        <f t="shared" si="32"/>
        <v>No</v>
      </c>
    </row>
    <row r="151" spans="2:62" ht="13.8" x14ac:dyDescent="0.25">
      <c r="B151" s="311" t="str">
        <f>'F-1 Off-Site WaterC'' Baseline'!AS149</f>
        <v/>
      </c>
      <c r="C151" s="301" t="str">
        <f>IF(B151="","",VLOOKUP($B151,'F-1 Off-Site WaterC'' Baseline'!$C$9:$R$257,2,FALSE))</f>
        <v/>
      </c>
      <c r="D151" s="301" t="str">
        <f>IF(C151="","",VLOOKUP($B151,'F-1 Off-Site WaterC'' Baseline'!$C$9:$R$257,3,FALSE))</f>
        <v/>
      </c>
      <c r="E151" s="301" t="str">
        <f>IF(D151="","",VLOOKUP($B151,'F-1 Off-Site WaterC'' Baseline'!$C$9:$R$257,4,FALSE))</f>
        <v/>
      </c>
      <c r="F151" s="301" t="str">
        <f>IF(E151="","",VLOOKUP($B151,'F-1 Off-Site WaterC'' Baseline'!$C$9:$R$257,5,FALSE))</f>
        <v/>
      </c>
      <c r="G151" s="301" t="str">
        <f>IF(F151="","",VLOOKUP($B151,'F-1 Off-Site WaterC'' Baseline'!$C$9:$R$257,6,FALSE))</f>
        <v/>
      </c>
      <c r="H151" s="301" t="str">
        <f>IF(G151="","",VLOOKUP($B151,'F-1 Off-Site WaterC'' Baseline'!$C$9:$R$257,7,FALSE))</f>
        <v/>
      </c>
      <c r="I151" s="301" t="str">
        <f>IF(H151="","",VLOOKUP($B151,'F-1 Off-Site WaterC'' Baseline'!$C$9:$R$257,8,FALSE))</f>
        <v/>
      </c>
      <c r="J151" s="301" t="str">
        <f>IF(I151="","",VLOOKUP($B151,'F-1 Off-Site WaterC'' Baseline'!$C$9:$R$257,9,FALSE))</f>
        <v/>
      </c>
      <c r="K151" s="301" t="str">
        <f>IF(J151="","",VLOOKUP($B151,'F-1 Off-Site WaterC'' Baseline'!$C$9:$R$257,10,FALSE))</f>
        <v/>
      </c>
      <c r="L151" s="289" t="str">
        <f>IF(B151="","",VLOOKUP($B151,'F-1 Off-Site WaterC'' Baseline'!$C$9:$R$257,15,FALSE))</f>
        <v/>
      </c>
      <c r="M151" s="305" t="str">
        <f>IF(L151="","",VLOOKUP($B151,'F-1 Off-Site WaterC'' Baseline'!$C$9:$V$257,19,FALSE))</f>
        <v/>
      </c>
      <c r="N151" s="250"/>
      <c r="O151" s="281" t="str">
        <f t="shared" si="25"/>
        <v/>
      </c>
      <c r="P151" s="282" t="str">
        <f t="shared" si="26"/>
        <v/>
      </c>
      <c r="Q151" s="287" t="str">
        <f>IF(N151="","",VLOOKUP(B151,'F-1 Off-Site WaterC'' Baseline'!$C$10:$AF$257,23,FALSE))</f>
        <v/>
      </c>
      <c r="R151" s="281" t="str">
        <f>IF(N151="","",VLOOKUP(N151,'G-7 WaterC'' Data'!$B$2:$G$8,2,FALSE))</f>
        <v/>
      </c>
      <c r="S151" s="282" t="str">
        <f>IFERROR(VLOOKUP(R151,'G-7 WaterC'' Data'!$C$4:$D$8,2,FALSE),"")</f>
        <v/>
      </c>
      <c r="T151" s="105"/>
      <c r="U151" s="282" t="str">
        <f>IFERROR(INDEX('G-7 WaterC'' Data'!$H$4:$L$8,MATCH(N151,'G-7 WaterC'' Data'!$B$4:$B$8,0),MATCH(T151,'G-7 WaterC'' Data'!$H$3:$L$3,0)),"")</f>
        <v/>
      </c>
      <c r="V151" s="109"/>
      <c r="W151" s="301" t="str">
        <f>IF(V151="","",IF(VLOOKUP(V151,'G-7 WaterC'' Data'!$AK$4:$AM$6,2,FALSE)=0,"Spatial Data Missing ⚠",VLOOKUP(V151,'G-7 WaterC'' Data'!$AK$4:$AM$6,2,FALSE)))</f>
        <v/>
      </c>
      <c r="X151" s="305" t="str">
        <f>IF(V151="","",IF(VLOOKUP(V151,'G-7 WaterC'' Data'!$AK$4:$AM$6,3,FALSE)=0,"Spatial Data Missing ⚠",VLOOKUP(V151,'G-7 WaterC'' Data'!$AK$4:$AM$6,3,FALSE)))</f>
        <v/>
      </c>
      <c r="Y151" s="317" t="str">
        <f>IFERROR(IF(OR(LEFT(P151,5)="Error",LEFT(O151,5)="Error"),"Check Data ⚠",IF(F151&lt;S151,'G-7 WaterC'' Data'!$R$3,INDEX('G-7 WaterC'' Data'!$U$5:$Y$9,MATCH(G151,'G-7 WaterC'' Data'!$T$5:$T$9,0),MATCH(T151,'G-7 WaterC'' Data'!$U$4:$Y$4,0)))),"")</f>
        <v/>
      </c>
      <c r="Z151" s="142"/>
      <c r="AA151" s="142"/>
      <c r="AB151" s="314" t="str">
        <f t="shared" si="22"/>
        <v/>
      </c>
      <c r="AC151" s="302" t="str">
        <f t="shared" si="27"/>
        <v/>
      </c>
      <c r="AD151" s="340" t="str">
        <f>IFERROR(IF(AC151="Check Data ⚠","Check Data ⚠",VLOOKUP(AC151,'G-4 Temporal multipliers'!$A$4:$C$37,3,FALSE)),"")</f>
        <v/>
      </c>
      <c r="AE151" s="317" t="str">
        <f>IF(N151="","",VLOOKUP(N151,'G-7 WaterC'' Data'!$B$4:$G$8,5,FALSE))</f>
        <v/>
      </c>
      <c r="AF151" s="301" t="str">
        <f t="shared" si="23"/>
        <v/>
      </c>
      <c r="AG151" s="301" t="str">
        <f t="shared" si="28"/>
        <v/>
      </c>
      <c r="AH151" s="282" t="str">
        <f t="shared" si="24"/>
        <v/>
      </c>
      <c r="AI151" s="109"/>
      <c r="AJ151" s="282" t="str">
        <f>IF(AI151="","",(IF(AND(AI151="N/A - Culvert",N151&lt;&gt;"Culvert"),"Not possible ▲",IF(VLOOKUP(AI151,'G-7 WaterC'' Data'!$AA$4:$AB$7,2,FALSE)=0,"Spatial Data Missing ⚠",VLOOKUP(AI151,'G-7 WaterC'' Data'!$AA$4:$AB$7,2,FALSE)))))</f>
        <v/>
      </c>
      <c r="AK151" s="110"/>
      <c r="AL151" s="316" t="str">
        <f>IF(AK151="","",IF(AND(AK151="N/A - Culvert",N151&lt;&gt;"Culvert"),"Not possible ▲",IF(VLOOKUP(AK151,'G-7 WaterC'' Data'!$AD$4:$AE$14,2,FALSE)=0,"Spatial Data Missing ⚠",VLOOKUP(AK151,'G-7 WaterC'' Data'!$AD$4:$AE$14,2,FALSE))))</f>
        <v/>
      </c>
      <c r="AM151" s="281" t="str">
        <f>IF(B151="","",VLOOKUP($B151,'F-1 Off-Site WaterC'' Baseline'!$C$9:$Z$257,17,FALSE))</f>
        <v/>
      </c>
      <c r="AN151" s="282" t="str">
        <f>IF(AM151="","",IF(VLOOKUP(AM151,'G-7 WaterC'' Data'!$AO$4:$BO$7,2,FALSE)=0,"Spatial Data Missing ⚠",VLOOKUP(AM151,'G-7 WaterC'' Data'!$AO$4:$BO$7,2,FALSE)))</f>
        <v/>
      </c>
      <c r="AO151" s="323" t="str">
        <f t="shared" si="29"/>
        <v/>
      </c>
      <c r="AP151" s="323" t="str">
        <f t="shared" si="30"/>
        <v/>
      </c>
      <c r="AQ151" s="105"/>
      <c r="AR151" s="119"/>
      <c r="AS151" s="108"/>
      <c r="AT151" s="108"/>
      <c r="AW151" s="30" t="str">
        <f>IF(E151="","",VLOOKUP($B151,'F-1 Off-Site WaterC'' Baseline'!$C$9:$Z$257,12,FALSE))</f>
        <v/>
      </c>
      <c r="AX151" s="30" t="str">
        <f>IF(E151="","",VLOOKUP($B151,'F-1 Off-Site WaterC'' Baseline'!$C$9:$Z$257,14,FALSE))</f>
        <v/>
      </c>
      <c r="AY151" s="30" t="str">
        <f>IFERROR(INDEX('G-7 WaterC'' Data'!$AZ$3:$AZ$7,MATCH(N151,'G-7 WaterC'' Data'!$AY$3:$AY$7,0)),"")</f>
        <v/>
      </c>
      <c r="AZ151" s="30" t="str">
        <f>IF(B151="","",IF(ISNA(VLOOKUP($B151,'F-1 Off-Site WaterC'' Baseline'!$C$8:$AD$257,20,FALSE)),"",(VLOOKUP($B151,'F-1 Off-Site WaterC'' Baseline'!$C$8:$AD$257,20,FALSE))))</f>
        <v/>
      </c>
      <c r="BC151" s="30" t="str">
        <f>IF(B151="","",VLOOKUP($B151,'F-1 Off-Site WaterC'' Baseline'!$C$9:$AB$257,25,FALSE))</f>
        <v/>
      </c>
      <c r="BD151" s="30" t="str">
        <f t="shared" si="31"/>
        <v/>
      </c>
      <c r="BE151" s="30" t="str">
        <f>IF(B151="","",VLOOKUP($B151,'F-1 Off-Site WaterC'' Baseline'!$C$9:$AB$257,24,FALSE))</f>
        <v/>
      </c>
      <c r="BF151" s="30" t="str">
        <f>IF(B151="","",VLOOKUP($B151,'F-1 Off-Site WaterC'' Baseline'!$C$9:$AB$257,22,FALSE))</f>
        <v/>
      </c>
      <c r="BJ151" s="30" t="str">
        <f t="shared" si="32"/>
        <v>No</v>
      </c>
    </row>
    <row r="152" spans="2:62" ht="13.8" x14ac:dyDescent="0.25">
      <c r="B152" s="311" t="str">
        <f>'F-1 Off-Site WaterC'' Baseline'!AS150</f>
        <v/>
      </c>
      <c r="C152" s="301" t="str">
        <f>IF(B152="","",VLOOKUP($B152,'F-1 Off-Site WaterC'' Baseline'!$C$9:$R$257,2,FALSE))</f>
        <v/>
      </c>
      <c r="D152" s="301" t="str">
        <f>IF(C152="","",VLOOKUP($B152,'F-1 Off-Site WaterC'' Baseline'!$C$9:$R$257,3,FALSE))</f>
        <v/>
      </c>
      <c r="E152" s="301" t="str">
        <f>IF(D152="","",VLOOKUP($B152,'F-1 Off-Site WaterC'' Baseline'!$C$9:$R$257,4,FALSE))</f>
        <v/>
      </c>
      <c r="F152" s="301" t="str">
        <f>IF(E152="","",VLOOKUP($B152,'F-1 Off-Site WaterC'' Baseline'!$C$9:$R$257,5,FALSE))</f>
        <v/>
      </c>
      <c r="G152" s="301" t="str">
        <f>IF(F152="","",VLOOKUP($B152,'F-1 Off-Site WaterC'' Baseline'!$C$9:$R$257,6,FALSE))</f>
        <v/>
      </c>
      <c r="H152" s="301" t="str">
        <f>IF(G152="","",VLOOKUP($B152,'F-1 Off-Site WaterC'' Baseline'!$C$9:$R$257,7,FALSE))</f>
        <v/>
      </c>
      <c r="I152" s="301" t="str">
        <f>IF(H152="","",VLOOKUP($B152,'F-1 Off-Site WaterC'' Baseline'!$C$9:$R$257,8,FALSE))</f>
        <v/>
      </c>
      <c r="J152" s="301" t="str">
        <f>IF(I152="","",VLOOKUP($B152,'F-1 Off-Site WaterC'' Baseline'!$C$9:$R$257,9,FALSE))</f>
        <v/>
      </c>
      <c r="K152" s="301" t="str">
        <f>IF(J152="","",VLOOKUP($B152,'F-1 Off-Site WaterC'' Baseline'!$C$9:$R$257,10,FALSE))</f>
        <v/>
      </c>
      <c r="L152" s="289" t="str">
        <f>IF(B152="","",VLOOKUP($B152,'F-1 Off-Site WaterC'' Baseline'!$C$9:$R$257,15,FALSE))</f>
        <v/>
      </c>
      <c r="M152" s="305" t="str">
        <f>IF(L152="","",VLOOKUP($B152,'F-1 Off-Site WaterC'' Baseline'!$C$9:$V$257,19,FALSE))</f>
        <v/>
      </c>
      <c r="N152" s="250"/>
      <c r="O152" s="281" t="str">
        <f t="shared" si="25"/>
        <v/>
      </c>
      <c r="P152" s="282" t="str">
        <f t="shared" si="26"/>
        <v/>
      </c>
      <c r="Q152" s="287" t="str">
        <f>IF(N152="","",VLOOKUP(B152,'F-1 Off-Site WaterC'' Baseline'!$C$10:$AF$257,23,FALSE))</f>
        <v/>
      </c>
      <c r="R152" s="281" t="str">
        <f>IF(N152="","",VLOOKUP(N152,'G-7 WaterC'' Data'!$B$2:$G$8,2,FALSE))</f>
        <v/>
      </c>
      <c r="S152" s="282" t="str">
        <f>IFERROR(VLOOKUP(R152,'G-7 WaterC'' Data'!$C$4:$D$8,2,FALSE),"")</f>
        <v/>
      </c>
      <c r="T152" s="105"/>
      <c r="U152" s="282" t="str">
        <f>IFERROR(INDEX('G-7 WaterC'' Data'!$H$4:$L$8,MATCH(N152,'G-7 WaterC'' Data'!$B$4:$B$8,0),MATCH(T152,'G-7 WaterC'' Data'!$H$3:$L$3,0)),"")</f>
        <v/>
      </c>
      <c r="V152" s="109"/>
      <c r="W152" s="301" t="str">
        <f>IF(V152="","",IF(VLOOKUP(V152,'G-7 WaterC'' Data'!$AK$4:$AM$6,2,FALSE)=0,"Spatial Data Missing ⚠",VLOOKUP(V152,'G-7 WaterC'' Data'!$AK$4:$AM$6,2,FALSE)))</f>
        <v/>
      </c>
      <c r="X152" s="305" t="str">
        <f>IF(V152="","",IF(VLOOKUP(V152,'G-7 WaterC'' Data'!$AK$4:$AM$6,3,FALSE)=0,"Spatial Data Missing ⚠",VLOOKUP(V152,'G-7 WaterC'' Data'!$AK$4:$AM$6,3,FALSE)))</f>
        <v/>
      </c>
      <c r="Y152" s="317" t="str">
        <f>IFERROR(IF(OR(LEFT(P152,5)="Error",LEFT(O152,5)="Error"),"Check Data ⚠",IF(F152&lt;S152,'G-7 WaterC'' Data'!$R$3,INDEX('G-7 WaterC'' Data'!$U$5:$Y$9,MATCH(G152,'G-7 WaterC'' Data'!$T$5:$T$9,0),MATCH(T152,'G-7 WaterC'' Data'!$U$4:$Y$4,0)))),"")</f>
        <v/>
      </c>
      <c r="Z152" s="142"/>
      <c r="AA152" s="142"/>
      <c r="AB152" s="314" t="str">
        <f t="shared" si="22"/>
        <v/>
      </c>
      <c r="AC152" s="302" t="str">
        <f t="shared" si="27"/>
        <v/>
      </c>
      <c r="AD152" s="340" t="str">
        <f>IFERROR(IF(AC152="Check Data ⚠","Check Data ⚠",VLOOKUP(AC152,'G-4 Temporal multipliers'!$A$4:$C$37,3,FALSE)),"")</f>
        <v/>
      </c>
      <c r="AE152" s="317" t="str">
        <f>IF(N152="","",VLOOKUP(N152,'G-7 WaterC'' Data'!$B$4:$G$8,5,FALSE))</f>
        <v/>
      </c>
      <c r="AF152" s="301" t="str">
        <f t="shared" si="23"/>
        <v/>
      </c>
      <c r="AG152" s="301" t="str">
        <f t="shared" si="28"/>
        <v/>
      </c>
      <c r="AH152" s="282" t="str">
        <f t="shared" si="24"/>
        <v/>
      </c>
      <c r="AI152" s="109"/>
      <c r="AJ152" s="282" t="str">
        <f>IF(AI152="","",(IF(AND(AI152="N/A - Culvert",N152&lt;&gt;"Culvert"),"Not possible ▲",IF(VLOOKUP(AI152,'G-7 WaterC'' Data'!$AA$4:$AB$7,2,FALSE)=0,"Spatial Data Missing ⚠",VLOOKUP(AI152,'G-7 WaterC'' Data'!$AA$4:$AB$7,2,FALSE)))))</f>
        <v/>
      </c>
      <c r="AK152" s="110"/>
      <c r="AL152" s="316" t="str">
        <f>IF(AK152="","",IF(AND(AK152="N/A - Culvert",N152&lt;&gt;"Culvert"),"Not possible ▲",IF(VLOOKUP(AK152,'G-7 WaterC'' Data'!$AD$4:$AE$14,2,FALSE)=0,"Spatial Data Missing ⚠",VLOOKUP(AK152,'G-7 WaterC'' Data'!$AD$4:$AE$14,2,FALSE))))</f>
        <v/>
      </c>
      <c r="AM152" s="281" t="str">
        <f>IF(B152="","",VLOOKUP($B152,'F-1 Off-Site WaterC'' Baseline'!$C$9:$Z$257,17,FALSE))</f>
        <v/>
      </c>
      <c r="AN152" s="282" t="str">
        <f>IF(AM152="","",IF(VLOOKUP(AM152,'G-7 WaterC'' Data'!$AO$4:$BO$7,2,FALSE)=0,"Spatial Data Missing ⚠",VLOOKUP(AM152,'G-7 WaterC'' Data'!$AO$4:$BO$7,2,FALSE)))</f>
        <v/>
      </c>
      <c r="AO152" s="323" t="str">
        <f t="shared" si="29"/>
        <v/>
      </c>
      <c r="AP152" s="323" t="str">
        <f t="shared" si="30"/>
        <v/>
      </c>
      <c r="AQ152" s="105"/>
      <c r="AR152" s="119"/>
      <c r="AS152" s="108"/>
      <c r="AT152" s="108"/>
      <c r="AW152" s="30" t="str">
        <f>IF(E152="","",VLOOKUP($B152,'F-1 Off-Site WaterC'' Baseline'!$C$9:$Z$257,12,FALSE))</f>
        <v/>
      </c>
      <c r="AX152" s="30" t="str">
        <f>IF(E152="","",VLOOKUP($B152,'F-1 Off-Site WaterC'' Baseline'!$C$9:$Z$257,14,FALSE))</f>
        <v/>
      </c>
      <c r="AY152" s="30" t="str">
        <f>IFERROR(INDEX('G-7 WaterC'' Data'!$AZ$3:$AZ$7,MATCH(N152,'G-7 WaterC'' Data'!$AY$3:$AY$7,0)),"")</f>
        <v/>
      </c>
      <c r="AZ152" s="30" t="str">
        <f>IF(B152="","",IF(ISNA(VLOOKUP($B152,'F-1 Off-Site WaterC'' Baseline'!$C$8:$AD$257,20,FALSE)),"",(VLOOKUP($B152,'F-1 Off-Site WaterC'' Baseline'!$C$8:$AD$257,20,FALSE))))</f>
        <v/>
      </c>
      <c r="BC152" s="30" t="str">
        <f>IF(B152="","",VLOOKUP($B152,'F-1 Off-Site WaterC'' Baseline'!$C$9:$AB$257,25,FALSE))</f>
        <v/>
      </c>
      <c r="BD152" s="30" t="str">
        <f t="shared" si="31"/>
        <v/>
      </c>
      <c r="BE152" s="30" t="str">
        <f>IF(B152="","",VLOOKUP($B152,'F-1 Off-Site WaterC'' Baseline'!$C$9:$AB$257,24,FALSE))</f>
        <v/>
      </c>
      <c r="BF152" s="30" t="str">
        <f>IF(B152="","",VLOOKUP($B152,'F-1 Off-Site WaterC'' Baseline'!$C$9:$AB$257,22,FALSE))</f>
        <v/>
      </c>
      <c r="BJ152" s="30" t="str">
        <f t="shared" si="32"/>
        <v>No</v>
      </c>
    </row>
    <row r="153" spans="2:62" ht="13.8" x14ac:dyDescent="0.25">
      <c r="B153" s="311" t="str">
        <f>'F-1 Off-Site WaterC'' Baseline'!AS151</f>
        <v/>
      </c>
      <c r="C153" s="301" t="str">
        <f>IF(B153="","",VLOOKUP($B153,'F-1 Off-Site WaterC'' Baseline'!$C$9:$R$257,2,FALSE))</f>
        <v/>
      </c>
      <c r="D153" s="301" t="str">
        <f>IF(C153="","",VLOOKUP($B153,'F-1 Off-Site WaterC'' Baseline'!$C$9:$R$257,3,FALSE))</f>
        <v/>
      </c>
      <c r="E153" s="301" t="str">
        <f>IF(D153="","",VLOOKUP($B153,'F-1 Off-Site WaterC'' Baseline'!$C$9:$R$257,4,FALSE))</f>
        <v/>
      </c>
      <c r="F153" s="301" t="str">
        <f>IF(E153="","",VLOOKUP($B153,'F-1 Off-Site WaterC'' Baseline'!$C$9:$R$257,5,FALSE))</f>
        <v/>
      </c>
      <c r="G153" s="301" t="str">
        <f>IF(F153="","",VLOOKUP($B153,'F-1 Off-Site WaterC'' Baseline'!$C$9:$R$257,6,FALSE))</f>
        <v/>
      </c>
      <c r="H153" s="301" t="str">
        <f>IF(G153="","",VLOOKUP($B153,'F-1 Off-Site WaterC'' Baseline'!$C$9:$R$257,7,FALSE))</f>
        <v/>
      </c>
      <c r="I153" s="301" t="str">
        <f>IF(H153="","",VLOOKUP($B153,'F-1 Off-Site WaterC'' Baseline'!$C$9:$R$257,8,FALSE))</f>
        <v/>
      </c>
      <c r="J153" s="301" t="str">
        <f>IF(I153="","",VLOOKUP($B153,'F-1 Off-Site WaterC'' Baseline'!$C$9:$R$257,9,FALSE))</f>
        <v/>
      </c>
      <c r="K153" s="301" t="str">
        <f>IF(J153="","",VLOOKUP($B153,'F-1 Off-Site WaterC'' Baseline'!$C$9:$R$257,10,FALSE))</f>
        <v/>
      </c>
      <c r="L153" s="289" t="str">
        <f>IF(B153="","",VLOOKUP($B153,'F-1 Off-Site WaterC'' Baseline'!$C$9:$R$257,15,FALSE))</f>
        <v/>
      </c>
      <c r="M153" s="305" t="str">
        <f>IF(L153="","",VLOOKUP($B153,'F-1 Off-Site WaterC'' Baseline'!$C$9:$V$257,19,FALSE))</f>
        <v/>
      </c>
      <c r="N153" s="250"/>
      <c r="O153" s="281" t="str">
        <f t="shared" si="25"/>
        <v/>
      </c>
      <c r="P153" s="282" t="str">
        <f t="shared" si="26"/>
        <v/>
      </c>
      <c r="Q153" s="287" t="str">
        <f>IF(N153="","",VLOOKUP(B153,'F-1 Off-Site WaterC'' Baseline'!$C$10:$AF$257,23,FALSE))</f>
        <v/>
      </c>
      <c r="R153" s="281" t="str">
        <f>IF(N153="","",VLOOKUP(N153,'G-7 WaterC'' Data'!$B$2:$G$8,2,FALSE))</f>
        <v/>
      </c>
      <c r="S153" s="282" t="str">
        <f>IFERROR(VLOOKUP(R153,'G-7 WaterC'' Data'!$C$4:$D$8,2,FALSE),"")</f>
        <v/>
      </c>
      <c r="T153" s="105"/>
      <c r="U153" s="282" t="str">
        <f>IFERROR(INDEX('G-7 WaterC'' Data'!$H$4:$L$8,MATCH(N153,'G-7 WaterC'' Data'!$B$4:$B$8,0),MATCH(T153,'G-7 WaterC'' Data'!$H$3:$L$3,0)),"")</f>
        <v/>
      </c>
      <c r="V153" s="109"/>
      <c r="W153" s="301" t="str">
        <f>IF(V153="","",IF(VLOOKUP(V153,'G-7 WaterC'' Data'!$AK$4:$AM$6,2,FALSE)=0,"Spatial Data Missing ⚠",VLOOKUP(V153,'G-7 WaterC'' Data'!$AK$4:$AM$6,2,FALSE)))</f>
        <v/>
      </c>
      <c r="X153" s="305" t="str">
        <f>IF(V153="","",IF(VLOOKUP(V153,'G-7 WaterC'' Data'!$AK$4:$AM$6,3,FALSE)=0,"Spatial Data Missing ⚠",VLOOKUP(V153,'G-7 WaterC'' Data'!$AK$4:$AM$6,3,FALSE)))</f>
        <v/>
      </c>
      <c r="Y153" s="317" t="str">
        <f>IFERROR(IF(OR(LEFT(P153,5)="Error",LEFT(O153,5)="Error"),"Check Data ⚠",IF(F153&lt;S153,'G-7 WaterC'' Data'!$R$3,INDEX('G-7 WaterC'' Data'!$U$5:$Y$9,MATCH(G153,'G-7 WaterC'' Data'!$T$5:$T$9,0),MATCH(T153,'G-7 WaterC'' Data'!$U$4:$Y$4,0)))),"")</f>
        <v/>
      </c>
      <c r="Z153" s="142"/>
      <c r="AA153" s="142"/>
      <c r="AB153" s="314" t="str">
        <f t="shared" si="22"/>
        <v/>
      </c>
      <c r="AC153" s="302" t="str">
        <f t="shared" si="27"/>
        <v/>
      </c>
      <c r="AD153" s="340" t="str">
        <f>IFERROR(IF(AC153="Check Data ⚠","Check Data ⚠",VLOOKUP(AC153,'G-4 Temporal multipliers'!$A$4:$C$37,3,FALSE)),"")</f>
        <v/>
      </c>
      <c r="AE153" s="317" t="str">
        <f>IF(N153="","",VLOOKUP(N153,'G-7 WaterC'' Data'!$B$4:$G$8,5,FALSE))</f>
        <v/>
      </c>
      <c r="AF153" s="301" t="str">
        <f t="shared" si="23"/>
        <v/>
      </c>
      <c r="AG153" s="301" t="str">
        <f t="shared" si="28"/>
        <v/>
      </c>
      <c r="AH153" s="282" t="str">
        <f t="shared" si="24"/>
        <v/>
      </c>
      <c r="AI153" s="109"/>
      <c r="AJ153" s="282" t="str">
        <f>IF(AI153="","",(IF(AND(AI153="N/A - Culvert",N153&lt;&gt;"Culvert"),"Not possible ▲",IF(VLOOKUP(AI153,'G-7 WaterC'' Data'!$AA$4:$AB$7,2,FALSE)=0,"Spatial Data Missing ⚠",VLOOKUP(AI153,'G-7 WaterC'' Data'!$AA$4:$AB$7,2,FALSE)))))</f>
        <v/>
      </c>
      <c r="AK153" s="110"/>
      <c r="AL153" s="316" t="str">
        <f>IF(AK153="","",IF(AND(AK153="N/A - Culvert",N153&lt;&gt;"Culvert"),"Not possible ▲",IF(VLOOKUP(AK153,'G-7 WaterC'' Data'!$AD$4:$AE$14,2,FALSE)=0,"Spatial Data Missing ⚠",VLOOKUP(AK153,'G-7 WaterC'' Data'!$AD$4:$AE$14,2,FALSE))))</f>
        <v/>
      </c>
      <c r="AM153" s="281" t="str">
        <f>IF(B153="","",VLOOKUP($B153,'F-1 Off-Site WaterC'' Baseline'!$C$9:$Z$257,17,FALSE))</f>
        <v/>
      </c>
      <c r="AN153" s="282" t="str">
        <f>IF(AM153="","",IF(VLOOKUP(AM153,'G-7 WaterC'' Data'!$AO$4:$BO$7,2,FALSE)=0,"Spatial Data Missing ⚠",VLOOKUP(AM153,'G-7 WaterC'' Data'!$AO$4:$BO$7,2,FALSE)))</f>
        <v/>
      </c>
      <c r="AO153" s="323" t="str">
        <f t="shared" si="29"/>
        <v/>
      </c>
      <c r="AP153" s="323" t="str">
        <f t="shared" si="30"/>
        <v/>
      </c>
      <c r="AQ153" s="105"/>
      <c r="AR153" s="119"/>
      <c r="AS153" s="108"/>
      <c r="AT153" s="108"/>
      <c r="AW153" s="30" t="str">
        <f>IF(E153="","",VLOOKUP($B153,'F-1 Off-Site WaterC'' Baseline'!$C$9:$Z$257,12,FALSE))</f>
        <v/>
      </c>
      <c r="AX153" s="30" t="str">
        <f>IF(E153="","",VLOOKUP($B153,'F-1 Off-Site WaterC'' Baseline'!$C$9:$Z$257,14,FALSE))</f>
        <v/>
      </c>
      <c r="AY153" s="30" t="str">
        <f>IFERROR(INDEX('G-7 WaterC'' Data'!$AZ$3:$AZ$7,MATCH(N153,'G-7 WaterC'' Data'!$AY$3:$AY$7,0)),"")</f>
        <v/>
      </c>
      <c r="AZ153" s="30" t="str">
        <f>IF(B153="","",IF(ISNA(VLOOKUP($B153,'F-1 Off-Site WaterC'' Baseline'!$C$8:$AD$257,20,FALSE)),"",(VLOOKUP($B153,'F-1 Off-Site WaterC'' Baseline'!$C$8:$AD$257,20,FALSE))))</f>
        <v/>
      </c>
      <c r="BC153" s="30" t="str">
        <f>IF(B153="","",VLOOKUP($B153,'F-1 Off-Site WaterC'' Baseline'!$C$9:$AB$257,25,FALSE))</f>
        <v/>
      </c>
      <c r="BD153" s="30" t="str">
        <f t="shared" si="31"/>
        <v/>
      </c>
      <c r="BE153" s="30" t="str">
        <f>IF(B153="","",VLOOKUP($B153,'F-1 Off-Site WaterC'' Baseline'!$C$9:$AB$257,24,FALSE))</f>
        <v/>
      </c>
      <c r="BF153" s="30" t="str">
        <f>IF(B153="","",VLOOKUP($B153,'F-1 Off-Site WaterC'' Baseline'!$C$9:$AB$257,22,FALSE))</f>
        <v/>
      </c>
      <c r="BJ153" s="30" t="str">
        <f t="shared" si="32"/>
        <v>No</v>
      </c>
    </row>
    <row r="154" spans="2:62" ht="13.8" x14ac:dyDescent="0.25">
      <c r="B154" s="311" t="str">
        <f>'F-1 Off-Site WaterC'' Baseline'!AS152</f>
        <v/>
      </c>
      <c r="C154" s="301" t="str">
        <f>IF(B154="","",VLOOKUP($B154,'F-1 Off-Site WaterC'' Baseline'!$C$9:$R$257,2,FALSE))</f>
        <v/>
      </c>
      <c r="D154" s="301" t="str">
        <f>IF(C154="","",VLOOKUP($B154,'F-1 Off-Site WaterC'' Baseline'!$C$9:$R$257,3,FALSE))</f>
        <v/>
      </c>
      <c r="E154" s="301" t="str">
        <f>IF(D154="","",VLOOKUP($B154,'F-1 Off-Site WaterC'' Baseline'!$C$9:$R$257,4,FALSE))</f>
        <v/>
      </c>
      <c r="F154" s="301" t="str">
        <f>IF(E154="","",VLOOKUP($B154,'F-1 Off-Site WaterC'' Baseline'!$C$9:$R$257,5,FALSE))</f>
        <v/>
      </c>
      <c r="G154" s="301" t="str">
        <f>IF(F154="","",VLOOKUP($B154,'F-1 Off-Site WaterC'' Baseline'!$C$9:$R$257,6,FALSE))</f>
        <v/>
      </c>
      <c r="H154" s="301" t="str">
        <f>IF(G154="","",VLOOKUP($B154,'F-1 Off-Site WaterC'' Baseline'!$C$9:$R$257,7,FALSE))</f>
        <v/>
      </c>
      <c r="I154" s="301" t="str">
        <f>IF(H154="","",VLOOKUP($B154,'F-1 Off-Site WaterC'' Baseline'!$C$9:$R$257,8,FALSE))</f>
        <v/>
      </c>
      <c r="J154" s="301" t="str">
        <f>IF(I154="","",VLOOKUP($B154,'F-1 Off-Site WaterC'' Baseline'!$C$9:$R$257,9,FALSE))</f>
        <v/>
      </c>
      <c r="K154" s="301" t="str">
        <f>IF(J154="","",VLOOKUP($B154,'F-1 Off-Site WaterC'' Baseline'!$C$9:$R$257,10,FALSE))</f>
        <v/>
      </c>
      <c r="L154" s="289" t="str">
        <f>IF(B154="","",VLOOKUP($B154,'F-1 Off-Site WaterC'' Baseline'!$C$9:$R$257,15,FALSE))</f>
        <v/>
      </c>
      <c r="M154" s="305" t="str">
        <f>IF(L154="","",VLOOKUP($B154,'F-1 Off-Site WaterC'' Baseline'!$C$9:$V$257,19,FALSE))</f>
        <v/>
      </c>
      <c r="N154" s="250"/>
      <c r="O154" s="281" t="str">
        <f t="shared" si="25"/>
        <v/>
      </c>
      <c r="P154" s="282" t="str">
        <f t="shared" si="26"/>
        <v/>
      </c>
      <c r="Q154" s="287" t="str">
        <f>IF(N154="","",VLOOKUP(B154,'F-1 Off-Site WaterC'' Baseline'!$C$10:$AF$257,23,FALSE))</f>
        <v/>
      </c>
      <c r="R154" s="281" t="str">
        <f>IF(N154="","",VLOOKUP(N154,'G-7 WaterC'' Data'!$B$2:$G$8,2,FALSE))</f>
        <v/>
      </c>
      <c r="S154" s="282" t="str">
        <f>IFERROR(VLOOKUP(R154,'G-7 WaterC'' Data'!$C$4:$D$8,2,FALSE),"")</f>
        <v/>
      </c>
      <c r="T154" s="105"/>
      <c r="U154" s="282" t="str">
        <f>IFERROR(INDEX('G-7 WaterC'' Data'!$H$4:$L$8,MATCH(N154,'G-7 WaterC'' Data'!$B$4:$B$8,0),MATCH(T154,'G-7 WaterC'' Data'!$H$3:$L$3,0)),"")</f>
        <v/>
      </c>
      <c r="V154" s="109"/>
      <c r="W154" s="301" t="str">
        <f>IF(V154="","",IF(VLOOKUP(V154,'G-7 WaterC'' Data'!$AK$4:$AM$6,2,FALSE)=0,"Spatial Data Missing ⚠",VLOOKUP(V154,'G-7 WaterC'' Data'!$AK$4:$AM$6,2,FALSE)))</f>
        <v/>
      </c>
      <c r="X154" s="305" t="str">
        <f>IF(V154="","",IF(VLOOKUP(V154,'G-7 WaterC'' Data'!$AK$4:$AM$6,3,FALSE)=0,"Spatial Data Missing ⚠",VLOOKUP(V154,'G-7 WaterC'' Data'!$AK$4:$AM$6,3,FALSE)))</f>
        <v/>
      </c>
      <c r="Y154" s="317" t="str">
        <f>IFERROR(IF(OR(LEFT(P154,5)="Error",LEFT(O154,5)="Error"),"Check Data ⚠",IF(F154&lt;S154,'G-7 WaterC'' Data'!$R$3,INDEX('G-7 WaterC'' Data'!$U$5:$Y$9,MATCH(G154,'G-7 WaterC'' Data'!$T$5:$T$9,0),MATCH(T154,'G-7 WaterC'' Data'!$U$4:$Y$4,0)))),"")</f>
        <v/>
      </c>
      <c r="Z154" s="142"/>
      <c r="AA154" s="142"/>
      <c r="AB154" s="314" t="str">
        <f t="shared" si="22"/>
        <v/>
      </c>
      <c r="AC154" s="302" t="str">
        <f t="shared" si="27"/>
        <v/>
      </c>
      <c r="AD154" s="340" t="str">
        <f>IFERROR(IF(AC154="Check Data ⚠","Check Data ⚠",VLOOKUP(AC154,'G-4 Temporal multipliers'!$A$4:$C$37,3,FALSE)),"")</f>
        <v/>
      </c>
      <c r="AE154" s="317" t="str">
        <f>IF(N154="","",VLOOKUP(N154,'G-7 WaterC'' Data'!$B$4:$G$8,5,FALSE))</f>
        <v/>
      </c>
      <c r="AF154" s="301" t="str">
        <f t="shared" si="23"/>
        <v/>
      </c>
      <c r="AG154" s="301" t="str">
        <f t="shared" si="28"/>
        <v/>
      </c>
      <c r="AH154" s="282" t="str">
        <f t="shared" si="24"/>
        <v/>
      </c>
      <c r="AI154" s="109"/>
      <c r="AJ154" s="282" t="str">
        <f>IF(AI154="","",(IF(AND(AI154="N/A - Culvert",N154&lt;&gt;"Culvert"),"Not possible ▲",IF(VLOOKUP(AI154,'G-7 WaterC'' Data'!$AA$4:$AB$7,2,FALSE)=0,"Spatial Data Missing ⚠",VLOOKUP(AI154,'G-7 WaterC'' Data'!$AA$4:$AB$7,2,FALSE)))))</f>
        <v/>
      </c>
      <c r="AK154" s="110"/>
      <c r="AL154" s="316" t="str">
        <f>IF(AK154="","",IF(AND(AK154="N/A - Culvert",N154&lt;&gt;"Culvert"),"Not possible ▲",IF(VLOOKUP(AK154,'G-7 WaterC'' Data'!$AD$4:$AE$14,2,FALSE)=0,"Spatial Data Missing ⚠",VLOOKUP(AK154,'G-7 WaterC'' Data'!$AD$4:$AE$14,2,FALSE))))</f>
        <v/>
      </c>
      <c r="AM154" s="281" t="str">
        <f>IF(B154="","",VLOOKUP($B154,'F-1 Off-Site WaterC'' Baseline'!$C$9:$Z$257,17,FALSE))</f>
        <v/>
      </c>
      <c r="AN154" s="282" t="str">
        <f>IF(AM154="","",IF(VLOOKUP(AM154,'G-7 WaterC'' Data'!$AO$4:$BO$7,2,FALSE)=0,"Spatial Data Missing ⚠",VLOOKUP(AM154,'G-7 WaterC'' Data'!$AO$4:$BO$7,2,FALSE)))</f>
        <v/>
      </c>
      <c r="AO154" s="323" t="str">
        <f t="shared" si="29"/>
        <v/>
      </c>
      <c r="AP154" s="323" t="str">
        <f t="shared" si="30"/>
        <v/>
      </c>
      <c r="AQ154" s="105"/>
      <c r="AR154" s="119"/>
      <c r="AS154" s="108"/>
      <c r="AT154" s="108"/>
      <c r="AW154" s="30" t="str">
        <f>IF(E154="","",VLOOKUP($B154,'F-1 Off-Site WaterC'' Baseline'!$C$9:$Z$257,12,FALSE))</f>
        <v/>
      </c>
      <c r="AX154" s="30" t="str">
        <f>IF(E154="","",VLOOKUP($B154,'F-1 Off-Site WaterC'' Baseline'!$C$9:$Z$257,14,FALSE))</f>
        <v/>
      </c>
      <c r="AY154" s="30" t="str">
        <f>IFERROR(INDEX('G-7 WaterC'' Data'!$AZ$3:$AZ$7,MATCH(N154,'G-7 WaterC'' Data'!$AY$3:$AY$7,0)),"")</f>
        <v/>
      </c>
      <c r="AZ154" s="30" t="str">
        <f>IF(B154="","",IF(ISNA(VLOOKUP($B154,'F-1 Off-Site WaterC'' Baseline'!$C$8:$AD$257,20,FALSE)),"",(VLOOKUP($B154,'F-1 Off-Site WaterC'' Baseline'!$C$8:$AD$257,20,FALSE))))</f>
        <v/>
      </c>
      <c r="BC154" s="30" t="str">
        <f>IF(B154="","",VLOOKUP($B154,'F-1 Off-Site WaterC'' Baseline'!$C$9:$AB$257,25,FALSE))</f>
        <v/>
      </c>
      <c r="BD154" s="30" t="str">
        <f t="shared" si="31"/>
        <v/>
      </c>
      <c r="BE154" s="30" t="str">
        <f>IF(B154="","",VLOOKUP($B154,'F-1 Off-Site WaterC'' Baseline'!$C$9:$AB$257,24,FALSE))</f>
        <v/>
      </c>
      <c r="BF154" s="30" t="str">
        <f>IF(B154="","",VLOOKUP($B154,'F-1 Off-Site WaterC'' Baseline'!$C$9:$AB$257,22,FALSE))</f>
        <v/>
      </c>
      <c r="BJ154" s="30" t="str">
        <f t="shared" si="32"/>
        <v>No</v>
      </c>
    </row>
    <row r="155" spans="2:62" ht="13.8" x14ac:dyDescent="0.25">
      <c r="B155" s="311" t="str">
        <f>'F-1 Off-Site WaterC'' Baseline'!AS153</f>
        <v/>
      </c>
      <c r="C155" s="301" t="str">
        <f>IF(B155="","",VLOOKUP($B155,'F-1 Off-Site WaterC'' Baseline'!$C$9:$R$257,2,FALSE))</f>
        <v/>
      </c>
      <c r="D155" s="301" t="str">
        <f>IF(C155="","",VLOOKUP($B155,'F-1 Off-Site WaterC'' Baseline'!$C$9:$R$257,3,FALSE))</f>
        <v/>
      </c>
      <c r="E155" s="301" t="str">
        <f>IF(D155="","",VLOOKUP($B155,'F-1 Off-Site WaterC'' Baseline'!$C$9:$R$257,4,FALSE))</f>
        <v/>
      </c>
      <c r="F155" s="301" t="str">
        <f>IF(E155="","",VLOOKUP($B155,'F-1 Off-Site WaterC'' Baseline'!$C$9:$R$257,5,FALSE))</f>
        <v/>
      </c>
      <c r="G155" s="301" t="str">
        <f>IF(F155="","",VLOOKUP($B155,'F-1 Off-Site WaterC'' Baseline'!$C$9:$R$257,6,FALSE))</f>
        <v/>
      </c>
      <c r="H155" s="301" t="str">
        <f>IF(G155="","",VLOOKUP($B155,'F-1 Off-Site WaterC'' Baseline'!$C$9:$R$257,7,FALSE))</f>
        <v/>
      </c>
      <c r="I155" s="301" t="str">
        <f>IF(H155="","",VLOOKUP($B155,'F-1 Off-Site WaterC'' Baseline'!$C$9:$R$257,8,FALSE))</f>
        <v/>
      </c>
      <c r="J155" s="301" t="str">
        <f>IF(I155="","",VLOOKUP($B155,'F-1 Off-Site WaterC'' Baseline'!$C$9:$R$257,9,FALSE))</f>
        <v/>
      </c>
      <c r="K155" s="301" t="str">
        <f>IF(J155="","",VLOOKUP($B155,'F-1 Off-Site WaterC'' Baseline'!$C$9:$R$257,10,FALSE))</f>
        <v/>
      </c>
      <c r="L155" s="289" t="str">
        <f>IF(B155="","",VLOOKUP($B155,'F-1 Off-Site WaterC'' Baseline'!$C$9:$R$257,15,FALSE))</f>
        <v/>
      </c>
      <c r="M155" s="305" t="str">
        <f>IF(L155="","",VLOOKUP($B155,'F-1 Off-Site WaterC'' Baseline'!$C$9:$V$257,19,FALSE))</f>
        <v/>
      </c>
      <c r="N155" s="250"/>
      <c r="O155" s="281" t="str">
        <f t="shared" si="25"/>
        <v/>
      </c>
      <c r="P155" s="282" t="str">
        <f t="shared" si="26"/>
        <v/>
      </c>
      <c r="Q155" s="287" t="str">
        <f>IF(N155="","",VLOOKUP(B155,'F-1 Off-Site WaterC'' Baseline'!$C$10:$AF$257,23,FALSE))</f>
        <v/>
      </c>
      <c r="R155" s="281" t="str">
        <f>IF(N155="","",VLOOKUP(N155,'G-7 WaterC'' Data'!$B$2:$G$8,2,FALSE))</f>
        <v/>
      </c>
      <c r="S155" s="282" t="str">
        <f>IFERROR(VLOOKUP(R155,'G-7 WaterC'' Data'!$C$4:$D$8,2,FALSE),"")</f>
        <v/>
      </c>
      <c r="T155" s="105"/>
      <c r="U155" s="282" t="str">
        <f>IFERROR(INDEX('G-7 WaterC'' Data'!$H$4:$L$8,MATCH(N155,'G-7 WaterC'' Data'!$B$4:$B$8,0),MATCH(T155,'G-7 WaterC'' Data'!$H$3:$L$3,0)),"")</f>
        <v/>
      </c>
      <c r="V155" s="109"/>
      <c r="W155" s="301" t="str">
        <f>IF(V155="","",IF(VLOOKUP(V155,'G-7 WaterC'' Data'!$AK$4:$AM$6,2,FALSE)=0,"Spatial Data Missing ⚠",VLOOKUP(V155,'G-7 WaterC'' Data'!$AK$4:$AM$6,2,FALSE)))</f>
        <v/>
      </c>
      <c r="X155" s="305" t="str">
        <f>IF(V155="","",IF(VLOOKUP(V155,'G-7 WaterC'' Data'!$AK$4:$AM$6,3,FALSE)=0,"Spatial Data Missing ⚠",VLOOKUP(V155,'G-7 WaterC'' Data'!$AK$4:$AM$6,3,FALSE)))</f>
        <v/>
      </c>
      <c r="Y155" s="317" t="str">
        <f>IFERROR(IF(OR(LEFT(P155,5)="Error",LEFT(O155,5)="Error"),"Check Data ⚠",IF(F155&lt;S155,'G-7 WaterC'' Data'!$R$3,INDEX('G-7 WaterC'' Data'!$U$5:$Y$9,MATCH(G155,'G-7 WaterC'' Data'!$T$5:$T$9,0),MATCH(T155,'G-7 WaterC'' Data'!$U$4:$Y$4,0)))),"")</f>
        <v/>
      </c>
      <c r="Z155" s="142"/>
      <c r="AA155" s="142"/>
      <c r="AB155" s="314" t="str">
        <f t="shared" si="22"/>
        <v/>
      </c>
      <c r="AC155" s="302" t="str">
        <f t="shared" si="27"/>
        <v/>
      </c>
      <c r="AD155" s="340" t="str">
        <f>IFERROR(IF(AC155="Check Data ⚠","Check Data ⚠",VLOOKUP(AC155,'G-4 Temporal multipliers'!$A$4:$C$37,3,FALSE)),"")</f>
        <v/>
      </c>
      <c r="AE155" s="317" t="str">
        <f>IF(N155="","",VLOOKUP(N155,'G-7 WaterC'' Data'!$B$4:$G$8,5,FALSE))</f>
        <v/>
      </c>
      <c r="AF155" s="301" t="str">
        <f t="shared" si="23"/>
        <v/>
      </c>
      <c r="AG155" s="301" t="str">
        <f t="shared" si="28"/>
        <v/>
      </c>
      <c r="AH155" s="282" t="str">
        <f t="shared" si="24"/>
        <v/>
      </c>
      <c r="AI155" s="109"/>
      <c r="AJ155" s="282" t="str">
        <f>IF(AI155="","",(IF(AND(AI155="N/A - Culvert",N155&lt;&gt;"Culvert"),"Not possible ▲",IF(VLOOKUP(AI155,'G-7 WaterC'' Data'!$AA$4:$AB$7,2,FALSE)=0,"Spatial Data Missing ⚠",VLOOKUP(AI155,'G-7 WaterC'' Data'!$AA$4:$AB$7,2,FALSE)))))</f>
        <v/>
      </c>
      <c r="AK155" s="110"/>
      <c r="AL155" s="316" t="str">
        <f>IF(AK155="","",IF(AND(AK155="N/A - Culvert",N155&lt;&gt;"Culvert"),"Not possible ▲",IF(VLOOKUP(AK155,'G-7 WaterC'' Data'!$AD$4:$AE$14,2,FALSE)=0,"Spatial Data Missing ⚠",VLOOKUP(AK155,'G-7 WaterC'' Data'!$AD$4:$AE$14,2,FALSE))))</f>
        <v/>
      </c>
      <c r="AM155" s="281" t="str">
        <f>IF(B155="","",VLOOKUP($B155,'F-1 Off-Site WaterC'' Baseline'!$C$9:$Z$257,17,FALSE))</f>
        <v/>
      </c>
      <c r="AN155" s="282" t="str">
        <f>IF(AM155="","",IF(VLOOKUP(AM155,'G-7 WaterC'' Data'!$AO$4:$BO$7,2,FALSE)=0,"Spatial Data Missing ⚠",VLOOKUP(AM155,'G-7 WaterC'' Data'!$AO$4:$BO$7,2,FALSE)))</f>
        <v/>
      </c>
      <c r="AO155" s="323" t="str">
        <f t="shared" si="29"/>
        <v/>
      </c>
      <c r="AP155" s="323" t="str">
        <f t="shared" si="30"/>
        <v/>
      </c>
      <c r="AQ155" s="105"/>
      <c r="AR155" s="119"/>
      <c r="AS155" s="108"/>
      <c r="AT155" s="108"/>
      <c r="AW155" s="30" t="str">
        <f>IF(E155="","",VLOOKUP($B155,'F-1 Off-Site WaterC'' Baseline'!$C$9:$Z$257,12,FALSE))</f>
        <v/>
      </c>
      <c r="AX155" s="30" t="str">
        <f>IF(E155="","",VLOOKUP($B155,'F-1 Off-Site WaterC'' Baseline'!$C$9:$Z$257,14,FALSE))</f>
        <v/>
      </c>
      <c r="AY155" s="30" t="str">
        <f>IFERROR(INDEX('G-7 WaterC'' Data'!$AZ$3:$AZ$7,MATCH(N155,'G-7 WaterC'' Data'!$AY$3:$AY$7,0)),"")</f>
        <v/>
      </c>
      <c r="AZ155" s="30" t="str">
        <f>IF(B155="","",IF(ISNA(VLOOKUP($B155,'F-1 Off-Site WaterC'' Baseline'!$C$8:$AD$257,20,FALSE)),"",(VLOOKUP($B155,'F-1 Off-Site WaterC'' Baseline'!$C$8:$AD$257,20,FALSE))))</f>
        <v/>
      </c>
      <c r="BC155" s="30" t="str">
        <f>IF(B155="","",VLOOKUP($B155,'F-1 Off-Site WaterC'' Baseline'!$C$9:$AB$257,25,FALSE))</f>
        <v/>
      </c>
      <c r="BD155" s="30" t="str">
        <f t="shared" si="31"/>
        <v/>
      </c>
      <c r="BE155" s="30" t="str">
        <f>IF(B155="","",VLOOKUP($B155,'F-1 Off-Site WaterC'' Baseline'!$C$9:$AB$257,24,FALSE))</f>
        <v/>
      </c>
      <c r="BF155" s="30" t="str">
        <f>IF(B155="","",VLOOKUP($B155,'F-1 Off-Site WaterC'' Baseline'!$C$9:$AB$257,22,FALSE))</f>
        <v/>
      </c>
      <c r="BJ155" s="30" t="str">
        <f t="shared" si="32"/>
        <v>No</v>
      </c>
    </row>
    <row r="156" spans="2:62" ht="13.8" x14ac:dyDescent="0.25">
      <c r="B156" s="311" t="str">
        <f>'F-1 Off-Site WaterC'' Baseline'!AS154</f>
        <v/>
      </c>
      <c r="C156" s="301" t="str">
        <f>IF(B156="","",VLOOKUP($B156,'F-1 Off-Site WaterC'' Baseline'!$C$9:$R$257,2,FALSE))</f>
        <v/>
      </c>
      <c r="D156" s="301" t="str">
        <f>IF(C156="","",VLOOKUP($B156,'F-1 Off-Site WaterC'' Baseline'!$C$9:$R$257,3,FALSE))</f>
        <v/>
      </c>
      <c r="E156" s="301" t="str">
        <f>IF(D156="","",VLOOKUP($B156,'F-1 Off-Site WaterC'' Baseline'!$C$9:$R$257,4,FALSE))</f>
        <v/>
      </c>
      <c r="F156" s="301" t="str">
        <f>IF(E156="","",VLOOKUP($B156,'F-1 Off-Site WaterC'' Baseline'!$C$9:$R$257,5,FALSE))</f>
        <v/>
      </c>
      <c r="G156" s="301" t="str">
        <f>IF(F156="","",VLOOKUP($B156,'F-1 Off-Site WaterC'' Baseline'!$C$9:$R$257,6,FALSE))</f>
        <v/>
      </c>
      <c r="H156" s="301" t="str">
        <f>IF(G156="","",VLOOKUP($B156,'F-1 Off-Site WaterC'' Baseline'!$C$9:$R$257,7,FALSE))</f>
        <v/>
      </c>
      <c r="I156" s="301" t="str">
        <f>IF(H156="","",VLOOKUP($B156,'F-1 Off-Site WaterC'' Baseline'!$C$9:$R$257,8,FALSE))</f>
        <v/>
      </c>
      <c r="J156" s="301" t="str">
        <f>IF(I156="","",VLOOKUP($B156,'F-1 Off-Site WaterC'' Baseline'!$C$9:$R$257,9,FALSE))</f>
        <v/>
      </c>
      <c r="K156" s="301" t="str">
        <f>IF(J156="","",VLOOKUP($B156,'F-1 Off-Site WaterC'' Baseline'!$C$9:$R$257,10,FALSE))</f>
        <v/>
      </c>
      <c r="L156" s="289" t="str">
        <f>IF(B156="","",VLOOKUP($B156,'F-1 Off-Site WaterC'' Baseline'!$C$9:$R$257,15,FALSE))</f>
        <v/>
      </c>
      <c r="M156" s="305" t="str">
        <f>IF(L156="","",VLOOKUP($B156,'F-1 Off-Site WaterC'' Baseline'!$C$9:$V$257,19,FALSE))</f>
        <v/>
      </c>
      <c r="N156" s="250"/>
      <c r="O156" s="281" t="str">
        <f t="shared" si="25"/>
        <v/>
      </c>
      <c r="P156" s="282" t="str">
        <f t="shared" si="26"/>
        <v/>
      </c>
      <c r="Q156" s="287" t="str">
        <f>IF(N156="","",VLOOKUP(B156,'F-1 Off-Site WaterC'' Baseline'!$C$10:$AF$257,23,FALSE))</f>
        <v/>
      </c>
      <c r="R156" s="281" t="str">
        <f>IF(N156="","",VLOOKUP(N156,'G-7 WaterC'' Data'!$B$2:$G$8,2,FALSE))</f>
        <v/>
      </c>
      <c r="S156" s="282" t="str">
        <f>IFERROR(VLOOKUP(R156,'G-7 WaterC'' Data'!$C$4:$D$8,2,FALSE),"")</f>
        <v/>
      </c>
      <c r="T156" s="105"/>
      <c r="U156" s="282" t="str">
        <f>IFERROR(INDEX('G-7 WaterC'' Data'!$H$4:$L$8,MATCH(N156,'G-7 WaterC'' Data'!$B$4:$B$8,0),MATCH(T156,'G-7 WaterC'' Data'!$H$3:$L$3,0)),"")</f>
        <v/>
      </c>
      <c r="V156" s="109"/>
      <c r="W156" s="301" t="str">
        <f>IF(V156="","",IF(VLOOKUP(V156,'G-7 WaterC'' Data'!$AK$4:$AM$6,2,FALSE)=0,"Spatial Data Missing ⚠",VLOOKUP(V156,'G-7 WaterC'' Data'!$AK$4:$AM$6,2,FALSE)))</f>
        <v/>
      </c>
      <c r="X156" s="305" t="str">
        <f>IF(V156="","",IF(VLOOKUP(V156,'G-7 WaterC'' Data'!$AK$4:$AM$6,3,FALSE)=0,"Spatial Data Missing ⚠",VLOOKUP(V156,'G-7 WaterC'' Data'!$AK$4:$AM$6,3,FALSE)))</f>
        <v/>
      </c>
      <c r="Y156" s="317" t="str">
        <f>IFERROR(IF(OR(LEFT(P156,5)="Error",LEFT(O156,5)="Error"),"Check Data ⚠",IF(F156&lt;S156,'G-7 WaterC'' Data'!$R$3,INDEX('G-7 WaterC'' Data'!$U$5:$Y$9,MATCH(G156,'G-7 WaterC'' Data'!$T$5:$T$9,0),MATCH(T156,'G-7 WaterC'' Data'!$U$4:$Y$4,0)))),"")</f>
        <v/>
      </c>
      <c r="Z156" s="142"/>
      <c r="AA156" s="142"/>
      <c r="AB156" s="314" t="str">
        <f t="shared" si="22"/>
        <v/>
      </c>
      <c r="AC156" s="302" t="str">
        <f t="shared" si="27"/>
        <v/>
      </c>
      <c r="AD156" s="340" t="str">
        <f>IFERROR(IF(AC156="Check Data ⚠","Check Data ⚠",VLOOKUP(AC156,'G-4 Temporal multipliers'!$A$4:$C$37,3,FALSE)),"")</f>
        <v/>
      </c>
      <c r="AE156" s="317" t="str">
        <f>IF(N156="","",VLOOKUP(N156,'G-7 WaterC'' Data'!$B$4:$G$8,5,FALSE))</f>
        <v/>
      </c>
      <c r="AF156" s="301" t="str">
        <f t="shared" si="23"/>
        <v/>
      </c>
      <c r="AG156" s="301" t="str">
        <f t="shared" si="28"/>
        <v/>
      </c>
      <c r="AH156" s="282" t="str">
        <f t="shared" si="24"/>
        <v/>
      </c>
      <c r="AI156" s="109"/>
      <c r="AJ156" s="282" t="str">
        <f>IF(AI156="","",(IF(AND(AI156="N/A - Culvert",N156&lt;&gt;"Culvert"),"Not possible ▲",IF(VLOOKUP(AI156,'G-7 WaterC'' Data'!$AA$4:$AB$7,2,FALSE)=0,"Spatial Data Missing ⚠",VLOOKUP(AI156,'G-7 WaterC'' Data'!$AA$4:$AB$7,2,FALSE)))))</f>
        <v/>
      </c>
      <c r="AK156" s="110"/>
      <c r="AL156" s="316" t="str">
        <f>IF(AK156="","",IF(AND(AK156="N/A - Culvert",N156&lt;&gt;"Culvert"),"Not possible ▲",IF(VLOOKUP(AK156,'G-7 WaterC'' Data'!$AD$4:$AE$14,2,FALSE)=0,"Spatial Data Missing ⚠",VLOOKUP(AK156,'G-7 WaterC'' Data'!$AD$4:$AE$14,2,FALSE))))</f>
        <v/>
      </c>
      <c r="AM156" s="281" t="str">
        <f>IF(B156="","",VLOOKUP($B156,'F-1 Off-Site WaterC'' Baseline'!$C$9:$Z$257,17,FALSE))</f>
        <v/>
      </c>
      <c r="AN156" s="282" t="str">
        <f>IF(AM156="","",IF(VLOOKUP(AM156,'G-7 WaterC'' Data'!$AO$4:$BO$7,2,FALSE)=0,"Spatial Data Missing ⚠",VLOOKUP(AM156,'G-7 WaterC'' Data'!$AO$4:$BO$7,2,FALSE)))</f>
        <v/>
      </c>
      <c r="AO156" s="323" t="str">
        <f t="shared" si="29"/>
        <v/>
      </c>
      <c r="AP156" s="323" t="str">
        <f t="shared" si="30"/>
        <v/>
      </c>
      <c r="AQ156" s="105"/>
      <c r="AR156" s="119"/>
      <c r="AS156" s="108"/>
      <c r="AT156" s="108"/>
      <c r="AW156" s="30" t="str">
        <f>IF(E156="","",VLOOKUP($B156,'F-1 Off-Site WaterC'' Baseline'!$C$9:$Z$257,12,FALSE))</f>
        <v/>
      </c>
      <c r="AX156" s="30" t="str">
        <f>IF(E156="","",VLOOKUP($B156,'F-1 Off-Site WaterC'' Baseline'!$C$9:$Z$257,14,FALSE))</f>
        <v/>
      </c>
      <c r="AY156" s="30" t="str">
        <f>IFERROR(INDEX('G-7 WaterC'' Data'!$AZ$3:$AZ$7,MATCH(N156,'G-7 WaterC'' Data'!$AY$3:$AY$7,0)),"")</f>
        <v/>
      </c>
      <c r="AZ156" s="30" t="str">
        <f>IF(B156="","",IF(ISNA(VLOOKUP($B156,'F-1 Off-Site WaterC'' Baseline'!$C$8:$AD$257,20,FALSE)),"",(VLOOKUP($B156,'F-1 Off-Site WaterC'' Baseline'!$C$8:$AD$257,20,FALSE))))</f>
        <v/>
      </c>
      <c r="BC156" s="30" t="str">
        <f>IF(B156="","",VLOOKUP($B156,'F-1 Off-Site WaterC'' Baseline'!$C$9:$AB$257,25,FALSE))</f>
        <v/>
      </c>
      <c r="BD156" s="30" t="str">
        <f t="shared" si="31"/>
        <v/>
      </c>
      <c r="BE156" s="30" t="str">
        <f>IF(B156="","",VLOOKUP($B156,'F-1 Off-Site WaterC'' Baseline'!$C$9:$AB$257,24,FALSE))</f>
        <v/>
      </c>
      <c r="BF156" s="30" t="str">
        <f>IF(B156="","",VLOOKUP($B156,'F-1 Off-Site WaterC'' Baseline'!$C$9:$AB$257,22,FALSE))</f>
        <v/>
      </c>
      <c r="BJ156" s="30" t="str">
        <f t="shared" si="32"/>
        <v>No</v>
      </c>
    </row>
    <row r="157" spans="2:62" ht="13.8" x14ac:dyDescent="0.25">
      <c r="B157" s="311" t="str">
        <f>'F-1 Off-Site WaterC'' Baseline'!AS155</f>
        <v/>
      </c>
      <c r="C157" s="301" t="str">
        <f>IF(B157="","",VLOOKUP($B157,'F-1 Off-Site WaterC'' Baseline'!$C$9:$R$257,2,FALSE))</f>
        <v/>
      </c>
      <c r="D157" s="301" t="str">
        <f>IF(C157="","",VLOOKUP($B157,'F-1 Off-Site WaterC'' Baseline'!$C$9:$R$257,3,FALSE))</f>
        <v/>
      </c>
      <c r="E157" s="301" t="str">
        <f>IF(D157="","",VLOOKUP($B157,'F-1 Off-Site WaterC'' Baseline'!$C$9:$R$257,4,FALSE))</f>
        <v/>
      </c>
      <c r="F157" s="301" t="str">
        <f>IF(E157="","",VLOOKUP($B157,'F-1 Off-Site WaterC'' Baseline'!$C$9:$R$257,5,FALSE))</f>
        <v/>
      </c>
      <c r="G157" s="301" t="str">
        <f>IF(F157="","",VLOOKUP($B157,'F-1 Off-Site WaterC'' Baseline'!$C$9:$R$257,6,FALSE))</f>
        <v/>
      </c>
      <c r="H157" s="301" t="str">
        <f>IF(G157="","",VLOOKUP($B157,'F-1 Off-Site WaterC'' Baseline'!$C$9:$R$257,7,FALSE))</f>
        <v/>
      </c>
      <c r="I157" s="301" t="str">
        <f>IF(H157="","",VLOOKUP($B157,'F-1 Off-Site WaterC'' Baseline'!$C$9:$R$257,8,FALSE))</f>
        <v/>
      </c>
      <c r="J157" s="301" t="str">
        <f>IF(I157="","",VLOOKUP($B157,'F-1 Off-Site WaterC'' Baseline'!$C$9:$R$257,9,FALSE))</f>
        <v/>
      </c>
      <c r="K157" s="301" t="str">
        <f>IF(J157="","",VLOOKUP($B157,'F-1 Off-Site WaterC'' Baseline'!$C$9:$R$257,10,FALSE))</f>
        <v/>
      </c>
      <c r="L157" s="289" t="str">
        <f>IF(B157="","",VLOOKUP($B157,'F-1 Off-Site WaterC'' Baseline'!$C$9:$R$257,15,FALSE))</f>
        <v/>
      </c>
      <c r="M157" s="305" t="str">
        <f>IF(L157="","",VLOOKUP($B157,'F-1 Off-Site WaterC'' Baseline'!$C$9:$V$257,19,FALSE))</f>
        <v/>
      </c>
      <c r="N157" s="250"/>
      <c r="O157" s="281" t="str">
        <f t="shared" si="25"/>
        <v/>
      </c>
      <c r="P157" s="282" t="str">
        <f t="shared" si="26"/>
        <v/>
      </c>
      <c r="Q157" s="287" t="str">
        <f>IF(N157="","",VLOOKUP(B157,'F-1 Off-Site WaterC'' Baseline'!$C$10:$AF$257,23,FALSE))</f>
        <v/>
      </c>
      <c r="R157" s="281" t="str">
        <f>IF(N157="","",VLOOKUP(N157,'G-7 WaterC'' Data'!$B$2:$G$8,2,FALSE))</f>
        <v/>
      </c>
      <c r="S157" s="282" t="str">
        <f>IFERROR(VLOOKUP(R157,'G-7 WaterC'' Data'!$C$4:$D$8,2,FALSE),"")</f>
        <v/>
      </c>
      <c r="T157" s="105"/>
      <c r="U157" s="282" t="str">
        <f>IFERROR(INDEX('G-7 WaterC'' Data'!$H$4:$L$8,MATCH(N157,'G-7 WaterC'' Data'!$B$4:$B$8,0),MATCH(T157,'G-7 WaterC'' Data'!$H$3:$L$3,0)),"")</f>
        <v/>
      </c>
      <c r="V157" s="109"/>
      <c r="W157" s="301" t="str">
        <f>IF(V157="","",IF(VLOOKUP(V157,'G-7 WaterC'' Data'!$AK$4:$AM$6,2,FALSE)=0,"Spatial Data Missing ⚠",VLOOKUP(V157,'G-7 WaterC'' Data'!$AK$4:$AM$6,2,FALSE)))</f>
        <v/>
      </c>
      <c r="X157" s="305" t="str">
        <f>IF(V157="","",IF(VLOOKUP(V157,'G-7 WaterC'' Data'!$AK$4:$AM$6,3,FALSE)=0,"Spatial Data Missing ⚠",VLOOKUP(V157,'G-7 WaterC'' Data'!$AK$4:$AM$6,3,FALSE)))</f>
        <v/>
      </c>
      <c r="Y157" s="317" t="str">
        <f>IFERROR(IF(OR(LEFT(P157,5)="Error",LEFT(O157,5)="Error"),"Check Data ⚠",IF(F157&lt;S157,'G-7 WaterC'' Data'!$R$3,INDEX('G-7 WaterC'' Data'!$U$5:$Y$9,MATCH(G157,'G-7 WaterC'' Data'!$T$5:$T$9,0),MATCH(T157,'G-7 WaterC'' Data'!$U$4:$Y$4,0)))),"")</f>
        <v/>
      </c>
      <c r="Z157" s="142"/>
      <c r="AA157" s="142"/>
      <c r="AB157" s="314" t="str">
        <f t="shared" si="22"/>
        <v/>
      </c>
      <c r="AC157" s="302" t="str">
        <f t="shared" si="27"/>
        <v/>
      </c>
      <c r="AD157" s="340" t="str">
        <f>IFERROR(IF(AC157="Check Data ⚠","Check Data ⚠",VLOOKUP(AC157,'G-4 Temporal multipliers'!$A$4:$C$37,3,FALSE)),"")</f>
        <v/>
      </c>
      <c r="AE157" s="317" t="str">
        <f>IF(N157="","",VLOOKUP(N157,'G-7 WaterC'' Data'!$B$4:$G$8,5,FALSE))</f>
        <v/>
      </c>
      <c r="AF157" s="301" t="str">
        <f t="shared" si="23"/>
        <v/>
      </c>
      <c r="AG157" s="301" t="str">
        <f t="shared" si="28"/>
        <v/>
      </c>
      <c r="AH157" s="282" t="str">
        <f t="shared" si="24"/>
        <v/>
      </c>
      <c r="AI157" s="109"/>
      <c r="AJ157" s="282" t="str">
        <f>IF(AI157="","",(IF(AND(AI157="N/A - Culvert",N157&lt;&gt;"Culvert"),"Not possible ▲",IF(VLOOKUP(AI157,'G-7 WaterC'' Data'!$AA$4:$AB$7,2,FALSE)=0,"Spatial Data Missing ⚠",VLOOKUP(AI157,'G-7 WaterC'' Data'!$AA$4:$AB$7,2,FALSE)))))</f>
        <v/>
      </c>
      <c r="AK157" s="110"/>
      <c r="AL157" s="316" t="str">
        <f>IF(AK157="","",IF(AND(AK157="N/A - Culvert",N157&lt;&gt;"Culvert"),"Not possible ▲",IF(VLOOKUP(AK157,'G-7 WaterC'' Data'!$AD$4:$AE$14,2,FALSE)=0,"Spatial Data Missing ⚠",VLOOKUP(AK157,'G-7 WaterC'' Data'!$AD$4:$AE$14,2,FALSE))))</f>
        <v/>
      </c>
      <c r="AM157" s="281" t="str">
        <f>IF(B157="","",VLOOKUP($B157,'F-1 Off-Site WaterC'' Baseline'!$C$9:$Z$257,17,FALSE))</f>
        <v/>
      </c>
      <c r="AN157" s="282" t="str">
        <f>IF(AM157="","",IF(VLOOKUP(AM157,'G-7 WaterC'' Data'!$AO$4:$BO$7,2,FALSE)=0,"Spatial Data Missing ⚠",VLOOKUP(AM157,'G-7 WaterC'' Data'!$AO$4:$BO$7,2,FALSE)))</f>
        <v/>
      </c>
      <c r="AO157" s="323" t="str">
        <f t="shared" si="29"/>
        <v/>
      </c>
      <c r="AP157" s="323" t="str">
        <f t="shared" si="30"/>
        <v/>
      </c>
      <c r="AQ157" s="105"/>
      <c r="AR157" s="119"/>
      <c r="AS157" s="108"/>
      <c r="AT157" s="108"/>
      <c r="AW157" s="30" t="str">
        <f>IF(E157="","",VLOOKUP($B157,'F-1 Off-Site WaterC'' Baseline'!$C$9:$Z$257,12,FALSE))</f>
        <v/>
      </c>
      <c r="AX157" s="30" t="str">
        <f>IF(E157="","",VLOOKUP($B157,'F-1 Off-Site WaterC'' Baseline'!$C$9:$Z$257,14,FALSE))</f>
        <v/>
      </c>
      <c r="AY157" s="30" t="str">
        <f>IFERROR(INDEX('G-7 WaterC'' Data'!$AZ$3:$AZ$7,MATCH(N157,'G-7 WaterC'' Data'!$AY$3:$AY$7,0)),"")</f>
        <v/>
      </c>
      <c r="AZ157" s="30" t="str">
        <f>IF(B157="","",IF(ISNA(VLOOKUP($B157,'F-1 Off-Site WaterC'' Baseline'!$C$8:$AD$257,20,FALSE)),"",(VLOOKUP($B157,'F-1 Off-Site WaterC'' Baseline'!$C$8:$AD$257,20,FALSE))))</f>
        <v/>
      </c>
      <c r="BC157" s="30" t="str">
        <f>IF(B157="","",VLOOKUP($B157,'F-1 Off-Site WaterC'' Baseline'!$C$9:$AB$257,25,FALSE))</f>
        <v/>
      </c>
      <c r="BD157" s="30" t="str">
        <f t="shared" si="31"/>
        <v/>
      </c>
      <c r="BE157" s="30" t="str">
        <f>IF(B157="","",VLOOKUP($B157,'F-1 Off-Site WaterC'' Baseline'!$C$9:$AB$257,24,FALSE))</f>
        <v/>
      </c>
      <c r="BF157" s="30" t="str">
        <f>IF(B157="","",VLOOKUP($B157,'F-1 Off-Site WaterC'' Baseline'!$C$9:$AB$257,22,FALSE))</f>
        <v/>
      </c>
      <c r="BJ157" s="30" t="str">
        <f t="shared" si="32"/>
        <v>No</v>
      </c>
    </row>
    <row r="158" spans="2:62" ht="13.8" x14ac:dyDescent="0.25">
      <c r="B158" s="311" t="str">
        <f>'F-1 Off-Site WaterC'' Baseline'!AS156</f>
        <v/>
      </c>
      <c r="C158" s="301" t="str">
        <f>IF(B158="","",VLOOKUP($B158,'F-1 Off-Site WaterC'' Baseline'!$C$9:$R$257,2,FALSE))</f>
        <v/>
      </c>
      <c r="D158" s="301" t="str">
        <f>IF(C158="","",VLOOKUP($B158,'F-1 Off-Site WaterC'' Baseline'!$C$9:$R$257,3,FALSE))</f>
        <v/>
      </c>
      <c r="E158" s="301" t="str">
        <f>IF(D158="","",VLOOKUP($B158,'F-1 Off-Site WaterC'' Baseline'!$C$9:$R$257,4,FALSE))</f>
        <v/>
      </c>
      <c r="F158" s="301" t="str">
        <f>IF(E158="","",VLOOKUP($B158,'F-1 Off-Site WaterC'' Baseline'!$C$9:$R$257,5,FALSE))</f>
        <v/>
      </c>
      <c r="G158" s="301" t="str">
        <f>IF(F158="","",VLOOKUP($B158,'F-1 Off-Site WaterC'' Baseline'!$C$9:$R$257,6,FALSE))</f>
        <v/>
      </c>
      <c r="H158" s="301" t="str">
        <f>IF(G158="","",VLOOKUP($B158,'F-1 Off-Site WaterC'' Baseline'!$C$9:$R$257,7,FALSE))</f>
        <v/>
      </c>
      <c r="I158" s="301" t="str">
        <f>IF(H158="","",VLOOKUP($B158,'F-1 Off-Site WaterC'' Baseline'!$C$9:$R$257,8,FALSE))</f>
        <v/>
      </c>
      <c r="J158" s="301" t="str">
        <f>IF(I158="","",VLOOKUP($B158,'F-1 Off-Site WaterC'' Baseline'!$C$9:$R$257,9,FALSE))</f>
        <v/>
      </c>
      <c r="K158" s="301" t="str">
        <f>IF(J158="","",VLOOKUP($B158,'F-1 Off-Site WaterC'' Baseline'!$C$9:$R$257,10,FALSE))</f>
        <v/>
      </c>
      <c r="L158" s="289" t="str">
        <f>IF(B158="","",VLOOKUP($B158,'F-1 Off-Site WaterC'' Baseline'!$C$9:$R$257,15,FALSE))</f>
        <v/>
      </c>
      <c r="M158" s="305" t="str">
        <f>IF(L158="","",VLOOKUP($B158,'F-1 Off-Site WaterC'' Baseline'!$C$9:$V$257,19,FALSE))</f>
        <v/>
      </c>
      <c r="N158" s="250"/>
      <c r="O158" s="281" t="str">
        <f t="shared" si="25"/>
        <v/>
      </c>
      <c r="P158" s="282" t="str">
        <f t="shared" si="26"/>
        <v/>
      </c>
      <c r="Q158" s="287" t="str">
        <f>IF(N158="","",VLOOKUP(B158,'F-1 Off-Site WaterC'' Baseline'!$C$10:$AF$257,23,FALSE))</f>
        <v/>
      </c>
      <c r="R158" s="281" t="str">
        <f>IF(N158="","",VLOOKUP(N158,'G-7 WaterC'' Data'!$B$2:$G$8,2,FALSE))</f>
        <v/>
      </c>
      <c r="S158" s="282" t="str">
        <f>IFERROR(VLOOKUP(R158,'G-7 WaterC'' Data'!$C$4:$D$8,2,FALSE),"")</f>
        <v/>
      </c>
      <c r="T158" s="105"/>
      <c r="U158" s="282" t="str">
        <f>IFERROR(INDEX('G-7 WaterC'' Data'!$H$4:$L$8,MATCH(N158,'G-7 WaterC'' Data'!$B$4:$B$8,0),MATCH(T158,'G-7 WaterC'' Data'!$H$3:$L$3,0)),"")</f>
        <v/>
      </c>
      <c r="V158" s="109"/>
      <c r="W158" s="301" t="str">
        <f>IF(V158="","",IF(VLOOKUP(V158,'G-7 WaterC'' Data'!$AK$4:$AM$6,2,FALSE)=0,"Spatial Data Missing ⚠",VLOOKUP(V158,'G-7 WaterC'' Data'!$AK$4:$AM$6,2,FALSE)))</f>
        <v/>
      </c>
      <c r="X158" s="305" t="str">
        <f>IF(V158="","",IF(VLOOKUP(V158,'G-7 WaterC'' Data'!$AK$4:$AM$6,3,FALSE)=0,"Spatial Data Missing ⚠",VLOOKUP(V158,'G-7 WaterC'' Data'!$AK$4:$AM$6,3,FALSE)))</f>
        <v/>
      </c>
      <c r="Y158" s="317" t="str">
        <f>IFERROR(IF(OR(LEFT(P158,5)="Error",LEFT(O158,5)="Error"),"Check Data ⚠",IF(F158&lt;S158,'G-7 WaterC'' Data'!$R$3,INDEX('G-7 WaterC'' Data'!$U$5:$Y$9,MATCH(G158,'G-7 WaterC'' Data'!$T$5:$T$9,0),MATCH(T158,'G-7 WaterC'' Data'!$U$4:$Y$4,0)))),"")</f>
        <v/>
      </c>
      <c r="Z158" s="142"/>
      <c r="AA158" s="142"/>
      <c r="AB158" s="314" t="str">
        <f t="shared" si="22"/>
        <v/>
      </c>
      <c r="AC158" s="302" t="str">
        <f t="shared" si="27"/>
        <v/>
      </c>
      <c r="AD158" s="340" t="str">
        <f>IFERROR(IF(AC158="Check Data ⚠","Check Data ⚠",VLOOKUP(AC158,'G-4 Temporal multipliers'!$A$4:$C$37,3,FALSE)),"")</f>
        <v/>
      </c>
      <c r="AE158" s="317" t="str">
        <f>IF(N158="","",VLOOKUP(N158,'G-7 WaterC'' Data'!$B$4:$G$8,5,FALSE))</f>
        <v/>
      </c>
      <c r="AF158" s="301" t="str">
        <f t="shared" si="23"/>
        <v/>
      </c>
      <c r="AG158" s="301" t="str">
        <f t="shared" si="28"/>
        <v/>
      </c>
      <c r="AH158" s="282" t="str">
        <f t="shared" si="24"/>
        <v/>
      </c>
      <c r="AI158" s="109"/>
      <c r="AJ158" s="282" t="str">
        <f>IF(AI158="","",(IF(AND(AI158="N/A - Culvert",N158&lt;&gt;"Culvert"),"Not possible ▲",IF(VLOOKUP(AI158,'G-7 WaterC'' Data'!$AA$4:$AB$7,2,FALSE)=0,"Spatial Data Missing ⚠",VLOOKUP(AI158,'G-7 WaterC'' Data'!$AA$4:$AB$7,2,FALSE)))))</f>
        <v/>
      </c>
      <c r="AK158" s="110"/>
      <c r="AL158" s="316" t="str">
        <f>IF(AK158="","",IF(AND(AK158="N/A - Culvert",N158&lt;&gt;"Culvert"),"Not possible ▲",IF(VLOOKUP(AK158,'G-7 WaterC'' Data'!$AD$4:$AE$14,2,FALSE)=0,"Spatial Data Missing ⚠",VLOOKUP(AK158,'G-7 WaterC'' Data'!$AD$4:$AE$14,2,FALSE))))</f>
        <v/>
      </c>
      <c r="AM158" s="281" t="str">
        <f>IF(B158="","",VLOOKUP($B158,'F-1 Off-Site WaterC'' Baseline'!$C$9:$Z$257,17,FALSE))</f>
        <v/>
      </c>
      <c r="AN158" s="282" t="str">
        <f>IF(AM158="","",IF(VLOOKUP(AM158,'G-7 WaterC'' Data'!$AO$4:$BO$7,2,FALSE)=0,"Spatial Data Missing ⚠",VLOOKUP(AM158,'G-7 WaterC'' Data'!$AO$4:$BO$7,2,FALSE)))</f>
        <v/>
      </c>
      <c r="AO158" s="323" t="str">
        <f t="shared" si="29"/>
        <v/>
      </c>
      <c r="AP158" s="323" t="str">
        <f t="shared" si="30"/>
        <v/>
      </c>
      <c r="AQ158" s="105"/>
      <c r="AR158" s="119"/>
      <c r="AS158" s="108"/>
      <c r="AT158" s="108"/>
      <c r="AW158" s="30" t="str">
        <f>IF(E158="","",VLOOKUP($B158,'F-1 Off-Site WaterC'' Baseline'!$C$9:$Z$257,12,FALSE))</f>
        <v/>
      </c>
      <c r="AX158" s="30" t="str">
        <f>IF(E158="","",VLOOKUP($B158,'F-1 Off-Site WaterC'' Baseline'!$C$9:$Z$257,14,FALSE))</f>
        <v/>
      </c>
      <c r="AY158" s="30" t="str">
        <f>IFERROR(INDEX('G-7 WaterC'' Data'!$AZ$3:$AZ$7,MATCH(N158,'G-7 WaterC'' Data'!$AY$3:$AY$7,0)),"")</f>
        <v/>
      </c>
      <c r="AZ158" s="30" t="str">
        <f>IF(B158="","",IF(ISNA(VLOOKUP($B158,'F-1 Off-Site WaterC'' Baseline'!$C$8:$AD$257,20,FALSE)),"",(VLOOKUP($B158,'F-1 Off-Site WaterC'' Baseline'!$C$8:$AD$257,20,FALSE))))</f>
        <v/>
      </c>
      <c r="BC158" s="30" t="str">
        <f>IF(B158="","",VLOOKUP($B158,'F-1 Off-Site WaterC'' Baseline'!$C$9:$AB$257,25,FALSE))</f>
        <v/>
      </c>
      <c r="BD158" s="30" t="str">
        <f t="shared" si="31"/>
        <v/>
      </c>
      <c r="BE158" s="30" t="str">
        <f>IF(B158="","",VLOOKUP($B158,'F-1 Off-Site WaterC'' Baseline'!$C$9:$AB$257,24,FALSE))</f>
        <v/>
      </c>
      <c r="BF158" s="30" t="str">
        <f>IF(B158="","",VLOOKUP($B158,'F-1 Off-Site WaterC'' Baseline'!$C$9:$AB$257,22,FALSE))</f>
        <v/>
      </c>
      <c r="BJ158" s="30" t="str">
        <f t="shared" si="32"/>
        <v>No</v>
      </c>
    </row>
    <row r="159" spans="2:62" ht="13.8" x14ac:dyDescent="0.25">
      <c r="B159" s="311" t="str">
        <f>'F-1 Off-Site WaterC'' Baseline'!AS157</f>
        <v/>
      </c>
      <c r="C159" s="301" t="str">
        <f>IF(B159="","",VLOOKUP($B159,'F-1 Off-Site WaterC'' Baseline'!$C$9:$R$257,2,FALSE))</f>
        <v/>
      </c>
      <c r="D159" s="301" t="str">
        <f>IF(C159="","",VLOOKUP($B159,'F-1 Off-Site WaterC'' Baseline'!$C$9:$R$257,3,FALSE))</f>
        <v/>
      </c>
      <c r="E159" s="301" t="str">
        <f>IF(D159="","",VLOOKUP($B159,'F-1 Off-Site WaterC'' Baseline'!$C$9:$R$257,4,FALSE))</f>
        <v/>
      </c>
      <c r="F159" s="301" t="str">
        <f>IF(E159="","",VLOOKUP($B159,'F-1 Off-Site WaterC'' Baseline'!$C$9:$R$257,5,FALSE))</f>
        <v/>
      </c>
      <c r="G159" s="301" t="str">
        <f>IF(F159="","",VLOOKUP($B159,'F-1 Off-Site WaterC'' Baseline'!$C$9:$R$257,6,FALSE))</f>
        <v/>
      </c>
      <c r="H159" s="301" t="str">
        <f>IF(G159="","",VLOOKUP($B159,'F-1 Off-Site WaterC'' Baseline'!$C$9:$R$257,7,FALSE))</f>
        <v/>
      </c>
      <c r="I159" s="301" t="str">
        <f>IF(H159="","",VLOOKUP($B159,'F-1 Off-Site WaterC'' Baseline'!$C$9:$R$257,8,FALSE))</f>
        <v/>
      </c>
      <c r="J159" s="301" t="str">
        <f>IF(I159="","",VLOOKUP($B159,'F-1 Off-Site WaterC'' Baseline'!$C$9:$R$257,9,FALSE))</f>
        <v/>
      </c>
      <c r="K159" s="301" t="str">
        <f>IF(J159="","",VLOOKUP($B159,'F-1 Off-Site WaterC'' Baseline'!$C$9:$R$257,10,FALSE))</f>
        <v/>
      </c>
      <c r="L159" s="289" t="str">
        <f>IF(B159="","",VLOOKUP($B159,'F-1 Off-Site WaterC'' Baseline'!$C$9:$R$257,15,FALSE))</f>
        <v/>
      </c>
      <c r="M159" s="305" t="str">
        <f>IF(L159="","",VLOOKUP($B159,'F-1 Off-Site WaterC'' Baseline'!$C$9:$V$257,19,FALSE))</f>
        <v/>
      </c>
      <c r="N159" s="250"/>
      <c r="O159" s="281" t="str">
        <f t="shared" si="25"/>
        <v/>
      </c>
      <c r="P159" s="282" t="str">
        <f t="shared" si="26"/>
        <v/>
      </c>
      <c r="Q159" s="287" t="str">
        <f>IF(N159="","",VLOOKUP(B159,'F-1 Off-Site WaterC'' Baseline'!$C$10:$AF$257,23,FALSE))</f>
        <v/>
      </c>
      <c r="R159" s="281" t="str">
        <f>IF(N159="","",VLOOKUP(N159,'G-7 WaterC'' Data'!$B$2:$G$8,2,FALSE))</f>
        <v/>
      </c>
      <c r="S159" s="282" t="str">
        <f>IFERROR(VLOOKUP(R159,'G-7 WaterC'' Data'!$C$4:$D$8,2,FALSE),"")</f>
        <v/>
      </c>
      <c r="T159" s="105"/>
      <c r="U159" s="282" t="str">
        <f>IFERROR(INDEX('G-7 WaterC'' Data'!$H$4:$L$8,MATCH(N159,'G-7 WaterC'' Data'!$B$4:$B$8,0),MATCH(T159,'G-7 WaterC'' Data'!$H$3:$L$3,0)),"")</f>
        <v/>
      </c>
      <c r="V159" s="109"/>
      <c r="W159" s="301" t="str">
        <f>IF(V159="","",IF(VLOOKUP(V159,'G-7 WaterC'' Data'!$AK$4:$AM$6,2,FALSE)=0,"Spatial Data Missing ⚠",VLOOKUP(V159,'G-7 WaterC'' Data'!$AK$4:$AM$6,2,FALSE)))</f>
        <v/>
      </c>
      <c r="X159" s="305" t="str">
        <f>IF(V159="","",IF(VLOOKUP(V159,'G-7 WaterC'' Data'!$AK$4:$AM$6,3,FALSE)=0,"Spatial Data Missing ⚠",VLOOKUP(V159,'G-7 WaterC'' Data'!$AK$4:$AM$6,3,FALSE)))</f>
        <v/>
      </c>
      <c r="Y159" s="317" t="str">
        <f>IFERROR(IF(OR(LEFT(P159,5)="Error",LEFT(O159,5)="Error"),"Check Data ⚠",IF(F159&lt;S159,'G-7 WaterC'' Data'!$R$3,INDEX('G-7 WaterC'' Data'!$U$5:$Y$9,MATCH(G159,'G-7 WaterC'' Data'!$T$5:$T$9,0),MATCH(T159,'G-7 WaterC'' Data'!$U$4:$Y$4,0)))),"")</f>
        <v/>
      </c>
      <c r="Z159" s="142"/>
      <c r="AA159" s="142"/>
      <c r="AB159" s="314" t="str">
        <f t="shared" si="22"/>
        <v/>
      </c>
      <c r="AC159" s="302" t="str">
        <f t="shared" si="27"/>
        <v/>
      </c>
      <c r="AD159" s="340" t="str">
        <f>IFERROR(IF(AC159="Check Data ⚠","Check Data ⚠",VLOOKUP(AC159,'G-4 Temporal multipliers'!$A$4:$C$37,3,FALSE)),"")</f>
        <v/>
      </c>
      <c r="AE159" s="317" t="str">
        <f>IF(N159="","",VLOOKUP(N159,'G-7 WaterC'' Data'!$B$4:$G$8,5,FALSE))</f>
        <v/>
      </c>
      <c r="AF159" s="301" t="str">
        <f t="shared" si="23"/>
        <v/>
      </c>
      <c r="AG159" s="301" t="str">
        <f t="shared" si="28"/>
        <v/>
      </c>
      <c r="AH159" s="282" t="str">
        <f t="shared" si="24"/>
        <v/>
      </c>
      <c r="AI159" s="109"/>
      <c r="AJ159" s="282" t="str">
        <f>IF(AI159="","",(IF(AND(AI159="N/A - Culvert",N159&lt;&gt;"Culvert"),"Not possible ▲",IF(VLOOKUP(AI159,'G-7 WaterC'' Data'!$AA$4:$AB$7,2,FALSE)=0,"Spatial Data Missing ⚠",VLOOKUP(AI159,'G-7 WaterC'' Data'!$AA$4:$AB$7,2,FALSE)))))</f>
        <v/>
      </c>
      <c r="AK159" s="110"/>
      <c r="AL159" s="316" t="str">
        <f>IF(AK159="","",IF(AND(AK159="N/A - Culvert",N159&lt;&gt;"Culvert"),"Not possible ▲",IF(VLOOKUP(AK159,'G-7 WaterC'' Data'!$AD$4:$AE$14,2,FALSE)=0,"Spatial Data Missing ⚠",VLOOKUP(AK159,'G-7 WaterC'' Data'!$AD$4:$AE$14,2,FALSE))))</f>
        <v/>
      </c>
      <c r="AM159" s="281" t="str">
        <f>IF(B159="","",VLOOKUP($B159,'F-1 Off-Site WaterC'' Baseline'!$C$9:$Z$257,17,FALSE))</f>
        <v/>
      </c>
      <c r="AN159" s="282" t="str">
        <f>IF(AM159="","",IF(VLOOKUP(AM159,'G-7 WaterC'' Data'!$AO$4:$BO$7,2,FALSE)=0,"Spatial Data Missing ⚠",VLOOKUP(AM159,'G-7 WaterC'' Data'!$AO$4:$BO$7,2,FALSE)))</f>
        <v/>
      </c>
      <c r="AO159" s="323" t="str">
        <f t="shared" si="29"/>
        <v/>
      </c>
      <c r="AP159" s="323" t="str">
        <f t="shared" si="30"/>
        <v/>
      </c>
      <c r="AQ159" s="105"/>
      <c r="AR159" s="119"/>
      <c r="AS159" s="108"/>
      <c r="AT159" s="108"/>
      <c r="AW159" s="30" t="str">
        <f>IF(E159="","",VLOOKUP($B159,'F-1 Off-Site WaterC'' Baseline'!$C$9:$Z$257,12,FALSE))</f>
        <v/>
      </c>
      <c r="AX159" s="30" t="str">
        <f>IF(E159="","",VLOOKUP($B159,'F-1 Off-Site WaterC'' Baseline'!$C$9:$Z$257,14,FALSE))</f>
        <v/>
      </c>
      <c r="AY159" s="30" t="str">
        <f>IFERROR(INDEX('G-7 WaterC'' Data'!$AZ$3:$AZ$7,MATCH(N159,'G-7 WaterC'' Data'!$AY$3:$AY$7,0)),"")</f>
        <v/>
      </c>
      <c r="AZ159" s="30" t="str">
        <f>IF(B159="","",IF(ISNA(VLOOKUP($B159,'F-1 Off-Site WaterC'' Baseline'!$C$8:$AD$257,20,FALSE)),"",(VLOOKUP($B159,'F-1 Off-Site WaterC'' Baseline'!$C$8:$AD$257,20,FALSE))))</f>
        <v/>
      </c>
      <c r="BC159" s="30" t="str">
        <f>IF(B159="","",VLOOKUP($B159,'F-1 Off-Site WaterC'' Baseline'!$C$9:$AB$257,25,FALSE))</f>
        <v/>
      </c>
      <c r="BD159" s="30" t="str">
        <f t="shared" si="31"/>
        <v/>
      </c>
      <c r="BE159" s="30" t="str">
        <f>IF(B159="","",VLOOKUP($B159,'F-1 Off-Site WaterC'' Baseline'!$C$9:$AB$257,24,FALSE))</f>
        <v/>
      </c>
      <c r="BF159" s="30" t="str">
        <f>IF(B159="","",VLOOKUP($B159,'F-1 Off-Site WaterC'' Baseline'!$C$9:$AB$257,22,FALSE))</f>
        <v/>
      </c>
      <c r="BJ159" s="30" t="str">
        <f t="shared" si="32"/>
        <v>No</v>
      </c>
    </row>
    <row r="160" spans="2:62" ht="13.8" x14ac:dyDescent="0.25">
      <c r="B160" s="311" t="str">
        <f>'F-1 Off-Site WaterC'' Baseline'!AS158</f>
        <v/>
      </c>
      <c r="C160" s="301" t="str">
        <f>IF(B160="","",VLOOKUP($B160,'F-1 Off-Site WaterC'' Baseline'!$C$9:$R$257,2,FALSE))</f>
        <v/>
      </c>
      <c r="D160" s="301" t="str">
        <f>IF(C160="","",VLOOKUP($B160,'F-1 Off-Site WaterC'' Baseline'!$C$9:$R$257,3,FALSE))</f>
        <v/>
      </c>
      <c r="E160" s="301" t="str">
        <f>IF(D160="","",VLOOKUP($B160,'F-1 Off-Site WaterC'' Baseline'!$C$9:$R$257,4,FALSE))</f>
        <v/>
      </c>
      <c r="F160" s="301" t="str">
        <f>IF(E160="","",VLOOKUP($B160,'F-1 Off-Site WaterC'' Baseline'!$C$9:$R$257,5,FALSE))</f>
        <v/>
      </c>
      <c r="G160" s="301" t="str">
        <f>IF(F160="","",VLOOKUP($B160,'F-1 Off-Site WaterC'' Baseline'!$C$9:$R$257,6,FALSE))</f>
        <v/>
      </c>
      <c r="H160" s="301" t="str">
        <f>IF(G160="","",VLOOKUP($B160,'F-1 Off-Site WaterC'' Baseline'!$C$9:$R$257,7,FALSE))</f>
        <v/>
      </c>
      <c r="I160" s="301" t="str">
        <f>IF(H160="","",VLOOKUP($B160,'F-1 Off-Site WaterC'' Baseline'!$C$9:$R$257,8,FALSE))</f>
        <v/>
      </c>
      <c r="J160" s="301" t="str">
        <f>IF(I160="","",VLOOKUP($B160,'F-1 Off-Site WaterC'' Baseline'!$C$9:$R$257,9,FALSE))</f>
        <v/>
      </c>
      <c r="K160" s="301" t="str">
        <f>IF(J160="","",VLOOKUP($B160,'F-1 Off-Site WaterC'' Baseline'!$C$9:$R$257,10,FALSE))</f>
        <v/>
      </c>
      <c r="L160" s="289" t="str">
        <f>IF(B160="","",VLOOKUP($B160,'F-1 Off-Site WaterC'' Baseline'!$C$9:$R$257,15,FALSE))</f>
        <v/>
      </c>
      <c r="M160" s="305" t="str">
        <f>IF(L160="","",VLOOKUP($B160,'F-1 Off-Site WaterC'' Baseline'!$C$9:$V$257,19,FALSE))</f>
        <v/>
      </c>
      <c r="N160" s="250"/>
      <c r="O160" s="281" t="str">
        <f t="shared" si="25"/>
        <v/>
      </c>
      <c r="P160" s="282" t="str">
        <f t="shared" si="26"/>
        <v/>
      </c>
      <c r="Q160" s="287" t="str">
        <f>IF(N160="","",VLOOKUP(B160,'F-1 Off-Site WaterC'' Baseline'!$C$10:$AF$257,23,FALSE))</f>
        <v/>
      </c>
      <c r="R160" s="281" t="str">
        <f>IF(N160="","",VLOOKUP(N160,'G-7 WaterC'' Data'!$B$2:$G$8,2,FALSE))</f>
        <v/>
      </c>
      <c r="S160" s="282" t="str">
        <f>IFERROR(VLOOKUP(R160,'G-7 WaterC'' Data'!$C$4:$D$8,2,FALSE),"")</f>
        <v/>
      </c>
      <c r="T160" s="105"/>
      <c r="U160" s="282" t="str">
        <f>IFERROR(INDEX('G-7 WaterC'' Data'!$H$4:$L$8,MATCH(N160,'G-7 WaterC'' Data'!$B$4:$B$8,0),MATCH(T160,'G-7 WaterC'' Data'!$H$3:$L$3,0)),"")</f>
        <v/>
      </c>
      <c r="V160" s="109"/>
      <c r="W160" s="301" t="str">
        <f>IF(V160="","",IF(VLOOKUP(V160,'G-7 WaterC'' Data'!$AK$4:$AM$6,2,FALSE)=0,"Spatial Data Missing ⚠",VLOOKUP(V160,'G-7 WaterC'' Data'!$AK$4:$AM$6,2,FALSE)))</f>
        <v/>
      </c>
      <c r="X160" s="305" t="str">
        <f>IF(V160="","",IF(VLOOKUP(V160,'G-7 WaterC'' Data'!$AK$4:$AM$6,3,FALSE)=0,"Spatial Data Missing ⚠",VLOOKUP(V160,'G-7 WaterC'' Data'!$AK$4:$AM$6,3,FALSE)))</f>
        <v/>
      </c>
      <c r="Y160" s="317" t="str">
        <f>IFERROR(IF(OR(LEFT(P160,5)="Error",LEFT(O160,5)="Error"),"Check Data ⚠",IF(F160&lt;S160,'G-7 WaterC'' Data'!$R$3,INDEX('G-7 WaterC'' Data'!$U$5:$Y$9,MATCH(G160,'G-7 WaterC'' Data'!$T$5:$T$9,0),MATCH(T160,'G-7 WaterC'' Data'!$U$4:$Y$4,0)))),"")</f>
        <v/>
      </c>
      <c r="Z160" s="142"/>
      <c r="AA160" s="142"/>
      <c r="AB160" s="314" t="str">
        <f t="shared" si="22"/>
        <v/>
      </c>
      <c r="AC160" s="302" t="str">
        <f t="shared" si="27"/>
        <v/>
      </c>
      <c r="AD160" s="340" t="str">
        <f>IFERROR(IF(AC160="Check Data ⚠","Check Data ⚠",VLOOKUP(AC160,'G-4 Temporal multipliers'!$A$4:$C$37,3,FALSE)),"")</f>
        <v/>
      </c>
      <c r="AE160" s="317" t="str">
        <f>IF(N160="","",VLOOKUP(N160,'G-7 WaterC'' Data'!$B$4:$G$8,5,FALSE))</f>
        <v/>
      </c>
      <c r="AF160" s="301" t="str">
        <f t="shared" si="23"/>
        <v/>
      </c>
      <c r="AG160" s="301" t="str">
        <f t="shared" si="28"/>
        <v/>
      </c>
      <c r="AH160" s="282" t="str">
        <f t="shared" si="24"/>
        <v/>
      </c>
      <c r="AI160" s="109"/>
      <c r="AJ160" s="282" t="str">
        <f>IF(AI160="","",(IF(AND(AI160="N/A - Culvert",N160&lt;&gt;"Culvert"),"Not possible ▲",IF(VLOOKUP(AI160,'G-7 WaterC'' Data'!$AA$4:$AB$7,2,FALSE)=0,"Spatial Data Missing ⚠",VLOOKUP(AI160,'G-7 WaterC'' Data'!$AA$4:$AB$7,2,FALSE)))))</f>
        <v/>
      </c>
      <c r="AK160" s="110"/>
      <c r="AL160" s="316" t="str">
        <f>IF(AK160="","",IF(AND(AK160="N/A - Culvert",N160&lt;&gt;"Culvert"),"Not possible ▲",IF(VLOOKUP(AK160,'G-7 WaterC'' Data'!$AD$4:$AE$14,2,FALSE)=0,"Spatial Data Missing ⚠",VLOOKUP(AK160,'G-7 WaterC'' Data'!$AD$4:$AE$14,2,FALSE))))</f>
        <v/>
      </c>
      <c r="AM160" s="281" t="str">
        <f>IF(B160="","",VLOOKUP($B160,'F-1 Off-Site WaterC'' Baseline'!$C$9:$Z$257,17,FALSE))</f>
        <v/>
      </c>
      <c r="AN160" s="282" t="str">
        <f>IF(AM160="","",IF(VLOOKUP(AM160,'G-7 WaterC'' Data'!$AO$4:$BO$7,2,FALSE)=0,"Spatial Data Missing ⚠",VLOOKUP(AM160,'G-7 WaterC'' Data'!$AO$4:$BO$7,2,FALSE)))</f>
        <v/>
      </c>
      <c r="AO160" s="323" t="str">
        <f t="shared" si="29"/>
        <v/>
      </c>
      <c r="AP160" s="323" t="str">
        <f t="shared" si="30"/>
        <v/>
      </c>
      <c r="AQ160" s="105"/>
      <c r="AR160" s="119"/>
      <c r="AS160" s="108"/>
      <c r="AT160" s="108"/>
      <c r="AW160" s="30" t="str">
        <f>IF(E160="","",VLOOKUP($B160,'F-1 Off-Site WaterC'' Baseline'!$C$9:$Z$257,12,FALSE))</f>
        <v/>
      </c>
      <c r="AX160" s="30" t="str">
        <f>IF(E160="","",VLOOKUP($B160,'F-1 Off-Site WaterC'' Baseline'!$C$9:$Z$257,14,FALSE))</f>
        <v/>
      </c>
      <c r="AY160" s="30" t="str">
        <f>IFERROR(INDEX('G-7 WaterC'' Data'!$AZ$3:$AZ$7,MATCH(N160,'G-7 WaterC'' Data'!$AY$3:$AY$7,0)),"")</f>
        <v/>
      </c>
      <c r="AZ160" s="30" t="str">
        <f>IF(B160="","",IF(ISNA(VLOOKUP($B160,'F-1 Off-Site WaterC'' Baseline'!$C$8:$AD$257,20,FALSE)),"",(VLOOKUP($B160,'F-1 Off-Site WaterC'' Baseline'!$C$8:$AD$257,20,FALSE))))</f>
        <v/>
      </c>
      <c r="BC160" s="30" t="str">
        <f>IF(B160="","",VLOOKUP($B160,'F-1 Off-Site WaterC'' Baseline'!$C$9:$AB$257,25,FALSE))</f>
        <v/>
      </c>
      <c r="BD160" s="30" t="str">
        <f t="shared" si="31"/>
        <v/>
      </c>
      <c r="BE160" s="30" t="str">
        <f>IF(B160="","",VLOOKUP($B160,'F-1 Off-Site WaterC'' Baseline'!$C$9:$AB$257,24,FALSE))</f>
        <v/>
      </c>
      <c r="BF160" s="30" t="str">
        <f>IF(B160="","",VLOOKUP($B160,'F-1 Off-Site WaterC'' Baseline'!$C$9:$AB$257,22,FALSE))</f>
        <v/>
      </c>
      <c r="BJ160" s="30" t="str">
        <f t="shared" si="32"/>
        <v>No</v>
      </c>
    </row>
    <row r="161" spans="2:62" ht="13.8" x14ac:dyDescent="0.25">
      <c r="B161" s="311" t="str">
        <f>'F-1 Off-Site WaterC'' Baseline'!AS159</f>
        <v/>
      </c>
      <c r="C161" s="301" t="str">
        <f>IF(B161="","",VLOOKUP($B161,'F-1 Off-Site WaterC'' Baseline'!$C$9:$R$257,2,FALSE))</f>
        <v/>
      </c>
      <c r="D161" s="301" t="str">
        <f>IF(C161="","",VLOOKUP($B161,'F-1 Off-Site WaterC'' Baseline'!$C$9:$R$257,3,FALSE))</f>
        <v/>
      </c>
      <c r="E161" s="301" t="str">
        <f>IF(D161="","",VLOOKUP($B161,'F-1 Off-Site WaterC'' Baseline'!$C$9:$R$257,4,FALSE))</f>
        <v/>
      </c>
      <c r="F161" s="301" t="str">
        <f>IF(E161="","",VLOOKUP($B161,'F-1 Off-Site WaterC'' Baseline'!$C$9:$R$257,5,FALSE))</f>
        <v/>
      </c>
      <c r="G161" s="301" t="str">
        <f>IF(F161="","",VLOOKUP($B161,'F-1 Off-Site WaterC'' Baseline'!$C$9:$R$257,6,FALSE))</f>
        <v/>
      </c>
      <c r="H161" s="301" t="str">
        <f>IF(G161="","",VLOOKUP($B161,'F-1 Off-Site WaterC'' Baseline'!$C$9:$R$257,7,FALSE))</f>
        <v/>
      </c>
      <c r="I161" s="301" t="str">
        <f>IF(H161="","",VLOOKUP($B161,'F-1 Off-Site WaterC'' Baseline'!$C$9:$R$257,8,FALSE))</f>
        <v/>
      </c>
      <c r="J161" s="301" t="str">
        <f>IF(I161="","",VLOOKUP($B161,'F-1 Off-Site WaterC'' Baseline'!$C$9:$R$257,9,FALSE))</f>
        <v/>
      </c>
      <c r="K161" s="301" t="str">
        <f>IF(J161="","",VLOOKUP($B161,'F-1 Off-Site WaterC'' Baseline'!$C$9:$R$257,10,FALSE))</f>
        <v/>
      </c>
      <c r="L161" s="289" t="str">
        <f>IF(B161="","",VLOOKUP($B161,'F-1 Off-Site WaterC'' Baseline'!$C$9:$R$257,15,FALSE))</f>
        <v/>
      </c>
      <c r="M161" s="305" t="str">
        <f>IF(L161="","",VLOOKUP($B161,'F-1 Off-Site WaterC'' Baseline'!$C$9:$V$257,19,FALSE))</f>
        <v/>
      </c>
      <c r="N161" s="250"/>
      <c r="O161" s="281" t="str">
        <f t="shared" si="25"/>
        <v/>
      </c>
      <c r="P161" s="282" t="str">
        <f t="shared" si="26"/>
        <v/>
      </c>
      <c r="Q161" s="287" t="str">
        <f>IF(N161="","",VLOOKUP(B161,'F-1 Off-Site WaterC'' Baseline'!$C$10:$AF$257,23,FALSE))</f>
        <v/>
      </c>
      <c r="R161" s="281" t="str">
        <f>IF(N161="","",VLOOKUP(N161,'G-7 WaterC'' Data'!$B$2:$G$8,2,FALSE))</f>
        <v/>
      </c>
      <c r="S161" s="282" t="str">
        <f>IFERROR(VLOOKUP(R161,'G-7 WaterC'' Data'!$C$4:$D$8,2,FALSE),"")</f>
        <v/>
      </c>
      <c r="T161" s="105"/>
      <c r="U161" s="282" t="str">
        <f>IFERROR(INDEX('G-7 WaterC'' Data'!$H$4:$L$8,MATCH(N161,'G-7 WaterC'' Data'!$B$4:$B$8,0),MATCH(T161,'G-7 WaterC'' Data'!$H$3:$L$3,0)),"")</f>
        <v/>
      </c>
      <c r="V161" s="109"/>
      <c r="W161" s="301" t="str">
        <f>IF(V161="","",IF(VLOOKUP(V161,'G-7 WaterC'' Data'!$AK$4:$AM$6,2,FALSE)=0,"Spatial Data Missing ⚠",VLOOKUP(V161,'G-7 WaterC'' Data'!$AK$4:$AM$6,2,FALSE)))</f>
        <v/>
      </c>
      <c r="X161" s="305" t="str">
        <f>IF(V161="","",IF(VLOOKUP(V161,'G-7 WaterC'' Data'!$AK$4:$AM$6,3,FALSE)=0,"Spatial Data Missing ⚠",VLOOKUP(V161,'G-7 WaterC'' Data'!$AK$4:$AM$6,3,FALSE)))</f>
        <v/>
      </c>
      <c r="Y161" s="317" t="str">
        <f>IFERROR(IF(OR(LEFT(P161,5)="Error",LEFT(O161,5)="Error"),"Check Data ⚠",IF(F161&lt;S161,'G-7 WaterC'' Data'!$R$3,INDEX('G-7 WaterC'' Data'!$U$5:$Y$9,MATCH(G161,'G-7 WaterC'' Data'!$T$5:$T$9,0),MATCH(T161,'G-7 WaterC'' Data'!$U$4:$Y$4,0)))),"")</f>
        <v/>
      </c>
      <c r="Z161" s="142"/>
      <c r="AA161" s="142"/>
      <c r="AB161" s="314" t="str">
        <f t="shared" si="22"/>
        <v/>
      </c>
      <c r="AC161" s="302" t="str">
        <f t="shared" si="27"/>
        <v/>
      </c>
      <c r="AD161" s="340" t="str">
        <f>IFERROR(IF(AC161="Check Data ⚠","Check Data ⚠",VLOOKUP(AC161,'G-4 Temporal multipliers'!$A$4:$C$37,3,FALSE)),"")</f>
        <v/>
      </c>
      <c r="AE161" s="317" t="str">
        <f>IF(N161="","",VLOOKUP(N161,'G-7 WaterC'' Data'!$B$4:$G$8,5,FALSE))</f>
        <v/>
      </c>
      <c r="AF161" s="301" t="str">
        <f t="shared" si="23"/>
        <v/>
      </c>
      <c r="AG161" s="301" t="str">
        <f t="shared" si="28"/>
        <v/>
      </c>
      <c r="AH161" s="282" t="str">
        <f t="shared" si="24"/>
        <v/>
      </c>
      <c r="AI161" s="109"/>
      <c r="AJ161" s="282" t="str">
        <f>IF(AI161="","",(IF(AND(AI161="N/A - Culvert",N161&lt;&gt;"Culvert"),"Not possible ▲",IF(VLOOKUP(AI161,'G-7 WaterC'' Data'!$AA$4:$AB$7,2,FALSE)=0,"Spatial Data Missing ⚠",VLOOKUP(AI161,'G-7 WaterC'' Data'!$AA$4:$AB$7,2,FALSE)))))</f>
        <v/>
      </c>
      <c r="AK161" s="110"/>
      <c r="AL161" s="316" t="str">
        <f>IF(AK161="","",IF(AND(AK161="N/A - Culvert",N161&lt;&gt;"Culvert"),"Not possible ▲",IF(VLOOKUP(AK161,'G-7 WaterC'' Data'!$AD$4:$AE$14,2,FALSE)=0,"Spatial Data Missing ⚠",VLOOKUP(AK161,'G-7 WaterC'' Data'!$AD$4:$AE$14,2,FALSE))))</f>
        <v/>
      </c>
      <c r="AM161" s="281" t="str">
        <f>IF(B161="","",VLOOKUP($B161,'F-1 Off-Site WaterC'' Baseline'!$C$9:$Z$257,17,FALSE))</f>
        <v/>
      </c>
      <c r="AN161" s="282" t="str">
        <f>IF(AM161="","",IF(VLOOKUP(AM161,'G-7 WaterC'' Data'!$AO$4:$BO$7,2,FALSE)=0,"Spatial Data Missing ⚠",VLOOKUP(AM161,'G-7 WaterC'' Data'!$AO$4:$BO$7,2,FALSE)))</f>
        <v/>
      </c>
      <c r="AO161" s="323" t="str">
        <f t="shared" si="29"/>
        <v/>
      </c>
      <c r="AP161" s="323" t="str">
        <f t="shared" si="30"/>
        <v/>
      </c>
      <c r="AQ161" s="105"/>
      <c r="AR161" s="119"/>
      <c r="AS161" s="108"/>
      <c r="AT161" s="108"/>
      <c r="AW161" s="30" t="str">
        <f>IF(E161="","",VLOOKUP($B161,'F-1 Off-Site WaterC'' Baseline'!$C$9:$Z$257,12,FALSE))</f>
        <v/>
      </c>
      <c r="AX161" s="30" t="str">
        <f>IF(E161="","",VLOOKUP($B161,'F-1 Off-Site WaterC'' Baseline'!$C$9:$Z$257,14,FALSE))</f>
        <v/>
      </c>
      <c r="AY161" s="30" t="str">
        <f>IFERROR(INDEX('G-7 WaterC'' Data'!$AZ$3:$AZ$7,MATCH(N161,'G-7 WaterC'' Data'!$AY$3:$AY$7,0)),"")</f>
        <v/>
      </c>
      <c r="AZ161" s="30" t="str">
        <f>IF(B161="","",IF(ISNA(VLOOKUP($B161,'F-1 Off-Site WaterC'' Baseline'!$C$8:$AD$257,20,FALSE)),"",(VLOOKUP($B161,'F-1 Off-Site WaterC'' Baseline'!$C$8:$AD$257,20,FALSE))))</f>
        <v/>
      </c>
      <c r="BC161" s="30" t="str">
        <f>IF(B161="","",VLOOKUP($B161,'F-1 Off-Site WaterC'' Baseline'!$C$9:$AB$257,25,FALSE))</f>
        <v/>
      </c>
      <c r="BD161" s="30" t="str">
        <f t="shared" si="31"/>
        <v/>
      </c>
      <c r="BE161" s="30" t="str">
        <f>IF(B161="","",VLOOKUP($B161,'F-1 Off-Site WaterC'' Baseline'!$C$9:$AB$257,24,FALSE))</f>
        <v/>
      </c>
      <c r="BF161" s="30" t="str">
        <f>IF(B161="","",VLOOKUP($B161,'F-1 Off-Site WaterC'' Baseline'!$C$9:$AB$257,22,FALSE))</f>
        <v/>
      </c>
      <c r="BJ161" s="30" t="str">
        <f t="shared" si="32"/>
        <v>No</v>
      </c>
    </row>
    <row r="162" spans="2:62" ht="13.8" x14ac:dyDescent="0.25">
      <c r="B162" s="311" t="str">
        <f>'F-1 Off-Site WaterC'' Baseline'!AS160</f>
        <v/>
      </c>
      <c r="C162" s="301" t="str">
        <f>IF(B162="","",VLOOKUP($B162,'F-1 Off-Site WaterC'' Baseline'!$C$9:$R$257,2,FALSE))</f>
        <v/>
      </c>
      <c r="D162" s="301" t="str">
        <f>IF(C162="","",VLOOKUP($B162,'F-1 Off-Site WaterC'' Baseline'!$C$9:$R$257,3,FALSE))</f>
        <v/>
      </c>
      <c r="E162" s="301" t="str">
        <f>IF(D162="","",VLOOKUP($B162,'F-1 Off-Site WaterC'' Baseline'!$C$9:$R$257,4,FALSE))</f>
        <v/>
      </c>
      <c r="F162" s="301" t="str">
        <f>IF(E162="","",VLOOKUP($B162,'F-1 Off-Site WaterC'' Baseline'!$C$9:$R$257,5,FALSE))</f>
        <v/>
      </c>
      <c r="G162" s="301" t="str">
        <f>IF(F162="","",VLOOKUP($B162,'F-1 Off-Site WaterC'' Baseline'!$C$9:$R$257,6,FALSE))</f>
        <v/>
      </c>
      <c r="H162" s="301" t="str">
        <f>IF(G162="","",VLOOKUP($B162,'F-1 Off-Site WaterC'' Baseline'!$C$9:$R$257,7,FALSE))</f>
        <v/>
      </c>
      <c r="I162" s="301" t="str">
        <f>IF(H162="","",VLOOKUP($B162,'F-1 Off-Site WaterC'' Baseline'!$C$9:$R$257,8,FALSE))</f>
        <v/>
      </c>
      <c r="J162" s="301" t="str">
        <f>IF(I162="","",VLOOKUP($B162,'F-1 Off-Site WaterC'' Baseline'!$C$9:$R$257,9,FALSE))</f>
        <v/>
      </c>
      <c r="K162" s="301" t="str">
        <f>IF(J162="","",VLOOKUP($B162,'F-1 Off-Site WaterC'' Baseline'!$C$9:$R$257,10,FALSE))</f>
        <v/>
      </c>
      <c r="L162" s="289" t="str">
        <f>IF(B162="","",VLOOKUP($B162,'F-1 Off-Site WaterC'' Baseline'!$C$9:$R$257,15,FALSE))</f>
        <v/>
      </c>
      <c r="M162" s="305" t="str">
        <f>IF(L162="","",VLOOKUP($B162,'F-1 Off-Site WaterC'' Baseline'!$C$9:$V$257,19,FALSE))</f>
        <v/>
      </c>
      <c r="N162" s="250"/>
      <c r="O162" s="281" t="str">
        <f t="shared" si="25"/>
        <v/>
      </c>
      <c r="P162" s="282" t="str">
        <f t="shared" si="26"/>
        <v/>
      </c>
      <c r="Q162" s="287" t="str">
        <f>IF(N162="","",VLOOKUP(B162,'F-1 Off-Site WaterC'' Baseline'!$C$10:$AF$257,23,FALSE))</f>
        <v/>
      </c>
      <c r="R162" s="281" t="str">
        <f>IF(N162="","",VLOOKUP(N162,'G-7 WaterC'' Data'!$B$2:$G$8,2,FALSE))</f>
        <v/>
      </c>
      <c r="S162" s="282" t="str">
        <f>IFERROR(VLOOKUP(R162,'G-7 WaterC'' Data'!$C$4:$D$8,2,FALSE),"")</f>
        <v/>
      </c>
      <c r="T162" s="105"/>
      <c r="U162" s="282" t="str">
        <f>IFERROR(INDEX('G-7 WaterC'' Data'!$H$4:$L$8,MATCH(N162,'G-7 WaterC'' Data'!$B$4:$B$8,0),MATCH(T162,'G-7 WaterC'' Data'!$H$3:$L$3,0)),"")</f>
        <v/>
      </c>
      <c r="V162" s="109"/>
      <c r="W162" s="301" t="str">
        <f>IF(V162="","",IF(VLOOKUP(V162,'G-7 WaterC'' Data'!$AK$4:$AM$6,2,FALSE)=0,"Spatial Data Missing ⚠",VLOOKUP(V162,'G-7 WaterC'' Data'!$AK$4:$AM$6,2,FALSE)))</f>
        <v/>
      </c>
      <c r="X162" s="305" t="str">
        <f>IF(V162="","",IF(VLOOKUP(V162,'G-7 WaterC'' Data'!$AK$4:$AM$6,3,FALSE)=0,"Spatial Data Missing ⚠",VLOOKUP(V162,'G-7 WaterC'' Data'!$AK$4:$AM$6,3,FALSE)))</f>
        <v/>
      </c>
      <c r="Y162" s="317" t="str">
        <f>IFERROR(IF(OR(LEFT(P162,5)="Error",LEFT(O162,5)="Error"),"Check Data ⚠",IF(F162&lt;S162,'G-7 WaterC'' Data'!$R$3,INDEX('G-7 WaterC'' Data'!$U$5:$Y$9,MATCH(G162,'G-7 WaterC'' Data'!$T$5:$T$9,0),MATCH(T162,'G-7 WaterC'' Data'!$U$4:$Y$4,0)))),"")</f>
        <v/>
      </c>
      <c r="Z162" s="142"/>
      <c r="AA162" s="142"/>
      <c r="AB162" s="314" t="str">
        <f t="shared" si="22"/>
        <v/>
      </c>
      <c r="AC162" s="302" t="str">
        <f t="shared" si="27"/>
        <v/>
      </c>
      <c r="AD162" s="340" t="str">
        <f>IFERROR(IF(AC162="Check Data ⚠","Check Data ⚠",VLOOKUP(AC162,'G-4 Temporal multipliers'!$A$4:$C$37,3,FALSE)),"")</f>
        <v/>
      </c>
      <c r="AE162" s="317" t="str">
        <f>IF(N162="","",VLOOKUP(N162,'G-7 WaterC'' Data'!$B$4:$G$8,5,FALSE))</f>
        <v/>
      </c>
      <c r="AF162" s="301" t="str">
        <f t="shared" si="23"/>
        <v/>
      </c>
      <c r="AG162" s="301" t="str">
        <f t="shared" si="28"/>
        <v/>
      </c>
      <c r="AH162" s="282" t="str">
        <f t="shared" si="24"/>
        <v/>
      </c>
      <c r="AI162" s="109"/>
      <c r="AJ162" s="282" t="str">
        <f>IF(AI162="","",(IF(AND(AI162="N/A - Culvert",N162&lt;&gt;"Culvert"),"Not possible ▲",IF(VLOOKUP(AI162,'G-7 WaterC'' Data'!$AA$4:$AB$7,2,FALSE)=0,"Spatial Data Missing ⚠",VLOOKUP(AI162,'G-7 WaterC'' Data'!$AA$4:$AB$7,2,FALSE)))))</f>
        <v/>
      </c>
      <c r="AK162" s="110"/>
      <c r="AL162" s="316" t="str">
        <f>IF(AK162="","",IF(AND(AK162="N/A - Culvert",N162&lt;&gt;"Culvert"),"Not possible ▲",IF(VLOOKUP(AK162,'G-7 WaterC'' Data'!$AD$4:$AE$14,2,FALSE)=0,"Spatial Data Missing ⚠",VLOOKUP(AK162,'G-7 WaterC'' Data'!$AD$4:$AE$14,2,FALSE))))</f>
        <v/>
      </c>
      <c r="AM162" s="281" t="str">
        <f>IF(B162="","",VLOOKUP($B162,'F-1 Off-Site WaterC'' Baseline'!$C$9:$Z$257,17,FALSE))</f>
        <v/>
      </c>
      <c r="AN162" s="282" t="str">
        <f>IF(AM162="","",IF(VLOOKUP(AM162,'G-7 WaterC'' Data'!$AO$4:$BO$7,2,FALSE)=0,"Spatial Data Missing ⚠",VLOOKUP(AM162,'G-7 WaterC'' Data'!$AO$4:$BO$7,2,FALSE)))</f>
        <v/>
      </c>
      <c r="AO162" s="323" t="str">
        <f t="shared" si="29"/>
        <v/>
      </c>
      <c r="AP162" s="323" t="str">
        <f t="shared" si="30"/>
        <v/>
      </c>
      <c r="AQ162" s="105"/>
      <c r="AR162" s="119"/>
      <c r="AS162" s="108"/>
      <c r="AT162" s="108"/>
      <c r="AW162" s="30" t="str">
        <f>IF(E162="","",VLOOKUP($B162,'F-1 Off-Site WaterC'' Baseline'!$C$9:$Z$257,12,FALSE))</f>
        <v/>
      </c>
      <c r="AX162" s="30" t="str">
        <f>IF(E162="","",VLOOKUP($B162,'F-1 Off-Site WaterC'' Baseline'!$C$9:$Z$257,14,FALSE))</f>
        <v/>
      </c>
      <c r="AY162" s="30" t="str">
        <f>IFERROR(INDEX('G-7 WaterC'' Data'!$AZ$3:$AZ$7,MATCH(N162,'G-7 WaterC'' Data'!$AY$3:$AY$7,0)),"")</f>
        <v/>
      </c>
      <c r="AZ162" s="30" t="str">
        <f>IF(B162="","",IF(ISNA(VLOOKUP($B162,'F-1 Off-Site WaterC'' Baseline'!$C$8:$AD$257,20,FALSE)),"",(VLOOKUP($B162,'F-1 Off-Site WaterC'' Baseline'!$C$8:$AD$257,20,FALSE))))</f>
        <v/>
      </c>
      <c r="BC162" s="30" t="str">
        <f>IF(B162="","",VLOOKUP($B162,'F-1 Off-Site WaterC'' Baseline'!$C$9:$AB$257,25,FALSE))</f>
        <v/>
      </c>
      <c r="BD162" s="30" t="str">
        <f t="shared" si="31"/>
        <v/>
      </c>
      <c r="BE162" s="30" t="str">
        <f>IF(B162="","",VLOOKUP($B162,'F-1 Off-Site WaterC'' Baseline'!$C$9:$AB$257,24,FALSE))</f>
        <v/>
      </c>
      <c r="BF162" s="30" t="str">
        <f>IF(B162="","",VLOOKUP($B162,'F-1 Off-Site WaterC'' Baseline'!$C$9:$AB$257,22,FALSE))</f>
        <v/>
      </c>
      <c r="BJ162" s="30" t="str">
        <f t="shared" si="32"/>
        <v>No</v>
      </c>
    </row>
    <row r="163" spans="2:62" ht="13.8" x14ac:dyDescent="0.25">
      <c r="B163" s="311" t="str">
        <f>'F-1 Off-Site WaterC'' Baseline'!AS161</f>
        <v/>
      </c>
      <c r="C163" s="301" t="str">
        <f>IF(B163="","",VLOOKUP($B163,'F-1 Off-Site WaterC'' Baseline'!$C$9:$R$257,2,FALSE))</f>
        <v/>
      </c>
      <c r="D163" s="301" t="str">
        <f>IF(C163="","",VLOOKUP($B163,'F-1 Off-Site WaterC'' Baseline'!$C$9:$R$257,3,FALSE))</f>
        <v/>
      </c>
      <c r="E163" s="301" t="str">
        <f>IF(D163="","",VLOOKUP($B163,'F-1 Off-Site WaterC'' Baseline'!$C$9:$R$257,4,FALSE))</f>
        <v/>
      </c>
      <c r="F163" s="301" t="str">
        <f>IF(E163="","",VLOOKUP($B163,'F-1 Off-Site WaterC'' Baseline'!$C$9:$R$257,5,FALSE))</f>
        <v/>
      </c>
      <c r="G163" s="301" t="str">
        <f>IF(F163="","",VLOOKUP($B163,'F-1 Off-Site WaterC'' Baseline'!$C$9:$R$257,6,FALSE))</f>
        <v/>
      </c>
      <c r="H163" s="301" t="str">
        <f>IF(G163="","",VLOOKUP($B163,'F-1 Off-Site WaterC'' Baseline'!$C$9:$R$257,7,FALSE))</f>
        <v/>
      </c>
      <c r="I163" s="301" t="str">
        <f>IF(H163="","",VLOOKUP($B163,'F-1 Off-Site WaterC'' Baseline'!$C$9:$R$257,8,FALSE))</f>
        <v/>
      </c>
      <c r="J163" s="301" t="str">
        <f>IF(I163="","",VLOOKUP($B163,'F-1 Off-Site WaterC'' Baseline'!$C$9:$R$257,9,FALSE))</f>
        <v/>
      </c>
      <c r="K163" s="301" t="str">
        <f>IF(J163="","",VLOOKUP($B163,'F-1 Off-Site WaterC'' Baseline'!$C$9:$R$257,10,FALSE))</f>
        <v/>
      </c>
      <c r="L163" s="289" t="str">
        <f>IF(B163="","",VLOOKUP($B163,'F-1 Off-Site WaterC'' Baseline'!$C$9:$R$257,15,FALSE))</f>
        <v/>
      </c>
      <c r="M163" s="305" t="str">
        <f>IF(L163="","",VLOOKUP($B163,'F-1 Off-Site WaterC'' Baseline'!$C$9:$V$257,19,FALSE))</f>
        <v/>
      </c>
      <c r="N163" s="250"/>
      <c r="O163" s="281" t="str">
        <f t="shared" si="25"/>
        <v/>
      </c>
      <c r="P163" s="282" t="str">
        <f t="shared" si="26"/>
        <v/>
      </c>
      <c r="Q163" s="287" t="str">
        <f>IF(N163="","",VLOOKUP(B163,'F-1 Off-Site WaterC'' Baseline'!$C$10:$AF$257,23,FALSE))</f>
        <v/>
      </c>
      <c r="R163" s="281" t="str">
        <f>IF(N163="","",VLOOKUP(N163,'G-7 WaterC'' Data'!$B$2:$G$8,2,FALSE))</f>
        <v/>
      </c>
      <c r="S163" s="282" t="str">
        <f>IFERROR(VLOOKUP(R163,'G-7 WaterC'' Data'!$C$4:$D$8,2,FALSE),"")</f>
        <v/>
      </c>
      <c r="T163" s="105"/>
      <c r="U163" s="282" t="str">
        <f>IFERROR(INDEX('G-7 WaterC'' Data'!$H$4:$L$8,MATCH(N163,'G-7 WaterC'' Data'!$B$4:$B$8,0),MATCH(T163,'G-7 WaterC'' Data'!$H$3:$L$3,0)),"")</f>
        <v/>
      </c>
      <c r="V163" s="109"/>
      <c r="W163" s="301" t="str">
        <f>IF(V163="","",IF(VLOOKUP(V163,'G-7 WaterC'' Data'!$AK$4:$AM$6,2,FALSE)=0,"Spatial Data Missing ⚠",VLOOKUP(V163,'G-7 WaterC'' Data'!$AK$4:$AM$6,2,FALSE)))</f>
        <v/>
      </c>
      <c r="X163" s="305" t="str">
        <f>IF(V163="","",IF(VLOOKUP(V163,'G-7 WaterC'' Data'!$AK$4:$AM$6,3,FALSE)=0,"Spatial Data Missing ⚠",VLOOKUP(V163,'G-7 WaterC'' Data'!$AK$4:$AM$6,3,FALSE)))</f>
        <v/>
      </c>
      <c r="Y163" s="317" t="str">
        <f>IFERROR(IF(OR(LEFT(P163,5)="Error",LEFT(O163,5)="Error"),"Check Data ⚠",IF(F163&lt;S163,'G-7 WaterC'' Data'!$R$3,INDEX('G-7 WaterC'' Data'!$U$5:$Y$9,MATCH(G163,'G-7 WaterC'' Data'!$T$5:$T$9,0),MATCH(T163,'G-7 WaterC'' Data'!$U$4:$Y$4,0)))),"")</f>
        <v/>
      </c>
      <c r="Z163" s="142"/>
      <c r="AA163" s="142"/>
      <c r="AB163" s="314" t="str">
        <f t="shared" si="22"/>
        <v/>
      </c>
      <c r="AC163" s="302" t="str">
        <f t="shared" si="27"/>
        <v/>
      </c>
      <c r="AD163" s="340" t="str">
        <f>IFERROR(IF(AC163="Check Data ⚠","Check Data ⚠",VLOOKUP(AC163,'G-4 Temporal multipliers'!$A$4:$C$37,3,FALSE)),"")</f>
        <v/>
      </c>
      <c r="AE163" s="317" t="str">
        <f>IF(N163="","",VLOOKUP(N163,'G-7 WaterC'' Data'!$B$4:$G$8,5,FALSE))</f>
        <v/>
      </c>
      <c r="AF163" s="301" t="str">
        <f t="shared" si="23"/>
        <v/>
      </c>
      <c r="AG163" s="301" t="str">
        <f t="shared" si="28"/>
        <v/>
      </c>
      <c r="AH163" s="282" t="str">
        <f t="shared" si="24"/>
        <v/>
      </c>
      <c r="AI163" s="109"/>
      <c r="AJ163" s="282" t="str">
        <f>IF(AI163="","",(IF(AND(AI163="N/A - Culvert",N163&lt;&gt;"Culvert"),"Not possible ▲",IF(VLOOKUP(AI163,'G-7 WaterC'' Data'!$AA$4:$AB$7,2,FALSE)=0,"Spatial Data Missing ⚠",VLOOKUP(AI163,'G-7 WaterC'' Data'!$AA$4:$AB$7,2,FALSE)))))</f>
        <v/>
      </c>
      <c r="AK163" s="110"/>
      <c r="AL163" s="316" t="str">
        <f>IF(AK163="","",IF(AND(AK163="N/A - Culvert",N163&lt;&gt;"Culvert"),"Not possible ▲",IF(VLOOKUP(AK163,'G-7 WaterC'' Data'!$AD$4:$AE$14,2,FALSE)=0,"Spatial Data Missing ⚠",VLOOKUP(AK163,'G-7 WaterC'' Data'!$AD$4:$AE$14,2,FALSE))))</f>
        <v/>
      </c>
      <c r="AM163" s="281" t="str">
        <f>IF(B163="","",VLOOKUP($B163,'F-1 Off-Site WaterC'' Baseline'!$C$9:$Z$257,17,FALSE))</f>
        <v/>
      </c>
      <c r="AN163" s="282" t="str">
        <f>IF(AM163="","",IF(VLOOKUP(AM163,'G-7 WaterC'' Data'!$AO$4:$BO$7,2,FALSE)=0,"Spatial Data Missing ⚠",VLOOKUP(AM163,'G-7 WaterC'' Data'!$AO$4:$BO$7,2,FALSE)))</f>
        <v/>
      </c>
      <c r="AO163" s="323" t="str">
        <f t="shared" si="29"/>
        <v/>
      </c>
      <c r="AP163" s="323" t="str">
        <f t="shared" si="30"/>
        <v/>
      </c>
      <c r="AQ163" s="105"/>
      <c r="AR163" s="119"/>
      <c r="AS163" s="108"/>
      <c r="AT163" s="108"/>
      <c r="AW163" s="30" t="str">
        <f>IF(E163="","",VLOOKUP($B163,'F-1 Off-Site WaterC'' Baseline'!$C$9:$Z$257,12,FALSE))</f>
        <v/>
      </c>
      <c r="AX163" s="30" t="str">
        <f>IF(E163="","",VLOOKUP($B163,'F-1 Off-Site WaterC'' Baseline'!$C$9:$Z$257,14,FALSE))</f>
        <v/>
      </c>
      <c r="AY163" s="30" t="str">
        <f>IFERROR(INDEX('G-7 WaterC'' Data'!$AZ$3:$AZ$7,MATCH(N163,'G-7 WaterC'' Data'!$AY$3:$AY$7,0)),"")</f>
        <v/>
      </c>
      <c r="AZ163" s="30" t="str">
        <f>IF(B163="","",IF(ISNA(VLOOKUP($B163,'F-1 Off-Site WaterC'' Baseline'!$C$8:$AD$257,20,FALSE)),"",(VLOOKUP($B163,'F-1 Off-Site WaterC'' Baseline'!$C$8:$AD$257,20,FALSE))))</f>
        <v/>
      </c>
      <c r="BC163" s="30" t="str">
        <f>IF(B163="","",VLOOKUP($B163,'F-1 Off-Site WaterC'' Baseline'!$C$9:$AB$257,25,FALSE))</f>
        <v/>
      </c>
      <c r="BD163" s="30" t="str">
        <f t="shared" si="31"/>
        <v/>
      </c>
      <c r="BE163" s="30" t="str">
        <f>IF(B163="","",VLOOKUP($B163,'F-1 Off-Site WaterC'' Baseline'!$C$9:$AB$257,24,FALSE))</f>
        <v/>
      </c>
      <c r="BF163" s="30" t="str">
        <f>IF(B163="","",VLOOKUP($B163,'F-1 Off-Site WaterC'' Baseline'!$C$9:$AB$257,22,FALSE))</f>
        <v/>
      </c>
      <c r="BJ163" s="30" t="str">
        <f t="shared" si="32"/>
        <v>No</v>
      </c>
    </row>
    <row r="164" spans="2:62" ht="13.8" x14ac:dyDescent="0.25">
      <c r="B164" s="311" t="str">
        <f>'F-1 Off-Site WaterC'' Baseline'!AS162</f>
        <v/>
      </c>
      <c r="C164" s="301" t="str">
        <f>IF(B164="","",VLOOKUP($B164,'F-1 Off-Site WaterC'' Baseline'!$C$9:$R$257,2,FALSE))</f>
        <v/>
      </c>
      <c r="D164" s="301" t="str">
        <f>IF(C164="","",VLOOKUP($B164,'F-1 Off-Site WaterC'' Baseline'!$C$9:$R$257,3,FALSE))</f>
        <v/>
      </c>
      <c r="E164" s="301" t="str">
        <f>IF(D164="","",VLOOKUP($B164,'F-1 Off-Site WaterC'' Baseline'!$C$9:$R$257,4,FALSE))</f>
        <v/>
      </c>
      <c r="F164" s="301" t="str">
        <f>IF(E164="","",VLOOKUP($B164,'F-1 Off-Site WaterC'' Baseline'!$C$9:$R$257,5,FALSE))</f>
        <v/>
      </c>
      <c r="G164" s="301" t="str">
        <f>IF(F164="","",VLOOKUP($B164,'F-1 Off-Site WaterC'' Baseline'!$C$9:$R$257,6,FALSE))</f>
        <v/>
      </c>
      <c r="H164" s="301" t="str">
        <f>IF(G164="","",VLOOKUP($B164,'F-1 Off-Site WaterC'' Baseline'!$C$9:$R$257,7,FALSE))</f>
        <v/>
      </c>
      <c r="I164" s="301" t="str">
        <f>IF(H164="","",VLOOKUP($B164,'F-1 Off-Site WaterC'' Baseline'!$C$9:$R$257,8,FALSE))</f>
        <v/>
      </c>
      <c r="J164" s="301" t="str">
        <f>IF(I164="","",VLOOKUP($B164,'F-1 Off-Site WaterC'' Baseline'!$C$9:$R$257,9,FALSE))</f>
        <v/>
      </c>
      <c r="K164" s="301" t="str">
        <f>IF(J164="","",VLOOKUP($B164,'F-1 Off-Site WaterC'' Baseline'!$C$9:$R$257,10,FALSE))</f>
        <v/>
      </c>
      <c r="L164" s="289" t="str">
        <f>IF(B164="","",VLOOKUP($B164,'F-1 Off-Site WaterC'' Baseline'!$C$9:$R$257,15,FALSE))</f>
        <v/>
      </c>
      <c r="M164" s="305" t="str">
        <f>IF(L164="","",VLOOKUP($B164,'F-1 Off-Site WaterC'' Baseline'!$C$9:$V$257,19,FALSE))</f>
        <v/>
      </c>
      <c r="N164" s="250"/>
      <c r="O164" s="281" t="str">
        <f t="shared" si="25"/>
        <v/>
      </c>
      <c r="P164" s="282" t="str">
        <f t="shared" si="26"/>
        <v/>
      </c>
      <c r="Q164" s="287" t="str">
        <f>IF(N164="","",VLOOKUP(B164,'F-1 Off-Site WaterC'' Baseline'!$C$10:$AF$257,23,FALSE))</f>
        <v/>
      </c>
      <c r="R164" s="281" t="str">
        <f>IF(N164="","",VLOOKUP(N164,'G-7 WaterC'' Data'!$B$2:$G$8,2,FALSE))</f>
        <v/>
      </c>
      <c r="S164" s="282" t="str">
        <f>IFERROR(VLOOKUP(R164,'G-7 WaterC'' Data'!$C$4:$D$8,2,FALSE),"")</f>
        <v/>
      </c>
      <c r="T164" s="105"/>
      <c r="U164" s="282" t="str">
        <f>IFERROR(INDEX('G-7 WaterC'' Data'!$H$4:$L$8,MATCH(N164,'G-7 WaterC'' Data'!$B$4:$B$8,0),MATCH(T164,'G-7 WaterC'' Data'!$H$3:$L$3,0)),"")</f>
        <v/>
      </c>
      <c r="V164" s="109"/>
      <c r="W164" s="301" t="str">
        <f>IF(V164="","",IF(VLOOKUP(V164,'G-7 WaterC'' Data'!$AK$4:$AM$6,2,FALSE)=0,"Spatial Data Missing ⚠",VLOOKUP(V164,'G-7 WaterC'' Data'!$AK$4:$AM$6,2,FALSE)))</f>
        <v/>
      </c>
      <c r="X164" s="305" t="str">
        <f>IF(V164="","",IF(VLOOKUP(V164,'G-7 WaterC'' Data'!$AK$4:$AM$6,3,FALSE)=0,"Spatial Data Missing ⚠",VLOOKUP(V164,'G-7 WaterC'' Data'!$AK$4:$AM$6,3,FALSE)))</f>
        <v/>
      </c>
      <c r="Y164" s="317" t="str">
        <f>IFERROR(IF(OR(LEFT(P164,5)="Error",LEFT(O164,5)="Error"),"Check Data ⚠",IF(F164&lt;S164,'G-7 WaterC'' Data'!$R$3,INDEX('G-7 WaterC'' Data'!$U$5:$Y$9,MATCH(G164,'G-7 WaterC'' Data'!$T$5:$T$9,0),MATCH(T164,'G-7 WaterC'' Data'!$U$4:$Y$4,0)))),"")</f>
        <v/>
      </c>
      <c r="Z164" s="142"/>
      <c r="AA164" s="142"/>
      <c r="AB164" s="314" t="str">
        <f t="shared" si="22"/>
        <v/>
      </c>
      <c r="AC164" s="302" t="str">
        <f t="shared" si="27"/>
        <v/>
      </c>
      <c r="AD164" s="340" t="str">
        <f>IFERROR(IF(AC164="Check Data ⚠","Check Data ⚠",VLOOKUP(AC164,'G-4 Temporal multipliers'!$A$4:$C$37,3,FALSE)),"")</f>
        <v/>
      </c>
      <c r="AE164" s="317" t="str">
        <f>IF(N164="","",VLOOKUP(N164,'G-7 WaterC'' Data'!$B$4:$G$8,5,FALSE))</f>
        <v/>
      </c>
      <c r="AF164" s="301" t="str">
        <f t="shared" si="23"/>
        <v/>
      </c>
      <c r="AG164" s="301" t="str">
        <f t="shared" si="28"/>
        <v/>
      </c>
      <c r="AH164" s="282" t="str">
        <f t="shared" si="24"/>
        <v/>
      </c>
      <c r="AI164" s="109"/>
      <c r="AJ164" s="282" t="str">
        <f>IF(AI164="","",(IF(AND(AI164="N/A - Culvert",N164&lt;&gt;"Culvert"),"Not possible ▲",IF(VLOOKUP(AI164,'G-7 WaterC'' Data'!$AA$4:$AB$7,2,FALSE)=0,"Spatial Data Missing ⚠",VLOOKUP(AI164,'G-7 WaterC'' Data'!$AA$4:$AB$7,2,FALSE)))))</f>
        <v/>
      </c>
      <c r="AK164" s="110"/>
      <c r="AL164" s="316" t="str">
        <f>IF(AK164="","",IF(AND(AK164="N/A - Culvert",N164&lt;&gt;"Culvert"),"Not possible ▲",IF(VLOOKUP(AK164,'G-7 WaterC'' Data'!$AD$4:$AE$14,2,FALSE)=0,"Spatial Data Missing ⚠",VLOOKUP(AK164,'G-7 WaterC'' Data'!$AD$4:$AE$14,2,FALSE))))</f>
        <v/>
      </c>
      <c r="AM164" s="281" t="str">
        <f>IF(B164="","",VLOOKUP($B164,'F-1 Off-Site WaterC'' Baseline'!$C$9:$Z$257,17,FALSE))</f>
        <v/>
      </c>
      <c r="AN164" s="282" t="str">
        <f>IF(AM164="","",IF(VLOOKUP(AM164,'G-7 WaterC'' Data'!$AO$4:$BO$7,2,FALSE)=0,"Spatial Data Missing ⚠",VLOOKUP(AM164,'G-7 WaterC'' Data'!$AO$4:$BO$7,2,FALSE)))</f>
        <v/>
      </c>
      <c r="AO164" s="323" t="str">
        <f t="shared" si="29"/>
        <v/>
      </c>
      <c r="AP164" s="323" t="str">
        <f t="shared" si="30"/>
        <v/>
      </c>
      <c r="AQ164" s="105"/>
      <c r="AR164" s="119"/>
      <c r="AS164" s="108"/>
      <c r="AT164" s="108"/>
      <c r="AW164" s="30" t="str">
        <f>IF(E164="","",VLOOKUP($B164,'F-1 Off-Site WaterC'' Baseline'!$C$9:$Z$257,12,FALSE))</f>
        <v/>
      </c>
      <c r="AX164" s="30" t="str">
        <f>IF(E164="","",VLOOKUP($B164,'F-1 Off-Site WaterC'' Baseline'!$C$9:$Z$257,14,FALSE))</f>
        <v/>
      </c>
      <c r="AY164" s="30" t="str">
        <f>IFERROR(INDEX('G-7 WaterC'' Data'!$AZ$3:$AZ$7,MATCH(N164,'G-7 WaterC'' Data'!$AY$3:$AY$7,0)),"")</f>
        <v/>
      </c>
      <c r="AZ164" s="30" t="str">
        <f>IF(B164="","",IF(ISNA(VLOOKUP($B164,'F-1 Off-Site WaterC'' Baseline'!$C$8:$AD$257,20,FALSE)),"",(VLOOKUP($B164,'F-1 Off-Site WaterC'' Baseline'!$C$8:$AD$257,20,FALSE))))</f>
        <v/>
      </c>
      <c r="BC164" s="30" t="str">
        <f>IF(B164="","",VLOOKUP($B164,'F-1 Off-Site WaterC'' Baseline'!$C$9:$AB$257,25,FALSE))</f>
        <v/>
      </c>
      <c r="BD164" s="30" t="str">
        <f t="shared" si="31"/>
        <v/>
      </c>
      <c r="BE164" s="30" t="str">
        <f>IF(B164="","",VLOOKUP($B164,'F-1 Off-Site WaterC'' Baseline'!$C$9:$AB$257,24,FALSE))</f>
        <v/>
      </c>
      <c r="BF164" s="30" t="str">
        <f>IF(B164="","",VLOOKUP($B164,'F-1 Off-Site WaterC'' Baseline'!$C$9:$AB$257,22,FALSE))</f>
        <v/>
      </c>
      <c r="BJ164" s="30" t="str">
        <f t="shared" si="32"/>
        <v>No</v>
      </c>
    </row>
    <row r="165" spans="2:62" ht="13.8" x14ac:dyDescent="0.25">
      <c r="B165" s="311" t="str">
        <f>'F-1 Off-Site WaterC'' Baseline'!AS163</f>
        <v/>
      </c>
      <c r="C165" s="301" t="str">
        <f>IF(B165="","",VLOOKUP($B165,'F-1 Off-Site WaterC'' Baseline'!$C$9:$R$257,2,FALSE))</f>
        <v/>
      </c>
      <c r="D165" s="301" t="str">
        <f>IF(C165="","",VLOOKUP($B165,'F-1 Off-Site WaterC'' Baseline'!$C$9:$R$257,3,FALSE))</f>
        <v/>
      </c>
      <c r="E165" s="301" t="str">
        <f>IF(D165="","",VLOOKUP($B165,'F-1 Off-Site WaterC'' Baseline'!$C$9:$R$257,4,FALSE))</f>
        <v/>
      </c>
      <c r="F165" s="301" t="str">
        <f>IF(E165="","",VLOOKUP($B165,'F-1 Off-Site WaterC'' Baseline'!$C$9:$R$257,5,FALSE))</f>
        <v/>
      </c>
      <c r="G165" s="301" t="str">
        <f>IF(F165="","",VLOOKUP($B165,'F-1 Off-Site WaterC'' Baseline'!$C$9:$R$257,6,FALSE))</f>
        <v/>
      </c>
      <c r="H165" s="301" t="str">
        <f>IF(G165="","",VLOOKUP($B165,'F-1 Off-Site WaterC'' Baseline'!$C$9:$R$257,7,FALSE))</f>
        <v/>
      </c>
      <c r="I165" s="301" t="str">
        <f>IF(H165="","",VLOOKUP($B165,'F-1 Off-Site WaterC'' Baseline'!$C$9:$R$257,8,FALSE))</f>
        <v/>
      </c>
      <c r="J165" s="301" t="str">
        <f>IF(I165="","",VLOOKUP($B165,'F-1 Off-Site WaterC'' Baseline'!$C$9:$R$257,9,FALSE))</f>
        <v/>
      </c>
      <c r="K165" s="301" t="str">
        <f>IF(J165="","",VLOOKUP($B165,'F-1 Off-Site WaterC'' Baseline'!$C$9:$R$257,10,FALSE))</f>
        <v/>
      </c>
      <c r="L165" s="289" t="str">
        <f>IF(B165="","",VLOOKUP($B165,'F-1 Off-Site WaterC'' Baseline'!$C$9:$R$257,15,FALSE))</f>
        <v/>
      </c>
      <c r="M165" s="305" t="str">
        <f>IF(L165="","",VLOOKUP($B165,'F-1 Off-Site WaterC'' Baseline'!$C$9:$V$257,19,FALSE))</f>
        <v/>
      </c>
      <c r="N165" s="250"/>
      <c r="O165" s="281" t="str">
        <f t="shared" si="25"/>
        <v/>
      </c>
      <c r="P165" s="282" t="str">
        <f t="shared" si="26"/>
        <v/>
      </c>
      <c r="Q165" s="287" t="str">
        <f>IF(N165="","",VLOOKUP(B165,'F-1 Off-Site WaterC'' Baseline'!$C$10:$AF$257,23,FALSE))</f>
        <v/>
      </c>
      <c r="R165" s="281" t="str">
        <f>IF(N165="","",VLOOKUP(N165,'G-7 WaterC'' Data'!$B$2:$G$8,2,FALSE))</f>
        <v/>
      </c>
      <c r="S165" s="282" t="str">
        <f>IFERROR(VLOOKUP(R165,'G-7 WaterC'' Data'!$C$4:$D$8,2,FALSE),"")</f>
        <v/>
      </c>
      <c r="T165" s="105"/>
      <c r="U165" s="282" t="str">
        <f>IFERROR(INDEX('G-7 WaterC'' Data'!$H$4:$L$8,MATCH(N165,'G-7 WaterC'' Data'!$B$4:$B$8,0),MATCH(T165,'G-7 WaterC'' Data'!$H$3:$L$3,0)),"")</f>
        <v/>
      </c>
      <c r="V165" s="109"/>
      <c r="W165" s="301" t="str">
        <f>IF(V165="","",IF(VLOOKUP(V165,'G-7 WaterC'' Data'!$AK$4:$AM$6,2,FALSE)=0,"Spatial Data Missing ⚠",VLOOKUP(V165,'G-7 WaterC'' Data'!$AK$4:$AM$6,2,FALSE)))</f>
        <v/>
      </c>
      <c r="X165" s="305" t="str">
        <f>IF(V165="","",IF(VLOOKUP(V165,'G-7 WaterC'' Data'!$AK$4:$AM$6,3,FALSE)=0,"Spatial Data Missing ⚠",VLOOKUP(V165,'G-7 WaterC'' Data'!$AK$4:$AM$6,3,FALSE)))</f>
        <v/>
      </c>
      <c r="Y165" s="317" t="str">
        <f>IFERROR(IF(OR(LEFT(P165,5)="Error",LEFT(O165,5)="Error"),"Check Data ⚠",IF(F165&lt;S165,'G-7 WaterC'' Data'!$R$3,INDEX('G-7 WaterC'' Data'!$U$5:$Y$9,MATCH(G165,'G-7 WaterC'' Data'!$T$5:$T$9,0),MATCH(T165,'G-7 WaterC'' Data'!$U$4:$Y$4,0)))),"")</f>
        <v/>
      </c>
      <c r="Z165" s="142"/>
      <c r="AA165" s="142"/>
      <c r="AB165" s="314" t="str">
        <f t="shared" si="22"/>
        <v/>
      </c>
      <c r="AC165" s="302" t="str">
        <f t="shared" si="27"/>
        <v/>
      </c>
      <c r="AD165" s="340" t="str">
        <f>IFERROR(IF(AC165="Check Data ⚠","Check Data ⚠",VLOOKUP(AC165,'G-4 Temporal multipliers'!$A$4:$C$37,3,FALSE)),"")</f>
        <v/>
      </c>
      <c r="AE165" s="317" t="str">
        <f>IF(N165="","",VLOOKUP(N165,'G-7 WaterC'' Data'!$B$4:$G$8,5,FALSE))</f>
        <v/>
      </c>
      <c r="AF165" s="301" t="str">
        <f t="shared" si="23"/>
        <v/>
      </c>
      <c r="AG165" s="301" t="str">
        <f t="shared" si="28"/>
        <v/>
      </c>
      <c r="AH165" s="282" t="str">
        <f t="shared" si="24"/>
        <v/>
      </c>
      <c r="AI165" s="109"/>
      <c r="AJ165" s="282" t="str">
        <f>IF(AI165="","",(IF(AND(AI165="N/A - Culvert",N165&lt;&gt;"Culvert"),"Not possible ▲",IF(VLOOKUP(AI165,'G-7 WaterC'' Data'!$AA$4:$AB$7,2,FALSE)=0,"Spatial Data Missing ⚠",VLOOKUP(AI165,'G-7 WaterC'' Data'!$AA$4:$AB$7,2,FALSE)))))</f>
        <v/>
      </c>
      <c r="AK165" s="110"/>
      <c r="AL165" s="316" t="str">
        <f>IF(AK165="","",IF(AND(AK165="N/A - Culvert",N165&lt;&gt;"Culvert"),"Not possible ▲",IF(VLOOKUP(AK165,'G-7 WaterC'' Data'!$AD$4:$AE$14,2,FALSE)=0,"Spatial Data Missing ⚠",VLOOKUP(AK165,'G-7 WaterC'' Data'!$AD$4:$AE$14,2,FALSE))))</f>
        <v/>
      </c>
      <c r="AM165" s="281" t="str">
        <f>IF(B165="","",VLOOKUP($B165,'F-1 Off-Site WaterC'' Baseline'!$C$9:$Z$257,17,FALSE))</f>
        <v/>
      </c>
      <c r="AN165" s="282" t="str">
        <f>IF(AM165="","",IF(VLOOKUP(AM165,'G-7 WaterC'' Data'!$AO$4:$BO$7,2,FALSE)=0,"Spatial Data Missing ⚠",VLOOKUP(AM165,'G-7 WaterC'' Data'!$AO$4:$BO$7,2,FALSE)))</f>
        <v/>
      </c>
      <c r="AO165" s="323" t="str">
        <f t="shared" si="29"/>
        <v/>
      </c>
      <c r="AP165" s="323" t="str">
        <f t="shared" si="30"/>
        <v/>
      </c>
      <c r="AQ165" s="105"/>
      <c r="AR165" s="119"/>
      <c r="AS165" s="108"/>
      <c r="AT165" s="108"/>
      <c r="AW165" s="30" t="str">
        <f>IF(E165="","",VLOOKUP($B165,'F-1 Off-Site WaterC'' Baseline'!$C$9:$Z$257,12,FALSE))</f>
        <v/>
      </c>
      <c r="AX165" s="30" t="str">
        <f>IF(E165="","",VLOOKUP($B165,'F-1 Off-Site WaterC'' Baseline'!$C$9:$Z$257,14,FALSE))</f>
        <v/>
      </c>
      <c r="AY165" s="30" t="str">
        <f>IFERROR(INDEX('G-7 WaterC'' Data'!$AZ$3:$AZ$7,MATCH(N165,'G-7 WaterC'' Data'!$AY$3:$AY$7,0)),"")</f>
        <v/>
      </c>
      <c r="AZ165" s="30" t="str">
        <f>IF(B165="","",IF(ISNA(VLOOKUP($B165,'F-1 Off-Site WaterC'' Baseline'!$C$8:$AD$257,20,FALSE)),"",(VLOOKUP($B165,'F-1 Off-Site WaterC'' Baseline'!$C$8:$AD$257,20,FALSE))))</f>
        <v/>
      </c>
      <c r="BC165" s="30" t="str">
        <f>IF(B165="","",VLOOKUP($B165,'F-1 Off-Site WaterC'' Baseline'!$C$9:$AB$257,25,FALSE))</f>
        <v/>
      </c>
      <c r="BD165" s="30" t="str">
        <f t="shared" si="31"/>
        <v/>
      </c>
      <c r="BE165" s="30" t="str">
        <f>IF(B165="","",VLOOKUP($B165,'F-1 Off-Site WaterC'' Baseline'!$C$9:$AB$257,24,FALSE))</f>
        <v/>
      </c>
      <c r="BF165" s="30" t="str">
        <f>IF(B165="","",VLOOKUP($B165,'F-1 Off-Site WaterC'' Baseline'!$C$9:$AB$257,22,FALSE))</f>
        <v/>
      </c>
      <c r="BJ165" s="30" t="str">
        <f t="shared" si="32"/>
        <v>No</v>
      </c>
    </row>
    <row r="166" spans="2:62" ht="13.8" x14ac:dyDescent="0.25">
      <c r="B166" s="311" t="str">
        <f>'F-1 Off-Site WaterC'' Baseline'!AS164</f>
        <v/>
      </c>
      <c r="C166" s="301" t="str">
        <f>IF(B166="","",VLOOKUP($B166,'F-1 Off-Site WaterC'' Baseline'!$C$9:$R$257,2,FALSE))</f>
        <v/>
      </c>
      <c r="D166" s="301" t="str">
        <f>IF(C166="","",VLOOKUP($B166,'F-1 Off-Site WaterC'' Baseline'!$C$9:$R$257,3,FALSE))</f>
        <v/>
      </c>
      <c r="E166" s="301" t="str">
        <f>IF(D166="","",VLOOKUP($B166,'F-1 Off-Site WaterC'' Baseline'!$C$9:$R$257,4,FALSE))</f>
        <v/>
      </c>
      <c r="F166" s="301" t="str">
        <f>IF(E166="","",VLOOKUP($B166,'F-1 Off-Site WaterC'' Baseline'!$C$9:$R$257,5,FALSE))</f>
        <v/>
      </c>
      <c r="G166" s="301" t="str">
        <f>IF(F166="","",VLOOKUP($B166,'F-1 Off-Site WaterC'' Baseline'!$C$9:$R$257,6,FALSE))</f>
        <v/>
      </c>
      <c r="H166" s="301" t="str">
        <f>IF(G166="","",VLOOKUP($B166,'F-1 Off-Site WaterC'' Baseline'!$C$9:$R$257,7,FALSE))</f>
        <v/>
      </c>
      <c r="I166" s="301" t="str">
        <f>IF(H166="","",VLOOKUP($B166,'F-1 Off-Site WaterC'' Baseline'!$C$9:$R$257,8,FALSE))</f>
        <v/>
      </c>
      <c r="J166" s="301" t="str">
        <f>IF(I166="","",VLOOKUP($B166,'F-1 Off-Site WaterC'' Baseline'!$C$9:$R$257,9,FALSE))</f>
        <v/>
      </c>
      <c r="K166" s="301" t="str">
        <f>IF(J166="","",VLOOKUP($B166,'F-1 Off-Site WaterC'' Baseline'!$C$9:$R$257,10,FALSE))</f>
        <v/>
      </c>
      <c r="L166" s="289" t="str">
        <f>IF(B166="","",VLOOKUP($B166,'F-1 Off-Site WaterC'' Baseline'!$C$9:$R$257,15,FALSE))</f>
        <v/>
      </c>
      <c r="M166" s="305" t="str">
        <f>IF(L166="","",VLOOKUP($B166,'F-1 Off-Site WaterC'' Baseline'!$C$9:$V$257,19,FALSE))</f>
        <v/>
      </c>
      <c r="N166" s="250"/>
      <c r="O166" s="281" t="str">
        <f t="shared" si="25"/>
        <v/>
      </c>
      <c r="P166" s="282" t="str">
        <f t="shared" si="26"/>
        <v/>
      </c>
      <c r="Q166" s="287" t="str">
        <f>IF(N166="","",VLOOKUP(B166,'F-1 Off-Site WaterC'' Baseline'!$C$10:$AF$257,23,FALSE))</f>
        <v/>
      </c>
      <c r="R166" s="281" t="str">
        <f>IF(N166="","",VLOOKUP(N166,'G-7 WaterC'' Data'!$B$2:$G$8,2,FALSE))</f>
        <v/>
      </c>
      <c r="S166" s="282" t="str">
        <f>IFERROR(VLOOKUP(R166,'G-7 WaterC'' Data'!$C$4:$D$8,2,FALSE),"")</f>
        <v/>
      </c>
      <c r="T166" s="105"/>
      <c r="U166" s="282" t="str">
        <f>IFERROR(INDEX('G-7 WaterC'' Data'!$H$4:$L$8,MATCH(N166,'G-7 WaterC'' Data'!$B$4:$B$8,0),MATCH(T166,'G-7 WaterC'' Data'!$H$3:$L$3,0)),"")</f>
        <v/>
      </c>
      <c r="V166" s="109"/>
      <c r="W166" s="301" t="str">
        <f>IF(V166="","",IF(VLOOKUP(V166,'G-7 WaterC'' Data'!$AK$4:$AM$6,2,FALSE)=0,"Spatial Data Missing ⚠",VLOOKUP(V166,'G-7 WaterC'' Data'!$AK$4:$AM$6,2,FALSE)))</f>
        <v/>
      </c>
      <c r="X166" s="305" t="str">
        <f>IF(V166="","",IF(VLOOKUP(V166,'G-7 WaterC'' Data'!$AK$4:$AM$6,3,FALSE)=0,"Spatial Data Missing ⚠",VLOOKUP(V166,'G-7 WaterC'' Data'!$AK$4:$AM$6,3,FALSE)))</f>
        <v/>
      </c>
      <c r="Y166" s="317" t="str">
        <f>IFERROR(IF(OR(LEFT(P166,5)="Error",LEFT(O166,5)="Error"),"Check Data ⚠",IF(F166&lt;S166,'G-7 WaterC'' Data'!$R$3,INDEX('G-7 WaterC'' Data'!$U$5:$Y$9,MATCH(G166,'G-7 WaterC'' Data'!$T$5:$T$9,0),MATCH(T166,'G-7 WaterC'' Data'!$U$4:$Y$4,0)))),"")</f>
        <v/>
      </c>
      <c r="Z166" s="142"/>
      <c r="AA166" s="142"/>
      <c r="AB166" s="314" t="str">
        <f t="shared" si="22"/>
        <v/>
      </c>
      <c r="AC166" s="302" t="str">
        <f t="shared" si="27"/>
        <v/>
      </c>
      <c r="AD166" s="340" t="str">
        <f>IFERROR(IF(AC166="Check Data ⚠","Check Data ⚠",VLOOKUP(AC166,'G-4 Temporal multipliers'!$A$4:$C$37,3,FALSE)),"")</f>
        <v/>
      </c>
      <c r="AE166" s="317" t="str">
        <f>IF(N166="","",VLOOKUP(N166,'G-7 WaterC'' Data'!$B$4:$G$8,5,FALSE))</f>
        <v/>
      </c>
      <c r="AF166" s="301" t="str">
        <f t="shared" si="23"/>
        <v/>
      </c>
      <c r="AG166" s="301" t="str">
        <f t="shared" si="28"/>
        <v/>
      </c>
      <c r="AH166" s="282" t="str">
        <f t="shared" si="24"/>
        <v/>
      </c>
      <c r="AI166" s="109"/>
      <c r="AJ166" s="282" t="str">
        <f>IF(AI166="","",(IF(AND(AI166="N/A - Culvert",N166&lt;&gt;"Culvert"),"Not possible ▲",IF(VLOOKUP(AI166,'G-7 WaterC'' Data'!$AA$4:$AB$7,2,FALSE)=0,"Spatial Data Missing ⚠",VLOOKUP(AI166,'G-7 WaterC'' Data'!$AA$4:$AB$7,2,FALSE)))))</f>
        <v/>
      </c>
      <c r="AK166" s="110"/>
      <c r="AL166" s="316" t="str">
        <f>IF(AK166="","",IF(AND(AK166="N/A - Culvert",N166&lt;&gt;"Culvert"),"Not possible ▲",IF(VLOOKUP(AK166,'G-7 WaterC'' Data'!$AD$4:$AE$14,2,FALSE)=0,"Spatial Data Missing ⚠",VLOOKUP(AK166,'G-7 WaterC'' Data'!$AD$4:$AE$14,2,FALSE))))</f>
        <v/>
      </c>
      <c r="AM166" s="281" t="str">
        <f>IF(B166="","",VLOOKUP($B166,'F-1 Off-Site WaterC'' Baseline'!$C$9:$Z$257,17,FALSE))</f>
        <v/>
      </c>
      <c r="AN166" s="282" t="str">
        <f>IF(AM166="","",IF(VLOOKUP(AM166,'G-7 WaterC'' Data'!$AO$4:$BO$7,2,FALSE)=0,"Spatial Data Missing ⚠",VLOOKUP(AM166,'G-7 WaterC'' Data'!$AO$4:$BO$7,2,FALSE)))</f>
        <v/>
      </c>
      <c r="AO166" s="323" t="str">
        <f t="shared" si="29"/>
        <v/>
      </c>
      <c r="AP166" s="323" t="str">
        <f t="shared" si="30"/>
        <v/>
      </c>
      <c r="AQ166" s="105"/>
      <c r="AR166" s="119"/>
      <c r="AS166" s="108"/>
      <c r="AT166" s="108"/>
      <c r="AW166" s="30" t="str">
        <f>IF(E166="","",VLOOKUP($B166,'F-1 Off-Site WaterC'' Baseline'!$C$9:$Z$257,12,FALSE))</f>
        <v/>
      </c>
      <c r="AX166" s="30" t="str">
        <f>IF(E166="","",VLOOKUP($B166,'F-1 Off-Site WaterC'' Baseline'!$C$9:$Z$257,14,FALSE))</f>
        <v/>
      </c>
      <c r="AY166" s="30" t="str">
        <f>IFERROR(INDEX('G-7 WaterC'' Data'!$AZ$3:$AZ$7,MATCH(N166,'G-7 WaterC'' Data'!$AY$3:$AY$7,0)),"")</f>
        <v/>
      </c>
      <c r="AZ166" s="30" t="str">
        <f>IF(B166="","",IF(ISNA(VLOOKUP($B166,'F-1 Off-Site WaterC'' Baseline'!$C$8:$AD$257,20,FALSE)),"",(VLOOKUP($B166,'F-1 Off-Site WaterC'' Baseline'!$C$8:$AD$257,20,FALSE))))</f>
        <v/>
      </c>
      <c r="BC166" s="30" t="str">
        <f>IF(B166="","",VLOOKUP($B166,'F-1 Off-Site WaterC'' Baseline'!$C$9:$AB$257,25,FALSE))</f>
        <v/>
      </c>
      <c r="BD166" s="30" t="str">
        <f t="shared" si="31"/>
        <v/>
      </c>
      <c r="BE166" s="30" t="str">
        <f>IF(B166="","",VLOOKUP($B166,'F-1 Off-Site WaterC'' Baseline'!$C$9:$AB$257,24,FALSE))</f>
        <v/>
      </c>
      <c r="BF166" s="30" t="str">
        <f>IF(B166="","",VLOOKUP($B166,'F-1 Off-Site WaterC'' Baseline'!$C$9:$AB$257,22,FALSE))</f>
        <v/>
      </c>
      <c r="BJ166" s="30" t="str">
        <f t="shared" si="32"/>
        <v>No</v>
      </c>
    </row>
    <row r="167" spans="2:62" ht="13.8" x14ac:dyDescent="0.25">
      <c r="B167" s="311" t="str">
        <f>'F-1 Off-Site WaterC'' Baseline'!AS165</f>
        <v/>
      </c>
      <c r="C167" s="301" t="str">
        <f>IF(B167="","",VLOOKUP($B167,'F-1 Off-Site WaterC'' Baseline'!$C$9:$R$257,2,FALSE))</f>
        <v/>
      </c>
      <c r="D167" s="301" t="str">
        <f>IF(C167="","",VLOOKUP($B167,'F-1 Off-Site WaterC'' Baseline'!$C$9:$R$257,3,FALSE))</f>
        <v/>
      </c>
      <c r="E167" s="301" t="str">
        <f>IF(D167="","",VLOOKUP($B167,'F-1 Off-Site WaterC'' Baseline'!$C$9:$R$257,4,FALSE))</f>
        <v/>
      </c>
      <c r="F167" s="301" t="str">
        <f>IF(E167="","",VLOOKUP($B167,'F-1 Off-Site WaterC'' Baseline'!$C$9:$R$257,5,FALSE))</f>
        <v/>
      </c>
      <c r="G167" s="301" t="str">
        <f>IF(F167="","",VLOOKUP($B167,'F-1 Off-Site WaterC'' Baseline'!$C$9:$R$257,6,FALSE))</f>
        <v/>
      </c>
      <c r="H167" s="301" t="str">
        <f>IF(G167="","",VLOOKUP($B167,'F-1 Off-Site WaterC'' Baseline'!$C$9:$R$257,7,FALSE))</f>
        <v/>
      </c>
      <c r="I167" s="301" t="str">
        <f>IF(H167="","",VLOOKUP($B167,'F-1 Off-Site WaterC'' Baseline'!$C$9:$R$257,8,FALSE))</f>
        <v/>
      </c>
      <c r="J167" s="301" t="str">
        <f>IF(I167="","",VLOOKUP($B167,'F-1 Off-Site WaterC'' Baseline'!$C$9:$R$257,9,FALSE))</f>
        <v/>
      </c>
      <c r="K167" s="301" t="str">
        <f>IF(J167="","",VLOOKUP($B167,'F-1 Off-Site WaterC'' Baseline'!$C$9:$R$257,10,FALSE))</f>
        <v/>
      </c>
      <c r="L167" s="289" t="str">
        <f>IF(B167="","",VLOOKUP($B167,'F-1 Off-Site WaterC'' Baseline'!$C$9:$R$257,15,FALSE))</f>
        <v/>
      </c>
      <c r="M167" s="305" t="str">
        <f>IF(L167="","",VLOOKUP($B167,'F-1 Off-Site WaterC'' Baseline'!$C$9:$V$257,19,FALSE))</f>
        <v/>
      </c>
      <c r="N167" s="250"/>
      <c r="O167" s="281" t="str">
        <f t="shared" si="25"/>
        <v/>
      </c>
      <c r="P167" s="282" t="str">
        <f t="shared" si="26"/>
        <v/>
      </c>
      <c r="Q167" s="287" t="str">
        <f>IF(N167="","",VLOOKUP(B167,'F-1 Off-Site WaterC'' Baseline'!$C$10:$AF$257,23,FALSE))</f>
        <v/>
      </c>
      <c r="R167" s="281" t="str">
        <f>IF(N167="","",VLOOKUP(N167,'G-7 WaterC'' Data'!$B$2:$G$8,2,FALSE))</f>
        <v/>
      </c>
      <c r="S167" s="282" t="str">
        <f>IFERROR(VLOOKUP(R167,'G-7 WaterC'' Data'!$C$4:$D$8,2,FALSE),"")</f>
        <v/>
      </c>
      <c r="T167" s="105"/>
      <c r="U167" s="282" t="str">
        <f>IFERROR(INDEX('G-7 WaterC'' Data'!$H$4:$L$8,MATCH(N167,'G-7 WaterC'' Data'!$B$4:$B$8,0),MATCH(T167,'G-7 WaterC'' Data'!$H$3:$L$3,0)),"")</f>
        <v/>
      </c>
      <c r="V167" s="109"/>
      <c r="W167" s="301" t="str">
        <f>IF(V167="","",IF(VLOOKUP(V167,'G-7 WaterC'' Data'!$AK$4:$AM$6,2,FALSE)=0,"Spatial Data Missing ⚠",VLOOKUP(V167,'G-7 WaterC'' Data'!$AK$4:$AM$6,2,FALSE)))</f>
        <v/>
      </c>
      <c r="X167" s="305" t="str">
        <f>IF(V167="","",IF(VLOOKUP(V167,'G-7 WaterC'' Data'!$AK$4:$AM$6,3,FALSE)=0,"Spatial Data Missing ⚠",VLOOKUP(V167,'G-7 WaterC'' Data'!$AK$4:$AM$6,3,FALSE)))</f>
        <v/>
      </c>
      <c r="Y167" s="317" t="str">
        <f>IFERROR(IF(OR(LEFT(P167,5)="Error",LEFT(O167,5)="Error"),"Check Data ⚠",IF(F167&lt;S167,'G-7 WaterC'' Data'!$R$3,INDEX('G-7 WaterC'' Data'!$U$5:$Y$9,MATCH(G167,'G-7 WaterC'' Data'!$T$5:$T$9,0),MATCH(T167,'G-7 WaterC'' Data'!$U$4:$Y$4,0)))),"")</f>
        <v/>
      </c>
      <c r="Z167" s="142"/>
      <c r="AA167" s="142"/>
      <c r="AB167" s="314" t="str">
        <f t="shared" si="22"/>
        <v/>
      </c>
      <c r="AC167" s="302" t="str">
        <f t="shared" si="27"/>
        <v/>
      </c>
      <c r="AD167" s="340" t="str">
        <f>IFERROR(IF(AC167="Check Data ⚠","Check Data ⚠",VLOOKUP(AC167,'G-4 Temporal multipliers'!$A$4:$C$37,3,FALSE)),"")</f>
        <v/>
      </c>
      <c r="AE167" s="317" t="str">
        <f>IF(N167="","",VLOOKUP(N167,'G-7 WaterC'' Data'!$B$4:$G$8,5,FALSE))</f>
        <v/>
      </c>
      <c r="AF167" s="301" t="str">
        <f t="shared" si="23"/>
        <v/>
      </c>
      <c r="AG167" s="301" t="str">
        <f t="shared" si="28"/>
        <v/>
      </c>
      <c r="AH167" s="282" t="str">
        <f t="shared" si="24"/>
        <v/>
      </c>
      <c r="AI167" s="109"/>
      <c r="AJ167" s="282" t="str">
        <f>IF(AI167="","",(IF(AND(AI167="N/A - Culvert",N167&lt;&gt;"Culvert"),"Not possible ▲",IF(VLOOKUP(AI167,'G-7 WaterC'' Data'!$AA$4:$AB$7,2,FALSE)=0,"Spatial Data Missing ⚠",VLOOKUP(AI167,'G-7 WaterC'' Data'!$AA$4:$AB$7,2,FALSE)))))</f>
        <v/>
      </c>
      <c r="AK167" s="110"/>
      <c r="AL167" s="316" t="str">
        <f>IF(AK167="","",IF(AND(AK167="N/A - Culvert",N167&lt;&gt;"Culvert"),"Not possible ▲",IF(VLOOKUP(AK167,'G-7 WaterC'' Data'!$AD$4:$AE$14,2,FALSE)=0,"Spatial Data Missing ⚠",VLOOKUP(AK167,'G-7 WaterC'' Data'!$AD$4:$AE$14,2,FALSE))))</f>
        <v/>
      </c>
      <c r="AM167" s="281" t="str">
        <f>IF(B167="","",VLOOKUP($B167,'F-1 Off-Site WaterC'' Baseline'!$C$9:$Z$257,17,FALSE))</f>
        <v/>
      </c>
      <c r="AN167" s="282" t="str">
        <f>IF(AM167="","",IF(VLOOKUP(AM167,'G-7 WaterC'' Data'!$AO$4:$BO$7,2,FALSE)=0,"Spatial Data Missing ⚠",VLOOKUP(AM167,'G-7 WaterC'' Data'!$AO$4:$BO$7,2,FALSE)))</f>
        <v/>
      </c>
      <c r="AO167" s="323" t="str">
        <f t="shared" si="29"/>
        <v/>
      </c>
      <c r="AP167" s="323" t="str">
        <f t="shared" si="30"/>
        <v/>
      </c>
      <c r="AQ167" s="105"/>
      <c r="AR167" s="119"/>
      <c r="AS167" s="108"/>
      <c r="AT167" s="108"/>
      <c r="AW167" s="30" t="str">
        <f>IF(E167="","",VLOOKUP($B167,'F-1 Off-Site WaterC'' Baseline'!$C$9:$Z$257,12,FALSE))</f>
        <v/>
      </c>
      <c r="AX167" s="30" t="str">
        <f>IF(E167="","",VLOOKUP($B167,'F-1 Off-Site WaterC'' Baseline'!$C$9:$Z$257,14,FALSE))</f>
        <v/>
      </c>
      <c r="AY167" s="30" t="str">
        <f>IFERROR(INDEX('G-7 WaterC'' Data'!$AZ$3:$AZ$7,MATCH(N167,'G-7 WaterC'' Data'!$AY$3:$AY$7,0)),"")</f>
        <v/>
      </c>
      <c r="AZ167" s="30" t="str">
        <f>IF(B167="","",IF(ISNA(VLOOKUP($B167,'F-1 Off-Site WaterC'' Baseline'!$C$8:$AD$257,20,FALSE)),"",(VLOOKUP($B167,'F-1 Off-Site WaterC'' Baseline'!$C$8:$AD$257,20,FALSE))))</f>
        <v/>
      </c>
      <c r="BC167" s="30" t="str">
        <f>IF(B167="","",VLOOKUP($B167,'F-1 Off-Site WaterC'' Baseline'!$C$9:$AB$257,25,FALSE))</f>
        <v/>
      </c>
      <c r="BD167" s="30" t="str">
        <f t="shared" si="31"/>
        <v/>
      </c>
      <c r="BE167" s="30" t="str">
        <f>IF(B167="","",VLOOKUP($B167,'F-1 Off-Site WaterC'' Baseline'!$C$9:$AB$257,24,FALSE))</f>
        <v/>
      </c>
      <c r="BF167" s="30" t="str">
        <f>IF(B167="","",VLOOKUP($B167,'F-1 Off-Site WaterC'' Baseline'!$C$9:$AB$257,22,FALSE))</f>
        <v/>
      </c>
      <c r="BJ167" s="30" t="str">
        <f t="shared" si="32"/>
        <v>No</v>
      </c>
    </row>
    <row r="168" spans="2:62" ht="13.8" x14ac:dyDescent="0.25">
      <c r="B168" s="311" t="str">
        <f>'F-1 Off-Site WaterC'' Baseline'!AS166</f>
        <v/>
      </c>
      <c r="C168" s="301" t="str">
        <f>IF(B168="","",VLOOKUP($B168,'F-1 Off-Site WaterC'' Baseline'!$C$9:$R$257,2,FALSE))</f>
        <v/>
      </c>
      <c r="D168" s="301" t="str">
        <f>IF(C168="","",VLOOKUP($B168,'F-1 Off-Site WaterC'' Baseline'!$C$9:$R$257,3,FALSE))</f>
        <v/>
      </c>
      <c r="E168" s="301" t="str">
        <f>IF(D168="","",VLOOKUP($B168,'F-1 Off-Site WaterC'' Baseline'!$C$9:$R$257,4,FALSE))</f>
        <v/>
      </c>
      <c r="F168" s="301" t="str">
        <f>IF(E168="","",VLOOKUP($B168,'F-1 Off-Site WaterC'' Baseline'!$C$9:$R$257,5,FALSE))</f>
        <v/>
      </c>
      <c r="G168" s="301" t="str">
        <f>IF(F168="","",VLOOKUP($B168,'F-1 Off-Site WaterC'' Baseline'!$C$9:$R$257,6,FALSE))</f>
        <v/>
      </c>
      <c r="H168" s="301" t="str">
        <f>IF(G168="","",VLOOKUP($B168,'F-1 Off-Site WaterC'' Baseline'!$C$9:$R$257,7,FALSE))</f>
        <v/>
      </c>
      <c r="I168" s="301" t="str">
        <f>IF(H168="","",VLOOKUP($B168,'F-1 Off-Site WaterC'' Baseline'!$C$9:$R$257,8,FALSE))</f>
        <v/>
      </c>
      <c r="J168" s="301" t="str">
        <f>IF(I168="","",VLOOKUP($B168,'F-1 Off-Site WaterC'' Baseline'!$C$9:$R$257,9,FALSE))</f>
        <v/>
      </c>
      <c r="K168" s="301" t="str">
        <f>IF(J168="","",VLOOKUP($B168,'F-1 Off-Site WaterC'' Baseline'!$C$9:$R$257,10,FALSE))</f>
        <v/>
      </c>
      <c r="L168" s="289" t="str">
        <f>IF(B168="","",VLOOKUP($B168,'F-1 Off-Site WaterC'' Baseline'!$C$9:$R$257,15,FALSE))</f>
        <v/>
      </c>
      <c r="M168" s="305" t="str">
        <f>IF(L168="","",VLOOKUP($B168,'F-1 Off-Site WaterC'' Baseline'!$C$9:$V$257,19,FALSE))</f>
        <v/>
      </c>
      <c r="N168" s="250"/>
      <c r="O168" s="281" t="str">
        <f t="shared" si="25"/>
        <v/>
      </c>
      <c r="P168" s="282" t="str">
        <f t="shared" si="26"/>
        <v/>
      </c>
      <c r="Q168" s="287" t="str">
        <f>IF(N168="","",VLOOKUP(B168,'F-1 Off-Site WaterC'' Baseline'!$C$10:$AF$257,23,FALSE))</f>
        <v/>
      </c>
      <c r="R168" s="281" t="str">
        <f>IF(N168="","",VLOOKUP(N168,'G-7 WaterC'' Data'!$B$2:$G$8,2,FALSE))</f>
        <v/>
      </c>
      <c r="S168" s="282" t="str">
        <f>IFERROR(VLOOKUP(R168,'G-7 WaterC'' Data'!$C$4:$D$8,2,FALSE),"")</f>
        <v/>
      </c>
      <c r="T168" s="105"/>
      <c r="U168" s="282" t="str">
        <f>IFERROR(INDEX('G-7 WaterC'' Data'!$H$4:$L$8,MATCH(N168,'G-7 WaterC'' Data'!$B$4:$B$8,0),MATCH(T168,'G-7 WaterC'' Data'!$H$3:$L$3,0)),"")</f>
        <v/>
      </c>
      <c r="V168" s="109"/>
      <c r="W168" s="301" t="str">
        <f>IF(V168="","",IF(VLOOKUP(V168,'G-7 WaterC'' Data'!$AK$4:$AM$6,2,FALSE)=0,"Spatial Data Missing ⚠",VLOOKUP(V168,'G-7 WaterC'' Data'!$AK$4:$AM$6,2,FALSE)))</f>
        <v/>
      </c>
      <c r="X168" s="305" t="str">
        <f>IF(V168="","",IF(VLOOKUP(V168,'G-7 WaterC'' Data'!$AK$4:$AM$6,3,FALSE)=0,"Spatial Data Missing ⚠",VLOOKUP(V168,'G-7 WaterC'' Data'!$AK$4:$AM$6,3,FALSE)))</f>
        <v/>
      </c>
      <c r="Y168" s="317" t="str">
        <f>IFERROR(IF(OR(LEFT(P168,5)="Error",LEFT(O168,5)="Error"),"Check Data ⚠",IF(F168&lt;S168,'G-7 WaterC'' Data'!$R$3,INDEX('G-7 WaterC'' Data'!$U$5:$Y$9,MATCH(G168,'G-7 WaterC'' Data'!$T$5:$T$9,0),MATCH(T168,'G-7 WaterC'' Data'!$U$4:$Y$4,0)))),"")</f>
        <v/>
      </c>
      <c r="Z168" s="142"/>
      <c r="AA168" s="142"/>
      <c r="AB168" s="314" t="str">
        <f t="shared" si="22"/>
        <v/>
      </c>
      <c r="AC168" s="302" t="str">
        <f t="shared" si="27"/>
        <v/>
      </c>
      <c r="AD168" s="340" t="str">
        <f>IFERROR(IF(AC168="Check Data ⚠","Check Data ⚠",VLOOKUP(AC168,'G-4 Temporal multipliers'!$A$4:$C$37,3,FALSE)),"")</f>
        <v/>
      </c>
      <c r="AE168" s="317" t="str">
        <f>IF(N168="","",VLOOKUP(N168,'G-7 WaterC'' Data'!$B$4:$G$8,5,FALSE))</f>
        <v/>
      </c>
      <c r="AF168" s="301" t="str">
        <f t="shared" si="23"/>
        <v/>
      </c>
      <c r="AG168" s="301" t="str">
        <f t="shared" si="28"/>
        <v/>
      </c>
      <c r="AH168" s="282" t="str">
        <f t="shared" si="24"/>
        <v/>
      </c>
      <c r="AI168" s="109"/>
      <c r="AJ168" s="282" t="str">
        <f>IF(AI168="","",(IF(AND(AI168="N/A - Culvert",N168&lt;&gt;"Culvert"),"Not possible ▲",IF(VLOOKUP(AI168,'G-7 WaterC'' Data'!$AA$4:$AB$7,2,FALSE)=0,"Spatial Data Missing ⚠",VLOOKUP(AI168,'G-7 WaterC'' Data'!$AA$4:$AB$7,2,FALSE)))))</f>
        <v/>
      </c>
      <c r="AK168" s="110"/>
      <c r="AL168" s="316" t="str">
        <f>IF(AK168="","",IF(AND(AK168="N/A - Culvert",N168&lt;&gt;"Culvert"),"Not possible ▲",IF(VLOOKUP(AK168,'G-7 WaterC'' Data'!$AD$4:$AE$14,2,FALSE)=0,"Spatial Data Missing ⚠",VLOOKUP(AK168,'G-7 WaterC'' Data'!$AD$4:$AE$14,2,FALSE))))</f>
        <v/>
      </c>
      <c r="AM168" s="281" t="str">
        <f>IF(B168="","",VLOOKUP($B168,'F-1 Off-Site WaterC'' Baseline'!$C$9:$Z$257,17,FALSE))</f>
        <v/>
      </c>
      <c r="AN168" s="282" t="str">
        <f>IF(AM168="","",IF(VLOOKUP(AM168,'G-7 WaterC'' Data'!$AO$4:$BO$7,2,FALSE)=0,"Spatial Data Missing ⚠",VLOOKUP(AM168,'G-7 WaterC'' Data'!$AO$4:$BO$7,2,FALSE)))</f>
        <v/>
      </c>
      <c r="AO168" s="323" t="str">
        <f t="shared" si="29"/>
        <v/>
      </c>
      <c r="AP168" s="323" t="str">
        <f t="shared" si="30"/>
        <v/>
      </c>
      <c r="AQ168" s="105"/>
      <c r="AR168" s="119"/>
      <c r="AS168" s="108"/>
      <c r="AT168" s="108"/>
      <c r="AW168" s="30" t="str">
        <f>IF(E168="","",VLOOKUP($B168,'F-1 Off-Site WaterC'' Baseline'!$C$9:$Z$257,12,FALSE))</f>
        <v/>
      </c>
      <c r="AX168" s="30" t="str">
        <f>IF(E168="","",VLOOKUP($B168,'F-1 Off-Site WaterC'' Baseline'!$C$9:$Z$257,14,FALSE))</f>
        <v/>
      </c>
      <c r="AY168" s="30" t="str">
        <f>IFERROR(INDEX('G-7 WaterC'' Data'!$AZ$3:$AZ$7,MATCH(N168,'G-7 WaterC'' Data'!$AY$3:$AY$7,0)),"")</f>
        <v/>
      </c>
      <c r="AZ168" s="30" t="str">
        <f>IF(B168="","",IF(ISNA(VLOOKUP($B168,'F-1 Off-Site WaterC'' Baseline'!$C$8:$AD$257,20,FALSE)),"",(VLOOKUP($B168,'F-1 Off-Site WaterC'' Baseline'!$C$8:$AD$257,20,FALSE))))</f>
        <v/>
      </c>
      <c r="BC168" s="30" t="str">
        <f>IF(B168="","",VLOOKUP($B168,'F-1 Off-Site WaterC'' Baseline'!$C$9:$AB$257,25,FALSE))</f>
        <v/>
      </c>
      <c r="BD168" s="30" t="str">
        <f t="shared" si="31"/>
        <v/>
      </c>
      <c r="BE168" s="30" t="str">
        <f>IF(B168="","",VLOOKUP($B168,'F-1 Off-Site WaterC'' Baseline'!$C$9:$AB$257,24,FALSE))</f>
        <v/>
      </c>
      <c r="BF168" s="30" t="str">
        <f>IF(B168="","",VLOOKUP($B168,'F-1 Off-Site WaterC'' Baseline'!$C$9:$AB$257,22,FALSE))</f>
        <v/>
      </c>
      <c r="BJ168" s="30" t="str">
        <f t="shared" si="32"/>
        <v>No</v>
      </c>
    </row>
    <row r="169" spans="2:62" ht="13.8" x14ac:dyDescent="0.25">
      <c r="B169" s="311" t="str">
        <f>'F-1 Off-Site WaterC'' Baseline'!AS167</f>
        <v/>
      </c>
      <c r="C169" s="301" t="str">
        <f>IF(B169="","",VLOOKUP($B169,'F-1 Off-Site WaterC'' Baseline'!$C$9:$R$257,2,FALSE))</f>
        <v/>
      </c>
      <c r="D169" s="301" t="str">
        <f>IF(C169="","",VLOOKUP($B169,'F-1 Off-Site WaterC'' Baseline'!$C$9:$R$257,3,FALSE))</f>
        <v/>
      </c>
      <c r="E169" s="301" t="str">
        <f>IF(D169="","",VLOOKUP($B169,'F-1 Off-Site WaterC'' Baseline'!$C$9:$R$257,4,FALSE))</f>
        <v/>
      </c>
      <c r="F169" s="301" t="str">
        <f>IF(E169="","",VLOOKUP($B169,'F-1 Off-Site WaterC'' Baseline'!$C$9:$R$257,5,FALSE))</f>
        <v/>
      </c>
      <c r="G169" s="301" t="str">
        <f>IF(F169="","",VLOOKUP($B169,'F-1 Off-Site WaterC'' Baseline'!$C$9:$R$257,6,FALSE))</f>
        <v/>
      </c>
      <c r="H169" s="301" t="str">
        <f>IF(G169="","",VLOOKUP($B169,'F-1 Off-Site WaterC'' Baseline'!$C$9:$R$257,7,FALSE))</f>
        <v/>
      </c>
      <c r="I169" s="301" t="str">
        <f>IF(H169="","",VLOOKUP($B169,'F-1 Off-Site WaterC'' Baseline'!$C$9:$R$257,8,FALSE))</f>
        <v/>
      </c>
      <c r="J169" s="301" t="str">
        <f>IF(I169="","",VLOOKUP($B169,'F-1 Off-Site WaterC'' Baseline'!$C$9:$R$257,9,FALSE))</f>
        <v/>
      </c>
      <c r="K169" s="301" t="str">
        <f>IF(J169="","",VLOOKUP($B169,'F-1 Off-Site WaterC'' Baseline'!$C$9:$R$257,10,FALSE))</f>
        <v/>
      </c>
      <c r="L169" s="289" t="str">
        <f>IF(B169="","",VLOOKUP($B169,'F-1 Off-Site WaterC'' Baseline'!$C$9:$R$257,15,FALSE))</f>
        <v/>
      </c>
      <c r="M169" s="305" t="str">
        <f>IF(L169="","",VLOOKUP($B169,'F-1 Off-Site WaterC'' Baseline'!$C$9:$V$257,19,FALSE))</f>
        <v/>
      </c>
      <c r="N169" s="250"/>
      <c r="O169" s="281" t="str">
        <f t="shared" si="25"/>
        <v/>
      </c>
      <c r="P169" s="282" t="str">
        <f t="shared" si="26"/>
        <v/>
      </c>
      <c r="Q169" s="287" t="str">
        <f>IF(N169="","",VLOOKUP(B169,'F-1 Off-Site WaterC'' Baseline'!$C$10:$AF$257,23,FALSE))</f>
        <v/>
      </c>
      <c r="R169" s="281" t="str">
        <f>IF(N169="","",VLOOKUP(N169,'G-7 WaterC'' Data'!$B$2:$G$8,2,FALSE))</f>
        <v/>
      </c>
      <c r="S169" s="282" t="str">
        <f>IFERROR(VLOOKUP(R169,'G-7 WaterC'' Data'!$C$4:$D$8,2,FALSE),"")</f>
        <v/>
      </c>
      <c r="T169" s="105"/>
      <c r="U169" s="282" t="str">
        <f>IFERROR(INDEX('G-7 WaterC'' Data'!$H$4:$L$8,MATCH(N169,'G-7 WaterC'' Data'!$B$4:$B$8,0),MATCH(T169,'G-7 WaterC'' Data'!$H$3:$L$3,0)),"")</f>
        <v/>
      </c>
      <c r="V169" s="109"/>
      <c r="W169" s="301" t="str">
        <f>IF(V169="","",IF(VLOOKUP(V169,'G-7 WaterC'' Data'!$AK$4:$AM$6,2,FALSE)=0,"Spatial Data Missing ⚠",VLOOKUP(V169,'G-7 WaterC'' Data'!$AK$4:$AM$6,2,FALSE)))</f>
        <v/>
      </c>
      <c r="X169" s="305" t="str">
        <f>IF(V169="","",IF(VLOOKUP(V169,'G-7 WaterC'' Data'!$AK$4:$AM$6,3,FALSE)=0,"Spatial Data Missing ⚠",VLOOKUP(V169,'G-7 WaterC'' Data'!$AK$4:$AM$6,3,FALSE)))</f>
        <v/>
      </c>
      <c r="Y169" s="317" t="str">
        <f>IFERROR(IF(OR(LEFT(P169,5)="Error",LEFT(O169,5)="Error"),"Check Data ⚠",IF(F169&lt;S169,'G-7 WaterC'' Data'!$R$3,INDEX('G-7 WaterC'' Data'!$U$5:$Y$9,MATCH(G169,'G-7 WaterC'' Data'!$T$5:$T$9,0),MATCH(T169,'G-7 WaterC'' Data'!$U$4:$Y$4,0)))),"")</f>
        <v/>
      </c>
      <c r="Z169" s="142"/>
      <c r="AA169" s="142"/>
      <c r="AB169" s="314" t="str">
        <f t="shared" si="22"/>
        <v/>
      </c>
      <c r="AC169" s="302" t="str">
        <f t="shared" si="27"/>
        <v/>
      </c>
      <c r="AD169" s="340" t="str">
        <f>IFERROR(IF(AC169="Check Data ⚠","Check Data ⚠",VLOOKUP(AC169,'G-4 Temporal multipliers'!$A$4:$C$37,3,FALSE)),"")</f>
        <v/>
      </c>
      <c r="AE169" s="317" t="str">
        <f>IF(N169="","",VLOOKUP(N169,'G-7 WaterC'' Data'!$B$4:$G$8,5,FALSE))</f>
        <v/>
      </c>
      <c r="AF169" s="301" t="str">
        <f t="shared" si="23"/>
        <v/>
      </c>
      <c r="AG169" s="301" t="str">
        <f t="shared" si="28"/>
        <v/>
      </c>
      <c r="AH169" s="282" t="str">
        <f t="shared" si="24"/>
        <v/>
      </c>
      <c r="AI169" s="109"/>
      <c r="AJ169" s="282" t="str">
        <f>IF(AI169="","",(IF(AND(AI169="N/A - Culvert",N169&lt;&gt;"Culvert"),"Not possible ▲",IF(VLOOKUP(AI169,'G-7 WaterC'' Data'!$AA$4:$AB$7,2,FALSE)=0,"Spatial Data Missing ⚠",VLOOKUP(AI169,'G-7 WaterC'' Data'!$AA$4:$AB$7,2,FALSE)))))</f>
        <v/>
      </c>
      <c r="AK169" s="110"/>
      <c r="AL169" s="316" t="str">
        <f>IF(AK169="","",IF(AND(AK169="N/A - Culvert",N169&lt;&gt;"Culvert"),"Not possible ▲",IF(VLOOKUP(AK169,'G-7 WaterC'' Data'!$AD$4:$AE$14,2,FALSE)=0,"Spatial Data Missing ⚠",VLOOKUP(AK169,'G-7 WaterC'' Data'!$AD$4:$AE$14,2,FALSE))))</f>
        <v/>
      </c>
      <c r="AM169" s="281" t="str">
        <f>IF(B169="","",VLOOKUP($B169,'F-1 Off-Site WaterC'' Baseline'!$C$9:$Z$257,17,FALSE))</f>
        <v/>
      </c>
      <c r="AN169" s="282" t="str">
        <f>IF(AM169="","",IF(VLOOKUP(AM169,'G-7 WaterC'' Data'!$AO$4:$BO$7,2,FALSE)=0,"Spatial Data Missing ⚠",VLOOKUP(AM169,'G-7 WaterC'' Data'!$AO$4:$BO$7,2,FALSE)))</f>
        <v/>
      </c>
      <c r="AO169" s="323" t="str">
        <f t="shared" si="29"/>
        <v/>
      </c>
      <c r="AP169" s="323" t="str">
        <f t="shared" si="30"/>
        <v/>
      </c>
      <c r="AQ169" s="105"/>
      <c r="AR169" s="119"/>
      <c r="AS169" s="108"/>
      <c r="AT169" s="108"/>
      <c r="AW169" s="30" t="str">
        <f>IF(E169="","",VLOOKUP($B169,'F-1 Off-Site WaterC'' Baseline'!$C$9:$Z$257,12,FALSE))</f>
        <v/>
      </c>
      <c r="AX169" s="30" t="str">
        <f>IF(E169="","",VLOOKUP($B169,'F-1 Off-Site WaterC'' Baseline'!$C$9:$Z$257,14,FALSE))</f>
        <v/>
      </c>
      <c r="AY169" s="30" t="str">
        <f>IFERROR(INDEX('G-7 WaterC'' Data'!$AZ$3:$AZ$7,MATCH(N169,'G-7 WaterC'' Data'!$AY$3:$AY$7,0)),"")</f>
        <v/>
      </c>
      <c r="AZ169" s="30" t="str">
        <f>IF(B169="","",IF(ISNA(VLOOKUP($B169,'F-1 Off-Site WaterC'' Baseline'!$C$8:$AD$257,20,FALSE)),"",(VLOOKUP($B169,'F-1 Off-Site WaterC'' Baseline'!$C$8:$AD$257,20,FALSE))))</f>
        <v/>
      </c>
      <c r="BC169" s="30" t="str">
        <f>IF(B169="","",VLOOKUP($B169,'F-1 Off-Site WaterC'' Baseline'!$C$9:$AB$257,25,FALSE))</f>
        <v/>
      </c>
      <c r="BD169" s="30" t="str">
        <f t="shared" si="31"/>
        <v/>
      </c>
      <c r="BE169" s="30" t="str">
        <f>IF(B169="","",VLOOKUP($B169,'F-1 Off-Site WaterC'' Baseline'!$C$9:$AB$257,24,FALSE))</f>
        <v/>
      </c>
      <c r="BF169" s="30" t="str">
        <f>IF(B169="","",VLOOKUP($B169,'F-1 Off-Site WaterC'' Baseline'!$C$9:$AB$257,22,FALSE))</f>
        <v/>
      </c>
      <c r="BJ169" s="30" t="str">
        <f t="shared" si="32"/>
        <v>No</v>
      </c>
    </row>
    <row r="170" spans="2:62" ht="13.8" x14ac:dyDescent="0.25">
      <c r="B170" s="311" t="str">
        <f>'F-1 Off-Site WaterC'' Baseline'!AS168</f>
        <v/>
      </c>
      <c r="C170" s="301" t="str">
        <f>IF(B170="","",VLOOKUP($B170,'F-1 Off-Site WaterC'' Baseline'!$C$9:$R$257,2,FALSE))</f>
        <v/>
      </c>
      <c r="D170" s="301" t="str">
        <f>IF(C170="","",VLOOKUP($B170,'F-1 Off-Site WaterC'' Baseline'!$C$9:$R$257,3,FALSE))</f>
        <v/>
      </c>
      <c r="E170" s="301" t="str">
        <f>IF(D170="","",VLOOKUP($B170,'F-1 Off-Site WaterC'' Baseline'!$C$9:$R$257,4,FALSE))</f>
        <v/>
      </c>
      <c r="F170" s="301" t="str">
        <f>IF(E170="","",VLOOKUP($B170,'F-1 Off-Site WaterC'' Baseline'!$C$9:$R$257,5,FALSE))</f>
        <v/>
      </c>
      <c r="G170" s="301" t="str">
        <f>IF(F170="","",VLOOKUP($B170,'F-1 Off-Site WaterC'' Baseline'!$C$9:$R$257,6,FALSE))</f>
        <v/>
      </c>
      <c r="H170" s="301" t="str">
        <f>IF(G170="","",VLOOKUP($B170,'F-1 Off-Site WaterC'' Baseline'!$C$9:$R$257,7,FALSE))</f>
        <v/>
      </c>
      <c r="I170" s="301" t="str">
        <f>IF(H170="","",VLOOKUP($B170,'F-1 Off-Site WaterC'' Baseline'!$C$9:$R$257,8,FALSE))</f>
        <v/>
      </c>
      <c r="J170" s="301" t="str">
        <f>IF(I170="","",VLOOKUP($B170,'F-1 Off-Site WaterC'' Baseline'!$C$9:$R$257,9,FALSE))</f>
        <v/>
      </c>
      <c r="K170" s="301" t="str">
        <f>IF(J170="","",VLOOKUP($B170,'F-1 Off-Site WaterC'' Baseline'!$C$9:$R$257,10,FALSE))</f>
        <v/>
      </c>
      <c r="L170" s="289" t="str">
        <f>IF(B170="","",VLOOKUP($B170,'F-1 Off-Site WaterC'' Baseline'!$C$9:$R$257,15,FALSE))</f>
        <v/>
      </c>
      <c r="M170" s="305" t="str">
        <f>IF(L170="","",VLOOKUP($B170,'F-1 Off-Site WaterC'' Baseline'!$C$9:$V$257,19,FALSE))</f>
        <v/>
      </c>
      <c r="N170" s="250"/>
      <c r="O170" s="281" t="str">
        <f t="shared" si="25"/>
        <v/>
      </c>
      <c r="P170" s="282" t="str">
        <f t="shared" si="26"/>
        <v/>
      </c>
      <c r="Q170" s="287" t="str">
        <f>IF(N170="","",VLOOKUP(B170,'F-1 Off-Site WaterC'' Baseline'!$C$10:$AF$257,23,FALSE))</f>
        <v/>
      </c>
      <c r="R170" s="281" t="str">
        <f>IF(N170="","",VLOOKUP(N170,'G-7 WaterC'' Data'!$B$2:$G$8,2,FALSE))</f>
        <v/>
      </c>
      <c r="S170" s="282" t="str">
        <f>IFERROR(VLOOKUP(R170,'G-7 WaterC'' Data'!$C$4:$D$8,2,FALSE),"")</f>
        <v/>
      </c>
      <c r="T170" s="105"/>
      <c r="U170" s="282" t="str">
        <f>IFERROR(INDEX('G-7 WaterC'' Data'!$H$4:$L$8,MATCH(N170,'G-7 WaterC'' Data'!$B$4:$B$8,0),MATCH(T170,'G-7 WaterC'' Data'!$H$3:$L$3,0)),"")</f>
        <v/>
      </c>
      <c r="V170" s="109"/>
      <c r="W170" s="301" t="str">
        <f>IF(V170="","",IF(VLOOKUP(V170,'G-7 WaterC'' Data'!$AK$4:$AM$6,2,FALSE)=0,"Spatial Data Missing ⚠",VLOOKUP(V170,'G-7 WaterC'' Data'!$AK$4:$AM$6,2,FALSE)))</f>
        <v/>
      </c>
      <c r="X170" s="305" t="str">
        <f>IF(V170="","",IF(VLOOKUP(V170,'G-7 WaterC'' Data'!$AK$4:$AM$6,3,FALSE)=0,"Spatial Data Missing ⚠",VLOOKUP(V170,'G-7 WaterC'' Data'!$AK$4:$AM$6,3,FALSE)))</f>
        <v/>
      </c>
      <c r="Y170" s="317" t="str">
        <f>IFERROR(IF(OR(LEFT(P170,5)="Error",LEFT(O170,5)="Error"),"Check Data ⚠",IF(F170&lt;S170,'G-7 WaterC'' Data'!$R$3,INDEX('G-7 WaterC'' Data'!$U$5:$Y$9,MATCH(G170,'G-7 WaterC'' Data'!$T$5:$T$9,0),MATCH(T170,'G-7 WaterC'' Data'!$U$4:$Y$4,0)))),"")</f>
        <v/>
      </c>
      <c r="Z170" s="142"/>
      <c r="AA170" s="142"/>
      <c r="AB170" s="314" t="str">
        <f t="shared" si="22"/>
        <v/>
      </c>
      <c r="AC170" s="302" t="str">
        <f t="shared" si="27"/>
        <v/>
      </c>
      <c r="AD170" s="340" t="str">
        <f>IFERROR(IF(AC170="Check Data ⚠","Check Data ⚠",VLOOKUP(AC170,'G-4 Temporal multipliers'!$A$4:$C$37,3,FALSE)),"")</f>
        <v/>
      </c>
      <c r="AE170" s="317" t="str">
        <f>IF(N170="","",VLOOKUP(N170,'G-7 WaterC'' Data'!$B$4:$G$8,5,FALSE))</f>
        <v/>
      </c>
      <c r="AF170" s="301" t="str">
        <f t="shared" si="23"/>
        <v/>
      </c>
      <c r="AG170" s="301" t="str">
        <f t="shared" si="28"/>
        <v/>
      </c>
      <c r="AH170" s="282" t="str">
        <f t="shared" si="24"/>
        <v/>
      </c>
      <c r="AI170" s="109"/>
      <c r="AJ170" s="282" t="str">
        <f>IF(AI170="","",(IF(AND(AI170="N/A - Culvert",N170&lt;&gt;"Culvert"),"Not possible ▲",IF(VLOOKUP(AI170,'G-7 WaterC'' Data'!$AA$4:$AB$7,2,FALSE)=0,"Spatial Data Missing ⚠",VLOOKUP(AI170,'G-7 WaterC'' Data'!$AA$4:$AB$7,2,FALSE)))))</f>
        <v/>
      </c>
      <c r="AK170" s="110"/>
      <c r="AL170" s="316" t="str">
        <f>IF(AK170="","",IF(AND(AK170="N/A - Culvert",N170&lt;&gt;"Culvert"),"Not possible ▲",IF(VLOOKUP(AK170,'G-7 WaterC'' Data'!$AD$4:$AE$14,2,FALSE)=0,"Spatial Data Missing ⚠",VLOOKUP(AK170,'G-7 WaterC'' Data'!$AD$4:$AE$14,2,FALSE))))</f>
        <v/>
      </c>
      <c r="AM170" s="281" t="str">
        <f>IF(B170="","",VLOOKUP($B170,'F-1 Off-Site WaterC'' Baseline'!$C$9:$Z$257,17,FALSE))</f>
        <v/>
      </c>
      <c r="AN170" s="282" t="str">
        <f>IF(AM170="","",IF(VLOOKUP(AM170,'G-7 WaterC'' Data'!$AO$4:$BO$7,2,FALSE)=0,"Spatial Data Missing ⚠",VLOOKUP(AM170,'G-7 WaterC'' Data'!$AO$4:$BO$7,2,FALSE)))</f>
        <v/>
      </c>
      <c r="AO170" s="323" t="str">
        <f t="shared" si="29"/>
        <v/>
      </c>
      <c r="AP170" s="323" t="str">
        <f t="shared" si="30"/>
        <v/>
      </c>
      <c r="AQ170" s="105"/>
      <c r="AR170" s="119"/>
      <c r="AS170" s="108"/>
      <c r="AT170" s="108"/>
      <c r="AW170" s="30" t="str">
        <f>IF(E170="","",VLOOKUP($B170,'F-1 Off-Site WaterC'' Baseline'!$C$9:$Z$257,12,FALSE))</f>
        <v/>
      </c>
      <c r="AX170" s="30" t="str">
        <f>IF(E170="","",VLOOKUP($B170,'F-1 Off-Site WaterC'' Baseline'!$C$9:$Z$257,14,FALSE))</f>
        <v/>
      </c>
      <c r="AY170" s="30" t="str">
        <f>IFERROR(INDEX('G-7 WaterC'' Data'!$AZ$3:$AZ$7,MATCH(N170,'G-7 WaterC'' Data'!$AY$3:$AY$7,0)),"")</f>
        <v/>
      </c>
      <c r="AZ170" s="30" t="str">
        <f>IF(B170="","",IF(ISNA(VLOOKUP($B170,'F-1 Off-Site WaterC'' Baseline'!$C$8:$AD$257,20,FALSE)),"",(VLOOKUP($B170,'F-1 Off-Site WaterC'' Baseline'!$C$8:$AD$257,20,FALSE))))</f>
        <v/>
      </c>
      <c r="BC170" s="30" t="str">
        <f>IF(B170="","",VLOOKUP($B170,'F-1 Off-Site WaterC'' Baseline'!$C$9:$AB$257,25,FALSE))</f>
        <v/>
      </c>
      <c r="BD170" s="30" t="str">
        <f t="shared" si="31"/>
        <v/>
      </c>
      <c r="BE170" s="30" t="str">
        <f>IF(B170="","",VLOOKUP($B170,'F-1 Off-Site WaterC'' Baseline'!$C$9:$AB$257,24,FALSE))</f>
        <v/>
      </c>
      <c r="BF170" s="30" t="str">
        <f>IF(B170="","",VLOOKUP($B170,'F-1 Off-Site WaterC'' Baseline'!$C$9:$AB$257,22,FALSE))</f>
        <v/>
      </c>
      <c r="BJ170" s="30" t="str">
        <f t="shared" si="32"/>
        <v>No</v>
      </c>
    </row>
    <row r="171" spans="2:62" ht="13.8" x14ac:dyDescent="0.25">
      <c r="B171" s="311" t="str">
        <f>'F-1 Off-Site WaterC'' Baseline'!AS169</f>
        <v/>
      </c>
      <c r="C171" s="301" t="str">
        <f>IF(B171="","",VLOOKUP($B171,'F-1 Off-Site WaterC'' Baseline'!$C$9:$R$257,2,FALSE))</f>
        <v/>
      </c>
      <c r="D171" s="301" t="str">
        <f>IF(C171="","",VLOOKUP($B171,'F-1 Off-Site WaterC'' Baseline'!$C$9:$R$257,3,FALSE))</f>
        <v/>
      </c>
      <c r="E171" s="301" t="str">
        <f>IF(D171="","",VLOOKUP($B171,'F-1 Off-Site WaterC'' Baseline'!$C$9:$R$257,4,FALSE))</f>
        <v/>
      </c>
      <c r="F171" s="301" t="str">
        <f>IF(E171="","",VLOOKUP($B171,'F-1 Off-Site WaterC'' Baseline'!$C$9:$R$257,5,FALSE))</f>
        <v/>
      </c>
      <c r="G171" s="301" t="str">
        <f>IF(F171="","",VLOOKUP($B171,'F-1 Off-Site WaterC'' Baseline'!$C$9:$R$257,6,FALSE))</f>
        <v/>
      </c>
      <c r="H171" s="301" t="str">
        <f>IF(G171="","",VLOOKUP($B171,'F-1 Off-Site WaterC'' Baseline'!$C$9:$R$257,7,FALSE))</f>
        <v/>
      </c>
      <c r="I171" s="301" t="str">
        <f>IF(H171="","",VLOOKUP($B171,'F-1 Off-Site WaterC'' Baseline'!$C$9:$R$257,8,FALSE))</f>
        <v/>
      </c>
      <c r="J171" s="301" t="str">
        <f>IF(I171="","",VLOOKUP($B171,'F-1 Off-Site WaterC'' Baseline'!$C$9:$R$257,9,FALSE))</f>
        <v/>
      </c>
      <c r="K171" s="301" t="str">
        <f>IF(J171="","",VLOOKUP($B171,'F-1 Off-Site WaterC'' Baseline'!$C$9:$R$257,10,FALSE))</f>
        <v/>
      </c>
      <c r="L171" s="289" t="str">
        <f>IF(B171="","",VLOOKUP($B171,'F-1 Off-Site WaterC'' Baseline'!$C$9:$R$257,15,FALSE))</f>
        <v/>
      </c>
      <c r="M171" s="305" t="str">
        <f>IF(L171="","",VLOOKUP($B171,'F-1 Off-Site WaterC'' Baseline'!$C$9:$V$257,19,FALSE))</f>
        <v/>
      </c>
      <c r="N171" s="250"/>
      <c r="O171" s="281" t="str">
        <f t="shared" si="25"/>
        <v/>
      </c>
      <c r="P171" s="282" t="str">
        <f t="shared" si="26"/>
        <v/>
      </c>
      <c r="Q171" s="287" t="str">
        <f>IF(N171="","",VLOOKUP(B171,'F-1 Off-Site WaterC'' Baseline'!$C$10:$AF$257,23,FALSE))</f>
        <v/>
      </c>
      <c r="R171" s="281" t="str">
        <f>IF(N171="","",VLOOKUP(N171,'G-7 WaterC'' Data'!$B$2:$G$8,2,FALSE))</f>
        <v/>
      </c>
      <c r="S171" s="282" t="str">
        <f>IFERROR(VLOOKUP(R171,'G-7 WaterC'' Data'!$C$4:$D$8,2,FALSE),"")</f>
        <v/>
      </c>
      <c r="T171" s="105"/>
      <c r="U171" s="282" t="str">
        <f>IFERROR(INDEX('G-7 WaterC'' Data'!$H$4:$L$8,MATCH(N171,'G-7 WaterC'' Data'!$B$4:$B$8,0),MATCH(T171,'G-7 WaterC'' Data'!$H$3:$L$3,0)),"")</f>
        <v/>
      </c>
      <c r="V171" s="109"/>
      <c r="W171" s="301" t="str">
        <f>IF(V171="","",IF(VLOOKUP(V171,'G-7 WaterC'' Data'!$AK$4:$AM$6,2,FALSE)=0,"Spatial Data Missing ⚠",VLOOKUP(V171,'G-7 WaterC'' Data'!$AK$4:$AM$6,2,FALSE)))</f>
        <v/>
      </c>
      <c r="X171" s="305" t="str">
        <f>IF(V171="","",IF(VLOOKUP(V171,'G-7 WaterC'' Data'!$AK$4:$AM$6,3,FALSE)=0,"Spatial Data Missing ⚠",VLOOKUP(V171,'G-7 WaterC'' Data'!$AK$4:$AM$6,3,FALSE)))</f>
        <v/>
      </c>
      <c r="Y171" s="317" t="str">
        <f>IFERROR(IF(OR(LEFT(P171,5)="Error",LEFT(O171,5)="Error"),"Check Data ⚠",IF(F171&lt;S171,'G-7 WaterC'' Data'!$R$3,INDEX('G-7 WaterC'' Data'!$U$5:$Y$9,MATCH(G171,'G-7 WaterC'' Data'!$T$5:$T$9,0),MATCH(T171,'G-7 WaterC'' Data'!$U$4:$Y$4,0)))),"")</f>
        <v/>
      </c>
      <c r="Z171" s="142"/>
      <c r="AA171" s="142"/>
      <c r="AB171" s="314" t="str">
        <f t="shared" si="22"/>
        <v/>
      </c>
      <c r="AC171" s="302" t="str">
        <f t="shared" si="27"/>
        <v/>
      </c>
      <c r="AD171" s="340" t="str">
        <f>IFERROR(IF(AC171="Check Data ⚠","Check Data ⚠",VLOOKUP(AC171,'G-4 Temporal multipliers'!$A$4:$C$37,3,FALSE)),"")</f>
        <v/>
      </c>
      <c r="AE171" s="317" t="str">
        <f>IF(N171="","",VLOOKUP(N171,'G-7 WaterC'' Data'!$B$4:$G$8,5,FALSE))</f>
        <v/>
      </c>
      <c r="AF171" s="301" t="str">
        <f t="shared" si="23"/>
        <v/>
      </c>
      <c r="AG171" s="301" t="str">
        <f t="shared" si="28"/>
        <v/>
      </c>
      <c r="AH171" s="282" t="str">
        <f t="shared" si="24"/>
        <v/>
      </c>
      <c r="AI171" s="109"/>
      <c r="AJ171" s="282" t="str">
        <f>IF(AI171="","",(IF(AND(AI171="N/A - Culvert",N171&lt;&gt;"Culvert"),"Not possible ▲",IF(VLOOKUP(AI171,'G-7 WaterC'' Data'!$AA$4:$AB$7,2,FALSE)=0,"Spatial Data Missing ⚠",VLOOKUP(AI171,'G-7 WaterC'' Data'!$AA$4:$AB$7,2,FALSE)))))</f>
        <v/>
      </c>
      <c r="AK171" s="110"/>
      <c r="AL171" s="316" t="str">
        <f>IF(AK171="","",IF(AND(AK171="N/A - Culvert",N171&lt;&gt;"Culvert"),"Not possible ▲",IF(VLOOKUP(AK171,'G-7 WaterC'' Data'!$AD$4:$AE$14,2,FALSE)=0,"Spatial Data Missing ⚠",VLOOKUP(AK171,'G-7 WaterC'' Data'!$AD$4:$AE$14,2,FALSE))))</f>
        <v/>
      </c>
      <c r="AM171" s="281" t="str">
        <f>IF(B171="","",VLOOKUP($B171,'F-1 Off-Site WaterC'' Baseline'!$C$9:$Z$257,17,FALSE))</f>
        <v/>
      </c>
      <c r="AN171" s="282" t="str">
        <f>IF(AM171="","",IF(VLOOKUP(AM171,'G-7 WaterC'' Data'!$AO$4:$BO$7,2,FALSE)=0,"Spatial Data Missing ⚠",VLOOKUP(AM171,'G-7 WaterC'' Data'!$AO$4:$BO$7,2,FALSE)))</f>
        <v/>
      </c>
      <c r="AO171" s="323" t="str">
        <f t="shared" si="29"/>
        <v/>
      </c>
      <c r="AP171" s="323" t="str">
        <f t="shared" si="30"/>
        <v/>
      </c>
      <c r="AQ171" s="105"/>
      <c r="AR171" s="119"/>
      <c r="AS171" s="108"/>
      <c r="AT171" s="108"/>
      <c r="AW171" s="30" t="str">
        <f>IF(E171="","",VLOOKUP($B171,'F-1 Off-Site WaterC'' Baseline'!$C$9:$Z$257,12,FALSE))</f>
        <v/>
      </c>
      <c r="AX171" s="30" t="str">
        <f>IF(E171="","",VLOOKUP($B171,'F-1 Off-Site WaterC'' Baseline'!$C$9:$Z$257,14,FALSE))</f>
        <v/>
      </c>
      <c r="AY171" s="30" t="str">
        <f>IFERROR(INDEX('G-7 WaterC'' Data'!$AZ$3:$AZ$7,MATCH(N171,'G-7 WaterC'' Data'!$AY$3:$AY$7,0)),"")</f>
        <v/>
      </c>
      <c r="AZ171" s="30" t="str">
        <f>IF(B171="","",IF(ISNA(VLOOKUP($B171,'F-1 Off-Site WaterC'' Baseline'!$C$8:$AD$257,20,FALSE)),"",(VLOOKUP($B171,'F-1 Off-Site WaterC'' Baseline'!$C$8:$AD$257,20,FALSE))))</f>
        <v/>
      </c>
      <c r="BC171" s="30" t="str">
        <f>IF(B171="","",VLOOKUP($B171,'F-1 Off-Site WaterC'' Baseline'!$C$9:$AB$257,25,FALSE))</f>
        <v/>
      </c>
      <c r="BD171" s="30" t="str">
        <f t="shared" si="31"/>
        <v/>
      </c>
      <c r="BE171" s="30" t="str">
        <f>IF(B171="","",VLOOKUP($B171,'F-1 Off-Site WaterC'' Baseline'!$C$9:$AB$257,24,FALSE))</f>
        <v/>
      </c>
      <c r="BF171" s="30" t="str">
        <f>IF(B171="","",VLOOKUP($B171,'F-1 Off-Site WaterC'' Baseline'!$C$9:$AB$257,22,FALSE))</f>
        <v/>
      </c>
      <c r="BJ171" s="30" t="str">
        <f t="shared" si="32"/>
        <v>No</v>
      </c>
    </row>
    <row r="172" spans="2:62" ht="13.8" x14ac:dyDescent="0.25">
      <c r="B172" s="311" t="str">
        <f>'F-1 Off-Site WaterC'' Baseline'!AS170</f>
        <v/>
      </c>
      <c r="C172" s="301" t="str">
        <f>IF(B172="","",VLOOKUP($B172,'F-1 Off-Site WaterC'' Baseline'!$C$9:$R$257,2,FALSE))</f>
        <v/>
      </c>
      <c r="D172" s="301" t="str">
        <f>IF(C172="","",VLOOKUP($B172,'F-1 Off-Site WaterC'' Baseline'!$C$9:$R$257,3,FALSE))</f>
        <v/>
      </c>
      <c r="E172" s="301" t="str">
        <f>IF(D172="","",VLOOKUP($B172,'F-1 Off-Site WaterC'' Baseline'!$C$9:$R$257,4,FALSE))</f>
        <v/>
      </c>
      <c r="F172" s="301" t="str">
        <f>IF(E172="","",VLOOKUP($B172,'F-1 Off-Site WaterC'' Baseline'!$C$9:$R$257,5,FALSE))</f>
        <v/>
      </c>
      <c r="G172" s="301" t="str">
        <f>IF(F172="","",VLOOKUP($B172,'F-1 Off-Site WaterC'' Baseline'!$C$9:$R$257,6,FALSE))</f>
        <v/>
      </c>
      <c r="H172" s="301" t="str">
        <f>IF(G172="","",VLOOKUP($B172,'F-1 Off-Site WaterC'' Baseline'!$C$9:$R$257,7,FALSE))</f>
        <v/>
      </c>
      <c r="I172" s="301" t="str">
        <f>IF(H172="","",VLOOKUP($B172,'F-1 Off-Site WaterC'' Baseline'!$C$9:$R$257,8,FALSE))</f>
        <v/>
      </c>
      <c r="J172" s="301" t="str">
        <f>IF(I172="","",VLOOKUP($B172,'F-1 Off-Site WaterC'' Baseline'!$C$9:$R$257,9,FALSE))</f>
        <v/>
      </c>
      <c r="K172" s="301" t="str">
        <f>IF(J172="","",VLOOKUP($B172,'F-1 Off-Site WaterC'' Baseline'!$C$9:$R$257,10,FALSE))</f>
        <v/>
      </c>
      <c r="L172" s="289" t="str">
        <f>IF(B172="","",VLOOKUP($B172,'F-1 Off-Site WaterC'' Baseline'!$C$9:$R$257,15,FALSE))</f>
        <v/>
      </c>
      <c r="M172" s="305" t="str">
        <f>IF(L172="","",VLOOKUP($B172,'F-1 Off-Site WaterC'' Baseline'!$C$9:$V$257,19,FALSE))</f>
        <v/>
      </c>
      <c r="N172" s="250"/>
      <c r="O172" s="281" t="str">
        <f t="shared" si="25"/>
        <v/>
      </c>
      <c r="P172" s="282" t="str">
        <f t="shared" si="26"/>
        <v/>
      </c>
      <c r="Q172" s="287" t="str">
        <f>IF(N172="","",VLOOKUP(B172,'F-1 Off-Site WaterC'' Baseline'!$C$10:$AF$257,23,FALSE))</f>
        <v/>
      </c>
      <c r="R172" s="281" t="str">
        <f>IF(N172="","",VLOOKUP(N172,'G-7 WaterC'' Data'!$B$2:$G$8,2,FALSE))</f>
        <v/>
      </c>
      <c r="S172" s="282" t="str">
        <f>IFERROR(VLOOKUP(R172,'G-7 WaterC'' Data'!$C$4:$D$8,2,FALSE),"")</f>
        <v/>
      </c>
      <c r="T172" s="105"/>
      <c r="U172" s="282" t="str">
        <f>IFERROR(INDEX('G-7 WaterC'' Data'!$H$4:$L$8,MATCH(N172,'G-7 WaterC'' Data'!$B$4:$B$8,0),MATCH(T172,'G-7 WaterC'' Data'!$H$3:$L$3,0)),"")</f>
        <v/>
      </c>
      <c r="V172" s="109"/>
      <c r="W172" s="301" t="str">
        <f>IF(V172="","",IF(VLOOKUP(V172,'G-7 WaterC'' Data'!$AK$4:$AM$6,2,FALSE)=0,"Spatial Data Missing ⚠",VLOOKUP(V172,'G-7 WaterC'' Data'!$AK$4:$AM$6,2,FALSE)))</f>
        <v/>
      </c>
      <c r="X172" s="305" t="str">
        <f>IF(V172="","",IF(VLOOKUP(V172,'G-7 WaterC'' Data'!$AK$4:$AM$6,3,FALSE)=0,"Spatial Data Missing ⚠",VLOOKUP(V172,'G-7 WaterC'' Data'!$AK$4:$AM$6,3,FALSE)))</f>
        <v/>
      </c>
      <c r="Y172" s="317" t="str">
        <f>IFERROR(IF(OR(LEFT(P172,5)="Error",LEFT(O172,5)="Error"),"Check Data ⚠",IF(F172&lt;S172,'G-7 WaterC'' Data'!$R$3,INDEX('G-7 WaterC'' Data'!$U$5:$Y$9,MATCH(G172,'G-7 WaterC'' Data'!$T$5:$T$9,0),MATCH(T172,'G-7 WaterC'' Data'!$U$4:$Y$4,0)))),"")</f>
        <v/>
      </c>
      <c r="Z172" s="142"/>
      <c r="AA172" s="142"/>
      <c r="AB172" s="314" t="str">
        <f t="shared" si="22"/>
        <v/>
      </c>
      <c r="AC172" s="302" t="str">
        <f t="shared" si="27"/>
        <v/>
      </c>
      <c r="AD172" s="340" t="str">
        <f>IFERROR(IF(AC172="Check Data ⚠","Check Data ⚠",VLOOKUP(AC172,'G-4 Temporal multipliers'!$A$4:$C$37,3,FALSE)),"")</f>
        <v/>
      </c>
      <c r="AE172" s="317" t="str">
        <f>IF(N172="","",VLOOKUP(N172,'G-7 WaterC'' Data'!$B$4:$G$8,5,FALSE))</f>
        <v/>
      </c>
      <c r="AF172" s="301" t="str">
        <f t="shared" si="23"/>
        <v/>
      </c>
      <c r="AG172" s="301" t="str">
        <f t="shared" si="28"/>
        <v/>
      </c>
      <c r="AH172" s="282" t="str">
        <f t="shared" si="24"/>
        <v/>
      </c>
      <c r="AI172" s="109"/>
      <c r="AJ172" s="282" t="str">
        <f>IF(AI172="","",(IF(AND(AI172="N/A - Culvert",N172&lt;&gt;"Culvert"),"Not possible ▲",IF(VLOOKUP(AI172,'G-7 WaterC'' Data'!$AA$4:$AB$7,2,FALSE)=0,"Spatial Data Missing ⚠",VLOOKUP(AI172,'G-7 WaterC'' Data'!$AA$4:$AB$7,2,FALSE)))))</f>
        <v/>
      </c>
      <c r="AK172" s="110"/>
      <c r="AL172" s="316" t="str">
        <f>IF(AK172="","",IF(AND(AK172="N/A - Culvert",N172&lt;&gt;"Culvert"),"Not possible ▲",IF(VLOOKUP(AK172,'G-7 WaterC'' Data'!$AD$4:$AE$14,2,FALSE)=0,"Spatial Data Missing ⚠",VLOOKUP(AK172,'G-7 WaterC'' Data'!$AD$4:$AE$14,2,FALSE))))</f>
        <v/>
      </c>
      <c r="AM172" s="281" t="str">
        <f>IF(B172="","",VLOOKUP($B172,'F-1 Off-Site WaterC'' Baseline'!$C$9:$Z$257,17,FALSE))</f>
        <v/>
      </c>
      <c r="AN172" s="282" t="str">
        <f>IF(AM172="","",IF(VLOOKUP(AM172,'G-7 WaterC'' Data'!$AO$4:$BO$7,2,FALSE)=0,"Spatial Data Missing ⚠",VLOOKUP(AM172,'G-7 WaterC'' Data'!$AO$4:$BO$7,2,FALSE)))</f>
        <v/>
      </c>
      <c r="AO172" s="323" t="str">
        <f t="shared" si="29"/>
        <v/>
      </c>
      <c r="AP172" s="323" t="str">
        <f t="shared" si="30"/>
        <v/>
      </c>
      <c r="AQ172" s="105"/>
      <c r="AR172" s="119"/>
      <c r="AS172" s="108"/>
      <c r="AT172" s="108"/>
      <c r="AW172" s="30" t="str">
        <f>IF(E172="","",VLOOKUP($B172,'F-1 Off-Site WaterC'' Baseline'!$C$9:$Z$257,12,FALSE))</f>
        <v/>
      </c>
      <c r="AX172" s="30" t="str">
        <f>IF(E172="","",VLOOKUP($B172,'F-1 Off-Site WaterC'' Baseline'!$C$9:$Z$257,14,FALSE))</f>
        <v/>
      </c>
      <c r="AY172" s="30" t="str">
        <f>IFERROR(INDEX('G-7 WaterC'' Data'!$AZ$3:$AZ$7,MATCH(N172,'G-7 WaterC'' Data'!$AY$3:$AY$7,0)),"")</f>
        <v/>
      </c>
      <c r="AZ172" s="30" t="str">
        <f>IF(B172="","",IF(ISNA(VLOOKUP($B172,'F-1 Off-Site WaterC'' Baseline'!$C$8:$AD$257,20,FALSE)),"",(VLOOKUP($B172,'F-1 Off-Site WaterC'' Baseline'!$C$8:$AD$257,20,FALSE))))</f>
        <v/>
      </c>
      <c r="BC172" s="30" t="str">
        <f>IF(B172="","",VLOOKUP($B172,'F-1 Off-Site WaterC'' Baseline'!$C$9:$AB$257,25,FALSE))</f>
        <v/>
      </c>
      <c r="BD172" s="30" t="str">
        <f t="shared" si="31"/>
        <v/>
      </c>
      <c r="BE172" s="30" t="str">
        <f>IF(B172="","",VLOOKUP($B172,'F-1 Off-Site WaterC'' Baseline'!$C$9:$AB$257,24,FALSE))</f>
        <v/>
      </c>
      <c r="BF172" s="30" t="str">
        <f>IF(B172="","",VLOOKUP($B172,'F-1 Off-Site WaterC'' Baseline'!$C$9:$AB$257,22,FALSE))</f>
        <v/>
      </c>
      <c r="BJ172" s="30" t="str">
        <f t="shared" si="32"/>
        <v>No</v>
      </c>
    </row>
    <row r="173" spans="2:62" ht="13.8" x14ac:dyDescent="0.25">
      <c r="B173" s="311" t="str">
        <f>'F-1 Off-Site WaterC'' Baseline'!AS171</f>
        <v/>
      </c>
      <c r="C173" s="301" t="str">
        <f>IF(B173="","",VLOOKUP($B173,'F-1 Off-Site WaterC'' Baseline'!$C$9:$R$257,2,FALSE))</f>
        <v/>
      </c>
      <c r="D173" s="301" t="str">
        <f>IF(C173="","",VLOOKUP($B173,'F-1 Off-Site WaterC'' Baseline'!$C$9:$R$257,3,FALSE))</f>
        <v/>
      </c>
      <c r="E173" s="301" t="str">
        <f>IF(D173="","",VLOOKUP($B173,'F-1 Off-Site WaterC'' Baseline'!$C$9:$R$257,4,FALSE))</f>
        <v/>
      </c>
      <c r="F173" s="301" t="str">
        <f>IF(E173="","",VLOOKUP($B173,'F-1 Off-Site WaterC'' Baseline'!$C$9:$R$257,5,FALSE))</f>
        <v/>
      </c>
      <c r="G173" s="301" t="str">
        <f>IF(F173="","",VLOOKUP($B173,'F-1 Off-Site WaterC'' Baseline'!$C$9:$R$257,6,FALSE))</f>
        <v/>
      </c>
      <c r="H173" s="301" t="str">
        <f>IF(G173="","",VLOOKUP($B173,'F-1 Off-Site WaterC'' Baseline'!$C$9:$R$257,7,FALSE))</f>
        <v/>
      </c>
      <c r="I173" s="301" t="str">
        <f>IF(H173="","",VLOOKUP($B173,'F-1 Off-Site WaterC'' Baseline'!$C$9:$R$257,8,FALSE))</f>
        <v/>
      </c>
      <c r="J173" s="301" t="str">
        <f>IF(I173="","",VLOOKUP($B173,'F-1 Off-Site WaterC'' Baseline'!$C$9:$R$257,9,FALSE))</f>
        <v/>
      </c>
      <c r="K173" s="301" t="str">
        <f>IF(J173="","",VLOOKUP($B173,'F-1 Off-Site WaterC'' Baseline'!$C$9:$R$257,10,FALSE))</f>
        <v/>
      </c>
      <c r="L173" s="289" t="str">
        <f>IF(B173="","",VLOOKUP($B173,'F-1 Off-Site WaterC'' Baseline'!$C$9:$R$257,15,FALSE))</f>
        <v/>
      </c>
      <c r="M173" s="305" t="str">
        <f>IF(L173="","",VLOOKUP($B173,'F-1 Off-Site WaterC'' Baseline'!$C$9:$V$257,19,FALSE))</f>
        <v/>
      </c>
      <c r="N173" s="250"/>
      <c r="O173" s="281" t="str">
        <f t="shared" si="25"/>
        <v/>
      </c>
      <c r="P173" s="282" t="str">
        <f t="shared" si="26"/>
        <v/>
      </c>
      <c r="Q173" s="287" t="str">
        <f>IF(N173="","",VLOOKUP(B173,'F-1 Off-Site WaterC'' Baseline'!$C$10:$AF$257,23,FALSE))</f>
        <v/>
      </c>
      <c r="R173" s="281" t="str">
        <f>IF(N173="","",VLOOKUP(N173,'G-7 WaterC'' Data'!$B$2:$G$8,2,FALSE))</f>
        <v/>
      </c>
      <c r="S173" s="282" t="str">
        <f>IFERROR(VLOOKUP(R173,'G-7 WaterC'' Data'!$C$4:$D$8,2,FALSE),"")</f>
        <v/>
      </c>
      <c r="T173" s="105"/>
      <c r="U173" s="282" t="str">
        <f>IFERROR(INDEX('G-7 WaterC'' Data'!$H$4:$L$8,MATCH(N173,'G-7 WaterC'' Data'!$B$4:$B$8,0),MATCH(T173,'G-7 WaterC'' Data'!$H$3:$L$3,0)),"")</f>
        <v/>
      </c>
      <c r="V173" s="109"/>
      <c r="W173" s="301" t="str">
        <f>IF(V173="","",IF(VLOOKUP(V173,'G-7 WaterC'' Data'!$AK$4:$AM$6,2,FALSE)=0,"Spatial Data Missing ⚠",VLOOKUP(V173,'G-7 WaterC'' Data'!$AK$4:$AM$6,2,FALSE)))</f>
        <v/>
      </c>
      <c r="X173" s="305" t="str">
        <f>IF(V173="","",IF(VLOOKUP(V173,'G-7 WaterC'' Data'!$AK$4:$AM$6,3,FALSE)=0,"Spatial Data Missing ⚠",VLOOKUP(V173,'G-7 WaterC'' Data'!$AK$4:$AM$6,3,FALSE)))</f>
        <v/>
      </c>
      <c r="Y173" s="317" t="str">
        <f>IFERROR(IF(OR(LEFT(P173,5)="Error",LEFT(O173,5)="Error"),"Check Data ⚠",IF(F173&lt;S173,'G-7 WaterC'' Data'!$R$3,INDEX('G-7 WaterC'' Data'!$U$5:$Y$9,MATCH(G173,'G-7 WaterC'' Data'!$T$5:$T$9,0),MATCH(T173,'G-7 WaterC'' Data'!$U$4:$Y$4,0)))),"")</f>
        <v/>
      </c>
      <c r="Z173" s="142"/>
      <c r="AA173" s="142"/>
      <c r="AB173" s="314" t="str">
        <f t="shared" si="22"/>
        <v/>
      </c>
      <c r="AC173" s="302" t="str">
        <f t="shared" si="27"/>
        <v/>
      </c>
      <c r="AD173" s="340" t="str">
        <f>IFERROR(IF(AC173="Check Data ⚠","Check Data ⚠",VLOOKUP(AC173,'G-4 Temporal multipliers'!$A$4:$C$37,3,FALSE)),"")</f>
        <v/>
      </c>
      <c r="AE173" s="317" t="str">
        <f>IF(N173="","",VLOOKUP(N173,'G-7 WaterC'' Data'!$B$4:$G$8,5,FALSE))</f>
        <v/>
      </c>
      <c r="AF173" s="301" t="str">
        <f t="shared" si="23"/>
        <v/>
      </c>
      <c r="AG173" s="301" t="str">
        <f t="shared" si="28"/>
        <v/>
      </c>
      <c r="AH173" s="282" t="str">
        <f t="shared" si="24"/>
        <v/>
      </c>
      <c r="AI173" s="109"/>
      <c r="AJ173" s="282" t="str">
        <f>IF(AI173="","",(IF(AND(AI173="N/A - Culvert",N173&lt;&gt;"Culvert"),"Not possible ▲",IF(VLOOKUP(AI173,'G-7 WaterC'' Data'!$AA$4:$AB$7,2,FALSE)=0,"Spatial Data Missing ⚠",VLOOKUP(AI173,'G-7 WaterC'' Data'!$AA$4:$AB$7,2,FALSE)))))</f>
        <v/>
      </c>
      <c r="AK173" s="110"/>
      <c r="AL173" s="316" t="str">
        <f>IF(AK173="","",IF(AND(AK173="N/A - Culvert",N173&lt;&gt;"Culvert"),"Not possible ▲",IF(VLOOKUP(AK173,'G-7 WaterC'' Data'!$AD$4:$AE$14,2,FALSE)=0,"Spatial Data Missing ⚠",VLOOKUP(AK173,'G-7 WaterC'' Data'!$AD$4:$AE$14,2,FALSE))))</f>
        <v/>
      </c>
      <c r="AM173" s="281" t="str">
        <f>IF(B173="","",VLOOKUP($B173,'F-1 Off-Site WaterC'' Baseline'!$C$9:$Z$257,17,FALSE))</f>
        <v/>
      </c>
      <c r="AN173" s="282" t="str">
        <f>IF(AM173="","",IF(VLOOKUP(AM173,'G-7 WaterC'' Data'!$AO$4:$BO$7,2,FALSE)=0,"Spatial Data Missing ⚠",VLOOKUP(AM173,'G-7 WaterC'' Data'!$AO$4:$BO$7,2,FALSE)))</f>
        <v/>
      </c>
      <c r="AO173" s="323" t="str">
        <f t="shared" si="29"/>
        <v/>
      </c>
      <c r="AP173" s="323" t="str">
        <f t="shared" si="30"/>
        <v/>
      </c>
      <c r="AQ173" s="105"/>
      <c r="AR173" s="119"/>
      <c r="AS173" s="108"/>
      <c r="AT173" s="108"/>
      <c r="AW173" s="30" t="str">
        <f>IF(E173="","",VLOOKUP($B173,'F-1 Off-Site WaterC'' Baseline'!$C$9:$Z$257,12,FALSE))</f>
        <v/>
      </c>
      <c r="AX173" s="30" t="str">
        <f>IF(E173="","",VLOOKUP($B173,'F-1 Off-Site WaterC'' Baseline'!$C$9:$Z$257,14,FALSE))</f>
        <v/>
      </c>
      <c r="AY173" s="30" t="str">
        <f>IFERROR(INDEX('G-7 WaterC'' Data'!$AZ$3:$AZ$7,MATCH(N173,'G-7 WaterC'' Data'!$AY$3:$AY$7,0)),"")</f>
        <v/>
      </c>
      <c r="AZ173" s="30" t="str">
        <f>IF(B173="","",IF(ISNA(VLOOKUP($B173,'F-1 Off-Site WaterC'' Baseline'!$C$8:$AD$257,20,FALSE)),"",(VLOOKUP($B173,'F-1 Off-Site WaterC'' Baseline'!$C$8:$AD$257,20,FALSE))))</f>
        <v/>
      </c>
      <c r="BC173" s="30" t="str">
        <f>IF(B173="","",VLOOKUP($B173,'F-1 Off-Site WaterC'' Baseline'!$C$9:$AB$257,25,FALSE))</f>
        <v/>
      </c>
      <c r="BD173" s="30" t="str">
        <f t="shared" si="31"/>
        <v/>
      </c>
      <c r="BE173" s="30" t="str">
        <f>IF(B173="","",VLOOKUP($B173,'F-1 Off-Site WaterC'' Baseline'!$C$9:$AB$257,24,FALSE))</f>
        <v/>
      </c>
      <c r="BF173" s="30" t="str">
        <f>IF(B173="","",VLOOKUP($B173,'F-1 Off-Site WaterC'' Baseline'!$C$9:$AB$257,22,FALSE))</f>
        <v/>
      </c>
      <c r="BJ173" s="30" t="str">
        <f t="shared" si="32"/>
        <v>No</v>
      </c>
    </row>
    <row r="174" spans="2:62" ht="13.8" x14ac:dyDescent="0.25">
      <c r="B174" s="311" t="str">
        <f>'F-1 Off-Site WaterC'' Baseline'!AS172</f>
        <v/>
      </c>
      <c r="C174" s="301" t="str">
        <f>IF(B174="","",VLOOKUP($B174,'F-1 Off-Site WaterC'' Baseline'!$C$9:$R$257,2,FALSE))</f>
        <v/>
      </c>
      <c r="D174" s="301" t="str">
        <f>IF(C174="","",VLOOKUP($B174,'F-1 Off-Site WaterC'' Baseline'!$C$9:$R$257,3,FALSE))</f>
        <v/>
      </c>
      <c r="E174" s="301" t="str">
        <f>IF(D174="","",VLOOKUP($B174,'F-1 Off-Site WaterC'' Baseline'!$C$9:$R$257,4,FALSE))</f>
        <v/>
      </c>
      <c r="F174" s="301" t="str">
        <f>IF(E174="","",VLOOKUP($B174,'F-1 Off-Site WaterC'' Baseline'!$C$9:$R$257,5,FALSE))</f>
        <v/>
      </c>
      <c r="G174" s="301" t="str">
        <f>IF(F174="","",VLOOKUP($B174,'F-1 Off-Site WaterC'' Baseline'!$C$9:$R$257,6,FALSE))</f>
        <v/>
      </c>
      <c r="H174" s="301" t="str">
        <f>IF(G174="","",VLOOKUP($B174,'F-1 Off-Site WaterC'' Baseline'!$C$9:$R$257,7,FALSE))</f>
        <v/>
      </c>
      <c r="I174" s="301" t="str">
        <f>IF(H174="","",VLOOKUP($B174,'F-1 Off-Site WaterC'' Baseline'!$C$9:$R$257,8,FALSE))</f>
        <v/>
      </c>
      <c r="J174" s="301" t="str">
        <f>IF(I174="","",VLOOKUP($B174,'F-1 Off-Site WaterC'' Baseline'!$C$9:$R$257,9,FALSE))</f>
        <v/>
      </c>
      <c r="K174" s="301" t="str">
        <f>IF(J174="","",VLOOKUP($B174,'F-1 Off-Site WaterC'' Baseline'!$C$9:$R$257,10,FALSE))</f>
        <v/>
      </c>
      <c r="L174" s="289" t="str">
        <f>IF(B174="","",VLOOKUP($B174,'F-1 Off-Site WaterC'' Baseline'!$C$9:$R$257,15,FALSE))</f>
        <v/>
      </c>
      <c r="M174" s="305" t="str">
        <f>IF(L174="","",VLOOKUP($B174,'F-1 Off-Site WaterC'' Baseline'!$C$9:$V$257,19,FALSE))</f>
        <v/>
      </c>
      <c r="N174" s="250"/>
      <c r="O174" s="281" t="str">
        <f t="shared" si="25"/>
        <v/>
      </c>
      <c r="P174" s="282" t="str">
        <f t="shared" si="26"/>
        <v/>
      </c>
      <c r="Q174" s="287" t="str">
        <f>IF(N174="","",VLOOKUP(B174,'F-1 Off-Site WaterC'' Baseline'!$C$10:$AF$257,23,FALSE))</f>
        <v/>
      </c>
      <c r="R174" s="281" t="str">
        <f>IF(N174="","",VLOOKUP(N174,'G-7 WaterC'' Data'!$B$2:$G$8,2,FALSE))</f>
        <v/>
      </c>
      <c r="S174" s="282" t="str">
        <f>IFERROR(VLOOKUP(R174,'G-7 WaterC'' Data'!$C$4:$D$8,2,FALSE),"")</f>
        <v/>
      </c>
      <c r="T174" s="105"/>
      <c r="U174" s="282" t="str">
        <f>IFERROR(INDEX('G-7 WaterC'' Data'!$H$4:$L$8,MATCH(N174,'G-7 WaterC'' Data'!$B$4:$B$8,0),MATCH(T174,'G-7 WaterC'' Data'!$H$3:$L$3,0)),"")</f>
        <v/>
      </c>
      <c r="V174" s="109"/>
      <c r="W174" s="301" t="str">
        <f>IF(V174="","",IF(VLOOKUP(V174,'G-7 WaterC'' Data'!$AK$4:$AM$6,2,FALSE)=0,"Spatial Data Missing ⚠",VLOOKUP(V174,'G-7 WaterC'' Data'!$AK$4:$AM$6,2,FALSE)))</f>
        <v/>
      </c>
      <c r="X174" s="305" t="str">
        <f>IF(V174="","",IF(VLOOKUP(V174,'G-7 WaterC'' Data'!$AK$4:$AM$6,3,FALSE)=0,"Spatial Data Missing ⚠",VLOOKUP(V174,'G-7 WaterC'' Data'!$AK$4:$AM$6,3,FALSE)))</f>
        <v/>
      </c>
      <c r="Y174" s="317" t="str">
        <f>IFERROR(IF(OR(LEFT(P174,5)="Error",LEFT(O174,5)="Error"),"Check Data ⚠",IF(F174&lt;S174,'G-7 WaterC'' Data'!$R$3,INDEX('G-7 WaterC'' Data'!$U$5:$Y$9,MATCH(G174,'G-7 WaterC'' Data'!$T$5:$T$9,0),MATCH(T174,'G-7 WaterC'' Data'!$U$4:$Y$4,0)))),"")</f>
        <v/>
      </c>
      <c r="Z174" s="142"/>
      <c r="AA174" s="142"/>
      <c r="AB174" s="314" t="str">
        <f t="shared" si="22"/>
        <v/>
      </c>
      <c r="AC174" s="302" t="str">
        <f t="shared" si="27"/>
        <v/>
      </c>
      <c r="AD174" s="340" t="str">
        <f>IFERROR(IF(AC174="Check Data ⚠","Check Data ⚠",VLOOKUP(AC174,'G-4 Temporal multipliers'!$A$4:$C$37,3,FALSE)),"")</f>
        <v/>
      </c>
      <c r="AE174" s="317" t="str">
        <f>IF(N174="","",VLOOKUP(N174,'G-7 WaterC'' Data'!$B$4:$G$8,5,FALSE))</f>
        <v/>
      </c>
      <c r="AF174" s="301" t="str">
        <f t="shared" si="23"/>
        <v/>
      </c>
      <c r="AG174" s="301" t="str">
        <f t="shared" si="28"/>
        <v/>
      </c>
      <c r="AH174" s="282" t="str">
        <f t="shared" si="24"/>
        <v/>
      </c>
      <c r="AI174" s="109"/>
      <c r="AJ174" s="282" t="str">
        <f>IF(AI174="","",(IF(AND(AI174="N/A - Culvert",N174&lt;&gt;"Culvert"),"Not possible ▲",IF(VLOOKUP(AI174,'G-7 WaterC'' Data'!$AA$4:$AB$7,2,FALSE)=0,"Spatial Data Missing ⚠",VLOOKUP(AI174,'G-7 WaterC'' Data'!$AA$4:$AB$7,2,FALSE)))))</f>
        <v/>
      </c>
      <c r="AK174" s="110"/>
      <c r="AL174" s="316" t="str">
        <f>IF(AK174="","",IF(AND(AK174="N/A - Culvert",N174&lt;&gt;"Culvert"),"Not possible ▲",IF(VLOOKUP(AK174,'G-7 WaterC'' Data'!$AD$4:$AE$14,2,FALSE)=0,"Spatial Data Missing ⚠",VLOOKUP(AK174,'G-7 WaterC'' Data'!$AD$4:$AE$14,2,FALSE))))</f>
        <v/>
      </c>
      <c r="AM174" s="281" t="str">
        <f>IF(B174="","",VLOOKUP($B174,'F-1 Off-Site WaterC'' Baseline'!$C$9:$Z$257,17,FALSE))</f>
        <v/>
      </c>
      <c r="AN174" s="282" t="str">
        <f>IF(AM174="","",IF(VLOOKUP(AM174,'G-7 WaterC'' Data'!$AO$4:$BO$7,2,FALSE)=0,"Spatial Data Missing ⚠",VLOOKUP(AM174,'G-7 WaterC'' Data'!$AO$4:$BO$7,2,FALSE)))</f>
        <v/>
      </c>
      <c r="AO174" s="323" t="str">
        <f t="shared" si="29"/>
        <v/>
      </c>
      <c r="AP174" s="323" t="str">
        <f t="shared" si="30"/>
        <v/>
      </c>
      <c r="AQ174" s="105"/>
      <c r="AR174" s="119"/>
      <c r="AS174" s="108"/>
      <c r="AT174" s="108"/>
      <c r="AW174" s="30" t="str">
        <f>IF(E174="","",VLOOKUP($B174,'F-1 Off-Site WaterC'' Baseline'!$C$9:$Z$257,12,FALSE))</f>
        <v/>
      </c>
      <c r="AX174" s="30" t="str">
        <f>IF(E174="","",VLOOKUP($B174,'F-1 Off-Site WaterC'' Baseline'!$C$9:$Z$257,14,FALSE))</f>
        <v/>
      </c>
      <c r="AY174" s="30" t="str">
        <f>IFERROR(INDEX('G-7 WaterC'' Data'!$AZ$3:$AZ$7,MATCH(N174,'G-7 WaterC'' Data'!$AY$3:$AY$7,0)),"")</f>
        <v/>
      </c>
      <c r="AZ174" s="30" t="str">
        <f>IF(B174="","",IF(ISNA(VLOOKUP($B174,'F-1 Off-Site WaterC'' Baseline'!$C$8:$AD$257,20,FALSE)),"",(VLOOKUP($B174,'F-1 Off-Site WaterC'' Baseline'!$C$8:$AD$257,20,FALSE))))</f>
        <v/>
      </c>
      <c r="BC174" s="30" t="str">
        <f>IF(B174="","",VLOOKUP($B174,'F-1 Off-Site WaterC'' Baseline'!$C$9:$AB$257,25,FALSE))</f>
        <v/>
      </c>
      <c r="BD174" s="30" t="str">
        <f t="shared" si="31"/>
        <v/>
      </c>
      <c r="BE174" s="30" t="str">
        <f>IF(B174="","",VLOOKUP($B174,'F-1 Off-Site WaterC'' Baseline'!$C$9:$AB$257,24,FALSE))</f>
        <v/>
      </c>
      <c r="BF174" s="30" t="str">
        <f>IF(B174="","",VLOOKUP($B174,'F-1 Off-Site WaterC'' Baseline'!$C$9:$AB$257,22,FALSE))</f>
        <v/>
      </c>
      <c r="BJ174" s="30" t="str">
        <f t="shared" si="32"/>
        <v>No</v>
      </c>
    </row>
    <row r="175" spans="2:62" ht="13.8" x14ac:dyDescent="0.25">
      <c r="B175" s="311" t="str">
        <f>'F-1 Off-Site WaterC'' Baseline'!AS173</f>
        <v/>
      </c>
      <c r="C175" s="301" t="str">
        <f>IF(B175="","",VLOOKUP($B175,'F-1 Off-Site WaterC'' Baseline'!$C$9:$R$257,2,FALSE))</f>
        <v/>
      </c>
      <c r="D175" s="301" t="str">
        <f>IF(C175="","",VLOOKUP($B175,'F-1 Off-Site WaterC'' Baseline'!$C$9:$R$257,3,FALSE))</f>
        <v/>
      </c>
      <c r="E175" s="301" t="str">
        <f>IF(D175="","",VLOOKUP($B175,'F-1 Off-Site WaterC'' Baseline'!$C$9:$R$257,4,FALSE))</f>
        <v/>
      </c>
      <c r="F175" s="301" t="str">
        <f>IF(E175="","",VLOOKUP($B175,'F-1 Off-Site WaterC'' Baseline'!$C$9:$R$257,5,FALSE))</f>
        <v/>
      </c>
      <c r="G175" s="301" t="str">
        <f>IF(F175="","",VLOOKUP($B175,'F-1 Off-Site WaterC'' Baseline'!$C$9:$R$257,6,FALSE))</f>
        <v/>
      </c>
      <c r="H175" s="301" t="str">
        <f>IF(G175="","",VLOOKUP($B175,'F-1 Off-Site WaterC'' Baseline'!$C$9:$R$257,7,FALSE))</f>
        <v/>
      </c>
      <c r="I175" s="301" t="str">
        <f>IF(H175="","",VLOOKUP($B175,'F-1 Off-Site WaterC'' Baseline'!$C$9:$R$257,8,FALSE))</f>
        <v/>
      </c>
      <c r="J175" s="301" t="str">
        <f>IF(I175="","",VLOOKUP($B175,'F-1 Off-Site WaterC'' Baseline'!$C$9:$R$257,9,FALSE))</f>
        <v/>
      </c>
      <c r="K175" s="301" t="str">
        <f>IF(J175="","",VLOOKUP($B175,'F-1 Off-Site WaterC'' Baseline'!$C$9:$R$257,10,FALSE))</f>
        <v/>
      </c>
      <c r="L175" s="289" t="str">
        <f>IF(B175="","",VLOOKUP($B175,'F-1 Off-Site WaterC'' Baseline'!$C$9:$R$257,15,FALSE))</f>
        <v/>
      </c>
      <c r="M175" s="305" t="str">
        <f>IF(L175="","",VLOOKUP($B175,'F-1 Off-Site WaterC'' Baseline'!$C$9:$V$257,19,FALSE))</f>
        <v/>
      </c>
      <c r="N175" s="250"/>
      <c r="O175" s="281" t="str">
        <f t="shared" si="25"/>
        <v/>
      </c>
      <c r="P175" s="282" t="str">
        <f t="shared" si="26"/>
        <v/>
      </c>
      <c r="Q175" s="287" t="str">
        <f>IF(N175="","",VLOOKUP(B175,'F-1 Off-Site WaterC'' Baseline'!$C$10:$AF$257,23,FALSE))</f>
        <v/>
      </c>
      <c r="R175" s="281" t="str">
        <f>IF(N175="","",VLOOKUP(N175,'G-7 WaterC'' Data'!$B$2:$G$8,2,FALSE))</f>
        <v/>
      </c>
      <c r="S175" s="282" t="str">
        <f>IFERROR(VLOOKUP(R175,'G-7 WaterC'' Data'!$C$4:$D$8,2,FALSE),"")</f>
        <v/>
      </c>
      <c r="T175" s="105"/>
      <c r="U175" s="282" t="str">
        <f>IFERROR(INDEX('G-7 WaterC'' Data'!$H$4:$L$8,MATCH(N175,'G-7 WaterC'' Data'!$B$4:$B$8,0),MATCH(T175,'G-7 WaterC'' Data'!$H$3:$L$3,0)),"")</f>
        <v/>
      </c>
      <c r="V175" s="109"/>
      <c r="W175" s="301" t="str">
        <f>IF(V175="","",IF(VLOOKUP(V175,'G-7 WaterC'' Data'!$AK$4:$AM$6,2,FALSE)=0,"Spatial Data Missing ⚠",VLOOKUP(V175,'G-7 WaterC'' Data'!$AK$4:$AM$6,2,FALSE)))</f>
        <v/>
      </c>
      <c r="X175" s="305" t="str">
        <f>IF(V175="","",IF(VLOOKUP(V175,'G-7 WaterC'' Data'!$AK$4:$AM$6,3,FALSE)=0,"Spatial Data Missing ⚠",VLOOKUP(V175,'G-7 WaterC'' Data'!$AK$4:$AM$6,3,FALSE)))</f>
        <v/>
      </c>
      <c r="Y175" s="317" t="str">
        <f>IFERROR(IF(OR(LEFT(P175,5)="Error",LEFT(O175,5)="Error"),"Check Data ⚠",IF(F175&lt;S175,'G-7 WaterC'' Data'!$R$3,INDEX('G-7 WaterC'' Data'!$U$5:$Y$9,MATCH(G175,'G-7 WaterC'' Data'!$T$5:$T$9,0),MATCH(T175,'G-7 WaterC'' Data'!$U$4:$Y$4,0)))),"")</f>
        <v/>
      </c>
      <c r="Z175" s="142"/>
      <c r="AA175" s="142"/>
      <c r="AB175" s="314" t="str">
        <f t="shared" si="22"/>
        <v/>
      </c>
      <c r="AC175" s="302" t="str">
        <f t="shared" si="27"/>
        <v/>
      </c>
      <c r="AD175" s="340" t="str">
        <f>IFERROR(IF(AC175="Check Data ⚠","Check Data ⚠",VLOOKUP(AC175,'G-4 Temporal multipliers'!$A$4:$C$37,3,FALSE)),"")</f>
        <v/>
      </c>
      <c r="AE175" s="317" t="str">
        <f>IF(N175="","",VLOOKUP(N175,'G-7 WaterC'' Data'!$B$4:$G$8,5,FALSE))</f>
        <v/>
      </c>
      <c r="AF175" s="301" t="str">
        <f t="shared" si="23"/>
        <v/>
      </c>
      <c r="AG175" s="301" t="str">
        <f t="shared" si="28"/>
        <v/>
      </c>
      <c r="AH175" s="282" t="str">
        <f t="shared" si="24"/>
        <v/>
      </c>
      <c r="AI175" s="109"/>
      <c r="AJ175" s="282" t="str">
        <f>IF(AI175="","",(IF(AND(AI175="N/A - Culvert",N175&lt;&gt;"Culvert"),"Not possible ▲",IF(VLOOKUP(AI175,'G-7 WaterC'' Data'!$AA$4:$AB$7,2,FALSE)=0,"Spatial Data Missing ⚠",VLOOKUP(AI175,'G-7 WaterC'' Data'!$AA$4:$AB$7,2,FALSE)))))</f>
        <v/>
      </c>
      <c r="AK175" s="110"/>
      <c r="AL175" s="316" t="str">
        <f>IF(AK175="","",IF(AND(AK175="N/A - Culvert",N175&lt;&gt;"Culvert"),"Not possible ▲",IF(VLOOKUP(AK175,'G-7 WaterC'' Data'!$AD$4:$AE$14,2,FALSE)=0,"Spatial Data Missing ⚠",VLOOKUP(AK175,'G-7 WaterC'' Data'!$AD$4:$AE$14,2,FALSE))))</f>
        <v/>
      </c>
      <c r="AM175" s="281" t="str">
        <f>IF(B175="","",VLOOKUP($B175,'F-1 Off-Site WaterC'' Baseline'!$C$9:$Z$257,17,FALSE))</f>
        <v/>
      </c>
      <c r="AN175" s="282" t="str">
        <f>IF(AM175="","",IF(VLOOKUP(AM175,'G-7 WaterC'' Data'!$AO$4:$BO$7,2,FALSE)=0,"Spatial Data Missing ⚠",VLOOKUP(AM175,'G-7 WaterC'' Data'!$AO$4:$BO$7,2,FALSE)))</f>
        <v/>
      </c>
      <c r="AO175" s="323" t="str">
        <f t="shared" si="29"/>
        <v/>
      </c>
      <c r="AP175" s="323" t="str">
        <f t="shared" si="30"/>
        <v/>
      </c>
      <c r="AQ175" s="105"/>
      <c r="AR175" s="119"/>
      <c r="AS175" s="108"/>
      <c r="AT175" s="108"/>
      <c r="AW175" s="30" t="str">
        <f>IF(E175="","",VLOOKUP($B175,'F-1 Off-Site WaterC'' Baseline'!$C$9:$Z$257,12,FALSE))</f>
        <v/>
      </c>
      <c r="AX175" s="30" t="str">
        <f>IF(E175="","",VLOOKUP($B175,'F-1 Off-Site WaterC'' Baseline'!$C$9:$Z$257,14,FALSE))</f>
        <v/>
      </c>
      <c r="AY175" s="30" t="str">
        <f>IFERROR(INDEX('G-7 WaterC'' Data'!$AZ$3:$AZ$7,MATCH(N175,'G-7 WaterC'' Data'!$AY$3:$AY$7,0)),"")</f>
        <v/>
      </c>
      <c r="AZ175" s="30" t="str">
        <f>IF(B175="","",IF(ISNA(VLOOKUP($B175,'F-1 Off-Site WaterC'' Baseline'!$C$8:$AD$257,20,FALSE)),"",(VLOOKUP($B175,'F-1 Off-Site WaterC'' Baseline'!$C$8:$AD$257,20,FALSE))))</f>
        <v/>
      </c>
      <c r="BC175" s="30" t="str">
        <f>IF(B175="","",VLOOKUP($B175,'F-1 Off-Site WaterC'' Baseline'!$C$9:$AB$257,25,FALSE))</f>
        <v/>
      </c>
      <c r="BD175" s="30" t="str">
        <f t="shared" si="31"/>
        <v/>
      </c>
      <c r="BE175" s="30" t="str">
        <f>IF(B175="","",VLOOKUP($B175,'F-1 Off-Site WaterC'' Baseline'!$C$9:$AB$257,24,FALSE))</f>
        <v/>
      </c>
      <c r="BF175" s="30" t="str">
        <f>IF(B175="","",VLOOKUP($B175,'F-1 Off-Site WaterC'' Baseline'!$C$9:$AB$257,22,FALSE))</f>
        <v/>
      </c>
      <c r="BJ175" s="30" t="str">
        <f t="shared" si="32"/>
        <v>No</v>
      </c>
    </row>
    <row r="176" spans="2:62" ht="13.8" x14ac:dyDescent="0.25">
      <c r="B176" s="311" t="str">
        <f>'F-1 Off-Site WaterC'' Baseline'!AS174</f>
        <v/>
      </c>
      <c r="C176" s="301" t="str">
        <f>IF(B176="","",VLOOKUP($B176,'F-1 Off-Site WaterC'' Baseline'!$C$9:$R$257,2,FALSE))</f>
        <v/>
      </c>
      <c r="D176" s="301" t="str">
        <f>IF(C176="","",VLOOKUP($B176,'F-1 Off-Site WaterC'' Baseline'!$C$9:$R$257,3,FALSE))</f>
        <v/>
      </c>
      <c r="E176" s="301" t="str">
        <f>IF(D176="","",VLOOKUP($B176,'F-1 Off-Site WaterC'' Baseline'!$C$9:$R$257,4,FALSE))</f>
        <v/>
      </c>
      <c r="F176" s="301" t="str">
        <f>IF(E176="","",VLOOKUP($B176,'F-1 Off-Site WaterC'' Baseline'!$C$9:$R$257,5,FALSE))</f>
        <v/>
      </c>
      <c r="G176" s="301" t="str">
        <f>IF(F176="","",VLOOKUP($B176,'F-1 Off-Site WaterC'' Baseline'!$C$9:$R$257,6,FALSE))</f>
        <v/>
      </c>
      <c r="H176" s="301" t="str">
        <f>IF(G176="","",VLOOKUP($B176,'F-1 Off-Site WaterC'' Baseline'!$C$9:$R$257,7,FALSE))</f>
        <v/>
      </c>
      <c r="I176" s="301" t="str">
        <f>IF(H176="","",VLOOKUP($B176,'F-1 Off-Site WaterC'' Baseline'!$C$9:$R$257,8,FALSE))</f>
        <v/>
      </c>
      <c r="J176" s="301" t="str">
        <f>IF(I176="","",VLOOKUP($B176,'F-1 Off-Site WaterC'' Baseline'!$C$9:$R$257,9,FALSE))</f>
        <v/>
      </c>
      <c r="K176" s="301" t="str">
        <f>IF(J176="","",VLOOKUP($B176,'F-1 Off-Site WaterC'' Baseline'!$C$9:$R$257,10,FALSE))</f>
        <v/>
      </c>
      <c r="L176" s="289" t="str">
        <f>IF(B176="","",VLOOKUP($B176,'F-1 Off-Site WaterC'' Baseline'!$C$9:$R$257,15,FALSE))</f>
        <v/>
      </c>
      <c r="M176" s="305" t="str">
        <f>IF(L176="","",VLOOKUP($B176,'F-1 Off-Site WaterC'' Baseline'!$C$9:$V$257,19,FALSE))</f>
        <v/>
      </c>
      <c r="N176" s="250"/>
      <c r="O176" s="281" t="str">
        <f t="shared" si="25"/>
        <v/>
      </c>
      <c r="P176" s="282" t="str">
        <f t="shared" si="26"/>
        <v/>
      </c>
      <c r="Q176" s="287" t="str">
        <f>IF(N176="","",VLOOKUP(B176,'F-1 Off-Site WaterC'' Baseline'!$C$10:$AF$257,23,FALSE))</f>
        <v/>
      </c>
      <c r="R176" s="281" t="str">
        <f>IF(N176="","",VLOOKUP(N176,'G-7 WaterC'' Data'!$B$2:$G$8,2,FALSE))</f>
        <v/>
      </c>
      <c r="S176" s="282" t="str">
        <f>IFERROR(VLOOKUP(R176,'G-7 WaterC'' Data'!$C$4:$D$8,2,FALSE),"")</f>
        <v/>
      </c>
      <c r="T176" s="105"/>
      <c r="U176" s="282" t="str">
        <f>IFERROR(INDEX('G-7 WaterC'' Data'!$H$4:$L$8,MATCH(N176,'G-7 WaterC'' Data'!$B$4:$B$8,0),MATCH(T176,'G-7 WaterC'' Data'!$H$3:$L$3,0)),"")</f>
        <v/>
      </c>
      <c r="V176" s="109"/>
      <c r="W176" s="301" t="str">
        <f>IF(V176="","",IF(VLOOKUP(V176,'G-7 WaterC'' Data'!$AK$4:$AM$6,2,FALSE)=0,"Spatial Data Missing ⚠",VLOOKUP(V176,'G-7 WaterC'' Data'!$AK$4:$AM$6,2,FALSE)))</f>
        <v/>
      </c>
      <c r="X176" s="305" t="str">
        <f>IF(V176="","",IF(VLOOKUP(V176,'G-7 WaterC'' Data'!$AK$4:$AM$6,3,FALSE)=0,"Spatial Data Missing ⚠",VLOOKUP(V176,'G-7 WaterC'' Data'!$AK$4:$AM$6,3,FALSE)))</f>
        <v/>
      </c>
      <c r="Y176" s="317" t="str">
        <f>IFERROR(IF(OR(LEFT(P176,5)="Error",LEFT(O176,5)="Error"),"Check Data ⚠",IF(F176&lt;S176,'G-7 WaterC'' Data'!$R$3,INDEX('G-7 WaterC'' Data'!$U$5:$Y$9,MATCH(G176,'G-7 WaterC'' Data'!$T$5:$T$9,0),MATCH(T176,'G-7 WaterC'' Data'!$U$4:$Y$4,0)))),"")</f>
        <v/>
      </c>
      <c r="Z176" s="142"/>
      <c r="AA176" s="142"/>
      <c r="AB176" s="314" t="str">
        <f t="shared" si="22"/>
        <v/>
      </c>
      <c r="AC176" s="302" t="str">
        <f t="shared" si="27"/>
        <v/>
      </c>
      <c r="AD176" s="340" t="str">
        <f>IFERROR(IF(AC176="Check Data ⚠","Check Data ⚠",VLOOKUP(AC176,'G-4 Temporal multipliers'!$A$4:$C$37,3,FALSE)),"")</f>
        <v/>
      </c>
      <c r="AE176" s="317" t="str">
        <f>IF(N176="","",VLOOKUP(N176,'G-7 WaterC'' Data'!$B$4:$G$8,5,FALSE))</f>
        <v/>
      </c>
      <c r="AF176" s="301" t="str">
        <f t="shared" si="23"/>
        <v/>
      </c>
      <c r="AG176" s="301" t="str">
        <f t="shared" si="28"/>
        <v/>
      </c>
      <c r="AH176" s="282" t="str">
        <f t="shared" si="24"/>
        <v/>
      </c>
      <c r="AI176" s="109"/>
      <c r="AJ176" s="282" t="str">
        <f>IF(AI176="","",(IF(AND(AI176="N/A - Culvert",N176&lt;&gt;"Culvert"),"Not possible ▲",IF(VLOOKUP(AI176,'G-7 WaterC'' Data'!$AA$4:$AB$7,2,FALSE)=0,"Spatial Data Missing ⚠",VLOOKUP(AI176,'G-7 WaterC'' Data'!$AA$4:$AB$7,2,FALSE)))))</f>
        <v/>
      </c>
      <c r="AK176" s="110"/>
      <c r="AL176" s="316" t="str">
        <f>IF(AK176="","",IF(AND(AK176="N/A - Culvert",N176&lt;&gt;"Culvert"),"Not possible ▲",IF(VLOOKUP(AK176,'G-7 WaterC'' Data'!$AD$4:$AE$14,2,FALSE)=0,"Spatial Data Missing ⚠",VLOOKUP(AK176,'G-7 WaterC'' Data'!$AD$4:$AE$14,2,FALSE))))</f>
        <v/>
      </c>
      <c r="AM176" s="281" t="str">
        <f>IF(B176="","",VLOOKUP($B176,'F-1 Off-Site WaterC'' Baseline'!$C$9:$Z$257,17,FALSE))</f>
        <v/>
      </c>
      <c r="AN176" s="282" t="str">
        <f>IF(AM176="","",IF(VLOOKUP(AM176,'G-7 WaterC'' Data'!$AO$4:$BO$7,2,FALSE)=0,"Spatial Data Missing ⚠",VLOOKUP(AM176,'G-7 WaterC'' Data'!$AO$4:$BO$7,2,FALSE)))</f>
        <v/>
      </c>
      <c r="AO176" s="323" t="str">
        <f t="shared" si="29"/>
        <v/>
      </c>
      <c r="AP176" s="323" t="str">
        <f t="shared" si="30"/>
        <v/>
      </c>
      <c r="AQ176" s="105"/>
      <c r="AR176" s="119"/>
      <c r="AS176" s="108"/>
      <c r="AT176" s="108"/>
      <c r="AW176" s="30" t="str">
        <f>IF(E176="","",VLOOKUP($B176,'F-1 Off-Site WaterC'' Baseline'!$C$9:$Z$257,12,FALSE))</f>
        <v/>
      </c>
      <c r="AX176" s="30" t="str">
        <f>IF(E176="","",VLOOKUP($B176,'F-1 Off-Site WaterC'' Baseline'!$C$9:$Z$257,14,FALSE))</f>
        <v/>
      </c>
      <c r="AY176" s="30" t="str">
        <f>IFERROR(INDEX('G-7 WaterC'' Data'!$AZ$3:$AZ$7,MATCH(N176,'G-7 WaterC'' Data'!$AY$3:$AY$7,0)),"")</f>
        <v/>
      </c>
      <c r="AZ176" s="30" t="str">
        <f>IF(B176="","",IF(ISNA(VLOOKUP($B176,'F-1 Off-Site WaterC'' Baseline'!$C$8:$AD$257,20,FALSE)),"",(VLOOKUP($B176,'F-1 Off-Site WaterC'' Baseline'!$C$8:$AD$257,20,FALSE))))</f>
        <v/>
      </c>
      <c r="BC176" s="30" t="str">
        <f>IF(B176="","",VLOOKUP($B176,'F-1 Off-Site WaterC'' Baseline'!$C$9:$AB$257,25,FALSE))</f>
        <v/>
      </c>
      <c r="BD176" s="30" t="str">
        <f t="shared" si="31"/>
        <v/>
      </c>
      <c r="BE176" s="30" t="str">
        <f>IF(B176="","",VLOOKUP($B176,'F-1 Off-Site WaterC'' Baseline'!$C$9:$AB$257,24,FALSE))</f>
        <v/>
      </c>
      <c r="BF176" s="30" t="str">
        <f>IF(B176="","",VLOOKUP($B176,'F-1 Off-Site WaterC'' Baseline'!$C$9:$AB$257,22,FALSE))</f>
        <v/>
      </c>
      <c r="BJ176" s="30" t="str">
        <f t="shared" si="32"/>
        <v>No</v>
      </c>
    </row>
    <row r="177" spans="2:62" ht="13.8" x14ac:dyDescent="0.25">
      <c r="B177" s="311" t="str">
        <f>'F-1 Off-Site WaterC'' Baseline'!AS175</f>
        <v/>
      </c>
      <c r="C177" s="301" t="str">
        <f>IF(B177="","",VLOOKUP($B177,'F-1 Off-Site WaterC'' Baseline'!$C$9:$R$257,2,FALSE))</f>
        <v/>
      </c>
      <c r="D177" s="301" t="str">
        <f>IF(C177="","",VLOOKUP($B177,'F-1 Off-Site WaterC'' Baseline'!$C$9:$R$257,3,FALSE))</f>
        <v/>
      </c>
      <c r="E177" s="301" t="str">
        <f>IF(D177="","",VLOOKUP($B177,'F-1 Off-Site WaterC'' Baseline'!$C$9:$R$257,4,FALSE))</f>
        <v/>
      </c>
      <c r="F177" s="301" t="str">
        <f>IF(E177="","",VLOOKUP($B177,'F-1 Off-Site WaterC'' Baseline'!$C$9:$R$257,5,FALSE))</f>
        <v/>
      </c>
      <c r="G177" s="301" t="str">
        <f>IF(F177="","",VLOOKUP($B177,'F-1 Off-Site WaterC'' Baseline'!$C$9:$R$257,6,FALSE))</f>
        <v/>
      </c>
      <c r="H177" s="301" t="str">
        <f>IF(G177="","",VLOOKUP($B177,'F-1 Off-Site WaterC'' Baseline'!$C$9:$R$257,7,FALSE))</f>
        <v/>
      </c>
      <c r="I177" s="301" t="str">
        <f>IF(H177="","",VLOOKUP($B177,'F-1 Off-Site WaterC'' Baseline'!$C$9:$R$257,8,FALSE))</f>
        <v/>
      </c>
      <c r="J177" s="301" t="str">
        <f>IF(I177="","",VLOOKUP($B177,'F-1 Off-Site WaterC'' Baseline'!$C$9:$R$257,9,FALSE))</f>
        <v/>
      </c>
      <c r="K177" s="301" t="str">
        <f>IF(J177="","",VLOOKUP($B177,'F-1 Off-Site WaterC'' Baseline'!$C$9:$R$257,10,FALSE))</f>
        <v/>
      </c>
      <c r="L177" s="289" t="str">
        <f>IF(B177="","",VLOOKUP($B177,'F-1 Off-Site WaterC'' Baseline'!$C$9:$R$257,15,FALSE))</f>
        <v/>
      </c>
      <c r="M177" s="305" t="str">
        <f>IF(L177="","",VLOOKUP($B177,'F-1 Off-Site WaterC'' Baseline'!$C$9:$V$257,19,FALSE))</f>
        <v/>
      </c>
      <c r="N177" s="250"/>
      <c r="O177" s="281" t="str">
        <f t="shared" si="25"/>
        <v/>
      </c>
      <c r="P177" s="282" t="str">
        <f t="shared" si="26"/>
        <v/>
      </c>
      <c r="Q177" s="287" t="str">
        <f>IF(N177="","",VLOOKUP(B177,'F-1 Off-Site WaterC'' Baseline'!$C$10:$AF$257,23,FALSE))</f>
        <v/>
      </c>
      <c r="R177" s="281" t="str">
        <f>IF(N177="","",VLOOKUP(N177,'G-7 WaterC'' Data'!$B$2:$G$8,2,FALSE))</f>
        <v/>
      </c>
      <c r="S177" s="282" t="str">
        <f>IFERROR(VLOOKUP(R177,'G-7 WaterC'' Data'!$C$4:$D$8,2,FALSE),"")</f>
        <v/>
      </c>
      <c r="T177" s="105"/>
      <c r="U177" s="282" t="str">
        <f>IFERROR(INDEX('G-7 WaterC'' Data'!$H$4:$L$8,MATCH(N177,'G-7 WaterC'' Data'!$B$4:$B$8,0),MATCH(T177,'G-7 WaterC'' Data'!$H$3:$L$3,0)),"")</f>
        <v/>
      </c>
      <c r="V177" s="109"/>
      <c r="W177" s="301" t="str">
        <f>IF(V177="","",IF(VLOOKUP(V177,'G-7 WaterC'' Data'!$AK$4:$AM$6,2,FALSE)=0,"Spatial Data Missing ⚠",VLOOKUP(V177,'G-7 WaterC'' Data'!$AK$4:$AM$6,2,FALSE)))</f>
        <v/>
      </c>
      <c r="X177" s="305" t="str">
        <f>IF(V177="","",IF(VLOOKUP(V177,'G-7 WaterC'' Data'!$AK$4:$AM$6,3,FALSE)=0,"Spatial Data Missing ⚠",VLOOKUP(V177,'G-7 WaterC'' Data'!$AK$4:$AM$6,3,FALSE)))</f>
        <v/>
      </c>
      <c r="Y177" s="317" t="str">
        <f>IFERROR(IF(OR(LEFT(P177,5)="Error",LEFT(O177,5)="Error"),"Check Data ⚠",IF(F177&lt;S177,'G-7 WaterC'' Data'!$R$3,INDEX('G-7 WaterC'' Data'!$U$5:$Y$9,MATCH(G177,'G-7 WaterC'' Data'!$T$5:$T$9,0),MATCH(T177,'G-7 WaterC'' Data'!$U$4:$Y$4,0)))),"")</f>
        <v/>
      </c>
      <c r="Z177" s="142"/>
      <c r="AA177" s="142"/>
      <c r="AB177" s="314" t="str">
        <f t="shared" si="22"/>
        <v/>
      </c>
      <c r="AC177" s="302" t="str">
        <f t="shared" si="27"/>
        <v/>
      </c>
      <c r="AD177" s="340" t="str">
        <f>IFERROR(IF(AC177="Check Data ⚠","Check Data ⚠",VLOOKUP(AC177,'G-4 Temporal multipliers'!$A$4:$C$37,3,FALSE)),"")</f>
        <v/>
      </c>
      <c r="AE177" s="317" t="str">
        <f>IF(N177="","",VLOOKUP(N177,'G-7 WaterC'' Data'!$B$4:$G$8,5,FALSE))</f>
        <v/>
      </c>
      <c r="AF177" s="301" t="str">
        <f t="shared" si="23"/>
        <v/>
      </c>
      <c r="AG177" s="301" t="str">
        <f t="shared" si="28"/>
        <v/>
      </c>
      <c r="AH177" s="282" t="str">
        <f t="shared" si="24"/>
        <v/>
      </c>
      <c r="AI177" s="109"/>
      <c r="AJ177" s="282" t="str">
        <f>IF(AI177="","",(IF(AND(AI177="N/A - Culvert",N177&lt;&gt;"Culvert"),"Not possible ▲",IF(VLOOKUP(AI177,'G-7 WaterC'' Data'!$AA$4:$AB$7,2,FALSE)=0,"Spatial Data Missing ⚠",VLOOKUP(AI177,'G-7 WaterC'' Data'!$AA$4:$AB$7,2,FALSE)))))</f>
        <v/>
      </c>
      <c r="AK177" s="110"/>
      <c r="AL177" s="316" t="str">
        <f>IF(AK177="","",IF(AND(AK177="N/A - Culvert",N177&lt;&gt;"Culvert"),"Not possible ▲",IF(VLOOKUP(AK177,'G-7 WaterC'' Data'!$AD$4:$AE$14,2,FALSE)=0,"Spatial Data Missing ⚠",VLOOKUP(AK177,'G-7 WaterC'' Data'!$AD$4:$AE$14,2,FALSE))))</f>
        <v/>
      </c>
      <c r="AM177" s="281" t="str">
        <f>IF(B177="","",VLOOKUP($B177,'F-1 Off-Site WaterC'' Baseline'!$C$9:$Z$257,17,FALSE))</f>
        <v/>
      </c>
      <c r="AN177" s="282" t="str">
        <f>IF(AM177="","",IF(VLOOKUP(AM177,'G-7 WaterC'' Data'!$AO$4:$BO$7,2,FALSE)=0,"Spatial Data Missing ⚠",VLOOKUP(AM177,'G-7 WaterC'' Data'!$AO$4:$BO$7,2,FALSE)))</f>
        <v/>
      </c>
      <c r="AO177" s="323" t="str">
        <f t="shared" si="29"/>
        <v/>
      </c>
      <c r="AP177" s="323" t="str">
        <f t="shared" si="30"/>
        <v/>
      </c>
      <c r="AQ177" s="105"/>
      <c r="AR177" s="119"/>
      <c r="AS177" s="108"/>
      <c r="AT177" s="108"/>
      <c r="AW177" s="30" t="str">
        <f>IF(E177="","",VLOOKUP($B177,'F-1 Off-Site WaterC'' Baseline'!$C$9:$Z$257,12,FALSE))</f>
        <v/>
      </c>
      <c r="AX177" s="30" t="str">
        <f>IF(E177="","",VLOOKUP($B177,'F-1 Off-Site WaterC'' Baseline'!$C$9:$Z$257,14,FALSE))</f>
        <v/>
      </c>
      <c r="AY177" s="30" t="str">
        <f>IFERROR(INDEX('G-7 WaterC'' Data'!$AZ$3:$AZ$7,MATCH(N177,'G-7 WaterC'' Data'!$AY$3:$AY$7,0)),"")</f>
        <v/>
      </c>
      <c r="AZ177" s="30" t="str">
        <f>IF(B177="","",IF(ISNA(VLOOKUP($B177,'F-1 Off-Site WaterC'' Baseline'!$C$8:$AD$257,20,FALSE)),"",(VLOOKUP($B177,'F-1 Off-Site WaterC'' Baseline'!$C$8:$AD$257,20,FALSE))))</f>
        <v/>
      </c>
      <c r="BC177" s="30" t="str">
        <f>IF(B177="","",VLOOKUP($B177,'F-1 Off-Site WaterC'' Baseline'!$C$9:$AB$257,25,FALSE))</f>
        <v/>
      </c>
      <c r="BD177" s="30" t="str">
        <f t="shared" si="31"/>
        <v/>
      </c>
      <c r="BE177" s="30" t="str">
        <f>IF(B177="","",VLOOKUP($B177,'F-1 Off-Site WaterC'' Baseline'!$C$9:$AB$257,24,FALSE))</f>
        <v/>
      </c>
      <c r="BF177" s="30" t="str">
        <f>IF(B177="","",VLOOKUP($B177,'F-1 Off-Site WaterC'' Baseline'!$C$9:$AB$257,22,FALSE))</f>
        <v/>
      </c>
      <c r="BJ177" s="30" t="str">
        <f t="shared" si="32"/>
        <v>No</v>
      </c>
    </row>
    <row r="178" spans="2:62" ht="13.8" x14ac:dyDescent="0.25">
      <c r="B178" s="311" t="str">
        <f>'F-1 Off-Site WaterC'' Baseline'!AS176</f>
        <v/>
      </c>
      <c r="C178" s="301" t="str">
        <f>IF(B178="","",VLOOKUP($B178,'F-1 Off-Site WaterC'' Baseline'!$C$9:$R$257,2,FALSE))</f>
        <v/>
      </c>
      <c r="D178" s="301" t="str">
        <f>IF(C178="","",VLOOKUP($B178,'F-1 Off-Site WaterC'' Baseline'!$C$9:$R$257,3,FALSE))</f>
        <v/>
      </c>
      <c r="E178" s="301" t="str">
        <f>IF(D178="","",VLOOKUP($B178,'F-1 Off-Site WaterC'' Baseline'!$C$9:$R$257,4,FALSE))</f>
        <v/>
      </c>
      <c r="F178" s="301" t="str">
        <f>IF(E178="","",VLOOKUP($B178,'F-1 Off-Site WaterC'' Baseline'!$C$9:$R$257,5,FALSE))</f>
        <v/>
      </c>
      <c r="G178" s="301" t="str">
        <f>IF(F178="","",VLOOKUP($B178,'F-1 Off-Site WaterC'' Baseline'!$C$9:$R$257,6,FALSE))</f>
        <v/>
      </c>
      <c r="H178" s="301" t="str">
        <f>IF(G178="","",VLOOKUP($B178,'F-1 Off-Site WaterC'' Baseline'!$C$9:$R$257,7,FALSE))</f>
        <v/>
      </c>
      <c r="I178" s="301" t="str">
        <f>IF(H178="","",VLOOKUP($B178,'F-1 Off-Site WaterC'' Baseline'!$C$9:$R$257,8,FALSE))</f>
        <v/>
      </c>
      <c r="J178" s="301" t="str">
        <f>IF(I178="","",VLOOKUP($B178,'F-1 Off-Site WaterC'' Baseline'!$C$9:$R$257,9,FALSE))</f>
        <v/>
      </c>
      <c r="K178" s="301" t="str">
        <f>IF(J178="","",VLOOKUP($B178,'F-1 Off-Site WaterC'' Baseline'!$C$9:$R$257,10,FALSE))</f>
        <v/>
      </c>
      <c r="L178" s="289" t="str">
        <f>IF(B178="","",VLOOKUP($B178,'F-1 Off-Site WaterC'' Baseline'!$C$9:$R$257,15,FALSE))</f>
        <v/>
      </c>
      <c r="M178" s="305" t="str">
        <f>IF(L178="","",VLOOKUP($B178,'F-1 Off-Site WaterC'' Baseline'!$C$9:$V$257,19,FALSE))</f>
        <v/>
      </c>
      <c r="N178" s="250"/>
      <c r="O178" s="281" t="str">
        <f t="shared" si="25"/>
        <v/>
      </c>
      <c r="P178" s="282" t="str">
        <f t="shared" si="26"/>
        <v/>
      </c>
      <c r="Q178" s="287" t="str">
        <f>IF(N178="","",VLOOKUP(B178,'F-1 Off-Site WaterC'' Baseline'!$C$10:$AF$257,23,FALSE))</f>
        <v/>
      </c>
      <c r="R178" s="281" t="str">
        <f>IF(N178="","",VLOOKUP(N178,'G-7 WaterC'' Data'!$B$2:$G$8,2,FALSE))</f>
        <v/>
      </c>
      <c r="S178" s="282" t="str">
        <f>IFERROR(VLOOKUP(R178,'G-7 WaterC'' Data'!$C$4:$D$8,2,FALSE),"")</f>
        <v/>
      </c>
      <c r="T178" s="105"/>
      <c r="U178" s="282" t="str">
        <f>IFERROR(INDEX('G-7 WaterC'' Data'!$H$4:$L$8,MATCH(N178,'G-7 WaterC'' Data'!$B$4:$B$8,0),MATCH(T178,'G-7 WaterC'' Data'!$H$3:$L$3,0)),"")</f>
        <v/>
      </c>
      <c r="V178" s="109"/>
      <c r="W178" s="301" t="str">
        <f>IF(V178="","",IF(VLOOKUP(V178,'G-7 WaterC'' Data'!$AK$4:$AM$6,2,FALSE)=0,"Spatial Data Missing ⚠",VLOOKUP(V178,'G-7 WaterC'' Data'!$AK$4:$AM$6,2,FALSE)))</f>
        <v/>
      </c>
      <c r="X178" s="305" t="str">
        <f>IF(V178="","",IF(VLOOKUP(V178,'G-7 WaterC'' Data'!$AK$4:$AM$6,3,FALSE)=0,"Spatial Data Missing ⚠",VLOOKUP(V178,'G-7 WaterC'' Data'!$AK$4:$AM$6,3,FALSE)))</f>
        <v/>
      </c>
      <c r="Y178" s="317" t="str">
        <f>IFERROR(IF(OR(LEFT(P178,5)="Error",LEFT(O178,5)="Error"),"Check Data ⚠",IF(F178&lt;S178,'G-7 WaterC'' Data'!$R$3,INDEX('G-7 WaterC'' Data'!$U$5:$Y$9,MATCH(G178,'G-7 WaterC'' Data'!$T$5:$T$9,0),MATCH(T178,'G-7 WaterC'' Data'!$U$4:$Y$4,0)))),"")</f>
        <v/>
      </c>
      <c r="Z178" s="142"/>
      <c r="AA178" s="142"/>
      <c r="AB178" s="314" t="str">
        <f t="shared" si="22"/>
        <v/>
      </c>
      <c r="AC178" s="302" t="str">
        <f t="shared" si="27"/>
        <v/>
      </c>
      <c r="AD178" s="340" t="str">
        <f>IFERROR(IF(AC178="Check Data ⚠","Check Data ⚠",VLOOKUP(AC178,'G-4 Temporal multipliers'!$A$4:$C$37,3,FALSE)),"")</f>
        <v/>
      </c>
      <c r="AE178" s="317" t="str">
        <f>IF(N178="","",VLOOKUP(N178,'G-7 WaterC'' Data'!$B$4:$G$8,5,FALSE))</f>
        <v/>
      </c>
      <c r="AF178" s="301" t="str">
        <f t="shared" si="23"/>
        <v/>
      </c>
      <c r="AG178" s="301" t="str">
        <f t="shared" si="28"/>
        <v/>
      </c>
      <c r="AH178" s="282" t="str">
        <f t="shared" si="24"/>
        <v/>
      </c>
      <c r="AI178" s="109"/>
      <c r="AJ178" s="282" t="str">
        <f>IF(AI178="","",(IF(AND(AI178="N/A - Culvert",N178&lt;&gt;"Culvert"),"Not possible ▲",IF(VLOOKUP(AI178,'G-7 WaterC'' Data'!$AA$4:$AB$7,2,FALSE)=0,"Spatial Data Missing ⚠",VLOOKUP(AI178,'G-7 WaterC'' Data'!$AA$4:$AB$7,2,FALSE)))))</f>
        <v/>
      </c>
      <c r="AK178" s="110"/>
      <c r="AL178" s="316" t="str">
        <f>IF(AK178="","",IF(AND(AK178="N/A - Culvert",N178&lt;&gt;"Culvert"),"Not possible ▲",IF(VLOOKUP(AK178,'G-7 WaterC'' Data'!$AD$4:$AE$14,2,FALSE)=0,"Spatial Data Missing ⚠",VLOOKUP(AK178,'G-7 WaterC'' Data'!$AD$4:$AE$14,2,FALSE))))</f>
        <v/>
      </c>
      <c r="AM178" s="281" t="str">
        <f>IF(B178="","",VLOOKUP($B178,'F-1 Off-Site WaterC'' Baseline'!$C$9:$Z$257,17,FALSE))</f>
        <v/>
      </c>
      <c r="AN178" s="282" t="str">
        <f>IF(AM178="","",IF(VLOOKUP(AM178,'G-7 WaterC'' Data'!$AO$4:$BO$7,2,FALSE)=0,"Spatial Data Missing ⚠",VLOOKUP(AM178,'G-7 WaterC'' Data'!$AO$4:$BO$7,2,FALSE)))</f>
        <v/>
      </c>
      <c r="AO178" s="323" t="str">
        <f t="shared" si="29"/>
        <v/>
      </c>
      <c r="AP178" s="323" t="str">
        <f t="shared" si="30"/>
        <v/>
      </c>
      <c r="AQ178" s="105"/>
      <c r="AR178" s="119"/>
      <c r="AS178" s="108"/>
      <c r="AT178" s="108"/>
      <c r="AW178" s="30" t="str">
        <f>IF(E178="","",VLOOKUP($B178,'F-1 Off-Site WaterC'' Baseline'!$C$9:$Z$257,12,FALSE))</f>
        <v/>
      </c>
      <c r="AX178" s="30" t="str">
        <f>IF(E178="","",VLOOKUP($B178,'F-1 Off-Site WaterC'' Baseline'!$C$9:$Z$257,14,FALSE))</f>
        <v/>
      </c>
      <c r="AY178" s="30" t="str">
        <f>IFERROR(INDEX('G-7 WaterC'' Data'!$AZ$3:$AZ$7,MATCH(N178,'G-7 WaterC'' Data'!$AY$3:$AY$7,0)),"")</f>
        <v/>
      </c>
      <c r="AZ178" s="30" t="str">
        <f>IF(B178="","",IF(ISNA(VLOOKUP($B178,'F-1 Off-Site WaterC'' Baseline'!$C$8:$AD$257,20,FALSE)),"",(VLOOKUP($B178,'F-1 Off-Site WaterC'' Baseline'!$C$8:$AD$257,20,FALSE))))</f>
        <v/>
      </c>
      <c r="BC178" s="30" t="str">
        <f>IF(B178="","",VLOOKUP($B178,'F-1 Off-Site WaterC'' Baseline'!$C$9:$AB$257,25,FALSE))</f>
        <v/>
      </c>
      <c r="BD178" s="30" t="str">
        <f t="shared" si="31"/>
        <v/>
      </c>
      <c r="BE178" s="30" t="str">
        <f>IF(B178="","",VLOOKUP($B178,'F-1 Off-Site WaterC'' Baseline'!$C$9:$AB$257,24,FALSE))</f>
        <v/>
      </c>
      <c r="BF178" s="30" t="str">
        <f>IF(B178="","",VLOOKUP($B178,'F-1 Off-Site WaterC'' Baseline'!$C$9:$AB$257,22,FALSE))</f>
        <v/>
      </c>
      <c r="BJ178" s="30" t="str">
        <f t="shared" si="32"/>
        <v>No</v>
      </c>
    </row>
    <row r="179" spans="2:62" ht="13.8" x14ac:dyDescent="0.25">
      <c r="B179" s="311" t="str">
        <f>'F-1 Off-Site WaterC'' Baseline'!AS177</f>
        <v/>
      </c>
      <c r="C179" s="301" t="str">
        <f>IF(B179="","",VLOOKUP($B179,'F-1 Off-Site WaterC'' Baseline'!$C$9:$R$257,2,FALSE))</f>
        <v/>
      </c>
      <c r="D179" s="301" t="str">
        <f>IF(C179="","",VLOOKUP($B179,'F-1 Off-Site WaterC'' Baseline'!$C$9:$R$257,3,FALSE))</f>
        <v/>
      </c>
      <c r="E179" s="301" t="str">
        <f>IF(D179="","",VLOOKUP($B179,'F-1 Off-Site WaterC'' Baseline'!$C$9:$R$257,4,FALSE))</f>
        <v/>
      </c>
      <c r="F179" s="301" t="str">
        <f>IF(E179="","",VLOOKUP($B179,'F-1 Off-Site WaterC'' Baseline'!$C$9:$R$257,5,FALSE))</f>
        <v/>
      </c>
      <c r="G179" s="301" t="str">
        <f>IF(F179="","",VLOOKUP($B179,'F-1 Off-Site WaterC'' Baseline'!$C$9:$R$257,6,FALSE))</f>
        <v/>
      </c>
      <c r="H179" s="301" t="str">
        <f>IF(G179="","",VLOOKUP($B179,'F-1 Off-Site WaterC'' Baseline'!$C$9:$R$257,7,FALSE))</f>
        <v/>
      </c>
      <c r="I179" s="301" t="str">
        <f>IF(H179="","",VLOOKUP($B179,'F-1 Off-Site WaterC'' Baseline'!$C$9:$R$257,8,FALSE))</f>
        <v/>
      </c>
      <c r="J179" s="301" t="str">
        <f>IF(I179="","",VLOOKUP($B179,'F-1 Off-Site WaterC'' Baseline'!$C$9:$R$257,9,FALSE))</f>
        <v/>
      </c>
      <c r="K179" s="301" t="str">
        <f>IF(J179="","",VLOOKUP($B179,'F-1 Off-Site WaterC'' Baseline'!$C$9:$R$257,10,FALSE))</f>
        <v/>
      </c>
      <c r="L179" s="289" t="str">
        <f>IF(B179="","",VLOOKUP($B179,'F-1 Off-Site WaterC'' Baseline'!$C$9:$R$257,15,FALSE))</f>
        <v/>
      </c>
      <c r="M179" s="305" t="str">
        <f>IF(L179="","",VLOOKUP($B179,'F-1 Off-Site WaterC'' Baseline'!$C$9:$V$257,19,FALSE))</f>
        <v/>
      </c>
      <c r="N179" s="250"/>
      <c r="O179" s="281" t="str">
        <f t="shared" si="25"/>
        <v/>
      </c>
      <c r="P179" s="282" t="str">
        <f t="shared" si="26"/>
        <v/>
      </c>
      <c r="Q179" s="287" t="str">
        <f>IF(N179="","",VLOOKUP(B179,'F-1 Off-Site WaterC'' Baseline'!$C$10:$AF$257,23,FALSE))</f>
        <v/>
      </c>
      <c r="R179" s="281" t="str">
        <f>IF(N179="","",VLOOKUP(N179,'G-7 WaterC'' Data'!$B$2:$G$8,2,FALSE))</f>
        <v/>
      </c>
      <c r="S179" s="282" t="str">
        <f>IFERROR(VLOOKUP(R179,'G-7 WaterC'' Data'!$C$4:$D$8,2,FALSE),"")</f>
        <v/>
      </c>
      <c r="T179" s="105"/>
      <c r="U179" s="282" t="str">
        <f>IFERROR(INDEX('G-7 WaterC'' Data'!$H$4:$L$8,MATCH(N179,'G-7 WaterC'' Data'!$B$4:$B$8,0),MATCH(T179,'G-7 WaterC'' Data'!$H$3:$L$3,0)),"")</f>
        <v/>
      </c>
      <c r="V179" s="109"/>
      <c r="W179" s="301" t="str">
        <f>IF(V179="","",IF(VLOOKUP(V179,'G-7 WaterC'' Data'!$AK$4:$AM$6,2,FALSE)=0,"Spatial Data Missing ⚠",VLOOKUP(V179,'G-7 WaterC'' Data'!$AK$4:$AM$6,2,FALSE)))</f>
        <v/>
      </c>
      <c r="X179" s="305" t="str">
        <f>IF(V179="","",IF(VLOOKUP(V179,'G-7 WaterC'' Data'!$AK$4:$AM$6,3,FALSE)=0,"Spatial Data Missing ⚠",VLOOKUP(V179,'G-7 WaterC'' Data'!$AK$4:$AM$6,3,FALSE)))</f>
        <v/>
      </c>
      <c r="Y179" s="317" t="str">
        <f>IFERROR(IF(OR(LEFT(P179,5)="Error",LEFT(O179,5)="Error"),"Check Data ⚠",IF(F179&lt;S179,'G-7 WaterC'' Data'!$R$3,INDEX('G-7 WaterC'' Data'!$U$5:$Y$9,MATCH(G179,'G-7 WaterC'' Data'!$T$5:$T$9,0),MATCH(T179,'G-7 WaterC'' Data'!$U$4:$Y$4,0)))),"")</f>
        <v/>
      </c>
      <c r="Z179" s="142"/>
      <c r="AA179" s="142"/>
      <c r="AB179" s="314" t="str">
        <f t="shared" si="22"/>
        <v/>
      </c>
      <c r="AC179" s="302" t="str">
        <f t="shared" si="27"/>
        <v/>
      </c>
      <c r="AD179" s="340" t="str">
        <f>IFERROR(IF(AC179="Check Data ⚠","Check Data ⚠",VLOOKUP(AC179,'G-4 Temporal multipliers'!$A$4:$C$37,3,FALSE)),"")</f>
        <v/>
      </c>
      <c r="AE179" s="317" t="str">
        <f>IF(N179="","",VLOOKUP(N179,'G-7 WaterC'' Data'!$B$4:$G$8,5,FALSE))</f>
        <v/>
      </c>
      <c r="AF179" s="301" t="str">
        <f t="shared" si="23"/>
        <v/>
      </c>
      <c r="AG179" s="301" t="str">
        <f t="shared" si="28"/>
        <v/>
      </c>
      <c r="AH179" s="282" t="str">
        <f t="shared" si="24"/>
        <v/>
      </c>
      <c r="AI179" s="109"/>
      <c r="AJ179" s="282" t="str">
        <f>IF(AI179="","",(IF(AND(AI179="N/A - Culvert",N179&lt;&gt;"Culvert"),"Not possible ▲",IF(VLOOKUP(AI179,'G-7 WaterC'' Data'!$AA$4:$AB$7,2,FALSE)=0,"Spatial Data Missing ⚠",VLOOKUP(AI179,'G-7 WaterC'' Data'!$AA$4:$AB$7,2,FALSE)))))</f>
        <v/>
      </c>
      <c r="AK179" s="110"/>
      <c r="AL179" s="316" t="str">
        <f>IF(AK179="","",IF(AND(AK179="N/A - Culvert",N179&lt;&gt;"Culvert"),"Not possible ▲",IF(VLOOKUP(AK179,'G-7 WaterC'' Data'!$AD$4:$AE$14,2,FALSE)=0,"Spatial Data Missing ⚠",VLOOKUP(AK179,'G-7 WaterC'' Data'!$AD$4:$AE$14,2,FALSE))))</f>
        <v/>
      </c>
      <c r="AM179" s="281" t="str">
        <f>IF(B179="","",VLOOKUP($B179,'F-1 Off-Site WaterC'' Baseline'!$C$9:$Z$257,17,FALSE))</f>
        <v/>
      </c>
      <c r="AN179" s="282" t="str">
        <f>IF(AM179="","",IF(VLOOKUP(AM179,'G-7 WaterC'' Data'!$AO$4:$BO$7,2,FALSE)=0,"Spatial Data Missing ⚠",VLOOKUP(AM179,'G-7 WaterC'' Data'!$AO$4:$BO$7,2,FALSE)))</f>
        <v/>
      </c>
      <c r="AO179" s="323" t="str">
        <f t="shared" si="29"/>
        <v/>
      </c>
      <c r="AP179" s="323" t="str">
        <f t="shared" si="30"/>
        <v/>
      </c>
      <c r="AQ179" s="105"/>
      <c r="AR179" s="119"/>
      <c r="AS179" s="108"/>
      <c r="AT179" s="108"/>
      <c r="AW179" s="30" t="str">
        <f>IF(E179="","",VLOOKUP($B179,'F-1 Off-Site WaterC'' Baseline'!$C$9:$Z$257,12,FALSE))</f>
        <v/>
      </c>
      <c r="AX179" s="30" t="str">
        <f>IF(E179="","",VLOOKUP($B179,'F-1 Off-Site WaterC'' Baseline'!$C$9:$Z$257,14,FALSE))</f>
        <v/>
      </c>
      <c r="AY179" s="30" t="str">
        <f>IFERROR(INDEX('G-7 WaterC'' Data'!$AZ$3:$AZ$7,MATCH(N179,'G-7 WaterC'' Data'!$AY$3:$AY$7,0)),"")</f>
        <v/>
      </c>
      <c r="AZ179" s="30" t="str">
        <f>IF(B179="","",IF(ISNA(VLOOKUP($B179,'F-1 Off-Site WaterC'' Baseline'!$C$8:$AD$257,20,FALSE)),"",(VLOOKUP($B179,'F-1 Off-Site WaterC'' Baseline'!$C$8:$AD$257,20,FALSE))))</f>
        <v/>
      </c>
      <c r="BC179" s="30" t="str">
        <f>IF(B179="","",VLOOKUP($B179,'F-1 Off-Site WaterC'' Baseline'!$C$9:$AB$257,25,FALSE))</f>
        <v/>
      </c>
      <c r="BD179" s="30" t="str">
        <f t="shared" si="31"/>
        <v/>
      </c>
      <c r="BE179" s="30" t="str">
        <f>IF(B179="","",VLOOKUP($B179,'F-1 Off-Site WaterC'' Baseline'!$C$9:$AB$257,24,FALSE))</f>
        <v/>
      </c>
      <c r="BF179" s="30" t="str">
        <f>IF(B179="","",VLOOKUP($B179,'F-1 Off-Site WaterC'' Baseline'!$C$9:$AB$257,22,FALSE))</f>
        <v/>
      </c>
      <c r="BJ179" s="30" t="str">
        <f t="shared" si="32"/>
        <v>No</v>
      </c>
    </row>
    <row r="180" spans="2:62" ht="13.8" x14ac:dyDescent="0.25">
      <c r="B180" s="311" t="str">
        <f>'F-1 Off-Site WaterC'' Baseline'!AS178</f>
        <v/>
      </c>
      <c r="C180" s="301" t="str">
        <f>IF(B180="","",VLOOKUP($B180,'F-1 Off-Site WaterC'' Baseline'!$C$9:$R$257,2,FALSE))</f>
        <v/>
      </c>
      <c r="D180" s="301" t="str">
        <f>IF(C180="","",VLOOKUP($B180,'F-1 Off-Site WaterC'' Baseline'!$C$9:$R$257,3,FALSE))</f>
        <v/>
      </c>
      <c r="E180" s="301" t="str">
        <f>IF(D180="","",VLOOKUP($B180,'F-1 Off-Site WaterC'' Baseline'!$C$9:$R$257,4,FALSE))</f>
        <v/>
      </c>
      <c r="F180" s="301" t="str">
        <f>IF(E180="","",VLOOKUP($B180,'F-1 Off-Site WaterC'' Baseline'!$C$9:$R$257,5,FALSE))</f>
        <v/>
      </c>
      <c r="G180" s="301" t="str">
        <f>IF(F180="","",VLOOKUP($B180,'F-1 Off-Site WaterC'' Baseline'!$C$9:$R$257,6,FALSE))</f>
        <v/>
      </c>
      <c r="H180" s="301" t="str">
        <f>IF(G180="","",VLOOKUP($B180,'F-1 Off-Site WaterC'' Baseline'!$C$9:$R$257,7,FALSE))</f>
        <v/>
      </c>
      <c r="I180" s="301" t="str">
        <f>IF(H180="","",VLOOKUP($B180,'F-1 Off-Site WaterC'' Baseline'!$C$9:$R$257,8,FALSE))</f>
        <v/>
      </c>
      <c r="J180" s="301" t="str">
        <f>IF(I180="","",VLOOKUP($B180,'F-1 Off-Site WaterC'' Baseline'!$C$9:$R$257,9,FALSE))</f>
        <v/>
      </c>
      <c r="K180" s="301" t="str">
        <f>IF(J180="","",VLOOKUP($B180,'F-1 Off-Site WaterC'' Baseline'!$C$9:$R$257,10,FALSE))</f>
        <v/>
      </c>
      <c r="L180" s="289" t="str">
        <f>IF(B180="","",VLOOKUP($B180,'F-1 Off-Site WaterC'' Baseline'!$C$9:$R$257,15,FALSE))</f>
        <v/>
      </c>
      <c r="M180" s="305" t="str">
        <f>IF(L180="","",VLOOKUP($B180,'F-1 Off-Site WaterC'' Baseline'!$C$9:$V$257,19,FALSE))</f>
        <v/>
      </c>
      <c r="N180" s="250"/>
      <c r="O180" s="281" t="str">
        <f t="shared" si="25"/>
        <v/>
      </c>
      <c r="P180" s="282" t="str">
        <f t="shared" si="26"/>
        <v/>
      </c>
      <c r="Q180" s="287" t="str">
        <f>IF(N180="","",VLOOKUP(B180,'F-1 Off-Site WaterC'' Baseline'!$C$10:$AF$257,23,FALSE))</f>
        <v/>
      </c>
      <c r="R180" s="281" t="str">
        <f>IF(N180="","",VLOOKUP(N180,'G-7 WaterC'' Data'!$B$2:$G$8,2,FALSE))</f>
        <v/>
      </c>
      <c r="S180" s="282" t="str">
        <f>IFERROR(VLOOKUP(R180,'G-7 WaterC'' Data'!$C$4:$D$8,2,FALSE),"")</f>
        <v/>
      </c>
      <c r="T180" s="105"/>
      <c r="U180" s="282" t="str">
        <f>IFERROR(INDEX('G-7 WaterC'' Data'!$H$4:$L$8,MATCH(N180,'G-7 WaterC'' Data'!$B$4:$B$8,0),MATCH(T180,'G-7 WaterC'' Data'!$H$3:$L$3,0)),"")</f>
        <v/>
      </c>
      <c r="V180" s="109"/>
      <c r="W180" s="301" t="str">
        <f>IF(V180="","",IF(VLOOKUP(V180,'G-7 WaterC'' Data'!$AK$4:$AM$6,2,FALSE)=0,"Spatial Data Missing ⚠",VLOOKUP(V180,'G-7 WaterC'' Data'!$AK$4:$AM$6,2,FALSE)))</f>
        <v/>
      </c>
      <c r="X180" s="305" t="str">
        <f>IF(V180="","",IF(VLOOKUP(V180,'G-7 WaterC'' Data'!$AK$4:$AM$6,3,FALSE)=0,"Spatial Data Missing ⚠",VLOOKUP(V180,'G-7 WaterC'' Data'!$AK$4:$AM$6,3,FALSE)))</f>
        <v/>
      </c>
      <c r="Y180" s="317" t="str">
        <f>IFERROR(IF(OR(LEFT(P180,5)="Error",LEFT(O180,5)="Error"),"Check Data ⚠",IF(F180&lt;S180,'G-7 WaterC'' Data'!$R$3,INDEX('G-7 WaterC'' Data'!$U$5:$Y$9,MATCH(G180,'G-7 WaterC'' Data'!$T$5:$T$9,0),MATCH(T180,'G-7 WaterC'' Data'!$U$4:$Y$4,0)))),"")</f>
        <v/>
      </c>
      <c r="Z180" s="142"/>
      <c r="AA180" s="142"/>
      <c r="AB180" s="314" t="str">
        <f t="shared" si="22"/>
        <v/>
      </c>
      <c r="AC180" s="302" t="str">
        <f t="shared" si="27"/>
        <v/>
      </c>
      <c r="AD180" s="340" t="str">
        <f>IFERROR(IF(AC180="Check Data ⚠","Check Data ⚠",VLOOKUP(AC180,'G-4 Temporal multipliers'!$A$4:$C$37,3,FALSE)),"")</f>
        <v/>
      </c>
      <c r="AE180" s="317" t="str">
        <f>IF(N180="","",VLOOKUP(N180,'G-7 WaterC'' Data'!$B$4:$G$8,5,FALSE))</f>
        <v/>
      </c>
      <c r="AF180" s="301" t="str">
        <f t="shared" si="23"/>
        <v/>
      </c>
      <c r="AG180" s="301" t="str">
        <f t="shared" si="28"/>
        <v/>
      </c>
      <c r="AH180" s="282" t="str">
        <f t="shared" si="24"/>
        <v/>
      </c>
      <c r="AI180" s="109"/>
      <c r="AJ180" s="282" t="str">
        <f>IF(AI180="","",(IF(AND(AI180="N/A - Culvert",N180&lt;&gt;"Culvert"),"Not possible ▲",IF(VLOOKUP(AI180,'G-7 WaterC'' Data'!$AA$4:$AB$7,2,FALSE)=0,"Spatial Data Missing ⚠",VLOOKUP(AI180,'G-7 WaterC'' Data'!$AA$4:$AB$7,2,FALSE)))))</f>
        <v/>
      </c>
      <c r="AK180" s="110"/>
      <c r="AL180" s="316" t="str">
        <f>IF(AK180="","",IF(AND(AK180="N/A - Culvert",N180&lt;&gt;"Culvert"),"Not possible ▲",IF(VLOOKUP(AK180,'G-7 WaterC'' Data'!$AD$4:$AE$14,2,FALSE)=0,"Spatial Data Missing ⚠",VLOOKUP(AK180,'G-7 WaterC'' Data'!$AD$4:$AE$14,2,FALSE))))</f>
        <v/>
      </c>
      <c r="AM180" s="281" t="str">
        <f>IF(B180="","",VLOOKUP($B180,'F-1 Off-Site WaterC'' Baseline'!$C$9:$Z$257,17,FALSE))</f>
        <v/>
      </c>
      <c r="AN180" s="282" t="str">
        <f>IF(AM180="","",IF(VLOOKUP(AM180,'G-7 WaterC'' Data'!$AO$4:$BO$7,2,FALSE)=0,"Spatial Data Missing ⚠",VLOOKUP(AM180,'G-7 WaterC'' Data'!$AO$4:$BO$7,2,FALSE)))</f>
        <v/>
      </c>
      <c r="AO180" s="323" t="str">
        <f t="shared" si="29"/>
        <v/>
      </c>
      <c r="AP180" s="323" t="str">
        <f t="shared" si="30"/>
        <v/>
      </c>
      <c r="AQ180" s="105"/>
      <c r="AR180" s="119"/>
      <c r="AS180" s="108"/>
      <c r="AT180" s="108"/>
      <c r="AW180" s="30" t="str">
        <f>IF(E180="","",VLOOKUP($B180,'F-1 Off-Site WaterC'' Baseline'!$C$9:$Z$257,12,FALSE))</f>
        <v/>
      </c>
      <c r="AX180" s="30" t="str">
        <f>IF(E180="","",VLOOKUP($B180,'F-1 Off-Site WaterC'' Baseline'!$C$9:$Z$257,14,FALSE))</f>
        <v/>
      </c>
      <c r="AY180" s="30" t="str">
        <f>IFERROR(INDEX('G-7 WaterC'' Data'!$AZ$3:$AZ$7,MATCH(N180,'G-7 WaterC'' Data'!$AY$3:$AY$7,0)),"")</f>
        <v/>
      </c>
      <c r="AZ180" s="30" t="str">
        <f>IF(B180="","",IF(ISNA(VLOOKUP($B180,'F-1 Off-Site WaterC'' Baseline'!$C$8:$AD$257,20,FALSE)),"",(VLOOKUP($B180,'F-1 Off-Site WaterC'' Baseline'!$C$8:$AD$257,20,FALSE))))</f>
        <v/>
      </c>
      <c r="BC180" s="30" t="str">
        <f>IF(B180="","",VLOOKUP($B180,'F-1 Off-Site WaterC'' Baseline'!$C$9:$AB$257,25,FALSE))</f>
        <v/>
      </c>
      <c r="BD180" s="30" t="str">
        <f t="shared" si="31"/>
        <v/>
      </c>
      <c r="BE180" s="30" t="str">
        <f>IF(B180="","",VLOOKUP($B180,'F-1 Off-Site WaterC'' Baseline'!$C$9:$AB$257,24,FALSE))</f>
        <v/>
      </c>
      <c r="BF180" s="30" t="str">
        <f>IF(B180="","",VLOOKUP($B180,'F-1 Off-Site WaterC'' Baseline'!$C$9:$AB$257,22,FALSE))</f>
        <v/>
      </c>
      <c r="BJ180" s="30" t="str">
        <f t="shared" si="32"/>
        <v>No</v>
      </c>
    </row>
    <row r="181" spans="2:62" ht="13.8" x14ac:dyDescent="0.25">
      <c r="B181" s="311" t="str">
        <f>'F-1 Off-Site WaterC'' Baseline'!AS179</f>
        <v/>
      </c>
      <c r="C181" s="301" t="str">
        <f>IF(B181="","",VLOOKUP($B181,'F-1 Off-Site WaterC'' Baseline'!$C$9:$R$257,2,FALSE))</f>
        <v/>
      </c>
      <c r="D181" s="301" t="str">
        <f>IF(C181="","",VLOOKUP($B181,'F-1 Off-Site WaterC'' Baseline'!$C$9:$R$257,3,FALSE))</f>
        <v/>
      </c>
      <c r="E181" s="301" t="str">
        <f>IF(D181="","",VLOOKUP($B181,'F-1 Off-Site WaterC'' Baseline'!$C$9:$R$257,4,FALSE))</f>
        <v/>
      </c>
      <c r="F181" s="301" t="str">
        <f>IF(E181="","",VLOOKUP($B181,'F-1 Off-Site WaterC'' Baseline'!$C$9:$R$257,5,FALSE))</f>
        <v/>
      </c>
      <c r="G181" s="301" t="str">
        <f>IF(F181="","",VLOOKUP($B181,'F-1 Off-Site WaterC'' Baseline'!$C$9:$R$257,6,FALSE))</f>
        <v/>
      </c>
      <c r="H181" s="301" t="str">
        <f>IF(G181="","",VLOOKUP($B181,'F-1 Off-Site WaterC'' Baseline'!$C$9:$R$257,7,FALSE))</f>
        <v/>
      </c>
      <c r="I181" s="301" t="str">
        <f>IF(H181="","",VLOOKUP($B181,'F-1 Off-Site WaterC'' Baseline'!$C$9:$R$257,8,FALSE))</f>
        <v/>
      </c>
      <c r="J181" s="301" t="str">
        <f>IF(I181="","",VLOOKUP($B181,'F-1 Off-Site WaterC'' Baseline'!$C$9:$R$257,9,FALSE))</f>
        <v/>
      </c>
      <c r="K181" s="301" t="str">
        <f>IF(J181="","",VLOOKUP($B181,'F-1 Off-Site WaterC'' Baseline'!$C$9:$R$257,10,FALSE))</f>
        <v/>
      </c>
      <c r="L181" s="289" t="str">
        <f>IF(B181="","",VLOOKUP($B181,'F-1 Off-Site WaterC'' Baseline'!$C$9:$R$257,15,FALSE))</f>
        <v/>
      </c>
      <c r="M181" s="305" t="str">
        <f>IF(L181="","",VLOOKUP($B181,'F-1 Off-Site WaterC'' Baseline'!$C$9:$V$257,19,FALSE))</f>
        <v/>
      </c>
      <c r="N181" s="250"/>
      <c r="O181" s="281" t="str">
        <f t="shared" si="25"/>
        <v/>
      </c>
      <c r="P181" s="282" t="str">
        <f t="shared" si="26"/>
        <v/>
      </c>
      <c r="Q181" s="287" t="str">
        <f>IF(N181="","",VLOOKUP(B181,'F-1 Off-Site WaterC'' Baseline'!$C$10:$AF$257,23,FALSE))</f>
        <v/>
      </c>
      <c r="R181" s="281" t="str">
        <f>IF(N181="","",VLOOKUP(N181,'G-7 WaterC'' Data'!$B$2:$G$8,2,FALSE))</f>
        <v/>
      </c>
      <c r="S181" s="282" t="str">
        <f>IFERROR(VLOOKUP(R181,'G-7 WaterC'' Data'!$C$4:$D$8,2,FALSE),"")</f>
        <v/>
      </c>
      <c r="T181" s="105"/>
      <c r="U181" s="282" t="str">
        <f>IFERROR(INDEX('G-7 WaterC'' Data'!$H$4:$L$8,MATCH(N181,'G-7 WaterC'' Data'!$B$4:$B$8,0),MATCH(T181,'G-7 WaterC'' Data'!$H$3:$L$3,0)),"")</f>
        <v/>
      </c>
      <c r="V181" s="109"/>
      <c r="W181" s="301" t="str">
        <f>IF(V181="","",IF(VLOOKUP(V181,'G-7 WaterC'' Data'!$AK$4:$AM$6,2,FALSE)=0,"Spatial Data Missing ⚠",VLOOKUP(V181,'G-7 WaterC'' Data'!$AK$4:$AM$6,2,FALSE)))</f>
        <v/>
      </c>
      <c r="X181" s="305" t="str">
        <f>IF(V181="","",IF(VLOOKUP(V181,'G-7 WaterC'' Data'!$AK$4:$AM$6,3,FALSE)=0,"Spatial Data Missing ⚠",VLOOKUP(V181,'G-7 WaterC'' Data'!$AK$4:$AM$6,3,FALSE)))</f>
        <v/>
      </c>
      <c r="Y181" s="317" t="str">
        <f>IFERROR(IF(OR(LEFT(P181,5)="Error",LEFT(O181,5)="Error"),"Check Data ⚠",IF(F181&lt;S181,'G-7 WaterC'' Data'!$R$3,INDEX('G-7 WaterC'' Data'!$U$5:$Y$9,MATCH(G181,'G-7 WaterC'' Data'!$T$5:$T$9,0),MATCH(T181,'G-7 WaterC'' Data'!$U$4:$Y$4,0)))),"")</f>
        <v/>
      </c>
      <c r="Z181" s="142"/>
      <c r="AA181" s="142"/>
      <c r="AB181" s="314" t="str">
        <f t="shared" si="22"/>
        <v/>
      </c>
      <c r="AC181" s="302" t="str">
        <f t="shared" si="27"/>
        <v/>
      </c>
      <c r="AD181" s="340" t="str">
        <f>IFERROR(IF(AC181="Check Data ⚠","Check Data ⚠",VLOOKUP(AC181,'G-4 Temporal multipliers'!$A$4:$C$37,3,FALSE)),"")</f>
        <v/>
      </c>
      <c r="AE181" s="317" t="str">
        <f>IF(N181="","",VLOOKUP(N181,'G-7 WaterC'' Data'!$B$4:$G$8,5,FALSE))</f>
        <v/>
      </c>
      <c r="AF181" s="301" t="str">
        <f t="shared" si="23"/>
        <v/>
      </c>
      <c r="AG181" s="301" t="str">
        <f t="shared" si="28"/>
        <v/>
      </c>
      <c r="AH181" s="282" t="str">
        <f t="shared" si="24"/>
        <v/>
      </c>
      <c r="AI181" s="109"/>
      <c r="AJ181" s="282" t="str">
        <f>IF(AI181="","",(IF(AND(AI181="N/A - Culvert",N181&lt;&gt;"Culvert"),"Not possible ▲",IF(VLOOKUP(AI181,'G-7 WaterC'' Data'!$AA$4:$AB$7,2,FALSE)=0,"Spatial Data Missing ⚠",VLOOKUP(AI181,'G-7 WaterC'' Data'!$AA$4:$AB$7,2,FALSE)))))</f>
        <v/>
      </c>
      <c r="AK181" s="110"/>
      <c r="AL181" s="316" t="str">
        <f>IF(AK181="","",IF(AND(AK181="N/A - Culvert",N181&lt;&gt;"Culvert"),"Not possible ▲",IF(VLOOKUP(AK181,'G-7 WaterC'' Data'!$AD$4:$AE$14,2,FALSE)=0,"Spatial Data Missing ⚠",VLOOKUP(AK181,'G-7 WaterC'' Data'!$AD$4:$AE$14,2,FALSE))))</f>
        <v/>
      </c>
      <c r="AM181" s="281" t="str">
        <f>IF(B181="","",VLOOKUP($B181,'F-1 Off-Site WaterC'' Baseline'!$C$9:$Z$257,17,FALSE))</f>
        <v/>
      </c>
      <c r="AN181" s="282" t="str">
        <f>IF(AM181="","",IF(VLOOKUP(AM181,'G-7 WaterC'' Data'!$AO$4:$BO$7,2,FALSE)=0,"Spatial Data Missing ⚠",VLOOKUP(AM181,'G-7 WaterC'' Data'!$AO$4:$BO$7,2,FALSE)))</f>
        <v/>
      </c>
      <c r="AO181" s="323" t="str">
        <f t="shared" si="29"/>
        <v/>
      </c>
      <c r="AP181" s="323" t="str">
        <f t="shared" si="30"/>
        <v/>
      </c>
      <c r="AQ181" s="105"/>
      <c r="AR181" s="119"/>
      <c r="AS181" s="108"/>
      <c r="AT181" s="108"/>
      <c r="AW181" s="30" t="str">
        <f>IF(E181="","",VLOOKUP($B181,'F-1 Off-Site WaterC'' Baseline'!$C$9:$Z$257,12,FALSE))</f>
        <v/>
      </c>
      <c r="AX181" s="30" t="str">
        <f>IF(E181="","",VLOOKUP($B181,'F-1 Off-Site WaterC'' Baseline'!$C$9:$Z$257,14,FALSE))</f>
        <v/>
      </c>
      <c r="AY181" s="30" t="str">
        <f>IFERROR(INDEX('G-7 WaterC'' Data'!$AZ$3:$AZ$7,MATCH(N181,'G-7 WaterC'' Data'!$AY$3:$AY$7,0)),"")</f>
        <v/>
      </c>
      <c r="AZ181" s="30" t="str">
        <f>IF(B181="","",IF(ISNA(VLOOKUP($B181,'F-1 Off-Site WaterC'' Baseline'!$C$8:$AD$257,20,FALSE)),"",(VLOOKUP($B181,'F-1 Off-Site WaterC'' Baseline'!$C$8:$AD$257,20,FALSE))))</f>
        <v/>
      </c>
      <c r="BC181" s="30" t="str">
        <f>IF(B181="","",VLOOKUP($B181,'F-1 Off-Site WaterC'' Baseline'!$C$9:$AB$257,25,FALSE))</f>
        <v/>
      </c>
      <c r="BD181" s="30" t="str">
        <f t="shared" si="31"/>
        <v/>
      </c>
      <c r="BE181" s="30" t="str">
        <f>IF(B181="","",VLOOKUP($B181,'F-1 Off-Site WaterC'' Baseline'!$C$9:$AB$257,24,FALSE))</f>
        <v/>
      </c>
      <c r="BF181" s="30" t="str">
        <f>IF(B181="","",VLOOKUP($B181,'F-1 Off-Site WaterC'' Baseline'!$C$9:$AB$257,22,FALSE))</f>
        <v/>
      </c>
      <c r="BJ181" s="30" t="str">
        <f t="shared" si="32"/>
        <v>No</v>
      </c>
    </row>
    <row r="182" spans="2:62" ht="13.8" x14ac:dyDescent="0.25">
      <c r="B182" s="311" t="str">
        <f>'F-1 Off-Site WaterC'' Baseline'!AS180</f>
        <v/>
      </c>
      <c r="C182" s="301" t="str">
        <f>IF(B182="","",VLOOKUP($B182,'F-1 Off-Site WaterC'' Baseline'!$C$9:$R$257,2,FALSE))</f>
        <v/>
      </c>
      <c r="D182" s="301" t="str">
        <f>IF(C182="","",VLOOKUP($B182,'F-1 Off-Site WaterC'' Baseline'!$C$9:$R$257,3,FALSE))</f>
        <v/>
      </c>
      <c r="E182" s="301" t="str">
        <f>IF(D182="","",VLOOKUP($B182,'F-1 Off-Site WaterC'' Baseline'!$C$9:$R$257,4,FALSE))</f>
        <v/>
      </c>
      <c r="F182" s="301" t="str">
        <f>IF(E182="","",VLOOKUP($B182,'F-1 Off-Site WaterC'' Baseline'!$C$9:$R$257,5,FALSE))</f>
        <v/>
      </c>
      <c r="G182" s="301" t="str">
        <f>IF(F182="","",VLOOKUP($B182,'F-1 Off-Site WaterC'' Baseline'!$C$9:$R$257,6,FALSE))</f>
        <v/>
      </c>
      <c r="H182" s="301" t="str">
        <f>IF(G182="","",VLOOKUP($B182,'F-1 Off-Site WaterC'' Baseline'!$C$9:$R$257,7,FALSE))</f>
        <v/>
      </c>
      <c r="I182" s="301" t="str">
        <f>IF(H182="","",VLOOKUP($B182,'F-1 Off-Site WaterC'' Baseline'!$C$9:$R$257,8,FALSE))</f>
        <v/>
      </c>
      <c r="J182" s="301" t="str">
        <f>IF(I182="","",VLOOKUP($B182,'F-1 Off-Site WaterC'' Baseline'!$C$9:$R$257,9,FALSE))</f>
        <v/>
      </c>
      <c r="K182" s="301" t="str">
        <f>IF(J182="","",VLOOKUP($B182,'F-1 Off-Site WaterC'' Baseline'!$C$9:$R$257,10,FALSE))</f>
        <v/>
      </c>
      <c r="L182" s="289" t="str">
        <f>IF(B182="","",VLOOKUP($B182,'F-1 Off-Site WaterC'' Baseline'!$C$9:$R$257,15,FALSE))</f>
        <v/>
      </c>
      <c r="M182" s="305" t="str">
        <f>IF(L182="","",VLOOKUP($B182,'F-1 Off-Site WaterC'' Baseline'!$C$9:$V$257,19,FALSE))</f>
        <v/>
      </c>
      <c r="N182" s="250"/>
      <c r="O182" s="281" t="str">
        <f t="shared" si="25"/>
        <v/>
      </c>
      <c r="P182" s="282" t="str">
        <f t="shared" si="26"/>
        <v/>
      </c>
      <c r="Q182" s="287" t="str">
        <f>IF(N182="","",VLOOKUP(B182,'F-1 Off-Site WaterC'' Baseline'!$C$10:$AF$257,23,FALSE))</f>
        <v/>
      </c>
      <c r="R182" s="281" t="str">
        <f>IF(N182="","",VLOOKUP(N182,'G-7 WaterC'' Data'!$B$2:$G$8,2,FALSE))</f>
        <v/>
      </c>
      <c r="S182" s="282" t="str">
        <f>IFERROR(VLOOKUP(R182,'G-7 WaterC'' Data'!$C$4:$D$8,2,FALSE),"")</f>
        <v/>
      </c>
      <c r="T182" s="105"/>
      <c r="U182" s="282" t="str">
        <f>IFERROR(INDEX('G-7 WaterC'' Data'!$H$4:$L$8,MATCH(N182,'G-7 WaterC'' Data'!$B$4:$B$8,0),MATCH(T182,'G-7 WaterC'' Data'!$H$3:$L$3,0)),"")</f>
        <v/>
      </c>
      <c r="V182" s="109"/>
      <c r="W182" s="301" t="str">
        <f>IF(V182="","",IF(VLOOKUP(V182,'G-7 WaterC'' Data'!$AK$4:$AM$6,2,FALSE)=0,"Spatial Data Missing ⚠",VLOOKUP(V182,'G-7 WaterC'' Data'!$AK$4:$AM$6,2,FALSE)))</f>
        <v/>
      </c>
      <c r="X182" s="305" t="str">
        <f>IF(V182="","",IF(VLOOKUP(V182,'G-7 WaterC'' Data'!$AK$4:$AM$6,3,FALSE)=0,"Spatial Data Missing ⚠",VLOOKUP(V182,'G-7 WaterC'' Data'!$AK$4:$AM$6,3,FALSE)))</f>
        <v/>
      </c>
      <c r="Y182" s="317" t="str">
        <f>IFERROR(IF(OR(LEFT(P182,5)="Error",LEFT(O182,5)="Error"),"Check Data ⚠",IF(F182&lt;S182,'G-7 WaterC'' Data'!$R$3,INDEX('G-7 WaterC'' Data'!$U$5:$Y$9,MATCH(G182,'G-7 WaterC'' Data'!$T$5:$T$9,0),MATCH(T182,'G-7 WaterC'' Data'!$U$4:$Y$4,0)))),"")</f>
        <v/>
      </c>
      <c r="Z182" s="142"/>
      <c r="AA182" s="142"/>
      <c r="AB182" s="314" t="str">
        <f t="shared" si="22"/>
        <v/>
      </c>
      <c r="AC182" s="302" t="str">
        <f t="shared" si="27"/>
        <v/>
      </c>
      <c r="AD182" s="340" t="str">
        <f>IFERROR(IF(AC182="Check Data ⚠","Check Data ⚠",VLOOKUP(AC182,'G-4 Temporal multipliers'!$A$4:$C$37,3,FALSE)),"")</f>
        <v/>
      </c>
      <c r="AE182" s="317" t="str">
        <f>IF(N182="","",VLOOKUP(N182,'G-7 WaterC'' Data'!$B$4:$G$8,5,FALSE))</f>
        <v/>
      </c>
      <c r="AF182" s="301" t="str">
        <f t="shared" si="23"/>
        <v/>
      </c>
      <c r="AG182" s="301" t="str">
        <f t="shared" si="28"/>
        <v/>
      </c>
      <c r="AH182" s="282" t="str">
        <f t="shared" si="24"/>
        <v/>
      </c>
      <c r="AI182" s="109"/>
      <c r="AJ182" s="282" t="str">
        <f>IF(AI182="","",(IF(AND(AI182="N/A - Culvert",N182&lt;&gt;"Culvert"),"Not possible ▲",IF(VLOOKUP(AI182,'G-7 WaterC'' Data'!$AA$4:$AB$7,2,FALSE)=0,"Spatial Data Missing ⚠",VLOOKUP(AI182,'G-7 WaterC'' Data'!$AA$4:$AB$7,2,FALSE)))))</f>
        <v/>
      </c>
      <c r="AK182" s="110"/>
      <c r="AL182" s="316" t="str">
        <f>IF(AK182="","",IF(AND(AK182="N/A - Culvert",N182&lt;&gt;"Culvert"),"Not possible ▲",IF(VLOOKUP(AK182,'G-7 WaterC'' Data'!$AD$4:$AE$14,2,FALSE)=0,"Spatial Data Missing ⚠",VLOOKUP(AK182,'G-7 WaterC'' Data'!$AD$4:$AE$14,2,FALSE))))</f>
        <v/>
      </c>
      <c r="AM182" s="281" t="str">
        <f>IF(B182="","",VLOOKUP($B182,'F-1 Off-Site WaterC'' Baseline'!$C$9:$Z$257,17,FALSE))</f>
        <v/>
      </c>
      <c r="AN182" s="282" t="str">
        <f>IF(AM182="","",IF(VLOOKUP(AM182,'G-7 WaterC'' Data'!$AO$4:$BO$7,2,FALSE)=0,"Spatial Data Missing ⚠",VLOOKUP(AM182,'G-7 WaterC'' Data'!$AO$4:$BO$7,2,FALSE)))</f>
        <v/>
      </c>
      <c r="AO182" s="323" t="str">
        <f t="shared" si="29"/>
        <v/>
      </c>
      <c r="AP182" s="323" t="str">
        <f t="shared" si="30"/>
        <v/>
      </c>
      <c r="AQ182" s="105"/>
      <c r="AR182" s="119"/>
      <c r="AS182" s="108"/>
      <c r="AT182" s="108"/>
      <c r="AW182" s="30" t="str">
        <f>IF(E182="","",VLOOKUP($B182,'F-1 Off-Site WaterC'' Baseline'!$C$9:$Z$257,12,FALSE))</f>
        <v/>
      </c>
      <c r="AX182" s="30" t="str">
        <f>IF(E182="","",VLOOKUP($B182,'F-1 Off-Site WaterC'' Baseline'!$C$9:$Z$257,14,FALSE))</f>
        <v/>
      </c>
      <c r="AY182" s="30" t="str">
        <f>IFERROR(INDEX('G-7 WaterC'' Data'!$AZ$3:$AZ$7,MATCH(N182,'G-7 WaterC'' Data'!$AY$3:$AY$7,0)),"")</f>
        <v/>
      </c>
      <c r="AZ182" s="30" t="str">
        <f>IF(B182="","",IF(ISNA(VLOOKUP($B182,'F-1 Off-Site WaterC'' Baseline'!$C$8:$AD$257,20,FALSE)),"",(VLOOKUP($B182,'F-1 Off-Site WaterC'' Baseline'!$C$8:$AD$257,20,FALSE))))</f>
        <v/>
      </c>
      <c r="BC182" s="30" t="str">
        <f>IF(B182="","",VLOOKUP($B182,'F-1 Off-Site WaterC'' Baseline'!$C$9:$AB$257,25,FALSE))</f>
        <v/>
      </c>
      <c r="BD182" s="30" t="str">
        <f t="shared" si="31"/>
        <v/>
      </c>
      <c r="BE182" s="30" t="str">
        <f>IF(B182="","",VLOOKUP($B182,'F-1 Off-Site WaterC'' Baseline'!$C$9:$AB$257,24,FALSE))</f>
        <v/>
      </c>
      <c r="BF182" s="30" t="str">
        <f>IF(B182="","",VLOOKUP($B182,'F-1 Off-Site WaterC'' Baseline'!$C$9:$AB$257,22,FALSE))</f>
        <v/>
      </c>
      <c r="BJ182" s="30" t="str">
        <f t="shared" si="32"/>
        <v>No</v>
      </c>
    </row>
    <row r="183" spans="2:62" ht="13.8" x14ac:dyDescent="0.25">
      <c r="B183" s="311" t="str">
        <f>'F-1 Off-Site WaterC'' Baseline'!AS181</f>
        <v/>
      </c>
      <c r="C183" s="301" t="str">
        <f>IF(B183="","",VLOOKUP($B183,'F-1 Off-Site WaterC'' Baseline'!$C$9:$R$257,2,FALSE))</f>
        <v/>
      </c>
      <c r="D183" s="301" t="str">
        <f>IF(C183="","",VLOOKUP($B183,'F-1 Off-Site WaterC'' Baseline'!$C$9:$R$257,3,FALSE))</f>
        <v/>
      </c>
      <c r="E183" s="301" t="str">
        <f>IF(D183="","",VLOOKUP($B183,'F-1 Off-Site WaterC'' Baseline'!$C$9:$R$257,4,FALSE))</f>
        <v/>
      </c>
      <c r="F183" s="301" t="str">
        <f>IF(E183="","",VLOOKUP($B183,'F-1 Off-Site WaterC'' Baseline'!$C$9:$R$257,5,FALSE))</f>
        <v/>
      </c>
      <c r="G183" s="301" t="str">
        <f>IF(F183="","",VLOOKUP($B183,'F-1 Off-Site WaterC'' Baseline'!$C$9:$R$257,6,FALSE))</f>
        <v/>
      </c>
      <c r="H183" s="301" t="str">
        <f>IF(G183="","",VLOOKUP($B183,'F-1 Off-Site WaterC'' Baseline'!$C$9:$R$257,7,FALSE))</f>
        <v/>
      </c>
      <c r="I183" s="301" t="str">
        <f>IF(H183="","",VLOOKUP($B183,'F-1 Off-Site WaterC'' Baseline'!$C$9:$R$257,8,FALSE))</f>
        <v/>
      </c>
      <c r="J183" s="301" t="str">
        <f>IF(I183="","",VLOOKUP($B183,'F-1 Off-Site WaterC'' Baseline'!$C$9:$R$257,9,FALSE))</f>
        <v/>
      </c>
      <c r="K183" s="301" t="str">
        <f>IF(J183="","",VLOOKUP($B183,'F-1 Off-Site WaterC'' Baseline'!$C$9:$R$257,10,FALSE))</f>
        <v/>
      </c>
      <c r="L183" s="289" t="str">
        <f>IF(B183="","",VLOOKUP($B183,'F-1 Off-Site WaterC'' Baseline'!$C$9:$R$257,15,FALSE))</f>
        <v/>
      </c>
      <c r="M183" s="305" t="str">
        <f>IF(L183="","",VLOOKUP($B183,'F-1 Off-Site WaterC'' Baseline'!$C$9:$V$257,19,FALSE))</f>
        <v/>
      </c>
      <c r="N183" s="250"/>
      <c r="O183" s="281" t="str">
        <f t="shared" si="25"/>
        <v/>
      </c>
      <c r="P183" s="282" t="str">
        <f t="shared" si="26"/>
        <v/>
      </c>
      <c r="Q183" s="287" t="str">
        <f>IF(N183="","",VLOOKUP(B183,'F-1 Off-Site WaterC'' Baseline'!$C$10:$AF$257,23,FALSE))</f>
        <v/>
      </c>
      <c r="R183" s="281" t="str">
        <f>IF(N183="","",VLOOKUP(N183,'G-7 WaterC'' Data'!$B$2:$G$8,2,FALSE))</f>
        <v/>
      </c>
      <c r="S183" s="282" t="str">
        <f>IFERROR(VLOOKUP(R183,'G-7 WaterC'' Data'!$C$4:$D$8,2,FALSE),"")</f>
        <v/>
      </c>
      <c r="T183" s="105"/>
      <c r="U183" s="282" t="str">
        <f>IFERROR(INDEX('G-7 WaterC'' Data'!$H$4:$L$8,MATCH(N183,'G-7 WaterC'' Data'!$B$4:$B$8,0),MATCH(T183,'G-7 WaterC'' Data'!$H$3:$L$3,0)),"")</f>
        <v/>
      </c>
      <c r="V183" s="109"/>
      <c r="W183" s="301" t="str">
        <f>IF(V183="","",IF(VLOOKUP(V183,'G-7 WaterC'' Data'!$AK$4:$AM$6,2,FALSE)=0,"Spatial Data Missing ⚠",VLOOKUP(V183,'G-7 WaterC'' Data'!$AK$4:$AM$6,2,FALSE)))</f>
        <v/>
      </c>
      <c r="X183" s="305" t="str">
        <f>IF(V183="","",IF(VLOOKUP(V183,'G-7 WaterC'' Data'!$AK$4:$AM$6,3,FALSE)=0,"Spatial Data Missing ⚠",VLOOKUP(V183,'G-7 WaterC'' Data'!$AK$4:$AM$6,3,FALSE)))</f>
        <v/>
      </c>
      <c r="Y183" s="317" t="str">
        <f>IFERROR(IF(OR(LEFT(P183,5)="Error",LEFT(O183,5)="Error"),"Check Data ⚠",IF(F183&lt;S183,'G-7 WaterC'' Data'!$R$3,INDEX('G-7 WaterC'' Data'!$U$5:$Y$9,MATCH(G183,'G-7 WaterC'' Data'!$T$5:$T$9,0),MATCH(T183,'G-7 WaterC'' Data'!$U$4:$Y$4,0)))),"")</f>
        <v/>
      </c>
      <c r="Z183" s="142"/>
      <c r="AA183" s="142"/>
      <c r="AB183" s="314" t="str">
        <f t="shared" si="22"/>
        <v/>
      </c>
      <c r="AC183" s="302" t="str">
        <f t="shared" si="27"/>
        <v/>
      </c>
      <c r="AD183" s="340" t="str">
        <f>IFERROR(IF(AC183="Check Data ⚠","Check Data ⚠",VLOOKUP(AC183,'G-4 Temporal multipliers'!$A$4:$C$37,3,FALSE)),"")</f>
        <v/>
      </c>
      <c r="AE183" s="317" t="str">
        <f>IF(N183="","",VLOOKUP(N183,'G-7 WaterC'' Data'!$B$4:$G$8,5,FALSE))</f>
        <v/>
      </c>
      <c r="AF183" s="301" t="str">
        <f t="shared" si="23"/>
        <v/>
      </c>
      <c r="AG183" s="301" t="str">
        <f t="shared" si="28"/>
        <v/>
      </c>
      <c r="AH183" s="282" t="str">
        <f t="shared" si="24"/>
        <v/>
      </c>
      <c r="AI183" s="109"/>
      <c r="AJ183" s="282" t="str">
        <f>IF(AI183="","",(IF(AND(AI183="N/A - Culvert",N183&lt;&gt;"Culvert"),"Not possible ▲",IF(VLOOKUP(AI183,'G-7 WaterC'' Data'!$AA$4:$AB$7,2,FALSE)=0,"Spatial Data Missing ⚠",VLOOKUP(AI183,'G-7 WaterC'' Data'!$AA$4:$AB$7,2,FALSE)))))</f>
        <v/>
      </c>
      <c r="AK183" s="110"/>
      <c r="AL183" s="316" t="str">
        <f>IF(AK183="","",IF(AND(AK183="N/A - Culvert",N183&lt;&gt;"Culvert"),"Not possible ▲",IF(VLOOKUP(AK183,'G-7 WaterC'' Data'!$AD$4:$AE$14,2,FALSE)=0,"Spatial Data Missing ⚠",VLOOKUP(AK183,'G-7 WaterC'' Data'!$AD$4:$AE$14,2,FALSE))))</f>
        <v/>
      </c>
      <c r="AM183" s="281" t="str">
        <f>IF(B183="","",VLOOKUP($B183,'F-1 Off-Site WaterC'' Baseline'!$C$9:$Z$257,17,FALSE))</f>
        <v/>
      </c>
      <c r="AN183" s="282" t="str">
        <f>IF(AM183="","",IF(VLOOKUP(AM183,'G-7 WaterC'' Data'!$AO$4:$BO$7,2,FALSE)=0,"Spatial Data Missing ⚠",VLOOKUP(AM183,'G-7 WaterC'' Data'!$AO$4:$BO$7,2,FALSE)))</f>
        <v/>
      </c>
      <c r="AO183" s="323" t="str">
        <f t="shared" si="29"/>
        <v/>
      </c>
      <c r="AP183" s="323" t="str">
        <f t="shared" si="30"/>
        <v/>
      </c>
      <c r="AQ183" s="105"/>
      <c r="AR183" s="119"/>
      <c r="AS183" s="108"/>
      <c r="AT183" s="108"/>
      <c r="AW183" s="30" t="str">
        <f>IF(E183="","",VLOOKUP($B183,'F-1 Off-Site WaterC'' Baseline'!$C$9:$Z$257,12,FALSE))</f>
        <v/>
      </c>
      <c r="AX183" s="30" t="str">
        <f>IF(E183="","",VLOOKUP($B183,'F-1 Off-Site WaterC'' Baseline'!$C$9:$Z$257,14,FALSE))</f>
        <v/>
      </c>
      <c r="AY183" s="30" t="str">
        <f>IFERROR(INDEX('G-7 WaterC'' Data'!$AZ$3:$AZ$7,MATCH(N183,'G-7 WaterC'' Data'!$AY$3:$AY$7,0)),"")</f>
        <v/>
      </c>
      <c r="AZ183" s="30" t="str">
        <f>IF(B183="","",IF(ISNA(VLOOKUP($B183,'F-1 Off-Site WaterC'' Baseline'!$C$8:$AD$257,20,FALSE)),"",(VLOOKUP($B183,'F-1 Off-Site WaterC'' Baseline'!$C$8:$AD$257,20,FALSE))))</f>
        <v/>
      </c>
      <c r="BC183" s="30" t="str">
        <f>IF(B183="","",VLOOKUP($B183,'F-1 Off-Site WaterC'' Baseline'!$C$9:$AB$257,25,FALSE))</f>
        <v/>
      </c>
      <c r="BD183" s="30" t="str">
        <f t="shared" si="31"/>
        <v/>
      </c>
      <c r="BE183" s="30" t="str">
        <f>IF(B183="","",VLOOKUP($B183,'F-1 Off-Site WaterC'' Baseline'!$C$9:$AB$257,24,FALSE))</f>
        <v/>
      </c>
      <c r="BF183" s="30" t="str">
        <f>IF(B183="","",VLOOKUP($B183,'F-1 Off-Site WaterC'' Baseline'!$C$9:$AB$257,22,FALSE))</f>
        <v/>
      </c>
      <c r="BJ183" s="30" t="str">
        <f t="shared" si="32"/>
        <v>No</v>
      </c>
    </row>
    <row r="184" spans="2:62" ht="13.8" x14ac:dyDescent="0.25">
      <c r="B184" s="311" t="str">
        <f>'F-1 Off-Site WaterC'' Baseline'!AS182</f>
        <v/>
      </c>
      <c r="C184" s="301" t="str">
        <f>IF(B184="","",VLOOKUP($B184,'F-1 Off-Site WaterC'' Baseline'!$C$9:$R$257,2,FALSE))</f>
        <v/>
      </c>
      <c r="D184" s="301" t="str">
        <f>IF(C184="","",VLOOKUP($B184,'F-1 Off-Site WaterC'' Baseline'!$C$9:$R$257,3,FALSE))</f>
        <v/>
      </c>
      <c r="E184" s="301" t="str">
        <f>IF(D184="","",VLOOKUP($B184,'F-1 Off-Site WaterC'' Baseline'!$C$9:$R$257,4,FALSE))</f>
        <v/>
      </c>
      <c r="F184" s="301" t="str">
        <f>IF(E184="","",VLOOKUP($B184,'F-1 Off-Site WaterC'' Baseline'!$C$9:$R$257,5,FALSE))</f>
        <v/>
      </c>
      <c r="G184" s="301" t="str">
        <f>IF(F184="","",VLOOKUP($B184,'F-1 Off-Site WaterC'' Baseline'!$C$9:$R$257,6,FALSE))</f>
        <v/>
      </c>
      <c r="H184" s="301" t="str">
        <f>IF(G184="","",VLOOKUP($B184,'F-1 Off-Site WaterC'' Baseline'!$C$9:$R$257,7,FALSE))</f>
        <v/>
      </c>
      <c r="I184" s="301" t="str">
        <f>IF(H184="","",VLOOKUP($B184,'F-1 Off-Site WaterC'' Baseline'!$C$9:$R$257,8,FALSE))</f>
        <v/>
      </c>
      <c r="J184" s="301" t="str">
        <f>IF(I184="","",VLOOKUP($B184,'F-1 Off-Site WaterC'' Baseline'!$C$9:$R$257,9,FALSE))</f>
        <v/>
      </c>
      <c r="K184" s="301" t="str">
        <f>IF(J184="","",VLOOKUP($B184,'F-1 Off-Site WaterC'' Baseline'!$C$9:$R$257,10,FALSE))</f>
        <v/>
      </c>
      <c r="L184" s="289" t="str">
        <f>IF(B184="","",VLOOKUP($B184,'F-1 Off-Site WaterC'' Baseline'!$C$9:$R$257,15,FALSE))</f>
        <v/>
      </c>
      <c r="M184" s="305" t="str">
        <f>IF(L184="","",VLOOKUP($B184,'F-1 Off-Site WaterC'' Baseline'!$C$9:$V$257,19,FALSE))</f>
        <v/>
      </c>
      <c r="N184" s="250"/>
      <c r="O184" s="281" t="str">
        <f t="shared" si="25"/>
        <v/>
      </c>
      <c r="P184" s="282" t="str">
        <f t="shared" si="26"/>
        <v/>
      </c>
      <c r="Q184" s="287" t="str">
        <f>IF(N184="","",VLOOKUP(B184,'F-1 Off-Site WaterC'' Baseline'!$C$10:$AF$257,23,FALSE))</f>
        <v/>
      </c>
      <c r="R184" s="281" t="str">
        <f>IF(N184="","",VLOOKUP(N184,'G-7 WaterC'' Data'!$B$2:$G$8,2,FALSE))</f>
        <v/>
      </c>
      <c r="S184" s="282" t="str">
        <f>IFERROR(VLOOKUP(R184,'G-7 WaterC'' Data'!$C$4:$D$8,2,FALSE),"")</f>
        <v/>
      </c>
      <c r="T184" s="105"/>
      <c r="U184" s="282" t="str">
        <f>IFERROR(INDEX('G-7 WaterC'' Data'!$H$4:$L$8,MATCH(N184,'G-7 WaterC'' Data'!$B$4:$B$8,0),MATCH(T184,'G-7 WaterC'' Data'!$H$3:$L$3,0)),"")</f>
        <v/>
      </c>
      <c r="V184" s="109"/>
      <c r="W184" s="301" t="str">
        <f>IF(V184="","",IF(VLOOKUP(V184,'G-7 WaterC'' Data'!$AK$4:$AM$6,2,FALSE)=0,"Spatial Data Missing ⚠",VLOOKUP(V184,'G-7 WaterC'' Data'!$AK$4:$AM$6,2,FALSE)))</f>
        <v/>
      </c>
      <c r="X184" s="305" t="str">
        <f>IF(V184="","",IF(VLOOKUP(V184,'G-7 WaterC'' Data'!$AK$4:$AM$6,3,FALSE)=0,"Spatial Data Missing ⚠",VLOOKUP(V184,'G-7 WaterC'' Data'!$AK$4:$AM$6,3,FALSE)))</f>
        <v/>
      </c>
      <c r="Y184" s="317" t="str">
        <f>IFERROR(IF(OR(LEFT(P184,5)="Error",LEFT(O184,5)="Error"),"Check Data ⚠",IF(F184&lt;S184,'G-7 WaterC'' Data'!$R$3,INDEX('G-7 WaterC'' Data'!$U$5:$Y$9,MATCH(G184,'G-7 WaterC'' Data'!$T$5:$T$9,0),MATCH(T184,'G-7 WaterC'' Data'!$U$4:$Y$4,0)))),"")</f>
        <v/>
      </c>
      <c r="Z184" s="142"/>
      <c r="AA184" s="142"/>
      <c r="AB184" s="314" t="str">
        <f t="shared" si="22"/>
        <v/>
      </c>
      <c r="AC184" s="302" t="str">
        <f t="shared" si="27"/>
        <v/>
      </c>
      <c r="AD184" s="340" t="str">
        <f>IFERROR(IF(AC184="Check Data ⚠","Check Data ⚠",VLOOKUP(AC184,'G-4 Temporal multipliers'!$A$4:$C$37,3,FALSE)),"")</f>
        <v/>
      </c>
      <c r="AE184" s="317" t="str">
        <f>IF(N184="","",VLOOKUP(N184,'G-7 WaterC'' Data'!$B$4:$G$8,5,FALSE))</f>
        <v/>
      </c>
      <c r="AF184" s="301" t="str">
        <f t="shared" si="23"/>
        <v/>
      </c>
      <c r="AG184" s="301" t="str">
        <f t="shared" si="28"/>
        <v/>
      </c>
      <c r="AH184" s="282" t="str">
        <f t="shared" si="24"/>
        <v/>
      </c>
      <c r="AI184" s="109"/>
      <c r="AJ184" s="282" t="str">
        <f>IF(AI184="","",(IF(AND(AI184="N/A - Culvert",N184&lt;&gt;"Culvert"),"Not possible ▲",IF(VLOOKUP(AI184,'G-7 WaterC'' Data'!$AA$4:$AB$7,2,FALSE)=0,"Spatial Data Missing ⚠",VLOOKUP(AI184,'G-7 WaterC'' Data'!$AA$4:$AB$7,2,FALSE)))))</f>
        <v/>
      </c>
      <c r="AK184" s="110"/>
      <c r="AL184" s="316" t="str">
        <f>IF(AK184="","",IF(AND(AK184="N/A - Culvert",N184&lt;&gt;"Culvert"),"Not possible ▲",IF(VLOOKUP(AK184,'G-7 WaterC'' Data'!$AD$4:$AE$14,2,FALSE)=0,"Spatial Data Missing ⚠",VLOOKUP(AK184,'G-7 WaterC'' Data'!$AD$4:$AE$14,2,FALSE))))</f>
        <v/>
      </c>
      <c r="AM184" s="281" t="str">
        <f>IF(B184="","",VLOOKUP($B184,'F-1 Off-Site WaterC'' Baseline'!$C$9:$Z$257,17,FALSE))</f>
        <v/>
      </c>
      <c r="AN184" s="282" t="str">
        <f>IF(AM184="","",IF(VLOOKUP(AM184,'G-7 WaterC'' Data'!$AO$4:$BO$7,2,FALSE)=0,"Spatial Data Missing ⚠",VLOOKUP(AM184,'G-7 WaterC'' Data'!$AO$4:$BO$7,2,FALSE)))</f>
        <v/>
      </c>
      <c r="AO184" s="323" t="str">
        <f t="shared" si="29"/>
        <v/>
      </c>
      <c r="AP184" s="323" t="str">
        <f t="shared" si="30"/>
        <v/>
      </c>
      <c r="AQ184" s="105"/>
      <c r="AR184" s="119"/>
      <c r="AS184" s="108"/>
      <c r="AT184" s="108"/>
      <c r="AW184" s="30" t="str">
        <f>IF(E184="","",VLOOKUP($B184,'F-1 Off-Site WaterC'' Baseline'!$C$9:$Z$257,12,FALSE))</f>
        <v/>
      </c>
      <c r="AX184" s="30" t="str">
        <f>IF(E184="","",VLOOKUP($B184,'F-1 Off-Site WaterC'' Baseline'!$C$9:$Z$257,14,FALSE))</f>
        <v/>
      </c>
      <c r="AY184" s="30" t="str">
        <f>IFERROR(INDEX('G-7 WaterC'' Data'!$AZ$3:$AZ$7,MATCH(N184,'G-7 WaterC'' Data'!$AY$3:$AY$7,0)),"")</f>
        <v/>
      </c>
      <c r="AZ184" s="30" t="str">
        <f>IF(B184="","",IF(ISNA(VLOOKUP($B184,'F-1 Off-Site WaterC'' Baseline'!$C$8:$AD$257,20,FALSE)),"",(VLOOKUP($B184,'F-1 Off-Site WaterC'' Baseline'!$C$8:$AD$257,20,FALSE))))</f>
        <v/>
      </c>
      <c r="BC184" s="30" t="str">
        <f>IF(B184="","",VLOOKUP($B184,'F-1 Off-Site WaterC'' Baseline'!$C$9:$AB$257,25,FALSE))</f>
        <v/>
      </c>
      <c r="BD184" s="30" t="str">
        <f t="shared" si="31"/>
        <v/>
      </c>
      <c r="BE184" s="30" t="str">
        <f>IF(B184="","",VLOOKUP($B184,'F-1 Off-Site WaterC'' Baseline'!$C$9:$AB$257,24,FALSE))</f>
        <v/>
      </c>
      <c r="BF184" s="30" t="str">
        <f>IF(B184="","",VLOOKUP($B184,'F-1 Off-Site WaterC'' Baseline'!$C$9:$AB$257,22,FALSE))</f>
        <v/>
      </c>
      <c r="BJ184" s="30" t="str">
        <f t="shared" si="32"/>
        <v>No</v>
      </c>
    </row>
    <row r="185" spans="2:62" ht="13.8" x14ac:dyDescent="0.25">
      <c r="B185" s="311" t="str">
        <f>'F-1 Off-Site WaterC'' Baseline'!AS183</f>
        <v/>
      </c>
      <c r="C185" s="301" t="str">
        <f>IF(B185="","",VLOOKUP($B185,'F-1 Off-Site WaterC'' Baseline'!$C$9:$R$257,2,FALSE))</f>
        <v/>
      </c>
      <c r="D185" s="301" t="str">
        <f>IF(C185="","",VLOOKUP($B185,'F-1 Off-Site WaterC'' Baseline'!$C$9:$R$257,3,FALSE))</f>
        <v/>
      </c>
      <c r="E185" s="301" t="str">
        <f>IF(D185="","",VLOOKUP($B185,'F-1 Off-Site WaterC'' Baseline'!$C$9:$R$257,4,FALSE))</f>
        <v/>
      </c>
      <c r="F185" s="301" t="str">
        <f>IF(E185="","",VLOOKUP($B185,'F-1 Off-Site WaterC'' Baseline'!$C$9:$R$257,5,FALSE))</f>
        <v/>
      </c>
      <c r="G185" s="301" t="str">
        <f>IF(F185="","",VLOOKUP($B185,'F-1 Off-Site WaterC'' Baseline'!$C$9:$R$257,6,FALSE))</f>
        <v/>
      </c>
      <c r="H185" s="301" t="str">
        <f>IF(G185="","",VLOOKUP($B185,'F-1 Off-Site WaterC'' Baseline'!$C$9:$R$257,7,FALSE))</f>
        <v/>
      </c>
      <c r="I185" s="301" t="str">
        <f>IF(H185="","",VLOOKUP($B185,'F-1 Off-Site WaterC'' Baseline'!$C$9:$R$257,8,FALSE))</f>
        <v/>
      </c>
      <c r="J185" s="301" t="str">
        <f>IF(I185="","",VLOOKUP($B185,'F-1 Off-Site WaterC'' Baseline'!$C$9:$R$257,9,FALSE))</f>
        <v/>
      </c>
      <c r="K185" s="301" t="str">
        <f>IF(J185="","",VLOOKUP($B185,'F-1 Off-Site WaterC'' Baseline'!$C$9:$R$257,10,FALSE))</f>
        <v/>
      </c>
      <c r="L185" s="289" t="str">
        <f>IF(B185="","",VLOOKUP($B185,'F-1 Off-Site WaterC'' Baseline'!$C$9:$R$257,15,FALSE))</f>
        <v/>
      </c>
      <c r="M185" s="305" t="str">
        <f>IF(L185="","",VLOOKUP($B185,'F-1 Off-Site WaterC'' Baseline'!$C$9:$V$257,19,FALSE))</f>
        <v/>
      </c>
      <c r="N185" s="250"/>
      <c r="O185" s="281" t="str">
        <f t="shared" si="25"/>
        <v/>
      </c>
      <c r="P185" s="282" t="str">
        <f t="shared" si="26"/>
        <v/>
      </c>
      <c r="Q185" s="287" t="str">
        <f>IF(N185="","",VLOOKUP(B185,'F-1 Off-Site WaterC'' Baseline'!$C$10:$AF$257,23,FALSE))</f>
        <v/>
      </c>
      <c r="R185" s="281" t="str">
        <f>IF(N185="","",VLOOKUP(N185,'G-7 WaterC'' Data'!$B$2:$G$8,2,FALSE))</f>
        <v/>
      </c>
      <c r="S185" s="282" t="str">
        <f>IFERROR(VLOOKUP(R185,'G-7 WaterC'' Data'!$C$4:$D$8,2,FALSE),"")</f>
        <v/>
      </c>
      <c r="T185" s="105"/>
      <c r="U185" s="282" t="str">
        <f>IFERROR(INDEX('G-7 WaterC'' Data'!$H$4:$L$8,MATCH(N185,'G-7 WaterC'' Data'!$B$4:$B$8,0),MATCH(T185,'G-7 WaterC'' Data'!$H$3:$L$3,0)),"")</f>
        <v/>
      </c>
      <c r="V185" s="109"/>
      <c r="W185" s="301" t="str">
        <f>IF(V185="","",IF(VLOOKUP(V185,'G-7 WaterC'' Data'!$AK$4:$AM$6,2,FALSE)=0,"Spatial Data Missing ⚠",VLOOKUP(V185,'G-7 WaterC'' Data'!$AK$4:$AM$6,2,FALSE)))</f>
        <v/>
      </c>
      <c r="X185" s="305" t="str">
        <f>IF(V185="","",IF(VLOOKUP(V185,'G-7 WaterC'' Data'!$AK$4:$AM$6,3,FALSE)=0,"Spatial Data Missing ⚠",VLOOKUP(V185,'G-7 WaterC'' Data'!$AK$4:$AM$6,3,FALSE)))</f>
        <v/>
      </c>
      <c r="Y185" s="317" t="str">
        <f>IFERROR(IF(OR(LEFT(P185,5)="Error",LEFT(O185,5)="Error"),"Check Data ⚠",IF(F185&lt;S185,'G-7 WaterC'' Data'!$R$3,INDEX('G-7 WaterC'' Data'!$U$5:$Y$9,MATCH(G185,'G-7 WaterC'' Data'!$T$5:$T$9,0),MATCH(T185,'G-7 WaterC'' Data'!$U$4:$Y$4,0)))),"")</f>
        <v/>
      </c>
      <c r="Z185" s="142"/>
      <c r="AA185" s="142"/>
      <c r="AB185" s="314" t="str">
        <f t="shared" si="22"/>
        <v/>
      </c>
      <c r="AC185" s="302" t="str">
        <f t="shared" si="27"/>
        <v/>
      </c>
      <c r="AD185" s="340" t="str">
        <f>IFERROR(IF(AC185="Check Data ⚠","Check Data ⚠",VLOOKUP(AC185,'G-4 Temporal multipliers'!$A$4:$C$37,3,FALSE)),"")</f>
        <v/>
      </c>
      <c r="AE185" s="317" t="str">
        <f>IF(N185="","",VLOOKUP(N185,'G-7 WaterC'' Data'!$B$4:$G$8,5,FALSE))</f>
        <v/>
      </c>
      <c r="AF185" s="301" t="str">
        <f t="shared" si="23"/>
        <v/>
      </c>
      <c r="AG185" s="301" t="str">
        <f t="shared" si="28"/>
        <v/>
      </c>
      <c r="AH185" s="282" t="str">
        <f t="shared" si="24"/>
        <v/>
      </c>
      <c r="AI185" s="109"/>
      <c r="AJ185" s="282" t="str">
        <f>IF(AI185="","",(IF(AND(AI185="N/A - Culvert",N185&lt;&gt;"Culvert"),"Not possible ▲",IF(VLOOKUP(AI185,'G-7 WaterC'' Data'!$AA$4:$AB$7,2,FALSE)=0,"Spatial Data Missing ⚠",VLOOKUP(AI185,'G-7 WaterC'' Data'!$AA$4:$AB$7,2,FALSE)))))</f>
        <v/>
      </c>
      <c r="AK185" s="110"/>
      <c r="AL185" s="316" t="str">
        <f>IF(AK185="","",IF(AND(AK185="N/A - Culvert",N185&lt;&gt;"Culvert"),"Not possible ▲",IF(VLOOKUP(AK185,'G-7 WaterC'' Data'!$AD$4:$AE$14,2,FALSE)=0,"Spatial Data Missing ⚠",VLOOKUP(AK185,'G-7 WaterC'' Data'!$AD$4:$AE$14,2,FALSE))))</f>
        <v/>
      </c>
      <c r="AM185" s="281" t="str">
        <f>IF(B185="","",VLOOKUP($B185,'F-1 Off-Site WaterC'' Baseline'!$C$9:$Z$257,17,FALSE))</f>
        <v/>
      </c>
      <c r="AN185" s="282" t="str">
        <f>IF(AM185="","",IF(VLOOKUP(AM185,'G-7 WaterC'' Data'!$AO$4:$BO$7,2,FALSE)=0,"Spatial Data Missing ⚠",VLOOKUP(AM185,'G-7 WaterC'' Data'!$AO$4:$BO$7,2,FALSE)))</f>
        <v/>
      </c>
      <c r="AO185" s="323" t="str">
        <f t="shared" si="29"/>
        <v/>
      </c>
      <c r="AP185" s="323" t="str">
        <f t="shared" si="30"/>
        <v/>
      </c>
      <c r="AQ185" s="105"/>
      <c r="AR185" s="119"/>
      <c r="AS185" s="108"/>
      <c r="AT185" s="108"/>
      <c r="AW185" s="30" t="str">
        <f>IF(E185="","",VLOOKUP($B185,'F-1 Off-Site WaterC'' Baseline'!$C$9:$Z$257,12,FALSE))</f>
        <v/>
      </c>
      <c r="AX185" s="30" t="str">
        <f>IF(E185="","",VLOOKUP($B185,'F-1 Off-Site WaterC'' Baseline'!$C$9:$Z$257,14,FALSE))</f>
        <v/>
      </c>
      <c r="AY185" s="30" t="str">
        <f>IFERROR(INDEX('G-7 WaterC'' Data'!$AZ$3:$AZ$7,MATCH(N185,'G-7 WaterC'' Data'!$AY$3:$AY$7,0)),"")</f>
        <v/>
      </c>
      <c r="AZ185" s="30" t="str">
        <f>IF(B185="","",IF(ISNA(VLOOKUP($B185,'F-1 Off-Site WaterC'' Baseline'!$C$8:$AD$257,20,FALSE)),"",(VLOOKUP($B185,'F-1 Off-Site WaterC'' Baseline'!$C$8:$AD$257,20,FALSE))))</f>
        <v/>
      </c>
      <c r="BC185" s="30" t="str">
        <f>IF(B185="","",VLOOKUP($B185,'F-1 Off-Site WaterC'' Baseline'!$C$9:$AB$257,25,FALSE))</f>
        <v/>
      </c>
      <c r="BD185" s="30" t="str">
        <f t="shared" si="31"/>
        <v/>
      </c>
      <c r="BE185" s="30" t="str">
        <f>IF(B185="","",VLOOKUP($B185,'F-1 Off-Site WaterC'' Baseline'!$C$9:$AB$257,24,FALSE))</f>
        <v/>
      </c>
      <c r="BF185" s="30" t="str">
        <f>IF(B185="","",VLOOKUP($B185,'F-1 Off-Site WaterC'' Baseline'!$C$9:$AB$257,22,FALSE))</f>
        <v/>
      </c>
      <c r="BJ185" s="30" t="str">
        <f t="shared" si="32"/>
        <v>No</v>
      </c>
    </row>
    <row r="186" spans="2:62" ht="13.8" x14ac:dyDescent="0.25">
      <c r="B186" s="311" t="str">
        <f>'F-1 Off-Site WaterC'' Baseline'!AS184</f>
        <v/>
      </c>
      <c r="C186" s="301" t="str">
        <f>IF(B186="","",VLOOKUP($B186,'F-1 Off-Site WaterC'' Baseline'!$C$9:$R$257,2,FALSE))</f>
        <v/>
      </c>
      <c r="D186" s="301" t="str">
        <f>IF(C186="","",VLOOKUP($B186,'F-1 Off-Site WaterC'' Baseline'!$C$9:$R$257,3,FALSE))</f>
        <v/>
      </c>
      <c r="E186" s="301" t="str">
        <f>IF(D186="","",VLOOKUP($B186,'F-1 Off-Site WaterC'' Baseline'!$C$9:$R$257,4,FALSE))</f>
        <v/>
      </c>
      <c r="F186" s="301" t="str">
        <f>IF(E186="","",VLOOKUP($B186,'F-1 Off-Site WaterC'' Baseline'!$C$9:$R$257,5,FALSE))</f>
        <v/>
      </c>
      <c r="G186" s="301" t="str">
        <f>IF(F186="","",VLOOKUP($B186,'F-1 Off-Site WaterC'' Baseline'!$C$9:$R$257,6,FALSE))</f>
        <v/>
      </c>
      <c r="H186" s="301" t="str">
        <f>IF(G186="","",VLOOKUP($B186,'F-1 Off-Site WaterC'' Baseline'!$C$9:$R$257,7,FALSE))</f>
        <v/>
      </c>
      <c r="I186" s="301" t="str">
        <f>IF(H186="","",VLOOKUP($B186,'F-1 Off-Site WaterC'' Baseline'!$C$9:$R$257,8,FALSE))</f>
        <v/>
      </c>
      <c r="J186" s="301" t="str">
        <f>IF(I186="","",VLOOKUP($B186,'F-1 Off-Site WaterC'' Baseline'!$C$9:$R$257,9,FALSE))</f>
        <v/>
      </c>
      <c r="K186" s="301" t="str">
        <f>IF(J186="","",VLOOKUP($B186,'F-1 Off-Site WaterC'' Baseline'!$C$9:$R$257,10,FALSE))</f>
        <v/>
      </c>
      <c r="L186" s="289" t="str">
        <f>IF(B186="","",VLOOKUP($B186,'F-1 Off-Site WaterC'' Baseline'!$C$9:$R$257,15,FALSE))</f>
        <v/>
      </c>
      <c r="M186" s="305" t="str">
        <f>IF(L186="","",VLOOKUP($B186,'F-1 Off-Site WaterC'' Baseline'!$C$9:$V$257,19,FALSE))</f>
        <v/>
      </c>
      <c r="N186" s="250"/>
      <c r="O186" s="281" t="str">
        <f t="shared" si="25"/>
        <v/>
      </c>
      <c r="P186" s="282" t="str">
        <f t="shared" si="26"/>
        <v/>
      </c>
      <c r="Q186" s="287" t="str">
        <f>IF(N186="","",VLOOKUP(B186,'F-1 Off-Site WaterC'' Baseline'!$C$10:$AF$257,23,FALSE))</f>
        <v/>
      </c>
      <c r="R186" s="281" t="str">
        <f>IF(N186="","",VLOOKUP(N186,'G-7 WaterC'' Data'!$B$2:$G$8,2,FALSE))</f>
        <v/>
      </c>
      <c r="S186" s="282" t="str">
        <f>IFERROR(VLOOKUP(R186,'G-7 WaterC'' Data'!$C$4:$D$8,2,FALSE),"")</f>
        <v/>
      </c>
      <c r="T186" s="105"/>
      <c r="U186" s="282" t="str">
        <f>IFERROR(INDEX('G-7 WaterC'' Data'!$H$4:$L$8,MATCH(N186,'G-7 WaterC'' Data'!$B$4:$B$8,0),MATCH(T186,'G-7 WaterC'' Data'!$H$3:$L$3,0)),"")</f>
        <v/>
      </c>
      <c r="V186" s="109"/>
      <c r="W186" s="301" t="str">
        <f>IF(V186="","",IF(VLOOKUP(V186,'G-7 WaterC'' Data'!$AK$4:$AM$6,2,FALSE)=0,"Spatial Data Missing ⚠",VLOOKUP(V186,'G-7 WaterC'' Data'!$AK$4:$AM$6,2,FALSE)))</f>
        <v/>
      </c>
      <c r="X186" s="305" t="str">
        <f>IF(V186="","",IF(VLOOKUP(V186,'G-7 WaterC'' Data'!$AK$4:$AM$6,3,FALSE)=0,"Spatial Data Missing ⚠",VLOOKUP(V186,'G-7 WaterC'' Data'!$AK$4:$AM$6,3,FALSE)))</f>
        <v/>
      </c>
      <c r="Y186" s="317" t="str">
        <f>IFERROR(IF(OR(LEFT(P186,5)="Error",LEFT(O186,5)="Error"),"Check Data ⚠",IF(F186&lt;S186,'G-7 WaterC'' Data'!$R$3,INDEX('G-7 WaterC'' Data'!$U$5:$Y$9,MATCH(G186,'G-7 WaterC'' Data'!$T$5:$T$9,0),MATCH(T186,'G-7 WaterC'' Data'!$U$4:$Y$4,0)))),"")</f>
        <v/>
      </c>
      <c r="Z186" s="142"/>
      <c r="AA186" s="142"/>
      <c r="AB186" s="314" t="str">
        <f t="shared" si="22"/>
        <v/>
      </c>
      <c r="AC186" s="302" t="str">
        <f t="shared" si="27"/>
        <v/>
      </c>
      <c r="AD186" s="340" t="str">
        <f>IFERROR(IF(AC186="Check Data ⚠","Check Data ⚠",VLOOKUP(AC186,'G-4 Temporal multipliers'!$A$4:$C$37,3,FALSE)),"")</f>
        <v/>
      </c>
      <c r="AE186" s="317" t="str">
        <f>IF(N186="","",VLOOKUP(N186,'G-7 WaterC'' Data'!$B$4:$G$8,5,FALSE))</f>
        <v/>
      </c>
      <c r="AF186" s="301" t="str">
        <f t="shared" si="23"/>
        <v/>
      </c>
      <c r="AG186" s="301" t="str">
        <f t="shared" si="28"/>
        <v/>
      </c>
      <c r="AH186" s="282" t="str">
        <f t="shared" si="24"/>
        <v/>
      </c>
      <c r="AI186" s="109"/>
      <c r="AJ186" s="282" t="str">
        <f>IF(AI186="","",(IF(AND(AI186="N/A - Culvert",N186&lt;&gt;"Culvert"),"Not possible ▲",IF(VLOOKUP(AI186,'G-7 WaterC'' Data'!$AA$4:$AB$7,2,FALSE)=0,"Spatial Data Missing ⚠",VLOOKUP(AI186,'G-7 WaterC'' Data'!$AA$4:$AB$7,2,FALSE)))))</f>
        <v/>
      </c>
      <c r="AK186" s="110"/>
      <c r="AL186" s="316" t="str">
        <f>IF(AK186="","",IF(AND(AK186="N/A - Culvert",N186&lt;&gt;"Culvert"),"Not possible ▲",IF(VLOOKUP(AK186,'G-7 WaterC'' Data'!$AD$4:$AE$14,2,FALSE)=0,"Spatial Data Missing ⚠",VLOOKUP(AK186,'G-7 WaterC'' Data'!$AD$4:$AE$14,2,FALSE))))</f>
        <v/>
      </c>
      <c r="AM186" s="281" t="str">
        <f>IF(B186="","",VLOOKUP($B186,'F-1 Off-Site WaterC'' Baseline'!$C$9:$Z$257,17,FALSE))</f>
        <v/>
      </c>
      <c r="AN186" s="282" t="str">
        <f>IF(AM186="","",IF(VLOOKUP(AM186,'G-7 WaterC'' Data'!$AO$4:$BO$7,2,FALSE)=0,"Spatial Data Missing ⚠",VLOOKUP(AM186,'G-7 WaterC'' Data'!$AO$4:$BO$7,2,FALSE)))</f>
        <v/>
      </c>
      <c r="AO186" s="323" t="str">
        <f t="shared" si="29"/>
        <v/>
      </c>
      <c r="AP186" s="323" t="str">
        <f t="shared" si="30"/>
        <v/>
      </c>
      <c r="AQ186" s="105"/>
      <c r="AR186" s="119"/>
      <c r="AS186" s="108"/>
      <c r="AT186" s="108"/>
      <c r="AW186" s="30" t="str">
        <f>IF(E186="","",VLOOKUP($B186,'F-1 Off-Site WaterC'' Baseline'!$C$9:$Z$257,12,FALSE))</f>
        <v/>
      </c>
      <c r="AX186" s="30" t="str">
        <f>IF(E186="","",VLOOKUP($B186,'F-1 Off-Site WaterC'' Baseline'!$C$9:$Z$257,14,FALSE))</f>
        <v/>
      </c>
      <c r="AY186" s="30" t="str">
        <f>IFERROR(INDEX('G-7 WaterC'' Data'!$AZ$3:$AZ$7,MATCH(N186,'G-7 WaterC'' Data'!$AY$3:$AY$7,0)),"")</f>
        <v/>
      </c>
      <c r="AZ186" s="30" t="str">
        <f>IF(B186="","",IF(ISNA(VLOOKUP($B186,'F-1 Off-Site WaterC'' Baseline'!$C$8:$AD$257,20,FALSE)),"",(VLOOKUP($B186,'F-1 Off-Site WaterC'' Baseline'!$C$8:$AD$257,20,FALSE))))</f>
        <v/>
      </c>
      <c r="BC186" s="30" t="str">
        <f>IF(B186="","",VLOOKUP($B186,'F-1 Off-Site WaterC'' Baseline'!$C$9:$AB$257,25,FALSE))</f>
        <v/>
      </c>
      <c r="BD186" s="30" t="str">
        <f t="shared" si="31"/>
        <v/>
      </c>
      <c r="BE186" s="30" t="str">
        <f>IF(B186="","",VLOOKUP($B186,'F-1 Off-Site WaterC'' Baseline'!$C$9:$AB$257,24,FALSE))</f>
        <v/>
      </c>
      <c r="BF186" s="30" t="str">
        <f>IF(B186="","",VLOOKUP($B186,'F-1 Off-Site WaterC'' Baseline'!$C$9:$AB$257,22,FALSE))</f>
        <v/>
      </c>
      <c r="BJ186" s="30" t="str">
        <f t="shared" si="32"/>
        <v>No</v>
      </c>
    </row>
    <row r="187" spans="2:62" ht="13.8" x14ac:dyDescent="0.25">
      <c r="B187" s="311" t="str">
        <f>'F-1 Off-Site WaterC'' Baseline'!AS185</f>
        <v/>
      </c>
      <c r="C187" s="301" t="str">
        <f>IF(B187="","",VLOOKUP($B187,'F-1 Off-Site WaterC'' Baseline'!$C$9:$R$257,2,FALSE))</f>
        <v/>
      </c>
      <c r="D187" s="301" t="str">
        <f>IF(C187="","",VLOOKUP($B187,'F-1 Off-Site WaterC'' Baseline'!$C$9:$R$257,3,FALSE))</f>
        <v/>
      </c>
      <c r="E187" s="301" t="str">
        <f>IF(D187="","",VLOOKUP($B187,'F-1 Off-Site WaterC'' Baseline'!$C$9:$R$257,4,FALSE))</f>
        <v/>
      </c>
      <c r="F187" s="301" t="str">
        <f>IF(E187="","",VLOOKUP($B187,'F-1 Off-Site WaterC'' Baseline'!$C$9:$R$257,5,FALSE))</f>
        <v/>
      </c>
      <c r="G187" s="301" t="str">
        <f>IF(F187="","",VLOOKUP($B187,'F-1 Off-Site WaterC'' Baseline'!$C$9:$R$257,6,FALSE))</f>
        <v/>
      </c>
      <c r="H187" s="301" t="str">
        <f>IF(G187="","",VLOOKUP($B187,'F-1 Off-Site WaterC'' Baseline'!$C$9:$R$257,7,FALSE))</f>
        <v/>
      </c>
      <c r="I187" s="301" t="str">
        <f>IF(H187="","",VLOOKUP($B187,'F-1 Off-Site WaterC'' Baseline'!$C$9:$R$257,8,FALSE))</f>
        <v/>
      </c>
      <c r="J187" s="301" t="str">
        <f>IF(I187="","",VLOOKUP($B187,'F-1 Off-Site WaterC'' Baseline'!$C$9:$R$257,9,FALSE))</f>
        <v/>
      </c>
      <c r="K187" s="301" t="str">
        <f>IF(J187="","",VLOOKUP($B187,'F-1 Off-Site WaterC'' Baseline'!$C$9:$R$257,10,FALSE))</f>
        <v/>
      </c>
      <c r="L187" s="289" t="str">
        <f>IF(B187="","",VLOOKUP($B187,'F-1 Off-Site WaterC'' Baseline'!$C$9:$R$257,15,FALSE))</f>
        <v/>
      </c>
      <c r="M187" s="305" t="str">
        <f>IF(L187="","",VLOOKUP($B187,'F-1 Off-Site WaterC'' Baseline'!$C$9:$V$257,19,FALSE))</f>
        <v/>
      </c>
      <c r="N187" s="250"/>
      <c r="O187" s="281" t="str">
        <f t="shared" si="25"/>
        <v/>
      </c>
      <c r="P187" s="282" t="str">
        <f t="shared" si="26"/>
        <v/>
      </c>
      <c r="Q187" s="287" t="str">
        <f>IF(N187="","",VLOOKUP(B187,'F-1 Off-Site WaterC'' Baseline'!$C$10:$AF$257,23,FALSE))</f>
        <v/>
      </c>
      <c r="R187" s="281" t="str">
        <f>IF(N187="","",VLOOKUP(N187,'G-7 WaterC'' Data'!$B$2:$G$8,2,FALSE))</f>
        <v/>
      </c>
      <c r="S187" s="282" t="str">
        <f>IFERROR(VLOOKUP(R187,'G-7 WaterC'' Data'!$C$4:$D$8,2,FALSE),"")</f>
        <v/>
      </c>
      <c r="T187" s="105"/>
      <c r="U187" s="282" t="str">
        <f>IFERROR(INDEX('G-7 WaterC'' Data'!$H$4:$L$8,MATCH(N187,'G-7 WaterC'' Data'!$B$4:$B$8,0),MATCH(T187,'G-7 WaterC'' Data'!$H$3:$L$3,0)),"")</f>
        <v/>
      </c>
      <c r="V187" s="109"/>
      <c r="W187" s="301" t="str">
        <f>IF(V187="","",IF(VLOOKUP(V187,'G-7 WaterC'' Data'!$AK$4:$AM$6,2,FALSE)=0,"Spatial Data Missing ⚠",VLOOKUP(V187,'G-7 WaterC'' Data'!$AK$4:$AM$6,2,FALSE)))</f>
        <v/>
      </c>
      <c r="X187" s="305" t="str">
        <f>IF(V187="","",IF(VLOOKUP(V187,'G-7 WaterC'' Data'!$AK$4:$AM$6,3,FALSE)=0,"Spatial Data Missing ⚠",VLOOKUP(V187,'G-7 WaterC'' Data'!$AK$4:$AM$6,3,FALSE)))</f>
        <v/>
      </c>
      <c r="Y187" s="317" t="str">
        <f>IFERROR(IF(OR(LEFT(P187,5)="Error",LEFT(O187,5)="Error"),"Check Data ⚠",IF(F187&lt;S187,'G-7 WaterC'' Data'!$R$3,INDEX('G-7 WaterC'' Data'!$U$5:$Y$9,MATCH(G187,'G-7 WaterC'' Data'!$T$5:$T$9,0),MATCH(T187,'G-7 WaterC'' Data'!$U$4:$Y$4,0)))),"")</f>
        <v/>
      </c>
      <c r="Z187" s="142"/>
      <c r="AA187" s="142"/>
      <c r="AB187" s="314" t="str">
        <f t="shared" si="22"/>
        <v/>
      </c>
      <c r="AC187" s="302" t="str">
        <f t="shared" si="27"/>
        <v/>
      </c>
      <c r="AD187" s="340" t="str">
        <f>IFERROR(IF(AC187="Check Data ⚠","Check Data ⚠",VLOOKUP(AC187,'G-4 Temporal multipliers'!$A$4:$C$37,3,FALSE)),"")</f>
        <v/>
      </c>
      <c r="AE187" s="317" t="str">
        <f>IF(N187="","",VLOOKUP(N187,'G-7 WaterC'' Data'!$B$4:$G$8,5,FALSE))</f>
        <v/>
      </c>
      <c r="AF187" s="301" t="str">
        <f t="shared" si="23"/>
        <v/>
      </c>
      <c r="AG187" s="301" t="str">
        <f t="shared" si="28"/>
        <v/>
      </c>
      <c r="AH187" s="282" t="str">
        <f t="shared" si="24"/>
        <v/>
      </c>
      <c r="AI187" s="109"/>
      <c r="AJ187" s="282" t="str">
        <f>IF(AI187="","",(IF(AND(AI187="N/A - Culvert",N187&lt;&gt;"Culvert"),"Not possible ▲",IF(VLOOKUP(AI187,'G-7 WaterC'' Data'!$AA$4:$AB$7,2,FALSE)=0,"Spatial Data Missing ⚠",VLOOKUP(AI187,'G-7 WaterC'' Data'!$AA$4:$AB$7,2,FALSE)))))</f>
        <v/>
      </c>
      <c r="AK187" s="110"/>
      <c r="AL187" s="316" t="str">
        <f>IF(AK187="","",IF(AND(AK187="N/A - Culvert",N187&lt;&gt;"Culvert"),"Not possible ▲",IF(VLOOKUP(AK187,'G-7 WaterC'' Data'!$AD$4:$AE$14,2,FALSE)=0,"Spatial Data Missing ⚠",VLOOKUP(AK187,'G-7 WaterC'' Data'!$AD$4:$AE$14,2,FALSE))))</f>
        <v/>
      </c>
      <c r="AM187" s="281" t="str">
        <f>IF(B187="","",VLOOKUP($B187,'F-1 Off-Site WaterC'' Baseline'!$C$9:$Z$257,17,FALSE))</f>
        <v/>
      </c>
      <c r="AN187" s="282" t="str">
        <f>IF(AM187="","",IF(VLOOKUP(AM187,'G-7 WaterC'' Data'!$AO$4:$BO$7,2,FALSE)=0,"Spatial Data Missing ⚠",VLOOKUP(AM187,'G-7 WaterC'' Data'!$AO$4:$BO$7,2,FALSE)))</f>
        <v/>
      </c>
      <c r="AO187" s="323" t="str">
        <f t="shared" si="29"/>
        <v/>
      </c>
      <c r="AP187" s="323" t="str">
        <f t="shared" si="30"/>
        <v/>
      </c>
      <c r="AQ187" s="105"/>
      <c r="AR187" s="119"/>
      <c r="AS187" s="108"/>
      <c r="AT187" s="108"/>
      <c r="AW187" s="30" t="str">
        <f>IF(E187="","",VLOOKUP($B187,'F-1 Off-Site WaterC'' Baseline'!$C$9:$Z$257,12,FALSE))</f>
        <v/>
      </c>
      <c r="AX187" s="30" t="str">
        <f>IF(E187="","",VLOOKUP($B187,'F-1 Off-Site WaterC'' Baseline'!$C$9:$Z$257,14,FALSE))</f>
        <v/>
      </c>
      <c r="AY187" s="30" t="str">
        <f>IFERROR(INDEX('G-7 WaterC'' Data'!$AZ$3:$AZ$7,MATCH(N187,'G-7 WaterC'' Data'!$AY$3:$AY$7,0)),"")</f>
        <v/>
      </c>
      <c r="AZ187" s="30" t="str">
        <f>IF(B187="","",IF(ISNA(VLOOKUP($B187,'F-1 Off-Site WaterC'' Baseline'!$C$8:$AD$257,20,FALSE)),"",(VLOOKUP($B187,'F-1 Off-Site WaterC'' Baseline'!$C$8:$AD$257,20,FALSE))))</f>
        <v/>
      </c>
      <c r="BC187" s="30" t="str">
        <f>IF(B187="","",VLOOKUP($B187,'F-1 Off-Site WaterC'' Baseline'!$C$9:$AB$257,25,FALSE))</f>
        <v/>
      </c>
      <c r="BD187" s="30" t="str">
        <f t="shared" si="31"/>
        <v/>
      </c>
      <c r="BE187" s="30" t="str">
        <f>IF(B187="","",VLOOKUP($B187,'F-1 Off-Site WaterC'' Baseline'!$C$9:$AB$257,24,FALSE))</f>
        <v/>
      </c>
      <c r="BF187" s="30" t="str">
        <f>IF(B187="","",VLOOKUP($B187,'F-1 Off-Site WaterC'' Baseline'!$C$9:$AB$257,22,FALSE))</f>
        <v/>
      </c>
      <c r="BJ187" s="30" t="str">
        <f t="shared" si="32"/>
        <v>No</v>
      </c>
    </row>
    <row r="188" spans="2:62" ht="13.8" x14ac:dyDescent="0.25">
      <c r="B188" s="311" t="str">
        <f>'F-1 Off-Site WaterC'' Baseline'!AS186</f>
        <v/>
      </c>
      <c r="C188" s="301" t="str">
        <f>IF(B188="","",VLOOKUP($B188,'F-1 Off-Site WaterC'' Baseline'!$C$9:$R$257,2,FALSE))</f>
        <v/>
      </c>
      <c r="D188" s="301" t="str">
        <f>IF(C188="","",VLOOKUP($B188,'F-1 Off-Site WaterC'' Baseline'!$C$9:$R$257,3,FALSE))</f>
        <v/>
      </c>
      <c r="E188" s="301" t="str">
        <f>IF(D188="","",VLOOKUP($B188,'F-1 Off-Site WaterC'' Baseline'!$C$9:$R$257,4,FALSE))</f>
        <v/>
      </c>
      <c r="F188" s="301" t="str">
        <f>IF(E188="","",VLOOKUP($B188,'F-1 Off-Site WaterC'' Baseline'!$C$9:$R$257,5,FALSE))</f>
        <v/>
      </c>
      <c r="G188" s="301" t="str">
        <f>IF(F188="","",VLOOKUP($B188,'F-1 Off-Site WaterC'' Baseline'!$C$9:$R$257,6,FALSE))</f>
        <v/>
      </c>
      <c r="H188" s="301" t="str">
        <f>IF(G188="","",VLOOKUP($B188,'F-1 Off-Site WaterC'' Baseline'!$C$9:$R$257,7,FALSE))</f>
        <v/>
      </c>
      <c r="I188" s="301" t="str">
        <f>IF(H188="","",VLOOKUP($B188,'F-1 Off-Site WaterC'' Baseline'!$C$9:$R$257,8,FALSE))</f>
        <v/>
      </c>
      <c r="J188" s="301" t="str">
        <f>IF(I188="","",VLOOKUP($B188,'F-1 Off-Site WaterC'' Baseline'!$C$9:$R$257,9,FALSE))</f>
        <v/>
      </c>
      <c r="K188" s="301" t="str">
        <f>IF(J188="","",VLOOKUP($B188,'F-1 Off-Site WaterC'' Baseline'!$C$9:$R$257,10,FALSE))</f>
        <v/>
      </c>
      <c r="L188" s="289" t="str">
        <f>IF(B188="","",VLOOKUP($B188,'F-1 Off-Site WaterC'' Baseline'!$C$9:$R$257,15,FALSE))</f>
        <v/>
      </c>
      <c r="M188" s="305" t="str">
        <f>IF(L188="","",VLOOKUP($B188,'F-1 Off-Site WaterC'' Baseline'!$C$9:$V$257,19,FALSE))</f>
        <v/>
      </c>
      <c r="N188" s="250"/>
      <c r="O188" s="281" t="str">
        <f t="shared" si="25"/>
        <v/>
      </c>
      <c r="P188" s="282" t="str">
        <f t="shared" si="26"/>
        <v/>
      </c>
      <c r="Q188" s="287" t="str">
        <f>IF(N188="","",VLOOKUP(B188,'F-1 Off-Site WaterC'' Baseline'!$C$10:$AF$257,23,FALSE))</f>
        <v/>
      </c>
      <c r="R188" s="281" t="str">
        <f>IF(N188="","",VLOOKUP(N188,'G-7 WaterC'' Data'!$B$2:$G$8,2,FALSE))</f>
        <v/>
      </c>
      <c r="S188" s="282" t="str">
        <f>IFERROR(VLOOKUP(R188,'G-7 WaterC'' Data'!$C$4:$D$8,2,FALSE),"")</f>
        <v/>
      </c>
      <c r="T188" s="105"/>
      <c r="U188" s="282" t="str">
        <f>IFERROR(INDEX('G-7 WaterC'' Data'!$H$4:$L$8,MATCH(N188,'G-7 WaterC'' Data'!$B$4:$B$8,0),MATCH(T188,'G-7 WaterC'' Data'!$H$3:$L$3,0)),"")</f>
        <v/>
      </c>
      <c r="V188" s="109"/>
      <c r="W188" s="301" t="str">
        <f>IF(V188="","",IF(VLOOKUP(V188,'G-7 WaterC'' Data'!$AK$4:$AM$6,2,FALSE)=0,"Spatial Data Missing ⚠",VLOOKUP(V188,'G-7 WaterC'' Data'!$AK$4:$AM$6,2,FALSE)))</f>
        <v/>
      </c>
      <c r="X188" s="305" t="str">
        <f>IF(V188="","",IF(VLOOKUP(V188,'G-7 WaterC'' Data'!$AK$4:$AM$6,3,FALSE)=0,"Spatial Data Missing ⚠",VLOOKUP(V188,'G-7 WaterC'' Data'!$AK$4:$AM$6,3,FALSE)))</f>
        <v/>
      </c>
      <c r="Y188" s="317" t="str">
        <f>IFERROR(IF(OR(LEFT(P188,5)="Error",LEFT(O188,5)="Error"),"Check Data ⚠",IF(F188&lt;S188,'G-7 WaterC'' Data'!$R$3,INDEX('G-7 WaterC'' Data'!$U$5:$Y$9,MATCH(G188,'G-7 WaterC'' Data'!$T$5:$T$9,0),MATCH(T188,'G-7 WaterC'' Data'!$U$4:$Y$4,0)))),"")</f>
        <v/>
      </c>
      <c r="Z188" s="142"/>
      <c r="AA188" s="142"/>
      <c r="AB188" s="314" t="str">
        <f t="shared" si="22"/>
        <v/>
      </c>
      <c r="AC188" s="302" t="str">
        <f t="shared" si="27"/>
        <v/>
      </c>
      <c r="AD188" s="340" t="str">
        <f>IFERROR(IF(AC188="Check Data ⚠","Check Data ⚠",VLOOKUP(AC188,'G-4 Temporal multipliers'!$A$4:$C$37,3,FALSE)),"")</f>
        <v/>
      </c>
      <c r="AE188" s="317" t="str">
        <f>IF(N188="","",VLOOKUP(N188,'G-7 WaterC'' Data'!$B$4:$G$8,5,FALSE))</f>
        <v/>
      </c>
      <c r="AF188" s="301" t="str">
        <f t="shared" si="23"/>
        <v/>
      </c>
      <c r="AG188" s="301" t="str">
        <f t="shared" si="28"/>
        <v/>
      </c>
      <c r="AH188" s="282" t="str">
        <f t="shared" si="24"/>
        <v/>
      </c>
      <c r="AI188" s="109"/>
      <c r="AJ188" s="282" t="str">
        <f>IF(AI188="","",(IF(AND(AI188="N/A - Culvert",N188&lt;&gt;"Culvert"),"Not possible ▲",IF(VLOOKUP(AI188,'G-7 WaterC'' Data'!$AA$4:$AB$7,2,FALSE)=0,"Spatial Data Missing ⚠",VLOOKUP(AI188,'G-7 WaterC'' Data'!$AA$4:$AB$7,2,FALSE)))))</f>
        <v/>
      </c>
      <c r="AK188" s="110"/>
      <c r="AL188" s="316" t="str">
        <f>IF(AK188="","",IF(AND(AK188="N/A - Culvert",N188&lt;&gt;"Culvert"),"Not possible ▲",IF(VLOOKUP(AK188,'G-7 WaterC'' Data'!$AD$4:$AE$14,2,FALSE)=0,"Spatial Data Missing ⚠",VLOOKUP(AK188,'G-7 WaterC'' Data'!$AD$4:$AE$14,2,FALSE))))</f>
        <v/>
      </c>
      <c r="AM188" s="281" t="str">
        <f>IF(B188="","",VLOOKUP($B188,'F-1 Off-Site WaterC'' Baseline'!$C$9:$Z$257,17,FALSE))</f>
        <v/>
      </c>
      <c r="AN188" s="282" t="str">
        <f>IF(AM188="","",IF(VLOOKUP(AM188,'G-7 WaterC'' Data'!$AO$4:$BO$7,2,FALSE)=0,"Spatial Data Missing ⚠",VLOOKUP(AM188,'G-7 WaterC'' Data'!$AO$4:$BO$7,2,FALSE)))</f>
        <v/>
      </c>
      <c r="AO188" s="323" t="str">
        <f t="shared" si="29"/>
        <v/>
      </c>
      <c r="AP188" s="323" t="str">
        <f t="shared" si="30"/>
        <v/>
      </c>
      <c r="AQ188" s="105"/>
      <c r="AR188" s="119"/>
      <c r="AS188" s="108"/>
      <c r="AT188" s="108"/>
      <c r="AW188" s="30" t="str">
        <f>IF(E188="","",VLOOKUP($B188,'F-1 Off-Site WaterC'' Baseline'!$C$9:$Z$257,12,FALSE))</f>
        <v/>
      </c>
      <c r="AX188" s="30" t="str">
        <f>IF(E188="","",VLOOKUP($B188,'F-1 Off-Site WaterC'' Baseline'!$C$9:$Z$257,14,FALSE))</f>
        <v/>
      </c>
      <c r="AY188" s="30" t="str">
        <f>IFERROR(INDEX('G-7 WaterC'' Data'!$AZ$3:$AZ$7,MATCH(N188,'G-7 WaterC'' Data'!$AY$3:$AY$7,0)),"")</f>
        <v/>
      </c>
      <c r="AZ188" s="30" t="str">
        <f>IF(B188="","",IF(ISNA(VLOOKUP($B188,'F-1 Off-Site WaterC'' Baseline'!$C$8:$AD$257,20,FALSE)),"",(VLOOKUP($B188,'F-1 Off-Site WaterC'' Baseline'!$C$8:$AD$257,20,FALSE))))</f>
        <v/>
      </c>
      <c r="BC188" s="30" t="str">
        <f>IF(B188="","",VLOOKUP($B188,'F-1 Off-Site WaterC'' Baseline'!$C$9:$AB$257,25,FALSE))</f>
        <v/>
      </c>
      <c r="BD188" s="30" t="str">
        <f t="shared" si="31"/>
        <v/>
      </c>
      <c r="BE188" s="30" t="str">
        <f>IF(B188="","",VLOOKUP($B188,'F-1 Off-Site WaterC'' Baseline'!$C$9:$AB$257,24,FALSE))</f>
        <v/>
      </c>
      <c r="BF188" s="30" t="str">
        <f>IF(B188="","",VLOOKUP($B188,'F-1 Off-Site WaterC'' Baseline'!$C$9:$AB$257,22,FALSE))</f>
        <v/>
      </c>
      <c r="BJ188" s="30" t="str">
        <f t="shared" si="32"/>
        <v>No</v>
      </c>
    </row>
    <row r="189" spans="2:62" ht="13.8" x14ac:dyDescent="0.25">
      <c r="B189" s="311" t="str">
        <f>'F-1 Off-Site WaterC'' Baseline'!AS187</f>
        <v/>
      </c>
      <c r="C189" s="301" t="str">
        <f>IF(B189="","",VLOOKUP($B189,'F-1 Off-Site WaterC'' Baseline'!$C$9:$R$257,2,FALSE))</f>
        <v/>
      </c>
      <c r="D189" s="301" t="str">
        <f>IF(C189="","",VLOOKUP($B189,'F-1 Off-Site WaterC'' Baseline'!$C$9:$R$257,3,FALSE))</f>
        <v/>
      </c>
      <c r="E189" s="301" t="str">
        <f>IF(D189="","",VLOOKUP($B189,'F-1 Off-Site WaterC'' Baseline'!$C$9:$R$257,4,FALSE))</f>
        <v/>
      </c>
      <c r="F189" s="301" t="str">
        <f>IF(E189="","",VLOOKUP($B189,'F-1 Off-Site WaterC'' Baseline'!$C$9:$R$257,5,FALSE))</f>
        <v/>
      </c>
      <c r="G189" s="301" t="str">
        <f>IF(F189="","",VLOOKUP($B189,'F-1 Off-Site WaterC'' Baseline'!$C$9:$R$257,6,FALSE))</f>
        <v/>
      </c>
      <c r="H189" s="301" t="str">
        <f>IF(G189="","",VLOOKUP($B189,'F-1 Off-Site WaterC'' Baseline'!$C$9:$R$257,7,FALSE))</f>
        <v/>
      </c>
      <c r="I189" s="301" t="str">
        <f>IF(H189="","",VLOOKUP($B189,'F-1 Off-Site WaterC'' Baseline'!$C$9:$R$257,8,FALSE))</f>
        <v/>
      </c>
      <c r="J189" s="301" t="str">
        <f>IF(I189="","",VLOOKUP($B189,'F-1 Off-Site WaterC'' Baseline'!$C$9:$R$257,9,FALSE))</f>
        <v/>
      </c>
      <c r="K189" s="301" t="str">
        <f>IF(J189="","",VLOOKUP($B189,'F-1 Off-Site WaterC'' Baseline'!$C$9:$R$257,10,FALSE))</f>
        <v/>
      </c>
      <c r="L189" s="289" t="str">
        <f>IF(B189="","",VLOOKUP($B189,'F-1 Off-Site WaterC'' Baseline'!$C$9:$R$257,15,FALSE))</f>
        <v/>
      </c>
      <c r="M189" s="305" t="str">
        <f>IF(L189="","",VLOOKUP($B189,'F-1 Off-Site WaterC'' Baseline'!$C$9:$V$257,19,FALSE))</f>
        <v/>
      </c>
      <c r="N189" s="250"/>
      <c r="O189" s="281" t="str">
        <f t="shared" si="25"/>
        <v/>
      </c>
      <c r="P189" s="282" t="str">
        <f t="shared" si="26"/>
        <v/>
      </c>
      <c r="Q189" s="287" t="str">
        <f>IF(N189="","",VLOOKUP(B189,'F-1 Off-Site WaterC'' Baseline'!$C$10:$AF$257,23,FALSE))</f>
        <v/>
      </c>
      <c r="R189" s="281" t="str">
        <f>IF(N189="","",VLOOKUP(N189,'G-7 WaterC'' Data'!$B$2:$G$8,2,FALSE))</f>
        <v/>
      </c>
      <c r="S189" s="282" t="str">
        <f>IFERROR(VLOOKUP(R189,'G-7 WaterC'' Data'!$C$4:$D$8,2,FALSE),"")</f>
        <v/>
      </c>
      <c r="T189" s="105"/>
      <c r="U189" s="282" t="str">
        <f>IFERROR(INDEX('G-7 WaterC'' Data'!$H$4:$L$8,MATCH(N189,'G-7 WaterC'' Data'!$B$4:$B$8,0),MATCH(T189,'G-7 WaterC'' Data'!$H$3:$L$3,0)),"")</f>
        <v/>
      </c>
      <c r="V189" s="109"/>
      <c r="W189" s="301" t="str">
        <f>IF(V189="","",IF(VLOOKUP(V189,'G-7 WaterC'' Data'!$AK$4:$AM$6,2,FALSE)=0,"Spatial Data Missing ⚠",VLOOKUP(V189,'G-7 WaterC'' Data'!$AK$4:$AM$6,2,FALSE)))</f>
        <v/>
      </c>
      <c r="X189" s="305" t="str">
        <f>IF(V189="","",IF(VLOOKUP(V189,'G-7 WaterC'' Data'!$AK$4:$AM$6,3,FALSE)=0,"Spatial Data Missing ⚠",VLOOKUP(V189,'G-7 WaterC'' Data'!$AK$4:$AM$6,3,FALSE)))</f>
        <v/>
      </c>
      <c r="Y189" s="317" t="str">
        <f>IFERROR(IF(OR(LEFT(P189,5)="Error",LEFT(O189,5)="Error"),"Check Data ⚠",IF(F189&lt;S189,'G-7 WaterC'' Data'!$R$3,INDEX('G-7 WaterC'' Data'!$U$5:$Y$9,MATCH(G189,'G-7 WaterC'' Data'!$T$5:$T$9,0),MATCH(T189,'G-7 WaterC'' Data'!$U$4:$Y$4,0)))),"")</f>
        <v/>
      </c>
      <c r="Z189" s="142"/>
      <c r="AA189" s="142"/>
      <c r="AB189" s="314" t="str">
        <f t="shared" si="22"/>
        <v/>
      </c>
      <c r="AC189" s="302" t="str">
        <f t="shared" si="27"/>
        <v/>
      </c>
      <c r="AD189" s="340" t="str">
        <f>IFERROR(IF(AC189="Check Data ⚠","Check Data ⚠",VLOOKUP(AC189,'G-4 Temporal multipliers'!$A$4:$C$37,3,FALSE)),"")</f>
        <v/>
      </c>
      <c r="AE189" s="317" t="str">
        <f>IF(N189="","",VLOOKUP(N189,'G-7 WaterC'' Data'!$B$4:$G$8,5,FALSE))</f>
        <v/>
      </c>
      <c r="AF189" s="301" t="str">
        <f t="shared" si="23"/>
        <v/>
      </c>
      <c r="AG189" s="301" t="str">
        <f t="shared" si="28"/>
        <v/>
      </c>
      <c r="AH189" s="282" t="str">
        <f t="shared" si="24"/>
        <v/>
      </c>
      <c r="AI189" s="109"/>
      <c r="AJ189" s="282" t="str">
        <f>IF(AI189="","",(IF(AND(AI189="N/A - Culvert",N189&lt;&gt;"Culvert"),"Not possible ▲",IF(VLOOKUP(AI189,'G-7 WaterC'' Data'!$AA$4:$AB$7,2,FALSE)=0,"Spatial Data Missing ⚠",VLOOKUP(AI189,'G-7 WaterC'' Data'!$AA$4:$AB$7,2,FALSE)))))</f>
        <v/>
      </c>
      <c r="AK189" s="110"/>
      <c r="AL189" s="316" t="str">
        <f>IF(AK189="","",IF(AND(AK189="N/A - Culvert",N189&lt;&gt;"Culvert"),"Not possible ▲",IF(VLOOKUP(AK189,'G-7 WaterC'' Data'!$AD$4:$AE$14,2,FALSE)=0,"Spatial Data Missing ⚠",VLOOKUP(AK189,'G-7 WaterC'' Data'!$AD$4:$AE$14,2,FALSE))))</f>
        <v/>
      </c>
      <c r="AM189" s="281" t="str">
        <f>IF(B189="","",VLOOKUP($B189,'F-1 Off-Site WaterC'' Baseline'!$C$9:$Z$257,17,FALSE))</f>
        <v/>
      </c>
      <c r="AN189" s="282" t="str">
        <f>IF(AM189="","",IF(VLOOKUP(AM189,'G-7 WaterC'' Data'!$AO$4:$BO$7,2,FALSE)=0,"Spatial Data Missing ⚠",VLOOKUP(AM189,'G-7 WaterC'' Data'!$AO$4:$BO$7,2,FALSE)))</f>
        <v/>
      </c>
      <c r="AO189" s="323" t="str">
        <f t="shared" si="29"/>
        <v/>
      </c>
      <c r="AP189" s="323" t="str">
        <f t="shared" si="30"/>
        <v/>
      </c>
      <c r="AQ189" s="105"/>
      <c r="AR189" s="119"/>
      <c r="AS189" s="108"/>
      <c r="AT189" s="108"/>
      <c r="AW189" s="30" t="str">
        <f>IF(E189="","",VLOOKUP($B189,'F-1 Off-Site WaterC'' Baseline'!$C$9:$Z$257,12,FALSE))</f>
        <v/>
      </c>
      <c r="AX189" s="30" t="str">
        <f>IF(E189="","",VLOOKUP($B189,'F-1 Off-Site WaterC'' Baseline'!$C$9:$Z$257,14,FALSE))</f>
        <v/>
      </c>
      <c r="AY189" s="30" t="str">
        <f>IFERROR(INDEX('G-7 WaterC'' Data'!$AZ$3:$AZ$7,MATCH(N189,'G-7 WaterC'' Data'!$AY$3:$AY$7,0)),"")</f>
        <v/>
      </c>
      <c r="AZ189" s="30" t="str">
        <f>IF(B189="","",IF(ISNA(VLOOKUP($B189,'F-1 Off-Site WaterC'' Baseline'!$C$8:$AD$257,20,FALSE)),"",(VLOOKUP($B189,'F-1 Off-Site WaterC'' Baseline'!$C$8:$AD$257,20,FALSE))))</f>
        <v/>
      </c>
      <c r="BC189" s="30" t="str">
        <f>IF(B189="","",VLOOKUP($B189,'F-1 Off-Site WaterC'' Baseline'!$C$9:$AB$257,25,FALSE))</f>
        <v/>
      </c>
      <c r="BD189" s="30" t="str">
        <f t="shared" si="31"/>
        <v/>
      </c>
      <c r="BE189" s="30" t="str">
        <f>IF(B189="","",VLOOKUP($B189,'F-1 Off-Site WaterC'' Baseline'!$C$9:$AB$257,24,FALSE))</f>
        <v/>
      </c>
      <c r="BF189" s="30" t="str">
        <f>IF(B189="","",VLOOKUP($B189,'F-1 Off-Site WaterC'' Baseline'!$C$9:$AB$257,22,FALSE))</f>
        <v/>
      </c>
      <c r="BJ189" s="30" t="str">
        <f t="shared" si="32"/>
        <v>No</v>
      </c>
    </row>
    <row r="190" spans="2:62" ht="13.8" x14ac:dyDescent="0.25">
      <c r="B190" s="311" t="str">
        <f>'F-1 Off-Site WaterC'' Baseline'!AS188</f>
        <v/>
      </c>
      <c r="C190" s="301" t="str">
        <f>IF(B190="","",VLOOKUP($B190,'F-1 Off-Site WaterC'' Baseline'!$C$9:$R$257,2,FALSE))</f>
        <v/>
      </c>
      <c r="D190" s="301" t="str">
        <f>IF(C190="","",VLOOKUP($B190,'F-1 Off-Site WaterC'' Baseline'!$C$9:$R$257,3,FALSE))</f>
        <v/>
      </c>
      <c r="E190" s="301" t="str">
        <f>IF(D190="","",VLOOKUP($B190,'F-1 Off-Site WaterC'' Baseline'!$C$9:$R$257,4,FALSE))</f>
        <v/>
      </c>
      <c r="F190" s="301" t="str">
        <f>IF(E190="","",VLOOKUP($B190,'F-1 Off-Site WaterC'' Baseline'!$C$9:$R$257,5,FALSE))</f>
        <v/>
      </c>
      <c r="G190" s="301" t="str">
        <f>IF(F190="","",VLOOKUP($B190,'F-1 Off-Site WaterC'' Baseline'!$C$9:$R$257,6,FALSE))</f>
        <v/>
      </c>
      <c r="H190" s="301" t="str">
        <f>IF(G190="","",VLOOKUP($B190,'F-1 Off-Site WaterC'' Baseline'!$C$9:$R$257,7,FALSE))</f>
        <v/>
      </c>
      <c r="I190" s="301" t="str">
        <f>IF(H190="","",VLOOKUP($B190,'F-1 Off-Site WaterC'' Baseline'!$C$9:$R$257,8,FALSE))</f>
        <v/>
      </c>
      <c r="J190" s="301" t="str">
        <f>IF(I190="","",VLOOKUP($B190,'F-1 Off-Site WaterC'' Baseline'!$C$9:$R$257,9,FALSE))</f>
        <v/>
      </c>
      <c r="K190" s="301" t="str">
        <f>IF(J190="","",VLOOKUP($B190,'F-1 Off-Site WaterC'' Baseline'!$C$9:$R$257,10,FALSE))</f>
        <v/>
      </c>
      <c r="L190" s="289" t="str">
        <f>IF(B190="","",VLOOKUP($B190,'F-1 Off-Site WaterC'' Baseline'!$C$9:$R$257,15,FALSE))</f>
        <v/>
      </c>
      <c r="M190" s="305" t="str">
        <f>IF(L190="","",VLOOKUP($B190,'F-1 Off-Site WaterC'' Baseline'!$C$9:$V$257,19,FALSE))</f>
        <v/>
      </c>
      <c r="N190" s="250"/>
      <c r="O190" s="281" t="str">
        <f t="shared" si="25"/>
        <v/>
      </c>
      <c r="P190" s="282" t="str">
        <f t="shared" si="26"/>
        <v/>
      </c>
      <c r="Q190" s="287" t="str">
        <f>IF(N190="","",VLOOKUP(B190,'F-1 Off-Site WaterC'' Baseline'!$C$10:$AF$257,23,FALSE))</f>
        <v/>
      </c>
      <c r="R190" s="281" t="str">
        <f>IF(N190="","",VLOOKUP(N190,'G-7 WaterC'' Data'!$B$2:$G$8,2,FALSE))</f>
        <v/>
      </c>
      <c r="S190" s="282" t="str">
        <f>IFERROR(VLOOKUP(R190,'G-7 WaterC'' Data'!$C$4:$D$8,2,FALSE),"")</f>
        <v/>
      </c>
      <c r="T190" s="105"/>
      <c r="U190" s="282" t="str">
        <f>IFERROR(INDEX('G-7 WaterC'' Data'!$H$4:$L$8,MATCH(N190,'G-7 WaterC'' Data'!$B$4:$B$8,0),MATCH(T190,'G-7 WaterC'' Data'!$H$3:$L$3,0)),"")</f>
        <v/>
      </c>
      <c r="V190" s="109"/>
      <c r="W190" s="301" t="str">
        <f>IF(V190="","",IF(VLOOKUP(V190,'G-7 WaterC'' Data'!$AK$4:$AM$6,2,FALSE)=0,"Spatial Data Missing ⚠",VLOOKUP(V190,'G-7 WaterC'' Data'!$AK$4:$AM$6,2,FALSE)))</f>
        <v/>
      </c>
      <c r="X190" s="305" t="str">
        <f>IF(V190="","",IF(VLOOKUP(V190,'G-7 WaterC'' Data'!$AK$4:$AM$6,3,FALSE)=0,"Spatial Data Missing ⚠",VLOOKUP(V190,'G-7 WaterC'' Data'!$AK$4:$AM$6,3,FALSE)))</f>
        <v/>
      </c>
      <c r="Y190" s="317" t="str">
        <f>IFERROR(IF(OR(LEFT(P190,5)="Error",LEFT(O190,5)="Error"),"Check Data ⚠",IF(F190&lt;S190,'G-7 WaterC'' Data'!$R$3,INDEX('G-7 WaterC'' Data'!$U$5:$Y$9,MATCH(G190,'G-7 WaterC'' Data'!$T$5:$T$9,0),MATCH(T190,'G-7 WaterC'' Data'!$U$4:$Y$4,0)))),"")</f>
        <v/>
      </c>
      <c r="Z190" s="142"/>
      <c r="AA190" s="142"/>
      <c r="AB190" s="314" t="str">
        <f t="shared" si="22"/>
        <v/>
      </c>
      <c r="AC190" s="302" t="str">
        <f t="shared" si="27"/>
        <v/>
      </c>
      <c r="AD190" s="340" t="str">
        <f>IFERROR(IF(AC190="Check Data ⚠","Check Data ⚠",VLOOKUP(AC190,'G-4 Temporal multipliers'!$A$4:$C$37,3,FALSE)),"")</f>
        <v/>
      </c>
      <c r="AE190" s="317" t="str">
        <f>IF(N190="","",VLOOKUP(N190,'G-7 WaterC'' Data'!$B$4:$G$8,5,FALSE))</f>
        <v/>
      </c>
      <c r="AF190" s="301" t="str">
        <f t="shared" si="23"/>
        <v/>
      </c>
      <c r="AG190" s="301" t="str">
        <f t="shared" si="28"/>
        <v/>
      </c>
      <c r="AH190" s="282" t="str">
        <f t="shared" si="24"/>
        <v/>
      </c>
      <c r="AI190" s="109"/>
      <c r="AJ190" s="282" t="str">
        <f>IF(AI190="","",(IF(AND(AI190="N/A - Culvert",N190&lt;&gt;"Culvert"),"Not possible ▲",IF(VLOOKUP(AI190,'G-7 WaterC'' Data'!$AA$4:$AB$7,2,FALSE)=0,"Spatial Data Missing ⚠",VLOOKUP(AI190,'G-7 WaterC'' Data'!$AA$4:$AB$7,2,FALSE)))))</f>
        <v/>
      </c>
      <c r="AK190" s="110"/>
      <c r="AL190" s="316" t="str">
        <f>IF(AK190="","",IF(AND(AK190="N/A - Culvert",N190&lt;&gt;"Culvert"),"Not possible ▲",IF(VLOOKUP(AK190,'G-7 WaterC'' Data'!$AD$4:$AE$14,2,FALSE)=0,"Spatial Data Missing ⚠",VLOOKUP(AK190,'G-7 WaterC'' Data'!$AD$4:$AE$14,2,FALSE))))</f>
        <v/>
      </c>
      <c r="AM190" s="281" t="str">
        <f>IF(B190="","",VLOOKUP($B190,'F-1 Off-Site WaterC'' Baseline'!$C$9:$Z$257,17,FALSE))</f>
        <v/>
      </c>
      <c r="AN190" s="282" t="str">
        <f>IF(AM190="","",IF(VLOOKUP(AM190,'G-7 WaterC'' Data'!$AO$4:$BO$7,2,FALSE)=0,"Spatial Data Missing ⚠",VLOOKUP(AM190,'G-7 WaterC'' Data'!$AO$4:$BO$7,2,FALSE)))</f>
        <v/>
      </c>
      <c r="AO190" s="323" t="str">
        <f t="shared" si="29"/>
        <v/>
      </c>
      <c r="AP190" s="323" t="str">
        <f t="shared" si="30"/>
        <v/>
      </c>
      <c r="AQ190" s="105"/>
      <c r="AR190" s="119"/>
      <c r="AS190" s="108"/>
      <c r="AT190" s="108"/>
      <c r="AW190" s="30" t="str">
        <f>IF(E190="","",VLOOKUP($B190,'F-1 Off-Site WaterC'' Baseline'!$C$9:$Z$257,12,FALSE))</f>
        <v/>
      </c>
      <c r="AX190" s="30" t="str">
        <f>IF(E190="","",VLOOKUP($B190,'F-1 Off-Site WaterC'' Baseline'!$C$9:$Z$257,14,FALSE))</f>
        <v/>
      </c>
      <c r="AY190" s="30" t="str">
        <f>IFERROR(INDEX('G-7 WaterC'' Data'!$AZ$3:$AZ$7,MATCH(N190,'G-7 WaterC'' Data'!$AY$3:$AY$7,0)),"")</f>
        <v/>
      </c>
      <c r="AZ190" s="30" t="str">
        <f>IF(B190="","",IF(ISNA(VLOOKUP($B190,'F-1 Off-Site WaterC'' Baseline'!$C$8:$AD$257,20,FALSE)),"",(VLOOKUP($B190,'F-1 Off-Site WaterC'' Baseline'!$C$8:$AD$257,20,FALSE))))</f>
        <v/>
      </c>
      <c r="BC190" s="30" t="str">
        <f>IF(B190="","",VLOOKUP($B190,'F-1 Off-Site WaterC'' Baseline'!$C$9:$AB$257,25,FALSE))</f>
        <v/>
      </c>
      <c r="BD190" s="30" t="str">
        <f t="shared" si="31"/>
        <v/>
      </c>
      <c r="BE190" s="30" t="str">
        <f>IF(B190="","",VLOOKUP($B190,'F-1 Off-Site WaterC'' Baseline'!$C$9:$AB$257,24,FALSE))</f>
        <v/>
      </c>
      <c r="BF190" s="30" t="str">
        <f>IF(B190="","",VLOOKUP($B190,'F-1 Off-Site WaterC'' Baseline'!$C$9:$AB$257,22,FALSE))</f>
        <v/>
      </c>
      <c r="BJ190" s="30" t="str">
        <f t="shared" si="32"/>
        <v>No</v>
      </c>
    </row>
    <row r="191" spans="2:62" ht="13.8" x14ac:dyDescent="0.25">
      <c r="B191" s="311" t="str">
        <f>'F-1 Off-Site WaterC'' Baseline'!AS189</f>
        <v/>
      </c>
      <c r="C191" s="301" t="str">
        <f>IF(B191="","",VLOOKUP($B191,'F-1 Off-Site WaterC'' Baseline'!$C$9:$R$257,2,FALSE))</f>
        <v/>
      </c>
      <c r="D191" s="301" t="str">
        <f>IF(C191="","",VLOOKUP($B191,'F-1 Off-Site WaterC'' Baseline'!$C$9:$R$257,3,FALSE))</f>
        <v/>
      </c>
      <c r="E191" s="301" t="str">
        <f>IF(D191="","",VLOOKUP($B191,'F-1 Off-Site WaterC'' Baseline'!$C$9:$R$257,4,FALSE))</f>
        <v/>
      </c>
      <c r="F191" s="301" t="str">
        <f>IF(E191="","",VLOOKUP($B191,'F-1 Off-Site WaterC'' Baseline'!$C$9:$R$257,5,FALSE))</f>
        <v/>
      </c>
      <c r="G191" s="301" t="str">
        <f>IF(F191="","",VLOOKUP($B191,'F-1 Off-Site WaterC'' Baseline'!$C$9:$R$257,6,FALSE))</f>
        <v/>
      </c>
      <c r="H191" s="301" t="str">
        <f>IF(G191="","",VLOOKUP($B191,'F-1 Off-Site WaterC'' Baseline'!$C$9:$R$257,7,FALSE))</f>
        <v/>
      </c>
      <c r="I191" s="301" t="str">
        <f>IF(H191="","",VLOOKUP($B191,'F-1 Off-Site WaterC'' Baseline'!$C$9:$R$257,8,FALSE))</f>
        <v/>
      </c>
      <c r="J191" s="301" t="str">
        <f>IF(I191="","",VLOOKUP($B191,'F-1 Off-Site WaterC'' Baseline'!$C$9:$R$257,9,FALSE))</f>
        <v/>
      </c>
      <c r="K191" s="301" t="str">
        <f>IF(J191="","",VLOOKUP($B191,'F-1 Off-Site WaterC'' Baseline'!$C$9:$R$257,10,FALSE))</f>
        <v/>
      </c>
      <c r="L191" s="289" t="str">
        <f>IF(B191="","",VLOOKUP($B191,'F-1 Off-Site WaterC'' Baseline'!$C$9:$R$257,15,FALSE))</f>
        <v/>
      </c>
      <c r="M191" s="305" t="str">
        <f>IF(L191="","",VLOOKUP($B191,'F-1 Off-Site WaterC'' Baseline'!$C$9:$V$257,19,FALSE))</f>
        <v/>
      </c>
      <c r="N191" s="250"/>
      <c r="O191" s="281" t="str">
        <f t="shared" si="25"/>
        <v/>
      </c>
      <c r="P191" s="282" t="str">
        <f t="shared" si="26"/>
        <v/>
      </c>
      <c r="Q191" s="287" t="str">
        <f>IF(N191="","",VLOOKUP(B191,'F-1 Off-Site WaterC'' Baseline'!$C$10:$AF$257,23,FALSE))</f>
        <v/>
      </c>
      <c r="R191" s="281" t="str">
        <f>IF(N191="","",VLOOKUP(N191,'G-7 WaterC'' Data'!$B$2:$G$8,2,FALSE))</f>
        <v/>
      </c>
      <c r="S191" s="282" t="str">
        <f>IFERROR(VLOOKUP(R191,'G-7 WaterC'' Data'!$C$4:$D$8,2,FALSE),"")</f>
        <v/>
      </c>
      <c r="T191" s="105"/>
      <c r="U191" s="282" t="str">
        <f>IFERROR(INDEX('G-7 WaterC'' Data'!$H$4:$L$8,MATCH(N191,'G-7 WaterC'' Data'!$B$4:$B$8,0),MATCH(T191,'G-7 WaterC'' Data'!$H$3:$L$3,0)),"")</f>
        <v/>
      </c>
      <c r="V191" s="109"/>
      <c r="W191" s="301" t="str">
        <f>IF(V191="","",IF(VLOOKUP(V191,'G-7 WaterC'' Data'!$AK$4:$AM$6,2,FALSE)=0,"Spatial Data Missing ⚠",VLOOKUP(V191,'G-7 WaterC'' Data'!$AK$4:$AM$6,2,FALSE)))</f>
        <v/>
      </c>
      <c r="X191" s="305" t="str">
        <f>IF(V191="","",IF(VLOOKUP(V191,'G-7 WaterC'' Data'!$AK$4:$AM$6,3,FALSE)=0,"Spatial Data Missing ⚠",VLOOKUP(V191,'G-7 WaterC'' Data'!$AK$4:$AM$6,3,FALSE)))</f>
        <v/>
      </c>
      <c r="Y191" s="317" t="str">
        <f>IFERROR(IF(OR(LEFT(P191,5)="Error",LEFT(O191,5)="Error"),"Check Data ⚠",IF(F191&lt;S191,'G-7 WaterC'' Data'!$R$3,INDEX('G-7 WaterC'' Data'!$U$5:$Y$9,MATCH(G191,'G-7 WaterC'' Data'!$T$5:$T$9,0),MATCH(T191,'G-7 WaterC'' Data'!$U$4:$Y$4,0)))),"")</f>
        <v/>
      </c>
      <c r="Z191" s="142"/>
      <c r="AA191" s="142"/>
      <c r="AB191" s="314" t="str">
        <f t="shared" si="22"/>
        <v/>
      </c>
      <c r="AC191" s="302" t="str">
        <f t="shared" si="27"/>
        <v/>
      </c>
      <c r="AD191" s="340" t="str">
        <f>IFERROR(IF(AC191="Check Data ⚠","Check Data ⚠",VLOOKUP(AC191,'G-4 Temporal multipliers'!$A$4:$C$37,3,FALSE)),"")</f>
        <v/>
      </c>
      <c r="AE191" s="317" t="str">
        <f>IF(N191="","",VLOOKUP(N191,'G-7 WaterC'' Data'!$B$4:$G$8,5,FALSE))</f>
        <v/>
      </c>
      <c r="AF191" s="301" t="str">
        <f t="shared" si="23"/>
        <v/>
      </c>
      <c r="AG191" s="301" t="str">
        <f t="shared" si="28"/>
        <v/>
      </c>
      <c r="AH191" s="282" t="str">
        <f t="shared" si="24"/>
        <v/>
      </c>
      <c r="AI191" s="109"/>
      <c r="AJ191" s="282" t="str">
        <f>IF(AI191="","",(IF(AND(AI191="N/A - Culvert",N191&lt;&gt;"Culvert"),"Not possible ▲",IF(VLOOKUP(AI191,'G-7 WaterC'' Data'!$AA$4:$AB$7,2,FALSE)=0,"Spatial Data Missing ⚠",VLOOKUP(AI191,'G-7 WaterC'' Data'!$AA$4:$AB$7,2,FALSE)))))</f>
        <v/>
      </c>
      <c r="AK191" s="110"/>
      <c r="AL191" s="316" t="str">
        <f>IF(AK191="","",IF(AND(AK191="N/A - Culvert",N191&lt;&gt;"Culvert"),"Not possible ▲",IF(VLOOKUP(AK191,'G-7 WaterC'' Data'!$AD$4:$AE$14,2,FALSE)=0,"Spatial Data Missing ⚠",VLOOKUP(AK191,'G-7 WaterC'' Data'!$AD$4:$AE$14,2,FALSE))))</f>
        <v/>
      </c>
      <c r="AM191" s="281" t="str">
        <f>IF(B191="","",VLOOKUP($B191,'F-1 Off-Site WaterC'' Baseline'!$C$9:$Z$257,17,FALSE))</f>
        <v/>
      </c>
      <c r="AN191" s="282" t="str">
        <f>IF(AM191="","",IF(VLOOKUP(AM191,'G-7 WaterC'' Data'!$AO$4:$BO$7,2,FALSE)=0,"Spatial Data Missing ⚠",VLOOKUP(AM191,'G-7 WaterC'' Data'!$AO$4:$BO$7,2,FALSE)))</f>
        <v/>
      </c>
      <c r="AO191" s="323" t="str">
        <f t="shared" si="29"/>
        <v/>
      </c>
      <c r="AP191" s="323" t="str">
        <f t="shared" si="30"/>
        <v/>
      </c>
      <c r="AQ191" s="105"/>
      <c r="AR191" s="119"/>
      <c r="AS191" s="108"/>
      <c r="AT191" s="108"/>
      <c r="AW191" s="30" t="str">
        <f>IF(E191="","",VLOOKUP($B191,'F-1 Off-Site WaterC'' Baseline'!$C$9:$Z$257,12,FALSE))</f>
        <v/>
      </c>
      <c r="AX191" s="30" t="str">
        <f>IF(E191="","",VLOOKUP($B191,'F-1 Off-Site WaterC'' Baseline'!$C$9:$Z$257,14,FALSE))</f>
        <v/>
      </c>
      <c r="AY191" s="30" t="str">
        <f>IFERROR(INDEX('G-7 WaterC'' Data'!$AZ$3:$AZ$7,MATCH(N191,'G-7 WaterC'' Data'!$AY$3:$AY$7,0)),"")</f>
        <v/>
      </c>
      <c r="AZ191" s="30" t="str">
        <f>IF(B191="","",IF(ISNA(VLOOKUP($B191,'F-1 Off-Site WaterC'' Baseline'!$C$8:$AD$257,20,FALSE)),"",(VLOOKUP($B191,'F-1 Off-Site WaterC'' Baseline'!$C$8:$AD$257,20,FALSE))))</f>
        <v/>
      </c>
      <c r="BC191" s="30" t="str">
        <f>IF(B191="","",VLOOKUP($B191,'F-1 Off-Site WaterC'' Baseline'!$C$9:$AB$257,25,FALSE))</f>
        <v/>
      </c>
      <c r="BD191" s="30" t="str">
        <f t="shared" si="31"/>
        <v/>
      </c>
      <c r="BE191" s="30" t="str">
        <f>IF(B191="","",VLOOKUP($B191,'F-1 Off-Site WaterC'' Baseline'!$C$9:$AB$257,24,FALSE))</f>
        <v/>
      </c>
      <c r="BF191" s="30" t="str">
        <f>IF(B191="","",VLOOKUP($B191,'F-1 Off-Site WaterC'' Baseline'!$C$9:$AB$257,22,FALSE))</f>
        <v/>
      </c>
      <c r="BJ191" s="30" t="str">
        <f t="shared" si="32"/>
        <v>No</v>
      </c>
    </row>
    <row r="192" spans="2:62" ht="13.8" x14ac:dyDescent="0.25">
      <c r="B192" s="311" t="str">
        <f>'F-1 Off-Site WaterC'' Baseline'!AS190</f>
        <v/>
      </c>
      <c r="C192" s="301" t="str">
        <f>IF(B192="","",VLOOKUP($B192,'F-1 Off-Site WaterC'' Baseline'!$C$9:$R$257,2,FALSE))</f>
        <v/>
      </c>
      <c r="D192" s="301" t="str">
        <f>IF(C192="","",VLOOKUP($B192,'F-1 Off-Site WaterC'' Baseline'!$C$9:$R$257,3,FALSE))</f>
        <v/>
      </c>
      <c r="E192" s="301" t="str">
        <f>IF(D192="","",VLOOKUP($B192,'F-1 Off-Site WaterC'' Baseline'!$C$9:$R$257,4,FALSE))</f>
        <v/>
      </c>
      <c r="F192" s="301" t="str">
        <f>IF(E192="","",VLOOKUP($B192,'F-1 Off-Site WaterC'' Baseline'!$C$9:$R$257,5,FALSE))</f>
        <v/>
      </c>
      <c r="G192" s="301" t="str">
        <f>IF(F192="","",VLOOKUP($B192,'F-1 Off-Site WaterC'' Baseline'!$C$9:$R$257,6,FALSE))</f>
        <v/>
      </c>
      <c r="H192" s="301" t="str">
        <f>IF(G192="","",VLOOKUP($B192,'F-1 Off-Site WaterC'' Baseline'!$C$9:$R$257,7,FALSE))</f>
        <v/>
      </c>
      <c r="I192" s="301" t="str">
        <f>IF(H192="","",VLOOKUP($B192,'F-1 Off-Site WaterC'' Baseline'!$C$9:$R$257,8,FALSE))</f>
        <v/>
      </c>
      <c r="J192" s="301" t="str">
        <f>IF(I192="","",VLOOKUP($B192,'F-1 Off-Site WaterC'' Baseline'!$C$9:$R$257,9,FALSE))</f>
        <v/>
      </c>
      <c r="K192" s="301" t="str">
        <f>IF(J192="","",VLOOKUP($B192,'F-1 Off-Site WaterC'' Baseline'!$C$9:$R$257,10,FALSE))</f>
        <v/>
      </c>
      <c r="L192" s="289" t="str">
        <f>IF(B192="","",VLOOKUP($B192,'F-1 Off-Site WaterC'' Baseline'!$C$9:$R$257,15,FALSE))</f>
        <v/>
      </c>
      <c r="M192" s="305" t="str">
        <f>IF(L192="","",VLOOKUP($B192,'F-1 Off-Site WaterC'' Baseline'!$C$9:$V$257,19,FALSE))</f>
        <v/>
      </c>
      <c r="N192" s="250"/>
      <c r="O192" s="281" t="str">
        <f t="shared" si="25"/>
        <v/>
      </c>
      <c r="P192" s="282" t="str">
        <f t="shared" si="26"/>
        <v/>
      </c>
      <c r="Q192" s="287" t="str">
        <f>IF(N192="","",VLOOKUP(B192,'F-1 Off-Site WaterC'' Baseline'!$C$10:$AF$257,23,FALSE))</f>
        <v/>
      </c>
      <c r="R192" s="281" t="str">
        <f>IF(N192="","",VLOOKUP(N192,'G-7 WaterC'' Data'!$B$2:$G$8,2,FALSE))</f>
        <v/>
      </c>
      <c r="S192" s="282" t="str">
        <f>IFERROR(VLOOKUP(R192,'G-7 WaterC'' Data'!$C$4:$D$8,2,FALSE),"")</f>
        <v/>
      </c>
      <c r="T192" s="105"/>
      <c r="U192" s="282" t="str">
        <f>IFERROR(INDEX('G-7 WaterC'' Data'!$H$4:$L$8,MATCH(N192,'G-7 WaterC'' Data'!$B$4:$B$8,0),MATCH(T192,'G-7 WaterC'' Data'!$H$3:$L$3,0)),"")</f>
        <v/>
      </c>
      <c r="V192" s="109"/>
      <c r="W192" s="301" t="str">
        <f>IF(V192="","",IF(VLOOKUP(V192,'G-7 WaterC'' Data'!$AK$4:$AM$6,2,FALSE)=0,"Spatial Data Missing ⚠",VLOOKUP(V192,'G-7 WaterC'' Data'!$AK$4:$AM$6,2,FALSE)))</f>
        <v/>
      </c>
      <c r="X192" s="305" t="str">
        <f>IF(V192="","",IF(VLOOKUP(V192,'G-7 WaterC'' Data'!$AK$4:$AM$6,3,FALSE)=0,"Spatial Data Missing ⚠",VLOOKUP(V192,'G-7 WaterC'' Data'!$AK$4:$AM$6,3,FALSE)))</f>
        <v/>
      </c>
      <c r="Y192" s="317" t="str">
        <f>IFERROR(IF(OR(LEFT(P192,5)="Error",LEFT(O192,5)="Error"),"Check Data ⚠",IF(F192&lt;S192,'G-7 WaterC'' Data'!$R$3,INDEX('G-7 WaterC'' Data'!$U$5:$Y$9,MATCH(G192,'G-7 WaterC'' Data'!$T$5:$T$9,0),MATCH(T192,'G-7 WaterC'' Data'!$U$4:$Y$4,0)))),"")</f>
        <v/>
      </c>
      <c r="Z192" s="142"/>
      <c r="AA192" s="142"/>
      <c r="AB192" s="314" t="str">
        <f t="shared" si="22"/>
        <v/>
      </c>
      <c r="AC192" s="302" t="str">
        <f t="shared" si="27"/>
        <v/>
      </c>
      <c r="AD192" s="340" t="str">
        <f>IFERROR(IF(AC192="Check Data ⚠","Check Data ⚠",VLOOKUP(AC192,'G-4 Temporal multipliers'!$A$4:$C$37,3,FALSE)),"")</f>
        <v/>
      </c>
      <c r="AE192" s="317" t="str">
        <f>IF(N192="","",VLOOKUP(N192,'G-7 WaterC'' Data'!$B$4:$G$8,5,FALSE))</f>
        <v/>
      </c>
      <c r="AF192" s="301" t="str">
        <f t="shared" si="23"/>
        <v/>
      </c>
      <c r="AG192" s="301" t="str">
        <f t="shared" si="28"/>
        <v/>
      </c>
      <c r="AH192" s="282" t="str">
        <f t="shared" si="24"/>
        <v/>
      </c>
      <c r="AI192" s="109"/>
      <c r="AJ192" s="282" t="str">
        <f>IF(AI192="","",(IF(AND(AI192="N/A - Culvert",N192&lt;&gt;"Culvert"),"Not possible ▲",IF(VLOOKUP(AI192,'G-7 WaterC'' Data'!$AA$4:$AB$7,2,FALSE)=0,"Spatial Data Missing ⚠",VLOOKUP(AI192,'G-7 WaterC'' Data'!$AA$4:$AB$7,2,FALSE)))))</f>
        <v/>
      </c>
      <c r="AK192" s="110"/>
      <c r="AL192" s="316" t="str">
        <f>IF(AK192="","",IF(AND(AK192="N/A - Culvert",N192&lt;&gt;"Culvert"),"Not possible ▲",IF(VLOOKUP(AK192,'G-7 WaterC'' Data'!$AD$4:$AE$14,2,FALSE)=0,"Spatial Data Missing ⚠",VLOOKUP(AK192,'G-7 WaterC'' Data'!$AD$4:$AE$14,2,FALSE))))</f>
        <v/>
      </c>
      <c r="AM192" s="281" t="str">
        <f>IF(B192="","",VLOOKUP($B192,'F-1 Off-Site WaterC'' Baseline'!$C$9:$Z$257,17,FALSE))</f>
        <v/>
      </c>
      <c r="AN192" s="282" t="str">
        <f>IF(AM192="","",IF(VLOOKUP(AM192,'G-7 WaterC'' Data'!$AO$4:$BO$7,2,FALSE)=0,"Spatial Data Missing ⚠",VLOOKUP(AM192,'G-7 WaterC'' Data'!$AO$4:$BO$7,2,FALSE)))</f>
        <v/>
      </c>
      <c r="AO192" s="323" t="str">
        <f t="shared" si="29"/>
        <v/>
      </c>
      <c r="AP192" s="323" t="str">
        <f t="shared" si="30"/>
        <v/>
      </c>
      <c r="AQ192" s="105"/>
      <c r="AR192" s="119"/>
      <c r="AS192" s="108"/>
      <c r="AT192" s="108"/>
      <c r="AW192" s="30" t="str">
        <f>IF(E192="","",VLOOKUP($B192,'F-1 Off-Site WaterC'' Baseline'!$C$9:$Z$257,12,FALSE))</f>
        <v/>
      </c>
      <c r="AX192" s="30" t="str">
        <f>IF(E192="","",VLOOKUP($B192,'F-1 Off-Site WaterC'' Baseline'!$C$9:$Z$257,14,FALSE))</f>
        <v/>
      </c>
      <c r="AY192" s="30" t="str">
        <f>IFERROR(INDEX('G-7 WaterC'' Data'!$AZ$3:$AZ$7,MATCH(N192,'G-7 WaterC'' Data'!$AY$3:$AY$7,0)),"")</f>
        <v/>
      </c>
      <c r="AZ192" s="30" t="str">
        <f>IF(B192="","",IF(ISNA(VLOOKUP($B192,'F-1 Off-Site WaterC'' Baseline'!$C$8:$AD$257,20,FALSE)),"",(VLOOKUP($B192,'F-1 Off-Site WaterC'' Baseline'!$C$8:$AD$257,20,FALSE))))</f>
        <v/>
      </c>
      <c r="BC192" s="30" t="str">
        <f>IF(B192="","",VLOOKUP($B192,'F-1 Off-Site WaterC'' Baseline'!$C$9:$AB$257,25,FALSE))</f>
        <v/>
      </c>
      <c r="BD192" s="30" t="str">
        <f t="shared" si="31"/>
        <v/>
      </c>
      <c r="BE192" s="30" t="str">
        <f>IF(B192="","",VLOOKUP($B192,'F-1 Off-Site WaterC'' Baseline'!$C$9:$AB$257,24,FALSE))</f>
        <v/>
      </c>
      <c r="BF192" s="30" t="str">
        <f>IF(B192="","",VLOOKUP($B192,'F-1 Off-Site WaterC'' Baseline'!$C$9:$AB$257,22,FALSE))</f>
        <v/>
      </c>
      <c r="BJ192" s="30" t="str">
        <f t="shared" si="32"/>
        <v>No</v>
      </c>
    </row>
    <row r="193" spans="2:62" ht="13.8" x14ac:dyDescent="0.25">
      <c r="B193" s="311" t="str">
        <f>'F-1 Off-Site WaterC'' Baseline'!AS191</f>
        <v/>
      </c>
      <c r="C193" s="301" t="str">
        <f>IF(B193="","",VLOOKUP($B193,'F-1 Off-Site WaterC'' Baseline'!$C$9:$R$257,2,FALSE))</f>
        <v/>
      </c>
      <c r="D193" s="301" t="str">
        <f>IF(C193="","",VLOOKUP($B193,'F-1 Off-Site WaterC'' Baseline'!$C$9:$R$257,3,FALSE))</f>
        <v/>
      </c>
      <c r="E193" s="301" t="str">
        <f>IF(D193="","",VLOOKUP($B193,'F-1 Off-Site WaterC'' Baseline'!$C$9:$R$257,4,FALSE))</f>
        <v/>
      </c>
      <c r="F193" s="301" t="str">
        <f>IF(E193="","",VLOOKUP($B193,'F-1 Off-Site WaterC'' Baseline'!$C$9:$R$257,5,FALSE))</f>
        <v/>
      </c>
      <c r="G193" s="301" t="str">
        <f>IF(F193="","",VLOOKUP($B193,'F-1 Off-Site WaterC'' Baseline'!$C$9:$R$257,6,FALSE))</f>
        <v/>
      </c>
      <c r="H193" s="301" t="str">
        <f>IF(G193="","",VLOOKUP($B193,'F-1 Off-Site WaterC'' Baseline'!$C$9:$R$257,7,FALSE))</f>
        <v/>
      </c>
      <c r="I193" s="301" t="str">
        <f>IF(H193="","",VLOOKUP($B193,'F-1 Off-Site WaterC'' Baseline'!$C$9:$R$257,8,FALSE))</f>
        <v/>
      </c>
      <c r="J193" s="301" t="str">
        <f>IF(I193="","",VLOOKUP($B193,'F-1 Off-Site WaterC'' Baseline'!$C$9:$R$257,9,FALSE))</f>
        <v/>
      </c>
      <c r="K193" s="301" t="str">
        <f>IF(J193="","",VLOOKUP($B193,'F-1 Off-Site WaterC'' Baseline'!$C$9:$R$257,10,FALSE))</f>
        <v/>
      </c>
      <c r="L193" s="289" t="str">
        <f>IF(B193="","",VLOOKUP($B193,'F-1 Off-Site WaterC'' Baseline'!$C$9:$R$257,15,FALSE))</f>
        <v/>
      </c>
      <c r="M193" s="305" t="str">
        <f>IF(L193="","",VLOOKUP($B193,'F-1 Off-Site WaterC'' Baseline'!$C$9:$V$257,19,FALSE))</f>
        <v/>
      </c>
      <c r="N193" s="250"/>
      <c r="O193" s="281" t="str">
        <f t="shared" si="25"/>
        <v/>
      </c>
      <c r="P193" s="282" t="str">
        <f t="shared" si="26"/>
        <v/>
      </c>
      <c r="Q193" s="287" t="str">
        <f>IF(N193="","",VLOOKUP(B193,'F-1 Off-Site WaterC'' Baseline'!$C$10:$AF$257,23,FALSE))</f>
        <v/>
      </c>
      <c r="R193" s="281" t="str">
        <f>IF(N193="","",VLOOKUP(N193,'G-7 WaterC'' Data'!$B$2:$G$8,2,FALSE))</f>
        <v/>
      </c>
      <c r="S193" s="282" t="str">
        <f>IFERROR(VLOOKUP(R193,'G-7 WaterC'' Data'!$C$4:$D$8,2,FALSE),"")</f>
        <v/>
      </c>
      <c r="T193" s="105"/>
      <c r="U193" s="282" t="str">
        <f>IFERROR(INDEX('G-7 WaterC'' Data'!$H$4:$L$8,MATCH(N193,'G-7 WaterC'' Data'!$B$4:$B$8,0),MATCH(T193,'G-7 WaterC'' Data'!$H$3:$L$3,0)),"")</f>
        <v/>
      </c>
      <c r="V193" s="109"/>
      <c r="W193" s="301" t="str">
        <f>IF(V193="","",IF(VLOOKUP(V193,'G-7 WaterC'' Data'!$AK$4:$AM$6,2,FALSE)=0,"Spatial Data Missing ⚠",VLOOKUP(V193,'G-7 WaterC'' Data'!$AK$4:$AM$6,2,FALSE)))</f>
        <v/>
      </c>
      <c r="X193" s="305" t="str">
        <f>IF(V193="","",IF(VLOOKUP(V193,'G-7 WaterC'' Data'!$AK$4:$AM$6,3,FALSE)=0,"Spatial Data Missing ⚠",VLOOKUP(V193,'G-7 WaterC'' Data'!$AK$4:$AM$6,3,FALSE)))</f>
        <v/>
      </c>
      <c r="Y193" s="317" t="str">
        <f>IFERROR(IF(OR(LEFT(P193,5)="Error",LEFT(O193,5)="Error"),"Check Data ⚠",IF(F193&lt;S193,'G-7 WaterC'' Data'!$R$3,INDEX('G-7 WaterC'' Data'!$U$5:$Y$9,MATCH(G193,'G-7 WaterC'' Data'!$T$5:$T$9,0),MATCH(T193,'G-7 WaterC'' Data'!$U$4:$Y$4,0)))),"")</f>
        <v/>
      </c>
      <c r="Z193" s="142"/>
      <c r="AA193" s="142"/>
      <c r="AB193" s="314" t="str">
        <f t="shared" si="22"/>
        <v/>
      </c>
      <c r="AC193" s="302" t="str">
        <f t="shared" si="27"/>
        <v/>
      </c>
      <c r="AD193" s="340" t="str">
        <f>IFERROR(IF(AC193="Check Data ⚠","Check Data ⚠",VLOOKUP(AC193,'G-4 Temporal multipliers'!$A$4:$C$37,3,FALSE)),"")</f>
        <v/>
      </c>
      <c r="AE193" s="317" t="str">
        <f>IF(N193="","",VLOOKUP(N193,'G-7 WaterC'' Data'!$B$4:$G$8,5,FALSE))</f>
        <v/>
      </c>
      <c r="AF193" s="301" t="str">
        <f t="shared" si="23"/>
        <v/>
      </c>
      <c r="AG193" s="301" t="str">
        <f t="shared" si="28"/>
        <v/>
      </c>
      <c r="AH193" s="282" t="str">
        <f t="shared" si="24"/>
        <v/>
      </c>
      <c r="AI193" s="109"/>
      <c r="AJ193" s="282" t="str">
        <f>IF(AI193="","",(IF(AND(AI193="N/A - Culvert",N193&lt;&gt;"Culvert"),"Not possible ▲",IF(VLOOKUP(AI193,'G-7 WaterC'' Data'!$AA$4:$AB$7,2,FALSE)=0,"Spatial Data Missing ⚠",VLOOKUP(AI193,'G-7 WaterC'' Data'!$AA$4:$AB$7,2,FALSE)))))</f>
        <v/>
      </c>
      <c r="AK193" s="110"/>
      <c r="AL193" s="316" t="str">
        <f>IF(AK193="","",IF(AND(AK193="N/A - Culvert",N193&lt;&gt;"Culvert"),"Not possible ▲",IF(VLOOKUP(AK193,'G-7 WaterC'' Data'!$AD$4:$AE$14,2,FALSE)=0,"Spatial Data Missing ⚠",VLOOKUP(AK193,'G-7 WaterC'' Data'!$AD$4:$AE$14,2,FALSE))))</f>
        <v/>
      </c>
      <c r="AM193" s="281" t="str">
        <f>IF(B193="","",VLOOKUP($B193,'F-1 Off-Site WaterC'' Baseline'!$C$9:$Z$257,17,FALSE))</f>
        <v/>
      </c>
      <c r="AN193" s="282" t="str">
        <f>IF(AM193="","",IF(VLOOKUP(AM193,'G-7 WaterC'' Data'!$AO$4:$BO$7,2,FALSE)=0,"Spatial Data Missing ⚠",VLOOKUP(AM193,'G-7 WaterC'' Data'!$AO$4:$BO$7,2,FALSE)))</f>
        <v/>
      </c>
      <c r="AO193" s="323" t="str">
        <f t="shared" si="29"/>
        <v/>
      </c>
      <c r="AP193" s="323" t="str">
        <f t="shared" si="30"/>
        <v/>
      </c>
      <c r="AQ193" s="105"/>
      <c r="AR193" s="119"/>
      <c r="AS193" s="108"/>
      <c r="AT193" s="108"/>
      <c r="AW193" s="30" t="str">
        <f>IF(E193="","",VLOOKUP($B193,'F-1 Off-Site WaterC'' Baseline'!$C$9:$Z$257,12,FALSE))</f>
        <v/>
      </c>
      <c r="AX193" s="30" t="str">
        <f>IF(E193="","",VLOOKUP($B193,'F-1 Off-Site WaterC'' Baseline'!$C$9:$Z$257,14,FALSE))</f>
        <v/>
      </c>
      <c r="AY193" s="30" t="str">
        <f>IFERROR(INDEX('G-7 WaterC'' Data'!$AZ$3:$AZ$7,MATCH(N193,'G-7 WaterC'' Data'!$AY$3:$AY$7,0)),"")</f>
        <v/>
      </c>
      <c r="AZ193" s="30" t="str">
        <f>IF(B193="","",IF(ISNA(VLOOKUP($B193,'F-1 Off-Site WaterC'' Baseline'!$C$8:$AD$257,20,FALSE)),"",(VLOOKUP($B193,'F-1 Off-Site WaterC'' Baseline'!$C$8:$AD$257,20,FALSE))))</f>
        <v/>
      </c>
      <c r="BC193" s="30" t="str">
        <f>IF(B193="","",VLOOKUP($B193,'F-1 Off-Site WaterC'' Baseline'!$C$9:$AB$257,25,FALSE))</f>
        <v/>
      </c>
      <c r="BD193" s="30" t="str">
        <f t="shared" si="31"/>
        <v/>
      </c>
      <c r="BE193" s="30" t="str">
        <f>IF(B193="","",VLOOKUP($B193,'F-1 Off-Site WaterC'' Baseline'!$C$9:$AB$257,24,FALSE))</f>
        <v/>
      </c>
      <c r="BF193" s="30" t="str">
        <f>IF(B193="","",VLOOKUP($B193,'F-1 Off-Site WaterC'' Baseline'!$C$9:$AB$257,22,FALSE))</f>
        <v/>
      </c>
      <c r="BJ193" s="30" t="str">
        <f t="shared" si="32"/>
        <v>No</v>
      </c>
    </row>
    <row r="194" spans="2:62" ht="13.8" x14ac:dyDescent="0.25">
      <c r="B194" s="311" t="str">
        <f>'F-1 Off-Site WaterC'' Baseline'!AS192</f>
        <v/>
      </c>
      <c r="C194" s="301" t="str">
        <f>IF(B194="","",VLOOKUP($B194,'F-1 Off-Site WaterC'' Baseline'!$C$9:$R$257,2,FALSE))</f>
        <v/>
      </c>
      <c r="D194" s="301" t="str">
        <f>IF(C194="","",VLOOKUP($B194,'F-1 Off-Site WaterC'' Baseline'!$C$9:$R$257,3,FALSE))</f>
        <v/>
      </c>
      <c r="E194" s="301" t="str">
        <f>IF(D194="","",VLOOKUP($B194,'F-1 Off-Site WaterC'' Baseline'!$C$9:$R$257,4,FALSE))</f>
        <v/>
      </c>
      <c r="F194" s="301" t="str">
        <f>IF(E194="","",VLOOKUP($B194,'F-1 Off-Site WaterC'' Baseline'!$C$9:$R$257,5,FALSE))</f>
        <v/>
      </c>
      <c r="G194" s="301" t="str">
        <f>IF(F194="","",VLOOKUP($B194,'F-1 Off-Site WaterC'' Baseline'!$C$9:$R$257,6,FALSE))</f>
        <v/>
      </c>
      <c r="H194" s="301" t="str">
        <f>IF(G194="","",VLOOKUP($B194,'F-1 Off-Site WaterC'' Baseline'!$C$9:$R$257,7,FALSE))</f>
        <v/>
      </c>
      <c r="I194" s="301" t="str">
        <f>IF(H194="","",VLOOKUP($B194,'F-1 Off-Site WaterC'' Baseline'!$C$9:$R$257,8,FALSE))</f>
        <v/>
      </c>
      <c r="J194" s="301" t="str">
        <f>IF(I194="","",VLOOKUP($B194,'F-1 Off-Site WaterC'' Baseline'!$C$9:$R$257,9,FALSE))</f>
        <v/>
      </c>
      <c r="K194" s="301" t="str">
        <f>IF(J194="","",VLOOKUP($B194,'F-1 Off-Site WaterC'' Baseline'!$C$9:$R$257,10,FALSE))</f>
        <v/>
      </c>
      <c r="L194" s="289" t="str">
        <f>IF(B194="","",VLOOKUP($B194,'F-1 Off-Site WaterC'' Baseline'!$C$9:$R$257,15,FALSE))</f>
        <v/>
      </c>
      <c r="M194" s="305" t="str">
        <f>IF(L194="","",VLOOKUP($B194,'F-1 Off-Site WaterC'' Baseline'!$C$9:$V$257,19,FALSE))</f>
        <v/>
      </c>
      <c r="N194" s="250"/>
      <c r="O194" s="281" t="str">
        <f t="shared" si="25"/>
        <v/>
      </c>
      <c r="P194" s="282" t="str">
        <f t="shared" si="26"/>
        <v/>
      </c>
      <c r="Q194" s="287" t="str">
        <f>IF(N194="","",VLOOKUP(B194,'F-1 Off-Site WaterC'' Baseline'!$C$10:$AF$257,23,FALSE))</f>
        <v/>
      </c>
      <c r="R194" s="281" t="str">
        <f>IF(N194="","",VLOOKUP(N194,'G-7 WaterC'' Data'!$B$2:$G$8,2,FALSE))</f>
        <v/>
      </c>
      <c r="S194" s="282" t="str">
        <f>IFERROR(VLOOKUP(R194,'G-7 WaterC'' Data'!$C$4:$D$8,2,FALSE),"")</f>
        <v/>
      </c>
      <c r="T194" s="105"/>
      <c r="U194" s="282" t="str">
        <f>IFERROR(INDEX('G-7 WaterC'' Data'!$H$4:$L$8,MATCH(N194,'G-7 WaterC'' Data'!$B$4:$B$8,0),MATCH(T194,'G-7 WaterC'' Data'!$H$3:$L$3,0)),"")</f>
        <v/>
      </c>
      <c r="V194" s="109"/>
      <c r="W194" s="301" t="str">
        <f>IF(V194="","",IF(VLOOKUP(V194,'G-7 WaterC'' Data'!$AK$4:$AM$6,2,FALSE)=0,"Spatial Data Missing ⚠",VLOOKUP(V194,'G-7 WaterC'' Data'!$AK$4:$AM$6,2,FALSE)))</f>
        <v/>
      </c>
      <c r="X194" s="305" t="str">
        <f>IF(V194="","",IF(VLOOKUP(V194,'G-7 WaterC'' Data'!$AK$4:$AM$6,3,FALSE)=0,"Spatial Data Missing ⚠",VLOOKUP(V194,'G-7 WaterC'' Data'!$AK$4:$AM$6,3,FALSE)))</f>
        <v/>
      </c>
      <c r="Y194" s="317" t="str">
        <f>IFERROR(IF(OR(LEFT(P194,5)="Error",LEFT(O194,5)="Error"),"Check Data ⚠",IF(F194&lt;S194,'G-7 WaterC'' Data'!$R$3,INDEX('G-7 WaterC'' Data'!$U$5:$Y$9,MATCH(G194,'G-7 WaterC'' Data'!$T$5:$T$9,0),MATCH(T194,'G-7 WaterC'' Data'!$U$4:$Y$4,0)))),"")</f>
        <v/>
      </c>
      <c r="Z194" s="142"/>
      <c r="AA194" s="142"/>
      <c r="AB194" s="314" t="str">
        <f t="shared" si="22"/>
        <v/>
      </c>
      <c r="AC194" s="302" t="str">
        <f t="shared" si="27"/>
        <v/>
      </c>
      <c r="AD194" s="340" t="str">
        <f>IFERROR(IF(AC194="Check Data ⚠","Check Data ⚠",VLOOKUP(AC194,'G-4 Temporal multipliers'!$A$4:$C$37,3,FALSE)),"")</f>
        <v/>
      </c>
      <c r="AE194" s="317" t="str">
        <f>IF(N194="","",VLOOKUP(N194,'G-7 WaterC'' Data'!$B$4:$G$8,5,FALSE))</f>
        <v/>
      </c>
      <c r="AF194" s="301" t="str">
        <f t="shared" si="23"/>
        <v/>
      </c>
      <c r="AG194" s="301" t="str">
        <f t="shared" si="28"/>
        <v/>
      </c>
      <c r="AH194" s="282" t="str">
        <f t="shared" si="24"/>
        <v/>
      </c>
      <c r="AI194" s="109"/>
      <c r="AJ194" s="282" t="str">
        <f>IF(AI194="","",(IF(AND(AI194="N/A - Culvert",N194&lt;&gt;"Culvert"),"Not possible ▲",IF(VLOOKUP(AI194,'G-7 WaterC'' Data'!$AA$4:$AB$7,2,FALSE)=0,"Spatial Data Missing ⚠",VLOOKUP(AI194,'G-7 WaterC'' Data'!$AA$4:$AB$7,2,FALSE)))))</f>
        <v/>
      </c>
      <c r="AK194" s="110"/>
      <c r="AL194" s="316" t="str">
        <f>IF(AK194="","",IF(AND(AK194="N/A - Culvert",N194&lt;&gt;"Culvert"),"Not possible ▲",IF(VLOOKUP(AK194,'G-7 WaterC'' Data'!$AD$4:$AE$14,2,FALSE)=0,"Spatial Data Missing ⚠",VLOOKUP(AK194,'G-7 WaterC'' Data'!$AD$4:$AE$14,2,FALSE))))</f>
        <v/>
      </c>
      <c r="AM194" s="281" t="str">
        <f>IF(B194="","",VLOOKUP($B194,'F-1 Off-Site WaterC'' Baseline'!$C$9:$Z$257,17,FALSE))</f>
        <v/>
      </c>
      <c r="AN194" s="282" t="str">
        <f>IF(AM194="","",IF(VLOOKUP(AM194,'G-7 WaterC'' Data'!$AO$4:$BO$7,2,FALSE)=0,"Spatial Data Missing ⚠",VLOOKUP(AM194,'G-7 WaterC'' Data'!$AO$4:$BO$7,2,FALSE)))</f>
        <v/>
      </c>
      <c r="AO194" s="323" t="str">
        <f t="shared" si="29"/>
        <v/>
      </c>
      <c r="AP194" s="323" t="str">
        <f t="shared" si="30"/>
        <v/>
      </c>
      <c r="AQ194" s="105"/>
      <c r="AR194" s="119"/>
      <c r="AS194" s="108"/>
      <c r="AT194" s="108"/>
      <c r="AW194" s="30" t="str">
        <f>IF(E194="","",VLOOKUP($B194,'F-1 Off-Site WaterC'' Baseline'!$C$9:$Z$257,12,FALSE))</f>
        <v/>
      </c>
      <c r="AX194" s="30" t="str">
        <f>IF(E194="","",VLOOKUP($B194,'F-1 Off-Site WaterC'' Baseline'!$C$9:$Z$257,14,FALSE))</f>
        <v/>
      </c>
      <c r="AY194" s="30" t="str">
        <f>IFERROR(INDEX('G-7 WaterC'' Data'!$AZ$3:$AZ$7,MATCH(N194,'G-7 WaterC'' Data'!$AY$3:$AY$7,0)),"")</f>
        <v/>
      </c>
      <c r="AZ194" s="30" t="str">
        <f>IF(B194="","",IF(ISNA(VLOOKUP($B194,'F-1 Off-Site WaterC'' Baseline'!$C$8:$AD$257,20,FALSE)),"",(VLOOKUP($B194,'F-1 Off-Site WaterC'' Baseline'!$C$8:$AD$257,20,FALSE))))</f>
        <v/>
      </c>
      <c r="BC194" s="30" t="str">
        <f>IF(B194="","",VLOOKUP($B194,'F-1 Off-Site WaterC'' Baseline'!$C$9:$AB$257,25,FALSE))</f>
        <v/>
      </c>
      <c r="BD194" s="30" t="str">
        <f t="shared" si="31"/>
        <v/>
      </c>
      <c r="BE194" s="30" t="str">
        <f>IF(B194="","",VLOOKUP($B194,'F-1 Off-Site WaterC'' Baseline'!$C$9:$AB$257,24,FALSE))</f>
        <v/>
      </c>
      <c r="BF194" s="30" t="str">
        <f>IF(B194="","",VLOOKUP($B194,'F-1 Off-Site WaterC'' Baseline'!$C$9:$AB$257,22,FALSE))</f>
        <v/>
      </c>
      <c r="BJ194" s="30" t="str">
        <f t="shared" si="32"/>
        <v>No</v>
      </c>
    </row>
    <row r="195" spans="2:62" ht="13.8" x14ac:dyDescent="0.25">
      <c r="B195" s="311" t="str">
        <f>'F-1 Off-Site WaterC'' Baseline'!AS193</f>
        <v/>
      </c>
      <c r="C195" s="301" t="str">
        <f>IF(B195="","",VLOOKUP($B195,'F-1 Off-Site WaterC'' Baseline'!$C$9:$R$257,2,FALSE))</f>
        <v/>
      </c>
      <c r="D195" s="301" t="str">
        <f>IF(C195="","",VLOOKUP($B195,'F-1 Off-Site WaterC'' Baseline'!$C$9:$R$257,3,FALSE))</f>
        <v/>
      </c>
      <c r="E195" s="301" t="str">
        <f>IF(D195="","",VLOOKUP($B195,'F-1 Off-Site WaterC'' Baseline'!$C$9:$R$257,4,FALSE))</f>
        <v/>
      </c>
      <c r="F195" s="301" t="str">
        <f>IF(E195="","",VLOOKUP($B195,'F-1 Off-Site WaterC'' Baseline'!$C$9:$R$257,5,FALSE))</f>
        <v/>
      </c>
      <c r="G195" s="301" t="str">
        <f>IF(F195="","",VLOOKUP($B195,'F-1 Off-Site WaterC'' Baseline'!$C$9:$R$257,6,FALSE))</f>
        <v/>
      </c>
      <c r="H195" s="301" t="str">
        <f>IF(G195="","",VLOOKUP($B195,'F-1 Off-Site WaterC'' Baseline'!$C$9:$R$257,7,FALSE))</f>
        <v/>
      </c>
      <c r="I195" s="301" t="str">
        <f>IF(H195="","",VLOOKUP($B195,'F-1 Off-Site WaterC'' Baseline'!$C$9:$R$257,8,FALSE))</f>
        <v/>
      </c>
      <c r="J195" s="301" t="str">
        <f>IF(I195="","",VLOOKUP($B195,'F-1 Off-Site WaterC'' Baseline'!$C$9:$R$257,9,FALSE))</f>
        <v/>
      </c>
      <c r="K195" s="301" t="str">
        <f>IF(J195="","",VLOOKUP($B195,'F-1 Off-Site WaterC'' Baseline'!$C$9:$R$257,10,FALSE))</f>
        <v/>
      </c>
      <c r="L195" s="289" t="str">
        <f>IF(B195="","",VLOOKUP($B195,'F-1 Off-Site WaterC'' Baseline'!$C$9:$R$257,15,FALSE))</f>
        <v/>
      </c>
      <c r="M195" s="305" t="str">
        <f>IF(L195="","",VLOOKUP($B195,'F-1 Off-Site WaterC'' Baseline'!$C$9:$V$257,19,FALSE))</f>
        <v/>
      </c>
      <c r="N195" s="250"/>
      <c r="O195" s="281" t="str">
        <f t="shared" si="25"/>
        <v/>
      </c>
      <c r="P195" s="282" t="str">
        <f t="shared" si="26"/>
        <v/>
      </c>
      <c r="Q195" s="287" t="str">
        <f>IF(N195="","",VLOOKUP(B195,'F-1 Off-Site WaterC'' Baseline'!$C$10:$AF$257,23,FALSE))</f>
        <v/>
      </c>
      <c r="R195" s="281" t="str">
        <f>IF(N195="","",VLOOKUP(N195,'G-7 WaterC'' Data'!$B$2:$G$8,2,FALSE))</f>
        <v/>
      </c>
      <c r="S195" s="282" t="str">
        <f>IFERROR(VLOOKUP(R195,'G-7 WaterC'' Data'!$C$4:$D$8,2,FALSE),"")</f>
        <v/>
      </c>
      <c r="T195" s="105"/>
      <c r="U195" s="282" t="str">
        <f>IFERROR(INDEX('G-7 WaterC'' Data'!$H$4:$L$8,MATCH(N195,'G-7 WaterC'' Data'!$B$4:$B$8,0),MATCH(T195,'G-7 WaterC'' Data'!$H$3:$L$3,0)),"")</f>
        <v/>
      </c>
      <c r="V195" s="109"/>
      <c r="W195" s="301" t="str">
        <f>IF(V195="","",IF(VLOOKUP(V195,'G-7 WaterC'' Data'!$AK$4:$AM$6,2,FALSE)=0,"Spatial Data Missing ⚠",VLOOKUP(V195,'G-7 WaterC'' Data'!$AK$4:$AM$6,2,FALSE)))</f>
        <v/>
      </c>
      <c r="X195" s="305" t="str">
        <f>IF(V195="","",IF(VLOOKUP(V195,'G-7 WaterC'' Data'!$AK$4:$AM$6,3,FALSE)=0,"Spatial Data Missing ⚠",VLOOKUP(V195,'G-7 WaterC'' Data'!$AK$4:$AM$6,3,FALSE)))</f>
        <v/>
      </c>
      <c r="Y195" s="317" t="str">
        <f>IFERROR(IF(OR(LEFT(P195,5)="Error",LEFT(O195,5)="Error"),"Check Data ⚠",IF(F195&lt;S195,'G-7 WaterC'' Data'!$R$3,INDEX('G-7 WaterC'' Data'!$U$5:$Y$9,MATCH(G195,'G-7 WaterC'' Data'!$T$5:$T$9,0),MATCH(T195,'G-7 WaterC'' Data'!$U$4:$Y$4,0)))),"")</f>
        <v/>
      </c>
      <c r="Z195" s="142"/>
      <c r="AA195" s="142"/>
      <c r="AB195" s="314" t="str">
        <f t="shared" si="22"/>
        <v/>
      </c>
      <c r="AC195" s="302" t="str">
        <f t="shared" si="27"/>
        <v/>
      </c>
      <c r="AD195" s="340" t="str">
        <f>IFERROR(IF(AC195="Check Data ⚠","Check Data ⚠",VLOOKUP(AC195,'G-4 Temporal multipliers'!$A$4:$C$37,3,FALSE)),"")</f>
        <v/>
      </c>
      <c r="AE195" s="317" t="str">
        <f>IF(N195="","",VLOOKUP(N195,'G-7 WaterC'' Data'!$B$4:$G$8,5,FALSE))</f>
        <v/>
      </c>
      <c r="AF195" s="301" t="str">
        <f t="shared" si="23"/>
        <v/>
      </c>
      <c r="AG195" s="301" t="str">
        <f t="shared" si="28"/>
        <v/>
      </c>
      <c r="AH195" s="282" t="str">
        <f t="shared" si="24"/>
        <v/>
      </c>
      <c r="AI195" s="109"/>
      <c r="AJ195" s="282" t="str">
        <f>IF(AI195="","",(IF(AND(AI195="N/A - Culvert",N195&lt;&gt;"Culvert"),"Not possible ▲",IF(VLOOKUP(AI195,'G-7 WaterC'' Data'!$AA$4:$AB$7,2,FALSE)=0,"Spatial Data Missing ⚠",VLOOKUP(AI195,'G-7 WaterC'' Data'!$AA$4:$AB$7,2,FALSE)))))</f>
        <v/>
      </c>
      <c r="AK195" s="110"/>
      <c r="AL195" s="316" t="str">
        <f>IF(AK195="","",IF(AND(AK195="N/A - Culvert",N195&lt;&gt;"Culvert"),"Not possible ▲",IF(VLOOKUP(AK195,'G-7 WaterC'' Data'!$AD$4:$AE$14,2,FALSE)=0,"Spatial Data Missing ⚠",VLOOKUP(AK195,'G-7 WaterC'' Data'!$AD$4:$AE$14,2,FALSE))))</f>
        <v/>
      </c>
      <c r="AM195" s="281" t="str">
        <f>IF(B195="","",VLOOKUP($B195,'F-1 Off-Site WaterC'' Baseline'!$C$9:$Z$257,17,FALSE))</f>
        <v/>
      </c>
      <c r="AN195" s="282" t="str">
        <f>IF(AM195="","",IF(VLOOKUP(AM195,'G-7 WaterC'' Data'!$AO$4:$BO$7,2,FALSE)=0,"Spatial Data Missing ⚠",VLOOKUP(AM195,'G-7 WaterC'' Data'!$AO$4:$BO$7,2,FALSE)))</f>
        <v/>
      </c>
      <c r="AO195" s="323" t="str">
        <f t="shared" si="29"/>
        <v/>
      </c>
      <c r="AP195" s="323" t="str">
        <f t="shared" si="30"/>
        <v/>
      </c>
      <c r="AQ195" s="105"/>
      <c r="AR195" s="119"/>
      <c r="AS195" s="108"/>
      <c r="AT195" s="108"/>
      <c r="AW195" s="30" t="str">
        <f>IF(E195="","",VLOOKUP($B195,'F-1 Off-Site WaterC'' Baseline'!$C$9:$Z$257,12,FALSE))</f>
        <v/>
      </c>
      <c r="AX195" s="30" t="str">
        <f>IF(E195="","",VLOOKUP($B195,'F-1 Off-Site WaterC'' Baseline'!$C$9:$Z$257,14,FALSE))</f>
        <v/>
      </c>
      <c r="AY195" s="30" t="str">
        <f>IFERROR(INDEX('G-7 WaterC'' Data'!$AZ$3:$AZ$7,MATCH(N195,'G-7 WaterC'' Data'!$AY$3:$AY$7,0)),"")</f>
        <v/>
      </c>
      <c r="AZ195" s="30" t="str">
        <f>IF(B195="","",IF(ISNA(VLOOKUP($B195,'F-1 Off-Site WaterC'' Baseline'!$C$8:$AD$257,20,FALSE)),"",(VLOOKUP($B195,'F-1 Off-Site WaterC'' Baseline'!$C$8:$AD$257,20,FALSE))))</f>
        <v/>
      </c>
      <c r="BC195" s="30" t="str">
        <f>IF(B195="","",VLOOKUP($B195,'F-1 Off-Site WaterC'' Baseline'!$C$9:$AB$257,25,FALSE))</f>
        <v/>
      </c>
      <c r="BD195" s="30" t="str">
        <f t="shared" si="31"/>
        <v/>
      </c>
      <c r="BE195" s="30" t="str">
        <f>IF(B195="","",VLOOKUP($B195,'F-1 Off-Site WaterC'' Baseline'!$C$9:$AB$257,24,FALSE))</f>
        <v/>
      </c>
      <c r="BF195" s="30" t="str">
        <f>IF(B195="","",VLOOKUP($B195,'F-1 Off-Site WaterC'' Baseline'!$C$9:$AB$257,22,FALSE))</f>
        <v/>
      </c>
      <c r="BJ195" s="30" t="str">
        <f t="shared" si="32"/>
        <v>No</v>
      </c>
    </row>
    <row r="196" spans="2:62" ht="13.8" x14ac:dyDescent="0.25">
      <c r="B196" s="311" t="str">
        <f>'F-1 Off-Site WaterC'' Baseline'!AS194</f>
        <v/>
      </c>
      <c r="C196" s="301" t="str">
        <f>IF(B196="","",VLOOKUP($B196,'F-1 Off-Site WaterC'' Baseline'!$C$9:$R$257,2,FALSE))</f>
        <v/>
      </c>
      <c r="D196" s="301" t="str">
        <f>IF(C196="","",VLOOKUP($B196,'F-1 Off-Site WaterC'' Baseline'!$C$9:$R$257,3,FALSE))</f>
        <v/>
      </c>
      <c r="E196" s="301" t="str">
        <f>IF(D196="","",VLOOKUP($B196,'F-1 Off-Site WaterC'' Baseline'!$C$9:$R$257,4,FALSE))</f>
        <v/>
      </c>
      <c r="F196" s="301" t="str">
        <f>IF(E196="","",VLOOKUP($B196,'F-1 Off-Site WaterC'' Baseline'!$C$9:$R$257,5,FALSE))</f>
        <v/>
      </c>
      <c r="G196" s="301" t="str">
        <f>IF(F196="","",VLOOKUP($B196,'F-1 Off-Site WaterC'' Baseline'!$C$9:$R$257,6,FALSE))</f>
        <v/>
      </c>
      <c r="H196" s="301" t="str">
        <f>IF(G196="","",VLOOKUP($B196,'F-1 Off-Site WaterC'' Baseline'!$C$9:$R$257,7,FALSE))</f>
        <v/>
      </c>
      <c r="I196" s="301" t="str">
        <f>IF(H196="","",VLOOKUP($B196,'F-1 Off-Site WaterC'' Baseline'!$C$9:$R$257,8,FALSE))</f>
        <v/>
      </c>
      <c r="J196" s="301" t="str">
        <f>IF(I196="","",VLOOKUP($B196,'F-1 Off-Site WaterC'' Baseline'!$C$9:$R$257,9,FALSE))</f>
        <v/>
      </c>
      <c r="K196" s="301" t="str">
        <f>IF(J196="","",VLOOKUP($B196,'F-1 Off-Site WaterC'' Baseline'!$C$9:$R$257,10,FALSE))</f>
        <v/>
      </c>
      <c r="L196" s="289" t="str">
        <f>IF(B196="","",VLOOKUP($B196,'F-1 Off-Site WaterC'' Baseline'!$C$9:$R$257,15,FALSE))</f>
        <v/>
      </c>
      <c r="M196" s="305" t="str">
        <f>IF(L196="","",VLOOKUP($B196,'F-1 Off-Site WaterC'' Baseline'!$C$9:$V$257,19,FALSE))</f>
        <v/>
      </c>
      <c r="N196" s="250"/>
      <c r="O196" s="281" t="str">
        <f t="shared" si="25"/>
        <v/>
      </c>
      <c r="P196" s="282" t="str">
        <f t="shared" si="26"/>
        <v/>
      </c>
      <c r="Q196" s="287" t="str">
        <f>IF(N196="","",VLOOKUP(B196,'F-1 Off-Site WaterC'' Baseline'!$C$10:$AF$257,23,FALSE))</f>
        <v/>
      </c>
      <c r="R196" s="281" t="str">
        <f>IF(N196="","",VLOOKUP(N196,'G-7 WaterC'' Data'!$B$2:$G$8,2,FALSE))</f>
        <v/>
      </c>
      <c r="S196" s="282" t="str">
        <f>IFERROR(VLOOKUP(R196,'G-7 WaterC'' Data'!$C$4:$D$8,2,FALSE),"")</f>
        <v/>
      </c>
      <c r="T196" s="105"/>
      <c r="U196" s="282" t="str">
        <f>IFERROR(INDEX('G-7 WaterC'' Data'!$H$4:$L$8,MATCH(N196,'G-7 WaterC'' Data'!$B$4:$B$8,0),MATCH(T196,'G-7 WaterC'' Data'!$H$3:$L$3,0)),"")</f>
        <v/>
      </c>
      <c r="V196" s="109"/>
      <c r="W196" s="301" t="str">
        <f>IF(V196="","",IF(VLOOKUP(V196,'G-7 WaterC'' Data'!$AK$4:$AM$6,2,FALSE)=0,"Spatial Data Missing ⚠",VLOOKUP(V196,'G-7 WaterC'' Data'!$AK$4:$AM$6,2,FALSE)))</f>
        <v/>
      </c>
      <c r="X196" s="305" t="str">
        <f>IF(V196="","",IF(VLOOKUP(V196,'G-7 WaterC'' Data'!$AK$4:$AM$6,3,FALSE)=0,"Spatial Data Missing ⚠",VLOOKUP(V196,'G-7 WaterC'' Data'!$AK$4:$AM$6,3,FALSE)))</f>
        <v/>
      </c>
      <c r="Y196" s="317" t="str">
        <f>IFERROR(IF(OR(LEFT(P196,5)="Error",LEFT(O196,5)="Error"),"Check Data ⚠",IF(F196&lt;S196,'G-7 WaterC'' Data'!$R$3,INDEX('G-7 WaterC'' Data'!$U$5:$Y$9,MATCH(G196,'G-7 WaterC'' Data'!$T$5:$T$9,0),MATCH(T196,'G-7 WaterC'' Data'!$U$4:$Y$4,0)))),"")</f>
        <v/>
      </c>
      <c r="Z196" s="142"/>
      <c r="AA196" s="142"/>
      <c r="AB196" s="314" t="str">
        <f t="shared" si="22"/>
        <v/>
      </c>
      <c r="AC196" s="302" t="str">
        <f t="shared" si="27"/>
        <v/>
      </c>
      <c r="AD196" s="340" t="str">
        <f>IFERROR(IF(AC196="Check Data ⚠","Check Data ⚠",VLOOKUP(AC196,'G-4 Temporal multipliers'!$A$4:$C$37,3,FALSE)),"")</f>
        <v/>
      </c>
      <c r="AE196" s="317" t="str">
        <f>IF(N196="","",VLOOKUP(N196,'G-7 WaterC'' Data'!$B$4:$G$8,5,FALSE))</f>
        <v/>
      </c>
      <c r="AF196" s="301" t="str">
        <f t="shared" si="23"/>
        <v/>
      </c>
      <c r="AG196" s="301" t="str">
        <f t="shared" si="28"/>
        <v/>
      </c>
      <c r="AH196" s="282" t="str">
        <f t="shared" si="24"/>
        <v/>
      </c>
      <c r="AI196" s="109"/>
      <c r="AJ196" s="282" t="str">
        <f>IF(AI196="","",(IF(AND(AI196="N/A - Culvert",N196&lt;&gt;"Culvert"),"Not possible ▲",IF(VLOOKUP(AI196,'G-7 WaterC'' Data'!$AA$4:$AB$7,2,FALSE)=0,"Spatial Data Missing ⚠",VLOOKUP(AI196,'G-7 WaterC'' Data'!$AA$4:$AB$7,2,FALSE)))))</f>
        <v/>
      </c>
      <c r="AK196" s="110"/>
      <c r="AL196" s="316" t="str">
        <f>IF(AK196="","",IF(AND(AK196="N/A - Culvert",N196&lt;&gt;"Culvert"),"Not possible ▲",IF(VLOOKUP(AK196,'G-7 WaterC'' Data'!$AD$4:$AE$14,2,FALSE)=0,"Spatial Data Missing ⚠",VLOOKUP(AK196,'G-7 WaterC'' Data'!$AD$4:$AE$14,2,FALSE))))</f>
        <v/>
      </c>
      <c r="AM196" s="281" t="str">
        <f>IF(B196="","",VLOOKUP($B196,'F-1 Off-Site WaterC'' Baseline'!$C$9:$Z$257,17,FALSE))</f>
        <v/>
      </c>
      <c r="AN196" s="282" t="str">
        <f>IF(AM196="","",IF(VLOOKUP(AM196,'G-7 WaterC'' Data'!$AO$4:$BO$7,2,FALSE)=0,"Spatial Data Missing ⚠",VLOOKUP(AM196,'G-7 WaterC'' Data'!$AO$4:$BO$7,2,FALSE)))</f>
        <v/>
      </c>
      <c r="AO196" s="323" t="str">
        <f t="shared" si="29"/>
        <v/>
      </c>
      <c r="AP196" s="323" t="str">
        <f t="shared" si="30"/>
        <v/>
      </c>
      <c r="AQ196" s="105"/>
      <c r="AR196" s="119"/>
      <c r="AS196" s="108"/>
      <c r="AT196" s="108"/>
      <c r="AW196" s="30" t="str">
        <f>IF(E196="","",VLOOKUP($B196,'F-1 Off-Site WaterC'' Baseline'!$C$9:$Z$257,12,FALSE))</f>
        <v/>
      </c>
      <c r="AX196" s="30" t="str">
        <f>IF(E196="","",VLOOKUP($B196,'F-1 Off-Site WaterC'' Baseline'!$C$9:$Z$257,14,FALSE))</f>
        <v/>
      </c>
      <c r="AY196" s="30" t="str">
        <f>IFERROR(INDEX('G-7 WaterC'' Data'!$AZ$3:$AZ$7,MATCH(N196,'G-7 WaterC'' Data'!$AY$3:$AY$7,0)),"")</f>
        <v/>
      </c>
      <c r="AZ196" s="30" t="str">
        <f>IF(B196="","",IF(ISNA(VLOOKUP($B196,'F-1 Off-Site WaterC'' Baseline'!$C$8:$AD$257,20,FALSE)),"",(VLOOKUP($B196,'F-1 Off-Site WaterC'' Baseline'!$C$8:$AD$257,20,FALSE))))</f>
        <v/>
      </c>
      <c r="BC196" s="30" t="str">
        <f>IF(B196="","",VLOOKUP($B196,'F-1 Off-Site WaterC'' Baseline'!$C$9:$AB$257,25,FALSE))</f>
        <v/>
      </c>
      <c r="BD196" s="30" t="str">
        <f t="shared" si="31"/>
        <v/>
      </c>
      <c r="BE196" s="30" t="str">
        <f>IF(B196="","",VLOOKUP($B196,'F-1 Off-Site WaterC'' Baseline'!$C$9:$AB$257,24,FALSE))</f>
        <v/>
      </c>
      <c r="BF196" s="30" t="str">
        <f>IF(B196="","",VLOOKUP($B196,'F-1 Off-Site WaterC'' Baseline'!$C$9:$AB$257,22,FALSE))</f>
        <v/>
      </c>
      <c r="BJ196" s="30" t="str">
        <f t="shared" si="32"/>
        <v>No</v>
      </c>
    </row>
    <row r="197" spans="2:62" ht="13.8" x14ac:dyDescent="0.25">
      <c r="B197" s="311" t="str">
        <f>'F-1 Off-Site WaterC'' Baseline'!AS195</f>
        <v/>
      </c>
      <c r="C197" s="301" t="str">
        <f>IF(B197="","",VLOOKUP($B197,'F-1 Off-Site WaterC'' Baseline'!$C$9:$R$257,2,FALSE))</f>
        <v/>
      </c>
      <c r="D197" s="301" t="str">
        <f>IF(C197="","",VLOOKUP($B197,'F-1 Off-Site WaterC'' Baseline'!$C$9:$R$257,3,FALSE))</f>
        <v/>
      </c>
      <c r="E197" s="301" t="str">
        <f>IF(D197="","",VLOOKUP($B197,'F-1 Off-Site WaterC'' Baseline'!$C$9:$R$257,4,FALSE))</f>
        <v/>
      </c>
      <c r="F197" s="301" t="str">
        <f>IF(E197="","",VLOOKUP($B197,'F-1 Off-Site WaterC'' Baseline'!$C$9:$R$257,5,FALSE))</f>
        <v/>
      </c>
      <c r="G197" s="301" t="str">
        <f>IF(F197="","",VLOOKUP($B197,'F-1 Off-Site WaterC'' Baseline'!$C$9:$R$257,6,FALSE))</f>
        <v/>
      </c>
      <c r="H197" s="301" t="str">
        <f>IF(G197="","",VLOOKUP($B197,'F-1 Off-Site WaterC'' Baseline'!$C$9:$R$257,7,FALSE))</f>
        <v/>
      </c>
      <c r="I197" s="301" t="str">
        <f>IF(H197="","",VLOOKUP($B197,'F-1 Off-Site WaterC'' Baseline'!$C$9:$R$257,8,FALSE))</f>
        <v/>
      </c>
      <c r="J197" s="301" t="str">
        <f>IF(I197="","",VLOOKUP($B197,'F-1 Off-Site WaterC'' Baseline'!$C$9:$R$257,9,FALSE))</f>
        <v/>
      </c>
      <c r="K197" s="301" t="str">
        <f>IF(J197="","",VLOOKUP($B197,'F-1 Off-Site WaterC'' Baseline'!$C$9:$R$257,10,FALSE))</f>
        <v/>
      </c>
      <c r="L197" s="289" t="str">
        <f>IF(B197="","",VLOOKUP($B197,'F-1 Off-Site WaterC'' Baseline'!$C$9:$R$257,15,FALSE))</f>
        <v/>
      </c>
      <c r="M197" s="305" t="str">
        <f>IF(L197="","",VLOOKUP($B197,'F-1 Off-Site WaterC'' Baseline'!$C$9:$V$257,19,FALSE))</f>
        <v/>
      </c>
      <c r="N197" s="250"/>
      <c r="O197" s="281" t="str">
        <f t="shared" si="25"/>
        <v/>
      </c>
      <c r="P197" s="282" t="str">
        <f t="shared" si="26"/>
        <v/>
      </c>
      <c r="Q197" s="287" t="str">
        <f>IF(N197="","",VLOOKUP(B197,'F-1 Off-Site WaterC'' Baseline'!$C$10:$AF$257,23,FALSE))</f>
        <v/>
      </c>
      <c r="R197" s="281" t="str">
        <f>IF(N197="","",VLOOKUP(N197,'G-7 WaterC'' Data'!$B$2:$G$8,2,FALSE))</f>
        <v/>
      </c>
      <c r="S197" s="282" t="str">
        <f>IFERROR(VLOOKUP(R197,'G-7 WaterC'' Data'!$C$4:$D$8,2,FALSE),"")</f>
        <v/>
      </c>
      <c r="T197" s="105"/>
      <c r="U197" s="282" t="str">
        <f>IFERROR(INDEX('G-7 WaterC'' Data'!$H$4:$L$8,MATCH(N197,'G-7 WaterC'' Data'!$B$4:$B$8,0),MATCH(T197,'G-7 WaterC'' Data'!$H$3:$L$3,0)),"")</f>
        <v/>
      </c>
      <c r="V197" s="109"/>
      <c r="W197" s="301" t="str">
        <f>IF(V197="","",IF(VLOOKUP(V197,'G-7 WaterC'' Data'!$AK$4:$AM$6,2,FALSE)=0,"Spatial Data Missing ⚠",VLOOKUP(V197,'G-7 WaterC'' Data'!$AK$4:$AM$6,2,FALSE)))</f>
        <v/>
      </c>
      <c r="X197" s="305" t="str">
        <f>IF(V197="","",IF(VLOOKUP(V197,'G-7 WaterC'' Data'!$AK$4:$AM$6,3,FALSE)=0,"Spatial Data Missing ⚠",VLOOKUP(V197,'G-7 WaterC'' Data'!$AK$4:$AM$6,3,FALSE)))</f>
        <v/>
      </c>
      <c r="Y197" s="317" t="str">
        <f>IFERROR(IF(OR(LEFT(P197,5)="Error",LEFT(O197,5)="Error"),"Check Data ⚠",IF(F197&lt;S197,'G-7 WaterC'' Data'!$R$3,INDEX('G-7 WaterC'' Data'!$U$5:$Y$9,MATCH(G197,'G-7 WaterC'' Data'!$T$5:$T$9,0),MATCH(T197,'G-7 WaterC'' Data'!$U$4:$Y$4,0)))),"")</f>
        <v/>
      </c>
      <c r="Z197" s="142"/>
      <c r="AA197" s="142"/>
      <c r="AB197" s="314" t="str">
        <f t="shared" si="22"/>
        <v/>
      </c>
      <c r="AC197" s="302" t="str">
        <f t="shared" si="27"/>
        <v/>
      </c>
      <c r="AD197" s="340" t="str">
        <f>IFERROR(IF(AC197="Check Data ⚠","Check Data ⚠",VLOOKUP(AC197,'G-4 Temporal multipliers'!$A$4:$C$37,3,FALSE)),"")</f>
        <v/>
      </c>
      <c r="AE197" s="317" t="str">
        <f>IF(N197="","",VLOOKUP(N197,'G-7 WaterC'' Data'!$B$4:$G$8,5,FALSE))</f>
        <v/>
      </c>
      <c r="AF197" s="301" t="str">
        <f t="shared" si="23"/>
        <v/>
      </c>
      <c r="AG197" s="301" t="str">
        <f t="shared" si="28"/>
        <v/>
      </c>
      <c r="AH197" s="282" t="str">
        <f t="shared" si="24"/>
        <v/>
      </c>
      <c r="AI197" s="109"/>
      <c r="AJ197" s="282" t="str">
        <f>IF(AI197="","",(IF(AND(AI197="N/A - Culvert",N197&lt;&gt;"Culvert"),"Not possible ▲",IF(VLOOKUP(AI197,'G-7 WaterC'' Data'!$AA$4:$AB$7,2,FALSE)=0,"Spatial Data Missing ⚠",VLOOKUP(AI197,'G-7 WaterC'' Data'!$AA$4:$AB$7,2,FALSE)))))</f>
        <v/>
      </c>
      <c r="AK197" s="110"/>
      <c r="AL197" s="316" t="str">
        <f>IF(AK197="","",IF(AND(AK197="N/A - Culvert",N197&lt;&gt;"Culvert"),"Not possible ▲",IF(VLOOKUP(AK197,'G-7 WaterC'' Data'!$AD$4:$AE$14,2,FALSE)=0,"Spatial Data Missing ⚠",VLOOKUP(AK197,'G-7 WaterC'' Data'!$AD$4:$AE$14,2,FALSE))))</f>
        <v/>
      </c>
      <c r="AM197" s="281" t="str">
        <f>IF(B197="","",VLOOKUP($B197,'F-1 Off-Site WaterC'' Baseline'!$C$9:$Z$257,17,FALSE))</f>
        <v/>
      </c>
      <c r="AN197" s="282" t="str">
        <f>IF(AM197="","",IF(VLOOKUP(AM197,'G-7 WaterC'' Data'!$AO$4:$BO$7,2,FALSE)=0,"Spatial Data Missing ⚠",VLOOKUP(AM197,'G-7 WaterC'' Data'!$AO$4:$BO$7,2,FALSE)))</f>
        <v/>
      </c>
      <c r="AO197" s="323" t="str">
        <f t="shared" si="29"/>
        <v/>
      </c>
      <c r="AP197" s="323" t="str">
        <f t="shared" si="30"/>
        <v/>
      </c>
      <c r="AQ197" s="105"/>
      <c r="AR197" s="119"/>
      <c r="AS197" s="108"/>
      <c r="AT197" s="108"/>
      <c r="AW197" s="30" t="str">
        <f>IF(E197="","",VLOOKUP($B197,'F-1 Off-Site WaterC'' Baseline'!$C$9:$Z$257,12,FALSE))</f>
        <v/>
      </c>
      <c r="AX197" s="30" t="str">
        <f>IF(E197="","",VLOOKUP($B197,'F-1 Off-Site WaterC'' Baseline'!$C$9:$Z$257,14,FALSE))</f>
        <v/>
      </c>
      <c r="AY197" s="30" t="str">
        <f>IFERROR(INDEX('G-7 WaterC'' Data'!$AZ$3:$AZ$7,MATCH(N197,'G-7 WaterC'' Data'!$AY$3:$AY$7,0)),"")</f>
        <v/>
      </c>
      <c r="AZ197" s="30" t="str">
        <f>IF(B197="","",IF(ISNA(VLOOKUP($B197,'F-1 Off-Site WaterC'' Baseline'!$C$8:$AD$257,20,FALSE)),"",(VLOOKUP($B197,'F-1 Off-Site WaterC'' Baseline'!$C$8:$AD$257,20,FALSE))))</f>
        <v/>
      </c>
      <c r="BC197" s="30" t="str">
        <f>IF(B197="","",VLOOKUP($B197,'F-1 Off-Site WaterC'' Baseline'!$C$9:$AB$257,25,FALSE))</f>
        <v/>
      </c>
      <c r="BD197" s="30" t="str">
        <f t="shared" si="31"/>
        <v/>
      </c>
      <c r="BE197" s="30" t="str">
        <f>IF(B197="","",VLOOKUP($B197,'F-1 Off-Site WaterC'' Baseline'!$C$9:$AB$257,24,FALSE))</f>
        <v/>
      </c>
      <c r="BF197" s="30" t="str">
        <f>IF(B197="","",VLOOKUP($B197,'F-1 Off-Site WaterC'' Baseline'!$C$9:$AB$257,22,FALSE))</f>
        <v/>
      </c>
      <c r="BJ197" s="30" t="str">
        <f t="shared" si="32"/>
        <v>No</v>
      </c>
    </row>
    <row r="198" spans="2:62" ht="13.8" x14ac:dyDescent="0.25">
      <c r="B198" s="311" t="str">
        <f>'F-1 Off-Site WaterC'' Baseline'!AS196</f>
        <v/>
      </c>
      <c r="C198" s="301" t="str">
        <f>IF(B198="","",VLOOKUP($B198,'F-1 Off-Site WaterC'' Baseline'!$C$9:$R$257,2,FALSE))</f>
        <v/>
      </c>
      <c r="D198" s="301" t="str">
        <f>IF(C198="","",VLOOKUP($B198,'F-1 Off-Site WaterC'' Baseline'!$C$9:$R$257,3,FALSE))</f>
        <v/>
      </c>
      <c r="E198" s="301" t="str">
        <f>IF(D198="","",VLOOKUP($B198,'F-1 Off-Site WaterC'' Baseline'!$C$9:$R$257,4,FALSE))</f>
        <v/>
      </c>
      <c r="F198" s="301" t="str">
        <f>IF(E198="","",VLOOKUP($B198,'F-1 Off-Site WaterC'' Baseline'!$C$9:$R$257,5,FALSE))</f>
        <v/>
      </c>
      <c r="G198" s="301" t="str">
        <f>IF(F198="","",VLOOKUP($B198,'F-1 Off-Site WaterC'' Baseline'!$C$9:$R$257,6,FALSE))</f>
        <v/>
      </c>
      <c r="H198" s="301" t="str">
        <f>IF(G198="","",VLOOKUP($B198,'F-1 Off-Site WaterC'' Baseline'!$C$9:$R$257,7,FALSE))</f>
        <v/>
      </c>
      <c r="I198" s="301" t="str">
        <f>IF(H198="","",VLOOKUP($B198,'F-1 Off-Site WaterC'' Baseline'!$C$9:$R$257,8,FALSE))</f>
        <v/>
      </c>
      <c r="J198" s="301" t="str">
        <f>IF(I198="","",VLOOKUP($B198,'F-1 Off-Site WaterC'' Baseline'!$C$9:$R$257,9,FALSE))</f>
        <v/>
      </c>
      <c r="K198" s="301" t="str">
        <f>IF(J198="","",VLOOKUP($B198,'F-1 Off-Site WaterC'' Baseline'!$C$9:$R$257,10,FALSE))</f>
        <v/>
      </c>
      <c r="L198" s="289" t="str">
        <f>IF(B198="","",VLOOKUP($B198,'F-1 Off-Site WaterC'' Baseline'!$C$9:$R$257,15,FALSE))</f>
        <v/>
      </c>
      <c r="M198" s="305" t="str">
        <f>IF(L198="","",VLOOKUP($B198,'F-1 Off-Site WaterC'' Baseline'!$C$9:$V$257,19,FALSE))</f>
        <v/>
      </c>
      <c r="N198" s="250"/>
      <c r="O198" s="281" t="str">
        <f t="shared" si="25"/>
        <v/>
      </c>
      <c r="P198" s="282" t="str">
        <f t="shared" si="26"/>
        <v/>
      </c>
      <c r="Q198" s="287" t="str">
        <f>IF(N198="","",VLOOKUP(B198,'F-1 Off-Site WaterC'' Baseline'!$C$10:$AF$257,23,FALSE))</f>
        <v/>
      </c>
      <c r="R198" s="281" t="str">
        <f>IF(N198="","",VLOOKUP(N198,'G-7 WaterC'' Data'!$B$2:$G$8,2,FALSE))</f>
        <v/>
      </c>
      <c r="S198" s="282" t="str">
        <f>IFERROR(VLOOKUP(R198,'G-7 WaterC'' Data'!$C$4:$D$8,2,FALSE),"")</f>
        <v/>
      </c>
      <c r="T198" s="105"/>
      <c r="U198" s="282" t="str">
        <f>IFERROR(INDEX('G-7 WaterC'' Data'!$H$4:$L$8,MATCH(N198,'G-7 WaterC'' Data'!$B$4:$B$8,0),MATCH(T198,'G-7 WaterC'' Data'!$H$3:$L$3,0)),"")</f>
        <v/>
      </c>
      <c r="V198" s="109"/>
      <c r="W198" s="301" t="str">
        <f>IF(V198="","",IF(VLOOKUP(V198,'G-7 WaterC'' Data'!$AK$4:$AM$6,2,FALSE)=0,"Spatial Data Missing ⚠",VLOOKUP(V198,'G-7 WaterC'' Data'!$AK$4:$AM$6,2,FALSE)))</f>
        <v/>
      </c>
      <c r="X198" s="305" t="str">
        <f>IF(V198="","",IF(VLOOKUP(V198,'G-7 WaterC'' Data'!$AK$4:$AM$6,3,FALSE)=0,"Spatial Data Missing ⚠",VLOOKUP(V198,'G-7 WaterC'' Data'!$AK$4:$AM$6,3,FALSE)))</f>
        <v/>
      </c>
      <c r="Y198" s="317" t="str">
        <f>IFERROR(IF(OR(LEFT(P198,5)="Error",LEFT(O198,5)="Error"),"Check Data ⚠",IF(F198&lt;S198,'G-7 WaterC'' Data'!$R$3,INDEX('G-7 WaterC'' Data'!$U$5:$Y$9,MATCH(G198,'G-7 WaterC'' Data'!$T$5:$T$9,0),MATCH(T198,'G-7 WaterC'' Data'!$U$4:$Y$4,0)))),"")</f>
        <v/>
      </c>
      <c r="Z198" s="142"/>
      <c r="AA198" s="142"/>
      <c r="AB198" s="314" t="str">
        <f t="shared" si="22"/>
        <v/>
      </c>
      <c r="AC198" s="302" t="str">
        <f t="shared" si="27"/>
        <v/>
      </c>
      <c r="AD198" s="340" t="str">
        <f>IFERROR(IF(AC198="Check Data ⚠","Check Data ⚠",VLOOKUP(AC198,'G-4 Temporal multipliers'!$A$4:$C$37,3,FALSE)),"")</f>
        <v/>
      </c>
      <c r="AE198" s="317" t="str">
        <f>IF(N198="","",VLOOKUP(N198,'G-7 WaterC'' Data'!$B$4:$G$8,5,FALSE))</f>
        <v/>
      </c>
      <c r="AF198" s="301" t="str">
        <f t="shared" si="23"/>
        <v/>
      </c>
      <c r="AG198" s="301" t="str">
        <f t="shared" si="28"/>
        <v/>
      </c>
      <c r="AH198" s="282" t="str">
        <f t="shared" si="24"/>
        <v/>
      </c>
      <c r="AI198" s="109"/>
      <c r="AJ198" s="282" t="str">
        <f>IF(AI198="","",(IF(AND(AI198="N/A - Culvert",N198&lt;&gt;"Culvert"),"Not possible ▲",IF(VLOOKUP(AI198,'G-7 WaterC'' Data'!$AA$4:$AB$7,2,FALSE)=0,"Spatial Data Missing ⚠",VLOOKUP(AI198,'G-7 WaterC'' Data'!$AA$4:$AB$7,2,FALSE)))))</f>
        <v/>
      </c>
      <c r="AK198" s="110"/>
      <c r="AL198" s="316" t="str">
        <f>IF(AK198="","",IF(AND(AK198="N/A - Culvert",N198&lt;&gt;"Culvert"),"Not possible ▲",IF(VLOOKUP(AK198,'G-7 WaterC'' Data'!$AD$4:$AE$14,2,FALSE)=0,"Spatial Data Missing ⚠",VLOOKUP(AK198,'G-7 WaterC'' Data'!$AD$4:$AE$14,2,FALSE))))</f>
        <v/>
      </c>
      <c r="AM198" s="281" t="str">
        <f>IF(B198="","",VLOOKUP($B198,'F-1 Off-Site WaterC'' Baseline'!$C$9:$Z$257,17,FALSE))</f>
        <v/>
      </c>
      <c r="AN198" s="282" t="str">
        <f>IF(AM198="","",IF(VLOOKUP(AM198,'G-7 WaterC'' Data'!$AO$4:$BO$7,2,FALSE)=0,"Spatial Data Missing ⚠",VLOOKUP(AM198,'G-7 WaterC'' Data'!$AO$4:$BO$7,2,FALSE)))</f>
        <v/>
      </c>
      <c r="AO198" s="323" t="str">
        <f t="shared" si="29"/>
        <v/>
      </c>
      <c r="AP198" s="323" t="str">
        <f t="shared" si="30"/>
        <v/>
      </c>
      <c r="AQ198" s="105"/>
      <c r="AR198" s="119"/>
      <c r="AS198" s="108"/>
      <c r="AT198" s="108"/>
      <c r="AW198" s="30" t="str">
        <f>IF(E198="","",VLOOKUP($B198,'F-1 Off-Site WaterC'' Baseline'!$C$9:$Z$257,12,FALSE))</f>
        <v/>
      </c>
      <c r="AX198" s="30" t="str">
        <f>IF(E198="","",VLOOKUP($B198,'F-1 Off-Site WaterC'' Baseline'!$C$9:$Z$257,14,FALSE))</f>
        <v/>
      </c>
      <c r="AY198" s="30" t="str">
        <f>IFERROR(INDEX('G-7 WaterC'' Data'!$AZ$3:$AZ$7,MATCH(N198,'G-7 WaterC'' Data'!$AY$3:$AY$7,0)),"")</f>
        <v/>
      </c>
      <c r="AZ198" s="30" t="str">
        <f>IF(B198="","",IF(ISNA(VLOOKUP($B198,'F-1 Off-Site WaterC'' Baseline'!$C$8:$AD$257,20,FALSE)),"",(VLOOKUP($B198,'F-1 Off-Site WaterC'' Baseline'!$C$8:$AD$257,20,FALSE))))</f>
        <v/>
      </c>
      <c r="BC198" s="30" t="str">
        <f>IF(B198="","",VLOOKUP($B198,'F-1 Off-Site WaterC'' Baseline'!$C$9:$AB$257,25,FALSE))</f>
        <v/>
      </c>
      <c r="BD198" s="30" t="str">
        <f t="shared" si="31"/>
        <v/>
      </c>
      <c r="BE198" s="30" t="str">
        <f>IF(B198="","",VLOOKUP($B198,'F-1 Off-Site WaterC'' Baseline'!$C$9:$AB$257,24,FALSE))</f>
        <v/>
      </c>
      <c r="BF198" s="30" t="str">
        <f>IF(B198="","",VLOOKUP($B198,'F-1 Off-Site WaterC'' Baseline'!$C$9:$AB$257,22,FALSE))</f>
        <v/>
      </c>
      <c r="BJ198" s="30" t="str">
        <f t="shared" si="32"/>
        <v>No</v>
      </c>
    </row>
    <row r="199" spans="2:62" ht="13.8" x14ac:dyDescent="0.25">
      <c r="B199" s="311" t="str">
        <f>'F-1 Off-Site WaterC'' Baseline'!AS197</f>
        <v/>
      </c>
      <c r="C199" s="301" t="str">
        <f>IF(B199="","",VLOOKUP($B199,'F-1 Off-Site WaterC'' Baseline'!$C$9:$R$257,2,FALSE))</f>
        <v/>
      </c>
      <c r="D199" s="301" t="str">
        <f>IF(C199="","",VLOOKUP($B199,'F-1 Off-Site WaterC'' Baseline'!$C$9:$R$257,3,FALSE))</f>
        <v/>
      </c>
      <c r="E199" s="301" t="str">
        <f>IF(D199="","",VLOOKUP($B199,'F-1 Off-Site WaterC'' Baseline'!$C$9:$R$257,4,FALSE))</f>
        <v/>
      </c>
      <c r="F199" s="301" t="str">
        <f>IF(E199="","",VLOOKUP($B199,'F-1 Off-Site WaterC'' Baseline'!$C$9:$R$257,5,FALSE))</f>
        <v/>
      </c>
      <c r="G199" s="301" t="str">
        <f>IF(F199="","",VLOOKUP($B199,'F-1 Off-Site WaterC'' Baseline'!$C$9:$R$257,6,FALSE))</f>
        <v/>
      </c>
      <c r="H199" s="301" t="str">
        <f>IF(G199="","",VLOOKUP($B199,'F-1 Off-Site WaterC'' Baseline'!$C$9:$R$257,7,FALSE))</f>
        <v/>
      </c>
      <c r="I199" s="301" t="str">
        <f>IF(H199="","",VLOOKUP($B199,'F-1 Off-Site WaterC'' Baseline'!$C$9:$R$257,8,FALSE))</f>
        <v/>
      </c>
      <c r="J199" s="301" t="str">
        <f>IF(I199="","",VLOOKUP($B199,'F-1 Off-Site WaterC'' Baseline'!$C$9:$R$257,9,FALSE))</f>
        <v/>
      </c>
      <c r="K199" s="301" t="str">
        <f>IF(J199="","",VLOOKUP($B199,'F-1 Off-Site WaterC'' Baseline'!$C$9:$R$257,10,FALSE))</f>
        <v/>
      </c>
      <c r="L199" s="289" t="str">
        <f>IF(B199="","",VLOOKUP($B199,'F-1 Off-Site WaterC'' Baseline'!$C$9:$R$257,15,FALSE))</f>
        <v/>
      </c>
      <c r="M199" s="305" t="str">
        <f>IF(L199="","",VLOOKUP($B199,'F-1 Off-Site WaterC'' Baseline'!$C$9:$V$257,19,FALSE))</f>
        <v/>
      </c>
      <c r="N199" s="250"/>
      <c r="O199" s="281" t="str">
        <f t="shared" si="25"/>
        <v/>
      </c>
      <c r="P199" s="282" t="str">
        <f t="shared" si="26"/>
        <v/>
      </c>
      <c r="Q199" s="287" t="str">
        <f>IF(N199="","",VLOOKUP(B199,'F-1 Off-Site WaterC'' Baseline'!$C$10:$AF$257,23,FALSE))</f>
        <v/>
      </c>
      <c r="R199" s="281" t="str">
        <f>IF(N199="","",VLOOKUP(N199,'G-7 WaterC'' Data'!$B$2:$G$8,2,FALSE))</f>
        <v/>
      </c>
      <c r="S199" s="282" t="str">
        <f>IFERROR(VLOOKUP(R199,'G-7 WaterC'' Data'!$C$4:$D$8,2,FALSE),"")</f>
        <v/>
      </c>
      <c r="T199" s="105"/>
      <c r="U199" s="282" t="str">
        <f>IFERROR(INDEX('G-7 WaterC'' Data'!$H$4:$L$8,MATCH(N199,'G-7 WaterC'' Data'!$B$4:$B$8,0),MATCH(T199,'G-7 WaterC'' Data'!$H$3:$L$3,0)),"")</f>
        <v/>
      </c>
      <c r="V199" s="109"/>
      <c r="W199" s="301" t="str">
        <f>IF(V199="","",IF(VLOOKUP(V199,'G-7 WaterC'' Data'!$AK$4:$AM$6,2,FALSE)=0,"Spatial Data Missing ⚠",VLOOKUP(V199,'G-7 WaterC'' Data'!$AK$4:$AM$6,2,FALSE)))</f>
        <v/>
      </c>
      <c r="X199" s="305" t="str">
        <f>IF(V199="","",IF(VLOOKUP(V199,'G-7 WaterC'' Data'!$AK$4:$AM$6,3,FALSE)=0,"Spatial Data Missing ⚠",VLOOKUP(V199,'G-7 WaterC'' Data'!$AK$4:$AM$6,3,FALSE)))</f>
        <v/>
      </c>
      <c r="Y199" s="317" t="str">
        <f>IFERROR(IF(OR(LEFT(P199,5)="Error",LEFT(O199,5)="Error"),"Check Data ⚠",IF(F199&lt;S199,'G-7 WaterC'' Data'!$R$3,INDEX('G-7 WaterC'' Data'!$U$5:$Y$9,MATCH(G199,'G-7 WaterC'' Data'!$T$5:$T$9,0),MATCH(T199,'G-7 WaterC'' Data'!$U$4:$Y$4,0)))),"")</f>
        <v/>
      </c>
      <c r="Z199" s="142"/>
      <c r="AA199" s="142"/>
      <c r="AB199" s="314" t="str">
        <f t="shared" si="22"/>
        <v/>
      </c>
      <c r="AC199" s="302" t="str">
        <f t="shared" si="27"/>
        <v/>
      </c>
      <c r="AD199" s="340" t="str">
        <f>IFERROR(IF(AC199="Check Data ⚠","Check Data ⚠",VLOOKUP(AC199,'G-4 Temporal multipliers'!$A$4:$C$37,3,FALSE)),"")</f>
        <v/>
      </c>
      <c r="AE199" s="317" t="str">
        <f>IF(N199="","",VLOOKUP(N199,'G-7 WaterC'' Data'!$B$4:$G$8,5,FALSE))</f>
        <v/>
      </c>
      <c r="AF199" s="301" t="str">
        <f t="shared" si="23"/>
        <v/>
      </c>
      <c r="AG199" s="301" t="str">
        <f t="shared" si="28"/>
        <v/>
      </c>
      <c r="AH199" s="282" t="str">
        <f t="shared" si="24"/>
        <v/>
      </c>
      <c r="AI199" s="109"/>
      <c r="AJ199" s="282" t="str">
        <f>IF(AI199="","",(IF(AND(AI199="N/A - Culvert",N199&lt;&gt;"Culvert"),"Not possible ▲",IF(VLOOKUP(AI199,'G-7 WaterC'' Data'!$AA$4:$AB$7,2,FALSE)=0,"Spatial Data Missing ⚠",VLOOKUP(AI199,'G-7 WaterC'' Data'!$AA$4:$AB$7,2,FALSE)))))</f>
        <v/>
      </c>
      <c r="AK199" s="110"/>
      <c r="AL199" s="316" t="str">
        <f>IF(AK199="","",IF(AND(AK199="N/A - Culvert",N199&lt;&gt;"Culvert"),"Not possible ▲",IF(VLOOKUP(AK199,'G-7 WaterC'' Data'!$AD$4:$AE$14,2,FALSE)=0,"Spatial Data Missing ⚠",VLOOKUP(AK199,'G-7 WaterC'' Data'!$AD$4:$AE$14,2,FALSE))))</f>
        <v/>
      </c>
      <c r="AM199" s="281" t="str">
        <f>IF(B199="","",VLOOKUP($B199,'F-1 Off-Site WaterC'' Baseline'!$C$9:$Z$257,17,FALSE))</f>
        <v/>
      </c>
      <c r="AN199" s="282" t="str">
        <f>IF(AM199="","",IF(VLOOKUP(AM199,'G-7 WaterC'' Data'!$AO$4:$BO$7,2,FALSE)=0,"Spatial Data Missing ⚠",VLOOKUP(AM199,'G-7 WaterC'' Data'!$AO$4:$BO$7,2,FALSE)))</f>
        <v/>
      </c>
      <c r="AO199" s="323" t="str">
        <f t="shared" si="29"/>
        <v/>
      </c>
      <c r="AP199" s="323" t="str">
        <f t="shared" si="30"/>
        <v/>
      </c>
      <c r="AQ199" s="105"/>
      <c r="AR199" s="119"/>
      <c r="AS199" s="108"/>
      <c r="AT199" s="108"/>
      <c r="AW199" s="30" t="str">
        <f>IF(E199="","",VLOOKUP($B199,'F-1 Off-Site WaterC'' Baseline'!$C$9:$Z$257,12,FALSE))</f>
        <v/>
      </c>
      <c r="AX199" s="30" t="str">
        <f>IF(E199="","",VLOOKUP($B199,'F-1 Off-Site WaterC'' Baseline'!$C$9:$Z$257,14,FALSE))</f>
        <v/>
      </c>
      <c r="AY199" s="30" t="str">
        <f>IFERROR(INDEX('G-7 WaterC'' Data'!$AZ$3:$AZ$7,MATCH(N199,'G-7 WaterC'' Data'!$AY$3:$AY$7,0)),"")</f>
        <v/>
      </c>
      <c r="AZ199" s="30" t="str">
        <f>IF(B199="","",IF(ISNA(VLOOKUP($B199,'F-1 Off-Site WaterC'' Baseline'!$C$8:$AD$257,20,FALSE)),"",(VLOOKUP($B199,'F-1 Off-Site WaterC'' Baseline'!$C$8:$AD$257,20,FALSE))))</f>
        <v/>
      </c>
      <c r="BC199" s="30" t="str">
        <f>IF(B199="","",VLOOKUP($B199,'F-1 Off-Site WaterC'' Baseline'!$C$9:$AB$257,25,FALSE))</f>
        <v/>
      </c>
      <c r="BD199" s="30" t="str">
        <f t="shared" si="31"/>
        <v/>
      </c>
      <c r="BE199" s="30" t="str">
        <f>IF(B199="","",VLOOKUP($B199,'F-1 Off-Site WaterC'' Baseline'!$C$9:$AB$257,24,FALSE))</f>
        <v/>
      </c>
      <c r="BF199" s="30" t="str">
        <f>IF(B199="","",VLOOKUP($B199,'F-1 Off-Site WaterC'' Baseline'!$C$9:$AB$257,22,FALSE))</f>
        <v/>
      </c>
      <c r="BJ199" s="30" t="str">
        <f t="shared" si="32"/>
        <v>No</v>
      </c>
    </row>
    <row r="200" spans="2:62" ht="13.8" x14ac:dyDescent="0.25">
      <c r="B200" s="311" t="str">
        <f>'F-1 Off-Site WaterC'' Baseline'!AS198</f>
        <v/>
      </c>
      <c r="C200" s="301" t="str">
        <f>IF(B200="","",VLOOKUP($B200,'F-1 Off-Site WaterC'' Baseline'!$C$9:$R$257,2,FALSE))</f>
        <v/>
      </c>
      <c r="D200" s="301" t="str">
        <f>IF(C200="","",VLOOKUP($B200,'F-1 Off-Site WaterC'' Baseline'!$C$9:$R$257,3,FALSE))</f>
        <v/>
      </c>
      <c r="E200" s="301" t="str">
        <f>IF(D200="","",VLOOKUP($B200,'F-1 Off-Site WaterC'' Baseline'!$C$9:$R$257,4,FALSE))</f>
        <v/>
      </c>
      <c r="F200" s="301" t="str">
        <f>IF(E200="","",VLOOKUP($B200,'F-1 Off-Site WaterC'' Baseline'!$C$9:$R$257,5,FALSE))</f>
        <v/>
      </c>
      <c r="G200" s="301" t="str">
        <f>IF(F200="","",VLOOKUP($B200,'F-1 Off-Site WaterC'' Baseline'!$C$9:$R$257,6,FALSE))</f>
        <v/>
      </c>
      <c r="H200" s="301" t="str">
        <f>IF(G200="","",VLOOKUP($B200,'F-1 Off-Site WaterC'' Baseline'!$C$9:$R$257,7,FALSE))</f>
        <v/>
      </c>
      <c r="I200" s="301" t="str">
        <f>IF(H200="","",VLOOKUP($B200,'F-1 Off-Site WaterC'' Baseline'!$C$9:$R$257,8,FALSE))</f>
        <v/>
      </c>
      <c r="J200" s="301" t="str">
        <f>IF(I200="","",VLOOKUP($B200,'F-1 Off-Site WaterC'' Baseline'!$C$9:$R$257,9,FALSE))</f>
        <v/>
      </c>
      <c r="K200" s="301" t="str">
        <f>IF(J200="","",VLOOKUP($B200,'F-1 Off-Site WaterC'' Baseline'!$C$9:$R$257,10,FALSE))</f>
        <v/>
      </c>
      <c r="L200" s="289" t="str">
        <f>IF(B200="","",VLOOKUP($B200,'F-1 Off-Site WaterC'' Baseline'!$C$9:$R$257,15,FALSE))</f>
        <v/>
      </c>
      <c r="M200" s="305" t="str">
        <f>IF(L200="","",VLOOKUP($B200,'F-1 Off-Site WaterC'' Baseline'!$C$9:$V$257,19,FALSE))</f>
        <v/>
      </c>
      <c r="N200" s="250"/>
      <c r="O200" s="281" t="str">
        <f t="shared" si="25"/>
        <v/>
      </c>
      <c r="P200" s="282" t="str">
        <f t="shared" si="26"/>
        <v/>
      </c>
      <c r="Q200" s="287" t="str">
        <f>IF(N200="","",VLOOKUP(B200,'F-1 Off-Site WaterC'' Baseline'!$C$10:$AF$257,23,FALSE))</f>
        <v/>
      </c>
      <c r="R200" s="281" t="str">
        <f>IF(N200="","",VLOOKUP(N200,'G-7 WaterC'' Data'!$B$2:$G$8,2,FALSE))</f>
        <v/>
      </c>
      <c r="S200" s="282" t="str">
        <f>IFERROR(VLOOKUP(R200,'G-7 WaterC'' Data'!$C$4:$D$8,2,FALSE),"")</f>
        <v/>
      </c>
      <c r="T200" s="105"/>
      <c r="U200" s="282" t="str">
        <f>IFERROR(INDEX('G-7 WaterC'' Data'!$H$4:$L$8,MATCH(N200,'G-7 WaterC'' Data'!$B$4:$B$8,0),MATCH(T200,'G-7 WaterC'' Data'!$H$3:$L$3,0)),"")</f>
        <v/>
      </c>
      <c r="V200" s="109"/>
      <c r="W200" s="301" t="str">
        <f>IF(V200="","",IF(VLOOKUP(V200,'G-7 WaterC'' Data'!$AK$4:$AM$6,2,FALSE)=0,"Spatial Data Missing ⚠",VLOOKUP(V200,'G-7 WaterC'' Data'!$AK$4:$AM$6,2,FALSE)))</f>
        <v/>
      </c>
      <c r="X200" s="305" t="str">
        <f>IF(V200="","",IF(VLOOKUP(V200,'G-7 WaterC'' Data'!$AK$4:$AM$6,3,FALSE)=0,"Spatial Data Missing ⚠",VLOOKUP(V200,'G-7 WaterC'' Data'!$AK$4:$AM$6,3,FALSE)))</f>
        <v/>
      </c>
      <c r="Y200" s="317" t="str">
        <f>IFERROR(IF(OR(LEFT(P200,5)="Error",LEFT(O200,5)="Error"),"Check Data ⚠",IF(F200&lt;S200,'G-7 WaterC'' Data'!$R$3,INDEX('G-7 WaterC'' Data'!$U$5:$Y$9,MATCH(G200,'G-7 WaterC'' Data'!$T$5:$T$9,0),MATCH(T200,'G-7 WaterC'' Data'!$U$4:$Y$4,0)))),"")</f>
        <v/>
      </c>
      <c r="Z200" s="142"/>
      <c r="AA200" s="142"/>
      <c r="AB200" s="314" t="str">
        <f t="shared" si="22"/>
        <v/>
      </c>
      <c r="AC200" s="302" t="str">
        <f t="shared" si="27"/>
        <v/>
      </c>
      <c r="AD200" s="340" t="str">
        <f>IFERROR(IF(AC200="Check Data ⚠","Check Data ⚠",VLOOKUP(AC200,'G-4 Temporal multipliers'!$A$4:$C$37,3,FALSE)),"")</f>
        <v/>
      </c>
      <c r="AE200" s="317" t="str">
        <f>IF(N200="","",VLOOKUP(N200,'G-7 WaterC'' Data'!$B$4:$G$8,5,FALSE))</f>
        <v/>
      </c>
      <c r="AF200" s="301" t="str">
        <f t="shared" si="23"/>
        <v/>
      </c>
      <c r="AG200" s="301" t="str">
        <f t="shared" si="28"/>
        <v/>
      </c>
      <c r="AH200" s="282" t="str">
        <f t="shared" si="24"/>
        <v/>
      </c>
      <c r="AI200" s="109"/>
      <c r="AJ200" s="282" t="str">
        <f>IF(AI200="","",(IF(AND(AI200="N/A - Culvert",N200&lt;&gt;"Culvert"),"Not possible ▲",IF(VLOOKUP(AI200,'G-7 WaterC'' Data'!$AA$4:$AB$7,2,FALSE)=0,"Spatial Data Missing ⚠",VLOOKUP(AI200,'G-7 WaterC'' Data'!$AA$4:$AB$7,2,FALSE)))))</f>
        <v/>
      </c>
      <c r="AK200" s="110"/>
      <c r="AL200" s="316" t="str">
        <f>IF(AK200="","",IF(AND(AK200="N/A - Culvert",N200&lt;&gt;"Culvert"),"Not possible ▲",IF(VLOOKUP(AK200,'G-7 WaterC'' Data'!$AD$4:$AE$14,2,FALSE)=0,"Spatial Data Missing ⚠",VLOOKUP(AK200,'G-7 WaterC'' Data'!$AD$4:$AE$14,2,FALSE))))</f>
        <v/>
      </c>
      <c r="AM200" s="281" t="str">
        <f>IF(B200="","",VLOOKUP($B200,'F-1 Off-Site WaterC'' Baseline'!$C$9:$Z$257,17,FALSE))</f>
        <v/>
      </c>
      <c r="AN200" s="282" t="str">
        <f>IF(AM200="","",IF(VLOOKUP(AM200,'G-7 WaterC'' Data'!$AO$4:$BO$7,2,FALSE)=0,"Spatial Data Missing ⚠",VLOOKUP(AM200,'G-7 WaterC'' Data'!$AO$4:$BO$7,2,FALSE)))</f>
        <v/>
      </c>
      <c r="AO200" s="323" t="str">
        <f t="shared" si="29"/>
        <v/>
      </c>
      <c r="AP200" s="323" t="str">
        <f t="shared" si="30"/>
        <v/>
      </c>
      <c r="AQ200" s="105"/>
      <c r="AR200" s="119"/>
      <c r="AS200" s="108"/>
      <c r="AT200" s="108"/>
      <c r="AW200" s="30" t="str">
        <f>IF(E200="","",VLOOKUP($B200,'F-1 Off-Site WaterC'' Baseline'!$C$9:$Z$257,12,FALSE))</f>
        <v/>
      </c>
      <c r="AX200" s="30" t="str">
        <f>IF(E200="","",VLOOKUP($B200,'F-1 Off-Site WaterC'' Baseline'!$C$9:$Z$257,14,FALSE))</f>
        <v/>
      </c>
      <c r="AY200" s="30" t="str">
        <f>IFERROR(INDEX('G-7 WaterC'' Data'!$AZ$3:$AZ$7,MATCH(N200,'G-7 WaterC'' Data'!$AY$3:$AY$7,0)),"")</f>
        <v/>
      </c>
      <c r="AZ200" s="30" t="str">
        <f>IF(B200="","",IF(ISNA(VLOOKUP($B200,'F-1 Off-Site WaterC'' Baseline'!$C$8:$AD$257,20,FALSE)),"",(VLOOKUP($B200,'F-1 Off-Site WaterC'' Baseline'!$C$8:$AD$257,20,FALSE))))</f>
        <v/>
      </c>
      <c r="BC200" s="30" t="str">
        <f>IF(B200="","",VLOOKUP($B200,'F-1 Off-Site WaterC'' Baseline'!$C$9:$AB$257,25,FALSE))</f>
        <v/>
      </c>
      <c r="BD200" s="30" t="str">
        <f t="shared" si="31"/>
        <v/>
      </c>
      <c r="BE200" s="30" t="str">
        <f>IF(B200="","",VLOOKUP($B200,'F-1 Off-Site WaterC'' Baseline'!$C$9:$AB$257,24,FALSE))</f>
        <v/>
      </c>
      <c r="BF200" s="30" t="str">
        <f>IF(B200="","",VLOOKUP($B200,'F-1 Off-Site WaterC'' Baseline'!$C$9:$AB$257,22,FALSE))</f>
        <v/>
      </c>
      <c r="BJ200" s="30" t="str">
        <f t="shared" si="32"/>
        <v>No</v>
      </c>
    </row>
    <row r="201" spans="2:62" ht="13.8" x14ac:dyDescent="0.25">
      <c r="B201" s="311" t="str">
        <f>'F-1 Off-Site WaterC'' Baseline'!AS199</f>
        <v/>
      </c>
      <c r="C201" s="301" t="str">
        <f>IF(B201="","",VLOOKUP($B201,'F-1 Off-Site WaterC'' Baseline'!$C$9:$R$257,2,FALSE))</f>
        <v/>
      </c>
      <c r="D201" s="301" t="str">
        <f>IF(C201="","",VLOOKUP($B201,'F-1 Off-Site WaterC'' Baseline'!$C$9:$R$257,3,FALSE))</f>
        <v/>
      </c>
      <c r="E201" s="301" t="str">
        <f>IF(D201="","",VLOOKUP($B201,'F-1 Off-Site WaterC'' Baseline'!$C$9:$R$257,4,FALSE))</f>
        <v/>
      </c>
      <c r="F201" s="301" t="str">
        <f>IF(E201="","",VLOOKUP($B201,'F-1 Off-Site WaterC'' Baseline'!$C$9:$R$257,5,FALSE))</f>
        <v/>
      </c>
      <c r="G201" s="301" t="str">
        <f>IF(F201="","",VLOOKUP($B201,'F-1 Off-Site WaterC'' Baseline'!$C$9:$R$257,6,FALSE))</f>
        <v/>
      </c>
      <c r="H201" s="301" t="str">
        <f>IF(G201="","",VLOOKUP($B201,'F-1 Off-Site WaterC'' Baseline'!$C$9:$R$257,7,FALSE))</f>
        <v/>
      </c>
      <c r="I201" s="301" t="str">
        <f>IF(H201="","",VLOOKUP($B201,'F-1 Off-Site WaterC'' Baseline'!$C$9:$R$257,8,FALSE))</f>
        <v/>
      </c>
      <c r="J201" s="301" t="str">
        <f>IF(I201="","",VLOOKUP($B201,'F-1 Off-Site WaterC'' Baseline'!$C$9:$R$257,9,FALSE))</f>
        <v/>
      </c>
      <c r="K201" s="301" t="str">
        <f>IF(J201="","",VLOOKUP($B201,'F-1 Off-Site WaterC'' Baseline'!$C$9:$R$257,10,FALSE))</f>
        <v/>
      </c>
      <c r="L201" s="289" t="str">
        <f>IF(B201="","",VLOOKUP($B201,'F-1 Off-Site WaterC'' Baseline'!$C$9:$R$257,15,FALSE))</f>
        <v/>
      </c>
      <c r="M201" s="305" t="str">
        <f>IF(L201="","",VLOOKUP($B201,'F-1 Off-Site WaterC'' Baseline'!$C$9:$V$257,19,FALSE))</f>
        <v/>
      </c>
      <c r="N201" s="250"/>
      <c r="O201" s="281" t="str">
        <f t="shared" si="25"/>
        <v/>
      </c>
      <c r="P201" s="282" t="str">
        <f t="shared" si="26"/>
        <v/>
      </c>
      <c r="Q201" s="287" t="str">
        <f>IF(N201="","",VLOOKUP(B201,'F-1 Off-Site WaterC'' Baseline'!$C$10:$AF$257,23,FALSE))</f>
        <v/>
      </c>
      <c r="R201" s="281" t="str">
        <f>IF(N201="","",VLOOKUP(N201,'G-7 WaterC'' Data'!$B$2:$G$8,2,FALSE))</f>
        <v/>
      </c>
      <c r="S201" s="282" t="str">
        <f>IFERROR(VLOOKUP(R201,'G-7 WaterC'' Data'!$C$4:$D$8,2,FALSE),"")</f>
        <v/>
      </c>
      <c r="T201" s="105"/>
      <c r="U201" s="282" t="str">
        <f>IFERROR(INDEX('G-7 WaterC'' Data'!$H$4:$L$8,MATCH(N201,'G-7 WaterC'' Data'!$B$4:$B$8,0),MATCH(T201,'G-7 WaterC'' Data'!$H$3:$L$3,0)),"")</f>
        <v/>
      </c>
      <c r="V201" s="109"/>
      <c r="W201" s="301" t="str">
        <f>IF(V201="","",IF(VLOOKUP(V201,'G-7 WaterC'' Data'!$AK$4:$AM$6,2,FALSE)=0,"Spatial Data Missing ⚠",VLOOKUP(V201,'G-7 WaterC'' Data'!$AK$4:$AM$6,2,FALSE)))</f>
        <v/>
      </c>
      <c r="X201" s="305" t="str">
        <f>IF(V201="","",IF(VLOOKUP(V201,'G-7 WaterC'' Data'!$AK$4:$AM$6,3,FALSE)=0,"Spatial Data Missing ⚠",VLOOKUP(V201,'G-7 WaterC'' Data'!$AK$4:$AM$6,3,FALSE)))</f>
        <v/>
      </c>
      <c r="Y201" s="317" t="str">
        <f>IFERROR(IF(OR(LEFT(P201,5)="Error",LEFT(O201,5)="Error"),"Check Data ⚠",IF(F201&lt;S201,'G-7 WaterC'' Data'!$R$3,INDEX('G-7 WaterC'' Data'!$U$5:$Y$9,MATCH(G201,'G-7 WaterC'' Data'!$T$5:$T$9,0),MATCH(T201,'G-7 WaterC'' Data'!$U$4:$Y$4,0)))),"")</f>
        <v/>
      </c>
      <c r="Z201" s="142"/>
      <c r="AA201" s="142"/>
      <c r="AB201" s="314" t="str">
        <f t="shared" si="22"/>
        <v/>
      </c>
      <c r="AC201" s="302" t="str">
        <f t="shared" si="27"/>
        <v/>
      </c>
      <c r="AD201" s="340" t="str">
        <f>IFERROR(IF(AC201="Check Data ⚠","Check Data ⚠",VLOOKUP(AC201,'G-4 Temporal multipliers'!$A$4:$C$37,3,FALSE)),"")</f>
        <v/>
      </c>
      <c r="AE201" s="317" t="str">
        <f>IF(N201="","",VLOOKUP(N201,'G-7 WaterC'' Data'!$B$4:$G$8,5,FALSE))</f>
        <v/>
      </c>
      <c r="AF201" s="301" t="str">
        <f t="shared" si="23"/>
        <v/>
      </c>
      <c r="AG201" s="301" t="str">
        <f t="shared" si="28"/>
        <v/>
      </c>
      <c r="AH201" s="282" t="str">
        <f t="shared" si="24"/>
        <v/>
      </c>
      <c r="AI201" s="109"/>
      <c r="AJ201" s="282" t="str">
        <f>IF(AI201="","",(IF(AND(AI201="N/A - Culvert",N201&lt;&gt;"Culvert"),"Not possible ▲",IF(VLOOKUP(AI201,'G-7 WaterC'' Data'!$AA$4:$AB$7,2,FALSE)=0,"Spatial Data Missing ⚠",VLOOKUP(AI201,'G-7 WaterC'' Data'!$AA$4:$AB$7,2,FALSE)))))</f>
        <v/>
      </c>
      <c r="AK201" s="110"/>
      <c r="AL201" s="316" t="str">
        <f>IF(AK201="","",IF(AND(AK201="N/A - Culvert",N201&lt;&gt;"Culvert"),"Not possible ▲",IF(VLOOKUP(AK201,'G-7 WaterC'' Data'!$AD$4:$AE$14,2,FALSE)=0,"Spatial Data Missing ⚠",VLOOKUP(AK201,'G-7 WaterC'' Data'!$AD$4:$AE$14,2,FALSE))))</f>
        <v/>
      </c>
      <c r="AM201" s="281" t="str">
        <f>IF(B201="","",VLOOKUP($B201,'F-1 Off-Site WaterC'' Baseline'!$C$9:$Z$257,17,FALSE))</f>
        <v/>
      </c>
      <c r="AN201" s="282" t="str">
        <f>IF(AM201="","",IF(VLOOKUP(AM201,'G-7 WaterC'' Data'!$AO$4:$BO$7,2,FALSE)=0,"Spatial Data Missing ⚠",VLOOKUP(AM201,'G-7 WaterC'' Data'!$AO$4:$BO$7,2,FALSE)))</f>
        <v/>
      </c>
      <c r="AO201" s="323" t="str">
        <f t="shared" si="29"/>
        <v/>
      </c>
      <c r="AP201" s="323" t="str">
        <f t="shared" si="30"/>
        <v/>
      </c>
      <c r="AQ201" s="105"/>
      <c r="AR201" s="119"/>
      <c r="AS201" s="108"/>
      <c r="AT201" s="108"/>
      <c r="AW201" s="30" t="str">
        <f>IF(E201="","",VLOOKUP($B201,'F-1 Off-Site WaterC'' Baseline'!$C$9:$Z$257,12,FALSE))</f>
        <v/>
      </c>
      <c r="AX201" s="30" t="str">
        <f>IF(E201="","",VLOOKUP($B201,'F-1 Off-Site WaterC'' Baseline'!$C$9:$Z$257,14,FALSE))</f>
        <v/>
      </c>
      <c r="AY201" s="30" t="str">
        <f>IFERROR(INDEX('G-7 WaterC'' Data'!$AZ$3:$AZ$7,MATCH(N201,'G-7 WaterC'' Data'!$AY$3:$AY$7,0)),"")</f>
        <v/>
      </c>
      <c r="AZ201" s="30" t="str">
        <f>IF(B201="","",IF(ISNA(VLOOKUP($B201,'F-1 Off-Site WaterC'' Baseline'!$C$8:$AD$257,20,FALSE)),"",(VLOOKUP($B201,'F-1 Off-Site WaterC'' Baseline'!$C$8:$AD$257,20,FALSE))))</f>
        <v/>
      </c>
      <c r="BC201" s="30" t="str">
        <f>IF(B201="","",VLOOKUP($B201,'F-1 Off-Site WaterC'' Baseline'!$C$9:$AB$257,25,FALSE))</f>
        <v/>
      </c>
      <c r="BD201" s="30" t="str">
        <f t="shared" si="31"/>
        <v/>
      </c>
      <c r="BE201" s="30" t="str">
        <f>IF(B201="","",VLOOKUP($B201,'F-1 Off-Site WaterC'' Baseline'!$C$9:$AB$257,24,FALSE))</f>
        <v/>
      </c>
      <c r="BF201" s="30" t="str">
        <f>IF(B201="","",VLOOKUP($B201,'F-1 Off-Site WaterC'' Baseline'!$C$9:$AB$257,22,FALSE))</f>
        <v/>
      </c>
      <c r="BJ201" s="30" t="str">
        <f t="shared" si="32"/>
        <v>No</v>
      </c>
    </row>
    <row r="202" spans="2:62" ht="13.8" x14ac:dyDescent="0.25">
      <c r="B202" s="311" t="str">
        <f>'F-1 Off-Site WaterC'' Baseline'!AS200</f>
        <v/>
      </c>
      <c r="C202" s="301" t="str">
        <f>IF(B202="","",VLOOKUP($B202,'F-1 Off-Site WaterC'' Baseline'!$C$9:$R$257,2,FALSE))</f>
        <v/>
      </c>
      <c r="D202" s="301" t="str">
        <f>IF(C202="","",VLOOKUP($B202,'F-1 Off-Site WaterC'' Baseline'!$C$9:$R$257,3,FALSE))</f>
        <v/>
      </c>
      <c r="E202" s="301" t="str">
        <f>IF(D202="","",VLOOKUP($B202,'F-1 Off-Site WaterC'' Baseline'!$C$9:$R$257,4,FALSE))</f>
        <v/>
      </c>
      <c r="F202" s="301" t="str">
        <f>IF(E202="","",VLOOKUP($B202,'F-1 Off-Site WaterC'' Baseline'!$C$9:$R$257,5,FALSE))</f>
        <v/>
      </c>
      <c r="G202" s="301" t="str">
        <f>IF(F202="","",VLOOKUP($B202,'F-1 Off-Site WaterC'' Baseline'!$C$9:$R$257,6,FALSE))</f>
        <v/>
      </c>
      <c r="H202" s="301" t="str">
        <f>IF(G202="","",VLOOKUP($B202,'F-1 Off-Site WaterC'' Baseline'!$C$9:$R$257,7,FALSE))</f>
        <v/>
      </c>
      <c r="I202" s="301" t="str">
        <f>IF(H202="","",VLOOKUP($B202,'F-1 Off-Site WaterC'' Baseline'!$C$9:$R$257,8,FALSE))</f>
        <v/>
      </c>
      <c r="J202" s="301" t="str">
        <f>IF(I202="","",VLOOKUP($B202,'F-1 Off-Site WaterC'' Baseline'!$C$9:$R$257,9,FALSE))</f>
        <v/>
      </c>
      <c r="K202" s="301" t="str">
        <f>IF(J202="","",VLOOKUP($B202,'F-1 Off-Site WaterC'' Baseline'!$C$9:$R$257,10,FALSE))</f>
        <v/>
      </c>
      <c r="L202" s="289" t="str">
        <f>IF(B202="","",VLOOKUP($B202,'F-1 Off-Site WaterC'' Baseline'!$C$9:$R$257,15,FALSE))</f>
        <v/>
      </c>
      <c r="M202" s="305" t="str">
        <f>IF(L202="","",VLOOKUP($B202,'F-1 Off-Site WaterC'' Baseline'!$C$9:$V$257,19,FALSE))</f>
        <v/>
      </c>
      <c r="N202" s="250"/>
      <c r="O202" s="281" t="str">
        <f t="shared" si="25"/>
        <v/>
      </c>
      <c r="P202" s="282" t="str">
        <f t="shared" si="26"/>
        <v/>
      </c>
      <c r="Q202" s="287" t="str">
        <f>IF(N202="","",VLOOKUP(B202,'F-1 Off-Site WaterC'' Baseline'!$C$10:$AF$257,23,FALSE))</f>
        <v/>
      </c>
      <c r="R202" s="281" t="str">
        <f>IF(N202="","",VLOOKUP(N202,'G-7 WaterC'' Data'!$B$2:$G$8,2,FALSE))</f>
        <v/>
      </c>
      <c r="S202" s="282" t="str">
        <f>IFERROR(VLOOKUP(R202,'G-7 WaterC'' Data'!$C$4:$D$8,2,FALSE),"")</f>
        <v/>
      </c>
      <c r="T202" s="105"/>
      <c r="U202" s="282" t="str">
        <f>IFERROR(INDEX('G-7 WaterC'' Data'!$H$4:$L$8,MATCH(N202,'G-7 WaterC'' Data'!$B$4:$B$8,0),MATCH(T202,'G-7 WaterC'' Data'!$H$3:$L$3,0)),"")</f>
        <v/>
      </c>
      <c r="V202" s="109"/>
      <c r="W202" s="301" t="str">
        <f>IF(V202="","",IF(VLOOKUP(V202,'G-7 WaterC'' Data'!$AK$4:$AM$6,2,FALSE)=0,"Spatial Data Missing ⚠",VLOOKUP(V202,'G-7 WaterC'' Data'!$AK$4:$AM$6,2,FALSE)))</f>
        <v/>
      </c>
      <c r="X202" s="305" t="str">
        <f>IF(V202="","",IF(VLOOKUP(V202,'G-7 WaterC'' Data'!$AK$4:$AM$6,3,FALSE)=0,"Spatial Data Missing ⚠",VLOOKUP(V202,'G-7 WaterC'' Data'!$AK$4:$AM$6,3,FALSE)))</f>
        <v/>
      </c>
      <c r="Y202" s="317" t="str">
        <f>IFERROR(IF(OR(LEFT(P202,5)="Error",LEFT(O202,5)="Error"),"Check Data ⚠",IF(F202&lt;S202,'G-7 WaterC'' Data'!$R$3,INDEX('G-7 WaterC'' Data'!$U$5:$Y$9,MATCH(G202,'G-7 WaterC'' Data'!$T$5:$T$9,0),MATCH(T202,'G-7 WaterC'' Data'!$U$4:$Y$4,0)))),"")</f>
        <v/>
      </c>
      <c r="Z202" s="142"/>
      <c r="AA202" s="142"/>
      <c r="AB202" s="314" t="str">
        <f t="shared" si="22"/>
        <v/>
      </c>
      <c r="AC202" s="302" t="str">
        <f t="shared" si="27"/>
        <v/>
      </c>
      <c r="AD202" s="340" t="str">
        <f>IFERROR(IF(AC202="Check Data ⚠","Check Data ⚠",VLOOKUP(AC202,'G-4 Temporal multipliers'!$A$4:$C$37,3,FALSE)),"")</f>
        <v/>
      </c>
      <c r="AE202" s="317" t="str">
        <f>IF(N202="","",VLOOKUP(N202,'G-7 WaterC'' Data'!$B$4:$G$8,5,FALSE))</f>
        <v/>
      </c>
      <c r="AF202" s="301" t="str">
        <f t="shared" si="23"/>
        <v/>
      </c>
      <c r="AG202" s="301" t="str">
        <f t="shared" si="28"/>
        <v/>
      </c>
      <c r="AH202" s="282" t="str">
        <f t="shared" si="24"/>
        <v/>
      </c>
      <c r="AI202" s="109"/>
      <c r="AJ202" s="282" t="str">
        <f>IF(AI202="","",(IF(AND(AI202="N/A - Culvert",N202&lt;&gt;"Culvert"),"Not possible ▲",IF(VLOOKUP(AI202,'G-7 WaterC'' Data'!$AA$4:$AB$7,2,FALSE)=0,"Spatial Data Missing ⚠",VLOOKUP(AI202,'G-7 WaterC'' Data'!$AA$4:$AB$7,2,FALSE)))))</f>
        <v/>
      </c>
      <c r="AK202" s="110"/>
      <c r="AL202" s="316" t="str">
        <f>IF(AK202="","",IF(AND(AK202="N/A - Culvert",N202&lt;&gt;"Culvert"),"Not possible ▲",IF(VLOOKUP(AK202,'G-7 WaterC'' Data'!$AD$4:$AE$14,2,FALSE)=0,"Spatial Data Missing ⚠",VLOOKUP(AK202,'G-7 WaterC'' Data'!$AD$4:$AE$14,2,FALSE))))</f>
        <v/>
      </c>
      <c r="AM202" s="281" t="str">
        <f>IF(B202="","",VLOOKUP($B202,'F-1 Off-Site WaterC'' Baseline'!$C$9:$Z$257,17,FALSE))</f>
        <v/>
      </c>
      <c r="AN202" s="282" t="str">
        <f>IF(AM202="","",IF(VLOOKUP(AM202,'G-7 WaterC'' Data'!$AO$4:$BO$7,2,FALSE)=0,"Spatial Data Missing ⚠",VLOOKUP(AM202,'G-7 WaterC'' Data'!$AO$4:$BO$7,2,FALSE)))</f>
        <v/>
      </c>
      <c r="AO202" s="323" t="str">
        <f t="shared" si="29"/>
        <v/>
      </c>
      <c r="AP202" s="323" t="str">
        <f t="shared" si="30"/>
        <v/>
      </c>
      <c r="AQ202" s="105"/>
      <c r="AR202" s="119"/>
      <c r="AS202" s="108"/>
      <c r="AT202" s="108"/>
      <c r="AW202" s="30" t="str">
        <f>IF(E202="","",VLOOKUP($B202,'F-1 Off-Site WaterC'' Baseline'!$C$9:$Z$257,12,FALSE))</f>
        <v/>
      </c>
      <c r="AX202" s="30" t="str">
        <f>IF(E202="","",VLOOKUP($B202,'F-1 Off-Site WaterC'' Baseline'!$C$9:$Z$257,14,FALSE))</f>
        <v/>
      </c>
      <c r="AY202" s="30" t="str">
        <f>IFERROR(INDEX('G-7 WaterC'' Data'!$AZ$3:$AZ$7,MATCH(N202,'G-7 WaterC'' Data'!$AY$3:$AY$7,0)),"")</f>
        <v/>
      </c>
      <c r="AZ202" s="30" t="str">
        <f>IF(B202="","",IF(ISNA(VLOOKUP($B202,'F-1 Off-Site WaterC'' Baseline'!$C$8:$AD$257,20,FALSE)),"",(VLOOKUP($B202,'F-1 Off-Site WaterC'' Baseline'!$C$8:$AD$257,20,FALSE))))</f>
        <v/>
      </c>
      <c r="BC202" s="30" t="str">
        <f>IF(B202="","",VLOOKUP($B202,'F-1 Off-Site WaterC'' Baseline'!$C$9:$AB$257,25,FALSE))</f>
        <v/>
      </c>
      <c r="BD202" s="30" t="str">
        <f t="shared" si="31"/>
        <v/>
      </c>
      <c r="BE202" s="30" t="str">
        <f>IF(B202="","",VLOOKUP($B202,'F-1 Off-Site WaterC'' Baseline'!$C$9:$AB$257,24,FALSE))</f>
        <v/>
      </c>
      <c r="BF202" s="30" t="str">
        <f>IF(B202="","",VLOOKUP($B202,'F-1 Off-Site WaterC'' Baseline'!$C$9:$AB$257,22,FALSE))</f>
        <v/>
      </c>
      <c r="BJ202" s="30" t="str">
        <f t="shared" si="32"/>
        <v>No</v>
      </c>
    </row>
    <row r="203" spans="2:62" ht="13.8" x14ac:dyDescent="0.25">
      <c r="B203" s="311" t="str">
        <f>'F-1 Off-Site WaterC'' Baseline'!AS201</f>
        <v/>
      </c>
      <c r="C203" s="301" t="str">
        <f>IF(B203="","",VLOOKUP($B203,'F-1 Off-Site WaterC'' Baseline'!$C$9:$R$257,2,FALSE))</f>
        <v/>
      </c>
      <c r="D203" s="301" t="str">
        <f>IF(C203="","",VLOOKUP($B203,'F-1 Off-Site WaterC'' Baseline'!$C$9:$R$257,3,FALSE))</f>
        <v/>
      </c>
      <c r="E203" s="301" t="str">
        <f>IF(D203="","",VLOOKUP($B203,'F-1 Off-Site WaterC'' Baseline'!$C$9:$R$257,4,FALSE))</f>
        <v/>
      </c>
      <c r="F203" s="301" t="str">
        <f>IF(E203="","",VLOOKUP($B203,'F-1 Off-Site WaterC'' Baseline'!$C$9:$R$257,5,FALSE))</f>
        <v/>
      </c>
      <c r="G203" s="301" t="str">
        <f>IF(F203="","",VLOOKUP($B203,'F-1 Off-Site WaterC'' Baseline'!$C$9:$R$257,6,FALSE))</f>
        <v/>
      </c>
      <c r="H203" s="301" t="str">
        <f>IF(G203="","",VLOOKUP($B203,'F-1 Off-Site WaterC'' Baseline'!$C$9:$R$257,7,FALSE))</f>
        <v/>
      </c>
      <c r="I203" s="301" t="str">
        <f>IF(H203="","",VLOOKUP($B203,'F-1 Off-Site WaterC'' Baseline'!$C$9:$R$257,8,FALSE))</f>
        <v/>
      </c>
      <c r="J203" s="301" t="str">
        <f>IF(I203="","",VLOOKUP($B203,'F-1 Off-Site WaterC'' Baseline'!$C$9:$R$257,9,FALSE))</f>
        <v/>
      </c>
      <c r="K203" s="301" t="str">
        <f>IF(J203="","",VLOOKUP($B203,'F-1 Off-Site WaterC'' Baseline'!$C$9:$R$257,10,FALSE))</f>
        <v/>
      </c>
      <c r="L203" s="289" t="str">
        <f>IF(B203="","",VLOOKUP($B203,'F-1 Off-Site WaterC'' Baseline'!$C$9:$R$257,15,FALSE))</f>
        <v/>
      </c>
      <c r="M203" s="305" t="str">
        <f>IF(L203="","",VLOOKUP($B203,'F-1 Off-Site WaterC'' Baseline'!$C$9:$V$257,19,FALSE))</f>
        <v/>
      </c>
      <c r="N203" s="250"/>
      <c r="O203" s="281" t="str">
        <f t="shared" si="25"/>
        <v/>
      </c>
      <c r="P203" s="282" t="str">
        <f t="shared" si="26"/>
        <v/>
      </c>
      <c r="Q203" s="287" t="str">
        <f>IF(N203="","",VLOOKUP(B203,'F-1 Off-Site WaterC'' Baseline'!$C$10:$AF$257,23,FALSE))</f>
        <v/>
      </c>
      <c r="R203" s="281" t="str">
        <f>IF(N203="","",VLOOKUP(N203,'G-7 WaterC'' Data'!$B$2:$G$8,2,FALSE))</f>
        <v/>
      </c>
      <c r="S203" s="282" t="str">
        <f>IFERROR(VLOOKUP(R203,'G-7 WaterC'' Data'!$C$4:$D$8,2,FALSE),"")</f>
        <v/>
      </c>
      <c r="T203" s="105"/>
      <c r="U203" s="282" t="str">
        <f>IFERROR(INDEX('G-7 WaterC'' Data'!$H$4:$L$8,MATCH(N203,'G-7 WaterC'' Data'!$B$4:$B$8,0),MATCH(T203,'G-7 WaterC'' Data'!$H$3:$L$3,0)),"")</f>
        <v/>
      </c>
      <c r="V203" s="109"/>
      <c r="W203" s="301" t="str">
        <f>IF(V203="","",IF(VLOOKUP(V203,'G-7 WaterC'' Data'!$AK$4:$AM$6,2,FALSE)=0,"Spatial Data Missing ⚠",VLOOKUP(V203,'G-7 WaterC'' Data'!$AK$4:$AM$6,2,FALSE)))</f>
        <v/>
      </c>
      <c r="X203" s="305" t="str">
        <f>IF(V203="","",IF(VLOOKUP(V203,'G-7 WaterC'' Data'!$AK$4:$AM$6,3,FALSE)=0,"Spatial Data Missing ⚠",VLOOKUP(V203,'G-7 WaterC'' Data'!$AK$4:$AM$6,3,FALSE)))</f>
        <v/>
      </c>
      <c r="Y203" s="317" t="str">
        <f>IFERROR(IF(OR(LEFT(P203,5)="Error",LEFT(O203,5)="Error"),"Check Data ⚠",IF(F203&lt;S203,'G-7 WaterC'' Data'!$R$3,INDEX('G-7 WaterC'' Data'!$U$5:$Y$9,MATCH(G203,'G-7 WaterC'' Data'!$T$5:$T$9,0),MATCH(T203,'G-7 WaterC'' Data'!$U$4:$Y$4,0)))),"")</f>
        <v/>
      </c>
      <c r="Z203" s="142"/>
      <c r="AA203" s="142"/>
      <c r="AB203" s="314" t="str">
        <f t="shared" si="22"/>
        <v/>
      </c>
      <c r="AC203" s="302" t="str">
        <f t="shared" si="27"/>
        <v/>
      </c>
      <c r="AD203" s="340" t="str">
        <f>IFERROR(IF(AC203="Check Data ⚠","Check Data ⚠",VLOOKUP(AC203,'G-4 Temporal multipliers'!$A$4:$C$37,3,FALSE)),"")</f>
        <v/>
      </c>
      <c r="AE203" s="317" t="str">
        <f>IF(N203="","",VLOOKUP(N203,'G-7 WaterC'' Data'!$B$4:$G$8,5,FALSE))</f>
        <v/>
      </c>
      <c r="AF203" s="301" t="str">
        <f t="shared" si="23"/>
        <v/>
      </c>
      <c r="AG203" s="301" t="str">
        <f t="shared" si="28"/>
        <v/>
      </c>
      <c r="AH203" s="282" t="str">
        <f t="shared" si="24"/>
        <v/>
      </c>
      <c r="AI203" s="109"/>
      <c r="AJ203" s="282" t="str">
        <f>IF(AI203="","",(IF(AND(AI203="N/A - Culvert",N203&lt;&gt;"Culvert"),"Not possible ▲",IF(VLOOKUP(AI203,'G-7 WaterC'' Data'!$AA$4:$AB$7,2,FALSE)=0,"Spatial Data Missing ⚠",VLOOKUP(AI203,'G-7 WaterC'' Data'!$AA$4:$AB$7,2,FALSE)))))</f>
        <v/>
      </c>
      <c r="AK203" s="110"/>
      <c r="AL203" s="316" t="str">
        <f>IF(AK203="","",IF(AND(AK203="N/A - Culvert",N203&lt;&gt;"Culvert"),"Not possible ▲",IF(VLOOKUP(AK203,'G-7 WaterC'' Data'!$AD$4:$AE$14,2,FALSE)=0,"Spatial Data Missing ⚠",VLOOKUP(AK203,'G-7 WaterC'' Data'!$AD$4:$AE$14,2,FALSE))))</f>
        <v/>
      </c>
      <c r="AM203" s="281" t="str">
        <f>IF(B203="","",VLOOKUP($B203,'F-1 Off-Site WaterC'' Baseline'!$C$9:$Z$257,17,FALSE))</f>
        <v/>
      </c>
      <c r="AN203" s="282" t="str">
        <f>IF(AM203="","",IF(VLOOKUP(AM203,'G-7 WaterC'' Data'!$AO$4:$BO$7,2,FALSE)=0,"Spatial Data Missing ⚠",VLOOKUP(AM203,'G-7 WaterC'' Data'!$AO$4:$BO$7,2,FALSE)))</f>
        <v/>
      </c>
      <c r="AO203" s="323" t="str">
        <f t="shared" si="29"/>
        <v/>
      </c>
      <c r="AP203" s="323" t="str">
        <f t="shared" si="30"/>
        <v/>
      </c>
      <c r="AQ203" s="105"/>
      <c r="AR203" s="119"/>
      <c r="AS203" s="108"/>
      <c r="AT203" s="108"/>
      <c r="AW203" s="30" t="str">
        <f>IF(E203="","",VLOOKUP($B203,'F-1 Off-Site WaterC'' Baseline'!$C$9:$Z$257,12,FALSE))</f>
        <v/>
      </c>
      <c r="AX203" s="30" t="str">
        <f>IF(E203="","",VLOOKUP($B203,'F-1 Off-Site WaterC'' Baseline'!$C$9:$Z$257,14,FALSE))</f>
        <v/>
      </c>
      <c r="AY203" s="30" t="str">
        <f>IFERROR(INDEX('G-7 WaterC'' Data'!$AZ$3:$AZ$7,MATCH(N203,'G-7 WaterC'' Data'!$AY$3:$AY$7,0)),"")</f>
        <v/>
      </c>
      <c r="AZ203" s="30" t="str">
        <f>IF(B203="","",IF(ISNA(VLOOKUP($B203,'F-1 Off-Site WaterC'' Baseline'!$C$8:$AD$257,20,FALSE)),"",(VLOOKUP($B203,'F-1 Off-Site WaterC'' Baseline'!$C$8:$AD$257,20,FALSE))))</f>
        <v/>
      </c>
      <c r="BC203" s="30" t="str">
        <f>IF(B203="","",VLOOKUP($B203,'F-1 Off-Site WaterC'' Baseline'!$C$9:$AB$257,25,FALSE))</f>
        <v/>
      </c>
      <c r="BD203" s="30" t="str">
        <f t="shared" si="31"/>
        <v/>
      </c>
      <c r="BE203" s="30" t="str">
        <f>IF(B203="","",VLOOKUP($B203,'F-1 Off-Site WaterC'' Baseline'!$C$9:$AB$257,24,FALSE))</f>
        <v/>
      </c>
      <c r="BF203" s="30" t="str">
        <f>IF(B203="","",VLOOKUP($B203,'F-1 Off-Site WaterC'' Baseline'!$C$9:$AB$257,22,FALSE))</f>
        <v/>
      </c>
      <c r="BJ203" s="30" t="str">
        <f t="shared" si="32"/>
        <v>No</v>
      </c>
    </row>
    <row r="204" spans="2:62" ht="13.8" x14ac:dyDescent="0.25">
      <c r="B204" s="311" t="str">
        <f>'F-1 Off-Site WaterC'' Baseline'!AS202</f>
        <v/>
      </c>
      <c r="C204" s="301" t="str">
        <f>IF(B204="","",VLOOKUP($B204,'F-1 Off-Site WaterC'' Baseline'!$C$9:$R$257,2,FALSE))</f>
        <v/>
      </c>
      <c r="D204" s="301" t="str">
        <f>IF(C204="","",VLOOKUP($B204,'F-1 Off-Site WaterC'' Baseline'!$C$9:$R$257,3,FALSE))</f>
        <v/>
      </c>
      <c r="E204" s="301" t="str">
        <f>IF(D204="","",VLOOKUP($B204,'F-1 Off-Site WaterC'' Baseline'!$C$9:$R$257,4,FALSE))</f>
        <v/>
      </c>
      <c r="F204" s="301" t="str">
        <f>IF(E204="","",VLOOKUP($B204,'F-1 Off-Site WaterC'' Baseline'!$C$9:$R$257,5,FALSE))</f>
        <v/>
      </c>
      <c r="G204" s="301" t="str">
        <f>IF(F204="","",VLOOKUP($B204,'F-1 Off-Site WaterC'' Baseline'!$C$9:$R$257,6,FALSE))</f>
        <v/>
      </c>
      <c r="H204" s="301" t="str">
        <f>IF(G204="","",VLOOKUP($B204,'F-1 Off-Site WaterC'' Baseline'!$C$9:$R$257,7,FALSE))</f>
        <v/>
      </c>
      <c r="I204" s="301" t="str">
        <f>IF(H204="","",VLOOKUP($B204,'F-1 Off-Site WaterC'' Baseline'!$C$9:$R$257,8,FALSE))</f>
        <v/>
      </c>
      <c r="J204" s="301" t="str">
        <f>IF(I204="","",VLOOKUP($B204,'F-1 Off-Site WaterC'' Baseline'!$C$9:$R$257,9,FALSE))</f>
        <v/>
      </c>
      <c r="K204" s="301" t="str">
        <f>IF(J204="","",VLOOKUP($B204,'F-1 Off-Site WaterC'' Baseline'!$C$9:$R$257,10,FALSE))</f>
        <v/>
      </c>
      <c r="L204" s="289" t="str">
        <f>IF(B204="","",VLOOKUP($B204,'F-1 Off-Site WaterC'' Baseline'!$C$9:$R$257,15,FALSE))</f>
        <v/>
      </c>
      <c r="M204" s="305" t="str">
        <f>IF(L204="","",VLOOKUP($B204,'F-1 Off-Site WaterC'' Baseline'!$C$9:$V$257,19,FALSE))</f>
        <v/>
      </c>
      <c r="N204" s="250"/>
      <c r="O204" s="281" t="str">
        <f t="shared" si="25"/>
        <v/>
      </c>
      <c r="P204" s="282" t="str">
        <f t="shared" si="26"/>
        <v/>
      </c>
      <c r="Q204" s="287" t="str">
        <f>IF(N204="","",VLOOKUP(B204,'F-1 Off-Site WaterC'' Baseline'!$C$10:$AF$257,23,FALSE))</f>
        <v/>
      </c>
      <c r="R204" s="281" t="str">
        <f>IF(N204="","",VLOOKUP(N204,'G-7 WaterC'' Data'!$B$2:$G$8,2,FALSE))</f>
        <v/>
      </c>
      <c r="S204" s="282" t="str">
        <f>IFERROR(VLOOKUP(R204,'G-7 WaterC'' Data'!$C$4:$D$8,2,FALSE),"")</f>
        <v/>
      </c>
      <c r="T204" s="105"/>
      <c r="U204" s="282" t="str">
        <f>IFERROR(INDEX('G-7 WaterC'' Data'!$H$4:$L$8,MATCH(N204,'G-7 WaterC'' Data'!$B$4:$B$8,0),MATCH(T204,'G-7 WaterC'' Data'!$H$3:$L$3,0)),"")</f>
        <v/>
      </c>
      <c r="V204" s="109"/>
      <c r="W204" s="301" t="str">
        <f>IF(V204="","",IF(VLOOKUP(V204,'G-7 WaterC'' Data'!$AK$4:$AM$6,2,FALSE)=0,"Spatial Data Missing ⚠",VLOOKUP(V204,'G-7 WaterC'' Data'!$AK$4:$AM$6,2,FALSE)))</f>
        <v/>
      </c>
      <c r="X204" s="305" t="str">
        <f>IF(V204="","",IF(VLOOKUP(V204,'G-7 WaterC'' Data'!$AK$4:$AM$6,3,FALSE)=0,"Spatial Data Missing ⚠",VLOOKUP(V204,'G-7 WaterC'' Data'!$AK$4:$AM$6,3,FALSE)))</f>
        <v/>
      </c>
      <c r="Y204" s="317" t="str">
        <f>IFERROR(IF(OR(LEFT(P204,5)="Error",LEFT(O204,5)="Error"),"Check Data ⚠",IF(F204&lt;S204,'G-7 WaterC'' Data'!$R$3,INDEX('G-7 WaterC'' Data'!$U$5:$Y$9,MATCH(G204,'G-7 WaterC'' Data'!$T$5:$T$9,0),MATCH(T204,'G-7 WaterC'' Data'!$U$4:$Y$4,0)))),"")</f>
        <v/>
      </c>
      <c r="Z204" s="142"/>
      <c r="AA204" s="142"/>
      <c r="AB204" s="314" t="str">
        <f t="shared" ref="AB204:AB256" si="33">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02" t="str">
        <f t="shared" si="27"/>
        <v/>
      </c>
      <c r="AD204" s="340" t="str">
        <f>IFERROR(IF(AC204="Check Data ⚠","Check Data ⚠",VLOOKUP(AC204,'G-4 Temporal multipliers'!$A$4:$C$37,3,FALSE)),"")</f>
        <v/>
      </c>
      <c r="AE204" s="317" t="str">
        <f>IF(N204="","",VLOOKUP(N204,'G-7 WaterC'' Data'!$B$4:$G$8,5,FALSE))</f>
        <v/>
      </c>
      <c r="AF204" s="301" t="str">
        <f t="shared" ref="AF204:AF256" si="34">IF(N204="","",IF(AC204="Check Data ⚠","Check Data ⚠",IF(T204="","",IF($AB204="Check details - Is there evidence that habitat has reached target condition? ⚠","Low Difficulty - only applicable if all habitat created before losses ⚠","Standard difficulty applied"))))</f>
        <v/>
      </c>
      <c r="AG204" s="301" t="str">
        <f t="shared" si="28"/>
        <v/>
      </c>
      <c r="AH204" s="282" t="str">
        <f t="shared" ref="AH204:AH257" si="35">IF(N204="","",VLOOKUP(AG204,Difficulty,2,FALSE))</f>
        <v/>
      </c>
      <c r="AI204" s="109"/>
      <c r="AJ204" s="282" t="str">
        <f>IF(AI204="","",(IF(AND(AI204="N/A - Culvert",N204&lt;&gt;"Culvert"),"Not possible ▲",IF(VLOOKUP(AI204,'G-7 WaterC'' Data'!$AA$4:$AB$7,2,FALSE)=0,"Spatial Data Missing ⚠",VLOOKUP(AI204,'G-7 WaterC'' Data'!$AA$4:$AB$7,2,FALSE)))))</f>
        <v/>
      </c>
      <c r="AK204" s="110"/>
      <c r="AL204" s="316" t="str">
        <f>IF(AK204="","",IF(AND(AK204="N/A - Culvert",N204&lt;&gt;"Culvert"),"Not possible ▲",IF(VLOOKUP(AK204,'G-7 WaterC'' Data'!$AD$4:$AE$14,2,FALSE)=0,"Spatial Data Missing ⚠",VLOOKUP(AK204,'G-7 WaterC'' Data'!$AD$4:$AE$14,2,FALSE))))</f>
        <v/>
      </c>
      <c r="AM204" s="281" t="str">
        <f>IF(B204="","",VLOOKUP($B204,'F-1 Off-Site WaterC'' Baseline'!$C$9:$Z$257,17,FALSE))</f>
        <v/>
      </c>
      <c r="AN204" s="282" t="str">
        <f>IF(AM204="","",IF(VLOOKUP(AM204,'G-7 WaterC'' Data'!$AO$4:$BO$7,2,FALSE)=0,"Spatial Data Missing ⚠",VLOOKUP(AM204,'G-7 WaterC'' Data'!$AO$4:$BO$7,2,FALSE)))</f>
        <v/>
      </c>
      <c r="AO204" s="323" t="str">
        <f t="shared" si="29"/>
        <v/>
      </c>
      <c r="AP204" s="323" t="str">
        <f t="shared" si="30"/>
        <v/>
      </c>
      <c r="AQ204" s="105"/>
      <c r="AR204" s="119"/>
      <c r="AS204" s="108"/>
      <c r="AT204" s="108"/>
      <c r="AW204" s="30" t="str">
        <f>IF(E204="","",VLOOKUP($B204,'F-1 Off-Site WaterC'' Baseline'!$C$9:$Z$257,12,FALSE))</f>
        <v/>
      </c>
      <c r="AX204" s="30" t="str">
        <f>IF(E204="","",VLOOKUP($B204,'F-1 Off-Site WaterC'' Baseline'!$C$9:$Z$257,14,FALSE))</f>
        <v/>
      </c>
      <c r="AY204" s="30" t="str">
        <f>IFERROR(INDEX('G-7 WaterC'' Data'!$AZ$3:$AZ$7,MATCH(N204,'G-7 WaterC'' Data'!$AY$3:$AY$7,0)),"")</f>
        <v/>
      </c>
      <c r="AZ204" s="30" t="str">
        <f>IF(B204="","",IF(ISNA(VLOOKUP($B204,'F-1 Off-Site WaterC'' Baseline'!$C$8:$AD$257,20,FALSE)),"",(VLOOKUP($B204,'F-1 Off-Site WaterC'' Baseline'!$C$8:$AD$257,20,FALSE))))</f>
        <v/>
      </c>
      <c r="BC204" s="30" t="str">
        <f>IF(B204="","",VLOOKUP($B204,'F-1 Off-Site WaterC'' Baseline'!$C$9:$AB$257,25,FALSE))</f>
        <v/>
      </c>
      <c r="BD204" s="30" t="str">
        <f t="shared" si="31"/>
        <v/>
      </c>
      <c r="BE204" s="30" t="str">
        <f>IF(B204="","",VLOOKUP($B204,'F-1 Off-Site WaterC'' Baseline'!$C$9:$AB$257,24,FALSE))</f>
        <v/>
      </c>
      <c r="BF204" s="30" t="str">
        <f>IF(B204="","",VLOOKUP($B204,'F-1 Off-Site WaterC'' Baseline'!$C$9:$AB$257,22,FALSE))</f>
        <v/>
      </c>
      <c r="BJ204" s="30" t="str">
        <f t="shared" si="32"/>
        <v>No</v>
      </c>
    </row>
    <row r="205" spans="2:62" ht="13.8" x14ac:dyDescent="0.25">
      <c r="B205" s="311" t="str">
        <f>'F-1 Off-Site WaterC'' Baseline'!AS203</f>
        <v/>
      </c>
      <c r="C205" s="301" t="str">
        <f>IF(B205="","",VLOOKUP($B205,'F-1 Off-Site WaterC'' Baseline'!$C$9:$R$257,2,FALSE))</f>
        <v/>
      </c>
      <c r="D205" s="301" t="str">
        <f>IF(C205="","",VLOOKUP($B205,'F-1 Off-Site WaterC'' Baseline'!$C$9:$R$257,3,FALSE))</f>
        <v/>
      </c>
      <c r="E205" s="301" t="str">
        <f>IF(D205="","",VLOOKUP($B205,'F-1 Off-Site WaterC'' Baseline'!$C$9:$R$257,4,FALSE))</f>
        <v/>
      </c>
      <c r="F205" s="301" t="str">
        <f>IF(E205="","",VLOOKUP($B205,'F-1 Off-Site WaterC'' Baseline'!$C$9:$R$257,5,FALSE))</f>
        <v/>
      </c>
      <c r="G205" s="301" t="str">
        <f>IF(F205="","",VLOOKUP($B205,'F-1 Off-Site WaterC'' Baseline'!$C$9:$R$257,6,FALSE))</f>
        <v/>
      </c>
      <c r="H205" s="301" t="str">
        <f>IF(G205="","",VLOOKUP($B205,'F-1 Off-Site WaterC'' Baseline'!$C$9:$R$257,7,FALSE))</f>
        <v/>
      </c>
      <c r="I205" s="301" t="str">
        <f>IF(H205="","",VLOOKUP($B205,'F-1 Off-Site WaterC'' Baseline'!$C$9:$R$257,8,FALSE))</f>
        <v/>
      </c>
      <c r="J205" s="301" t="str">
        <f>IF(I205="","",VLOOKUP($B205,'F-1 Off-Site WaterC'' Baseline'!$C$9:$R$257,9,FALSE))</f>
        <v/>
      </c>
      <c r="K205" s="301" t="str">
        <f>IF(J205="","",VLOOKUP($B205,'F-1 Off-Site WaterC'' Baseline'!$C$9:$R$257,10,FALSE))</f>
        <v/>
      </c>
      <c r="L205" s="289" t="str">
        <f>IF(B205="","",VLOOKUP($B205,'F-1 Off-Site WaterC'' Baseline'!$C$9:$R$257,15,FALSE))</f>
        <v/>
      </c>
      <c r="M205" s="305" t="str">
        <f>IF(L205="","",VLOOKUP($B205,'F-1 Off-Site WaterC'' Baseline'!$C$9:$V$257,19,FALSE))</f>
        <v/>
      </c>
      <c r="N205" s="250"/>
      <c r="O205" s="281" t="str">
        <f t="shared" ref="O205:O257" si="36">IF(B205="","",IF(S205&lt;F205,"Error Trading Down ▲",E205&amp;" - "&amp;R205))</f>
        <v/>
      </c>
      <c r="P205" s="282" t="str">
        <f t="shared" ref="P205:P257" si="37">IF(C205="","",IF(AND(N205&lt;&gt;C205,AZ205="Yes"),"Error you cannot replace an irreplaceable habitat ▲",IF(AND(LEFT(C205,55)&lt;&gt;LEFT(N205,55),O205="High - High"),"Error - Not like for like ▲",IF(H205&gt;U205,"Error - Can not reduce condition ▲",IF(AND(C205&lt;&gt;N205,F205&lt;S205),"Lower Distinctiveness Habitat"&amp;" - "&amp;T205,G205&amp;" - "&amp;T205)))))</f>
        <v/>
      </c>
      <c r="Q205" s="287" t="str">
        <f>IF(N205="","",VLOOKUP(B205,'F-1 Off-Site WaterC'' Baseline'!$C$10:$AF$257,23,FALSE))</f>
        <v/>
      </c>
      <c r="R205" s="281" t="str">
        <f>IF(N205="","",VLOOKUP(N205,'G-7 WaterC'' Data'!$B$2:$G$8,2,FALSE))</f>
        <v/>
      </c>
      <c r="S205" s="282" t="str">
        <f>IFERROR(VLOOKUP(R205,'G-7 WaterC'' Data'!$C$4:$D$8,2,FALSE),"")</f>
        <v/>
      </c>
      <c r="T205" s="105"/>
      <c r="U205" s="282" t="str">
        <f>IFERROR(INDEX('G-7 WaterC'' Data'!$H$4:$L$8,MATCH(N205,'G-7 WaterC'' Data'!$B$4:$B$8,0),MATCH(T205,'G-7 WaterC'' Data'!$H$3:$L$3,0)),"")</f>
        <v/>
      </c>
      <c r="V205" s="109"/>
      <c r="W205" s="301" t="str">
        <f>IF(V205="","",IF(VLOOKUP(V205,'G-7 WaterC'' Data'!$AK$4:$AM$6,2,FALSE)=0,"Spatial Data Missing ⚠",VLOOKUP(V205,'G-7 WaterC'' Data'!$AK$4:$AM$6,2,FALSE)))</f>
        <v/>
      </c>
      <c r="X205" s="305" t="str">
        <f>IF(V205="","",IF(VLOOKUP(V205,'G-7 WaterC'' Data'!$AK$4:$AM$6,3,FALSE)=0,"Spatial Data Missing ⚠",VLOOKUP(V205,'G-7 WaterC'' Data'!$AK$4:$AM$6,3,FALSE)))</f>
        <v/>
      </c>
      <c r="Y205" s="317" t="str">
        <f>IFERROR(IF(OR(LEFT(P205,5)="Error",LEFT(O205,5)="Error"),"Check Data ⚠",IF(F205&lt;S205,'G-7 WaterC'' Data'!$R$3,INDEX('G-7 WaterC'' Data'!$U$5:$Y$9,MATCH(G205,'G-7 WaterC'' Data'!$T$5:$T$9,0),MATCH(T205,'G-7 WaterC'' Data'!$U$4:$Y$4,0)))),"")</f>
        <v/>
      </c>
      <c r="Z205" s="142"/>
      <c r="AA205" s="142"/>
      <c r="AB205" s="314" t="str">
        <f t="shared" si="33"/>
        <v/>
      </c>
      <c r="AC205" s="302" t="str">
        <f t="shared" ref="AC205:AC257" si="38">IF(AB205="Error -both advance and delayed habitat creation ▲","Check Data ⚠",IF(AB205="Check Data ⚠","Check Data ⚠",IF(Y205="","",IF(Z205="30+",0,IF(AA205="30+","30+",IF(Y205+AA205&gt;30,"30+",IF(Y205+AA205-Z205&gt;0,Y205+AA205-Z205,IF(Y205-Z205&lt;0,0,Y205+AA205-Z205))))))))</f>
        <v/>
      </c>
      <c r="AD205" s="340" t="str">
        <f>IFERROR(IF(AC205="Check Data ⚠","Check Data ⚠",VLOOKUP(AC205,'G-4 Temporal multipliers'!$A$4:$C$37,3,FALSE)),"")</f>
        <v/>
      </c>
      <c r="AE205" s="317" t="str">
        <f>IF(N205="","",VLOOKUP(N205,'G-7 WaterC'' Data'!$B$4:$G$8,5,FALSE))</f>
        <v/>
      </c>
      <c r="AF205" s="301" t="str">
        <f t="shared" si="34"/>
        <v/>
      </c>
      <c r="AG205" s="301" t="str">
        <f t="shared" ref="AG205:AG257" si="39">(IF(AND(AF205="Standard difficulty applied",Y205&gt;Z205),AE205,IF(AND(AF205="Low Difficulty - only applicable if all habitat created before losses ⚠",Z205&gt;=Y205),"Low",AE205)))</f>
        <v/>
      </c>
      <c r="AH205" s="282" t="str">
        <f t="shared" si="35"/>
        <v/>
      </c>
      <c r="AI205" s="109"/>
      <c r="AJ205" s="282" t="str">
        <f>IF(AI205="","",(IF(AND(AI205="N/A - Culvert",N205&lt;&gt;"Culvert"),"Not possible ▲",IF(VLOOKUP(AI205,'G-7 WaterC'' Data'!$AA$4:$AB$7,2,FALSE)=0,"Spatial Data Missing ⚠",VLOOKUP(AI205,'G-7 WaterC'' Data'!$AA$4:$AB$7,2,FALSE)))))</f>
        <v/>
      </c>
      <c r="AK205" s="110"/>
      <c r="AL205" s="316" t="str">
        <f>IF(AK205="","",IF(AND(AK205="N/A - Culvert",N205&lt;&gt;"Culvert"),"Not possible ▲",IF(VLOOKUP(AK205,'G-7 WaterC'' Data'!$AD$4:$AE$14,2,FALSE)=0,"Spatial Data Missing ⚠",VLOOKUP(AK205,'G-7 WaterC'' Data'!$AD$4:$AE$14,2,FALSE))))</f>
        <v/>
      </c>
      <c r="AM205" s="281" t="str">
        <f>IF(B205="","",VLOOKUP($B205,'F-1 Off-Site WaterC'' Baseline'!$C$9:$Z$257,17,FALSE))</f>
        <v/>
      </c>
      <c r="AN205" s="282" t="str">
        <f>IF(AM205="","",IF(VLOOKUP(AM205,'G-7 WaterC'' Data'!$AO$4:$BO$7,2,FALSE)=0,"Spatial Data Missing ⚠",VLOOKUP(AM205,'G-7 WaterC'' Data'!$AO$4:$BO$7,2,FALSE)))</f>
        <v/>
      </c>
      <c r="AO205" s="323" t="str">
        <f t="shared" ref="AO205:AO257" si="40">IFERROR(IF(C205="","",IF(Q205&gt;D205,((((Q205*S205*U205)-(D205*F205*H205))*(AH205*AD205))+(D205*F205*H205))*(AL205*X205*AJ205*AN205),((((Q205*S205*U205)-(Q205*F205*H205))*(AH205*AD205))+(Q205*F205*H205))*(AL205*X205*AJ205*AN205))),"")</f>
        <v/>
      </c>
      <c r="AP205" s="323" t="str">
        <f t="shared" ref="AP205:AP257" si="41">IFERROR(IF(C205="","",IF(AM205="","", IF(AND(N205&lt;&gt;"",M205=""),"Check data ⚠",  (IF(AND(AM205&lt;&gt;"",AT205=""), "Off-site reference required ▲",IF(Q205&gt;D205,((((Q205*S205*U205)-(D205*F205*H205))*(AH205*AD205))+(D205*F205*H205))*(AL205*X205*AJ205),((((Q205*S205*U205)-(Q205*F205*H205))*(AH205*AD205))+(Q205*F205*H205))*(AL205*X205*AJ205))))))),"")</f>
        <v/>
      </c>
      <c r="AQ205" s="105"/>
      <c r="AR205" s="119"/>
      <c r="AS205" s="108"/>
      <c r="AT205" s="108"/>
      <c r="AW205" s="30" t="str">
        <f>IF(E205="","",VLOOKUP($B205,'F-1 Off-Site WaterC'' Baseline'!$C$9:$Z$257,12,FALSE))</f>
        <v/>
      </c>
      <c r="AX205" s="30" t="str">
        <f>IF(E205="","",VLOOKUP($B205,'F-1 Off-Site WaterC'' Baseline'!$C$9:$Z$257,14,FALSE))</f>
        <v/>
      </c>
      <c r="AY205" s="30" t="str">
        <f>IFERROR(INDEX('G-7 WaterC'' Data'!$AZ$3:$AZ$7,MATCH(N205,'G-7 WaterC'' Data'!$AY$3:$AY$7,0)),"")</f>
        <v/>
      </c>
      <c r="AZ205" s="30" t="str">
        <f>IF(B205="","",IF(ISNA(VLOOKUP($B205,'F-1 Off-Site WaterC'' Baseline'!$C$8:$AD$257,20,FALSE)),"",(VLOOKUP($B205,'F-1 Off-Site WaterC'' Baseline'!$C$8:$AD$257,20,FALSE))))</f>
        <v/>
      </c>
      <c r="BC205" s="30" t="str">
        <f>IF(B205="","",VLOOKUP($B205,'F-1 Off-Site WaterC'' Baseline'!$C$9:$AB$257,25,FALSE))</f>
        <v/>
      </c>
      <c r="BD205" s="30" t="str">
        <f t="shared" ref="BD205:BD256" si="42">IF(B205="","", IF(BC205&gt;M205, M205, IF((BF205+Q205)&gt;D205, M205 - BE205, BC205)))</f>
        <v/>
      </c>
      <c r="BE205" s="30" t="str">
        <f>IF(B205="","",VLOOKUP($B205,'F-1 Off-Site WaterC'' Baseline'!$C$9:$AB$257,24,FALSE))</f>
        <v/>
      </c>
      <c r="BF205" s="30" t="str">
        <f>IF(B205="","",VLOOKUP($B205,'F-1 Off-Site WaterC'' Baseline'!$C$9:$AB$257,22,FALSE))</f>
        <v/>
      </c>
      <c r="BJ205" s="30" t="str">
        <f t="shared" ref="BJ205:BJ258" si="43">IF(AND(N205="Ditches",(OR(T205="Fairly Poor",T205="Fairly Good"))), "Yes", "No")</f>
        <v>No</v>
      </c>
    </row>
    <row r="206" spans="2:62" ht="13.8" x14ac:dyDescent="0.25">
      <c r="B206" s="311" t="str">
        <f>'F-1 Off-Site WaterC'' Baseline'!AS204</f>
        <v/>
      </c>
      <c r="C206" s="301" t="str">
        <f>IF(B206="","",VLOOKUP($B206,'F-1 Off-Site WaterC'' Baseline'!$C$9:$R$257,2,FALSE))</f>
        <v/>
      </c>
      <c r="D206" s="301" t="str">
        <f>IF(C206="","",VLOOKUP($B206,'F-1 Off-Site WaterC'' Baseline'!$C$9:$R$257,3,FALSE))</f>
        <v/>
      </c>
      <c r="E206" s="301" t="str">
        <f>IF(D206="","",VLOOKUP($B206,'F-1 Off-Site WaterC'' Baseline'!$C$9:$R$257,4,FALSE))</f>
        <v/>
      </c>
      <c r="F206" s="301" t="str">
        <f>IF(E206="","",VLOOKUP($B206,'F-1 Off-Site WaterC'' Baseline'!$C$9:$R$257,5,FALSE))</f>
        <v/>
      </c>
      <c r="G206" s="301" t="str">
        <f>IF(F206="","",VLOOKUP($B206,'F-1 Off-Site WaterC'' Baseline'!$C$9:$R$257,6,FALSE))</f>
        <v/>
      </c>
      <c r="H206" s="301" t="str">
        <f>IF(G206="","",VLOOKUP($B206,'F-1 Off-Site WaterC'' Baseline'!$C$9:$R$257,7,FALSE))</f>
        <v/>
      </c>
      <c r="I206" s="301" t="str">
        <f>IF(H206="","",VLOOKUP($B206,'F-1 Off-Site WaterC'' Baseline'!$C$9:$R$257,8,FALSE))</f>
        <v/>
      </c>
      <c r="J206" s="301" t="str">
        <f>IF(I206="","",VLOOKUP($B206,'F-1 Off-Site WaterC'' Baseline'!$C$9:$R$257,9,FALSE))</f>
        <v/>
      </c>
      <c r="K206" s="301" t="str">
        <f>IF(J206="","",VLOOKUP($B206,'F-1 Off-Site WaterC'' Baseline'!$C$9:$R$257,10,FALSE))</f>
        <v/>
      </c>
      <c r="L206" s="289" t="str">
        <f>IF(B206="","",VLOOKUP($B206,'F-1 Off-Site WaterC'' Baseline'!$C$9:$R$257,15,FALSE))</f>
        <v/>
      </c>
      <c r="M206" s="305" t="str">
        <f>IF(L206="","",VLOOKUP($B206,'F-1 Off-Site WaterC'' Baseline'!$C$9:$V$257,19,FALSE))</f>
        <v/>
      </c>
      <c r="N206" s="250"/>
      <c r="O206" s="281" t="str">
        <f t="shared" si="36"/>
        <v/>
      </c>
      <c r="P206" s="282" t="str">
        <f t="shared" si="37"/>
        <v/>
      </c>
      <c r="Q206" s="287" t="str">
        <f>IF(N206="","",VLOOKUP(B206,'F-1 Off-Site WaterC'' Baseline'!$C$10:$AF$257,23,FALSE))</f>
        <v/>
      </c>
      <c r="R206" s="281" t="str">
        <f>IF(N206="","",VLOOKUP(N206,'G-7 WaterC'' Data'!$B$2:$G$8,2,FALSE))</f>
        <v/>
      </c>
      <c r="S206" s="282" t="str">
        <f>IFERROR(VLOOKUP(R206,'G-7 WaterC'' Data'!$C$4:$D$8,2,FALSE),"")</f>
        <v/>
      </c>
      <c r="T206" s="105"/>
      <c r="U206" s="282" t="str">
        <f>IFERROR(INDEX('G-7 WaterC'' Data'!$H$4:$L$8,MATCH(N206,'G-7 WaterC'' Data'!$B$4:$B$8,0),MATCH(T206,'G-7 WaterC'' Data'!$H$3:$L$3,0)),"")</f>
        <v/>
      </c>
      <c r="V206" s="109"/>
      <c r="W206" s="301" t="str">
        <f>IF(V206="","",IF(VLOOKUP(V206,'G-7 WaterC'' Data'!$AK$4:$AM$6,2,FALSE)=0,"Spatial Data Missing ⚠",VLOOKUP(V206,'G-7 WaterC'' Data'!$AK$4:$AM$6,2,FALSE)))</f>
        <v/>
      </c>
      <c r="X206" s="305" t="str">
        <f>IF(V206="","",IF(VLOOKUP(V206,'G-7 WaterC'' Data'!$AK$4:$AM$6,3,FALSE)=0,"Spatial Data Missing ⚠",VLOOKUP(V206,'G-7 WaterC'' Data'!$AK$4:$AM$6,3,FALSE)))</f>
        <v/>
      </c>
      <c r="Y206" s="317" t="str">
        <f>IFERROR(IF(OR(LEFT(P206,5)="Error",LEFT(O206,5)="Error"),"Check Data ⚠",IF(F206&lt;S206,'G-7 WaterC'' Data'!$R$3,INDEX('G-7 WaterC'' Data'!$U$5:$Y$9,MATCH(G206,'G-7 WaterC'' Data'!$T$5:$T$9,0),MATCH(T206,'G-7 WaterC'' Data'!$U$4:$Y$4,0)))),"")</f>
        <v/>
      </c>
      <c r="Z206" s="142"/>
      <c r="AA206" s="142"/>
      <c r="AB206" s="314" t="str">
        <f t="shared" si="33"/>
        <v/>
      </c>
      <c r="AC206" s="302" t="str">
        <f t="shared" si="38"/>
        <v/>
      </c>
      <c r="AD206" s="340" t="str">
        <f>IFERROR(IF(AC206="Check Data ⚠","Check Data ⚠",VLOOKUP(AC206,'G-4 Temporal multipliers'!$A$4:$C$37,3,FALSE)),"")</f>
        <v/>
      </c>
      <c r="AE206" s="317" t="str">
        <f>IF(N206="","",VLOOKUP(N206,'G-7 WaterC'' Data'!$B$4:$G$8,5,FALSE))</f>
        <v/>
      </c>
      <c r="AF206" s="301" t="str">
        <f t="shared" si="34"/>
        <v/>
      </c>
      <c r="AG206" s="301" t="str">
        <f t="shared" si="39"/>
        <v/>
      </c>
      <c r="AH206" s="282" t="str">
        <f t="shared" si="35"/>
        <v/>
      </c>
      <c r="AI206" s="109"/>
      <c r="AJ206" s="282" t="str">
        <f>IF(AI206="","",(IF(AND(AI206="N/A - Culvert",N206&lt;&gt;"Culvert"),"Not possible ▲",IF(VLOOKUP(AI206,'G-7 WaterC'' Data'!$AA$4:$AB$7,2,FALSE)=0,"Spatial Data Missing ⚠",VLOOKUP(AI206,'G-7 WaterC'' Data'!$AA$4:$AB$7,2,FALSE)))))</f>
        <v/>
      </c>
      <c r="AK206" s="110"/>
      <c r="AL206" s="316" t="str">
        <f>IF(AK206="","",IF(AND(AK206="N/A - Culvert",N206&lt;&gt;"Culvert"),"Not possible ▲",IF(VLOOKUP(AK206,'G-7 WaterC'' Data'!$AD$4:$AE$14,2,FALSE)=0,"Spatial Data Missing ⚠",VLOOKUP(AK206,'G-7 WaterC'' Data'!$AD$4:$AE$14,2,FALSE))))</f>
        <v/>
      </c>
      <c r="AM206" s="281" t="str">
        <f>IF(B206="","",VLOOKUP($B206,'F-1 Off-Site WaterC'' Baseline'!$C$9:$Z$257,17,FALSE))</f>
        <v/>
      </c>
      <c r="AN206" s="282" t="str">
        <f>IF(AM206="","",IF(VLOOKUP(AM206,'G-7 WaterC'' Data'!$AO$4:$BO$7,2,FALSE)=0,"Spatial Data Missing ⚠",VLOOKUP(AM206,'G-7 WaterC'' Data'!$AO$4:$BO$7,2,FALSE)))</f>
        <v/>
      </c>
      <c r="AO206" s="323" t="str">
        <f t="shared" si="40"/>
        <v/>
      </c>
      <c r="AP206" s="323" t="str">
        <f t="shared" si="41"/>
        <v/>
      </c>
      <c r="AQ206" s="105"/>
      <c r="AR206" s="119"/>
      <c r="AS206" s="108"/>
      <c r="AT206" s="108"/>
      <c r="AW206" s="30" t="str">
        <f>IF(E206="","",VLOOKUP($B206,'F-1 Off-Site WaterC'' Baseline'!$C$9:$Z$257,12,FALSE))</f>
        <v/>
      </c>
      <c r="AX206" s="30" t="str">
        <f>IF(E206="","",VLOOKUP($B206,'F-1 Off-Site WaterC'' Baseline'!$C$9:$Z$257,14,FALSE))</f>
        <v/>
      </c>
      <c r="AY206" s="30" t="str">
        <f>IFERROR(INDEX('G-7 WaterC'' Data'!$AZ$3:$AZ$7,MATCH(N206,'G-7 WaterC'' Data'!$AY$3:$AY$7,0)),"")</f>
        <v/>
      </c>
      <c r="AZ206" s="30" t="str">
        <f>IF(B206="","",IF(ISNA(VLOOKUP($B206,'F-1 Off-Site WaterC'' Baseline'!$C$8:$AD$257,20,FALSE)),"",(VLOOKUP($B206,'F-1 Off-Site WaterC'' Baseline'!$C$8:$AD$257,20,FALSE))))</f>
        <v/>
      </c>
      <c r="BC206" s="30" t="str">
        <f>IF(B206="","",VLOOKUP($B206,'F-1 Off-Site WaterC'' Baseline'!$C$9:$AB$257,25,FALSE))</f>
        <v/>
      </c>
      <c r="BD206" s="30" t="str">
        <f t="shared" si="42"/>
        <v/>
      </c>
      <c r="BE206" s="30" t="str">
        <f>IF(B206="","",VLOOKUP($B206,'F-1 Off-Site WaterC'' Baseline'!$C$9:$AB$257,24,FALSE))</f>
        <v/>
      </c>
      <c r="BF206" s="30" t="str">
        <f>IF(B206="","",VLOOKUP($B206,'F-1 Off-Site WaterC'' Baseline'!$C$9:$AB$257,22,FALSE))</f>
        <v/>
      </c>
      <c r="BJ206" s="30" t="str">
        <f t="shared" si="43"/>
        <v>No</v>
      </c>
    </row>
    <row r="207" spans="2:62" ht="13.8" x14ac:dyDescent="0.25">
      <c r="B207" s="311" t="str">
        <f>'F-1 Off-Site WaterC'' Baseline'!AS205</f>
        <v/>
      </c>
      <c r="C207" s="301" t="str">
        <f>IF(B207="","",VLOOKUP($B207,'F-1 Off-Site WaterC'' Baseline'!$C$9:$R$257,2,FALSE))</f>
        <v/>
      </c>
      <c r="D207" s="301" t="str">
        <f>IF(C207="","",VLOOKUP($B207,'F-1 Off-Site WaterC'' Baseline'!$C$9:$R$257,3,FALSE))</f>
        <v/>
      </c>
      <c r="E207" s="301" t="str">
        <f>IF(D207="","",VLOOKUP($B207,'F-1 Off-Site WaterC'' Baseline'!$C$9:$R$257,4,FALSE))</f>
        <v/>
      </c>
      <c r="F207" s="301" t="str">
        <f>IF(E207="","",VLOOKUP($B207,'F-1 Off-Site WaterC'' Baseline'!$C$9:$R$257,5,FALSE))</f>
        <v/>
      </c>
      <c r="G207" s="301" t="str">
        <f>IF(F207="","",VLOOKUP($B207,'F-1 Off-Site WaterC'' Baseline'!$C$9:$R$257,6,FALSE))</f>
        <v/>
      </c>
      <c r="H207" s="301" t="str">
        <f>IF(G207="","",VLOOKUP($B207,'F-1 Off-Site WaterC'' Baseline'!$C$9:$R$257,7,FALSE))</f>
        <v/>
      </c>
      <c r="I207" s="301" t="str">
        <f>IF(H207="","",VLOOKUP($B207,'F-1 Off-Site WaterC'' Baseline'!$C$9:$R$257,8,FALSE))</f>
        <v/>
      </c>
      <c r="J207" s="301" t="str">
        <f>IF(I207="","",VLOOKUP($B207,'F-1 Off-Site WaterC'' Baseline'!$C$9:$R$257,9,FALSE))</f>
        <v/>
      </c>
      <c r="K207" s="301" t="str">
        <f>IF(J207="","",VLOOKUP($B207,'F-1 Off-Site WaterC'' Baseline'!$C$9:$R$257,10,FALSE))</f>
        <v/>
      </c>
      <c r="L207" s="289" t="str">
        <f>IF(B207="","",VLOOKUP($B207,'F-1 Off-Site WaterC'' Baseline'!$C$9:$R$257,15,FALSE))</f>
        <v/>
      </c>
      <c r="M207" s="305" t="str">
        <f>IF(L207="","",VLOOKUP($B207,'F-1 Off-Site WaterC'' Baseline'!$C$9:$V$257,19,FALSE))</f>
        <v/>
      </c>
      <c r="N207" s="250"/>
      <c r="O207" s="281" t="str">
        <f t="shared" si="36"/>
        <v/>
      </c>
      <c r="P207" s="282" t="str">
        <f t="shared" si="37"/>
        <v/>
      </c>
      <c r="Q207" s="287" t="str">
        <f>IF(N207="","",VLOOKUP(B207,'F-1 Off-Site WaterC'' Baseline'!$C$10:$AF$257,23,FALSE))</f>
        <v/>
      </c>
      <c r="R207" s="281" t="str">
        <f>IF(N207="","",VLOOKUP(N207,'G-7 WaterC'' Data'!$B$2:$G$8,2,FALSE))</f>
        <v/>
      </c>
      <c r="S207" s="282" t="str">
        <f>IFERROR(VLOOKUP(R207,'G-7 WaterC'' Data'!$C$4:$D$8,2,FALSE),"")</f>
        <v/>
      </c>
      <c r="T207" s="105"/>
      <c r="U207" s="282" t="str">
        <f>IFERROR(INDEX('G-7 WaterC'' Data'!$H$4:$L$8,MATCH(N207,'G-7 WaterC'' Data'!$B$4:$B$8,0),MATCH(T207,'G-7 WaterC'' Data'!$H$3:$L$3,0)),"")</f>
        <v/>
      </c>
      <c r="V207" s="109"/>
      <c r="W207" s="301" t="str">
        <f>IF(V207="","",IF(VLOOKUP(V207,'G-7 WaterC'' Data'!$AK$4:$AM$6,2,FALSE)=0,"Spatial Data Missing ⚠",VLOOKUP(V207,'G-7 WaterC'' Data'!$AK$4:$AM$6,2,FALSE)))</f>
        <v/>
      </c>
      <c r="X207" s="305" t="str">
        <f>IF(V207="","",IF(VLOOKUP(V207,'G-7 WaterC'' Data'!$AK$4:$AM$6,3,FALSE)=0,"Spatial Data Missing ⚠",VLOOKUP(V207,'G-7 WaterC'' Data'!$AK$4:$AM$6,3,FALSE)))</f>
        <v/>
      </c>
      <c r="Y207" s="317" t="str">
        <f>IFERROR(IF(OR(LEFT(P207,5)="Error",LEFT(O207,5)="Error"),"Check Data ⚠",IF(F207&lt;S207,'G-7 WaterC'' Data'!$R$3,INDEX('G-7 WaterC'' Data'!$U$5:$Y$9,MATCH(G207,'G-7 WaterC'' Data'!$T$5:$T$9,0),MATCH(T207,'G-7 WaterC'' Data'!$U$4:$Y$4,0)))),"")</f>
        <v/>
      </c>
      <c r="Z207" s="142"/>
      <c r="AA207" s="142"/>
      <c r="AB207" s="314" t="str">
        <f t="shared" si="33"/>
        <v/>
      </c>
      <c r="AC207" s="302" t="str">
        <f t="shared" si="38"/>
        <v/>
      </c>
      <c r="AD207" s="340" t="str">
        <f>IFERROR(IF(AC207="Check Data ⚠","Check Data ⚠",VLOOKUP(AC207,'G-4 Temporal multipliers'!$A$4:$C$37,3,FALSE)),"")</f>
        <v/>
      </c>
      <c r="AE207" s="317" t="str">
        <f>IF(N207="","",VLOOKUP(N207,'G-7 WaterC'' Data'!$B$4:$G$8,5,FALSE))</f>
        <v/>
      </c>
      <c r="AF207" s="301" t="str">
        <f t="shared" si="34"/>
        <v/>
      </c>
      <c r="AG207" s="301" t="str">
        <f t="shared" si="39"/>
        <v/>
      </c>
      <c r="AH207" s="282" t="str">
        <f t="shared" si="35"/>
        <v/>
      </c>
      <c r="AI207" s="109"/>
      <c r="AJ207" s="282" t="str">
        <f>IF(AI207="","",(IF(AND(AI207="N/A - Culvert",N207&lt;&gt;"Culvert"),"Not possible ▲",IF(VLOOKUP(AI207,'G-7 WaterC'' Data'!$AA$4:$AB$7,2,FALSE)=0,"Spatial Data Missing ⚠",VLOOKUP(AI207,'G-7 WaterC'' Data'!$AA$4:$AB$7,2,FALSE)))))</f>
        <v/>
      </c>
      <c r="AK207" s="110"/>
      <c r="AL207" s="316" t="str">
        <f>IF(AK207="","",IF(AND(AK207="N/A - Culvert",N207&lt;&gt;"Culvert"),"Not possible ▲",IF(VLOOKUP(AK207,'G-7 WaterC'' Data'!$AD$4:$AE$14,2,FALSE)=0,"Spatial Data Missing ⚠",VLOOKUP(AK207,'G-7 WaterC'' Data'!$AD$4:$AE$14,2,FALSE))))</f>
        <v/>
      </c>
      <c r="AM207" s="281" t="str">
        <f>IF(B207="","",VLOOKUP($B207,'F-1 Off-Site WaterC'' Baseline'!$C$9:$Z$257,17,FALSE))</f>
        <v/>
      </c>
      <c r="AN207" s="282" t="str">
        <f>IF(AM207="","",IF(VLOOKUP(AM207,'G-7 WaterC'' Data'!$AO$4:$BO$7,2,FALSE)=0,"Spatial Data Missing ⚠",VLOOKUP(AM207,'G-7 WaterC'' Data'!$AO$4:$BO$7,2,FALSE)))</f>
        <v/>
      </c>
      <c r="AO207" s="323" t="str">
        <f t="shared" si="40"/>
        <v/>
      </c>
      <c r="AP207" s="323" t="str">
        <f t="shared" si="41"/>
        <v/>
      </c>
      <c r="AQ207" s="105"/>
      <c r="AR207" s="119"/>
      <c r="AS207" s="108"/>
      <c r="AT207" s="108"/>
      <c r="AW207" s="30" t="str">
        <f>IF(E207="","",VLOOKUP($B207,'F-1 Off-Site WaterC'' Baseline'!$C$9:$Z$257,12,FALSE))</f>
        <v/>
      </c>
      <c r="AX207" s="30" t="str">
        <f>IF(E207="","",VLOOKUP($B207,'F-1 Off-Site WaterC'' Baseline'!$C$9:$Z$257,14,FALSE))</f>
        <v/>
      </c>
      <c r="AY207" s="30" t="str">
        <f>IFERROR(INDEX('G-7 WaterC'' Data'!$AZ$3:$AZ$7,MATCH(N207,'G-7 WaterC'' Data'!$AY$3:$AY$7,0)),"")</f>
        <v/>
      </c>
      <c r="AZ207" s="30" t="str">
        <f>IF(B207="","",IF(ISNA(VLOOKUP($B207,'F-1 Off-Site WaterC'' Baseline'!$C$8:$AD$257,20,FALSE)),"",(VLOOKUP($B207,'F-1 Off-Site WaterC'' Baseline'!$C$8:$AD$257,20,FALSE))))</f>
        <v/>
      </c>
      <c r="BC207" s="30" t="str">
        <f>IF(B207="","",VLOOKUP($B207,'F-1 Off-Site WaterC'' Baseline'!$C$9:$AB$257,25,FALSE))</f>
        <v/>
      </c>
      <c r="BD207" s="30" t="str">
        <f t="shared" si="42"/>
        <v/>
      </c>
      <c r="BE207" s="30" t="str">
        <f>IF(B207="","",VLOOKUP($B207,'F-1 Off-Site WaterC'' Baseline'!$C$9:$AB$257,24,FALSE))</f>
        <v/>
      </c>
      <c r="BF207" s="30" t="str">
        <f>IF(B207="","",VLOOKUP($B207,'F-1 Off-Site WaterC'' Baseline'!$C$9:$AB$257,22,FALSE))</f>
        <v/>
      </c>
      <c r="BJ207" s="30" t="str">
        <f t="shared" si="43"/>
        <v>No</v>
      </c>
    </row>
    <row r="208" spans="2:62" ht="13.8" x14ac:dyDescent="0.25">
      <c r="B208" s="311" t="str">
        <f>'F-1 Off-Site WaterC'' Baseline'!AS206</f>
        <v/>
      </c>
      <c r="C208" s="301" t="str">
        <f>IF(B208="","",VLOOKUP($B208,'F-1 Off-Site WaterC'' Baseline'!$C$9:$R$257,2,FALSE))</f>
        <v/>
      </c>
      <c r="D208" s="301" t="str">
        <f>IF(C208="","",VLOOKUP($B208,'F-1 Off-Site WaterC'' Baseline'!$C$9:$R$257,3,FALSE))</f>
        <v/>
      </c>
      <c r="E208" s="301" t="str">
        <f>IF(D208="","",VLOOKUP($B208,'F-1 Off-Site WaterC'' Baseline'!$C$9:$R$257,4,FALSE))</f>
        <v/>
      </c>
      <c r="F208" s="301" t="str">
        <f>IF(E208="","",VLOOKUP($B208,'F-1 Off-Site WaterC'' Baseline'!$C$9:$R$257,5,FALSE))</f>
        <v/>
      </c>
      <c r="G208" s="301" t="str">
        <f>IF(F208="","",VLOOKUP($B208,'F-1 Off-Site WaterC'' Baseline'!$C$9:$R$257,6,FALSE))</f>
        <v/>
      </c>
      <c r="H208" s="301" t="str">
        <f>IF(G208="","",VLOOKUP($B208,'F-1 Off-Site WaterC'' Baseline'!$C$9:$R$257,7,FALSE))</f>
        <v/>
      </c>
      <c r="I208" s="301" t="str">
        <f>IF(H208="","",VLOOKUP($B208,'F-1 Off-Site WaterC'' Baseline'!$C$9:$R$257,8,FALSE))</f>
        <v/>
      </c>
      <c r="J208" s="301" t="str">
        <f>IF(I208="","",VLOOKUP($B208,'F-1 Off-Site WaterC'' Baseline'!$C$9:$R$257,9,FALSE))</f>
        <v/>
      </c>
      <c r="K208" s="301" t="str">
        <f>IF(J208="","",VLOOKUP($B208,'F-1 Off-Site WaterC'' Baseline'!$C$9:$R$257,10,FALSE))</f>
        <v/>
      </c>
      <c r="L208" s="289" t="str">
        <f>IF(B208="","",VLOOKUP($B208,'F-1 Off-Site WaterC'' Baseline'!$C$9:$R$257,15,FALSE))</f>
        <v/>
      </c>
      <c r="M208" s="305" t="str">
        <f>IF(L208="","",VLOOKUP($B208,'F-1 Off-Site WaterC'' Baseline'!$C$9:$V$257,19,FALSE))</f>
        <v/>
      </c>
      <c r="N208" s="250"/>
      <c r="O208" s="281" t="str">
        <f t="shared" si="36"/>
        <v/>
      </c>
      <c r="P208" s="282" t="str">
        <f t="shared" si="37"/>
        <v/>
      </c>
      <c r="Q208" s="287" t="str">
        <f>IF(N208="","",VLOOKUP(B208,'F-1 Off-Site WaterC'' Baseline'!$C$10:$AF$257,23,FALSE))</f>
        <v/>
      </c>
      <c r="R208" s="281" t="str">
        <f>IF(N208="","",VLOOKUP(N208,'G-7 WaterC'' Data'!$B$2:$G$8,2,FALSE))</f>
        <v/>
      </c>
      <c r="S208" s="282" t="str">
        <f>IFERROR(VLOOKUP(R208,'G-7 WaterC'' Data'!$C$4:$D$8,2,FALSE),"")</f>
        <v/>
      </c>
      <c r="T208" s="105"/>
      <c r="U208" s="282" t="str">
        <f>IFERROR(INDEX('G-7 WaterC'' Data'!$H$4:$L$8,MATCH(N208,'G-7 WaterC'' Data'!$B$4:$B$8,0),MATCH(T208,'G-7 WaterC'' Data'!$H$3:$L$3,0)),"")</f>
        <v/>
      </c>
      <c r="V208" s="109"/>
      <c r="W208" s="301" t="str">
        <f>IF(V208="","",IF(VLOOKUP(V208,'G-7 WaterC'' Data'!$AK$4:$AM$6,2,FALSE)=0,"Spatial Data Missing ⚠",VLOOKUP(V208,'G-7 WaterC'' Data'!$AK$4:$AM$6,2,FALSE)))</f>
        <v/>
      </c>
      <c r="X208" s="305" t="str">
        <f>IF(V208="","",IF(VLOOKUP(V208,'G-7 WaterC'' Data'!$AK$4:$AM$6,3,FALSE)=0,"Spatial Data Missing ⚠",VLOOKUP(V208,'G-7 WaterC'' Data'!$AK$4:$AM$6,3,FALSE)))</f>
        <v/>
      </c>
      <c r="Y208" s="317" t="str">
        <f>IFERROR(IF(OR(LEFT(P208,5)="Error",LEFT(O208,5)="Error"),"Check Data ⚠",IF(F208&lt;S208,'G-7 WaterC'' Data'!$R$3,INDEX('G-7 WaterC'' Data'!$U$5:$Y$9,MATCH(G208,'G-7 WaterC'' Data'!$T$5:$T$9,0),MATCH(T208,'G-7 WaterC'' Data'!$U$4:$Y$4,0)))),"")</f>
        <v/>
      </c>
      <c r="Z208" s="142"/>
      <c r="AA208" s="142"/>
      <c r="AB208" s="314" t="str">
        <f t="shared" si="33"/>
        <v/>
      </c>
      <c r="AC208" s="302" t="str">
        <f t="shared" si="38"/>
        <v/>
      </c>
      <c r="AD208" s="340" t="str">
        <f>IFERROR(IF(AC208="Check Data ⚠","Check Data ⚠",VLOOKUP(AC208,'G-4 Temporal multipliers'!$A$4:$C$37,3,FALSE)),"")</f>
        <v/>
      </c>
      <c r="AE208" s="317" t="str">
        <f>IF(N208="","",VLOOKUP(N208,'G-7 WaterC'' Data'!$B$4:$G$8,5,FALSE))</f>
        <v/>
      </c>
      <c r="AF208" s="301" t="str">
        <f t="shared" si="34"/>
        <v/>
      </c>
      <c r="AG208" s="301" t="str">
        <f t="shared" si="39"/>
        <v/>
      </c>
      <c r="AH208" s="282" t="str">
        <f t="shared" si="35"/>
        <v/>
      </c>
      <c r="AI208" s="109"/>
      <c r="AJ208" s="282" t="str">
        <f>IF(AI208="","",(IF(AND(AI208="N/A - Culvert",N208&lt;&gt;"Culvert"),"Not possible ▲",IF(VLOOKUP(AI208,'G-7 WaterC'' Data'!$AA$4:$AB$7,2,FALSE)=0,"Spatial Data Missing ⚠",VLOOKUP(AI208,'G-7 WaterC'' Data'!$AA$4:$AB$7,2,FALSE)))))</f>
        <v/>
      </c>
      <c r="AK208" s="110"/>
      <c r="AL208" s="316" t="str">
        <f>IF(AK208="","",IF(AND(AK208="N/A - Culvert",N208&lt;&gt;"Culvert"),"Not possible ▲",IF(VLOOKUP(AK208,'G-7 WaterC'' Data'!$AD$4:$AE$14,2,FALSE)=0,"Spatial Data Missing ⚠",VLOOKUP(AK208,'G-7 WaterC'' Data'!$AD$4:$AE$14,2,FALSE))))</f>
        <v/>
      </c>
      <c r="AM208" s="281" t="str">
        <f>IF(B208="","",VLOOKUP($B208,'F-1 Off-Site WaterC'' Baseline'!$C$9:$Z$257,17,FALSE))</f>
        <v/>
      </c>
      <c r="AN208" s="282" t="str">
        <f>IF(AM208="","",IF(VLOOKUP(AM208,'G-7 WaterC'' Data'!$AO$4:$BO$7,2,FALSE)=0,"Spatial Data Missing ⚠",VLOOKUP(AM208,'G-7 WaterC'' Data'!$AO$4:$BO$7,2,FALSE)))</f>
        <v/>
      </c>
      <c r="AO208" s="323" t="str">
        <f t="shared" si="40"/>
        <v/>
      </c>
      <c r="AP208" s="323" t="str">
        <f t="shared" si="41"/>
        <v/>
      </c>
      <c r="AQ208" s="105"/>
      <c r="AR208" s="119"/>
      <c r="AS208" s="108"/>
      <c r="AT208" s="108"/>
      <c r="AW208" s="30" t="str">
        <f>IF(E208="","",VLOOKUP($B208,'F-1 Off-Site WaterC'' Baseline'!$C$9:$Z$257,12,FALSE))</f>
        <v/>
      </c>
      <c r="AX208" s="30" t="str">
        <f>IF(E208="","",VLOOKUP($B208,'F-1 Off-Site WaterC'' Baseline'!$C$9:$Z$257,14,FALSE))</f>
        <v/>
      </c>
      <c r="AY208" s="30" t="str">
        <f>IFERROR(INDEX('G-7 WaterC'' Data'!$AZ$3:$AZ$7,MATCH(N208,'G-7 WaterC'' Data'!$AY$3:$AY$7,0)),"")</f>
        <v/>
      </c>
      <c r="AZ208" s="30" t="str">
        <f>IF(B208="","",IF(ISNA(VLOOKUP($B208,'F-1 Off-Site WaterC'' Baseline'!$C$8:$AD$257,20,FALSE)),"",(VLOOKUP($B208,'F-1 Off-Site WaterC'' Baseline'!$C$8:$AD$257,20,FALSE))))</f>
        <v/>
      </c>
      <c r="BC208" s="30" t="str">
        <f>IF(B208="","",VLOOKUP($B208,'F-1 Off-Site WaterC'' Baseline'!$C$9:$AB$257,25,FALSE))</f>
        <v/>
      </c>
      <c r="BD208" s="30" t="str">
        <f t="shared" si="42"/>
        <v/>
      </c>
      <c r="BE208" s="30" t="str">
        <f>IF(B208="","",VLOOKUP($B208,'F-1 Off-Site WaterC'' Baseline'!$C$9:$AB$257,24,FALSE))</f>
        <v/>
      </c>
      <c r="BF208" s="30" t="str">
        <f>IF(B208="","",VLOOKUP($B208,'F-1 Off-Site WaterC'' Baseline'!$C$9:$AB$257,22,FALSE))</f>
        <v/>
      </c>
      <c r="BJ208" s="30" t="str">
        <f t="shared" si="43"/>
        <v>No</v>
      </c>
    </row>
    <row r="209" spans="2:62" ht="13.8" x14ac:dyDescent="0.25">
      <c r="B209" s="311" t="str">
        <f>'F-1 Off-Site WaterC'' Baseline'!AS207</f>
        <v/>
      </c>
      <c r="C209" s="301" t="str">
        <f>IF(B209="","",VLOOKUP($B209,'F-1 Off-Site WaterC'' Baseline'!$C$9:$R$257,2,FALSE))</f>
        <v/>
      </c>
      <c r="D209" s="301" t="str">
        <f>IF(C209="","",VLOOKUP($B209,'F-1 Off-Site WaterC'' Baseline'!$C$9:$R$257,3,FALSE))</f>
        <v/>
      </c>
      <c r="E209" s="301" t="str">
        <f>IF(D209="","",VLOOKUP($B209,'F-1 Off-Site WaterC'' Baseline'!$C$9:$R$257,4,FALSE))</f>
        <v/>
      </c>
      <c r="F209" s="301" t="str">
        <f>IF(E209="","",VLOOKUP($B209,'F-1 Off-Site WaterC'' Baseline'!$C$9:$R$257,5,FALSE))</f>
        <v/>
      </c>
      <c r="G209" s="301" t="str">
        <f>IF(F209="","",VLOOKUP($B209,'F-1 Off-Site WaterC'' Baseline'!$C$9:$R$257,6,FALSE))</f>
        <v/>
      </c>
      <c r="H209" s="301" t="str">
        <f>IF(G209="","",VLOOKUP($B209,'F-1 Off-Site WaterC'' Baseline'!$C$9:$R$257,7,FALSE))</f>
        <v/>
      </c>
      <c r="I209" s="301" t="str">
        <f>IF(H209="","",VLOOKUP($B209,'F-1 Off-Site WaterC'' Baseline'!$C$9:$R$257,8,FALSE))</f>
        <v/>
      </c>
      <c r="J209" s="301" t="str">
        <f>IF(I209="","",VLOOKUP($B209,'F-1 Off-Site WaterC'' Baseline'!$C$9:$R$257,9,FALSE))</f>
        <v/>
      </c>
      <c r="K209" s="301" t="str">
        <f>IF(J209="","",VLOOKUP($B209,'F-1 Off-Site WaterC'' Baseline'!$C$9:$R$257,10,FALSE))</f>
        <v/>
      </c>
      <c r="L209" s="289" t="str">
        <f>IF(B209="","",VLOOKUP($B209,'F-1 Off-Site WaterC'' Baseline'!$C$9:$R$257,15,FALSE))</f>
        <v/>
      </c>
      <c r="M209" s="305" t="str">
        <f>IF(L209="","",VLOOKUP($B209,'F-1 Off-Site WaterC'' Baseline'!$C$9:$V$257,19,FALSE))</f>
        <v/>
      </c>
      <c r="N209" s="250"/>
      <c r="O209" s="281" t="str">
        <f t="shared" si="36"/>
        <v/>
      </c>
      <c r="P209" s="282" t="str">
        <f t="shared" si="37"/>
        <v/>
      </c>
      <c r="Q209" s="287" t="str">
        <f>IF(N209="","",VLOOKUP(B209,'F-1 Off-Site WaterC'' Baseline'!$C$10:$AF$257,23,FALSE))</f>
        <v/>
      </c>
      <c r="R209" s="281" t="str">
        <f>IF(N209="","",VLOOKUP(N209,'G-7 WaterC'' Data'!$B$2:$G$8,2,FALSE))</f>
        <v/>
      </c>
      <c r="S209" s="282" t="str">
        <f>IFERROR(VLOOKUP(R209,'G-7 WaterC'' Data'!$C$4:$D$8,2,FALSE),"")</f>
        <v/>
      </c>
      <c r="T209" s="105"/>
      <c r="U209" s="282" t="str">
        <f>IFERROR(INDEX('G-7 WaterC'' Data'!$H$4:$L$8,MATCH(N209,'G-7 WaterC'' Data'!$B$4:$B$8,0),MATCH(T209,'G-7 WaterC'' Data'!$H$3:$L$3,0)),"")</f>
        <v/>
      </c>
      <c r="V209" s="109"/>
      <c r="W209" s="301" t="str">
        <f>IF(V209="","",IF(VLOOKUP(V209,'G-7 WaterC'' Data'!$AK$4:$AM$6,2,FALSE)=0,"Spatial Data Missing ⚠",VLOOKUP(V209,'G-7 WaterC'' Data'!$AK$4:$AM$6,2,FALSE)))</f>
        <v/>
      </c>
      <c r="X209" s="305" t="str">
        <f>IF(V209="","",IF(VLOOKUP(V209,'G-7 WaterC'' Data'!$AK$4:$AM$6,3,FALSE)=0,"Spatial Data Missing ⚠",VLOOKUP(V209,'G-7 WaterC'' Data'!$AK$4:$AM$6,3,FALSE)))</f>
        <v/>
      </c>
      <c r="Y209" s="317" t="str">
        <f>IFERROR(IF(OR(LEFT(P209,5)="Error",LEFT(O209,5)="Error"),"Check Data ⚠",IF(F209&lt;S209,'G-7 WaterC'' Data'!$R$3,INDEX('G-7 WaterC'' Data'!$U$5:$Y$9,MATCH(G209,'G-7 WaterC'' Data'!$T$5:$T$9,0),MATCH(T209,'G-7 WaterC'' Data'!$U$4:$Y$4,0)))),"")</f>
        <v/>
      </c>
      <c r="Z209" s="142"/>
      <c r="AA209" s="142"/>
      <c r="AB209" s="314" t="str">
        <f t="shared" si="33"/>
        <v/>
      </c>
      <c r="AC209" s="302" t="str">
        <f t="shared" si="38"/>
        <v/>
      </c>
      <c r="AD209" s="340" t="str">
        <f>IFERROR(IF(AC209="Check Data ⚠","Check Data ⚠",VLOOKUP(AC209,'G-4 Temporal multipliers'!$A$4:$C$37,3,FALSE)),"")</f>
        <v/>
      </c>
      <c r="AE209" s="317" t="str">
        <f>IF(N209="","",VLOOKUP(N209,'G-7 WaterC'' Data'!$B$4:$G$8,5,FALSE))</f>
        <v/>
      </c>
      <c r="AF209" s="301" t="str">
        <f t="shared" si="34"/>
        <v/>
      </c>
      <c r="AG209" s="301" t="str">
        <f t="shared" si="39"/>
        <v/>
      </c>
      <c r="AH209" s="282" t="str">
        <f t="shared" si="35"/>
        <v/>
      </c>
      <c r="AI209" s="109"/>
      <c r="AJ209" s="282" t="str">
        <f>IF(AI209="","",(IF(AND(AI209="N/A - Culvert",N209&lt;&gt;"Culvert"),"Not possible ▲",IF(VLOOKUP(AI209,'G-7 WaterC'' Data'!$AA$4:$AB$7,2,FALSE)=0,"Spatial Data Missing ⚠",VLOOKUP(AI209,'G-7 WaterC'' Data'!$AA$4:$AB$7,2,FALSE)))))</f>
        <v/>
      </c>
      <c r="AK209" s="110"/>
      <c r="AL209" s="316" t="str">
        <f>IF(AK209="","",IF(AND(AK209="N/A - Culvert",N209&lt;&gt;"Culvert"),"Not possible ▲",IF(VLOOKUP(AK209,'G-7 WaterC'' Data'!$AD$4:$AE$14,2,FALSE)=0,"Spatial Data Missing ⚠",VLOOKUP(AK209,'G-7 WaterC'' Data'!$AD$4:$AE$14,2,FALSE))))</f>
        <v/>
      </c>
      <c r="AM209" s="281" t="str">
        <f>IF(B209="","",VLOOKUP($B209,'F-1 Off-Site WaterC'' Baseline'!$C$9:$Z$257,17,FALSE))</f>
        <v/>
      </c>
      <c r="AN209" s="282" t="str">
        <f>IF(AM209="","",IF(VLOOKUP(AM209,'G-7 WaterC'' Data'!$AO$4:$BO$7,2,FALSE)=0,"Spatial Data Missing ⚠",VLOOKUP(AM209,'G-7 WaterC'' Data'!$AO$4:$BO$7,2,FALSE)))</f>
        <v/>
      </c>
      <c r="AO209" s="323" t="str">
        <f t="shared" si="40"/>
        <v/>
      </c>
      <c r="AP209" s="323" t="str">
        <f t="shared" si="41"/>
        <v/>
      </c>
      <c r="AQ209" s="105"/>
      <c r="AR209" s="119"/>
      <c r="AS209" s="108"/>
      <c r="AT209" s="108"/>
      <c r="AW209" s="30" t="str">
        <f>IF(E209="","",VLOOKUP($B209,'F-1 Off-Site WaterC'' Baseline'!$C$9:$Z$257,12,FALSE))</f>
        <v/>
      </c>
      <c r="AX209" s="30" t="str">
        <f>IF(E209="","",VLOOKUP($B209,'F-1 Off-Site WaterC'' Baseline'!$C$9:$Z$257,14,FALSE))</f>
        <v/>
      </c>
      <c r="AY209" s="30" t="str">
        <f>IFERROR(INDEX('G-7 WaterC'' Data'!$AZ$3:$AZ$7,MATCH(N209,'G-7 WaterC'' Data'!$AY$3:$AY$7,0)),"")</f>
        <v/>
      </c>
      <c r="AZ209" s="30" t="str">
        <f>IF(B209="","",IF(ISNA(VLOOKUP($B209,'F-1 Off-Site WaterC'' Baseline'!$C$8:$AD$257,20,FALSE)),"",(VLOOKUP($B209,'F-1 Off-Site WaterC'' Baseline'!$C$8:$AD$257,20,FALSE))))</f>
        <v/>
      </c>
      <c r="BC209" s="30" t="str">
        <f>IF(B209="","",VLOOKUP($B209,'F-1 Off-Site WaterC'' Baseline'!$C$9:$AB$257,25,FALSE))</f>
        <v/>
      </c>
      <c r="BD209" s="30" t="str">
        <f t="shared" si="42"/>
        <v/>
      </c>
      <c r="BE209" s="30" t="str">
        <f>IF(B209="","",VLOOKUP($B209,'F-1 Off-Site WaterC'' Baseline'!$C$9:$AB$257,24,FALSE))</f>
        <v/>
      </c>
      <c r="BF209" s="30" t="str">
        <f>IF(B209="","",VLOOKUP($B209,'F-1 Off-Site WaterC'' Baseline'!$C$9:$AB$257,22,FALSE))</f>
        <v/>
      </c>
      <c r="BJ209" s="30" t="str">
        <f t="shared" si="43"/>
        <v>No</v>
      </c>
    </row>
    <row r="210" spans="2:62" ht="13.8" x14ac:dyDescent="0.25">
      <c r="B210" s="311" t="str">
        <f>'F-1 Off-Site WaterC'' Baseline'!AS208</f>
        <v/>
      </c>
      <c r="C210" s="301" t="str">
        <f>IF(B210="","",VLOOKUP($B210,'F-1 Off-Site WaterC'' Baseline'!$C$9:$R$257,2,FALSE))</f>
        <v/>
      </c>
      <c r="D210" s="301" t="str">
        <f>IF(C210="","",VLOOKUP($B210,'F-1 Off-Site WaterC'' Baseline'!$C$9:$R$257,3,FALSE))</f>
        <v/>
      </c>
      <c r="E210" s="301" t="str">
        <f>IF(D210="","",VLOOKUP($B210,'F-1 Off-Site WaterC'' Baseline'!$C$9:$R$257,4,FALSE))</f>
        <v/>
      </c>
      <c r="F210" s="301" t="str">
        <f>IF(E210="","",VLOOKUP($B210,'F-1 Off-Site WaterC'' Baseline'!$C$9:$R$257,5,FALSE))</f>
        <v/>
      </c>
      <c r="G210" s="301" t="str">
        <f>IF(F210="","",VLOOKUP($B210,'F-1 Off-Site WaterC'' Baseline'!$C$9:$R$257,6,FALSE))</f>
        <v/>
      </c>
      <c r="H210" s="301" t="str">
        <f>IF(G210="","",VLOOKUP($B210,'F-1 Off-Site WaterC'' Baseline'!$C$9:$R$257,7,FALSE))</f>
        <v/>
      </c>
      <c r="I210" s="301" t="str">
        <f>IF(H210="","",VLOOKUP($B210,'F-1 Off-Site WaterC'' Baseline'!$C$9:$R$257,8,FALSE))</f>
        <v/>
      </c>
      <c r="J210" s="301" t="str">
        <f>IF(I210="","",VLOOKUP($B210,'F-1 Off-Site WaterC'' Baseline'!$C$9:$R$257,9,FALSE))</f>
        <v/>
      </c>
      <c r="K210" s="301" t="str">
        <f>IF(J210="","",VLOOKUP($B210,'F-1 Off-Site WaterC'' Baseline'!$C$9:$R$257,10,FALSE))</f>
        <v/>
      </c>
      <c r="L210" s="289" t="str">
        <f>IF(B210="","",VLOOKUP($B210,'F-1 Off-Site WaterC'' Baseline'!$C$9:$R$257,15,FALSE))</f>
        <v/>
      </c>
      <c r="M210" s="305" t="str">
        <f>IF(L210="","",VLOOKUP($B210,'F-1 Off-Site WaterC'' Baseline'!$C$9:$V$257,19,FALSE))</f>
        <v/>
      </c>
      <c r="N210" s="250"/>
      <c r="O210" s="281" t="str">
        <f t="shared" si="36"/>
        <v/>
      </c>
      <c r="P210" s="282" t="str">
        <f t="shared" si="37"/>
        <v/>
      </c>
      <c r="Q210" s="287" t="str">
        <f>IF(N210="","",VLOOKUP(B210,'F-1 Off-Site WaterC'' Baseline'!$C$10:$AF$257,23,FALSE))</f>
        <v/>
      </c>
      <c r="R210" s="281" t="str">
        <f>IF(N210="","",VLOOKUP(N210,'G-7 WaterC'' Data'!$B$2:$G$8,2,FALSE))</f>
        <v/>
      </c>
      <c r="S210" s="282" t="str">
        <f>IFERROR(VLOOKUP(R210,'G-7 WaterC'' Data'!$C$4:$D$8,2,FALSE),"")</f>
        <v/>
      </c>
      <c r="T210" s="105"/>
      <c r="U210" s="282" t="str">
        <f>IFERROR(INDEX('G-7 WaterC'' Data'!$H$4:$L$8,MATCH(N210,'G-7 WaterC'' Data'!$B$4:$B$8,0),MATCH(T210,'G-7 WaterC'' Data'!$H$3:$L$3,0)),"")</f>
        <v/>
      </c>
      <c r="V210" s="109"/>
      <c r="W210" s="301" t="str">
        <f>IF(V210="","",IF(VLOOKUP(V210,'G-7 WaterC'' Data'!$AK$4:$AM$6,2,FALSE)=0,"Spatial Data Missing ⚠",VLOOKUP(V210,'G-7 WaterC'' Data'!$AK$4:$AM$6,2,FALSE)))</f>
        <v/>
      </c>
      <c r="X210" s="305" t="str">
        <f>IF(V210="","",IF(VLOOKUP(V210,'G-7 WaterC'' Data'!$AK$4:$AM$6,3,FALSE)=0,"Spatial Data Missing ⚠",VLOOKUP(V210,'G-7 WaterC'' Data'!$AK$4:$AM$6,3,FALSE)))</f>
        <v/>
      </c>
      <c r="Y210" s="317" t="str">
        <f>IFERROR(IF(OR(LEFT(P210,5)="Error",LEFT(O210,5)="Error"),"Check Data ⚠",IF(F210&lt;S210,'G-7 WaterC'' Data'!$R$3,INDEX('G-7 WaterC'' Data'!$U$5:$Y$9,MATCH(G210,'G-7 WaterC'' Data'!$T$5:$T$9,0),MATCH(T210,'G-7 WaterC'' Data'!$U$4:$Y$4,0)))),"")</f>
        <v/>
      </c>
      <c r="Z210" s="142"/>
      <c r="AA210" s="142"/>
      <c r="AB210" s="314" t="str">
        <f t="shared" si="33"/>
        <v/>
      </c>
      <c r="AC210" s="302" t="str">
        <f t="shared" si="38"/>
        <v/>
      </c>
      <c r="AD210" s="340" t="str">
        <f>IFERROR(IF(AC210="Check Data ⚠","Check Data ⚠",VLOOKUP(AC210,'G-4 Temporal multipliers'!$A$4:$C$37,3,FALSE)),"")</f>
        <v/>
      </c>
      <c r="AE210" s="317" t="str">
        <f>IF(N210="","",VLOOKUP(N210,'G-7 WaterC'' Data'!$B$4:$G$8,5,FALSE))</f>
        <v/>
      </c>
      <c r="AF210" s="301" t="str">
        <f t="shared" si="34"/>
        <v/>
      </c>
      <c r="AG210" s="301" t="str">
        <f t="shared" si="39"/>
        <v/>
      </c>
      <c r="AH210" s="282" t="str">
        <f t="shared" si="35"/>
        <v/>
      </c>
      <c r="AI210" s="109"/>
      <c r="AJ210" s="282" t="str">
        <f>IF(AI210="","",(IF(AND(AI210="N/A - Culvert",N210&lt;&gt;"Culvert"),"Not possible ▲",IF(VLOOKUP(AI210,'G-7 WaterC'' Data'!$AA$4:$AB$7,2,FALSE)=0,"Spatial Data Missing ⚠",VLOOKUP(AI210,'G-7 WaterC'' Data'!$AA$4:$AB$7,2,FALSE)))))</f>
        <v/>
      </c>
      <c r="AK210" s="110"/>
      <c r="AL210" s="316" t="str">
        <f>IF(AK210="","",IF(AND(AK210="N/A - Culvert",N210&lt;&gt;"Culvert"),"Not possible ▲",IF(VLOOKUP(AK210,'G-7 WaterC'' Data'!$AD$4:$AE$14,2,FALSE)=0,"Spatial Data Missing ⚠",VLOOKUP(AK210,'G-7 WaterC'' Data'!$AD$4:$AE$14,2,FALSE))))</f>
        <v/>
      </c>
      <c r="AM210" s="281" t="str">
        <f>IF(B210="","",VLOOKUP($B210,'F-1 Off-Site WaterC'' Baseline'!$C$9:$Z$257,17,FALSE))</f>
        <v/>
      </c>
      <c r="AN210" s="282" t="str">
        <f>IF(AM210="","",IF(VLOOKUP(AM210,'G-7 WaterC'' Data'!$AO$4:$BO$7,2,FALSE)=0,"Spatial Data Missing ⚠",VLOOKUP(AM210,'G-7 WaterC'' Data'!$AO$4:$BO$7,2,FALSE)))</f>
        <v/>
      </c>
      <c r="AO210" s="323" t="str">
        <f t="shared" si="40"/>
        <v/>
      </c>
      <c r="AP210" s="323" t="str">
        <f t="shared" si="41"/>
        <v/>
      </c>
      <c r="AQ210" s="105"/>
      <c r="AR210" s="119"/>
      <c r="AS210" s="108"/>
      <c r="AT210" s="108"/>
      <c r="AW210" s="30" t="str">
        <f>IF(E210="","",VLOOKUP($B210,'F-1 Off-Site WaterC'' Baseline'!$C$9:$Z$257,12,FALSE))</f>
        <v/>
      </c>
      <c r="AX210" s="30" t="str">
        <f>IF(E210="","",VLOOKUP($B210,'F-1 Off-Site WaterC'' Baseline'!$C$9:$Z$257,14,FALSE))</f>
        <v/>
      </c>
      <c r="AY210" s="30" t="str">
        <f>IFERROR(INDEX('G-7 WaterC'' Data'!$AZ$3:$AZ$7,MATCH(N210,'G-7 WaterC'' Data'!$AY$3:$AY$7,0)),"")</f>
        <v/>
      </c>
      <c r="AZ210" s="30" t="str">
        <f>IF(B210="","",IF(ISNA(VLOOKUP($B210,'F-1 Off-Site WaterC'' Baseline'!$C$8:$AD$257,20,FALSE)),"",(VLOOKUP($B210,'F-1 Off-Site WaterC'' Baseline'!$C$8:$AD$257,20,FALSE))))</f>
        <v/>
      </c>
      <c r="BC210" s="30" t="str">
        <f>IF(B210="","",VLOOKUP($B210,'F-1 Off-Site WaterC'' Baseline'!$C$9:$AB$257,25,FALSE))</f>
        <v/>
      </c>
      <c r="BD210" s="30" t="str">
        <f t="shared" si="42"/>
        <v/>
      </c>
      <c r="BE210" s="30" t="str">
        <f>IF(B210="","",VLOOKUP($B210,'F-1 Off-Site WaterC'' Baseline'!$C$9:$AB$257,24,FALSE))</f>
        <v/>
      </c>
      <c r="BF210" s="30" t="str">
        <f>IF(B210="","",VLOOKUP($B210,'F-1 Off-Site WaterC'' Baseline'!$C$9:$AB$257,22,FALSE))</f>
        <v/>
      </c>
      <c r="BJ210" s="30" t="str">
        <f t="shared" si="43"/>
        <v>No</v>
      </c>
    </row>
    <row r="211" spans="2:62" ht="13.8" x14ac:dyDescent="0.25">
      <c r="B211" s="311" t="str">
        <f>'F-1 Off-Site WaterC'' Baseline'!AS209</f>
        <v/>
      </c>
      <c r="C211" s="301" t="str">
        <f>IF(B211="","",VLOOKUP($B211,'F-1 Off-Site WaterC'' Baseline'!$C$9:$R$257,2,FALSE))</f>
        <v/>
      </c>
      <c r="D211" s="301" t="str">
        <f>IF(C211="","",VLOOKUP($B211,'F-1 Off-Site WaterC'' Baseline'!$C$9:$R$257,3,FALSE))</f>
        <v/>
      </c>
      <c r="E211" s="301" t="str">
        <f>IF(D211="","",VLOOKUP($B211,'F-1 Off-Site WaterC'' Baseline'!$C$9:$R$257,4,FALSE))</f>
        <v/>
      </c>
      <c r="F211" s="301" t="str">
        <f>IF(E211="","",VLOOKUP($B211,'F-1 Off-Site WaterC'' Baseline'!$C$9:$R$257,5,FALSE))</f>
        <v/>
      </c>
      <c r="G211" s="301" t="str">
        <f>IF(F211="","",VLOOKUP($B211,'F-1 Off-Site WaterC'' Baseline'!$C$9:$R$257,6,FALSE))</f>
        <v/>
      </c>
      <c r="H211" s="301" t="str">
        <f>IF(G211="","",VLOOKUP($B211,'F-1 Off-Site WaterC'' Baseline'!$C$9:$R$257,7,FALSE))</f>
        <v/>
      </c>
      <c r="I211" s="301" t="str">
        <f>IF(H211="","",VLOOKUP($B211,'F-1 Off-Site WaterC'' Baseline'!$C$9:$R$257,8,FALSE))</f>
        <v/>
      </c>
      <c r="J211" s="301" t="str">
        <f>IF(I211="","",VLOOKUP($B211,'F-1 Off-Site WaterC'' Baseline'!$C$9:$R$257,9,FALSE))</f>
        <v/>
      </c>
      <c r="K211" s="301" t="str">
        <f>IF(J211="","",VLOOKUP($B211,'F-1 Off-Site WaterC'' Baseline'!$C$9:$R$257,10,FALSE))</f>
        <v/>
      </c>
      <c r="L211" s="289" t="str">
        <f>IF(B211="","",VLOOKUP($B211,'F-1 Off-Site WaterC'' Baseline'!$C$9:$R$257,15,FALSE))</f>
        <v/>
      </c>
      <c r="M211" s="305" t="str">
        <f>IF(L211="","",VLOOKUP($B211,'F-1 Off-Site WaterC'' Baseline'!$C$9:$V$257,19,FALSE))</f>
        <v/>
      </c>
      <c r="N211" s="250"/>
      <c r="O211" s="281" t="str">
        <f t="shared" si="36"/>
        <v/>
      </c>
      <c r="P211" s="282" t="str">
        <f t="shared" si="37"/>
        <v/>
      </c>
      <c r="Q211" s="287" t="str">
        <f>IF(N211="","",VLOOKUP(B211,'F-1 Off-Site WaterC'' Baseline'!$C$10:$AF$257,23,FALSE))</f>
        <v/>
      </c>
      <c r="R211" s="281" t="str">
        <f>IF(N211="","",VLOOKUP(N211,'G-7 WaterC'' Data'!$B$2:$G$8,2,FALSE))</f>
        <v/>
      </c>
      <c r="S211" s="282" t="str">
        <f>IFERROR(VLOOKUP(R211,'G-7 WaterC'' Data'!$C$4:$D$8,2,FALSE),"")</f>
        <v/>
      </c>
      <c r="T211" s="105"/>
      <c r="U211" s="282" t="str">
        <f>IFERROR(INDEX('G-7 WaterC'' Data'!$H$4:$L$8,MATCH(N211,'G-7 WaterC'' Data'!$B$4:$B$8,0),MATCH(T211,'G-7 WaterC'' Data'!$H$3:$L$3,0)),"")</f>
        <v/>
      </c>
      <c r="V211" s="109"/>
      <c r="W211" s="301" t="str">
        <f>IF(V211="","",IF(VLOOKUP(V211,'G-7 WaterC'' Data'!$AK$4:$AM$6,2,FALSE)=0,"Spatial Data Missing ⚠",VLOOKUP(V211,'G-7 WaterC'' Data'!$AK$4:$AM$6,2,FALSE)))</f>
        <v/>
      </c>
      <c r="X211" s="305" t="str">
        <f>IF(V211="","",IF(VLOOKUP(V211,'G-7 WaterC'' Data'!$AK$4:$AM$6,3,FALSE)=0,"Spatial Data Missing ⚠",VLOOKUP(V211,'G-7 WaterC'' Data'!$AK$4:$AM$6,3,FALSE)))</f>
        <v/>
      </c>
      <c r="Y211" s="317" t="str">
        <f>IFERROR(IF(OR(LEFT(P211,5)="Error",LEFT(O211,5)="Error"),"Check Data ⚠",IF(F211&lt;S211,'G-7 WaterC'' Data'!$R$3,INDEX('G-7 WaterC'' Data'!$U$5:$Y$9,MATCH(G211,'G-7 WaterC'' Data'!$T$5:$T$9,0),MATCH(T211,'G-7 WaterC'' Data'!$U$4:$Y$4,0)))),"")</f>
        <v/>
      </c>
      <c r="Z211" s="142"/>
      <c r="AA211" s="142"/>
      <c r="AB211" s="314" t="str">
        <f t="shared" si="33"/>
        <v/>
      </c>
      <c r="AC211" s="302" t="str">
        <f t="shared" si="38"/>
        <v/>
      </c>
      <c r="AD211" s="340" t="str">
        <f>IFERROR(IF(AC211="Check Data ⚠","Check Data ⚠",VLOOKUP(AC211,'G-4 Temporal multipliers'!$A$4:$C$37,3,FALSE)),"")</f>
        <v/>
      </c>
      <c r="AE211" s="317" t="str">
        <f>IF(N211="","",VLOOKUP(N211,'G-7 WaterC'' Data'!$B$4:$G$8,5,FALSE))</f>
        <v/>
      </c>
      <c r="AF211" s="301" t="str">
        <f t="shared" si="34"/>
        <v/>
      </c>
      <c r="AG211" s="301" t="str">
        <f t="shared" si="39"/>
        <v/>
      </c>
      <c r="AH211" s="282" t="str">
        <f t="shared" si="35"/>
        <v/>
      </c>
      <c r="AI211" s="109"/>
      <c r="AJ211" s="282" t="str">
        <f>IF(AI211="","",(IF(AND(AI211="N/A - Culvert",N211&lt;&gt;"Culvert"),"Not possible ▲",IF(VLOOKUP(AI211,'G-7 WaterC'' Data'!$AA$4:$AB$7,2,FALSE)=0,"Spatial Data Missing ⚠",VLOOKUP(AI211,'G-7 WaterC'' Data'!$AA$4:$AB$7,2,FALSE)))))</f>
        <v/>
      </c>
      <c r="AK211" s="110"/>
      <c r="AL211" s="316" t="str">
        <f>IF(AK211="","",IF(AND(AK211="N/A - Culvert",N211&lt;&gt;"Culvert"),"Not possible ▲",IF(VLOOKUP(AK211,'G-7 WaterC'' Data'!$AD$4:$AE$14,2,FALSE)=0,"Spatial Data Missing ⚠",VLOOKUP(AK211,'G-7 WaterC'' Data'!$AD$4:$AE$14,2,FALSE))))</f>
        <v/>
      </c>
      <c r="AM211" s="281" t="str">
        <f>IF(B211="","",VLOOKUP($B211,'F-1 Off-Site WaterC'' Baseline'!$C$9:$Z$257,17,FALSE))</f>
        <v/>
      </c>
      <c r="AN211" s="282" t="str">
        <f>IF(AM211="","",IF(VLOOKUP(AM211,'G-7 WaterC'' Data'!$AO$4:$BO$7,2,FALSE)=0,"Spatial Data Missing ⚠",VLOOKUP(AM211,'G-7 WaterC'' Data'!$AO$4:$BO$7,2,FALSE)))</f>
        <v/>
      </c>
      <c r="AO211" s="323" t="str">
        <f t="shared" si="40"/>
        <v/>
      </c>
      <c r="AP211" s="323" t="str">
        <f t="shared" si="41"/>
        <v/>
      </c>
      <c r="AQ211" s="105"/>
      <c r="AR211" s="119"/>
      <c r="AS211" s="108"/>
      <c r="AT211" s="108"/>
      <c r="AW211" s="30" t="str">
        <f>IF(E211="","",VLOOKUP($B211,'F-1 Off-Site WaterC'' Baseline'!$C$9:$Z$257,12,FALSE))</f>
        <v/>
      </c>
      <c r="AX211" s="30" t="str">
        <f>IF(E211="","",VLOOKUP($B211,'F-1 Off-Site WaterC'' Baseline'!$C$9:$Z$257,14,FALSE))</f>
        <v/>
      </c>
      <c r="AY211" s="30" t="str">
        <f>IFERROR(INDEX('G-7 WaterC'' Data'!$AZ$3:$AZ$7,MATCH(N211,'G-7 WaterC'' Data'!$AY$3:$AY$7,0)),"")</f>
        <v/>
      </c>
      <c r="AZ211" s="30" t="str">
        <f>IF(B211="","",IF(ISNA(VLOOKUP($B211,'F-1 Off-Site WaterC'' Baseline'!$C$8:$AD$257,20,FALSE)),"",(VLOOKUP($B211,'F-1 Off-Site WaterC'' Baseline'!$C$8:$AD$257,20,FALSE))))</f>
        <v/>
      </c>
      <c r="BC211" s="30" t="str">
        <f>IF(B211="","",VLOOKUP($B211,'F-1 Off-Site WaterC'' Baseline'!$C$9:$AB$257,25,FALSE))</f>
        <v/>
      </c>
      <c r="BD211" s="30" t="str">
        <f t="shared" si="42"/>
        <v/>
      </c>
      <c r="BE211" s="30" t="str">
        <f>IF(B211="","",VLOOKUP($B211,'F-1 Off-Site WaterC'' Baseline'!$C$9:$AB$257,24,FALSE))</f>
        <v/>
      </c>
      <c r="BF211" s="30" t="str">
        <f>IF(B211="","",VLOOKUP($B211,'F-1 Off-Site WaterC'' Baseline'!$C$9:$AB$257,22,FALSE))</f>
        <v/>
      </c>
      <c r="BJ211" s="30" t="str">
        <f t="shared" si="43"/>
        <v>No</v>
      </c>
    </row>
    <row r="212" spans="2:62" ht="13.8" x14ac:dyDescent="0.25">
      <c r="B212" s="311" t="str">
        <f>'F-1 Off-Site WaterC'' Baseline'!AS210</f>
        <v/>
      </c>
      <c r="C212" s="301" t="str">
        <f>IF(B212="","",VLOOKUP($B212,'F-1 Off-Site WaterC'' Baseline'!$C$9:$R$257,2,FALSE))</f>
        <v/>
      </c>
      <c r="D212" s="301" t="str">
        <f>IF(C212="","",VLOOKUP($B212,'F-1 Off-Site WaterC'' Baseline'!$C$9:$R$257,3,FALSE))</f>
        <v/>
      </c>
      <c r="E212" s="301" t="str">
        <f>IF(D212="","",VLOOKUP($B212,'F-1 Off-Site WaterC'' Baseline'!$C$9:$R$257,4,FALSE))</f>
        <v/>
      </c>
      <c r="F212" s="301" t="str">
        <f>IF(E212="","",VLOOKUP($B212,'F-1 Off-Site WaterC'' Baseline'!$C$9:$R$257,5,FALSE))</f>
        <v/>
      </c>
      <c r="G212" s="301" t="str">
        <f>IF(F212="","",VLOOKUP($B212,'F-1 Off-Site WaterC'' Baseline'!$C$9:$R$257,6,FALSE))</f>
        <v/>
      </c>
      <c r="H212" s="301" t="str">
        <f>IF(G212="","",VLOOKUP($B212,'F-1 Off-Site WaterC'' Baseline'!$C$9:$R$257,7,FALSE))</f>
        <v/>
      </c>
      <c r="I212" s="301" t="str">
        <f>IF(H212="","",VLOOKUP($B212,'F-1 Off-Site WaterC'' Baseline'!$C$9:$R$257,8,FALSE))</f>
        <v/>
      </c>
      <c r="J212" s="301" t="str">
        <f>IF(I212="","",VLOOKUP($B212,'F-1 Off-Site WaterC'' Baseline'!$C$9:$R$257,9,FALSE))</f>
        <v/>
      </c>
      <c r="K212" s="301" t="str">
        <f>IF(J212="","",VLOOKUP($B212,'F-1 Off-Site WaterC'' Baseline'!$C$9:$R$257,10,FALSE))</f>
        <v/>
      </c>
      <c r="L212" s="289" t="str">
        <f>IF(B212="","",VLOOKUP($B212,'F-1 Off-Site WaterC'' Baseline'!$C$9:$R$257,15,FALSE))</f>
        <v/>
      </c>
      <c r="M212" s="305" t="str">
        <f>IF(L212="","",VLOOKUP($B212,'F-1 Off-Site WaterC'' Baseline'!$C$9:$V$257,19,FALSE))</f>
        <v/>
      </c>
      <c r="N212" s="250"/>
      <c r="O212" s="281" t="str">
        <f t="shared" si="36"/>
        <v/>
      </c>
      <c r="P212" s="282" t="str">
        <f t="shared" si="37"/>
        <v/>
      </c>
      <c r="Q212" s="287" t="str">
        <f>IF(N212="","",VLOOKUP(B212,'F-1 Off-Site WaterC'' Baseline'!$C$10:$AF$257,23,FALSE))</f>
        <v/>
      </c>
      <c r="R212" s="281" t="str">
        <f>IF(N212="","",VLOOKUP(N212,'G-7 WaterC'' Data'!$B$2:$G$8,2,FALSE))</f>
        <v/>
      </c>
      <c r="S212" s="282" t="str">
        <f>IFERROR(VLOOKUP(R212,'G-7 WaterC'' Data'!$C$4:$D$8,2,FALSE),"")</f>
        <v/>
      </c>
      <c r="T212" s="105"/>
      <c r="U212" s="282" t="str">
        <f>IFERROR(INDEX('G-7 WaterC'' Data'!$H$4:$L$8,MATCH(N212,'G-7 WaterC'' Data'!$B$4:$B$8,0),MATCH(T212,'G-7 WaterC'' Data'!$H$3:$L$3,0)),"")</f>
        <v/>
      </c>
      <c r="V212" s="109"/>
      <c r="W212" s="301" t="str">
        <f>IF(V212="","",IF(VLOOKUP(V212,'G-7 WaterC'' Data'!$AK$4:$AM$6,2,FALSE)=0,"Spatial Data Missing ⚠",VLOOKUP(V212,'G-7 WaterC'' Data'!$AK$4:$AM$6,2,FALSE)))</f>
        <v/>
      </c>
      <c r="X212" s="305" t="str">
        <f>IF(V212="","",IF(VLOOKUP(V212,'G-7 WaterC'' Data'!$AK$4:$AM$6,3,FALSE)=0,"Spatial Data Missing ⚠",VLOOKUP(V212,'G-7 WaterC'' Data'!$AK$4:$AM$6,3,FALSE)))</f>
        <v/>
      </c>
      <c r="Y212" s="317" t="str">
        <f>IFERROR(IF(OR(LEFT(P212,5)="Error",LEFT(O212,5)="Error"),"Check Data ⚠",IF(F212&lt;S212,'G-7 WaterC'' Data'!$R$3,INDEX('G-7 WaterC'' Data'!$U$5:$Y$9,MATCH(G212,'G-7 WaterC'' Data'!$T$5:$T$9,0),MATCH(T212,'G-7 WaterC'' Data'!$U$4:$Y$4,0)))),"")</f>
        <v/>
      </c>
      <c r="Z212" s="142"/>
      <c r="AA212" s="142"/>
      <c r="AB212" s="314" t="str">
        <f t="shared" si="33"/>
        <v/>
      </c>
      <c r="AC212" s="302" t="str">
        <f t="shared" si="38"/>
        <v/>
      </c>
      <c r="AD212" s="340" t="str">
        <f>IFERROR(IF(AC212="Check Data ⚠","Check Data ⚠",VLOOKUP(AC212,'G-4 Temporal multipliers'!$A$4:$C$37,3,FALSE)),"")</f>
        <v/>
      </c>
      <c r="AE212" s="317" t="str">
        <f>IF(N212="","",VLOOKUP(N212,'G-7 WaterC'' Data'!$B$4:$G$8,5,FALSE))</f>
        <v/>
      </c>
      <c r="AF212" s="301" t="str">
        <f t="shared" si="34"/>
        <v/>
      </c>
      <c r="AG212" s="301" t="str">
        <f t="shared" si="39"/>
        <v/>
      </c>
      <c r="AH212" s="282" t="str">
        <f t="shared" si="35"/>
        <v/>
      </c>
      <c r="AI212" s="109"/>
      <c r="AJ212" s="282" t="str">
        <f>IF(AI212="","",(IF(AND(AI212="N/A - Culvert",N212&lt;&gt;"Culvert"),"Not possible ▲",IF(VLOOKUP(AI212,'G-7 WaterC'' Data'!$AA$4:$AB$7,2,FALSE)=0,"Spatial Data Missing ⚠",VLOOKUP(AI212,'G-7 WaterC'' Data'!$AA$4:$AB$7,2,FALSE)))))</f>
        <v/>
      </c>
      <c r="AK212" s="110"/>
      <c r="AL212" s="316" t="str">
        <f>IF(AK212="","",IF(AND(AK212="N/A - Culvert",N212&lt;&gt;"Culvert"),"Not possible ▲",IF(VLOOKUP(AK212,'G-7 WaterC'' Data'!$AD$4:$AE$14,2,FALSE)=0,"Spatial Data Missing ⚠",VLOOKUP(AK212,'G-7 WaterC'' Data'!$AD$4:$AE$14,2,FALSE))))</f>
        <v/>
      </c>
      <c r="AM212" s="281" t="str">
        <f>IF(B212="","",VLOOKUP($B212,'F-1 Off-Site WaterC'' Baseline'!$C$9:$Z$257,17,FALSE))</f>
        <v/>
      </c>
      <c r="AN212" s="282" t="str">
        <f>IF(AM212="","",IF(VLOOKUP(AM212,'G-7 WaterC'' Data'!$AO$4:$BO$7,2,FALSE)=0,"Spatial Data Missing ⚠",VLOOKUP(AM212,'G-7 WaterC'' Data'!$AO$4:$BO$7,2,FALSE)))</f>
        <v/>
      </c>
      <c r="AO212" s="323" t="str">
        <f t="shared" si="40"/>
        <v/>
      </c>
      <c r="AP212" s="323" t="str">
        <f t="shared" si="41"/>
        <v/>
      </c>
      <c r="AQ212" s="105"/>
      <c r="AR212" s="119"/>
      <c r="AS212" s="108"/>
      <c r="AT212" s="108"/>
      <c r="AW212" s="30" t="str">
        <f>IF(E212="","",VLOOKUP($B212,'F-1 Off-Site WaterC'' Baseline'!$C$9:$Z$257,12,FALSE))</f>
        <v/>
      </c>
      <c r="AX212" s="30" t="str">
        <f>IF(E212="","",VLOOKUP($B212,'F-1 Off-Site WaterC'' Baseline'!$C$9:$Z$257,14,FALSE))</f>
        <v/>
      </c>
      <c r="AY212" s="30" t="str">
        <f>IFERROR(INDEX('G-7 WaterC'' Data'!$AZ$3:$AZ$7,MATCH(N212,'G-7 WaterC'' Data'!$AY$3:$AY$7,0)),"")</f>
        <v/>
      </c>
      <c r="AZ212" s="30" t="str">
        <f>IF(B212="","",IF(ISNA(VLOOKUP($B212,'F-1 Off-Site WaterC'' Baseline'!$C$8:$AD$257,20,FALSE)),"",(VLOOKUP($B212,'F-1 Off-Site WaterC'' Baseline'!$C$8:$AD$257,20,FALSE))))</f>
        <v/>
      </c>
      <c r="BC212" s="30" t="str">
        <f>IF(B212="","",VLOOKUP($B212,'F-1 Off-Site WaterC'' Baseline'!$C$9:$AB$257,25,FALSE))</f>
        <v/>
      </c>
      <c r="BD212" s="30" t="str">
        <f t="shared" si="42"/>
        <v/>
      </c>
      <c r="BE212" s="30" t="str">
        <f>IF(B212="","",VLOOKUP($B212,'F-1 Off-Site WaterC'' Baseline'!$C$9:$AB$257,24,FALSE))</f>
        <v/>
      </c>
      <c r="BF212" s="30" t="str">
        <f>IF(B212="","",VLOOKUP($B212,'F-1 Off-Site WaterC'' Baseline'!$C$9:$AB$257,22,FALSE))</f>
        <v/>
      </c>
      <c r="BJ212" s="30" t="str">
        <f t="shared" si="43"/>
        <v>No</v>
      </c>
    </row>
    <row r="213" spans="2:62" ht="13.8" x14ac:dyDescent="0.25">
      <c r="B213" s="311" t="str">
        <f>'F-1 Off-Site WaterC'' Baseline'!AS211</f>
        <v/>
      </c>
      <c r="C213" s="301" t="str">
        <f>IF(B213="","",VLOOKUP($B213,'F-1 Off-Site WaterC'' Baseline'!$C$9:$R$257,2,FALSE))</f>
        <v/>
      </c>
      <c r="D213" s="301" t="str">
        <f>IF(C213="","",VLOOKUP($B213,'F-1 Off-Site WaterC'' Baseline'!$C$9:$R$257,3,FALSE))</f>
        <v/>
      </c>
      <c r="E213" s="301" t="str">
        <f>IF(D213="","",VLOOKUP($B213,'F-1 Off-Site WaterC'' Baseline'!$C$9:$R$257,4,FALSE))</f>
        <v/>
      </c>
      <c r="F213" s="301" t="str">
        <f>IF(E213="","",VLOOKUP($B213,'F-1 Off-Site WaterC'' Baseline'!$C$9:$R$257,5,FALSE))</f>
        <v/>
      </c>
      <c r="G213" s="301" t="str">
        <f>IF(F213="","",VLOOKUP($B213,'F-1 Off-Site WaterC'' Baseline'!$C$9:$R$257,6,FALSE))</f>
        <v/>
      </c>
      <c r="H213" s="301" t="str">
        <f>IF(G213="","",VLOOKUP($B213,'F-1 Off-Site WaterC'' Baseline'!$C$9:$R$257,7,FALSE))</f>
        <v/>
      </c>
      <c r="I213" s="301" t="str">
        <f>IF(H213="","",VLOOKUP($B213,'F-1 Off-Site WaterC'' Baseline'!$C$9:$R$257,8,FALSE))</f>
        <v/>
      </c>
      <c r="J213" s="301" t="str">
        <f>IF(I213="","",VLOOKUP($B213,'F-1 Off-Site WaterC'' Baseline'!$C$9:$R$257,9,FALSE))</f>
        <v/>
      </c>
      <c r="K213" s="301" t="str">
        <f>IF(J213="","",VLOOKUP($B213,'F-1 Off-Site WaterC'' Baseline'!$C$9:$R$257,10,FALSE))</f>
        <v/>
      </c>
      <c r="L213" s="289" t="str">
        <f>IF(B213="","",VLOOKUP($B213,'F-1 Off-Site WaterC'' Baseline'!$C$9:$R$257,15,FALSE))</f>
        <v/>
      </c>
      <c r="M213" s="305" t="str">
        <f>IF(L213="","",VLOOKUP($B213,'F-1 Off-Site WaterC'' Baseline'!$C$9:$V$257,19,FALSE))</f>
        <v/>
      </c>
      <c r="N213" s="250"/>
      <c r="O213" s="281" t="str">
        <f t="shared" si="36"/>
        <v/>
      </c>
      <c r="P213" s="282" t="str">
        <f t="shared" si="37"/>
        <v/>
      </c>
      <c r="Q213" s="287" t="str">
        <f>IF(N213="","",VLOOKUP(B213,'F-1 Off-Site WaterC'' Baseline'!$C$10:$AF$257,23,FALSE))</f>
        <v/>
      </c>
      <c r="R213" s="281" t="str">
        <f>IF(N213="","",VLOOKUP(N213,'G-7 WaterC'' Data'!$B$2:$G$8,2,FALSE))</f>
        <v/>
      </c>
      <c r="S213" s="282" t="str">
        <f>IFERROR(VLOOKUP(R213,'G-7 WaterC'' Data'!$C$4:$D$8,2,FALSE),"")</f>
        <v/>
      </c>
      <c r="T213" s="105"/>
      <c r="U213" s="282" t="str">
        <f>IFERROR(INDEX('G-7 WaterC'' Data'!$H$4:$L$8,MATCH(N213,'G-7 WaterC'' Data'!$B$4:$B$8,0),MATCH(T213,'G-7 WaterC'' Data'!$H$3:$L$3,0)),"")</f>
        <v/>
      </c>
      <c r="V213" s="109"/>
      <c r="W213" s="301" t="str">
        <f>IF(V213="","",IF(VLOOKUP(V213,'G-7 WaterC'' Data'!$AK$4:$AM$6,2,FALSE)=0,"Spatial Data Missing ⚠",VLOOKUP(V213,'G-7 WaterC'' Data'!$AK$4:$AM$6,2,FALSE)))</f>
        <v/>
      </c>
      <c r="X213" s="305" t="str">
        <f>IF(V213="","",IF(VLOOKUP(V213,'G-7 WaterC'' Data'!$AK$4:$AM$6,3,FALSE)=0,"Spatial Data Missing ⚠",VLOOKUP(V213,'G-7 WaterC'' Data'!$AK$4:$AM$6,3,FALSE)))</f>
        <v/>
      </c>
      <c r="Y213" s="317" t="str">
        <f>IFERROR(IF(OR(LEFT(P213,5)="Error",LEFT(O213,5)="Error"),"Check Data ⚠",IF(F213&lt;S213,'G-7 WaterC'' Data'!$R$3,INDEX('G-7 WaterC'' Data'!$U$5:$Y$9,MATCH(G213,'G-7 WaterC'' Data'!$T$5:$T$9,0),MATCH(T213,'G-7 WaterC'' Data'!$U$4:$Y$4,0)))),"")</f>
        <v/>
      </c>
      <c r="Z213" s="142"/>
      <c r="AA213" s="142"/>
      <c r="AB213" s="314" t="str">
        <f t="shared" si="33"/>
        <v/>
      </c>
      <c r="AC213" s="302" t="str">
        <f t="shared" si="38"/>
        <v/>
      </c>
      <c r="AD213" s="340" t="str">
        <f>IFERROR(IF(AC213="Check Data ⚠","Check Data ⚠",VLOOKUP(AC213,'G-4 Temporal multipliers'!$A$4:$C$37,3,FALSE)),"")</f>
        <v/>
      </c>
      <c r="AE213" s="317" t="str">
        <f>IF(N213="","",VLOOKUP(N213,'G-7 WaterC'' Data'!$B$4:$G$8,5,FALSE))</f>
        <v/>
      </c>
      <c r="AF213" s="301" t="str">
        <f t="shared" si="34"/>
        <v/>
      </c>
      <c r="AG213" s="301" t="str">
        <f t="shared" si="39"/>
        <v/>
      </c>
      <c r="AH213" s="282" t="str">
        <f t="shared" si="35"/>
        <v/>
      </c>
      <c r="AI213" s="109"/>
      <c r="AJ213" s="282" t="str">
        <f>IF(AI213="","",(IF(AND(AI213="N/A - Culvert",N213&lt;&gt;"Culvert"),"Not possible ▲",IF(VLOOKUP(AI213,'G-7 WaterC'' Data'!$AA$4:$AB$7,2,FALSE)=0,"Spatial Data Missing ⚠",VLOOKUP(AI213,'G-7 WaterC'' Data'!$AA$4:$AB$7,2,FALSE)))))</f>
        <v/>
      </c>
      <c r="AK213" s="110"/>
      <c r="AL213" s="316" t="str">
        <f>IF(AK213="","",IF(AND(AK213="N/A - Culvert",N213&lt;&gt;"Culvert"),"Not possible ▲",IF(VLOOKUP(AK213,'G-7 WaterC'' Data'!$AD$4:$AE$14,2,FALSE)=0,"Spatial Data Missing ⚠",VLOOKUP(AK213,'G-7 WaterC'' Data'!$AD$4:$AE$14,2,FALSE))))</f>
        <v/>
      </c>
      <c r="AM213" s="281" t="str">
        <f>IF(B213="","",VLOOKUP($B213,'F-1 Off-Site WaterC'' Baseline'!$C$9:$Z$257,17,FALSE))</f>
        <v/>
      </c>
      <c r="AN213" s="282" t="str">
        <f>IF(AM213="","",IF(VLOOKUP(AM213,'G-7 WaterC'' Data'!$AO$4:$BO$7,2,FALSE)=0,"Spatial Data Missing ⚠",VLOOKUP(AM213,'G-7 WaterC'' Data'!$AO$4:$BO$7,2,FALSE)))</f>
        <v/>
      </c>
      <c r="AO213" s="323" t="str">
        <f t="shared" si="40"/>
        <v/>
      </c>
      <c r="AP213" s="323" t="str">
        <f t="shared" si="41"/>
        <v/>
      </c>
      <c r="AQ213" s="105"/>
      <c r="AR213" s="119"/>
      <c r="AS213" s="108"/>
      <c r="AT213" s="108"/>
      <c r="AW213" s="30" t="str">
        <f>IF(E213="","",VLOOKUP($B213,'F-1 Off-Site WaterC'' Baseline'!$C$9:$Z$257,12,FALSE))</f>
        <v/>
      </c>
      <c r="AX213" s="30" t="str">
        <f>IF(E213="","",VLOOKUP($B213,'F-1 Off-Site WaterC'' Baseline'!$C$9:$Z$257,14,FALSE))</f>
        <v/>
      </c>
      <c r="AY213" s="30" t="str">
        <f>IFERROR(INDEX('G-7 WaterC'' Data'!$AZ$3:$AZ$7,MATCH(N213,'G-7 WaterC'' Data'!$AY$3:$AY$7,0)),"")</f>
        <v/>
      </c>
      <c r="AZ213" s="30" t="str">
        <f>IF(B213="","",IF(ISNA(VLOOKUP($B213,'F-1 Off-Site WaterC'' Baseline'!$C$8:$AD$257,20,FALSE)),"",(VLOOKUP($B213,'F-1 Off-Site WaterC'' Baseline'!$C$8:$AD$257,20,FALSE))))</f>
        <v/>
      </c>
      <c r="BC213" s="30" t="str">
        <f>IF(B213="","",VLOOKUP($B213,'F-1 Off-Site WaterC'' Baseline'!$C$9:$AB$257,25,FALSE))</f>
        <v/>
      </c>
      <c r="BD213" s="30" t="str">
        <f t="shared" si="42"/>
        <v/>
      </c>
      <c r="BE213" s="30" t="str">
        <f>IF(B213="","",VLOOKUP($B213,'F-1 Off-Site WaterC'' Baseline'!$C$9:$AB$257,24,FALSE))</f>
        <v/>
      </c>
      <c r="BF213" s="30" t="str">
        <f>IF(B213="","",VLOOKUP($B213,'F-1 Off-Site WaterC'' Baseline'!$C$9:$AB$257,22,FALSE))</f>
        <v/>
      </c>
      <c r="BJ213" s="30" t="str">
        <f t="shared" si="43"/>
        <v>No</v>
      </c>
    </row>
    <row r="214" spans="2:62" ht="13.8" x14ac:dyDescent="0.25">
      <c r="B214" s="311" t="str">
        <f>'F-1 Off-Site WaterC'' Baseline'!AS212</f>
        <v/>
      </c>
      <c r="C214" s="301" t="str">
        <f>IF(B214="","",VLOOKUP($B214,'F-1 Off-Site WaterC'' Baseline'!$C$9:$R$257,2,FALSE))</f>
        <v/>
      </c>
      <c r="D214" s="301" t="str">
        <f>IF(C214="","",VLOOKUP($B214,'F-1 Off-Site WaterC'' Baseline'!$C$9:$R$257,3,FALSE))</f>
        <v/>
      </c>
      <c r="E214" s="301" t="str">
        <f>IF(D214="","",VLOOKUP($B214,'F-1 Off-Site WaterC'' Baseline'!$C$9:$R$257,4,FALSE))</f>
        <v/>
      </c>
      <c r="F214" s="301" t="str">
        <f>IF(E214="","",VLOOKUP($B214,'F-1 Off-Site WaterC'' Baseline'!$C$9:$R$257,5,FALSE))</f>
        <v/>
      </c>
      <c r="G214" s="301" t="str">
        <f>IF(F214="","",VLOOKUP($B214,'F-1 Off-Site WaterC'' Baseline'!$C$9:$R$257,6,FALSE))</f>
        <v/>
      </c>
      <c r="H214" s="301" t="str">
        <f>IF(G214="","",VLOOKUP($B214,'F-1 Off-Site WaterC'' Baseline'!$C$9:$R$257,7,FALSE))</f>
        <v/>
      </c>
      <c r="I214" s="301" t="str">
        <f>IF(H214="","",VLOOKUP($B214,'F-1 Off-Site WaterC'' Baseline'!$C$9:$R$257,8,FALSE))</f>
        <v/>
      </c>
      <c r="J214" s="301" t="str">
        <f>IF(I214="","",VLOOKUP($B214,'F-1 Off-Site WaterC'' Baseline'!$C$9:$R$257,9,FALSE))</f>
        <v/>
      </c>
      <c r="K214" s="301" t="str">
        <f>IF(J214="","",VLOOKUP($B214,'F-1 Off-Site WaterC'' Baseline'!$C$9:$R$257,10,FALSE))</f>
        <v/>
      </c>
      <c r="L214" s="289" t="str">
        <f>IF(B214="","",VLOOKUP($B214,'F-1 Off-Site WaterC'' Baseline'!$C$9:$R$257,15,FALSE))</f>
        <v/>
      </c>
      <c r="M214" s="305" t="str">
        <f>IF(L214="","",VLOOKUP($B214,'F-1 Off-Site WaterC'' Baseline'!$C$9:$V$257,19,FALSE))</f>
        <v/>
      </c>
      <c r="N214" s="250"/>
      <c r="O214" s="281" t="str">
        <f t="shared" si="36"/>
        <v/>
      </c>
      <c r="P214" s="282" t="str">
        <f t="shared" si="37"/>
        <v/>
      </c>
      <c r="Q214" s="287" t="str">
        <f>IF(N214="","",VLOOKUP(B214,'F-1 Off-Site WaterC'' Baseline'!$C$10:$AF$257,23,FALSE))</f>
        <v/>
      </c>
      <c r="R214" s="281" t="str">
        <f>IF(N214="","",VLOOKUP(N214,'G-7 WaterC'' Data'!$B$2:$G$8,2,FALSE))</f>
        <v/>
      </c>
      <c r="S214" s="282" t="str">
        <f>IFERROR(VLOOKUP(R214,'G-7 WaterC'' Data'!$C$4:$D$8,2,FALSE),"")</f>
        <v/>
      </c>
      <c r="T214" s="105"/>
      <c r="U214" s="282" t="str">
        <f>IFERROR(INDEX('G-7 WaterC'' Data'!$H$4:$L$8,MATCH(N214,'G-7 WaterC'' Data'!$B$4:$B$8,0),MATCH(T214,'G-7 WaterC'' Data'!$H$3:$L$3,0)),"")</f>
        <v/>
      </c>
      <c r="V214" s="109"/>
      <c r="W214" s="301" t="str">
        <f>IF(V214="","",IF(VLOOKUP(V214,'G-7 WaterC'' Data'!$AK$4:$AM$6,2,FALSE)=0,"Spatial Data Missing ⚠",VLOOKUP(V214,'G-7 WaterC'' Data'!$AK$4:$AM$6,2,FALSE)))</f>
        <v/>
      </c>
      <c r="X214" s="305" t="str">
        <f>IF(V214="","",IF(VLOOKUP(V214,'G-7 WaterC'' Data'!$AK$4:$AM$6,3,FALSE)=0,"Spatial Data Missing ⚠",VLOOKUP(V214,'G-7 WaterC'' Data'!$AK$4:$AM$6,3,FALSE)))</f>
        <v/>
      </c>
      <c r="Y214" s="317" t="str">
        <f>IFERROR(IF(OR(LEFT(P214,5)="Error",LEFT(O214,5)="Error"),"Check Data ⚠",IF(F214&lt;S214,'G-7 WaterC'' Data'!$R$3,INDEX('G-7 WaterC'' Data'!$U$5:$Y$9,MATCH(G214,'G-7 WaterC'' Data'!$T$5:$T$9,0),MATCH(T214,'G-7 WaterC'' Data'!$U$4:$Y$4,0)))),"")</f>
        <v/>
      </c>
      <c r="Z214" s="142"/>
      <c r="AA214" s="142"/>
      <c r="AB214" s="314" t="str">
        <f t="shared" si="33"/>
        <v/>
      </c>
      <c r="AC214" s="302" t="str">
        <f t="shared" si="38"/>
        <v/>
      </c>
      <c r="AD214" s="340" t="str">
        <f>IFERROR(IF(AC214="Check Data ⚠","Check Data ⚠",VLOOKUP(AC214,'G-4 Temporal multipliers'!$A$4:$C$37,3,FALSE)),"")</f>
        <v/>
      </c>
      <c r="AE214" s="317" t="str">
        <f>IF(N214="","",VLOOKUP(N214,'G-7 WaterC'' Data'!$B$4:$G$8,5,FALSE))</f>
        <v/>
      </c>
      <c r="AF214" s="301" t="str">
        <f t="shared" si="34"/>
        <v/>
      </c>
      <c r="AG214" s="301" t="str">
        <f t="shared" si="39"/>
        <v/>
      </c>
      <c r="AH214" s="282" t="str">
        <f t="shared" si="35"/>
        <v/>
      </c>
      <c r="AI214" s="109"/>
      <c r="AJ214" s="282" t="str">
        <f>IF(AI214="","",(IF(AND(AI214="N/A - Culvert",N214&lt;&gt;"Culvert"),"Not possible ▲",IF(VLOOKUP(AI214,'G-7 WaterC'' Data'!$AA$4:$AB$7,2,FALSE)=0,"Spatial Data Missing ⚠",VLOOKUP(AI214,'G-7 WaterC'' Data'!$AA$4:$AB$7,2,FALSE)))))</f>
        <v/>
      </c>
      <c r="AK214" s="110"/>
      <c r="AL214" s="316" t="str">
        <f>IF(AK214="","",IF(AND(AK214="N/A - Culvert",N214&lt;&gt;"Culvert"),"Not possible ▲",IF(VLOOKUP(AK214,'G-7 WaterC'' Data'!$AD$4:$AE$14,2,FALSE)=0,"Spatial Data Missing ⚠",VLOOKUP(AK214,'G-7 WaterC'' Data'!$AD$4:$AE$14,2,FALSE))))</f>
        <v/>
      </c>
      <c r="AM214" s="281" t="str">
        <f>IF(B214="","",VLOOKUP($B214,'F-1 Off-Site WaterC'' Baseline'!$C$9:$Z$257,17,FALSE))</f>
        <v/>
      </c>
      <c r="AN214" s="282" t="str">
        <f>IF(AM214="","",IF(VLOOKUP(AM214,'G-7 WaterC'' Data'!$AO$4:$BO$7,2,FALSE)=0,"Spatial Data Missing ⚠",VLOOKUP(AM214,'G-7 WaterC'' Data'!$AO$4:$BO$7,2,FALSE)))</f>
        <v/>
      </c>
      <c r="AO214" s="323" t="str">
        <f t="shared" si="40"/>
        <v/>
      </c>
      <c r="AP214" s="323" t="str">
        <f t="shared" si="41"/>
        <v/>
      </c>
      <c r="AQ214" s="105"/>
      <c r="AR214" s="119"/>
      <c r="AS214" s="108"/>
      <c r="AT214" s="108"/>
      <c r="AW214" s="30" t="str">
        <f>IF(E214="","",VLOOKUP($B214,'F-1 Off-Site WaterC'' Baseline'!$C$9:$Z$257,12,FALSE))</f>
        <v/>
      </c>
      <c r="AX214" s="30" t="str">
        <f>IF(E214="","",VLOOKUP($B214,'F-1 Off-Site WaterC'' Baseline'!$C$9:$Z$257,14,FALSE))</f>
        <v/>
      </c>
      <c r="AY214" s="30" t="str">
        <f>IFERROR(INDEX('G-7 WaterC'' Data'!$AZ$3:$AZ$7,MATCH(N214,'G-7 WaterC'' Data'!$AY$3:$AY$7,0)),"")</f>
        <v/>
      </c>
      <c r="AZ214" s="30" t="str">
        <f>IF(B214="","",IF(ISNA(VLOOKUP($B214,'F-1 Off-Site WaterC'' Baseline'!$C$8:$AD$257,20,FALSE)),"",(VLOOKUP($B214,'F-1 Off-Site WaterC'' Baseline'!$C$8:$AD$257,20,FALSE))))</f>
        <v/>
      </c>
      <c r="BC214" s="30" t="str">
        <f>IF(B214="","",VLOOKUP($B214,'F-1 Off-Site WaterC'' Baseline'!$C$9:$AB$257,25,FALSE))</f>
        <v/>
      </c>
      <c r="BD214" s="30" t="str">
        <f t="shared" si="42"/>
        <v/>
      </c>
      <c r="BE214" s="30" t="str">
        <f>IF(B214="","",VLOOKUP($B214,'F-1 Off-Site WaterC'' Baseline'!$C$9:$AB$257,24,FALSE))</f>
        <v/>
      </c>
      <c r="BF214" s="30" t="str">
        <f>IF(B214="","",VLOOKUP($B214,'F-1 Off-Site WaterC'' Baseline'!$C$9:$AB$257,22,FALSE))</f>
        <v/>
      </c>
      <c r="BJ214" s="30" t="str">
        <f t="shared" si="43"/>
        <v>No</v>
      </c>
    </row>
    <row r="215" spans="2:62" ht="13.8" x14ac:dyDescent="0.25">
      <c r="B215" s="311" t="str">
        <f>'F-1 Off-Site WaterC'' Baseline'!AS213</f>
        <v/>
      </c>
      <c r="C215" s="301" t="str">
        <f>IF(B215="","",VLOOKUP($B215,'F-1 Off-Site WaterC'' Baseline'!$C$9:$R$257,2,FALSE))</f>
        <v/>
      </c>
      <c r="D215" s="301" t="str">
        <f>IF(C215="","",VLOOKUP($B215,'F-1 Off-Site WaterC'' Baseline'!$C$9:$R$257,3,FALSE))</f>
        <v/>
      </c>
      <c r="E215" s="301" t="str">
        <f>IF(D215="","",VLOOKUP($B215,'F-1 Off-Site WaterC'' Baseline'!$C$9:$R$257,4,FALSE))</f>
        <v/>
      </c>
      <c r="F215" s="301" t="str">
        <f>IF(E215="","",VLOOKUP($B215,'F-1 Off-Site WaterC'' Baseline'!$C$9:$R$257,5,FALSE))</f>
        <v/>
      </c>
      <c r="G215" s="301" t="str">
        <f>IF(F215="","",VLOOKUP($B215,'F-1 Off-Site WaterC'' Baseline'!$C$9:$R$257,6,FALSE))</f>
        <v/>
      </c>
      <c r="H215" s="301" t="str">
        <f>IF(G215="","",VLOOKUP($B215,'F-1 Off-Site WaterC'' Baseline'!$C$9:$R$257,7,FALSE))</f>
        <v/>
      </c>
      <c r="I215" s="301" t="str">
        <f>IF(H215="","",VLOOKUP($B215,'F-1 Off-Site WaterC'' Baseline'!$C$9:$R$257,8,FALSE))</f>
        <v/>
      </c>
      <c r="J215" s="301" t="str">
        <f>IF(I215="","",VLOOKUP($B215,'F-1 Off-Site WaterC'' Baseline'!$C$9:$R$257,9,FALSE))</f>
        <v/>
      </c>
      <c r="K215" s="301" t="str">
        <f>IF(J215="","",VLOOKUP($B215,'F-1 Off-Site WaterC'' Baseline'!$C$9:$R$257,10,FALSE))</f>
        <v/>
      </c>
      <c r="L215" s="289" t="str">
        <f>IF(B215="","",VLOOKUP($B215,'F-1 Off-Site WaterC'' Baseline'!$C$9:$R$257,15,FALSE))</f>
        <v/>
      </c>
      <c r="M215" s="305" t="str">
        <f>IF(L215="","",VLOOKUP($B215,'F-1 Off-Site WaterC'' Baseline'!$C$9:$V$257,19,FALSE))</f>
        <v/>
      </c>
      <c r="N215" s="250"/>
      <c r="O215" s="281" t="str">
        <f t="shared" si="36"/>
        <v/>
      </c>
      <c r="P215" s="282" t="str">
        <f t="shared" si="37"/>
        <v/>
      </c>
      <c r="Q215" s="287" t="str">
        <f>IF(N215="","",VLOOKUP(B215,'F-1 Off-Site WaterC'' Baseline'!$C$10:$AF$257,23,FALSE))</f>
        <v/>
      </c>
      <c r="R215" s="281" t="str">
        <f>IF(N215="","",VLOOKUP(N215,'G-7 WaterC'' Data'!$B$2:$G$8,2,FALSE))</f>
        <v/>
      </c>
      <c r="S215" s="282" t="str">
        <f>IFERROR(VLOOKUP(R215,'G-7 WaterC'' Data'!$C$4:$D$8,2,FALSE),"")</f>
        <v/>
      </c>
      <c r="T215" s="105"/>
      <c r="U215" s="282" t="str">
        <f>IFERROR(INDEX('G-7 WaterC'' Data'!$H$4:$L$8,MATCH(N215,'G-7 WaterC'' Data'!$B$4:$B$8,0),MATCH(T215,'G-7 WaterC'' Data'!$H$3:$L$3,0)),"")</f>
        <v/>
      </c>
      <c r="V215" s="109"/>
      <c r="W215" s="301" t="str">
        <f>IF(V215="","",IF(VLOOKUP(V215,'G-7 WaterC'' Data'!$AK$4:$AM$6,2,FALSE)=0,"Spatial Data Missing ⚠",VLOOKUP(V215,'G-7 WaterC'' Data'!$AK$4:$AM$6,2,FALSE)))</f>
        <v/>
      </c>
      <c r="X215" s="305" t="str">
        <f>IF(V215="","",IF(VLOOKUP(V215,'G-7 WaterC'' Data'!$AK$4:$AM$6,3,FALSE)=0,"Spatial Data Missing ⚠",VLOOKUP(V215,'G-7 WaterC'' Data'!$AK$4:$AM$6,3,FALSE)))</f>
        <v/>
      </c>
      <c r="Y215" s="317" t="str">
        <f>IFERROR(IF(OR(LEFT(P215,5)="Error",LEFT(O215,5)="Error"),"Check Data ⚠",IF(F215&lt;S215,'G-7 WaterC'' Data'!$R$3,INDEX('G-7 WaterC'' Data'!$U$5:$Y$9,MATCH(G215,'G-7 WaterC'' Data'!$T$5:$T$9,0),MATCH(T215,'G-7 WaterC'' Data'!$U$4:$Y$4,0)))),"")</f>
        <v/>
      </c>
      <c r="Z215" s="142"/>
      <c r="AA215" s="142"/>
      <c r="AB215" s="314" t="str">
        <f t="shared" si="33"/>
        <v/>
      </c>
      <c r="AC215" s="302" t="str">
        <f t="shared" si="38"/>
        <v/>
      </c>
      <c r="AD215" s="340" t="str">
        <f>IFERROR(IF(AC215="Check Data ⚠","Check Data ⚠",VLOOKUP(AC215,'G-4 Temporal multipliers'!$A$4:$C$37,3,FALSE)),"")</f>
        <v/>
      </c>
      <c r="AE215" s="317" t="str">
        <f>IF(N215="","",VLOOKUP(N215,'G-7 WaterC'' Data'!$B$4:$G$8,5,FALSE))</f>
        <v/>
      </c>
      <c r="AF215" s="301" t="str">
        <f t="shared" si="34"/>
        <v/>
      </c>
      <c r="AG215" s="301" t="str">
        <f t="shared" si="39"/>
        <v/>
      </c>
      <c r="AH215" s="282" t="str">
        <f t="shared" si="35"/>
        <v/>
      </c>
      <c r="AI215" s="109"/>
      <c r="AJ215" s="282" t="str">
        <f>IF(AI215="","",(IF(AND(AI215="N/A - Culvert",N215&lt;&gt;"Culvert"),"Not possible ▲",IF(VLOOKUP(AI215,'G-7 WaterC'' Data'!$AA$4:$AB$7,2,FALSE)=0,"Spatial Data Missing ⚠",VLOOKUP(AI215,'G-7 WaterC'' Data'!$AA$4:$AB$7,2,FALSE)))))</f>
        <v/>
      </c>
      <c r="AK215" s="110"/>
      <c r="AL215" s="316" t="str">
        <f>IF(AK215="","",IF(AND(AK215="N/A - Culvert",N215&lt;&gt;"Culvert"),"Not possible ▲",IF(VLOOKUP(AK215,'G-7 WaterC'' Data'!$AD$4:$AE$14,2,FALSE)=0,"Spatial Data Missing ⚠",VLOOKUP(AK215,'G-7 WaterC'' Data'!$AD$4:$AE$14,2,FALSE))))</f>
        <v/>
      </c>
      <c r="AM215" s="281" t="str">
        <f>IF(B215="","",VLOOKUP($B215,'F-1 Off-Site WaterC'' Baseline'!$C$9:$Z$257,17,FALSE))</f>
        <v/>
      </c>
      <c r="AN215" s="282" t="str">
        <f>IF(AM215="","",IF(VLOOKUP(AM215,'G-7 WaterC'' Data'!$AO$4:$BO$7,2,FALSE)=0,"Spatial Data Missing ⚠",VLOOKUP(AM215,'G-7 WaterC'' Data'!$AO$4:$BO$7,2,FALSE)))</f>
        <v/>
      </c>
      <c r="AO215" s="323" t="str">
        <f t="shared" si="40"/>
        <v/>
      </c>
      <c r="AP215" s="323" t="str">
        <f t="shared" si="41"/>
        <v/>
      </c>
      <c r="AQ215" s="105"/>
      <c r="AR215" s="119"/>
      <c r="AS215" s="108"/>
      <c r="AT215" s="108"/>
      <c r="AW215" s="30" t="str">
        <f>IF(E215="","",VLOOKUP($B215,'F-1 Off-Site WaterC'' Baseline'!$C$9:$Z$257,12,FALSE))</f>
        <v/>
      </c>
      <c r="AX215" s="30" t="str">
        <f>IF(E215="","",VLOOKUP($B215,'F-1 Off-Site WaterC'' Baseline'!$C$9:$Z$257,14,FALSE))</f>
        <v/>
      </c>
      <c r="AY215" s="30" t="str">
        <f>IFERROR(INDEX('G-7 WaterC'' Data'!$AZ$3:$AZ$7,MATCH(N215,'G-7 WaterC'' Data'!$AY$3:$AY$7,0)),"")</f>
        <v/>
      </c>
      <c r="AZ215" s="30" t="str">
        <f>IF(B215="","",IF(ISNA(VLOOKUP($B215,'F-1 Off-Site WaterC'' Baseline'!$C$8:$AD$257,20,FALSE)),"",(VLOOKUP($B215,'F-1 Off-Site WaterC'' Baseline'!$C$8:$AD$257,20,FALSE))))</f>
        <v/>
      </c>
      <c r="BC215" s="30" t="str">
        <f>IF(B215="","",VLOOKUP($B215,'F-1 Off-Site WaterC'' Baseline'!$C$9:$AB$257,25,FALSE))</f>
        <v/>
      </c>
      <c r="BD215" s="30" t="str">
        <f t="shared" si="42"/>
        <v/>
      </c>
      <c r="BE215" s="30" t="str">
        <f>IF(B215="","",VLOOKUP($B215,'F-1 Off-Site WaterC'' Baseline'!$C$9:$AB$257,24,FALSE))</f>
        <v/>
      </c>
      <c r="BF215" s="30" t="str">
        <f>IF(B215="","",VLOOKUP($B215,'F-1 Off-Site WaterC'' Baseline'!$C$9:$AB$257,22,FALSE))</f>
        <v/>
      </c>
      <c r="BJ215" s="30" t="str">
        <f t="shared" si="43"/>
        <v>No</v>
      </c>
    </row>
    <row r="216" spans="2:62" ht="13.8" x14ac:dyDescent="0.25">
      <c r="B216" s="311" t="str">
        <f>'F-1 Off-Site WaterC'' Baseline'!AS214</f>
        <v/>
      </c>
      <c r="C216" s="301" t="str">
        <f>IF(B216="","",VLOOKUP($B216,'F-1 Off-Site WaterC'' Baseline'!$C$9:$R$257,2,FALSE))</f>
        <v/>
      </c>
      <c r="D216" s="301" t="str">
        <f>IF(C216="","",VLOOKUP($B216,'F-1 Off-Site WaterC'' Baseline'!$C$9:$R$257,3,FALSE))</f>
        <v/>
      </c>
      <c r="E216" s="301" t="str">
        <f>IF(D216="","",VLOOKUP($B216,'F-1 Off-Site WaterC'' Baseline'!$C$9:$R$257,4,FALSE))</f>
        <v/>
      </c>
      <c r="F216" s="301" t="str">
        <f>IF(E216="","",VLOOKUP($B216,'F-1 Off-Site WaterC'' Baseline'!$C$9:$R$257,5,FALSE))</f>
        <v/>
      </c>
      <c r="G216" s="301" t="str">
        <f>IF(F216="","",VLOOKUP($B216,'F-1 Off-Site WaterC'' Baseline'!$C$9:$R$257,6,FALSE))</f>
        <v/>
      </c>
      <c r="H216" s="301" t="str">
        <f>IF(G216="","",VLOOKUP($B216,'F-1 Off-Site WaterC'' Baseline'!$C$9:$R$257,7,FALSE))</f>
        <v/>
      </c>
      <c r="I216" s="301" t="str">
        <f>IF(H216="","",VLOOKUP($B216,'F-1 Off-Site WaterC'' Baseline'!$C$9:$R$257,8,FALSE))</f>
        <v/>
      </c>
      <c r="J216" s="301" t="str">
        <f>IF(I216="","",VLOOKUP($B216,'F-1 Off-Site WaterC'' Baseline'!$C$9:$R$257,9,FALSE))</f>
        <v/>
      </c>
      <c r="K216" s="301" t="str">
        <f>IF(J216="","",VLOOKUP($B216,'F-1 Off-Site WaterC'' Baseline'!$C$9:$R$257,10,FALSE))</f>
        <v/>
      </c>
      <c r="L216" s="289" t="str">
        <f>IF(B216="","",VLOOKUP($B216,'F-1 Off-Site WaterC'' Baseline'!$C$9:$R$257,15,FALSE))</f>
        <v/>
      </c>
      <c r="M216" s="305" t="str">
        <f>IF(L216="","",VLOOKUP($B216,'F-1 Off-Site WaterC'' Baseline'!$C$9:$V$257,19,FALSE))</f>
        <v/>
      </c>
      <c r="N216" s="250"/>
      <c r="O216" s="281" t="str">
        <f t="shared" si="36"/>
        <v/>
      </c>
      <c r="P216" s="282" t="str">
        <f t="shared" si="37"/>
        <v/>
      </c>
      <c r="Q216" s="287" t="str">
        <f>IF(N216="","",VLOOKUP(B216,'F-1 Off-Site WaterC'' Baseline'!$C$10:$AF$257,23,FALSE))</f>
        <v/>
      </c>
      <c r="R216" s="281" t="str">
        <f>IF(N216="","",VLOOKUP(N216,'G-7 WaterC'' Data'!$B$2:$G$8,2,FALSE))</f>
        <v/>
      </c>
      <c r="S216" s="282" t="str">
        <f>IFERROR(VLOOKUP(R216,'G-7 WaterC'' Data'!$C$4:$D$8,2,FALSE),"")</f>
        <v/>
      </c>
      <c r="T216" s="105"/>
      <c r="U216" s="282" t="str">
        <f>IFERROR(INDEX('G-7 WaterC'' Data'!$H$4:$L$8,MATCH(N216,'G-7 WaterC'' Data'!$B$4:$B$8,0),MATCH(T216,'G-7 WaterC'' Data'!$H$3:$L$3,0)),"")</f>
        <v/>
      </c>
      <c r="V216" s="109"/>
      <c r="W216" s="301" t="str">
        <f>IF(V216="","",IF(VLOOKUP(V216,'G-7 WaterC'' Data'!$AK$4:$AM$6,2,FALSE)=0,"Spatial Data Missing ⚠",VLOOKUP(V216,'G-7 WaterC'' Data'!$AK$4:$AM$6,2,FALSE)))</f>
        <v/>
      </c>
      <c r="X216" s="305" t="str">
        <f>IF(V216="","",IF(VLOOKUP(V216,'G-7 WaterC'' Data'!$AK$4:$AM$6,3,FALSE)=0,"Spatial Data Missing ⚠",VLOOKUP(V216,'G-7 WaterC'' Data'!$AK$4:$AM$6,3,FALSE)))</f>
        <v/>
      </c>
      <c r="Y216" s="317" t="str">
        <f>IFERROR(IF(OR(LEFT(P216,5)="Error",LEFT(O216,5)="Error"),"Check Data ⚠",IF(F216&lt;S216,'G-7 WaterC'' Data'!$R$3,INDEX('G-7 WaterC'' Data'!$U$5:$Y$9,MATCH(G216,'G-7 WaterC'' Data'!$T$5:$T$9,0),MATCH(T216,'G-7 WaterC'' Data'!$U$4:$Y$4,0)))),"")</f>
        <v/>
      </c>
      <c r="Z216" s="142"/>
      <c r="AA216" s="142"/>
      <c r="AB216" s="314" t="str">
        <f t="shared" si="33"/>
        <v/>
      </c>
      <c r="AC216" s="302" t="str">
        <f t="shared" si="38"/>
        <v/>
      </c>
      <c r="AD216" s="340" t="str">
        <f>IFERROR(IF(AC216="Check Data ⚠","Check Data ⚠",VLOOKUP(AC216,'G-4 Temporal multipliers'!$A$4:$C$37,3,FALSE)),"")</f>
        <v/>
      </c>
      <c r="AE216" s="317" t="str">
        <f>IF(N216="","",VLOOKUP(N216,'G-7 WaterC'' Data'!$B$4:$G$8,5,FALSE))</f>
        <v/>
      </c>
      <c r="AF216" s="301" t="str">
        <f t="shared" si="34"/>
        <v/>
      </c>
      <c r="AG216" s="301" t="str">
        <f t="shared" si="39"/>
        <v/>
      </c>
      <c r="AH216" s="282" t="str">
        <f t="shared" si="35"/>
        <v/>
      </c>
      <c r="AI216" s="109"/>
      <c r="AJ216" s="282" t="str">
        <f>IF(AI216="","",(IF(AND(AI216="N/A - Culvert",N216&lt;&gt;"Culvert"),"Not possible ▲",IF(VLOOKUP(AI216,'G-7 WaterC'' Data'!$AA$4:$AB$7,2,FALSE)=0,"Spatial Data Missing ⚠",VLOOKUP(AI216,'G-7 WaterC'' Data'!$AA$4:$AB$7,2,FALSE)))))</f>
        <v/>
      </c>
      <c r="AK216" s="110"/>
      <c r="AL216" s="316" t="str">
        <f>IF(AK216="","",IF(AND(AK216="N/A - Culvert",N216&lt;&gt;"Culvert"),"Not possible ▲",IF(VLOOKUP(AK216,'G-7 WaterC'' Data'!$AD$4:$AE$14,2,FALSE)=0,"Spatial Data Missing ⚠",VLOOKUP(AK216,'G-7 WaterC'' Data'!$AD$4:$AE$14,2,FALSE))))</f>
        <v/>
      </c>
      <c r="AM216" s="281" t="str">
        <f>IF(B216="","",VLOOKUP($B216,'F-1 Off-Site WaterC'' Baseline'!$C$9:$Z$257,17,FALSE))</f>
        <v/>
      </c>
      <c r="AN216" s="282" t="str">
        <f>IF(AM216="","",IF(VLOOKUP(AM216,'G-7 WaterC'' Data'!$AO$4:$BO$7,2,FALSE)=0,"Spatial Data Missing ⚠",VLOOKUP(AM216,'G-7 WaterC'' Data'!$AO$4:$BO$7,2,FALSE)))</f>
        <v/>
      </c>
      <c r="AO216" s="323" t="str">
        <f t="shared" si="40"/>
        <v/>
      </c>
      <c r="AP216" s="323" t="str">
        <f t="shared" si="41"/>
        <v/>
      </c>
      <c r="AQ216" s="105"/>
      <c r="AR216" s="119"/>
      <c r="AS216" s="108"/>
      <c r="AT216" s="108"/>
      <c r="AW216" s="30" t="str">
        <f>IF(E216="","",VLOOKUP($B216,'F-1 Off-Site WaterC'' Baseline'!$C$9:$Z$257,12,FALSE))</f>
        <v/>
      </c>
      <c r="AX216" s="30" t="str">
        <f>IF(E216="","",VLOOKUP($B216,'F-1 Off-Site WaterC'' Baseline'!$C$9:$Z$257,14,FALSE))</f>
        <v/>
      </c>
      <c r="AY216" s="30" t="str">
        <f>IFERROR(INDEX('G-7 WaterC'' Data'!$AZ$3:$AZ$7,MATCH(N216,'G-7 WaterC'' Data'!$AY$3:$AY$7,0)),"")</f>
        <v/>
      </c>
      <c r="AZ216" s="30" t="str">
        <f>IF(B216="","",IF(ISNA(VLOOKUP($B216,'F-1 Off-Site WaterC'' Baseline'!$C$8:$AD$257,20,FALSE)),"",(VLOOKUP($B216,'F-1 Off-Site WaterC'' Baseline'!$C$8:$AD$257,20,FALSE))))</f>
        <v/>
      </c>
      <c r="BC216" s="30" t="str">
        <f>IF(B216="","",VLOOKUP($B216,'F-1 Off-Site WaterC'' Baseline'!$C$9:$AB$257,25,FALSE))</f>
        <v/>
      </c>
      <c r="BD216" s="30" t="str">
        <f t="shared" si="42"/>
        <v/>
      </c>
      <c r="BE216" s="30" t="str">
        <f>IF(B216="","",VLOOKUP($B216,'F-1 Off-Site WaterC'' Baseline'!$C$9:$AB$257,24,FALSE))</f>
        <v/>
      </c>
      <c r="BF216" s="30" t="str">
        <f>IF(B216="","",VLOOKUP($B216,'F-1 Off-Site WaterC'' Baseline'!$C$9:$AB$257,22,FALSE))</f>
        <v/>
      </c>
      <c r="BJ216" s="30" t="str">
        <f t="shared" si="43"/>
        <v>No</v>
      </c>
    </row>
    <row r="217" spans="2:62" ht="13.8" x14ac:dyDescent="0.25">
      <c r="B217" s="311" t="str">
        <f>'F-1 Off-Site WaterC'' Baseline'!AS215</f>
        <v/>
      </c>
      <c r="C217" s="301" t="str">
        <f>IF(B217="","",VLOOKUP($B217,'F-1 Off-Site WaterC'' Baseline'!$C$9:$R$257,2,FALSE))</f>
        <v/>
      </c>
      <c r="D217" s="301" t="str">
        <f>IF(C217="","",VLOOKUP($B217,'F-1 Off-Site WaterC'' Baseline'!$C$9:$R$257,3,FALSE))</f>
        <v/>
      </c>
      <c r="E217" s="301" t="str">
        <f>IF(D217="","",VLOOKUP($B217,'F-1 Off-Site WaterC'' Baseline'!$C$9:$R$257,4,FALSE))</f>
        <v/>
      </c>
      <c r="F217" s="301" t="str">
        <f>IF(E217="","",VLOOKUP($B217,'F-1 Off-Site WaterC'' Baseline'!$C$9:$R$257,5,FALSE))</f>
        <v/>
      </c>
      <c r="G217" s="301" t="str">
        <f>IF(F217="","",VLOOKUP($B217,'F-1 Off-Site WaterC'' Baseline'!$C$9:$R$257,6,FALSE))</f>
        <v/>
      </c>
      <c r="H217" s="301" t="str">
        <f>IF(G217="","",VLOOKUP($B217,'F-1 Off-Site WaterC'' Baseline'!$C$9:$R$257,7,FALSE))</f>
        <v/>
      </c>
      <c r="I217" s="301" t="str">
        <f>IF(H217="","",VLOOKUP($B217,'F-1 Off-Site WaterC'' Baseline'!$C$9:$R$257,8,FALSE))</f>
        <v/>
      </c>
      <c r="J217" s="301" t="str">
        <f>IF(I217="","",VLOOKUP($B217,'F-1 Off-Site WaterC'' Baseline'!$C$9:$R$257,9,FALSE))</f>
        <v/>
      </c>
      <c r="K217" s="301" t="str">
        <f>IF(J217="","",VLOOKUP($B217,'F-1 Off-Site WaterC'' Baseline'!$C$9:$R$257,10,FALSE))</f>
        <v/>
      </c>
      <c r="L217" s="289" t="str">
        <f>IF(B217="","",VLOOKUP($B217,'F-1 Off-Site WaterC'' Baseline'!$C$9:$R$257,15,FALSE))</f>
        <v/>
      </c>
      <c r="M217" s="305" t="str">
        <f>IF(L217="","",VLOOKUP($B217,'F-1 Off-Site WaterC'' Baseline'!$C$9:$V$257,19,FALSE))</f>
        <v/>
      </c>
      <c r="N217" s="250"/>
      <c r="O217" s="281" t="str">
        <f t="shared" si="36"/>
        <v/>
      </c>
      <c r="P217" s="282" t="str">
        <f t="shared" si="37"/>
        <v/>
      </c>
      <c r="Q217" s="287" t="str">
        <f>IF(N217="","",VLOOKUP(B217,'F-1 Off-Site WaterC'' Baseline'!$C$10:$AF$257,23,FALSE))</f>
        <v/>
      </c>
      <c r="R217" s="281" t="str">
        <f>IF(N217="","",VLOOKUP(N217,'G-7 WaterC'' Data'!$B$2:$G$8,2,FALSE))</f>
        <v/>
      </c>
      <c r="S217" s="282" t="str">
        <f>IFERROR(VLOOKUP(R217,'G-7 WaterC'' Data'!$C$4:$D$8,2,FALSE),"")</f>
        <v/>
      </c>
      <c r="T217" s="105"/>
      <c r="U217" s="282" t="str">
        <f>IFERROR(INDEX('G-7 WaterC'' Data'!$H$4:$L$8,MATCH(N217,'G-7 WaterC'' Data'!$B$4:$B$8,0),MATCH(T217,'G-7 WaterC'' Data'!$H$3:$L$3,0)),"")</f>
        <v/>
      </c>
      <c r="V217" s="109"/>
      <c r="W217" s="301" t="str">
        <f>IF(V217="","",IF(VLOOKUP(V217,'G-7 WaterC'' Data'!$AK$4:$AM$6,2,FALSE)=0,"Spatial Data Missing ⚠",VLOOKUP(V217,'G-7 WaterC'' Data'!$AK$4:$AM$6,2,FALSE)))</f>
        <v/>
      </c>
      <c r="X217" s="305" t="str">
        <f>IF(V217="","",IF(VLOOKUP(V217,'G-7 WaterC'' Data'!$AK$4:$AM$6,3,FALSE)=0,"Spatial Data Missing ⚠",VLOOKUP(V217,'G-7 WaterC'' Data'!$AK$4:$AM$6,3,FALSE)))</f>
        <v/>
      </c>
      <c r="Y217" s="317" t="str">
        <f>IFERROR(IF(OR(LEFT(P217,5)="Error",LEFT(O217,5)="Error"),"Check Data ⚠",IF(F217&lt;S217,'G-7 WaterC'' Data'!$R$3,INDEX('G-7 WaterC'' Data'!$U$5:$Y$9,MATCH(G217,'G-7 WaterC'' Data'!$T$5:$T$9,0),MATCH(T217,'G-7 WaterC'' Data'!$U$4:$Y$4,0)))),"")</f>
        <v/>
      </c>
      <c r="Z217" s="142"/>
      <c r="AA217" s="142"/>
      <c r="AB217" s="314" t="str">
        <f t="shared" si="33"/>
        <v/>
      </c>
      <c r="AC217" s="302" t="str">
        <f t="shared" si="38"/>
        <v/>
      </c>
      <c r="AD217" s="340" t="str">
        <f>IFERROR(IF(AC217="Check Data ⚠","Check Data ⚠",VLOOKUP(AC217,'G-4 Temporal multipliers'!$A$4:$C$37,3,FALSE)),"")</f>
        <v/>
      </c>
      <c r="AE217" s="317" t="str">
        <f>IF(N217="","",VLOOKUP(N217,'G-7 WaterC'' Data'!$B$4:$G$8,5,FALSE))</f>
        <v/>
      </c>
      <c r="AF217" s="301" t="str">
        <f t="shared" si="34"/>
        <v/>
      </c>
      <c r="AG217" s="301" t="str">
        <f t="shared" si="39"/>
        <v/>
      </c>
      <c r="AH217" s="282" t="str">
        <f t="shared" si="35"/>
        <v/>
      </c>
      <c r="AI217" s="109"/>
      <c r="AJ217" s="282" t="str">
        <f>IF(AI217="","",(IF(AND(AI217="N/A - Culvert",N217&lt;&gt;"Culvert"),"Not possible ▲",IF(VLOOKUP(AI217,'G-7 WaterC'' Data'!$AA$4:$AB$7,2,FALSE)=0,"Spatial Data Missing ⚠",VLOOKUP(AI217,'G-7 WaterC'' Data'!$AA$4:$AB$7,2,FALSE)))))</f>
        <v/>
      </c>
      <c r="AK217" s="110"/>
      <c r="AL217" s="316" t="str">
        <f>IF(AK217="","",IF(AND(AK217="N/A - Culvert",N217&lt;&gt;"Culvert"),"Not possible ▲",IF(VLOOKUP(AK217,'G-7 WaterC'' Data'!$AD$4:$AE$14,2,FALSE)=0,"Spatial Data Missing ⚠",VLOOKUP(AK217,'G-7 WaterC'' Data'!$AD$4:$AE$14,2,FALSE))))</f>
        <v/>
      </c>
      <c r="AM217" s="281" t="str">
        <f>IF(B217="","",VLOOKUP($B217,'F-1 Off-Site WaterC'' Baseline'!$C$9:$Z$257,17,FALSE))</f>
        <v/>
      </c>
      <c r="AN217" s="282" t="str">
        <f>IF(AM217="","",IF(VLOOKUP(AM217,'G-7 WaterC'' Data'!$AO$4:$BO$7,2,FALSE)=0,"Spatial Data Missing ⚠",VLOOKUP(AM217,'G-7 WaterC'' Data'!$AO$4:$BO$7,2,FALSE)))</f>
        <v/>
      </c>
      <c r="AO217" s="323" t="str">
        <f t="shared" si="40"/>
        <v/>
      </c>
      <c r="AP217" s="323" t="str">
        <f t="shared" si="41"/>
        <v/>
      </c>
      <c r="AQ217" s="105"/>
      <c r="AR217" s="119"/>
      <c r="AS217" s="108"/>
      <c r="AT217" s="108"/>
      <c r="AW217" s="30" t="str">
        <f>IF(E217="","",VLOOKUP($B217,'F-1 Off-Site WaterC'' Baseline'!$C$9:$Z$257,12,FALSE))</f>
        <v/>
      </c>
      <c r="AX217" s="30" t="str">
        <f>IF(E217="","",VLOOKUP($B217,'F-1 Off-Site WaterC'' Baseline'!$C$9:$Z$257,14,FALSE))</f>
        <v/>
      </c>
      <c r="AY217" s="30" t="str">
        <f>IFERROR(INDEX('G-7 WaterC'' Data'!$AZ$3:$AZ$7,MATCH(N217,'G-7 WaterC'' Data'!$AY$3:$AY$7,0)),"")</f>
        <v/>
      </c>
      <c r="AZ217" s="30" t="str">
        <f>IF(B217="","",IF(ISNA(VLOOKUP($B217,'F-1 Off-Site WaterC'' Baseline'!$C$8:$AD$257,20,FALSE)),"",(VLOOKUP($B217,'F-1 Off-Site WaterC'' Baseline'!$C$8:$AD$257,20,FALSE))))</f>
        <v/>
      </c>
      <c r="BC217" s="30" t="str">
        <f>IF(B217="","",VLOOKUP($B217,'F-1 Off-Site WaterC'' Baseline'!$C$9:$AB$257,25,FALSE))</f>
        <v/>
      </c>
      <c r="BD217" s="30" t="str">
        <f t="shared" si="42"/>
        <v/>
      </c>
      <c r="BE217" s="30" t="str">
        <f>IF(B217="","",VLOOKUP($B217,'F-1 Off-Site WaterC'' Baseline'!$C$9:$AB$257,24,FALSE))</f>
        <v/>
      </c>
      <c r="BF217" s="30" t="str">
        <f>IF(B217="","",VLOOKUP($B217,'F-1 Off-Site WaterC'' Baseline'!$C$9:$AB$257,22,FALSE))</f>
        <v/>
      </c>
      <c r="BJ217" s="30" t="str">
        <f t="shared" si="43"/>
        <v>No</v>
      </c>
    </row>
    <row r="218" spans="2:62" ht="13.8" x14ac:dyDescent="0.25">
      <c r="B218" s="311" t="str">
        <f>'F-1 Off-Site WaterC'' Baseline'!AS216</f>
        <v/>
      </c>
      <c r="C218" s="301" t="str">
        <f>IF(B218="","",VLOOKUP($B218,'F-1 Off-Site WaterC'' Baseline'!$C$9:$R$257,2,FALSE))</f>
        <v/>
      </c>
      <c r="D218" s="301" t="str">
        <f>IF(C218="","",VLOOKUP($B218,'F-1 Off-Site WaterC'' Baseline'!$C$9:$R$257,3,FALSE))</f>
        <v/>
      </c>
      <c r="E218" s="301" t="str">
        <f>IF(D218="","",VLOOKUP($B218,'F-1 Off-Site WaterC'' Baseline'!$C$9:$R$257,4,FALSE))</f>
        <v/>
      </c>
      <c r="F218" s="301" t="str">
        <f>IF(E218="","",VLOOKUP($B218,'F-1 Off-Site WaterC'' Baseline'!$C$9:$R$257,5,FALSE))</f>
        <v/>
      </c>
      <c r="G218" s="301" t="str">
        <f>IF(F218="","",VLOOKUP($B218,'F-1 Off-Site WaterC'' Baseline'!$C$9:$R$257,6,FALSE))</f>
        <v/>
      </c>
      <c r="H218" s="301" t="str">
        <f>IF(G218="","",VLOOKUP($B218,'F-1 Off-Site WaterC'' Baseline'!$C$9:$R$257,7,FALSE))</f>
        <v/>
      </c>
      <c r="I218" s="301" t="str">
        <f>IF(H218="","",VLOOKUP($B218,'F-1 Off-Site WaterC'' Baseline'!$C$9:$R$257,8,FALSE))</f>
        <v/>
      </c>
      <c r="J218" s="301" t="str">
        <f>IF(I218="","",VLOOKUP($B218,'F-1 Off-Site WaterC'' Baseline'!$C$9:$R$257,9,FALSE))</f>
        <v/>
      </c>
      <c r="K218" s="301" t="str">
        <f>IF(J218="","",VLOOKUP($B218,'F-1 Off-Site WaterC'' Baseline'!$C$9:$R$257,10,FALSE))</f>
        <v/>
      </c>
      <c r="L218" s="289" t="str">
        <f>IF(B218="","",VLOOKUP($B218,'F-1 Off-Site WaterC'' Baseline'!$C$9:$R$257,15,FALSE))</f>
        <v/>
      </c>
      <c r="M218" s="305" t="str">
        <f>IF(L218="","",VLOOKUP($B218,'F-1 Off-Site WaterC'' Baseline'!$C$9:$V$257,19,FALSE))</f>
        <v/>
      </c>
      <c r="N218" s="250"/>
      <c r="O218" s="281" t="str">
        <f t="shared" si="36"/>
        <v/>
      </c>
      <c r="P218" s="282" t="str">
        <f t="shared" si="37"/>
        <v/>
      </c>
      <c r="Q218" s="287" t="str">
        <f>IF(N218="","",VLOOKUP(B218,'F-1 Off-Site WaterC'' Baseline'!$C$10:$AF$257,23,FALSE))</f>
        <v/>
      </c>
      <c r="R218" s="281" t="str">
        <f>IF(N218="","",VLOOKUP(N218,'G-7 WaterC'' Data'!$B$2:$G$8,2,FALSE))</f>
        <v/>
      </c>
      <c r="S218" s="282" t="str">
        <f>IFERROR(VLOOKUP(R218,'G-7 WaterC'' Data'!$C$4:$D$8,2,FALSE),"")</f>
        <v/>
      </c>
      <c r="T218" s="105"/>
      <c r="U218" s="282" t="str">
        <f>IFERROR(INDEX('G-7 WaterC'' Data'!$H$4:$L$8,MATCH(N218,'G-7 WaterC'' Data'!$B$4:$B$8,0),MATCH(T218,'G-7 WaterC'' Data'!$H$3:$L$3,0)),"")</f>
        <v/>
      </c>
      <c r="V218" s="109"/>
      <c r="W218" s="301" t="str">
        <f>IF(V218="","",IF(VLOOKUP(V218,'G-7 WaterC'' Data'!$AK$4:$AM$6,2,FALSE)=0,"Spatial Data Missing ⚠",VLOOKUP(V218,'G-7 WaterC'' Data'!$AK$4:$AM$6,2,FALSE)))</f>
        <v/>
      </c>
      <c r="X218" s="305" t="str">
        <f>IF(V218="","",IF(VLOOKUP(V218,'G-7 WaterC'' Data'!$AK$4:$AM$6,3,FALSE)=0,"Spatial Data Missing ⚠",VLOOKUP(V218,'G-7 WaterC'' Data'!$AK$4:$AM$6,3,FALSE)))</f>
        <v/>
      </c>
      <c r="Y218" s="317" t="str">
        <f>IFERROR(IF(OR(LEFT(P218,5)="Error",LEFT(O218,5)="Error"),"Check Data ⚠",IF(F218&lt;S218,'G-7 WaterC'' Data'!$R$3,INDEX('G-7 WaterC'' Data'!$U$5:$Y$9,MATCH(G218,'G-7 WaterC'' Data'!$T$5:$T$9,0),MATCH(T218,'G-7 WaterC'' Data'!$U$4:$Y$4,0)))),"")</f>
        <v/>
      </c>
      <c r="Z218" s="142"/>
      <c r="AA218" s="142"/>
      <c r="AB218" s="314" t="str">
        <f t="shared" si="33"/>
        <v/>
      </c>
      <c r="AC218" s="302" t="str">
        <f t="shared" si="38"/>
        <v/>
      </c>
      <c r="AD218" s="340" t="str">
        <f>IFERROR(IF(AC218="Check Data ⚠","Check Data ⚠",VLOOKUP(AC218,'G-4 Temporal multipliers'!$A$4:$C$37,3,FALSE)),"")</f>
        <v/>
      </c>
      <c r="AE218" s="317" t="str">
        <f>IF(N218="","",VLOOKUP(N218,'G-7 WaterC'' Data'!$B$4:$G$8,5,FALSE))</f>
        <v/>
      </c>
      <c r="AF218" s="301" t="str">
        <f t="shared" si="34"/>
        <v/>
      </c>
      <c r="AG218" s="301" t="str">
        <f t="shared" si="39"/>
        <v/>
      </c>
      <c r="AH218" s="282" t="str">
        <f t="shared" si="35"/>
        <v/>
      </c>
      <c r="AI218" s="109"/>
      <c r="AJ218" s="282" t="str">
        <f>IF(AI218="","",(IF(AND(AI218="N/A - Culvert",N218&lt;&gt;"Culvert"),"Not possible ▲",IF(VLOOKUP(AI218,'G-7 WaterC'' Data'!$AA$4:$AB$7,2,FALSE)=0,"Spatial Data Missing ⚠",VLOOKUP(AI218,'G-7 WaterC'' Data'!$AA$4:$AB$7,2,FALSE)))))</f>
        <v/>
      </c>
      <c r="AK218" s="110"/>
      <c r="AL218" s="316" t="str">
        <f>IF(AK218="","",IF(AND(AK218="N/A - Culvert",N218&lt;&gt;"Culvert"),"Not possible ▲",IF(VLOOKUP(AK218,'G-7 WaterC'' Data'!$AD$4:$AE$14,2,FALSE)=0,"Spatial Data Missing ⚠",VLOOKUP(AK218,'G-7 WaterC'' Data'!$AD$4:$AE$14,2,FALSE))))</f>
        <v/>
      </c>
      <c r="AM218" s="281" t="str">
        <f>IF(B218="","",VLOOKUP($B218,'F-1 Off-Site WaterC'' Baseline'!$C$9:$Z$257,17,FALSE))</f>
        <v/>
      </c>
      <c r="AN218" s="282" t="str">
        <f>IF(AM218="","",IF(VLOOKUP(AM218,'G-7 WaterC'' Data'!$AO$4:$BO$7,2,FALSE)=0,"Spatial Data Missing ⚠",VLOOKUP(AM218,'G-7 WaterC'' Data'!$AO$4:$BO$7,2,FALSE)))</f>
        <v/>
      </c>
      <c r="AO218" s="323" t="str">
        <f t="shared" si="40"/>
        <v/>
      </c>
      <c r="AP218" s="323" t="str">
        <f t="shared" si="41"/>
        <v/>
      </c>
      <c r="AQ218" s="105"/>
      <c r="AR218" s="119"/>
      <c r="AS218" s="108"/>
      <c r="AT218" s="108"/>
      <c r="AW218" s="30" t="str">
        <f>IF(E218="","",VLOOKUP($B218,'F-1 Off-Site WaterC'' Baseline'!$C$9:$Z$257,12,FALSE))</f>
        <v/>
      </c>
      <c r="AX218" s="30" t="str">
        <f>IF(E218="","",VLOOKUP($B218,'F-1 Off-Site WaterC'' Baseline'!$C$9:$Z$257,14,FALSE))</f>
        <v/>
      </c>
      <c r="AY218" s="30" t="str">
        <f>IFERROR(INDEX('G-7 WaterC'' Data'!$AZ$3:$AZ$7,MATCH(N218,'G-7 WaterC'' Data'!$AY$3:$AY$7,0)),"")</f>
        <v/>
      </c>
      <c r="AZ218" s="30" t="str">
        <f>IF(B218="","",IF(ISNA(VLOOKUP($B218,'F-1 Off-Site WaterC'' Baseline'!$C$8:$AD$257,20,FALSE)),"",(VLOOKUP($B218,'F-1 Off-Site WaterC'' Baseline'!$C$8:$AD$257,20,FALSE))))</f>
        <v/>
      </c>
      <c r="BC218" s="30" t="str">
        <f>IF(B218="","",VLOOKUP($B218,'F-1 Off-Site WaterC'' Baseline'!$C$9:$AB$257,25,FALSE))</f>
        <v/>
      </c>
      <c r="BD218" s="30" t="str">
        <f t="shared" si="42"/>
        <v/>
      </c>
      <c r="BE218" s="30" t="str">
        <f>IF(B218="","",VLOOKUP($B218,'F-1 Off-Site WaterC'' Baseline'!$C$9:$AB$257,24,FALSE))</f>
        <v/>
      </c>
      <c r="BF218" s="30" t="str">
        <f>IF(B218="","",VLOOKUP($B218,'F-1 Off-Site WaterC'' Baseline'!$C$9:$AB$257,22,FALSE))</f>
        <v/>
      </c>
      <c r="BJ218" s="30" t="str">
        <f t="shared" si="43"/>
        <v>No</v>
      </c>
    </row>
    <row r="219" spans="2:62" ht="13.8" x14ac:dyDescent="0.25">
      <c r="B219" s="311" t="str">
        <f>'F-1 Off-Site WaterC'' Baseline'!AS217</f>
        <v/>
      </c>
      <c r="C219" s="301" t="str">
        <f>IF(B219="","",VLOOKUP($B219,'F-1 Off-Site WaterC'' Baseline'!$C$9:$R$257,2,FALSE))</f>
        <v/>
      </c>
      <c r="D219" s="301" t="str">
        <f>IF(C219="","",VLOOKUP($B219,'F-1 Off-Site WaterC'' Baseline'!$C$9:$R$257,3,FALSE))</f>
        <v/>
      </c>
      <c r="E219" s="301" t="str">
        <f>IF(D219="","",VLOOKUP($B219,'F-1 Off-Site WaterC'' Baseline'!$C$9:$R$257,4,FALSE))</f>
        <v/>
      </c>
      <c r="F219" s="301" t="str">
        <f>IF(E219="","",VLOOKUP($B219,'F-1 Off-Site WaterC'' Baseline'!$C$9:$R$257,5,FALSE))</f>
        <v/>
      </c>
      <c r="G219" s="301" t="str">
        <f>IF(F219="","",VLOOKUP($B219,'F-1 Off-Site WaterC'' Baseline'!$C$9:$R$257,6,FALSE))</f>
        <v/>
      </c>
      <c r="H219" s="301" t="str">
        <f>IF(G219="","",VLOOKUP($B219,'F-1 Off-Site WaterC'' Baseline'!$C$9:$R$257,7,FALSE))</f>
        <v/>
      </c>
      <c r="I219" s="301" t="str">
        <f>IF(H219="","",VLOOKUP($B219,'F-1 Off-Site WaterC'' Baseline'!$C$9:$R$257,8,FALSE))</f>
        <v/>
      </c>
      <c r="J219" s="301" t="str">
        <f>IF(I219="","",VLOOKUP($B219,'F-1 Off-Site WaterC'' Baseline'!$C$9:$R$257,9,FALSE))</f>
        <v/>
      </c>
      <c r="K219" s="301" t="str">
        <f>IF(J219="","",VLOOKUP($B219,'F-1 Off-Site WaterC'' Baseline'!$C$9:$R$257,10,FALSE))</f>
        <v/>
      </c>
      <c r="L219" s="289" t="str">
        <f>IF(B219="","",VLOOKUP($B219,'F-1 Off-Site WaterC'' Baseline'!$C$9:$R$257,15,FALSE))</f>
        <v/>
      </c>
      <c r="M219" s="305" t="str">
        <f>IF(L219="","",VLOOKUP($B219,'F-1 Off-Site WaterC'' Baseline'!$C$9:$V$257,19,FALSE))</f>
        <v/>
      </c>
      <c r="N219" s="250"/>
      <c r="O219" s="281" t="str">
        <f t="shared" si="36"/>
        <v/>
      </c>
      <c r="P219" s="282" t="str">
        <f t="shared" si="37"/>
        <v/>
      </c>
      <c r="Q219" s="287" t="str">
        <f>IF(N219="","",VLOOKUP(B219,'F-1 Off-Site WaterC'' Baseline'!$C$10:$AF$257,23,FALSE))</f>
        <v/>
      </c>
      <c r="R219" s="281" t="str">
        <f>IF(N219="","",VLOOKUP(N219,'G-7 WaterC'' Data'!$B$2:$G$8,2,FALSE))</f>
        <v/>
      </c>
      <c r="S219" s="282" t="str">
        <f>IFERROR(VLOOKUP(R219,'G-7 WaterC'' Data'!$C$4:$D$8,2,FALSE),"")</f>
        <v/>
      </c>
      <c r="T219" s="105"/>
      <c r="U219" s="282" t="str">
        <f>IFERROR(INDEX('G-7 WaterC'' Data'!$H$4:$L$8,MATCH(N219,'G-7 WaterC'' Data'!$B$4:$B$8,0),MATCH(T219,'G-7 WaterC'' Data'!$H$3:$L$3,0)),"")</f>
        <v/>
      </c>
      <c r="V219" s="109"/>
      <c r="W219" s="301" t="str">
        <f>IF(V219="","",IF(VLOOKUP(V219,'G-7 WaterC'' Data'!$AK$4:$AM$6,2,FALSE)=0,"Spatial Data Missing ⚠",VLOOKUP(V219,'G-7 WaterC'' Data'!$AK$4:$AM$6,2,FALSE)))</f>
        <v/>
      </c>
      <c r="X219" s="305" t="str">
        <f>IF(V219="","",IF(VLOOKUP(V219,'G-7 WaterC'' Data'!$AK$4:$AM$6,3,FALSE)=0,"Spatial Data Missing ⚠",VLOOKUP(V219,'G-7 WaterC'' Data'!$AK$4:$AM$6,3,FALSE)))</f>
        <v/>
      </c>
      <c r="Y219" s="317" t="str">
        <f>IFERROR(IF(OR(LEFT(P219,5)="Error",LEFT(O219,5)="Error"),"Check Data ⚠",IF(F219&lt;S219,'G-7 WaterC'' Data'!$R$3,INDEX('G-7 WaterC'' Data'!$U$5:$Y$9,MATCH(G219,'G-7 WaterC'' Data'!$T$5:$T$9,0),MATCH(T219,'G-7 WaterC'' Data'!$U$4:$Y$4,0)))),"")</f>
        <v/>
      </c>
      <c r="Z219" s="142"/>
      <c r="AA219" s="142"/>
      <c r="AB219" s="314" t="str">
        <f t="shared" si="33"/>
        <v/>
      </c>
      <c r="AC219" s="302" t="str">
        <f t="shared" si="38"/>
        <v/>
      </c>
      <c r="AD219" s="340" t="str">
        <f>IFERROR(IF(AC219="Check Data ⚠","Check Data ⚠",VLOOKUP(AC219,'G-4 Temporal multipliers'!$A$4:$C$37,3,FALSE)),"")</f>
        <v/>
      </c>
      <c r="AE219" s="317" t="str">
        <f>IF(N219="","",VLOOKUP(N219,'G-7 WaterC'' Data'!$B$4:$G$8,5,FALSE))</f>
        <v/>
      </c>
      <c r="AF219" s="301" t="str">
        <f t="shared" si="34"/>
        <v/>
      </c>
      <c r="AG219" s="301" t="str">
        <f t="shared" si="39"/>
        <v/>
      </c>
      <c r="AH219" s="282" t="str">
        <f t="shared" si="35"/>
        <v/>
      </c>
      <c r="AI219" s="109"/>
      <c r="AJ219" s="282" t="str">
        <f>IF(AI219="","",(IF(AND(AI219="N/A - Culvert",N219&lt;&gt;"Culvert"),"Not possible ▲",IF(VLOOKUP(AI219,'G-7 WaterC'' Data'!$AA$4:$AB$7,2,FALSE)=0,"Spatial Data Missing ⚠",VLOOKUP(AI219,'G-7 WaterC'' Data'!$AA$4:$AB$7,2,FALSE)))))</f>
        <v/>
      </c>
      <c r="AK219" s="110"/>
      <c r="AL219" s="316" t="str">
        <f>IF(AK219="","",IF(AND(AK219="N/A - Culvert",N219&lt;&gt;"Culvert"),"Not possible ▲",IF(VLOOKUP(AK219,'G-7 WaterC'' Data'!$AD$4:$AE$14,2,FALSE)=0,"Spatial Data Missing ⚠",VLOOKUP(AK219,'G-7 WaterC'' Data'!$AD$4:$AE$14,2,FALSE))))</f>
        <v/>
      </c>
      <c r="AM219" s="281" t="str">
        <f>IF(B219="","",VLOOKUP($B219,'F-1 Off-Site WaterC'' Baseline'!$C$9:$Z$257,17,FALSE))</f>
        <v/>
      </c>
      <c r="AN219" s="282" t="str">
        <f>IF(AM219="","",IF(VLOOKUP(AM219,'G-7 WaterC'' Data'!$AO$4:$BO$7,2,FALSE)=0,"Spatial Data Missing ⚠",VLOOKUP(AM219,'G-7 WaterC'' Data'!$AO$4:$BO$7,2,FALSE)))</f>
        <v/>
      </c>
      <c r="AO219" s="323" t="str">
        <f t="shared" si="40"/>
        <v/>
      </c>
      <c r="AP219" s="323" t="str">
        <f t="shared" si="41"/>
        <v/>
      </c>
      <c r="AQ219" s="105"/>
      <c r="AR219" s="119"/>
      <c r="AS219" s="108"/>
      <c r="AT219" s="108"/>
      <c r="AW219" s="30" t="str">
        <f>IF(E219="","",VLOOKUP($B219,'F-1 Off-Site WaterC'' Baseline'!$C$9:$Z$257,12,FALSE))</f>
        <v/>
      </c>
      <c r="AX219" s="30" t="str">
        <f>IF(E219="","",VLOOKUP($B219,'F-1 Off-Site WaterC'' Baseline'!$C$9:$Z$257,14,FALSE))</f>
        <v/>
      </c>
      <c r="AY219" s="30" t="str">
        <f>IFERROR(INDEX('G-7 WaterC'' Data'!$AZ$3:$AZ$7,MATCH(N219,'G-7 WaterC'' Data'!$AY$3:$AY$7,0)),"")</f>
        <v/>
      </c>
      <c r="AZ219" s="30" t="str">
        <f>IF(B219="","",IF(ISNA(VLOOKUP($B219,'F-1 Off-Site WaterC'' Baseline'!$C$8:$AD$257,20,FALSE)),"",(VLOOKUP($B219,'F-1 Off-Site WaterC'' Baseline'!$C$8:$AD$257,20,FALSE))))</f>
        <v/>
      </c>
      <c r="BC219" s="30" t="str">
        <f>IF(B219="","",VLOOKUP($B219,'F-1 Off-Site WaterC'' Baseline'!$C$9:$AB$257,25,FALSE))</f>
        <v/>
      </c>
      <c r="BD219" s="30" t="str">
        <f t="shared" si="42"/>
        <v/>
      </c>
      <c r="BE219" s="30" t="str">
        <f>IF(B219="","",VLOOKUP($B219,'F-1 Off-Site WaterC'' Baseline'!$C$9:$AB$257,24,FALSE))</f>
        <v/>
      </c>
      <c r="BF219" s="30" t="str">
        <f>IF(B219="","",VLOOKUP($B219,'F-1 Off-Site WaterC'' Baseline'!$C$9:$AB$257,22,FALSE))</f>
        <v/>
      </c>
      <c r="BJ219" s="30" t="str">
        <f t="shared" si="43"/>
        <v>No</v>
      </c>
    </row>
    <row r="220" spans="2:62" ht="13.8" x14ac:dyDescent="0.25">
      <c r="B220" s="311" t="str">
        <f>'F-1 Off-Site WaterC'' Baseline'!AS218</f>
        <v/>
      </c>
      <c r="C220" s="301" t="str">
        <f>IF(B220="","",VLOOKUP($B220,'F-1 Off-Site WaterC'' Baseline'!$C$9:$R$257,2,FALSE))</f>
        <v/>
      </c>
      <c r="D220" s="301" t="str">
        <f>IF(C220="","",VLOOKUP($B220,'F-1 Off-Site WaterC'' Baseline'!$C$9:$R$257,3,FALSE))</f>
        <v/>
      </c>
      <c r="E220" s="301" t="str">
        <f>IF(D220="","",VLOOKUP($B220,'F-1 Off-Site WaterC'' Baseline'!$C$9:$R$257,4,FALSE))</f>
        <v/>
      </c>
      <c r="F220" s="301" t="str">
        <f>IF(E220="","",VLOOKUP($B220,'F-1 Off-Site WaterC'' Baseline'!$C$9:$R$257,5,FALSE))</f>
        <v/>
      </c>
      <c r="G220" s="301" t="str">
        <f>IF(F220="","",VLOOKUP($B220,'F-1 Off-Site WaterC'' Baseline'!$C$9:$R$257,6,FALSE))</f>
        <v/>
      </c>
      <c r="H220" s="301" t="str">
        <f>IF(G220="","",VLOOKUP($B220,'F-1 Off-Site WaterC'' Baseline'!$C$9:$R$257,7,FALSE))</f>
        <v/>
      </c>
      <c r="I220" s="301" t="str">
        <f>IF(H220="","",VLOOKUP($B220,'F-1 Off-Site WaterC'' Baseline'!$C$9:$R$257,8,FALSE))</f>
        <v/>
      </c>
      <c r="J220" s="301" t="str">
        <f>IF(I220="","",VLOOKUP($B220,'F-1 Off-Site WaterC'' Baseline'!$C$9:$R$257,9,FALSE))</f>
        <v/>
      </c>
      <c r="K220" s="301" t="str">
        <f>IF(J220="","",VLOOKUP($B220,'F-1 Off-Site WaterC'' Baseline'!$C$9:$R$257,10,FALSE))</f>
        <v/>
      </c>
      <c r="L220" s="289" t="str">
        <f>IF(B220="","",VLOOKUP($B220,'F-1 Off-Site WaterC'' Baseline'!$C$9:$R$257,15,FALSE))</f>
        <v/>
      </c>
      <c r="M220" s="305" t="str">
        <f>IF(L220="","",VLOOKUP($B220,'F-1 Off-Site WaterC'' Baseline'!$C$9:$V$257,19,FALSE))</f>
        <v/>
      </c>
      <c r="N220" s="250"/>
      <c r="O220" s="281" t="str">
        <f t="shared" si="36"/>
        <v/>
      </c>
      <c r="P220" s="282" t="str">
        <f t="shared" si="37"/>
        <v/>
      </c>
      <c r="Q220" s="287" t="str">
        <f>IF(N220="","",VLOOKUP(B220,'F-1 Off-Site WaterC'' Baseline'!$C$10:$AF$257,23,FALSE))</f>
        <v/>
      </c>
      <c r="R220" s="281" t="str">
        <f>IF(N220="","",VLOOKUP(N220,'G-7 WaterC'' Data'!$B$2:$G$8,2,FALSE))</f>
        <v/>
      </c>
      <c r="S220" s="282" t="str">
        <f>IFERROR(VLOOKUP(R220,'G-7 WaterC'' Data'!$C$4:$D$8,2,FALSE),"")</f>
        <v/>
      </c>
      <c r="T220" s="105"/>
      <c r="U220" s="282" t="str">
        <f>IFERROR(INDEX('G-7 WaterC'' Data'!$H$4:$L$8,MATCH(N220,'G-7 WaterC'' Data'!$B$4:$B$8,0),MATCH(T220,'G-7 WaterC'' Data'!$H$3:$L$3,0)),"")</f>
        <v/>
      </c>
      <c r="V220" s="109"/>
      <c r="W220" s="301" t="str">
        <f>IF(V220="","",IF(VLOOKUP(V220,'G-7 WaterC'' Data'!$AK$4:$AM$6,2,FALSE)=0,"Spatial Data Missing ⚠",VLOOKUP(V220,'G-7 WaterC'' Data'!$AK$4:$AM$6,2,FALSE)))</f>
        <v/>
      </c>
      <c r="X220" s="305" t="str">
        <f>IF(V220="","",IF(VLOOKUP(V220,'G-7 WaterC'' Data'!$AK$4:$AM$6,3,FALSE)=0,"Spatial Data Missing ⚠",VLOOKUP(V220,'G-7 WaterC'' Data'!$AK$4:$AM$6,3,FALSE)))</f>
        <v/>
      </c>
      <c r="Y220" s="317" t="str">
        <f>IFERROR(IF(OR(LEFT(P220,5)="Error",LEFT(O220,5)="Error"),"Check Data ⚠",IF(F220&lt;S220,'G-7 WaterC'' Data'!$R$3,INDEX('G-7 WaterC'' Data'!$U$5:$Y$9,MATCH(G220,'G-7 WaterC'' Data'!$T$5:$T$9,0),MATCH(T220,'G-7 WaterC'' Data'!$U$4:$Y$4,0)))),"")</f>
        <v/>
      </c>
      <c r="Z220" s="142"/>
      <c r="AA220" s="142"/>
      <c r="AB220" s="314" t="str">
        <f t="shared" si="33"/>
        <v/>
      </c>
      <c r="AC220" s="302" t="str">
        <f t="shared" si="38"/>
        <v/>
      </c>
      <c r="AD220" s="340" t="str">
        <f>IFERROR(IF(AC220="Check Data ⚠","Check Data ⚠",VLOOKUP(AC220,'G-4 Temporal multipliers'!$A$4:$C$37,3,FALSE)),"")</f>
        <v/>
      </c>
      <c r="AE220" s="317" t="str">
        <f>IF(N220="","",VLOOKUP(N220,'G-7 WaterC'' Data'!$B$4:$G$8,5,FALSE))</f>
        <v/>
      </c>
      <c r="AF220" s="301" t="str">
        <f t="shared" si="34"/>
        <v/>
      </c>
      <c r="AG220" s="301" t="str">
        <f t="shared" si="39"/>
        <v/>
      </c>
      <c r="AH220" s="282" t="str">
        <f t="shared" si="35"/>
        <v/>
      </c>
      <c r="AI220" s="109"/>
      <c r="AJ220" s="282" t="str">
        <f>IF(AI220="","",(IF(AND(AI220="N/A - Culvert",N220&lt;&gt;"Culvert"),"Not possible ▲",IF(VLOOKUP(AI220,'G-7 WaterC'' Data'!$AA$4:$AB$7,2,FALSE)=0,"Spatial Data Missing ⚠",VLOOKUP(AI220,'G-7 WaterC'' Data'!$AA$4:$AB$7,2,FALSE)))))</f>
        <v/>
      </c>
      <c r="AK220" s="110"/>
      <c r="AL220" s="316" t="str">
        <f>IF(AK220="","",IF(AND(AK220="N/A - Culvert",N220&lt;&gt;"Culvert"),"Not possible ▲",IF(VLOOKUP(AK220,'G-7 WaterC'' Data'!$AD$4:$AE$14,2,FALSE)=0,"Spatial Data Missing ⚠",VLOOKUP(AK220,'G-7 WaterC'' Data'!$AD$4:$AE$14,2,FALSE))))</f>
        <v/>
      </c>
      <c r="AM220" s="281" t="str">
        <f>IF(B220="","",VLOOKUP($B220,'F-1 Off-Site WaterC'' Baseline'!$C$9:$Z$257,17,FALSE))</f>
        <v/>
      </c>
      <c r="AN220" s="282" t="str">
        <f>IF(AM220="","",IF(VLOOKUP(AM220,'G-7 WaterC'' Data'!$AO$4:$BO$7,2,FALSE)=0,"Spatial Data Missing ⚠",VLOOKUP(AM220,'G-7 WaterC'' Data'!$AO$4:$BO$7,2,FALSE)))</f>
        <v/>
      </c>
      <c r="AO220" s="323" t="str">
        <f t="shared" si="40"/>
        <v/>
      </c>
      <c r="AP220" s="323" t="str">
        <f t="shared" si="41"/>
        <v/>
      </c>
      <c r="AQ220" s="105"/>
      <c r="AR220" s="119"/>
      <c r="AS220" s="108"/>
      <c r="AT220" s="108"/>
      <c r="AW220" s="30" t="str">
        <f>IF(E220="","",VLOOKUP($B220,'F-1 Off-Site WaterC'' Baseline'!$C$9:$Z$257,12,FALSE))</f>
        <v/>
      </c>
      <c r="AX220" s="30" t="str">
        <f>IF(E220="","",VLOOKUP($B220,'F-1 Off-Site WaterC'' Baseline'!$C$9:$Z$257,14,FALSE))</f>
        <v/>
      </c>
      <c r="AY220" s="30" t="str">
        <f>IFERROR(INDEX('G-7 WaterC'' Data'!$AZ$3:$AZ$7,MATCH(N220,'G-7 WaterC'' Data'!$AY$3:$AY$7,0)),"")</f>
        <v/>
      </c>
      <c r="AZ220" s="30" t="str">
        <f>IF(B220="","",IF(ISNA(VLOOKUP($B220,'F-1 Off-Site WaterC'' Baseline'!$C$8:$AD$257,20,FALSE)),"",(VLOOKUP($B220,'F-1 Off-Site WaterC'' Baseline'!$C$8:$AD$257,20,FALSE))))</f>
        <v/>
      </c>
      <c r="BC220" s="30" t="str">
        <f>IF(B220="","",VLOOKUP($B220,'F-1 Off-Site WaterC'' Baseline'!$C$9:$AB$257,25,FALSE))</f>
        <v/>
      </c>
      <c r="BD220" s="30" t="str">
        <f t="shared" si="42"/>
        <v/>
      </c>
      <c r="BE220" s="30" t="str">
        <f>IF(B220="","",VLOOKUP($B220,'F-1 Off-Site WaterC'' Baseline'!$C$9:$AB$257,24,FALSE))</f>
        <v/>
      </c>
      <c r="BF220" s="30" t="str">
        <f>IF(B220="","",VLOOKUP($B220,'F-1 Off-Site WaterC'' Baseline'!$C$9:$AB$257,22,FALSE))</f>
        <v/>
      </c>
      <c r="BJ220" s="30" t="str">
        <f t="shared" si="43"/>
        <v>No</v>
      </c>
    </row>
    <row r="221" spans="2:62" ht="13.8" x14ac:dyDescent="0.25">
      <c r="B221" s="311" t="str">
        <f>'F-1 Off-Site WaterC'' Baseline'!AS219</f>
        <v/>
      </c>
      <c r="C221" s="301" t="str">
        <f>IF(B221="","",VLOOKUP($B221,'F-1 Off-Site WaterC'' Baseline'!$C$9:$R$257,2,FALSE))</f>
        <v/>
      </c>
      <c r="D221" s="301" t="str">
        <f>IF(C221="","",VLOOKUP($B221,'F-1 Off-Site WaterC'' Baseline'!$C$9:$R$257,3,FALSE))</f>
        <v/>
      </c>
      <c r="E221" s="301" t="str">
        <f>IF(D221="","",VLOOKUP($B221,'F-1 Off-Site WaterC'' Baseline'!$C$9:$R$257,4,FALSE))</f>
        <v/>
      </c>
      <c r="F221" s="301" t="str">
        <f>IF(E221="","",VLOOKUP($B221,'F-1 Off-Site WaterC'' Baseline'!$C$9:$R$257,5,FALSE))</f>
        <v/>
      </c>
      <c r="G221" s="301" t="str">
        <f>IF(F221="","",VLOOKUP($B221,'F-1 Off-Site WaterC'' Baseline'!$C$9:$R$257,6,FALSE))</f>
        <v/>
      </c>
      <c r="H221" s="301" t="str">
        <f>IF(G221="","",VLOOKUP($B221,'F-1 Off-Site WaterC'' Baseline'!$C$9:$R$257,7,FALSE))</f>
        <v/>
      </c>
      <c r="I221" s="301" t="str">
        <f>IF(H221="","",VLOOKUP($B221,'F-1 Off-Site WaterC'' Baseline'!$C$9:$R$257,8,FALSE))</f>
        <v/>
      </c>
      <c r="J221" s="301" t="str">
        <f>IF(I221="","",VLOOKUP($B221,'F-1 Off-Site WaterC'' Baseline'!$C$9:$R$257,9,FALSE))</f>
        <v/>
      </c>
      <c r="K221" s="301" t="str">
        <f>IF(J221="","",VLOOKUP($B221,'F-1 Off-Site WaterC'' Baseline'!$C$9:$R$257,10,FALSE))</f>
        <v/>
      </c>
      <c r="L221" s="289" t="str">
        <f>IF(B221="","",VLOOKUP($B221,'F-1 Off-Site WaterC'' Baseline'!$C$9:$R$257,15,FALSE))</f>
        <v/>
      </c>
      <c r="M221" s="305" t="str">
        <f>IF(L221="","",VLOOKUP($B221,'F-1 Off-Site WaterC'' Baseline'!$C$9:$V$257,19,FALSE))</f>
        <v/>
      </c>
      <c r="N221" s="250"/>
      <c r="O221" s="281" t="str">
        <f t="shared" si="36"/>
        <v/>
      </c>
      <c r="P221" s="282" t="str">
        <f t="shared" si="37"/>
        <v/>
      </c>
      <c r="Q221" s="287" t="str">
        <f>IF(N221="","",VLOOKUP(B221,'F-1 Off-Site WaterC'' Baseline'!$C$10:$AF$257,23,FALSE))</f>
        <v/>
      </c>
      <c r="R221" s="281" t="str">
        <f>IF(N221="","",VLOOKUP(N221,'G-7 WaterC'' Data'!$B$2:$G$8,2,FALSE))</f>
        <v/>
      </c>
      <c r="S221" s="282" t="str">
        <f>IFERROR(VLOOKUP(R221,'G-7 WaterC'' Data'!$C$4:$D$8,2,FALSE),"")</f>
        <v/>
      </c>
      <c r="T221" s="105"/>
      <c r="U221" s="282" t="str">
        <f>IFERROR(INDEX('G-7 WaterC'' Data'!$H$4:$L$8,MATCH(N221,'G-7 WaterC'' Data'!$B$4:$B$8,0),MATCH(T221,'G-7 WaterC'' Data'!$H$3:$L$3,0)),"")</f>
        <v/>
      </c>
      <c r="V221" s="109"/>
      <c r="W221" s="301" t="str">
        <f>IF(V221="","",IF(VLOOKUP(V221,'G-7 WaterC'' Data'!$AK$4:$AM$6,2,FALSE)=0,"Spatial Data Missing ⚠",VLOOKUP(V221,'G-7 WaterC'' Data'!$AK$4:$AM$6,2,FALSE)))</f>
        <v/>
      </c>
      <c r="X221" s="305" t="str">
        <f>IF(V221="","",IF(VLOOKUP(V221,'G-7 WaterC'' Data'!$AK$4:$AM$6,3,FALSE)=0,"Spatial Data Missing ⚠",VLOOKUP(V221,'G-7 WaterC'' Data'!$AK$4:$AM$6,3,FALSE)))</f>
        <v/>
      </c>
      <c r="Y221" s="317" t="str">
        <f>IFERROR(IF(OR(LEFT(P221,5)="Error",LEFT(O221,5)="Error"),"Check Data ⚠",IF(F221&lt;S221,'G-7 WaterC'' Data'!$R$3,INDEX('G-7 WaterC'' Data'!$U$5:$Y$9,MATCH(G221,'G-7 WaterC'' Data'!$T$5:$T$9,0),MATCH(T221,'G-7 WaterC'' Data'!$U$4:$Y$4,0)))),"")</f>
        <v/>
      </c>
      <c r="Z221" s="142"/>
      <c r="AA221" s="142"/>
      <c r="AB221" s="314" t="str">
        <f t="shared" si="33"/>
        <v/>
      </c>
      <c r="AC221" s="302" t="str">
        <f t="shared" si="38"/>
        <v/>
      </c>
      <c r="AD221" s="340" t="str">
        <f>IFERROR(IF(AC221="Check Data ⚠","Check Data ⚠",VLOOKUP(AC221,'G-4 Temporal multipliers'!$A$4:$C$37,3,FALSE)),"")</f>
        <v/>
      </c>
      <c r="AE221" s="317" t="str">
        <f>IF(N221="","",VLOOKUP(N221,'G-7 WaterC'' Data'!$B$4:$G$8,5,FALSE))</f>
        <v/>
      </c>
      <c r="AF221" s="301" t="str">
        <f t="shared" si="34"/>
        <v/>
      </c>
      <c r="AG221" s="301" t="str">
        <f t="shared" si="39"/>
        <v/>
      </c>
      <c r="AH221" s="282" t="str">
        <f t="shared" si="35"/>
        <v/>
      </c>
      <c r="AI221" s="109"/>
      <c r="AJ221" s="282" t="str">
        <f>IF(AI221="","",(IF(AND(AI221="N/A - Culvert",N221&lt;&gt;"Culvert"),"Not possible ▲",IF(VLOOKUP(AI221,'G-7 WaterC'' Data'!$AA$4:$AB$7,2,FALSE)=0,"Spatial Data Missing ⚠",VLOOKUP(AI221,'G-7 WaterC'' Data'!$AA$4:$AB$7,2,FALSE)))))</f>
        <v/>
      </c>
      <c r="AK221" s="110"/>
      <c r="AL221" s="316" t="str">
        <f>IF(AK221="","",IF(AND(AK221="N/A - Culvert",N221&lt;&gt;"Culvert"),"Not possible ▲",IF(VLOOKUP(AK221,'G-7 WaterC'' Data'!$AD$4:$AE$14,2,FALSE)=0,"Spatial Data Missing ⚠",VLOOKUP(AK221,'G-7 WaterC'' Data'!$AD$4:$AE$14,2,FALSE))))</f>
        <v/>
      </c>
      <c r="AM221" s="281" t="str">
        <f>IF(B221="","",VLOOKUP($B221,'F-1 Off-Site WaterC'' Baseline'!$C$9:$Z$257,17,FALSE))</f>
        <v/>
      </c>
      <c r="AN221" s="282" t="str">
        <f>IF(AM221="","",IF(VLOOKUP(AM221,'G-7 WaterC'' Data'!$AO$4:$BO$7,2,FALSE)=0,"Spatial Data Missing ⚠",VLOOKUP(AM221,'G-7 WaterC'' Data'!$AO$4:$BO$7,2,FALSE)))</f>
        <v/>
      </c>
      <c r="AO221" s="323" t="str">
        <f t="shared" si="40"/>
        <v/>
      </c>
      <c r="AP221" s="323" t="str">
        <f t="shared" si="41"/>
        <v/>
      </c>
      <c r="AQ221" s="105"/>
      <c r="AR221" s="119"/>
      <c r="AS221" s="108"/>
      <c r="AT221" s="108"/>
      <c r="AW221" s="30" t="str">
        <f>IF(E221="","",VLOOKUP($B221,'F-1 Off-Site WaterC'' Baseline'!$C$9:$Z$257,12,FALSE))</f>
        <v/>
      </c>
      <c r="AX221" s="30" t="str">
        <f>IF(E221="","",VLOOKUP($B221,'F-1 Off-Site WaterC'' Baseline'!$C$9:$Z$257,14,FALSE))</f>
        <v/>
      </c>
      <c r="AY221" s="30" t="str">
        <f>IFERROR(INDEX('G-7 WaterC'' Data'!$AZ$3:$AZ$7,MATCH(N221,'G-7 WaterC'' Data'!$AY$3:$AY$7,0)),"")</f>
        <v/>
      </c>
      <c r="AZ221" s="30" t="str">
        <f>IF(B221="","",IF(ISNA(VLOOKUP($B221,'F-1 Off-Site WaterC'' Baseline'!$C$8:$AD$257,20,FALSE)),"",(VLOOKUP($B221,'F-1 Off-Site WaterC'' Baseline'!$C$8:$AD$257,20,FALSE))))</f>
        <v/>
      </c>
      <c r="BC221" s="30" t="str">
        <f>IF(B221="","",VLOOKUP($B221,'F-1 Off-Site WaterC'' Baseline'!$C$9:$AB$257,25,FALSE))</f>
        <v/>
      </c>
      <c r="BD221" s="30" t="str">
        <f t="shared" si="42"/>
        <v/>
      </c>
      <c r="BE221" s="30" t="str">
        <f>IF(B221="","",VLOOKUP($B221,'F-1 Off-Site WaterC'' Baseline'!$C$9:$AB$257,24,FALSE))</f>
        <v/>
      </c>
      <c r="BF221" s="30" t="str">
        <f>IF(B221="","",VLOOKUP($B221,'F-1 Off-Site WaterC'' Baseline'!$C$9:$AB$257,22,FALSE))</f>
        <v/>
      </c>
      <c r="BJ221" s="30" t="str">
        <f t="shared" si="43"/>
        <v>No</v>
      </c>
    </row>
    <row r="222" spans="2:62" ht="13.8" x14ac:dyDescent="0.25">
      <c r="B222" s="311" t="str">
        <f>'F-1 Off-Site WaterC'' Baseline'!AS220</f>
        <v/>
      </c>
      <c r="C222" s="301" t="str">
        <f>IF(B222="","",VLOOKUP($B222,'F-1 Off-Site WaterC'' Baseline'!$C$9:$R$257,2,FALSE))</f>
        <v/>
      </c>
      <c r="D222" s="301" t="str">
        <f>IF(C222="","",VLOOKUP($B222,'F-1 Off-Site WaterC'' Baseline'!$C$9:$R$257,3,FALSE))</f>
        <v/>
      </c>
      <c r="E222" s="301" t="str">
        <f>IF(D222="","",VLOOKUP($B222,'F-1 Off-Site WaterC'' Baseline'!$C$9:$R$257,4,FALSE))</f>
        <v/>
      </c>
      <c r="F222" s="301" t="str">
        <f>IF(E222="","",VLOOKUP($B222,'F-1 Off-Site WaterC'' Baseline'!$C$9:$R$257,5,FALSE))</f>
        <v/>
      </c>
      <c r="G222" s="301" t="str">
        <f>IF(F222="","",VLOOKUP($B222,'F-1 Off-Site WaterC'' Baseline'!$C$9:$R$257,6,FALSE))</f>
        <v/>
      </c>
      <c r="H222" s="301" t="str">
        <f>IF(G222="","",VLOOKUP($B222,'F-1 Off-Site WaterC'' Baseline'!$C$9:$R$257,7,FALSE))</f>
        <v/>
      </c>
      <c r="I222" s="301" t="str">
        <f>IF(H222="","",VLOOKUP($B222,'F-1 Off-Site WaterC'' Baseline'!$C$9:$R$257,8,FALSE))</f>
        <v/>
      </c>
      <c r="J222" s="301" t="str">
        <f>IF(I222="","",VLOOKUP($B222,'F-1 Off-Site WaterC'' Baseline'!$C$9:$R$257,9,FALSE))</f>
        <v/>
      </c>
      <c r="K222" s="301" t="str">
        <f>IF(J222="","",VLOOKUP($B222,'F-1 Off-Site WaterC'' Baseline'!$C$9:$R$257,10,FALSE))</f>
        <v/>
      </c>
      <c r="L222" s="289" t="str">
        <f>IF(B222="","",VLOOKUP($B222,'F-1 Off-Site WaterC'' Baseline'!$C$9:$R$257,15,FALSE))</f>
        <v/>
      </c>
      <c r="M222" s="305" t="str">
        <f>IF(L222="","",VLOOKUP($B222,'F-1 Off-Site WaterC'' Baseline'!$C$9:$V$257,19,FALSE))</f>
        <v/>
      </c>
      <c r="N222" s="250"/>
      <c r="O222" s="281" t="str">
        <f t="shared" si="36"/>
        <v/>
      </c>
      <c r="P222" s="282" t="str">
        <f t="shared" si="37"/>
        <v/>
      </c>
      <c r="Q222" s="287" t="str">
        <f>IF(N222="","",VLOOKUP(B222,'F-1 Off-Site WaterC'' Baseline'!$C$10:$AF$257,23,FALSE))</f>
        <v/>
      </c>
      <c r="R222" s="281" t="str">
        <f>IF(N222="","",VLOOKUP(N222,'G-7 WaterC'' Data'!$B$2:$G$8,2,FALSE))</f>
        <v/>
      </c>
      <c r="S222" s="282" t="str">
        <f>IFERROR(VLOOKUP(R222,'G-7 WaterC'' Data'!$C$4:$D$8,2,FALSE),"")</f>
        <v/>
      </c>
      <c r="T222" s="105"/>
      <c r="U222" s="282" t="str">
        <f>IFERROR(INDEX('G-7 WaterC'' Data'!$H$4:$L$8,MATCH(N222,'G-7 WaterC'' Data'!$B$4:$B$8,0),MATCH(T222,'G-7 WaterC'' Data'!$H$3:$L$3,0)),"")</f>
        <v/>
      </c>
      <c r="V222" s="109"/>
      <c r="W222" s="301" t="str">
        <f>IF(V222="","",IF(VLOOKUP(V222,'G-7 WaterC'' Data'!$AK$4:$AM$6,2,FALSE)=0,"Spatial Data Missing ⚠",VLOOKUP(V222,'G-7 WaterC'' Data'!$AK$4:$AM$6,2,FALSE)))</f>
        <v/>
      </c>
      <c r="X222" s="305" t="str">
        <f>IF(V222="","",IF(VLOOKUP(V222,'G-7 WaterC'' Data'!$AK$4:$AM$6,3,FALSE)=0,"Spatial Data Missing ⚠",VLOOKUP(V222,'G-7 WaterC'' Data'!$AK$4:$AM$6,3,FALSE)))</f>
        <v/>
      </c>
      <c r="Y222" s="317" t="str">
        <f>IFERROR(IF(OR(LEFT(P222,5)="Error",LEFT(O222,5)="Error"),"Check Data ⚠",IF(F222&lt;S222,'G-7 WaterC'' Data'!$R$3,INDEX('G-7 WaterC'' Data'!$U$5:$Y$9,MATCH(G222,'G-7 WaterC'' Data'!$T$5:$T$9,0),MATCH(T222,'G-7 WaterC'' Data'!$U$4:$Y$4,0)))),"")</f>
        <v/>
      </c>
      <c r="Z222" s="142"/>
      <c r="AA222" s="142"/>
      <c r="AB222" s="314" t="str">
        <f t="shared" si="33"/>
        <v/>
      </c>
      <c r="AC222" s="302" t="str">
        <f t="shared" si="38"/>
        <v/>
      </c>
      <c r="AD222" s="340" t="str">
        <f>IFERROR(IF(AC222="Check Data ⚠","Check Data ⚠",VLOOKUP(AC222,'G-4 Temporal multipliers'!$A$4:$C$37,3,FALSE)),"")</f>
        <v/>
      </c>
      <c r="AE222" s="317" t="str">
        <f>IF(N222="","",VLOOKUP(N222,'G-7 WaterC'' Data'!$B$4:$G$8,5,FALSE))</f>
        <v/>
      </c>
      <c r="AF222" s="301" t="str">
        <f t="shared" si="34"/>
        <v/>
      </c>
      <c r="AG222" s="301" t="str">
        <f t="shared" si="39"/>
        <v/>
      </c>
      <c r="AH222" s="282" t="str">
        <f t="shared" si="35"/>
        <v/>
      </c>
      <c r="AI222" s="109"/>
      <c r="AJ222" s="282" t="str">
        <f>IF(AI222="","",(IF(AND(AI222="N/A - Culvert",N222&lt;&gt;"Culvert"),"Not possible ▲",IF(VLOOKUP(AI222,'G-7 WaterC'' Data'!$AA$4:$AB$7,2,FALSE)=0,"Spatial Data Missing ⚠",VLOOKUP(AI222,'G-7 WaterC'' Data'!$AA$4:$AB$7,2,FALSE)))))</f>
        <v/>
      </c>
      <c r="AK222" s="110"/>
      <c r="AL222" s="316" t="str">
        <f>IF(AK222="","",IF(AND(AK222="N/A - Culvert",N222&lt;&gt;"Culvert"),"Not possible ▲",IF(VLOOKUP(AK222,'G-7 WaterC'' Data'!$AD$4:$AE$14,2,FALSE)=0,"Spatial Data Missing ⚠",VLOOKUP(AK222,'G-7 WaterC'' Data'!$AD$4:$AE$14,2,FALSE))))</f>
        <v/>
      </c>
      <c r="AM222" s="281" t="str">
        <f>IF(B222="","",VLOOKUP($B222,'F-1 Off-Site WaterC'' Baseline'!$C$9:$Z$257,17,FALSE))</f>
        <v/>
      </c>
      <c r="AN222" s="282" t="str">
        <f>IF(AM222="","",IF(VLOOKUP(AM222,'G-7 WaterC'' Data'!$AO$4:$BO$7,2,FALSE)=0,"Spatial Data Missing ⚠",VLOOKUP(AM222,'G-7 WaterC'' Data'!$AO$4:$BO$7,2,FALSE)))</f>
        <v/>
      </c>
      <c r="AO222" s="323" t="str">
        <f t="shared" si="40"/>
        <v/>
      </c>
      <c r="AP222" s="323" t="str">
        <f t="shared" si="41"/>
        <v/>
      </c>
      <c r="AQ222" s="105"/>
      <c r="AR222" s="119"/>
      <c r="AS222" s="108"/>
      <c r="AT222" s="108"/>
      <c r="AW222" s="30" t="str">
        <f>IF(E222="","",VLOOKUP($B222,'F-1 Off-Site WaterC'' Baseline'!$C$9:$Z$257,12,FALSE))</f>
        <v/>
      </c>
      <c r="AX222" s="30" t="str">
        <f>IF(E222="","",VLOOKUP($B222,'F-1 Off-Site WaterC'' Baseline'!$C$9:$Z$257,14,FALSE))</f>
        <v/>
      </c>
      <c r="AY222" s="30" t="str">
        <f>IFERROR(INDEX('G-7 WaterC'' Data'!$AZ$3:$AZ$7,MATCH(N222,'G-7 WaterC'' Data'!$AY$3:$AY$7,0)),"")</f>
        <v/>
      </c>
      <c r="AZ222" s="30" t="str">
        <f>IF(B222="","",IF(ISNA(VLOOKUP($B222,'F-1 Off-Site WaterC'' Baseline'!$C$8:$AD$257,20,FALSE)),"",(VLOOKUP($B222,'F-1 Off-Site WaterC'' Baseline'!$C$8:$AD$257,20,FALSE))))</f>
        <v/>
      </c>
      <c r="BC222" s="30" t="str">
        <f>IF(B222="","",VLOOKUP($B222,'F-1 Off-Site WaterC'' Baseline'!$C$9:$AB$257,25,FALSE))</f>
        <v/>
      </c>
      <c r="BD222" s="30" t="str">
        <f t="shared" si="42"/>
        <v/>
      </c>
      <c r="BE222" s="30" t="str">
        <f>IF(B222="","",VLOOKUP($B222,'F-1 Off-Site WaterC'' Baseline'!$C$9:$AB$257,24,FALSE))</f>
        <v/>
      </c>
      <c r="BF222" s="30" t="str">
        <f>IF(B222="","",VLOOKUP($B222,'F-1 Off-Site WaterC'' Baseline'!$C$9:$AB$257,22,FALSE))</f>
        <v/>
      </c>
      <c r="BJ222" s="30" t="str">
        <f t="shared" si="43"/>
        <v>No</v>
      </c>
    </row>
    <row r="223" spans="2:62" ht="13.8" x14ac:dyDescent="0.25">
      <c r="B223" s="311" t="str">
        <f>'F-1 Off-Site WaterC'' Baseline'!AS221</f>
        <v/>
      </c>
      <c r="C223" s="301" t="str">
        <f>IF(B223="","",VLOOKUP($B223,'F-1 Off-Site WaterC'' Baseline'!$C$9:$R$257,2,FALSE))</f>
        <v/>
      </c>
      <c r="D223" s="301" t="str">
        <f>IF(C223="","",VLOOKUP($B223,'F-1 Off-Site WaterC'' Baseline'!$C$9:$R$257,3,FALSE))</f>
        <v/>
      </c>
      <c r="E223" s="301" t="str">
        <f>IF(D223="","",VLOOKUP($B223,'F-1 Off-Site WaterC'' Baseline'!$C$9:$R$257,4,FALSE))</f>
        <v/>
      </c>
      <c r="F223" s="301" t="str">
        <f>IF(E223="","",VLOOKUP($B223,'F-1 Off-Site WaterC'' Baseline'!$C$9:$R$257,5,FALSE))</f>
        <v/>
      </c>
      <c r="G223" s="301" t="str">
        <f>IF(F223="","",VLOOKUP($B223,'F-1 Off-Site WaterC'' Baseline'!$C$9:$R$257,6,FALSE))</f>
        <v/>
      </c>
      <c r="H223" s="301" t="str">
        <f>IF(G223="","",VLOOKUP($B223,'F-1 Off-Site WaterC'' Baseline'!$C$9:$R$257,7,FALSE))</f>
        <v/>
      </c>
      <c r="I223" s="301" t="str">
        <f>IF(H223="","",VLOOKUP($B223,'F-1 Off-Site WaterC'' Baseline'!$C$9:$R$257,8,FALSE))</f>
        <v/>
      </c>
      <c r="J223" s="301" t="str">
        <f>IF(I223="","",VLOOKUP($B223,'F-1 Off-Site WaterC'' Baseline'!$C$9:$R$257,9,FALSE))</f>
        <v/>
      </c>
      <c r="K223" s="301" t="str">
        <f>IF(J223="","",VLOOKUP($B223,'F-1 Off-Site WaterC'' Baseline'!$C$9:$R$257,10,FALSE))</f>
        <v/>
      </c>
      <c r="L223" s="289" t="str">
        <f>IF(B223="","",VLOOKUP($B223,'F-1 Off-Site WaterC'' Baseline'!$C$9:$R$257,15,FALSE))</f>
        <v/>
      </c>
      <c r="M223" s="305" t="str">
        <f>IF(L223="","",VLOOKUP($B223,'F-1 Off-Site WaterC'' Baseline'!$C$9:$V$257,19,FALSE))</f>
        <v/>
      </c>
      <c r="N223" s="250"/>
      <c r="O223" s="281" t="str">
        <f t="shared" si="36"/>
        <v/>
      </c>
      <c r="P223" s="282" t="str">
        <f t="shared" si="37"/>
        <v/>
      </c>
      <c r="Q223" s="287" t="str">
        <f>IF(N223="","",VLOOKUP(B223,'F-1 Off-Site WaterC'' Baseline'!$C$10:$AF$257,23,FALSE))</f>
        <v/>
      </c>
      <c r="R223" s="281" t="str">
        <f>IF(N223="","",VLOOKUP(N223,'G-7 WaterC'' Data'!$B$2:$G$8,2,FALSE))</f>
        <v/>
      </c>
      <c r="S223" s="282" t="str">
        <f>IFERROR(VLOOKUP(R223,'G-7 WaterC'' Data'!$C$4:$D$8,2,FALSE),"")</f>
        <v/>
      </c>
      <c r="T223" s="105"/>
      <c r="U223" s="282" t="str">
        <f>IFERROR(INDEX('G-7 WaterC'' Data'!$H$4:$L$8,MATCH(N223,'G-7 WaterC'' Data'!$B$4:$B$8,0),MATCH(T223,'G-7 WaterC'' Data'!$H$3:$L$3,0)),"")</f>
        <v/>
      </c>
      <c r="V223" s="109"/>
      <c r="W223" s="301" t="str">
        <f>IF(V223="","",IF(VLOOKUP(V223,'G-7 WaterC'' Data'!$AK$4:$AM$6,2,FALSE)=0,"Spatial Data Missing ⚠",VLOOKUP(V223,'G-7 WaterC'' Data'!$AK$4:$AM$6,2,FALSE)))</f>
        <v/>
      </c>
      <c r="X223" s="305" t="str">
        <f>IF(V223="","",IF(VLOOKUP(V223,'G-7 WaterC'' Data'!$AK$4:$AM$6,3,FALSE)=0,"Spatial Data Missing ⚠",VLOOKUP(V223,'G-7 WaterC'' Data'!$AK$4:$AM$6,3,FALSE)))</f>
        <v/>
      </c>
      <c r="Y223" s="317" t="str">
        <f>IFERROR(IF(OR(LEFT(P223,5)="Error",LEFT(O223,5)="Error"),"Check Data ⚠",IF(F223&lt;S223,'G-7 WaterC'' Data'!$R$3,INDEX('G-7 WaterC'' Data'!$U$5:$Y$9,MATCH(G223,'G-7 WaterC'' Data'!$T$5:$T$9,0),MATCH(T223,'G-7 WaterC'' Data'!$U$4:$Y$4,0)))),"")</f>
        <v/>
      </c>
      <c r="Z223" s="142"/>
      <c r="AA223" s="142"/>
      <c r="AB223" s="314" t="str">
        <f t="shared" si="33"/>
        <v/>
      </c>
      <c r="AC223" s="302" t="str">
        <f t="shared" si="38"/>
        <v/>
      </c>
      <c r="AD223" s="340" t="str">
        <f>IFERROR(IF(AC223="Check Data ⚠","Check Data ⚠",VLOOKUP(AC223,'G-4 Temporal multipliers'!$A$4:$C$37,3,FALSE)),"")</f>
        <v/>
      </c>
      <c r="AE223" s="317" t="str">
        <f>IF(N223="","",VLOOKUP(N223,'G-7 WaterC'' Data'!$B$4:$G$8,5,FALSE))</f>
        <v/>
      </c>
      <c r="AF223" s="301" t="str">
        <f t="shared" si="34"/>
        <v/>
      </c>
      <c r="AG223" s="301" t="str">
        <f t="shared" si="39"/>
        <v/>
      </c>
      <c r="AH223" s="282" t="str">
        <f t="shared" si="35"/>
        <v/>
      </c>
      <c r="AI223" s="109"/>
      <c r="AJ223" s="282" t="str">
        <f>IF(AI223="","",(IF(AND(AI223="N/A - Culvert",N223&lt;&gt;"Culvert"),"Not possible ▲",IF(VLOOKUP(AI223,'G-7 WaterC'' Data'!$AA$4:$AB$7,2,FALSE)=0,"Spatial Data Missing ⚠",VLOOKUP(AI223,'G-7 WaterC'' Data'!$AA$4:$AB$7,2,FALSE)))))</f>
        <v/>
      </c>
      <c r="AK223" s="110"/>
      <c r="AL223" s="316" t="str">
        <f>IF(AK223="","",IF(AND(AK223="N/A - Culvert",N223&lt;&gt;"Culvert"),"Not possible ▲",IF(VLOOKUP(AK223,'G-7 WaterC'' Data'!$AD$4:$AE$14,2,FALSE)=0,"Spatial Data Missing ⚠",VLOOKUP(AK223,'G-7 WaterC'' Data'!$AD$4:$AE$14,2,FALSE))))</f>
        <v/>
      </c>
      <c r="AM223" s="281" t="str">
        <f>IF(B223="","",VLOOKUP($B223,'F-1 Off-Site WaterC'' Baseline'!$C$9:$Z$257,17,FALSE))</f>
        <v/>
      </c>
      <c r="AN223" s="282" t="str">
        <f>IF(AM223="","",IF(VLOOKUP(AM223,'G-7 WaterC'' Data'!$AO$4:$BO$7,2,FALSE)=0,"Spatial Data Missing ⚠",VLOOKUP(AM223,'G-7 WaterC'' Data'!$AO$4:$BO$7,2,FALSE)))</f>
        <v/>
      </c>
      <c r="AO223" s="323" t="str">
        <f t="shared" si="40"/>
        <v/>
      </c>
      <c r="AP223" s="323" t="str">
        <f t="shared" si="41"/>
        <v/>
      </c>
      <c r="AQ223" s="105"/>
      <c r="AR223" s="119"/>
      <c r="AS223" s="108"/>
      <c r="AT223" s="108"/>
      <c r="AW223" s="30" t="str">
        <f>IF(E223="","",VLOOKUP($B223,'F-1 Off-Site WaterC'' Baseline'!$C$9:$Z$257,12,FALSE))</f>
        <v/>
      </c>
      <c r="AX223" s="30" t="str">
        <f>IF(E223="","",VLOOKUP($B223,'F-1 Off-Site WaterC'' Baseline'!$C$9:$Z$257,14,FALSE))</f>
        <v/>
      </c>
      <c r="AY223" s="30" t="str">
        <f>IFERROR(INDEX('G-7 WaterC'' Data'!$AZ$3:$AZ$7,MATCH(N223,'G-7 WaterC'' Data'!$AY$3:$AY$7,0)),"")</f>
        <v/>
      </c>
      <c r="AZ223" s="30" t="str">
        <f>IF(B223="","",IF(ISNA(VLOOKUP($B223,'F-1 Off-Site WaterC'' Baseline'!$C$8:$AD$257,20,FALSE)),"",(VLOOKUP($B223,'F-1 Off-Site WaterC'' Baseline'!$C$8:$AD$257,20,FALSE))))</f>
        <v/>
      </c>
      <c r="BC223" s="30" t="str">
        <f>IF(B223="","",VLOOKUP($B223,'F-1 Off-Site WaterC'' Baseline'!$C$9:$AB$257,25,FALSE))</f>
        <v/>
      </c>
      <c r="BD223" s="30" t="str">
        <f t="shared" si="42"/>
        <v/>
      </c>
      <c r="BE223" s="30" t="str">
        <f>IF(B223="","",VLOOKUP($B223,'F-1 Off-Site WaterC'' Baseline'!$C$9:$AB$257,24,FALSE))</f>
        <v/>
      </c>
      <c r="BF223" s="30" t="str">
        <f>IF(B223="","",VLOOKUP($B223,'F-1 Off-Site WaterC'' Baseline'!$C$9:$AB$257,22,FALSE))</f>
        <v/>
      </c>
      <c r="BJ223" s="30" t="str">
        <f t="shared" si="43"/>
        <v>No</v>
      </c>
    </row>
    <row r="224" spans="2:62" ht="13.8" x14ac:dyDescent="0.25">
      <c r="B224" s="311" t="str">
        <f>'F-1 Off-Site WaterC'' Baseline'!AS222</f>
        <v/>
      </c>
      <c r="C224" s="301" t="str">
        <f>IF(B224="","",VLOOKUP($B224,'F-1 Off-Site WaterC'' Baseline'!$C$9:$R$257,2,FALSE))</f>
        <v/>
      </c>
      <c r="D224" s="301" t="str">
        <f>IF(C224="","",VLOOKUP($B224,'F-1 Off-Site WaterC'' Baseline'!$C$9:$R$257,3,FALSE))</f>
        <v/>
      </c>
      <c r="E224" s="301" t="str">
        <f>IF(D224="","",VLOOKUP($B224,'F-1 Off-Site WaterC'' Baseline'!$C$9:$R$257,4,FALSE))</f>
        <v/>
      </c>
      <c r="F224" s="301" t="str">
        <f>IF(E224="","",VLOOKUP($B224,'F-1 Off-Site WaterC'' Baseline'!$C$9:$R$257,5,FALSE))</f>
        <v/>
      </c>
      <c r="G224" s="301" t="str">
        <f>IF(F224="","",VLOOKUP($B224,'F-1 Off-Site WaterC'' Baseline'!$C$9:$R$257,6,FALSE))</f>
        <v/>
      </c>
      <c r="H224" s="301" t="str">
        <f>IF(G224="","",VLOOKUP($B224,'F-1 Off-Site WaterC'' Baseline'!$C$9:$R$257,7,FALSE))</f>
        <v/>
      </c>
      <c r="I224" s="301" t="str">
        <f>IF(H224="","",VLOOKUP($B224,'F-1 Off-Site WaterC'' Baseline'!$C$9:$R$257,8,FALSE))</f>
        <v/>
      </c>
      <c r="J224" s="301" t="str">
        <f>IF(I224="","",VLOOKUP($B224,'F-1 Off-Site WaterC'' Baseline'!$C$9:$R$257,9,FALSE))</f>
        <v/>
      </c>
      <c r="K224" s="301" t="str">
        <f>IF(J224="","",VLOOKUP($B224,'F-1 Off-Site WaterC'' Baseline'!$C$9:$R$257,10,FALSE))</f>
        <v/>
      </c>
      <c r="L224" s="289" t="str">
        <f>IF(B224="","",VLOOKUP($B224,'F-1 Off-Site WaterC'' Baseline'!$C$9:$R$257,15,FALSE))</f>
        <v/>
      </c>
      <c r="M224" s="305" t="str">
        <f>IF(L224="","",VLOOKUP($B224,'F-1 Off-Site WaterC'' Baseline'!$C$9:$V$257,19,FALSE))</f>
        <v/>
      </c>
      <c r="N224" s="250"/>
      <c r="O224" s="281" t="str">
        <f t="shared" si="36"/>
        <v/>
      </c>
      <c r="P224" s="282" t="str">
        <f t="shared" si="37"/>
        <v/>
      </c>
      <c r="Q224" s="287" t="str">
        <f>IF(N224="","",VLOOKUP(B224,'F-1 Off-Site WaterC'' Baseline'!$C$10:$AF$257,23,FALSE))</f>
        <v/>
      </c>
      <c r="R224" s="281" t="str">
        <f>IF(N224="","",VLOOKUP(N224,'G-7 WaterC'' Data'!$B$2:$G$8,2,FALSE))</f>
        <v/>
      </c>
      <c r="S224" s="282" t="str">
        <f>IFERROR(VLOOKUP(R224,'G-7 WaterC'' Data'!$C$4:$D$8,2,FALSE),"")</f>
        <v/>
      </c>
      <c r="T224" s="105"/>
      <c r="U224" s="282" t="str">
        <f>IFERROR(INDEX('G-7 WaterC'' Data'!$H$4:$L$8,MATCH(N224,'G-7 WaterC'' Data'!$B$4:$B$8,0),MATCH(T224,'G-7 WaterC'' Data'!$H$3:$L$3,0)),"")</f>
        <v/>
      </c>
      <c r="V224" s="109"/>
      <c r="W224" s="301" t="str">
        <f>IF(V224="","",IF(VLOOKUP(V224,'G-7 WaterC'' Data'!$AK$4:$AM$6,2,FALSE)=0,"Spatial Data Missing ⚠",VLOOKUP(V224,'G-7 WaterC'' Data'!$AK$4:$AM$6,2,FALSE)))</f>
        <v/>
      </c>
      <c r="X224" s="305" t="str">
        <f>IF(V224="","",IF(VLOOKUP(V224,'G-7 WaterC'' Data'!$AK$4:$AM$6,3,FALSE)=0,"Spatial Data Missing ⚠",VLOOKUP(V224,'G-7 WaterC'' Data'!$AK$4:$AM$6,3,FALSE)))</f>
        <v/>
      </c>
      <c r="Y224" s="317" t="str">
        <f>IFERROR(IF(OR(LEFT(P224,5)="Error",LEFT(O224,5)="Error"),"Check Data ⚠",IF(F224&lt;S224,'G-7 WaterC'' Data'!$R$3,INDEX('G-7 WaterC'' Data'!$U$5:$Y$9,MATCH(G224,'G-7 WaterC'' Data'!$T$5:$T$9,0),MATCH(T224,'G-7 WaterC'' Data'!$U$4:$Y$4,0)))),"")</f>
        <v/>
      </c>
      <c r="Z224" s="142"/>
      <c r="AA224" s="142"/>
      <c r="AB224" s="314" t="str">
        <f t="shared" si="33"/>
        <v/>
      </c>
      <c r="AC224" s="302" t="str">
        <f t="shared" si="38"/>
        <v/>
      </c>
      <c r="AD224" s="340" t="str">
        <f>IFERROR(IF(AC224="Check Data ⚠","Check Data ⚠",VLOOKUP(AC224,'G-4 Temporal multipliers'!$A$4:$C$37,3,FALSE)),"")</f>
        <v/>
      </c>
      <c r="AE224" s="317" t="str">
        <f>IF(N224="","",VLOOKUP(N224,'G-7 WaterC'' Data'!$B$4:$G$8,5,FALSE))</f>
        <v/>
      </c>
      <c r="AF224" s="301" t="str">
        <f t="shared" si="34"/>
        <v/>
      </c>
      <c r="AG224" s="301" t="str">
        <f t="shared" si="39"/>
        <v/>
      </c>
      <c r="AH224" s="282" t="str">
        <f t="shared" si="35"/>
        <v/>
      </c>
      <c r="AI224" s="109"/>
      <c r="AJ224" s="282" t="str">
        <f>IF(AI224="","",(IF(AND(AI224="N/A - Culvert",N224&lt;&gt;"Culvert"),"Not possible ▲",IF(VLOOKUP(AI224,'G-7 WaterC'' Data'!$AA$4:$AB$7,2,FALSE)=0,"Spatial Data Missing ⚠",VLOOKUP(AI224,'G-7 WaterC'' Data'!$AA$4:$AB$7,2,FALSE)))))</f>
        <v/>
      </c>
      <c r="AK224" s="110"/>
      <c r="AL224" s="316" t="str">
        <f>IF(AK224="","",IF(AND(AK224="N/A - Culvert",N224&lt;&gt;"Culvert"),"Not possible ▲",IF(VLOOKUP(AK224,'G-7 WaterC'' Data'!$AD$4:$AE$14,2,FALSE)=0,"Spatial Data Missing ⚠",VLOOKUP(AK224,'G-7 WaterC'' Data'!$AD$4:$AE$14,2,FALSE))))</f>
        <v/>
      </c>
      <c r="AM224" s="281" t="str">
        <f>IF(B224="","",VLOOKUP($B224,'F-1 Off-Site WaterC'' Baseline'!$C$9:$Z$257,17,FALSE))</f>
        <v/>
      </c>
      <c r="AN224" s="282" t="str">
        <f>IF(AM224="","",IF(VLOOKUP(AM224,'G-7 WaterC'' Data'!$AO$4:$BO$7,2,FALSE)=0,"Spatial Data Missing ⚠",VLOOKUP(AM224,'G-7 WaterC'' Data'!$AO$4:$BO$7,2,FALSE)))</f>
        <v/>
      </c>
      <c r="AO224" s="323" t="str">
        <f t="shared" si="40"/>
        <v/>
      </c>
      <c r="AP224" s="323" t="str">
        <f t="shared" si="41"/>
        <v/>
      </c>
      <c r="AQ224" s="105"/>
      <c r="AR224" s="119"/>
      <c r="AS224" s="108"/>
      <c r="AT224" s="108"/>
      <c r="AW224" s="30" t="str">
        <f>IF(E224="","",VLOOKUP($B224,'F-1 Off-Site WaterC'' Baseline'!$C$9:$Z$257,12,FALSE))</f>
        <v/>
      </c>
      <c r="AX224" s="30" t="str">
        <f>IF(E224="","",VLOOKUP($B224,'F-1 Off-Site WaterC'' Baseline'!$C$9:$Z$257,14,FALSE))</f>
        <v/>
      </c>
      <c r="AY224" s="30" t="str">
        <f>IFERROR(INDEX('G-7 WaterC'' Data'!$AZ$3:$AZ$7,MATCH(N224,'G-7 WaterC'' Data'!$AY$3:$AY$7,0)),"")</f>
        <v/>
      </c>
      <c r="AZ224" s="30" t="str">
        <f>IF(B224="","",IF(ISNA(VLOOKUP($B224,'F-1 Off-Site WaterC'' Baseline'!$C$8:$AD$257,20,FALSE)),"",(VLOOKUP($B224,'F-1 Off-Site WaterC'' Baseline'!$C$8:$AD$257,20,FALSE))))</f>
        <v/>
      </c>
      <c r="BC224" s="30" t="str">
        <f>IF(B224="","",VLOOKUP($B224,'F-1 Off-Site WaterC'' Baseline'!$C$9:$AB$257,25,FALSE))</f>
        <v/>
      </c>
      <c r="BD224" s="30" t="str">
        <f t="shared" si="42"/>
        <v/>
      </c>
      <c r="BE224" s="30" t="str">
        <f>IF(B224="","",VLOOKUP($B224,'F-1 Off-Site WaterC'' Baseline'!$C$9:$AB$257,24,FALSE))</f>
        <v/>
      </c>
      <c r="BF224" s="30" t="str">
        <f>IF(B224="","",VLOOKUP($B224,'F-1 Off-Site WaterC'' Baseline'!$C$9:$AB$257,22,FALSE))</f>
        <v/>
      </c>
      <c r="BJ224" s="30" t="str">
        <f t="shared" si="43"/>
        <v>No</v>
      </c>
    </row>
    <row r="225" spans="2:62" ht="13.8" x14ac:dyDescent="0.25">
      <c r="B225" s="311" t="str">
        <f>'F-1 Off-Site WaterC'' Baseline'!AS223</f>
        <v/>
      </c>
      <c r="C225" s="301" t="str">
        <f>IF(B225="","",VLOOKUP($B225,'F-1 Off-Site WaterC'' Baseline'!$C$9:$R$257,2,FALSE))</f>
        <v/>
      </c>
      <c r="D225" s="301" t="str">
        <f>IF(C225="","",VLOOKUP($B225,'F-1 Off-Site WaterC'' Baseline'!$C$9:$R$257,3,FALSE))</f>
        <v/>
      </c>
      <c r="E225" s="301" t="str">
        <f>IF(D225="","",VLOOKUP($B225,'F-1 Off-Site WaterC'' Baseline'!$C$9:$R$257,4,FALSE))</f>
        <v/>
      </c>
      <c r="F225" s="301" t="str">
        <f>IF(E225="","",VLOOKUP($B225,'F-1 Off-Site WaterC'' Baseline'!$C$9:$R$257,5,FALSE))</f>
        <v/>
      </c>
      <c r="G225" s="301" t="str">
        <f>IF(F225="","",VLOOKUP($B225,'F-1 Off-Site WaterC'' Baseline'!$C$9:$R$257,6,FALSE))</f>
        <v/>
      </c>
      <c r="H225" s="301" t="str">
        <f>IF(G225="","",VLOOKUP($B225,'F-1 Off-Site WaterC'' Baseline'!$C$9:$R$257,7,FALSE))</f>
        <v/>
      </c>
      <c r="I225" s="301" t="str">
        <f>IF(H225="","",VLOOKUP($B225,'F-1 Off-Site WaterC'' Baseline'!$C$9:$R$257,8,FALSE))</f>
        <v/>
      </c>
      <c r="J225" s="301" t="str">
        <f>IF(I225="","",VLOOKUP($B225,'F-1 Off-Site WaterC'' Baseline'!$C$9:$R$257,9,FALSE))</f>
        <v/>
      </c>
      <c r="K225" s="301" t="str">
        <f>IF(J225="","",VLOOKUP($B225,'F-1 Off-Site WaterC'' Baseline'!$C$9:$R$257,10,FALSE))</f>
        <v/>
      </c>
      <c r="L225" s="289" t="str">
        <f>IF(B225="","",VLOOKUP($B225,'F-1 Off-Site WaterC'' Baseline'!$C$9:$R$257,15,FALSE))</f>
        <v/>
      </c>
      <c r="M225" s="305" t="str">
        <f>IF(L225="","",VLOOKUP($B225,'F-1 Off-Site WaterC'' Baseline'!$C$9:$V$257,19,FALSE))</f>
        <v/>
      </c>
      <c r="N225" s="250"/>
      <c r="O225" s="281" t="str">
        <f t="shared" si="36"/>
        <v/>
      </c>
      <c r="P225" s="282" t="str">
        <f t="shared" si="37"/>
        <v/>
      </c>
      <c r="Q225" s="287" t="str">
        <f>IF(N225="","",VLOOKUP(B225,'F-1 Off-Site WaterC'' Baseline'!$C$10:$AF$257,23,FALSE))</f>
        <v/>
      </c>
      <c r="R225" s="281" t="str">
        <f>IF(N225="","",VLOOKUP(N225,'G-7 WaterC'' Data'!$B$2:$G$8,2,FALSE))</f>
        <v/>
      </c>
      <c r="S225" s="282" t="str">
        <f>IFERROR(VLOOKUP(R225,'G-7 WaterC'' Data'!$C$4:$D$8,2,FALSE),"")</f>
        <v/>
      </c>
      <c r="T225" s="105"/>
      <c r="U225" s="282" t="str">
        <f>IFERROR(INDEX('G-7 WaterC'' Data'!$H$4:$L$8,MATCH(N225,'G-7 WaterC'' Data'!$B$4:$B$8,0),MATCH(T225,'G-7 WaterC'' Data'!$H$3:$L$3,0)),"")</f>
        <v/>
      </c>
      <c r="V225" s="109"/>
      <c r="W225" s="301" t="str">
        <f>IF(V225="","",IF(VLOOKUP(V225,'G-7 WaterC'' Data'!$AK$4:$AM$6,2,FALSE)=0,"Spatial Data Missing ⚠",VLOOKUP(V225,'G-7 WaterC'' Data'!$AK$4:$AM$6,2,FALSE)))</f>
        <v/>
      </c>
      <c r="X225" s="305" t="str">
        <f>IF(V225="","",IF(VLOOKUP(V225,'G-7 WaterC'' Data'!$AK$4:$AM$6,3,FALSE)=0,"Spatial Data Missing ⚠",VLOOKUP(V225,'G-7 WaterC'' Data'!$AK$4:$AM$6,3,FALSE)))</f>
        <v/>
      </c>
      <c r="Y225" s="317" t="str">
        <f>IFERROR(IF(OR(LEFT(P225,5)="Error",LEFT(O225,5)="Error"),"Check Data ⚠",IF(F225&lt;S225,'G-7 WaterC'' Data'!$R$3,INDEX('G-7 WaterC'' Data'!$U$5:$Y$9,MATCH(G225,'G-7 WaterC'' Data'!$T$5:$T$9,0),MATCH(T225,'G-7 WaterC'' Data'!$U$4:$Y$4,0)))),"")</f>
        <v/>
      </c>
      <c r="Z225" s="142"/>
      <c r="AA225" s="142"/>
      <c r="AB225" s="314" t="str">
        <f t="shared" si="33"/>
        <v/>
      </c>
      <c r="AC225" s="302" t="str">
        <f t="shared" si="38"/>
        <v/>
      </c>
      <c r="AD225" s="340" t="str">
        <f>IFERROR(IF(AC225="Check Data ⚠","Check Data ⚠",VLOOKUP(AC225,'G-4 Temporal multipliers'!$A$4:$C$37,3,FALSE)),"")</f>
        <v/>
      </c>
      <c r="AE225" s="317" t="str">
        <f>IF(N225="","",VLOOKUP(N225,'G-7 WaterC'' Data'!$B$4:$G$8,5,FALSE))</f>
        <v/>
      </c>
      <c r="AF225" s="301" t="str">
        <f t="shared" si="34"/>
        <v/>
      </c>
      <c r="AG225" s="301" t="str">
        <f t="shared" si="39"/>
        <v/>
      </c>
      <c r="AH225" s="282" t="str">
        <f t="shared" si="35"/>
        <v/>
      </c>
      <c r="AI225" s="109"/>
      <c r="AJ225" s="282" t="str">
        <f>IF(AI225="","",(IF(AND(AI225="N/A - Culvert",N225&lt;&gt;"Culvert"),"Not possible ▲",IF(VLOOKUP(AI225,'G-7 WaterC'' Data'!$AA$4:$AB$7,2,FALSE)=0,"Spatial Data Missing ⚠",VLOOKUP(AI225,'G-7 WaterC'' Data'!$AA$4:$AB$7,2,FALSE)))))</f>
        <v/>
      </c>
      <c r="AK225" s="110"/>
      <c r="AL225" s="316" t="str">
        <f>IF(AK225="","",IF(AND(AK225="N/A - Culvert",N225&lt;&gt;"Culvert"),"Not possible ▲",IF(VLOOKUP(AK225,'G-7 WaterC'' Data'!$AD$4:$AE$14,2,FALSE)=0,"Spatial Data Missing ⚠",VLOOKUP(AK225,'G-7 WaterC'' Data'!$AD$4:$AE$14,2,FALSE))))</f>
        <v/>
      </c>
      <c r="AM225" s="281" t="str">
        <f>IF(B225="","",VLOOKUP($B225,'F-1 Off-Site WaterC'' Baseline'!$C$9:$Z$257,17,FALSE))</f>
        <v/>
      </c>
      <c r="AN225" s="282" t="str">
        <f>IF(AM225="","",IF(VLOOKUP(AM225,'G-7 WaterC'' Data'!$AO$4:$BO$7,2,FALSE)=0,"Spatial Data Missing ⚠",VLOOKUP(AM225,'G-7 WaterC'' Data'!$AO$4:$BO$7,2,FALSE)))</f>
        <v/>
      </c>
      <c r="AO225" s="323" t="str">
        <f t="shared" si="40"/>
        <v/>
      </c>
      <c r="AP225" s="323" t="str">
        <f t="shared" si="41"/>
        <v/>
      </c>
      <c r="AQ225" s="105"/>
      <c r="AR225" s="119"/>
      <c r="AS225" s="108"/>
      <c r="AT225" s="108"/>
      <c r="AW225" s="30" t="str">
        <f>IF(E225="","",VLOOKUP($B225,'F-1 Off-Site WaterC'' Baseline'!$C$9:$Z$257,12,FALSE))</f>
        <v/>
      </c>
      <c r="AX225" s="30" t="str">
        <f>IF(E225="","",VLOOKUP($B225,'F-1 Off-Site WaterC'' Baseline'!$C$9:$Z$257,14,FALSE))</f>
        <v/>
      </c>
      <c r="AY225" s="30" t="str">
        <f>IFERROR(INDEX('G-7 WaterC'' Data'!$AZ$3:$AZ$7,MATCH(N225,'G-7 WaterC'' Data'!$AY$3:$AY$7,0)),"")</f>
        <v/>
      </c>
      <c r="AZ225" s="30" t="str">
        <f>IF(B225="","",IF(ISNA(VLOOKUP($B225,'F-1 Off-Site WaterC'' Baseline'!$C$8:$AD$257,20,FALSE)),"",(VLOOKUP($B225,'F-1 Off-Site WaterC'' Baseline'!$C$8:$AD$257,20,FALSE))))</f>
        <v/>
      </c>
      <c r="BC225" s="30" t="str">
        <f>IF(B225="","",VLOOKUP($B225,'F-1 Off-Site WaterC'' Baseline'!$C$9:$AB$257,25,FALSE))</f>
        <v/>
      </c>
      <c r="BD225" s="30" t="str">
        <f t="shared" si="42"/>
        <v/>
      </c>
      <c r="BE225" s="30" t="str">
        <f>IF(B225="","",VLOOKUP($B225,'F-1 Off-Site WaterC'' Baseline'!$C$9:$AB$257,24,FALSE))</f>
        <v/>
      </c>
      <c r="BF225" s="30" t="str">
        <f>IF(B225="","",VLOOKUP($B225,'F-1 Off-Site WaterC'' Baseline'!$C$9:$AB$257,22,FALSE))</f>
        <v/>
      </c>
      <c r="BJ225" s="30" t="str">
        <f t="shared" si="43"/>
        <v>No</v>
      </c>
    </row>
    <row r="226" spans="2:62" ht="13.8" x14ac:dyDescent="0.25">
      <c r="B226" s="311" t="str">
        <f>'F-1 Off-Site WaterC'' Baseline'!AS224</f>
        <v/>
      </c>
      <c r="C226" s="301" t="str">
        <f>IF(B226="","",VLOOKUP($B226,'F-1 Off-Site WaterC'' Baseline'!$C$9:$R$257,2,FALSE))</f>
        <v/>
      </c>
      <c r="D226" s="301" t="str">
        <f>IF(C226="","",VLOOKUP($B226,'F-1 Off-Site WaterC'' Baseline'!$C$9:$R$257,3,FALSE))</f>
        <v/>
      </c>
      <c r="E226" s="301" t="str">
        <f>IF(D226="","",VLOOKUP($B226,'F-1 Off-Site WaterC'' Baseline'!$C$9:$R$257,4,FALSE))</f>
        <v/>
      </c>
      <c r="F226" s="301" t="str">
        <f>IF(E226="","",VLOOKUP($B226,'F-1 Off-Site WaterC'' Baseline'!$C$9:$R$257,5,FALSE))</f>
        <v/>
      </c>
      <c r="G226" s="301" t="str">
        <f>IF(F226="","",VLOOKUP($B226,'F-1 Off-Site WaterC'' Baseline'!$C$9:$R$257,6,FALSE))</f>
        <v/>
      </c>
      <c r="H226" s="301" t="str">
        <f>IF(G226="","",VLOOKUP($B226,'F-1 Off-Site WaterC'' Baseline'!$C$9:$R$257,7,FALSE))</f>
        <v/>
      </c>
      <c r="I226" s="301" t="str">
        <f>IF(H226="","",VLOOKUP($B226,'F-1 Off-Site WaterC'' Baseline'!$C$9:$R$257,8,FALSE))</f>
        <v/>
      </c>
      <c r="J226" s="301" t="str">
        <f>IF(I226="","",VLOOKUP($B226,'F-1 Off-Site WaterC'' Baseline'!$C$9:$R$257,9,FALSE))</f>
        <v/>
      </c>
      <c r="K226" s="301" t="str">
        <f>IF(J226="","",VLOOKUP($B226,'F-1 Off-Site WaterC'' Baseline'!$C$9:$R$257,10,FALSE))</f>
        <v/>
      </c>
      <c r="L226" s="289" t="str">
        <f>IF(B226="","",VLOOKUP($B226,'F-1 Off-Site WaterC'' Baseline'!$C$9:$R$257,15,FALSE))</f>
        <v/>
      </c>
      <c r="M226" s="305" t="str">
        <f>IF(L226="","",VLOOKUP($B226,'F-1 Off-Site WaterC'' Baseline'!$C$9:$V$257,19,FALSE))</f>
        <v/>
      </c>
      <c r="N226" s="250"/>
      <c r="O226" s="281" t="str">
        <f t="shared" si="36"/>
        <v/>
      </c>
      <c r="P226" s="282" t="str">
        <f t="shared" si="37"/>
        <v/>
      </c>
      <c r="Q226" s="287" t="str">
        <f>IF(N226="","",VLOOKUP(B226,'F-1 Off-Site WaterC'' Baseline'!$C$10:$AF$257,23,FALSE))</f>
        <v/>
      </c>
      <c r="R226" s="281" t="str">
        <f>IF(N226="","",VLOOKUP(N226,'G-7 WaterC'' Data'!$B$2:$G$8,2,FALSE))</f>
        <v/>
      </c>
      <c r="S226" s="282" t="str">
        <f>IFERROR(VLOOKUP(R226,'G-7 WaterC'' Data'!$C$4:$D$8,2,FALSE),"")</f>
        <v/>
      </c>
      <c r="T226" s="105"/>
      <c r="U226" s="282" t="str">
        <f>IFERROR(INDEX('G-7 WaterC'' Data'!$H$4:$L$8,MATCH(N226,'G-7 WaterC'' Data'!$B$4:$B$8,0),MATCH(T226,'G-7 WaterC'' Data'!$H$3:$L$3,0)),"")</f>
        <v/>
      </c>
      <c r="V226" s="109"/>
      <c r="W226" s="301" t="str">
        <f>IF(V226="","",IF(VLOOKUP(V226,'G-7 WaterC'' Data'!$AK$4:$AM$6,2,FALSE)=0,"Spatial Data Missing ⚠",VLOOKUP(V226,'G-7 WaterC'' Data'!$AK$4:$AM$6,2,FALSE)))</f>
        <v/>
      </c>
      <c r="X226" s="305" t="str">
        <f>IF(V226="","",IF(VLOOKUP(V226,'G-7 WaterC'' Data'!$AK$4:$AM$6,3,FALSE)=0,"Spatial Data Missing ⚠",VLOOKUP(V226,'G-7 WaterC'' Data'!$AK$4:$AM$6,3,FALSE)))</f>
        <v/>
      </c>
      <c r="Y226" s="317" t="str">
        <f>IFERROR(IF(OR(LEFT(P226,5)="Error",LEFT(O226,5)="Error"),"Check Data ⚠",IF(F226&lt;S226,'G-7 WaterC'' Data'!$R$3,INDEX('G-7 WaterC'' Data'!$U$5:$Y$9,MATCH(G226,'G-7 WaterC'' Data'!$T$5:$T$9,0),MATCH(T226,'G-7 WaterC'' Data'!$U$4:$Y$4,0)))),"")</f>
        <v/>
      </c>
      <c r="Z226" s="142"/>
      <c r="AA226" s="142"/>
      <c r="AB226" s="314" t="str">
        <f t="shared" si="33"/>
        <v/>
      </c>
      <c r="AC226" s="302" t="str">
        <f t="shared" si="38"/>
        <v/>
      </c>
      <c r="AD226" s="340" t="str">
        <f>IFERROR(IF(AC226="Check Data ⚠","Check Data ⚠",VLOOKUP(AC226,'G-4 Temporal multipliers'!$A$4:$C$37,3,FALSE)),"")</f>
        <v/>
      </c>
      <c r="AE226" s="317" t="str">
        <f>IF(N226="","",VLOOKUP(N226,'G-7 WaterC'' Data'!$B$4:$G$8,5,FALSE))</f>
        <v/>
      </c>
      <c r="AF226" s="301" t="str">
        <f t="shared" si="34"/>
        <v/>
      </c>
      <c r="AG226" s="301" t="str">
        <f t="shared" si="39"/>
        <v/>
      </c>
      <c r="AH226" s="282" t="str">
        <f t="shared" si="35"/>
        <v/>
      </c>
      <c r="AI226" s="109"/>
      <c r="AJ226" s="282" t="str">
        <f>IF(AI226="","",(IF(AND(AI226="N/A - Culvert",N226&lt;&gt;"Culvert"),"Not possible ▲",IF(VLOOKUP(AI226,'G-7 WaterC'' Data'!$AA$4:$AB$7,2,FALSE)=0,"Spatial Data Missing ⚠",VLOOKUP(AI226,'G-7 WaterC'' Data'!$AA$4:$AB$7,2,FALSE)))))</f>
        <v/>
      </c>
      <c r="AK226" s="110"/>
      <c r="AL226" s="316" t="str">
        <f>IF(AK226="","",IF(AND(AK226="N/A - Culvert",N226&lt;&gt;"Culvert"),"Not possible ▲",IF(VLOOKUP(AK226,'G-7 WaterC'' Data'!$AD$4:$AE$14,2,FALSE)=0,"Spatial Data Missing ⚠",VLOOKUP(AK226,'G-7 WaterC'' Data'!$AD$4:$AE$14,2,FALSE))))</f>
        <v/>
      </c>
      <c r="AM226" s="281" t="str">
        <f>IF(B226="","",VLOOKUP($B226,'F-1 Off-Site WaterC'' Baseline'!$C$9:$Z$257,17,FALSE))</f>
        <v/>
      </c>
      <c r="AN226" s="282" t="str">
        <f>IF(AM226="","",IF(VLOOKUP(AM226,'G-7 WaterC'' Data'!$AO$4:$BO$7,2,FALSE)=0,"Spatial Data Missing ⚠",VLOOKUP(AM226,'G-7 WaterC'' Data'!$AO$4:$BO$7,2,FALSE)))</f>
        <v/>
      </c>
      <c r="AO226" s="323" t="str">
        <f t="shared" si="40"/>
        <v/>
      </c>
      <c r="AP226" s="323" t="str">
        <f t="shared" si="41"/>
        <v/>
      </c>
      <c r="AQ226" s="105"/>
      <c r="AR226" s="119"/>
      <c r="AS226" s="108"/>
      <c r="AT226" s="108"/>
      <c r="AW226" s="30" t="str">
        <f>IF(E226="","",VLOOKUP($B226,'F-1 Off-Site WaterC'' Baseline'!$C$9:$Z$257,12,FALSE))</f>
        <v/>
      </c>
      <c r="AX226" s="30" t="str">
        <f>IF(E226="","",VLOOKUP($B226,'F-1 Off-Site WaterC'' Baseline'!$C$9:$Z$257,14,FALSE))</f>
        <v/>
      </c>
      <c r="AY226" s="30" t="str">
        <f>IFERROR(INDEX('G-7 WaterC'' Data'!$AZ$3:$AZ$7,MATCH(N226,'G-7 WaterC'' Data'!$AY$3:$AY$7,0)),"")</f>
        <v/>
      </c>
      <c r="AZ226" s="30" t="str">
        <f>IF(B226="","",IF(ISNA(VLOOKUP($B226,'F-1 Off-Site WaterC'' Baseline'!$C$8:$AD$257,20,FALSE)),"",(VLOOKUP($B226,'F-1 Off-Site WaterC'' Baseline'!$C$8:$AD$257,20,FALSE))))</f>
        <v/>
      </c>
      <c r="BC226" s="30" t="str">
        <f>IF(B226="","",VLOOKUP($B226,'F-1 Off-Site WaterC'' Baseline'!$C$9:$AB$257,25,FALSE))</f>
        <v/>
      </c>
      <c r="BD226" s="30" t="str">
        <f t="shared" si="42"/>
        <v/>
      </c>
      <c r="BE226" s="30" t="str">
        <f>IF(B226="","",VLOOKUP($B226,'F-1 Off-Site WaterC'' Baseline'!$C$9:$AB$257,24,FALSE))</f>
        <v/>
      </c>
      <c r="BF226" s="30" t="str">
        <f>IF(B226="","",VLOOKUP($B226,'F-1 Off-Site WaterC'' Baseline'!$C$9:$AB$257,22,FALSE))</f>
        <v/>
      </c>
      <c r="BJ226" s="30" t="str">
        <f t="shared" si="43"/>
        <v>No</v>
      </c>
    </row>
    <row r="227" spans="2:62" ht="13.8" x14ac:dyDescent="0.25">
      <c r="B227" s="311" t="str">
        <f>'F-1 Off-Site WaterC'' Baseline'!AS225</f>
        <v/>
      </c>
      <c r="C227" s="301" t="str">
        <f>IF(B227="","",VLOOKUP($B227,'F-1 Off-Site WaterC'' Baseline'!$C$9:$R$257,2,FALSE))</f>
        <v/>
      </c>
      <c r="D227" s="301" t="str">
        <f>IF(C227="","",VLOOKUP($B227,'F-1 Off-Site WaterC'' Baseline'!$C$9:$R$257,3,FALSE))</f>
        <v/>
      </c>
      <c r="E227" s="301" t="str">
        <f>IF(D227="","",VLOOKUP($B227,'F-1 Off-Site WaterC'' Baseline'!$C$9:$R$257,4,FALSE))</f>
        <v/>
      </c>
      <c r="F227" s="301" t="str">
        <f>IF(E227="","",VLOOKUP($B227,'F-1 Off-Site WaterC'' Baseline'!$C$9:$R$257,5,FALSE))</f>
        <v/>
      </c>
      <c r="G227" s="301" t="str">
        <f>IF(F227="","",VLOOKUP($B227,'F-1 Off-Site WaterC'' Baseline'!$C$9:$R$257,6,FALSE))</f>
        <v/>
      </c>
      <c r="H227" s="301" t="str">
        <f>IF(G227="","",VLOOKUP($B227,'F-1 Off-Site WaterC'' Baseline'!$C$9:$R$257,7,FALSE))</f>
        <v/>
      </c>
      <c r="I227" s="301" t="str">
        <f>IF(H227="","",VLOOKUP($B227,'F-1 Off-Site WaterC'' Baseline'!$C$9:$R$257,8,FALSE))</f>
        <v/>
      </c>
      <c r="J227" s="301" t="str">
        <f>IF(I227="","",VLOOKUP($B227,'F-1 Off-Site WaterC'' Baseline'!$C$9:$R$257,9,FALSE))</f>
        <v/>
      </c>
      <c r="K227" s="301" t="str">
        <f>IF(J227="","",VLOOKUP($B227,'F-1 Off-Site WaterC'' Baseline'!$C$9:$R$257,10,FALSE))</f>
        <v/>
      </c>
      <c r="L227" s="289" t="str">
        <f>IF(B227="","",VLOOKUP($B227,'F-1 Off-Site WaterC'' Baseline'!$C$9:$R$257,15,FALSE))</f>
        <v/>
      </c>
      <c r="M227" s="305" t="str">
        <f>IF(L227="","",VLOOKUP($B227,'F-1 Off-Site WaterC'' Baseline'!$C$9:$V$257,19,FALSE))</f>
        <v/>
      </c>
      <c r="N227" s="250"/>
      <c r="O227" s="281" t="str">
        <f t="shared" si="36"/>
        <v/>
      </c>
      <c r="P227" s="282" t="str">
        <f t="shared" si="37"/>
        <v/>
      </c>
      <c r="Q227" s="287" t="str">
        <f>IF(N227="","",VLOOKUP(B227,'F-1 Off-Site WaterC'' Baseline'!$C$10:$AF$257,23,FALSE))</f>
        <v/>
      </c>
      <c r="R227" s="281" t="str">
        <f>IF(N227="","",VLOOKUP(N227,'G-7 WaterC'' Data'!$B$2:$G$8,2,FALSE))</f>
        <v/>
      </c>
      <c r="S227" s="282" t="str">
        <f>IFERROR(VLOOKUP(R227,'G-7 WaterC'' Data'!$C$4:$D$8,2,FALSE),"")</f>
        <v/>
      </c>
      <c r="T227" s="105"/>
      <c r="U227" s="282" t="str">
        <f>IFERROR(INDEX('G-7 WaterC'' Data'!$H$4:$L$8,MATCH(N227,'G-7 WaterC'' Data'!$B$4:$B$8,0),MATCH(T227,'G-7 WaterC'' Data'!$H$3:$L$3,0)),"")</f>
        <v/>
      </c>
      <c r="V227" s="109"/>
      <c r="W227" s="301" t="str">
        <f>IF(V227="","",IF(VLOOKUP(V227,'G-7 WaterC'' Data'!$AK$4:$AM$6,2,FALSE)=0,"Spatial Data Missing ⚠",VLOOKUP(V227,'G-7 WaterC'' Data'!$AK$4:$AM$6,2,FALSE)))</f>
        <v/>
      </c>
      <c r="X227" s="305" t="str">
        <f>IF(V227="","",IF(VLOOKUP(V227,'G-7 WaterC'' Data'!$AK$4:$AM$6,3,FALSE)=0,"Spatial Data Missing ⚠",VLOOKUP(V227,'G-7 WaterC'' Data'!$AK$4:$AM$6,3,FALSE)))</f>
        <v/>
      </c>
      <c r="Y227" s="317" t="str">
        <f>IFERROR(IF(OR(LEFT(P227,5)="Error",LEFT(O227,5)="Error"),"Check Data ⚠",IF(F227&lt;S227,'G-7 WaterC'' Data'!$R$3,INDEX('G-7 WaterC'' Data'!$U$5:$Y$9,MATCH(G227,'G-7 WaterC'' Data'!$T$5:$T$9,0),MATCH(T227,'G-7 WaterC'' Data'!$U$4:$Y$4,0)))),"")</f>
        <v/>
      </c>
      <c r="Z227" s="142"/>
      <c r="AA227" s="142"/>
      <c r="AB227" s="314" t="str">
        <f t="shared" si="33"/>
        <v/>
      </c>
      <c r="AC227" s="302" t="str">
        <f t="shared" si="38"/>
        <v/>
      </c>
      <c r="AD227" s="340" t="str">
        <f>IFERROR(IF(AC227="Check Data ⚠","Check Data ⚠",VLOOKUP(AC227,'G-4 Temporal multipliers'!$A$4:$C$37,3,FALSE)),"")</f>
        <v/>
      </c>
      <c r="AE227" s="317" t="str">
        <f>IF(N227="","",VLOOKUP(N227,'G-7 WaterC'' Data'!$B$4:$G$8,5,FALSE))</f>
        <v/>
      </c>
      <c r="AF227" s="301" t="str">
        <f t="shared" si="34"/>
        <v/>
      </c>
      <c r="AG227" s="301" t="str">
        <f t="shared" si="39"/>
        <v/>
      </c>
      <c r="AH227" s="282" t="str">
        <f t="shared" si="35"/>
        <v/>
      </c>
      <c r="AI227" s="109"/>
      <c r="AJ227" s="282" t="str">
        <f>IF(AI227="","",(IF(AND(AI227="N/A - Culvert",N227&lt;&gt;"Culvert"),"Not possible ▲",IF(VLOOKUP(AI227,'G-7 WaterC'' Data'!$AA$4:$AB$7,2,FALSE)=0,"Spatial Data Missing ⚠",VLOOKUP(AI227,'G-7 WaterC'' Data'!$AA$4:$AB$7,2,FALSE)))))</f>
        <v/>
      </c>
      <c r="AK227" s="110"/>
      <c r="AL227" s="316" t="str">
        <f>IF(AK227="","",IF(AND(AK227="N/A - Culvert",N227&lt;&gt;"Culvert"),"Not possible ▲",IF(VLOOKUP(AK227,'G-7 WaterC'' Data'!$AD$4:$AE$14,2,FALSE)=0,"Spatial Data Missing ⚠",VLOOKUP(AK227,'G-7 WaterC'' Data'!$AD$4:$AE$14,2,FALSE))))</f>
        <v/>
      </c>
      <c r="AM227" s="281" t="str">
        <f>IF(B227="","",VLOOKUP($B227,'F-1 Off-Site WaterC'' Baseline'!$C$9:$Z$257,17,FALSE))</f>
        <v/>
      </c>
      <c r="AN227" s="282" t="str">
        <f>IF(AM227="","",IF(VLOOKUP(AM227,'G-7 WaterC'' Data'!$AO$4:$BO$7,2,FALSE)=0,"Spatial Data Missing ⚠",VLOOKUP(AM227,'G-7 WaterC'' Data'!$AO$4:$BO$7,2,FALSE)))</f>
        <v/>
      </c>
      <c r="AO227" s="323" t="str">
        <f t="shared" si="40"/>
        <v/>
      </c>
      <c r="AP227" s="323" t="str">
        <f t="shared" si="41"/>
        <v/>
      </c>
      <c r="AQ227" s="105"/>
      <c r="AR227" s="119"/>
      <c r="AS227" s="108"/>
      <c r="AT227" s="108"/>
      <c r="AW227" s="30" t="str">
        <f>IF(E227="","",VLOOKUP($B227,'F-1 Off-Site WaterC'' Baseline'!$C$9:$Z$257,12,FALSE))</f>
        <v/>
      </c>
      <c r="AX227" s="30" t="str">
        <f>IF(E227="","",VLOOKUP($B227,'F-1 Off-Site WaterC'' Baseline'!$C$9:$Z$257,14,FALSE))</f>
        <v/>
      </c>
      <c r="AY227" s="30" t="str">
        <f>IFERROR(INDEX('G-7 WaterC'' Data'!$AZ$3:$AZ$7,MATCH(N227,'G-7 WaterC'' Data'!$AY$3:$AY$7,0)),"")</f>
        <v/>
      </c>
      <c r="AZ227" s="30" t="str">
        <f>IF(B227="","",IF(ISNA(VLOOKUP($B227,'F-1 Off-Site WaterC'' Baseline'!$C$8:$AD$257,20,FALSE)),"",(VLOOKUP($B227,'F-1 Off-Site WaterC'' Baseline'!$C$8:$AD$257,20,FALSE))))</f>
        <v/>
      </c>
      <c r="BC227" s="30" t="str">
        <f>IF(B227="","",VLOOKUP($B227,'F-1 Off-Site WaterC'' Baseline'!$C$9:$AB$257,25,FALSE))</f>
        <v/>
      </c>
      <c r="BD227" s="30" t="str">
        <f t="shared" si="42"/>
        <v/>
      </c>
      <c r="BE227" s="30" t="str">
        <f>IF(B227="","",VLOOKUP($B227,'F-1 Off-Site WaterC'' Baseline'!$C$9:$AB$257,24,FALSE))</f>
        <v/>
      </c>
      <c r="BF227" s="30" t="str">
        <f>IF(B227="","",VLOOKUP($B227,'F-1 Off-Site WaterC'' Baseline'!$C$9:$AB$257,22,FALSE))</f>
        <v/>
      </c>
      <c r="BJ227" s="30" t="str">
        <f t="shared" si="43"/>
        <v>No</v>
      </c>
    </row>
    <row r="228" spans="2:62" ht="13.8" x14ac:dyDescent="0.25">
      <c r="B228" s="311" t="str">
        <f>'F-1 Off-Site WaterC'' Baseline'!AS226</f>
        <v/>
      </c>
      <c r="C228" s="301" t="str">
        <f>IF(B228="","",VLOOKUP($B228,'F-1 Off-Site WaterC'' Baseline'!$C$9:$R$257,2,FALSE))</f>
        <v/>
      </c>
      <c r="D228" s="301" t="str">
        <f>IF(C228="","",VLOOKUP($B228,'F-1 Off-Site WaterC'' Baseline'!$C$9:$R$257,3,FALSE))</f>
        <v/>
      </c>
      <c r="E228" s="301" t="str">
        <f>IF(D228="","",VLOOKUP($B228,'F-1 Off-Site WaterC'' Baseline'!$C$9:$R$257,4,FALSE))</f>
        <v/>
      </c>
      <c r="F228" s="301" t="str">
        <f>IF(E228="","",VLOOKUP($B228,'F-1 Off-Site WaterC'' Baseline'!$C$9:$R$257,5,FALSE))</f>
        <v/>
      </c>
      <c r="G228" s="301" t="str">
        <f>IF(F228="","",VLOOKUP($B228,'F-1 Off-Site WaterC'' Baseline'!$C$9:$R$257,6,FALSE))</f>
        <v/>
      </c>
      <c r="H228" s="301" t="str">
        <f>IF(G228="","",VLOOKUP($B228,'F-1 Off-Site WaterC'' Baseline'!$C$9:$R$257,7,FALSE))</f>
        <v/>
      </c>
      <c r="I228" s="301" t="str">
        <f>IF(H228="","",VLOOKUP($B228,'F-1 Off-Site WaterC'' Baseline'!$C$9:$R$257,8,FALSE))</f>
        <v/>
      </c>
      <c r="J228" s="301" t="str">
        <f>IF(I228="","",VLOOKUP($B228,'F-1 Off-Site WaterC'' Baseline'!$C$9:$R$257,9,FALSE))</f>
        <v/>
      </c>
      <c r="K228" s="301" t="str">
        <f>IF(J228="","",VLOOKUP($B228,'F-1 Off-Site WaterC'' Baseline'!$C$9:$R$257,10,FALSE))</f>
        <v/>
      </c>
      <c r="L228" s="289" t="str">
        <f>IF(B228="","",VLOOKUP($B228,'F-1 Off-Site WaterC'' Baseline'!$C$9:$R$257,15,FALSE))</f>
        <v/>
      </c>
      <c r="M228" s="305" t="str">
        <f>IF(L228="","",VLOOKUP($B228,'F-1 Off-Site WaterC'' Baseline'!$C$9:$V$257,19,FALSE))</f>
        <v/>
      </c>
      <c r="N228" s="250"/>
      <c r="O228" s="281" t="str">
        <f t="shared" si="36"/>
        <v/>
      </c>
      <c r="P228" s="282" t="str">
        <f t="shared" si="37"/>
        <v/>
      </c>
      <c r="Q228" s="287" t="str">
        <f>IF(N228="","",VLOOKUP(B228,'F-1 Off-Site WaterC'' Baseline'!$C$10:$AF$257,23,FALSE))</f>
        <v/>
      </c>
      <c r="R228" s="281" t="str">
        <f>IF(N228="","",VLOOKUP(N228,'G-7 WaterC'' Data'!$B$2:$G$8,2,FALSE))</f>
        <v/>
      </c>
      <c r="S228" s="282" t="str">
        <f>IFERROR(VLOOKUP(R228,'G-7 WaterC'' Data'!$C$4:$D$8,2,FALSE),"")</f>
        <v/>
      </c>
      <c r="T228" s="105"/>
      <c r="U228" s="282" t="str">
        <f>IFERROR(INDEX('G-7 WaterC'' Data'!$H$4:$L$8,MATCH(N228,'G-7 WaterC'' Data'!$B$4:$B$8,0),MATCH(T228,'G-7 WaterC'' Data'!$H$3:$L$3,0)),"")</f>
        <v/>
      </c>
      <c r="V228" s="109"/>
      <c r="W228" s="301" t="str">
        <f>IF(V228="","",IF(VLOOKUP(V228,'G-7 WaterC'' Data'!$AK$4:$AM$6,2,FALSE)=0,"Spatial Data Missing ⚠",VLOOKUP(V228,'G-7 WaterC'' Data'!$AK$4:$AM$6,2,FALSE)))</f>
        <v/>
      </c>
      <c r="X228" s="305" t="str">
        <f>IF(V228="","",IF(VLOOKUP(V228,'G-7 WaterC'' Data'!$AK$4:$AM$6,3,FALSE)=0,"Spatial Data Missing ⚠",VLOOKUP(V228,'G-7 WaterC'' Data'!$AK$4:$AM$6,3,FALSE)))</f>
        <v/>
      </c>
      <c r="Y228" s="317" t="str">
        <f>IFERROR(IF(OR(LEFT(P228,5)="Error",LEFT(O228,5)="Error"),"Check Data ⚠",IF(F228&lt;S228,'G-7 WaterC'' Data'!$R$3,INDEX('G-7 WaterC'' Data'!$U$5:$Y$9,MATCH(G228,'G-7 WaterC'' Data'!$T$5:$T$9,0),MATCH(T228,'G-7 WaterC'' Data'!$U$4:$Y$4,0)))),"")</f>
        <v/>
      </c>
      <c r="Z228" s="142"/>
      <c r="AA228" s="142"/>
      <c r="AB228" s="314" t="str">
        <f t="shared" si="33"/>
        <v/>
      </c>
      <c r="AC228" s="302" t="str">
        <f t="shared" si="38"/>
        <v/>
      </c>
      <c r="AD228" s="340" t="str">
        <f>IFERROR(IF(AC228="Check Data ⚠","Check Data ⚠",VLOOKUP(AC228,'G-4 Temporal multipliers'!$A$4:$C$37,3,FALSE)),"")</f>
        <v/>
      </c>
      <c r="AE228" s="317" t="str">
        <f>IF(N228="","",VLOOKUP(N228,'G-7 WaterC'' Data'!$B$4:$G$8,5,FALSE))</f>
        <v/>
      </c>
      <c r="AF228" s="301" t="str">
        <f t="shared" si="34"/>
        <v/>
      </c>
      <c r="AG228" s="301" t="str">
        <f t="shared" si="39"/>
        <v/>
      </c>
      <c r="AH228" s="282" t="str">
        <f t="shared" si="35"/>
        <v/>
      </c>
      <c r="AI228" s="109"/>
      <c r="AJ228" s="282" t="str">
        <f>IF(AI228="","",(IF(AND(AI228="N/A - Culvert",N228&lt;&gt;"Culvert"),"Not possible ▲",IF(VLOOKUP(AI228,'G-7 WaterC'' Data'!$AA$4:$AB$7,2,FALSE)=0,"Spatial Data Missing ⚠",VLOOKUP(AI228,'G-7 WaterC'' Data'!$AA$4:$AB$7,2,FALSE)))))</f>
        <v/>
      </c>
      <c r="AK228" s="110"/>
      <c r="AL228" s="316" t="str">
        <f>IF(AK228="","",IF(AND(AK228="N/A - Culvert",N228&lt;&gt;"Culvert"),"Not possible ▲",IF(VLOOKUP(AK228,'G-7 WaterC'' Data'!$AD$4:$AE$14,2,FALSE)=0,"Spatial Data Missing ⚠",VLOOKUP(AK228,'G-7 WaterC'' Data'!$AD$4:$AE$14,2,FALSE))))</f>
        <v/>
      </c>
      <c r="AM228" s="281" t="str">
        <f>IF(B228="","",VLOOKUP($B228,'F-1 Off-Site WaterC'' Baseline'!$C$9:$Z$257,17,FALSE))</f>
        <v/>
      </c>
      <c r="AN228" s="282" t="str">
        <f>IF(AM228="","",IF(VLOOKUP(AM228,'G-7 WaterC'' Data'!$AO$4:$BO$7,2,FALSE)=0,"Spatial Data Missing ⚠",VLOOKUP(AM228,'G-7 WaterC'' Data'!$AO$4:$BO$7,2,FALSE)))</f>
        <v/>
      </c>
      <c r="AO228" s="323" t="str">
        <f t="shared" si="40"/>
        <v/>
      </c>
      <c r="AP228" s="323" t="str">
        <f t="shared" si="41"/>
        <v/>
      </c>
      <c r="AQ228" s="105"/>
      <c r="AR228" s="119"/>
      <c r="AS228" s="108"/>
      <c r="AT228" s="108"/>
      <c r="AW228" s="30" t="str">
        <f>IF(E228="","",VLOOKUP($B228,'F-1 Off-Site WaterC'' Baseline'!$C$9:$Z$257,12,FALSE))</f>
        <v/>
      </c>
      <c r="AX228" s="30" t="str">
        <f>IF(E228="","",VLOOKUP($B228,'F-1 Off-Site WaterC'' Baseline'!$C$9:$Z$257,14,FALSE))</f>
        <v/>
      </c>
      <c r="AY228" s="30" t="str">
        <f>IFERROR(INDEX('G-7 WaterC'' Data'!$AZ$3:$AZ$7,MATCH(N228,'G-7 WaterC'' Data'!$AY$3:$AY$7,0)),"")</f>
        <v/>
      </c>
      <c r="AZ228" s="30" t="str">
        <f>IF(B228="","",IF(ISNA(VLOOKUP($B228,'F-1 Off-Site WaterC'' Baseline'!$C$8:$AD$257,20,FALSE)),"",(VLOOKUP($B228,'F-1 Off-Site WaterC'' Baseline'!$C$8:$AD$257,20,FALSE))))</f>
        <v/>
      </c>
      <c r="BC228" s="30" t="str">
        <f>IF(B228="","",VLOOKUP($B228,'F-1 Off-Site WaterC'' Baseline'!$C$9:$AB$257,25,FALSE))</f>
        <v/>
      </c>
      <c r="BD228" s="30" t="str">
        <f t="shared" si="42"/>
        <v/>
      </c>
      <c r="BE228" s="30" t="str">
        <f>IF(B228="","",VLOOKUP($B228,'F-1 Off-Site WaterC'' Baseline'!$C$9:$AB$257,24,FALSE))</f>
        <v/>
      </c>
      <c r="BF228" s="30" t="str">
        <f>IF(B228="","",VLOOKUP($B228,'F-1 Off-Site WaterC'' Baseline'!$C$9:$AB$257,22,FALSE))</f>
        <v/>
      </c>
      <c r="BJ228" s="30" t="str">
        <f t="shared" si="43"/>
        <v>No</v>
      </c>
    </row>
    <row r="229" spans="2:62" ht="13.8" x14ac:dyDescent="0.25">
      <c r="B229" s="311" t="str">
        <f>'F-1 Off-Site WaterC'' Baseline'!AS227</f>
        <v/>
      </c>
      <c r="C229" s="301" t="str">
        <f>IF(B229="","",VLOOKUP($B229,'F-1 Off-Site WaterC'' Baseline'!$C$9:$R$257,2,FALSE))</f>
        <v/>
      </c>
      <c r="D229" s="301" t="str">
        <f>IF(C229="","",VLOOKUP($B229,'F-1 Off-Site WaterC'' Baseline'!$C$9:$R$257,3,FALSE))</f>
        <v/>
      </c>
      <c r="E229" s="301" t="str">
        <f>IF(D229="","",VLOOKUP($B229,'F-1 Off-Site WaterC'' Baseline'!$C$9:$R$257,4,FALSE))</f>
        <v/>
      </c>
      <c r="F229" s="301" t="str">
        <f>IF(E229="","",VLOOKUP($B229,'F-1 Off-Site WaterC'' Baseline'!$C$9:$R$257,5,FALSE))</f>
        <v/>
      </c>
      <c r="G229" s="301" t="str">
        <f>IF(F229="","",VLOOKUP($B229,'F-1 Off-Site WaterC'' Baseline'!$C$9:$R$257,6,FALSE))</f>
        <v/>
      </c>
      <c r="H229" s="301" t="str">
        <f>IF(G229="","",VLOOKUP($B229,'F-1 Off-Site WaterC'' Baseline'!$C$9:$R$257,7,FALSE))</f>
        <v/>
      </c>
      <c r="I229" s="301" t="str">
        <f>IF(H229="","",VLOOKUP($B229,'F-1 Off-Site WaterC'' Baseline'!$C$9:$R$257,8,FALSE))</f>
        <v/>
      </c>
      <c r="J229" s="301" t="str">
        <f>IF(I229="","",VLOOKUP($B229,'F-1 Off-Site WaterC'' Baseline'!$C$9:$R$257,9,FALSE))</f>
        <v/>
      </c>
      <c r="K229" s="301" t="str">
        <f>IF(J229="","",VLOOKUP($B229,'F-1 Off-Site WaterC'' Baseline'!$C$9:$R$257,10,FALSE))</f>
        <v/>
      </c>
      <c r="L229" s="289" t="str">
        <f>IF(B229="","",VLOOKUP($B229,'F-1 Off-Site WaterC'' Baseline'!$C$9:$R$257,15,FALSE))</f>
        <v/>
      </c>
      <c r="M229" s="305" t="str">
        <f>IF(L229="","",VLOOKUP($B229,'F-1 Off-Site WaterC'' Baseline'!$C$9:$V$257,19,FALSE))</f>
        <v/>
      </c>
      <c r="N229" s="250"/>
      <c r="O229" s="281" t="str">
        <f t="shared" si="36"/>
        <v/>
      </c>
      <c r="P229" s="282" t="str">
        <f t="shared" si="37"/>
        <v/>
      </c>
      <c r="Q229" s="287" t="str">
        <f>IF(N229="","",VLOOKUP(B229,'F-1 Off-Site WaterC'' Baseline'!$C$10:$AF$257,23,FALSE))</f>
        <v/>
      </c>
      <c r="R229" s="281" t="str">
        <f>IF(N229="","",VLOOKUP(N229,'G-7 WaterC'' Data'!$B$2:$G$8,2,FALSE))</f>
        <v/>
      </c>
      <c r="S229" s="282" t="str">
        <f>IFERROR(VLOOKUP(R229,'G-7 WaterC'' Data'!$C$4:$D$8,2,FALSE),"")</f>
        <v/>
      </c>
      <c r="T229" s="105"/>
      <c r="U229" s="282" t="str">
        <f>IFERROR(INDEX('G-7 WaterC'' Data'!$H$4:$L$8,MATCH(N229,'G-7 WaterC'' Data'!$B$4:$B$8,0),MATCH(T229,'G-7 WaterC'' Data'!$H$3:$L$3,0)),"")</f>
        <v/>
      </c>
      <c r="V229" s="109"/>
      <c r="W229" s="301" t="str">
        <f>IF(V229="","",IF(VLOOKUP(V229,'G-7 WaterC'' Data'!$AK$4:$AM$6,2,FALSE)=0,"Spatial Data Missing ⚠",VLOOKUP(V229,'G-7 WaterC'' Data'!$AK$4:$AM$6,2,FALSE)))</f>
        <v/>
      </c>
      <c r="X229" s="305" t="str">
        <f>IF(V229="","",IF(VLOOKUP(V229,'G-7 WaterC'' Data'!$AK$4:$AM$6,3,FALSE)=0,"Spatial Data Missing ⚠",VLOOKUP(V229,'G-7 WaterC'' Data'!$AK$4:$AM$6,3,FALSE)))</f>
        <v/>
      </c>
      <c r="Y229" s="317" t="str">
        <f>IFERROR(IF(OR(LEFT(P229,5)="Error",LEFT(O229,5)="Error"),"Check Data ⚠",IF(F229&lt;S229,'G-7 WaterC'' Data'!$R$3,INDEX('G-7 WaterC'' Data'!$U$5:$Y$9,MATCH(G229,'G-7 WaterC'' Data'!$T$5:$T$9,0),MATCH(T229,'G-7 WaterC'' Data'!$U$4:$Y$4,0)))),"")</f>
        <v/>
      </c>
      <c r="Z229" s="142"/>
      <c r="AA229" s="142"/>
      <c r="AB229" s="314" t="str">
        <f t="shared" si="33"/>
        <v/>
      </c>
      <c r="AC229" s="302" t="str">
        <f t="shared" si="38"/>
        <v/>
      </c>
      <c r="AD229" s="340" t="str">
        <f>IFERROR(IF(AC229="Check Data ⚠","Check Data ⚠",VLOOKUP(AC229,'G-4 Temporal multipliers'!$A$4:$C$37,3,FALSE)),"")</f>
        <v/>
      </c>
      <c r="AE229" s="317" t="str">
        <f>IF(N229="","",VLOOKUP(N229,'G-7 WaterC'' Data'!$B$4:$G$8,5,FALSE))</f>
        <v/>
      </c>
      <c r="AF229" s="301" t="str">
        <f t="shared" si="34"/>
        <v/>
      </c>
      <c r="AG229" s="301" t="str">
        <f t="shared" si="39"/>
        <v/>
      </c>
      <c r="AH229" s="282" t="str">
        <f t="shared" si="35"/>
        <v/>
      </c>
      <c r="AI229" s="109"/>
      <c r="AJ229" s="282" t="str">
        <f>IF(AI229="","",(IF(AND(AI229="N/A - Culvert",N229&lt;&gt;"Culvert"),"Not possible ▲",IF(VLOOKUP(AI229,'G-7 WaterC'' Data'!$AA$4:$AB$7,2,FALSE)=0,"Spatial Data Missing ⚠",VLOOKUP(AI229,'G-7 WaterC'' Data'!$AA$4:$AB$7,2,FALSE)))))</f>
        <v/>
      </c>
      <c r="AK229" s="110"/>
      <c r="AL229" s="316" t="str">
        <f>IF(AK229="","",IF(AND(AK229="N/A - Culvert",N229&lt;&gt;"Culvert"),"Not possible ▲",IF(VLOOKUP(AK229,'G-7 WaterC'' Data'!$AD$4:$AE$14,2,FALSE)=0,"Spatial Data Missing ⚠",VLOOKUP(AK229,'G-7 WaterC'' Data'!$AD$4:$AE$14,2,FALSE))))</f>
        <v/>
      </c>
      <c r="AM229" s="281" t="str">
        <f>IF(B229="","",VLOOKUP($B229,'F-1 Off-Site WaterC'' Baseline'!$C$9:$Z$257,17,FALSE))</f>
        <v/>
      </c>
      <c r="AN229" s="282" t="str">
        <f>IF(AM229="","",IF(VLOOKUP(AM229,'G-7 WaterC'' Data'!$AO$4:$BO$7,2,FALSE)=0,"Spatial Data Missing ⚠",VLOOKUP(AM229,'G-7 WaterC'' Data'!$AO$4:$BO$7,2,FALSE)))</f>
        <v/>
      </c>
      <c r="AO229" s="323" t="str">
        <f t="shared" si="40"/>
        <v/>
      </c>
      <c r="AP229" s="323" t="str">
        <f t="shared" si="41"/>
        <v/>
      </c>
      <c r="AQ229" s="105"/>
      <c r="AR229" s="119"/>
      <c r="AS229" s="108"/>
      <c r="AT229" s="108"/>
      <c r="AW229" s="30" t="str">
        <f>IF(E229="","",VLOOKUP($B229,'F-1 Off-Site WaterC'' Baseline'!$C$9:$Z$257,12,FALSE))</f>
        <v/>
      </c>
      <c r="AX229" s="30" t="str">
        <f>IF(E229="","",VLOOKUP($B229,'F-1 Off-Site WaterC'' Baseline'!$C$9:$Z$257,14,FALSE))</f>
        <v/>
      </c>
      <c r="AY229" s="30" t="str">
        <f>IFERROR(INDEX('G-7 WaterC'' Data'!$AZ$3:$AZ$7,MATCH(N229,'G-7 WaterC'' Data'!$AY$3:$AY$7,0)),"")</f>
        <v/>
      </c>
      <c r="AZ229" s="30" t="str">
        <f>IF(B229="","",IF(ISNA(VLOOKUP($B229,'F-1 Off-Site WaterC'' Baseline'!$C$8:$AD$257,20,FALSE)),"",(VLOOKUP($B229,'F-1 Off-Site WaterC'' Baseline'!$C$8:$AD$257,20,FALSE))))</f>
        <v/>
      </c>
      <c r="BC229" s="30" t="str">
        <f>IF(B229="","",VLOOKUP($B229,'F-1 Off-Site WaterC'' Baseline'!$C$9:$AB$257,25,FALSE))</f>
        <v/>
      </c>
      <c r="BD229" s="30" t="str">
        <f t="shared" si="42"/>
        <v/>
      </c>
      <c r="BE229" s="30" t="str">
        <f>IF(B229="","",VLOOKUP($B229,'F-1 Off-Site WaterC'' Baseline'!$C$9:$AB$257,24,FALSE))</f>
        <v/>
      </c>
      <c r="BF229" s="30" t="str">
        <f>IF(B229="","",VLOOKUP($B229,'F-1 Off-Site WaterC'' Baseline'!$C$9:$AB$257,22,FALSE))</f>
        <v/>
      </c>
      <c r="BJ229" s="30" t="str">
        <f t="shared" si="43"/>
        <v>No</v>
      </c>
    </row>
    <row r="230" spans="2:62" ht="13.8" x14ac:dyDescent="0.25">
      <c r="B230" s="311" t="str">
        <f>'F-1 Off-Site WaterC'' Baseline'!AS228</f>
        <v/>
      </c>
      <c r="C230" s="301" t="str">
        <f>IF(B230="","",VLOOKUP($B230,'F-1 Off-Site WaterC'' Baseline'!$C$9:$R$257,2,FALSE))</f>
        <v/>
      </c>
      <c r="D230" s="301" t="str">
        <f>IF(C230="","",VLOOKUP($B230,'F-1 Off-Site WaterC'' Baseline'!$C$9:$R$257,3,FALSE))</f>
        <v/>
      </c>
      <c r="E230" s="301" t="str">
        <f>IF(D230="","",VLOOKUP($B230,'F-1 Off-Site WaterC'' Baseline'!$C$9:$R$257,4,FALSE))</f>
        <v/>
      </c>
      <c r="F230" s="301" t="str">
        <f>IF(E230="","",VLOOKUP($B230,'F-1 Off-Site WaterC'' Baseline'!$C$9:$R$257,5,FALSE))</f>
        <v/>
      </c>
      <c r="G230" s="301" t="str">
        <f>IF(F230="","",VLOOKUP($B230,'F-1 Off-Site WaterC'' Baseline'!$C$9:$R$257,6,FALSE))</f>
        <v/>
      </c>
      <c r="H230" s="301" t="str">
        <f>IF(G230="","",VLOOKUP($B230,'F-1 Off-Site WaterC'' Baseline'!$C$9:$R$257,7,FALSE))</f>
        <v/>
      </c>
      <c r="I230" s="301" t="str">
        <f>IF(H230="","",VLOOKUP($B230,'F-1 Off-Site WaterC'' Baseline'!$C$9:$R$257,8,FALSE))</f>
        <v/>
      </c>
      <c r="J230" s="301" t="str">
        <f>IF(I230="","",VLOOKUP($B230,'F-1 Off-Site WaterC'' Baseline'!$C$9:$R$257,9,FALSE))</f>
        <v/>
      </c>
      <c r="K230" s="301" t="str">
        <f>IF(J230="","",VLOOKUP($B230,'F-1 Off-Site WaterC'' Baseline'!$C$9:$R$257,10,FALSE))</f>
        <v/>
      </c>
      <c r="L230" s="289" t="str">
        <f>IF(B230="","",VLOOKUP($B230,'F-1 Off-Site WaterC'' Baseline'!$C$9:$R$257,15,FALSE))</f>
        <v/>
      </c>
      <c r="M230" s="305" t="str">
        <f>IF(L230="","",VLOOKUP($B230,'F-1 Off-Site WaterC'' Baseline'!$C$9:$V$257,19,FALSE))</f>
        <v/>
      </c>
      <c r="N230" s="250"/>
      <c r="O230" s="281" t="str">
        <f t="shared" si="36"/>
        <v/>
      </c>
      <c r="P230" s="282" t="str">
        <f t="shared" si="37"/>
        <v/>
      </c>
      <c r="Q230" s="287" t="str">
        <f>IF(N230="","",VLOOKUP(B230,'F-1 Off-Site WaterC'' Baseline'!$C$10:$AF$257,23,FALSE))</f>
        <v/>
      </c>
      <c r="R230" s="281" t="str">
        <f>IF(N230="","",VLOOKUP(N230,'G-7 WaterC'' Data'!$B$2:$G$8,2,FALSE))</f>
        <v/>
      </c>
      <c r="S230" s="282" t="str">
        <f>IFERROR(VLOOKUP(R230,'G-7 WaterC'' Data'!$C$4:$D$8,2,FALSE),"")</f>
        <v/>
      </c>
      <c r="T230" s="105"/>
      <c r="U230" s="282" t="str">
        <f>IFERROR(INDEX('G-7 WaterC'' Data'!$H$4:$L$8,MATCH(N230,'G-7 WaterC'' Data'!$B$4:$B$8,0),MATCH(T230,'G-7 WaterC'' Data'!$H$3:$L$3,0)),"")</f>
        <v/>
      </c>
      <c r="V230" s="109"/>
      <c r="W230" s="301" t="str">
        <f>IF(V230="","",IF(VLOOKUP(V230,'G-7 WaterC'' Data'!$AK$4:$AM$6,2,FALSE)=0,"Spatial Data Missing ⚠",VLOOKUP(V230,'G-7 WaterC'' Data'!$AK$4:$AM$6,2,FALSE)))</f>
        <v/>
      </c>
      <c r="X230" s="305" t="str">
        <f>IF(V230="","",IF(VLOOKUP(V230,'G-7 WaterC'' Data'!$AK$4:$AM$6,3,FALSE)=0,"Spatial Data Missing ⚠",VLOOKUP(V230,'G-7 WaterC'' Data'!$AK$4:$AM$6,3,FALSE)))</f>
        <v/>
      </c>
      <c r="Y230" s="317" t="str">
        <f>IFERROR(IF(OR(LEFT(P230,5)="Error",LEFT(O230,5)="Error"),"Check Data ⚠",IF(F230&lt;S230,'G-7 WaterC'' Data'!$R$3,INDEX('G-7 WaterC'' Data'!$U$5:$Y$9,MATCH(G230,'G-7 WaterC'' Data'!$T$5:$T$9,0),MATCH(T230,'G-7 WaterC'' Data'!$U$4:$Y$4,0)))),"")</f>
        <v/>
      </c>
      <c r="Z230" s="142"/>
      <c r="AA230" s="142"/>
      <c r="AB230" s="314" t="str">
        <f t="shared" si="33"/>
        <v/>
      </c>
      <c r="AC230" s="302" t="str">
        <f t="shared" si="38"/>
        <v/>
      </c>
      <c r="AD230" s="340" t="str">
        <f>IFERROR(IF(AC230="Check Data ⚠","Check Data ⚠",VLOOKUP(AC230,'G-4 Temporal multipliers'!$A$4:$C$37,3,FALSE)),"")</f>
        <v/>
      </c>
      <c r="AE230" s="317" t="str">
        <f>IF(N230="","",VLOOKUP(N230,'G-7 WaterC'' Data'!$B$4:$G$8,5,FALSE))</f>
        <v/>
      </c>
      <c r="AF230" s="301" t="str">
        <f t="shared" si="34"/>
        <v/>
      </c>
      <c r="AG230" s="301" t="str">
        <f t="shared" si="39"/>
        <v/>
      </c>
      <c r="AH230" s="282" t="str">
        <f t="shared" si="35"/>
        <v/>
      </c>
      <c r="AI230" s="109"/>
      <c r="AJ230" s="282" t="str">
        <f>IF(AI230="","",(IF(AND(AI230="N/A - Culvert",N230&lt;&gt;"Culvert"),"Not possible ▲",IF(VLOOKUP(AI230,'G-7 WaterC'' Data'!$AA$4:$AB$7,2,FALSE)=0,"Spatial Data Missing ⚠",VLOOKUP(AI230,'G-7 WaterC'' Data'!$AA$4:$AB$7,2,FALSE)))))</f>
        <v/>
      </c>
      <c r="AK230" s="110"/>
      <c r="AL230" s="316" t="str">
        <f>IF(AK230="","",IF(AND(AK230="N/A - Culvert",N230&lt;&gt;"Culvert"),"Not possible ▲",IF(VLOOKUP(AK230,'G-7 WaterC'' Data'!$AD$4:$AE$14,2,FALSE)=0,"Spatial Data Missing ⚠",VLOOKUP(AK230,'G-7 WaterC'' Data'!$AD$4:$AE$14,2,FALSE))))</f>
        <v/>
      </c>
      <c r="AM230" s="281" t="str">
        <f>IF(B230="","",VLOOKUP($B230,'F-1 Off-Site WaterC'' Baseline'!$C$9:$Z$257,17,FALSE))</f>
        <v/>
      </c>
      <c r="AN230" s="282" t="str">
        <f>IF(AM230="","",IF(VLOOKUP(AM230,'G-7 WaterC'' Data'!$AO$4:$BO$7,2,FALSE)=0,"Spatial Data Missing ⚠",VLOOKUP(AM230,'G-7 WaterC'' Data'!$AO$4:$BO$7,2,FALSE)))</f>
        <v/>
      </c>
      <c r="AO230" s="323" t="str">
        <f t="shared" si="40"/>
        <v/>
      </c>
      <c r="AP230" s="323" t="str">
        <f t="shared" si="41"/>
        <v/>
      </c>
      <c r="AQ230" s="105"/>
      <c r="AR230" s="119"/>
      <c r="AS230" s="108"/>
      <c r="AT230" s="108"/>
      <c r="AW230" s="30" t="str">
        <f>IF(E230="","",VLOOKUP($B230,'F-1 Off-Site WaterC'' Baseline'!$C$9:$Z$257,12,FALSE))</f>
        <v/>
      </c>
      <c r="AX230" s="30" t="str">
        <f>IF(E230="","",VLOOKUP($B230,'F-1 Off-Site WaterC'' Baseline'!$C$9:$Z$257,14,FALSE))</f>
        <v/>
      </c>
      <c r="AY230" s="30" t="str">
        <f>IFERROR(INDEX('G-7 WaterC'' Data'!$AZ$3:$AZ$7,MATCH(N230,'G-7 WaterC'' Data'!$AY$3:$AY$7,0)),"")</f>
        <v/>
      </c>
      <c r="AZ230" s="30" t="str">
        <f>IF(B230="","",IF(ISNA(VLOOKUP($B230,'F-1 Off-Site WaterC'' Baseline'!$C$8:$AD$257,20,FALSE)),"",(VLOOKUP($B230,'F-1 Off-Site WaterC'' Baseline'!$C$8:$AD$257,20,FALSE))))</f>
        <v/>
      </c>
      <c r="BC230" s="30" t="str">
        <f>IF(B230="","",VLOOKUP($B230,'F-1 Off-Site WaterC'' Baseline'!$C$9:$AB$257,25,FALSE))</f>
        <v/>
      </c>
      <c r="BD230" s="30" t="str">
        <f t="shared" si="42"/>
        <v/>
      </c>
      <c r="BE230" s="30" t="str">
        <f>IF(B230="","",VLOOKUP($B230,'F-1 Off-Site WaterC'' Baseline'!$C$9:$AB$257,24,FALSE))</f>
        <v/>
      </c>
      <c r="BF230" s="30" t="str">
        <f>IF(B230="","",VLOOKUP($B230,'F-1 Off-Site WaterC'' Baseline'!$C$9:$AB$257,22,FALSE))</f>
        <v/>
      </c>
      <c r="BJ230" s="30" t="str">
        <f t="shared" si="43"/>
        <v>No</v>
      </c>
    </row>
    <row r="231" spans="2:62" ht="13.8" x14ac:dyDescent="0.25">
      <c r="B231" s="311" t="str">
        <f>'F-1 Off-Site WaterC'' Baseline'!AS229</f>
        <v/>
      </c>
      <c r="C231" s="301" t="str">
        <f>IF(B231="","",VLOOKUP($B231,'F-1 Off-Site WaterC'' Baseline'!$C$9:$R$257,2,FALSE))</f>
        <v/>
      </c>
      <c r="D231" s="301" t="str">
        <f>IF(C231="","",VLOOKUP($B231,'F-1 Off-Site WaterC'' Baseline'!$C$9:$R$257,3,FALSE))</f>
        <v/>
      </c>
      <c r="E231" s="301" t="str">
        <f>IF(D231="","",VLOOKUP($B231,'F-1 Off-Site WaterC'' Baseline'!$C$9:$R$257,4,FALSE))</f>
        <v/>
      </c>
      <c r="F231" s="301" t="str">
        <f>IF(E231="","",VLOOKUP($B231,'F-1 Off-Site WaterC'' Baseline'!$C$9:$R$257,5,FALSE))</f>
        <v/>
      </c>
      <c r="G231" s="301" t="str">
        <f>IF(F231="","",VLOOKUP($B231,'F-1 Off-Site WaterC'' Baseline'!$C$9:$R$257,6,FALSE))</f>
        <v/>
      </c>
      <c r="H231" s="301" t="str">
        <f>IF(G231="","",VLOOKUP($B231,'F-1 Off-Site WaterC'' Baseline'!$C$9:$R$257,7,FALSE))</f>
        <v/>
      </c>
      <c r="I231" s="301" t="str">
        <f>IF(H231="","",VLOOKUP($B231,'F-1 Off-Site WaterC'' Baseline'!$C$9:$R$257,8,FALSE))</f>
        <v/>
      </c>
      <c r="J231" s="301" t="str">
        <f>IF(I231="","",VLOOKUP($B231,'F-1 Off-Site WaterC'' Baseline'!$C$9:$R$257,9,FALSE))</f>
        <v/>
      </c>
      <c r="K231" s="301" t="str">
        <f>IF(J231="","",VLOOKUP($B231,'F-1 Off-Site WaterC'' Baseline'!$C$9:$R$257,10,FALSE))</f>
        <v/>
      </c>
      <c r="L231" s="289" t="str">
        <f>IF(B231="","",VLOOKUP($B231,'F-1 Off-Site WaterC'' Baseline'!$C$9:$R$257,15,FALSE))</f>
        <v/>
      </c>
      <c r="M231" s="305" t="str">
        <f>IF(L231="","",VLOOKUP($B231,'F-1 Off-Site WaterC'' Baseline'!$C$9:$V$257,19,FALSE))</f>
        <v/>
      </c>
      <c r="N231" s="250"/>
      <c r="O231" s="281" t="str">
        <f t="shared" si="36"/>
        <v/>
      </c>
      <c r="P231" s="282" t="str">
        <f t="shared" si="37"/>
        <v/>
      </c>
      <c r="Q231" s="287" t="str">
        <f>IF(N231="","",VLOOKUP(B231,'F-1 Off-Site WaterC'' Baseline'!$C$10:$AF$257,23,FALSE))</f>
        <v/>
      </c>
      <c r="R231" s="281" t="str">
        <f>IF(N231="","",VLOOKUP(N231,'G-7 WaterC'' Data'!$B$2:$G$8,2,FALSE))</f>
        <v/>
      </c>
      <c r="S231" s="282" t="str">
        <f>IFERROR(VLOOKUP(R231,'G-7 WaterC'' Data'!$C$4:$D$8,2,FALSE),"")</f>
        <v/>
      </c>
      <c r="T231" s="105"/>
      <c r="U231" s="282" t="str">
        <f>IFERROR(INDEX('G-7 WaterC'' Data'!$H$4:$L$8,MATCH(N231,'G-7 WaterC'' Data'!$B$4:$B$8,0),MATCH(T231,'G-7 WaterC'' Data'!$H$3:$L$3,0)),"")</f>
        <v/>
      </c>
      <c r="V231" s="109"/>
      <c r="W231" s="301" t="str">
        <f>IF(V231="","",IF(VLOOKUP(V231,'G-7 WaterC'' Data'!$AK$4:$AM$6,2,FALSE)=0,"Spatial Data Missing ⚠",VLOOKUP(V231,'G-7 WaterC'' Data'!$AK$4:$AM$6,2,FALSE)))</f>
        <v/>
      </c>
      <c r="X231" s="305" t="str">
        <f>IF(V231="","",IF(VLOOKUP(V231,'G-7 WaterC'' Data'!$AK$4:$AM$6,3,FALSE)=0,"Spatial Data Missing ⚠",VLOOKUP(V231,'G-7 WaterC'' Data'!$AK$4:$AM$6,3,FALSE)))</f>
        <v/>
      </c>
      <c r="Y231" s="317" t="str">
        <f>IFERROR(IF(OR(LEFT(P231,5)="Error",LEFT(O231,5)="Error"),"Check Data ⚠",IF(F231&lt;S231,'G-7 WaterC'' Data'!$R$3,INDEX('G-7 WaterC'' Data'!$U$5:$Y$9,MATCH(G231,'G-7 WaterC'' Data'!$T$5:$T$9,0),MATCH(T231,'G-7 WaterC'' Data'!$U$4:$Y$4,0)))),"")</f>
        <v/>
      </c>
      <c r="Z231" s="142"/>
      <c r="AA231" s="142"/>
      <c r="AB231" s="314" t="str">
        <f t="shared" si="33"/>
        <v/>
      </c>
      <c r="AC231" s="302" t="str">
        <f t="shared" si="38"/>
        <v/>
      </c>
      <c r="AD231" s="340" t="str">
        <f>IFERROR(IF(AC231="Check Data ⚠","Check Data ⚠",VLOOKUP(AC231,'G-4 Temporal multipliers'!$A$4:$C$37,3,FALSE)),"")</f>
        <v/>
      </c>
      <c r="AE231" s="317" t="str">
        <f>IF(N231="","",VLOOKUP(N231,'G-7 WaterC'' Data'!$B$4:$G$8,5,FALSE))</f>
        <v/>
      </c>
      <c r="AF231" s="301" t="str">
        <f t="shared" si="34"/>
        <v/>
      </c>
      <c r="AG231" s="301" t="str">
        <f t="shared" si="39"/>
        <v/>
      </c>
      <c r="AH231" s="282" t="str">
        <f t="shared" si="35"/>
        <v/>
      </c>
      <c r="AI231" s="109"/>
      <c r="AJ231" s="282" t="str">
        <f>IF(AI231="","",(IF(AND(AI231="N/A - Culvert",N231&lt;&gt;"Culvert"),"Not possible ▲",IF(VLOOKUP(AI231,'G-7 WaterC'' Data'!$AA$4:$AB$7,2,FALSE)=0,"Spatial Data Missing ⚠",VLOOKUP(AI231,'G-7 WaterC'' Data'!$AA$4:$AB$7,2,FALSE)))))</f>
        <v/>
      </c>
      <c r="AK231" s="110"/>
      <c r="AL231" s="316" t="str">
        <f>IF(AK231="","",IF(AND(AK231="N/A - Culvert",N231&lt;&gt;"Culvert"),"Not possible ▲",IF(VLOOKUP(AK231,'G-7 WaterC'' Data'!$AD$4:$AE$14,2,FALSE)=0,"Spatial Data Missing ⚠",VLOOKUP(AK231,'G-7 WaterC'' Data'!$AD$4:$AE$14,2,FALSE))))</f>
        <v/>
      </c>
      <c r="AM231" s="281" t="str">
        <f>IF(B231="","",VLOOKUP($B231,'F-1 Off-Site WaterC'' Baseline'!$C$9:$Z$257,17,FALSE))</f>
        <v/>
      </c>
      <c r="AN231" s="282" t="str">
        <f>IF(AM231="","",IF(VLOOKUP(AM231,'G-7 WaterC'' Data'!$AO$4:$BO$7,2,FALSE)=0,"Spatial Data Missing ⚠",VLOOKUP(AM231,'G-7 WaterC'' Data'!$AO$4:$BO$7,2,FALSE)))</f>
        <v/>
      </c>
      <c r="AO231" s="323" t="str">
        <f t="shared" si="40"/>
        <v/>
      </c>
      <c r="AP231" s="323" t="str">
        <f t="shared" si="41"/>
        <v/>
      </c>
      <c r="AQ231" s="105"/>
      <c r="AR231" s="119"/>
      <c r="AS231" s="108"/>
      <c r="AT231" s="108"/>
      <c r="AW231" s="30" t="str">
        <f>IF(E231="","",VLOOKUP($B231,'F-1 Off-Site WaterC'' Baseline'!$C$9:$Z$257,12,FALSE))</f>
        <v/>
      </c>
      <c r="AX231" s="30" t="str">
        <f>IF(E231="","",VLOOKUP($B231,'F-1 Off-Site WaterC'' Baseline'!$C$9:$Z$257,14,FALSE))</f>
        <v/>
      </c>
      <c r="AY231" s="30" t="str">
        <f>IFERROR(INDEX('G-7 WaterC'' Data'!$AZ$3:$AZ$7,MATCH(N231,'G-7 WaterC'' Data'!$AY$3:$AY$7,0)),"")</f>
        <v/>
      </c>
      <c r="AZ231" s="30" t="str">
        <f>IF(B231="","",IF(ISNA(VLOOKUP($B231,'F-1 Off-Site WaterC'' Baseline'!$C$8:$AD$257,20,FALSE)),"",(VLOOKUP($B231,'F-1 Off-Site WaterC'' Baseline'!$C$8:$AD$257,20,FALSE))))</f>
        <v/>
      </c>
      <c r="BC231" s="30" t="str">
        <f>IF(B231="","",VLOOKUP($B231,'F-1 Off-Site WaterC'' Baseline'!$C$9:$AB$257,25,FALSE))</f>
        <v/>
      </c>
      <c r="BD231" s="30" t="str">
        <f t="shared" si="42"/>
        <v/>
      </c>
      <c r="BE231" s="30" t="str">
        <f>IF(B231="","",VLOOKUP($B231,'F-1 Off-Site WaterC'' Baseline'!$C$9:$AB$257,24,FALSE))</f>
        <v/>
      </c>
      <c r="BF231" s="30" t="str">
        <f>IF(B231="","",VLOOKUP($B231,'F-1 Off-Site WaterC'' Baseline'!$C$9:$AB$257,22,FALSE))</f>
        <v/>
      </c>
      <c r="BJ231" s="30" t="str">
        <f t="shared" si="43"/>
        <v>No</v>
      </c>
    </row>
    <row r="232" spans="2:62" ht="13.8" x14ac:dyDescent="0.25">
      <c r="B232" s="311" t="str">
        <f>'F-1 Off-Site WaterC'' Baseline'!AS230</f>
        <v/>
      </c>
      <c r="C232" s="301" t="str">
        <f>IF(B232="","",VLOOKUP($B232,'F-1 Off-Site WaterC'' Baseline'!$C$9:$R$257,2,FALSE))</f>
        <v/>
      </c>
      <c r="D232" s="301" t="str">
        <f>IF(C232="","",VLOOKUP($B232,'F-1 Off-Site WaterC'' Baseline'!$C$9:$R$257,3,FALSE))</f>
        <v/>
      </c>
      <c r="E232" s="301" t="str">
        <f>IF(D232="","",VLOOKUP($B232,'F-1 Off-Site WaterC'' Baseline'!$C$9:$R$257,4,FALSE))</f>
        <v/>
      </c>
      <c r="F232" s="301" t="str">
        <f>IF(E232="","",VLOOKUP($B232,'F-1 Off-Site WaterC'' Baseline'!$C$9:$R$257,5,FALSE))</f>
        <v/>
      </c>
      <c r="G232" s="301" t="str">
        <f>IF(F232="","",VLOOKUP($B232,'F-1 Off-Site WaterC'' Baseline'!$C$9:$R$257,6,FALSE))</f>
        <v/>
      </c>
      <c r="H232" s="301" t="str">
        <f>IF(G232="","",VLOOKUP($B232,'F-1 Off-Site WaterC'' Baseline'!$C$9:$R$257,7,FALSE))</f>
        <v/>
      </c>
      <c r="I232" s="301" t="str">
        <f>IF(H232="","",VLOOKUP($B232,'F-1 Off-Site WaterC'' Baseline'!$C$9:$R$257,8,FALSE))</f>
        <v/>
      </c>
      <c r="J232" s="301" t="str">
        <f>IF(I232="","",VLOOKUP($B232,'F-1 Off-Site WaterC'' Baseline'!$C$9:$R$257,9,FALSE))</f>
        <v/>
      </c>
      <c r="K232" s="301" t="str">
        <f>IF(J232="","",VLOOKUP($B232,'F-1 Off-Site WaterC'' Baseline'!$C$9:$R$257,10,FALSE))</f>
        <v/>
      </c>
      <c r="L232" s="289" t="str">
        <f>IF(B232="","",VLOOKUP($B232,'F-1 Off-Site WaterC'' Baseline'!$C$9:$R$257,15,FALSE))</f>
        <v/>
      </c>
      <c r="M232" s="305" t="str">
        <f>IF(L232="","",VLOOKUP($B232,'F-1 Off-Site WaterC'' Baseline'!$C$9:$V$257,19,FALSE))</f>
        <v/>
      </c>
      <c r="N232" s="250"/>
      <c r="O232" s="281" t="str">
        <f t="shared" si="36"/>
        <v/>
      </c>
      <c r="P232" s="282" t="str">
        <f t="shared" si="37"/>
        <v/>
      </c>
      <c r="Q232" s="287" t="str">
        <f>IF(N232="","",VLOOKUP(B232,'F-1 Off-Site WaterC'' Baseline'!$C$10:$AF$257,23,FALSE))</f>
        <v/>
      </c>
      <c r="R232" s="281" t="str">
        <f>IF(N232="","",VLOOKUP(N232,'G-7 WaterC'' Data'!$B$2:$G$8,2,FALSE))</f>
        <v/>
      </c>
      <c r="S232" s="282" t="str">
        <f>IFERROR(VLOOKUP(R232,'G-7 WaterC'' Data'!$C$4:$D$8,2,FALSE),"")</f>
        <v/>
      </c>
      <c r="T232" s="105"/>
      <c r="U232" s="282" t="str">
        <f>IFERROR(INDEX('G-7 WaterC'' Data'!$H$4:$L$8,MATCH(N232,'G-7 WaterC'' Data'!$B$4:$B$8,0),MATCH(T232,'G-7 WaterC'' Data'!$H$3:$L$3,0)),"")</f>
        <v/>
      </c>
      <c r="V232" s="109"/>
      <c r="W232" s="301" t="str">
        <f>IF(V232="","",IF(VLOOKUP(V232,'G-7 WaterC'' Data'!$AK$4:$AM$6,2,FALSE)=0,"Spatial Data Missing ⚠",VLOOKUP(V232,'G-7 WaterC'' Data'!$AK$4:$AM$6,2,FALSE)))</f>
        <v/>
      </c>
      <c r="X232" s="305" t="str">
        <f>IF(V232="","",IF(VLOOKUP(V232,'G-7 WaterC'' Data'!$AK$4:$AM$6,3,FALSE)=0,"Spatial Data Missing ⚠",VLOOKUP(V232,'G-7 WaterC'' Data'!$AK$4:$AM$6,3,FALSE)))</f>
        <v/>
      </c>
      <c r="Y232" s="317" t="str">
        <f>IFERROR(IF(OR(LEFT(P232,5)="Error",LEFT(O232,5)="Error"),"Check Data ⚠",IF(F232&lt;S232,'G-7 WaterC'' Data'!$R$3,INDEX('G-7 WaterC'' Data'!$U$5:$Y$9,MATCH(G232,'G-7 WaterC'' Data'!$T$5:$T$9,0),MATCH(T232,'G-7 WaterC'' Data'!$U$4:$Y$4,0)))),"")</f>
        <v/>
      </c>
      <c r="Z232" s="142"/>
      <c r="AA232" s="142"/>
      <c r="AB232" s="314" t="str">
        <f t="shared" si="33"/>
        <v/>
      </c>
      <c r="AC232" s="302" t="str">
        <f t="shared" si="38"/>
        <v/>
      </c>
      <c r="AD232" s="340" t="str">
        <f>IFERROR(IF(AC232="Check Data ⚠","Check Data ⚠",VLOOKUP(AC232,'G-4 Temporal multipliers'!$A$4:$C$37,3,FALSE)),"")</f>
        <v/>
      </c>
      <c r="AE232" s="317" t="str">
        <f>IF(N232="","",VLOOKUP(N232,'G-7 WaterC'' Data'!$B$4:$G$8,5,FALSE))</f>
        <v/>
      </c>
      <c r="AF232" s="301" t="str">
        <f t="shared" si="34"/>
        <v/>
      </c>
      <c r="AG232" s="301" t="str">
        <f t="shared" si="39"/>
        <v/>
      </c>
      <c r="AH232" s="282" t="str">
        <f t="shared" si="35"/>
        <v/>
      </c>
      <c r="AI232" s="109"/>
      <c r="AJ232" s="282" t="str">
        <f>IF(AI232="","",(IF(AND(AI232="N/A - Culvert",N232&lt;&gt;"Culvert"),"Not possible ▲",IF(VLOOKUP(AI232,'G-7 WaterC'' Data'!$AA$4:$AB$7,2,FALSE)=0,"Spatial Data Missing ⚠",VLOOKUP(AI232,'G-7 WaterC'' Data'!$AA$4:$AB$7,2,FALSE)))))</f>
        <v/>
      </c>
      <c r="AK232" s="110"/>
      <c r="AL232" s="316" t="str">
        <f>IF(AK232="","",IF(AND(AK232="N/A - Culvert",N232&lt;&gt;"Culvert"),"Not possible ▲",IF(VLOOKUP(AK232,'G-7 WaterC'' Data'!$AD$4:$AE$14,2,FALSE)=0,"Spatial Data Missing ⚠",VLOOKUP(AK232,'G-7 WaterC'' Data'!$AD$4:$AE$14,2,FALSE))))</f>
        <v/>
      </c>
      <c r="AM232" s="281" t="str">
        <f>IF(B232="","",VLOOKUP($B232,'F-1 Off-Site WaterC'' Baseline'!$C$9:$Z$257,17,FALSE))</f>
        <v/>
      </c>
      <c r="AN232" s="282" t="str">
        <f>IF(AM232="","",IF(VLOOKUP(AM232,'G-7 WaterC'' Data'!$AO$4:$BO$7,2,FALSE)=0,"Spatial Data Missing ⚠",VLOOKUP(AM232,'G-7 WaterC'' Data'!$AO$4:$BO$7,2,FALSE)))</f>
        <v/>
      </c>
      <c r="AO232" s="323" t="str">
        <f t="shared" si="40"/>
        <v/>
      </c>
      <c r="AP232" s="323" t="str">
        <f t="shared" si="41"/>
        <v/>
      </c>
      <c r="AQ232" s="105"/>
      <c r="AR232" s="119"/>
      <c r="AS232" s="108"/>
      <c r="AT232" s="108"/>
      <c r="AW232" s="30" t="str">
        <f>IF(E232="","",VLOOKUP($B232,'F-1 Off-Site WaterC'' Baseline'!$C$9:$Z$257,12,FALSE))</f>
        <v/>
      </c>
      <c r="AX232" s="30" t="str">
        <f>IF(E232="","",VLOOKUP($B232,'F-1 Off-Site WaterC'' Baseline'!$C$9:$Z$257,14,FALSE))</f>
        <v/>
      </c>
      <c r="AY232" s="30" t="str">
        <f>IFERROR(INDEX('G-7 WaterC'' Data'!$AZ$3:$AZ$7,MATCH(N232,'G-7 WaterC'' Data'!$AY$3:$AY$7,0)),"")</f>
        <v/>
      </c>
      <c r="AZ232" s="30" t="str">
        <f>IF(B232="","",IF(ISNA(VLOOKUP($B232,'F-1 Off-Site WaterC'' Baseline'!$C$8:$AD$257,20,FALSE)),"",(VLOOKUP($B232,'F-1 Off-Site WaterC'' Baseline'!$C$8:$AD$257,20,FALSE))))</f>
        <v/>
      </c>
      <c r="BC232" s="30" t="str">
        <f>IF(B232="","",VLOOKUP($B232,'F-1 Off-Site WaterC'' Baseline'!$C$9:$AB$257,25,FALSE))</f>
        <v/>
      </c>
      <c r="BD232" s="30" t="str">
        <f t="shared" si="42"/>
        <v/>
      </c>
      <c r="BE232" s="30" t="str">
        <f>IF(B232="","",VLOOKUP($B232,'F-1 Off-Site WaterC'' Baseline'!$C$9:$AB$257,24,FALSE))</f>
        <v/>
      </c>
      <c r="BF232" s="30" t="str">
        <f>IF(B232="","",VLOOKUP($B232,'F-1 Off-Site WaterC'' Baseline'!$C$9:$AB$257,22,FALSE))</f>
        <v/>
      </c>
      <c r="BJ232" s="30" t="str">
        <f t="shared" si="43"/>
        <v>No</v>
      </c>
    </row>
    <row r="233" spans="2:62" ht="13.8" x14ac:dyDescent="0.25">
      <c r="B233" s="311" t="str">
        <f>'F-1 Off-Site WaterC'' Baseline'!AS231</f>
        <v/>
      </c>
      <c r="C233" s="301" t="str">
        <f>IF(B233="","",VLOOKUP($B233,'F-1 Off-Site WaterC'' Baseline'!$C$9:$R$257,2,FALSE))</f>
        <v/>
      </c>
      <c r="D233" s="301" t="str">
        <f>IF(C233="","",VLOOKUP($B233,'F-1 Off-Site WaterC'' Baseline'!$C$9:$R$257,3,FALSE))</f>
        <v/>
      </c>
      <c r="E233" s="301" t="str">
        <f>IF(D233="","",VLOOKUP($B233,'F-1 Off-Site WaterC'' Baseline'!$C$9:$R$257,4,FALSE))</f>
        <v/>
      </c>
      <c r="F233" s="301" t="str">
        <f>IF(E233="","",VLOOKUP($B233,'F-1 Off-Site WaterC'' Baseline'!$C$9:$R$257,5,FALSE))</f>
        <v/>
      </c>
      <c r="G233" s="301" t="str">
        <f>IF(F233="","",VLOOKUP($B233,'F-1 Off-Site WaterC'' Baseline'!$C$9:$R$257,6,FALSE))</f>
        <v/>
      </c>
      <c r="H233" s="301" t="str">
        <f>IF(G233="","",VLOOKUP($B233,'F-1 Off-Site WaterC'' Baseline'!$C$9:$R$257,7,FALSE))</f>
        <v/>
      </c>
      <c r="I233" s="301" t="str">
        <f>IF(H233="","",VLOOKUP($B233,'F-1 Off-Site WaterC'' Baseline'!$C$9:$R$257,8,FALSE))</f>
        <v/>
      </c>
      <c r="J233" s="301" t="str">
        <f>IF(I233="","",VLOOKUP($B233,'F-1 Off-Site WaterC'' Baseline'!$C$9:$R$257,9,FALSE))</f>
        <v/>
      </c>
      <c r="K233" s="301" t="str">
        <f>IF(J233="","",VLOOKUP($B233,'F-1 Off-Site WaterC'' Baseline'!$C$9:$R$257,10,FALSE))</f>
        <v/>
      </c>
      <c r="L233" s="289" t="str">
        <f>IF(B233="","",VLOOKUP($B233,'F-1 Off-Site WaterC'' Baseline'!$C$9:$R$257,15,FALSE))</f>
        <v/>
      </c>
      <c r="M233" s="305" t="str">
        <f>IF(L233="","",VLOOKUP($B233,'F-1 Off-Site WaterC'' Baseline'!$C$9:$V$257,19,FALSE))</f>
        <v/>
      </c>
      <c r="N233" s="250"/>
      <c r="O233" s="281" t="str">
        <f t="shared" si="36"/>
        <v/>
      </c>
      <c r="P233" s="282" t="str">
        <f t="shared" si="37"/>
        <v/>
      </c>
      <c r="Q233" s="287" t="str">
        <f>IF(N233="","",VLOOKUP(B233,'F-1 Off-Site WaterC'' Baseline'!$C$10:$AF$257,23,FALSE))</f>
        <v/>
      </c>
      <c r="R233" s="281" t="str">
        <f>IF(N233="","",VLOOKUP(N233,'G-7 WaterC'' Data'!$B$2:$G$8,2,FALSE))</f>
        <v/>
      </c>
      <c r="S233" s="282" t="str">
        <f>IFERROR(VLOOKUP(R233,'G-7 WaterC'' Data'!$C$4:$D$8,2,FALSE),"")</f>
        <v/>
      </c>
      <c r="T233" s="105"/>
      <c r="U233" s="282" t="str">
        <f>IFERROR(INDEX('G-7 WaterC'' Data'!$H$4:$L$8,MATCH(N233,'G-7 WaterC'' Data'!$B$4:$B$8,0),MATCH(T233,'G-7 WaterC'' Data'!$H$3:$L$3,0)),"")</f>
        <v/>
      </c>
      <c r="V233" s="109"/>
      <c r="W233" s="301" t="str">
        <f>IF(V233="","",IF(VLOOKUP(V233,'G-7 WaterC'' Data'!$AK$4:$AM$6,2,FALSE)=0,"Spatial Data Missing ⚠",VLOOKUP(V233,'G-7 WaterC'' Data'!$AK$4:$AM$6,2,FALSE)))</f>
        <v/>
      </c>
      <c r="X233" s="305" t="str">
        <f>IF(V233="","",IF(VLOOKUP(V233,'G-7 WaterC'' Data'!$AK$4:$AM$6,3,FALSE)=0,"Spatial Data Missing ⚠",VLOOKUP(V233,'G-7 WaterC'' Data'!$AK$4:$AM$6,3,FALSE)))</f>
        <v/>
      </c>
      <c r="Y233" s="317" t="str">
        <f>IFERROR(IF(OR(LEFT(P233,5)="Error",LEFT(O233,5)="Error"),"Check Data ⚠",IF(F233&lt;S233,'G-7 WaterC'' Data'!$R$3,INDEX('G-7 WaterC'' Data'!$U$5:$Y$9,MATCH(G233,'G-7 WaterC'' Data'!$T$5:$T$9,0),MATCH(T233,'G-7 WaterC'' Data'!$U$4:$Y$4,0)))),"")</f>
        <v/>
      </c>
      <c r="Z233" s="142"/>
      <c r="AA233" s="142"/>
      <c r="AB233" s="314" t="str">
        <f t="shared" si="33"/>
        <v/>
      </c>
      <c r="AC233" s="302" t="str">
        <f t="shared" si="38"/>
        <v/>
      </c>
      <c r="AD233" s="340" t="str">
        <f>IFERROR(IF(AC233="Check Data ⚠","Check Data ⚠",VLOOKUP(AC233,'G-4 Temporal multipliers'!$A$4:$C$37,3,FALSE)),"")</f>
        <v/>
      </c>
      <c r="AE233" s="317" t="str">
        <f>IF(N233="","",VLOOKUP(N233,'G-7 WaterC'' Data'!$B$4:$G$8,5,FALSE))</f>
        <v/>
      </c>
      <c r="AF233" s="301" t="str">
        <f t="shared" si="34"/>
        <v/>
      </c>
      <c r="AG233" s="301" t="str">
        <f t="shared" si="39"/>
        <v/>
      </c>
      <c r="AH233" s="282" t="str">
        <f t="shared" si="35"/>
        <v/>
      </c>
      <c r="AI233" s="109"/>
      <c r="AJ233" s="282" t="str">
        <f>IF(AI233="","",(IF(AND(AI233="N/A - Culvert",N233&lt;&gt;"Culvert"),"Not possible ▲",IF(VLOOKUP(AI233,'G-7 WaterC'' Data'!$AA$4:$AB$7,2,FALSE)=0,"Spatial Data Missing ⚠",VLOOKUP(AI233,'G-7 WaterC'' Data'!$AA$4:$AB$7,2,FALSE)))))</f>
        <v/>
      </c>
      <c r="AK233" s="110"/>
      <c r="AL233" s="316" t="str">
        <f>IF(AK233="","",IF(AND(AK233="N/A - Culvert",N233&lt;&gt;"Culvert"),"Not possible ▲",IF(VLOOKUP(AK233,'G-7 WaterC'' Data'!$AD$4:$AE$14,2,FALSE)=0,"Spatial Data Missing ⚠",VLOOKUP(AK233,'G-7 WaterC'' Data'!$AD$4:$AE$14,2,FALSE))))</f>
        <v/>
      </c>
      <c r="AM233" s="281" t="str">
        <f>IF(B233="","",VLOOKUP($B233,'F-1 Off-Site WaterC'' Baseline'!$C$9:$Z$257,17,FALSE))</f>
        <v/>
      </c>
      <c r="AN233" s="282" t="str">
        <f>IF(AM233="","",IF(VLOOKUP(AM233,'G-7 WaterC'' Data'!$AO$4:$BO$7,2,FALSE)=0,"Spatial Data Missing ⚠",VLOOKUP(AM233,'G-7 WaterC'' Data'!$AO$4:$BO$7,2,FALSE)))</f>
        <v/>
      </c>
      <c r="AO233" s="323" t="str">
        <f t="shared" si="40"/>
        <v/>
      </c>
      <c r="AP233" s="323" t="str">
        <f t="shared" si="41"/>
        <v/>
      </c>
      <c r="AQ233" s="105"/>
      <c r="AR233" s="119"/>
      <c r="AS233" s="108"/>
      <c r="AT233" s="108"/>
      <c r="AW233" s="30" t="str">
        <f>IF(E233="","",VLOOKUP($B233,'F-1 Off-Site WaterC'' Baseline'!$C$9:$Z$257,12,FALSE))</f>
        <v/>
      </c>
      <c r="AX233" s="30" t="str">
        <f>IF(E233="","",VLOOKUP($B233,'F-1 Off-Site WaterC'' Baseline'!$C$9:$Z$257,14,FALSE))</f>
        <v/>
      </c>
      <c r="AY233" s="30" t="str">
        <f>IFERROR(INDEX('G-7 WaterC'' Data'!$AZ$3:$AZ$7,MATCH(N233,'G-7 WaterC'' Data'!$AY$3:$AY$7,0)),"")</f>
        <v/>
      </c>
      <c r="AZ233" s="30" t="str">
        <f>IF(B233="","",IF(ISNA(VLOOKUP($B233,'F-1 Off-Site WaterC'' Baseline'!$C$8:$AD$257,20,FALSE)),"",(VLOOKUP($B233,'F-1 Off-Site WaterC'' Baseline'!$C$8:$AD$257,20,FALSE))))</f>
        <v/>
      </c>
      <c r="BC233" s="30" t="str">
        <f>IF(B233="","",VLOOKUP($B233,'F-1 Off-Site WaterC'' Baseline'!$C$9:$AB$257,25,FALSE))</f>
        <v/>
      </c>
      <c r="BD233" s="30" t="str">
        <f t="shared" si="42"/>
        <v/>
      </c>
      <c r="BE233" s="30" t="str">
        <f>IF(B233="","",VLOOKUP($B233,'F-1 Off-Site WaterC'' Baseline'!$C$9:$AB$257,24,FALSE))</f>
        <v/>
      </c>
      <c r="BF233" s="30" t="str">
        <f>IF(B233="","",VLOOKUP($B233,'F-1 Off-Site WaterC'' Baseline'!$C$9:$AB$257,22,FALSE))</f>
        <v/>
      </c>
      <c r="BJ233" s="30" t="str">
        <f t="shared" si="43"/>
        <v>No</v>
      </c>
    </row>
    <row r="234" spans="2:62" ht="13.8" x14ac:dyDescent="0.25">
      <c r="B234" s="311" t="str">
        <f>'F-1 Off-Site WaterC'' Baseline'!AS232</f>
        <v/>
      </c>
      <c r="C234" s="301" t="str">
        <f>IF(B234="","",VLOOKUP($B234,'F-1 Off-Site WaterC'' Baseline'!$C$9:$R$257,2,FALSE))</f>
        <v/>
      </c>
      <c r="D234" s="301" t="str">
        <f>IF(C234="","",VLOOKUP($B234,'F-1 Off-Site WaterC'' Baseline'!$C$9:$R$257,3,FALSE))</f>
        <v/>
      </c>
      <c r="E234" s="301" t="str">
        <f>IF(D234="","",VLOOKUP($B234,'F-1 Off-Site WaterC'' Baseline'!$C$9:$R$257,4,FALSE))</f>
        <v/>
      </c>
      <c r="F234" s="301" t="str">
        <f>IF(E234="","",VLOOKUP($B234,'F-1 Off-Site WaterC'' Baseline'!$C$9:$R$257,5,FALSE))</f>
        <v/>
      </c>
      <c r="G234" s="301" t="str">
        <f>IF(F234="","",VLOOKUP($B234,'F-1 Off-Site WaterC'' Baseline'!$C$9:$R$257,6,FALSE))</f>
        <v/>
      </c>
      <c r="H234" s="301" t="str">
        <f>IF(G234="","",VLOOKUP($B234,'F-1 Off-Site WaterC'' Baseline'!$C$9:$R$257,7,FALSE))</f>
        <v/>
      </c>
      <c r="I234" s="301" t="str">
        <f>IF(H234="","",VLOOKUP($B234,'F-1 Off-Site WaterC'' Baseline'!$C$9:$R$257,8,FALSE))</f>
        <v/>
      </c>
      <c r="J234" s="301" t="str">
        <f>IF(I234="","",VLOOKUP($B234,'F-1 Off-Site WaterC'' Baseline'!$C$9:$R$257,9,FALSE))</f>
        <v/>
      </c>
      <c r="K234" s="301" t="str">
        <f>IF(J234="","",VLOOKUP($B234,'F-1 Off-Site WaterC'' Baseline'!$C$9:$R$257,10,FALSE))</f>
        <v/>
      </c>
      <c r="L234" s="289" t="str">
        <f>IF(B234="","",VLOOKUP($B234,'F-1 Off-Site WaterC'' Baseline'!$C$9:$R$257,15,FALSE))</f>
        <v/>
      </c>
      <c r="M234" s="305" t="str">
        <f>IF(L234="","",VLOOKUP($B234,'F-1 Off-Site WaterC'' Baseline'!$C$9:$V$257,19,FALSE))</f>
        <v/>
      </c>
      <c r="N234" s="250"/>
      <c r="O234" s="281" t="str">
        <f t="shared" si="36"/>
        <v/>
      </c>
      <c r="P234" s="282" t="str">
        <f t="shared" si="37"/>
        <v/>
      </c>
      <c r="Q234" s="287" t="str">
        <f>IF(N234="","",VLOOKUP(B234,'F-1 Off-Site WaterC'' Baseline'!$C$10:$AF$257,23,FALSE))</f>
        <v/>
      </c>
      <c r="R234" s="281" t="str">
        <f>IF(N234="","",VLOOKUP(N234,'G-7 WaterC'' Data'!$B$2:$G$8,2,FALSE))</f>
        <v/>
      </c>
      <c r="S234" s="282" t="str">
        <f>IFERROR(VLOOKUP(R234,'G-7 WaterC'' Data'!$C$4:$D$8,2,FALSE),"")</f>
        <v/>
      </c>
      <c r="T234" s="105"/>
      <c r="U234" s="282" t="str">
        <f>IFERROR(INDEX('G-7 WaterC'' Data'!$H$4:$L$8,MATCH(N234,'G-7 WaterC'' Data'!$B$4:$B$8,0),MATCH(T234,'G-7 WaterC'' Data'!$H$3:$L$3,0)),"")</f>
        <v/>
      </c>
      <c r="V234" s="109"/>
      <c r="W234" s="301" t="str">
        <f>IF(V234="","",IF(VLOOKUP(V234,'G-7 WaterC'' Data'!$AK$4:$AM$6,2,FALSE)=0,"Spatial Data Missing ⚠",VLOOKUP(V234,'G-7 WaterC'' Data'!$AK$4:$AM$6,2,FALSE)))</f>
        <v/>
      </c>
      <c r="X234" s="305" t="str">
        <f>IF(V234="","",IF(VLOOKUP(V234,'G-7 WaterC'' Data'!$AK$4:$AM$6,3,FALSE)=0,"Spatial Data Missing ⚠",VLOOKUP(V234,'G-7 WaterC'' Data'!$AK$4:$AM$6,3,FALSE)))</f>
        <v/>
      </c>
      <c r="Y234" s="317" t="str">
        <f>IFERROR(IF(OR(LEFT(P234,5)="Error",LEFT(O234,5)="Error"),"Check Data ⚠",IF(F234&lt;S234,'G-7 WaterC'' Data'!$R$3,INDEX('G-7 WaterC'' Data'!$U$5:$Y$9,MATCH(G234,'G-7 WaterC'' Data'!$T$5:$T$9,0),MATCH(T234,'G-7 WaterC'' Data'!$U$4:$Y$4,0)))),"")</f>
        <v/>
      </c>
      <c r="Z234" s="142"/>
      <c r="AA234" s="142"/>
      <c r="AB234" s="314" t="str">
        <f t="shared" si="33"/>
        <v/>
      </c>
      <c r="AC234" s="302" t="str">
        <f t="shared" si="38"/>
        <v/>
      </c>
      <c r="AD234" s="340" t="str">
        <f>IFERROR(IF(AC234="Check Data ⚠","Check Data ⚠",VLOOKUP(AC234,'G-4 Temporal multipliers'!$A$4:$C$37,3,FALSE)),"")</f>
        <v/>
      </c>
      <c r="AE234" s="317" t="str">
        <f>IF(N234="","",VLOOKUP(N234,'G-7 WaterC'' Data'!$B$4:$G$8,5,FALSE))</f>
        <v/>
      </c>
      <c r="AF234" s="301" t="str">
        <f t="shared" si="34"/>
        <v/>
      </c>
      <c r="AG234" s="301" t="str">
        <f t="shared" si="39"/>
        <v/>
      </c>
      <c r="AH234" s="282" t="str">
        <f t="shared" si="35"/>
        <v/>
      </c>
      <c r="AI234" s="109"/>
      <c r="AJ234" s="282" t="str">
        <f>IF(AI234="","",(IF(AND(AI234="N/A - Culvert",N234&lt;&gt;"Culvert"),"Not possible ▲",IF(VLOOKUP(AI234,'G-7 WaterC'' Data'!$AA$4:$AB$7,2,FALSE)=0,"Spatial Data Missing ⚠",VLOOKUP(AI234,'G-7 WaterC'' Data'!$AA$4:$AB$7,2,FALSE)))))</f>
        <v/>
      </c>
      <c r="AK234" s="110"/>
      <c r="AL234" s="316" t="str">
        <f>IF(AK234="","",IF(AND(AK234="N/A - Culvert",N234&lt;&gt;"Culvert"),"Not possible ▲",IF(VLOOKUP(AK234,'G-7 WaterC'' Data'!$AD$4:$AE$14,2,FALSE)=0,"Spatial Data Missing ⚠",VLOOKUP(AK234,'G-7 WaterC'' Data'!$AD$4:$AE$14,2,FALSE))))</f>
        <v/>
      </c>
      <c r="AM234" s="281" t="str">
        <f>IF(B234="","",VLOOKUP($B234,'F-1 Off-Site WaterC'' Baseline'!$C$9:$Z$257,17,FALSE))</f>
        <v/>
      </c>
      <c r="AN234" s="282" t="str">
        <f>IF(AM234="","",IF(VLOOKUP(AM234,'G-7 WaterC'' Data'!$AO$4:$BO$7,2,FALSE)=0,"Spatial Data Missing ⚠",VLOOKUP(AM234,'G-7 WaterC'' Data'!$AO$4:$BO$7,2,FALSE)))</f>
        <v/>
      </c>
      <c r="AO234" s="323" t="str">
        <f t="shared" si="40"/>
        <v/>
      </c>
      <c r="AP234" s="323" t="str">
        <f t="shared" si="41"/>
        <v/>
      </c>
      <c r="AQ234" s="105"/>
      <c r="AR234" s="119"/>
      <c r="AS234" s="108"/>
      <c r="AT234" s="108"/>
      <c r="AW234" s="30" t="str">
        <f>IF(E234="","",VLOOKUP($B234,'F-1 Off-Site WaterC'' Baseline'!$C$9:$Z$257,12,FALSE))</f>
        <v/>
      </c>
      <c r="AX234" s="30" t="str">
        <f>IF(E234="","",VLOOKUP($B234,'F-1 Off-Site WaterC'' Baseline'!$C$9:$Z$257,14,FALSE))</f>
        <v/>
      </c>
      <c r="AY234" s="30" t="str">
        <f>IFERROR(INDEX('G-7 WaterC'' Data'!$AZ$3:$AZ$7,MATCH(N234,'G-7 WaterC'' Data'!$AY$3:$AY$7,0)),"")</f>
        <v/>
      </c>
      <c r="AZ234" s="30" t="str">
        <f>IF(B234="","",IF(ISNA(VLOOKUP($B234,'F-1 Off-Site WaterC'' Baseline'!$C$8:$AD$257,20,FALSE)),"",(VLOOKUP($B234,'F-1 Off-Site WaterC'' Baseline'!$C$8:$AD$257,20,FALSE))))</f>
        <v/>
      </c>
      <c r="BC234" s="30" t="str">
        <f>IF(B234="","",VLOOKUP($B234,'F-1 Off-Site WaterC'' Baseline'!$C$9:$AB$257,25,FALSE))</f>
        <v/>
      </c>
      <c r="BD234" s="30" t="str">
        <f t="shared" si="42"/>
        <v/>
      </c>
      <c r="BE234" s="30" t="str">
        <f>IF(B234="","",VLOOKUP($B234,'F-1 Off-Site WaterC'' Baseline'!$C$9:$AB$257,24,FALSE))</f>
        <v/>
      </c>
      <c r="BF234" s="30" t="str">
        <f>IF(B234="","",VLOOKUP($B234,'F-1 Off-Site WaterC'' Baseline'!$C$9:$AB$257,22,FALSE))</f>
        <v/>
      </c>
      <c r="BJ234" s="30" t="str">
        <f t="shared" si="43"/>
        <v>No</v>
      </c>
    </row>
    <row r="235" spans="2:62" ht="13.8" x14ac:dyDescent="0.25">
      <c r="B235" s="311" t="str">
        <f>'F-1 Off-Site WaterC'' Baseline'!AS233</f>
        <v/>
      </c>
      <c r="C235" s="301" t="str">
        <f>IF(B235="","",VLOOKUP($B235,'F-1 Off-Site WaterC'' Baseline'!$C$9:$R$257,2,FALSE))</f>
        <v/>
      </c>
      <c r="D235" s="301" t="str">
        <f>IF(C235="","",VLOOKUP($B235,'F-1 Off-Site WaterC'' Baseline'!$C$9:$R$257,3,FALSE))</f>
        <v/>
      </c>
      <c r="E235" s="301" t="str">
        <f>IF(D235="","",VLOOKUP($B235,'F-1 Off-Site WaterC'' Baseline'!$C$9:$R$257,4,FALSE))</f>
        <v/>
      </c>
      <c r="F235" s="301" t="str">
        <f>IF(E235="","",VLOOKUP($B235,'F-1 Off-Site WaterC'' Baseline'!$C$9:$R$257,5,FALSE))</f>
        <v/>
      </c>
      <c r="G235" s="301" t="str">
        <f>IF(F235="","",VLOOKUP($B235,'F-1 Off-Site WaterC'' Baseline'!$C$9:$R$257,6,FALSE))</f>
        <v/>
      </c>
      <c r="H235" s="301" t="str">
        <f>IF(G235="","",VLOOKUP($B235,'F-1 Off-Site WaterC'' Baseline'!$C$9:$R$257,7,FALSE))</f>
        <v/>
      </c>
      <c r="I235" s="301" t="str">
        <f>IF(H235="","",VLOOKUP($B235,'F-1 Off-Site WaterC'' Baseline'!$C$9:$R$257,8,FALSE))</f>
        <v/>
      </c>
      <c r="J235" s="301" t="str">
        <f>IF(I235="","",VLOOKUP($B235,'F-1 Off-Site WaterC'' Baseline'!$C$9:$R$257,9,FALSE))</f>
        <v/>
      </c>
      <c r="K235" s="301" t="str">
        <f>IF(J235="","",VLOOKUP($B235,'F-1 Off-Site WaterC'' Baseline'!$C$9:$R$257,10,FALSE))</f>
        <v/>
      </c>
      <c r="L235" s="289" t="str">
        <f>IF(B235="","",VLOOKUP($B235,'F-1 Off-Site WaterC'' Baseline'!$C$9:$R$257,15,FALSE))</f>
        <v/>
      </c>
      <c r="M235" s="305" t="str">
        <f>IF(L235="","",VLOOKUP($B235,'F-1 Off-Site WaterC'' Baseline'!$C$9:$V$257,19,FALSE))</f>
        <v/>
      </c>
      <c r="N235" s="250"/>
      <c r="O235" s="281" t="str">
        <f t="shared" si="36"/>
        <v/>
      </c>
      <c r="P235" s="282" t="str">
        <f t="shared" si="37"/>
        <v/>
      </c>
      <c r="Q235" s="287" t="str">
        <f>IF(N235="","",VLOOKUP(B235,'F-1 Off-Site WaterC'' Baseline'!$C$10:$AF$257,23,FALSE))</f>
        <v/>
      </c>
      <c r="R235" s="281" t="str">
        <f>IF(N235="","",VLOOKUP(N235,'G-7 WaterC'' Data'!$B$2:$G$8,2,FALSE))</f>
        <v/>
      </c>
      <c r="S235" s="282" t="str">
        <f>IFERROR(VLOOKUP(R235,'G-7 WaterC'' Data'!$C$4:$D$8,2,FALSE),"")</f>
        <v/>
      </c>
      <c r="T235" s="105"/>
      <c r="U235" s="282" t="str">
        <f>IFERROR(INDEX('G-7 WaterC'' Data'!$H$4:$L$8,MATCH(N235,'G-7 WaterC'' Data'!$B$4:$B$8,0),MATCH(T235,'G-7 WaterC'' Data'!$H$3:$L$3,0)),"")</f>
        <v/>
      </c>
      <c r="V235" s="109"/>
      <c r="W235" s="301" t="str">
        <f>IF(V235="","",IF(VLOOKUP(V235,'G-7 WaterC'' Data'!$AK$4:$AM$6,2,FALSE)=0,"Spatial Data Missing ⚠",VLOOKUP(V235,'G-7 WaterC'' Data'!$AK$4:$AM$6,2,FALSE)))</f>
        <v/>
      </c>
      <c r="X235" s="305" t="str">
        <f>IF(V235="","",IF(VLOOKUP(V235,'G-7 WaterC'' Data'!$AK$4:$AM$6,3,FALSE)=0,"Spatial Data Missing ⚠",VLOOKUP(V235,'G-7 WaterC'' Data'!$AK$4:$AM$6,3,FALSE)))</f>
        <v/>
      </c>
      <c r="Y235" s="317" t="str">
        <f>IFERROR(IF(OR(LEFT(P235,5)="Error",LEFT(O235,5)="Error"),"Check Data ⚠",IF(F235&lt;S235,'G-7 WaterC'' Data'!$R$3,INDEX('G-7 WaterC'' Data'!$U$5:$Y$9,MATCH(G235,'G-7 WaterC'' Data'!$T$5:$T$9,0),MATCH(T235,'G-7 WaterC'' Data'!$U$4:$Y$4,0)))),"")</f>
        <v/>
      </c>
      <c r="Z235" s="142"/>
      <c r="AA235" s="142"/>
      <c r="AB235" s="314" t="str">
        <f t="shared" si="33"/>
        <v/>
      </c>
      <c r="AC235" s="302" t="str">
        <f t="shared" si="38"/>
        <v/>
      </c>
      <c r="AD235" s="340" t="str">
        <f>IFERROR(IF(AC235="Check Data ⚠","Check Data ⚠",VLOOKUP(AC235,'G-4 Temporal multipliers'!$A$4:$C$37,3,FALSE)),"")</f>
        <v/>
      </c>
      <c r="AE235" s="317" t="str">
        <f>IF(N235="","",VLOOKUP(N235,'G-7 WaterC'' Data'!$B$4:$G$8,5,FALSE))</f>
        <v/>
      </c>
      <c r="AF235" s="301" t="str">
        <f t="shared" si="34"/>
        <v/>
      </c>
      <c r="AG235" s="301" t="str">
        <f t="shared" si="39"/>
        <v/>
      </c>
      <c r="AH235" s="282" t="str">
        <f t="shared" si="35"/>
        <v/>
      </c>
      <c r="AI235" s="109"/>
      <c r="AJ235" s="282" t="str">
        <f>IF(AI235="","",(IF(AND(AI235="N/A - Culvert",N235&lt;&gt;"Culvert"),"Not possible ▲",IF(VLOOKUP(AI235,'G-7 WaterC'' Data'!$AA$4:$AB$7,2,FALSE)=0,"Spatial Data Missing ⚠",VLOOKUP(AI235,'G-7 WaterC'' Data'!$AA$4:$AB$7,2,FALSE)))))</f>
        <v/>
      </c>
      <c r="AK235" s="110"/>
      <c r="AL235" s="316" t="str">
        <f>IF(AK235="","",IF(AND(AK235="N/A - Culvert",N235&lt;&gt;"Culvert"),"Not possible ▲",IF(VLOOKUP(AK235,'G-7 WaterC'' Data'!$AD$4:$AE$14,2,FALSE)=0,"Spatial Data Missing ⚠",VLOOKUP(AK235,'G-7 WaterC'' Data'!$AD$4:$AE$14,2,FALSE))))</f>
        <v/>
      </c>
      <c r="AM235" s="281" t="str">
        <f>IF(B235="","",VLOOKUP($B235,'F-1 Off-Site WaterC'' Baseline'!$C$9:$Z$257,17,FALSE))</f>
        <v/>
      </c>
      <c r="AN235" s="282" t="str">
        <f>IF(AM235="","",IF(VLOOKUP(AM235,'G-7 WaterC'' Data'!$AO$4:$BO$7,2,FALSE)=0,"Spatial Data Missing ⚠",VLOOKUP(AM235,'G-7 WaterC'' Data'!$AO$4:$BO$7,2,FALSE)))</f>
        <v/>
      </c>
      <c r="AO235" s="323" t="str">
        <f t="shared" si="40"/>
        <v/>
      </c>
      <c r="AP235" s="323" t="str">
        <f t="shared" si="41"/>
        <v/>
      </c>
      <c r="AQ235" s="105"/>
      <c r="AR235" s="119"/>
      <c r="AS235" s="108"/>
      <c r="AT235" s="108"/>
      <c r="AW235" s="30" t="str">
        <f>IF(E235="","",VLOOKUP($B235,'F-1 Off-Site WaterC'' Baseline'!$C$9:$Z$257,12,FALSE))</f>
        <v/>
      </c>
      <c r="AX235" s="30" t="str">
        <f>IF(E235="","",VLOOKUP($B235,'F-1 Off-Site WaterC'' Baseline'!$C$9:$Z$257,14,FALSE))</f>
        <v/>
      </c>
      <c r="AY235" s="30" t="str">
        <f>IFERROR(INDEX('G-7 WaterC'' Data'!$AZ$3:$AZ$7,MATCH(N235,'G-7 WaterC'' Data'!$AY$3:$AY$7,0)),"")</f>
        <v/>
      </c>
      <c r="AZ235" s="30" t="str">
        <f>IF(B235="","",IF(ISNA(VLOOKUP($B235,'F-1 Off-Site WaterC'' Baseline'!$C$8:$AD$257,20,FALSE)),"",(VLOOKUP($B235,'F-1 Off-Site WaterC'' Baseline'!$C$8:$AD$257,20,FALSE))))</f>
        <v/>
      </c>
      <c r="BC235" s="30" t="str">
        <f>IF(B235="","",VLOOKUP($B235,'F-1 Off-Site WaterC'' Baseline'!$C$9:$AB$257,25,FALSE))</f>
        <v/>
      </c>
      <c r="BD235" s="30" t="str">
        <f t="shared" si="42"/>
        <v/>
      </c>
      <c r="BE235" s="30" t="str">
        <f>IF(B235="","",VLOOKUP($B235,'F-1 Off-Site WaterC'' Baseline'!$C$9:$AB$257,24,FALSE))</f>
        <v/>
      </c>
      <c r="BF235" s="30" t="str">
        <f>IF(B235="","",VLOOKUP($B235,'F-1 Off-Site WaterC'' Baseline'!$C$9:$AB$257,22,FALSE))</f>
        <v/>
      </c>
      <c r="BJ235" s="30" t="str">
        <f t="shared" si="43"/>
        <v>No</v>
      </c>
    </row>
    <row r="236" spans="2:62" ht="13.8" x14ac:dyDescent="0.25">
      <c r="B236" s="311" t="str">
        <f>'F-1 Off-Site WaterC'' Baseline'!AS234</f>
        <v/>
      </c>
      <c r="C236" s="301" t="str">
        <f>IF(B236="","",VLOOKUP($B236,'F-1 Off-Site WaterC'' Baseline'!$C$9:$R$257,2,FALSE))</f>
        <v/>
      </c>
      <c r="D236" s="301" t="str">
        <f>IF(C236="","",VLOOKUP($B236,'F-1 Off-Site WaterC'' Baseline'!$C$9:$R$257,3,FALSE))</f>
        <v/>
      </c>
      <c r="E236" s="301" t="str">
        <f>IF(D236="","",VLOOKUP($B236,'F-1 Off-Site WaterC'' Baseline'!$C$9:$R$257,4,FALSE))</f>
        <v/>
      </c>
      <c r="F236" s="301" t="str">
        <f>IF(E236="","",VLOOKUP($B236,'F-1 Off-Site WaterC'' Baseline'!$C$9:$R$257,5,FALSE))</f>
        <v/>
      </c>
      <c r="G236" s="301" t="str">
        <f>IF(F236="","",VLOOKUP($B236,'F-1 Off-Site WaterC'' Baseline'!$C$9:$R$257,6,FALSE))</f>
        <v/>
      </c>
      <c r="H236" s="301" t="str">
        <f>IF(G236="","",VLOOKUP($B236,'F-1 Off-Site WaterC'' Baseline'!$C$9:$R$257,7,FALSE))</f>
        <v/>
      </c>
      <c r="I236" s="301" t="str">
        <f>IF(H236="","",VLOOKUP($B236,'F-1 Off-Site WaterC'' Baseline'!$C$9:$R$257,8,FALSE))</f>
        <v/>
      </c>
      <c r="J236" s="301" t="str">
        <f>IF(I236="","",VLOOKUP($B236,'F-1 Off-Site WaterC'' Baseline'!$C$9:$R$257,9,FALSE))</f>
        <v/>
      </c>
      <c r="K236" s="301" t="str">
        <f>IF(J236="","",VLOOKUP($B236,'F-1 Off-Site WaterC'' Baseline'!$C$9:$R$257,10,FALSE))</f>
        <v/>
      </c>
      <c r="L236" s="289" t="str">
        <f>IF(B236="","",VLOOKUP($B236,'F-1 Off-Site WaterC'' Baseline'!$C$9:$R$257,15,FALSE))</f>
        <v/>
      </c>
      <c r="M236" s="305" t="str">
        <f>IF(L236="","",VLOOKUP($B236,'F-1 Off-Site WaterC'' Baseline'!$C$9:$V$257,19,FALSE))</f>
        <v/>
      </c>
      <c r="N236" s="250"/>
      <c r="O236" s="281" t="str">
        <f t="shared" si="36"/>
        <v/>
      </c>
      <c r="P236" s="282" t="str">
        <f t="shared" si="37"/>
        <v/>
      </c>
      <c r="Q236" s="287" t="str">
        <f>IF(N236="","",VLOOKUP(B236,'F-1 Off-Site WaterC'' Baseline'!$C$10:$AF$257,23,FALSE))</f>
        <v/>
      </c>
      <c r="R236" s="281" t="str">
        <f>IF(N236="","",VLOOKUP(N236,'G-7 WaterC'' Data'!$B$2:$G$8,2,FALSE))</f>
        <v/>
      </c>
      <c r="S236" s="282" t="str">
        <f>IFERROR(VLOOKUP(R236,'G-7 WaterC'' Data'!$C$4:$D$8,2,FALSE),"")</f>
        <v/>
      </c>
      <c r="T236" s="105"/>
      <c r="U236" s="282" t="str">
        <f>IFERROR(INDEX('G-7 WaterC'' Data'!$H$4:$L$8,MATCH(N236,'G-7 WaterC'' Data'!$B$4:$B$8,0),MATCH(T236,'G-7 WaterC'' Data'!$H$3:$L$3,0)),"")</f>
        <v/>
      </c>
      <c r="V236" s="109"/>
      <c r="W236" s="301" t="str">
        <f>IF(V236="","",IF(VLOOKUP(V236,'G-7 WaterC'' Data'!$AK$4:$AM$6,2,FALSE)=0,"Spatial Data Missing ⚠",VLOOKUP(V236,'G-7 WaterC'' Data'!$AK$4:$AM$6,2,FALSE)))</f>
        <v/>
      </c>
      <c r="X236" s="305" t="str">
        <f>IF(V236="","",IF(VLOOKUP(V236,'G-7 WaterC'' Data'!$AK$4:$AM$6,3,FALSE)=0,"Spatial Data Missing ⚠",VLOOKUP(V236,'G-7 WaterC'' Data'!$AK$4:$AM$6,3,FALSE)))</f>
        <v/>
      </c>
      <c r="Y236" s="317" t="str">
        <f>IFERROR(IF(OR(LEFT(P236,5)="Error",LEFT(O236,5)="Error"),"Check Data ⚠",IF(F236&lt;S236,'G-7 WaterC'' Data'!$R$3,INDEX('G-7 WaterC'' Data'!$U$5:$Y$9,MATCH(G236,'G-7 WaterC'' Data'!$T$5:$T$9,0),MATCH(T236,'G-7 WaterC'' Data'!$U$4:$Y$4,0)))),"")</f>
        <v/>
      </c>
      <c r="Z236" s="142"/>
      <c r="AA236" s="142"/>
      <c r="AB236" s="314" t="str">
        <f t="shared" si="33"/>
        <v/>
      </c>
      <c r="AC236" s="302" t="str">
        <f t="shared" si="38"/>
        <v/>
      </c>
      <c r="AD236" s="340" t="str">
        <f>IFERROR(IF(AC236="Check Data ⚠","Check Data ⚠",VLOOKUP(AC236,'G-4 Temporal multipliers'!$A$4:$C$37,3,FALSE)),"")</f>
        <v/>
      </c>
      <c r="AE236" s="317" t="str">
        <f>IF(N236="","",VLOOKUP(N236,'G-7 WaterC'' Data'!$B$4:$G$8,5,FALSE))</f>
        <v/>
      </c>
      <c r="AF236" s="301" t="str">
        <f t="shared" si="34"/>
        <v/>
      </c>
      <c r="AG236" s="301" t="str">
        <f t="shared" si="39"/>
        <v/>
      </c>
      <c r="AH236" s="282" t="str">
        <f t="shared" si="35"/>
        <v/>
      </c>
      <c r="AI236" s="109"/>
      <c r="AJ236" s="282" t="str">
        <f>IF(AI236="","",(IF(AND(AI236="N/A - Culvert",N236&lt;&gt;"Culvert"),"Not possible ▲",IF(VLOOKUP(AI236,'G-7 WaterC'' Data'!$AA$4:$AB$7,2,FALSE)=0,"Spatial Data Missing ⚠",VLOOKUP(AI236,'G-7 WaterC'' Data'!$AA$4:$AB$7,2,FALSE)))))</f>
        <v/>
      </c>
      <c r="AK236" s="110"/>
      <c r="AL236" s="316" t="str">
        <f>IF(AK236="","",IF(AND(AK236="N/A - Culvert",N236&lt;&gt;"Culvert"),"Not possible ▲",IF(VLOOKUP(AK236,'G-7 WaterC'' Data'!$AD$4:$AE$14,2,FALSE)=0,"Spatial Data Missing ⚠",VLOOKUP(AK236,'G-7 WaterC'' Data'!$AD$4:$AE$14,2,FALSE))))</f>
        <v/>
      </c>
      <c r="AM236" s="281" t="str">
        <f>IF(B236="","",VLOOKUP($B236,'F-1 Off-Site WaterC'' Baseline'!$C$9:$Z$257,17,FALSE))</f>
        <v/>
      </c>
      <c r="AN236" s="282" t="str">
        <f>IF(AM236="","",IF(VLOOKUP(AM236,'G-7 WaterC'' Data'!$AO$4:$BO$7,2,FALSE)=0,"Spatial Data Missing ⚠",VLOOKUP(AM236,'G-7 WaterC'' Data'!$AO$4:$BO$7,2,FALSE)))</f>
        <v/>
      </c>
      <c r="AO236" s="323" t="str">
        <f t="shared" si="40"/>
        <v/>
      </c>
      <c r="AP236" s="323" t="str">
        <f t="shared" si="41"/>
        <v/>
      </c>
      <c r="AQ236" s="105"/>
      <c r="AR236" s="119"/>
      <c r="AS236" s="108"/>
      <c r="AT236" s="108"/>
      <c r="AW236" s="30" t="str">
        <f>IF(E236="","",VLOOKUP($B236,'F-1 Off-Site WaterC'' Baseline'!$C$9:$Z$257,12,FALSE))</f>
        <v/>
      </c>
      <c r="AX236" s="30" t="str">
        <f>IF(E236="","",VLOOKUP($B236,'F-1 Off-Site WaterC'' Baseline'!$C$9:$Z$257,14,FALSE))</f>
        <v/>
      </c>
      <c r="AY236" s="30" t="str">
        <f>IFERROR(INDEX('G-7 WaterC'' Data'!$AZ$3:$AZ$7,MATCH(N236,'G-7 WaterC'' Data'!$AY$3:$AY$7,0)),"")</f>
        <v/>
      </c>
      <c r="AZ236" s="30" t="str">
        <f>IF(B236="","",IF(ISNA(VLOOKUP($B236,'F-1 Off-Site WaterC'' Baseline'!$C$8:$AD$257,20,FALSE)),"",(VLOOKUP($B236,'F-1 Off-Site WaterC'' Baseline'!$C$8:$AD$257,20,FALSE))))</f>
        <v/>
      </c>
      <c r="BC236" s="30" t="str">
        <f>IF(B236="","",VLOOKUP($B236,'F-1 Off-Site WaterC'' Baseline'!$C$9:$AB$257,25,FALSE))</f>
        <v/>
      </c>
      <c r="BD236" s="30" t="str">
        <f t="shared" si="42"/>
        <v/>
      </c>
      <c r="BE236" s="30" t="str">
        <f>IF(B236="","",VLOOKUP($B236,'F-1 Off-Site WaterC'' Baseline'!$C$9:$AB$257,24,FALSE))</f>
        <v/>
      </c>
      <c r="BF236" s="30" t="str">
        <f>IF(B236="","",VLOOKUP($B236,'F-1 Off-Site WaterC'' Baseline'!$C$9:$AB$257,22,FALSE))</f>
        <v/>
      </c>
      <c r="BJ236" s="30" t="str">
        <f t="shared" si="43"/>
        <v>No</v>
      </c>
    </row>
    <row r="237" spans="2:62" ht="13.8" x14ac:dyDescent="0.25">
      <c r="B237" s="311" t="str">
        <f>'F-1 Off-Site WaterC'' Baseline'!AS235</f>
        <v/>
      </c>
      <c r="C237" s="301" t="str">
        <f>IF(B237="","",VLOOKUP($B237,'F-1 Off-Site WaterC'' Baseline'!$C$9:$R$257,2,FALSE))</f>
        <v/>
      </c>
      <c r="D237" s="301" t="str">
        <f>IF(C237="","",VLOOKUP($B237,'F-1 Off-Site WaterC'' Baseline'!$C$9:$R$257,3,FALSE))</f>
        <v/>
      </c>
      <c r="E237" s="301" t="str">
        <f>IF(D237="","",VLOOKUP($B237,'F-1 Off-Site WaterC'' Baseline'!$C$9:$R$257,4,FALSE))</f>
        <v/>
      </c>
      <c r="F237" s="301" t="str">
        <f>IF(E237="","",VLOOKUP($B237,'F-1 Off-Site WaterC'' Baseline'!$C$9:$R$257,5,FALSE))</f>
        <v/>
      </c>
      <c r="G237" s="301" t="str">
        <f>IF(F237="","",VLOOKUP($B237,'F-1 Off-Site WaterC'' Baseline'!$C$9:$R$257,6,FALSE))</f>
        <v/>
      </c>
      <c r="H237" s="301" t="str">
        <f>IF(G237="","",VLOOKUP($B237,'F-1 Off-Site WaterC'' Baseline'!$C$9:$R$257,7,FALSE))</f>
        <v/>
      </c>
      <c r="I237" s="301" t="str">
        <f>IF(H237="","",VLOOKUP($B237,'F-1 Off-Site WaterC'' Baseline'!$C$9:$R$257,8,FALSE))</f>
        <v/>
      </c>
      <c r="J237" s="301" t="str">
        <f>IF(I237="","",VLOOKUP($B237,'F-1 Off-Site WaterC'' Baseline'!$C$9:$R$257,9,FALSE))</f>
        <v/>
      </c>
      <c r="K237" s="301" t="str">
        <f>IF(J237="","",VLOOKUP($B237,'F-1 Off-Site WaterC'' Baseline'!$C$9:$R$257,10,FALSE))</f>
        <v/>
      </c>
      <c r="L237" s="289" t="str">
        <f>IF(B237="","",VLOOKUP($B237,'F-1 Off-Site WaterC'' Baseline'!$C$9:$R$257,15,FALSE))</f>
        <v/>
      </c>
      <c r="M237" s="305" t="str">
        <f>IF(L237="","",VLOOKUP($B237,'F-1 Off-Site WaterC'' Baseline'!$C$9:$V$257,19,FALSE))</f>
        <v/>
      </c>
      <c r="N237" s="250"/>
      <c r="O237" s="281" t="str">
        <f t="shared" si="36"/>
        <v/>
      </c>
      <c r="P237" s="282" t="str">
        <f t="shared" si="37"/>
        <v/>
      </c>
      <c r="Q237" s="287" t="str">
        <f>IF(N237="","",VLOOKUP(B237,'F-1 Off-Site WaterC'' Baseline'!$C$10:$AF$257,23,FALSE))</f>
        <v/>
      </c>
      <c r="R237" s="281" t="str">
        <f>IF(N237="","",VLOOKUP(N237,'G-7 WaterC'' Data'!$B$2:$G$8,2,FALSE))</f>
        <v/>
      </c>
      <c r="S237" s="282" t="str">
        <f>IFERROR(VLOOKUP(R237,'G-7 WaterC'' Data'!$C$4:$D$8,2,FALSE),"")</f>
        <v/>
      </c>
      <c r="T237" s="105"/>
      <c r="U237" s="282" t="str">
        <f>IFERROR(INDEX('G-7 WaterC'' Data'!$H$4:$L$8,MATCH(N237,'G-7 WaterC'' Data'!$B$4:$B$8,0),MATCH(T237,'G-7 WaterC'' Data'!$H$3:$L$3,0)),"")</f>
        <v/>
      </c>
      <c r="V237" s="109"/>
      <c r="W237" s="301" t="str">
        <f>IF(V237="","",IF(VLOOKUP(V237,'G-7 WaterC'' Data'!$AK$4:$AM$6,2,FALSE)=0,"Spatial Data Missing ⚠",VLOOKUP(V237,'G-7 WaterC'' Data'!$AK$4:$AM$6,2,FALSE)))</f>
        <v/>
      </c>
      <c r="X237" s="305" t="str">
        <f>IF(V237="","",IF(VLOOKUP(V237,'G-7 WaterC'' Data'!$AK$4:$AM$6,3,FALSE)=0,"Spatial Data Missing ⚠",VLOOKUP(V237,'G-7 WaterC'' Data'!$AK$4:$AM$6,3,FALSE)))</f>
        <v/>
      </c>
      <c r="Y237" s="317" t="str">
        <f>IFERROR(IF(OR(LEFT(P237,5)="Error",LEFT(O237,5)="Error"),"Check Data ⚠",IF(F237&lt;S237,'G-7 WaterC'' Data'!$R$3,INDEX('G-7 WaterC'' Data'!$U$5:$Y$9,MATCH(G237,'G-7 WaterC'' Data'!$T$5:$T$9,0),MATCH(T237,'G-7 WaterC'' Data'!$U$4:$Y$4,0)))),"")</f>
        <v/>
      </c>
      <c r="Z237" s="142"/>
      <c r="AA237" s="142"/>
      <c r="AB237" s="314" t="str">
        <f t="shared" si="33"/>
        <v/>
      </c>
      <c r="AC237" s="302" t="str">
        <f t="shared" si="38"/>
        <v/>
      </c>
      <c r="AD237" s="340" t="str">
        <f>IFERROR(IF(AC237="Check Data ⚠","Check Data ⚠",VLOOKUP(AC237,'G-4 Temporal multipliers'!$A$4:$C$37,3,FALSE)),"")</f>
        <v/>
      </c>
      <c r="AE237" s="317" t="str">
        <f>IF(N237="","",VLOOKUP(N237,'G-7 WaterC'' Data'!$B$4:$G$8,5,FALSE))</f>
        <v/>
      </c>
      <c r="AF237" s="301" t="str">
        <f t="shared" si="34"/>
        <v/>
      </c>
      <c r="AG237" s="301" t="str">
        <f t="shared" si="39"/>
        <v/>
      </c>
      <c r="AH237" s="282" t="str">
        <f t="shared" si="35"/>
        <v/>
      </c>
      <c r="AI237" s="109"/>
      <c r="AJ237" s="282" t="str">
        <f>IF(AI237="","",(IF(AND(AI237="N/A - Culvert",N237&lt;&gt;"Culvert"),"Not possible ▲",IF(VLOOKUP(AI237,'G-7 WaterC'' Data'!$AA$4:$AB$7,2,FALSE)=0,"Spatial Data Missing ⚠",VLOOKUP(AI237,'G-7 WaterC'' Data'!$AA$4:$AB$7,2,FALSE)))))</f>
        <v/>
      </c>
      <c r="AK237" s="110"/>
      <c r="AL237" s="316" t="str">
        <f>IF(AK237="","",IF(AND(AK237="N/A - Culvert",N237&lt;&gt;"Culvert"),"Not possible ▲",IF(VLOOKUP(AK237,'G-7 WaterC'' Data'!$AD$4:$AE$14,2,FALSE)=0,"Spatial Data Missing ⚠",VLOOKUP(AK237,'G-7 WaterC'' Data'!$AD$4:$AE$14,2,FALSE))))</f>
        <v/>
      </c>
      <c r="AM237" s="281" t="str">
        <f>IF(B237="","",VLOOKUP($B237,'F-1 Off-Site WaterC'' Baseline'!$C$9:$Z$257,17,FALSE))</f>
        <v/>
      </c>
      <c r="AN237" s="282" t="str">
        <f>IF(AM237="","",IF(VLOOKUP(AM237,'G-7 WaterC'' Data'!$AO$4:$BO$7,2,FALSE)=0,"Spatial Data Missing ⚠",VLOOKUP(AM237,'G-7 WaterC'' Data'!$AO$4:$BO$7,2,FALSE)))</f>
        <v/>
      </c>
      <c r="AO237" s="323" t="str">
        <f t="shared" si="40"/>
        <v/>
      </c>
      <c r="AP237" s="323" t="str">
        <f t="shared" si="41"/>
        <v/>
      </c>
      <c r="AQ237" s="105"/>
      <c r="AR237" s="119"/>
      <c r="AS237" s="108"/>
      <c r="AT237" s="108"/>
      <c r="AW237" s="30" t="str">
        <f>IF(E237="","",VLOOKUP($B237,'F-1 Off-Site WaterC'' Baseline'!$C$9:$Z$257,12,FALSE))</f>
        <v/>
      </c>
      <c r="AX237" s="30" t="str">
        <f>IF(E237="","",VLOOKUP($B237,'F-1 Off-Site WaterC'' Baseline'!$C$9:$Z$257,14,FALSE))</f>
        <v/>
      </c>
      <c r="AY237" s="30" t="str">
        <f>IFERROR(INDEX('G-7 WaterC'' Data'!$AZ$3:$AZ$7,MATCH(N237,'G-7 WaterC'' Data'!$AY$3:$AY$7,0)),"")</f>
        <v/>
      </c>
      <c r="AZ237" s="30" t="str">
        <f>IF(B237="","",IF(ISNA(VLOOKUP($B237,'F-1 Off-Site WaterC'' Baseline'!$C$8:$AD$257,20,FALSE)),"",(VLOOKUP($B237,'F-1 Off-Site WaterC'' Baseline'!$C$8:$AD$257,20,FALSE))))</f>
        <v/>
      </c>
      <c r="BC237" s="30" t="str">
        <f>IF(B237="","",VLOOKUP($B237,'F-1 Off-Site WaterC'' Baseline'!$C$9:$AB$257,25,FALSE))</f>
        <v/>
      </c>
      <c r="BD237" s="30" t="str">
        <f t="shared" si="42"/>
        <v/>
      </c>
      <c r="BE237" s="30" t="str">
        <f>IF(B237="","",VLOOKUP($B237,'F-1 Off-Site WaterC'' Baseline'!$C$9:$AB$257,24,FALSE))</f>
        <v/>
      </c>
      <c r="BF237" s="30" t="str">
        <f>IF(B237="","",VLOOKUP($B237,'F-1 Off-Site WaterC'' Baseline'!$C$9:$AB$257,22,FALSE))</f>
        <v/>
      </c>
      <c r="BJ237" s="30" t="str">
        <f t="shared" si="43"/>
        <v>No</v>
      </c>
    </row>
    <row r="238" spans="2:62" ht="13.8" x14ac:dyDescent="0.25">
      <c r="B238" s="311" t="str">
        <f>'F-1 Off-Site WaterC'' Baseline'!AS236</f>
        <v/>
      </c>
      <c r="C238" s="301" t="str">
        <f>IF(B238="","",VLOOKUP($B238,'F-1 Off-Site WaterC'' Baseline'!$C$9:$R$257,2,FALSE))</f>
        <v/>
      </c>
      <c r="D238" s="301" t="str">
        <f>IF(C238="","",VLOOKUP($B238,'F-1 Off-Site WaterC'' Baseline'!$C$9:$R$257,3,FALSE))</f>
        <v/>
      </c>
      <c r="E238" s="301" t="str">
        <f>IF(D238="","",VLOOKUP($B238,'F-1 Off-Site WaterC'' Baseline'!$C$9:$R$257,4,FALSE))</f>
        <v/>
      </c>
      <c r="F238" s="301" t="str">
        <f>IF(E238="","",VLOOKUP($B238,'F-1 Off-Site WaterC'' Baseline'!$C$9:$R$257,5,FALSE))</f>
        <v/>
      </c>
      <c r="G238" s="301" t="str">
        <f>IF(F238="","",VLOOKUP($B238,'F-1 Off-Site WaterC'' Baseline'!$C$9:$R$257,6,FALSE))</f>
        <v/>
      </c>
      <c r="H238" s="301" t="str">
        <f>IF(G238="","",VLOOKUP($B238,'F-1 Off-Site WaterC'' Baseline'!$C$9:$R$257,7,FALSE))</f>
        <v/>
      </c>
      <c r="I238" s="301" t="str">
        <f>IF(H238="","",VLOOKUP($B238,'F-1 Off-Site WaterC'' Baseline'!$C$9:$R$257,8,FALSE))</f>
        <v/>
      </c>
      <c r="J238" s="301" t="str">
        <f>IF(I238="","",VLOOKUP($B238,'F-1 Off-Site WaterC'' Baseline'!$C$9:$R$257,9,FALSE))</f>
        <v/>
      </c>
      <c r="K238" s="301" t="str">
        <f>IF(J238="","",VLOOKUP($B238,'F-1 Off-Site WaterC'' Baseline'!$C$9:$R$257,10,FALSE))</f>
        <v/>
      </c>
      <c r="L238" s="289" t="str">
        <f>IF(B238="","",VLOOKUP($B238,'F-1 Off-Site WaterC'' Baseline'!$C$9:$R$257,15,FALSE))</f>
        <v/>
      </c>
      <c r="M238" s="305" t="str">
        <f>IF(L238="","",VLOOKUP($B238,'F-1 Off-Site WaterC'' Baseline'!$C$9:$V$257,19,FALSE))</f>
        <v/>
      </c>
      <c r="N238" s="250"/>
      <c r="O238" s="281" t="str">
        <f t="shared" si="36"/>
        <v/>
      </c>
      <c r="P238" s="282" t="str">
        <f t="shared" si="37"/>
        <v/>
      </c>
      <c r="Q238" s="287" t="str">
        <f>IF(N238="","",VLOOKUP(B238,'F-1 Off-Site WaterC'' Baseline'!$C$10:$AF$257,23,FALSE))</f>
        <v/>
      </c>
      <c r="R238" s="281" t="str">
        <f>IF(N238="","",VLOOKUP(N238,'G-7 WaterC'' Data'!$B$2:$G$8,2,FALSE))</f>
        <v/>
      </c>
      <c r="S238" s="282" t="str">
        <f>IFERROR(VLOOKUP(R238,'G-7 WaterC'' Data'!$C$4:$D$8,2,FALSE),"")</f>
        <v/>
      </c>
      <c r="T238" s="105"/>
      <c r="U238" s="282" t="str">
        <f>IFERROR(INDEX('G-7 WaterC'' Data'!$H$4:$L$8,MATCH(N238,'G-7 WaterC'' Data'!$B$4:$B$8,0),MATCH(T238,'G-7 WaterC'' Data'!$H$3:$L$3,0)),"")</f>
        <v/>
      </c>
      <c r="V238" s="109"/>
      <c r="W238" s="301" t="str">
        <f>IF(V238="","",IF(VLOOKUP(V238,'G-7 WaterC'' Data'!$AK$4:$AM$6,2,FALSE)=0,"Spatial Data Missing ⚠",VLOOKUP(V238,'G-7 WaterC'' Data'!$AK$4:$AM$6,2,FALSE)))</f>
        <v/>
      </c>
      <c r="X238" s="305" t="str">
        <f>IF(V238="","",IF(VLOOKUP(V238,'G-7 WaterC'' Data'!$AK$4:$AM$6,3,FALSE)=0,"Spatial Data Missing ⚠",VLOOKUP(V238,'G-7 WaterC'' Data'!$AK$4:$AM$6,3,FALSE)))</f>
        <v/>
      </c>
      <c r="Y238" s="317" t="str">
        <f>IFERROR(IF(OR(LEFT(P238,5)="Error",LEFT(O238,5)="Error"),"Check Data ⚠",IF(F238&lt;S238,'G-7 WaterC'' Data'!$R$3,INDEX('G-7 WaterC'' Data'!$U$5:$Y$9,MATCH(G238,'G-7 WaterC'' Data'!$T$5:$T$9,0),MATCH(T238,'G-7 WaterC'' Data'!$U$4:$Y$4,0)))),"")</f>
        <v/>
      </c>
      <c r="Z238" s="142"/>
      <c r="AA238" s="142"/>
      <c r="AB238" s="314" t="str">
        <f t="shared" si="33"/>
        <v/>
      </c>
      <c r="AC238" s="302" t="str">
        <f t="shared" si="38"/>
        <v/>
      </c>
      <c r="AD238" s="340" t="str">
        <f>IFERROR(IF(AC238="Check Data ⚠","Check Data ⚠",VLOOKUP(AC238,'G-4 Temporal multipliers'!$A$4:$C$37,3,FALSE)),"")</f>
        <v/>
      </c>
      <c r="AE238" s="317" t="str">
        <f>IF(N238="","",VLOOKUP(N238,'G-7 WaterC'' Data'!$B$4:$G$8,5,FALSE))</f>
        <v/>
      </c>
      <c r="AF238" s="301" t="str">
        <f t="shared" si="34"/>
        <v/>
      </c>
      <c r="AG238" s="301" t="str">
        <f t="shared" si="39"/>
        <v/>
      </c>
      <c r="AH238" s="282" t="str">
        <f t="shared" si="35"/>
        <v/>
      </c>
      <c r="AI238" s="109"/>
      <c r="AJ238" s="282" t="str">
        <f>IF(AI238="","",(IF(AND(AI238="N/A - Culvert",N238&lt;&gt;"Culvert"),"Not possible ▲",IF(VLOOKUP(AI238,'G-7 WaterC'' Data'!$AA$4:$AB$7,2,FALSE)=0,"Spatial Data Missing ⚠",VLOOKUP(AI238,'G-7 WaterC'' Data'!$AA$4:$AB$7,2,FALSE)))))</f>
        <v/>
      </c>
      <c r="AK238" s="110"/>
      <c r="AL238" s="316" t="str">
        <f>IF(AK238="","",IF(AND(AK238="N/A - Culvert",N238&lt;&gt;"Culvert"),"Not possible ▲",IF(VLOOKUP(AK238,'G-7 WaterC'' Data'!$AD$4:$AE$14,2,FALSE)=0,"Spatial Data Missing ⚠",VLOOKUP(AK238,'G-7 WaterC'' Data'!$AD$4:$AE$14,2,FALSE))))</f>
        <v/>
      </c>
      <c r="AM238" s="281" t="str">
        <f>IF(B238="","",VLOOKUP($B238,'F-1 Off-Site WaterC'' Baseline'!$C$9:$Z$257,17,FALSE))</f>
        <v/>
      </c>
      <c r="AN238" s="282" t="str">
        <f>IF(AM238="","",IF(VLOOKUP(AM238,'G-7 WaterC'' Data'!$AO$4:$BO$7,2,FALSE)=0,"Spatial Data Missing ⚠",VLOOKUP(AM238,'G-7 WaterC'' Data'!$AO$4:$BO$7,2,FALSE)))</f>
        <v/>
      </c>
      <c r="AO238" s="323" t="str">
        <f t="shared" si="40"/>
        <v/>
      </c>
      <c r="AP238" s="323" t="str">
        <f t="shared" si="41"/>
        <v/>
      </c>
      <c r="AQ238" s="105"/>
      <c r="AR238" s="119"/>
      <c r="AS238" s="108"/>
      <c r="AT238" s="108"/>
      <c r="AW238" s="30" t="str">
        <f>IF(E238="","",VLOOKUP($B238,'F-1 Off-Site WaterC'' Baseline'!$C$9:$Z$257,12,FALSE))</f>
        <v/>
      </c>
      <c r="AX238" s="30" t="str">
        <f>IF(E238="","",VLOOKUP($B238,'F-1 Off-Site WaterC'' Baseline'!$C$9:$Z$257,14,FALSE))</f>
        <v/>
      </c>
      <c r="AY238" s="30" t="str">
        <f>IFERROR(INDEX('G-7 WaterC'' Data'!$AZ$3:$AZ$7,MATCH(N238,'G-7 WaterC'' Data'!$AY$3:$AY$7,0)),"")</f>
        <v/>
      </c>
      <c r="AZ238" s="30" t="str">
        <f>IF(B238="","",IF(ISNA(VLOOKUP($B238,'F-1 Off-Site WaterC'' Baseline'!$C$8:$AD$257,20,FALSE)),"",(VLOOKUP($B238,'F-1 Off-Site WaterC'' Baseline'!$C$8:$AD$257,20,FALSE))))</f>
        <v/>
      </c>
      <c r="BC238" s="30" t="str">
        <f>IF(B238="","",VLOOKUP($B238,'F-1 Off-Site WaterC'' Baseline'!$C$9:$AB$257,25,FALSE))</f>
        <v/>
      </c>
      <c r="BD238" s="30" t="str">
        <f t="shared" si="42"/>
        <v/>
      </c>
      <c r="BE238" s="30" t="str">
        <f>IF(B238="","",VLOOKUP($B238,'F-1 Off-Site WaterC'' Baseline'!$C$9:$AB$257,24,FALSE))</f>
        <v/>
      </c>
      <c r="BF238" s="30" t="str">
        <f>IF(B238="","",VLOOKUP($B238,'F-1 Off-Site WaterC'' Baseline'!$C$9:$AB$257,22,FALSE))</f>
        <v/>
      </c>
      <c r="BJ238" s="30" t="str">
        <f t="shared" si="43"/>
        <v>No</v>
      </c>
    </row>
    <row r="239" spans="2:62" ht="13.8" x14ac:dyDescent="0.25">
      <c r="B239" s="311" t="str">
        <f>'F-1 Off-Site WaterC'' Baseline'!AS237</f>
        <v/>
      </c>
      <c r="C239" s="301" t="str">
        <f>IF(B239="","",VLOOKUP($B239,'F-1 Off-Site WaterC'' Baseline'!$C$9:$R$257,2,FALSE))</f>
        <v/>
      </c>
      <c r="D239" s="301" t="str">
        <f>IF(C239="","",VLOOKUP($B239,'F-1 Off-Site WaterC'' Baseline'!$C$9:$R$257,3,FALSE))</f>
        <v/>
      </c>
      <c r="E239" s="301" t="str">
        <f>IF(D239="","",VLOOKUP($B239,'F-1 Off-Site WaterC'' Baseline'!$C$9:$R$257,4,FALSE))</f>
        <v/>
      </c>
      <c r="F239" s="301" t="str">
        <f>IF(E239="","",VLOOKUP($B239,'F-1 Off-Site WaterC'' Baseline'!$C$9:$R$257,5,FALSE))</f>
        <v/>
      </c>
      <c r="G239" s="301" t="str">
        <f>IF(F239="","",VLOOKUP($B239,'F-1 Off-Site WaterC'' Baseline'!$C$9:$R$257,6,FALSE))</f>
        <v/>
      </c>
      <c r="H239" s="301" t="str">
        <f>IF(G239="","",VLOOKUP($B239,'F-1 Off-Site WaterC'' Baseline'!$C$9:$R$257,7,FALSE))</f>
        <v/>
      </c>
      <c r="I239" s="301" t="str">
        <f>IF(H239="","",VLOOKUP($B239,'F-1 Off-Site WaterC'' Baseline'!$C$9:$R$257,8,FALSE))</f>
        <v/>
      </c>
      <c r="J239" s="301" t="str">
        <f>IF(I239="","",VLOOKUP($B239,'F-1 Off-Site WaterC'' Baseline'!$C$9:$R$257,9,FALSE))</f>
        <v/>
      </c>
      <c r="K239" s="301" t="str">
        <f>IF(J239="","",VLOOKUP($B239,'F-1 Off-Site WaterC'' Baseline'!$C$9:$R$257,10,FALSE))</f>
        <v/>
      </c>
      <c r="L239" s="289" t="str">
        <f>IF(B239="","",VLOOKUP($B239,'F-1 Off-Site WaterC'' Baseline'!$C$9:$R$257,15,FALSE))</f>
        <v/>
      </c>
      <c r="M239" s="305" t="str">
        <f>IF(L239="","",VLOOKUP($B239,'F-1 Off-Site WaterC'' Baseline'!$C$9:$V$257,19,FALSE))</f>
        <v/>
      </c>
      <c r="N239" s="250"/>
      <c r="O239" s="281" t="str">
        <f t="shared" si="36"/>
        <v/>
      </c>
      <c r="P239" s="282" t="str">
        <f t="shared" si="37"/>
        <v/>
      </c>
      <c r="Q239" s="287" t="str">
        <f>IF(N239="","",VLOOKUP(B239,'F-1 Off-Site WaterC'' Baseline'!$C$10:$AF$257,23,FALSE))</f>
        <v/>
      </c>
      <c r="R239" s="281" t="str">
        <f>IF(N239="","",VLOOKUP(N239,'G-7 WaterC'' Data'!$B$2:$G$8,2,FALSE))</f>
        <v/>
      </c>
      <c r="S239" s="282" t="str">
        <f>IFERROR(VLOOKUP(R239,'G-7 WaterC'' Data'!$C$4:$D$8,2,FALSE),"")</f>
        <v/>
      </c>
      <c r="T239" s="105"/>
      <c r="U239" s="282" t="str">
        <f>IFERROR(INDEX('G-7 WaterC'' Data'!$H$4:$L$8,MATCH(N239,'G-7 WaterC'' Data'!$B$4:$B$8,0),MATCH(T239,'G-7 WaterC'' Data'!$H$3:$L$3,0)),"")</f>
        <v/>
      </c>
      <c r="V239" s="109"/>
      <c r="W239" s="301" t="str">
        <f>IF(V239="","",IF(VLOOKUP(V239,'G-7 WaterC'' Data'!$AK$4:$AM$6,2,FALSE)=0,"Spatial Data Missing ⚠",VLOOKUP(V239,'G-7 WaterC'' Data'!$AK$4:$AM$6,2,FALSE)))</f>
        <v/>
      </c>
      <c r="X239" s="305" t="str">
        <f>IF(V239="","",IF(VLOOKUP(V239,'G-7 WaterC'' Data'!$AK$4:$AM$6,3,FALSE)=0,"Spatial Data Missing ⚠",VLOOKUP(V239,'G-7 WaterC'' Data'!$AK$4:$AM$6,3,FALSE)))</f>
        <v/>
      </c>
      <c r="Y239" s="317" t="str">
        <f>IFERROR(IF(OR(LEFT(P239,5)="Error",LEFT(O239,5)="Error"),"Check Data ⚠",IF(F239&lt;S239,'G-7 WaterC'' Data'!$R$3,INDEX('G-7 WaterC'' Data'!$U$5:$Y$9,MATCH(G239,'G-7 WaterC'' Data'!$T$5:$T$9,0),MATCH(T239,'G-7 WaterC'' Data'!$U$4:$Y$4,0)))),"")</f>
        <v/>
      </c>
      <c r="Z239" s="142"/>
      <c r="AA239" s="142"/>
      <c r="AB239" s="314" t="str">
        <f t="shared" si="33"/>
        <v/>
      </c>
      <c r="AC239" s="302" t="str">
        <f t="shared" si="38"/>
        <v/>
      </c>
      <c r="AD239" s="340" t="str">
        <f>IFERROR(IF(AC239="Check Data ⚠","Check Data ⚠",VLOOKUP(AC239,'G-4 Temporal multipliers'!$A$4:$C$37,3,FALSE)),"")</f>
        <v/>
      </c>
      <c r="AE239" s="317" t="str">
        <f>IF(N239="","",VLOOKUP(N239,'G-7 WaterC'' Data'!$B$4:$G$8,5,FALSE))</f>
        <v/>
      </c>
      <c r="AF239" s="301" t="str">
        <f t="shared" si="34"/>
        <v/>
      </c>
      <c r="AG239" s="301" t="str">
        <f t="shared" si="39"/>
        <v/>
      </c>
      <c r="AH239" s="282" t="str">
        <f t="shared" si="35"/>
        <v/>
      </c>
      <c r="AI239" s="109"/>
      <c r="AJ239" s="282" t="str">
        <f>IF(AI239="","",(IF(AND(AI239="N/A - Culvert",N239&lt;&gt;"Culvert"),"Not possible ▲",IF(VLOOKUP(AI239,'G-7 WaterC'' Data'!$AA$4:$AB$7,2,FALSE)=0,"Spatial Data Missing ⚠",VLOOKUP(AI239,'G-7 WaterC'' Data'!$AA$4:$AB$7,2,FALSE)))))</f>
        <v/>
      </c>
      <c r="AK239" s="110"/>
      <c r="AL239" s="316" t="str">
        <f>IF(AK239="","",IF(AND(AK239="N/A - Culvert",N239&lt;&gt;"Culvert"),"Not possible ▲",IF(VLOOKUP(AK239,'G-7 WaterC'' Data'!$AD$4:$AE$14,2,FALSE)=0,"Spatial Data Missing ⚠",VLOOKUP(AK239,'G-7 WaterC'' Data'!$AD$4:$AE$14,2,FALSE))))</f>
        <v/>
      </c>
      <c r="AM239" s="281" t="str">
        <f>IF(B239="","",VLOOKUP($B239,'F-1 Off-Site WaterC'' Baseline'!$C$9:$Z$257,17,FALSE))</f>
        <v/>
      </c>
      <c r="AN239" s="282" t="str">
        <f>IF(AM239="","",IF(VLOOKUP(AM239,'G-7 WaterC'' Data'!$AO$4:$BO$7,2,FALSE)=0,"Spatial Data Missing ⚠",VLOOKUP(AM239,'G-7 WaterC'' Data'!$AO$4:$BO$7,2,FALSE)))</f>
        <v/>
      </c>
      <c r="AO239" s="323" t="str">
        <f t="shared" si="40"/>
        <v/>
      </c>
      <c r="AP239" s="323" t="str">
        <f t="shared" si="41"/>
        <v/>
      </c>
      <c r="AQ239" s="105"/>
      <c r="AR239" s="119"/>
      <c r="AS239" s="108"/>
      <c r="AT239" s="108"/>
      <c r="AW239" s="30" t="str">
        <f>IF(E239="","",VLOOKUP($B239,'F-1 Off-Site WaterC'' Baseline'!$C$9:$Z$257,12,FALSE))</f>
        <v/>
      </c>
      <c r="AX239" s="30" t="str">
        <f>IF(E239="","",VLOOKUP($B239,'F-1 Off-Site WaterC'' Baseline'!$C$9:$Z$257,14,FALSE))</f>
        <v/>
      </c>
      <c r="AY239" s="30" t="str">
        <f>IFERROR(INDEX('G-7 WaterC'' Data'!$AZ$3:$AZ$7,MATCH(N239,'G-7 WaterC'' Data'!$AY$3:$AY$7,0)),"")</f>
        <v/>
      </c>
      <c r="AZ239" s="30" t="str">
        <f>IF(B239="","",IF(ISNA(VLOOKUP($B239,'F-1 Off-Site WaterC'' Baseline'!$C$8:$AD$257,20,FALSE)),"",(VLOOKUP($B239,'F-1 Off-Site WaterC'' Baseline'!$C$8:$AD$257,20,FALSE))))</f>
        <v/>
      </c>
      <c r="BC239" s="30" t="str">
        <f>IF(B239="","",VLOOKUP($B239,'F-1 Off-Site WaterC'' Baseline'!$C$9:$AB$257,25,FALSE))</f>
        <v/>
      </c>
      <c r="BD239" s="30" t="str">
        <f t="shared" si="42"/>
        <v/>
      </c>
      <c r="BE239" s="30" t="str">
        <f>IF(B239="","",VLOOKUP($B239,'F-1 Off-Site WaterC'' Baseline'!$C$9:$AB$257,24,FALSE))</f>
        <v/>
      </c>
      <c r="BF239" s="30" t="str">
        <f>IF(B239="","",VLOOKUP($B239,'F-1 Off-Site WaterC'' Baseline'!$C$9:$AB$257,22,FALSE))</f>
        <v/>
      </c>
      <c r="BJ239" s="30" t="str">
        <f t="shared" si="43"/>
        <v>No</v>
      </c>
    </row>
    <row r="240" spans="2:62" ht="13.8" x14ac:dyDescent="0.25">
      <c r="B240" s="311" t="str">
        <f>'F-1 Off-Site WaterC'' Baseline'!AS238</f>
        <v/>
      </c>
      <c r="C240" s="301" t="str">
        <f>IF(B240="","",VLOOKUP($B240,'F-1 Off-Site WaterC'' Baseline'!$C$9:$R$257,2,FALSE))</f>
        <v/>
      </c>
      <c r="D240" s="301" t="str">
        <f>IF(C240="","",VLOOKUP($B240,'F-1 Off-Site WaterC'' Baseline'!$C$9:$R$257,3,FALSE))</f>
        <v/>
      </c>
      <c r="E240" s="301" t="str">
        <f>IF(D240="","",VLOOKUP($B240,'F-1 Off-Site WaterC'' Baseline'!$C$9:$R$257,4,FALSE))</f>
        <v/>
      </c>
      <c r="F240" s="301" t="str">
        <f>IF(E240="","",VLOOKUP($B240,'F-1 Off-Site WaterC'' Baseline'!$C$9:$R$257,5,FALSE))</f>
        <v/>
      </c>
      <c r="G240" s="301" t="str">
        <f>IF(F240="","",VLOOKUP($B240,'F-1 Off-Site WaterC'' Baseline'!$C$9:$R$257,6,FALSE))</f>
        <v/>
      </c>
      <c r="H240" s="301" t="str">
        <f>IF(G240="","",VLOOKUP($B240,'F-1 Off-Site WaterC'' Baseline'!$C$9:$R$257,7,FALSE))</f>
        <v/>
      </c>
      <c r="I240" s="301" t="str">
        <f>IF(H240="","",VLOOKUP($B240,'F-1 Off-Site WaterC'' Baseline'!$C$9:$R$257,8,FALSE))</f>
        <v/>
      </c>
      <c r="J240" s="301" t="str">
        <f>IF(I240="","",VLOOKUP($B240,'F-1 Off-Site WaterC'' Baseline'!$C$9:$R$257,9,FALSE))</f>
        <v/>
      </c>
      <c r="K240" s="301" t="str">
        <f>IF(J240="","",VLOOKUP($B240,'F-1 Off-Site WaterC'' Baseline'!$C$9:$R$257,10,FALSE))</f>
        <v/>
      </c>
      <c r="L240" s="289" t="str">
        <f>IF(B240="","",VLOOKUP($B240,'F-1 Off-Site WaterC'' Baseline'!$C$9:$R$257,15,FALSE))</f>
        <v/>
      </c>
      <c r="M240" s="305" t="str">
        <f>IF(L240="","",VLOOKUP($B240,'F-1 Off-Site WaterC'' Baseline'!$C$9:$V$257,19,FALSE))</f>
        <v/>
      </c>
      <c r="N240" s="250"/>
      <c r="O240" s="281" t="str">
        <f t="shared" si="36"/>
        <v/>
      </c>
      <c r="P240" s="282" t="str">
        <f t="shared" si="37"/>
        <v/>
      </c>
      <c r="Q240" s="287" t="str">
        <f>IF(N240="","",VLOOKUP(B240,'F-1 Off-Site WaterC'' Baseline'!$C$10:$AF$257,23,FALSE))</f>
        <v/>
      </c>
      <c r="R240" s="281" t="str">
        <f>IF(N240="","",VLOOKUP(N240,'G-7 WaterC'' Data'!$B$2:$G$8,2,FALSE))</f>
        <v/>
      </c>
      <c r="S240" s="282" t="str">
        <f>IFERROR(VLOOKUP(R240,'G-7 WaterC'' Data'!$C$4:$D$8,2,FALSE),"")</f>
        <v/>
      </c>
      <c r="T240" s="105"/>
      <c r="U240" s="282" t="str">
        <f>IFERROR(INDEX('G-7 WaterC'' Data'!$H$4:$L$8,MATCH(N240,'G-7 WaterC'' Data'!$B$4:$B$8,0),MATCH(T240,'G-7 WaterC'' Data'!$H$3:$L$3,0)),"")</f>
        <v/>
      </c>
      <c r="V240" s="109"/>
      <c r="W240" s="301" t="str">
        <f>IF(V240="","",IF(VLOOKUP(V240,'G-7 WaterC'' Data'!$AK$4:$AM$6,2,FALSE)=0,"Spatial Data Missing ⚠",VLOOKUP(V240,'G-7 WaterC'' Data'!$AK$4:$AM$6,2,FALSE)))</f>
        <v/>
      </c>
      <c r="X240" s="305" t="str">
        <f>IF(V240="","",IF(VLOOKUP(V240,'G-7 WaterC'' Data'!$AK$4:$AM$6,3,FALSE)=0,"Spatial Data Missing ⚠",VLOOKUP(V240,'G-7 WaterC'' Data'!$AK$4:$AM$6,3,FALSE)))</f>
        <v/>
      </c>
      <c r="Y240" s="317" t="str">
        <f>IFERROR(IF(OR(LEFT(P240,5)="Error",LEFT(O240,5)="Error"),"Check Data ⚠",IF(F240&lt;S240,'G-7 WaterC'' Data'!$R$3,INDEX('G-7 WaterC'' Data'!$U$5:$Y$9,MATCH(G240,'G-7 WaterC'' Data'!$T$5:$T$9,0),MATCH(T240,'G-7 WaterC'' Data'!$U$4:$Y$4,0)))),"")</f>
        <v/>
      </c>
      <c r="Z240" s="142"/>
      <c r="AA240" s="142"/>
      <c r="AB240" s="314" t="str">
        <f t="shared" si="33"/>
        <v/>
      </c>
      <c r="AC240" s="302" t="str">
        <f t="shared" si="38"/>
        <v/>
      </c>
      <c r="AD240" s="340" t="str">
        <f>IFERROR(IF(AC240="Check Data ⚠","Check Data ⚠",VLOOKUP(AC240,'G-4 Temporal multipliers'!$A$4:$C$37,3,FALSE)),"")</f>
        <v/>
      </c>
      <c r="AE240" s="317" t="str">
        <f>IF(N240="","",VLOOKUP(N240,'G-7 WaterC'' Data'!$B$4:$G$8,5,FALSE))</f>
        <v/>
      </c>
      <c r="AF240" s="301" t="str">
        <f t="shared" si="34"/>
        <v/>
      </c>
      <c r="AG240" s="301" t="str">
        <f t="shared" si="39"/>
        <v/>
      </c>
      <c r="AH240" s="282" t="str">
        <f t="shared" si="35"/>
        <v/>
      </c>
      <c r="AI240" s="109"/>
      <c r="AJ240" s="282" t="str">
        <f>IF(AI240="","",(IF(AND(AI240="N/A - Culvert",N240&lt;&gt;"Culvert"),"Not possible ▲",IF(VLOOKUP(AI240,'G-7 WaterC'' Data'!$AA$4:$AB$7,2,FALSE)=0,"Spatial Data Missing ⚠",VLOOKUP(AI240,'G-7 WaterC'' Data'!$AA$4:$AB$7,2,FALSE)))))</f>
        <v/>
      </c>
      <c r="AK240" s="110"/>
      <c r="AL240" s="316" t="str">
        <f>IF(AK240="","",IF(AND(AK240="N/A - Culvert",N240&lt;&gt;"Culvert"),"Not possible ▲",IF(VLOOKUP(AK240,'G-7 WaterC'' Data'!$AD$4:$AE$14,2,FALSE)=0,"Spatial Data Missing ⚠",VLOOKUP(AK240,'G-7 WaterC'' Data'!$AD$4:$AE$14,2,FALSE))))</f>
        <v/>
      </c>
      <c r="AM240" s="281" t="str">
        <f>IF(B240="","",VLOOKUP($B240,'F-1 Off-Site WaterC'' Baseline'!$C$9:$Z$257,17,FALSE))</f>
        <v/>
      </c>
      <c r="AN240" s="282" t="str">
        <f>IF(AM240="","",IF(VLOOKUP(AM240,'G-7 WaterC'' Data'!$AO$4:$BO$7,2,FALSE)=0,"Spatial Data Missing ⚠",VLOOKUP(AM240,'G-7 WaterC'' Data'!$AO$4:$BO$7,2,FALSE)))</f>
        <v/>
      </c>
      <c r="AO240" s="323" t="str">
        <f t="shared" si="40"/>
        <v/>
      </c>
      <c r="AP240" s="323" t="str">
        <f t="shared" si="41"/>
        <v/>
      </c>
      <c r="AQ240" s="105"/>
      <c r="AR240" s="119"/>
      <c r="AS240" s="108"/>
      <c r="AT240" s="108"/>
      <c r="AW240" s="30" t="str">
        <f>IF(E240="","",VLOOKUP($B240,'F-1 Off-Site WaterC'' Baseline'!$C$9:$Z$257,12,FALSE))</f>
        <v/>
      </c>
      <c r="AX240" s="30" t="str">
        <f>IF(E240="","",VLOOKUP($B240,'F-1 Off-Site WaterC'' Baseline'!$C$9:$Z$257,14,FALSE))</f>
        <v/>
      </c>
      <c r="AY240" s="30" t="str">
        <f>IFERROR(INDEX('G-7 WaterC'' Data'!$AZ$3:$AZ$7,MATCH(N240,'G-7 WaterC'' Data'!$AY$3:$AY$7,0)),"")</f>
        <v/>
      </c>
      <c r="AZ240" s="30" t="str">
        <f>IF(B240="","",IF(ISNA(VLOOKUP($B240,'F-1 Off-Site WaterC'' Baseline'!$C$8:$AD$257,20,FALSE)),"",(VLOOKUP($B240,'F-1 Off-Site WaterC'' Baseline'!$C$8:$AD$257,20,FALSE))))</f>
        <v/>
      </c>
      <c r="BC240" s="30" t="str">
        <f>IF(B240="","",VLOOKUP($B240,'F-1 Off-Site WaterC'' Baseline'!$C$9:$AB$257,25,FALSE))</f>
        <v/>
      </c>
      <c r="BD240" s="30" t="str">
        <f t="shared" si="42"/>
        <v/>
      </c>
      <c r="BE240" s="30" t="str">
        <f>IF(B240="","",VLOOKUP($B240,'F-1 Off-Site WaterC'' Baseline'!$C$9:$AB$257,24,FALSE))</f>
        <v/>
      </c>
      <c r="BF240" s="30" t="str">
        <f>IF(B240="","",VLOOKUP($B240,'F-1 Off-Site WaterC'' Baseline'!$C$9:$AB$257,22,FALSE))</f>
        <v/>
      </c>
      <c r="BJ240" s="30" t="str">
        <f t="shared" si="43"/>
        <v>No</v>
      </c>
    </row>
    <row r="241" spans="2:62" ht="13.8" x14ac:dyDescent="0.25">
      <c r="B241" s="311" t="str">
        <f>'F-1 Off-Site WaterC'' Baseline'!AS239</f>
        <v/>
      </c>
      <c r="C241" s="301" t="str">
        <f>IF(B241="","",VLOOKUP($B241,'F-1 Off-Site WaterC'' Baseline'!$C$9:$R$257,2,FALSE))</f>
        <v/>
      </c>
      <c r="D241" s="301" t="str">
        <f>IF(C241="","",VLOOKUP($B241,'F-1 Off-Site WaterC'' Baseline'!$C$9:$R$257,3,FALSE))</f>
        <v/>
      </c>
      <c r="E241" s="301" t="str">
        <f>IF(D241="","",VLOOKUP($B241,'F-1 Off-Site WaterC'' Baseline'!$C$9:$R$257,4,FALSE))</f>
        <v/>
      </c>
      <c r="F241" s="301" t="str">
        <f>IF(E241="","",VLOOKUP($B241,'F-1 Off-Site WaterC'' Baseline'!$C$9:$R$257,5,FALSE))</f>
        <v/>
      </c>
      <c r="G241" s="301" t="str">
        <f>IF(F241="","",VLOOKUP($B241,'F-1 Off-Site WaterC'' Baseline'!$C$9:$R$257,6,FALSE))</f>
        <v/>
      </c>
      <c r="H241" s="301" t="str">
        <f>IF(G241="","",VLOOKUP($B241,'F-1 Off-Site WaterC'' Baseline'!$C$9:$R$257,7,FALSE))</f>
        <v/>
      </c>
      <c r="I241" s="301" t="str">
        <f>IF(H241="","",VLOOKUP($B241,'F-1 Off-Site WaterC'' Baseline'!$C$9:$R$257,8,FALSE))</f>
        <v/>
      </c>
      <c r="J241" s="301" t="str">
        <f>IF(I241="","",VLOOKUP($B241,'F-1 Off-Site WaterC'' Baseline'!$C$9:$R$257,9,FALSE))</f>
        <v/>
      </c>
      <c r="K241" s="301" t="str">
        <f>IF(J241="","",VLOOKUP($B241,'F-1 Off-Site WaterC'' Baseline'!$C$9:$R$257,10,FALSE))</f>
        <v/>
      </c>
      <c r="L241" s="289" t="str">
        <f>IF(B241="","",VLOOKUP($B241,'F-1 Off-Site WaterC'' Baseline'!$C$9:$R$257,15,FALSE))</f>
        <v/>
      </c>
      <c r="M241" s="305" t="str">
        <f>IF(L241="","",VLOOKUP($B241,'F-1 Off-Site WaterC'' Baseline'!$C$9:$V$257,19,FALSE))</f>
        <v/>
      </c>
      <c r="N241" s="250"/>
      <c r="O241" s="281" t="str">
        <f t="shared" si="36"/>
        <v/>
      </c>
      <c r="P241" s="282" t="str">
        <f t="shared" si="37"/>
        <v/>
      </c>
      <c r="Q241" s="287" t="str">
        <f>IF(N241="","",VLOOKUP(B241,'F-1 Off-Site WaterC'' Baseline'!$C$10:$AF$257,23,FALSE))</f>
        <v/>
      </c>
      <c r="R241" s="281" t="str">
        <f>IF(N241="","",VLOOKUP(N241,'G-7 WaterC'' Data'!$B$2:$G$8,2,FALSE))</f>
        <v/>
      </c>
      <c r="S241" s="282" t="str">
        <f>IFERROR(VLOOKUP(R241,'G-7 WaterC'' Data'!$C$4:$D$8,2,FALSE),"")</f>
        <v/>
      </c>
      <c r="T241" s="105"/>
      <c r="U241" s="282" t="str">
        <f>IFERROR(INDEX('G-7 WaterC'' Data'!$H$4:$L$8,MATCH(N241,'G-7 WaterC'' Data'!$B$4:$B$8,0),MATCH(T241,'G-7 WaterC'' Data'!$H$3:$L$3,0)),"")</f>
        <v/>
      </c>
      <c r="V241" s="109"/>
      <c r="W241" s="301" t="str">
        <f>IF(V241="","",IF(VLOOKUP(V241,'G-7 WaterC'' Data'!$AK$4:$AM$6,2,FALSE)=0,"Spatial Data Missing ⚠",VLOOKUP(V241,'G-7 WaterC'' Data'!$AK$4:$AM$6,2,FALSE)))</f>
        <v/>
      </c>
      <c r="X241" s="305" t="str">
        <f>IF(V241="","",IF(VLOOKUP(V241,'G-7 WaterC'' Data'!$AK$4:$AM$6,3,FALSE)=0,"Spatial Data Missing ⚠",VLOOKUP(V241,'G-7 WaterC'' Data'!$AK$4:$AM$6,3,FALSE)))</f>
        <v/>
      </c>
      <c r="Y241" s="317" t="str">
        <f>IFERROR(IF(OR(LEFT(P241,5)="Error",LEFT(O241,5)="Error"),"Check Data ⚠",IF(F241&lt;S241,'G-7 WaterC'' Data'!$R$3,INDEX('G-7 WaterC'' Data'!$U$5:$Y$9,MATCH(G241,'G-7 WaterC'' Data'!$T$5:$T$9,0),MATCH(T241,'G-7 WaterC'' Data'!$U$4:$Y$4,0)))),"")</f>
        <v/>
      </c>
      <c r="Z241" s="142"/>
      <c r="AA241" s="142"/>
      <c r="AB241" s="314" t="str">
        <f t="shared" si="33"/>
        <v/>
      </c>
      <c r="AC241" s="302" t="str">
        <f t="shared" si="38"/>
        <v/>
      </c>
      <c r="AD241" s="340" t="str">
        <f>IFERROR(IF(AC241="Check Data ⚠","Check Data ⚠",VLOOKUP(AC241,'G-4 Temporal multipliers'!$A$4:$C$37,3,FALSE)),"")</f>
        <v/>
      </c>
      <c r="AE241" s="317" t="str">
        <f>IF(N241="","",VLOOKUP(N241,'G-7 WaterC'' Data'!$B$4:$G$8,5,FALSE))</f>
        <v/>
      </c>
      <c r="AF241" s="301" t="str">
        <f t="shared" si="34"/>
        <v/>
      </c>
      <c r="AG241" s="301" t="str">
        <f t="shared" si="39"/>
        <v/>
      </c>
      <c r="AH241" s="282" t="str">
        <f t="shared" si="35"/>
        <v/>
      </c>
      <c r="AI241" s="109"/>
      <c r="AJ241" s="282" t="str">
        <f>IF(AI241="","",(IF(AND(AI241="N/A - Culvert",N241&lt;&gt;"Culvert"),"Not possible ▲",IF(VLOOKUP(AI241,'G-7 WaterC'' Data'!$AA$4:$AB$7,2,FALSE)=0,"Spatial Data Missing ⚠",VLOOKUP(AI241,'G-7 WaterC'' Data'!$AA$4:$AB$7,2,FALSE)))))</f>
        <v/>
      </c>
      <c r="AK241" s="110"/>
      <c r="AL241" s="316" t="str">
        <f>IF(AK241="","",IF(AND(AK241="N/A - Culvert",N241&lt;&gt;"Culvert"),"Not possible ▲",IF(VLOOKUP(AK241,'G-7 WaterC'' Data'!$AD$4:$AE$14,2,FALSE)=0,"Spatial Data Missing ⚠",VLOOKUP(AK241,'G-7 WaterC'' Data'!$AD$4:$AE$14,2,FALSE))))</f>
        <v/>
      </c>
      <c r="AM241" s="281" t="str">
        <f>IF(B241="","",VLOOKUP($B241,'F-1 Off-Site WaterC'' Baseline'!$C$9:$Z$257,17,FALSE))</f>
        <v/>
      </c>
      <c r="AN241" s="282" t="str">
        <f>IF(AM241="","",IF(VLOOKUP(AM241,'G-7 WaterC'' Data'!$AO$4:$BO$7,2,FALSE)=0,"Spatial Data Missing ⚠",VLOOKUP(AM241,'G-7 WaterC'' Data'!$AO$4:$BO$7,2,FALSE)))</f>
        <v/>
      </c>
      <c r="AO241" s="323" t="str">
        <f t="shared" si="40"/>
        <v/>
      </c>
      <c r="AP241" s="323" t="str">
        <f t="shared" si="41"/>
        <v/>
      </c>
      <c r="AQ241" s="105"/>
      <c r="AR241" s="119"/>
      <c r="AS241" s="108"/>
      <c r="AT241" s="108"/>
      <c r="AW241" s="30" t="str">
        <f>IF(E241="","",VLOOKUP($B241,'F-1 Off-Site WaterC'' Baseline'!$C$9:$Z$257,12,FALSE))</f>
        <v/>
      </c>
      <c r="AX241" s="30" t="str">
        <f>IF(E241="","",VLOOKUP($B241,'F-1 Off-Site WaterC'' Baseline'!$C$9:$Z$257,14,FALSE))</f>
        <v/>
      </c>
      <c r="AY241" s="30" t="str">
        <f>IFERROR(INDEX('G-7 WaterC'' Data'!$AZ$3:$AZ$7,MATCH(N241,'G-7 WaterC'' Data'!$AY$3:$AY$7,0)),"")</f>
        <v/>
      </c>
      <c r="AZ241" s="30" t="str">
        <f>IF(B241="","",IF(ISNA(VLOOKUP($B241,'F-1 Off-Site WaterC'' Baseline'!$C$8:$AD$257,20,FALSE)),"",(VLOOKUP($B241,'F-1 Off-Site WaterC'' Baseline'!$C$8:$AD$257,20,FALSE))))</f>
        <v/>
      </c>
      <c r="BC241" s="30" t="str">
        <f>IF(B241="","",VLOOKUP($B241,'F-1 Off-Site WaterC'' Baseline'!$C$9:$AB$257,25,FALSE))</f>
        <v/>
      </c>
      <c r="BD241" s="30" t="str">
        <f t="shared" si="42"/>
        <v/>
      </c>
      <c r="BE241" s="30" t="str">
        <f>IF(B241="","",VLOOKUP($B241,'F-1 Off-Site WaterC'' Baseline'!$C$9:$AB$257,24,FALSE))</f>
        <v/>
      </c>
      <c r="BF241" s="30" t="str">
        <f>IF(B241="","",VLOOKUP($B241,'F-1 Off-Site WaterC'' Baseline'!$C$9:$AB$257,22,FALSE))</f>
        <v/>
      </c>
      <c r="BJ241" s="30" t="str">
        <f t="shared" si="43"/>
        <v>No</v>
      </c>
    </row>
    <row r="242" spans="2:62" ht="13.8" x14ac:dyDescent="0.25">
      <c r="B242" s="311" t="str">
        <f>'F-1 Off-Site WaterC'' Baseline'!AS240</f>
        <v/>
      </c>
      <c r="C242" s="301" t="str">
        <f>IF(B242="","",VLOOKUP($B242,'F-1 Off-Site WaterC'' Baseline'!$C$9:$R$257,2,FALSE))</f>
        <v/>
      </c>
      <c r="D242" s="301" t="str">
        <f>IF(C242="","",VLOOKUP($B242,'F-1 Off-Site WaterC'' Baseline'!$C$9:$R$257,3,FALSE))</f>
        <v/>
      </c>
      <c r="E242" s="301" t="str">
        <f>IF(D242="","",VLOOKUP($B242,'F-1 Off-Site WaterC'' Baseline'!$C$9:$R$257,4,FALSE))</f>
        <v/>
      </c>
      <c r="F242" s="301" t="str">
        <f>IF(E242="","",VLOOKUP($B242,'F-1 Off-Site WaterC'' Baseline'!$C$9:$R$257,5,FALSE))</f>
        <v/>
      </c>
      <c r="G242" s="301" t="str">
        <f>IF(F242="","",VLOOKUP($B242,'F-1 Off-Site WaterC'' Baseline'!$C$9:$R$257,6,FALSE))</f>
        <v/>
      </c>
      <c r="H242" s="301" t="str">
        <f>IF(G242="","",VLOOKUP($B242,'F-1 Off-Site WaterC'' Baseline'!$C$9:$R$257,7,FALSE))</f>
        <v/>
      </c>
      <c r="I242" s="301" t="str">
        <f>IF(H242="","",VLOOKUP($B242,'F-1 Off-Site WaterC'' Baseline'!$C$9:$R$257,8,FALSE))</f>
        <v/>
      </c>
      <c r="J242" s="301" t="str">
        <f>IF(I242="","",VLOOKUP($B242,'F-1 Off-Site WaterC'' Baseline'!$C$9:$R$257,9,FALSE))</f>
        <v/>
      </c>
      <c r="K242" s="301" t="str">
        <f>IF(J242="","",VLOOKUP($B242,'F-1 Off-Site WaterC'' Baseline'!$C$9:$R$257,10,FALSE))</f>
        <v/>
      </c>
      <c r="L242" s="289" t="str">
        <f>IF(B242="","",VLOOKUP($B242,'F-1 Off-Site WaterC'' Baseline'!$C$9:$R$257,15,FALSE))</f>
        <v/>
      </c>
      <c r="M242" s="305" t="str">
        <f>IF(L242="","",VLOOKUP($B242,'F-1 Off-Site WaterC'' Baseline'!$C$9:$V$257,19,FALSE))</f>
        <v/>
      </c>
      <c r="N242" s="250"/>
      <c r="O242" s="281" t="str">
        <f t="shared" si="36"/>
        <v/>
      </c>
      <c r="P242" s="282" t="str">
        <f t="shared" si="37"/>
        <v/>
      </c>
      <c r="Q242" s="287" t="str">
        <f>IF(N242="","",VLOOKUP(B242,'F-1 Off-Site WaterC'' Baseline'!$C$10:$AF$257,23,FALSE))</f>
        <v/>
      </c>
      <c r="R242" s="281" t="str">
        <f>IF(N242="","",VLOOKUP(N242,'G-7 WaterC'' Data'!$B$2:$G$8,2,FALSE))</f>
        <v/>
      </c>
      <c r="S242" s="282" t="str">
        <f>IFERROR(VLOOKUP(R242,'G-7 WaterC'' Data'!$C$4:$D$8,2,FALSE),"")</f>
        <v/>
      </c>
      <c r="T242" s="105"/>
      <c r="U242" s="282" t="str">
        <f>IFERROR(INDEX('G-7 WaterC'' Data'!$H$4:$L$8,MATCH(N242,'G-7 WaterC'' Data'!$B$4:$B$8,0),MATCH(T242,'G-7 WaterC'' Data'!$H$3:$L$3,0)),"")</f>
        <v/>
      </c>
      <c r="V242" s="109"/>
      <c r="W242" s="301" t="str">
        <f>IF(V242="","",IF(VLOOKUP(V242,'G-7 WaterC'' Data'!$AK$4:$AM$6,2,FALSE)=0,"Spatial Data Missing ⚠",VLOOKUP(V242,'G-7 WaterC'' Data'!$AK$4:$AM$6,2,FALSE)))</f>
        <v/>
      </c>
      <c r="X242" s="305" t="str">
        <f>IF(V242="","",IF(VLOOKUP(V242,'G-7 WaterC'' Data'!$AK$4:$AM$6,3,FALSE)=0,"Spatial Data Missing ⚠",VLOOKUP(V242,'G-7 WaterC'' Data'!$AK$4:$AM$6,3,FALSE)))</f>
        <v/>
      </c>
      <c r="Y242" s="317" t="str">
        <f>IFERROR(IF(OR(LEFT(P242,5)="Error",LEFT(O242,5)="Error"),"Check Data ⚠",IF(F242&lt;S242,'G-7 WaterC'' Data'!$R$3,INDEX('G-7 WaterC'' Data'!$U$5:$Y$9,MATCH(G242,'G-7 WaterC'' Data'!$T$5:$T$9,0),MATCH(T242,'G-7 WaterC'' Data'!$U$4:$Y$4,0)))),"")</f>
        <v/>
      </c>
      <c r="Z242" s="142"/>
      <c r="AA242" s="142"/>
      <c r="AB242" s="314" t="str">
        <f t="shared" si="33"/>
        <v/>
      </c>
      <c r="AC242" s="302" t="str">
        <f t="shared" si="38"/>
        <v/>
      </c>
      <c r="AD242" s="340" t="str">
        <f>IFERROR(IF(AC242="Check Data ⚠","Check Data ⚠",VLOOKUP(AC242,'G-4 Temporal multipliers'!$A$4:$C$37,3,FALSE)),"")</f>
        <v/>
      </c>
      <c r="AE242" s="317" t="str">
        <f>IF(N242="","",VLOOKUP(N242,'G-7 WaterC'' Data'!$B$4:$G$8,5,FALSE))</f>
        <v/>
      </c>
      <c r="AF242" s="301" t="str">
        <f t="shared" si="34"/>
        <v/>
      </c>
      <c r="AG242" s="301" t="str">
        <f t="shared" si="39"/>
        <v/>
      </c>
      <c r="AH242" s="282" t="str">
        <f t="shared" si="35"/>
        <v/>
      </c>
      <c r="AI242" s="109"/>
      <c r="AJ242" s="282" t="str">
        <f>IF(AI242="","",(IF(AND(AI242="N/A - Culvert",N242&lt;&gt;"Culvert"),"Not possible ▲",IF(VLOOKUP(AI242,'G-7 WaterC'' Data'!$AA$4:$AB$7,2,FALSE)=0,"Spatial Data Missing ⚠",VLOOKUP(AI242,'G-7 WaterC'' Data'!$AA$4:$AB$7,2,FALSE)))))</f>
        <v/>
      </c>
      <c r="AK242" s="110"/>
      <c r="AL242" s="316" t="str">
        <f>IF(AK242="","",IF(AND(AK242="N/A - Culvert",N242&lt;&gt;"Culvert"),"Not possible ▲",IF(VLOOKUP(AK242,'G-7 WaterC'' Data'!$AD$4:$AE$14,2,FALSE)=0,"Spatial Data Missing ⚠",VLOOKUP(AK242,'G-7 WaterC'' Data'!$AD$4:$AE$14,2,FALSE))))</f>
        <v/>
      </c>
      <c r="AM242" s="281" t="str">
        <f>IF(B242="","",VLOOKUP($B242,'F-1 Off-Site WaterC'' Baseline'!$C$9:$Z$257,17,FALSE))</f>
        <v/>
      </c>
      <c r="AN242" s="282" t="str">
        <f>IF(AM242="","",IF(VLOOKUP(AM242,'G-7 WaterC'' Data'!$AO$4:$BO$7,2,FALSE)=0,"Spatial Data Missing ⚠",VLOOKUP(AM242,'G-7 WaterC'' Data'!$AO$4:$BO$7,2,FALSE)))</f>
        <v/>
      </c>
      <c r="AO242" s="323" t="str">
        <f t="shared" si="40"/>
        <v/>
      </c>
      <c r="AP242" s="323" t="str">
        <f t="shared" si="41"/>
        <v/>
      </c>
      <c r="AQ242" s="105"/>
      <c r="AR242" s="119"/>
      <c r="AS242" s="108"/>
      <c r="AT242" s="108"/>
      <c r="AW242" s="30" t="str">
        <f>IF(E242="","",VLOOKUP($B242,'F-1 Off-Site WaterC'' Baseline'!$C$9:$Z$257,12,FALSE))</f>
        <v/>
      </c>
      <c r="AX242" s="30" t="str">
        <f>IF(E242="","",VLOOKUP($B242,'F-1 Off-Site WaterC'' Baseline'!$C$9:$Z$257,14,FALSE))</f>
        <v/>
      </c>
      <c r="AY242" s="30" t="str">
        <f>IFERROR(INDEX('G-7 WaterC'' Data'!$AZ$3:$AZ$7,MATCH(N242,'G-7 WaterC'' Data'!$AY$3:$AY$7,0)),"")</f>
        <v/>
      </c>
      <c r="AZ242" s="30" t="str">
        <f>IF(B242="","",IF(ISNA(VLOOKUP($B242,'F-1 Off-Site WaterC'' Baseline'!$C$8:$AD$257,20,FALSE)),"",(VLOOKUP($B242,'F-1 Off-Site WaterC'' Baseline'!$C$8:$AD$257,20,FALSE))))</f>
        <v/>
      </c>
      <c r="BC242" s="30" t="str">
        <f>IF(B242="","",VLOOKUP($B242,'F-1 Off-Site WaterC'' Baseline'!$C$9:$AB$257,25,FALSE))</f>
        <v/>
      </c>
      <c r="BD242" s="30" t="str">
        <f t="shared" si="42"/>
        <v/>
      </c>
      <c r="BE242" s="30" t="str">
        <f>IF(B242="","",VLOOKUP($B242,'F-1 Off-Site WaterC'' Baseline'!$C$9:$AB$257,24,FALSE))</f>
        <v/>
      </c>
      <c r="BF242" s="30" t="str">
        <f>IF(B242="","",VLOOKUP($B242,'F-1 Off-Site WaterC'' Baseline'!$C$9:$AB$257,22,FALSE))</f>
        <v/>
      </c>
      <c r="BJ242" s="30" t="str">
        <f t="shared" si="43"/>
        <v>No</v>
      </c>
    </row>
    <row r="243" spans="2:62" ht="13.8" x14ac:dyDescent="0.25">
      <c r="B243" s="311" t="str">
        <f>'F-1 Off-Site WaterC'' Baseline'!AS241</f>
        <v/>
      </c>
      <c r="C243" s="301" t="str">
        <f>IF(B243="","",VLOOKUP($B243,'F-1 Off-Site WaterC'' Baseline'!$C$9:$R$257,2,FALSE))</f>
        <v/>
      </c>
      <c r="D243" s="301" t="str">
        <f>IF(C243="","",VLOOKUP($B243,'F-1 Off-Site WaterC'' Baseline'!$C$9:$R$257,3,FALSE))</f>
        <v/>
      </c>
      <c r="E243" s="301" t="str">
        <f>IF(D243="","",VLOOKUP($B243,'F-1 Off-Site WaterC'' Baseline'!$C$9:$R$257,4,FALSE))</f>
        <v/>
      </c>
      <c r="F243" s="301" t="str">
        <f>IF(E243="","",VLOOKUP($B243,'F-1 Off-Site WaterC'' Baseline'!$C$9:$R$257,5,FALSE))</f>
        <v/>
      </c>
      <c r="G243" s="301" t="str">
        <f>IF(F243="","",VLOOKUP($B243,'F-1 Off-Site WaterC'' Baseline'!$C$9:$R$257,6,FALSE))</f>
        <v/>
      </c>
      <c r="H243" s="301" t="str">
        <f>IF(G243="","",VLOOKUP($B243,'F-1 Off-Site WaterC'' Baseline'!$C$9:$R$257,7,FALSE))</f>
        <v/>
      </c>
      <c r="I243" s="301" t="str">
        <f>IF(H243="","",VLOOKUP($B243,'F-1 Off-Site WaterC'' Baseline'!$C$9:$R$257,8,FALSE))</f>
        <v/>
      </c>
      <c r="J243" s="301" t="str">
        <f>IF(I243="","",VLOOKUP($B243,'F-1 Off-Site WaterC'' Baseline'!$C$9:$R$257,9,FALSE))</f>
        <v/>
      </c>
      <c r="K243" s="301" t="str">
        <f>IF(J243="","",VLOOKUP($B243,'F-1 Off-Site WaterC'' Baseline'!$C$9:$R$257,10,FALSE))</f>
        <v/>
      </c>
      <c r="L243" s="289" t="str">
        <f>IF(B243="","",VLOOKUP($B243,'F-1 Off-Site WaterC'' Baseline'!$C$9:$R$257,15,FALSE))</f>
        <v/>
      </c>
      <c r="M243" s="305" t="str">
        <f>IF(L243="","",VLOOKUP($B243,'F-1 Off-Site WaterC'' Baseline'!$C$9:$V$257,19,FALSE))</f>
        <v/>
      </c>
      <c r="N243" s="250"/>
      <c r="O243" s="281" t="str">
        <f t="shared" si="36"/>
        <v/>
      </c>
      <c r="P243" s="282" t="str">
        <f t="shared" si="37"/>
        <v/>
      </c>
      <c r="Q243" s="287" t="str">
        <f>IF(N243="","",VLOOKUP(B243,'F-1 Off-Site WaterC'' Baseline'!$C$10:$AF$257,23,FALSE))</f>
        <v/>
      </c>
      <c r="R243" s="281" t="str">
        <f>IF(N243="","",VLOOKUP(N243,'G-7 WaterC'' Data'!$B$2:$G$8,2,FALSE))</f>
        <v/>
      </c>
      <c r="S243" s="282" t="str">
        <f>IFERROR(VLOOKUP(R243,'G-7 WaterC'' Data'!$C$4:$D$8,2,FALSE),"")</f>
        <v/>
      </c>
      <c r="T243" s="105"/>
      <c r="U243" s="282" t="str">
        <f>IFERROR(INDEX('G-7 WaterC'' Data'!$H$4:$L$8,MATCH(N243,'G-7 WaterC'' Data'!$B$4:$B$8,0),MATCH(T243,'G-7 WaterC'' Data'!$H$3:$L$3,0)),"")</f>
        <v/>
      </c>
      <c r="V243" s="109"/>
      <c r="W243" s="301" t="str">
        <f>IF(V243="","",IF(VLOOKUP(V243,'G-7 WaterC'' Data'!$AK$4:$AM$6,2,FALSE)=0,"Spatial Data Missing ⚠",VLOOKUP(V243,'G-7 WaterC'' Data'!$AK$4:$AM$6,2,FALSE)))</f>
        <v/>
      </c>
      <c r="X243" s="305" t="str">
        <f>IF(V243="","",IF(VLOOKUP(V243,'G-7 WaterC'' Data'!$AK$4:$AM$6,3,FALSE)=0,"Spatial Data Missing ⚠",VLOOKUP(V243,'G-7 WaterC'' Data'!$AK$4:$AM$6,3,FALSE)))</f>
        <v/>
      </c>
      <c r="Y243" s="317" t="str">
        <f>IFERROR(IF(OR(LEFT(P243,5)="Error",LEFT(O243,5)="Error"),"Check Data ⚠",IF(F243&lt;S243,'G-7 WaterC'' Data'!$R$3,INDEX('G-7 WaterC'' Data'!$U$5:$Y$9,MATCH(G243,'G-7 WaterC'' Data'!$T$5:$T$9,0),MATCH(T243,'G-7 WaterC'' Data'!$U$4:$Y$4,0)))),"")</f>
        <v/>
      </c>
      <c r="Z243" s="142"/>
      <c r="AA243" s="142"/>
      <c r="AB243" s="314" t="str">
        <f t="shared" si="33"/>
        <v/>
      </c>
      <c r="AC243" s="302" t="str">
        <f t="shared" si="38"/>
        <v/>
      </c>
      <c r="AD243" s="340" t="str">
        <f>IFERROR(IF(AC243="Check Data ⚠","Check Data ⚠",VLOOKUP(AC243,'G-4 Temporal multipliers'!$A$4:$C$37,3,FALSE)),"")</f>
        <v/>
      </c>
      <c r="AE243" s="317" t="str">
        <f>IF(N243="","",VLOOKUP(N243,'G-7 WaterC'' Data'!$B$4:$G$8,5,FALSE))</f>
        <v/>
      </c>
      <c r="AF243" s="301" t="str">
        <f t="shared" si="34"/>
        <v/>
      </c>
      <c r="AG243" s="301" t="str">
        <f t="shared" si="39"/>
        <v/>
      </c>
      <c r="AH243" s="282" t="str">
        <f t="shared" si="35"/>
        <v/>
      </c>
      <c r="AI243" s="109"/>
      <c r="AJ243" s="282" t="str">
        <f>IF(AI243="","",(IF(AND(AI243="N/A - Culvert",N243&lt;&gt;"Culvert"),"Not possible ▲",IF(VLOOKUP(AI243,'G-7 WaterC'' Data'!$AA$4:$AB$7,2,FALSE)=0,"Spatial Data Missing ⚠",VLOOKUP(AI243,'G-7 WaterC'' Data'!$AA$4:$AB$7,2,FALSE)))))</f>
        <v/>
      </c>
      <c r="AK243" s="110"/>
      <c r="AL243" s="316" t="str">
        <f>IF(AK243="","",IF(AND(AK243="N/A - Culvert",N243&lt;&gt;"Culvert"),"Not possible ▲",IF(VLOOKUP(AK243,'G-7 WaterC'' Data'!$AD$4:$AE$14,2,FALSE)=0,"Spatial Data Missing ⚠",VLOOKUP(AK243,'G-7 WaterC'' Data'!$AD$4:$AE$14,2,FALSE))))</f>
        <v/>
      </c>
      <c r="AM243" s="281" t="str">
        <f>IF(B243="","",VLOOKUP($B243,'F-1 Off-Site WaterC'' Baseline'!$C$9:$Z$257,17,FALSE))</f>
        <v/>
      </c>
      <c r="AN243" s="282" t="str">
        <f>IF(AM243="","",IF(VLOOKUP(AM243,'G-7 WaterC'' Data'!$AO$4:$BO$7,2,FALSE)=0,"Spatial Data Missing ⚠",VLOOKUP(AM243,'G-7 WaterC'' Data'!$AO$4:$BO$7,2,FALSE)))</f>
        <v/>
      </c>
      <c r="AO243" s="323" t="str">
        <f t="shared" si="40"/>
        <v/>
      </c>
      <c r="AP243" s="323" t="str">
        <f t="shared" si="41"/>
        <v/>
      </c>
      <c r="AQ243" s="52"/>
      <c r="AR243" s="51"/>
      <c r="AS243" s="108"/>
      <c r="AT243" s="108"/>
      <c r="AW243" s="30" t="str">
        <f>IF(E243="","",VLOOKUP($B243,'F-1 Off-Site WaterC'' Baseline'!$C$9:$Z$257,12,FALSE))</f>
        <v/>
      </c>
      <c r="AX243" s="30" t="str">
        <f>IF(E243="","",VLOOKUP($B243,'F-1 Off-Site WaterC'' Baseline'!$C$9:$Z$257,14,FALSE))</f>
        <v/>
      </c>
      <c r="AY243" s="30" t="str">
        <f>IFERROR(INDEX('G-7 WaterC'' Data'!$AZ$3:$AZ$7,MATCH(N243,'G-7 WaterC'' Data'!$AY$3:$AY$7,0)),"")</f>
        <v/>
      </c>
      <c r="AZ243" s="30" t="str">
        <f>IF(B243="","",IF(ISNA(VLOOKUP($B243,'F-1 Off-Site WaterC'' Baseline'!$C$8:$AD$257,20,FALSE)),"",(VLOOKUP($B243,'F-1 Off-Site WaterC'' Baseline'!$C$8:$AD$257,20,FALSE))))</f>
        <v/>
      </c>
      <c r="BC243" s="30" t="str">
        <f>IF(B243="","",VLOOKUP($B243,'F-1 Off-Site WaterC'' Baseline'!$C$9:$AB$257,25,FALSE))</f>
        <v/>
      </c>
      <c r="BD243" s="30" t="str">
        <f t="shared" si="42"/>
        <v/>
      </c>
      <c r="BE243" s="30" t="str">
        <f>IF(B243="","",VLOOKUP($B243,'F-1 Off-Site WaterC'' Baseline'!$C$9:$AB$257,24,FALSE))</f>
        <v/>
      </c>
      <c r="BF243" s="30" t="str">
        <f>IF(B243="","",VLOOKUP($B243,'F-1 Off-Site WaterC'' Baseline'!$C$9:$AB$257,22,FALSE))</f>
        <v/>
      </c>
      <c r="BJ243" s="30" t="str">
        <f t="shared" si="43"/>
        <v>No</v>
      </c>
    </row>
    <row r="244" spans="2:62" ht="13.8" x14ac:dyDescent="0.25">
      <c r="B244" s="311" t="str">
        <f>'F-1 Off-Site WaterC'' Baseline'!AS242</f>
        <v/>
      </c>
      <c r="C244" s="301" t="str">
        <f>IF(B244="","",VLOOKUP($B244,'F-1 Off-Site WaterC'' Baseline'!$C$9:$R$257,2,FALSE))</f>
        <v/>
      </c>
      <c r="D244" s="301" t="str">
        <f>IF(C244="","",VLOOKUP($B244,'F-1 Off-Site WaterC'' Baseline'!$C$9:$R$257,3,FALSE))</f>
        <v/>
      </c>
      <c r="E244" s="301" t="str">
        <f>IF(D244="","",VLOOKUP($B244,'F-1 Off-Site WaterC'' Baseline'!$C$9:$R$257,4,FALSE))</f>
        <v/>
      </c>
      <c r="F244" s="301" t="str">
        <f>IF(E244="","",VLOOKUP($B244,'F-1 Off-Site WaterC'' Baseline'!$C$9:$R$257,5,FALSE))</f>
        <v/>
      </c>
      <c r="G244" s="301" t="str">
        <f>IF(F244="","",VLOOKUP($B244,'F-1 Off-Site WaterC'' Baseline'!$C$9:$R$257,6,FALSE))</f>
        <v/>
      </c>
      <c r="H244" s="301" t="str">
        <f>IF(G244="","",VLOOKUP($B244,'F-1 Off-Site WaterC'' Baseline'!$C$9:$R$257,7,FALSE))</f>
        <v/>
      </c>
      <c r="I244" s="301" t="str">
        <f>IF(H244="","",VLOOKUP($B244,'F-1 Off-Site WaterC'' Baseline'!$C$9:$R$257,8,FALSE))</f>
        <v/>
      </c>
      <c r="J244" s="301" t="str">
        <f>IF(I244="","",VLOOKUP($B244,'F-1 Off-Site WaterC'' Baseline'!$C$9:$R$257,9,FALSE))</f>
        <v/>
      </c>
      <c r="K244" s="301" t="str">
        <f>IF(J244="","",VLOOKUP($B244,'F-1 Off-Site WaterC'' Baseline'!$C$9:$R$257,10,FALSE))</f>
        <v/>
      </c>
      <c r="L244" s="289" t="str">
        <f>IF(B244="","",VLOOKUP($B244,'F-1 Off-Site WaterC'' Baseline'!$C$9:$R$257,15,FALSE))</f>
        <v/>
      </c>
      <c r="M244" s="305" t="str">
        <f>IF(L244="","",VLOOKUP($B244,'F-1 Off-Site WaterC'' Baseline'!$C$9:$V$257,19,FALSE))</f>
        <v/>
      </c>
      <c r="N244" s="250"/>
      <c r="O244" s="281" t="str">
        <f t="shared" si="36"/>
        <v/>
      </c>
      <c r="P244" s="282" t="str">
        <f t="shared" si="37"/>
        <v/>
      </c>
      <c r="Q244" s="287" t="str">
        <f>IF(N244="","",VLOOKUP(B244,'F-1 Off-Site WaterC'' Baseline'!$C$10:$AF$257,23,FALSE))</f>
        <v/>
      </c>
      <c r="R244" s="281" t="str">
        <f>IF(N244="","",VLOOKUP(N244,'G-7 WaterC'' Data'!$B$2:$G$8,2,FALSE))</f>
        <v/>
      </c>
      <c r="S244" s="282" t="str">
        <f>IFERROR(VLOOKUP(R244,'G-7 WaterC'' Data'!$C$4:$D$8,2,FALSE),"")</f>
        <v/>
      </c>
      <c r="T244" s="105"/>
      <c r="U244" s="282" t="str">
        <f>IFERROR(INDEX('G-7 WaterC'' Data'!$H$4:$L$8,MATCH(N244,'G-7 WaterC'' Data'!$B$4:$B$8,0),MATCH(T244,'G-7 WaterC'' Data'!$H$3:$L$3,0)),"")</f>
        <v/>
      </c>
      <c r="V244" s="109"/>
      <c r="W244" s="301" t="str">
        <f>IF(V244="","",IF(VLOOKUP(V244,'G-7 WaterC'' Data'!$AK$4:$AM$6,2,FALSE)=0,"Spatial Data Missing ⚠",VLOOKUP(V244,'G-7 WaterC'' Data'!$AK$4:$AM$6,2,FALSE)))</f>
        <v/>
      </c>
      <c r="X244" s="305" t="str">
        <f>IF(V244="","",IF(VLOOKUP(V244,'G-7 WaterC'' Data'!$AK$4:$AM$6,3,FALSE)=0,"Spatial Data Missing ⚠",VLOOKUP(V244,'G-7 WaterC'' Data'!$AK$4:$AM$6,3,FALSE)))</f>
        <v/>
      </c>
      <c r="Y244" s="317" t="str">
        <f>IFERROR(IF(OR(LEFT(P244,5)="Error",LEFT(O244,5)="Error"),"Check Data ⚠",IF(F244&lt;S244,'G-7 WaterC'' Data'!$R$3,INDEX('G-7 WaterC'' Data'!$U$5:$Y$9,MATCH(G244,'G-7 WaterC'' Data'!$T$5:$T$9,0),MATCH(T244,'G-7 WaterC'' Data'!$U$4:$Y$4,0)))),"")</f>
        <v/>
      </c>
      <c r="Z244" s="142"/>
      <c r="AA244" s="142"/>
      <c r="AB244" s="314" t="str">
        <f t="shared" si="33"/>
        <v/>
      </c>
      <c r="AC244" s="302" t="str">
        <f t="shared" si="38"/>
        <v/>
      </c>
      <c r="AD244" s="340" t="str">
        <f>IFERROR(IF(AC244="Check Data ⚠","Check Data ⚠",VLOOKUP(AC244,'G-4 Temporal multipliers'!$A$4:$C$37,3,FALSE)),"")</f>
        <v/>
      </c>
      <c r="AE244" s="317" t="str">
        <f>IF(N244="","",VLOOKUP(N244,'G-7 WaterC'' Data'!$B$4:$G$8,5,FALSE))</f>
        <v/>
      </c>
      <c r="AF244" s="301" t="str">
        <f t="shared" si="34"/>
        <v/>
      </c>
      <c r="AG244" s="301" t="str">
        <f t="shared" si="39"/>
        <v/>
      </c>
      <c r="AH244" s="282" t="str">
        <f t="shared" si="35"/>
        <v/>
      </c>
      <c r="AI244" s="109"/>
      <c r="AJ244" s="282" t="str">
        <f>IF(AI244="","",(IF(AND(AI244="N/A - Culvert",N244&lt;&gt;"Culvert"),"Not possible ▲",IF(VLOOKUP(AI244,'G-7 WaterC'' Data'!$AA$4:$AB$7,2,FALSE)=0,"Spatial Data Missing ⚠",VLOOKUP(AI244,'G-7 WaterC'' Data'!$AA$4:$AB$7,2,FALSE)))))</f>
        <v/>
      </c>
      <c r="AK244" s="110"/>
      <c r="AL244" s="316" t="str">
        <f>IF(AK244="","",IF(AND(AK244="N/A - Culvert",N244&lt;&gt;"Culvert"),"Not possible ▲",IF(VLOOKUP(AK244,'G-7 WaterC'' Data'!$AD$4:$AE$14,2,FALSE)=0,"Spatial Data Missing ⚠",VLOOKUP(AK244,'G-7 WaterC'' Data'!$AD$4:$AE$14,2,FALSE))))</f>
        <v/>
      </c>
      <c r="AM244" s="281" t="str">
        <f>IF(B244="","",VLOOKUP($B244,'F-1 Off-Site WaterC'' Baseline'!$C$9:$Z$257,17,FALSE))</f>
        <v/>
      </c>
      <c r="AN244" s="282" t="str">
        <f>IF(AM244="","",IF(VLOOKUP(AM244,'G-7 WaterC'' Data'!$AO$4:$BO$7,2,FALSE)=0,"Spatial Data Missing ⚠",VLOOKUP(AM244,'G-7 WaterC'' Data'!$AO$4:$BO$7,2,FALSE)))</f>
        <v/>
      </c>
      <c r="AO244" s="323" t="str">
        <f t="shared" si="40"/>
        <v/>
      </c>
      <c r="AP244" s="323" t="str">
        <f t="shared" si="41"/>
        <v/>
      </c>
      <c r="AQ244" s="52"/>
      <c r="AR244" s="51"/>
      <c r="AS244" s="108"/>
      <c r="AT244" s="108"/>
      <c r="AW244" s="30" t="str">
        <f>IF(E244="","",VLOOKUP($B244,'F-1 Off-Site WaterC'' Baseline'!$C$9:$Z$257,12,FALSE))</f>
        <v/>
      </c>
      <c r="AX244" s="30" t="str">
        <f>IF(E244="","",VLOOKUP($B244,'F-1 Off-Site WaterC'' Baseline'!$C$9:$Z$257,14,FALSE))</f>
        <v/>
      </c>
      <c r="AY244" s="30" t="str">
        <f>IFERROR(INDEX('G-7 WaterC'' Data'!$AZ$3:$AZ$7,MATCH(N244,'G-7 WaterC'' Data'!$AY$3:$AY$7,0)),"")</f>
        <v/>
      </c>
      <c r="AZ244" s="30" t="str">
        <f>IF(B244="","",IF(ISNA(VLOOKUP($B244,'F-1 Off-Site WaterC'' Baseline'!$C$8:$AD$257,20,FALSE)),"",(VLOOKUP($B244,'F-1 Off-Site WaterC'' Baseline'!$C$8:$AD$257,20,FALSE))))</f>
        <v/>
      </c>
      <c r="BC244" s="30" t="str">
        <f>IF(B244="","",VLOOKUP($B244,'F-1 Off-Site WaterC'' Baseline'!$C$9:$AB$257,25,FALSE))</f>
        <v/>
      </c>
      <c r="BD244" s="30" t="str">
        <f t="shared" si="42"/>
        <v/>
      </c>
      <c r="BE244" s="30" t="str">
        <f>IF(B244="","",VLOOKUP($B244,'F-1 Off-Site WaterC'' Baseline'!$C$9:$AB$257,24,FALSE))</f>
        <v/>
      </c>
      <c r="BF244" s="30" t="str">
        <f>IF(B244="","",VLOOKUP($B244,'F-1 Off-Site WaterC'' Baseline'!$C$9:$AB$257,22,FALSE))</f>
        <v/>
      </c>
      <c r="BJ244" s="30" t="str">
        <f t="shared" si="43"/>
        <v>No</v>
      </c>
    </row>
    <row r="245" spans="2:62" ht="13.8" x14ac:dyDescent="0.25">
      <c r="B245" s="311" t="str">
        <f>'F-1 Off-Site WaterC'' Baseline'!AS243</f>
        <v/>
      </c>
      <c r="C245" s="301" t="str">
        <f>IF(B245="","",VLOOKUP($B245,'F-1 Off-Site WaterC'' Baseline'!$C$9:$R$257,2,FALSE))</f>
        <v/>
      </c>
      <c r="D245" s="301" t="str">
        <f>IF(C245="","",VLOOKUP($B245,'F-1 Off-Site WaterC'' Baseline'!$C$9:$R$257,3,FALSE))</f>
        <v/>
      </c>
      <c r="E245" s="301" t="str">
        <f>IF(D245="","",VLOOKUP($B245,'F-1 Off-Site WaterC'' Baseline'!$C$9:$R$257,4,FALSE))</f>
        <v/>
      </c>
      <c r="F245" s="301" t="str">
        <f>IF(E245="","",VLOOKUP($B245,'F-1 Off-Site WaterC'' Baseline'!$C$9:$R$257,5,FALSE))</f>
        <v/>
      </c>
      <c r="G245" s="301" t="str">
        <f>IF(F245="","",VLOOKUP($B245,'F-1 Off-Site WaterC'' Baseline'!$C$9:$R$257,6,FALSE))</f>
        <v/>
      </c>
      <c r="H245" s="301" t="str">
        <f>IF(G245="","",VLOOKUP($B245,'F-1 Off-Site WaterC'' Baseline'!$C$9:$R$257,7,FALSE))</f>
        <v/>
      </c>
      <c r="I245" s="301" t="str">
        <f>IF(H245="","",VLOOKUP($B245,'F-1 Off-Site WaterC'' Baseline'!$C$9:$R$257,8,FALSE))</f>
        <v/>
      </c>
      <c r="J245" s="301" t="str">
        <f>IF(I245="","",VLOOKUP($B245,'F-1 Off-Site WaterC'' Baseline'!$C$9:$R$257,9,FALSE))</f>
        <v/>
      </c>
      <c r="K245" s="301" t="str">
        <f>IF(J245="","",VLOOKUP($B245,'F-1 Off-Site WaterC'' Baseline'!$C$9:$R$257,10,FALSE))</f>
        <v/>
      </c>
      <c r="L245" s="289" t="str">
        <f>IF(B245="","",VLOOKUP($B245,'F-1 Off-Site WaterC'' Baseline'!$C$9:$R$257,15,FALSE))</f>
        <v/>
      </c>
      <c r="M245" s="305" t="str">
        <f>IF(L245="","",VLOOKUP($B245,'F-1 Off-Site WaterC'' Baseline'!$C$9:$V$257,19,FALSE))</f>
        <v/>
      </c>
      <c r="N245" s="250"/>
      <c r="O245" s="281" t="str">
        <f t="shared" si="36"/>
        <v/>
      </c>
      <c r="P245" s="282" t="str">
        <f t="shared" si="37"/>
        <v/>
      </c>
      <c r="Q245" s="287" t="str">
        <f>IF(N245="","",VLOOKUP(B245,'F-1 Off-Site WaterC'' Baseline'!$C$10:$AF$257,23,FALSE))</f>
        <v/>
      </c>
      <c r="R245" s="281" t="str">
        <f>IF(N245="","",VLOOKUP(N245,'G-7 WaterC'' Data'!$B$2:$G$8,2,FALSE))</f>
        <v/>
      </c>
      <c r="S245" s="282" t="str">
        <f>IFERROR(VLOOKUP(R245,'G-7 WaterC'' Data'!$C$4:$D$8,2,FALSE),"")</f>
        <v/>
      </c>
      <c r="T245" s="105"/>
      <c r="U245" s="282" t="str">
        <f>IFERROR(INDEX('G-7 WaterC'' Data'!$H$4:$L$8,MATCH(N245,'G-7 WaterC'' Data'!$B$4:$B$8,0),MATCH(T245,'G-7 WaterC'' Data'!$H$3:$L$3,0)),"")</f>
        <v/>
      </c>
      <c r="V245" s="109"/>
      <c r="W245" s="301" t="str">
        <f>IF(V245="","",IF(VLOOKUP(V245,'G-7 WaterC'' Data'!$AK$4:$AM$6,2,FALSE)=0,"Spatial Data Missing ⚠",VLOOKUP(V245,'G-7 WaterC'' Data'!$AK$4:$AM$6,2,FALSE)))</f>
        <v/>
      </c>
      <c r="X245" s="305" t="str">
        <f>IF(V245="","",IF(VLOOKUP(V245,'G-7 WaterC'' Data'!$AK$4:$AM$6,3,FALSE)=0,"Spatial Data Missing ⚠",VLOOKUP(V245,'G-7 WaterC'' Data'!$AK$4:$AM$6,3,FALSE)))</f>
        <v/>
      </c>
      <c r="Y245" s="317" t="str">
        <f>IFERROR(IF(OR(LEFT(P245,5)="Error",LEFT(O245,5)="Error"),"Check Data ⚠",IF(F245&lt;S245,'G-7 WaterC'' Data'!$R$3,INDEX('G-7 WaterC'' Data'!$U$5:$Y$9,MATCH(G245,'G-7 WaterC'' Data'!$T$5:$T$9,0),MATCH(T245,'G-7 WaterC'' Data'!$U$4:$Y$4,0)))),"")</f>
        <v/>
      </c>
      <c r="Z245" s="142"/>
      <c r="AA245" s="142"/>
      <c r="AB245" s="314" t="str">
        <f t="shared" si="33"/>
        <v/>
      </c>
      <c r="AC245" s="302" t="str">
        <f t="shared" si="38"/>
        <v/>
      </c>
      <c r="AD245" s="340" t="str">
        <f>IFERROR(IF(AC245="Check Data ⚠","Check Data ⚠",VLOOKUP(AC245,'G-4 Temporal multipliers'!$A$4:$C$37,3,FALSE)),"")</f>
        <v/>
      </c>
      <c r="AE245" s="317" t="str">
        <f>IF(N245="","",VLOOKUP(N245,'G-7 WaterC'' Data'!$B$4:$G$8,5,FALSE))</f>
        <v/>
      </c>
      <c r="AF245" s="301" t="str">
        <f t="shared" si="34"/>
        <v/>
      </c>
      <c r="AG245" s="301" t="str">
        <f t="shared" si="39"/>
        <v/>
      </c>
      <c r="AH245" s="282" t="str">
        <f t="shared" si="35"/>
        <v/>
      </c>
      <c r="AI245" s="109"/>
      <c r="AJ245" s="282" t="str">
        <f>IF(AI245="","",(IF(AND(AI245="N/A - Culvert",N245&lt;&gt;"Culvert"),"Not possible ▲",IF(VLOOKUP(AI245,'G-7 WaterC'' Data'!$AA$4:$AB$7,2,FALSE)=0,"Spatial Data Missing ⚠",VLOOKUP(AI245,'G-7 WaterC'' Data'!$AA$4:$AB$7,2,FALSE)))))</f>
        <v/>
      </c>
      <c r="AK245" s="110"/>
      <c r="AL245" s="316" t="str">
        <f>IF(AK245="","",IF(AND(AK245="N/A - Culvert",N245&lt;&gt;"Culvert"),"Not possible ▲",IF(VLOOKUP(AK245,'G-7 WaterC'' Data'!$AD$4:$AE$14,2,FALSE)=0,"Spatial Data Missing ⚠",VLOOKUP(AK245,'G-7 WaterC'' Data'!$AD$4:$AE$14,2,FALSE))))</f>
        <v/>
      </c>
      <c r="AM245" s="281" t="str">
        <f>IF(B245="","",VLOOKUP($B245,'F-1 Off-Site WaterC'' Baseline'!$C$9:$Z$257,17,FALSE))</f>
        <v/>
      </c>
      <c r="AN245" s="282" t="str">
        <f>IF(AM245="","",IF(VLOOKUP(AM245,'G-7 WaterC'' Data'!$AO$4:$BO$7,2,FALSE)=0,"Spatial Data Missing ⚠",VLOOKUP(AM245,'G-7 WaterC'' Data'!$AO$4:$BO$7,2,FALSE)))</f>
        <v/>
      </c>
      <c r="AO245" s="323" t="str">
        <f t="shared" si="40"/>
        <v/>
      </c>
      <c r="AP245" s="323" t="str">
        <f t="shared" si="41"/>
        <v/>
      </c>
      <c r="AQ245" s="52"/>
      <c r="AR245" s="51"/>
      <c r="AS245" s="108"/>
      <c r="AT245" s="108"/>
      <c r="AW245" s="30" t="str">
        <f>IF(E245="","",VLOOKUP($B245,'F-1 Off-Site WaterC'' Baseline'!$C$9:$Z$257,12,FALSE))</f>
        <v/>
      </c>
      <c r="AX245" s="30" t="str">
        <f>IF(E245="","",VLOOKUP($B245,'F-1 Off-Site WaterC'' Baseline'!$C$9:$Z$257,14,FALSE))</f>
        <v/>
      </c>
      <c r="AY245" s="30" t="str">
        <f>IFERROR(INDEX('G-7 WaterC'' Data'!$AZ$3:$AZ$7,MATCH(N245,'G-7 WaterC'' Data'!$AY$3:$AY$7,0)),"")</f>
        <v/>
      </c>
      <c r="AZ245" s="30" t="str">
        <f>IF(B245="","",IF(ISNA(VLOOKUP($B245,'F-1 Off-Site WaterC'' Baseline'!$C$8:$AD$257,20,FALSE)),"",(VLOOKUP($B245,'F-1 Off-Site WaterC'' Baseline'!$C$8:$AD$257,20,FALSE))))</f>
        <v/>
      </c>
      <c r="BC245" s="30" t="str">
        <f>IF(B245="","",VLOOKUP($B245,'F-1 Off-Site WaterC'' Baseline'!$C$9:$AB$257,25,FALSE))</f>
        <v/>
      </c>
      <c r="BD245" s="30" t="str">
        <f t="shared" si="42"/>
        <v/>
      </c>
      <c r="BE245" s="30" t="str">
        <f>IF(B245="","",VLOOKUP($B245,'F-1 Off-Site WaterC'' Baseline'!$C$9:$AB$257,24,FALSE))</f>
        <v/>
      </c>
      <c r="BF245" s="30" t="str">
        <f>IF(B245="","",VLOOKUP($B245,'F-1 Off-Site WaterC'' Baseline'!$C$9:$AB$257,22,FALSE))</f>
        <v/>
      </c>
      <c r="BJ245" s="30" t="str">
        <f t="shared" si="43"/>
        <v>No</v>
      </c>
    </row>
    <row r="246" spans="2:62" ht="13.8" x14ac:dyDescent="0.25">
      <c r="B246" s="311" t="str">
        <f>'F-1 Off-Site WaterC'' Baseline'!AS244</f>
        <v/>
      </c>
      <c r="C246" s="301" t="str">
        <f>IF(B246="","",VLOOKUP($B246,'F-1 Off-Site WaterC'' Baseline'!$C$9:$R$257,2,FALSE))</f>
        <v/>
      </c>
      <c r="D246" s="301" t="str">
        <f>IF(C246="","",VLOOKUP($B246,'F-1 Off-Site WaterC'' Baseline'!$C$9:$R$257,3,FALSE))</f>
        <v/>
      </c>
      <c r="E246" s="301" t="str">
        <f>IF(D246="","",VLOOKUP($B246,'F-1 Off-Site WaterC'' Baseline'!$C$9:$R$257,4,FALSE))</f>
        <v/>
      </c>
      <c r="F246" s="301" t="str">
        <f>IF(E246="","",VLOOKUP($B246,'F-1 Off-Site WaterC'' Baseline'!$C$9:$R$257,5,FALSE))</f>
        <v/>
      </c>
      <c r="G246" s="301" t="str">
        <f>IF(F246="","",VLOOKUP($B246,'F-1 Off-Site WaterC'' Baseline'!$C$9:$R$257,6,FALSE))</f>
        <v/>
      </c>
      <c r="H246" s="301" t="str">
        <f>IF(G246="","",VLOOKUP($B246,'F-1 Off-Site WaterC'' Baseline'!$C$9:$R$257,7,FALSE))</f>
        <v/>
      </c>
      <c r="I246" s="301" t="str">
        <f>IF(H246="","",VLOOKUP($B246,'F-1 Off-Site WaterC'' Baseline'!$C$9:$R$257,8,FALSE))</f>
        <v/>
      </c>
      <c r="J246" s="301" t="str">
        <f>IF(I246="","",VLOOKUP($B246,'F-1 Off-Site WaterC'' Baseline'!$C$9:$R$257,9,FALSE))</f>
        <v/>
      </c>
      <c r="K246" s="301" t="str">
        <f>IF(J246="","",VLOOKUP($B246,'F-1 Off-Site WaterC'' Baseline'!$C$9:$R$257,10,FALSE))</f>
        <v/>
      </c>
      <c r="L246" s="289" t="str">
        <f>IF(B246="","",VLOOKUP($B246,'F-1 Off-Site WaterC'' Baseline'!$C$9:$R$257,15,FALSE))</f>
        <v/>
      </c>
      <c r="M246" s="305" t="str">
        <f>IF(L246="","",VLOOKUP($B246,'F-1 Off-Site WaterC'' Baseline'!$C$9:$V$257,19,FALSE))</f>
        <v/>
      </c>
      <c r="N246" s="250"/>
      <c r="O246" s="281" t="str">
        <f t="shared" si="36"/>
        <v/>
      </c>
      <c r="P246" s="282" t="str">
        <f t="shared" si="37"/>
        <v/>
      </c>
      <c r="Q246" s="287" t="str">
        <f>IF(N246="","",VLOOKUP(B246,'F-1 Off-Site WaterC'' Baseline'!$C$10:$AF$257,23,FALSE))</f>
        <v/>
      </c>
      <c r="R246" s="281" t="str">
        <f>IF(N246="","",VLOOKUP(N246,'G-7 WaterC'' Data'!$B$2:$G$8,2,FALSE))</f>
        <v/>
      </c>
      <c r="S246" s="282" t="str">
        <f>IFERROR(VLOOKUP(R246,'G-7 WaterC'' Data'!$C$4:$D$8,2,FALSE),"")</f>
        <v/>
      </c>
      <c r="T246" s="105"/>
      <c r="U246" s="282" t="str">
        <f>IFERROR(INDEX('G-7 WaterC'' Data'!$H$4:$L$8,MATCH(N246,'G-7 WaterC'' Data'!$B$4:$B$8,0),MATCH(T246,'G-7 WaterC'' Data'!$H$3:$L$3,0)),"")</f>
        <v/>
      </c>
      <c r="V246" s="109"/>
      <c r="W246" s="301" t="str">
        <f>IF(V246="","",IF(VLOOKUP(V246,'G-7 WaterC'' Data'!$AK$4:$AM$6,2,FALSE)=0,"Spatial Data Missing ⚠",VLOOKUP(V246,'G-7 WaterC'' Data'!$AK$4:$AM$6,2,FALSE)))</f>
        <v/>
      </c>
      <c r="X246" s="305" t="str">
        <f>IF(V246="","",IF(VLOOKUP(V246,'G-7 WaterC'' Data'!$AK$4:$AM$6,3,FALSE)=0,"Spatial Data Missing ⚠",VLOOKUP(V246,'G-7 WaterC'' Data'!$AK$4:$AM$6,3,FALSE)))</f>
        <v/>
      </c>
      <c r="Y246" s="317" t="str">
        <f>IFERROR(IF(OR(LEFT(P246,5)="Error",LEFT(O246,5)="Error"),"Check Data ⚠",IF(F246&lt;S246,'G-7 WaterC'' Data'!$R$3,INDEX('G-7 WaterC'' Data'!$U$5:$Y$9,MATCH(G246,'G-7 WaterC'' Data'!$T$5:$T$9,0),MATCH(T246,'G-7 WaterC'' Data'!$U$4:$Y$4,0)))),"")</f>
        <v/>
      </c>
      <c r="Z246" s="142"/>
      <c r="AA246" s="142"/>
      <c r="AB246" s="314" t="str">
        <f t="shared" si="33"/>
        <v/>
      </c>
      <c r="AC246" s="302" t="str">
        <f t="shared" si="38"/>
        <v/>
      </c>
      <c r="AD246" s="340" t="str">
        <f>IFERROR(IF(AC246="Check Data ⚠","Check Data ⚠",VLOOKUP(AC246,'G-4 Temporal multipliers'!$A$4:$C$37,3,FALSE)),"")</f>
        <v/>
      </c>
      <c r="AE246" s="317" t="str">
        <f>IF(N246="","",VLOOKUP(N246,'G-7 WaterC'' Data'!$B$4:$G$8,5,FALSE))</f>
        <v/>
      </c>
      <c r="AF246" s="301" t="str">
        <f t="shared" si="34"/>
        <v/>
      </c>
      <c r="AG246" s="301" t="str">
        <f t="shared" si="39"/>
        <v/>
      </c>
      <c r="AH246" s="282" t="str">
        <f t="shared" si="35"/>
        <v/>
      </c>
      <c r="AI246" s="109"/>
      <c r="AJ246" s="282" t="str">
        <f>IF(AI246="","",(IF(AND(AI246="N/A - Culvert",N246&lt;&gt;"Culvert"),"Not possible ▲",IF(VLOOKUP(AI246,'G-7 WaterC'' Data'!$AA$4:$AB$7,2,FALSE)=0,"Spatial Data Missing ⚠",VLOOKUP(AI246,'G-7 WaterC'' Data'!$AA$4:$AB$7,2,FALSE)))))</f>
        <v/>
      </c>
      <c r="AK246" s="110"/>
      <c r="AL246" s="316" t="str">
        <f>IF(AK246="","",IF(AND(AK246="N/A - Culvert",N246&lt;&gt;"Culvert"),"Not possible ▲",IF(VLOOKUP(AK246,'G-7 WaterC'' Data'!$AD$4:$AE$14,2,FALSE)=0,"Spatial Data Missing ⚠",VLOOKUP(AK246,'G-7 WaterC'' Data'!$AD$4:$AE$14,2,FALSE))))</f>
        <v/>
      </c>
      <c r="AM246" s="281" t="str">
        <f>IF(B246="","",VLOOKUP($B246,'F-1 Off-Site WaterC'' Baseline'!$C$9:$Z$257,17,FALSE))</f>
        <v/>
      </c>
      <c r="AN246" s="282" t="str">
        <f>IF(AM246="","",IF(VLOOKUP(AM246,'G-7 WaterC'' Data'!$AO$4:$BO$7,2,FALSE)=0,"Spatial Data Missing ⚠",VLOOKUP(AM246,'G-7 WaterC'' Data'!$AO$4:$BO$7,2,FALSE)))</f>
        <v/>
      </c>
      <c r="AO246" s="323" t="str">
        <f t="shared" si="40"/>
        <v/>
      </c>
      <c r="AP246" s="323" t="str">
        <f t="shared" si="41"/>
        <v/>
      </c>
      <c r="AQ246" s="52"/>
      <c r="AR246" s="51"/>
      <c r="AS246" s="108"/>
      <c r="AT246" s="108"/>
      <c r="AW246" s="30" t="str">
        <f>IF(E246="","",VLOOKUP($B246,'F-1 Off-Site WaterC'' Baseline'!$C$9:$Z$257,12,FALSE))</f>
        <v/>
      </c>
      <c r="AX246" s="30" t="str">
        <f>IF(E246="","",VLOOKUP($B246,'F-1 Off-Site WaterC'' Baseline'!$C$9:$Z$257,14,FALSE))</f>
        <v/>
      </c>
      <c r="AY246" s="30" t="str">
        <f>IFERROR(INDEX('G-7 WaterC'' Data'!$AZ$3:$AZ$7,MATCH(N246,'G-7 WaterC'' Data'!$AY$3:$AY$7,0)),"")</f>
        <v/>
      </c>
      <c r="AZ246" s="30" t="str">
        <f>IF(B246="","",IF(ISNA(VLOOKUP($B246,'F-1 Off-Site WaterC'' Baseline'!$C$8:$AD$257,20,FALSE)),"",(VLOOKUP($B246,'F-1 Off-Site WaterC'' Baseline'!$C$8:$AD$257,20,FALSE))))</f>
        <v/>
      </c>
      <c r="BC246" s="30" t="str">
        <f>IF(B246="","",VLOOKUP($B246,'F-1 Off-Site WaterC'' Baseline'!$C$9:$AB$257,25,FALSE))</f>
        <v/>
      </c>
      <c r="BD246" s="30" t="str">
        <f t="shared" si="42"/>
        <v/>
      </c>
      <c r="BE246" s="30" t="str">
        <f>IF(B246="","",VLOOKUP($B246,'F-1 Off-Site WaterC'' Baseline'!$C$9:$AB$257,24,FALSE))</f>
        <v/>
      </c>
      <c r="BF246" s="30" t="str">
        <f>IF(B246="","",VLOOKUP($B246,'F-1 Off-Site WaterC'' Baseline'!$C$9:$AB$257,22,FALSE))</f>
        <v/>
      </c>
      <c r="BJ246" s="30" t="str">
        <f t="shared" si="43"/>
        <v>No</v>
      </c>
    </row>
    <row r="247" spans="2:62" ht="13.8" x14ac:dyDescent="0.25">
      <c r="B247" s="311" t="str">
        <f>'F-1 Off-Site WaterC'' Baseline'!AS245</f>
        <v/>
      </c>
      <c r="C247" s="301" t="str">
        <f>IF(B247="","",VLOOKUP($B247,'F-1 Off-Site WaterC'' Baseline'!$C$9:$R$257,2,FALSE))</f>
        <v/>
      </c>
      <c r="D247" s="301" t="str">
        <f>IF(C247="","",VLOOKUP($B247,'F-1 Off-Site WaterC'' Baseline'!$C$9:$R$257,3,FALSE))</f>
        <v/>
      </c>
      <c r="E247" s="301" t="str">
        <f>IF(D247="","",VLOOKUP($B247,'F-1 Off-Site WaterC'' Baseline'!$C$9:$R$257,4,FALSE))</f>
        <v/>
      </c>
      <c r="F247" s="301" t="str">
        <f>IF(E247="","",VLOOKUP($B247,'F-1 Off-Site WaterC'' Baseline'!$C$9:$R$257,5,FALSE))</f>
        <v/>
      </c>
      <c r="G247" s="301" t="str">
        <f>IF(F247="","",VLOOKUP($B247,'F-1 Off-Site WaterC'' Baseline'!$C$9:$R$257,6,FALSE))</f>
        <v/>
      </c>
      <c r="H247" s="301" t="str">
        <f>IF(G247="","",VLOOKUP($B247,'F-1 Off-Site WaterC'' Baseline'!$C$9:$R$257,7,FALSE))</f>
        <v/>
      </c>
      <c r="I247" s="301" t="str">
        <f>IF(H247="","",VLOOKUP($B247,'F-1 Off-Site WaterC'' Baseline'!$C$9:$R$257,8,FALSE))</f>
        <v/>
      </c>
      <c r="J247" s="301" t="str">
        <f>IF(I247="","",VLOOKUP($B247,'F-1 Off-Site WaterC'' Baseline'!$C$9:$R$257,9,FALSE))</f>
        <v/>
      </c>
      <c r="K247" s="301" t="str">
        <f>IF(J247="","",VLOOKUP($B247,'F-1 Off-Site WaterC'' Baseline'!$C$9:$R$257,10,FALSE))</f>
        <v/>
      </c>
      <c r="L247" s="289" t="str">
        <f>IF(B247="","",VLOOKUP($B247,'F-1 Off-Site WaterC'' Baseline'!$C$9:$R$257,15,FALSE))</f>
        <v/>
      </c>
      <c r="M247" s="305" t="str">
        <f>IF(L247="","",VLOOKUP($B247,'F-1 Off-Site WaterC'' Baseline'!$C$9:$V$257,19,FALSE))</f>
        <v/>
      </c>
      <c r="N247" s="250"/>
      <c r="O247" s="281" t="str">
        <f t="shared" si="36"/>
        <v/>
      </c>
      <c r="P247" s="282" t="str">
        <f t="shared" si="37"/>
        <v/>
      </c>
      <c r="Q247" s="287" t="str">
        <f>IF(N247="","",VLOOKUP(B247,'F-1 Off-Site WaterC'' Baseline'!$C$10:$AF$257,23,FALSE))</f>
        <v/>
      </c>
      <c r="R247" s="281" t="str">
        <f>IF(N247="","",VLOOKUP(N247,'G-7 WaterC'' Data'!$B$2:$G$8,2,FALSE))</f>
        <v/>
      </c>
      <c r="S247" s="282" t="str">
        <f>IFERROR(VLOOKUP(R247,'G-7 WaterC'' Data'!$C$4:$D$8,2,FALSE),"")</f>
        <v/>
      </c>
      <c r="T247" s="105"/>
      <c r="U247" s="282" t="str">
        <f>IFERROR(INDEX('G-7 WaterC'' Data'!$H$4:$L$8,MATCH(N247,'G-7 WaterC'' Data'!$B$4:$B$8,0),MATCH(T247,'G-7 WaterC'' Data'!$H$3:$L$3,0)),"")</f>
        <v/>
      </c>
      <c r="V247" s="109"/>
      <c r="W247" s="301" t="str">
        <f>IF(V247="","",IF(VLOOKUP(V247,'G-7 WaterC'' Data'!$AK$4:$AM$6,2,FALSE)=0,"Spatial Data Missing ⚠",VLOOKUP(V247,'G-7 WaterC'' Data'!$AK$4:$AM$6,2,FALSE)))</f>
        <v/>
      </c>
      <c r="X247" s="305" t="str">
        <f>IF(V247="","",IF(VLOOKUP(V247,'G-7 WaterC'' Data'!$AK$4:$AM$6,3,FALSE)=0,"Spatial Data Missing ⚠",VLOOKUP(V247,'G-7 WaterC'' Data'!$AK$4:$AM$6,3,FALSE)))</f>
        <v/>
      </c>
      <c r="Y247" s="317" t="str">
        <f>IFERROR(IF(OR(LEFT(P247,5)="Error",LEFT(O247,5)="Error"),"Check Data ⚠",IF(F247&lt;S247,'G-7 WaterC'' Data'!$R$3,INDEX('G-7 WaterC'' Data'!$U$5:$Y$9,MATCH(G247,'G-7 WaterC'' Data'!$T$5:$T$9,0),MATCH(T247,'G-7 WaterC'' Data'!$U$4:$Y$4,0)))),"")</f>
        <v/>
      </c>
      <c r="Z247" s="142"/>
      <c r="AA247" s="142"/>
      <c r="AB247" s="314" t="str">
        <f t="shared" si="33"/>
        <v/>
      </c>
      <c r="AC247" s="302" t="str">
        <f t="shared" si="38"/>
        <v/>
      </c>
      <c r="AD247" s="340" t="str">
        <f>IFERROR(IF(AC247="Check Data ⚠","Check Data ⚠",VLOOKUP(AC247,'G-4 Temporal multipliers'!$A$4:$C$37,3,FALSE)),"")</f>
        <v/>
      </c>
      <c r="AE247" s="317" t="str">
        <f>IF(N247="","",VLOOKUP(N247,'G-7 WaterC'' Data'!$B$4:$G$8,5,FALSE))</f>
        <v/>
      </c>
      <c r="AF247" s="301" t="str">
        <f t="shared" si="34"/>
        <v/>
      </c>
      <c r="AG247" s="301" t="str">
        <f t="shared" si="39"/>
        <v/>
      </c>
      <c r="AH247" s="282" t="str">
        <f t="shared" si="35"/>
        <v/>
      </c>
      <c r="AI247" s="109"/>
      <c r="AJ247" s="282" t="str">
        <f>IF(AI247="","",(IF(AND(AI247="N/A - Culvert",N247&lt;&gt;"Culvert"),"Not possible ▲",IF(VLOOKUP(AI247,'G-7 WaterC'' Data'!$AA$4:$AB$7,2,FALSE)=0,"Spatial Data Missing ⚠",VLOOKUP(AI247,'G-7 WaterC'' Data'!$AA$4:$AB$7,2,FALSE)))))</f>
        <v/>
      </c>
      <c r="AK247" s="110"/>
      <c r="AL247" s="316" t="str">
        <f>IF(AK247="","",IF(AND(AK247="N/A - Culvert",N247&lt;&gt;"Culvert"),"Not possible ▲",IF(VLOOKUP(AK247,'G-7 WaterC'' Data'!$AD$4:$AE$14,2,FALSE)=0,"Spatial Data Missing ⚠",VLOOKUP(AK247,'G-7 WaterC'' Data'!$AD$4:$AE$14,2,FALSE))))</f>
        <v/>
      </c>
      <c r="AM247" s="281" t="str">
        <f>IF(B247="","",VLOOKUP($B247,'F-1 Off-Site WaterC'' Baseline'!$C$9:$Z$257,17,FALSE))</f>
        <v/>
      </c>
      <c r="AN247" s="282" t="str">
        <f>IF(AM247="","",IF(VLOOKUP(AM247,'G-7 WaterC'' Data'!$AO$4:$BO$7,2,FALSE)=0,"Spatial Data Missing ⚠",VLOOKUP(AM247,'G-7 WaterC'' Data'!$AO$4:$BO$7,2,FALSE)))</f>
        <v/>
      </c>
      <c r="AO247" s="323" t="str">
        <f t="shared" si="40"/>
        <v/>
      </c>
      <c r="AP247" s="323" t="str">
        <f t="shared" si="41"/>
        <v/>
      </c>
      <c r="AQ247" s="52"/>
      <c r="AR247" s="51"/>
      <c r="AS247" s="108"/>
      <c r="AT247" s="108"/>
      <c r="AW247" s="30" t="str">
        <f>IF(E247="","",VLOOKUP($B247,'F-1 Off-Site WaterC'' Baseline'!$C$9:$Z$257,12,FALSE))</f>
        <v/>
      </c>
      <c r="AX247" s="30" t="str">
        <f>IF(E247="","",VLOOKUP($B247,'F-1 Off-Site WaterC'' Baseline'!$C$9:$Z$257,14,FALSE))</f>
        <v/>
      </c>
      <c r="AY247" s="30" t="str">
        <f>IFERROR(INDEX('G-7 WaterC'' Data'!$AZ$3:$AZ$7,MATCH(N247,'G-7 WaterC'' Data'!$AY$3:$AY$7,0)),"")</f>
        <v/>
      </c>
      <c r="AZ247" s="30" t="str">
        <f>IF(B247="","",IF(ISNA(VLOOKUP($B247,'F-1 Off-Site WaterC'' Baseline'!$C$8:$AD$257,20,FALSE)),"",(VLOOKUP($B247,'F-1 Off-Site WaterC'' Baseline'!$C$8:$AD$257,20,FALSE))))</f>
        <v/>
      </c>
      <c r="BC247" s="30" t="str">
        <f>IF(B247="","",VLOOKUP($B247,'F-1 Off-Site WaterC'' Baseline'!$C$9:$AB$257,25,FALSE))</f>
        <v/>
      </c>
      <c r="BD247" s="30" t="str">
        <f t="shared" si="42"/>
        <v/>
      </c>
      <c r="BE247" s="30" t="str">
        <f>IF(B247="","",VLOOKUP($B247,'F-1 Off-Site WaterC'' Baseline'!$C$9:$AB$257,24,FALSE))</f>
        <v/>
      </c>
      <c r="BF247" s="30" t="str">
        <f>IF(B247="","",VLOOKUP($B247,'F-1 Off-Site WaterC'' Baseline'!$C$9:$AB$257,22,FALSE))</f>
        <v/>
      </c>
      <c r="BJ247" s="30" t="str">
        <f t="shared" si="43"/>
        <v>No</v>
      </c>
    </row>
    <row r="248" spans="2:62" ht="13.8" x14ac:dyDescent="0.25">
      <c r="B248" s="311" t="str">
        <f>'F-1 Off-Site WaterC'' Baseline'!AS246</f>
        <v/>
      </c>
      <c r="C248" s="301" t="str">
        <f>IF(B248="","",VLOOKUP($B248,'F-1 Off-Site WaterC'' Baseline'!$C$9:$R$257,2,FALSE))</f>
        <v/>
      </c>
      <c r="D248" s="301" t="str">
        <f>IF(C248="","",VLOOKUP($B248,'F-1 Off-Site WaterC'' Baseline'!$C$9:$R$257,3,FALSE))</f>
        <v/>
      </c>
      <c r="E248" s="301" t="str">
        <f>IF(D248="","",VLOOKUP($B248,'F-1 Off-Site WaterC'' Baseline'!$C$9:$R$257,4,FALSE))</f>
        <v/>
      </c>
      <c r="F248" s="301" t="str">
        <f>IF(E248="","",VLOOKUP($B248,'F-1 Off-Site WaterC'' Baseline'!$C$9:$R$257,5,FALSE))</f>
        <v/>
      </c>
      <c r="G248" s="301" t="str">
        <f>IF(F248="","",VLOOKUP($B248,'F-1 Off-Site WaterC'' Baseline'!$C$9:$R$257,6,FALSE))</f>
        <v/>
      </c>
      <c r="H248" s="301" t="str">
        <f>IF(G248="","",VLOOKUP($B248,'F-1 Off-Site WaterC'' Baseline'!$C$9:$R$257,7,FALSE))</f>
        <v/>
      </c>
      <c r="I248" s="301" t="str">
        <f>IF(H248="","",VLOOKUP($B248,'F-1 Off-Site WaterC'' Baseline'!$C$9:$R$257,8,FALSE))</f>
        <v/>
      </c>
      <c r="J248" s="301" t="str">
        <f>IF(I248="","",VLOOKUP($B248,'F-1 Off-Site WaterC'' Baseline'!$C$9:$R$257,9,FALSE))</f>
        <v/>
      </c>
      <c r="K248" s="301" t="str">
        <f>IF(J248="","",VLOOKUP($B248,'F-1 Off-Site WaterC'' Baseline'!$C$9:$R$257,10,FALSE))</f>
        <v/>
      </c>
      <c r="L248" s="289" t="str">
        <f>IF(B248="","",VLOOKUP($B248,'F-1 Off-Site WaterC'' Baseline'!$C$9:$R$257,15,FALSE))</f>
        <v/>
      </c>
      <c r="M248" s="305" t="str">
        <f>IF(L248="","",VLOOKUP($B248,'F-1 Off-Site WaterC'' Baseline'!$C$9:$V$257,19,FALSE))</f>
        <v/>
      </c>
      <c r="N248" s="250"/>
      <c r="O248" s="281" t="str">
        <f t="shared" si="36"/>
        <v/>
      </c>
      <c r="P248" s="282" t="str">
        <f t="shared" si="37"/>
        <v/>
      </c>
      <c r="Q248" s="287" t="str">
        <f>IF(N248="","",VLOOKUP(B248,'F-1 Off-Site WaterC'' Baseline'!$C$10:$AF$257,23,FALSE))</f>
        <v/>
      </c>
      <c r="R248" s="281" t="str">
        <f>IF(N248="","",VLOOKUP(N248,'G-7 WaterC'' Data'!$B$2:$G$8,2,FALSE))</f>
        <v/>
      </c>
      <c r="S248" s="282" t="str">
        <f>IFERROR(VLOOKUP(R248,'G-7 WaterC'' Data'!$C$4:$D$8,2,FALSE),"")</f>
        <v/>
      </c>
      <c r="T248" s="105"/>
      <c r="U248" s="282" t="str">
        <f>IFERROR(INDEX('G-7 WaterC'' Data'!$H$4:$L$8,MATCH(N248,'G-7 WaterC'' Data'!$B$4:$B$8,0),MATCH(T248,'G-7 WaterC'' Data'!$H$3:$L$3,0)),"")</f>
        <v/>
      </c>
      <c r="V248" s="109"/>
      <c r="W248" s="301" t="str">
        <f>IF(V248="","",IF(VLOOKUP(V248,'G-7 WaterC'' Data'!$AK$4:$AM$6,2,FALSE)=0,"Spatial Data Missing ⚠",VLOOKUP(V248,'G-7 WaterC'' Data'!$AK$4:$AM$6,2,FALSE)))</f>
        <v/>
      </c>
      <c r="X248" s="305" t="str">
        <f>IF(V248="","",IF(VLOOKUP(V248,'G-7 WaterC'' Data'!$AK$4:$AM$6,3,FALSE)=0,"Spatial Data Missing ⚠",VLOOKUP(V248,'G-7 WaterC'' Data'!$AK$4:$AM$6,3,FALSE)))</f>
        <v/>
      </c>
      <c r="Y248" s="317" t="str">
        <f>IFERROR(IF(OR(LEFT(P248,5)="Error",LEFT(O248,5)="Error"),"Check Data ⚠",IF(F248&lt;S248,'G-7 WaterC'' Data'!$R$3,INDEX('G-7 WaterC'' Data'!$U$5:$Y$9,MATCH(G248,'G-7 WaterC'' Data'!$T$5:$T$9,0),MATCH(T248,'G-7 WaterC'' Data'!$U$4:$Y$4,0)))),"")</f>
        <v/>
      </c>
      <c r="Z248" s="142"/>
      <c r="AA248" s="142"/>
      <c r="AB248" s="314" t="str">
        <f t="shared" si="33"/>
        <v/>
      </c>
      <c r="AC248" s="302" t="str">
        <f t="shared" si="38"/>
        <v/>
      </c>
      <c r="AD248" s="340" t="str">
        <f>IFERROR(IF(AC248="Check Data ⚠","Check Data ⚠",VLOOKUP(AC248,'G-4 Temporal multipliers'!$A$4:$C$37,3,FALSE)),"")</f>
        <v/>
      </c>
      <c r="AE248" s="317" t="str">
        <f>IF(N248="","",VLOOKUP(N248,'G-7 WaterC'' Data'!$B$4:$G$8,5,FALSE))</f>
        <v/>
      </c>
      <c r="AF248" s="301" t="str">
        <f t="shared" si="34"/>
        <v/>
      </c>
      <c r="AG248" s="301" t="str">
        <f t="shared" si="39"/>
        <v/>
      </c>
      <c r="AH248" s="282" t="str">
        <f t="shared" si="35"/>
        <v/>
      </c>
      <c r="AI248" s="109"/>
      <c r="AJ248" s="282" t="str">
        <f>IF(AI248="","",(IF(AND(AI248="N/A - Culvert",N248&lt;&gt;"Culvert"),"Not possible ▲",IF(VLOOKUP(AI248,'G-7 WaterC'' Data'!$AA$4:$AB$7,2,FALSE)=0,"Spatial Data Missing ⚠",VLOOKUP(AI248,'G-7 WaterC'' Data'!$AA$4:$AB$7,2,FALSE)))))</f>
        <v/>
      </c>
      <c r="AK248" s="110"/>
      <c r="AL248" s="316" t="str">
        <f>IF(AK248="","",IF(AND(AK248="N/A - Culvert",N248&lt;&gt;"Culvert"),"Not possible ▲",IF(VLOOKUP(AK248,'G-7 WaterC'' Data'!$AD$4:$AE$14,2,FALSE)=0,"Spatial Data Missing ⚠",VLOOKUP(AK248,'G-7 WaterC'' Data'!$AD$4:$AE$14,2,FALSE))))</f>
        <v/>
      </c>
      <c r="AM248" s="281" t="str">
        <f>IF(B248="","",VLOOKUP($B248,'F-1 Off-Site WaterC'' Baseline'!$C$9:$Z$257,17,FALSE))</f>
        <v/>
      </c>
      <c r="AN248" s="282" t="str">
        <f>IF(AM248="","",IF(VLOOKUP(AM248,'G-7 WaterC'' Data'!$AO$4:$BO$7,2,FALSE)=0,"Spatial Data Missing ⚠",VLOOKUP(AM248,'G-7 WaterC'' Data'!$AO$4:$BO$7,2,FALSE)))</f>
        <v/>
      </c>
      <c r="AO248" s="323" t="str">
        <f t="shared" si="40"/>
        <v/>
      </c>
      <c r="AP248" s="323" t="str">
        <f t="shared" si="41"/>
        <v/>
      </c>
      <c r="AQ248" s="52"/>
      <c r="AR248" s="51"/>
      <c r="AS248" s="108"/>
      <c r="AT248" s="108"/>
      <c r="AW248" s="30" t="str">
        <f>IF(E248="","",VLOOKUP($B248,'F-1 Off-Site WaterC'' Baseline'!$C$9:$Z$257,12,FALSE))</f>
        <v/>
      </c>
      <c r="AX248" s="30" t="str">
        <f>IF(E248="","",VLOOKUP($B248,'F-1 Off-Site WaterC'' Baseline'!$C$9:$Z$257,14,FALSE))</f>
        <v/>
      </c>
      <c r="AY248" s="30" t="str">
        <f>IFERROR(INDEX('G-7 WaterC'' Data'!$AZ$3:$AZ$7,MATCH(N248,'G-7 WaterC'' Data'!$AY$3:$AY$7,0)),"")</f>
        <v/>
      </c>
      <c r="AZ248" s="30" t="str">
        <f>IF(B248="","",IF(ISNA(VLOOKUP($B248,'F-1 Off-Site WaterC'' Baseline'!$C$8:$AD$257,20,FALSE)),"",(VLOOKUP($B248,'F-1 Off-Site WaterC'' Baseline'!$C$8:$AD$257,20,FALSE))))</f>
        <v/>
      </c>
      <c r="BC248" s="30" t="str">
        <f>IF(B248="","",VLOOKUP($B248,'F-1 Off-Site WaterC'' Baseline'!$C$9:$AB$257,25,FALSE))</f>
        <v/>
      </c>
      <c r="BD248" s="30" t="str">
        <f t="shared" si="42"/>
        <v/>
      </c>
      <c r="BE248" s="30" t="str">
        <f>IF(B248="","",VLOOKUP($B248,'F-1 Off-Site WaterC'' Baseline'!$C$9:$AB$257,24,FALSE))</f>
        <v/>
      </c>
      <c r="BF248" s="30" t="str">
        <f>IF(B248="","",VLOOKUP($B248,'F-1 Off-Site WaterC'' Baseline'!$C$9:$AB$257,22,FALSE))</f>
        <v/>
      </c>
      <c r="BJ248" s="30" t="str">
        <f t="shared" si="43"/>
        <v>No</v>
      </c>
    </row>
    <row r="249" spans="2:62" ht="13.8" x14ac:dyDescent="0.25">
      <c r="B249" s="311" t="str">
        <f>'F-1 Off-Site WaterC'' Baseline'!AS247</f>
        <v/>
      </c>
      <c r="C249" s="301" t="str">
        <f>IF(B249="","",VLOOKUP($B249,'F-1 Off-Site WaterC'' Baseline'!$C$9:$R$257,2,FALSE))</f>
        <v/>
      </c>
      <c r="D249" s="301" t="str">
        <f>IF(C249="","",VLOOKUP($B249,'F-1 Off-Site WaterC'' Baseline'!$C$9:$R$257,3,FALSE))</f>
        <v/>
      </c>
      <c r="E249" s="301" t="str">
        <f>IF(D249="","",VLOOKUP($B249,'F-1 Off-Site WaterC'' Baseline'!$C$9:$R$257,4,FALSE))</f>
        <v/>
      </c>
      <c r="F249" s="301" t="str">
        <f>IF(E249="","",VLOOKUP($B249,'F-1 Off-Site WaterC'' Baseline'!$C$9:$R$257,5,FALSE))</f>
        <v/>
      </c>
      <c r="G249" s="301" t="str">
        <f>IF(F249="","",VLOOKUP($B249,'F-1 Off-Site WaterC'' Baseline'!$C$9:$R$257,6,FALSE))</f>
        <v/>
      </c>
      <c r="H249" s="301" t="str">
        <f>IF(G249="","",VLOOKUP($B249,'F-1 Off-Site WaterC'' Baseline'!$C$9:$R$257,7,FALSE))</f>
        <v/>
      </c>
      <c r="I249" s="301" t="str">
        <f>IF(H249="","",VLOOKUP($B249,'F-1 Off-Site WaterC'' Baseline'!$C$9:$R$257,8,FALSE))</f>
        <v/>
      </c>
      <c r="J249" s="301" t="str">
        <f>IF(I249="","",VLOOKUP($B249,'F-1 Off-Site WaterC'' Baseline'!$C$9:$R$257,9,FALSE))</f>
        <v/>
      </c>
      <c r="K249" s="301" t="str">
        <f>IF(J249="","",VLOOKUP($B249,'F-1 Off-Site WaterC'' Baseline'!$C$9:$R$257,10,FALSE))</f>
        <v/>
      </c>
      <c r="L249" s="289" t="str">
        <f>IF(B249="","",VLOOKUP($B249,'F-1 Off-Site WaterC'' Baseline'!$C$9:$R$257,15,FALSE))</f>
        <v/>
      </c>
      <c r="M249" s="305" t="str">
        <f>IF(L249="","",VLOOKUP($B249,'F-1 Off-Site WaterC'' Baseline'!$C$9:$V$257,19,FALSE))</f>
        <v/>
      </c>
      <c r="N249" s="250"/>
      <c r="O249" s="281" t="str">
        <f t="shared" si="36"/>
        <v/>
      </c>
      <c r="P249" s="282" t="str">
        <f t="shared" si="37"/>
        <v/>
      </c>
      <c r="Q249" s="287" t="str">
        <f>IF(N249="","",VLOOKUP(B249,'F-1 Off-Site WaterC'' Baseline'!$C$10:$AF$257,23,FALSE))</f>
        <v/>
      </c>
      <c r="R249" s="281" t="str">
        <f>IF(N249="","",VLOOKUP(N249,'G-7 WaterC'' Data'!$B$2:$G$8,2,FALSE))</f>
        <v/>
      </c>
      <c r="S249" s="282" t="str">
        <f>IFERROR(VLOOKUP(R249,'G-7 WaterC'' Data'!$C$4:$D$8,2,FALSE),"")</f>
        <v/>
      </c>
      <c r="T249" s="105"/>
      <c r="U249" s="282" t="str">
        <f>IFERROR(INDEX('G-7 WaterC'' Data'!$H$4:$L$8,MATCH(N249,'G-7 WaterC'' Data'!$B$4:$B$8,0),MATCH(T249,'G-7 WaterC'' Data'!$H$3:$L$3,0)),"")</f>
        <v/>
      </c>
      <c r="V249" s="109"/>
      <c r="W249" s="301" t="str">
        <f>IF(V249="","",IF(VLOOKUP(V249,'G-7 WaterC'' Data'!$AK$4:$AM$6,2,FALSE)=0,"Spatial Data Missing ⚠",VLOOKUP(V249,'G-7 WaterC'' Data'!$AK$4:$AM$6,2,FALSE)))</f>
        <v/>
      </c>
      <c r="X249" s="305" t="str">
        <f>IF(V249="","",IF(VLOOKUP(V249,'G-7 WaterC'' Data'!$AK$4:$AM$6,3,FALSE)=0,"Spatial Data Missing ⚠",VLOOKUP(V249,'G-7 WaterC'' Data'!$AK$4:$AM$6,3,FALSE)))</f>
        <v/>
      </c>
      <c r="Y249" s="317" t="str">
        <f>IFERROR(IF(OR(LEFT(P249,5)="Error",LEFT(O249,5)="Error"),"Check Data ⚠",IF(F249&lt;S249,'G-7 WaterC'' Data'!$R$3,INDEX('G-7 WaterC'' Data'!$U$5:$Y$9,MATCH(G249,'G-7 WaterC'' Data'!$T$5:$T$9,0),MATCH(T249,'G-7 WaterC'' Data'!$U$4:$Y$4,0)))),"")</f>
        <v/>
      </c>
      <c r="Z249" s="142"/>
      <c r="AA249" s="142"/>
      <c r="AB249" s="314" t="str">
        <f t="shared" si="33"/>
        <v/>
      </c>
      <c r="AC249" s="302" t="str">
        <f t="shared" si="38"/>
        <v/>
      </c>
      <c r="AD249" s="340" t="str">
        <f>IFERROR(IF(AC249="Check Data ⚠","Check Data ⚠",VLOOKUP(AC249,'G-4 Temporal multipliers'!$A$4:$C$37,3,FALSE)),"")</f>
        <v/>
      </c>
      <c r="AE249" s="317" t="str">
        <f>IF(N249="","",VLOOKUP(N249,'G-7 WaterC'' Data'!$B$4:$G$8,5,FALSE))</f>
        <v/>
      </c>
      <c r="AF249" s="301" t="str">
        <f t="shared" si="34"/>
        <v/>
      </c>
      <c r="AG249" s="301" t="str">
        <f t="shared" si="39"/>
        <v/>
      </c>
      <c r="AH249" s="282" t="str">
        <f t="shared" si="35"/>
        <v/>
      </c>
      <c r="AI249" s="109"/>
      <c r="AJ249" s="282" t="str">
        <f>IF(AI249="","",(IF(AND(AI249="N/A - Culvert",N249&lt;&gt;"Culvert"),"Not possible ▲",IF(VLOOKUP(AI249,'G-7 WaterC'' Data'!$AA$4:$AB$7,2,FALSE)=0,"Spatial Data Missing ⚠",VLOOKUP(AI249,'G-7 WaterC'' Data'!$AA$4:$AB$7,2,FALSE)))))</f>
        <v/>
      </c>
      <c r="AK249" s="110"/>
      <c r="AL249" s="316" t="str">
        <f>IF(AK249="","",IF(AND(AK249="N/A - Culvert",N249&lt;&gt;"Culvert"),"Not possible ▲",IF(VLOOKUP(AK249,'G-7 WaterC'' Data'!$AD$4:$AE$14,2,FALSE)=0,"Spatial Data Missing ⚠",VLOOKUP(AK249,'G-7 WaterC'' Data'!$AD$4:$AE$14,2,FALSE))))</f>
        <v/>
      </c>
      <c r="AM249" s="281" t="str">
        <f>IF(B249="","",VLOOKUP($B249,'F-1 Off-Site WaterC'' Baseline'!$C$9:$Z$257,17,FALSE))</f>
        <v/>
      </c>
      <c r="AN249" s="282" t="str">
        <f>IF(AM249="","",IF(VLOOKUP(AM249,'G-7 WaterC'' Data'!$AO$4:$BO$7,2,FALSE)=0,"Spatial Data Missing ⚠",VLOOKUP(AM249,'G-7 WaterC'' Data'!$AO$4:$BO$7,2,FALSE)))</f>
        <v/>
      </c>
      <c r="AO249" s="323" t="str">
        <f t="shared" si="40"/>
        <v/>
      </c>
      <c r="AP249" s="323" t="str">
        <f t="shared" si="41"/>
        <v/>
      </c>
      <c r="AQ249" s="52"/>
      <c r="AR249" s="51"/>
      <c r="AS249" s="108"/>
      <c r="AT249" s="108"/>
      <c r="AW249" s="30" t="str">
        <f>IF(E249="","",VLOOKUP($B249,'F-1 Off-Site WaterC'' Baseline'!$C$9:$Z$257,12,FALSE))</f>
        <v/>
      </c>
      <c r="AX249" s="30" t="str">
        <f>IF(E249="","",VLOOKUP($B249,'F-1 Off-Site WaterC'' Baseline'!$C$9:$Z$257,14,FALSE))</f>
        <v/>
      </c>
      <c r="AY249" s="30" t="str">
        <f>IFERROR(INDEX('G-7 WaterC'' Data'!$AZ$3:$AZ$7,MATCH(N249,'G-7 WaterC'' Data'!$AY$3:$AY$7,0)),"")</f>
        <v/>
      </c>
      <c r="AZ249" s="30" t="str">
        <f>IF(B249="","",IF(ISNA(VLOOKUP($B249,'F-1 Off-Site WaterC'' Baseline'!$C$8:$AD$257,20,FALSE)),"",(VLOOKUP($B249,'F-1 Off-Site WaterC'' Baseline'!$C$8:$AD$257,20,FALSE))))</f>
        <v/>
      </c>
      <c r="BC249" s="30" t="str">
        <f>IF(B249="","",VLOOKUP($B249,'F-1 Off-Site WaterC'' Baseline'!$C$9:$AB$257,25,FALSE))</f>
        <v/>
      </c>
      <c r="BD249" s="30" t="str">
        <f t="shared" si="42"/>
        <v/>
      </c>
      <c r="BE249" s="30" t="str">
        <f>IF(B249="","",VLOOKUP($B249,'F-1 Off-Site WaterC'' Baseline'!$C$9:$AB$257,24,FALSE))</f>
        <v/>
      </c>
      <c r="BF249" s="30" t="str">
        <f>IF(B249="","",VLOOKUP($B249,'F-1 Off-Site WaterC'' Baseline'!$C$9:$AB$257,22,FALSE))</f>
        <v/>
      </c>
      <c r="BJ249" s="30" t="str">
        <f t="shared" si="43"/>
        <v>No</v>
      </c>
    </row>
    <row r="250" spans="2:62" ht="13.8" x14ac:dyDescent="0.25">
      <c r="B250" s="311" t="str">
        <f>'F-1 Off-Site WaterC'' Baseline'!AS248</f>
        <v/>
      </c>
      <c r="C250" s="301" t="str">
        <f>IF(B250="","",VLOOKUP($B250,'F-1 Off-Site WaterC'' Baseline'!$C$9:$R$257,2,FALSE))</f>
        <v/>
      </c>
      <c r="D250" s="301" t="str">
        <f>IF(C250="","",VLOOKUP($B250,'F-1 Off-Site WaterC'' Baseline'!$C$9:$R$257,3,FALSE))</f>
        <v/>
      </c>
      <c r="E250" s="301" t="str">
        <f>IF(D250="","",VLOOKUP($B250,'F-1 Off-Site WaterC'' Baseline'!$C$9:$R$257,4,FALSE))</f>
        <v/>
      </c>
      <c r="F250" s="301" t="str">
        <f>IF(E250="","",VLOOKUP($B250,'F-1 Off-Site WaterC'' Baseline'!$C$9:$R$257,5,FALSE))</f>
        <v/>
      </c>
      <c r="G250" s="301" t="str">
        <f>IF(F250="","",VLOOKUP($B250,'F-1 Off-Site WaterC'' Baseline'!$C$9:$R$257,6,FALSE))</f>
        <v/>
      </c>
      <c r="H250" s="301" t="str">
        <f>IF(G250="","",VLOOKUP($B250,'F-1 Off-Site WaterC'' Baseline'!$C$9:$R$257,7,FALSE))</f>
        <v/>
      </c>
      <c r="I250" s="301" t="str">
        <f>IF(H250="","",VLOOKUP($B250,'F-1 Off-Site WaterC'' Baseline'!$C$9:$R$257,8,FALSE))</f>
        <v/>
      </c>
      <c r="J250" s="301" t="str">
        <f>IF(I250="","",VLOOKUP($B250,'F-1 Off-Site WaterC'' Baseline'!$C$9:$R$257,9,FALSE))</f>
        <v/>
      </c>
      <c r="K250" s="301" t="str">
        <f>IF(J250="","",VLOOKUP($B250,'F-1 Off-Site WaterC'' Baseline'!$C$9:$R$257,10,FALSE))</f>
        <v/>
      </c>
      <c r="L250" s="289" t="str">
        <f>IF(B250="","",VLOOKUP($B250,'F-1 Off-Site WaterC'' Baseline'!$C$9:$R$257,15,FALSE))</f>
        <v/>
      </c>
      <c r="M250" s="305" t="str">
        <f>IF(L250="","",VLOOKUP($B250,'F-1 Off-Site WaterC'' Baseline'!$C$9:$V$257,19,FALSE))</f>
        <v/>
      </c>
      <c r="N250" s="250"/>
      <c r="O250" s="281" t="str">
        <f t="shared" si="36"/>
        <v/>
      </c>
      <c r="P250" s="282" t="str">
        <f t="shared" si="37"/>
        <v/>
      </c>
      <c r="Q250" s="287" t="str">
        <f>IF(N250="","",VLOOKUP(B250,'F-1 Off-Site WaterC'' Baseline'!$C$10:$AF$257,23,FALSE))</f>
        <v/>
      </c>
      <c r="R250" s="281" t="str">
        <f>IF(N250="","",VLOOKUP(N250,'G-7 WaterC'' Data'!$B$2:$G$8,2,FALSE))</f>
        <v/>
      </c>
      <c r="S250" s="282" t="str">
        <f>IFERROR(VLOOKUP(R250,'G-7 WaterC'' Data'!$C$4:$D$8,2,FALSE),"")</f>
        <v/>
      </c>
      <c r="T250" s="105"/>
      <c r="U250" s="282" t="str">
        <f>IFERROR(INDEX('G-7 WaterC'' Data'!$H$4:$L$8,MATCH(N250,'G-7 WaterC'' Data'!$B$4:$B$8,0),MATCH(T250,'G-7 WaterC'' Data'!$H$3:$L$3,0)),"")</f>
        <v/>
      </c>
      <c r="V250" s="109"/>
      <c r="W250" s="301" t="str">
        <f>IF(V250="","",IF(VLOOKUP(V250,'G-7 WaterC'' Data'!$AK$4:$AM$6,2,FALSE)=0,"Spatial Data Missing ⚠",VLOOKUP(V250,'G-7 WaterC'' Data'!$AK$4:$AM$6,2,FALSE)))</f>
        <v/>
      </c>
      <c r="X250" s="305" t="str">
        <f>IF(V250="","",IF(VLOOKUP(V250,'G-7 WaterC'' Data'!$AK$4:$AM$6,3,FALSE)=0,"Spatial Data Missing ⚠",VLOOKUP(V250,'G-7 WaterC'' Data'!$AK$4:$AM$6,3,FALSE)))</f>
        <v/>
      </c>
      <c r="Y250" s="317" t="str">
        <f>IFERROR(IF(OR(LEFT(P250,5)="Error",LEFT(O250,5)="Error"),"Check Data ⚠",IF(F250&lt;S250,'G-7 WaterC'' Data'!$R$3,INDEX('G-7 WaterC'' Data'!$U$5:$Y$9,MATCH(G250,'G-7 WaterC'' Data'!$T$5:$T$9,0),MATCH(T250,'G-7 WaterC'' Data'!$U$4:$Y$4,0)))),"")</f>
        <v/>
      </c>
      <c r="Z250" s="142"/>
      <c r="AA250" s="142"/>
      <c r="AB250" s="314" t="str">
        <f t="shared" si="33"/>
        <v/>
      </c>
      <c r="AC250" s="302" t="str">
        <f t="shared" si="38"/>
        <v/>
      </c>
      <c r="AD250" s="340" t="str">
        <f>IFERROR(IF(AC250="Check Data ⚠","Check Data ⚠",VLOOKUP(AC250,'G-4 Temporal multipliers'!$A$4:$C$37,3,FALSE)),"")</f>
        <v/>
      </c>
      <c r="AE250" s="317" t="str">
        <f>IF(N250="","",VLOOKUP(N250,'G-7 WaterC'' Data'!$B$4:$G$8,5,FALSE))</f>
        <v/>
      </c>
      <c r="AF250" s="301" t="str">
        <f t="shared" si="34"/>
        <v/>
      </c>
      <c r="AG250" s="301" t="str">
        <f t="shared" si="39"/>
        <v/>
      </c>
      <c r="AH250" s="282" t="str">
        <f t="shared" si="35"/>
        <v/>
      </c>
      <c r="AI250" s="109"/>
      <c r="AJ250" s="282" t="str">
        <f>IF(AI250="","",(IF(AND(AI250="N/A - Culvert",N250&lt;&gt;"Culvert"),"Not possible ▲",IF(VLOOKUP(AI250,'G-7 WaterC'' Data'!$AA$4:$AB$7,2,FALSE)=0,"Spatial Data Missing ⚠",VLOOKUP(AI250,'G-7 WaterC'' Data'!$AA$4:$AB$7,2,FALSE)))))</f>
        <v/>
      </c>
      <c r="AK250" s="110"/>
      <c r="AL250" s="316" t="str">
        <f>IF(AK250="","",IF(AND(AK250="N/A - Culvert",N250&lt;&gt;"Culvert"),"Not possible ▲",IF(VLOOKUP(AK250,'G-7 WaterC'' Data'!$AD$4:$AE$14,2,FALSE)=0,"Spatial Data Missing ⚠",VLOOKUP(AK250,'G-7 WaterC'' Data'!$AD$4:$AE$14,2,FALSE))))</f>
        <v/>
      </c>
      <c r="AM250" s="281" t="str">
        <f>IF(B250="","",VLOOKUP($B250,'F-1 Off-Site WaterC'' Baseline'!$C$9:$Z$257,17,FALSE))</f>
        <v/>
      </c>
      <c r="AN250" s="282" t="str">
        <f>IF(AM250="","",IF(VLOOKUP(AM250,'G-7 WaterC'' Data'!$AO$4:$BO$7,2,FALSE)=0,"Spatial Data Missing ⚠",VLOOKUP(AM250,'G-7 WaterC'' Data'!$AO$4:$BO$7,2,FALSE)))</f>
        <v/>
      </c>
      <c r="AO250" s="323" t="str">
        <f t="shared" si="40"/>
        <v/>
      </c>
      <c r="AP250" s="323" t="str">
        <f t="shared" si="41"/>
        <v/>
      </c>
      <c r="AQ250" s="52"/>
      <c r="AR250" s="51"/>
      <c r="AS250" s="108"/>
      <c r="AT250" s="108"/>
      <c r="AW250" s="30" t="str">
        <f>IF(E250="","",VLOOKUP($B250,'F-1 Off-Site WaterC'' Baseline'!$C$9:$Z$257,12,FALSE))</f>
        <v/>
      </c>
      <c r="AX250" s="30" t="str">
        <f>IF(E250="","",VLOOKUP($B250,'F-1 Off-Site WaterC'' Baseline'!$C$9:$Z$257,14,FALSE))</f>
        <v/>
      </c>
      <c r="AY250" s="30" t="str">
        <f>IFERROR(INDEX('G-7 WaterC'' Data'!$AZ$3:$AZ$7,MATCH(N250,'G-7 WaterC'' Data'!$AY$3:$AY$7,0)),"")</f>
        <v/>
      </c>
      <c r="AZ250" s="30" t="str">
        <f>IF(B250="","",IF(ISNA(VLOOKUP($B250,'F-1 Off-Site WaterC'' Baseline'!$C$8:$AD$257,20,FALSE)),"",(VLOOKUP($B250,'F-1 Off-Site WaterC'' Baseline'!$C$8:$AD$257,20,FALSE))))</f>
        <v/>
      </c>
      <c r="BC250" s="30" t="str">
        <f>IF(B250="","",VLOOKUP($B250,'F-1 Off-Site WaterC'' Baseline'!$C$9:$AB$257,25,FALSE))</f>
        <v/>
      </c>
      <c r="BD250" s="30" t="str">
        <f t="shared" si="42"/>
        <v/>
      </c>
      <c r="BE250" s="30" t="str">
        <f>IF(B250="","",VLOOKUP($B250,'F-1 Off-Site WaterC'' Baseline'!$C$9:$AB$257,24,FALSE))</f>
        <v/>
      </c>
      <c r="BF250" s="30" t="str">
        <f>IF(B250="","",VLOOKUP($B250,'F-1 Off-Site WaterC'' Baseline'!$C$9:$AB$257,22,FALSE))</f>
        <v/>
      </c>
      <c r="BJ250" s="30" t="str">
        <f t="shared" si="43"/>
        <v>No</v>
      </c>
    </row>
    <row r="251" spans="2:62" ht="13.8" x14ac:dyDescent="0.25">
      <c r="B251" s="311" t="str">
        <f>'F-1 Off-Site WaterC'' Baseline'!AS249</f>
        <v/>
      </c>
      <c r="C251" s="301" t="str">
        <f>IF(B251="","",VLOOKUP($B251,'F-1 Off-Site WaterC'' Baseline'!$C$9:$R$257,2,FALSE))</f>
        <v/>
      </c>
      <c r="D251" s="301" t="str">
        <f>IF(C251="","",VLOOKUP($B251,'F-1 Off-Site WaterC'' Baseline'!$C$9:$R$257,3,FALSE))</f>
        <v/>
      </c>
      <c r="E251" s="301" t="str">
        <f>IF(D251="","",VLOOKUP($B251,'F-1 Off-Site WaterC'' Baseline'!$C$9:$R$257,4,FALSE))</f>
        <v/>
      </c>
      <c r="F251" s="301" t="str">
        <f>IF(E251="","",VLOOKUP($B251,'F-1 Off-Site WaterC'' Baseline'!$C$9:$R$257,5,FALSE))</f>
        <v/>
      </c>
      <c r="G251" s="301" t="str">
        <f>IF(F251="","",VLOOKUP($B251,'F-1 Off-Site WaterC'' Baseline'!$C$9:$R$257,6,FALSE))</f>
        <v/>
      </c>
      <c r="H251" s="301" t="str">
        <f>IF(G251="","",VLOOKUP($B251,'F-1 Off-Site WaterC'' Baseline'!$C$9:$R$257,7,FALSE))</f>
        <v/>
      </c>
      <c r="I251" s="301" t="str">
        <f>IF(H251="","",VLOOKUP($B251,'F-1 Off-Site WaterC'' Baseline'!$C$9:$R$257,8,FALSE))</f>
        <v/>
      </c>
      <c r="J251" s="301" t="str">
        <f>IF(I251="","",VLOOKUP($B251,'F-1 Off-Site WaterC'' Baseline'!$C$9:$R$257,9,FALSE))</f>
        <v/>
      </c>
      <c r="K251" s="301" t="str">
        <f>IF(J251="","",VLOOKUP($B251,'F-1 Off-Site WaterC'' Baseline'!$C$9:$R$257,10,FALSE))</f>
        <v/>
      </c>
      <c r="L251" s="289" t="str">
        <f>IF(B251="","",VLOOKUP($B251,'F-1 Off-Site WaterC'' Baseline'!$C$9:$R$257,15,FALSE))</f>
        <v/>
      </c>
      <c r="M251" s="305" t="str">
        <f>IF(L251="","",VLOOKUP($B251,'F-1 Off-Site WaterC'' Baseline'!$C$9:$V$257,19,FALSE))</f>
        <v/>
      </c>
      <c r="N251" s="250"/>
      <c r="O251" s="281" t="str">
        <f t="shared" si="36"/>
        <v/>
      </c>
      <c r="P251" s="282" t="str">
        <f t="shared" si="37"/>
        <v/>
      </c>
      <c r="Q251" s="287" t="str">
        <f>IF(N251="","",VLOOKUP(B251,'F-1 Off-Site WaterC'' Baseline'!$C$10:$AF$257,23,FALSE))</f>
        <v/>
      </c>
      <c r="R251" s="281" t="str">
        <f>IF(N251="","",VLOOKUP(N251,'G-7 WaterC'' Data'!$B$2:$G$8,2,FALSE))</f>
        <v/>
      </c>
      <c r="S251" s="282" t="str">
        <f>IFERROR(VLOOKUP(R251,'G-7 WaterC'' Data'!$C$4:$D$8,2,FALSE),"")</f>
        <v/>
      </c>
      <c r="T251" s="105"/>
      <c r="U251" s="282" t="str">
        <f>IFERROR(INDEX('G-7 WaterC'' Data'!$H$4:$L$8,MATCH(N251,'G-7 WaterC'' Data'!$B$4:$B$8,0),MATCH(T251,'G-7 WaterC'' Data'!$H$3:$L$3,0)),"")</f>
        <v/>
      </c>
      <c r="V251" s="109"/>
      <c r="W251" s="301" t="str">
        <f>IF(V251="","",IF(VLOOKUP(V251,'G-7 WaterC'' Data'!$AK$4:$AM$6,2,FALSE)=0,"Spatial Data Missing ⚠",VLOOKUP(V251,'G-7 WaterC'' Data'!$AK$4:$AM$6,2,FALSE)))</f>
        <v/>
      </c>
      <c r="X251" s="305" t="str">
        <f>IF(V251="","",IF(VLOOKUP(V251,'G-7 WaterC'' Data'!$AK$4:$AM$6,3,FALSE)=0,"Spatial Data Missing ⚠",VLOOKUP(V251,'G-7 WaterC'' Data'!$AK$4:$AM$6,3,FALSE)))</f>
        <v/>
      </c>
      <c r="Y251" s="317" t="str">
        <f>IFERROR(IF(OR(LEFT(P251,5)="Error",LEFT(O251,5)="Error"),"Check Data ⚠",IF(F251&lt;S251,'G-7 WaterC'' Data'!$R$3,INDEX('G-7 WaterC'' Data'!$U$5:$Y$9,MATCH(G251,'G-7 WaterC'' Data'!$T$5:$T$9,0),MATCH(T251,'G-7 WaterC'' Data'!$U$4:$Y$4,0)))),"")</f>
        <v/>
      </c>
      <c r="Z251" s="142"/>
      <c r="AA251" s="142"/>
      <c r="AB251" s="314" t="str">
        <f t="shared" si="33"/>
        <v/>
      </c>
      <c r="AC251" s="302" t="str">
        <f t="shared" si="38"/>
        <v/>
      </c>
      <c r="AD251" s="340" t="str">
        <f>IFERROR(IF(AC251="Check Data ⚠","Check Data ⚠",VLOOKUP(AC251,'G-4 Temporal multipliers'!$A$4:$C$37,3,FALSE)),"")</f>
        <v/>
      </c>
      <c r="AE251" s="317" t="str">
        <f>IF(N251="","",VLOOKUP(N251,'G-7 WaterC'' Data'!$B$4:$G$8,5,FALSE))</f>
        <v/>
      </c>
      <c r="AF251" s="301" t="str">
        <f t="shared" si="34"/>
        <v/>
      </c>
      <c r="AG251" s="301" t="str">
        <f t="shared" si="39"/>
        <v/>
      </c>
      <c r="AH251" s="282" t="str">
        <f t="shared" si="35"/>
        <v/>
      </c>
      <c r="AI251" s="109"/>
      <c r="AJ251" s="282" t="str">
        <f>IF(AI251="","",(IF(AND(AI251="N/A - Culvert",N251&lt;&gt;"Culvert"),"Not possible ▲",IF(VLOOKUP(AI251,'G-7 WaterC'' Data'!$AA$4:$AB$7,2,FALSE)=0,"Spatial Data Missing ⚠",VLOOKUP(AI251,'G-7 WaterC'' Data'!$AA$4:$AB$7,2,FALSE)))))</f>
        <v/>
      </c>
      <c r="AK251" s="110"/>
      <c r="AL251" s="316" t="str">
        <f>IF(AK251="","",IF(AND(AK251="N/A - Culvert",N251&lt;&gt;"Culvert"),"Not possible ▲",IF(VLOOKUP(AK251,'G-7 WaterC'' Data'!$AD$4:$AE$14,2,FALSE)=0,"Spatial Data Missing ⚠",VLOOKUP(AK251,'G-7 WaterC'' Data'!$AD$4:$AE$14,2,FALSE))))</f>
        <v/>
      </c>
      <c r="AM251" s="281" t="str">
        <f>IF(B251="","",VLOOKUP($B251,'F-1 Off-Site WaterC'' Baseline'!$C$9:$Z$257,17,FALSE))</f>
        <v/>
      </c>
      <c r="AN251" s="282" t="str">
        <f>IF(AM251="","",IF(VLOOKUP(AM251,'G-7 WaterC'' Data'!$AO$4:$BO$7,2,FALSE)=0,"Spatial Data Missing ⚠",VLOOKUP(AM251,'G-7 WaterC'' Data'!$AO$4:$BO$7,2,FALSE)))</f>
        <v/>
      </c>
      <c r="AO251" s="323" t="str">
        <f t="shared" si="40"/>
        <v/>
      </c>
      <c r="AP251" s="323" t="str">
        <f t="shared" si="41"/>
        <v/>
      </c>
      <c r="AQ251" s="52"/>
      <c r="AR251" s="51"/>
      <c r="AS251" s="108"/>
      <c r="AT251" s="108"/>
      <c r="AW251" s="30" t="str">
        <f>IF(E251="","",VLOOKUP($B251,'F-1 Off-Site WaterC'' Baseline'!$C$9:$Z$257,12,FALSE))</f>
        <v/>
      </c>
      <c r="AX251" s="30" t="str">
        <f>IF(E251="","",VLOOKUP($B251,'F-1 Off-Site WaterC'' Baseline'!$C$9:$Z$257,14,FALSE))</f>
        <v/>
      </c>
      <c r="AY251" s="30" t="str">
        <f>IFERROR(INDEX('G-7 WaterC'' Data'!$AZ$3:$AZ$7,MATCH(N251,'G-7 WaterC'' Data'!$AY$3:$AY$7,0)),"")</f>
        <v/>
      </c>
      <c r="AZ251" s="30" t="str">
        <f>IF(B251="","",IF(ISNA(VLOOKUP($B251,'F-1 Off-Site WaterC'' Baseline'!$C$8:$AD$257,20,FALSE)),"",(VLOOKUP($B251,'F-1 Off-Site WaterC'' Baseline'!$C$8:$AD$257,20,FALSE))))</f>
        <v/>
      </c>
      <c r="BC251" s="30" t="str">
        <f>IF(B251="","",VLOOKUP($B251,'F-1 Off-Site WaterC'' Baseline'!$C$9:$AB$257,25,FALSE))</f>
        <v/>
      </c>
      <c r="BD251" s="30" t="str">
        <f t="shared" si="42"/>
        <v/>
      </c>
      <c r="BE251" s="30" t="str">
        <f>IF(B251="","",VLOOKUP($B251,'F-1 Off-Site WaterC'' Baseline'!$C$9:$AB$257,24,FALSE))</f>
        <v/>
      </c>
      <c r="BF251" s="30" t="str">
        <f>IF(B251="","",VLOOKUP($B251,'F-1 Off-Site WaterC'' Baseline'!$C$9:$AB$257,22,FALSE))</f>
        <v/>
      </c>
      <c r="BJ251" s="30" t="str">
        <f t="shared" si="43"/>
        <v>No</v>
      </c>
    </row>
    <row r="252" spans="2:62" ht="13.8" x14ac:dyDescent="0.25">
      <c r="B252" s="311" t="str">
        <f>'F-1 Off-Site WaterC'' Baseline'!AS250</f>
        <v/>
      </c>
      <c r="C252" s="301" t="str">
        <f>IF(B252="","",VLOOKUP($B252,'F-1 Off-Site WaterC'' Baseline'!$C$9:$R$257,2,FALSE))</f>
        <v/>
      </c>
      <c r="D252" s="301" t="str">
        <f>IF(C252="","",VLOOKUP($B252,'F-1 Off-Site WaterC'' Baseline'!$C$9:$R$257,3,FALSE))</f>
        <v/>
      </c>
      <c r="E252" s="301" t="str">
        <f>IF(D252="","",VLOOKUP($B252,'F-1 Off-Site WaterC'' Baseline'!$C$9:$R$257,4,FALSE))</f>
        <v/>
      </c>
      <c r="F252" s="301" t="str">
        <f>IF(E252="","",VLOOKUP($B252,'F-1 Off-Site WaterC'' Baseline'!$C$9:$R$257,5,FALSE))</f>
        <v/>
      </c>
      <c r="G252" s="301" t="str">
        <f>IF(F252="","",VLOOKUP($B252,'F-1 Off-Site WaterC'' Baseline'!$C$9:$R$257,6,FALSE))</f>
        <v/>
      </c>
      <c r="H252" s="301" t="str">
        <f>IF(G252="","",VLOOKUP($B252,'F-1 Off-Site WaterC'' Baseline'!$C$9:$R$257,7,FALSE))</f>
        <v/>
      </c>
      <c r="I252" s="301" t="str">
        <f>IF(H252="","",VLOOKUP($B252,'F-1 Off-Site WaterC'' Baseline'!$C$9:$R$257,8,FALSE))</f>
        <v/>
      </c>
      <c r="J252" s="301" t="str">
        <f>IF(I252="","",VLOOKUP($B252,'F-1 Off-Site WaterC'' Baseline'!$C$9:$R$257,9,FALSE))</f>
        <v/>
      </c>
      <c r="K252" s="301" t="str">
        <f>IF(J252="","",VLOOKUP($B252,'F-1 Off-Site WaterC'' Baseline'!$C$9:$R$257,10,FALSE))</f>
        <v/>
      </c>
      <c r="L252" s="289" t="str">
        <f>IF(B252="","",VLOOKUP($B252,'F-1 Off-Site WaterC'' Baseline'!$C$9:$R$257,15,FALSE))</f>
        <v/>
      </c>
      <c r="M252" s="305" t="str">
        <f>IF(L252="","",VLOOKUP($B252,'F-1 Off-Site WaterC'' Baseline'!$C$9:$V$257,19,FALSE))</f>
        <v/>
      </c>
      <c r="N252" s="250"/>
      <c r="O252" s="281" t="str">
        <f t="shared" si="36"/>
        <v/>
      </c>
      <c r="P252" s="282" t="str">
        <f t="shared" si="37"/>
        <v/>
      </c>
      <c r="Q252" s="287" t="str">
        <f>IF(N252="","",VLOOKUP(B252,'F-1 Off-Site WaterC'' Baseline'!$C$10:$AF$257,23,FALSE))</f>
        <v/>
      </c>
      <c r="R252" s="281" t="str">
        <f>IF(N252="","",VLOOKUP(N252,'G-7 WaterC'' Data'!$B$2:$G$8,2,FALSE))</f>
        <v/>
      </c>
      <c r="S252" s="282" t="str">
        <f>IFERROR(VLOOKUP(R252,'G-7 WaterC'' Data'!$C$4:$D$8,2,FALSE),"")</f>
        <v/>
      </c>
      <c r="T252" s="105"/>
      <c r="U252" s="282" t="str">
        <f>IFERROR(INDEX('G-7 WaterC'' Data'!$H$4:$L$8,MATCH(N252,'G-7 WaterC'' Data'!$B$4:$B$8,0),MATCH(T252,'G-7 WaterC'' Data'!$H$3:$L$3,0)),"")</f>
        <v/>
      </c>
      <c r="V252" s="109"/>
      <c r="W252" s="301" t="str">
        <f>IF(V252="","",IF(VLOOKUP(V252,'G-7 WaterC'' Data'!$AK$4:$AM$6,2,FALSE)=0,"Spatial Data Missing ⚠",VLOOKUP(V252,'G-7 WaterC'' Data'!$AK$4:$AM$6,2,FALSE)))</f>
        <v/>
      </c>
      <c r="X252" s="305" t="str">
        <f>IF(V252="","",IF(VLOOKUP(V252,'G-7 WaterC'' Data'!$AK$4:$AM$6,3,FALSE)=0,"Spatial Data Missing ⚠",VLOOKUP(V252,'G-7 WaterC'' Data'!$AK$4:$AM$6,3,FALSE)))</f>
        <v/>
      </c>
      <c r="Y252" s="317" t="str">
        <f>IFERROR(IF(OR(LEFT(P252,5)="Error",LEFT(O252,5)="Error"),"Check Data ⚠",IF(F252&lt;S252,'G-7 WaterC'' Data'!$R$3,INDEX('G-7 WaterC'' Data'!$U$5:$Y$9,MATCH(G252,'G-7 WaterC'' Data'!$T$5:$T$9,0),MATCH(T252,'G-7 WaterC'' Data'!$U$4:$Y$4,0)))),"")</f>
        <v/>
      </c>
      <c r="Z252" s="142"/>
      <c r="AA252" s="142"/>
      <c r="AB252" s="314" t="str">
        <f t="shared" si="33"/>
        <v/>
      </c>
      <c r="AC252" s="302" t="str">
        <f t="shared" si="38"/>
        <v/>
      </c>
      <c r="AD252" s="340" t="str">
        <f>IFERROR(IF(AC252="Check Data ⚠","Check Data ⚠",VLOOKUP(AC252,'G-4 Temporal multipliers'!$A$4:$C$37,3,FALSE)),"")</f>
        <v/>
      </c>
      <c r="AE252" s="317" t="str">
        <f>IF(N252="","",VLOOKUP(N252,'G-7 WaterC'' Data'!$B$4:$G$8,5,FALSE))</f>
        <v/>
      </c>
      <c r="AF252" s="301" t="str">
        <f t="shared" si="34"/>
        <v/>
      </c>
      <c r="AG252" s="301" t="str">
        <f t="shared" si="39"/>
        <v/>
      </c>
      <c r="AH252" s="282" t="str">
        <f t="shared" si="35"/>
        <v/>
      </c>
      <c r="AI252" s="109"/>
      <c r="AJ252" s="282" t="str">
        <f>IF(AI252="","",(IF(AND(AI252="N/A - Culvert",N252&lt;&gt;"Culvert"),"Not possible ▲",IF(VLOOKUP(AI252,'G-7 WaterC'' Data'!$AA$4:$AB$7,2,FALSE)=0,"Spatial Data Missing ⚠",VLOOKUP(AI252,'G-7 WaterC'' Data'!$AA$4:$AB$7,2,FALSE)))))</f>
        <v/>
      </c>
      <c r="AK252" s="110"/>
      <c r="AL252" s="316" t="str">
        <f>IF(AK252="","",IF(AND(AK252="N/A - Culvert",N252&lt;&gt;"Culvert"),"Not possible ▲",IF(VLOOKUP(AK252,'G-7 WaterC'' Data'!$AD$4:$AE$14,2,FALSE)=0,"Spatial Data Missing ⚠",VLOOKUP(AK252,'G-7 WaterC'' Data'!$AD$4:$AE$14,2,FALSE))))</f>
        <v/>
      </c>
      <c r="AM252" s="281" t="str">
        <f>IF(B252="","",VLOOKUP($B252,'F-1 Off-Site WaterC'' Baseline'!$C$9:$Z$257,17,FALSE))</f>
        <v/>
      </c>
      <c r="AN252" s="282" t="str">
        <f>IF(AM252="","",IF(VLOOKUP(AM252,'G-7 WaterC'' Data'!$AO$4:$BO$7,2,FALSE)=0,"Spatial Data Missing ⚠",VLOOKUP(AM252,'G-7 WaterC'' Data'!$AO$4:$BO$7,2,FALSE)))</f>
        <v/>
      </c>
      <c r="AO252" s="323" t="str">
        <f t="shared" si="40"/>
        <v/>
      </c>
      <c r="AP252" s="323" t="str">
        <f t="shared" si="41"/>
        <v/>
      </c>
      <c r="AQ252" s="52"/>
      <c r="AR252" s="51"/>
      <c r="AS252" s="108"/>
      <c r="AT252" s="108"/>
      <c r="AW252" s="30" t="str">
        <f>IF(E252="","",VLOOKUP($B252,'F-1 Off-Site WaterC'' Baseline'!$C$9:$Z$257,12,FALSE))</f>
        <v/>
      </c>
      <c r="AX252" s="30" t="str">
        <f>IF(E252="","",VLOOKUP($B252,'F-1 Off-Site WaterC'' Baseline'!$C$9:$Z$257,14,FALSE))</f>
        <v/>
      </c>
      <c r="AY252" s="30" t="str">
        <f>IFERROR(INDEX('G-7 WaterC'' Data'!$AZ$3:$AZ$7,MATCH(N252,'G-7 WaterC'' Data'!$AY$3:$AY$7,0)),"")</f>
        <v/>
      </c>
      <c r="AZ252" s="30" t="str">
        <f>IF(B252="","",IF(ISNA(VLOOKUP($B252,'F-1 Off-Site WaterC'' Baseline'!$C$8:$AD$257,20,FALSE)),"",(VLOOKUP($B252,'F-1 Off-Site WaterC'' Baseline'!$C$8:$AD$257,20,FALSE))))</f>
        <v/>
      </c>
      <c r="BC252" s="30" t="str">
        <f>IF(B252="","",VLOOKUP($B252,'F-1 Off-Site WaterC'' Baseline'!$C$9:$AB$257,25,FALSE))</f>
        <v/>
      </c>
      <c r="BD252" s="30" t="str">
        <f t="shared" si="42"/>
        <v/>
      </c>
      <c r="BE252" s="30" t="str">
        <f>IF(B252="","",VLOOKUP($B252,'F-1 Off-Site WaterC'' Baseline'!$C$9:$AB$257,24,FALSE))</f>
        <v/>
      </c>
      <c r="BF252" s="30" t="str">
        <f>IF(B252="","",VLOOKUP($B252,'F-1 Off-Site WaterC'' Baseline'!$C$9:$AB$257,22,FALSE))</f>
        <v/>
      </c>
      <c r="BJ252" s="30" t="str">
        <f t="shared" si="43"/>
        <v>No</v>
      </c>
    </row>
    <row r="253" spans="2:62" ht="13.8" x14ac:dyDescent="0.25">
      <c r="B253" s="311" t="str">
        <f>'F-1 Off-Site WaterC'' Baseline'!AS251</f>
        <v/>
      </c>
      <c r="C253" s="301" t="str">
        <f>IF(B253="","",VLOOKUP($B253,'F-1 Off-Site WaterC'' Baseline'!$C$9:$R$257,2,FALSE))</f>
        <v/>
      </c>
      <c r="D253" s="301" t="str">
        <f>IF(C253="","",VLOOKUP($B253,'F-1 Off-Site WaterC'' Baseline'!$C$9:$R$257,3,FALSE))</f>
        <v/>
      </c>
      <c r="E253" s="301" t="str">
        <f>IF(D253="","",VLOOKUP($B253,'F-1 Off-Site WaterC'' Baseline'!$C$9:$R$257,4,FALSE))</f>
        <v/>
      </c>
      <c r="F253" s="301" t="str">
        <f>IF(E253="","",VLOOKUP($B253,'F-1 Off-Site WaterC'' Baseline'!$C$9:$R$257,5,FALSE))</f>
        <v/>
      </c>
      <c r="G253" s="301" t="str">
        <f>IF(F253="","",VLOOKUP($B253,'F-1 Off-Site WaterC'' Baseline'!$C$9:$R$257,6,FALSE))</f>
        <v/>
      </c>
      <c r="H253" s="301" t="str">
        <f>IF(G253="","",VLOOKUP($B253,'F-1 Off-Site WaterC'' Baseline'!$C$9:$R$257,7,FALSE))</f>
        <v/>
      </c>
      <c r="I253" s="301" t="str">
        <f>IF(H253="","",VLOOKUP($B253,'F-1 Off-Site WaterC'' Baseline'!$C$9:$R$257,8,FALSE))</f>
        <v/>
      </c>
      <c r="J253" s="301" t="str">
        <f>IF(I253="","",VLOOKUP($B253,'F-1 Off-Site WaterC'' Baseline'!$C$9:$R$257,9,FALSE))</f>
        <v/>
      </c>
      <c r="K253" s="301" t="str">
        <f>IF(J253="","",VLOOKUP($B253,'F-1 Off-Site WaterC'' Baseline'!$C$9:$R$257,10,FALSE))</f>
        <v/>
      </c>
      <c r="L253" s="289" t="str">
        <f>IF(B253="","",VLOOKUP($B253,'F-1 Off-Site WaterC'' Baseline'!$C$9:$R$257,15,FALSE))</f>
        <v/>
      </c>
      <c r="M253" s="305" t="str">
        <f>IF(L253="","",VLOOKUP($B253,'F-1 Off-Site WaterC'' Baseline'!$C$9:$V$257,19,FALSE))</f>
        <v/>
      </c>
      <c r="N253" s="250"/>
      <c r="O253" s="281" t="str">
        <f t="shared" si="36"/>
        <v/>
      </c>
      <c r="P253" s="282" t="str">
        <f t="shared" si="37"/>
        <v/>
      </c>
      <c r="Q253" s="287" t="str">
        <f>IF(N253="","",VLOOKUP(B253,'F-1 Off-Site WaterC'' Baseline'!$C$10:$AF$257,23,FALSE))</f>
        <v/>
      </c>
      <c r="R253" s="281" t="str">
        <f>IF(N253="","",VLOOKUP(N253,'G-7 WaterC'' Data'!$B$2:$G$8,2,FALSE))</f>
        <v/>
      </c>
      <c r="S253" s="282" t="str">
        <f>IFERROR(VLOOKUP(R253,'G-7 WaterC'' Data'!$C$4:$D$8,2,FALSE),"")</f>
        <v/>
      </c>
      <c r="T253" s="105"/>
      <c r="U253" s="282" t="str">
        <f>IFERROR(INDEX('G-7 WaterC'' Data'!$H$4:$L$8,MATCH(N253,'G-7 WaterC'' Data'!$B$4:$B$8,0),MATCH(T253,'G-7 WaterC'' Data'!$H$3:$L$3,0)),"")</f>
        <v/>
      </c>
      <c r="V253" s="109"/>
      <c r="W253" s="301" t="str">
        <f>IF(V253="","",IF(VLOOKUP(V253,'G-7 WaterC'' Data'!$AK$4:$AM$6,2,FALSE)=0,"Spatial Data Missing ⚠",VLOOKUP(V253,'G-7 WaterC'' Data'!$AK$4:$AM$6,2,FALSE)))</f>
        <v/>
      </c>
      <c r="X253" s="305" t="str">
        <f>IF(V253="","",IF(VLOOKUP(V253,'G-7 WaterC'' Data'!$AK$4:$AM$6,3,FALSE)=0,"Spatial Data Missing ⚠",VLOOKUP(V253,'G-7 WaterC'' Data'!$AK$4:$AM$6,3,FALSE)))</f>
        <v/>
      </c>
      <c r="Y253" s="317" t="str">
        <f>IFERROR(IF(OR(LEFT(P253,5)="Error",LEFT(O253,5)="Error"),"Check Data ⚠",IF(F253&lt;S253,'G-7 WaterC'' Data'!$R$3,INDEX('G-7 WaterC'' Data'!$U$5:$Y$9,MATCH(G253,'G-7 WaterC'' Data'!$T$5:$T$9,0),MATCH(T253,'G-7 WaterC'' Data'!$U$4:$Y$4,0)))),"")</f>
        <v/>
      </c>
      <c r="Z253" s="142"/>
      <c r="AA253" s="142"/>
      <c r="AB253" s="314" t="str">
        <f t="shared" si="33"/>
        <v/>
      </c>
      <c r="AC253" s="302" t="str">
        <f t="shared" si="38"/>
        <v/>
      </c>
      <c r="AD253" s="340" t="str">
        <f>IFERROR(IF(AC253="Check Data ⚠","Check Data ⚠",VLOOKUP(AC253,'G-4 Temporal multipliers'!$A$4:$C$37,3,FALSE)),"")</f>
        <v/>
      </c>
      <c r="AE253" s="317" t="str">
        <f>IF(N253="","",VLOOKUP(N253,'G-7 WaterC'' Data'!$B$4:$G$8,5,FALSE))</f>
        <v/>
      </c>
      <c r="AF253" s="301" t="str">
        <f t="shared" si="34"/>
        <v/>
      </c>
      <c r="AG253" s="301" t="str">
        <f t="shared" si="39"/>
        <v/>
      </c>
      <c r="AH253" s="282" t="str">
        <f t="shared" si="35"/>
        <v/>
      </c>
      <c r="AI253" s="109"/>
      <c r="AJ253" s="282" t="str">
        <f>IF(AI253="","",(IF(AND(AI253="N/A - Culvert",N253&lt;&gt;"Culvert"),"Not possible ▲",IF(VLOOKUP(AI253,'G-7 WaterC'' Data'!$AA$4:$AB$7,2,FALSE)=0,"Spatial Data Missing ⚠",VLOOKUP(AI253,'G-7 WaterC'' Data'!$AA$4:$AB$7,2,FALSE)))))</f>
        <v/>
      </c>
      <c r="AK253" s="110"/>
      <c r="AL253" s="316" t="str">
        <f>IF(AK253="","",IF(AND(AK253="N/A - Culvert",N253&lt;&gt;"Culvert"),"Not possible ▲",IF(VLOOKUP(AK253,'G-7 WaterC'' Data'!$AD$4:$AE$14,2,FALSE)=0,"Spatial Data Missing ⚠",VLOOKUP(AK253,'G-7 WaterC'' Data'!$AD$4:$AE$14,2,FALSE))))</f>
        <v/>
      </c>
      <c r="AM253" s="281" t="str">
        <f>IF(B253="","",VLOOKUP($B253,'F-1 Off-Site WaterC'' Baseline'!$C$9:$Z$257,17,FALSE))</f>
        <v/>
      </c>
      <c r="AN253" s="282" t="str">
        <f>IF(AM253="","",IF(VLOOKUP(AM253,'G-7 WaterC'' Data'!$AO$4:$BO$7,2,FALSE)=0,"Spatial Data Missing ⚠",VLOOKUP(AM253,'G-7 WaterC'' Data'!$AO$4:$BO$7,2,FALSE)))</f>
        <v/>
      </c>
      <c r="AO253" s="323" t="str">
        <f t="shared" si="40"/>
        <v/>
      </c>
      <c r="AP253" s="323" t="str">
        <f t="shared" si="41"/>
        <v/>
      </c>
      <c r="AQ253" s="52"/>
      <c r="AR253" s="51"/>
      <c r="AS253" s="108"/>
      <c r="AT253" s="108"/>
      <c r="AW253" s="30" t="str">
        <f>IF(E253="","",VLOOKUP($B253,'F-1 Off-Site WaterC'' Baseline'!$C$9:$Z$257,12,FALSE))</f>
        <v/>
      </c>
      <c r="AX253" s="30" t="str">
        <f>IF(E253="","",VLOOKUP($B253,'F-1 Off-Site WaterC'' Baseline'!$C$9:$Z$257,14,FALSE))</f>
        <v/>
      </c>
      <c r="AY253" s="30" t="str">
        <f>IFERROR(INDEX('G-7 WaterC'' Data'!$AZ$3:$AZ$7,MATCH(N253,'G-7 WaterC'' Data'!$AY$3:$AY$7,0)),"")</f>
        <v/>
      </c>
      <c r="AZ253" s="30" t="str">
        <f>IF(B253="","",IF(ISNA(VLOOKUP($B253,'F-1 Off-Site WaterC'' Baseline'!$C$8:$AD$257,20,FALSE)),"",(VLOOKUP($B253,'F-1 Off-Site WaterC'' Baseline'!$C$8:$AD$257,20,FALSE))))</f>
        <v/>
      </c>
      <c r="BC253" s="30" t="str">
        <f>IF(B253="","",VLOOKUP($B253,'F-1 Off-Site WaterC'' Baseline'!$C$9:$AB$257,25,FALSE))</f>
        <v/>
      </c>
      <c r="BD253" s="30" t="str">
        <f t="shared" si="42"/>
        <v/>
      </c>
      <c r="BE253" s="30" t="str">
        <f>IF(B253="","",VLOOKUP($B253,'F-1 Off-Site WaterC'' Baseline'!$C$9:$AB$257,24,FALSE))</f>
        <v/>
      </c>
      <c r="BF253" s="30" t="str">
        <f>IF(B253="","",VLOOKUP($B253,'F-1 Off-Site WaterC'' Baseline'!$C$9:$AB$257,22,FALSE))</f>
        <v/>
      </c>
      <c r="BJ253" s="30" t="str">
        <f t="shared" si="43"/>
        <v>No</v>
      </c>
    </row>
    <row r="254" spans="2:62" ht="13.8" x14ac:dyDescent="0.25">
      <c r="B254" s="311" t="str">
        <f>'F-1 Off-Site WaterC'' Baseline'!AS252</f>
        <v/>
      </c>
      <c r="C254" s="301" t="str">
        <f>IF(B254="","",VLOOKUP($B254,'F-1 Off-Site WaterC'' Baseline'!$C$9:$R$257,2,FALSE))</f>
        <v/>
      </c>
      <c r="D254" s="301" t="str">
        <f>IF(C254="","",VLOOKUP($B254,'F-1 Off-Site WaterC'' Baseline'!$C$9:$R$257,3,FALSE))</f>
        <v/>
      </c>
      <c r="E254" s="301" t="str">
        <f>IF(D254="","",VLOOKUP($B254,'F-1 Off-Site WaterC'' Baseline'!$C$9:$R$257,4,FALSE))</f>
        <v/>
      </c>
      <c r="F254" s="301" t="str">
        <f>IF(E254="","",VLOOKUP($B254,'F-1 Off-Site WaterC'' Baseline'!$C$9:$R$257,5,FALSE))</f>
        <v/>
      </c>
      <c r="G254" s="301" t="str">
        <f>IF(F254="","",VLOOKUP($B254,'F-1 Off-Site WaterC'' Baseline'!$C$9:$R$257,6,FALSE))</f>
        <v/>
      </c>
      <c r="H254" s="301" t="str">
        <f>IF(G254="","",VLOOKUP($B254,'F-1 Off-Site WaterC'' Baseline'!$C$9:$R$257,7,FALSE))</f>
        <v/>
      </c>
      <c r="I254" s="301" t="str">
        <f>IF(H254="","",VLOOKUP($B254,'F-1 Off-Site WaterC'' Baseline'!$C$9:$R$257,8,FALSE))</f>
        <v/>
      </c>
      <c r="J254" s="301" t="str">
        <f>IF(I254="","",VLOOKUP($B254,'F-1 Off-Site WaterC'' Baseline'!$C$9:$R$257,9,FALSE))</f>
        <v/>
      </c>
      <c r="K254" s="301" t="str">
        <f>IF(J254="","",VLOOKUP($B254,'F-1 Off-Site WaterC'' Baseline'!$C$9:$R$257,10,FALSE))</f>
        <v/>
      </c>
      <c r="L254" s="289" t="str">
        <f>IF(B254="","",VLOOKUP($B254,'F-1 Off-Site WaterC'' Baseline'!$C$9:$R$257,15,FALSE))</f>
        <v/>
      </c>
      <c r="M254" s="305" t="str">
        <f>IF(L254="","",VLOOKUP($B254,'F-1 Off-Site WaterC'' Baseline'!$C$9:$V$257,19,FALSE))</f>
        <v/>
      </c>
      <c r="N254" s="250"/>
      <c r="O254" s="281" t="str">
        <f t="shared" si="36"/>
        <v/>
      </c>
      <c r="P254" s="282" t="str">
        <f t="shared" si="37"/>
        <v/>
      </c>
      <c r="Q254" s="287" t="str">
        <f>IF(N254="","",VLOOKUP(B254,'F-1 Off-Site WaterC'' Baseline'!$C$10:$AF$257,23,FALSE))</f>
        <v/>
      </c>
      <c r="R254" s="281" t="str">
        <f>IF(N254="","",VLOOKUP(N254,'G-7 WaterC'' Data'!$B$2:$G$8,2,FALSE))</f>
        <v/>
      </c>
      <c r="S254" s="282" t="str">
        <f>IFERROR(VLOOKUP(R254,'G-7 WaterC'' Data'!$C$4:$D$8,2,FALSE),"")</f>
        <v/>
      </c>
      <c r="T254" s="105"/>
      <c r="U254" s="282" t="str">
        <f>IFERROR(INDEX('G-7 WaterC'' Data'!$H$4:$L$8,MATCH(N254,'G-7 WaterC'' Data'!$B$4:$B$8,0),MATCH(T254,'G-7 WaterC'' Data'!$H$3:$L$3,0)),"")</f>
        <v/>
      </c>
      <c r="V254" s="109"/>
      <c r="W254" s="301" t="str">
        <f>IF(V254="","",IF(VLOOKUP(V254,'G-7 WaterC'' Data'!$AK$4:$AM$6,2,FALSE)=0,"Spatial Data Missing ⚠",VLOOKUP(V254,'G-7 WaterC'' Data'!$AK$4:$AM$6,2,FALSE)))</f>
        <v/>
      </c>
      <c r="X254" s="305" t="str">
        <f>IF(V254="","",IF(VLOOKUP(V254,'G-7 WaterC'' Data'!$AK$4:$AM$6,3,FALSE)=0,"Spatial Data Missing ⚠",VLOOKUP(V254,'G-7 WaterC'' Data'!$AK$4:$AM$6,3,FALSE)))</f>
        <v/>
      </c>
      <c r="Y254" s="317" t="str">
        <f>IFERROR(IF(OR(LEFT(P254,5)="Error",LEFT(O254,5)="Error"),"Check Data ⚠",IF(F254&lt;S254,'G-7 WaterC'' Data'!$R$3,INDEX('G-7 WaterC'' Data'!$U$5:$Y$9,MATCH(G254,'G-7 WaterC'' Data'!$T$5:$T$9,0),MATCH(T254,'G-7 WaterC'' Data'!$U$4:$Y$4,0)))),"")</f>
        <v/>
      </c>
      <c r="Z254" s="142"/>
      <c r="AA254" s="142"/>
      <c r="AB254" s="314" t="str">
        <f t="shared" si="33"/>
        <v/>
      </c>
      <c r="AC254" s="302" t="str">
        <f t="shared" si="38"/>
        <v/>
      </c>
      <c r="AD254" s="340" t="str">
        <f>IFERROR(IF(AC254="Check Data ⚠","Check Data ⚠",VLOOKUP(AC254,'G-4 Temporal multipliers'!$A$4:$C$37,3,FALSE)),"")</f>
        <v/>
      </c>
      <c r="AE254" s="317" t="str">
        <f>IF(N254="","",VLOOKUP(N254,'G-7 WaterC'' Data'!$B$4:$G$8,5,FALSE))</f>
        <v/>
      </c>
      <c r="AF254" s="301" t="str">
        <f t="shared" si="34"/>
        <v/>
      </c>
      <c r="AG254" s="301" t="str">
        <f t="shared" si="39"/>
        <v/>
      </c>
      <c r="AH254" s="282" t="str">
        <f t="shared" si="35"/>
        <v/>
      </c>
      <c r="AI254" s="109"/>
      <c r="AJ254" s="282" t="str">
        <f>IF(AI254="","",(IF(AND(AI254="N/A - Culvert",N254&lt;&gt;"Culvert"),"Not possible ▲",IF(VLOOKUP(AI254,'G-7 WaterC'' Data'!$AA$4:$AB$7,2,FALSE)=0,"Spatial Data Missing ⚠",VLOOKUP(AI254,'G-7 WaterC'' Data'!$AA$4:$AB$7,2,FALSE)))))</f>
        <v/>
      </c>
      <c r="AK254" s="110"/>
      <c r="AL254" s="316" t="str">
        <f>IF(AK254="","",IF(AND(AK254="N/A - Culvert",N254&lt;&gt;"Culvert"),"Not possible ▲",IF(VLOOKUP(AK254,'G-7 WaterC'' Data'!$AD$4:$AE$14,2,FALSE)=0,"Spatial Data Missing ⚠",VLOOKUP(AK254,'G-7 WaterC'' Data'!$AD$4:$AE$14,2,FALSE))))</f>
        <v/>
      </c>
      <c r="AM254" s="281" t="str">
        <f>IF(B254="","",VLOOKUP($B254,'F-1 Off-Site WaterC'' Baseline'!$C$9:$Z$257,17,FALSE))</f>
        <v/>
      </c>
      <c r="AN254" s="282" t="str">
        <f>IF(AM254="","",IF(VLOOKUP(AM254,'G-7 WaterC'' Data'!$AO$4:$BO$7,2,FALSE)=0,"Spatial Data Missing ⚠",VLOOKUP(AM254,'G-7 WaterC'' Data'!$AO$4:$BO$7,2,FALSE)))</f>
        <v/>
      </c>
      <c r="AO254" s="323" t="str">
        <f t="shared" si="40"/>
        <v/>
      </c>
      <c r="AP254" s="323" t="str">
        <f t="shared" si="41"/>
        <v/>
      </c>
      <c r="AQ254" s="52"/>
      <c r="AR254" s="51"/>
      <c r="AS254" s="108"/>
      <c r="AT254" s="108"/>
      <c r="AW254" s="30" t="str">
        <f>IF(E254="","",VLOOKUP($B254,'F-1 Off-Site WaterC'' Baseline'!$C$9:$Z$257,12,FALSE))</f>
        <v/>
      </c>
      <c r="AX254" s="30" t="str">
        <f>IF(E254="","",VLOOKUP($B254,'F-1 Off-Site WaterC'' Baseline'!$C$9:$Z$257,14,FALSE))</f>
        <v/>
      </c>
      <c r="AY254" s="30" t="str">
        <f>IFERROR(INDEX('G-7 WaterC'' Data'!$AZ$3:$AZ$7,MATCH(N254,'G-7 WaterC'' Data'!$AY$3:$AY$7,0)),"")</f>
        <v/>
      </c>
      <c r="AZ254" s="30" t="str">
        <f>IF(B254="","",IF(ISNA(VLOOKUP($B254,'F-1 Off-Site WaterC'' Baseline'!$C$8:$AD$257,20,FALSE)),"",(VLOOKUP($B254,'F-1 Off-Site WaterC'' Baseline'!$C$8:$AD$257,20,FALSE))))</f>
        <v/>
      </c>
      <c r="BC254" s="30" t="str">
        <f>IF(B254="","",VLOOKUP($B254,'F-1 Off-Site WaterC'' Baseline'!$C$9:$AB$257,25,FALSE))</f>
        <v/>
      </c>
      <c r="BD254" s="30" t="str">
        <f t="shared" si="42"/>
        <v/>
      </c>
      <c r="BE254" s="30" t="str">
        <f>IF(B254="","",VLOOKUP($B254,'F-1 Off-Site WaterC'' Baseline'!$C$9:$AB$257,24,FALSE))</f>
        <v/>
      </c>
      <c r="BF254" s="30" t="str">
        <f>IF(B254="","",VLOOKUP($B254,'F-1 Off-Site WaterC'' Baseline'!$C$9:$AB$257,22,FALSE))</f>
        <v/>
      </c>
      <c r="BJ254" s="30" t="str">
        <f t="shared" si="43"/>
        <v>No</v>
      </c>
    </row>
    <row r="255" spans="2:62" ht="13.8" x14ac:dyDescent="0.25">
      <c r="B255" s="311" t="str">
        <f>'F-1 Off-Site WaterC'' Baseline'!AS253</f>
        <v/>
      </c>
      <c r="C255" s="301" t="str">
        <f>IF(B255="","",VLOOKUP($B255,'F-1 Off-Site WaterC'' Baseline'!$C$9:$R$257,2,FALSE))</f>
        <v/>
      </c>
      <c r="D255" s="301" t="str">
        <f>IF(C255="","",VLOOKUP($B255,'F-1 Off-Site WaterC'' Baseline'!$C$9:$R$257,3,FALSE))</f>
        <v/>
      </c>
      <c r="E255" s="301" t="str">
        <f>IF(D255="","",VLOOKUP($B255,'F-1 Off-Site WaterC'' Baseline'!$C$9:$R$257,4,FALSE))</f>
        <v/>
      </c>
      <c r="F255" s="301" t="str">
        <f>IF(E255="","",VLOOKUP($B255,'F-1 Off-Site WaterC'' Baseline'!$C$9:$R$257,5,FALSE))</f>
        <v/>
      </c>
      <c r="G255" s="301" t="str">
        <f>IF(F255="","",VLOOKUP($B255,'F-1 Off-Site WaterC'' Baseline'!$C$9:$R$257,6,FALSE))</f>
        <v/>
      </c>
      <c r="H255" s="301" t="str">
        <f>IF(G255="","",VLOOKUP($B255,'F-1 Off-Site WaterC'' Baseline'!$C$9:$R$257,7,FALSE))</f>
        <v/>
      </c>
      <c r="I255" s="301" t="str">
        <f>IF(H255="","",VLOOKUP($B255,'F-1 Off-Site WaterC'' Baseline'!$C$9:$R$257,8,FALSE))</f>
        <v/>
      </c>
      <c r="J255" s="301" t="str">
        <f>IF(I255="","",VLOOKUP($B255,'F-1 Off-Site WaterC'' Baseline'!$C$9:$R$257,9,FALSE))</f>
        <v/>
      </c>
      <c r="K255" s="301" t="str">
        <f>IF(J255="","",VLOOKUP($B255,'F-1 Off-Site WaterC'' Baseline'!$C$9:$R$257,10,FALSE))</f>
        <v/>
      </c>
      <c r="L255" s="289" t="str">
        <f>IF(B255="","",VLOOKUP($B255,'F-1 Off-Site WaterC'' Baseline'!$C$9:$R$257,15,FALSE))</f>
        <v/>
      </c>
      <c r="M255" s="305" t="str">
        <f>IF(L255="","",VLOOKUP($B255,'F-1 Off-Site WaterC'' Baseline'!$C$9:$V$257,19,FALSE))</f>
        <v/>
      </c>
      <c r="N255" s="250"/>
      <c r="O255" s="281" t="str">
        <f t="shared" si="36"/>
        <v/>
      </c>
      <c r="P255" s="282" t="str">
        <f t="shared" si="37"/>
        <v/>
      </c>
      <c r="Q255" s="287" t="str">
        <f>IF(N255="","",VLOOKUP(B255,'F-1 Off-Site WaterC'' Baseline'!$C$10:$AF$257,23,FALSE))</f>
        <v/>
      </c>
      <c r="R255" s="281" t="str">
        <f>IF(N255="","",VLOOKUP(N255,'G-7 WaterC'' Data'!$B$2:$G$8,2,FALSE))</f>
        <v/>
      </c>
      <c r="S255" s="282" t="str">
        <f>IFERROR(VLOOKUP(R255,'G-7 WaterC'' Data'!$C$4:$D$8,2,FALSE),"")</f>
        <v/>
      </c>
      <c r="T255" s="105"/>
      <c r="U255" s="282" t="str">
        <f>IFERROR(INDEX('G-7 WaterC'' Data'!$H$4:$L$8,MATCH(N255,'G-7 WaterC'' Data'!$B$4:$B$8,0),MATCH(T255,'G-7 WaterC'' Data'!$H$3:$L$3,0)),"")</f>
        <v/>
      </c>
      <c r="V255" s="109"/>
      <c r="W255" s="301" t="str">
        <f>IF(V255="","",IF(VLOOKUP(V255,'G-7 WaterC'' Data'!$AK$4:$AM$6,2,FALSE)=0,"Spatial Data Missing ⚠",VLOOKUP(V255,'G-7 WaterC'' Data'!$AK$4:$AM$6,2,FALSE)))</f>
        <v/>
      </c>
      <c r="X255" s="305" t="str">
        <f>IF(V255="","",IF(VLOOKUP(V255,'G-7 WaterC'' Data'!$AK$4:$AM$6,3,FALSE)=0,"Spatial Data Missing ⚠",VLOOKUP(V255,'G-7 WaterC'' Data'!$AK$4:$AM$6,3,FALSE)))</f>
        <v/>
      </c>
      <c r="Y255" s="317" t="str">
        <f>IFERROR(IF(OR(LEFT(P255,5)="Error",LEFT(O255,5)="Error"),"Check Data ⚠",IF(F255&lt;S255,'G-7 WaterC'' Data'!$R$3,INDEX('G-7 WaterC'' Data'!$U$5:$Y$9,MATCH(G255,'G-7 WaterC'' Data'!$T$5:$T$9,0),MATCH(T255,'G-7 WaterC'' Data'!$U$4:$Y$4,0)))),"")</f>
        <v/>
      </c>
      <c r="Z255" s="142"/>
      <c r="AA255" s="142"/>
      <c r="AB255" s="314" t="str">
        <f t="shared" si="33"/>
        <v/>
      </c>
      <c r="AC255" s="302" t="str">
        <f t="shared" si="38"/>
        <v/>
      </c>
      <c r="AD255" s="340" t="str">
        <f>IFERROR(IF(AC255="Check Data ⚠","Check Data ⚠",VLOOKUP(AC255,'G-4 Temporal multipliers'!$A$4:$C$37,3,FALSE)),"")</f>
        <v/>
      </c>
      <c r="AE255" s="317" t="str">
        <f>IF(N255="","",VLOOKUP(N255,'G-7 WaterC'' Data'!$B$4:$G$8,5,FALSE))</f>
        <v/>
      </c>
      <c r="AF255" s="301" t="str">
        <f t="shared" si="34"/>
        <v/>
      </c>
      <c r="AG255" s="301" t="str">
        <f t="shared" si="39"/>
        <v/>
      </c>
      <c r="AH255" s="282" t="str">
        <f t="shared" si="35"/>
        <v/>
      </c>
      <c r="AI255" s="109"/>
      <c r="AJ255" s="282" t="str">
        <f>IF(AI255="","",(IF(AND(AI255="N/A - Culvert",N255&lt;&gt;"Culvert"),"Not possible ▲",IF(VLOOKUP(AI255,'G-7 WaterC'' Data'!$AA$4:$AB$7,2,FALSE)=0,"Spatial Data Missing ⚠",VLOOKUP(AI255,'G-7 WaterC'' Data'!$AA$4:$AB$7,2,FALSE)))))</f>
        <v/>
      </c>
      <c r="AK255" s="110"/>
      <c r="AL255" s="316" t="str">
        <f>IF(AK255="","",IF(AND(AK255="N/A - Culvert",N255&lt;&gt;"Culvert"),"Not possible ▲",IF(VLOOKUP(AK255,'G-7 WaterC'' Data'!$AD$4:$AE$14,2,FALSE)=0,"Spatial Data Missing ⚠",VLOOKUP(AK255,'G-7 WaterC'' Data'!$AD$4:$AE$14,2,FALSE))))</f>
        <v/>
      </c>
      <c r="AM255" s="281" t="str">
        <f>IF(B255="","",VLOOKUP($B255,'F-1 Off-Site WaterC'' Baseline'!$C$9:$Z$257,17,FALSE))</f>
        <v/>
      </c>
      <c r="AN255" s="282" t="str">
        <f>IF(AM255="","",IF(VLOOKUP(AM255,'G-7 WaterC'' Data'!$AO$4:$BO$7,2,FALSE)=0,"Spatial Data Missing ⚠",VLOOKUP(AM255,'G-7 WaterC'' Data'!$AO$4:$BO$7,2,FALSE)))</f>
        <v/>
      </c>
      <c r="AO255" s="323" t="str">
        <f t="shared" si="40"/>
        <v/>
      </c>
      <c r="AP255" s="323" t="str">
        <f t="shared" si="41"/>
        <v/>
      </c>
      <c r="AQ255" s="52"/>
      <c r="AR255" s="51"/>
      <c r="AS255" s="108"/>
      <c r="AT255" s="108"/>
      <c r="AW255" s="30" t="str">
        <f>IF(E255="","",VLOOKUP($B255,'F-1 Off-Site WaterC'' Baseline'!$C$9:$Z$257,12,FALSE))</f>
        <v/>
      </c>
      <c r="AX255" s="30" t="str">
        <f>IF(E255="","",VLOOKUP($B255,'F-1 Off-Site WaterC'' Baseline'!$C$9:$Z$257,14,FALSE))</f>
        <v/>
      </c>
      <c r="AY255" s="30" t="str">
        <f>IFERROR(INDEX('G-7 WaterC'' Data'!$AZ$3:$AZ$7,MATCH(N255,'G-7 WaterC'' Data'!$AY$3:$AY$7,0)),"")</f>
        <v/>
      </c>
      <c r="AZ255" s="30" t="str">
        <f>IF(B255="","",IF(ISNA(VLOOKUP($B255,'F-1 Off-Site WaterC'' Baseline'!$C$8:$AD$257,20,FALSE)),"",(VLOOKUP($B255,'F-1 Off-Site WaterC'' Baseline'!$C$8:$AD$257,20,FALSE))))</f>
        <v/>
      </c>
      <c r="BC255" s="30" t="str">
        <f>IF(B255="","",VLOOKUP($B255,'F-1 Off-Site WaterC'' Baseline'!$C$9:$AB$257,25,FALSE))</f>
        <v/>
      </c>
      <c r="BD255" s="30" t="str">
        <f t="shared" si="42"/>
        <v/>
      </c>
      <c r="BE255" s="30" t="str">
        <f>IF(B255="","",VLOOKUP($B255,'F-1 Off-Site WaterC'' Baseline'!$C$9:$AB$257,24,FALSE))</f>
        <v/>
      </c>
      <c r="BF255" s="30" t="str">
        <f>IF(B255="","",VLOOKUP($B255,'F-1 Off-Site WaterC'' Baseline'!$C$9:$AB$257,22,FALSE))</f>
        <v/>
      </c>
      <c r="BJ255" s="30" t="str">
        <f t="shared" si="43"/>
        <v>No</v>
      </c>
    </row>
    <row r="256" spans="2:62" ht="13.8" x14ac:dyDescent="0.25">
      <c r="B256" s="311" t="str">
        <f>'F-1 Off-Site WaterC'' Baseline'!AS254</f>
        <v/>
      </c>
      <c r="C256" s="301" t="str">
        <f>IF(B256="","",VLOOKUP($B256,'F-1 Off-Site WaterC'' Baseline'!$C$9:$R$257,2,FALSE))</f>
        <v/>
      </c>
      <c r="D256" s="301" t="str">
        <f>IF(C256="","",VLOOKUP($B256,'F-1 Off-Site WaterC'' Baseline'!$C$9:$R$257,3,FALSE))</f>
        <v/>
      </c>
      <c r="E256" s="301" t="str">
        <f>IF(D256="","",VLOOKUP($B256,'F-1 Off-Site WaterC'' Baseline'!$C$9:$R$257,4,FALSE))</f>
        <v/>
      </c>
      <c r="F256" s="301" t="str">
        <f>IF(E256="","",VLOOKUP($B256,'F-1 Off-Site WaterC'' Baseline'!$C$9:$R$257,5,FALSE))</f>
        <v/>
      </c>
      <c r="G256" s="301" t="str">
        <f>IF(F256="","",VLOOKUP($B256,'F-1 Off-Site WaterC'' Baseline'!$C$9:$R$257,6,FALSE))</f>
        <v/>
      </c>
      <c r="H256" s="301" t="str">
        <f>IF(G256="","",VLOOKUP($B256,'F-1 Off-Site WaterC'' Baseline'!$C$9:$R$257,7,FALSE))</f>
        <v/>
      </c>
      <c r="I256" s="301" t="str">
        <f>IF(H256="","",VLOOKUP($B256,'F-1 Off-Site WaterC'' Baseline'!$C$9:$R$257,8,FALSE))</f>
        <v/>
      </c>
      <c r="J256" s="301" t="str">
        <f>IF(I256="","",VLOOKUP($B256,'F-1 Off-Site WaterC'' Baseline'!$C$9:$R$257,9,FALSE))</f>
        <v/>
      </c>
      <c r="K256" s="301" t="str">
        <f>IF(J256="","",VLOOKUP($B256,'F-1 Off-Site WaterC'' Baseline'!$C$9:$R$257,10,FALSE))</f>
        <v/>
      </c>
      <c r="L256" s="289" t="str">
        <f>IF(B256="","",VLOOKUP($B256,'F-1 Off-Site WaterC'' Baseline'!$C$9:$R$257,15,FALSE))</f>
        <v/>
      </c>
      <c r="M256" s="305" t="str">
        <f>IF(L256="","",VLOOKUP($B256,'F-1 Off-Site WaterC'' Baseline'!$C$9:$V$257,19,FALSE))</f>
        <v/>
      </c>
      <c r="N256" s="250"/>
      <c r="O256" s="281" t="str">
        <f t="shared" si="36"/>
        <v/>
      </c>
      <c r="P256" s="282" t="str">
        <f t="shared" si="37"/>
        <v/>
      </c>
      <c r="Q256" s="287" t="str">
        <f>IF(N256="","",VLOOKUP(B256,'F-1 Off-Site WaterC'' Baseline'!$C$10:$AF$257,23,FALSE))</f>
        <v/>
      </c>
      <c r="R256" s="281" t="str">
        <f>IF(N256="","",VLOOKUP(N256,'G-7 WaterC'' Data'!$B$2:$G$8,2,FALSE))</f>
        <v/>
      </c>
      <c r="S256" s="282" t="str">
        <f>IFERROR(VLOOKUP(R256,'G-7 WaterC'' Data'!$C$4:$D$8,2,FALSE),"")</f>
        <v/>
      </c>
      <c r="T256" s="105"/>
      <c r="U256" s="282" t="str">
        <f>IFERROR(INDEX('G-7 WaterC'' Data'!$H$4:$L$8,MATCH(N256,'G-7 WaterC'' Data'!$B$4:$B$8,0),MATCH(T256,'G-7 WaterC'' Data'!$H$3:$L$3,0)),"")</f>
        <v/>
      </c>
      <c r="V256" s="109"/>
      <c r="W256" s="301" t="str">
        <f>IF(V256="","",IF(VLOOKUP(V256,'G-7 WaterC'' Data'!$AK$4:$AM$6,2,FALSE)=0,"Spatial Data Missing ⚠",VLOOKUP(V256,'G-7 WaterC'' Data'!$AK$4:$AM$6,2,FALSE)))</f>
        <v/>
      </c>
      <c r="X256" s="305" t="str">
        <f>IF(V256="","",IF(VLOOKUP(V256,'G-7 WaterC'' Data'!$AK$4:$AM$6,3,FALSE)=0,"Spatial Data Missing ⚠",VLOOKUP(V256,'G-7 WaterC'' Data'!$AK$4:$AM$6,3,FALSE)))</f>
        <v/>
      </c>
      <c r="Y256" s="317" t="str">
        <f>IFERROR(IF(OR(LEFT(P256,5)="Error",LEFT(O256,5)="Error"),"Check Data ⚠",IF(F256&lt;S256,'G-7 WaterC'' Data'!$R$3,INDEX('G-7 WaterC'' Data'!$U$5:$Y$9,MATCH(G256,'G-7 WaterC'' Data'!$T$5:$T$9,0),MATCH(T256,'G-7 WaterC'' Data'!$U$4:$Y$4,0)))),"")</f>
        <v/>
      </c>
      <c r="Z256" s="142"/>
      <c r="AA256" s="142"/>
      <c r="AB256" s="314" t="str">
        <f t="shared" si="33"/>
        <v/>
      </c>
      <c r="AC256" s="302" t="str">
        <f t="shared" si="38"/>
        <v/>
      </c>
      <c r="AD256" s="340" t="str">
        <f>IFERROR(IF(AC256="Check Data ⚠","Check Data ⚠",VLOOKUP(AC256,'G-4 Temporal multipliers'!$A$4:$C$37,3,FALSE)),"")</f>
        <v/>
      </c>
      <c r="AE256" s="317" t="str">
        <f>IF(N256="","",VLOOKUP(N256,'G-7 WaterC'' Data'!$B$4:$G$8,5,FALSE))</f>
        <v/>
      </c>
      <c r="AF256" s="301" t="str">
        <f t="shared" si="34"/>
        <v/>
      </c>
      <c r="AG256" s="301" t="str">
        <f t="shared" si="39"/>
        <v/>
      </c>
      <c r="AH256" s="282" t="str">
        <f t="shared" si="35"/>
        <v/>
      </c>
      <c r="AI256" s="109"/>
      <c r="AJ256" s="282" t="str">
        <f>IF(AI256="","",(IF(AND(AI256="N/A - Culvert",N256&lt;&gt;"Culvert"),"Not possible ▲",IF(VLOOKUP(AI256,'G-7 WaterC'' Data'!$AA$4:$AB$7,2,FALSE)=0,"Spatial Data Missing ⚠",VLOOKUP(AI256,'G-7 WaterC'' Data'!$AA$4:$AB$7,2,FALSE)))))</f>
        <v/>
      </c>
      <c r="AK256" s="110"/>
      <c r="AL256" s="316" t="str">
        <f>IF(AK256="","",IF(AND(AK256="N/A - Culvert",N256&lt;&gt;"Culvert"),"Not possible ▲",IF(VLOOKUP(AK256,'G-7 WaterC'' Data'!$AD$4:$AE$14,2,FALSE)=0,"Spatial Data Missing ⚠",VLOOKUP(AK256,'G-7 WaterC'' Data'!$AD$4:$AE$14,2,FALSE))))</f>
        <v/>
      </c>
      <c r="AM256" s="281" t="str">
        <f>IF(B256="","",VLOOKUP($B256,'F-1 Off-Site WaterC'' Baseline'!$C$9:$Z$257,17,FALSE))</f>
        <v/>
      </c>
      <c r="AN256" s="282" t="str">
        <f>IF(AM256="","",IF(VLOOKUP(AM256,'G-7 WaterC'' Data'!$AO$4:$BO$7,2,FALSE)=0,"Spatial Data Missing ⚠",VLOOKUP(AM256,'G-7 WaterC'' Data'!$AO$4:$BO$7,2,FALSE)))</f>
        <v/>
      </c>
      <c r="AO256" s="323" t="str">
        <f t="shared" si="40"/>
        <v/>
      </c>
      <c r="AP256" s="323" t="str">
        <f t="shared" si="41"/>
        <v/>
      </c>
      <c r="AQ256" s="52"/>
      <c r="AR256" s="51"/>
      <c r="AS256" s="108"/>
      <c r="AT256" s="108"/>
      <c r="AW256" s="30" t="str">
        <f>IF(E256="","",VLOOKUP($B256,'F-1 Off-Site WaterC'' Baseline'!$C$9:$Z$257,12,FALSE))</f>
        <v/>
      </c>
      <c r="AX256" s="30" t="str">
        <f>IF(E256="","",VLOOKUP($B256,'F-1 Off-Site WaterC'' Baseline'!$C$9:$Z$257,14,FALSE))</f>
        <v/>
      </c>
      <c r="AY256" s="30" t="str">
        <f>IFERROR(INDEX('G-7 WaterC'' Data'!$AZ$3:$AZ$7,MATCH(N256,'G-7 WaterC'' Data'!$AY$3:$AY$7,0)),"")</f>
        <v/>
      </c>
      <c r="AZ256" s="30" t="str">
        <f>IF(B256="","",IF(ISNA(VLOOKUP($B256,'F-1 Off-Site WaterC'' Baseline'!$C$8:$AD$257,20,FALSE)),"",(VLOOKUP($B256,'F-1 Off-Site WaterC'' Baseline'!$C$8:$AD$257,20,FALSE))))</f>
        <v/>
      </c>
      <c r="BC256" s="30" t="str">
        <f>IF(B256="","",VLOOKUP($B256,'F-1 Off-Site WaterC'' Baseline'!$C$9:$AB$257,25,FALSE))</f>
        <v/>
      </c>
      <c r="BD256" s="30" t="str">
        <f t="shared" si="42"/>
        <v/>
      </c>
      <c r="BE256" s="30" t="str">
        <f>IF(B256="","",VLOOKUP($B256,'F-1 Off-Site WaterC'' Baseline'!$C$9:$AB$257,24,FALSE))</f>
        <v/>
      </c>
      <c r="BF256" s="30" t="str">
        <f>IF(B256="","",VLOOKUP($B256,'F-1 Off-Site WaterC'' Baseline'!$C$9:$AB$257,22,FALSE))</f>
        <v/>
      </c>
      <c r="BJ256" s="30" t="str">
        <f t="shared" si="43"/>
        <v>No</v>
      </c>
    </row>
    <row r="257" spans="2:62" ht="14.4" thickBot="1" x14ac:dyDescent="0.3">
      <c r="B257" s="313" t="str">
        <f>'F-1 Off-Site WaterC'' Baseline'!AS255</f>
        <v/>
      </c>
      <c r="C257" s="314" t="str">
        <f>IF(B257="","",VLOOKUP($B257,'F-1 Off-Site WaterC'' Baseline'!$C$9:$R$257,2,FALSE))</f>
        <v/>
      </c>
      <c r="D257" s="314" t="str">
        <f>IF(C257="","",VLOOKUP($B257,'F-1 Off-Site WaterC'' Baseline'!$C$9:$R$257,3,FALSE))</f>
        <v/>
      </c>
      <c r="E257" s="314" t="str">
        <f>IF(D257="","",VLOOKUP($B257,'F-1 Off-Site WaterC'' Baseline'!$C$9:$R$257,4,FALSE))</f>
        <v/>
      </c>
      <c r="F257" s="314" t="str">
        <f>IF(E257="","",VLOOKUP($B257,'F-1 Off-Site WaterC'' Baseline'!$C$9:$R$257,5,FALSE))</f>
        <v/>
      </c>
      <c r="G257" s="314" t="str">
        <f>IF(F257="","",VLOOKUP($B257,'F-1 Off-Site WaterC'' Baseline'!$C$9:$R$257,6,FALSE))</f>
        <v/>
      </c>
      <c r="H257" s="314" t="str">
        <f>IF(G257="","",VLOOKUP($B257,'F-1 Off-Site WaterC'' Baseline'!$C$9:$R$257,7,FALSE))</f>
        <v/>
      </c>
      <c r="I257" s="314" t="str">
        <f>IF(H257="","",VLOOKUP($B257,'F-1 Off-Site WaterC'' Baseline'!$C$9:$R$257,8,FALSE))</f>
        <v/>
      </c>
      <c r="J257" s="314" t="str">
        <f>IF(I257="","",VLOOKUP($B257,'F-1 Off-Site WaterC'' Baseline'!$C$9:$R$257,9,FALSE))</f>
        <v/>
      </c>
      <c r="K257" s="314" t="str">
        <f>IF(J257="","",VLOOKUP($B257,'F-1 Off-Site WaterC'' Baseline'!$C$9:$R$257,10,FALSE))</f>
        <v/>
      </c>
      <c r="L257" s="289" t="str">
        <f>IF(B257="","",VLOOKUP($B257,'F-1 Off-Site WaterC'' Baseline'!$C$9:$R$257,15,FALSE))</f>
        <v/>
      </c>
      <c r="M257" s="316" t="str">
        <f>IF(L257="","",VLOOKUP($B257,'F-1 Off-Site WaterC'' Baseline'!$C$9:$V$257,19,FALSE))</f>
        <v/>
      </c>
      <c r="N257" s="250"/>
      <c r="O257" s="281" t="str">
        <f t="shared" si="36"/>
        <v/>
      </c>
      <c r="P257" s="282" t="str">
        <f t="shared" si="37"/>
        <v/>
      </c>
      <c r="Q257" s="287" t="str">
        <f>IF(N257="","",VLOOKUP(B257,'F-1 Off-Site WaterC'' Baseline'!$C$10:$AF$257,23,FALSE))</f>
        <v/>
      </c>
      <c r="R257" s="318" t="str">
        <f>IF(N257="","",VLOOKUP(N257,'G-7 WaterC'' Data'!$B$2:$G$8,2,FALSE))</f>
        <v/>
      </c>
      <c r="S257" s="316" t="str">
        <f>IFERROR(VLOOKUP(R257,'G-7 WaterC'' Data'!$C$4:$D$8,2,FALSE),"")</f>
        <v/>
      </c>
      <c r="T257" s="105"/>
      <c r="U257" s="282" t="str">
        <f>IFERROR(INDEX('G-7 WaterC'' Data'!$H$4:$L$8,MATCH(N257,'G-7 WaterC'' Data'!$B$4:$B$8,0),MATCH(T257,'G-7 WaterC'' Data'!$H$3:$L$3,0)),"")</f>
        <v/>
      </c>
      <c r="V257" s="109"/>
      <c r="W257" s="301" t="str">
        <f>IF(V257="","",IF(VLOOKUP(V257,'G-7 WaterC'' Data'!$AK$4:$AM$6,2,FALSE)=0,"Spatial Data Missing ⚠",VLOOKUP(V257,'G-7 WaterC'' Data'!$AK$4:$AM$6,2,FALSE)))</f>
        <v/>
      </c>
      <c r="X257" s="305" t="str">
        <f>IF(V257="","",IF(VLOOKUP(V257,'G-7 WaterC'' Data'!$AK$4:$AM$6,3,FALSE)=0,"Spatial Data Missing ⚠",VLOOKUP(V257,'G-7 WaterC'' Data'!$AK$4:$AM$6,3,FALSE)))</f>
        <v/>
      </c>
      <c r="Y257" s="317" t="str">
        <f>IFERROR(IF(OR(LEFT(P257,5)="Error",LEFT(O257,5)="Error"),"Check Data ⚠",IF(F257&lt;S257,'G-7 WaterC'' Data'!$R$3,INDEX('G-7 WaterC'' Data'!$U$5:$Y$9,MATCH(G257,'G-7 WaterC'' Data'!$T$5:$T$9,0),MATCH(T257,'G-7 WaterC'' Data'!$U$4:$Y$4,0)))),"")</f>
        <v/>
      </c>
      <c r="Z257" s="142"/>
      <c r="AA257" s="148"/>
      <c r="AB257" s="314"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02" t="str">
        <f t="shared" si="38"/>
        <v/>
      </c>
      <c r="AD257" s="340" t="str">
        <f>IFERROR(IF(AC257="Check Data ⚠","Check Data ⚠",VLOOKUP(AC257,'G-4 Temporal multipliers'!$A$4:$C$37,3,FALSE)),"")</f>
        <v/>
      </c>
      <c r="AE257" s="318" t="str">
        <f>IF(N257="","",VLOOKUP(N257,'G-7 WaterC'' Data'!$B$4:$G$8,5,FALSE))</f>
        <v/>
      </c>
      <c r="AF257" s="301" t="str">
        <f>IF(N257="","",IF(AC257="Check Data ⚠","Check Data ⚠",IF(T257="","",IF($AB257="Check details - Is there evidence that habitat has reached target condition? ⚠","Low Difficulty - only applicable if all habitat created before losses ⚠","Standard difficulty applied"))))</f>
        <v/>
      </c>
      <c r="AG257" s="301" t="str">
        <f t="shared" si="39"/>
        <v/>
      </c>
      <c r="AH257" s="282" t="str">
        <f t="shared" si="35"/>
        <v/>
      </c>
      <c r="AI257" s="109"/>
      <c r="AJ257" s="282" t="str">
        <f>IF(AI257="","",(IF(AND(AI257="N/A - Culvert",N257&lt;&gt;"Culvert"),"Not possible ▲",IF(VLOOKUP(AI257,'G-7 WaterC'' Data'!$AA$4:$AB$7,2,FALSE)=0,"Spatial Data Missing ⚠",VLOOKUP(AI257,'G-7 WaterC'' Data'!$AA$4:$AB$7,2,FALSE)))))</f>
        <v/>
      </c>
      <c r="AK257" s="110"/>
      <c r="AL257" s="316" t="str">
        <f>IF(AK257="","",IF(AND(AK257="N/A - Culvert",N257&lt;&gt;"Culvert"),"Not possible ▲",IF(VLOOKUP(AK257,'G-7 WaterC'' Data'!$AD$4:$AE$14,2,FALSE)=0,"Spatial Data Missing ⚠",VLOOKUP(AK257,'G-7 WaterC'' Data'!$AD$4:$AE$14,2,FALSE))))</f>
        <v/>
      </c>
      <c r="AM257" s="281" t="str">
        <f>IF(B257="","",VLOOKUP($B257,'F-1 Off-Site WaterC'' Baseline'!$C$9:$Z$257,17,FALSE))</f>
        <v/>
      </c>
      <c r="AN257" s="282" t="str">
        <f>IF(AM257="","",IF(VLOOKUP(AM257,'G-7 WaterC'' Data'!$AO$4:$BO$7,2,FALSE)=0,"Spatial Data Missing ⚠",VLOOKUP(AM257,'G-7 WaterC'' Data'!$AO$4:$BO$7,2,FALSE)))</f>
        <v/>
      </c>
      <c r="AO257" s="323" t="str">
        <f t="shared" si="40"/>
        <v/>
      </c>
      <c r="AP257" s="323" t="str">
        <f t="shared" si="41"/>
        <v/>
      </c>
      <c r="AQ257" s="234"/>
      <c r="AR257" s="974"/>
      <c r="AS257" s="959"/>
      <c r="AT257" s="114"/>
      <c r="AW257" s="30" t="str">
        <f>IF(E257="","",VLOOKUP($B257,'F-1 Off-Site WaterC'' Baseline'!$C$9:$Z$257,12,FALSE))</f>
        <v/>
      </c>
      <c r="AX257" s="30" t="str">
        <f>IF(E257="","",VLOOKUP($B257,'F-1 Off-Site WaterC'' Baseline'!$C$9:$Z$257,14,FALSE))</f>
        <v/>
      </c>
      <c r="AY257" s="30" t="str">
        <f>IFERROR(INDEX('G-7 WaterC'' Data'!$AZ$3:$AZ$7,MATCH(N257,'G-7 WaterC'' Data'!$AY$3:$AY$7,0)),"")</f>
        <v/>
      </c>
      <c r="AZ257" s="30" t="str">
        <f>IF(B257="","",IF(ISNA(VLOOKUP($B257,'F-1 Off-Site WaterC'' Baseline'!$C$8:$AD$257,20,FALSE)),"",(VLOOKUP($B257,'F-1 Off-Site WaterC'' Baseline'!$C$8:$AD$257,20,FALSE))))</f>
        <v/>
      </c>
      <c r="BC257" s="30" t="str">
        <f>IF(B257="","",VLOOKUP($B257,'F-1 Off-Site WaterC'' Baseline'!$C$9:$AB$257,25,FALSE))</f>
        <v/>
      </c>
      <c r="BD257" s="30" t="str">
        <f>IF(BC257&gt;M257, M257, BC257)</f>
        <v/>
      </c>
      <c r="BE257" s="30" t="str">
        <f>IF(B257="","",VLOOKUP($B257,'F-1 Off-Site WaterC'' Baseline'!$C$9:$AB$257,24,FALSE))</f>
        <v/>
      </c>
      <c r="BF257" s="30" t="str">
        <f>IF(B257="","",VLOOKUP($B257,'F-1 Off-Site WaterC'' Baseline'!$C$9:$AB$257,22,FALSE))</f>
        <v/>
      </c>
      <c r="BJ257" s="30" t="str">
        <f t="shared" si="43"/>
        <v>No</v>
      </c>
    </row>
    <row r="258" spans="2:62" ht="14.4" thickBot="1" x14ac:dyDescent="0.3">
      <c r="B258" s="34"/>
      <c r="C258" s="182"/>
      <c r="D258" s="285">
        <f>SUM(D12:D257)</f>
        <v>0.14899999999999999</v>
      </c>
      <c r="E258" s="182"/>
      <c r="F258" s="182"/>
      <c r="G258" s="182"/>
      <c r="H258" s="182"/>
      <c r="I258" s="182"/>
      <c r="J258" s="182"/>
      <c r="K258" s="182"/>
      <c r="L258" s="182"/>
      <c r="M258" s="182"/>
      <c r="N258" s="182"/>
      <c r="O258" s="182"/>
      <c r="P258" s="182"/>
      <c r="Q258" s="285">
        <f>SUM(Q12:Q257)</f>
        <v>0.14899999999999999</v>
      </c>
      <c r="R258" s="34"/>
      <c r="S258" s="34"/>
      <c r="T258" s="34"/>
      <c r="U258" s="34"/>
      <c r="V258" s="34"/>
      <c r="W258" s="34"/>
      <c r="X258" s="34"/>
      <c r="Y258" s="34"/>
      <c r="Z258" s="34"/>
      <c r="AA258" s="34"/>
      <c r="AB258" s="34"/>
      <c r="AC258" s="34"/>
      <c r="AD258" s="34"/>
      <c r="AE258" s="34"/>
      <c r="AF258" s="34"/>
      <c r="AG258" s="34"/>
      <c r="AH258" s="34"/>
      <c r="AI258" s="34"/>
      <c r="AJ258" s="34" t="str">
        <f>IF(AI258="","",IF(VLOOKUP(AI258,'[1]G-7 Rivers Data'!$AA$4:$AB$6,2,FALSE)=0,"Spatial Data Missing",VLOOKUP(AI258,'[1]G-7 Rivers Data'!$AA$4:$AB$6,2,FALSE)))</f>
        <v/>
      </c>
      <c r="AK258" s="34"/>
      <c r="AL258" s="34"/>
      <c r="AM258" s="1682"/>
      <c r="AN258" s="1682"/>
      <c r="AO258" s="344">
        <f>IFERROR(IF(AQ6 = "Error - No enhancement - units less than baseline ▲", "Error  ▲", SUM(AO12:AO257)),"")</f>
        <v>1.8646560000000001</v>
      </c>
      <c r="AP258" s="344">
        <f>IFERROR(IF(AQ6 = "Error - No enhancement - units less than baseline ▲", "Error  ▲", SUM(AP12:AP257)),"")</f>
        <v>1.8646560000000001</v>
      </c>
      <c r="AQ258" s="34"/>
      <c r="AR258" s="34"/>
      <c r="BJ258" s="30" t="str">
        <f t="shared" si="43"/>
        <v>No</v>
      </c>
    </row>
    <row r="259" spans="2:62" ht="13.8" x14ac:dyDescent="0.25">
      <c r="AJ259" s="30" t="str">
        <f>IF(AI259="","",IF(VLOOKUP(AI259,'[1]G-7 Rivers Data'!$AA$4:$AB$6,2,FALSE)=0,"Spatial Data Missing",VLOOKUP(AI259,'[1]G-7 Rivers Data'!$AA$4:$AB$6,2,FALSE)))</f>
        <v/>
      </c>
      <c r="AM259" s="32"/>
    </row>
    <row r="260" spans="2:62" ht="13.8" x14ac:dyDescent="0.25"/>
    <row r="261" spans="2:62" ht="13.8" x14ac:dyDescent="0.25"/>
    <row r="262" spans="2:62" ht="13.8" x14ac:dyDescent="0.25"/>
    <row r="263" spans="2:62" ht="13.8" x14ac:dyDescent="0.25"/>
    <row r="264" spans="2:62" ht="13.8" x14ac:dyDescent="0.25"/>
    <row r="265" spans="2:62" ht="13.8" x14ac:dyDescent="0.25"/>
    <row r="266" spans="2:62" ht="13.8" x14ac:dyDescent="0.25"/>
  </sheetData>
  <sheetProtection algorithmName="SHA-512" hashValue="hZ+wymfjcXiX2e7PWaxJxHucbbhc/cdMeUYkrIhsvLlnvX34b+NZwXhyBwKSXp7wtREeEbgwa9MhVbuOqYxtwA==" saltValue="riCNzNjveb2AxfxoeqFUh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B2:C2"/>
    <mergeCell ref="C10:M10"/>
    <mergeCell ref="V10:X10"/>
    <mergeCell ref="Y10:AD10"/>
    <mergeCell ref="N10:N11"/>
    <mergeCell ref="Q10:Q11"/>
    <mergeCell ref="R10:S10"/>
    <mergeCell ref="T10:U10"/>
    <mergeCell ref="O3:P3"/>
    <mergeCell ref="B3:C4"/>
    <mergeCell ref="O10:P10"/>
    <mergeCell ref="R3:X5"/>
    <mergeCell ref="D3:H5"/>
    <mergeCell ref="AE10:AH10"/>
    <mergeCell ref="AI10:AJ10"/>
    <mergeCell ref="AK10:AL10"/>
    <mergeCell ref="N9:AM9"/>
    <mergeCell ref="Y2:AD4"/>
    <mergeCell ref="AQ6:AR6"/>
    <mergeCell ref="AP10:AP11"/>
    <mergeCell ref="AQ10:AT10"/>
    <mergeCell ref="AM258:AN258"/>
    <mergeCell ref="AO10:AO11"/>
    <mergeCell ref="AM10:AN10"/>
  </mergeCells>
  <conditionalFormatting sqref="L12:L257">
    <cfRule type="containsText" dxfId="111" priority="49" operator="containsText" text="Restore">
      <formula>NOT(ISERROR(SEARCH("Restore",L12)))</formula>
    </cfRule>
  </conditionalFormatting>
  <conditionalFormatting sqref="AO258:AP258 O12:AB257 AE12:AO257">
    <cfRule type="beginsWith" dxfId="110" priority="44" operator="beginsWith" text="No - Low">
      <formula>LEFT(O12,LEN("No - Low"))="No - Low"</formula>
    </cfRule>
    <cfRule type="containsText" dxfId="109" priority="45" operator="containsText" text="30+">
      <formula>NOT(ISERROR(SEARCH("30+",O12)))</formula>
    </cfRule>
    <cfRule type="containsText" dxfId="108" priority="46" operator="containsText" text="Spatial">
      <formula>NOT(ISERROR(SEARCH("Spatial",O12)))</formula>
    </cfRule>
    <cfRule type="containsText" dxfId="107" priority="47" operator="containsText" text="Check">
      <formula>NOT(ISERROR(SEARCH("Check",O12)))</formula>
    </cfRule>
    <cfRule type="containsText" dxfId="106" priority="48" operator="containsText" text="Error">
      <formula>NOT(ISERROR(SEARCH("Error",O12)))</formula>
    </cfRule>
  </conditionalFormatting>
  <conditionalFormatting sqref="AC12:AD257">
    <cfRule type="containsText" dxfId="105" priority="42" operator="containsText" text="Check">
      <formula>NOT(ISERROR(SEARCH("Check",AC12)))</formula>
    </cfRule>
    <cfRule type="beginsWith" dxfId="104" priority="43" operator="beginsWith" text="Error">
      <formula>LEFT(AC12,LEN("Error"))="Error"</formula>
    </cfRule>
  </conditionalFormatting>
  <conditionalFormatting sqref="Y2">
    <cfRule type="containsText" dxfId="103" priority="40" operator="containsText" text="Note">
      <formula>NOT(ISERROR(SEARCH("Note",Y2)))</formula>
    </cfRule>
  </conditionalFormatting>
  <conditionalFormatting sqref="P4">
    <cfRule type="containsText" dxfId="102" priority="38" operator="containsText" text="Error">
      <formula>NOT(ISERROR(SEARCH("Error",P4)))</formula>
    </cfRule>
    <cfRule type="containsText" dxfId="101" priority="39" operator="containsText" text="Check">
      <formula>NOT(ISERROR(SEARCH("Check",P4)))</formula>
    </cfRule>
  </conditionalFormatting>
  <conditionalFormatting sqref="P5">
    <cfRule type="containsText" dxfId="100" priority="13" operator="containsText" text="Error">
      <formula>NOT(ISERROR(SEARCH("Error",P5)))</formula>
    </cfRule>
    <cfRule type="cellIs" dxfId="99" priority="23" operator="equal">
      <formula>0</formula>
    </cfRule>
    <cfRule type="containsText" dxfId="98" priority="24" operator="containsText" text="Check">
      <formula>NOT(ISERROR(SEARCH("Check",P5)))</formula>
    </cfRule>
    <cfRule type="cellIs" dxfId="97" priority="473" operator="lessThan">
      <formula>0</formula>
    </cfRule>
  </conditionalFormatting>
  <conditionalFormatting sqref="R3:X5">
    <cfRule type="containsText" dxfId="96" priority="33" operator="containsText" text="Check">
      <formula>NOT(ISERROR(SEARCH("Check",R3)))</formula>
    </cfRule>
  </conditionalFormatting>
  <conditionalFormatting sqref="P6">
    <cfRule type="containsText" dxfId="95" priority="31" operator="containsText" text="No">
      <formula>NOT(ISERROR(SEARCH("No",P6)))</formula>
    </cfRule>
    <cfRule type="containsText" dxfId="94" priority="32" operator="containsText" text="Yes">
      <formula>NOT(ISERROR(SEARCH("Yes",P6)))</formula>
    </cfRule>
  </conditionalFormatting>
  <conditionalFormatting sqref="U12:U257">
    <cfRule type="containsText" dxfId="93" priority="30" operator="containsText" text="Not possible">
      <formula>NOT(ISERROR(SEARCH("Not possible",U12)))</formula>
    </cfRule>
  </conditionalFormatting>
  <conditionalFormatting sqref="AP12:AP257">
    <cfRule type="containsText" dxfId="92" priority="4" operator="containsText" text="▲">
      <formula>NOT(ISERROR(SEARCH("▲",AP12)))</formula>
    </cfRule>
    <cfRule type="beginsWith" dxfId="91" priority="9" operator="beginsWith" text="No - Low">
      <formula>LEFT(AP12,LEN("No - Low"))="No - Low"</formula>
    </cfRule>
    <cfRule type="containsText" dxfId="90" priority="10" operator="containsText" text="30+">
      <formula>NOT(ISERROR(SEARCH("30+",AP12)))</formula>
    </cfRule>
    <cfRule type="containsText" dxfId="89" priority="11" operator="containsText" text="Spatial">
      <formula>NOT(ISERROR(SEARCH("Spatial",AP12)))</formula>
    </cfRule>
    <cfRule type="containsText" dxfId="88" priority="25" operator="containsText" text="Check">
      <formula>NOT(ISERROR(SEARCH("Check",AP12)))</formula>
    </cfRule>
    <cfRule type="containsText" dxfId="87" priority="26" operator="containsText" text="Error">
      <formula>NOT(ISERROR(SEARCH("Error",AP12)))</formula>
    </cfRule>
    <cfRule type="containsBlanks" dxfId="86" priority="27">
      <formula>LEN(TRIM(AP12))=0</formula>
    </cfRule>
    <cfRule type="expression" dxfId="85" priority="28">
      <formula>$AP12=$BD12</formula>
    </cfRule>
    <cfRule type="expression" dxfId="84" priority="29">
      <formula>$AP12&lt;$BD12</formula>
    </cfRule>
  </conditionalFormatting>
  <conditionalFormatting sqref="P4:P6">
    <cfRule type="containsText" dxfId="83" priority="22" operator="containsText" text="N/A">
      <formula>NOT(ISERROR(SEARCH("N/A",P4)))</formula>
    </cfRule>
  </conditionalFormatting>
  <conditionalFormatting sqref="D3:H5">
    <cfRule type="containsText" dxfId="82" priority="19" operator="containsText" text="Enhanced">
      <formula>NOT(ISERROR(SEARCH("Enhanced",D3)))</formula>
    </cfRule>
  </conditionalFormatting>
  <conditionalFormatting sqref="M12:M257">
    <cfRule type="containsText" dxfId="81" priority="18" operator="containsText" text="Check">
      <formula>NOT(ISERROR(SEARCH("Check",M12)))</formula>
    </cfRule>
  </conditionalFormatting>
  <conditionalFormatting sqref="L1:L1048576">
    <cfRule type="containsText" dxfId="80" priority="1" operator="containsText" text="Better">
      <formula>NOT(ISERROR(SEARCH("Better",L1)))</formula>
    </cfRule>
    <cfRule type="containsText" dxfId="79" priority="5" operator="containsText" text=" ⚠">
      <formula>NOT(ISERROR(SEARCH(" ⚠",L1)))</formula>
    </cfRule>
    <cfRule type="containsText" dxfId="78" priority="17" operator="containsText" text="Bespoke">
      <formula>NOT(ISERROR(SEARCH("Bespoke",L1)))</formula>
    </cfRule>
  </conditionalFormatting>
  <conditionalFormatting sqref="C12:C258">
    <cfRule type="expression" dxfId="77" priority="16">
      <formula>$AZ12="Yes"</formula>
    </cfRule>
  </conditionalFormatting>
  <conditionalFormatting sqref="AJ1:AJ8 AJ10:AJ1048576">
    <cfRule type="containsText" dxfId="76" priority="15" operator="containsText" text="Not possible">
      <formula>NOT(ISERROR(SEARCH("Not possible",AJ1)))</formula>
    </cfRule>
  </conditionalFormatting>
  <conditionalFormatting sqref="AL1:AL8 AL10:AL1048576">
    <cfRule type="containsText" dxfId="75" priority="14" operator="containsText" text="Not possible">
      <formula>NOT(ISERROR(SEARCH("Not possible",AL1)))</formula>
    </cfRule>
  </conditionalFormatting>
  <conditionalFormatting sqref="W12">
    <cfRule type="containsText" dxfId="74" priority="12" operator="containsText" text="Possible">
      <formula>NOT(ISERROR(SEARCH("Possible",W12)))</formula>
    </cfRule>
  </conditionalFormatting>
  <conditionalFormatting sqref="AQ6:AR6">
    <cfRule type="containsText" dxfId="73" priority="8" operator="containsText" text="Error">
      <formula>NOT(ISERROR(SEARCH("Error",AQ6)))</formula>
    </cfRule>
  </conditionalFormatting>
  <conditionalFormatting sqref="AF1:AF8 AF10:AF1048576">
    <cfRule type="containsText" dxfId="72" priority="7" operator="containsText" text="⚠">
      <formula>NOT(ISERROR(SEARCH("⚠",AF1)))</formula>
    </cfRule>
  </conditionalFormatting>
  <conditionalFormatting sqref="H12:H257">
    <cfRule type="containsText" dxfId="71" priority="6" operator="containsText" text="possible">
      <formula>NOT(ISERROR(SEARCH("possible",H12)))</formula>
    </cfRule>
  </conditionalFormatting>
  <conditionalFormatting sqref="AT12:AT257">
    <cfRule type="expression" dxfId="70" priority="3">
      <formula>$AP12="Off-site reference required ▲"</formula>
    </cfRule>
  </conditionalFormatting>
  <conditionalFormatting sqref="AC1:AC1048576">
    <cfRule type="containsText" dxfId="69" priority="2" operator="containsText" text="30+">
      <formula>NOT(ISERROR(SEARCH("30+",AC1)))</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expression" priority="20" id="{5D1724F2-CF12-4AB7-96B1-527137BFD7C9}">
            <xm:f>'Headline Results'!$H$10:$I$10=0</xm:f>
            <x14:dxf>
              <font>
                <color auto="1"/>
              </font>
              <fill>
                <patternFill>
                  <bgColor rgb="FFE0DCD3"/>
                </patternFill>
              </fill>
            </x14:dxf>
          </x14:cfRule>
          <xm:sqref>P5</xm:sqref>
        </x14:conditionalFormatting>
        <x14:conditionalFormatting xmlns:xm="http://schemas.microsoft.com/office/excel/2006/main">
          <x14:cfRule type="cellIs" priority="21" operator="lessThan" id="{81F228A8-0E99-4272-9DDD-FBE759F32105}">
            <xm:f>Start!$F$22</xm:f>
            <x14:dxf>
              <font>
                <color rgb="FF383745"/>
              </font>
              <fill>
                <patternFill>
                  <bgColor rgb="FFFFC000"/>
                </patternFill>
              </fill>
            </x14:dxf>
          </x14:cfRule>
          <x14:cfRule type="cellIs" priority="474"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169A9C8-B343-4C28-9051-09F9A2824387}">
          <x14:formula1>
            <xm:f>'G-7 WaterC'' Data'!$AK$4:$AK$6</xm:f>
          </x14:formula1>
          <xm:sqref>V12:V257</xm:sqref>
        </x14:dataValidation>
        <x14:dataValidation type="list" allowBlank="1" showInputMessage="1" showErrorMessage="1" xr:uid="{11CEC2E5-8B68-4A3F-97C5-CC1E81ED906A}">
          <x14:formula1>
            <xm:f>'G-7 WaterC'' Data'!$B$4:$B$7</xm:f>
          </x14:formula1>
          <xm:sqref>N12:N257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2118-3D38-4EFA-9E67-C89D3F37F7A4}">
  <sheetPr codeName="Sheet2">
    <tabColor rgb="FFFFC000"/>
  </sheetPr>
  <dimension ref="A1:W177"/>
  <sheetViews>
    <sheetView zoomScale="80" zoomScaleNormal="80" workbookViewId="0"/>
  </sheetViews>
  <sheetFormatPr defaultColWidth="0" defaultRowHeight="14.4" zeroHeight="1" x14ac:dyDescent="0.3"/>
  <cols>
    <col min="1" max="3" width="8.6640625" customWidth="1"/>
    <col min="4" max="4" width="23.44140625" customWidth="1"/>
    <col min="5" max="5" width="66.6640625" customWidth="1"/>
    <col min="6" max="6" width="25.5546875" customWidth="1"/>
    <col min="7" max="7" width="39.44140625" bestFit="1" customWidth="1"/>
    <col min="8" max="8" width="36.33203125" bestFit="1" customWidth="1"/>
    <col min="9" max="9" width="36.33203125" customWidth="1"/>
    <col min="10" max="11" width="36.33203125" bestFit="1" customWidth="1"/>
    <col min="12" max="12" width="13.33203125" customWidth="1"/>
    <col min="13" max="14" width="35.6640625" customWidth="1"/>
    <col min="15" max="16" width="35.6640625" hidden="1" customWidth="1"/>
    <col min="17" max="17" width="39.33203125" hidden="1" customWidth="1"/>
    <col min="18" max="18" width="45.6640625" hidden="1" customWidth="1"/>
    <col min="19" max="19" width="60.33203125" hidden="1" customWidth="1"/>
    <col min="20" max="20" width="35.6640625" hidden="1" customWidth="1"/>
    <col min="21" max="16384" width="35.6640625" style="1" hidden="1"/>
  </cols>
  <sheetData>
    <row r="1" spans="2:11" s="1" customFormat="1" ht="15" thickBot="1" x14ac:dyDescent="0.35"/>
    <row r="2" spans="2:11" s="1" customFormat="1" ht="15" thickBot="1" x14ac:dyDescent="0.35">
      <c r="D2" s="741" t="s">
        <v>44</v>
      </c>
      <c r="E2" s="741" t="s">
        <v>45</v>
      </c>
      <c r="F2" s="879" t="s">
        <v>46</v>
      </c>
      <c r="G2" s="1145" t="s">
        <v>47</v>
      </c>
      <c r="H2" s="1147"/>
    </row>
    <row r="3" spans="2:11" s="1" customFormat="1" x14ac:dyDescent="0.3">
      <c r="B3" s="1849" t="s">
        <v>48</v>
      </c>
      <c r="C3" s="1850"/>
      <c r="D3" s="885">
        <f>Start!F22</f>
        <v>0.1</v>
      </c>
      <c r="E3" s="742">
        <f>'Headline Results'!$E$61</f>
        <v>2.6843300000000001</v>
      </c>
      <c r="F3" s="742">
        <f>'Headline Results'!$F61</f>
        <v>2.9527630000000005</v>
      </c>
      <c r="G3" s="882">
        <f>'Headline Results'!$H61</f>
        <v>0</v>
      </c>
      <c r="H3" s="880" t="str">
        <f t="shared" ref="H3:H4" si="0">IF(G3=0,"",IF(G3&gt;0,"▲","✓"))</f>
        <v/>
      </c>
    </row>
    <row r="4" spans="2:11" s="1" customFormat="1" x14ac:dyDescent="0.3">
      <c r="B4" s="1851" t="s">
        <v>49</v>
      </c>
      <c r="C4" s="1852"/>
      <c r="D4" s="886">
        <f>Start!F22</f>
        <v>0.1</v>
      </c>
      <c r="E4" s="743">
        <f>'Headline Results'!H9</f>
        <v>0.23300000000000001</v>
      </c>
      <c r="F4" s="745">
        <f>'Headline Results'!$F62</f>
        <v>0.25630000000000003</v>
      </c>
      <c r="G4" s="883">
        <f ca="1">'Headline Results'!$H62</f>
        <v>0</v>
      </c>
      <c r="H4" s="769" t="str">
        <f t="shared" ca="1" si="0"/>
        <v/>
      </c>
    </row>
    <row r="5" spans="2:11" s="1" customFormat="1" ht="15" thickBot="1" x14ac:dyDescent="0.35">
      <c r="B5" s="1853" t="s">
        <v>50</v>
      </c>
      <c r="C5" s="1854"/>
      <c r="D5" s="887">
        <f>Start!F22</f>
        <v>0.1</v>
      </c>
      <c r="E5" s="744">
        <f>'Headline Results'!H10</f>
        <v>0</v>
      </c>
      <c r="F5" s="746">
        <f>'Headline Results'!$F63</f>
        <v>0</v>
      </c>
      <c r="G5" s="884">
        <f>'Headline Results'!$H63</f>
        <v>0</v>
      </c>
      <c r="H5" s="881" t="str">
        <f>IF(G5=0,"",IF(G5&gt;0,"▲","✓"))</f>
        <v/>
      </c>
    </row>
    <row r="6" spans="2:11" s="1" customFormat="1" x14ac:dyDescent="0.3">
      <c r="E6" s="748"/>
      <c r="F6" s="748"/>
      <c r="G6" s="748"/>
      <c r="H6" s="749"/>
      <c r="I6" s="748"/>
    </row>
    <row r="7" spans="2:11" s="1" customFormat="1" ht="15" thickBot="1" x14ac:dyDescent="0.35">
      <c r="E7" s="748"/>
      <c r="F7" s="748"/>
      <c r="G7" s="748"/>
      <c r="H7" s="749"/>
      <c r="I7" s="748"/>
    </row>
    <row r="8" spans="2:11" s="1" customFormat="1" ht="15" thickBot="1" x14ac:dyDescent="0.35">
      <c r="E8" s="879" t="s">
        <v>51</v>
      </c>
      <c r="F8" s="747" t="s">
        <v>52</v>
      </c>
      <c r="G8" s="1665" t="s">
        <v>53</v>
      </c>
      <c r="H8" s="1666"/>
      <c r="I8" s="748"/>
    </row>
    <row r="9" spans="2:11" s="1" customFormat="1" x14ac:dyDescent="0.3">
      <c r="E9" s="910" t="s">
        <v>54</v>
      </c>
      <c r="F9" s="920">
        <f>IFERROR(IF(OR('Trading Summary Area Habitats'!$K$13&lt;0,'Trading Summary WaterC''s'!$I$13&lt;0),"ERROR", IF((F13+F12+F11+F10+((H65+M122+G138)*-1))&gt;=G3, ((H65+M122+G138)*-1), IF((F13+F12+F11+F10+((H65+M122+G138)*-1))&gt;=(G3-(F3-E3)), (((H65+M122+G138)*-1)+(G3-(F13+F12+F11+F10+((H65+M122+G138)*-1)))), IF(G3&lt;=0,((H65+M122+G138)*-1), IF((F13+F12+F11+F10+((H65+M122+G138)*-1))&lt;G3,(G3-(F10+F11+F12+F13)), IF(G3&gt;=F3-E3, ((H65+M122+G138)*-1)+(F3-E3), ((H65+M122+G138)*-1)+G3)))))),"Error")</f>
        <v>0</v>
      </c>
      <c r="G9" s="916">
        <f t="shared" ref="G9:G13" si="1">IF(F9="ERROR", "ERROR", F9*2)</f>
        <v>0</v>
      </c>
      <c r="H9" s="905" t="str">
        <f t="shared" ref="H9:H14" si="2">IF(G9=0,"",IF(G9&gt;0,"▲","✓"))</f>
        <v/>
      </c>
      <c r="I9" s="748"/>
    </row>
    <row r="10" spans="2:11" s="1" customFormat="1" x14ac:dyDescent="0.3">
      <c r="E10" s="911" t="s">
        <v>55</v>
      </c>
      <c r="F10" s="921">
        <f>IFERROR(IF(OR('Trading Summary Area Habitats'!$K$13&lt;0,'Trading Summary WaterC''s'!$I$13&lt;0),"ERROR",(H57+M127)*-1),"Error")</f>
        <v>0</v>
      </c>
      <c r="G10" s="917">
        <f t="shared" si="1"/>
        <v>0</v>
      </c>
      <c r="H10" s="906" t="str">
        <f t="shared" si="2"/>
        <v/>
      </c>
      <c r="I10" s="748"/>
    </row>
    <row r="11" spans="2:11" s="1" customFormat="1" x14ac:dyDescent="0.3">
      <c r="E11" s="911" t="s">
        <v>56</v>
      </c>
      <c r="F11" s="921">
        <f>IFERROR(IF(OR('Trading Summary Area Habitats'!$K$13&lt;0,'Trading Summary WaterC''s'!$I$13&lt;0),"ERROR",H45*-1),"Error")</f>
        <v>0</v>
      </c>
      <c r="G11" s="917">
        <f t="shared" si="1"/>
        <v>0</v>
      </c>
      <c r="H11" s="906" t="str">
        <f t="shared" si="2"/>
        <v/>
      </c>
      <c r="I11" s="748"/>
    </row>
    <row r="12" spans="2:11" s="1" customFormat="1" x14ac:dyDescent="0.3">
      <c r="E12" s="911" t="s">
        <v>57</v>
      </c>
      <c r="F12" s="921">
        <f>IFERROR(IF(OR('Trading Summary Area Habitats'!$K$13&lt;0,'Trading Summary WaterC''s'!$I$13&lt;0),"ERROR",(H27+M129)*-1),"Error")</f>
        <v>0</v>
      </c>
      <c r="G12" s="917">
        <f t="shared" si="1"/>
        <v>0</v>
      </c>
      <c r="H12" s="907" t="str">
        <f t="shared" si="2"/>
        <v/>
      </c>
      <c r="J12" s="749"/>
      <c r="K12" s="749"/>
    </row>
    <row r="13" spans="2:11" s="1" customFormat="1" ht="15" thickBot="1" x14ac:dyDescent="0.35">
      <c r="E13" s="912" t="s">
        <v>58</v>
      </c>
      <c r="F13" s="922">
        <f>IFERROR(IF(OR('Trading Summary Area Habitats'!$K$13&lt;0,'Trading Summary WaterC''s'!$I$13&lt;0),"ERROR",(H21*-1)),"Error")</f>
        <v>0</v>
      </c>
      <c r="G13" s="918">
        <f t="shared" si="1"/>
        <v>0</v>
      </c>
      <c r="H13" s="913" t="str">
        <f t="shared" si="2"/>
        <v/>
      </c>
    </row>
    <row r="14" spans="2:11" s="1" customFormat="1" ht="15" thickBot="1" x14ac:dyDescent="0.35">
      <c r="E14" s="914" t="s">
        <v>59</v>
      </c>
      <c r="F14" s="923">
        <f ca="1">IFERROR(IF(OR('Trading Summary Area Habitats'!$K$13&lt;0,'Trading Summary WaterC''s'!$I$13&lt;0),"ERROR",IF((G147*-1)&lt;G4, G4, IF(G4&lt;=0, (G147*-1), IF(G4&gt;=F4-E4, (G147*-1), (G147*-1)+G4)))),"Error")</f>
        <v>0</v>
      </c>
      <c r="G14" s="919">
        <f ca="1">IFERROR(IF(F14="ERROR", "ERROR", F14*2),"Error")</f>
        <v>0</v>
      </c>
      <c r="H14" s="908" t="str">
        <f t="shared" ca="1" si="2"/>
        <v/>
      </c>
    </row>
    <row r="15" spans="2:11" s="1" customFormat="1" ht="15" thickBot="1" x14ac:dyDescent="0.35">
      <c r="E15" s="915" t="s">
        <v>60</v>
      </c>
      <c r="F15" s="923">
        <f>IF(OR('Trading Summary Area Habitats'!$K$13&lt;0,'Trading Summary WaterC''s'!$I$13&lt;0),"ERROR",IF((G157*-1)&lt;G5, G5, IF(G5&lt;=0,(G157*-1),IF(G5&gt;=F5-E5,(G157*-1),(G157*-1)+G5))))</f>
        <v>0</v>
      </c>
      <c r="G15" s="919">
        <f>IFERROR(IF(F15="ERROR", "ERROR", F15*2),"Error")</f>
        <v>0</v>
      </c>
      <c r="H15" s="908" t="str">
        <f>IF(G15=0,"",IF(G15&gt;0,"▲","✓"))</f>
        <v/>
      </c>
    </row>
    <row r="16" spans="2:11" s="1" customFormat="1" ht="29.1" customHeight="1" x14ac:dyDescent="0.3">
      <c r="E16" s="1848" t="str">
        <f>IF(OR('Trading Summary Area Habitats'!$K$13&lt;0,'Trading Summary WaterC''s'!$I$13&lt;0), "ERROR - This metric still includes losses of very high distinctiveness habitat. Losses of very high distinctiveness units must be compensated for through this metric or through bespoke compensation ▲", " ")</f>
        <v xml:space="preserve"> </v>
      </c>
      <c r="F16" s="1848"/>
      <c r="G16" s="1848"/>
      <c r="H16" s="1848"/>
    </row>
    <row r="17" spans="1:23" ht="19.5" hidden="1" customHeight="1" thickBot="1" x14ac:dyDescent="0.35">
      <c r="A17" s="1"/>
      <c r="B17" s="1817" t="s">
        <v>61</v>
      </c>
      <c r="C17" s="1"/>
      <c r="D17" s="750" t="s">
        <v>51</v>
      </c>
      <c r="E17" s="909" t="s">
        <v>62</v>
      </c>
      <c r="F17" s="909" t="s">
        <v>63</v>
      </c>
      <c r="G17" s="909" t="s">
        <v>64</v>
      </c>
      <c r="H17" s="909" t="s">
        <v>65</v>
      </c>
      <c r="I17" s="1"/>
      <c r="J17" s="1"/>
      <c r="K17" s="1"/>
      <c r="L17" s="1"/>
      <c r="M17" s="1"/>
      <c r="N17" s="1"/>
      <c r="O17" s="1"/>
      <c r="P17" s="1"/>
      <c r="Q17" s="1"/>
      <c r="R17" s="1"/>
      <c r="S17" s="1"/>
      <c r="T17" s="1"/>
    </row>
    <row r="18" spans="1:23" ht="7.5" hidden="1" customHeight="1" thickBot="1" x14ac:dyDescent="0.35">
      <c r="A18" s="1"/>
      <c r="B18" s="1819"/>
      <c r="C18" s="1"/>
      <c r="D18" s="826" t="s">
        <v>58</v>
      </c>
      <c r="E18" s="827" t="s">
        <v>66</v>
      </c>
      <c r="F18" s="827" t="s">
        <v>67</v>
      </c>
      <c r="G18" s="828">
        <f>'Trading Summary Area Habitats'!K12</f>
        <v>0</v>
      </c>
      <c r="H18" s="815">
        <f>'Trading Summary Area Habitats'!K13</f>
        <v>0</v>
      </c>
      <c r="I18" s="1"/>
      <c r="J18" s="1"/>
      <c r="K18" s="1"/>
      <c r="L18" s="1"/>
      <c r="M18" s="1"/>
      <c r="N18" s="1"/>
      <c r="O18" s="1"/>
      <c r="P18" s="1"/>
      <c r="Q18" s="1"/>
      <c r="R18" s="1"/>
      <c r="S18" s="1"/>
      <c r="T18" s="1"/>
    </row>
    <row r="19" spans="1:23" ht="15" thickBot="1" x14ac:dyDescent="0.35">
      <c r="A19" s="1"/>
      <c r="B19" s="1"/>
      <c r="C19" s="1"/>
      <c r="D19" s="1"/>
      <c r="E19" s="748"/>
      <c r="F19" s="1"/>
      <c r="G19" s="1"/>
      <c r="H19" s="1"/>
      <c r="I19" s="1"/>
      <c r="J19" s="1"/>
      <c r="K19" s="1"/>
      <c r="L19" s="1"/>
      <c r="M19" s="1"/>
      <c r="N19" s="1"/>
      <c r="O19" s="1"/>
      <c r="P19" s="1"/>
      <c r="Q19" s="1"/>
      <c r="R19" s="1"/>
      <c r="S19" s="1"/>
      <c r="T19" s="1"/>
    </row>
    <row r="20" spans="1:23" ht="15" thickBot="1" x14ac:dyDescent="0.35">
      <c r="A20" s="1"/>
      <c r="B20" s="1"/>
      <c r="C20" s="1"/>
      <c r="D20" s="747" t="s">
        <v>51</v>
      </c>
      <c r="E20" s="741" t="s">
        <v>62</v>
      </c>
      <c r="F20" s="741" t="s">
        <v>63</v>
      </c>
      <c r="G20" s="741" t="s">
        <v>68</v>
      </c>
      <c r="H20" s="747" t="s">
        <v>69</v>
      </c>
      <c r="I20" s="733"/>
      <c r="J20" s="748"/>
      <c r="K20" s="748"/>
      <c r="L20" s="748"/>
      <c r="M20" s="748"/>
      <c r="N20" s="748"/>
      <c r="O20" s="748"/>
      <c r="P20" s="748"/>
      <c r="Q20" s="748"/>
      <c r="R20" s="748"/>
      <c r="S20" s="879" t="s">
        <v>62</v>
      </c>
      <c r="T20" s="791" t="s">
        <v>1782</v>
      </c>
      <c r="U20" s="748"/>
      <c r="V20" s="748"/>
      <c r="W20" s="748"/>
    </row>
    <row r="21" spans="1:23" x14ac:dyDescent="0.3">
      <c r="A21" s="1"/>
      <c r="B21" s="1817" t="s">
        <v>70</v>
      </c>
      <c r="C21" s="1"/>
      <c r="D21" s="1845" t="s">
        <v>58</v>
      </c>
      <c r="E21" s="226" t="s">
        <v>71</v>
      </c>
      <c r="F21" s="226" t="s">
        <v>72</v>
      </c>
      <c r="G21" s="823">
        <f>'G-2 Habitat groups'!$BE$39</f>
        <v>0</v>
      </c>
      <c r="H21" s="1805">
        <f>SUMIF(G21:G25, "&lt;0")</f>
        <v>0</v>
      </c>
      <c r="I21" s="453"/>
      <c r="J21" s="748"/>
      <c r="K21" s="748"/>
      <c r="L21" s="748"/>
      <c r="M21" s="748"/>
      <c r="N21" s="748"/>
      <c r="O21" s="748"/>
      <c r="P21" s="748"/>
      <c r="Q21" s="748"/>
      <c r="R21" s="748"/>
      <c r="S21" s="1058" t="s">
        <v>71</v>
      </c>
      <c r="T21" s="1060">
        <f>IF(G21&gt;0,(0),(-2*(G21)))</f>
        <v>0</v>
      </c>
      <c r="U21" s="748"/>
      <c r="V21" s="748"/>
      <c r="W21" s="748"/>
    </row>
    <row r="22" spans="1:23" x14ac:dyDescent="0.3">
      <c r="A22" s="1"/>
      <c r="B22" s="1818"/>
      <c r="C22" s="1"/>
      <c r="D22" s="1846"/>
      <c r="E22" s="222" t="s">
        <v>73</v>
      </c>
      <c r="F22" s="222" t="s">
        <v>72</v>
      </c>
      <c r="G22" s="824">
        <f>'G-2 Habitat groups'!$BE$40</f>
        <v>0</v>
      </c>
      <c r="H22" s="1805"/>
      <c r="I22" s="453"/>
      <c r="J22" s="748"/>
      <c r="K22" s="748"/>
      <c r="L22" s="748"/>
      <c r="M22" s="748"/>
      <c r="N22" s="748"/>
      <c r="O22" s="748"/>
      <c r="P22" s="748"/>
      <c r="Q22" s="748"/>
      <c r="R22" s="748"/>
      <c r="S22" s="1059" t="s">
        <v>73</v>
      </c>
      <c r="T22" s="1061">
        <f t="shared" ref="T22:T66" si="3">IF(G22&gt;0,(0),(-2*(G22)))</f>
        <v>0</v>
      </c>
      <c r="U22" s="748"/>
      <c r="V22" s="748"/>
      <c r="W22" s="748"/>
    </row>
    <row r="23" spans="1:23" x14ac:dyDescent="0.3">
      <c r="A23" s="1"/>
      <c r="B23" s="1818"/>
      <c r="C23" s="1"/>
      <c r="D23" s="1846"/>
      <c r="E23" s="222" t="s">
        <v>74</v>
      </c>
      <c r="F23" s="222" t="s">
        <v>72</v>
      </c>
      <c r="G23" s="824">
        <f>'G-2 Habitat groups'!$BE$41</f>
        <v>0</v>
      </c>
      <c r="H23" s="1805"/>
      <c r="I23" s="453"/>
      <c r="J23" s="748"/>
      <c r="K23" s="748"/>
      <c r="L23" s="748"/>
      <c r="M23" s="748"/>
      <c r="N23" s="748"/>
      <c r="O23" s="748"/>
      <c r="P23" s="748"/>
      <c r="Q23" s="748"/>
      <c r="R23" s="748"/>
      <c r="S23" s="1059" t="s">
        <v>74</v>
      </c>
      <c r="T23" s="1061">
        <f t="shared" si="3"/>
        <v>0</v>
      </c>
      <c r="U23" s="748"/>
      <c r="V23" s="748"/>
      <c r="W23" s="748"/>
    </row>
    <row r="24" spans="1:23" x14ac:dyDescent="0.3">
      <c r="A24" s="1"/>
      <c r="B24" s="1818"/>
      <c r="C24" s="1"/>
      <c r="D24" s="1846"/>
      <c r="E24" s="222" t="s">
        <v>75</v>
      </c>
      <c r="F24" s="222" t="s">
        <v>72</v>
      </c>
      <c r="G24" s="824">
        <f>'G-2 Habitat groups'!$BE$42</f>
        <v>0</v>
      </c>
      <c r="H24" s="1805"/>
      <c r="I24" s="453"/>
      <c r="J24" s="748"/>
      <c r="K24" s="748"/>
      <c r="L24" s="748"/>
      <c r="M24" s="748"/>
      <c r="N24" s="748"/>
      <c r="O24" s="748"/>
      <c r="P24" s="748"/>
      <c r="Q24" s="748"/>
      <c r="R24" s="748"/>
      <c r="S24" s="1059" t="s">
        <v>75</v>
      </c>
      <c r="T24" s="1061">
        <f t="shared" si="3"/>
        <v>0</v>
      </c>
      <c r="U24" s="748"/>
      <c r="V24" s="748"/>
      <c r="W24" s="748"/>
    </row>
    <row r="25" spans="1:23" ht="15" thickBot="1" x14ac:dyDescent="0.35">
      <c r="A25" s="1"/>
      <c r="B25" s="1818"/>
      <c r="C25" s="1"/>
      <c r="D25" s="1847"/>
      <c r="E25" s="224" t="s">
        <v>76</v>
      </c>
      <c r="F25" s="224" t="s">
        <v>72</v>
      </c>
      <c r="G25" s="825">
        <f>'G-2 Habitat groups'!$BE$43</f>
        <v>0</v>
      </c>
      <c r="H25" s="1806"/>
      <c r="I25" s="453"/>
      <c r="J25" s="748"/>
      <c r="K25" s="748"/>
      <c r="L25" s="748"/>
      <c r="M25" s="748"/>
      <c r="N25" s="748"/>
      <c r="O25" s="748"/>
      <c r="P25" s="748"/>
      <c r="Q25" s="748"/>
      <c r="R25" s="748"/>
      <c r="S25" s="770" t="s">
        <v>76</v>
      </c>
      <c r="T25" s="1062">
        <f t="shared" si="3"/>
        <v>0</v>
      </c>
      <c r="U25" s="748"/>
      <c r="V25" s="748"/>
      <c r="W25" s="748"/>
    </row>
    <row r="26" spans="1:23" ht="15" thickBot="1" x14ac:dyDescent="0.35">
      <c r="A26" s="1"/>
      <c r="B26" s="1818"/>
      <c r="C26" s="1"/>
      <c r="D26" s="1"/>
      <c r="E26" s="1"/>
      <c r="F26" s="748"/>
      <c r="G26" s="748"/>
      <c r="H26" s="748"/>
      <c r="I26" s="748"/>
      <c r="J26" s="748"/>
      <c r="K26" s="748"/>
      <c r="L26" s="748"/>
      <c r="M26" s="748"/>
      <c r="N26" s="748"/>
      <c r="O26" s="748"/>
      <c r="P26" s="748"/>
      <c r="Q26" s="748"/>
      <c r="R26" s="748"/>
      <c r="S26" s="1"/>
      <c r="T26" s="1063"/>
      <c r="U26" s="748"/>
      <c r="V26" s="748"/>
      <c r="W26" s="748"/>
    </row>
    <row r="27" spans="1:23" x14ac:dyDescent="0.3">
      <c r="A27" s="1"/>
      <c r="B27" s="1818"/>
      <c r="C27" s="1"/>
      <c r="D27" s="1839" t="s">
        <v>57</v>
      </c>
      <c r="E27" s="225" t="s">
        <v>77</v>
      </c>
      <c r="F27" s="226" t="s">
        <v>78</v>
      </c>
      <c r="G27" s="276">
        <f>'G-2 Habitat groups'!BE31</f>
        <v>0</v>
      </c>
      <c r="H27" s="1842">
        <f>SUMIF(G27:G43, "&lt;0")</f>
        <v>0</v>
      </c>
      <c r="I27" s="453"/>
      <c r="J27" s="748"/>
      <c r="K27" s="748"/>
      <c r="L27" s="748"/>
      <c r="M27" s="748"/>
      <c r="N27" s="748"/>
      <c r="O27" s="748"/>
      <c r="P27" s="748"/>
      <c r="Q27" s="748"/>
      <c r="R27" s="748"/>
      <c r="S27" s="1057" t="s">
        <v>77</v>
      </c>
      <c r="T27" s="1060">
        <f t="shared" si="3"/>
        <v>0</v>
      </c>
      <c r="U27" s="748"/>
      <c r="V27" s="748"/>
      <c r="W27" s="748"/>
    </row>
    <row r="28" spans="1:23" x14ac:dyDescent="0.3">
      <c r="A28" s="1"/>
      <c r="B28" s="1818"/>
      <c r="C28" s="1"/>
      <c r="D28" s="1840"/>
      <c r="E28" s="221" t="s">
        <v>79</v>
      </c>
      <c r="F28" s="222" t="s">
        <v>72</v>
      </c>
      <c r="G28" s="274">
        <f>'G-2 Habitat groups'!$BE$44</f>
        <v>0</v>
      </c>
      <c r="H28" s="1843"/>
      <c r="I28" s="453"/>
      <c r="J28" s="748"/>
      <c r="K28" s="748"/>
      <c r="L28" s="748"/>
      <c r="M28" s="748"/>
      <c r="N28" s="748"/>
      <c r="O28" s="748"/>
      <c r="P28" s="748"/>
      <c r="Q28" s="748"/>
      <c r="R28" s="748"/>
      <c r="S28" s="1056" t="s">
        <v>79</v>
      </c>
      <c r="T28" s="1061">
        <f t="shared" si="3"/>
        <v>0</v>
      </c>
      <c r="U28" s="748"/>
      <c r="V28" s="748"/>
      <c r="W28" s="748"/>
    </row>
    <row r="29" spans="1:23" x14ac:dyDescent="0.3">
      <c r="A29" s="1"/>
      <c r="B29" s="1818"/>
      <c r="C29" s="1"/>
      <c r="D29" s="1840"/>
      <c r="E29" s="221" t="s">
        <v>80</v>
      </c>
      <c r="F29" s="222" t="s">
        <v>72</v>
      </c>
      <c r="G29" s="274">
        <f>'G-2 Habitat groups'!$BE$45</f>
        <v>0</v>
      </c>
      <c r="H29" s="1843"/>
      <c r="I29" s="453"/>
      <c r="J29" s="748"/>
      <c r="K29" s="748"/>
      <c r="L29" s="748"/>
      <c r="M29" s="748"/>
      <c r="N29" s="748"/>
      <c r="O29" s="748"/>
      <c r="P29" s="748"/>
      <c r="Q29" s="748"/>
      <c r="R29" s="748"/>
      <c r="S29" s="1056" t="s">
        <v>80</v>
      </c>
      <c r="T29" s="1061">
        <f t="shared" si="3"/>
        <v>0</v>
      </c>
      <c r="U29" s="748"/>
      <c r="V29" s="748"/>
      <c r="W29" s="748"/>
    </row>
    <row r="30" spans="1:23" x14ac:dyDescent="0.3">
      <c r="A30" s="1"/>
      <c r="B30" s="1818"/>
      <c r="C30" s="1"/>
      <c r="D30" s="1840"/>
      <c r="E30" s="221" t="s">
        <v>81</v>
      </c>
      <c r="F30" s="222" t="s">
        <v>82</v>
      </c>
      <c r="G30" s="274">
        <f>'G-2 Habitat groups'!$BE$46</f>
        <v>0</v>
      </c>
      <c r="H30" s="1843"/>
      <c r="I30" s="453"/>
      <c r="J30" s="748"/>
      <c r="K30" s="748"/>
      <c r="L30" s="1"/>
      <c r="M30" s="1"/>
      <c r="N30" s="1"/>
      <c r="O30" s="1"/>
      <c r="P30" s="748"/>
      <c r="Q30" s="748"/>
      <c r="R30" s="748"/>
      <c r="S30" s="1056" t="s">
        <v>81</v>
      </c>
      <c r="T30" s="1061">
        <f t="shared" si="3"/>
        <v>0</v>
      </c>
      <c r="U30" s="748"/>
      <c r="V30" s="748"/>
      <c r="W30" s="748"/>
    </row>
    <row r="31" spans="1:23" x14ac:dyDescent="0.3">
      <c r="A31" s="1"/>
      <c r="B31" s="1818"/>
      <c r="C31" s="1"/>
      <c r="D31" s="1840"/>
      <c r="E31" s="221" t="s">
        <v>83</v>
      </c>
      <c r="F31" s="222" t="s">
        <v>82</v>
      </c>
      <c r="G31" s="274">
        <f>'G-2 Habitat groups'!$BE$47</f>
        <v>0</v>
      </c>
      <c r="H31" s="1843"/>
      <c r="I31" s="453"/>
      <c r="J31" s="748"/>
      <c r="K31" s="748"/>
      <c r="L31" s="1"/>
      <c r="M31" s="1"/>
      <c r="N31" s="1"/>
      <c r="O31" s="1"/>
      <c r="P31" s="748"/>
      <c r="Q31" s="748"/>
      <c r="R31" s="748"/>
      <c r="S31" s="1056" t="s">
        <v>83</v>
      </c>
      <c r="T31" s="1061">
        <f t="shared" si="3"/>
        <v>0</v>
      </c>
      <c r="U31" s="748"/>
      <c r="V31" s="748"/>
      <c r="W31" s="748"/>
    </row>
    <row r="32" spans="1:23" x14ac:dyDescent="0.3">
      <c r="A32" s="1"/>
      <c r="B32" s="1818"/>
      <c r="C32" s="1"/>
      <c r="D32" s="1840"/>
      <c r="E32" s="221" t="s">
        <v>84</v>
      </c>
      <c r="F32" s="222" t="s">
        <v>82</v>
      </c>
      <c r="G32" s="274">
        <f>'G-2 Habitat groups'!$BE$48</f>
        <v>0</v>
      </c>
      <c r="H32" s="1843"/>
      <c r="I32" s="453"/>
      <c r="J32" s="748"/>
      <c r="K32" s="748"/>
      <c r="L32" s="1"/>
      <c r="M32" s="1"/>
      <c r="N32" s="1"/>
      <c r="O32" s="1"/>
      <c r="P32" s="748"/>
      <c r="Q32" s="748"/>
      <c r="R32" s="748"/>
      <c r="S32" s="1056" t="s">
        <v>84</v>
      </c>
      <c r="T32" s="1061">
        <f t="shared" si="3"/>
        <v>0</v>
      </c>
      <c r="U32" s="748"/>
      <c r="V32" s="748"/>
      <c r="W32" s="748"/>
    </row>
    <row r="33" spans="1:23" x14ac:dyDescent="0.3">
      <c r="A33" s="1"/>
      <c r="B33" s="1818"/>
      <c r="C33" s="1"/>
      <c r="D33" s="1840"/>
      <c r="E33" s="221" t="s">
        <v>85</v>
      </c>
      <c r="F33" s="222" t="s">
        <v>82</v>
      </c>
      <c r="G33" s="274">
        <f>'G-2 Habitat groups'!$BE$49</f>
        <v>0</v>
      </c>
      <c r="H33" s="1843"/>
      <c r="I33" s="453"/>
      <c r="J33" s="748"/>
      <c r="K33" s="748"/>
      <c r="L33" s="1"/>
      <c r="M33" s="1"/>
      <c r="N33" s="1"/>
      <c r="O33" s="1"/>
      <c r="P33" s="748"/>
      <c r="Q33" s="748"/>
      <c r="R33" s="748"/>
      <c r="S33" s="1056" t="s">
        <v>85</v>
      </c>
      <c r="T33" s="1061">
        <f t="shared" si="3"/>
        <v>0</v>
      </c>
      <c r="U33" s="748"/>
      <c r="V33" s="748"/>
      <c r="W33" s="748"/>
    </row>
    <row r="34" spans="1:23" x14ac:dyDescent="0.3">
      <c r="A34" s="1"/>
      <c r="B34" s="1818"/>
      <c r="C34" s="1"/>
      <c r="D34" s="1840"/>
      <c r="E34" s="221" t="s">
        <v>86</v>
      </c>
      <c r="F34" s="222" t="s">
        <v>87</v>
      </c>
      <c r="G34" s="274">
        <f>'G-2 Habitat groups'!$BE$54</f>
        <v>0</v>
      </c>
      <c r="H34" s="1843"/>
      <c r="I34" s="453"/>
      <c r="J34" s="748"/>
      <c r="K34" s="748"/>
      <c r="L34" s="1"/>
      <c r="M34" s="1"/>
      <c r="N34" s="1"/>
      <c r="O34" s="1"/>
      <c r="P34" s="748"/>
      <c r="Q34" s="748"/>
      <c r="R34" s="748"/>
      <c r="S34" s="1056" t="s">
        <v>86</v>
      </c>
      <c r="T34" s="1061">
        <f t="shared" si="3"/>
        <v>0</v>
      </c>
      <c r="U34" s="748"/>
      <c r="V34" s="748"/>
      <c r="W34" s="748"/>
    </row>
    <row r="35" spans="1:23" x14ac:dyDescent="0.3">
      <c r="A35" s="1"/>
      <c r="B35" s="1818"/>
      <c r="C35" s="1"/>
      <c r="D35" s="1840"/>
      <c r="E35" s="221" t="s">
        <v>88</v>
      </c>
      <c r="F35" s="222" t="s">
        <v>87</v>
      </c>
      <c r="G35" s="274">
        <f>'G-2 Habitat groups'!$BE$56</f>
        <v>0</v>
      </c>
      <c r="H35" s="1843"/>
      <c r="I35" s="453"/>
      <c r="J35" s="748"/>
      <c r="K35" s="748"/>
      <c r="L35" s="1"/>
      <c r="M35" s="1"/>
      <c r="N35" s="1"/>
      <c r="O35" s="1"/>
      <c r="P35" s="748"/>
      <c r="Q35" s="748"/>
      <c r="R35" s="748"/>
      <c r="S35" s="1056" t="s">
        <v>88</v>
      </c>
      <c r="T35" s="1061">
        <f t="shared" si="3"/>
        <v>0</v>
      </c>
      <c r="U35" s="748"/>
      <c r="V35" s="748"/>
      <c r="W35" s="748"/>
    </row>
    <row r="36" spans="1:23" x14ac:dyDescent="0.3">
      <c r="A36" s="1"/>
      <c r="B36" s="1818"/>
      <c r="C36" s="1"/>
      <c r="D36" s="1840"/>
      <c r="E36" s="221" t="s">
        <v>89</v>
      </c>
      <c r="F36" s="222" t="s">
        <v>87</v>
      </c>
      <c r="G36" s="274">
        <f>'G-2 Habitat groups'!$BE$58</f>
        <v>0</v>
      </c>
      <c r="H36" s="1843"/>
      <c r="I36" s="453"/>
      <c r="J36" s="748"/>
      <c r="K36" s="748"/>
      <c r="L36" s="1"/>
      <c r="M36" s="1"/>
      <c r="N36" s="1"/>
      <c r="O36" s="1"/>
      <c r="P36" s="748"/>
      <c r="Q36" s="748"/>
      <c r="R36" s="748"/>
      <c r="S36" s="1056" t="s">
        <v>89</v>
      </c>
      <c r="T36" s="1061">
        <f t="shared" si="3"/>
        <v>0</v>
      </c>
      <c r="U36" s="748"/>
      <c r="V36" s="748"/>
      <c r="W36" s="748"/>
    </row>
    <row r="37" spans="1:23" x14ac:dyDescent="0.3">
      <c r="A37" s="1"/>
      <c r="B37" s="1818"/>
      <c r="C37" s="1"/>
      <c r="D37" s="1840"/>
      <c r="E37" s="221" t="s">
        <v>90</v>
      </c>
      <c r="F37" s="222" t="s">
        <v>87</v>
      </c>
      <c r="G37" s="274">
        <f>'G-2 Habitat groups'!$BE$59</f>
        <v>0</v>
      </c>
      <c r="H37" s="1843"/>
      <c r="I37" s="453"/>
      <c r="J37" s="748"/>
      <c r="K37" s="748"/>
      <c r="L37" s="1"/>
      <c r="M37" s="1"/>
      <c r="N37" s="1"/>
      <c r="O37" s="1"/>
      <c r="P37" s="748"/>
      <c r="Q37" s="748"/>
      <c r="R37" s="748"/>
      <c r="S37" s="1056" t="s">
        <v>90</v>
      </c>
      <c r="T37" s="1061">
        <f t="shared" si="3"/>
        <v>0</v>
      </c>
      <c r="U37" s="748"/>
      <c r="V37" s="748"/>
      <c r="W37" s="748"/>
    </row>
    <row r="38" spans="1:23" x14ac:dyDescent="0.3">
      <c r="A38" s="1"/>
      <c r="B38" s="1818"/>
      <c r="C38" s="1"/>
      <c r="D38" s="1840"/>
      <c r="E38" s="221" t="s">
        <v>91</v>
      </c>
      <c r="F38" s="222" t="s">
        <v>92</v>
      </c>
      <c r="G38" s="274">
        <f>'G-2 Habitat groups'!$BE$61</f>
        <v>0</v>
      </c>
      <c r="H38" s="1843"/>
      <c r="I38" s="453"/>
      <c r="J38" s="748"/>
      <c r="K38" s="748"/>
      <c r="L38" s="1"/>
      <c r="M38" s="1"/>
      <c r="N38" s="1"/>
      <c r="O38" s="1"/>
      <c r="P38" s="748"/>
      <c r="Q38" s="748"/>
      <c r="R38" s="748"/>
      <c r="S38" s="1056" t="s">
        <v>91</v>
      </c>
      <c r="T38" s="1061">
        <f t="shared" si="3"/>
        <v>0</v>
      </c>
      <c r="U38" s="748"/>
      <c r="V38" s="748"/>
      <c r="W38" s="748"/>
    </row>
    <row r="39" spans="1:23" x14ac:dyDescent="0.3">
      <c r="A39" s="1"/>
      <c r="B39" s="1818"/>
      <c r="C39" s="1"/>
      <c r="D39" s="1840"/>
      <c r="E39" s="221" t="s">
        <v>93</v>
      </c>
      <c r="F39" s="222" t="s">
        <v>94</v>
      </c>
      <c r="G39" s="274">
        <f>'G-2 Habitat groups'!$BE$62</f>
        <v>0</v>
      </c>
      <c r="H39" s="1843"/>
      <c r="I39" s="453"/>
      <c r="J39" s="748"/>
      <c r="K39" s="748"/>
      <c r="L39" s="1"/>
      <c r="M39" s="1"/>
      <c r="N39" s="1"/>
      <c r="O39" s="1"/>
      <c r="P39" s="748"/>
      <c r="Q39" s="748"/>
      <c r="R39" s="748"/>
      <c r="S39" s="1056" t="s">
        <v>93</v>
      </c>
      <c r="T39" s="1061">
        <f t="shared" si="3"/>
        <v>0</v>
      </c>
      <c r="U39" s="748"/>
      <c r="V39" s="748"/>
      <c r="W39" s="748"/>
    </row>
    <row r="40" spans="1:23" x14ac:dyDescent="0.3">
      <c r="A40" s="1"/>
      <c r="B40" s="1818"/>
      <c r="C40" s="1"/>
      <c r="D40" s="1840"/>
      <c r="E40" s="221" t="s">
        <v>95</v>
      </c>
      <c r="F40" s="222" t="s">
        <v>94</v>
      </c>
      <c r="G40" s="274">
        <f>'G-2 Habitat groups'!$BE$63</f>
        <v>0</v>
      </c>
      <c r="H40" s="1843"/>
      <c r="I40" s="453"/>
      <c r="J40" s="748"/>
      <c r="K40" s="748"/>
      <c r="L40" s="1"/>
      <c r="M40" s="1"/>
      <c r="N40" s="1"/>
      <c r="O40" s="1"/>
      <c r="P40" s="748"/>
      <c r="Q40" s="748"/>
      <c r="R40" s="748"/>
      <c r="S40" s="1056" t="s">
        <v>95</v>
      </c>
      <c r="T40" s="1061">
        <f t="shared" si="3"/>
        <v>0</v>
      </c>
      <c r="U40" s="748"/>
      <c r="V40" s="748"/>
      <c r="W40" s="748"/>
    </row>
    <row r="41" spans="1:23" x14ac:dyDescent="0.3">
      <c r="A41" s="1"/>
      <c r="B41" s="1818"/>
      <c r="C41" s="1"/>
      <c r="D41" s="1840"/>
      <c r="E41" s="221" t="s">
        <v>96</v>
      </c>
      <c r="F41" s="222" t="s">
        <v>94</v>
      </c>
      <c r="G41" s="274">
        <f>'G-2 Habitat groups'!$BE$64</f>
        <v>0</v>
      </c>
      <c r="H41" s="1843"/>
      <c r="I41" s="453"/>
      <c r="J41" s="748"/>
      <c r="K41" s="748"/>
      <c r="L41" s="1"/>
      <c r="M41" s="1"/>
      <c r="N41" s="1"/>
      <c r="O41" s="1"/>
      <c r="P41" s="748"/>
      <c r="Q41" s="748"/>
      <c r="R41" s="748"/>
      <c r="S41" s="1056" t="s">
        <v>96</v>
      </c>
      <c r="T41" s="1061">
        <f t="shared" si="3"/>
        <v>0</v>
      </c>
      <c r="U41" s="748"/>
      <c r="V41" s="748"/>
      <c r="W41" s="748"/>
    </row>
    <row r="42" spans="1:23" x14ac:dyDescent="0.3">
      <c r="A42" s="1"/>
      <c r="B42" s="1818"/>
      <c r="C42" s="1"/>
      <c r="D42" s="1840"/>
      <c r="E42" s="221" t="s">
        <v>97</v>
      </c>
      <c r="F42" s="222" t="s">
        <v>94</v>
      </c>
      <c r="G42" s="274">
        <f>'G-2 Habitat groups'!$BE$65</f>
        <v>0</v>
      </c>
      <c r="H42" s="1843"/>
      <c r="I42" s="453"/>
      <c r="J42" s="748"/>
      <c r="K42" s="748"/>
      <c r="L42" s="748"/>
      <c r="M42" s="748"/>
      <c r="N42" s="748"/>
      <c r="O42" s="748"/>
      <c r="P42" s="748"/>
      <c r="Q42" s="748"/>
      <c r="R42" s="748"/>
      <c r="S42" s="1056" t="s">
        <v>97</v>
      </c>
      <c r="T42" s="1061">
        <f t="shared" si="3"/>
        <v>0</v>
      </c>
      <c r="U42" s="748"/>
      <c r="V42" s="748"/>
      <c r="W42" s="748"/>
    </row>
    <row r="43" spans="1:23" ht="15" thickBot="1" x14ac:dyDescent="0.35">
      <c r="A43" s="1"/>
      <c r="B43" s="1818"/>
      <c r="C43" s="1"/>
      <c r="D43" s="1841"/>
      <c r="E43" s="223" t="s">
        <v>98</v>
      </c>
      <c r="F43" s="224" t="s">
        <v>99</v>
      </c>
      <c r="G43" s="277">
        <f>'G-2 Habitat groups'!$BE$68</f>
        <v>0</v>
      </c>
      <c r="H43" s="1844"/>
      <c r="I43" s="453"/>
      <c r="J43" s="748"/>
      <c r="K43" s="748"/>
      <c r="L43" s="748"/>
      <c r="M43" s="748"/>
      <c r="N43" s="748"/>
      <c r="O43" s="748"/>
      <c r="P43" s="748"/>
      <c r="Q43" s="748"/>
      <c r="R43" s="748"/>
      <c r="S43" s="772" t="s">
        <v>98</v>
      </c>
      <c r="T43" s="1062">
        <f t="shared" si="3"/>
        <v>0</v>
      </c>
      <c r="U43" s="748"/>
      <c r="V43" s="748"/>
      <c r="W43" s="748"/>
    </row>
    <row r="44" spans="1:23" ht="15" thickBot="1" x14ac:dyDescent="0.35">
      <c r="A44" s="1"/>
      <c r="B44" s="1818"/>
      <c r="C44" s="1"/>
      <c r="D44" s="1"/>
      <c r="E44" s="1"/>
      <c r="F44" s="748"/>
      <c r="G44" s="748"/>
      <c r="H44" s="748"/>
      <c r="I44" s="748"/>
      <c r="J44" s="748"/>
      <c r="K44" s="748"/>
      <c r="L44" s="748"/>
      <c r="M44" s="748"/>
      <c r="N44" s="748"/>
      <c r="O44" s="748"/>
      <c r="P44" s="748"/>
      <c r="Q44" s="748"/>
      <c r="R44" s="748"/>
      <c r="S44" s="748"/>
      <c r="T44" s="1063"/>
      <c r="U44" s="748"/>
      <c r="V44" s="748"/>
      <c r="W44" s="748"/>
    </row>
    <row r="45" spans="1:23" x14ac:dyDescent="0.3">
      <c r="A45" s="1"/>
      <c r="B45" s="1818"/>
      <c r="C45" s="1"/>
      <c r="D45" s="1839" t="s">
        <v>56</v>
      </c>
      <c r="E45" s="225" t="s">
        <v>100</v>
      </c>
      <c r="F45" s="226" t="s">
        <v>87</v>
      </c>
      <c r="G45" s="276">
        <f>'G-2 Habitat groups'!$BE$52</f>
        <v>0</v>
      </c>
      <c r="H45" s="1842">
        <f>SUMIF(G45:G55, "&lt;0")</f>
        <v>0</v>
      </c>
      <c r="I45" s="453"/>
      <c r="J45" s="748"/>
      <c r="K45" s="748"/>
      <c r="L45" s="748"/>
      <c r="M45" s="748"/>
      <c r="N45" s="748"/>
      <c r="O45" s="748"/>
      <c r="P45" s="748"/>
      <c r="Q45" s="748"/>
      <c r="R45" s="748"/>
      <c r="S45" s="1057" t="s">
        <v>100</v>
      </c>
      <c r="T45" s="1060">
        <f t="shared" si="3"/>
        <v>0</v>
      </c>
      <c r="U45" s="748"/>
      <c r="V45" s="748"/>
      <c r="W45" s="748"/>
    </row>
    <row r="46" spans="1:23" x14ac:dyDescent="0.3">
      <c r="A46" s="1"/>
      <c r="B46" s="1818"/>
      <c r="C46" s="1"/>
      <c r="D46" s="1840"/>
      <c r="E46" s="221" t="s">
        <v>101</v>
      </c>
      <c r="F46" s="222" t="s">
        <v>87</v>
      </c>
      <c r="G46" s="274">
        <f>'G-2 Habitat groups'!$BE$53</f>
        <v>0</v>
      </c>
      <c r="H46" s="1843"/>
      <c r="I46" s="453"/>
      <c r="J46" s="748"/>
      <c r="K46" s="748"/>
      <c r="L46" s="748"/>
      <c r="M46" s="748"/>
      <c r="N46" s="748"/>
      <c r="O46" s="748"/>
      <c r="P46" s="748"/>
      <c r="Q46" s="748"/>
      <c r="R46" s="748"/>
      <c r="S46" s="1056" t="s">
        <v>101</v>
      </c>
      <c r="T46" s="1061">
        <f t="shared" si="3"/>
        <v>0</v>
      </c>
      <c r="U46" s="748"/>
      <c r="V46" s="748"/>
      <c r="W46" s="748"/>
    </row>
    <row r="47" spans="1:23" x14ac:dyDescent="0.3">
      <c r="A47" s="1"/>
      <c r="B47" s="1818"/>
      <c r="C47" s="1"/>
      <c r="D47" s="1840"/>
      <c r="E47" s="221" t="s">
        <v>102</v>
      </c>
      <c r="F47" s="222" t="s">
        <v>87</v>
      </c>
      <c r="G47" s="274">
        <f>'G-2 Habitat groups'!$BE$57</f>
        <v>0</v>
      </c>
      <c r="H47" s="1843"/>
      <c r="I47" s="453"/>
      <c r="J47" s="748"/>
      <c r="K47" s="748"/>
      <c r="L47" s="748"/>
      <c r="M47" s="748"/>
      <c r="N47" s="748"/>
      <c r="O47" s="748"/>
      <c r="P47" s="748"/>
      <c r="Q47" s="748"/>
      <c r="R47" s="748"/>
      <c r="S47" s="1056" t="s">
        <v>102</v>
      </c>
      <c r="T47" s="1061">
        <f t="shared" si="3"/>
        <v>0</v>
      </c>
      <c r="U47" s="748"/>
      <c r="V47" s="748"/>
      <c r="W47" s="748"/>
    </row>
    <row r="48" spans="1:23" x14ac:dyDescent="0.3">
      <c r="A48" s="1"/>
      <c r="B48" s="1818"/>
      <c r="C48" s="1"/>
      <c r="D48" s="1840"/>
      <c r="E48" s="221" t="s">
        <v>103</v>
      </c>
      <c r="F48" s="222" t="s">
        <v>87</v>
      </c>
      <c r="G48" s="274">
        <f>'G-2 Habitat groups'!$BE$60</f>
        <v>0</v>
      </c>
      <c r="H48" s="1843"/>
      <c r="I48" s="453"/>
      <c r="J48" s="748"/>
      <c r="K48" s="748"/>
      <c r="L48" s="748"/>
      <c r="M48" s="748"/>
      <c r="N48" s="748"/>
      <c r="O48" s="748"/>
      <c r="P48" s="748"/>
      <c r="Q48" s="748"/>
      <c r="R48" s="748"/>
      <c r="S48" s="1056" t="s">
        <v>103</v>
      </c>
      <c r="T48" s="1061">
        <f t="shared" si="3"/>
        <v>0</v>
      </c>
      <c r="U48" s="748"/>
      <c r="V48" s="748"/>
      <c r="W48" s="748"/>
    </row>
    <row r="49" spans="1:23" x14ac:dyDescent="0.3">
      <c r="A49" s="1"/>
      <c r="B49" s="1818"/>
      <c r="C49" s="1"/>
      <c r="D49" s="1840"/>
      <c r="E49" s="221" t="s">
        <v>104</v>
      </c>
      <c r="F49" s="222" t="s">
        <v>105</v>
      </c>
      <c r="G49" s="274">
        <f>'G-2 Habitat groups'!$BE$66</f>
        <v>0</v>
      </c>
      <c r="H49" s="1843"/>
      <c r="I49" s="453"/>
      <c r="J49" s="748"/>
      <c r="K49" s="748"/>
      <c r="L49" s="748"/>
      <c r="M49" s="748"/>
      <c r="N49" s="748"/>
      <c r="O49" s="748"/>
      <c r="P49" s="748"/>
      <c r="Q49" s="748"/>
      <c r="R49" s="748"/>
      <c r="S49" s="1056" t="s">
        <v>104</v>
      </c>
      <c r="T49" s="1061">
        <f t="shared" si="3"/>
        <v>0</v>
      </c>
      <c r="U49" s="748"/>
      <c r="V49" s="748"/>
      <c r="W49" s="748"/>
    </row>
    <row r="50" spans="1:23" x14ac:dyDescent="0.3">
      <c r="A50" s="1"/>
      <c r="B50" s="1818"/>
      <c r="C50" s="1"/>
      <c r="D50" s="1840"/>
      <c r="E50" s="221" t="s">
        <v>106</v>
      </c>
      <c r="F50" s="222" t="s">
        <v>105</v>
      </c>
      <c r="G50" s="274">
        <f>'G-2 Habitat groups'!$BE$67</f>
        <v>0</v>
      </c>
      <c r="H50" s="1843"/>
      <c r="I50" s="453"/>
      <c r="J50" s="748"/>
      <c r="K50" s="748"/>
      <c r="L50" s="748"/>
      <c r="M50" s="748"/>
      <c r="N50" s="748"/>
      <c r="O50" s="748"/>
      <c r="P50" s="748"/>
      <c r="Q50" s="748"/>
      <c r="R50" s="748"/>
      <c r="S50" s="1056" t="s">
        <v>106</v>
      </c>
      <c r="T50" s="1061">
        <f t="shared" si="3"/>
        <v>0</v>
      </c>
      <c r="U50" s="748"/>
      <c r="V50" s="748"/>
      <c r="W50" s="748"/>
    </row>
    <row r="51" spans="1:23" x14ac:dyDescent="0.3">
      <c r="A51" s="1"/>
      <c r="B51" s="1818"/>
      <c r="C51" s="1"/>
      <c r="D51" s="1840"/>
      <c r="E51" s="221" t="s">
        <v>107</v>
      </c>
      <c r="F51" s="222" t="s">
        <v>105</v>
      </c>
      <c r="G51" s="274">
        <f>'G-2 Habitat groups'!$BE$69</f>
        <v>0</v>
      </c>
      <c r="H51" s="1843"/>
      <c r="I51" s="453"/>
      <c r="J51" s="748"/>
      <c r="K51" s="748"/>
      <c r="L51" s="748"/>
      <c r="M51" s="748"/>
      <c r="N51" s="748"/>
      <c r="O51" s="748"/>
      <c r="P51" s="748"/>
      <c r="Q51" s="748"/>
      <c r="R51" s="748"/>
      <c r="S51" s="1056" t="s">
        <v>107</v>
      </c>
      <c r="T51" s="1061">
        <f t="shared" si="3"/>
        <v>0</v>
      </c>
      <c r="U51" s="748"/>
      <c r="V51" s="748"/>
      <c r="W51" s="748"/>
    </row>
    <row r="52" spans="1:23" x14ac:dyDescent="0.3">
      <c r="A52" s="1"/>
      <c r="B52" s="1818"/>
      <c r="C52" s="1"/>
      <c r="D52" s="1840"/>
      <c r="E52" s="221" t="s">
        <v>108</v>
      </c>
      <c r="F52" s="222" t="s">
        <v>105</v>
      </c>
      <c r="G52" s="274">
        <f>'G-2 Habitat groups'!$BE$70</f>
        <v>0</v>
      </c>
      <c r="H52" s="1843"/>
      <c r="I52" s="453"/>
      <c r="J52" s="748"/>
      <c r="K52" s="748"/>
      <c r="L52" s="748"/>
      <c r="M52" s="748"/>
      <c r="N52" s="748"/>
      <c r="O52" s="748"/>
      <c r="P52" s="748"/>
      <c r="Q52" s="748"/>
      <c r="R52" s="748"/>
      <c r="S52" s="1056" t="s">
        <v>108</v>
      </c>
      <c r="T52" s="1061">
        <f t="shared" si="3"/>
        <v>0</v>
      </c>
      <c r="U52" s="748"/>
      <c r="V52" s="748"/>
      <c r="W52" s="748"/>
    </row>
    <row r="53" spans="1:23" x14ac:dyDescent="0.3">
      <c r="A53" s="1"/>
      <c r="B53" s="1818"/>
      <c r="C53" s="1"/>
      <c r="D53" s="1840"/>
      <c r="E53" s="221" t="s">
        <v>109</v>
      </c>
      <c r="F53" s="222" t="s">
        <v>105</v>
      </c>
      <c r="G53" s="274">
        <f>'G-2 Habitat groups'!$BE$71</f>
        <v>0</v>
      </c>
      <c r="H53" s="1843"/>
      <c r="I53" s="453"/>
      <c r="J53" s="748"/>
      <c r="K53" s="748"/>
      <c r="L53" s="748"/>
      <c r="M53" s="748"/>
      <c r="N53" s="748"/>
      <c r="O53" s="748"/>
      <c r="P53" s="748"/>
      <c r="Q53" s="748"/>
      <c r="R53" s="748"/>
      <c r="S53" s="1056" t="s">
        <v>109</v>
      </c>
      <c r="T53" s="1061">
        <f t="shared" si="3"/>
        <v>0</v>
      </c>
      <c r="U53" s="748"/>
      <c r="V53" s="748"/>
      <c r="W53" s="748"/>
    </row>
    <row r="54" spans="1:23" x14ac:dyDescent="0.3">
      <c r="A54" s="1"/>
      <c r="B54" s="1818"/>
      <c r="C54" s="1"/>
      <c r="D54" s="1840"/>
      <c r="E54" s="221" t="s">
        <v>110</v>
      </c>
      <c r="F54" s="222" t="s">
        <v>105</v>
      </c>
      <c r="G54" s="274">
        <f>'G-2 Habitat groups'!$BE$72</f>
        <v>0</v>
      </c>
      <c r="H54" s="1843"/>
      <c r="I54" s="453"/>
      <c r="J54" s="748"/>
      <c r="K54" s="748"/>
      <c r="L54" s="748"/>
      <c r="M54" s="748"/>
      <c r="N54" s="748"/>
      <c r="O54" s="748"/>
      <c r="P54" s="748"/>
      <c r="Q54" s="748"/>
      <c r="R54" s="748"/>
      <c r="S54" s="1056" t="s">
        <v>110</v>
      </c>
      <c r="T54" s="1061">
        <f t="shared" si="3"/>
        <v>0</v>
      </c>
      <c r="U54" s="748"/>
      <c r="V54" s="748"/>
      <c r="W54" s="748"/>
    </row>
    <row r="55" spans="1:23" ht="15" thickBot="1" x14ac:dyDescent="0.35">
      <c r="A55" s="1"/>
      <c r="B55" s="1818"/>
      <c r="C55" s="1"/>
      <c r="D55" s="1841"/>
      <c r="E55" s="223" t="s">
        <v>111</v>
      </c>
      <c r="F55" s="224" t="s">
        <v>105</v>
      </c>
      <c r="G55" s="277">
        <f>'G-2 Habitat groups'!$BE$73</f>
        <v>0</v>
      </c>
      <c r="H55" s="1844"/>
      <c r="I55" s="453"/>
      <c r="J55" s="748"/>
      <c r="K55" s="748"/>
      <c r="L55" s="748"/>
      <c r="M55" s="748"/>
      <c r="N55" s="748"/>
      <c r="O55" s="748"/>
      <c r="P55" s="748"/>
      <c r="Q55" s="748"/>
      <c r="R55" s="748"/>
      <c r="S55" s="772" t="s">
        <v>111</v>
      </c>
      <c r="T55" s="1062">
        <f t="shared" si="3"/>
        <v>0</v>
      </c>
      <c r="U55" s="748"/>
      <c r="V55" s="748"/>
      <c r="W55" s="748"/>
    </row>
    <row r="56" spans="1:23" ht="15" thickBot="1" x14ac:dyDescent="0.35">
      <c r="A56" s="1"/>
      <c r="B56" s="1818"/>
      <c r="C56" s="1"/>
      <c r="D56" s="1"/>
      <c r="E56" s="1"/>
      <c r="F56" s="748"/>
      <c r="G56" s="748"/>
      <c r="H56" s="748"/>
      <c r="I56" s="748"/>
      <c r="J56" s="748"/>
      <c r="K56" s="748"/>
      <c r="L56" s="748"/>
      <c r="M56" s="748"/>
      <c r="N56" s="748"/>
      <c r="O56" s="748"/>
      <c r="P56" s="748"/>
      <c r="Q56" s="748"/>
      <c r="R56" s="748"/>
      <c r="S56" s="748"/>
      <c r="T56" s="1063"/>
      <c r="U56" s="748"/>
      <c r="V56" s="748"/>
      <c r="W56" s="748"/>
    </row>
    <row r="57" spans="1:23" x14ac:dyDescent="0.3">
      <c r="A57" s="1"/>
      <c r="B57" s="1818"/>
      <c r="C57" s="1"/>
      <c r="D57" s="1839" t="s">
        <v>55</v>
      </c>
      <c r="E57" s="225" t="s">
        <v>112</v>
      </c>
      <c r="F57" s="226" t="s">
        <v>78</v>
      </c>
      <c r="G57" s="276">
        <f>'G-2 Habitat groups'!$BE$32</f>
        <v>0</v>
      </c>
      <c r="H57" s="1842">
        <f>SUMIF(G57:G63, "&lt;0")</f>
        <v>0</v>
      </c>
      <c r="I57" s="453"/>
      <c r="J57" s="748"/>
      <c r="K57" s="748"/>
      <c r="L57" s="748"/>
      <c r="M57" s="748"/>
      <c r="N57" s="748"/>
      <c r="O57" s="748"/>
      <c r="P57" s="748"/>
      <c r="Q57" s="748"/>
      <c r="R57" s="748"/>
      <c r="S57" s="1057" t="s">
        <v>112</v>
      </c>
      <c r="T57" s="1060">
        <f t="shared" si="3"/>
        <v>0</v>
      </c>
      <c r="U57" s="748"/>
      <c r="V57" s="748"/>
      <c r="W57" s="748"/>
    </row>
    <row r="58" spans="1:23" x14ac:dyDescent="0.3">
      <c r="A58" s="1"/>
      <c r="B58" s="1818"/>
      <c r="C58" s="1"/>
      <c r="D58" s="1840"/>
      <c r="E58" s="221" t="s">
        <v>113</v>
      </c>
      <c r="F58" s="222" t="s">
        <v>78</v>
      </c>
      <c r="G58" s="274">
        <f>'G-2 Habitat groups'!$BE$33</f>
        <v>0</v>
      </c>
      <c r="H58" s="1843"/>
      <c r="I58" s="453"/>
      <c r="J58" s="748"/>
      <c r="K58" s="748"/>
      <c r="L58" s="748"/>
      <c r="M58" s="748"/>
      <c r="N58" s="748"/>
      <c r="O58" s="748"/>
      <c r="P58" s="748"/>
      <c r="Q58" s="748"/>
      <c r="R58" s="748"/>
      <c r="S58" s="1056" t="s">
        <v>113</v>
      </c>
      <c r="T58" s="1061">
        <f t="shared" si="3"/>
        <v>0</v>
      </c>
      <c r="U58" s="748"/>
      <c r="V58" s="748"/>
      <c r="W58" s="748"/>
    </row>
    <row r="59" spans="1:23" x14ac:dyDescent="0.3">
      <c r="A59" s="1"/>
      <c r="B59" s="1818"/>
      <c r="C59" s="1"/>
      <c r="D59" s="1840"/>
      <c r="E59" s="221" t="s">
        <v>114</v>
      </c>
      <c r="F59" s="222" t="s">
        <v>78</v>
      </c>
      <c r="G59" s="274">
        <f>'G-2 Habitat groups'!$BE$34</f>
        <v>0</v>
      </c>
      <c r="H59" s="1843"/>
      <c r="I59" s="453"/>
      <c r="J59" s="748"/>
      <c r="K59" s="748"/>
      <c r="L59" s="748"/>
      <c r="M59" s="748"/>
      <c r="N59" s="748"/>
      <c r="O59" s="748"/>
      <c r="P59" s="748"/>
      <c r="Q59" s="748"/>
      <c r="R59" s="748"/>
      <c r="S59" s="1056" t="s">
        <v>114</v>
      </c>
      <c r="T59" s="1061">
        <f t="shared" si="3"/>
        <v>0</v>
      </c>
      <c r="U59" s="748"/>
      <c r="V59" s="748"/>
      <c r="W59" s="748"/>
    </row>
    <row r="60" spans="1:23" x14ac:dyDescent="0.3">
      <c r="A60" s="1"/>
      <c r="B60" s="1818"/>
      <c r="C60" s="1"/>
      <c r="D60" s="1840"/>
      <c r="E60" s="221" t="s">
        <v>115</v>
      </c>
      <c r="F60" s="222" t="s">
        <v>116</v>
      </c>
      <c r="G60" s="274">
        <f>'G-2 Habitat groups'!$BE$35</f>
        <v>0</v>
      </c>
      <c r="H60" s="1843"/>
      <c r="I60" s="453"/>
      <c r="J60" s="748"/>
      <c r="K60" s="748"/>
      <c r="L60" s="748"/>
      <c r="M60" s="748"/>
      <c r="N60" s="748"/>
      <c r="O60" s="748"/>
      <c r="P60" s="748"/>
      <c r="Q60" s="748"/>
      <c r="R60" s="748"/>
      <c r="S60" s="1056" t="s">
        <v>115</v>
      </c>
      <c r="T60" s="1061">
        <f t="shared" si="3"/>
        <v>0</v>
      </c>
      <c r="U60" s="748"/>
      <c r="V60" s="748"/>
      <c r="W60" s="748"/>
    </row>
    <row r="61" spans="1:23" x14ac:dyDescent="0.3">
      <c r="A61" s="1"/>
      <c r="B61" s="1818"/>
      <c r="C61" s="1"/>
      <c r="D61" s="1840"/>
      <c r="E61" s="221" t="s">
        <v>117</v>
      </c>
      <c r="F61" s="222" t="s">
        <v>116</v>
      </c>
      <c r="G61" s="274">
        <f>'G-2 Habitat groups'!$BE$36</f>
        <v>0</v>
      </c>
      <c r="H61" s="1843"/>
      <c r="I61" s="453"/>
      <c r="J61" s="748"/>
      <c r="K61" s="748"/>
      <c r="L61" s="748"/>
      <c r="M61" s="748"/>
      <c r="N61" s="748"/>
      <c r="O61" s="748"/>
      <c r="P61" s="748"/>
      <c r="Q61" s="748"/>
      <c r="R61" s="748"/>
      <c r="S61" s="1056" t="s">
        <v>117</v>
      </c>
      <c r="T61" s="1061">
        <f t="shared" si="3"/>
        <v>0</v>
      </c>
      <c r="U61" s="748"/>
      <c r="V61" s="748"/>
      <c r="W61" s="748"/>
    </row>
    <row r="62" spans="1:23" x14ac:dyDescent="0.3">
      <c r="A62" s="1"/>
      <c r="B62" s="1818"/>
      <c r="C62" s="1"/>
      <c r="D62" s="1840"/>
      <c r="E62" s="221" t="s">
        <v>118</v>
      </c>
      <c r="F62" s="222" t="s">
        <v>116</v>
      </c>
      <c r="G62" s="274">
        <f>'G-2 Habitat groups'!$BE$37</f>
        <v>0</v>
      </c>
      <c r="H62" s="1843"/>
      <c r="I62" s="453"/>
      <c r="J62" s="748"/>
      <c r="K62" s="748"/>
      <c r="L62" s="748"/>
      <c r="M62" s="748"/>
      <c r="N62" s="748"/>
      <c r="O62" s="748"/>
      <c r="P62" s="748"/>
      <c r="Q62" s="748"/>
      <c r="R62" s="748"/>
      <c r="S62" s="1056" t="s">
        <v>118</v>
      </c>
      <c r="T62" s="1061">
        <f t="shared" si="3"/>
        <v>0</v>
      </c>
      <c r="U62" s="748"/>
      <c r="V62" s="748"/>
      <c r="W62" s="748"/>
    </row>
    <row r="63" spans="1:23" ht="15" thickBot="1" x14ac:dyDescent="0.35">
      <c r="A63" s="1"/>
      <c r="B63" s="1818"/>
      <c r="C63" s="1"/>
      <c r="D63" s="1841"/>
      <c r="E63" s="223" t="s">
        <v>119</v>
      </c>
      <c r="F63" s="224" t="s">
        <v>120</v>
      </c>
      <c r="G63" s="277">
        <f>'G-2 Habitat groups'!$BE$50</f>
        <v>0</v>
      </c>
      <c r="H63" s="1844"/>
      <c r="I63" s="453"/>
      <c r="J63" s="748"/>
      <c r="K63" s="748"/>
      <c r="L63" s="748"/>
      <c r="M63" s="748"/>
      <c r="N63" s="748"/>
      <c r="O63" s="748"/>
      <c r="P63" s="748"/>
      <c r="Q63" s="748"/>
      <c r="R63" s="748"/>
      <c r="S63" s="772" t="s">
        <v>119</v>
      </c>
      <c r="T63" s="1062">
        <f t="shared" si="3"/>
        <v>0</v>
      </c>
      <c r="U63" s="748"/>
      <c r="V63" s="748"/>
      <c r="W63" s="748"/>
    </row>
    <row r="64" spans="1:23" ht="15" thickBot="1" x14ac:dyDescent="0.35">
      <c r="A64" s="1"/>
      <c r="B64" s="1818"/>
      <c r="C64" s="1"/>
      <c r="D64" s="509"/>
      <c r="E64" s="1"/>
      <c r="F64" s="748"/>
      <c r="G64" s="748"/>
      <c r="H64" s="748"/>
      <c r="I64" s="748"/>
      <c r="J64" s="748"/>
      <c r="K64" s="748"/>
      <c r="L64" s="748"/>
      <c r="M64" s="748"/>
      <c r="N64" s="748"/>
      <c r="O64" s="748"/>
      <c r="P64" s="748"/>
      <c r="Q64" s="748"/>
      <c r="R64" s="748"/>
      <c r="S64" s="1"/>
      <c r="T64" s="1063"/>
      <c r="U64" s="748"/>
      <c r="V64" s="748"/>
      <c r="W64" s="748"/>
    </row>
    <row r="65" spans="1:23" x14ac:dyDescent="0.3">
      <c r="A65" s="1"/>
      <c r="B65" s="1818"/>
      <c r="C65" s="1"/>
      <c r="D65" s="1839" t="s">
        <v>54</v>
      </c>
      <c r="E65" s="225" t="s">
        <v>121</v>
      </c>
      <c r="F65" s="226" t="s">
        <v>78</v>
      </c>
      <c r="G65" s="276">
        <f>'G-2 Habitat groups'!$BE$30</f>
        <v>0</v>
      </c>
      <c r="H65" s="1826">
        <f>SUMIF(G65:G66, "&lt;0")</f>
        <v>0</v>
      </c>
      <c r="I65" s="491"/>
      <c r="J65" s="748"/>
      <c r="K65" s="748"/>
      <c r="L65" s="748"/>
      <c r="M65" s="748"/>
      <c r="N65" s="748"/>
      <c r="O65" s="748"/>
      <c r="P65" s="748"/>
      <c r="Q65" s="748"/>
      <c r="R65" s="748"/>
      <c r="S65" s="1057" t="s">
        <v>121</v>
      </c>
      <c r="T65" s="1060">
        <f t="shared" si="3"/>
        <v>0</v>
      </c>
      <c r="U65" s="748"/>
      <c r="V65" s="748"/>
      <c r="W65" s="748"/>
    </row>
    <row r="66" spans="1:23" ht="15" thickBot="1" x14ac:dyDescent="0.35">
      <c r="A66" s="1"/>
      <c r="B66" s="1819"/>
      <c r="C66" s="1"/>
      <c r="D66" s="1841"/>
      <c r="E66" s="223" t="s">
        <v>122</v>
      </c>
      <c r="F66" s="224" t="s">
        <v>123</v>
      </c>
      <c r="G66" s="277">
        <f>'G-2 Habitat groups'!$BE$51</f>
        <v>0</v>
      </c>
      <c r="H66" s="1827"/>
      <c r="I66" s="491"/>
      <c r="J66" s="748"/>
      <c r="K66" s="748"/>
      <c r="L66" s="748"/>
      <c r="M66" s="748"/>
      <c r="N66" s="748"/>
      <c r="O66" s="748"/>
      <c r="P66" s="748"/>
      <c r="Q66" s="748"/>
      <c r="R66" s="748"/>
      <c r="S66" s="772" t="s">
        <v>122</v>
      </c>
      <c r="T66" s="1062">
        <f t="shared" si="3"/>
        <v>0</v>
      </c>
      <c r="U66" s="748"/>
      <c r="V66" s="748"/>
      <c r="W66" s="748"/>
    </row>
    <row r="67" spans="1:23" ht="15" thickBot="1" x14ac:dyDescent="0.35">
      <c r="A67" s="1"/>
      <c r="B67" s="1"/>
      <c r="C67" s="1"/>
      <c r="D67" s="1"/>
      <c r="E67" s="1"/>
      <c r="F67" s="748"/>
      <c r="G67" s="748"/>
      <c r="H67" s="748"/>
      <c r="I67" s="748"/>
      <c r="J67" s="748"/>
      <c r="K67" s="748"/>
      <c r="L67" s="748"/>
      <c r="M67" s="748"/>
      <c r="N67" s="748"/>
      <c r="O67" s="748"/>
      <c r="P67" s="748"/>
      <c r="Q67" s="748"/>
      <c r="R67" s="748"/>
      <c r="S67" s="748"/>
      <c r="T67" s="748"/>
      <c r="U67" s="748"/>
      <c r="V67" s="748"/>
      <c r="W67" s="748"/>
    </row>
    <row r="68" spans="1:23" ht="33.6" customHeight="1" x14ac:dyDescent="0.3">
      <c r="A68" s="1"/>
      <c r="B68" s="1"/>
      <c r="C68" s="1"/>
      <c r="D68" s="1"/>
      <c r="E68" s="1"/>
      <c r="F68" s="748"/>
      <c r="G68" s="748"/>
      <c r="H68" s="748"/>
      <c r="I68" s="748"/>
      <c r="J68" s="795" t="s">
        <v>124</v>
      </c>
      <c r="K68" s="1828" t="s">
        <v>125</v>
      </c>
      <c r="L68" s="1829"/>
      <c r="M68" s="1830"/>
      <c r="N68" s="748"/>
      <c r="O68" s="748"/>
      <c r="P68" s="748"/>
      <c r="Q68" s="748"/>
      <c r="R68" s="748"/>
      <c r="S68" s="748"/>
      <c r="T68" s="748"/>
      <c r="U68" s="748"/>
      <c r="V68" s="748"/>
      <c r="W68" s="748"/>
    </row>
    <row r="69" spans="1:23" ht="28.2" customHeight="1" x14ac:dyDescent="0.3">
      <c r="A69" s="1"/>
      <c r="B69" s="1"/>
      <c r="C69" s="1"/>
      <c r="D69" s="1"/>
      <c r="E69" s="1"/>
      <c r="F69" s="748"/>
      <c r="G69" s="748"/>
      <c r="H69" s="748"/>
      <c r="I69" s="748"/>
      <c r="J69" s="796" t="s">
        <v>126</v>
      </c>
      <c r="K69" s="1831" t="s">
        <v>127</v>
      </c>
      <c r="L69" s="1832"/>
      <c r="M69" s="1833"/>
      <c r="N69" s="748"/>
      <c r="O69" s="748"/>
      <c r="P69" s="748"/>
      <c r="Q69" s="748"/>
      <c r="R69" s="748"/>
      <c r="S69" s="748"/>
      <c r="T69" s="748"/>
      <c r="U69" s="748"/>
      <c r="V69" s="748"/>
      <c r="W69" s="748"/>
    </row>
    <row r="70" spans="1:23" ht="32.1" customHeight="1" x14ac:dyDescent="0.3">
      <c r="A70" s="1"/>
      <c r="B70" s="1"/>
      <c r="C70" s="1"/>
      <c r="D70" s="1"/>
      <c r="E70" s="1"/>
      <c r="F70" s="748"/>
      <c r="G70" s="748"/>
      <c r="H70" s="748"/>
      <c r="I70" s="748"/>
      <c r="J70" s="796" t="s">
        <v>128</v>
      </c>
      <c r="K70" s="1831" t="s">
        <v>129</v>
      </c>
      <c r="L70" s="1832"/>
      <c r="M70" s="1833"/>
      <c r="N70" s="748"/>
      <c r="O70" s="748"/>
      <c r="P70" s="748"/>
      <c r="Q70" s="748"/>
      <c r="R70" s="748"/>
      <c r="S70" s="748"/>
      <c r="T70" s="748"/>
      <c r="U70" s="748"/>
      <c r="V70" s="748"/>
      <c r="W70" s="748"/>
    </row>
    <row r="71" spans="1:23" ht="32.1" customHeight="1" x14ac:dyDescent="0.3">
      <c r="A71" s="1"/>
      <c r="B71" s="1"/>
      <c r="C71" s="1"/>
      <c r="D71" s="1"/>
      <c r="E71" s="1"/>
      <c r="F71" s="748"/>
      <c r="G71" s="748"/>
      <c r="H71" s="748"/>
      <c r="I71" s="748"/>
      <c r="J71" s="796" t="s">
        <v>130</v>
      </c>
      <c r="K71" s="1834" t="s">
        <v>131</v>
      </c>
      <c r="L71" s="1834"/>
      <c r="M71" s="1835"/>
      <c r="N71" s="748"/>
      <c r="O71" s="748"/>
      <c r="P71" s="748"/>
      <c r="Q71" s="748"/>
      <c r="R71" s="748"/>
      <c r="S71" s="748"/>
      <c r="T71" s="748"/>
      <c r="U71" s="748"/>
      <c r="V71" s="748"/>
      <c r="W71" s="748"/>
    </row>
    <row r="72" spans="1:23" ht="29.7" customHeight="1" thickBot="1" x14ac:dyDescent="0.35">
      <c r="A72" s="1"/>
      <c r="B72" s="1"/>
      <c r="C72" s="1"/>
      <c r="D72" s="1"/>
      <c r="E72" s="1"/>
      <c r="F72" s="748"/>
      <c r="G72" s="748"/>
      <c r="H72" s="748"/>
      <c r="I72" s="748"/>
      <c r="J72" s="797" t="s">
        <v>132</v>
      </c>
      <c r="K72" s="1836" t="s">
        <v>133</v>
      </c>
      <c r="L72" s="1836"/>
      <c r="M72" s="1837"/>
      <c r="N72" s="748"/>
      <c r="O72" s="748"/>
      <c r="P72" s="748"/>
      <c r="Q72" s="748"/>
      <c r="R72" s="748"/>
      <c r="S72" s="748"/>
      <c r="T72" s="748"/>
      <c r="U72" s="748"/>
      <c r="V72" s="748"/>
      <c r="W72" s="748"/>
    </row>
    <row r="73" spans="1:23" ht="15.6" customHeight="1" x14ac:dyDescent="0.3">
      <c r="A73" s="1"/>
      <c r="B73" s="1"/>
      <c r="C73" s="1"/>
      <c r="D73" s="1"/>
      <c r="E73" s="1"/>
      <c r="F73" s="748"/>
      <c r="G73" s="748"/>
      <c r="H73" s="748"/>
      <c r="I73" s="748"/>
      <c r="J73" s="748"/>
      <c r="K73" s="748"/>
      <c r="L73" s="748"/>
      <c r="M73" s="748"/>
      <c r="N73" s="748"/>
      <c r="O73" s="748"/>
      <c r="P73" s="748"/>
      <c r="Q73" s="748"/>
      <c r="R73" s="748"/>
      <c r="S73" s="748"/>
      <c r="T73" s="748"/>
      <c r="U73" s="748"/>
      <c r="V73" s="748"/>
      <c r="W73" s="748"/>
    </row>
    <row r="74" spans="1:23" hidden="1" x14ac:dyDescent="0.3">
      <c r="A74" s="1"/>
      <c r="B74" s="1"/>
      <c r="C74" s="1"/>
      <c r="D74" s="1"/>
      <c r="E74" s="1" t="s">
        <v>134</v>
      </c>
      <c r="F74" s="748"/>
      <c r="G74" s="748"/>
      <c r="H74" s="748"/>
      <c r="I74" s="748"/>
      <c r="J74" s="1838"/>
      <c r="K74" s="1838"/>
      <c r="L74" s="1838"/>
      <c r="M74" s="748"/>
      <c r="N74" s="748"/>
      <c r="O74" s="748"/>
      <c r="P74" s="748"/>
      <c r="Q74" s="748"/>
      <c r="R74" s="748"/>
      <c r="S74" s="748"/>
      <c r="T74" s="748"/>
      <c r="U74" s="748"/>
      <c r="V74" s="748"/>
      <c r="W74" s="748"/>
    </row>
    <row r="75" spans="1:23" hidden="1" x14ac:dyDescent="0.3">
      <c r="A75" s="1"/>
      <c r="B75" s="1"/>
      <c r="C75" s="1" t="s">
        <v>51</v>
      </c>
      <c r="D75" s="1"/>
      <c r="E75" s="748" t="s">
        <v>135</v>
      </c>
      <c r="F75" s="748" t="s">
        <v>63</v>
      </c>
      <c r="G75" s="748" t="s">
        <v>136</v>
      </c>
      <c r="H75" s="752"/>
      <c r="I75" s="752"/>
      <c r="J75" s="748"/>
      <c r="K75" s="748"/>
      <c r="L75" s="748"/>
      <c r="M75" s="748"/>
      <c r="N75" s="748"/>
      <c r="O75" s="748"/>
      <c r="P75" s="748"/>
      <c r="Q75" s="748"/>
      <c r="R75" s="748"/>
      <c r="S75" s="748"/>
      <c r="T75" s="748"/>
      <c r="U75" s="748"/>
      <c r="V75" s="748"/>
      <c r="W75" s="748"/>
    </row>
    <row r="76" spans="1:23" hidden="1" x14ac:dyDescent="0.3">
      <c r="A76" s="1"/>
      <c r="B76" s="1"/>
      <c r="C76" s="748" t="s">
        <v>54</v>
      </c>
      <c r="D76" s="748"/>
      <c r="E76" s="753" t="str">
        <f>'G-2 Habitat groups'!AU30</f>
        <v>Grassland - Traditional orchards</v>
      </c>
      <c r="F76" s="754" t="str">
        <f>'G-2 Habitat groups'!AV30</f>
        <v>Grassland</v>
      </c>
      <c r="G76" s="755">
        <f>'G-2 Habitat groups'!$BE$30</f>
        <v>0</v>
      </c>
      <c r="H76" s="1814"/>
      <c r="I76" s="756"/>
      <c r="J76" s="748"/>
      <c r="K76" s="748"/>
      <c r="L76" s="748"/>
      <c r="M76" s="1"/>
      <c r="N76" s="1"/>
      <c r="O76" s="1"/>
      <c r="P76" s="1"/>
      <c r="Q76" s="748"/>
      <c r="R76" s="748"/>
      <c r="S76" s="748"/>
      <c r="T76" s="748"/>
      <c r="U76" s="748"/>
      <c r="V76" s="748"/>
      <c r="W76" s="748"/>
    </row>
    <row r="77" spans="1:23" hidden="1" x14ac:dyDescent="0.3">
      <c r="A77" s="1"/>
      <c r="B77" s="1"/>
      <c r="C77" s="748" t="s">
        <v>57</v>
      </c>
      <c r="D77" s="748"/>
      <c r="E77" s="753" t="str">
        <f>'G-2 Habitat groups'!AU31</f>
        <v>Grassland - Floodplain wetland mosaic and CFGM</v>
      </c>
      <c r="F77" s="754" t="str">
        <f>'G-2 Habitat groups'!AV31</f>
        <v>Grassland</v>
      </c>
      <c r="G77" s="755">
        <f>'G-2 Habitat groups'!$BE$31</f>
        <v>0</v>
      </c>
      <c r="H77" s="1814"/>
      <c r="I77" s="756"/>
      <c r="J77" s="748"/>
      <c r="K77" s="748"/>
      <c r="L77" s="748"/>
      <c r="M77" s="1"/>
      <c r="N77" s="1"/>
      <c r="O77" s="1"/>
      <c r="P77" s="1"/>
      <c r="Q77" s="748"/>
      <c r="R77" s="748"/>
      <c r="S77" s="748"/>
      <c r="T77" s="748"/>
      <c r="U77" s="748"/>
      <c r="V77" s="748"/>
      <c r="W77" s="748"/>
    </row>
    <row r="78" spans="1:23" hidden="1" x14ac:dyDescent="0.3">
      <c r="A78" s="1"/>
      <c r="B78" s="1"/>
      <c r="C78" s="748" t="s">
        <v>55</v>
      </c>
      <c r="D78" s="748"/>
      <c r="E78" s="753" t="str">
        <f>'G-2 Habitat groups'!AU32</f>
        <v>Grassland - Lowland calcareous grassland</v>
      </c>
      <c r="F78" s="754" t="str">
        <f>'G-2 Habitat groups'!AV32</f>
        <v>Grassland</v>
      </c>
      <c r="G78" s="755">
        <f>'G-2 Habitat groups'!$BE$32</f>
        <v>0</v>
      </c>
      <c r="H78" s="1814"/>
      <c r="I78" s="756"/>
      <c r="J78" s="748"/>
      <c r="K78" s="748"/>
      <c r="L78" s="748"/>
      <c r="M78" s="1"/>
      <c r="N78" s="1"/>
      <c r="O78" s="1"/>
      <c r="P78" s="1"/>
      <c r="Q78" s="748"/>
      <c r="R78" s="748"/>
      <c r="S78" s="748"/>
      <c r="T78" s="748"/>
      <c r="U78" s="748"/>
      <c r="V78" s="748"/>
      <c r="W78" s="748"/>
    </row>
    <row r="79" spans="1:23" hidden="1" x14ac:dyDescent="0.3">
      <c r="A79" s="1"/>
      <c r="B79" s="1"/>
      <c r="C79" s="748" t="s">
        <v>55</v>
      </c>
      <c r="D79" s="748"/>
      <c r="E79" s="753" t="str">
        <f>'G-2 Habitat groups'!AU33</f>
        <v>Grassland - Tall herb communities (H6430)</v>
      </c>
      <c r="F79" s="754" t="str">
        <f>'G-2 Habitat groups'!AV33</f>
        <v>Grassland</v>
      </c>
      <c r="G79" s="755">
        <f>'G-2 Habitat groups'!$BE$33</f>
        <v>0</v>
      </c>
      <c r="H79" s="1814"/>
      <c r="I79" s="756"/>
      <c r="J79" s="748"/>
      <c r="K79" s="748"/>
      <c r="L79" s="748"/>
      <c r="M79" s="1"/>
      <c r="N79" s="1"/>
      <c r="O79" s="1"/>
      <c r="P79" s="1"/>
      <c r="Q79" s="748"/>
      <c r="R79" s="748"/>
      <c r="S79" s="748"/>
      <c r="T79" s="748"/>
      <c r="U79" s="748"/>
      <c r="V79" s="748"/>
      <c r="W79" s="748"/>
    </row>
    <row r="80" spans="1:23" hidden="1" x14ac:dyDescent="0.3">
      <c r="A80" s="1"/>
      <c r="B80" s="1"/>
      <c r="C80" s="748" t="s">
        <v>55</v>
      </c>
      <c r="D80" s="748"/>
      <c r="E80" s="753" t="str">
        <f>'G-2 Habitat groups'!AU34</f>
        <v>Grassland - Upland calcareous grassland</v>
      </c>
      <c r="F80" s="754" t="str">
        <f>'G-2 Habitat groups'!AV34</f>
        <v>Grassland</v>
      </c>
      <c r="G80" s="755">
        <f>'G-2 Habitat groups'!$BE$34</f>
        <v>0</v>
      </c>
      <c r="H80" s="1814"/>
      <c r="I80" s="756"/>
      <c r="J80" s="748"/>
      <c r="K80" s="748"/>
      <c r="L80" s="748"/>
      <c r="M80" s="1"/>
      <c r="N80" s="1"/>
      <c r="O80" s="1"/>
      <c r="P80" s="1"/>
      <c r="Q80" s="748"/>
      <c r="R80" s="748"/>
      <c r="S80" s="748"/>
      <c r="T80" s="748"/>
      <c r="U80" s="748"/>
      <c r="V80" s="748"/>
      <c r="W80" s="748"/>
    </row>
    <row r="81" spans="1:23" hidden="1" x14ac:dyDescent="0.3">
      <c r="A81" s="1"/>
      <c r="B81" s="1"/>
      <c r="C81" s="748" t="s">
        <v>55</v>
      </c>
      <c r="D81" s="748"/>
      <c r="E81" s="753" t="str">
        <f>'G-2 Habitat groups'!AU35</f>
        <v>Heathland and shrub - Lowland Heathland</v>
      </c>
      <c r="F81" s="754" t="str">
        <f>'G-2 Habitat groups'!AV35</f>
        <v>Heathland and shrub</v>
      </c>
      <c r="G81" s="755">
        <f>'G-2 Habitat groups'!$BE$35</f>
        <v>0</v>
      </c>
      <c r="H81" s="1814"/>
      <c r="I81" s="756"/>
      <c r="J81" s="748"/>
      <c r="K81" s="748"/>
      <c r="L81" s="748"/>
      <c r="M81" s="1"/>
      <c r="N81" s="1"/>
      <c r="O81" s="1"/>
      <c r="P81" s="1"/>
      <c r="Q81" s="748"/>
      <c r="R81" s="748"/>
      <c r="S81" s="748"/>
      <c r="T81" s="748"/>
      <c r="U81" s="748"/>
      <c r="V81" s="748"/>
      <c r="W81" s="748"/>
    </row>
    <row r="82" spans="1:23" hidden="1" x14ac:dyDescent="0.3">
      <c r="A82" s="1"/>
      <c r="B82" s="1"/>
      <c r="C82" s="748" t="s">
        <v>55</v>
      </c>
      <c r="D82" s="748"/>
      <c r="E82" s="753" t="str">
        <f>'G-2 Habitat groups'!AU36</f>
        <v>Heathland and shrub - Dunes with sea buckthorn (H2160)</v>
      </c>
      <c r="F82" s="754" t="str">
        <f>'G-2 Habitat groups'!AV36</f>
        <v>Heathland and shrub</v>
      </c>
      <c r="G82" s="755">
        <f>'G-2 Habitat groups'!$BE$36</f>
        <v>0</v>
      </c>
      <c r="H82" s="1814"/>
      <c r="I82" s="756"/>
      <c r="J82" s="748"/>
      <c r="K82" s="748"/>
      <c r="L82" s="748"/>
      <c r="M82" s="1"/>
      <c r="N82" s="1"/>
      <c r="O82" s="1"/>
      <c r="P82" s="1"/>
      <c r="Q82" s="748"/>
      <c r="R82" s="748"/>
      <c r="S82" s="748"/>
      <c r="T82" s="748"/>
      <c r="U82" s="748"/>
      <c r="V82" s="748"/>
      <c r="W82" s="748"/>
    </row>
    <row r="83" spans="1:23" hidden="1" x14ac:dyDescent="0.3">
      <c r="A83" s="1"/>
      <c r="B83" s="1"/>
      <c r="C83" s="748" t="s">
        <v>55</v>
      </c>
      <c r="D83" s="748"/>
      <c r="E83" s="753" t="str">
        <f>'G-2 Habitat groups'!AU37</f>
        <v>Heathland and shrub - Upland heathland</v>
      </c>
      <c r="F83" s="754" t="str">
        <f>'G-2 Habitat groups'!AV37</f>
        <v>Heathland and shrub</v>
      </c>
      <c r="G83" s="755">
        <f>'G-2 Habitat groups'!$BE$37</f>
        <v>0</v>
      </c>
      <c r="H83" s="1814"/>
      <c r="I83" s="756"/>
      <c r="J83" s="748"/>
      <c r="K83" s="748"/>
      <c r="L83" s="748"/>
      <c r="M83" s="1"/>
      <c r="N83" s="1"/>
      <c r="O83" s="1"/>
      <c r="P83" s="1"/>
      <c r="Q83" s="748"/>
      <c r="R83" s="748"/>
      <c r="S83" s="748"/>
      <c r="T83" s="748"/>
      <c r="U83" s="748"/>
      <c r="V83" s="748"/>
      <c r="W83" s="748"/>
    </row>
    <row r="84" spans="1:23" hidden="1" x14ac:dyDescent="0.3">
      <c r="A84" s="1"/>
      <c r="B84" s="1"/>
      <c r="C84" s="748" t="s">
        <v>58</v>
      </c>
      <c r="D84" s="748"/>
      <c r="E84" s="753" t="str">
        <f>'G-2 Habitat groups'!AU39</f>
        <v>Lakes - High alkalinity lakes</v>
      </c>
      <c r="F84" s="754" t="str">
        <f>'G-2 Habitat groups'!AV39</f>
        <v>Lakes</v>
      </c>
      <c r="G84" s="755">
        <f>'G-2 Habitat groups'!$BE$39</f>
        <v>0</v>
      </c>
      <c r="H84" s="1814"/>
      <c r="I84" s="756"/>
      <c r="J84" s="748"/>
      <c r="K84" s="748"/>
      <c r="L84" s="748"/>
      <c r="M84" s="1"/>
      <c r="N84" s="1"/>
      <c r="O84" s="1"/>
      <c r="P84" s="1"/>
      <c r="Q84" s="748"/>
      <c r="R84" s="748"/>
      <c r="S84" s="748"/>
      <c r="T84" s="748"/>
      <c r="U84" s="748"/>
      <c r="V84" s="748"/>
      <c r="W84" s="748"/>
    </row>
    <row r="85" spans="1:23" hidden="1" x14ac:dyDescent="0.3">
      <c r="A85" s="1"/>
      <c r="B85" s="1"/>
      <c r="C85" s="748" t="s">
        <v>58</v>
      </c>
      <c r="D85" s="748"/>
      <c r="E85" s="753" t="str">
        <f>'G-2 Habitat groups'!AU40</f>
        <v>Lakes - Low alkalinity lakes</v>
      </c>
      <c r="F85" s="754" t="str">
        <f>'G-2 Habitat groups'!AV40</f>
        <v>Lakes</v>
      </c>
      <c r="G85" s="755">
        <f>'G-2 Habitat groups'!$BE$40</f>
        <v>0</v>
      </c>
      <c r="H85" s="1814"/>
      <c r="I85" s="756"/>
      <c r="J85" s="1"/>
      <c r="K85" s="1"/>
      <c r="L85" s="1"/>
      <c r="M85" s="1"/>
      <c r="N85" s="1"/>
      <c r="O85" s="1"/>
      <c r="P85" s="1"/>
      <c r="Q85" s="1"/>
      <c r="R85" s="1"/>
      <c r="S85" s="1"/>
      <c r="T85" s="1"/>
    </row>
    <row r="86" spans="1:23" hidden="1" x14ac:dyDescent="0.3">
      <c r="A86" s="1"/>
      <c r="B86" s="1"/>
      <c r="C86" s="748" t="s">
        <v>58</v>
      </c>
      <c r="D86" s="748"/>
      <c r="E86" s="753" t="str">
        <f>'G-2 Habitat groups'!AU41</f>
        <v>Lakes - Marl lakes</v>
      </c>
      <c r="F86" s="754" t="str">
        <f>'G-2 Habitat groups'!AV41</f>
        <v>Lakes</v>
      </c>
      <c r="G86" s="755">
        <f>'G-2 Habitat groups'!$BE$41</f>
        <v>0</v>
      </c>
      <c r="H86" s="1814"/>
      <c r="I86" s="756"/>
      <c r="J86" s="1"/>
      <c r="K86" s="1"/>
      <c r="L86" s="1"/>
      <c r="M86" s="1"/>
      <c r="N86" s="1"/>
      <c r="O86" s="1"/>
      <c r="P86" s="1"/>
      <c r="Q86" s="1"/>
      <c r="R86" s="1"/>
      <c r="S86" s="1"/>
      <c r="T86" s="1"/>
    </row>
    <row r="87" spans="1:23" hidden="1" x14ac:dyDescent="0.3">
      <c r="A87" s="1"/>
      <c r="B87" s="1"/>
      <c r="C87" s="748" t="s">
        <v>58</v>
      </c>
      <c r="D87" s="748"/>
      <c r="E87" s="753" t="str">
        <f>'G-2 Habitat groups'!AU42</f>
        <v>Lakes - Moderate alkalinity lakes</v>
      </c>
      <c r="F87" s="754" t="str">
        <f>'G-2 Habitat groups'!AV42</f>
        <v>Lakes</v>
      </c>
      <c r="G87" s="755">
        <f>'G-2 Habitat groups'!$BE$42</f>
        <v>0</v>
      </c>
      <c r="H87" s="1814"/>
      <c r="I87" s="756"/>
      <c r="J87" s="1"/>
      <c r="K87" s="1"/>
      <c r="L87" s="1"/>
      <c r="M87" s="1"/>
      <c r="N87" s="1"/>
      <c r="O87" s="1"/>
      <c r="P87" s="1"/>
      <c r="Q87" s="1"/>
      <c r="R87" s="1"/>
      <c r="S87" s="1"/>
      <c r="T87" s="1"/>
    </row>
    <row r="88" spans="1:23" hidden="1" x14ac:dyDescent="0.3">
      <c r="A88" s="1"/>
      <c r="B88" s="1"/>
      <c r="C88" s="748" t="s">
        <v>58</v>
      </c>
      <c r="D88" s="748"/>
      <c r="E88" s="753" t="str">
        <f>'G-2 Habitat groups'!AU43</f>
        <v>Lakes - Peat lakes</v>
      </c>
      <c r="F88" s="754" t="str">
        <f>'G-2 Habitat groups'!AV43</f>
        <v>Lakes</v>
      </c>
      <c r="G88" s="755">
        <f>'G-2 Habitat groups'!$BE$43</f>
        <v>0</v>
      </c>
      <c r="H88" s="1814"/>
      <c r="I88" s="756"/>
      <c r="J88" s="1"/>
      <c r="K88" s="1"/>
      <c r="L88" s="1"/>
      <c r="M88" s="1"/>
      <c r="N88" s="1"/>
      <c r="O88" s="1"/>
      <c r="P88" s="1"/>
      <c r="Q88" s="1"/>
      <c r="R88" s="1"/>
      <c r="S88" s="1"/>
      <c r="T88" s="1"/>
    </row>
    <row r="89" spans="1:23" hidden="1" x14ac:dyDescent="0.3">
      <c r="A89" s="1"/>
      <c r="B89" s="1"/>
      <c r="C89" s="748" t="s">
        <v>57</v>
      </c>
      <c r="D89" s="748"/>
      <c r="E89" s="753" t="str">
        <f>'G-2 Habitat groups'!AU44</f>
        <v>Lakes - Ponds (priority habitat)</v>
      </c>
      <c r="F89" s="754" t="str">
        <f>'G-2 Habitat groups'!AV44</f>
        <v>Lakes</v>
      </c>
      <c r="G89" s="755">
        <f>'G-2 Habitat groups'!$BE$44</f>
        <v>0</v>
      </c>
      <c r="H89" s="1814"/>
      <c r="I89" s="756"/>
      <c r="J89" s="1"/>
      <c r="K89" s="1"/>
      <c r="L89" s="1"/>
      <c r="M89" s="1"/>
      <c r="N89" s="1"/>
      <c r="O89" s="1"/>
      <c r="P89" s="1"/>
      <c r="Q89" s="1"/>
      <c r="R89" s="1"/>
      <c r="S89" s="1"/>
      <c r="T89" s="1"/>
    </row>
    <row r="90" spans="1:23" hidden="1" x14ac:dyDescent="0.3">
      <c r="A90" s="1"/>
      <c r="B90" s="1"/>
      <c r="C90" s="748" t="s">
        <v>57</v>
      </c>
      <c r="D90" s="748"/>
      <c r="E90" s="753" t="str">
        <f>'G-2 Habitat groups'!AU45</f>
        <v>Lakes - Temporary lakes ponds and pools (H3170)</v>
      </c>
      <c r="F90" s="754" t="str">
        <f>'G-2 Habitat groups'!AV45</f>
        <v>Lakes</v>
      </c>
      <c r="G90" s="755">
        <f>'G-2 Habitat groups'!$BE$45</f>
        <v>0</v>
      </c>
      <c r="H90" s="1814"/>
      <c r="I90" s="756"/>
      <c r="J90" s="1"/>
      <c r="K90" s="1"/>
      <c r="L90" s="1"/>
      <c r="M90" s="1"/>
      <c r="N90" s="1"/>
      <c r="O90" s="1"/>
      <c r="P90" s="1"/>
      <c r="Q90" s="1"/>
      <c r="R90" s="1"/>
      <c r="S90" s="1"/>
      <c r="T90" s="1"/>
    </row>
    <row r="91" spans="1:23" hidden="1" x14ac:dyDescent="0.3">
      <c r="A91" s="1"/>
      <c r="B91" s="1"/>
      <c r="C91" s="748" t="s">
        <v>57</v>
      </c>
      <c r="D91" s="748"/>
      <c r="E91" s="753" t="str">
        <f>'G-2 Habitat groups'!AU46</f>
        <v>Sparsely vegetated land - Coastal sand dunes</v>
      </c>
      <c r="F91" s="754" t="str">
        <f>'G-2 Habitat groups'!AV46</f>
        <v>Sparsely vegetated land</v>
      </c>
      <c r="G91" s="755">
        <f>'G-2 Habitat groups'!$BE$46</f>
        <v>0</v>
      </c>
      <c r="H91" s="1814"/>
      <c r="I91" s="756"/>
      <c r="J91" s="1"/>
      <c r="K91" s="1"/>
      <c r="L91" s="1"/>
      <c r="M91" s="1"/>
      <c r="N91" s="1"/>
      <c r="O91" s="1"/>
      <c r="P91" s="1"/>
      <c r="Q91" s="1"/>
      <c r="R91" s="1"/>
      <c r="S91" s="1"/>
      <c r="T91" s="1"/>
    </row>
    <row r="92" spans="1:23" hidden="1" x14ac:dyDescent="0.3">
      <c r="A92" s="1"/>
      <c r="B92" s="1"/>
      <c r="C92" s="748" t="s">
        <v>57</v>
      </c>
      <c r="D92" s="748"/>
      <c r="E92" s="753" t="str">
        <f>'G-2 Habitat groups'!AU47</f>
        <v>Sparsely vegetated land - Coastal vegetated shingle</v>
      </c>
      <c r="F92" s="754" t="str">
        <f>'G-2 Habitat groups'!AV47</f>
        <v>Sparsely vegetated land</v>
      </c>
      <c r="G92" s="755">
        <f>'G-2 Habitat groups'!$BE$47</f>
        <v>0</v>
      </c>
      <c r="H92" s="1814"/>
      <c r="I92" s="756"/>
      <c r="J92" s="1"/>
      <c r="K92" s="1"/>
      <c r="L92" s="1"/>
      <c r="M92" s="1"/>
      <c r="N92" s="1"/>
      <c r="O92" s="1"/>
      <c r="P92" s="1"/>
      <c r="Q92" s="1"/>
      <c r="R92" s="1"/>
      <c r="S92" s="1"/>
      <c r="T92" s="1"/>
    </row>
    <row r="93" spans="1:23" hidden="1" x14ac:dyDescent="0.3">
      <c r="A93" s="1"/>
      <c r="B93" s="1"/>
      <c r="C93" s="748" t="s">
        <v>57</v>
      </c>
      <c r="D93" s="748"/>
      <c r="E93" s="753" t="str">
        <f>'G-2 Habitat groups'!AU48</f>
        <v>Sparsely vegetated land - Inland rock outcrop and scree habitats</v>
      </c>
      <c r="F93" s="754" t="str">
        <f>'G-2 Habitat groups'!AV48</f>
        <v>Sparsely vegetated land</v>
      </c>
      <c r="G93" s="755">
        <f>'G-2 Habitat groups'!$BE$48</f>
        <v>0</v>
      </c>
      <c r="H93" s="1814"/>
      <c r="I93" s="756"/>
      <c r="J93" s="1"/>
      <c r="K93" s="1"/>
      <c r="L93" s="1"/>
      <c r="M93" s="1"/>
      <c r="N93" s="1"/>
      <c r="O93" s="1"/>
      <c r="P93" s="1"/>
      <c r="Q93" s="1"/>
      <c r="R93" s="1"/>
      <c r="S93" s="1"/>
      <c r="T93" s="1"/>
    </row>
    <row r="94" spans="1:23" hidden="1" x14ac:dyDescent="0.3">
      <c r="A94" s="1"/>
      <c r="B94" s="1"/>
      <c r="C94" s="748" t="s">
        <v>57</v>
      </c>
      <c r="D94" s="748"/>
      <c r="E94" s="753" t="str">
        <f>'G-2 Habitat groups'!AU49</f>
        <v>Sparsely vegetated land - Maritime cliff and slopes</v>
      </c>
      <c r="F94" s="754" t="str">
        <f>'G-2 Habitat groups'!AV49</f>
        <v>Sparsely vegetated land</v>
      </c>
      <c r="G94" s="755">
        <f>'G-2 Habitat groups'!$BE$49</f>
        <v>0</v>
      </c>
      <c r="H94" s="1814"/>
      <c r="I94" s="756"/>
      <c r="J94" s="1"/>
      <c r="K94" s="1"/>
      <c r="L94" s="1"/>
      <c r="M94" s="1"/>
      <c r="N94" s="1"/>
      <c r="O94" s="1"/>
      <c r="P94" s="1"/>
      <c r="Q94" s="1"/>
      <c r="R94" s="1"/>
      <c r="S94" s="1"/>
      <c r="T94" s="1"/>
    </row>
    <row r="95" spans="1:23" hidden="1" x14ac:dyDescent="0.3">
      <c r="A95" s="1"/>
      <c r="B95" s="1"/>
      <c r="C95" s="748" t="s">
        <v>55</v>
      </c>
      <c r="D95" s="748"/>
      <c r="E95" s="753" t="str">
        <f>'G-2 Habitat groups'!AU50</f>
        <v>Urban - Open mosaic habitats on previously developed land</v>
      </c>
      <c r="F95" s="754" t="str">
        <f>'G-2 Habitat groups'!AV50</f>
        <v>Urban</v>
      </c>
      <c r="G95" s="755">
        <f>'G-2 Habitat groups'!$BE$50</f>
        <v>0</v>
      </c>
      <c r="H95" s="756"/>
      <c r="I95" s="756"/>
      <c r="J95" s="1"/>
      <c r="K95" s="1"/>
      <c r="L95" s="1"/>
      <c r="M95" s="1"/>
      <c r="N95" s="1"/>
      <c r="O95" s="1"/>
      <c r="P95" s="1"/>
      <c r="Q95" s="1"/>
      <c r="R95" s="1"/>
      <c r="S95" s="1"/>
      <c r="T95" s="1"/>
    </row>
    <row r="96" spans="1:23" hidden="1" x14ac:dyDescent="0.3">
      <c r="A96" s="1"/>
      <c r="B96" s="1"/>
      <c r="C96" s="748" t="s">
        <v>54</v>
      </c>
      <c r="D96" s="748"/>
      <c r="E96" s="753" t="str">
        <f>'G-2 Habitat groups'!AU51</f>
        <v>Wetland - Reedbeds</v>
      </c>
      <c r="F96" s="754" t="str">
        <f>'G-2 Habitat groups'!AV51</f>
        <v>Wetland</v>
      </c>
      <c r="G96" s="755">
        <f>'G-2 Habitat groups'!$BE$51</f>
        <v>0</v>
      </c>
      <c r="H96" s="756"/>
      <c r="I96" s="756"/>
      <c r="J96" s="1"/>
      <c r="K96" s="1"/>
      <c r="L96" s="1"/>
      <c r="M96" s="1"/>
      <c r="N96" s="1"/>
      <c r="O96" s="1"/>
      <c r="P96" s="1"/>
      <c r="Q96" s="1"/>
      <c r="R96" s="1"/>
      <c r="S96" s="1"/>
      <c r="T96" s="1"/>
    </row>
    <row r="97" spans="3:9" s="1" customFormat="1" hidden="1" x14ac:dyDescent="0.3">
      <c r="C97" s="748" t="s">
        <v>56</v>
      </c>
      <c r="D97" s="748"/>
      <c r="E97" s="753" t="s">
        <v>100</v>
      </c>
      <c r="F97" s="754" t="str">
        <f>'G-2 Habitat groups'!AV52</f>
        <v>Woodland and forest</v>
      </c>
      <c r="G97" s="755">
        <f>'G-2 Habitat groups'!$BE$52</f>
        <v>0</v>
      </c>
      <c r="H97" s="1814"/>
      <c r="I97" s="756"/>
    </row>
    <row r="98" spans="3:9" s="1" customFormat="1" hidden="1" x14ac:dyDescent="0.3">
      <c r="C98" s="748" t="s">
        <v>56</v>
      </c>
      <c r="D98" s="748"/>
      <c r="E98" s="753" t="str">
        <f>'G-2 Habitat groups'!AU53</f>
        <v>Woodland and forest - Lowland beech and yew woodland</v>
      </c>
      <c r="F98" s="754" t="str">
        <f>'G-2 Habitat groups'!AV53</f>
        <v>Woodland and forest</v>
      </c>
      <c r="G98" s="755">
        <f>'G-2 Habitat groups'!$BE$53</f>
        <v>0</v>
      </c>
      <c r="H98" s="1814"/>
      <c r="I98" s="756"/>
    </row>
    <row r="99" spans="3:9" s="1" customFormat="1" hidden="1" x14ac:dyDescent="0.3">
      <c r="C99" s="748" t="s">
        <v>57</v>
      </c>
      <c r="D99" s="748"/>
      <c r="E99" s="753" t="str">
        <f>'G-2 Habitat groups'!AU54</f>
        <v>Woodland and forest - Lowland mixed deciduous woodland</v>
      </c>
      <c r="F99" s="754" t="str">
        <f>'G-2 Habitat groups'!AV54</f>
        <v>Woodland and forest</v>
      </c>
      <c r="G99" s="755">
        <f>'G-2 Habitat groups'!$BE$54</f>
        <v>0</v>
      </c>
      <c r="H99" s="1814"/>
      <c r="I99" s="756"/>
    </row>
    <row r="100" spans="3:9" s="1" customFormat="1" hidden="1" x14ac:dyDescent="0.3">
      <c r="C100" s="748" t="s">
        <v>57</v>
      </c>
      <c r="D100" s="748"/>
      <c r="E100" s="753" t="str">
        <f>'G-2 Habitat groups'!AU56</f>
        <v>Woodland and forest - Native pine woodlands</v>
      </c>
      <c r="F100" s="754" t="str">
        <f>'G-2 Habitat groups'!AV56</f>
        <v>Woodland and forest</v>
      </c>
      <c r="G100" s="755">
        <f>'G-2 Habitat groups'!$BE$56</f>
        <v>0</v>
      </c>
      <c r="H100" s="1814"/>
      <c r="I100" s="756"/>
    </row>
    <row r="101" spans="3:9" s="1" customFormat="1" hidden="1" x14ac:dyDescent="0.3">
      <c r="C101" s="748" t="s">
        <v>56</v>
      </c>
      <c r="D101" s="748"/>
      <c r="E101" s="753" t="str">
        <f>'G-2 Habitat groups'!AU57</f>
        <v>Woodland and forest - Upland birchwoods</v>
      </c>
      <c r="F101" s="754" t="str">
        <f>'G-2 Habitat groups'!AV57</f>
        <v>Woodland and forest</v>
      </c>
      <c r="G101" s="755">
        <f>'G-2 Habitat groups'!$BE$57</f>
        <v>0</v>
      </c>
      <c r="H101" s="1814"/>
      <c r="I101" s="756"/>
    </row>
    <row r="102" spans="3:9" s="1" customFormat="1" hidden="1" x14ac:dyDescent="0.3">
      <c r="C102" s="748" t="s">
        <v>57</v>
      </c>
      <c r="D102" s="748"/>
      <c r="E102" s="753" t="str">
        <f>'G-2 Habitat groups'!AU58</f>
        <v>Woodland and forest - Upland mixed ashwoods</v>
      </c>
      <c r="F102" s="754" t="str">
        <f>'G-2 Habitat groups'!AV58</f>
        <v>Woodland and forest</v>
      </c>
      <c r="G102" s="755">
        <f>'G-2 Habitat groups'!$BE$58</f>
        <v>0</v>
      </c>
      <c r="H102" s="1814"/>
      <c r="I102" s="756"/>
    </row>
    <row r="103" spans="3:9" s="1" customFormat="1" hidden="1" x14ac:dyDescent="0.3">
      <c r="C103" s="748" t="s">
        <v>57</v>
      </c>
      <c r="D103" s="748"/>
      <c r="E103" s="753" t="str">
        <f>'G-2 Habitat groups'!AU59</f>
        <v>Woodland and forest - Upland oakwood</v>
      </c>
      <c r="F103" s="754" t="str">
        <f>'G-2 Habitat groups'!AV59</f>
        <v>Woodland and forest</v>
      </c>
      <c r="G103" s="755">
        <f>'G-2 Habitat groups'!$BE$59</f>
        <v>0</v>
      </c>
      <c r="H103" s="1814"/>
      <c r="I103" s="756"/>
    </row>
    <row r="104" spans="3:9" s="1" customFormat="1" hidden="1" x14ac:dyDescent="0.3">
      <c r="C104" s="748" t="s">
        <v>56</v>
      </c>
      <c r="D104" s="748"/>
      <c r="E104" s="753" t="str">
        <f>'G-2 Habitat groups'!AU60</f>
        <v>Woodland and forest - Wet woodland</v>
      </c>
      <c r="F104" s="754" t="str">
        <f>'G-2 Habitat groups'!AV60</f>
        <v>Woodland and forest</v>
      </c>
      <c r="G104" s="755">
        <f>'G-2 Habitat groups'!$BE$60</f>
        <v>0</v>
      </c>
      <c r="H104" s="1814"/>
      <c r="I104" s="756"/>
    </row>
    <row r="105" spans="3:9" s="1" customFormat="1" hidden="1" x14ac:dyDescent="0.3">
      <c r="C105" s="748" t="s">
        <v>57</v>
      </c>
      <c r="D105" s="748"/>
      <c r="E105" s="753" t="str">
        <f>'G-2 Habitat groups'!AU61</f>
        <v>Coastal lagoons - Coastal lagoons</v>
      </c>
      <c r="F105" s="754" t="str">
        <f>'G-2 Habitat groups'!AV61</f>
        <v>Coastal lagoons</v>
      </c>
      <c r="G105" s="755">
        <f>'G-2 Habitat groups'!$BE$61</f>
        <v>0</v>
      </c>
      <c r="H105" s="1814"/>
      <c r="I105" s="756"/>
    </row>
    <row r="106" spans="3:9" s="1" customFormat="1" hidden="1" x14ac:dyDescent="0.3">
      <c r="C106" s="748" t="s">
        <v>57</v>
      </c>
      <c r="D106" s="748"/>
      <c r="E106" s="753" t="str">
        <f>'G-2 Habitat groups'!AU62</f>
        <v>Rocky shore - High energy littoral rock</v>
      </c>
      <c r="F106" s="754" t="str">
        <f>'G-2 Habitat groups'!AV62</f>
        <v>Rocky shore</v>
      </c>
      <c r="G106" s="755">
        <f>'G-2 Habitat groups'!$BE$62</f>
        <v>0</v>
      </c>
      <c r="H106" s="1814"/>
      <c r="I106" s="756"/>
    </row>
    <row r="107" spans="3:9" s="1" customFormat="1" hidden="1" x14ac:dyDescent="0.3">
      <c r="C107" s="748" t="s">
        <v>57</v>
      </c>
      <c r="D107" s="748"/>
      <c r="E107" s="753" t="str">
        <f>'G-2 Habitat groups'!AU63</f>
        <v>Rocky shore - Moderate energy littoral rock</v>
      </c>
      <c r="F107" s="754" t="str">
        <f>'G-2 Habitat groups'!AV63</f>
        <v>Rocky shore</v>
      </c>
      <c r="G107" s="755">
        <f>'G-2 Habitat groups'!$BE$63</f>
        <v>0</v>
      </c>
      <c r="H107" s="1814"/>
      <c r="I107" s="756"/>
    </row>
    <row r="108" spans="3:9" s="1" customFormat="1" hidden="1" x14ac:dyDescent="0.3">
      <c r="C108" s="748" t="s">
        <v>57</v>
      </c>
      <c r="D108" s="748"/>
      <c r="E108" s="753" t="str">
        <f>'G-2 Habitat groups'!AU64</f>
        <v>Rocky shore - Low energy littoral rock</v>
      </c>
      <c r="F108" s="754" t="str">
        <f>'G-2 Habitat groups'!AV64</f>
        <v>Rocky shore</v>
      </c>
      <c r="G108" s="755">
        <f>'G-2 Habitat groups'!$BE$64</f>
        <v>0</v>
      </c>
      <c r="H108" s="1814"/>
      <c r="I108" s="756"/>
    </row>
    <row r="109" spans="3:9" s="1" customFormat="1" hidden="1" x14ac:dyDescent="0.3">
      <c r="C109" s="748" t="s">
        <v>57</v>
      </c>
      <c r="D109" s="748"/>
      <c r="E109" s="753" t="str">
        <f>'G-2 Habitat groups'!AU65</f>
        <v>Rocky shore - Features of littoral rock</v>
      </c>
      <c r="F109" s="754" t="str">
        <f>'G-2 Habitat groups'!AV65</f>
        <v>Rocky shore</v>
      </c>
      <c r="G109" s="755">
        <f>'G-2 Habitat groups'!$BE$65</f>
        <v>0</v>
      </c>
      <c r="H109" s="1814"/>
      <c r="I109" s="756"/>
    </row>
    <row r="110" spans="3:9" s="1" customFormat="1" hidden="1" x14ac:dyDescent="0.3">
      <c r="C110" s="748" t="s">
        <v>56</v>
      </c>
      <c r="D110" s="748"/>
      <c r="E110" s="753" t="str">
        <f>'G-2 Habitat groups'!AU66</f>
        <v>Intertidal sediment - Littoral mud</v>
      </c>
      <c r="F110" s="754" t="str">
        <f>'G-2 Habitat groups'!AV66</f>
        <v>Intertidal sediment</v>
      </c>
      <c r="G110" s="755">
        <f>'G-2 Habitat groups'!$BE$66</f>
        <v>0</v>
      </c>
      <c r="H110" s="1814"/>
      <c r="I110" s="756"/>
    </row>
    <row r="111" spans="3:9" s="1" customFormat="1" hidden="1" x14ac:dyDescent="0.3">
      <c r="C111" s="748" t="s">
        <v>56</v>
      </c>
      <c r="D111" s="748"/>
      <c r="E111" s="753" t="str">
        <f>'G-2 Habitat groups'!AU67</f>
        <v>Intertidal sediment - Littoral mixed sediments</v>
      </c>
      <c r="F111" s="754" t="str">
        <f>'G-2 Habitat groups'!AV67</f>
        <v>Intertidal sediment</v>
      </c>
      <c r="G111" s="755">
        <f>'G-2 Habitat groups'!$BE$67</f>
        <v>0</v>
      </c>
      <c r="H111" s="1814"/>
      <c r="I111" s="756"/>
    </row>
    <row r="112" spans="3:9" s="1" customFormat="1" hidden="1" x14ac:dyDescent="0.3">
      <c r="C112" s="748" t="s">
        <v>57</v>
      </c>
      <c r="D112" s="748"/>
      <c r="E112" s="753" t="str">
        <f>'G-2 Habitat groups'!AU68</f>
        <v>Coastal saltmarsh - Saltmarshes and saline reedbeds</v>
      </c>
      <c r="F112" s="754" t="str">
        <f>'G-2 Habitat groups'!AV68</f>
        <v>Coastal saltmarsh</v>
      </c>
      <c r="G112" s="755">
        <f>'G-2 Habitat groups'!$BE$68</f>
        <v>0</v>
      </c>
      <c r="H112" s="1814"/>
      <c r="I112" s="756"/>
    </row>
    <row r="113" spans="1:20" hidden="1" x14ac:dyDescent="0.3">
      <c r="A113" s="1"/>
      <c r="B113" s="1"/>
      <c r="C113" s="748" t="s">
        <v>56</v>
      </c>
      <c r="D113" s="748"/>
      <c r="E113" s="753" t="str">
        <f>'G-2 Habitat groups'!AU69</f>
        <v>Intertidal sediment - Littoral biogenic reefs - Mussels</v>
      </c>
      <c r="F113" s="754" t="str">
        <f>'G-2 Habitat groups'!AV69</f>
        <v>Intertidal sediment</v>
      </c>
      <c r="G113" s="755">
        <f>'G-2 Habitat groups'!$BE$69</f>
        <v>0</v>
      </c>
      <c r="H113" s="1814"/>
      <c r="I113" s="756"/>
      <c r="J113" s="1"/>
      <c r="K113" s="1"/>
      <c r="L113" s="1"/>
      <c r="M113" s="1"/>
      <c r="N113" s="1"/>
      <c r="O113" s="1"/>
      <c r="P113" s="1"/>
      <c r="Q113" s="1"/>
      <c r="R113" s="1"/>
      <c r="S113" s="1"/>
      <c r="T113" s="1"/>
    </row>
    <row r="114" spans="1:20" hidden="1" x14ac:dyDescent="0.3">
      <c r="A114" s="1"/>
      <c r="B114" s="1"/>
      <c r="C114" s="748" t="s">
        <v>56</v>
      </c>
      <c r="D114" s="748"/>
      <c r="E114" s="753" t="str">
        <f>'G-2 Habitat groups'!AU70</f>
        <v>Intertidal sediment - Littoral biogenic reefs - Sabellaria</v>
      </c>
      <c r="F114" s="754" t="str">
        <f>'G-2 Habitat groups'!AV70</f>
        <v>Intertidal sediment</v>
      </c>
      <c r="G114" s="755">
        <f>'G-2 Habitat groups'!$BE$70</f>
        <v>0</v>
      </c>
      <c r="H114" s="1814"/>
      <c r="I114" s="756"/>
      <c r="J114" s="1"/>
      <c r="K114" s="1"/>
      <c r="L114" s="1"/>
      <c r="M114" s="1"/>
      <c r="N114" s="1"/>
      <c r="O114" s="1"/>
      <c r="P114" s="1"/>
      <c r="Q114" s="1"/>
      <c r="R114" s="1"/>
      <c r="S114" s="1"/>
      <c r="T114" s="1"/>
    </row>
    <row r="115" spans="1:20" hidden="1" x14ac:dyDescent="0.3">
      <c r="A115" s="1"/>
      <c r="B115" s="1"/>
      <c r="C115" s="748" t="s">
        <v>56</v>
      </c>
      <c r="D115" s="748"/>
      <c r="E115" s="753" t="str">
        <f>'G-2 Habitat groups'!AU71</f>
        <v>Intertidal sediment - Features of littoral sediment</v>
      </c>
      <c r="F115" s="754" t="str">
        <f>'G-2 Habitat groups'!AV71</f>
        <v>Intertidal sediment</v>
      </c>
      <c r="G115" s="755">
        <f>'G-2 Habitat groups'!$BE$71</f>
        <v>0</v>
      </c>
      <c r="H115" s="1814"/>
      <c r="I115" s="756"/>
      <c r="J115" s="1"/>
      <c r="K115" s="1"/>
      <c r="L115" s="1"/>
      <c r="M115" s="1"/>
      <c r="N115" s="1"/>
      <c r="O115" s="1"/>
      <c r="P115" s="1"/>
      <c r="Q115" s="1"/>
      <c r="R115" s="1"/>
      <c r="S115" s="1"/>
      <c r="T115" s="1"/>
    </row>
    <row r="116" spans="1:20" hidden="1" x14ac:dyDescent="0.3">
      <c r="A116" s="1"/>
      <c r="B116" s="1"/>
      <c r="C116" s="748" t="s">
        <v>56</v>
      </c>
      <c r="D116" s="748"/>
      <c r="E116" s="753" t="str">
        <f>'G-2 Habitat groups'!AU72</f>
        <v>Intertidal sediment - Littoral muddy sand</v>
      </c>
      <c r="F116" s="754" t="str">
        <f>'G-2 Habitat groups'!AV72</f>
        <v>Intertidal sediment</v>
      </c>
      <c r="G116" s="755">
        <f>'G-2 Habitat groups'!$BE$72</f>
        <v>0</v>
      </c>
      <c r="H116" s="1814"/>
      <c r="I116" s="756"/>
      <c r="J116" s="1"/>
      <c r="K116" s="1"/>
      <c r="L116" s="1"/>
      <c r="M116" s="1"/>
      <c r="N116" s="1"/>
      <c r="O116" s="1"/>
      <c r="P116" s="1"/>
      <c r="Q116" s="1"/>
      <c r="R116" s="1"/>
      <c r="S116" s="1"/>
      <c r="T116" s="1"/>
    </row>
    <row r="117" spans="1:20" ht="15" hidden="1" thickBot="1" x14ac:dyDescent="0.35">
      <c r="A117" s="1"/>
      <c r="B117" s="1"/>
      <c r="C117" s="748" t="s">
        <v>56</v>
      </c>
      <c r="D117" s="748"/>
      <c r="E117" s="757" t="s">
        <v>111</v>
      </c>
      <c r="F117" s="754" t="str">
        <f>'G-2 Habitat groups'!AV73</f>
        <v>Intertidal sediment</v>
      </c>
      <c r="G117" s="758">
        <f>'G-2 Habitat groups'!$BE$73</f>
        <v>0</v>
      </c>
      <c r="H117" s="1814"/>
      <c r="I117" s="756"/>
      <c r="J117" s="1"/>
      <c r="K117" s="1"/>
      <c r="L117" s="1"/>
      <c r="M117" s="1"/>
      <c r="N117" s="1"/>
      <c r="O117" s="1"/>
      <c r="P117" s="1"/>
      <c r="Q117" s="1"/>
      <c r="R117" s="1"/>
      <c r="S117" s="1"/>
      <c r="T117" s="1"/>
    </row>
    <row r="118" spans="1:20" x14ac:dyDescent="0.3">
      <c r="A118" s="1"/>
      <c r="B118" s="1"/>
      <c r="C118" s="1"/>
      <c r="D118" s="1"/>
      <c r="E118" s="1"/>
      <c r="F118" s="1"/>
      <c r="G118" s="1"/>
      <c r="H118" s="1"/>
      <c r="I118" s="1"/>
      <c r="J118" s="1"/>
      <c r="K118" s="1"/>
      <c r="L118" s="1"/>
      <c r="M118" s="1"/>
      <c r="N118" s="1"/>
      <c r="O118" s="1"/>
      <c r="P118" s="1"/>
      <c r="Q118" s="1"/>
      <c r="R118" s="1"/>
      <c r="S118" s="1"/>
      <c r="T118" s="1"/>
    </row>
    <row r="119" spans="1:20" ht="15" thickBot="1" x14ac:dyDescent="0.35">
      <c r="A119" s="1"/>
      <c r="B119" s="1"/>
      <c r="C119" s="1"/>
      <c r="D119" s="1"/>
      <c r="E119" s="1"/>
      <c r="F119" s="1"/>
      <c r="G119" s="1"/>
      <c r="H119" s="1"/>
      <c r="I119" s="1"/>
      <c r="J119" s="1"/>
      <c r="K119" s="1"/>
      <c r="L119" s="1"/>
      <c r="M119" s="1"/>
      <c r="N119" s="1"/>
      <c r="O119" s="1"/>
      <c r="P119" s="1"/>
      <c r="Q119" s="1"/>
      <c r="R119" s="1"/>
      <c r="S119" s="1"/>
      <c r="T119" s="1"/>
    </row>
    <row r="120" spans="1:20" ht="15" customHeight="1" thickBot="1" x14ac:dyDescent="0.35">
      <c r="A120" s="1"/>
      <c r="B120" s="1"/>
      <c r="C120" s="1"/>
      <c r="D120" s="1145" t="s">
        <v>137</v>
      </c>
      <c r="E120" s="1815"/>
      <c r="F120" s="1816" t="s">
        <v>138</v>
      </c>
      <c r="G120" s="1146"/>
      <c r="H120" s="747" t="s">
        <v>124</v>
      </c>
      <c r="I120" s="759" t="s">
        <v>126</v>
      </c>
      <c r="J120" s="759" t="s">
        <v>128</v>
      </c>
      <c r="K120" s="759" t="s">
        <v>130</v>
      </c>
      <c r="L120" s="759"/>
      <c r="M120" s="760" t="s">
        <v>139</v>
      </c>
      <c r="N120" s="1"/>
      <c r="O120" s="1786" t="s">
        <v>1780</v>
      </c>
      <c r="P120" s="1787"/>
      <c r="Q120" s="1787"/>
      <c r="R120" s="1787"/>
      <c r="S120" s="1787"/>
      <c r="T120" s="1788"/>
    </row>
    <row r="121" spans="1:20" ht="57.45" customHeight="1" thickBot="1" x14ac:dyDescent="0.35">
      <c r="A121" s="1"/>
      <c r="B121" s="761"/>
      <c r="C121" s="1"/>
      <c r="D121" s="751" t="s">
        <v>63</v>
      </c>
      <c r="E121" s="759" t="s">
        <v>140</v>
      </c>
      <c r="F121" s="759" t="s">
        <v>63</v>
      </c>
      <c r="G121" s="762" t="s">
        <v>141</v>
      </c>
      <c r="H121" s="750" t="s">
        <v>142</v>
      </c>
      <c r="I121" s="763" t="s">
        <v>143</v>
      </c>
      <c r="J121" s="763" t="s">
        <v>144</v>
      </c>
      <c r="K121" s="763" t="s">
        <v>145</v>
      </c>
      <c r="L121" s="763"/>
      <c r="M121" s="764"/>
      <c r="N121" s="1"/>
      <c r="O121" s="1054" t="s">
        <v>1776</v>
      </c>
      <c r="P121" s="1054" t="s">
        <v>1777</v>
      </c>
      <c r="Q121" s="1054" t="s">
        <v>1778</v>
      </c>
      <c r="R121" s="1054" t="s">
        <v>1779</v>
      </c>
      <c r="S121" s="1054" t="s">
        <v>63</v>
      </c>
      <c r="T121" s="1055" t="s">
        <v>1781</v>
      </c>
    </row>
    <row r="122" spans="1:20" ht="23.1" customHeight="1" thickBot="1" x14ac:dyDescent="0.35">
      <c r="A122" s="1"/>
      <c r="B122" s="1817" t="s">
        <v>146</v>
      </c>
      <c r="C122" s="1820" t="s">
        <v>54</v>
      </c>
      <c r="D122" s="765" t="s">
        <v>147</v>
      </c>
      <c r="E122" s="766">
        <v>0</v>
      </c>
      <c r="F122" s="767" t="s">
        <v>147</v>
      </c>
      <c r="G122" s="768">
        <f>IF('Trading Summary Area Habitats'!G89&lt;0, 'Trading Summary Area Habitats'!G89, 0)</f>
        <v>0</v>
      </c>
      <c r="H122" s="769">
        <f>E122+G122</f>
        <v>0</v>
      </c>
      <c r="I122" s="1813">
        <f>SUMIF(H122:H126, "&lt;0")</f>
        <v>0</v>
      </c>
      <c r="J122" s="1809">
        <f>SUMIF(I122, "&lt;0")</f>
        <v>0</v>
      </c>
      <c r="K122" s="1809">
        <f>J122+J133</f>
        <v>0</v>
      </c>
      <c r="L122" s="1660" t="s">
        <v>54</v>
      </c>
      <c r="M122" s="1810">
        <f>SUMIF(K122, "&lt;0")</f>
        <v>0</v>
      </c>
      <c r="N122" s="1"/>
      <c r="O122" s="1050">
        <f>IF(H122&lt;0,(H122),(0))</f>
        <v>0</v>
      </c>
      <c r="P122" s="1789">
        <f>SUM(O122:O126)</f>
        <v>0</v>
      </c>
      <c r="Q122" s="1789" t="str">
        <f>IFERROR(M122/P122,"0.00")</f>
        <v>0.00</v>
      </c>
      <c r="R122" s="1050">
        <f>IFERROR($Q$122*O122,"")</f>
        <v>0</v>
      </c>
      <c r="S122" s="1052" t="s">
        <v>147</v>
      </c>
      <c r="T122" s="1050">
        <f>IFERROR(-2*(R122),"")</f>
        <v>0</v>
      </c>
    </row>
    <row r="123" spans="1:20" ht="23.1" customHeight="1" thickBot="1" x14ac:dyDescent="0.35">
      <c r="A123" s="1"/>
      <c r="B123" s="1818"/>
      <c r="C123" s="1821"/>
      <c r="D123" s="770" t="s">
        <v>78</v>
      </c>
      <c r="E123" s="771">
        <f>SUMIF(G76:G80, "&gt;0")+SUMIF('Trading Summary Area Habitats'!F13:F15, "&gt;0")</f>
        <v>0</v>
      </c>
      <c r="F123" s="772" t="s">
        <v>78</v>
      </c>
      <c r="G123" s="773">
        <f>IF('Trading Summary Area Habitats'!G93&lt;0, 'Trading Summary Area Habitats'!G93, 0)</f>
        <v>0</v>
      </c>
      <c r="H123" s="774">
        <f t="shared" ref="H123:H131" si="4">E123+G123</f>
        <v>0</v>
      </c>
      <c r="I123" s="1807"/>
      <c r="J123" s="1803"/>
      <c r="K123" s="1803"/>
      <c r="L123" s="1753"/>
      <c r="M123" s="1805"/>
      <c r="N123" s="1"/>
      <c r="O123" s="1050">
        <f t="shared" ref="O123:O131" si="5">IF(H123&lt;0,(H123),(0))</f>
        <v>0</v>
      </c>
      <c r="P123" s="1789"/>
      <c r="Q123" s="1789"/>
      <c r="R123" s="1050">
        <f t="shared" ref="R123:R126" si="6">IFERROR($Q$122*O123,"")</f>
        <v>0</v>
      </c>
      <c r="S123" s="1052" t="s">
        <v>78</v>
      </c>
      <c r="T123" s="1050">
        <f t="shared" ref="T123:T131" si="7">IFERROR(-2*(R123),"")</f>
        <v>0</v>
      </c>
    </row>
    <row r="124" spans="1:20" ht="23.1" customHeight="1" thickBot="1" x14ac:dyDescent="0.35">
      <c r="A124" s="1"/>
      <c r="B124" s="1818"/>
      <c r="C124" s="1821"/>
      <c r="D124" s="770" t="s">
        <v>116</v>
      </c>
      <c r="E124" s="771">
        <f>SUMIF(G81:G83, "&gt;0")+SUMIF('Trading Summary Area Habitats'!F16, "&gt;0")</f>
        <v>0</v>
      </c>
      <c r="F124" s="772" t="s">
        <v>116</v>
      </c>
      <c r="G124" s="773">
        <f>IF('Trading Summary Area Habitats'!G96&lt;0, 'Trading Summary Area Habitats'!G96, 0)</f>
        <v>0</v>
      </c>
      <c r="H124" s="774">
        <f t="shared" si="4"/>
        <v>0</v>
      </c>
      <c r="I124" s="1807"/>
      <c r="J124" s="1803"/>
      <c r="K124" s="1803"/>
      <c r="L124" s="1753"/>
      <c r="M124" s="1805"/>
      <c r="N124" s="1"/>
      <c r="O124" s="1050">
        <f t="shared" si="5"/>
        <v>0</v>
      </c>
      <c r="P124" s="1789"/>
      <c r="Q124" s="1789"/>
      <c r="R124" s="1050">
        <f t="shared" si="6"/>
        <v>0</v>
      </c>
      <c r="S124" s="1052" t="s">
        <v>116</v>
      </c>
      <c r="T124" s="1050">
        <f t="shared" si="7"/>
        <v>0</v>
      </c>
    </row>
    <row r="125" spans="1:20" ht="23.1" customHeight="1" thickBot="1" x14ac:dyDescent="0.35">
      <c r="A125" s="1"/>
      <c r="B125" s="1818"/>
      <c r="C125" s="1821"/>
      <c r="D125" s="770" t="s">
        <v>120</v>
      </c>
      <c r="E125" s="771">
        <f>SUMIF(G95, "&gt;0")</f>
        <v>0</v>
      </c>
      <c r="F125" s="772" t="s">
        <v>120</v>
      </c>
      <c r="G125" s="773">
        <f>IF('Trading Summary Area Habitats'!G106&lt;0, 'Trading Summary Area Habitats'!G106, 0)</f>
        <v>0</v>
      </c>
      <c r="H125" s="774">
        <f t="shared" si="4"/>
        <v>0</v>
      </c>
      <c r="I125" s="1807"/>
      <c r="J125" s="1803"/>
      <c r="K125" s="1803"/>
      <c r="L125" s="1753"/>
      <c r="M125" s="1805"/>
      <c r="N125" s="1"/>
      <c r="O125" s="1050">
        <f t="shared" si="5"/>
        <v>0</v>
      </c>
      <c r="P125" s="1789"/>
      <c r="Q125" s="1789"/>
      <c r="R125" s="1050">
        <f t="shared" si="6"/>
        <v>0</v>
      </c>
      <c r="S125" s="1052" t="s">
        <v>120</v>
      </c>
      <c r="T125" s="1050">
        <f t="shared" si="7"/>
        <v>0</v>
      </c>
    </row>
    <row r="126" spans="1:20" ht="23.1" customHeight="1" thickBot="1" x14ac:dyDescent="0.35">
      <c r="A126" s="1"/>
      <c r="B126" s="1818"/>
      <c r="C126" s="1822"/>
      <c r="D126" s="770" t="s">
        <v>148</v>
      </c>
      <c r="E126" s="771">
        <v>0</v>
      </c>
      <c r="F126" s="772" t="s">
        <v>148</v>
      </c>
      <c r="G126" s="773">
        <f>IF('Trading Summary Area Habitats'!G108&lt;0, 'Trading Summary Area Habitats'!G108, 0)</f>
        <v>0</v>
      </c>
      <c r="H126" s="774">
        <f t="shared" si="4"/>
        <v>0</v>
      </c>
      <c r="I126" s="1807"/>
      <c r="J126" s="1803"/>
      <c r="K126" s="1803"/>
      <c r="L126" s="1753"/>
      <c r="M126" s="1805"/>
      <c r="N126" s="1"/>
      <c r="O126" s="1050">
        <f t="shared" si="5"/>
        <v>0</v>
      </c>
      <c r="P126" s="1789"/>
      <c r="Q126" s="1789"/>
      <c r="R126" s="1050">
        <f t="shared" si="6"/>
        <v>0</v>
      </c>
      <c r="S126" s="1052" t="s">
        <v>148</v>
      </c>
      <c r="T126" s="1050">
        <f t="shared" si="7"/>
        <v>0</v>
      </c>
    </row>
    <row r="127" spans="1:20" ht="23.1" customHeight="1" thickBot="1" x14ac:dyDescent="0.35">
      <c r="A127" s="1"/>
      <c r="B127" s="1818"/>
      <c r="C127" s="1811" t="s">
        <v>55</v>
      </c>
      <c r="D127" s="765" t="s">
        <v>87</v>
      </c>
      <c r="E127" s="766">
        <f>SUMIF(G97:G104, "&gt;0")+SUMIF('Trading Summary Area Habitats'!F27, "&gt;0")</f>
        <v>0</v>
      </c>
      <c r="F127" s="767" t="s">
        <v>87</v>
      </c>
      <c r="G127" s="773">
        <f>IF('Trading Summary Area Habitats'!G110&lt;0, 'Trading Summary Area Habitats'!G110, 0)</f>
        <v>0</v>
      </c>
      <c r="H127" s="774">
        <f t="shared" si="4"/>
        <v>0</v>
      </c>
      <c r="I127" s="1807">
        <f>SUMIF(H127:H128, "&lt;0")</f>
        <v>0</v>
      </c>
      <c r="J127" s="1803">
        <f>I127+I133</f>
        <v>0</v>
      </c>
      <c r="K127" s="1803">
        <f>SUMIF(J127, "&lt;0")</f>
        <v>0</v>
      </c>
      <c r="L127" s="1753" t="s">
        <v>55</v>
      </c>
      <c r="M127" s="1805">
        <f>SUMIF(K127, "&lt;0")</f>
        <v>0</v>
      </c>
      <c r="N127" s="1"/>
      <c r="O127" s="1050">
        <f t="shared" si="5"/>
        <v>0</v>
      </c>
      <c r="P127" s="1789">
        <f>SUM(O127:O128)</f>
        <v>0</v>
      </c>
      <c r="Q127" s="1789" t="str">
        <f>IFERROR(M127/P127,"0.00")</f>
        <v>0.00</v>
      </c>
      <c r="R127" s="1050">
        <f>IFERROR($Q$127*O127,"")</f>
        <v>0</v>
      </c>
      <c r="S127" s="1052" t="s">
        <v>87</v>
      </c>
      <c r="T127" s="1050">
        <f t="shared" si="7"/>
        <v>0</v>
      </c>
    </row>
    <row r="128" spans="1:20" ht="23.1" customHeight="1" thickBot="1" x14ac:dyDescent="0.35">
      <c r="A128" s="1"/>
      <c r="B128" s="1818"/>
      <c r="C128" s="1812"/>
      <c r="D128" s="770" t="s">
        <v>105</v>
      </c>
      <c r="E128" s="771">
        <f>SUMIF(G105:G117, "&gt;0")+SUMIF('Trading Summary Area Habitats'!F28:F32, "&gt;0")</f>
        <v>0</v>
      </c>
      <c r="F128" s="772" t="s">
        <v>105</v>
      </c>
      <c r="G128" s="773">
        <f>IF('Trading Summary Area Habitats'!G113&lt;0, 'Trading Summary Area Habitats'!G113, 0)</f>
        <v>0</v>
      </c>
      <c r="H128" s="774">
        <f t="shared" si="4"/>
        <v>0</v>
      </c>
      <c r="I128" s="1807"/>
      <c r="J128" s="1803"/>
      <c r="K128" s="1803"/>
      <c r="L128" s="1753"/>
      <c r="M128" s="1805"/>
      <c r="N128" s="1"/>
      <c r="O128" s="1050">
        <f t="shared" si="5"/>
        <v>0</v>
      </c>
      <c r="P128" s="1789"/>
      <c r="Q128" s="1789"/>
      <c r="R128" s="1050">
        <f>IFERROR($Q$127*O128,"")</f>
        <v>0</v>
      </c>
      <c r="S128" s="1052" t="s">
        <v>105</v>
      </c>
      <c r="T128" s="1050">
        <f t="shared" si="7"/>
        <v>0</v>
      </c>
    </row>
    <row r="129" spans="1:20" ht="23.1" customHeight="1" thickBot="1" x14ac:dyDescent="0.35">
      <c r="A129" s="1"/>
      <c r="B129" s="1818"/>
      <c r="C129" s="1823" t="s">
        <v>57</v>
      </c>
      <c r="D129" s="770" t="s">
        <v>72</v>
      </c>
      <c r="E129" s="771">
        <f>SUMIF(G84:G90, "&gt;0")+SUMIF('Trading Summary Area Habitats'!F17, "&gt;0")</f>
        <v>0</v>
      </c>
      <c r="F129" s="772" t="s">
        <v>72</v>
      </c>
      <c r="G129" s="773">
        <f>IF('Trading Summary Area Habitats'!G103&lt;0, 'Trading Summary Area Habitats'!G103, 0)</f>
        <v>0</v>
      </c>
      <c r="H129" s="774">
        <f t="shared" si="4"/>
        <v>0</v>
      </c>
      <c r="I129" s="1807">
        <f>(SUMIF(H129:H131, "&lt;0"))+H133</f>
        <v>0</v>
      </c>
      <c r="J129" s="1803">
        <f>SUMIF(I129, "&lt;0")</f>
        <v>0</v>
      </c>
      <c r="K129" s="1803">
        <f>SUMIF(J129, "&lt;0")</f>
        <v>0</v>
      </c>
      <c r="L129" s="1753" t="s">
        <v>57</v>
      </c>
      <c r="M129" s="1805">
        <f>SUMIF(K129, "&lt;0")</f>
        <v>0</v>
      </c>
      <c r="N129" s="1"/>
      <c r="O129" s="1050">
        <f t="shared" si="5"/>
        <v>0</v>
      </c>
      <c r="P129" s="1789">
        <f>SUM(O129:O131)</f>
        <v>0</v>
      </c>
      <c r="Q129" s="1789" t="str">
        <f>IFERROR(M129/P129,"0.00")</f>
        <v>0.00</v>
      </c>
      <c r="R129" s="1050">
        <f>IFERROR($Q$129*O129,"")</f>
        <v>0</v>
      </c>
      <c r="S129" s="1052" t="s">
        <v>72</v>
      </c>
      <c r="T129" s="1050">
        <f t="shared" si="7"/>
        <v>0</v>
      </c>
    </row>
    <row r="130" spans="1:20" ht="23.1" customHeight="1" thickBot="1" x14ac:dyDescent="0.35">
      <c r="A130" s="1"/>
      <c r="B130" s="1818"/>
      <c r="C130" s="1824"/>
      <c r="D130" s="770" t="s">
        <v>82</v>
      </c>
      <c r="E130" s="771">
        <f>SUMIF(G91:G94, "&gt;0")+SUMIF('Trading Summary Area Habitats'!F18:F19, "&gt;0")</f>
        <v>0</v>
      </c>
      <c r="F130" s="772" t="s">
        <v>82</v>
      </c>
      <c r="G130" s="773">
        <f>IF('Trading Summary Area Habitats'!G105&lt;0, 'Trading Summary Area Habitats'!G105, 0)</f>
        <v>0</v>
      </c>
      <c r="H130" s="774">
        <f t="shared" si="4"/>
        <v>0</v>
      </c>
      <c r="I130" s="1807"/>
      <c r="J130" s="1803"/>
      <c r="K130" s="1803"/>
      <c r="L130" s="1753"/>
      <c r="M130" s="1805"/>
      <c r="N130" s="1"/>
      <c r="O130" s="1050">
        <f t="shared" si="5"/>
        <v>0</v>
      </c>
      <c r="P130" s="1789"/>
      <c r="Q130" s="1789"/>
      <c r="R130" s="1050">
        <f t="shared" ref="R130:R131" si="8">IFERROR($Q$129*O130,"")</f>
        <v>0</v>
      </c>
      <c r="S130" s="1052" t="s">
        <v>82</v>
      </c>
      <c r="T130" s="1050">
        <f t="shared" si="7"/>
        <v>0</v>
      </c>
    </row>
    <row r="131" spans="1:20" ht="23.1" customHeight="1" thickBot="1" x14ac:dyDescent="0.35">
      <c r="A131" s="1"/>
      <c r="B131" s="1819"/>
      <c r="C131" s="1825"/>
      <c r="D131" s="775" t="s">
        <v>123</v>
      </c>
      <c r="E131" s="771">
        <f>SUMIF(G96, "&gt;0")+SUMIF('Trading Summary Area Habitats'!F20:F26, "&gt;0")</f>
        <v>0</v>
      </c>
      <c r="F131" s="776" t="s">
        <v>123</v>
      </c>
      <c r="G131" s="777">
        <v>0</v>
      </c>
      <c r="H131" s="778">
        <f t="shared" si="4"/>
        <v>0</v>
      </c>
      <c r="I131" s="1808"/>
      <c r="J131" s="1804"/>
      <c r="K131" s="1804"/>
      <c r="L131" s="1729"/>
      <c r="M131" s="1806"/>
      <c r="N131" s="1"/>
      <c r="O131" s="1051">
        <f t="shared" si="5"/>
        <v>0</v>
      </c>
      <c r="P131" s="1790"/>
      <c r="Q131" s="1790"/>
      <c r="R131" s="1051">
        <f t="shared" si="8"/>
        <v>0</v>
      </c>
      <c r="S131" s="1053" t="s">
        <v>123</v>
      </c>
      <c r="T131" s="1051">
        <f t="shared" si="7"/>
        <v>0</v>
      </c>
    </row>
    <row r="132" spans="1:20" ht="15" thickBot="1" x14ac:dyDescent="0.35">
      <c r="A132" s="1"/>
      <c r="B132" s="1"/>
      <c r="C132" s="1"/>
      <c r="D132" s="1"/>
      <c r="E132" s="1"/>
      <c r="F132" s="1"/>
      <c r="G132" s="1"/>
      <c r="H132" s="1"/>
      <c r="I132" s="1"/>
      <c r="J132" s="1"/>
      <c r="K132" s="1"/>
      <c r="L132" s="1"/>
      <c r="M132" s="1"/>
      <c r="N132" s="1"/>
      <c r="O132" s="748"/>
      <c r="P132" s="748"/>
      <c r="Q132" s="748"/>
      <c r="R132" s="748"/>
      <c r="S132" s="748"/>
      <c r="T132" s="748"/>
    </row>
    <row r="133" spans="1:20" ht="15" thickBot="1" x14ac:dyDescent="0.35">
      <c r="A133" s="1"/>
      <c r="B133" s="1"/>
      <c r="C133" s="1"/>
      <c r="D133" s="1"/>
      <c r="E133" s="1"/>
      <c r="F133" s="1"/>
      <c r="G133" s="227" t="s">
        <v>149</v>
      </c>
      <c r="H133" s="278">
        <f>SUMIF(H122:H131, "&gt;0")</f>
        <v>0</v>
      </c>
      <c r="I133" s="278">
        <f>SUMIF(I122:I131, "&gt;0")</f>
        <v>0</v>
      </c>
      <c r="J133" s="278">
        <f>SUMIF(J122:J131, "&gt;0")</f>
        <v>0</v>
      </c>
      <c r="K133" s="279">
        <f>SUMIF(K122:K131, "&gt;0")</f>
        <v>0</v>
      </c>
      <c r="L133" s="1"/>
      <c r="M133" s="1"/>
      <c r="N133" s="1"/>
      <c r="O133" s="1"/>
      <c r="P133" s="1"/>
      <c r="Q133" s="1"/>
      <c r="R133" s="1"/>
      <c r="S133" s="1"/>
      <c r="T133" s="1"/>
    </row>
    <row r="134" spans="1:20" x14ac:dyDescent="0.3">
      <c r="A134" s="1"/>
      <c r="B134" s="1"/>
      <c r="C134" s="1"/>
      <c r="D134" s="1"/>
      <c r="E134" s="1"/>
      <c r="F134" s="1"/>
      <c r="G134" s="1"/>
      <c r="H134" s="1"/>
      <c r="I134" s="1"/>
      <c r="J134" s="1"/>
      <c r="K134" s="1"/>
      <c r="L134" s="1"/>
      <c r="M134" s="1"/>
      <c r="N134" s="1"/>
      <c r="O134" s="1"/>
      <c r="P134" s="1"/>
      <c r="Q134" s="1"/>
      <c r="R134" s="1"/>
      <c r="S134" s="1"/>
      <c r="T134" s="1"/>
    </row>
    <row r="135" spans="1:20" x14ac:dyDescent="0.3">
      <c r="A135" s="1"/>
      <c r="B135" s="1"/>
      <c r="C135" s="1"/>
      <c r="D135" s="1"/>
      <c r="E135" s="1"/>
      <c r="F135" s="1"/>
      <c r="G135" s="1"/>
      <c r="H135" s="1"/>
      <c r="I135" s="1"/>
      <c r="J135" s="1"/>
      <c r="K135" s="1"/>
      <c r="L135" s="1"/>
      <c r="M135" s="1"/>
      <c r="N135" s="1"/>
      <c r="O135" s="1"/>
      <c r="P135" s="1"/>
      <c r="Q135" s="1"/>
      <c r="R135" s="1"/>
      <c r="S135" s="1"/>
      <c r="T135" s="1"/>
    </row>
    <row r="136" spans="1:20" ht="15" thickBot="1" x14ac:dyDescent="0.35">
      <c r="A136" s="1"/>
      <c r="B136" s="1"/>
      <c r="C136" s="1"/>
      <c r="D136" s="1"/>
      <c r="E136" s="1"/>
      <c r="F136" s="1"/>
      <c r="G136" s="1"/>
      <c r="H136" s="1"/>
      <c r="I136" s="1"/>
      <c r="J136" s="1"/>
      <c r="K136" s="1"/>
      <c r="L136" s="1"/>
      <c r="M136" s="1"/>
      <c r="N136" s="1"/>
      <c r="O136" s="1"/>
      <c r="P136" s="1"/>
      <c r="Q136" s="1"/>
      <c r="R136" s="1"/>
      <c r="S136" s="1"/>
      <c r="T136" s="1"/>
    </row>
    <row r="137" spans="1:20" ht="42" thickBot="1" x14ac:dyDescent="0.35">
      <c r="A137" s="1"/>
      <c r="B137" s="1"/>
      <c r="C137" s="1"/>
      <c r="D137" s="230" t="s">
        <v>150</v>
      </c>
      <c r="E137" s="779" t="s">
        <v>151</v>
      </c>
      <c r="F137" s="233" t="s">
        <v>152</v>
      </c>
      <c r="G137" s="760" t="s">
        <v>139</v>
      </c>
      <c r="H137" s="1"/>
      <c r="I137" s="1"/>
      <c r="J137" s="1"/>
      <c r="K137" s="1"/>
      <c r="L137" s="1"/>
      <c r="M137" s="1"/>
      <c r="N137" s="1"/>
      <c r="O137" s="1"/>
      <c r="P137" s="1"/>
      <c r="Q137" s="1"/>
      <c r="R137" s="1"/>
      <c r="S137" s="1"/>
      <c r="T137" s="1"/>
    </row>
    <row r="138" spans="1:20" ht="51.6" customHeight="1" thickBot="1" x14ac:dyDescent="0.35">
      <c r="A138" s="1"/>
      <c r="B138" s="809" t="s">
        <v>153</v>
      </c>
      <c r="C138" s="780" t="s">
        <v>54</v>
      </c>
      <c r="D138" s="781">
        <f>'Trading Summary Area Habitats'!K124</f>
        <v>-1.1938910113775001</v>
      </c>
      <c r="E138" s="782">
        <f>SUMIF('Trading Summary Area Habitats'!K124, "&lt;0")+'Trading Summary Area Habitats'!K88</f>
        <v>0.84319572381994101</v>
      </c>
      <c r="F138" s="278">
        <f>E138+K133</f>
        <v>0.84319572381994101</v>
      </c>
      <c r="G138" s="279">
        <f>SUMIF(F138, "&lt;0")</f>
        <v>0</v>
      </c>
      <c r="H138" s="1"/>
      <c r="I138" s="1"/>
      <c r="J138" s="1"/>
      <c r="K138" s="1"/>
      <c r="L138" s="1"/>
      <c r="M138" s="1"/>
      <c r="N138" s="1"/>
      <c r="O138" s="1"/>
      <c r="P138" s="1"/>
      <c r="Q138" s="1"/>
      <c r="R138" s="1"/>
      <c r="S138" s="1"/>
      <c r="T138" s="1"/>
    </row>
    <row r="139" spans="1:20" x14ac:dyDescent="0.3">
      <c r="A139" s="1"/>
      <c r="B139" s="1"/>
      <c r="C139" s="1"/>
      <c r="D139" s="1"/>
      <c r="E139" s="1"/>
      <c r="F139" s="1"/>
      <c r="G139" s="1"/>
      <c r="H139" s="1"/>
      <c r="I139" s="1"/>
      <c r="J139" s="1"/>
      <c r="K139" s="1"/>
      <c r="L139" s="1"/>
      <c r="M139" s="1"/>
      <c r="N139" s="1"/>
      <c r="O139" s="1"/>
      <c r="P139" s="1"/>
      <c r="Q139" s="1"/>
      <c r="R139" s="1"/>
      <c r="S139" s="1"/>
      <c r="T139" s="1"/>
    </row>
    <row r="140" spans="1:20" x14ac:dyDescent="0.3">
      <c r="A140" s="1"/>
      <c r="B140" s="1"/>
      <c r="C140" s="1"/>
      <c r="D140" s="1"/>
      <c r="E140" s="1"/>
      <c r="F140" s="1"/>
      <c r="G140" s="1"/>
      <c r="H140" s="1"/>
      <c r="I140" s="1"/>
      <c r="J140" s="1"/>
      <c r="K140" s="1"/>
      <c r="L140" s="1"/>
      <c r="M140" s="1"/>
      <c r="N140" s="1"/>
      <c r="O140" s="1"/>
      <c r="P140" s="1"/>
      <c r="Q140" s="1"/>
      <c r="R140" s="1"/>
      <c r="S140" s="1"/>
      <c r="T140" s="1"/>
    </row>
    <row r="141" spans="1:20" x14ac:dyDescent="0.3">
      <c r="A141" s="1"/>
      <c r="B141" s="1"/>
      <c r="C141" s="1"/>
      <c r="D141" s="1"/>
      <c r="E141" s="1"/>
      <c r="F141" s="1"/>
      <c r="G141" s="1"/>
      <c r="H141" s="1"/>
      <c r="I141" s="1"/>
      <c r="J141" s="1"/>
      <c r="K141" s="1"/>
      <c r="L141" s="1"/>
      <c r="M141" s="1"/>
      <c r="N141" s="1"/>
      <c r="O141" s="1"/>
      <c r="P141" s="1"/>
      <c r="Q141" s="1"/>
      <c r="R141" s="1"/>
      <c r="S141" s="1"/>
      <c r="T141" s="1"/>
    </row>
    <row r="142" spans="1:20" x14ac:dyDescent="0.3">
      <c r="A142" s="1"/>
      <c r="B142" s="1"/>
      <c r="C142" s="1"/>
      <c r="D142" s="1"/>
      <c r="E142" s="1"/>
      <c r="F142" s="1"/>
      <c r="G142" s="1"/>
      <c r="H142" s="1"/>
      <c r="I142" s="1"/>
      <c r="J142" s="1"/>
      <c r="K142" s="1"/>
      <c r="L142" s="1"/>
      <c r="M142" s="1"/>
      <c r="N142" s="1"/>
      <c r="O142" s="1"/>
      <c r="P142" s="1"/>
      <c r="Q142" s="1"/>
      <c r="R142" s="1"/>
      <c r="S142" s="1"/>
      <c r="T142" s="1"/>
    </row>
    <row r="143" spans="1:20" x14ac:dyDescent="0.3">
      <c r="A143" s="1"/>
      <c r="B143" s="1"/>
      <c r="C143" s="1"/>
      <c r="D143" s="1"/>
      <c r="E143" s="1"/>
      <c r="F143" s="1"/>
      <c r="G143" s="1"/>
      <c r="H143" s="1"/>
      <c r="I143" s="1"/>
      <c r="J143" s="1"/>
      <c r="K143" s="1"/>
      <c r="L143" s="1"/>
      <c r="M143" s="1"/>
      <c r="N143" s="1"/>
      <c r="O143" s="1"/>
      <c r="P143" s="1"/>
      <c r="Q143" s="1"/>
      <c r="R143" s="1"/>
      <c r="S143" s="1"/>
      <c r="T143" s="1"/>
    </row>
    <row r="144" spans="1:20" x14ac:dyDescent="0.3">
      <c r="A144" s="1"/>
      <c r="B144" s="1"/>
      <c r="C144" s="1"/>
      <c r="D144" s="1"/>
      <c r="E144" s="1"/>
      <c r="F144" s="1"/>
      <c r="G144" s="1"/>
      <c r="H144" s="1"/>
      <c r="I144" s="1"/>
      <c r="J144" s="1"/>
      <c r="K144" s="1"/>
      <c r="L144" s="1"/>
      <c r="M144" s="1"/>
      <c r="N144" s="1"/>
      <c r="O144" s="1"/>
      <c r="P144" s="1"/>
      <c r="Q144" s="1"/>
      <c r="R144" s="1"/>
      <c r="S144" s="1"/>
      <c r="T144" s="1"/>
    </row>
    <row r="145" spans="4:9" s="1" customFormat="1" ht="15" thickBot="1" x14ac:dyDescent="0.35"/>
    <row r="146" spans="4:9" s="1" customFormat="1" ht="15" thickBot="1" x14ac:dyDescent="0.35">
      <c r="D146" s="1797" t="s">
        <v>49</v>
      </c>
      <c r="E146" s="1798"/>
      <c r="F146" s="791" t="s">
        <v>154</v>
      </c>
      <c r="G146" s="791" t="s">
        <v>155</v>
      </c>
    </row>
    <row r="147" spans="4:9" s="1" customFormat="1" ht="15" thickBot="1" x14ac:dyDescent="0.35">
      <c r="D147" s="1794" t="s">
        <v>59</v>
      </c>
      <c r="E147" s="384" t="s">
        <v>156</v>
      </c>
      <c r="F147" s="783">
        <f>'Trading Summary Hedgerows'!I14</f>
        <v>0</v>
      </c>
      <c r="G147" s="1791">
        <f ca="1">SUMIF(F147:F151, "&lt;0")</f>
        <v>0</v>
      </c>
      <c r="H147" s="1" t="s">
        <v>157</v>
      </c>
      <c r="I147" s="1" t="s">
        <v>155</v>
      </c>
    </row>
    <row r="148" spans="4:9" s="1" customFormat="1" ht="15" thickBot="1" x14ac:dyDescent="0.35">
      <c r="D148" s="1795"/>
      <c r="E148" s="384" t="s">
        <v>158</v>
      </c>
      <c r="F148" s="783">
        <f>'Trading Summary Hedgerows'!I23</f>
        <v>0</v>
      </c>
      <c r="G148" s="1792"/>
    </row>
    <row r="149" spans="4:9" s="1" customFormat="1" ht="15" thickBot="1" x14ac:dyDescent="0.35">
      <c r="D149" s="1795"/>
      <c r="E149" s="384" t="s">
        <v>159</v>
      </c>
      <c r="F149" s="783">
        <f>'Trading Summary Hedgerows'!I33</f>
        <v>0</v>
      </c>
      <c r="G149" s="1792"/>
    </row>
    <row r="150" spans="4:9" s="1" customFormat="1" ht="15" thickBot="1" x14ac:dyDescent="0.35">
      <c r="D150" s="1795"/>
      <c r="E150" s="384" t="s">
        <v>160</v>
      </c>
      <c r="F150" s="783">
        <f ca="1">'Trading Summary Hedgerows'!I44</f>
        <v>0.26035392762499998</v>
      </c>
      <c r="G150" s="1792"/>
    </row>
    <row r="151" spans="4:9" s="1" customFormat="1" ht="15" thickBot="1" x14ac:dyDescent="0.35">
      <c r="D151" s="1796"/>
      <c r="E151" s="129" t="s">
        <v>161</v>
      </c>
      <c r="F151" s="783">
        <f ca="1">'Trading Summary Hedgerows'!I54</f>
        <v>0.28841467762499995</v>
      </c>
      <c r="G151" s="1793"/>
    </row>
    <row r="152" spans="4:9" s="1" customFormat="1" x14ac:dyDescent="0.3"/>
    <row r="153" spans="4:9" s="1" customFormat="1" x14ac:dyDescent="0.3"/>
    <row r="154" spans="4:9" s="1" customFormat="1" x14ac:dyDescent="0.3">
      <c r="E154" s="810"/>
    </row>
    <row r="155" spans="4:9" s="1" customFormat="1" ht="15" thickBot="1" x14ac:dyDescent="0.35"/>
    <row r="156" spans="4:9" s="1" customFormat="1" ht="15" thickBot="1" x14ac:dyDescent="0.35">
      <c r="D156" s="1797" t="s">
        <v>50</v>
      </c>
      <c r="E156" s="1799"/>
      <c r="F156" s="791" t="s">
        <v>154</v>
      </c>
      <c r="G156" s="791" t="s">
        <v>155</v>
      </c>
    </row>
    <row r="157" spans="4:9" s="1" customFormat="1" ht="15" thickBot="1" x14ac:dyDescent="0.35">
      <c r="D157" s="1800" t="s">
        <v>60</v>
      </c>
      <c r="E157" s="784" t="s">
        <v>156</v>
      </c>
      <c r="F157" s="783">
        <f>'Trading Summary WaterC''s'!I13</f>
        <v>0</v>
      </c>
      <c r="G157" s="1791">
        <f>SUMIF(F157:F160, "&lt;0")</f>
        <v>0</v>
      </c>
    </row>
    <row r="158" spans="4:9" s="1" customFormat="1" ht="15" thickBot="1" x14ac:dyDescent="0.35">
      <c r="D158" s="1801"/>
      <c r="E158" s="784" t="s">
        <v>158</v>
      </c>
      <c r="F158" s="783">
        <f>'Trading Summary WaterC''s'!I22</f>
        <v>0</v>
      </c>
      <c r="G158" s="1792"/>
    </row>
    <row r="159" spans="4:9" s="1" customFormat="1" ht="15" thickBot="1" x14ac:dyDescent="0.35">
      <c r="D159" s="1801"/>
      <c r="E159" s="784" t="s">
        <v>159</v>
      </c>
      <c r="F159" s="783">
        <f>'Trading Summary WaterC''s'!I30</f>
        <v>0</v>
      </c>
      <c r="G159" s="1792"/>
    </row>
    <row r="160" spans="4:9" s="1" customFormat="1" ht="15" thickBot="1" x14ac:dyDescent="0.35">
      <c r="D160" s="1802"/>
      <c r="E160" s="790" t="s">
        <v>160</v>
      </c>
      <c r="F160" s="783">
        <f>'Trading Summary WaterC''s'!I42</f>
        <v>0.26578800000000014</v>
      </c>
      <c r="G160" s="1793"/>
    </row>
    <row r="161" spans="4:7" s="1" customFormat="1" x14ac:dyDescent="0.3"/>
    <row r="162" spans="4:7" s="1" customFormat="1" x14ac:dyDescent="0.3"/>
    <row r="163" spans="4:7" s="1" customFormat="1" x14ac:dyDescent="0.3"/>
    <row r="164" spans="4:7" s="1" customFormat="1" x14ac:dyDescent="0.3"/>
    <row r="165" spans="4:7" s="1" customFormat="1" x14ac:dyDescent="0.3"/>
    <row r="166" spans="4:7" s="1" customFormat="1" x14ac:dyDescent="0.3"/>
    <row r="167" spans="4:7" s="1" customFormat="1" x14ac:dyDescent="0.3"/>
    <row r="168" spans="4:7" s="1" customFormat="1" x14ac:dyDescent="0.3"/>
    <row r="169" spans="4:7" s="1" customFormat="1" x14ac:dyDescent="0.3"/>
    <row r="170" spans="4:7" s="1" customFormat="1" x14ac:dyDescent="0.3"/>
    <row r="171" spans="4:7" s="1" customFormat="1" x14ac:dyDescent="0.3"/>
    <row r="172" spans="4:7" s="1" customFormat="1" x14ac:dyDescent="0.3"/>
    <row r="173" spans="4:7" s="1" customFormat="1" x14ac:dyDescent="0.3">
      <c r="D173" s="785"/>
      <c r="E173" s="786"/>
      <c r="F173" s="787"/>
      <c r="G173" s="788"/>
    </row>
    <row r="174" spans="4:7" s="1" customFormat="1" x14ac:dyDescent="0.3">
      <c r="D174" s="785"/>
      <c r="E174" s="786"/>
      <c r="F174" s="787"/>
      <c r="G174" s="788"/>
    </row>
    <row r="175" spans="4:7" s="1" customFormat="1" x14ac:dyDescent="0.3">
      <c r="D175" s="785"/>
      <c r="E175" s="786"/>
      <c r="F175" s="787"/>
      <c r="G175" s="788"/>
    </row>
    <row r="176" spans="4:7" s="1" customFormat="1" x14ac:dyDescent="0.3">
      <c r="D176" s="785"/>
      <c r="E176" s="786"/>
      <c r="F176" s="787"/>
      <c r="G176" s="788"/>
    </row>
    <row r="177" spans="1:19" hidden="1" x14ac:dyDescent="0.3">
      <c r="A177" s="1"/>
      <c r="B177" s="1"/>
      <c r="C177" s="1"/>
      <c r="D177" s="785"/>
      <c r="E177" s="786"/>
      <c r="F177" s="787"/>
      <c r="G177" s="788"/>
      <c r="H177" s="1"/>
      <c r="I177" s="1"/>
      <c r="J177" s="1"/>
      <c r="K177" s="1"/>
      <c r="L177" s="1"/>
      <c r="M177" s="1"/>
      <c r="N177" s="1"/>
      <c r="O177" s="1"/>
      <c r="P177" s="1"/>
      <c r="Q177" s="1"/>
      <c r="R177" s="1"/>
      <c r="S177" s="1"/>
    </row>
  </sheetData>
  <sheetProtection algorithmName="SHA-512" hashValue="yx4xS+9PTClDfq2ar/OsBtmcD5XAJp9BoYH7R2BqcP8Qq08oSmqsySFA434tPjoGisJEYMX2OsvlSrpiRIu9/w==" saltValue="+k3ZANQ4SIEiyL2IwPqqRg==" spinCount="100000" sheet="1" objects="1" scenarios="1"/>
  <mergeCells count="64">
    <mergeCell ref="E16:H16"/>
    <mergeCell ref="G8:H8"/>
    <mergeCell ref="G2:H2"/>
    <mergeCell ref="B3:C3"/>
    <mergeCell ref="B4:C4"/>
    <mergeCell ref="B5:C5"/>
    <mergeCell ref="B17:B18"/>
    <mergeCell ref="B21:B66"/>
    <mergeCell ref="D27:D43"/>
    <mergeCell ref="H27:H43"/>
    <mergeCell ref="D45:D55"/>
    <mergeCell ref="H45:H55"/>
    <mergeCell ref="D57:D63"/>
    <mergeCell ref="H57:H63"/>
    <mergeCell ref="D65:D66"/>
    <mergeCell ref="H21:H25"/>
    <mergeCell ref="D21:D25"/>
    <mergeCell ref="H97:H104"/>
    <mergeCell ref="H65:H66"/>
    <mergeCell ref="K68:M68"/>
    <mergeCell ref="K69:M69"/>
    <mergeCell ref="K70:M70"/>
    <mergeCell ref="K71:M71"/>
    <mergeCell ref="K72:M72"/>
    <mergeCell ref="J74:L74"/>
    <mergeCell ref="H76:H80"/>
    <mergeCell ref="H81:H83"/>
    <mergeCell ref="H84:H90"/>
    <mergeCell ref="H91:H94"/>
    <mergeCell ref="H105:H117"/>
    <mergeCell ref="D120:E120"/>
    <mergeCell ref="F120:G120"/>
    <mergeCell ref="B122:B131"/>
    <mergeCell ref="C122:C126"/>
    <mergeCell ref="C129:C131"/>
    <mergeCell ref="J122:J126"/>
    <mergeCell ref="K122:K126"/>
    <mergeCell ref="L122:L126"/>
    <mergeCell ref="M122:M126"/>
    <mergeCell ref="C127:C128"/>
    <mergeCell ref="I127:I128"/>
    <mergeCell ref="J127:J128"/>
    <mergeCell ref="K127:K128"/>
    <mergeCell ref="L127:L128"/>
    <mergeCell ref="M127:M128"/>
    <mergeCell ref="I122:I126"/>
    <mergeCell ref="J129:J131"/>
    <mergeCell ref="K129:K131"/>
    <mergeCell ref="L129:L131"/>
    <mergeCell ref="M129:M131"/>
    <mergeCell ref="I129:I131"/>
    <mergeCell ref="G147:G151"/>
    <mergeCell ref="D147:D151"/>
    <mergeCell ref="D146:E146"/>
    <mergeCell ref="D156:E156"/>
    <mergeCell ref="G157:G160"/>
    <mergeCell ref="D157:D160"/>
    <mergeCell ref="O120:T120"/>
    <mergeCell ref="P122:P126"/>
    <mergeCell ref="P127:P128"/>
    <mergeCell ref="P129:P131"/>
    <mergeCell ref="Q122:Q126"/>
    <mergeCell ref="Q127:Q128"/>
    <mergeCell ref="Q129:Q131"/>
  </mergeCells>
  <conditionalFormatting sqref="A19:O21 A139:O144 A137:C138 E138:O138 F137:O137 D137 D147 A22:C25 I22:O25 E22:G25 A26:O136">
    <cfRule type="cellIs" dxfId="65" priority="75" operator="lessThan">
      <formula>0</formula>
    </cfRule>
  </conditionalFormatting>
  <conditionalFormatting sqref="G21:H21 E138:G138 G22:G25">
    <cfRule type="cellIs" dxfId="64" priority="74" operator="greaterThan">
      <formula>0</formula>
    </cfRule>
  </conditionalFormatting>
  <conditionalFormatting sqref="G27:H43">
    <cfRule type="cellIs" dxfId="63" priority="73" operator="greaterThan">
      <formula>0</formula>
    </cfRule>
  </conditionalFormatting>
  <conditionalFormatting sqref="G45:H66">
    <cfRule type="cellIs" dxfId="62" priority="72" operator="greaterThan">
      <formula>0</formula>
    </cfRule>
  </conditionalFormatting>
  <conditionalFormatting sqref="E122:E131">
    <cfRule type="cellIs" dxfId="61" priority="71" operator="greaterThan">
      <formula>0</formula>
    </cfRule>
  </conditionalFormatting>
  <conditionalFormatting sqref="G122:K131">
    <cfRule type="cellIs" dxfId="60" priority="70" operator="greaterThan">
      <formula>0</formula>
    </cfRule>
  </conditionalFormatting>
  <conditionalFormatting sqref="H133:K133">
    <cfRule type="cellIs" dxfId="59" priority="69" operator="greaterThan">
      <formula>0</formula>
    </cfRule>
  </conditionalFormatting>
  <conditionalFormatting sqref="G3:G5 F9:G15">
    <cfRule type="cellIs" dxfId="58" priority="67" operator="greaterThan">
      <formula>0</formula>
    </cfRule>
    <cfRule type="cellIs" dxfId="57" priority="68" operator="lessThan">
      <formula>0</formula>
    </cfRule>
  </conditionalFormatting>
  <conditionalFormatting sqref="D138">
    <cfRule type="cellIs" dxfId="56" priority="65" operator="greaterThan">
      <formula>0</formula>
    </cfRule>
    <cfRule type="cellIs" dxfId="55" priority="66" operator="lessThan">
      <formula>0</formula>
    </cfRule>
  </conditionalFormatting>
  <conditionalFormatting sqref="E173:E176 F173:F175">
    <cfRule type="cellIs" dxfId="54" priority="61" operator="lessThan">
      <formula>0</formula>
    </cfRule>
  </conditionalFormatting>
  <conditionalFormatting sqref="F173:F175">
    <cfRule type="cellIs" dxfId="53" priority="60" operator="greaterThan">
      <formula>0</formula>
    </cfRule>
  </conditionalFormatting>
  <conditionalFormatting sqref="E152:I155 H158:I160 H147:I151">
    <cfRule type="cellIs" dxfId="52" priority="46" operator="lessThan">
      <formula>0</formula>
    </cfRule>
  </conditionalFormatting>
  <conditionalFormatting sqref="D152:D155">
    <cfRule type="cellIs" dxfId="51" priority="45" operator="lessThan">
      <formula>0</formula>
    </cfRule>
  </conditionalFormatting>
  <conditionalFormatting sqref="E147">
    <cfRule type="cellIs" dxfId="50" priority="44" operator="lessThan">
      <formula>0</formula>
    </cfRule>
  </conditionalFormatting>
  <conditionalFormatting sqref="E148">
    <cfRule type="cellIs" dxfId="49" priority="43" operator="lessThan">
      <formula>0</formula>
    </cfRule>
  </conditionalFormatting>
  <conditionalFormatting sqref="F147:F149">
    <cfRule type="cellIs" dxfId="48" priority="42" operator="lessThan">
      <formula>0</formula>
    </cfRule>
  </conditionalFormatting>
  <conditionalFormatting sqref="F147:F149">
    <cfRule type="cellIs" dxfId="47" priority="41" operator="greaterThan">
      <formula>0</formula>
    </cfRule>
  </conditionalFormatting>
  <conditionalFormatting sqref="G147">
    <cfRule type="cellIs" dxfId="46" priority="40" operator="lessThan">
      <formula>0</formula>
    </cfRule>
  </conditionalFormatting>
  <conditionalFormatting sqref="G147">
    <cfRule type="cellIs" dxfId="45" priority="39" operator="greaterThan">
      <formula>0</formula>
    </cfRule>
  </conditionalFormatting>
  <conditionalFormatting sqref="H146:I146">
    <cfRule type="cellIs" dxfId="44" priority="38" operator="lessThan">
      <formula>0</formula>
    </cfRule>
  </conditionalFormatting>
  <conditionalFormatting sqref="D157">
    <cfRule type="cellIs" dxfId="43" priority="37" operator="lessThan">
      <formula>0</formula>
    </cfRule>
  </conditionalFormatting>
  <conditionalFormatting sqref="E157:E158">
    <cfRule type="cellIs" dxfId="42" priority="35" operator="lessThan">
      <formula>0</formula>
    </cfRule>
  </conditionalFormatting>
  <conditionalFormatting sqref="F157:F159">
    <cfRule type="cellIs" dxfId="41" priority="34" operator="lessThan">
      <formula>0</formula>
    </cfRule>
  </conditionalFormatting>
  <conditionalFormatting sqref="F157:F159">
    <cfRule type="cellIs" dxfId="40" priority="33" operator="greaterThan">
      <formula>0</formula>
    </cfRule>
  </conditionalFormatting>
  <conditionalFormatting sqref="E160">
    <cfRule type="cellIs" dxfId="39" priority="32" operator="lessThan">
      <formula>0</formula>
    </cfRule>
  </conditionalFormatting>
  <conditionalFormatting sqref="E159">
    <cfRule type="cellIs" dxfId="38" priority="31" operator="lessThan">
      <formula>0</formula>
    </cfRule>
  </conditionalFormatting>
  <conditionalFormatting sqref="F160">
    <cfRule type="cellIs" dxfId="37" priority="30" operator="lessThan">
      <formula>0</formula>
    </cfRule>
  </conditionalFormatting>
  <conditionalFormatting sqref="F160">
    <cfRule type="cellIs" dxfId="36" priority="29" operator="greaterThan">
      <formula>0</formula>
    </cfRule>
  </conditionalFormatting>
  <conditionalFormatting sqref="G157">
    <cfRule type="cellIs" dxfId="35" priority="28" operator="lessThan">
      <formula>0</formula>
    </cfRule>
  </conditionalFormatting>
  <conditionalFormatting sqref="G157">
    <cfRule type="cellIs" dxfId="34" priority="27" operator="greaterThan">
      <formula>0</formula>
    </cfRule>
  </conditionalFormatting>
  <conditionalFormatting sqref="E149">
    <cfRule type="cellIs" dxfId="33" priority="26" operator="lessThan">
      <formula>0</formula>
    </cfRule>
  </conditionalFormatting>
  <conditionalFormatting sqref="E150">
    <cfRule type="cellIs" dxfId="32" priority="25" operator="lessThan">
      <formula>0</formula>
    </cfRule>
  </conditionalFormatting>
  <conditionalFormatting sqref="E151">
    <cfRule type="cellIs" dxfId="31" priority="24" operator="lessThan">
      <formula>0</formula>
    </cfRule>
  </conditionalFormatting>
  <conditionalFormatting sqref="F150">
    <cfRule type="cellIs" dxfId="30" priority="23" operator="lessThan">
      <formula>0</formula>
    </cfRule>
  </conditionalFormatting>
  <conditionalFormatting sqref="F150">
    <cfRule type="cellIs" dxfId="29" priority="22" operator="greaterThan">
      <formula>0</formula>
    </cfRule>
  </conditionalFormatting>
  <conditionalFormatting sqref="F151">
    <cfRule type="cellIs" dxfId="28" priority="21" operator="lessThan">
      <formula>0</formula>
    </cfRule>
  </conditionalFormatting>
  <conditionalFormatting sqref="F151">
    <cfRule type="cellIs" dxfId="27" priority="20" operator="greaterThan">
      <formula>0</formula>
    </cfRule>
  </conditionalFormatting>
  <conditionalFormatting sqref="E18:G18">
    <cfRule type="cellIs" dxfId="26" priority="19" operator="lessThan">
      <formula>0</formula>
    </cfRule>
  </conditionalFormatting>
  <conditionalFormatting sqref="G18">
    <cfRule type="cellIs" dxfId="25" priority="18" operator="greaterThan">
      <formula>0</formula>
    </cfRule>
  </conditionalFormatting>
  <conditionalFormatting sqref="H18">
    <cfRule type="cellIs" dxfId="24" priority="17" operator="lessThan">
      <formula>0</formula>
    </cfRule>
  </conditionalFormatting>
  <conditionalFormatting sqref="H18">
    <cfRule type="cellIs" dxfId="23" priority="16" operator="greaterThan">
      <formula>0</formula>
    </cfRule>
  </conditionalFormatting>
  <conditionalFormatting sqref="D17:H17">
    <cfRule type="cellIs" dxfId="22" priority="15" operator="lessThan">
      <formula>0</formula>
    </cfRule>
  </conditionalFormatting>
  <conditionalFormatting sqref="H3:H5">
    <cfRule type="containsText" dxfId="21" priority="13" operator="containsText" text="✓">
      <formula>NOT(ISERROR(SEARCH("✓",H3)))</formula>
    </cfRule>
    <cfRule type="containsText" dxfId="20" priority="14" operator="containsText" text="▲">
      <formula>NOT(ISERROR(SEARCH("▲",H3)))</formula>
    </cfRule>
  </conditionalFormatting>
  <conditionalFormatting sqref="H9:H15">
    <cfRule type="containsText" dxfId="19" priority="11" operator="containsText" text="✓">
      <formula>NOT(ISERROR(SEARCH("✓",H9)))</formula>
    </cfRule>
    <cfRule type="containsText" dxfId="18" priority="12" operator="containsText" text="▲">
      <formula>NOT(ISERROR(SEARCH("▲",H9)))</formula>
    </cfRule>
  </conditionalFormatting>
  <conditionalFormatting sqref="E16:H16">
    <cfRule type="containsText" dxfId="17" priority="10" operator="containsText" text="▲">
      <formula>NOT(ISERROR(SEARCH("▲",E16)))</formula>
    </cfRule>
  </conditionalFormatting>
  <conditionalFormatting sqref="S122:S131">
    <cfRule type="cellIs" dxfId="16" priority="9" operator="lessThan">
      <formula>0</formula>
    </cfRule>
  </conditionalFormatting>
  <conditionalFormatting sqref="R122:R131">
    <cfRule type="cellIs" dxfId="15" priority="7" operator="equal">
      <formula>0</formula>
    </cfRule>
    <cfRule type="cellIs" dxfId="14" priority="8" operator="greaterThan">
      <formula>0</formula>
    </cfRule>
    <cfRule type="cellIs" dxfId="13" priority="76" operator="lessThan">
      <formula>0</formula>
    </cfRule>
  </conditionalFormatting>
  <conditionalFormatting sqref="S33:S43">
    <cfRule type="cellIs" dxfId="12" priority="5" operator="lessThan">
      <formula>0</formula>
    </cfRule>
  </conditionalFormatting>
  <conditionalFormatting sqref="S45:S55">
    <cfRule type="cellIs" dxfId="11" priority="4" operator="lessThan">
      <formula>0</formula>
    </cfRule>
  </conditionalFormatting>
  <conditionalFormatting sqref="S57:S66">
    <cfRule type="cellIs" dxfId="10" priority="3" operator="lessThan">
      <formula>0</formula>
    </cfRule>
  </conditionalFormatting>
  <conditionalFormatting sqref="S20:S31">
    <cfRule type="cellIs" dxfId="9" priority="2" operator="lessThan">
      <formula>0</formula>
    </cfRule>
  </conditionalFormatting>
  <conditionalFormatting sqref="S32">
    <cfRule type="cellIs" dxfId="8" priority="1" operator="lessThan">
      <formula>0</formula>
    </cfRule>
  </conditionalFormatting>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AJ135"/>
  <sheetViews>
    <sheetView zoomScale="80" zoomScaleNormal="80" workbookViewId="0">
      <pane xSplit="2" ySplit="2" topLeftCell="C3" activePane="bottomRight" state="frozen"/>
      <selection pane="topRight" activeCell="C1" sqref="C1"/>
      <selection pane="bottomLeft" activeCell="A3" sqref="A3"/>
      <selection pane="bottomRight" activeCell="B1" sqref="B1"/>
    </sheetView>
  </sheetViews>
  <sheetFormatPr defaultColWidth="12" defaultRowHeight="14.25" customHeight="1" x14ac:dyDescent="0.25"/>
  <cols>
    <col min="1" max="1" width="5.33203125" style="33" hidden="1" customWidth="1"/>
    <col min="2" max="2" width="72.44140625" style="30" bestFit="1" customWidth="1"/>
    <col min="3" max="3" width="37.5546875" style="30" bestFit="1" customWidth="1"/>
    <col min="4" max="4" width="12.6640625" style="30" bestFit="1" customWidth="1"/>
    <col min="5" max="5" width="17.6640625" style="30" bestFit="1" customWidth="1"/>
    <col min="6" max="6" width="24.6640625" style="30" bestFit="1" customWidth="1"/>
    <col min="7" max="7" width="17.6640625" style="30" bestFit="1" customWidth="1"/>
    <col min="8" max="8" width="74.6640625" style="30" bestFit="1" customWidth="1"/>
    <col min="9" max="9" width="17.6640625" style="30" bestFit="1" customWidth="1"/>
    <col min="10" max="10" width="70.5546875" style="30" bestFit="1" customWidth="1"/>
    <col min="11" max="11" width="35.5546875" style="30" bestFit="1" customWidth="1"/>
    <col min="12" max="12" width="31.44140625" style="30" bestFit="1" customWidth="1"/>
    <col min="13" max="13" width="61.44140625" style="30" bestFit="1" customWidth="1"/>
    <col min="14" max="14" width="40.33203125" style="30" bestFit="1" customWidth="1"/>
    <col min="15" max="15" width="13.6640625" style="30" bestFit="1" customWidth="1"/>
    <col min="16" max="16" width="46.6640625" style="30" bestFit="1" customWidth="1"/>
    <col min="17" max="17" width="13.6640625" style="30" bestFit="1" customWidth="1"/>
    <col min="18" max="18" width="27.5546875" style="33" bestFit="1" customWidth="1"/>
    <col min="19" max="19" width="40.5546875" style="30" bestFit="1" customWidth="1"/>
    <col min="20" max="20" width="19.33203125" style="30" bestFit="1" customWidth="1"/>
    <col min="21" max="21" width="26.33203125" style="30" customWidth="1"/>
    <col min="22" max="22" width="35.33203125" style="30" bestFit="1" customWidth="1"/>
    <col min="23" max="23" width="31.33203125" style="30" bestFit="1" customWidth="1"/>
    <col min="24" max="24" width="71.33203125" style="30" bestFit="1" customWidth="1"/>
    <col min="25" max="25" width="26.33203125" style="30" customWidth="1"/>
    <col min="26" max="26" width="27.44140625" style="30" bestFit="1" customWidth="1"/>
    <col min="27" max="27" width="40.5546875" style="30" bestFit="1" customWidth="1"/>
    <col min="28" max="29" width="31.33203125" style="30" customWidth="1"/>
    <col min="30" max="30" width="73.6640625" style="30" bestFit="1" customWidth="1"/>
    <col min="31" max="31" width="31.33203125" style="30" customWidth="1"/>
    <col min="32" max="32" width="23.6640625" style="30" bestFit="1" customWidth="1"/>
    <col min="33" max="33" width="43.6640625" style="30" bestFit="1" customWidth="1"/>
    <col min="34" max="34" width="12" style="30" customWidth="1"/>
    <col min="35" max="16381" width="0" style="30" hidden="1" customWidth="1"/>
    <col min="16382" max="16384" width="12" style="30"/>
  </cols>
  <sheetData>
    <row r="1" spans="1:35" ht="47.7" customHeight="1" thickBot="1" x14ac:dyDescent="0.45">
      <c r="D1" s="1856" t="s">
        <v>564</v>
      </c>
      <c r="E1" s="1856"/>
      <c r="F1" s="1856"/>
      <c r="G1" s="149"/>
      <c r="H1" s="448"/>
      <c r="I1" s="149"/>
      <c r="J1" s="149"/>
      <c r="V1" s="1857" t="s">
        <v>565</v>
      </c>
      <c r="W1" s="1859"/>
      <c r="X1" s="1858"/>
      <c r="Z1" s="1857" t="s">
        <v>566</v>
      </c>
      <c r="AA1" s="1858"/>
      <c r="AF1" s="1860" t="s">
        <v>567</v>
      </c>
      <c r="AG1" s="1860" t="s">
        <v>568</v>
      </c>
    </row>
    <row r="2" spans="1:35" s="81" customFormat="1" ht="14.25" customHeight="1" thickBot="1" x14ac:dyDescent="0.3">
      <c r="A2" s="189"/>
      <c r="B2" s="120" t="s">
        <v>569</v>
      </c>
      <c r="C2" s="125" t="s">
        <v>570</v>
      </c>
      <c r="D2" s="125" t="s">
        <v>571</v>
      </c>
      <c r="E2" s="125" t="s">
        <v>572</v>
      </c>
      <c r="F2" s="125" t="s">
        <v>573</v>
      </c>
      <c r="G2" s="125" t="s">
        <v>574</v>
      </c>
      <c r="H2" s="197" t="s">
        <v>575</v>
      </c>
      <c r="I2" s="125" t="s">
        <v>576</v>
      </c>
      <c r="J2" s="125" t="s">
        <v>577</v>
      </c>
      <c r="K2" s="125" t="s">
        <v>578</v>
      </c>
      <c r="L2" s="125" t="s">
        <v>579</v>
      </c>
      <c r="M2" s="125" t="s">
        <v>580</v>
      </c>
      <c r="N2" s="925" t="s">
        <v>581</v>
      </c>
      <c r="O2" s="925" t="s">
        <v>532</v>
      </c>
      <c r="P2" s="925" t="s">
        <v>582</v>
      </c>
      <c r="Q2" s="925" t="s">
        <v>532</v>
      </c>
      <c r="R2" s="925" t="s">
        <v>583</v>
      </c>
      <c r="S2" s="925" t="s">
        <v>584</v>
      </c>
      <c r="T2" s="924" t="s">
        <v>585</v>
      </c>
      <c r="U2" s="30"/>
      <c r="V2" s="69" t="s">
        <v>586</v>
      </c>
      <c r="W2" s="69" t="s">
        <v>587</v>
      </c>
      <c r="X2" s="69" t="s">
        <v>588</v>
      </c>
      <c r="Y2" s="30"/>
      <c r="Z2" s="69" t="s">
        <v>589</v>
      </c>
      <c r="AA2" s="69" t="s">
        <v>590</v>
      </c>
      <c r="AB2" s="30"/>
      <c r="AC2" s="30"/>
      <c r="AD2" s="69" t="s">
        <v>591</v>
      </c>
      <c r="AE2" s="30"/>
      <c r="AF2" s="1855"/>
      <c r="AG2" s="1855"/>
      <c r="AH2" s="30"/>
      <c r="AI2" s="30"/>
    </row>
    <row r="3" spans="1:35" ht="14.25" customHeight="1" x14ac:dyDescent="0.25">
      <c r="A3" s="928" t="s">
        <v>592</v>
      </c>
      <c r="B3" s="929" t="s">
        <v>593</v>
      </c>
      <c r="C3" s="359" t="s">
        <v>594</v>
      </c>
      <c r="D3" s="359" t="s">
        <v>595</v>
      </c>
      <c r="E3" s="1861" t="s">
        <v>596</v>
      </c>
      <c r="F3" s="286" t="s">
        <v>147</v>
      </c>
      <c r="G3" s="359" t="s">
        <v>597</v>
      </c>
      <c r="H3" s="798" t="s">
        <v>598</v>
      </c>
      <c r="I3" s="359" t="s">
        <v>599</v>
      </c>
      <c r="J3" s="359" t="s">
        <v>600</v>
      </c>
      <c r="K3" s="359" t="s">
        <v>40</v>
      </c>
      <c r="L3" s="359">
        <f t="shared" ref="L3:L8" si="0">IF($K3=$V$3,$W$3,IF($K3=$V$3,$W$3,IF($K3=$V$4,$W$4,IF($K3=$V$5,$W$5,IF($K3=$V$6,$W$6,IF($K3=$V$7,$W$7))))))</f>
        <v>4</v>
      </c>
      <c r="M3" s="800" t="str">
        <f>IF($K3=$V$3,$X$3,IF($K3=$V$4,$X$4,IF($K3=$V$5,$X$5,IF($K3=$V$6,$X$6,IF($K3=$V$7,$X$7)))))</f>
        <v>Same broad habitat or a higher distinctiveness habitat required (≥)</v>
      </c>
      <c r="N3" s="359" t="s">
        <v>295</v>
      </c>
      <c r="O3" s="359">
        <f t="shared" ref="O3:O33" si="1">VLOOKUP(N3,Difficulty,2,FALSE)</f>
        <v>1</v>
      </c>
      <c r="P3" s="359" t="s">
        <v>295</v>
      </c>
      <c r="Q3" s="359">
        <f t="shared" ref="Q3:Q33" si="2">VLOOKUP(P3,Difficulty,2,FALSE)</f>
        <v>1</v>
      </c>
      <c r="R3" s="286"/>
      <c r="S3" s="359"/>
      <c r="T3" s="357" t="s">
        <v>427</v>
      </c>
      <c r="V3" s="301" t="s">
        <v>601</v>
      </c>
      <c r="W3" s="322">
        <v>8</v>
      </c>
      <c r="X3" s="375" t="s">
        <v>291</v>
      </c>
      <c r="Z3" s="322" t="s">
        <v>38</v>
      </c>
      <c r="AA3" s="322">
        <v>3</v>
      </c>
      <c r="AD3" s="347" t="s">
        <v>426</v>
      </c>
      <c r="AF3" s="322" t="s">
        <v>147</v>
      </c>
      <c r="AG3" s="322" t="s">
        <v>147</v>
      </c>
    </row>
    <row r="4" spans="1:35" ht="14.25" customHeight="1" x14ac:dyDescent="0.25">
      <c r="A4" s="928" t="s">
        <v>602</v>
      </c>
      <c r="B4" s="939" t="s">
        <v>603</v>
      </c>
      <c r="C4" s="322" t="s">
        <v>604</v>
      </c>
      <c r="D4" s="322" t="s">
        <v>595</v>
      </c>
      <c r="E4" s="1862"/>
      <c r="F4" s="301" t="s">
        <v>147</v>
      </c>
      <c r="G4" s="322" t="s">
        <v>597</v>
      </c>
      <c r="H4" s="407" t="s">
        <v>598</v>
      </c>
      <c r="I4" s="322" t="s">
        <v>599</v>
      </c>
      <c r="J4" s="322" t="s">
        <v>600</v>
      </c>
      <c r="K4" s="322" t="s">
        <v>40</v>
      </c>
      <c r="L4" s="322">
        <f t="shared" si="0"/>
        <v>4</v>
      </c>
      <c r="M4" s="404" t="str">
        <f t="shared" ref="M4:M73" si="3">IF($K4=$V$3,$X$3,IF($K4=$V$4,$X$4,IF($K4=$V$5,$X$5,IF($K4=$V$6,$X$6,IF($K4=$V$7,$X$7)))))</f>
        <v>Same broad habitat or a higher distinctiveness habitat required (≥)</v>
      </c>
      <c r="N4" s="322" t="s">
        <v>295</v>
      </c>
      <c r="O4" s="322">
        <f t="shared" si="1"/>
        <v>1</v>
      </c>
      <c r="P4" s="322" t="s">
        <v>295</v>
      </c>
      <c r="Q4" s="322">
        <f t="shared" si="2"/>
        <v>1</v>
      </c>
      <c r="R4" s="301"/>
      <c r="S4" s="322"/>
      <c r="T4" s="363" t="s">
        <v>427</v>
      </c>
      <c r="V4" s="322" t="s">
        <v>292</v>
      </c>
      <c r="W4" s="322">
        <v>6</v>
      </c>
      <c r="X4" s="375" t="s">
        <v>320</v>
      </c>
      <c r="Z4" s="322" t="s">
        <v>605</v>
      </c>
      <c r="AA4" s="322">
        <v>2.5</v>
      </c>
      <c r="AD4" s="322" t="s">
        <v>427</v>
      </c>
      <c r="AF4" s="322" t="s">
        <v>78</v>
      </c>
      <c r="AG4" s="322" t="s">
        <v>78</v>
      </c>
    </row>
    <row r="5" spans="1:35" ht="14.25" customHeight="1" x14ac:dyDescent="0.25">
      <c r="A5" s="928" t="s">
        <v>606</v>
      </c>
      <c r="B5" s="939" t="s">
        <v>607</v>
      </c>
      <c r="C5" s="322" t="s">
        <v>608</v>
      </c>
      <c r="D5" s="322" t="s">
        <v>595</v>
      </c>
      <c r="E5" s="1862"/>
      <c r="F5" s="301" t="s">
        <v>147</v>
      </c>
      <c r="G5" s="322" t="s">
        <v>597</v>
      </c>
      <c r="H5" s="407" t="s">
        <v>598</v>
      </c>
      <c r="I5" s="322" t="s">
        <v>599</v>
      </c>
      <c r="J5" s="322" t="s">
        <v>600</v>
      </c>
      <c r="K5" s="322" t="s">
        <v>40</v>
      </c>
      <c r="L5" s="322">
        <f t="shared" si="0"/>
        <v>4</v>
      </c>
      <c r="M5" s="404" t="str">
        <f t="shared" si="3"/>
        <v>Same broad habitat or a higher distinctiveness habitat required (≥)</v>
      </c>
      <c r="N5" s="322" t="s">
        <v>295</v>
      </c>
      <c r="O5" s="322">
        <f t="shared" si="1"/>
        <v>1</v>
      </c>
      <c r="P5" s="322" t="s">
        <v>295</v>
      </c>
      <c r="Q5" s="322">
        <f t="shared" si="2"/>
        <v>1</v>
      </c>
      <c r="R5" s="301"/>
      <c r="S5" s="322"/>
      <c r="T5" s="363" t="s">
        <v>427</v>
      </c>
      <c r="V5" s="322" t="s">
        <v>40</v>
      </c>
      <c r="W5" s="322">
        <v>4</v>
      </c>
      <c r="X5" s="376" t="s">
        <v>294</v>
      </c>
      <c r="Z5" s="322" t="s">
        <v>37</v>
      </c>
      <c r="AA5" s="322">
        <v>2</v>
      </c>
      <c r="AD5" s="322" t="s">
        <v>609</v>
      </c>
      <c r="AF5" s="322" t="s">
        <v>116</v>
      </c>
      <c r="AG5" s="322" t="s">
        <v>610</v>
      </c>
    </row>
    <row r="6" spans="1:35" ht="14.25" customHeight="1" x14ac:dyDescent="0.25">
      <c r="A6" s="928" t="s">
        <v>611</v>
      </c>
      <c r="B6" s="939" t="s">
        <v>612</v>
      </c>
      <c r="C6" s="322" t="s">
        <v>613</v>
      </c>
      <c r="D6" s="322" t="s">
        <v>595</v>
      </c>
      <c r="E6" s="1862"/>
      <c r="F6" s="301" t="s">
        <v>147</v>
      </c>
      <c r="G6" s="322" t="s">
        <v>597</v>
      </c>
      <c r="H6" s="407" t="s">
        <v>598</v>
      </c>
      <c r="I6" s="322" t="s">
        <v>599</v>
      </c>
      <c r="J6" s="322" t="s">
        <v>600</v>
      </c>
      <c r="K6" s="322" t="s">
        <v>40</v>
      </c>
      <c r="L6" s="322">
        <f t="shared" si="0"/>
        <v>4</v>
      </c>
      <c r="M6" s="404" t="str">
        <f t="shared" si="3"/>
        <v>Same broad habitat or a higher distinctiveness habitat required (≥)</v>
      </c>
      <c r="N6" s="322" t="s">
        <v>295</v>
      </c>
      <c r="O6" s="322">
        <f t="shared" si="1"/>
        <v>1</v>
      </c>
      <c r="P6" s="322" t="s">
        <v>295</v>
      </c>
      <c r="Q6" s="322">
        <f t="shared" si="2"/>
        <v>1</v>
      </c>
      <c r="R6" s="301"/>
      <c r="S6" s="322"/>
      <c r="T6" s="363" t="s">
        <v>427</v>
      </c>
      <c r="V6" s="322" t="s">
        <v>295</v>
      </c>
      <c r="W6" s="322">
        <v>2</v>
      </c>
      <c r="X6" s="377" t="s">
        <v>296</v>
      </c>
      <c r="Z6" s="322" t="s">
        <v>614</v>
      </c>
      <c r="AA6" s="322">
        <v>1.5</v>
      </c>
      <c r="AF6" s="322" t="s">
        <v>72</v>
      </c>
      <c r="AG6" s="322" t="s">
        <v>72</v>
      </c>
    </row>
    <row r="7" spans="1:35" ht="14.25" customHeight="1" x14ac:dyDescent="0.25">
      <c r="A7" s="928" t="s">
        <v>615</v>
      </c>
      <c r="B7" s="939" t="s">
        <v>616</v>
      </c>
      <c r="C7" s="322" t="s">
        <v>617</v>
      </c>
      <c r="D7" s="322" t="s">
        <v>595</v>
      </c>
      <c r="E7" s="1862"/>
      <c r="F7" s="301" t="s">
        <v>147</v>
      </c>
      <c r="G7" s="322" t="s">
        <v>597</v>
      </c>
      <c r="H7" s="407" t="s">
        <v>598</v>
      </c>
      <c r="I7" s="322" t="s">
        <v>617</v>
      </c>
      <c r="J7" s="322" t="s">
        <v>615</v>
      </c>
      <c r="K7" s="322" t="s">
        <v>295</v>
      </c>
      <c r="L7" s="322">
        <f t="shared" si="0"/>
        <v>2</v>
      </c>
      <c r="M7" s="404" t="str">
        <f t="shared" si="3"/>
        <v>Same distinctiveness or better habitat required ≥</v>
      </c>
      <c r="N7" s="322" t="s">
        <v>295</v>
      </c>
      <c r="O7" s="322">
        <f t="shared" si="1"/>
        <v>1</v>
      </c>
      <c r="P7" s="322" t="s">
        <v>295</v>
      </c>
      <c r="Q7" s="322">
        <f t="shared" si="2"/>
        <v>1</v>
      </c>
      <c r="R7" s="301"/>
      <c r="S7" s="322"/>
      <c r="T7" s="363" t="s">
        <v>427</v>
      </c>
      <c r="V7" s="822" t="s">
        <v>618</v>
      </c>
      <c r="W7" s="822">
        <v>0</v>
      </c>
      <c r="X7" s="834" t="s">
        <v>619</v>
      </c>
      <c r="Z7" s="322" t="s">
        <v>453</v>
      </c>
      <c r="AA7" s="322">
        <v>1</v>
      </c>
      <c r="AF7" s="322" t="s">
        <v>82</v>
      </c>
      <c r="AG7" s="322" t="s">
        <v>620</v>
      </c>
    </row>
    <row r="8" spans="1:35" ht="14.25" customHeight="1" x14ac:dyDescent="0.25">
      <c r="A8" s="928" t="s">
        <v>621</v>
      </c>
      <c r="B8" s="939" t="s">
        <v>622</v>
      </c>
      <c r="C8" s="322" t="s">
        <v>623</v>
      </c>
      <c r="D8" s="322" t="s">
        <v>595</v>
      </c>
      <c r="E8" s="1862"/>
      <c r="F8" s="301" t="s">
        <v>147</v>
      </c>
      <c r="G8" s="322" t="s">
        <v>597</v>
      </c>
      <c r="H8" s="407" t="s">
        <v>598</v>
      </c>
      <c r="I8" s="322" t="s">
        <v>617</v>
      </c>
      <c r="J8" s="322" t="s">
        <v>615</v>
      </c>
      <c r="K8" s="322" t="s">
        <v>295</v>
      </c>
      <c r="L8" s="322">
        <f t="shared" si="0"/>
        <v>2</v>
      </c>
      <c r="M8" s="404" t="str">
        <f t="shared" si="3"/>
        <v>Same distinctiveness or better habitat required ≥</v>
      </c>
      <c r="N8" s="322" t="s">
        <v>295</v>
      </c>
      <c r="O8" s="322">
        <f t="shared" si="1"/>
        <v>1</v>
      </c>
      <c r="P8" s="322" t="s">
        <v>295</v>
      </c>
      <c r="Q8" s="322">
        <f t="shared" si="2"/>
        <v>1</v>
      </c>
      <c r="R8" s="301"/>
      <c r="S8" s="322"/>
      <c r="T8" s="363" t="s">
        <v>427</v>
      </c>
      <c r="V8" s="829"/>
      <c r="W8" s="829"/>
      <c r="X8" s="832"/>
      <c r="Z8" s="322" t="s">
        <v>624</v>
      </c>
      <c r="AA8" s="322">
        <v>1</v>
      </c>
      <c r="AF8" s="345" t="s">
        <v>120</v>
      </c>
      <c r="AG8" s="345" t="s">
        <v>120</v>
      </c>
    </row>
    <row r="9" spans="1:35" ht="14.25" customHeight="1" x14ac:dyDescent="0.25">
      <c r="A9" s="928" t="s">
        <v>625</v>
      </c>
      <c r="B9" s="939" t="s">
        <v>626</v>
      </c>
      <c r="C9" s="322" t="s">
        <v>627</v>
      </c>
      <c r="D9" s="322" t="s">
        <v>595</v>
      </c>
      <c r="E9" s="1862"/>
      <c r="F9" s="301" t="s">
        <v>147</v>
      </c>
      <c r="G9" s="322" t="s">
        <v>597</v>
      </c>
      <c r="H9" s="407" t="s">
        <v>598</v>
      </c>
      <c r="I9" s="322" t="s">
        <v>627</v>
      </c>
      <c r="J9" s="322" t="s">
        <v>625</v>
      </c>
      <c r="K9" s="322" t="s">
        <v>295</v>
      </c>
      <c r="L9" s="322">
        <f t="shared" ref="L9:L49" si="4">IF(K9=$V$3,$W$3,IF(K9=$V$3,$W$3,IF(K9=$V$4,$W$4,IF(K9=$V$5,$W$5,IF(K9=$V$6,$W$6,IF(K9=$V$7,$W$7))))))</f>
        <v>2</v>
      </c>
      <c r="M9" s="404" t="str">
        <f t="shared" si="3"/>
        <v>Same distinctiveness or better habitat required ≥</v>
      </c>
      <c r="N9" s="322" t="s">
        <v>295</v>
      </c>
      <c r="O9" s="322">
        <f t="shared" si="1"/>
        <v>1</v>
      </c>
      <c r="P9" s="322" t="s">
        <v>295</v>
      </c>
      <c r="Q9" s="322">
        <f t="shared" si="2"/>
        <v>1</v>
      </c>
      <c r="R9" s="301"/>
      <c r="S9" s="322"/>
      <c r="T9" s="363" t="s">
        <v>427</v>
      </c>
      <c r="V9" s="831" t="s">
        <v>628</v>
      </c>
      <c r="W9" s="830"/>
      <c r="X9" s="833" t="s">
        <v>629</v>
      </c>
      <c r="Z9" s="322" t="s">
        <v>630</v>
      </c>
      <c r="AA9" s="322">
        <v>0</v>
      </c>
      <c r="AF9" s="322" t="s">
        <v>123</v>
      </c>
      <c r="AG9" s="322" t="s">
        <v>123</v>
      </c>
    </row>
    <row r="10" spans="1:35" ht="14.25" customHeight="1" x14ac:dyDescent="0.25">
      <c r="A10" s="928" t="s">
        <v>631</v>
      </c>
      <c r="B10" s="939" t="s">
        <v>632</v>
      </c>
      <c r="C10" s="322" t="s">
        <v>633</v>
      </c>
      <c r="D10" s="322" t="s">
        <v>595</v>
      </c>
      <c r="E10" s="1862"/>
      <c r="F10" s="301" t="s">
        <v>147</v>
      </c>
      <c r="G10" s="322" t="s">
        <v>597</v>
      </c>
      <c r="H10" s="407" t="s">
        <v>598</v>
      </c>
      <c r="I10" s="322" t="s">
        <v>633</v>
      </c>
      <c r="J10" s="322" t="s">
        <v>631</v>
      </c>
      <c r="K10" s="322" t="s">
        <v>295</v>
      </c>
      <c r="L10" s="322">
        <f t="shared" si="4"/>
        <v>2</v>
      </c>
      <c r="M10" s="404" t="str">
        <f t="shared" si="3"/>
        <v>Same distinctiveness or better habitat required ≥</v>
      </c>
      <c r="N10" s="322" t="s">
        <v>295</v>
      </c>
      <c r="O10" s="322">
        <f t="shared" si="1"/>
        <v>1</v>
      </c>
      <c r="P10" s="322" t="s">
        <v>295</v>
      </c>
      <c r="Q10" s="322">
        <f t="shared" si="2"/>
        <v>1</v>
      </c>
      <c r="R10" s="301"/>
      <c r="S10" s="322"/>
      <c r="T10" s="363" t="s">
        <v>427</v>
      </c>
      <c r="AF10" s="322" t="s">
        <v>87</v>
      </c>
      <c r="AG10" s="322" t="s">
        <v>634</v>
      </c>
    </row>
    <row r="11" spans="1:35" ht="14.25" customHeight="1" x14ac:dyDescent="0.25">
      <c r="A11" s="928" t="s">
        <v>635</v>
      </c>
      <c r="B11" s="939" t="s">
        <v>636</v>
      </c>
      <c r="C11" s="322" t="s">
        <v>637</v>
      </c>
      <c r="D11" s="322" t="s">
        <v>595</v>
      </c>
      <c r="E11" s="1862"/>
      <c r="F11" s="301" t="s">
        <v>147</v>
      </c>
      <c r="G11" s="322" t="s">
        <v>597</v>
      </c>
      <c r="H11" s="407" t="s">
        <v>598</v>
      </c>
      <c r="I11" s="322" t="s">
        <v>637</v>
      </c>
      <c r="J11" s="322" t="s">
        <v>635</v>
      </c>
      <c r="K11" s="322" t="s">
        <v>295</v>
      </c>
      <c r="L11" s="322">
        <f t="shared" si="4"/>
        <v>2</v>
      </c>
      <c r="M11" s="404" t="str">
        <f t="shared" si="3"/>
        <v>Same distinctiveness or better habitat required ≥</v>
      </c>
      <c r="N11" s="322" t="s">
        <v>295</v>
      </c>
      <c r="O11" s="322">
        <f t="shared" si="1"/>
        <v>1</v>
      </c>
      <c r="P11" s="322" t="s">
        <v>295</v>
      </c>
      <c r="Q11" s="322">
        <f t="shared" si="2"/>
        <v>1</v>
      </c>
      <c r="R11" s="301"/>
      <c r="S11" s="322"/>
      <c r="T11" s="363" t="s">
        <v>427</v>
      </c>
      <c r="AF11" s="322" t="s">
        <v>92</v>
      </c>
      <c r="AG11" s="322" t="s">
        <v>638</v>
      </c>
    </row>
    <row r="12" spans="1:35" ht="14.25" customHeight="1" thickBot="1" x14ac:dyDescent="0.3">
      <c r="A12" s="928" t="s">
        <v>639</v>
      </c>
      <c r="B12" s="930" t="s">
        <v>640</v>
      </c>
      <c r="C12" s="307" t="s">
        <v>641</v>
      </c>
      <c r="D12" s="307" t="s">
        <v>595</v>
      </c>
      <c r="E12" s="1863"/>
      <c r="F12" s="290" t="s">
        <v>147</v>
      </c>
      <c r="G12" s="307" t="s">
        <v>597</v>
      </c>
      <c r="H12" s="408" t="s">
        <v>598</v>
      </c>
      <c r="I12" s="307" t="s">
        <v>641</v>
      </c>
      <c r="J12" s="307" t="s">
        <v>639</v>
      </c>
      <c r="K12" s="307" t="s">
        <v>295</v>
      </c>
      <c r="L12" s="307">
        <f t="shared" si="4"/>
        <v>2</v>
      </c>
      <c r="M12" s="405" t="str">
        <f t="shared" si="3"/>
        <v>Same distinctiveness or better habitat required ≥</v>
      </c>
      <c r="N12" s="307" t="s">
        <v>295</v>
      </c>
      <c r="O12" s="307">
        <f t="shared" si="1"/>
        <v>1</v>
      </c>
      <c r="P12" s="307" t="s">
        <v>295</v>
      </c>
      <c r="Q12" s="307">
        <f t="shared" si="2"/>
        <v>1</v>
      </c>
      <c r="R12" s="290"/>
      <c r="S12" s="307"/>
      <c r="T12" s="355" t="s">
        <v>427</v>
      </c>
      <c r="AF12" s="322" t="s">
        <v>94</v>
      </c>
      <c r="AG12" s="322" t="s">
        <v>642</v>
      </c>
    </row>
    <row r="13" spans="1:35" ht="14.25" customHeight="1" x14ac:dyDescent="0.25">
      <c r="A13" s="928" t="s">
        <v>643</v>
      </c>
      <c r="B13" s="929" t="s">
        <v>121</v>
      </c>
      <c r="C13" s="359">
        <v>27</v>
      </c>
      <c r="D13" s="359" t="s">
        <v>595</v>
      </c>
      <c r="E13" s="359"/>
      <c r="F13" s="286" t="s">
        <v>644</v>
      </c>
      <c r="G13" s="359"/>
      <c r="H13" s="798" t="s">
        <v>643</v>
      </c>
      <c r="I13" s="359"/>
      <c r="J13" s="359" t="s">
        <v>643</v>
      </c>
      <c r="K13" s="359" t="s">
        <v>292</v>
      </c>
      <c r="L13" s="359">
        <f t="shared" si="4"/>
        <v>6</v>
      </c>
      <c r="M13" s="800" t="str">
        <f t="shared" si="3"/>
        <v>Same habitat required =</v>
      </c>
      <c r="N13" s="359" t="s">
        <v>295</v>
      </c>
      <c r="O13" s="359">
        <f t="shared" si="1"/>
        <v>1</v>
      </c>
      <c r="P13" s="359" t="s">
        <v>40</v>
      </c>
      <c r="Q13" s="359">
        <f t="shared" si="2"/>
        <v>0.67</v>
      </c>
      <c r="R13" s="286"/>
      <c r="S13" s="359"/>
      <c r="T13" s="357" t="s">
        <v>427</v>
      </c>
      <c r="AF13" s="322" t="s">
        <v>99</v>
      </c>
      <c r="AG13" s="322" t="s">
        <v>645</v>
      </c>
    </row>
    <row r="14" spans="1:35" ht="14.25" customHeight="1" x14ac:dyDescent="0.25">
      <c r="A14" s="928" t="s">
        <v>646</v>
      </c>
      <c r="B14" s="939" t="s">
        <v>647</v>
      </c>
      <c r="C14" s="322" t="s">
        <v>648</v>
      </c>
      <c r="D14" s="322" t="s">
        <v>595</v>
      </c>
      <c r="E14" s="322" t="s">
        <v>649</v>
      </c>
      <c r="F14" s="301" t="s">
        <v>78</v>
      </c>
      <c r="G14" s="322" t="s">
        <v>650</v>
      </c>
      <c r="H14" s="407" t="s">
        <v>651</v>
      </c>
      <c r="I14" s="322" t="s">
        <v>648</v>
      </c>
      <c r="J14" s="322" t="s">
        <v>646</v>
      </c>
      <c r="K14" s="322" t="s">
        <v>295</v>
      </c>
      <c r="L14" s="322">
        <f t="shared" si="4"/>
        <v>2</v>
      </c>
      <c r="M14" s="404" t="str">
        <f t="shared" si="3"/>
        <v>Same distinctiveness or better habitat required ≥</v>
      </c>
      <c r="N14" s="322" t="s">
        <v>295</v>
      </c>
      <c r="O14" s="322">
        <f t="shared" si="1"/>
        <v>1</v>
      </c>
      <c r="P14" s="322" t="s">
        <v>295</v>
      </c>
      <c r="Q14" s="322">
        <f t="shared" si="2"/>
        <v>1</v>
      </c>
      <c r="R14" s="301"/>
      <c r="S14" s="322"/>
      <c r="T14" s="363" t="s">
        <v>427</v>
      </c>
      <c r="AF14" s="322" t="s">
        <v>105</v>
      </c>
      <c r="AG14" s="322" t="s">
        <v>652</v>
      </c>
    </row>
    <row r="15" spans="1:35" ht="14.25" customHeight="1" x14ac:dyDescent="0.25">
      <c r="A15" s="928" t="s">
        <v>653</v>
      </c>
      <c r="B15" s="939" t="s">
        <v>77</v>
      </c>
      <c r="C15" s="322" t="s">
        <v>654</v>
      </c>
      <c r="D15" s="322" t="s">
        <v>595</v>
      </c>
      <c r="E15" s="322"/>
      <c r="F15" s="301"/>
      <c r="G15" s="322"/>
      <c r="H15" s="407" t="s">
        <v>655</v>
      </c>
      <c r="I15" s="322"/>
      <c r="J15" s="322" t="s">
        <v>655</v>
      </c>
      <c r="K15" s="322" t="s">
        <v>292</v>
      </c>
      <c r="L15" s="322">
        <f t="shared" si="4"/>
        <v>6</v>
      </c>
      <c r="M15" s="404" t="str">
        <f t="shared" si="3"/>
        <v>Same habitat required =</v>
      </c>
      <c r="N15" s="322" t="s">
        <v>292</v>
      </c>
      <c r="O15" s="322">
        <f t="shared" si="1"/>
        <v>0.33</v>
      </c>
      <c r="P15" s="322" t="s">
        <v>40</v>
      </c>
      <c r="Q15" s="322">
        <f t="shared" si="2"/>
        <v>0.67</v>
      </c>
      <c r="R15" s="301"/>
      <c r="S15" s="322"/>
      <c r="T15" s="363" t="s">
        <v>427</v>
      </c>
      <c r="AF15" s="322" t="s">
        <v>216</v>
      </c>
      <c r="AG15" s="322" t="s">
        <v>656</v>
      </c>
    </row>
    <row r="16" spans="1:35" ht="14.25" customHeight="1" x14ac:dyDescent="0.25">
      <c r="A16" s="928" t="s">
        <v>657</v>
      </c>
      <c r="B16" s="939" t="s">
        <v>112</v>
      </c>
      <c r="C16" s="322" t="s">
        <v>658</v>
      </c>
      <c r="D16" s="322" t="s">
        <v>595</v>
      </c>
      <c r="E16" s="322" t="s">
        <v>649</v>
      </c>
      <c r="F16" s="301" t="s">
        <v>78</v>
      </c>
      <c r="G16" s="322" t="s">
        <v>659</v>
      </c>
      <c r="H16" s="407" t="s">
        <v>660</v>
      </c>
      <c r="I16" s="322" t="s">
        <v>658</v>
      </c>
      <c r="J16" s="346" t="s">
        <v>657</v>
      </c>
      <c r="K16" s="322" t="s">
        <v>292</v>
      </c>
      <c r="L16" s="322">
        <f t="shared" si="4"/>
        <v>6</v>
      </c>
      <c r="M16" s="404" t="str">
        <f t="shared" si="3"/>
        <v>Same habitat required =</v>
      </c>
      <c r="N16" s="322" t="s">
        <v>292</v>
      </c>
      <c r="O16" s="322">
        <f t="shared" si="1"/>
        <v>0.33</v>
      </c>
      <c r="P16" s="322" t="s">
        <v>292</v>
      </c>
      <c r="Q16" s="322">
        <f t="shared" si="2"/>
        <v>0.33</v>
      </c>
      <c r="R16" s="301"/>
      <c r="S16" s="322"/>
      <c r="T16" s="363" t="s">
        <v>427</v>
      </c>
      <c r="AF16" s="322" t="s">
        <v>217</v>
      </c>
      <c r="AG16" s="322" t="s">
        <v>661</v>
      </c>
    </row>
    <row r="17" spans="1:33" ht="14.25" customHeight="1" x14ac:dyDescent="0.25">
      <c r="A17" s="928" t="s">
        <v>662</v>
      </c>
      <c r="B17" s="939" t="s">
        <v>663</v>
      </c>
      <c r="C17" s="322" t="s">
        <v>664</v>
      </c>
      <c r="D17" s="322" t="s">
        <v>595</v>
      </c>
      <c r="E17" s="322" t="s">
        <v>649</v>
      </c>
      <c r="F17" s="301" t="s">
        <v>78</v>
      </c>
      <c r="G17" s="322" t="s">
        <v>650</v>
      </c>
      <c r="H17" s="407" t="s">
        <v>651</v>
      </c>
      <c r="I17" s="322" t="s">
        <v>664</v>
      </c>
      <c r="J17" s="346" t="s">
        <v>662</v>
      </c>
      <c r="K17" s="322" t="s">
        <v>601</v>
      </c>
      <c r="L17" s="322">
        <f t="shared" si="4"/>
        <v>8</v>
      </c>
      <c r="M17" s="404" t="str">
        <f t="shared" si="3"/>
        <v>Same habitat required – bespoke compensation option ⚠</v>
      </c>
      <c r="N17" s="322" t="s">
        <v>292</v>
      </c>
      <c r="O17" s="322">
        <f t="shared" si="1"/>
        <v>0.33</v>
      </c>
      <c r="P17" s="322" t="s">
        <v>292</v>
      </c>
      <c r="Q17" s="322">
        <f t="shared" si="2"/>
        <v>0.33</v>
      </c>
      <c r="R17" s="301"/>
      <c r="S17" s="322"/>
      <c r="T17" s="363" t="s">
        <v>427</v>
      </c>
      <c r="AF17" s="322" t="s">
        <v>148</v>
      </c>
      <c r="AG17" s="322" t="s">
        <v>665</v>
      </c>
    </row>
    <row r="18" spans="1:33" ht="14.25" customHeight="1" x14ac:dyDescent="0.25">
      <c r="A18" s="928" t="s">
        <v>666</v>
      </c>
      <c r="B18" s="939" t="s">
        <v>667</v>
      </c>
      <c r="C18" s="322" t="s">
        <v>668</v>
      </c>
      <c r="D18" s="322" t="s">
        <v>595</v>
      </c>
      <c r="E18" s="322" t="s">
        <v>649</v>
      </c>
      <c r="F18" s="301" t="s">
        <v>78</v>
      </c>
      <c r="G18" s="322" t="s">
        <v>669</v>
      </c>
      <c r="H18" s="407" t="s">
        <v>670</v>
      </c>
      <c r="I18" s="322" t="s">
        <v>668</v>
      </c>
      <c r="J18" s="346" t="s">
        <v>666</v>
      </c>
      <c r="K18" s="322" t="s">
        <v>601</v>
      </c>
      <c r="L18" s="322">
        <f t="shared" si="4"/>
        <v>8</v>
      </c>
      <c r="M18" s="404" t="str">
        <f t="shared" si="3"/>
        <v>Same habitat required – bespoke compensation option ⚠</v>
      </c>
      <c r="N18" s="322" t="s">
        <v>292</v>
      </c>
      <c r="O18" s="322">
        <f t="shared" si="1"/>
        <v>0.33</v>
      </c>
      <c r="P18" s="322" t="s">
        <v>40</v>
      </c>
      <c r="Q18" s="322">
        <f t="shared" si="2"/>
        <v>0.67</v>
      </c>
      <c r="R18" s="301"/>
      <c r="S18" s="322"/>
      <c r="T18" s="363" t="s">
        <v>427</v>
      </c>
    </row>
    <row r="19" spans="1:33" ht="14.25" customHeight="1" x14ac:dyDescent="0.25">
      <c r="A19" s="928" t="s">
        <v>671</v>
      </c>
      <c r="B19" s="939" t="s">
        <v>672</v>
      </c>
      <c r="C19" s="322" t="s">
        <v>673</v>
      </c>
      <c r="D19" s="322" t="s">
        <v>595</v>
      </c>
      <c r="E19" s="322" t="s">
        <v>649</v>
      </c>
      <c r="F19" s="301" t="s">
        <v>78</v>
      </c>
      <c r="G19" s="322" t="s">
        <v>673</v>
      </c>
      <c r="H19" s="407" t="s">
        <v>671</v>
      </c>
      <c r="I19" s="301" t="s">
        <v>674</v>
      </c>
      <c r="J19" s="301" t="s">
        <v>671</v>
      </c>
      <c r="K19" s="322" t="s">
        <v>295</v>
      </c>
      <c r="L19" s="322">
        <f t="shared" si="4"/>
        <v>2</v>
      </c>
      <c r="M19" s="404" t="str">
        <f t="shared" si="3"/>
        <v>Same distinctiveness or better habitat required ≥</v>
      </c>
      <c r="N19" s="322" t="s">
        <v>295</v>
      </c>
      <c r="O19" s="322">
        <f t="shared" si="1"/>
        <v>1</v>
      </c>
      <c r="P19" s="322" t="s">
        <v>295</v>
      </c>
      <c r="Q19" s="322">
        <f t="shared" si="2"/>
        <v>1</v>
      </c>
      <c r="R19" s="301"/>
      <c r="S19" s="322"/>
      <c r="T19" s="363" t="s">
        <v>427</v>
      </c>
    </row>
    <row r="20" spans="1:33" ht="14.25" customHeight="1" x14ac:dyDescent="0.25">
      <c r="A20" s="928" t="s">
        <v>675</v>
      </c>
      <c r="B20" s="939" t="s">
        <v>676</v>
      </c>
      <c r="C20" s="322" t="s">
        <v>677</v>
      </c>
      <c r="D20" s="322" t="s">
        <v>595</v>
      </c>
      <c r="E20" s="322" t="s">
        <v>649</v>
      </c>
      <c r="F20" s="301" t="s">
        <v>78</v>
      </c>
      <c r="G20" s="322" t="s">
        <v>650</v>
      </c>
      <c r="H20" s="407" t="s">
        <v>651</v>
      </c>
      <c r="I20" s="322" t="s">
        <v>677</v>
      </c>
      <c r="J20" s="322" t="s">
        <v>675</v>
      </c>
      <c r="K20" s="322" t="s">
        <v>40</v>
      </c>
      <c r="L20" s="322">
        <f t="shared" si="4"/>
        <v>4</v>
      </c>
      <c r="M20" s="404" t="str">
        <f t="shared" si="3"/>
        <v>Same broad habitat or a higher distinctiveness habitat required (≥)</v>
      </c>
      <c r="N20" s="322" t="s">
        <v>295</v>
      </c>
      <c r="O20" s="322">
        <f t="shared" si="1"/>
        <v>1</v>
      </c>
      <c r="P20" s="322" t="s">
        <v>295</v>
      </c>
      <c r="Q20" s="322">
        <f t="shared" si="2"/>
        <v>1</v>
      </c>
      <c r="R20" s="301"/>
      <c r="S20" s="322"/>
      <c r="T20" s="363" t="s">
        <v>427</v>
      </c>
    </row>
    <row r="21" spans="1:33" ht="14.25" customHeight="1" x14ac:dyDescent="0.25">
      <c r="A21" s="928" t="s">
        <v>678</v>
      </c>
      <c r="B21" s="939" t="s">
        <v>679</v>
      </c>
      <c r="C21" s="322" t="s">
        <v>680</v>
      </c>
      <c r="D21" s="322" t="s">
        <v>595</v>
      </c>
      <c r="E21" s="322" t="s">
        <v>649</v>
      </c>
      <c r="F21" s="301" t="s">
        <v>78</v>
      </c>
      <c r="G21" s="322" t="s">
        <v>669</v>
      </c>
      <c r="H21" s="407" t="s">
        <v>670</v>
      </c>
      <c r="I21" s="322" t="s">
        <v>680</v>
      </c>
      <c r="J21" s="322" t="s">
        <v>678</v>
      </c>
      <c r="K21" s="322" t="s">
        <v>40</v>
      </c>
      <c r="L21" s="322">
        <f t="shared" si="4"/>
        <v>4</v>
      </c>
      <c r="M21" s="404" t="str">
        <f t="shared" si="3"/>
        <v>Same broad habitat or a higher distinctiveness habitat required (≥)</v>
      </c>
      <c r="N21" s="322" t="s">
        <v>295</v>
      </c>
      <c r="O21" s="322">
        <f t="shared" si="1"/>
        <v>1</v>
      </c>
      <c r="P21" s="322" t="s">
        <v>295</v>
      </c>
      <c r="Q21" s="322">
        <f t="shared" si="2"/>
        <v>1</v>
      </c>
      <c r="R21" s="301"/>
      <c r="S21" s="322"/>
      <c r="T21" s="363" t="s">
        <v>427</v>
      </c>
    </row>
    <row r="22" spans="1:33" ht="14.25" customHeight="1" x14ac:dyDescent="0.25">
      <c r="A22" s="928" t="s">
        <v>681</v>
      </c>
      <c r="B22" s="939" t="s">
        <v>113</v>
      </c>
      <c r="C22" s="322" t="s">
        <v>682</v>
      </c>
      <c r="D22" s="322" t="s">
        <v>595</v>
      </c>
      <c r="E22" s="322" t="s">
        <v>683</v>
      </c>
      <c r="F22" s="301" t="s">
        <v>82</v>
      </c>
      <c r="G22" s="322" t="s">
        <v>684</v>
      </c>
      <c r="H22" s="407" t="s">
        <v>685</v>
      </c>
      <c r="I22" s="301"/>
      <c r="J22" s="322" t="s">
        <v>686</v>
      </c>
      <c r="K22" s="322" t="s">
        <v>292</v>
      </c>
      <c r="L22" s="322">
        <f t="shared" si="4"/>
        <v>6</v>
      </c>
      <c r="M22" s="404" t="str">
        <f t="shared" si="3"/>
        <v>Same habitat required =</v>
      </c>
      <c r="N22" s="322" t="s">
        <v>292</v>
      </c>
      <c r="O22" s="322">
        <f t="shared" si="1"/>
        <v>0.33</v>
      </c>
      <c r="P22" s="322" t="s">
        <v>292</v>
      </c>
      <c r="Q22" s="322">
        <f t="shared" si="2"/>
        <v>0.33</v>
      </c>
      <c r="R22" s="301"/>
      <c r="S22" s="322"/>
      <c r="T22" s="363" t="s">
        <v>427</v>
      </c>
    </row>
    <row r="23" spans="1:33" ht="14.25" customHeight="1" x14ac:dyDescent="0.25">
      <c r="A23" s="928" t="s">
        <v>687</v>
      </c>
      <c r="B23" s="939" t="s">
        <v>688</v>
      </c>
      <c r="C23" s="322" t="s">
        <v>689</v>
      </c>
      <c r="D23" s="322" t="s">
        <v>595</v>
      </c>
      <c r="E23" s="322" t="s">
        <v>649</v>
      </c>
      <c r="F23" s="301" t="s">
        <v>78</v>
      </c>
      <c r="G23" s="322" t="s">
        <v>650</v>
      </c>
      <c r="H23" s="407" t="s">
        <v>651</v>
      </c>
      <c r="I23" s="322" t="s">
        <v>689</v>
      </c>
      <c r="J23" s="346" t="s">
        <v>687</v>
      </c>
      <c r="K23" s="322" t="s">
        <v>40</v>
      </c>
      <c r="L23" s="322">
        <f t="shared" si="4"/>
        <v>4</v>
      </c>
      <c r="M23" s="404" t="str">
        <f t="shared" si="3"/>
        <v>Same broad habitat or a higher distinctiveness habitat required (≥)</v>
      </c>
      <c r="N23" s="322" t="s">
        <v>295</v>
      </c>
      <c r="O23" s="322">
        <f t="shared" si="1"/>
        <v>1</v>
      </c>
      <c r="P23" s="322" t="s">
        <v>295</v>
      </c>
      <c r="Q23" s="322">
        <f t="shared" si="2"/>
        <v>1</v>
      </c>
      <c r="R23" s="301"/>
      <c r="S23" s="322"/>
      <c r="T23" s="363" t="s">
        <v>427</v>
      </c>
      <c r="AF23" s="1753" t="s">
        <v>690</v>
      </c>
      <c r="AG23" s="1753"/>
    </row>
    <row r="24" spans="1:33" ht="14.25" customHeight="1" x14ac:dyDescent="0.25">
      <c r="A24" s="928" t="s">
        <v>691</v>
      </c>
      <c r="B24" s="939" t="s">
        <v>114</v>
      </c>
      <c r="C24" s="322" t="s">
        <v>692</v>
      </c>
      <c r="D24" s="322" t="s">
        <v>595</v>
      </c>
      <c r="E24" s="322" t="s">
        <v>649</v>
      </c>
      <c r="F24" s="301" t="s">
        <v>78</v>
      </c>
      <c r="G24" s="322" t="s">
        <v>659</v>
      </c>
      <c r="H24" s="407" t="s">
        <v>660</v>
      </c>
      <c r="I24" s="322" t="s">
        <v>692</v>
      </c>
      <c r="J24" s="346" t="s">
        <v>691</v>
      </c>
      <c r="K24" s="322" t="s">
        <v>292</v>
      </c>
      <c r="L24" s="322">
        <f t="shared" si="4"/>
        <v>6</v>
      </c>
      <c r="M24" s="404" t="str">
        <f t="shared" si="3"/>
        <v>Same habitat required =</v>
      </c>
      <c r="N24" s="322" t="s">
        <v>292</v>
      </c>
      <c r="O24" s="322">
        <f t="shared" si="1"/>
        <v>0.33</v>
      </c>
      <c r="P24" s="322" t="s">
        <v>292</v>
      </c>
      <c r="Q24" s="322">
        <f t="shared" si="2"/>
        <v>0.33</v>
      </c>
      <c r="R24" s="301"/>
      <c r="S24" s="322"/>
      <c r="T24" s="363" t="s">
        <v>427</v>
      </c>
      <c r="AF24" s="1753"/>
      <c r="AG24" s="1753"/>
    </row>
    <row r="25" spans="1:33" ht="14.25" customHeight="1" thickBot="1" x14ac:dyDescent="0.3">
      <c r="A25" s="928" t="s">
        <v>693</v>
      </c>
      <c r="B25" s="930" t="s">
        <v>694</v>
      </c>
      <c r="C25" s="307" t="s">
        <v>695</v>
      </c>
      <c r="D25" s="307" t="s">
        <v>595</v>
      </c>
      <c r="E25" s="307" t="s">
        <v>649</v>
      </c>
      <c r="F25" s="290" t="s">
        <v>78</v>
      </c>
      <c r="G25" s="307" t="s">
        <v>669</v>
      </c>
      <c r="H25" s="408" t="s">
        <v>670</v>
      </c>
      <c r="I25" s="307" t="s">
        <v>695</v>
      </c>
      <c r="J25" s="348" t="s">
        <v>693</v>
      </c>
      <c r="K25" s="307" t="s">
        <v>601</v>
      </c>
      <c r="L25" s="307">
        <f t="shared" si="4"/>
        <v>8</v>
      </c>
      <c r="M25" s="405" t="str">
        <f t="shared" si="3"/>
        <v>Same habitat required – bespoke compensation option ⚠</v>
      </c>
      <c r="N25" s="307" t="s">
        <v>292</v>
      </c>
      <c r="O25" s="307">
        <f t="shared" si="1"/>
        <v>0.33</v>
      </c>
      <c r="P25" s="307" t="s">
        <v>40</v>
      </c>
      <c r="Q25" s="307">
        <f t="shared" si="2"/>
        <v>0.67</v>
      </c>
      <c r="R25" s="290"/>
      <c r="S25" s="307"/>
      <c r="T25" s="355" t="s">
        <v>427</v>
      </c>
      <c r="AF25" s="1646" t="s">
        <v>567</v>
      </c>
      <c r="AG25" s="1646" t="s">
        <v>568</v>
      </c>
    </row>
    <row r="26" spans="1:33" ht="14.25" customHeight="1" x14ac:dyDescent="0.25">
      <c r="A26" s="928" t="s">
        <v>696</v>
      </c>
      <c r="B26" s="929" t="s">
        <v>697</v>
      </c>
      <c r="C26" s="359" t="s">
        <v>698</v>
      </c>
      <c r="D26" s="359" t="s">
        <v>595</v>
      </c>
      <c r="E26" s="1861" t="s">
        <v>699</v>
      </c>
      <c r="F26" s="286" t="s">
        <v>116</v>
      </c>
      <c r="G26" s="359" t="s">
        <v>700</v>
      </c>
      <c r="H26" s="798" t="s">
        <v>701</v>
      </c>
      <c r="I26" s="359" t="s">
        <v>698</v>
      </c>
      <c r="J26" s="359" t="s">
        <v>696</v>
      </c>
      <c r="K26" s="359" t="s">
        <v>40</v>
      </c>
      <c r="L26" s="359">
        <f t="shared" si="4"/>
        <v>4</v>
      </c>
      <c r="M26" s="800" t="str">
        <f t="shared" si="3"/>
        <v>Same broad habitat or a higher distinctiveness habitat required (≥)</v>
      </c>
      <c r="N26" s="359" t="s">
        <v>295</v>
      </c>
      <c r="O26" s="359">
        <f t="shared" si="1"/>
        <v>1</v>
      </c>
      <c r="P26" s="359" t="s">
        <v>295</v>
      </c>
      <c r="Q26" s="359">
        <f t="shared" si="2"/>
        <v>1</v>
      </c>
      <c r="R26" s="286"/>
      <c r="S26" s="359"/>
      <c r="T26" s="357" t="s">
        <v>427</v>
      </c>
      <c r="AF26" s="1855"/>
      <c r="AG26" s="1855"/>
    </row>
    <row r="27" spans="1:33" ht="14.25" customHeight="1" x14ac:dyDescent="0.25">
      <c r="A27" s="928" t="s">
        <v>702</v>
      </c>
      <c r="B27" s="939" t="s">
        <v>703</v>
      </c>
      <c r="C27" s="322" t="s">
        <v>704</v>
      </c>
      <c r="D27" s="322" t="s">
        <v>595</v>
      </c>
      <c r="E27" s="1862"/>
      <c r="F27" s="301" t="s">
        <v>116</v>
      </c>
      <c r="G27" s="322" t="s">
        <v>700</v>
      </c>
      <c r="H27" s="407" t="s">
        <v>701</v>
      </c>
      <c r="I27" s="322" t="s">
        <v>704</v>
      </c>
      <c r="J27" s="322" t="s">
        <v>702</v>
      </c>
      <c r="K27" s="322" t="s">
        <v>40</v>
      </c>
      <c r="L27" s="322">
        <f t="shared" si="4"/>
        <v>4</v>
      </c>
      <c r="M27" s="404" t="str">
        <f t="shared" si="3"/>
        <v>Same broad habitat or a higher distinctiveness habitat required (≥)</v>
      </c>
      <c r="N27" s="322" t="s">
        <v>295</v>
      </c>
      <c r="O27" s="322">
        <f t="shared" si="1"/>
        <v>1</v>
      </c>
      <c r="P27" s="322" t="s">
        <v>295</v>
      </c>
      <c r="Q27" s="322">
        <f t="shared" si="2"/>
        <v>1</v>
      </c>
      <c r="R27" s="301"/>
      <c r="S27" s="322"/>
      <c r="T27" s="363" t="s">
        <v>427</v>
      </c>
      <c r="AF27" s="322" t="s">
        <v>147</v>
      </c>
      <c r="AG27" s="322" t="s">
        <v>147</v>
      </c>
    </row>
    <row r="28" spans="1:33" ht="14.25" customHeight="1" x14ac:dyDescent="0.25">
      <c r="A28" s="928" t="s">
        <v>705</v>
      </c>
      <c r="B28" s="939" t="s">
        <v>706</v>
      </c>
      <c r="C28" s="322" t="s">
        <v>707</v>
      </c>
      <c r="D28" s="322" t="s">
        <v>595</v>
      </c>
      <c r="E28" s="1862"/>
      <c r="F28" s="301" t="s">
        <v>116</v>
      </c>
      <c r="G28" s="322" t="s">
        <v>700</v>
      </c>
      <c r="H28" s="407" t="s">
        <v>701</v>
      </c>
      <c r="I28" s="322" t="s">
        <v>707</v>
      </c>
      <c r="J28" s="322" t="s">
        <v>705</v>
      </c>
      <c r="K28" s="322" t="s">
        <v>40</v>
      </c>
      <c r="L28" s="322">
        <f t="shared" si="4"/>
        <v>4</v>
      </c>
      <c r="M28" s="404" t="str">
        <f t="shared" si="3"/>
        <v>Same broad habitat or a higher distinctiveness habitat required (≥)</v>
      </c>
      <c r="N28" s="322" t="s">
        <v>295</v>
      </c>
      <c r="O28" s="322">
        <f t="shared" si="1"/>
        <v>1</v>
      </c>
      <c r="P28" s="322" t="s">
        <v>295</v>
      </c>
      <c r="Q28" s="322">
        <f t="shared" si="2"/>
        <v>1</v>
      </c>
      <c r="R28" s="301"/>
      <c r="S28" s="322"/>
      <c r="T28" s="363" t="s">
        <v>427</v>
      </c>
      <c r="AF28" s="322" t="s">
        <v>78</v>
      </c>
      <c r="AG28" s="322" t="s">
        <v>78</v>
      </c>
    </row>
    <row r="29" spans="1:33" ht="14.25" customHeight="1" x14ac:dyDescent="0.25">
      <c r="A29" s="928" t="s">
        <v>708</v>
      </c>
      <c r="B29" s="939" t="s">
        <v>709</v>
      </c>
      <c r="C29" s="322" t="s">
        <v>710</v>
      </c>
      <c r="D29" s="322" t="s">
        <v>595</v>
      </c>
      <c r="E29" s="1862"/>
      <c r="F29" s="301" t="s">
        <v>116</v>
      </c>
      <c r="G29" s="322" t="s">
        <v>700</v>
      </c>
      <c r="H29" s="407" t="s">
        <v>701</v>
      </c>
      <c r="I29" s="322" t="s">
        <v>710</v>
      </c>
      <c r="J29" s="322" t="s">
        <v>708</v>
      </c>
      <c r="K29" s="322" t="s">
        <v>40</v>
      </c>
      <c r="L29" s="322">
        <f t="shared" si="4"/>
        <v>4</v>
      </c>
      <c r="M29" s="404" t="str">
        <f t="shared" si="3"/>
        <v>Same broad habitat or a higher distinctiveness habitat required (≥)</v>
      </c>
      <c r="N29" s="322" t="s">
        <v>295</v>
      </c>
      <c r="O29" s="322">
        <f t="shared" si="1"/>
        <v>1</v>
      </c>
      <c r="P29" s="322" t="s">
        <v>295</v>
      </c>
      <c r="Q29" s="322">
        <f t="shared" si="2"/>
        <v>1</v>
      </c>
      <c r="R29" s="301"/>
      <c r="S29" s="322"/>
      <c r="T29" s="363" t="s">
        <v>427</v>
      </c>
      <c r="AF29" s="322" t="s">
        <v>116</v>
      </c>
      <c r="AG29" s="322" t="s">
        <v>610</v>
      </c>
    </row>
    <row r="30" spans="1:33" ht="14.25" customHeight="1" x14ac:dyDescent="0.25">
      <c r="A30" s="928" t="s">
        <v>711</v>
      </c>
      <c r="B30" s="939" t="s">
        <v>712</v>
      </c>
      <c r="C30" s="322" t="s">
        <v>713</v>
      </c>
      <c r="D30" s="322" t="s">
        <v>595</v>
      </c>
      <c r="E30" s="1862"/>
      <c r="F30" s="301" t="s">
        <v>116</v>
      </c>
      <c r="G30" s="322" t="s">
        <v>700</v>
      </c>
      <c r="H30" s="407" t="s">
        <v>701</v>
      </c>
      <c r="I30" s="322" t="s">
        <v>713</v>
      </c>
      <c r="J30" s="322" t="s">
        <v>711</v>
      </c>
      <c r="K30" s="322" t="s">
        <v>40</v>
      </c>
      <c r="L30" s="322">
        <f t="shared" si="4"/>
        <v>4</v>
      </c>
      <c r="M30" s="404" t="str">
        <f t="shared" si="3"/>
        <v>Same broad habitat or a higher distinctiveness habitat required (≥)</v>
      </c>
      <c r="N30" s="322" t="s">
        <v>40</v>
      </c>
      <c r="O30" s="322">
        <f t="shared" si="1"/>
        <v>0.67</v>
      </c>
      <c r="P30" s="322" t="s">
        <v>295</v>
      </c>
      <c r="Q30" s="322">
        <f t="shared" si="2"/>
        <v>1</v>
      </c>
      <c r="R30" s="301"/>
      <c r="S30" s="322"/>
      <c r="T30" s="363" t="s">
        <v>427</v>
      </c>
      <c r="AF30" s="322" t="s">
        <v>72</v>
      </c>
      <c r="AG30" s="322" t="s">
        <v>72</v>
      </c>
    </row>
    <row r="31" spans="1:33" ht="14.25" customHeight="1" x14ac:dyDescent="0.25">
      <c r="A31" s="928" t="s">
        <v>714</v>
      </c>
      <c r="B31" s="939" t="s">
        <v>715</v>
      </c>
      <c r="C31" s="322" t="s">
        <v>716</v>
      </c>
      <c r="D31" s="322" t="s">
        <v>595</v>
      </c>
      <c r="E31" s="1862"/>
      <c r="F31" s="301" t="s">
        <v>116</v>
      </c>
      <c r="G31" s="322" t="s">
        <v>717</v>
      </c>
      <c r="H31" s="407" t="s">
        <v>718</v>
      </c>
      <c r="I31" s="322" t="s">
        <v>716</v>
      </c>
      <c r="J31" s="346" t="s">
        <v>719</v>
      </c>
      <c r="K31" s="322" t="s">
        <v>292</v>
      </c>
      <c r="L31" s="322">
        <f t="shared" si="4"/>
        <v>6</v>
      </c>
      <c r="M31" s="404" t="str">
        <f t="shared" si="3"/>
        <v>Same habitat required =</v>
      </c>
      <c r="N31" s="322" t="s">
        <v>292</v>
      </c>
      <c r="O31" s="322">
        <f t="shared" si="1"/>
        <v>0.33</v>
      </c>
      <c r="P31" s="322" t="s">
        <v>40</v>
      </c>
      <c r="Q31" s="322">
        <f t="shared" si="2"/>
        <v>0.67</v>
      </c>
      <c r="R31" s="301"/>
      <c r="S31" s="322"/>
      <c r="T31" s="363" t="s">
        <v>427</v>
      </c>
      <c r="AF31" s="322" t="s">
        <v>82</v>
      </c>
      <c r="AG31" s="322" t="s">
        <v>620</v>
      </c>
    </row>
    <row r="32" spans="1:33" ht="14.25" customHeight="1" x14ac:dyDescent="0.25">
      <c r="A32" s="928" t="s">
        <v>720</v>
      </c>
      <c r="B32" s="939" t="s">
        <v>721</v>
      </c>
      <c r="C32" s="322" t="s">
        <v>722</v>
      </c>
      <c r="D32" s="322" t="s">
        <v>595</v>
      </c>
      <c r="E32" s="1862"/>
      <c r="F32" s="301" t="s">
        <v>116</v>
      </c>
      <c r="G32" s="322" t="s">
        <v>700</v>
      </c>
      <c r="H32" s="407" t="s">
        <v>701</v>
      </c>
      <c r="I32" s="322" t="s">
        <v>722</v>
      </c>
      <c r="J32" s="322" t="s">
        <v>720</v>
      </c>
      <c r="K32" s="322" t="s">
        <v>40</v>
      </c>
      <c r="L32" s="322">
        <f t="shared" si="4"/>
        <v>4</v>
      </c>
      <c r="M32" s="404" t="str">
        <f t="shared" si="3"/>
        <v>Same broad habitat or a higher distinctiveness habitat required (≥)</v>
      </c>
      <c r="N32" s="322" t="s">
        <v>295</v>
      </c>
      <c r="O32" s="322">
        <f t="shared" si="1"/>
        <v>1</v>
      </c>
      <c r="P32" s="322" t="s">
        <v>295</v>
      </c>
      <c r="Q32" s="322">
        <f t="shared" si="2"/>
        <v>1</v>
      </c>
      <c r="R32" s="301"/>
      <c r="S32" s="322"/>
      <c r="T32" s="363" t="s">
        <v>427</v>
      </c>
      <c r="AF32" s="345" t="s">
        <v>120</v>
      </c>
      <c r="AG32" s="345" t="s">
        <v>120</v>
      </c>
    </row>
    <row r="33" spans="1:33" ht="14.25" customHeight="1" x14ac:dyDescent="0.25">
      <c r="A33" s="928" t="s">
        <v>723</v>
      </c>
      <c r="B33" s="939" t="s">
        <v>724</v>
      </c>
      <c r="C33" s="322" t="s">
        <v>725</v>
      </c>
      <c r="D33" s="322" t="s">
        <v>595</v>
      </c>
      <c r="E33" s="1862"/>
      <c r="F33" s="301" t="s">
        <v>116</v>
      </c>
      <c r="G33" s="322" t="s">
        <v>717</v>
      </c>
      <c r="H33" s="407" t="s">
        <v>718</v>
      </c>
      <c r="I33" s="322" t="s">
        <v>725</v>
      </c>
      <c r="J33" s="346" t="s">
        <v>723</v>
      </c>
      <c r="K33" s="322" t="s">
        <v>601</v>
      </c>
      <c r="L33" s="322">
        <f t="shared" si="4"/>
        <v>8</v>
      </c>
      <c r="M33" s="404" t="str">
        <f t="shared" si="3"/>
        <v>Same habitat required – bespoke compensation option ⚠</v>
      </c>
      <c r="N33" s="322" t="s">
        <v>292</v>
      </c>
      <c r="O33" s="322">
        <f t="shared" si="1"/>
        <v>0.33</v>
      </c>
      <c r="P33" s="322" t="s">
        <v>292</v>
      </c>
      <c r="Q33" s="322">
        <f t="shared" si="2"/>
        <v>0.33</v>
      </c>
      <c r="R33" s="301"/>
      <c r="S33" s="322"/>
      <c r="T33" s="363" t="s">
        <v>427</v>
      </c>
      <c r="AF33" s="322" t="s">
        <v>123</v>
      </c>
      <c r="AG33" s="322" t="s">
        <v>123</v>
      </c>
    </row>
    <row r="34" spans="1:33" ht="14.25" customHeight="1" x14ac:dyDescent="0.25">
      <c r="A34" s="928" t="s">
        <v>726</v>
      </c>
      <c r="B34" s="939" t="s">
        <v>727</v>
      </c>
      <c r="C34" s="322" t="s">
        <v>728</v>
      </c>
      <c r="D34" s="322" t="s">
        <v>595</v>
      </c>
      <c r="E34" s="1862"/>
      <c r="F34" s="301" t="s">
        <v>116</v>
      </c>
      <c r="G34" s="322" t="s">
        <v>700</v>
      </c>
      <c r="H34" s="407" t="s">
        <v>701</v>
      </c>
      <c r="I34" s="322" t="s">
        <v>728</v>
      </c>
      <c r="J34" s="322" t="s">
        <v>726</v>
      </c>
      <c r="K34" s="322" t="s">
        <v>295</v>
      </c>
      <c r="L34" s="322">
        <f t="shared" si="4"/>
        <v>2</v>
      </c>
      <c r="M34" s="404" t="str">
        <f t="shared" si="3"/>
        <v>Same distinctiveness or better habitat required ≥</v>
      </c>
      <c r="N34" s="322" t="s">
        <v>295</v>
      </c>
      <c r="O34" s="322">
        <f t="shared" ref="O34:O66" si="5">VLOOKUP(N34,Difficulty,2,FALSE)</f>
        <v>1</v>
      </c>
      <c r="P34" s="322" t="s">
        <v>295</v>
      </c>
      <c r="Q34" s="322">
        <f t="shared" ref="Q34:Q66" si="6">VLOOKUP(P34,Difficulty,2,FALSE)</f>
        <v>1</v>
      </c>
      <c r="R34" s="301"/>
      <c r="S34" s="322"/>
      <c r="T34" s="363" t="s">
        <v>427</v>
      </c>
      <c r="AF34" s="322" t="s">
        <v>87</v>
      </c>
      <c r="AG34" s="322" t="s">
        <v>729</v>
      </c>
    </row>
    <row r="35" spans="1:33" ht="14.25" customHeight="1" x14ac:dyDescent="0.25">
      <c r="A35" s="928" t="s">
        <v>730</v>
      </c>
      <c r="B35" s="939" t="s">
        <v>117</v>
      </c>
      <c r="C35" s="322" t="s">
        <v>731</v>
      </c>
      <c r="D35" s="322" t="s">
        <v>595</v>
      </c>
      <c r="E35" s="1862"/>
      <c r="F35" s="301" t="s">
        <v>116</v>
      </c>
      <c r="G35" s="322" t="s">
        <v>700</v>
      </c>
      <c r="H35" s="407" t="s">
        <v>701</v>
      </c>
      <c r="I35" s="322" t="s">
        <v>732</v>
      </c>
      <c r="J35" s="322" t="s">
        <v>733</v>
      </c>
      <c r="K35" s="322" t="s">
        <v>292</v>
      </c>
      <c r="L35" s="322">
        <f t="shared" si="4"/>
        <v>6</v>
      </c>
      <c r="M35" s="404" t="str">
        <f t="shared" si="3"/>
        <v>Same habitat required =</v>
      </c>
      <c r="N35" s="322" t="s">
        <v>40</v>
      </c>
      <c r="O35" s="322">
        <f t="shared" si="5"/>
        <v>0.67</v>
      </c>
      <c r="P35" s="322" t="s">
        <v>295</v>
      </c>
      <c r="Q35" s="322">
        <f t="shared" si="6"/>
        <v>1</v>
      </c>
      <c r="R35" s="301"/>
      <c r="S35" s="322"/>
      <c r="T35" s="363" t="s">
        <v>427</v>
      </c>
      <c r="AF35" s="322" t="s">
        <v>92</v>
      </c>
      <c r="AG35" s="322" t="s">
        <v>638</v>
      </c>
    </row>
    <row r="36" spans="1:33" ht="14.25" customHeight="1" x14ac:dyDescent="0.25">
      <c r="A36" s="928" t="s">
        <v>734</v>
      </c>
      <c r="B36" s="939" t="s">
        <v>735</v>
      </c>
      <c r="C36" s="322" t="s">
        <v>736</v>
      </c>
      <c r="D36" s="322" t="s">
        <v>595</v>
      </c>
      <c r="E36" s="1862"/>
      <c r="F36" s="301" t="s">
        <v>116</v>
      </c>
      <c r="G36" s="322" t="s">
        <v>700</v>
      </c>
      <c r="H36" s="407" t="s">
        <v>701</v>
      </c>
      <c r="I36" s="322" t="s">
        <v>732</v>
      </c>
      <c r="J36" s="322" t="s">
        <v>737</v>
      </c>
      <c r="K36" s="322" t="s">
        <v>295</v>
      </c>
      <c r="L36" s="322">
        <f>IF(K36=$V$3,$W$3,IF(K36=$V$3,$W$3,IF(K36=$V$4,$W$4,IF(K36=$V$5,$W$5,IF(K36=$V$6,$W$6,IF(K36=$V$7,$W$7))))))</f>
        <v>2</v>
      </c>
      <c r="M36" s="404" t="str">
        <f t="shared" si="3"/>
        <v>Same distinctiveness or better habitat required ≥</v>
      </c>
      <c r="N36" s="322" t="s">
        <v>295</v>
      </c>
      <c r="O36" s="322">
        <f t="shared" si="5"/>
        <v>1</v>
      </c>
      <c r="P36" s="322" t="s">
        <v>295</v>
      </c>
      <c r="Q36" s="322">
        <f t="shared" si="6"/>
        <v>1</v>
      </c>
      <c r="R36" s="301"/>
      <c r="S36" s="322"/>
      <c r="T36" s="363" t="s">
        <v>427</v>
      </c>
      <c r="AF36" s="322" t="s">
        <v>94</v>
      </c>
      <c r="AG36" s="322" t="s">
        <v>642</v>
      </c>
    </row>
    <row r="37" spans="1:33" ht="14.25" customHeight="1" x14ac:dyDescent="0.25">
      <c r="A37" s="928" t="s">
        <v>738</v>
      </c>
      <c r="B37" s="946" t="s">
        <v>739</v>
      </c>
      <c r="C37" s="822" t="s">
        <v>740</v>
      </c>
      <c r="D37" s="822" t="s">
        <v>595</v>
      </c>
      <c r="E37" s="1862"/>
      <c r="F37" s="314" t="s">
        <v>116</v>
      </c>
      <c r="G37" s="822" t="s">
        <v>700</v>
      </c>
      <c r="H37" s="430" t="s">
        <v>701</v>
      </c>
      <c r="I37" s="822" t="s">
        <v>740</v>
      </c>
      <c r="J37" s="822" t="s">
        <v>738</v>
      </c>
      <c r="K37" s="822" t="s">
        <v>40</v>
      </c>
      <c r="L37" s="822">
        <v>4</v>
      </c>
      <c r="M37" s="431" t="s">
        <v>294</v>
      </c>
      <c r="N37" s="822" t="s">
        <v>40</v>
      </c>
      <c r="O37" s="822">
        <v>0.67</v>
      </c>
      <c r="P37" s="822" t="s">
        <v>295</v>
      </c>
      <c r="Q37" s="822">
        <v>1</v>
      </c>
      <c r="R37" s="314"/>
      <c r="S37" s="822"/>
      <c r="T37" s="363" t="s">
        <v>427</v>
      </c>
      <c r="AF37" s="322" t="s">
        <v>99</v>
      </c>
      <c r="AG37" s="322" t="s">
        <v>645</v>
      </c>
    </row>
    <row r="38" spans="1:33" ht="14.25" customHeight="1" thickBot="1" x14ac:dyDescent="0.3">
      <c r="A38" s="928" t="s">
        <v>741</v>
      </c>
      <c r="B38" s="930" t="s">
        <v>118</v>
      </c>
      <c r="C38" s="307" t="s">
        <v>742</v>
      </c>
      <c r="D38" s="307" t="s">
        <v>595</v>
      </c>
      <c r="E38" s="1863"/>
      <c r="F38" s="290" t="s">
        <v>116</v>
      </c>
      <c r="G38" s="307" t="s">
        <v>717</v>
      </c>
      <c r="H38" s="408" t="s">
        <v>718</v>
      </c>
      <c r="I38" s="307" t="s">
        <v>742</v>
      </c>
      <c r="J38" s="348" t="s">
        <v>743</v>
      </c>
      <c r="K38" s="307" t="s">
        <v>292</v>
      </c>
      <c r="L38" s="307">
        <f t="shared" si="4"/>
        <v>6</v>
      </c>
      <c r="M38" s="405" t="str">
        <f t="shared" si="3"/>
        <v>Same habitat required =</v>
      </c>
      <c r="N38" s="307" t="s">
        <v>40</v>
      </c>
      <c r="O38" s="307">
        <f t="shared" si="5"/>
        <v>0.67</v>
      </c>
      <c r="P38" s="307" t="s">
        <v>40</v>
      </c>
      <c r="Q38" s="307">
        <f t="shared" si="6"/>
        <v>0.67</v>
      </c>
      <c r="R38" s="290"/>
      <c r="S38" s="307"/>
      <c r="T38" s="355" t="s">
        <v>427</v>
      </c>
      <c r="AF38" s="322" t="s">
        <v>105</v>
      </c>
      <c r="AG38" s="322" t="s">
        <v>652</v>
      </c>
    </row>
    <row r="39" spans="1:33" ht="14.25" customHeight="1" x14ac:dyDescent="0.25">
      <c r="A39" s="928" t="s">
        <v>744</v>
      </c>
      <c r="B39" s="929" t="s">
        <v>745</v>
      </c>
      <c r="C39" s="359" t="s">
        <v>746</v>
      </c>
      <c r="D39" s="359" t="s">
        <v>747</v>
      </c>
      <c r="E39" s="359" t="s">
        <v>748</v>
      </c>
      <c r="F39" s="286" t="s">
        <v>749</v>
      </c>
      <c r="G39" s="359" t="s">
        <v>750</v>
      </c>
      <c r="H39" s="798" t="s">
        <v>751</v>
      </c>
      <c r="I39" s="359" t="s">
        <v>746</v>
      </c>
      <c r="J39" s="799" t="s">
        <v>744</v>
      </c>
      <c r="K39" s="359" t="s">
        <v>601</v>
      </c>
      <c r="L39" s="359">
        <f t="shared" si="4"/>
        <v>8</v>
      </c>
      <c r="M39" s="800" t="str">
        <f t="shared" si="3"/>
        <v>Same habitat required – bespoke compensation option ⚠</v>
      </c>
      <c r="N39" s="359" t="s">
        <v>290</v>
      </c>
      <c r="O39" s="359">
        <f t="shared" si="5"/>
        <v>0.1</v>
      </c>
      <c r="P39" s="359" t="s">
        <v>292</v>
      </c>
      <c r="Q39" s="359">
        <f t="shared" si="6"/>
        <v>0.33</v>
      </c>
      <c r="R39" s="286"/>
      <c r="S39" s="359"/>
      <c r="T39" s="357" t="s">
        <v>427</v>
      </c>
      <c r="AF39" s="322" t="s">
        <v>216</v>
      </c>
      <c r="AG39" s="322" t="s">
        <v>656</v>
      </c>
    </row>
    <row r="40" spans="1:33" ht="14.25" customHeight="1" x14ac:dyDescent="0.25">
      <c r="A40" s="928" t="s">
        <v>752</v>
      </c>
      <c r="B40" s="939" t="s">
        <v>753</v>
      </c>
      <c r="C40" s="322">
        <v>46</v>
      </c>
      <c r="D40" s="322" t="s">
        <v>595</v>
      </c>
      <c r="E40" s="322"/>
      <c r="F40" s="289" t="s">
        <v>747</v>
      </c>
      <c r="G40" s="322"/>
      <c r="H40" s="407" t="s">
        <v>754</v>
      </c>
      <c r="I40" s="322"/>
      <c r="J40" s="322" t="s">
        <v>752</v>
      </c>
      <c r="K40" s="322" t="s">
        <v>295</v>
      </c>
      <c r="L40" s="322">
        <f>IF(K40=$V$3,$W$3,IF(K40=$V$3,$W$3,IF(K40=$V$4,$W$4,IF(K40=$V$5,$W$5,IF(K40=$V$6,$W$6,IF(K40=$V$7,$W$7))))))</f>
        <v>2</v>
      </c>
      <c r="M40" s="404" t="str">
        <f>IF($K40=$V$3,$X$3,IF($K40=$V$4,$X$4,IF($K40=$V$5,$X$5,IF($K40=$V$6,$X$6,IF($K40=$V$7,$X$7)))))</f>
        <v>Same distinctiveness or better habitat required ≥</v>
      </c>
      <c r="N40" s="322" t="s">
        <v>295</v>
      </c>
      <c r="O40" s="322">
        <f>VLOOKUP(N40,Difficulty,2,FALSE)</f>
        <v>1</v>
      </c>
      <c r="P40" s="322" t="s">
        <v>292</v>
      </c>
      <c r="Q40" s="322">
        <f>VLOOKUP(P40,Difficulty,2,FALSE)</f>
        <v>0.33</v>
      </c>
      <c r="R40" s="301"/>
      <c r="S40" s="322"/>
      <c r="T40" s="363" t="s">
        <v>427</v>
      </c>
      <c r="AF40" s="322" t="s">
        <v>217</v>
      </c>
      <c r="AG40" s="322" t="s">
        <v>661</v>
      </c>
    </row>
    <row r="41" spans="1:33" ht="14.25" customHeight="1" x14ac:dyDescent="0.25">
      <c r="A41" s="928" t="s">
        <v>755</v>
      </c>
      <c r="B41" s="939" t="s">
        <v>71</v>
      </c>
      <c r="C41" s="322" t="s">
        <v>756</v>
      </c>
      <c r="D41" s="322" t="s">
        <v>747</v>
      </c>
      <c r="E41" s="322"/>
      <c r="F41" s="301"/>
      <c r="G41" s="322"/>
      <c r="H41" s="407"/>
      <c r="I41" s="322"/>
      <c r="J41" s="346"/>
      <c r="K41" s="322" t="s">
        <v>292</v>
      </c>
      <c r="L41" s="322">
        <f t="shared" ref="L41:L46" si="7">IF(K41=$V$3,$W$3,IF(K41=$V$3,$W$3,IF(K41=$V$4,$W$4,IF(K41=$V$5,$W$5,IF(K41=$V$6,$W$6,IF(K41=$V$7,$W$7))))))</f>
        <v>6</v>
      </c>
      <c r="M41" s="404" t="str">
        <f t="shared" si="3"/>
        <v>Same habitat required =</v>
      </c>
      <c r="N41" s="322" t="s">
        <v>292</v>
      </c>
      <c r="O41" s="322">
        <f t="shared" si="5"/>
        <v>0.33</v>
      </c>
      <c r="P41" s="322" t="s">
        <v>292</v>
      </c>
      <c r="Q41" s="322">
        <f t="shared" si="6"/>
        <v>0.33</v>
      </c>
      <c r="R41" s="301"/>
      <c r="S41" s="322"/>
      <c r="T41" s="363" t="s">
        <v>427</v>
      </c>
      <c r="AF41" s="322" t="s">
        <v>148</v>
      </c>
      <c r="AG41" s="322" t="s">
        <v>665</v>
      </c>
    </row>
    <row r="42" spans="1:33" ht="14.25" customHeight="1" x14ac:dyDescent="0.25">
      <c r="A42" s="928" t="s">
        <v>757</v>
      </c>
      <c r="B42" s="939" t="s">
        <v>73</v>
      </c>
      <c r="C42" s="322" t="s">
        <v>758</v>
      </c>
      <c r="D42" s="322" t="s">
        <v>747</v>
      </c>
      <c r="E42" s="322"/>
      <c r="F42" s="301"/>
      <c r="G42" s="322"/>
      <c r="H42" s="407"/>
      <c r="I42" s="322"/>
      <c r="J42" s="346"/>
      <c r="K42" s="322" t="s">
        <v>292</v>
      </c>
      <c r="L42" s="322">
        <f t="shared" si="7"/>
        <v>6</v>
      </c>
      <c r="M42" s="404" t="str">
        <f t="shared" si="3"/>
        <v>Same habitat required =</v>
      </c>
      <c r="N42" s="322" t="s">
        <v>292</v>
      </c>
      <c r="O42" s="322">
        <f t="shared" si="5"/>
        <v>0.33</v>
      </c>
      <c r="P42" s="322" t="s">
        <v>40</v>
      </c>
      <c r="Q42" s="322">
        <f t="shared" si="6"/>
        <v>0.67</v>
      </c>
      <c r="R42" s="301"/>
      <c r="S42" s="322"/>
      <c r="T42" s="363" t="s">
        <v>427</v>
      </c>
    </row>
    <row r="43" spans="1:33" ht="14.25" customHeight="1" x14ac:dyDescent="0.25">
      <c r="A43" s="928" t="s">
        <v>759</v>
      </c>
      <c r="B43" s="939" t="s">
        <v>74</v>
      </c>
      <c r="C43" s="322" t="s">
        <v>760</v>
      </c>
      <c r="D43" s="322" t="s">
        <v>747</v>
      </c>
      <c r="E43" s="322"/>
      <c r="F43" s="301"/>
      <c r="G43" s="322"/>
      <c r="H43" s="407"/>
      <c r="I43" s="322"/>
      <c r="J43" s="346"/>
      <c r="K43" s="322" t="s">
        <v>292</v>
      </c>
      <c r="L43" s="322">
        <f t="shared" si="7"/>
        <v>6</v>
      </c>
      <c r="M43" s="404" t="str">
        <f t="shared" si="3"/>
        <v>Same habitat required =</v>
      </c>
      <c r="N43" s="322" t="s">
        <v>292</v>
      </c>
      <c r="O43" s="322">
        <f t="shared" si="5"/>
        <v>0.33</v>
      </c>
      <c r="P43" s="322" t="s">
        <v>292</v>
      </c>
      <c r="Q43" s="322">
        <f t="shared" si="6"/>
        <v>0.33</v>
      </c>
      <c r="R43" s="301"/>
      <c r="S43" s="322"/>
      <c r="T43" s="363" t="s">
        <v>427</v>
      </c>
    </row>
    <row r="44" spans="1:33" ht="14.25" customHeight="1" x14ac:dyDescent="0.25">
      <c r="A44" s="928" t="s">
        <v>761</v>
      </c>
      <c r="B44" s="939" t="s">
        <v>75</v>
      </c>
      <c r="C44" s="322" t="s">
        <v>762</v>
      </c>
      <c r="D44" s="322" t="s">
        <v>747</v>
      </c>
      <c r="E44" s="322"/>
      <c r="F44" s="301"/>
      <c r="G44" s="322"/>
      <c r="H44" s="407"/>
      <c r="I44" s="322"/>
      <c r="J44" s="346"/>
      <c r="K44" s="322" t="s">
        <v>292</v>
      </c>
      <c r="L44" s="322">
        <f t="shared" si="7"/>
        <v>6</v>
      </c>
      <c r="M44" s="404" t="str">
        <f t="shared" si="3"/>
        <v>Same habitat required =</v>
      </c>
      <c r="N44" s="322" t="s">
        <v>292</v>
      </c>
      <c r="O44" s="322">
        <f t="shared" si="5"/>
        <v>0.33</v>
      </c>
      <c r="P44" s="322" t="s">
        <v>292</v>
      </c>
      <c r="Q44" s="322">
        <f t="shared" si="6"/>
        <v>0.33</v>
      </c>
      <c r="R44" s="301"/>
      <c r="S44" s="322"/>
      <c r="T44" s="363" t="s">
        <v>427</v>
      </c>
    </row>
    <row r="45" spans="1:33" ht="14.25" customHeight="1" x14ac:dyDescent="0.25">
      <c r="A45" s="928" t="s">
        <v>763</v>
      </c>
      <c r="B45" s="939" t="s">
        <v>76</v>
      </c>
      <c r="C45" s="322" t="s">
        <v>764</v>
      </c>
      <c r="D45" s="322" t="s">
        <v>747</v>
      </c>
      <c r="E45" s="322"/>
      <c r="F45" s="301"/>
      <c r="G45" s="322"/>
      <c r="H45" s="407"/>
      <c r="I45" s="322"/>
      <c r="J45" s="346"/>
      <c r="K45" s="322" t="s">
        <v>292</v>
      </c>
      <c r="L45" s="322">
        <f t="shared" si="7"/>
        <v>6</v>
      </c>
      <c r="M45" s="404" t="str">
        <f t="shared" si="3"/>
        <v>Same habitat required =</v>
      </c>
      <c r="N45" s="322" t="s">
        <v>292</v>
      </c>
      <c r="O45" s="322">
        <f t="shared" si="5"/>
        <v>0.33</v>
      </c>
      <c r="P45" s="322" t="s">
        <v>292</v>
      </c>
      <c r="Q45" s="322">
        <f t="shared" si="6"/>
        <v>0.33</v>
      </c>
      <c r="R45" s="301"/>
      <c r="S45" s="322"/>
      <c r="T45" s="363" t="s">
        <v>427</v>
      </c>
      <c r="AF45" s="1753" t="s">
        <v>765</v>
      </c>
      <c r="AG45" s="1753"/>
    </row>
    <row r="46" spans="1:33" ht="14.25" customHeight="1" x14ac:dyDescent="0.25">
      <c r="A46" s="928" t="s">
        <v>766</v>
      </c>
      <c r="B46" s="939" t="s">
        <v>79</v>
      </c>
      <c r="C46" s="322" t="s">
        <v>767</v>
      </c>
      <c r="D46" s="322" t="s">
        <v>747</v>
      </c>
      <c r="E46" s="322"/>
      <c r="F46" s="301"/>
      <c r="G46" s="322"/>
      <c r="H46" s="407"/>
      <c r="I46" s="322"/>
      <c r="J46" s="346"/>
      <c r="K46" s="322" t="s">
        <v>292</v>
      </c>
      <c r="L46" s="322">
        <f t="shared" si="7"/>
        <v>6</v>
      </c>
      <c r="M46" s="404" t="str">
        <f t="shared" si="3"/>
        <v>Same habitat required =</v>
      </c>
      <c r="N46" s="322" t="s">
        <v>40</v>
      </c>
      <c r="O46" s="322">
        <f t="shared" si="5"/>
        <v>0.67</v>
      </c>
      <c r="P46" s="322" t="s">
        <v>40</v>
      </c>
      <c r="Q46" s="322">
        <f t="shared" si="6"/>
        <v>0.67</v>
      </c>
      <c r="R46" s="301"/>
      <c r="S46" s="322"/>
      <c r="T46" s="363" t="s">
        <v>427</v>
      </c>
      <c r="AF46" s="1753"/>
      <c r="AG46" s="1753"/>
    </row>
    <row r="47" spans="1:33" ht="14.25" customHeight="1" x14ac:dyDescent="0.25">
      <c r="A47" s="928" t="s">
        <v>768</v>
      </c>
      <c r="B47" s="939" t="s">
        <v>769</v>
      </c>
      <c r="C47" s="322">
        <v>41</v>
      </c>
      <c r="D47" s="322" t="s">
        <v>747</v>
      </c>
      <c r="E47" s="322"/>
      <c r="F47" s="301" t="s">
        <v>747</v>
      </c>
      <c r="G47" s="322"/>
      <c r="H47" s="407"/>
      <c r="I47" s="322"/>
      <c r="J47" s="346"/>
      <c r="K47" s="322" t="s">
        <v>40</v>
      </c>
      <c r="L47" s="322">
        <f t="shared" si="4"/>
        <v>4</v>
      </c>
      <c r="M47" s="404" t="str">
        <f t="shared" si="3"/>
        <v>Same broad habitat or a higher distinctiveness habitat required (≥)</v>
      </c>
      <c r="N47" s="322" t="s">
        <v>295</v>
      </c>
      <c r="O47" s="322">
        <f t="shared" si="5"/>
        <v>1</v>
      </c>
      <c r="P47" s="322" t="s">
        <v>40</v>
      </c>
      <c r="Q47" s="322">
        <f t="shared" si="6"/>
        <v>0.67</v>
      </c>
      <c r="R47" s="301"/>
      <c r="S47" s="322"/>
      <c r="T47" s="363" t="s">
        <v>427</v>
      </c>
      <c r="AF47" s="1646" t="s">
        <v>567</v>
      </c>
      <c r="AG47" s="1646" t="s">
        <v>568</v>
      </c>
    </row>
    <row r="48" spans="1:33" ht="14.25" customHeight="1" x14ac:dyDescent="0.25">
      <c r="A48" s="928" t="s">
        <v>770</v>
      </c>
      <c r="B48" s="939" t="s">
        <v>771</v>
      </c>
      <c r="C48" s="322">
        <v>45</v>
      </c>
      <c r="D48" s="322" t="s">
        <v>747</v>
      </c>
      <c r="E48" s="322"/>
      <c r="F48" s="301" t="s">
        <v>747</v>
      </c>
      <c r="G48" s="322"/>
      <c r="H48" s="407"/>
      <c r="I48" s="322"/>
      <c r="J48" s="322"/>
      <c r="K48" s="322" t="s">
        <v>40</v>
      </c>
      <c r="L48" s="322">
        <f t="shared" si="4"/>
        <v>4</v>
      </c>
      <c r="M48" s="404" t="str">
        <f t="shared" si="3"/>
        <v>Same broad habitat or a higher distinctiveness habitat required (≥)</v>
      </c>
      <c r="N48" s="322" t="s">
        <v>40</v>
      </c>
      <c r="O48" s="322">
        <f t="shared" si="5"/>
        <v>0.67</v>
      </c>
      <c r="P48" s="322" t="s">
        <v>40</v>
      </c>
      <c r="Q48" s="322">
        <f t="shared" si="6"/>
        <v>0.67</v>
      </c>
      <c r="R48" s="301"/>
      <c r="S48" s="322"/>
      <c r="T48" s="363" t="s">
        <v>427</v>
      </c>
      <c r="AF48" s="1855"/>
      <c r="AG48" s="1855"/>
    </row>
    <row r="49" spans="1:33" ht="14.25" customHeight="1" thickBot="1" x14ac:dyDescent="0.3">
      <c r="A49" s="928" t="s">
        <v>772</v>
      </c>
      <c r="B49" s="930" t="s">
        <v>80</v>
      </c>
      <c r="C49" s="307" t="s">
        <v>773</v>
      </c>
      <c r="D49" s="307" t="s">
        <v>747</v>
      </c>
      <c r="E49" s="307"/>
      <c r="F49" s="290"/>
      <c r="G49" s="307"/>
      <c r="H49" s="408"/>
      <c r="I49" s="307"/>
      <c r="J49" s="348"/>
      <c r="K49" s="307" t="s">
        <v>292</v>
      </c>
      <c r="L49" s="307">
        <f t="shared" si="4"/>
        <v>6</v>
      </c>
      <c r="M49" s="405" t="str">
        <f t="shared" si="3"/>
        <v>Same habitat required =</v>
      </c>
      <c r="N49" s="307" t="s">
        <v>40</v>
      </c>
      <c r="O49" s="307">
        <f t="shared" si="5"/>
        <v>0.67</v>
      </c>
      <c r="P49" s="307" t="s">
        <v>40</v>
      </c>
      <c r="Q49" s="307">
        <f t="shared" si="6"/>
        <v>0.67</v>
      </c>
      <c r="R49" s="290"/>
      <c r="S49" s="307"/>
      <c r="T49" s="355" t="s">
        <v>427</v>
      </c>
      <c r="AF49" s="322" t="s">
        <v>147</v>
      </c>
      <c r="AG49" s="322" t="s">
        <v>147</v>
      </c>
    </row>
    <row r="50" spans="1:33" ht="14.25" customHeight="1" x14ac:dyDescent="0.25">
      <c r="A50" s="928" t="s">
        <v>774</v>
      </c>
      <c r="B50" s="929" t="s">
        <v>775</v>
      </c>
      <c r="C50" s="359" t="s">
        <v>776</v>
      </c>
      <c r="D50" s="359" t="s">
        <v>747</v>
      </c>
      <c r="E50" s="359" t="s">
        <v>683</v>
      </c>
      <c r="F50" s="286" t="s">
        <v>82</v>
      </c>
      <c r="G50" s="359"/>
      <c r="H50" s="798" t="s">
        <v>685</v>
      </c>
      <c r="I50" s="359"/>
      <c r="J50" s="799" t="s">
        <v>774</v>
      </c>
      <c r="K50" s="359" t="s">
        <v>601</v>
      </c>
      <c r="L50" s="359">
        <f t="shared" ref="L50:L78" si="8">IF(K50=$V$3,$W$3,IF(K50=$V$3,$W$3,IF(K50=$V$4,$W$4,IF(K50=$V$5,$W$5,IF(K50=$V$6,$W$6,IF(K50=$V$7,$W$7))))))</f>
        <v>8</v>
      </c>
      <c r="M50" s="800" t="str">
        <f t="shared" si="3"/>
        <v>Same habitat required – bespoke compensation option ⚠</v>
      </c>
      <c r="N50" s="359" t="s">
        <v>290</v>
      </c>
      <c r="O50" s="359">
        <f t="shared" si="5"/>
        <v>0.1</v>
      </c>
      <c r="P50" s="359" t="s">
        <v>40</v>
      </c>
      <c r="Q50" s="359">
        <f t="shared" si="6"/>
        <v>0.67</v>
      </c>
      <c r="R50" s="286"/>
      <c r="S50" s="359"/>
      <c r="T50" s="357" t="s">
        <v>427</v>
      </c>
      <c r="AF50" s="322" t="s">
        <v>78</v>
      </c>
      <c r="AG50" s="322" t="s">
        <v>78</v>
      </c>
    </row>
    <row r="51" spans="1:33" ht="14.25" customHeight="1" x14ac:dyDescent="0.25">
      <c r="A51" s="928" t="s">
        <v>777</v>
      </c>
      <c r="B51" s="939" t="s">
        <v>81</v>
      </c>
      <c r="C51" s="322" t="s">
        <v>778</v>
      </c>
      <c r="D51" s="322" t="s">
        <v>747</v>
      </c>
      <c r="E51" s="322" t="s">
        <v>683</v>
      </c>
      <c r="F51" s="301" t="s">
        <v>82</v>
      </c>
      <c r="G51" s="322"/>
      <c r="H51" s="407" t="s">
        <v>779</v>
      </c>
      <c r="I51" s="322"/>
      <c r="J51" s="322"/>
      <c r="K51" s="322" t="s">
        <v>292</v>
      </c>
      <c r="L51" s="322">
        <f t="shared" si="8"/>
        <v>6</v>
      </c>
      <c r="M51" s="404" t="str">
        <f t="shared" si="3"/>
        <v>Same habitat required =</v>
      </c>
      <c r="N51" s="322" t="s">
        <v>290</v>
      </c>
      <c r="O51" s="322">
        <f t="shared" si="5"/>
        <v>0.1</v>
      </c>
      <c r="P51" s="322" t="s">
        <v>40</v>
      </c>
      <c r="Q51" s="322">
        <f t="shared" si="6"/>
        <v>0.67</v>
      </c>
      <c r="R51" s="301"/>
      <c r="S51" s="322"/>
      <c r="T51" s="363" t="s">
        <v>426</v>
      </c>
      <c r="AF51" s="322" t="s">
        <v>116</v>
      </c>
      <c r="AG51" s="322" t="s">
        <v>610</v>
      </c>
    </row>
    <row r="52" spans="1:33" ht="14.25" customHeight="1" x14ac:dyDescent="0.25">
      <c r="A52" s="928" t="s">
        <v>780</v>
      </c>
      <c r="B52" s="939" t="s">
        <v>83</v>
      </c>
      <c r="C52" s="322" t="s">
        <v>781</v>
      </c>
      <c r="D52" s="322" t="s">
        <v>595</v>
      </c>
      <c r="E52" s="322" t="s">
        <v>683</v>
      </c>
      <c r="F52" s="301" t="s">
        <v>82</v>
      </c>
      <c r="G52" s="322"/>
      <c r="H52" s="407" t="s">
        <v>779</v>
      </c>
      <c r="I52" s="322" t="s">
        <v>776</v>
      </c>
      <c r="J52" s="346"/>
      <c r="K52" s="322" t="s">
        <v>292</v>
      </c>
      <c r="L52" s="322">
        <f t="shared" si="8"/>
        <v>6</v>
      </c>
      <c r="M52" s="404" t="str">
        <f t="shared" si="3"/>
        <v>Same habitat required =</v>
      </c>
      <c r="N52" s="322" t="s">
        <v>290</v>
      </c>
      <c r="O52" s="322">
        <f t="shared" si="5"/>
        <v>0.1</v>
      </c>
      <c r="P52" s="322" t="s">
        <v>40</v>
      </c>
      <c r="Q52" s="322">
        <f t="shared" si="6"/>
        <v>0.67</v>
      </c>
      <c r="R52" s="301"/>
      <c r="S52" s="322"/>
      <c r="T52" s="363" t="s">
        <v>427</v>
      </c>
      <c r="AF52" s="322" t="s">
        <v>72</v>
      </c>
      <c r="AG52" s="322" t="s">
        <v>72</v>
      </c>
    </row>
    <row r="53" spans="1:33" ht="14.25" customHeight="1" x14ac:dyDescent="0.25">
      <c r="A53" s="928" t="s">
        <v>782</v>
      </c>
      <c r="B53" s="939" t="s">
        <v>783</v>
      </c>
      <c r="C53" s="322">
        <v>81</v>
      </c>
      <c r="D53" s="322" t="s">
        <v>595</v>
      </c>
      <c r="E53" s="322"/>
      <c r="F53" s="301" t="s">
        <v>784</v>
      </c>
      <c r="G53" s="322"/>
      <c r="H53" s="407"/>
      <c r="I53" s="322"/>
      <c r="J53" s="322" t="s">
        <v>785</v>
      </c>
      <c r="K53" s="322" t="s">
        <v>295</v>
      </c>
      <c r="L53" s="322">
        <f t="shared" si="8"/>
        <v>2</v>
      </c>
      <c r="M53" s="404" t="str">
        <f t="shared" si="3"/>
        <v>Same distinctiveness or better habitat required ≥</v>
      </c>
      <c r="N53" s="322" t="s">
        <v>295</v>
      </c>
      <c r="O53" s="322">
        <f t="shared" si="5"/>
        <v>1</v>
      </c>
      <c r="P53" s="322" t="s">
        <v>40</v>
      </c>
      <c r="Q53" s="322">
        <f t="shared" si="6"/>
        <v>0.67</v>
      </c>
      <c r="R53" s="301"/>
      <c r="S53" s="322"/>
      <c r="T53" s="363" t="s">
        <v>427</v>
      </c>
      <c r="AF53" s="322" t="s">
        <v>82</v>
      </c>
      <c r="AG53" s="322" t="s">
        <v>620</v>
      </c>
    </row>
    <row r="54" spans="1:33" ht="14.25" customHeight="1" x14ac:dyDescent="0.25">
      <c r="A54" s="928" t="s">
        <v>786</v>
      </c>
      <c r="B54" s="939" t="s">
        <v>787</v>
      </c>
      <c r="C54" s="322">
        <v>16</v>
      </c>
      <c r="D54" s="322" t="s">
        <v>595</v>
      </c>
      <c r="E54" s="322"/>
      <c r="F54" s="301" t="s">
        <v>788</v>
      </c>
      <c r="G54" s="322"/>
      <c r="H54" s="407"/>
      <c r="I54" s="322"/>
      <c r="J54" s="322" t="s">
        <v>785</v>
      </c>
      <c r="K54" s="322" t="s">
        <v>295</v>
      </c>
      <c r="L54" s="322">
        <v>2</v>
      </c>
      <c r="M54" s="404" t="str">
        <f t="shared" si="3"/>
        <v>Same distinctiveness or better habitat required ≥</v>
      </c>
      <c r="N54" s="322" t="s">
        <v>295</v>
      </c>
      <c r="O54" s="322">
        <v>1</v>
      </c>
      <c r="P54" s="322" t="s">
        <v>40</v>
      </c>
      <c r="Q54" s="322">
        <v>0.67</v>
      </c>
      <c r="R54" s="301"/>
      <c r="S54" s="322"/>
      <c r="T54" s="363" t="s">
        <v>427</v>
      </c>
      <c r="AF54" s="345" t="s">
        <v>120</v>
      </c>
      <c r="AG54" s="345" t="s">
        <v>120</v>
      </c>
    </row>
    <row r="55" spans="1:33" ht="14.25" customHeight="1" x14ac:dyDescent="0.25">
      <c r="A55" s="928" t="s">
        <v>789</v>
      </c>
      <c r="B55" s="939" t="s">
        <v>84</v>
      </c>
      <c r="C55" s="322" t="s">
        <v>790</v>
      </c>
      <c r="D55" s="322" t="s">
        <v>595</v>
      </c>
      <c r="E55" s="322" t="s">
        <v>683</v>
      </c>
      <c r="F55" s="301" t="s">
        <v>82</v>
      </c>
      <c r="G55" s="322" t="s">
        <v>684</v>
      </c>
      <c r="H55" s="407" t="s">
        <v>685</v>
      </c>
      <c r="I55" s="322" t="s">
        <v>790</v>
      </c>
      <c r="J55" s="346" t="s">
        <v>789</v>
      </c>
      <c r="K55" s="322" t="s">
        <v>292</v>
      </c>
      <c r="L55" s="322">
        <f t="shared" si="8"/>
        <v>6</v>
      </c>
      <c r="M55" s="404" t="str">
        <f t="shared" si="3"/>
        <v>Same habitat required =</v>
      </c>
      <c r="N55" s="322" t="s">
        <v>292</v>
      </c>
      <c r="O55" s="322">
        <f t="shared" si="5"/>
        <v>0.33</v>
      </c>
      <c r="P55" s="322" t="s">
        <v>295</v>
      </c>
      <c r="Q55" s="322">
        <f t="shared" si="6"/>
        <v>1</v>
      </c>
      <c r="R55" s="301"/>
      <c r="S55" s="322"/>
      <c r="T55" s="363" t="s">
        <v>427</v>
      </c>
      <c r="AF55" s="322" t="s">
        <v>123</v>
      </c>
      <c r="AG55" s="322" t="s">
        <v>123</v>
      </c>
    </row>
    <row r="56" spans="1:33" ht="14.25" customHeight="1" x14ac:dyDescent="0.25">
      <c r="A56" s="928" t="s">
        <v>791</v>
      </c>
      <c r="B56" s="939" t="s">
        <v>792</v>
      </c>
      <c r="C56" s="322" t="s">
        <v>793</v>
      </c>
      <c r="D56" s="322" t="s">
        <v>595</v>
      </c>
      <c r="E56" s="322" t="s">
        <v>683</v>
      </c>
      <c r="F56" s="301" t="s">
        <v>82</v>
      </c>
      <c r="G56" s="322"/>
      <c r="H56" s="407" t="s">
        <v>685</v>
      </c>
      <c r="I56" s="322" t="s">
        <v>793</v>
      </c>
      <c r="J56" s="346" t="s">
        <v>791</v>
      </c>
      <c r="K56" s="322" t="s">
        <v>601</v>
      </c>
      <c r="L56" s="322">
        <f t="shared" si="8"/>
        <v>8</v>
      </c>
      <c r="M56" s="404" t="str">
        <f t="shared" si="3"/>
        <v>Same habitat required – bespoke compensation option ⚠</v>
      </c>
      <c r="N56" s="322" t="s">
        <v>290</v>
      </c>
      <c r="O56" s="322">
        <f t="shared" si="5"/>
        <v>0.1</v>
      </c>
      <c r="P56" s="322" t="s">
        <v>40</v>
      </c>
      <c r="Q56" s="322">
        <f t="shared" si="6"/>
        <v>0.67</v>
      </c>
      <c r="R56" s="301"/>
      <c r="S56" s="322"/>
      <c r="T56" s="363" t="s">
        <v>426</v>
      </c>
      <c r="AF56" s="322" t="s">
        <v>87</v>
      </c>
      <c r="AG56" s="322" t="s">
        <v>794</v>
      </c>
    </row>
    <row r="57" spans="1:33" ht="14.25" customHeight="1" x14ac:dyDescent="0.25">
      <c r="A57" s="928" t="s">
        <v>795</v>
      </c>
      <c r="B57" s="939" t="s">
        <v>85</v>
      </c>
      <c r="C57" s="322" t="s">
        <v>796</v>
      </c>
      <c r="D57" s="322" t="s">
        <v>595</v>
      </c>
      <c r="E57" s="322" t="s">
        <v>683</v>
      </c>
      <c r="F57" s="301" t="s">
        <v>82</v>
      </c>
      <c r="G57" s="322" t="s">
        <v>797</v>
      </c>
      <c r="H57" s="407" t="s">
        <v>798</v>
      </c>
      <c r="I57" s="322" t="s">
        <v>796</v>
      </c>
      <c r="J57" s="346" t="s">
        <v>795</v>
      </c>
      <c r="K57" s="322" t="s">
        <v>292</v>
      </c>
      <c r="L57" s="322">
        <f t="shared" si="8"/>
        <v>6</v>
      </c>
      <c r="M57" s="404" t="str">
        <f t="shared" si="3"/>
        <v>Same habitat required =</v>
      </c>
      <c r="N57" s="322" t="s">
        <v>292</v>
      </c>
      <c r="O57" s="322">
        <f t="shared" si="5"/>
        <v>0.33</v>
      </c>
      <c r="P57" s="322" t="s">
        <v>40</v>
      </c>
      <c r="Q57" s="322">
        <f t="shared" si="6"/>
        <v>0.67</v>
      </c>
      <c r="R57" s="301"/>
      <c r="S57" s="322"/>
      <c r="T57" s="363" t="s">
        <v>427</v>
      </c>
      <c r="AF57" s="322" t="s">
        <v>92</v>
      </c>
      <c r="AG57" s="322" t="s">
        <v>638</v>
      </c>
    </row>
    <row r="58" spans="1:33" ht="14.25" customHeight="1" thickBot="1" x14ac:dyDescent="0.3">
      <c r="A58" s="928" t="s">
        <v>799</v>
      </c>
      <c r="B58" s="930" t="s">
        <v>800</v>
      </c>
      <c r="C58" s="307" t="s">
        <v>801</v>
      </c>
      <c r="D58" s="307" t="s">
        <v>595</v>
      </c>
      <c r="E58" s="307" t="s">
        <v>683</v>
      </c>
      <c r="F58" s="290" t="s">
        <v>82</v>
      </c>
      <c r="G58" s="307"/>
      <c r="H58" s="408" t="s">
        <v>685</v>
      </c>
      <c r="I58" s="307" t="s">
        <v>801</v>
      </c>
      <c r="J58" s="307" t="s">
        <v>799</v>
      </c>
      <c r="K58" s="307" t="s">
        <v>40</v>
      </c>
      <c r="L58" s="307">
        <f t="shared" si="8"/>
        <v>4</v>
      </c>
      <c r="M58" s="405" t="str">
        <f t="shared" si="3"/>
        <v>Same broad habitat or a higher distinctiveness habitat required (≥)</v>
      </c>
      <c r="N58" s="307" t="s">
        <v>40</v>
      </c>
      <c r="O58" s="307">
        <f t="shared" si="5"/>
        <v>0.67</v>
      </c>
      <c r="P58" s="307" t="s">
        <v>40</v>
      </c>
      <c r="Q58" s="307">
        <f t="shared" si="6"/>
        <v>0.67</v>
      </c>
      <c r="R58" s="290"/>
      <c r="S58" s="307"/>
      <c r="T58" s="355" t="s">
        <v>427</v>
      </c>
      <c r="AF58" s="322" t="s">
        <v>94</v>
      </c>
      <c r="AG58" s="322" t="s">
        <v>642</v>
      </c>
    </row>
    <row r="59" spans="1:33" ht="14.25" customHeight="1" x14ac:dyDescent="0.25">
      <c r="A59" s="928" t="s">
        <v>802</v>
      </c>
      <c r="B59" s="929" t="s">
        <v>803</v>
      </c>
      <c r="C59" s="359">
        <v>616</v>
      </c>
      <c r="D59" s="359" t="s">
        <v>595</v>
      </c>
      <c r="E59" s="359"/>
      <c r="F59" s="286" t="s">
        <v>784</v>
      </c>
      <c r="G59" s="359"/>
      <c r="H59" s="798" t="s">
        <v>754</v>
      </c>
      <c r="I59" s="359"/>
      <c r="J59" s="359" t="s">
        <v>802</v>
      </c>
      <c r="K59" s="359" t="s">
        <v>295</v>
      </c>
      <c r="L59" s="359">
        <f t="shared" si="8"/>
        <v>2</v>
      </c>
      <c r="M59" s="800" t="str">
        <f t="shared" si="3"/>
        <v>Same distinctiveness or better habitat required ≥</v>
      </c>
      <c r="N59" s="359" t="s">
        <v>295</v>
      </c>
      <c r="O59" s="359">
        <f t="shared" si="5"/>
        <v>1</v>
      </c>
      <c r="P59" s="359" t="s">
        <v>295</v>
      </c>
      <c r="Q59" s="359">
        <f t="shared" si="6"/>
        <v>1</v>
      </c>
      <c r="R59" s="286"/>
      <c r="S59" s="359"/>
      <c r="T59" s="357" t="s">
        <v>427</v>
      </c>
      <c r="AF59" s="322" t="s">
        <v>99</v>
      </c>
      <c r="AG59" s="322" t="s">
        <v>645</v>
      </c>
    </row>
    <row r="60" spans="1:33" ht="14.25" customHeight="1" x14ac:dyDescent="0.25">
      <c r="A60" s="928" t="s">
        <v>804</v>
      </c>
      <c r="B60" s="939" t="s">
        <v>805</v>
      </c>
      <c r="C60" s="322" t="s">
        <v>806</v>
      </c>
      <c r="D60" s="322" t="s">
        <v>595</v>
      </c>
      <c r="E60" s="322" t="s">
        <v>807</v>
      </c>
      <c r="F60" s="301" t="s">
        <v>120</v>
      </c>
      <c r="G60" s="322" t="s">
        <v>808</v>
      </c>
      <c r="H60" s="407" t="s">
        <v>754</v>
      </c>
      <c r="I60" s="322" t="s">
        <v>806</v>
      </c>
      <c r="J60" s="322" t="s">
        <v>804</v>
      </c>
      <c r="K60" s="322" t="s">
        <v>618</v>
      </c>
      <c r="L60" s="322">
        <f t="shared" si="8"/>
        <v>0</v>
      </c>
      <c r="M60" s="404" t="str">
        <f t="shared" si="3"/>
        <v>Compensation Not Required</v>
      </c>
      <c r="N60" s="322" t="s">
        <v>295</v>
      </c>
      <c r="O60" s="322">
        <f t="shared" si="5"/>
        <v>1</v>
      </c>
      <c r="P60" s="322" t="s">
        <v>295</v>
      </c>
      <c r="Q60" s="322">
        <f t="shared" si="6"/>
        <v>1</v>
      </c>
      <c r="R60" s="301"/>
      <c r="S60" s="322"/>
      <c r="T60" s="363" t="s">
        <v>427</v>
      </c>
      <c r="AF60" s="322" t="s">
        <v>105</v>
      </c>
      <c r="AG60" s="322" t="s">
        <v>652</v>
      </c>
    </row>
    <row r="61" spans="1:33" ht="14.25" customHeight="1" x14ac:dyDescent="0.25">
      <c r="A61" s="928" t="s">
        <v>809</v>
      </c>
      <c r="B61" s="939" t="s">
        <v>810</v>
      </c>
      <c r="C61" s="322">
        <v>849</v>
      </c>
      <c r="D61" s="322" t="s">
        <v>595</v>
      </c>
      <c r="E61" s="322"/>
      <c r="F61" s="301" t="s">
        <v>784</v>
      </c>
      <c r="G61" s="322"/>
      <c r="H61" s="407" t="s">
        <v>754</v>
      </c>
      <c r="I61" s="322"/>
      <c r="J61" s="322" t="s">
        <v>809</v>
      </c>
      <c r="K61" s="322" t="s">
        <v>295</v>
      </c>
      <c r="L61" s="322">
        <f t="shared" si="8"/>
        <v>2</v>
      </c>
      <c r="M61" s="404" t="str">
        <f t="shared" si="3"/>
        <v>Same distinctiveness or better habitat required ≥</v>
      </c>
      <c r="N61" s="322" t="s">
        <v>40</v>
      </c>
      <c r="O61" s="322">
        <f t="shared" si="5"/>
        <v>0.67</v>
      </c>
      <c r="P61" s="322" t="s">
        <v>295</v>
      </c>
      <c r="Q61" s="322">
        <f t="shared" si="6"/>
        <v>1</v>
      </c>
      <c r="R61" s="301"/>
      <c r="S61" s="322"/>
      <c r="T61" s="363" t="s">
        <v>427</v>
      </c>
      <c r="AF61" s="322" t="s">
        <v>216</v>
      </c>
      <c r="AG61" s="322" t="s">
        <v>656</v>
      </c>
    </row>
    <row r="62" spans="1:33" ht="14.25" customHeight="1" x14ac:dyDescent="0.25">
      <c r="A62" s="928" t="s">
        <v>811</v>
      </c>
      <c r="B62" s="939" t="s">
        <v>812</v>
      </c>
      <c r="C62" s="322">
        <v>88</v>
      </c>
      <c r="D62" s="322" t="s">
        <v>595</v>
      </c>
      <c r="E62" s="322"/>
      <c r="F62" s="301" t="s">
        <v>784</v>
      </c>
      <c r="G62" s="322"/>
      <c r="H62" s="407" t="s">
        <v>754</v>
      </c>
      <c r="I62" s="322"/>
      <c r="J62" s="322"/>
      <c r="K62" s="322" t="s">
        <v>295</v>
      </c>
      <c r="L62" s="322">
        <f t="shared" si="8"/>
        <v>2</v>
      </c>
      <c r="M62" s="404" t="str">
        <f t="shared" si="3"/>
        <v>Same distinctiveness or better habitat required ≥</v>
      </c>
      <c r="N62" s="322" t="s">
        <v>295</v>
      </c>
      <c r="O62" s="322">
        <f t="shared" si="5"/>
        <v>1</v>
      </c>
      <c r="P62" s="322" t="s">
        <v>295</v>
      </c>
      <c r="Q62" s="322">
        <f t="shared" si="6"/>
        <v>1</v>
      </c>
      <c r="R62" s="301"/>
      <c r="S62" s="322"/>
      <c r="T62" s="363" t="s">
        <v>427</v>
      </c>
      <c r="AF62" s="322" t="s">
        <v>217</v>
      </c>
      <c r="AG62" s="322" t="s">
        <v>661</v>
      </c>
    </row>
    <row r="63" spans="1:33" ht="14.25" customHeight="1" x14ac:dyDescent="0.25">
      <c r="A63" s="928" t="s">
        <v>813</v>
      </c>
      <c r="B63" s="939" t="s">
        <v>814</v>
      </c>
      <c r="C63" s="322" t="s">
        <v>815</v>
      </c>
      <c r="D63" s="322" t="s">
        <v>595</v>
      </c>
      <c r="E63" s="322" t="s">
        <v>807</v>
      </c>
      <c r="F63" s="301" t="s">
        <v>120</v>
      </c>
      <c r="G63" s="322" t="s">
        <v>808</v>
      </c>
      <c r="H63" s="407" t="s">
        <v>754</v>
      </c>
      <c r="I63" s="322" t="s">
        <v>815</v>
      </c>
      <c r="J63" s="322" t="s">
        <v>813</v>
      </c>
      <c r="K63" s="322" t="s">
        <v>618</v>
      </c>
      <c r="L63" s="322">
        <f t="shared" si="8"/>
        <v>0</v>
      </c>
      <c r="M63" s="404" t="str">
        <f t="shared" si="3"/>
        <v>Compensation Not Required</v>
      </c>
      <c r="N63" s="322" t="s">
        <v>295</v>
      </c>
      <c r="O63" s="322">
        <f t="shared" si="5"/>
        <v>1</v>
      </c>
      <c r="P63" s="322" t="s">
        <v>295</v>
      </c>
      <c r="Q63" s="322">
        <f t="shared" si="6"/>
        <v>1</v>
      </c>
      <c r="R63" s="301"/>
      <c r="S63" s="322"/>
      <c r="T63" s="363" t="s">
        <v>427</v>
      </c>
      <c r="AF63" s="322" t="s">
        <v>148</v>
      </c>
      <c r="AG63" s="322" t="s">
        <v>665</v>
      </c>
    </row>
    <row r="64" spans="1:33" ht="14.25" customHeight="1" x14ac:dyDescent="0.25">
      <c r="A64" s="928" t="s">
        <v>816</v>
      </c>
      <c r="B64" s="939" t="s">
        <v>817</v>
      </c>
      <c r="C64" s="322">
        <v>90</v>
      </c>
      <c r="D64" s="322" t="s">
        <v>595</v>
      </c>
      <c r="E64" s="322"/>
      <c r="F64" s="301" t="s">
        <v>784</v>
      </c>
      <c r="G64" s="322"/>
      <c r="H64" s="407" t="s">
        <v>754</v>
      </c>
      <c r="I64" s="322"/>
      <c r="J64" s="322" t="s">
        <v>816</v>
      </c>
      <c r="K64" s="322" t="s">
        <v>40</v>
      </c>
      <c r="L64" s="322">
        <f t="shared" si="8"/>
        <v>4</v>
      </c>
      <c r="M64" s="404" t="str">
        <f t="shared" si="3"/>
        <v>Same broad habitat or a higher distinctiveness habitat required (≥)</v>
      </c>
      <c r="N64" s="322" t="s">
        <v>40</v>
      </c>
      <c r="O64" s="322">
        <f t="shared" si="5"/>
        <v>0.67</v>
      </c>
      <c r="P64" s="322" t="s">
        <v>295</v>
      </c>
      <c r="Q64" s="322">
        <f t="shared" si="6"/>
        <v>1</v>
      </c>
      <c r="R64" s="301"/>
      <c r="S64" s="322"/>
      <c r="T64" s="363" t="s">
        <v>427</v>
      </c>
    </row>
    <row r="65" spans="1:36" ht="14.25" customHeight="1" x14ac:dyDescent="0.25">
      <c r="A65" s="928" t="s">
        <v>818</v>
      </c>
      <c r="B65" s="939" t="s">
        <v>819</v>
      </c>
      <c r="C65" s="322" t="s">
        <v>820</v>
      </c>
      <c r="D65" s="322" t="s">
        <v>595</v>
      </c>
      <c r="E65" s="322" t="s">
        <v>807</v>
      </c>
      <c r="F65" s="301" t="s">
        <v>120</v>
      </c>
      <c r="G65" s="322" t="s">
        <v>808</v>
      </c>
      <c r="H65" s="407" t="s">
        <v>754</v>
      </c>
      <c r="I65" s="322" t="s">
        <v>820</v>
      </c>
      <c r="J65" s="322" t="s">
        <v>818</v>
      </c>
      <c r="K65" s="322" t="s">
        <v>618</v>
      </c>
      <c r="L65" s="322">
        <f t="shared" si="8"/>
        <v>0</v>
      </c>
      <c r="M65" s="404" t="str">
        <f t="shared" si="3"/>
        <v>Compensation Not Required</v>
      </c>
      <c r="N65" s="322" t="s">
        <v>295</v>
      </c>
      <c r="O65" s="322">
        <f t="shared" si="5"/>
        <v>1</v>
      </c>
      <c r="P65" s="322" t="s">
        <v>295</v>
      </c>
      <c r="Q65" s="322">
        <f>VLOOKUP(P65,Difficulty,2,FALSE)</f>
        <v>1</v>
      </c>
      <c r="R65" s="301"/>
      <c r="S65" s="322"/>
      <c r="T65" s="363" t="s">
        <v>427</v>
      </c>
    </row>
    <row r="66" spans="1:36" ht="14.25" customHeight="1" x14ac:dyDescent="0.25">
      <c r="A66" s="928" t="s">
        <v>821</v>
      </c>
      <c r="B66" s="939" t="s">
        <v>822</v>
      </c>
      <c r="C66" s="322">
        <v>89</v>
      </c>
      <c r="D66" s="322" t="s">
        <v>595</v>
      </c>
      <c r="E66" s="322"/>
      <c r="F66" s="301" t="s">
        <v>784</v>
      </c>
      <c r="G66" s="322"/>
      <c r="H66" s="407" t="s">
        <v>754</v>
      </c>
      <c r="I66" s="322"/>
      <c r="J66" s="322"/>
      <c r="K66" s="322" t="s">
        <v>295</v>
      </c>
      <c r="L66" s="322">
        <f t="shared" si="8"/>
        <v>2</v>
      </c>
      <c r="M66" s="404" t="str">
        <f t="shared" si="3"/>
        <v>Same distinctiveness or better habitat required ≥</v>
      </c>
      <c r="N66" s="322" t="s">
        <v>295</v>
      </c>
      <c r="O66" s="322">
        <f t="shared" si="5"/>
        <v>1</v>
      </c>
      <c r="P66" s="322" t="s">
        <v>295</v>
      </c>
      <c r="Q66" s="322">
        <f t="shared" si="6"/>
        <v>1</v>
      </c>
      <c r="R66" s="301"/>
      <c r="S66" s="322"/>
      <c r="T66" s="363" t="s">
        <v>427</v>
      </c>
    </row>
    <row r="67" spans="1:36" ht="14.25" customHeight="1" x14ac:dyDescent="0.25">
      <c r="A67" s="928" t="s">
        <v>823</v>
      </c>
      <c r="B67" s="939" t="s">
        <v>824</v>
      </c>
      <c r="C67" s="322">
        <v>843</v>
      </c>
      <c r="D67" s="322" t="s">
        <v>595</v>
      </c>
      <c r="E67" s="322"/>
      <c r="F67" s="301" t="s">
        <v>784</v>
      </c>
      <c r="G67" s="322"/>
      <c r="H67" s="407" t="s">
        <v>754</v>
      </c>
      <c r="I67" s="322"/>
      <c r="J67" s="322" t="s">
        <v>825</v>
      </c>
      <c r="K67" s="322" t="s">
        <v>295</v>
      </c>
      <c r="L67" s="322">
        <f t="shared" si="8"/>
        <v>2</v>
      </c>
      <c r="M67" s="404" t="str">
        <f t="shared" si="3"/>
        <v>Same distinctiveness or better habitat required ≥</v>
      </c>
      <c r="N67" s="322" t="s">
        <v>40</v>
      </c>
      <c r="O67" s="322">
        <f t="shared" ref="O67:O96" si="9">VLOOKUP(N67,Difficulty,2,FALSE)</f>
        <v>0.67</v>
      </c>
      <c r="P67" s="322" t="s">
        <v>40</v>
      </c>
      <c r="Q67" s="322">
        <f t="shared" ref="Q67:Q96" si="10">VLOOKUP(P67,Difficulty,2,FALSE)</f>
        <v>0.67</v>
      </c>
      <c r="R67" s="301"/>
      <c r="S67" s="322"/>
      <c r="T67" s="363" t="s">
        <v>427</v>
      </c>
    </row>
    <row r="68" spans="1:36" ht="14.25" customHeight="1" x14ac:dyDescent="0.25">
      <c r="A68" s="928" t="s">
        <v>826</v>
      </c>
      <c r="B68" s="939" t="s">
        <v>827</v>
      </c>
      <c r="C68" s="322">
        <v>842</v>
      </c>
      <c r="D68" s="322" t="s">
        <v>595</v>
      </c>
      <c r="E68" s="322"/>
      <c r="F68" s="301" t="s">
        <v>784</v>
      </c>
      <c r="G68" s="322"/>
      <c r="H68" s="407" t="s">
        <v>754</v>
      </c>
      <c r="I68" s="322"/>
      <c r="J68" s="322" t="s">
        <v>826</v>
      </c>
      <c r="K68" s="322" t="s">
        <v>295</v>
      </c>
      <c r="L68" s="322">
        <f t="shared" si="8"/>
        <v>2</v>
      </c>
      <c r="M68" s="404" t="str">
        <f t="shared" si="3"/>
        <v>Same distinctiveness or better habitat required ≥</v>
      </c>
      <c r="N68" s="322" t="s">
        <v>40</v>
      </c>
      <c r="O68" s="322">
        <f t="shared" si="9"/>
        <v>0.67</v>
      </c>
      <c r="P68" s="322" t="s">
        <v>40</v>
      </c>
      <c r="Q68" s="322">
        <f t="shared" si="10"/>
        <v>0.67</v>
      </c>
      <c r="R68" s="301"/>
      <c r="S68" s="322"/>
      <c r="T68" s="363" t="s">
        <v>427</v>
      </c>
    </row>
    <row r="69" spans="1:36" ht="14.25" customHeight="1" x14ac:dyDescent="0.25">
      <c r="A69" s="928" t="s">
        <v>828</v>
      </c>
      <c r="B69" s="939" t="s">
        <v>829</v>
      </c>
      <c r="C69" s="322">
        <v>845</v>
      </c>
      <c r="D69" s="322" t="s">
        <v>595</v>
      </c>
      <c r="E69" s="322"/>
      <c r="F69" s="301" t="s">
        <v>784</v>
      </c>
      <c r="G69" s="322"/>
      <c r="H69" s="407" t="s">
        <v>754</v>
      </c>
      <c r="I69" s="322"/>
      <c r="J69" s="322" t="s">
        <v>828</v>
      </c>
      <c r="K69" s="322" t="s">
        <v>295</v>
      </c>
      <c r="L69" s="322">
        <f t="shared" si="8"/>
        <v>2</v>
      </c>
      <c r="M69" s="404" t="str">
        <f t="shared" si="3"/>
        <v>Same distinctiveness or better habitat required ≥</v>
      </c>
      <c r="N69" s="322" t="s">
        <v>295</v>
      </c>
      <c r="O69" s="322">
        <f t="shared" si="9"/>
        <v>1</v>
      </c>
      <c r="P69" s="322" t="s">
        <v>295</v>
      </c>
      <c r="Q69" s="322">
        <f t="shared" si="10"/>
        <v>1</v>
      </c>
      <c r="R69" s="301"/>
      <c r="S69" s="322"/>
      <c r="T69" s="363" t="s">
        <v>427</v>
      </c>
    </row>
    <row r="70" spans="1:36" ht="14.25" customHeight="1" x14ac:dyDescent="0.25">
      <c r="A70" s="928" t="s">
        <v>830</v>
      </c>
      <c r="B70" s="939" t="s">
        <v>831</v>
      </c>
      <c r="C70" s="322">
        <v>87</v>
      </c>
      <c r="D70" s="322" t="s">
        <v>595</v>
      </c>
      <c r="E70" s="322"/>
      <c r="F70" s="301" t="s">
        <v>784</v>
      </c>
      <c r="G70" s="322"/>
      <c r="H70" s="407" t="s">
        <v>754</v>
      </c>
      <c r="I70" s="322"/>
      <c r="J70" s="322" t="s">
        <v>811</v>
      </c>
      <c r="K70" s="322" t="s">
        <v>40</v>
      </c>
      <c r="L70" s="322">
        <f t="shared" si="8"/>
        <v>4</v>
      </c>
      <c r="M70" s="404" t="str">
        <f t="shared" si="3"/>
        <v>Same broad habitat or a higher distinctiveness habitat required (≥)</v>
      </c>
      <c r="N70" s="322" t="s">
        <v>40</v>
      </c>
      <c r="O70" s="322">
        <f t="shared" si="9"/>
        <v>0.67</v>
      </c>
      <c r="P70" s="322" t="s">
        <v>40</v>
      </c>
      <c r="Q70" s="322">
        <f t="shared" si="10"/>
        <v>0.67</v>
      </c>
      <c r="R70" s="301"/>
      <c r="S70" s="322"/>
      <c r="T70" s="363" t="s">
        <v>427</v>
      </c>
    </row>
    <row r="71" spans="1:36" ht="14.25" customHeight="1" x14ac:dyDescent="0.25">
      <c r="A71" s="928" t="s">
        <v>832</v>
      </c>
      <c r="B71" s="939" t="s">
        <v>833</v>
      </c>
      <c r="C71" s="322">
        <v>847</v>
      </c>
      <c r="D71" s="322" t="s">
        <v>595</v>
      </c>
      <c r="E71" s="322"/>
      <c r="F71" s="301" t="s">
        <v>784</v>
      </c>
      <c r="G71" s="322"/>
      <c r="H71" s="407" t="s">
        <v>754</v>
      </c>
      <c r="I71" s="322"/>
      <c r="J71" s="322" t="s">
        <v>832</v>
      </c>
      <c r="K71" s="322" t="s">
        <v>295</v>
      </c>
      <c r="L71" s="322">
        <f t="shared" si="8"/>
        <v>2</v>
      </c>
      <c r="M71" s="404" t="str">
        <f t="shared" si="3"/>
        <v>Same distinctiveness or better habitat required ≥</v>
      </c>
      <c r="N71" s="322" t="s">
        <v>295</v>
      </c>
      <c r="O71" s="322">
        <f t="shared" si="9"/>
        <v>1</v>
      </c>
      <c r="P71" s="322" t="s">
        <v>295</v>
      </c>
      <c r="Q71" s="322">
        <f t="shared" si="10"/>
        <v>1</v>
      </c>
      <c r="R71" s="301"/>
      <c r="S71" s="322"/>
      <c r="T71" s="363" t="s">
        <v>427</v>
      </c>
    </row>
    <row r="72" spans="1:36" ht="14.25" customHeight="1" x14ac:dyDescent="0.25">
      <c r="A72" s="928" t="s">
        <v>834</v>
      </c>
      <c r="B72" s="939" t="s">
        <v>119</v>
      </c>
      <c r="C72" s="322">
        <v>80</v>
      </c>
      <c r="D72" s="322" t="s">
        <v>595</v>
      </c>
      <c r="E72" s="322"/>
      <c r="F72" s="301" t="s">
        <v>784</v>
      </c>
      <c r="G72" s="322"/>
      <c r="H72" s="407" t="s">
        <v>754</v>
      </c>
      <c r="I72" s="322" t="s">
        <v>835</v>
      </c>
      <c r="J72" s="346" t="s">
        <v>836</v>
      </c>
      <c r="K72" s="322" t="s">
        <v>292</v>
      </c>
      <c r="L72" s="322">
        <f t="shared" si="8"/>
        <v>6</v>
      </c>
      <c r="M72" s="404" t="str">
        <f t="shared" si="3"/>
        <v>Same habitat required =</v>
      </c>
      <c r="N72" s="322" t="s">
        <v>40</v>
      </c>
      <c r="O72" s="322">
        <f t="shared" si="9"/>
        <v>0.67</v>
      </c>
      <c r="P72" s="322" t="s">
        <v>40</v>
      </c>
      <c r="Q72" s="322">
        <f t="shared" si="10"/>
        <v>0.67</v>
      </c>
      <c r="R72" s="301"/>
      <c r="S72" s="322"/>
      <c r="T72" s="363" t="s">
        <v>427</v>
      </c>
    </row>
    <row r="73" spans="1:36" ht="14.25" customHeight="1" x14ac:dyDescent="0.25">
      <c r="A73" s="928" t="s">
        <v>837</v>
      </c>
      <c r="B73" s="939" t="s">
        <v>838</v>
      </c>
      <c r="C73" s="322">
        <v>850</v>
      </c>
      <c r="D73" s="322" t="s">
        <v>595</v>
      </c>
      <c r="E73" s="322"/>
      <c r="F73" s="301" t="s">
        <v>784</v>
      </c>
      <c r="G73" s="322"/>
      <c r="H73" s="407" t="s">
        <v>754</v>
      </c>
      <c r="I73" s="322"/>
      <c r="J73" s="322" t="s">
        <v>837</v>
      </c>
      <c r="K73" s="322" t="s">
        <v>295</v>
      </c>
      <c r="L73" s="322">
        <f t="shared" si="8"/>
        <v>2</v>
      </c>
      <c r="M73" s="404" t="str">
        <f t="shared" si="3"/>
        <v>Same distinctiveness or better habitat required ≥</v>
      </c>
      <c r="N73" s="322" t="s">
        <v>295</v>
      </c>
      <c r="O73" s="322">
        <f t="shared" si="9"/>
        <v>1</v>
      </c>
      <c r="P73" s="322" t="s">
        <v>295</v>
      </c>
      <c r="Q73" s="322">
        <f t="shared" si="10"/>
        <v>1</v>
      </c>
      <c r="R73" s="301"/>
      <c r="S73" s="322"/>
      <c r="T73" s="363" t="s">
        <v>427</v>
      </c>
    </row>
    <row r="74" spans="1:36" ht="14.25" customHeight="1" x14ac:dyDescent="0.25">
      <c r="A74" s="928" t="s">
        <v>839</v>
      </c>
      <c r="B74" s="939" t="s">
        <v>840</v>
      </c>
      <c r="C74" s="322">
        <v>85</v>
      </c>
      <c r="D74" s="322" t="s">
        <v>595</v>
      </c>
      <c r="E74" s="322"/>
      <c r="F74" s="301" t="s">
        <v>784</v>
      </c>
      <c r="G74" s="322"/>
      <c r="H74" s="407" t="s">
        <v>754</v>
      </c>
      <c r="I74" s="322"/>
      <c r="J74" s="322" t="s">
        <v>841</v>
      </c>
      <c r="K74" s="322" t="s">
        <v>295</v>
      </c>
      <c r="L74" s="322">
        <f t="shared" si="8"/>
        <v>2</v>
      </c>
      <c r="M74" s="404" t="str">
        <f t="shared" ref="M74:M131" si="11">IF($K74=$V$3,$X$3,IF($K74=$V$4,$X$4,IF($K74=$V$5,$X$5,IF($K74=$V$6,$X$6,IF($K74=$V$7,$X$7)))))</f>
        <v>Same distinctiveness or better habitat required ≥</v>
      </c>
      <c r="N74" s="322" t="s">
        <v>40</v>
      </c>
      <c r="O74" s="322">
        <f t="shared" si="9"/>
        <v>0.67</v>
      </c>
      <c r="P74" s="322" t="s">
        <v>295</v>
      </c>
      <c r="Q74" s="322">
        <f t="shared" si="10"/>
        <v>1</v>
      </c>
      <c r="R74" s="301"/>
      <c r="S74" s="322"/>
      <c r="T74" s="363" t="s">
        <v>427</v>
      </c>
    </row>
    <row r="75" spans="1:36" ht="14.25" customHeight="1" x14ac:dyDescent="0.25">
      <c r="A75" s="928" t="s">
        <v>842</v>
      </c>
      <c r="B75" s="939" t="s">
        <v>843</v>
      </c>
      <c r="C75" s="322">
        <v>848</v>
      </c>
      <c r="D75" s="322" t="s">
        <v>595</v>
      </c>
      <c r="E75" s="322"/>
      <c r="F75" s="301" t="s">
        <v>784</v>
      </c>
      <c r="G75" s="322"/>
      <c r="H75" s="407" t="s">
        <v>754</v>
      </c>
      <c r="I75" s="322"/>
      <c r="J75" s="322" t="s">
        <v>844</v>
      </c>
      <c r="K75" s="322" t="s">
        <v>295</v>
      </c>
      <c r="L75" s="322">
        <f t="shared" si="8"/>
        <v>2</v>
      </c>
      <c r="M75" s="404" t="str">
        <f t="shared" si="11"/>
        <v>Same distinctiveness or better habitat required ≥</v>
      </c>
      <c r="N75" s="322" t="s">
        <v>40</v>
      </c>
      <c r="O75" s="322">
        <f t="shared" si="9"/>
        <v>0.67</v>
      </c>
      <c r="P75" s="322" t="s">
        <v>40</v>
      </c>
      <c r="Q75" s="322">
        <f t="shared" si="10"/>
        <v>0.67</v>
      </c>
      <c r="R75" s="301"/>
      <c r="S75" s="322"/>
      <c r="T75" s="363" t="s">
        <v>427</v>
      </c>
    </row>
    <row r="76" spans="1:36" ht="14.25" customHeight="1" x14ac:dyDescent="0.25">
      <c r="A76" s="928" t="s">
        <v>845</v>
      </c>
      <c r="B76" s="939" t="s">
        <v>846</v>
      </c>
      <c r="C76" s="322">
        <v>829</v>
      </c>
      <c r="D76" s="322" t="s">
        <v>595</v>
      </c>
      <c r="E76" s="322"/>
      <c r="F76" s="301" t="s">
        <v>784</v>
      </c>
      <c r="G76" s="322"/>
      <c r="H76" s="407" t="s">
        <v>754</v>
      </c>
      <c r="I76" s="322"/>
      <c r="J76" s="322" t="s">
        <v>847</v>
      </c>
      <c r="K76" s="322" t="s">
        <v>618</v>
      </c>
      <c r="L76" s="322">
        <f t="shared" si="8"/>
        <v>0</v>
      </c>
      <c r="M76" s="404" t="str">
        <f t="shared" si="11"/>
        <v>Compensation Not Required</v>
      </c>
      <c r="N76" s="322" t="s">
        <v>295</v>
      </c>
      <c r="O76" s="322">
        <f t="shared" si="9"/>
        <v>1</v>
      </c>
      <c r="P76" s="322" t="s">
        <v>295</v>
      </c>
      <c r="Q76" s="322">
        <f t="shared" si="10"/>
        <v>1</v>
      </c>
      <c r="R76" s="301"/>
      <c r="S76" s="322"/>
      <c r="T76" s="363" t="s">
        <v>427</v>
      </c>
    </row>
    <row r="77" spans="1:36" ht="14.25" customHeight="1" x14ac:dyDescent="0.25">
      <c r="A77" s="928" t="s">
        <v>848</v>
      </c>
      <c r="B77" s="939" t="s">
        <v>849</v>
      </c>
      <c r="C77" s="322">
        <v>82</v>
      </c>
      <c r="D77" s="322" t="s">
        <v>595</v>
      </c>
      <c r="E77" s="322"/>
      <c r="F77" s="301" t="s">
        <v>784</v>
      </c>
      <c r="G77" s="322"/>
      <c r="H77" s="407" t="s">
        <v>754</v>
      </c>
      <c r="I77" s="322"/>
      <c r="J77" s="322" t="s">
        <v>848</v>
      </c>
      <c r="K77" s="322" t="s">
        <v>295</v>
      </c>
      <c r="L77" s="322">
        <f t="shared" si="8"/>
        <v>2</v>
      </c>
      <c r="M77" s="404" t="str">
        <f t="shared" si="11"/>
        <v>Same distinctiveness or better habitat required ≥</v>
      </c>
      <c r="N77" s="322" t="s">
        <v>295</v>
      </c>
      <c r="O77" s="322">
        <f t="shared" si="9"/>
        <v>1</v>
      </c>
      <c r="P77" s="322" t="s">
        <v>295</v>
      </c>
      <c r="Q77" s="322">
        <f t="shared" si="10"/>
        <v>1</v>
      </c>
      <c r="R77" s="301" t="s">
        <v>850</v>
      </c>
      <c r="S77" s="322"/>
      <c r="T77" s="363" t="s">
        <v>427</v>
      </c>
    </row>
    <row r="78" spans="1:36" ht="14.25" customHeight="1" x14ac:dyDescent="0.25">
      <c r="A78" s="928" t="s">
        <v>851</v>
      </c>
      <c r="B78" s="946" t="s">
        <v>852</v>
      </c>
      <c r="C78" s="822">
        <v>510</v>
      </c>
      <c r="D78" s="822" t="s">
        <v>595</v>
      </c>
      <c r="E78" s="322"/>
      <c r="F78" s="314" t="s">
        <v>853</v>
      </c>
      <c r="G78" s="822"/>
      <c r="H78" s="430" t="s">
        <v>754</v>
      </c>
      <c r="I78" s="822"/>
      <c r="J78" s="822" t="s">
        <v>851</v>
      </c>
      <c r="K78" s="822" t="s">
        <v>295</v>
      </c>
      <c r="L78" s="822">
        <f t="shared" si="8"/>
        <v>2</v>
      </c>
      <c r="M78" s="431" t="str">
        <f t="shared" si="11"/>
        <v>Same distinctiveness or better habitat required ≥</v>
      </c>
      <c r="N78" s="822" t="s">
        <v>295</v>
      </c>
      <c r="O78" s="822">
        <v>1</v>
      </c>
      <c r="P78" s="822" t="s">
        <v>295</v>
      </c>
      <c r="Q78" s="822">
        <v>1</v>
      </c>
      <c r="R78" s="301" t="s">
        <v>850</v>
      </c>
      <c r="S78" s="822"/>
      <c r="T78" s="363" t="s">
        <v>427</v>
      </c>
    </row>
    <row r="79" spans="1:36" ht="14.25" customHeight="1" thickBot="1" x14ac:dyDescent="0.3">
      <c r="A79" s="945" t="s">
        <v>854</v>
      </c>
      <c r="B79" s="930" t="s">
        <v>855</v>
      </c>
      <c r="C79" s="307">
        <v>828</v>
      </c>
      <c r="D79" s="307" t="s">
        <v>595</v>
      </c>
      <c r="E79" s="307"/>
      <c r="F79" s="290" t="s">
        <v>784</v>
      </c>
      <c r="G79" s="307"/>
      <c r="H79" s="408" t="s">
        <v>754</v>
      </c>
      <c r="I79" s="307"/>
      <c r="J79" s="307" t="s">
        <v>854</v>
      </c>
      <c r="K79" s="307" t="s">
        <v>295</v>
      </c>
      <c r="L79" s="307">
        <f t="shared" ref="L79:L102" si="12">IF(K79=$V$3,$W$3,IF(K79=$V$3,$W$3,IF(K79=$V$4,$W$4,IF(K79=$V$5,$W$5,IF(K79=$V$6,$W$6,IF(K79=$V$7,$W$7))))))</f>
        <v>2</v>
      </c>
      <c r="M79" s="405" t="str">
        <f t="shared" si="11"/>
        <v>Same distinctiveness or better habitat required ≥</v>
      </c>
      <c r="N79" s="307" t="s">
        <v>295</v>
      </c>
      <c r="O79" s="307">
        <f t="shared" si="9"/>
        <v>1</v>
      </c>
      <c r="P79" s="307" t="s">
        <v>295</v>
      </c>
      <c r="Q79" s="307">
        <f t="shared" si="10"/>
        <v>1</v>
      </c>
      <c r="R79" s="290"/>
      <c r="S79" s="307"/>
      <c r="T79" s="355" t="s">
        <v>427</v>
      </c>
    </row>
    <row r="80" spans="1:36" s="111" customFormat="1" ht="14.25" customHeight="1" x14ac:dyDescent="0.25">
      <c r="A80" s="928" t="s">
        <v>856</v>
      </c>
      <c r="B80" s="929" t="s">
        <v>857</v>
      </c>
      <c r="C80" s="359" t="s">
        <v>858</v>
      </c>
      <c r="D80" s="359" t="s">
        <v>595</v>
      </c>
      <c r="E80" s="359"/>
      <c r="F80" s="286"/>
      <c r="G80" s="359"/>
      <c r="H80" s="798"/>
      <c r="I80" s="359"/>
      <c r="J80" s="359" t="s">
        <v>859</v>
      </c>
      <c r="K80" s="359" t="s">
        <v>40</v>
      </c>
      <c r="L80" s="359">
        <f>IF(K80=$V$3,$W$3,IF(K80=$V$3,$W$3,IF(K80=$V$4,$W$4,IF(K80=$V$5,$W$5,IF(K80=$V$6,$W$6,IF(K80=$V$7,$W$7))))))</f>
        <v>4</v>
      </c>
      <c r="M80" s="800" t="str">
        <f>IF($K80=$V$3,$X$3,IF($K80=$V$4,$X$4,IF($K80=$V$5,$X$5,IF($K80=$V$6,$X$6,IF($K80=$V$7,$X$7)))))</f>
        <v>Same broad habitat or a higher distinctiveness habitat required (≥)</v>
      </c>
      <c r="N80" s="359" t="s">
        <v>295</v>
      </c>
      <c r="O80" s="359">
        <f>VLOOKUP(N80,Difficulty,2,FALSE)</f>
        <v>1</v>
      </c>
      <c r="P80" s="359" t="s">
        <v>295</v>
      </c>
      <c r="Q80" s="359">
        <f>VLOOKUP(P80,Difficulty,2,FALSE)</f>
        <v>1</v>
      </c>
      <c r="R80" s="286"/>
      <c r="S80" s="359"/>
      <c r="T80" s="357" t="s">
        <v>860</v>
      </c>
      <c r="U80" s="30"/>
      <c r="V80" s="30"/>
      <c r="W80" s="30"/>
      <c r="X80" s="30"/>
      <c r="Y80" s="30"/>
      <c r="Z80" s="30"/>
      <c r="AA80" s="30"/>
      <c r="AB80" s="30"/>
      <c r="AC80" s="30"/>
      <c r="AD80" s="30"/>
      <c r="AE80" s="30"/>
      <c r="AF80" s="30"/>
      <c r="AG80" s="30"/>
      <c r="AH80" s="30"/>
      <c r="AI80" s="30"/>
      <c r="AJ80" s="646"/>
    </row>
    <row r="81" spans="1:36" s="111" customFormat="1" ht="14.25" customHeight="1" thickBot="1" x14ac:dyDescent="0.3">
      <c r="A81" s="931" t="s">
        <v>861</v>
      </c>
      <c r="B81" s="936" t="s">
        <v>862</v>
      </c>
      <c r="C81" s="307" t="s">
        <v>863</v>
      </c>
      <c r="D81" s="307" t="s">
        <v>595</v>
      </c>
      <c r="E81" s="307"/>
      <c r="F81" s="290"/>
      <c r="G81" s="307"/>
      <c r="H81" s="307"/>
      <c r="I81" s="307"/>
      <c r="J81" s="307"/>
      <c r="K81" s="307" t="s">
        <v>40</v>
      </c>
      <c r="L81" s="307">
        <f>IF(K81=$V$3,$W$3,IF(K81=$V$3,$W$3,IF(K81=$V$4,$W$4,IF(K81=$V$5,$W$5,IF(K81=$V$6,$W$6,IF(K81=$V$7,$W$7))))))</f>
        <v>4</v>
      </c>
      <c r="M81" s="405" t="str">
        <f>IF($K81=$V$3,$X$3,IF($K81=$V$4,$X$4,IF($K81=$V$5,$X$5,IF($K81=$V$6,$X$6,IF($K81=$V$7,$X$7)))))</f>
        <v>Same broad habitat or a higher distinctiveness habitat required (≥)</v>
      </c>
      <c r="N81" s="307" t="s">
        <v>295</v>
      </c>
      <c r="O81" s="307">
        <f>VLOOKUP(N81,Difficulty,2,FALSE)</f>
        <v>1</v>
      </c>
      <c r="P81" s="307" t="s">
        <v>295</v>
      </c>
      <c r="Q81" s="307">
        <f>VLOOKUP(P81,Difficulty,2,FALSE)</f>
        <v>1</v>
      </c>
      <c r="R81" s="290"/>
      <c r="S81" s="307"/>
      <c r="T81" s="355" t="s">
        <v>860</v>
      </c>
      <c r="U81" s="30"/>
      <c r="V81" s="30"/>
      <c r="W81" s="30"/>
      <c r="X81" s="30"/>
      <c r="Y81" s="30"/>
      <c r="Z81" s="30"/>
      <c r="AA81" s="30"/>
      <c r="AB81" s="30"/>
      <c r="AC81" s="30"/>
      <c r="AD81" s="30"/>
      <c r="AE81" s="30"/>
      <c r="AF81" s="30"/>
      <c r="AG81" s="30"/>
      <c r="AH81" s="30"/>
      <c r="AI81" s="30"/>
      <c r="AJ81" s="646"/>
    </row>
    <row r="82" spans="1:36" ht="14.25" customHeight="1" x14ac:dyDescent="0.25">
      <c r="A82" s="941" t="s">
        <v>864</v>
      </c>
      <c r="B82" s="929" t="s">
        <v>865</v>
      </c>
      <c r="C82" s="359" t="s">
        <v>866</v>
      </c>
      <c r="D82" s="359" t="s">
        <v>595</v>
      </c>
      <c r="E82" s="359" t="s">
        <v>867</v>
      </c>
      <c r="F82" s="286" t="s">
        <v>123</v>
      </c>
      <c r="G82" s="359" t="s">
        <v>868</v>
      </c>
      <c r="H82" s="798" t="s">
        <v>869</v>
      </c>
      <c r="I82" s="359" t="s">
        <v>866</v>
      </c>
      <c r="J82" s="799" t="s">
        <v>864</v>
      </c>
      <c r="K82" s="359" t="s">
        <v>601</v>
      </c>
      <c r="L82" s="359">
        <f t="shared" si="12"/>
        <v>8</v>
      </c>
      <c r="M82" s="800" t="str">
        <f t="shared" si="11"/>
        <v>Same habitat required – bespoke compensation option ⚠</v>
      </c>
      <c r="N82" s="359" t="s">
        <v>290</v>
      </c>
      <c r="O82" s="359">
        <f t="shared" si="9"/>
        <v>0.1</v>
      </c>
      <c r="P82" s="359" t="s">
        <v>292</v>
      </c>
      <c r="Q82" s="359">
        <f t="shared" si="10"/>
        <v>0.33</v>
      </c>
      <c r="R82" s="286"/>
      <c r="S82" s="359"/>
      <c r="T82" s="357" t="s">
        <v>426</v>
      </c>
    </row>
    <row r="83" spans="1:36" ht="14.25" customHeight="1" x14ac:dyDescent="0.25">
      <c r="A83" s="928" t="s">
        <v>870</v>
      </c>
      <c r="B83" s="939" t="s">
        <v>871</v>
      </c>
      <c r="C83" s="322">
        <v>56</v>
      </c>
      <c r="D83" s="322" t="s">
        <v>595</v>
      </c>
      <c r="E83" s="322" t="s">
        <v>867</v>
      </c>
      <c r="F83" s="301" t="s">
        <v>123</v>
      </c>
      <c r="G83" s="322" t="s">
        <v>868</v>
      </c>
      <c r="H83" s="407" t="s">
        <v>869</v>
      </c>
      <c r="I83" s="322"/>
      <c r="J83" s="349" t="s">
        <v>872</v>
      </c>
      <c r="K83" s="322" t="s">
        <v>601</v>
      </c>
      <c r="L83" s="322">
        <f t="shared" si="12"/>
        <v>8</v>
      </c>
      <c r="M83" s="404" t="str">
        <f t="shared" si="11"/>
        <v>Same habitat required – bespoke compensation option ⚠</v>
      </c>
      <c r="N83" s="322" t="s">
        <v>290</v>
      </c>
      <c r="O83" s="322">
        <f t="shared" si="9"/>
        <v>0.1</v>
      </c>
      <c r="P83" s="322" t="s">
        <v>292</v>
      </c>
      <c r="Q83" s="322">
        <f t="shared" si="10"/>
        <v>0.33</v>
      </c>
      <c r="R83" s="301"/>
      <c r="S83" s="322"/>
      <c r="T83" s="363" t="s">
        <v>427</v>
      </c>
    </row>
    <row r="84" spans="1:36" ht="14.25" customHeight="1" x14ac:dyDescent="0.25">
      <c r="A84" s="928" t="s">
        <v>873</v>
      </c>
      <c r="B84" s="939" t="s">
        <v>874</v>
      </c>
      <c r="C84" s="322" t="s">
        <v>875</v>
      </c>
      <c r="D84" s="322" t="s">
        <v>595</v>
      </c>
      <c r="E84" s="322"/>
      <c r="F84" s="301"/>
      <c r="G84" s="322"/>
      <c r="H84" s="407" t="s">
        <v>876</v>
      </c>
      <c r="I84" s="322" t="s">
        <v>877</v>
      </c>
      <c r="J84" s="346" t="s">
        <v>878</v>
      </c>
      <c r="K84" s="322" t="s">
        <v>601</v>
      </c>
      <c r="L84" s="322">
        <f t="shared" si="12"/>
        <v>8</v>
      </c>
      <c r="M84" s="404" t="str">
        <f t="shared" si="11"/>
        <v>Same habitat required – bespoke compensation option ⚠</v>
      </c>
      <c r="N84" s="322" t="s">
        <v>292</v>
      </c>
      <c r="O84" s="322">
        <f t="shared" si="9"/>
        <v>0.33</v>
      </c>
      <c r="P84" s="322" t="s">
        <v>292</v>
      </c>
      <c r="Q84" s="322">
        <f t="shared" si="10"/>
        <v>0.33</v>
      </c>
      <c r="R84" s="301"/>
      <c r="S84" s="322"/>
      <c r="T84" s="363" t="s">
        <v>860</v>
      </c>
    </row>
    <row r="85" spans="1:36" ht="14.25" customHeight="1" x14ac:dyDescent="0.25">
      <c r="A85" s="928" t="s">
        <v>879</v>
      </c>
      <c r="B85" s="939" t="s">
        <v>880</v>
      </c>
      <c r="C85" s="322" t="s">
        <v>881</v>
      </c>
      <c r="D85" s="322" t="s">
        <v>595</v>
      </c>
      <c r="E85" s="322" t="s">
        <v>867</v>
      </c>
      <c r="F85" s="301" t="s">
        <v>123</v>
      </c>
      <c r="G85" s="322" t="s">
        <v>868</v>
      </c>
      <c r="H85" s="407" t="s">
        <v>869</v>
      </c>
      <c r="I85" s="322" t="s">
        <v>881</v>
      </c>
      <c r="J85" s="346" t="s">
        <v>879</v>
      </c>
      <c r="K85" s="322" t="s">
        <v>601</v>
      </c>
      <c r="L85" s="322">
        <f t="shared" si="12"/>
        <v>8</v>
      </c>
      <c r="M85" s="404" t="str">
        <f t="shared" si="11"/>
        <v>Same habitat required – bespoke compensation option ⚠</v>
      </c>
      <c r="N85" s="322" t="s">
        <v>290</v>
      </c>
      <c r="O85" s="322">
        <f t="shared" si="9"/>
        <v>0.1</v>
      </c>
      <c r="P85" s="322" t="s">
        <v>292</v>
      </c>
      <c r="Q85" s="322">
        <f t="shared" si="10"/>
        <v>0.33</v>
      </c>
      <c r="R85" s="301"/>
      <c r="S85" s="322"/>
      <c r="T85" s="363" t="s">
        <v>860</v>
      </c>
    </row>
    <row r="86" spans="1:36" ht="14.25" customHeight="1" x14ac:dyDescent="0.25">
      <c r="A86" s="928" t="s">
        <v>882</v>
      </c>
      <c r="B86" s="939" t="s">
        <v>883</v>
      </c>
      <c r="C86" s="322" t="s">
        <v>884</v>
      </c>
      <c r="D86" s="322" t="s">
        <v>595</v>
      </c>
      <c r="E86" s="322"/>
      <c r="F86" s="301"/>
      <c r="G86" s="322"/>
      <c r="H86" s="407" t="s">
        <v>876</v>
      </c>
      <c r="I86" s="322" t="s">
        <v>885</v>
      </c>
      <c r="J86" s="322" t="s">
        <v>886</v>
      </c>
      <c r="K86" s="322" t="s">
        <v>601</v>
      </c>
      <c r="L86" s="322">
        <f t="shared" si="12"/>
        <v>8</v>
      </c>
      <c r="M86" s="404" t="str">
        <f t="shared" si="11"/>
        <v>Same habitat required – bespoke compensation option ⚠</v>
      </c>
      <c r="N86" s="322" t="s">
        <v>290</v>
      </c>
      <c r="O86" s="322">
        <f t="shared" si="9"/>
        <v>0.1</v>
      </c>
      <c r="P86" s="322" t="s">
        <v>292</v>
      </c>
      <c r="Q86" s="322">
        <f t="shared" si="10"/>
        <v>0.33</v>
      </c>
      <c r="R86" s="301"/>
      <c r="S86" s="322"/>
      <c r="T86" s="363" t="s">
        <v>427</v>
      </c>
    </row>
    <row r="87" spans="1:36" ht="14.25" customHeight="1" x14ac:dyDescent="0.25">
      <c r="A87" s="928" t="s">
        <v>887</v>
      </c>
      <c r="B87" s="939" t="s">
        <v>888</v>
      </c>
      <c r="C87" s="322" t="s">
        <v>889</v>
      </c>
      <c r="D87" s="322" t="s">
        <v>595</v>
      </c>
      <c r="E87" s="322" t="s">
        <v>867</v>
      </c>
      <c r="F87" s="301" t="s">
        <v>123</v>
      </c>
      <c r="G87" s="322" t="s">
        <v>890</v>
      </c>
      <c r="H87" s="407" t="s">
        <v>876</v>
      </c>
      <c r="I87" s="322" t="s">
        <v>889</v>
      </c>
      <c r="J87" s="346" t="s">
        <v>887</v>
      </c>
      <c r="K87" s="322" t="s">
        <v>601</v>
      </c>
      <c r="L87" s="322">
        <f t="shared" si="12"/>
        <v>8</v>
      </c>
      <c r="M87" s="404" t="str">
        <f t="shared" si="11"/>
        <v>Same habitat required – bespoke compensation option ⚠</v>
      </c>
      <c r="N87" s="322" t="s">
        <v>292</v>
      </c>
      <c r="O87" s="322">
        <f t="shared" si="9"/>
        <v>0.33</v>
      </c>
      <c r="P87" s="322" t="s">
        <v>292</v>
      </c>
      <c r="Q87" s="322">
        <f t="shared" si="10"/>
        <v>0.33</v>
      </c>
      <c r="R87" s="301"/>
      <c r="S87" s="322"/>
      <c r="T87" s="363" t="s">
        <v>427</v>
      </c>
    </row>
    <row r="88" spans="1:36" ht="14.25" customHeight="1" x14ac:dyDescent="0.25">
      <c r="A88" s="928" t="s">
        <v>891</v>
      </c>
      <c r="B88" s="939" t="s">
        <v>122</v>
      </c>
      <c r="C88" s="322" t="s">
        <v>892</v>
      </c>
      <c r="D88" s="322" t="s">
        <v>595</v>
      </c>
      <c r="E88" s="322" t="s">
        <v>867</v>
      </c>
      <c r="F88" s="301" t="s">
        <v>123</v>
      </c>
      <c r="G88" s="322" t="s">
        <v>890</v>
      </c>
      <c r="H88" s="407" t="s">
        <v>876</v>
      </c>
      <c r="I88" s="322" t="s">
        <v>892</v>
      </c>
      <c r="J88" s="346" t="s">
        <v>891</v>
      </c>
      <c r="K88" s="322" t="s">
        <v>292</v>
      </c>
      <c r="L88" s="322">
        <f t="shared" si="12"/>
        <v>6</v>
      </c>
      <c r="M88" s="404" t="str">
        <f t="shared" si="11"/>
        <v>Same habitat required =</v>
      </c>
      <c r="N88" s="322" t="s">
        <v>40</v>
      </c>
      <c r="O88" s="322">
        <f t="shared" si="9"/>
        <v>0.67</v>
      </c>
      <c r="P88" s="322" t="s">
        <v>40</v>
      </c>
      <c r="Q88" s="322">
        <f t="shared" si="10"/>
        <v>0.67</v>
      </c>
      <c r="R88" s="301"/>
      <c r="S88" s="322"/>
      <c r="T88" s="363" t="s">
        <v>427</v>
      </c>
    </row>
    <row r="89" spans="1:36" ht="14.25" customHeight="1" thickBot="1" x14ac:dyDescent="0.3">
      <c r="A89" s="928" t="s">
        <v>893</v>
      </c>
      <c r="B89" s="930" t="s">
        <v>894</v>
      </c>
      <c r="C89" s="307" t="s">
        <v>895</v>
      </c>
      <c r="D89" s="307" t="s">
        <v>595</v>
      </c>
      <c r="E89" s="307"/>
      <c r="F89" s="290"/>
      <c r="G89" s="307"/>
      <c r="H89" s="408" t="s">
        <v>876</v>
      </c>
      <c r="I89" s="307" t="s">
        <v>896</v>
      </c>
      <c r="J89" s="350" t="s">
        <v>894</v>
      </c>
      <c r="K89" s="307" t="s">
        <v>601</v>
      </c>
      <c r="L89" s="307">
        <f t="shared" si="12"/>
        <v>8</v>
      </c>
      <c r="M89" s="405" t="str">
        <f t="shared" si="11"/>
        <v>Same habitat required – bespoke compensation option ⚠</v>
      </c>
      <c r="N89" s="307" t="s">
        <v>290</v>
      </c>
      <c r="O89" s="307">
        <f t="shared" si="9"/>
        <v>0.1</v>
      </c>
      <c r="P89" s="307" t="s">
        <v>292</v>
      </c>
      <c r="Q89" s="307">
        <f t="shared" si="10"/>
        <v>0.33</v>
      </c>
      <c r="R89" s="290"/>
      <c r="S89" s="307"/>
      <c r="T89" s="355" t="s">
        <v>427</v>
      </c>
    </row>
    <row r="90" spans="1:36" ht="14.25" customHeight="1" x14ac:dyDescent="0.25">
      <c r="A90" s="928" t="s">
        <v>897</v>
      </c>
      <c r="B90" s="929" t="s">
        <v>898</v>
      </c>
      <c r="C90" s="359">
        <v>206</v>
      </c>
      <c r="D90" s="359" t="s">
        <v>595</v>
      </c>
      <c r="E90" s="359"/>
      <c r="F90" s="286" t="s">
        <v>644</v>
      </c>
      <c r="G90" s="359"/>
      <c r="H90" s="798" t="s">
        <v>899</v>
      </c>
      <c r="I90" s="359"/>
      <c r="J90" s="359" t="s">
        <v>897</v>
      </c>
      <c r="K90" s="359" t="s">
        <v>292</v>
      </c>
      <c r="L90" s="359">
        <f t="shared" si="12"/>
        <v>6</v>
      </c>
      <c r="M90" s="800" t="str">
        <f t="shared" si="11"/>
        <v>Same habitat required =</v>
      </c>
      <c r="N90" s="359" t="s">
        <v>292</v>
      </c>
      <c r="O90" s="359">
        <f t="shared" si="9"/>
        <v>0.33</v>
      </c>
      <c r="P90" s="359" t="s">
        <v>295</v>
      </c>
      <c r="Q90" s="359">
        <f t="shared" si="10"/>
        <v>1</v>
      </c>
      <c r="R90" s="286"/>
      <c r="S90" s="359"/>
      <c r="T90" s="357" t="s">
        <v>860</v>
      </c>
    </row>
    <row r="91" spans="1:36" ht="14.25" customHeight="1" x14ac:dyDescent="0.25">
      <c r="A91" s="928" t="s">
        <v>900</v>
      </c>
      <c r="B91" s="939" t="s">
        <v>101</v>
      </c>
      <c r="C91" s="322" t="s">
        <v>901</v>
      </c>
      <c r="D91" s="322" t="s">
        <v>595</v>
      </c>
      <c r="E91" s="322" t="s">
        <v>902</v>
      </c>
      <c r="F91" s="301" t="s">
        <v>87</v>
      </c>
      <c r="G91" s="322" t="s">
        <v>903</v>
      </c>
      <c r="H91" s="407" t="s">
        <v>904</v>
      </c>
      <c r="I91" s="322" t="s">
        <v>901</v>
      </c>
      <c r="J91" s="346" t="s">
        <v>900</v>
      </c>
      <c r="K91" s="322" t="s">
        <v>292</v>
      </c>
      <c r="L91" s="322">
        <f t="shared" si="12"/>
        <v>6</v>
      </c>
      <c r="M91" s="404" t="str">
        <f t="shared" si="11"/>
        <v>Same habitat required =</v>
      </c>
      <c r="N91" s="322" t="s">
        <v>292</v>
      </c>
      <c r="O91" s="322">
        <f t="shared" si="9"/>
        <v>0.33</v>
      </c>
      <c r="P91" s="322" t="s">
        <v>292</v>
      </c>
      <c r="Q91" s="322">
        <f t="shared" si="10"/>
        <v>0.33</v>
      </c>
      <c r="R91" s="301"/>
      <c r="S91" s="322"/>
      <c r="T91" s="387" t="s">
        <v>860</v>
      </c>
    </row>
    <row r="92" spans="1:36" ht="14.25" customHeight="1" x14ac:dyDescent="0.25">
      <c r="A92" s="928" t="s">
        <v>905</v>
      </c>
      <c r="B92" s="939" t="s">
        <v>86</v>
      </c>
      <c r="C92" s="322" t="s">
        <v>906</v>
      </c>
      <c r="D92" s="322" t="s">
        <v>595</v>
      </c>
      <c r="E92" s="322" t="s">
        <v>902</v>
      </c>
      <c r="F92" s="301" t="s">
        <v>87</v>
      </c>
      <c r="G92" s="322" t="s">
        <v>903</v>
      </c>
      <c r="H92" s="407" t="s">
        <v>904</v>
      </c>
      <c r="I92" s="322" t="s">
        <v>906</v>
      </c>
      <c r="J92" s="346" t="s">
        <v>905</v>
      </c>
      <c r="K92" s="322" t="s">
        <v>292</v>
      </c>
      <c r="L92" s="322">
        <f t="shared" si="12"/>
        <v>6</v>
      </c>
      <c r="M92" s="404" t="str">
        <f t="shared" si="11"/>
        <v>Same habitat required =</v>
      </c>
      <c r="N92" s="322" t="s">
        <v>292</v>
      </c>
      <c r="O92" s="322">
        <f t="shared" si="9"/>
        <v>0.33</v>
      </c>
      <c r="P92" s="322" t="s">
        <v>292</v>
      </c>
      <c r="Q92" s="322">
        <f t="shared" si="10"/>
        <v>0.33</v>
      </c>
      <c r="R92" s="301"/>
      <c r="S92" s="322"/>
      <c r="T92" s="387" t="s">
        <v>860</v>
      </c>
    </row>
    <row r="93" spans="1:36" ht="14.25" customHeight="1" x14ac:dyDescent="0.25">
      <c r="A93" s="928" t="s">
        <v>907</v>
      </c>
      <c r="B93" s="939" t="s">
        <v>88</v>
      </c>
      <c r="C93" s="322" t="s">
        <v>908</v>
      </c>
      <c r="D93" s="322" t="s">
        <v>595</v>
      </c>
      <c r="E93" s="322" t="s">
        <v>902</v>
      </c>
      <c r="F93" s="301" t="s">
        <v>87</v>
      </c>
      <c r="G93" s="322" t="s">
        <v>909</v>
      </c>
      <c r="H93" s="407" t="s">
        <v>910</v>
      </c>
      <c r="I93" s="322" t="s">
        <v>908</v>
      </c>
      <c r="J93" s="346" t="s">
        <v>907</v>
      </c>
      <c r="K93" s="322" t="s">
        <v>292</v>
      </c>
      <c r="L93" s="322">
        <f t="shared" si="12"/>
        <v>6</v>
      </c>
      <c r="M93" s="404" t="str">
        <f t="shared" si="11"/>
        <v>Same habitat required =</v>
      </c>
      <c r="N93" s="322" t="s">
        <v>292</v>
      </c>
      <c r="O93" s="322">
        <f t="shared" si="9"/>
        <v>0.33</v>
      </c>
      <c r="P93" s="322" t="s">
        <v>292</v>
      </c>
      <c r="Q93" s="322">
        <f t="shared" si="10"/>
        <v>0.33</v>
      </c>
      <c r="R93" s="301"/>
      <c r="S93" s="322"/>
      <c r="T93" s="387" t="s">
        <v>860</v>
      </c>
    </row>
    <row r="94" spans="1:36" ht="14.25" customHeight="1" x14ac:dyDescent="0.25">
      <c r="A94" s="928" t="s">
        <v>911</v>
      </c>
      <c r="B94" s="939" t="s">
        <v>912</v>
      </c>
      <c r="C94" s="322" t="s">
        <v>913</v>
      </c>
      <c r="D94" s="322" t="s">
        <v>595</v>
      </c>
      <c r="E94" s="322" t="s">
        <v>902</v>
      </c>
      <c r="F94" s="301" t="s">
        <v>87</v>
      </c>
      <c r="G94" s="322" t="s">
        <v>909</v>
      </c>
      <c r="H94" s="407" t="s">
        <v>910</v>
      </c>
      <c r="I94" s="322" t="s">
        <v>913</v>
      </c>
      <c r="J94" s="322" t="s">
        <v>911</v>
      </c>
      <c r="K94" s="322" t="s">
        <v>295</v>
      </c>
      <c r="L94" s="322">
        <f t="shared" si="12"/>
        <v>2</v>
      </c>
      <c r="M94" s="404" t="str">
        <f t="shared" si="11"/>
        <v>Same distinctiveness or better habitat required ≥</v>
      </c>
      <c r="N94" s="322" t="s">
        <v>295</v>
      </c>
      <c r="O94" s="322">
        <f t="shared" si="9"/>
        <v>1</v>
      </c>
      <c r="P94" s="322" t="s">
        <v>295</v>
      </c>
      <c r="Q94" s="322">
        <f t="shared" si="10"/>
        <v>1</v>
      </c>
      <c r="R94" s="301"/>
      <c r="S94" s="322"/>
      <c r="T94" s="387" t="s">
        <v>860</v>
      </c>
    </row>
    <row r="95" spans="1:36" ht="14.25" customHeight="1" x14ac:dyDescent="0.25">
      <c r="A95" s="928" t="s">
        <v>914</v>
      </c>
      <c r="B95" s="939" t="s">
        <v>915</v>
      </c>
      <c r="C95" s="322" t="s">
        <v>916</v>
      </c>
      <c r="D95" s="322" t="s">
        <v>595</v>
      </c>
      <c r="E95" s="322" t="s">
        <v>902</v>
      </c>
      <c r="F95" s="301" t="s">
        <v>87</v>
      </c>
      <c r="G95" s="322" t="s">
        <v>909</v>
      </c>
      <c r="H95" s="407" t="s">
        <v>910</v>
      </c>
      <c r="I95" s="322" t="s">
        <v>916</v>
      </c>
      <c r="J95" s="322" t="s">
        <v>917</v>
      </c>
      <c r="K95" s="322" t="s">
        <v>40</v>
      </c>
      <c r="L95" s="322">
        <f t="shared" si="12"/>
        <v>4</v>
      </c>
      <c r="M95" s="404" t="str">
        <f t="shared" si="11"/>
        <v>Same broad habitat or a higher distinctiveness habitat required (≥)</v>
      </c>
      <c r="N95" s="322" t="s">
        <v>40</v>
      </c>
      <c r="O95" s="322">
        <f t="shared" si="9"/>
        <v>0.67</v>
      </c>
      <c r="P95" s="322" t="s">
        <v>40</v>
      </c>
      <c r="Q95" s="322">
        <f t="shared" si="10"/>
        <v>0.67</v>
      </c>
      <c r="R95" s="301"/>
      <c r="S95" s="322"/>
      <c r="T95" s="387" t="s">
        <v>860</v>
      </c>
    </row>
    <row r="96" spans="1:36" ht="14.25" customHeight="1" x14ac:dyDescent="0.25">
      <c r="A96" s="928" t="s">
        <v>918</v>
      </c>
      <c r="B96" s="939" t="s">
        <v>919</v>
      </c>
      <c r="C96" s="322" t="s">
        <v>920</v>
      </c>
      <c r="D96" s="322" t="s">
        <v>595</v>
      </c>
      <c r="E96" s="322" t="s">
        <v>902</v>
      </c>
      <c r="F96" s="301" t="s">
        <v>87</v>
      </c>
      <c r="G96" s="322"/>
      <c r="H96" s="407" t="s">
        <v>904</v>
      </c>
      <c r="I96" s="322" t="s">
        <v>920</v>
      </c>
      <c r="J96" s="322" t="s">
        <v>918</v>
      </c>
      <c r="K96" s="322" t="s">
        <v>40</v>
      </c>
      <c r="L96" s="322">
        <f t="shared" si="12"/>
        <v>4</v>
      </c>
      <c r="M96" s="404" t="str">
        <f t="shared" si="11"/>
        <v>Same broad habitat or a higher distinctiveness habitat required (≥)</v>
      </c>
      <c r="N96" s="322" t="s">
        <v>295</v>
      </c>
      <c r="O96" s="322">
        <f t="shared" si="9"/>
        <v>1</v>
      </c>
      <c r="P96" s="322" t="s">
        <v>295</v>
      </c>
      <c r="Q96" s="322">
        <f t="shared" si="10"/>
        <v>1</v>
      </c>
      <c r="R96" s="301"/>
      <c r="S96" s="322"/>
      <c r="T96" s="387" t="s">
        <v>860</v>
      </c>
    </row>
    <row r="97" spans="1:20" ht="14.25" customHeight="1" x14ac:dyDescent="0.25">
      <c r="A97" s="928" t="s">
        <v>921</v>
      </c>
      <c r="B97" s="939" t="s">
        <v>922</v>
      </c>
      <c r="C97" s="322" t="s">
        <v>923</v>
      </c>
      <c r="D97" s="322" t="s">
        <v>595</v>
      </c>
      <c r="E97" s="322" t="s">
        <v>902</v>
      </c>
      <c r="F97" s="301" t="s">
        <v>87</v>
      </c>
      <c r="G97" s="322" t="s">
        <v>903</v>
      </c>
      <c r="H97" s="407" t="s">
        <v>904</v>
      </c>
      <c r="I97" s="322" t="s">
        <v>923</v>
      </c>
      <c r="J97" s="322" t="s">
        <v>921</v>
      </c>
      <c r="K97" s="322" t="s">
        <v>40</v>
      </c>
      <c r="L97" s="322">
        <f t="shared" si="12"/>
        <v>4</v>
      </c>
      <c r="M97" s="404" t="str">
        <f t="shared" si="11"/>
        <v>Same broad habitat or a higher distinctiveness habitat required (≥)</v>
      </c>
      <c r="N97" s="322" t="s">
        <v>295</v>
      </c>
      <c r="O97" s="322">
        <f t="shared" ref="O97:O103" si="13">VLOOKUP(N97,Difficulty,2,FALSE)</f>
        <v>1</v>
      </c>
      <c r="P97" s="322" t="s">
        <v>295</v>
      </c>
      <c r="Q97" s="322">
        <f t="shared" ref="Q97:Q103" si="14">VLOOKUP(P97,Difficulty,2,FALSE)</f>
        <v>1</v>
      </c>
      <c r="R97" s="301"/>
      <c r="S97" s="322"/>
      <c r="T97" s="387" t="s">
        <v>860</v>
      </c>
    </row>
    <row r="98" spans="1:20" ht="14.25" customHeight="1" x14ac:dyDescent="0.25">
      <c r="A98" s="928" t="s">
        <v>924</v>
      </c>
      <c r="B98" s="939" t="s">
        <v>102</v>
      </c>
      <c r="C98" s="322" t="s">
        <v>925</v>
      </c>
      <c r="D98" s="322" t="s">
        <v>595</v>
      </c>
      <c r="E98" s="322" t="s">
        <v>902</v>
      </c>
      <c r="F98" s="301" t="s">
        <v>87</v>
      </c>
      <c r="G98" s="322" t="s">
        <v>903</v>
      </c>
      <c r="H98" s="407" t="s">
        <v>904</v>
      </c>
      <c r="I98" s="322" t="s">
        <v>925</v>
      </c>
      <c r="J98" s="346" t="s">
        <v>924</v>
      </c>
      <c r="K98" s="322" t="s">
        <v>292</v>
      </c>
      <c r="L98" s="322">
        <f t="shared" si="12"/>
        <v>6</v>
      </c>
      <c r="M98" s="404" t="str">
        <f t="shared" si="11"/>
        <v>Same habitat required =</v>
      </c>
      <c r="N98" s="322" t="s">
        <v>40</v>
      </c>
      <c r="O98" s="322">
        <f t="shared" si="13"/>
        <v>0.67</v>
      </c>
      <c r="P98" s="322" t="s">
        <v>40</v>
      </c>
      <c r="Q98" s="322">
        <f t="shared" si="14"/>
        <v>0.67</v>
      </c>
      <c r="R98" s="301"/>
      <c r="S98" s="322"/>
      <c r="T98" s="387" t="s">
        <v>860</v>
      </c>
    </row>
    <row r="99" spans="1:20" ht="14.25" customHeight="1" x14ac:dyDescent="0.25">
      <c r="A99" s="928" t="s">
        <v>926</v>
      </c>
      <c r="B99" s="939" t="s">
        <v>89</v>
      </c>
      <c r="C99" s="322" t="s">
        <v>927</v>
      </c>
      <c r="D99" s="322" t="s">
        <v>595</v>
      </c>
      <c r="E99" s="322" t="s">
        <v>902</v>
      </c>
      <c r="F99" s="301" t="s">
        <v>87</v>
      </c>
      <c r="G99" s="322" t="s">
        <v>903</v>
      </c>
      <c r="H99" s="407" t="s">
        <v>904</v>
      </c>
      <c r="I99" s="322" t="s">
        <v>927</v>
      </c>
      <c r="J99" s="346" t="s">
        <v>926</v>
      </c>
      <c r="K99" s="322" t="s">
        <v>292</v>
      </c>
      <c r="L99" s="322">
        <f t="shared" si="12"/>
        <v>6</v>
      </c>
      <c r="M99" s="404" t="str">
        <f t="shared" si="11"/>
        <v>Same habitat required =</v>
      </c>
      <c r="N99" s="322" t="s">
        <v>292</v>
      </c>
      <c r="O99" s="322">
        <f t="shared" si="13"/>
        <v>0.33</v>
      </c>
      <c r="P99" s="322" t="s">
        <v>292</v>
      </c>
      <c r="Q99" s="322">
        <f t="shared" si="14"/>
        <v>0.33</v>
      </c>
      <c r="R99" s="301"/>
      <c r="S99" s="322"/>
      <c r="T99" s="387" t="s">
        <v>860</v>
      </c>
    </row>
    <row r="100" spans="1:20" ht="14.25" customHeight="1" x14ac:dyDescent="0.25">
      <c r="A100" s="928" t="s">
        <v>928</v>
      </c>
      <c r="B100" s="939" t="s">
        <v>90</v>
      </c>
      <c r="C100" s="322" t="s">
        <v>929</v>
      </c>
      <c r="D100" s="322" t="s">
        <v>595</v>
      </c>
      <c r="E100" s="322" t="s">
        <v>902</v>
      </c>
      <c r="F100" s="301" t="s">
        <v>87</v>
      </c>
      <c r="G100" s="322" t="s">
        <v>903</v>
      </c>
      <c r="H100" s="407" t="s">
        <v>904</v>
      </c>
      <c r="I100" s="322" t="s">
        <v>929</v>
      </c>
      <c r="J100" s="346" t="s">
        <v>928</v>
      </c>
      <c r="K100" s="322" t="s">
        <v>292</v>
      </c>
      <c r="L100" s="322">
        <f t="shared" si="12"/>
        <v>6</v>
      </c>
      <c r="M100" s="404" t="str">
        <f t="shared" si="11"/>
        <v>Same habitat required =</v>
      </c>
      <c r="N100" s="322" t="s">
        <v>292</v>
      </c>
      <c r="O100" s="322">
        <f t="shared" si="13"/>
        <v>0.33</v>
      </c>
      <c r="P100" s="322" t="s">
        <v>292</v>
      </c>
      <c r="Q100" s="322">
        <f t="shared" si="14"/>
        <v>0.33</v>
      </c>
      <c r="R100" s="301"/>
      <c r="S100" s="322"/>
      <c r="T100" s="387" t="s">
        <v>860</v>
      </c>
    </row>
    <row r="101" spans="1:20" ht="14.25" customHeight="1" x14ac:dyDescent="0.25">
      <c r="A101" s="928" t="s">
        <v>930</v>
      </c>
      <c r="B101" s="939" t="s">
        <v>103</v>
      </c>
      <c r="C101" s="322" t="s">
        <v>931</v>
      </c>
      <c r="D101" s="322" t="s">
        <v>595</v>
      </c>
      <c r="E101" s="322" t="s">
        <v>902</v>
      </c>
      <c r="F101" s="301" t="s">
        <v>87</v>
      </c>
      <c r="G101" s="322" t="s">
        <v>903</v>
      </c>
      <c r="H101" s="407" t="s">
        <v>904</v>
      </c>
      <c r="I101" s="322" t="s">
        <v>931</v>
      </c>
      <c r="J101" s="346" t="s">
        <v>930</v>
      </c>
      <c r="K101" s="322" t="s">
        <v>292</v>
      </c>
      <c r="L101" s="322">
        <f t="shared" si="12"/>
        <v>6</v>
      </c>
      <c r="M101" s="404" t="str">
        <f t="shared" si="11"/>
        <v>Same habitat required =</v>
      </c>
      <c r="N101" s="322" t="s">
        <v>40</v>
      </c>
      <c r="O101" s="322">
        <f t="shared" si="13"/>
        <v>0.67</v>
      </c>
      <c r="P101" s="322" t="s">
        <v>40</v>
      </c>
      <c r="Q101" s="322">
        <f t="shared" si="14"/>
        <v>0.67</v>
      </c>
      <c r="R101" s="301"/>
      <c r="S101" s="322"/>
      <c r="T101" s="387" t="s">
        <v>860</v>
      </c>
    </row>
    <row r="102" spans="1:20" ht="14.25" customHeight="1" x14ac:dyDescent="0.25">
      <c r="A102" s="928" t="s">
        <v>932</v>
      </c>
      <c r="B102" s="939" t="s">
        <v>933</v>
      </c>
      <c r="C102" s="322">
        <v>26</v>
      </c>
      <c r="D102" s="322" t="s">
        <v>595</v>
      </c>
      <c r="E102" s="322" t="s">
        <v>902</v>
      </c>
      <c r="F102" s="301" t="s">
        <v>644</v>
      </c>
      <c r="G102" s="322"/>
      <c r="H102" s="407" t="s">
        <v>899</v>
      </c>
      <c r="I102" s="322"/>
      <c r="J102" s="322" t="s">
        <v>932</v>
      </c>
      <c r="K102" s="322" t="s">
        <v>601</v>
      </c>
      <c r="L102" s="322">
        <f t="shared" si="12"/>
        <v>8</v>
      </c>
      <c r="M102" s="404" t="str">
        <f t="shared" si="11"/>
        <v>Same habitat required – bespoke compensation option ⚠</v>
      </c>
      <c r="N102" s="322" t="s">
        <v>290</v>
      </c>
      <c r="O102" s="322">
        <f t="shared" si="13"/>
        <v>0.1</v>
      </c>
      <c r="P102" s="322" t="s">
        <v>292</v>
      </c>
      <c r="Q102" s="322">
        <f t="shared" si="14"/>
        <v>0.33</v>
      </c>
      <c r="R102" s="301"/>
      <c r="S102" s="322"/>
      <c r="T102" s="387" t="s">
        <v>860</v>
      </c>
    </row>
    <row r="103" spans="1:20" ht="14.25" customHeight="1" thickBot="1" x14ac:dyDescent="0.3">
      <c r="A103" s="941" t="s">
        <v>934</v>
      </c>
      <c r="B103" s="942" t="s">
        <v>898</v>
      </c>
      <c r="C103" s="588">
        <v>206</v>
      </c>
      <c r="D103" s="588" t="s">
        <v>595</v>
      </c>
      <c r="E103" s="307"/>
      <c r="F103" s="567" t="s">
        <v>935</v>
      </c>
      <c r="G103" s="588"/>
      <c r="H103" s="943" t="s">
        <v>899</v>
      </c>
      <c r="I103" s="588"/>
      <c r="J103" s="588" t="s">
        <v>897</v>
      </c>
      <c r="K103" s="588" t="s">
        <v>292</v>
      </c>
      <c r="L103" s="588">
        <f>IF(K103=$V$3,$W$3,IF(K103=$V$3,$W$3,IF(K103=$V$4,$W$4,IF(K103=$V$5,$W$5,IF(K103=$V$6,$W$6,IF(K103=$V$7,$W$7))))))</f>
        <v>6</v>
      </c>
      <c r="M103" s="933" t="str">
        <f t="shared" si="11"/>
        <v>Same habitat required =</v>
      </c>
      <c r="N103" s="588" t="s">
        <v>292</v>
      </c>
      <c r="O103" s="588">
        <f t="shared" si="13"/>
        <v>0.33</v>
      </c>
      <c r="P103" s="588" t="s">
        <v>295</v>
      </c>
      <c r="Q103" s="588">
        <f t="shared" si="14"/>
        <v>1</v>
      </c>
      <c r="R103" s="567"/>
      <c r="S103" s="588"/>
      <c r="T103" s="944" t="s">
        <v>860</v>
      </c>
    </row>
    <row r="104" spans="1:20" ht="14.25" customHeight="1" thickBot="1" x14ac:dyDescent="0.3">
      <c r="A104" s="928" t="s">
        <v>92</v>
      </c>
      <c r="B104" s="940" t="s">
        <v>91</v>
      </c>
      <c r="C104" s="351" t="s">
        <v>936</v>
      </c>
      <c r="D104" s="351" t="s">
        <v>937</v>
      </c>
      <c r="E104" s="351" t="s">
        <v>938</v>
      </c>
      <c r="F104" s="351" t="s">
        <v>92</v>
      </c>
      <c r="G104" s="351"/>
      <c r="H104" s="406" t="s">
        <v>92</v>
      </c>
      <c r="I104" s="351"/>
      <c r="J104" s="351"/>
      <c r="K104" s="351" t="s">
        <v>292</v>
      </c>
      <c r="L104" s="351">
        <f>IF(K104=$V$3,$W$3,IF(K104=$V$3,$W$3,IF(K104=$V$4,$W$4,IF(K104=$V$5,$W$5,IF(K104=$V$6,$W$6,IF(K104=$V$7,$W$7))))))</f>
        <v>6</v>
      </c>
      <c r="M104" s="406" t="str">
        <f t="shared" si="11"/>
        <v>Same habitat required =</v>
      </c>
      <c r="N104" s="351" t="s">
        <v>40</v>
      </c>
      <c r="O104" s="351">
        <f>VLOOKUP(N104,Difficulty,2,FALSE)</f>
        <v>0.67</v>
      </c>
      <c r="P104" s="351" t="s">
        <v>40</v>
      </c>
      <c r="Q104" s="351">
        <f>VLOOKUP(P104,Difficulty,2,FALSE)</f>
        <v>0.67</v>
      </c>
      <c r="R104" s="352"/>
      <c r="S104" s="351"/>
      <c r="T104" s="938" t="s">
        <v>427</v>
      </c>
    </row>
    <row r="105" spans="1:20" ht="14.25" customHeight="1" x14ac:dyDescent="0.25">
      <c r="A105" s="928" t="s">
        <v>939</v>
      </c>
      <c r="B105" s="929" t="s">
        <v>93</v>
      </c>
      <c r="C105" s="359" t="s">
        <v>940</v>
      </c>
      <c r="D105" s="359" t="s">
        <v>937</v>
      </c>
      <c r="E105" s="359" t="s">
        <v>54</v>
      </c>
      <c r="F105" s="359" t="s">
        <v>94</v>
      </c>
      <c r="G105" s="359"/>
      <c r="H105" s="800" t="s">
        <v>939</v>
      </c>
      <c r="I105" s="359"/>
      <c r="J105" s="359"/>
      <c r="K105" s="359" t="s">
        <v>292</v>
      </c>
      <c r="L105" s="359">
        <f t="shared" ref="L105:L129" si="15">IF(K105=$V$3,$W$3,IF(K105=$V$3,$W$3,IF(K105=$V$4,$W$4,IF(K105=$V$5,$W$5,IF(K105=$V$6,$W$6,IF(K105=$V$7,$W$7))))))</f>
        <v>6</v>
      </c>
      <c r="M105" s="800" t="str">
        <f t="shared" si="11"/>
        <v>Same habitat required =</v>
      </c>
      <c r="N105" s="359" t="s">
        <v>292</v>
      </c>
      <c r="O105" s="359">
        <f t="shared" ref="O105:O129" si="16">VLOOKUP(N105,Difficulty,2,FALSE)</f>
        <v>0.33</v>
      </c>
      <c r="P105" s="359" t="s">
        <v>40</v>
      </c>
      <c r="Q105" s="359">
        <f t="shared" ref="Q105:Q129" si="17">VLOOKUP(P105,Difficulty,2,FALSE)</f>
        <v>0.67</v>
      </c>
      <c r="R105" s="286"/>
      <c r="S105" s="359"/>
      <c r="T105" s="357" t="s">
        <v>427</v>
      </c>
    </row>
    <row r="106" spans="1:20" ht="14.25" customHeight="1" x14ac:dyDescent="0.25">
      <c r="A106" s="928" t="s">
        <v>941</v>
      </c>
      <c r="B106" s="939" t="s">
        <v>942</v>
      </c>
      <c r="C106" s="302" t="s">
        <v>943</v>
      </c>
      <c r="D106" s="322" t="s">
        <v>937</v>
      </c>
      <c r="E106" s="322" t="s">
        <v>54</v>
      </c>
      <c r="F106" s="322" t="s">
        <v>94</v>
      </c>
      <c r="G106" s="322"/>
      <c r="H106" s="404" t="s">
        <v>944</v>
      </c>
      <c r="I106" s="322"/>
      <c r="J106" s="322"/>
      <c r="K106" s="322" t="s">
        <v>601</v>
      </c>
      <c r="L106" s="322">
        <f t="shared" si="15"/>
        <v>8</v>
      </c>
      <c r="M106" s="404" t="str">
        <f t="shared" si="11"/>
        <v>Same habitat required – bespoke compensation option ⚠</v>
      </c>
      <c r="N106" s="322" t="s">
        <v>290</v>
      </c>
      <c r="O106" s="322">
        <f t="shared" si="16"/>
        <v>0.1</v>
      </c>
      <c r="P106" s="322" t="s">
        <v>40</v>
      </c>
      <c r="Q106" s="322">
        <f t="shared" si="17"/>
        <v>0.67</v>
      </c>
      <c r="R106" s="301"/>
      <c r="S106" s="322"/>
      <c r="T106" s="363" t="s">
        <v>427</v>
      </c>
    </row>
    <row r="107" spans="1:20" ht="14.25" customHeight="1" x14ac:dyDescent="0.25">
      <c r="A107" s="928" t="s">
        <v>945</v>
      </c>
      <c r="B107" s="939" t="s">
        <v>95</v>
      </c>
      <c r="C107" s="322" t="s">
        <v>946</v>
      </c>
      <c r="D107" s="322" t="s">
        <v>937</v>
      </c>
      <c r="E107" s="322" t="s">
        <v>54</v>
      </c>
      <c r="F107" s="322" t="s">
        <v>94</v>
      </c>
      <c r="G107" s="322"/>
      <c r="H107" s="404" t="s">
        <v>945</v>
      </c>
      <c r="I107" s="322"/>
      <c r="J107" s="322"/>
      <c r="K107" s="322" t="s">
        <v>292</v>
      </c>
      <c r="L107" s="322">
        <f t="shared" si="15"/>
        <v>6</v>
      </c>
      <c r="M107" s="404" t="str">
        <f t="shared" si="11"/>
        <v>Same habitat required =</v>
      </c>
      <c r="N107" s="322" t="s">
        <v>292</v>
      </c>
      <c r="O107" s="322">
        <f t="shared" si="16"/>
        <v>0.33</v>
      </c>
      <c r="P107" s="322" t="s">
        <v>40</v>
      </c>
      <c r="Q107" s="322">
        <f t="shared" si="17"/>
        <v>0.67</v>
      </c>
      <c r="R107" s="301"/>
      <c r="S107" s="322"/>
      <c r="T107" s="363" t="s">
        <v>427</v>
      </c>
    </row>
    <row r="108" spans="1:20" ht="14.25" customHeight="1" x14ac:dyDescent="0.25">
      <c r="A108" s="928" t="s">
        <v>947</v>
      </c>
      <c r="B108" s="939" t="s">
        <v>948</v>
      </c>
      <c r="C108" s="322" t="s">
        <v>949</v>
      </c>
      <c r="D108" s="322" t="s">
        <v>937</v>
      </c>
      <c r="E108" s="322" t="s">
        <v>54</v>
      </c>
      <c r="F108" s="322" t="s">
        <v>94</v>
      </c>
      <c r="G108" s="322"/>
      <c r="H108" s="404" t="s">
        <v>950</v>
      </c>
      <c r="I108" s="322"/>
      <c r="J108" s="322"/>
      <c r="K108" s="322" t="s">
        <v>601</v>
      </c>
      <c r="L108" s="322">
        <f t="shared" si="15"/>
        <v>8</v>
      </c>
      <c r="M108" s="404" t="str">
        <f t="shared" si="11"/>
        <v>Same habitat required – bespoke compensation option ⚠</v>
      </c>
      <c r="N108" s="322" t="s">
        <v>290</v>
      </c>
      <c r="O108" s="322">
        <f t="shared" si="16"/>
        <v>0.1</v>
      </c>
      <c r="P108" s="322" t="s">
        <v>40</v>
      </c>
      <c r="Q108" s="322">
        <f t="shared" si="17"/>
        <v>0.67</v>
      </c>
      <c r="R108" s="301"/>
      <c r="S108" s="322"/>
      <c r="T108" s="363" t="s">
        <v>427</v>
      </c>
    </row>
    <row r="109" spans="1:20" ht="14.25" customHeight="1" x14ac:dyDescent="0.25">
      <c r="A109" s="928" t="s">
        <v>951</v>
      </c>
      <c r="B109" s="939" t="s">
        <v>96</v>
      </c>
      <c r="C109" s="322" t="s">
        <v>952</v>
      </c>
      <c r="D109" s="322" t="s">
        <v>937</v>
      </c>
      <c r="E109" s="322" t="s">
        <v>54</v>
      </c>
      <c r="F109" s="322" t="s">
        <v>94</v>
      </c>
      <c r="G109" s="322"/>
      <c r="H109" s="404" t="s">
        <v>951</v>
      </c>
      <c r="I109" s="322"/>
      <c r="J109" s="322"/>
      <c r="K109" s="322" t="s">
        <v>292</v>
      </c>
      <c r="L109" s="322">
        <f t="shared" si="15"/>
        <v>6</v>
      </c>
      <c r="M109" s="404" t="str">
        <f t="shared" si="11"/>
        <v>Same habitat required =</v>
      </c>
      <c r="N109" s="322" t="s">
        <v>292</v>
      </c>
      <c r="O109" s="322">
        <f t="shared" si="16"/>
        <v>0.33</v>
      </c>
      <c r="P109" s="322" t="s">
        <v>40</v>
      </c>
      <c r="Q109" s="322">
        <f t="shared" si="17"/>
        <v>0.67</v>
      </c>
      <c r="R109" s="301"/>
      <c r="S109" s="322"/>
      <c r="T109" s="363" t="s">
        <v>427</v>
      </c>
    </row>
    <row r="110" spans="1:20" ht="14.25" customHeight="1" x14ac:dyDescent="0.25">
      <c r="A110" s="928" t="s">
        <v>953</v>
      </c>
      <c r="B110" s="939" t="s">
        <v>954</v>
      </c>
      <c r="C110" s="322" t="s">
        <v>955</v>
      </c>
      <c r="D110" s="322" t="s">
        <v>937</v>
      </c>
      <c r="E110" s="322" t="s">
        <v>54</v>
      </c>
      <c r="F110" s="322" t="s">
        <v>94</v>
      </c>
      <c r="G110" s="322"/>
      <c r="H110" s="404" t="s">
        <v>956</v>
      </c>
      <c r="I110" s="322"/>
      <c r="J110" s="322"/>
      <c r="K110" s="322" t="s">
        <v>601</v>
      </c>
      <c r="L110" s="322">
        <f t="shared" si="15"/>
        <v>8</v>
      </c>
      <c r="M110" s="404" t="str">
        <f t="shared" si="11"/>
        <v>Same habitat required – bespoke compensation option ⚠</v>
      </c>
      <c r="N110" s="322" t="s">
        <v>290</v>
      </c>
      <c r="O110" s="322">
        <f t="shared" si="16"/>
        <v>0.1</v>
      </c>
      <c r="P110" s="322" t="s">
        <v>40</v>
      </c>
      <c r="Q110" s="322">
        <f t="shared" si="17"/>
        <v>0.67</v>
      </c>
      <c r="R110" s="301"/>
      <c r="S110" s="322"/>
      <c r="T110" s="363" t="s">
        <v>427</v>
      </c>
    </row>
    <row r="111" spans="1:20" ht="14.25" customHeight="1" x14ac:dyDescent="0.25">
      <c r="A111" s="928" t="s">
        <v>957</v>
      </c>
      <c r="B111" s="939" t="s">
        <v>97</v>
      </c>
      <c r="C111" s="322" t="s">
        <v>958</v>
      </c>
      <c r="D111" s="322" t="s">
        <v>937</v>
      </c>
      <c r="E111" s="322" t="s">
        <v>54</v>
      </c>
      <c r="F111" s="322" t="s">
        <v>94</v>
      </c>
      <c r="G111" s="322"/>
      <c r="H111" s="404" t="s">
        <v>957</v>
      </c>
      <c r="I111" s="322"/>
      <c r="J111" s="322"/>
      <c r="K111" s="322" t="s">
        <v>292</v>
      </c>
      <c r="L111" s="322">
        <f t="shared" si="15"/>
        <v>6</v>
      </c>
      <c r="M111" s="404" t="str">
        <f t="shared" si="11"/>
        <v>Same habitat required =</v>
      </c>
      <c r="N111" s="322" t="s">
        <v>292</v>
      </c>
      <c r="O111" s="322">
        <f t="shared" si="16"/>
        <v>0.33</v>
      </c>
      <c r="P111" s="322" t="s">
        <v>40</v>
      </c>
      <c r="Q111" s="322">
        <f t="shared" si="17"/>
        <v>0.67</v>
      </c>
      <c r="R111" s="301"/>
      <c r="S111" s="322"/>
      <c r="T111" s="363" t="s">
        <v>427</v>
      </c>
    </row>
    <row r="112" spans="1:20" ht="14.25" customHeight="1" thickBot="1" x14ac:dyDescent="0.3">
      <c r="A112" s="928" t="s">
        <v>959</v>
      </c>
      <c r="B112" s="930" t="s">
        <v>960</v>
      </c>
      <c r="C112" s="307" t="s">
        <v>961</v>
      </c>
      <c r="D112" s="307" t="s">
        <v>937</v>
      </c>
      <c r="E112" s="307" t="s">
        <v>54</v>
      </c>
      <c r="F112" s="307" t="s">
        <v>94</v>
      </c>
      <c r="G112" s="307"/>
      <c r="H112" s="405" t="s">
        <v>962</v>
      </c>
      <c r="I112" s="307"/>
      <c r="J112" s="307"/>
      <c r="K112" s="307" t="s">
        <v>601</v>
      </c>
      <c r="L112" s="307">
        <f t="shared" si="15"/>
        <v>8</v>
      </c>
      <c r="M112" s="405" t="str">
        <f t="shared" si="11"/>
        <v>Same habitat required – bespoke compensation option ⚠</v>
      </c>
      <c r="N112" s="307" t="s">
        <v>290</v>
      </c>
      <c r="O112" s="307">
        <f t="shared" si="16"/>
        <v>0.1</v>
      </c>
      <c r="P112" s="307" t="s">
        <v>40</v>
      </c>
      <c r="Q112" s="307">
        <f t="shared" si="17"/>
        <v>0.67</v>
      </c>
      <c r="R112" s="290"/>
      <c r="S112" s="307"/>
      <c r="T112" s="355" t="s">
        <v>427</v>
      </c>
    </row>
    <row r="113" spans="1:20" ht="14.25" customHeight="1" x14ac:dyDescent="0.25">
      <c r="A113" s="928" t="s">
        <v>963</v>
      </c>
      <c r="B113" s="929" t="s">
        <v>98</v>
      </c>
      <c r="C113" s="359" t="s">
        <v>964</v>
      </c>
      <c r="D113" s="359" t="s">
        <v>937</v>
      </c>
      <c r="E113" s="359" t="s">
        <v>55</v>
      </c>
      <c r="F113" s="359" t="s">
        <v>99</v>
      </c>
      <c r="G113" s="359"/>
      <c r="H113" s="800" t="s">
        <v>965</v>
      </c>
      <c r="I113" s="359"/>
      <c r="J113" s="359"/>
      <c r="K113" s="359" t="s">
        <v>292</v>
      </c>
      <c r="L113" s="359">
        <f>IF(K113=$V$3,$W$3,IF(K113=$V$3,$W$3,IF(K113=$V$4,$W$4,IF(K113=$V$5,$W$5,IF(K113=$V$6,$W$6,IF(K113=$V$7,$W$7))))))</f>
        <v>6</v>
      </c>
      <c r="M113" s="800" t="str">
        <f>IF($K113=$V$3,$X$3,IF($K113=$V$4,$X$4,IF($K113=$V$5,$X$5,IF($K113=$V$6,$X$6,IF($K113=$V$7,$X$7)))))</f>
        <v>Same habitat required =</v>
      </c>
      <c r="N113" s="359" t="s">
        <v>292</v>
      </c>
      <c r="O113" s="359">
        <f>VLOOKUP(N113,Difficulty,2,FALSE)</f>
        <v>0.33</v>
      </c>
      <c r="P113" s="359" t="s">
        <v>40</v>
      </c>
      <c r="Q113" s="359">
        <f>VLOOKUP(P113,Difficulty,2,FALSE)</f>
        <v>0.67</v>
      </c>
      <c r="R113" s="286"/>
      <c r="S113" s="359"/>
      <c r="T113" s="357" t="s">
        <v>860</v>
      </c>
    </row>
    <row r="114" spans="1:20" ht="14.25" customHeight="1" thickBot="1" x14ac:dyDescent="0.3">
      <c r="A114" s="928" t="s">
        <v>966</v>
      </c>
      <c r="B114" s="930" t="s">
        <v>967</v>
      </c>
      <c r="C114" s="307" t="s">
        <v>968</v>
      </c>
      <c r="D114" s="307"/>
      <c r="E114" s="307"/>
      <c r="F114" s="307" t="s">
        <v>99</v>
      </c>
      <c r="G114" s="307"/>
      <c r="H114" s="405" t="s">
        <v>966</v>
      </c>
      <c r="I114" s="307"/>
      <c r="J114" s="307"/>
      <c r="K114" s="307" t="s">
        <v>295</v>
      </c>
      <c r="L114" s="307">
        <f>IF(K114=$V$3,$W$3,IF(K114=$V$3,$W$3,IF(K114=$V$4,$W$4,IF(K114=$V$5,$W$5,IF(K114=$V$6,$W$6,IF(K114=$V$7,$W$7))))))</f>
        <v>2</v>
      </c>
      <c r="M114" s="405" t="str">
        <f>IF($K114=$V$3,$X$3,IF($K114=$V$4,$X$4,IF($K114=$V$5,$X$5,IF($K114=$V$6,$X$6,IF($K114=$V$7,$X$7)))))</f>
        <v>Same distinctiveness or better habitat required ≥</v>
      </c>
      <c r="N114" s="307" t="s">
        <v>292</v>
      </c>
      <c r="O114" s="307">
        <f>VLOOKUP(N114,Difficulty,2,FALSE)</f>
        <v>0.33</v>
      </c>
      <c r="P114" s="307" t="s">
        <v>40</v>
      </c>
      <c r="Q114" s="307">
        <f>VLOOKUP(P114,Difficulty,2,FALSE)</f>
        <v>0.67</v>
      </c>
      <c r="R114" s="290" t="s">
        <v>1790</v>
      </c>
      <c r="S114" s="307"/>
      <c r="T114" s="355" t="s">
        <v>860</v>
      </c>
    </row>
    <row r="115" spans="1:20" ht="14.25" customHeight="1" x14ac:dyDescent="0.25">
      <c r="A115" s="928" t="s">
        <v>969</v>
      </c>
      <c r="B115" s="929" t="s">
        <v>970</v>
      </c>
      <c r="C115" s="359" t="s">
        <v>971</v>
      </c>
      <c r="D115" s="359" t="s">
        <v>937</v>
      </c>
      <c r="E115" s="359" t="s">
        <v>55</v>
      </c>
      <c r="F115" s="359" t="s">
        <v>105</v>
      </c>
      <c r="G115" s="359"/>
      <c r="H115" s="800" t="s">
        <v>969</v>
      </c>
      <c r="I115" s="359"/>
      <c r="J115" s="359"/>
      <c r="K115" s="359" t="s">
        <v>40</v>
      </c>
      <c r="L115" s="359">
        <f t="shared" si="15"/>
        <v>4</v>
      </c>
      <c r="M115" s="800" t="str">
        <f t="shared" si="11"/>
        <v>Same broad habitat or a higher distinctiveness habitat required (≥)</v>
      </c>
      <c r="N115" s="359" t="s">
        <v>40</v>
      </c>
      <c r="O115" s="359">
        <f t="shared" si="16"/>
        <v>0.67</v>
      </c>
      <c r="P115" s="359" t="s">
        <v>40</v>
      </c>
      <c r="Q115" s="359">
        <f t="shared" si="17"/>
        <v>0.67</v>
      </c>
      <c r="R115" s="286"/>
      <c r="S115" s="359"/>
      <c r="T115" s="357" t="s">
        <v>427</v>
      </c>
    </row>
    <row r="116" spans="1:20" ht="14.25" customHeight="1" x14ac:dyDescent="0.25">
      <c r="A116" s="928" t="s">
        <v>972</v>
      </c>
      <c r="B116" s="939" t="s">
        <v>104</v>
      </c>
      <c r="C116" s="322" t="s">
        <v>973</v>
      </c>
      <c r="D116" s="322" t="s">
        <v>937</v>
      </c>
      <c r="E116" s="322" t="s">
        <v>55</v>
      </c>
      <c r="F116" s="322" t="s">
        <v>105</v>
      </c>
      <c r="G116" s="322"/>
      <c r="H116" s="404" t="s">
        <v>972</v>
      </c>
      <c r="I116" s="322"/>
      <c r="J116" s="322"/>
      <c r="K116" s="322" t="s">
        <v>292</v>
      </c>
      <c r="L116" s="322">
        <f t="shared" si="15"/>
        <v>6</v>
      </c>
      <c r="M116" s="404" t="str">
        <f t="shared" si="11"/>
        <v>Same habitat required =</v>
      </c>
      <c r="N116" s="322" t="s">
        <v>292</v>
      </c>
      <c r="O116" s="322">
        <f t="shared" si="16"/>
        <v>0.33</v>
      </c>
      <c r="P116" s="322" t="s">
        <v>40</v>
      </c>
      <c r="Q116" s="322">
        <f t="shared" si="17"/>
        <v>0.67</v>
      </c>
      <c r="R116" s="301"/>
      <c r="S116" s="322"/>
      <c r="T116" s="363" t="s">
        <v>427</v>
      </c>
    </row>
    <row r="117" spans="1:20" ht="14.25" customHeight="1" x14ac:dyDescent="0.25">
      <c r="A117" s="928" t="s">
        <v>974</v>
      </c>
      <c r="B117" s="939" t="s">
        <v>106</v>
      </c>
      <c r="C117" s="322" t="s">
        <v>975</v>
      </c>
      <c r="D117" s="322" t="s">
        <v>937</v>
      </c>
      <c r="E117" s="322" t="s">
        <v>55</v>
      </c>
      <c r="F117" s="322" t="s">
        <v>105</v>
      </c>
      <c r="G117" s="322"/>
      <c r="H117" s="404" t="s">
        <v>974</v>
      </c>
      <c r="I117" s="322"/>
      <c r="J117" s="322"/>
      <c r="K117" s="322" t="s">
        <v>292</v>
      </c>
      <c r="L117" s="322">
        <f t="shared" si="15"/>
        <v>6</v>
      </c>
      <c r="M117" s="404" t="str">
        <f t="shared" si="11"/>
        <v>Same habitat required =</v>
      </c>
      <c r="N117" s="322" t="s">
        <v>292</v>
      </c>
      <c r="O117" s="322">
        <f t="shared" si="16"/>
        <v>0.33</v>
      </c>
      <c r="P117" s="322" t="s">
        <v>40</v>
      </c>
      <c r="Q117" s="322">
        <f t="shared" si="17"/>
        <v>0.67</v>
      </c>
      <c r="R117" s="301"/>
      <c r="S117" s="322"/>
      <c r="T117" s="363" t="s">
        <v>427</v>
      </c>
    </row>
    <row r="118" spans="1:20" ht="14.25" customHeight="1" x14ac:dyDescent="0.25">
      <c r="A118" s="928" t="s">
        <v>976</v>
      </c>
      <c r="B118" s="939" t="s">
        <v>111</v>
      </c>
      <c r="C118" s="322" t="s">
        <v>977</v>
      </c>
      <c r="D118" s="322" t="s">
        <v>937</v>
      </c>
      <c r="E118" s="322" t="s">
        <v>55</v>
      </c>
      <c r="F118" s="322" t="s">
        <v>105</v>
      </c>
      <c r="G118" s="322"/>
      <c r="H118" s="404" t="s">
        <v>978</v>
      </c>
      <c r="I118" s="322"/>
      <c r="J118" s="322"/>
      <c r="K118" s="322" t="s">
        <v>292</v>
      </c>
      <c r="L118" s="322">
        <f t="shared" si="15"/>
        <v>6</v>
      </c>
      <c r="M118" s="404" t="str">
        <f t="shared" si="11"/>
        <v>Same habitat required =</v>
      </c>
      <c r="N118" s="322" t="s">
        <v>292</v>
      </c>
      <c r="O118" s="322">
        <f t="shared" si="16"/>
        <v>0.33</v>
      </c>
      <c r="P118" s="322" t="s">
        <v>292</v>
      </c>
      <c r="Q118" s="322">
        <f t="shared" si="17"/>
        <v>0.33</v>
      </c>
      <c r="R118" s="301"/>
      <c r="S118" s="322"/>
      <c r="T118" s="363" t="s">
        <v>427</v>
      </c>
    </row>
    <row r="119" spans="1:20" ht="14.25" customHeight="1" x14ac:dyDescent="0.25">
      <c r="A119" s="928" t="s">
        <v>979</v>
      </c>
      <c r="B119" s="939" t="s">
        <v>980</v>
      </c>
      <c r="C119" s="322" t="s">
        <v>981</v>
      </c>
      <c r="D119" s="322" t="s">
        <v>937</v>
      </c>
      <c r="E119" s="322" t="s">
        <v>55</v>
      </c>
      <c r="F119" s="322" t="s">
        <v>105</v>
      </c>
      <c r="G119" s="322"/>
      <c r="H119" s="404" t="s">
        <v>982</v>
      </c>
      <c r="I119" s="322"/>
      <c r="J119" s="322"/>
      <c r="K119" s="322" t="s">
        <v>601</v>
      </c>
      <c r="L119" s="322">
        <f t="shared" si="15"/>
        <v>8</v>
      </c>
      <c r="M119" s="404" t="str">
        <f t="shared" si="11"/>
        <v>Same habitat required – bespoke compensation option ⚠</v>
      </c>
      <c r="N119" s="322" t="s">
        <v>290</v>
      </c>
      <c r="O119" s="322">
        <f t="shared" si="16"/>
        <v>0.1</v>
      </c>
      <c r="P119" s="322" t="s">
        <v>292</v>
      </c>
      <c r="Q119" s="322">
        <f t="shared" si="17"/>
        <v>0.33</v>
      </c>
      <c r="R119" s="301"/>
      <c r="S119" s="322"/>
      <c r="T119" s="363" t="s">
        <v>427</v>
      </c>
    </row>
    <row r="120" spans="1:20" ht="14.25" customHeight="1" x14ac:dyDescent="0.25">
      <c r="A120" s="928" t="s">
        <v>983</v>
      </c>
      <c r="B120" s="939" t="s">
        <v>107</v>
      </c>
      <c r="C120" s="322" t="s">
        <v>984</v>
      </c>
      <c r="D120" s="322"/>
      <c r="E120" s="322"/>
      <c r="F120" s="322" t="s">
        <v>105</v>
      </c>
      <c r="G120" s="322"/>
      <c r="H120" s="404" t="s">
        <v>985</v>
      </c>
      <c r="I120" s="322"/>
      <c r="J120" s="322"/>
      <c r="K120" s="322" t="s">
        <v>292</v>
      </c>
      <c r="L120" s="322">
        <f t="shared" si="15"/>
        <v>6</v>
      </c>
      <c r="M120" s="404" t="str">
        <f t="shared" si="11"/>
        <v>Same habitat required =</v>
      </c>
      <c r="N120" s="322" t="s">
        <v>292</v>
      </c>
      <c r="O120" s="322">
        <f t="shared" si="16"/>
        <v>0.33</v>
      </c>
      <c r="P120" s="322" t="s">
        <v>40</v>
      </c>
      <c r="Q120" s="322">
        <f t="shared" si="17"/>
        <v>0.67</v>
      </c>
      <c r="R120" s="301"/>
      <c r="S120" s="322"/>
      <c r="T120" s="363" t="s">
        <v>427</v>
      </c>
    </row>
    <row r="121" spans="1:20" ht="14.25" customHeight="1" x14ac:dyDescent="0.25">
      <c r="A121" s="928" t="s">
        <v>986</v>
      </c>
      <c r="B121" s="939" t="s">
        <v>108</v>
      </c>
      <c r="C121" s="322" t="s">
        <v>987</v>
      </c>
      <c r="D121" s="322" t="s">
        <v>937</v>
      </c>
      <c r="E121" s="322" t="s">
        <v>55</v>
      </c>
      <c r="F121" s="322" t="s">
        <v>105</v>
      </c>
      <c r="G121" s="322"/>
      <c r="H121" s="404" t="s">
        <v>986</v>
      </c>
      <c r="I121" s="322"/>
      <c r="J121" s="322"/>
      <c r="K121" s="322" t="s">
        <v>292</v>
      </c>
      <c r="L121" s="322">
        <f t="shared" si="15"/>
        <v>6</v>
      </c>
      <c r="M121" s="404" t="str">
        <f t="shared" si="11"/>
        <v>Same habitat required =</v>
      </c>
      <c r="N121" s="322" t="s">
        <v>292</v>
      </c>
      <c r="O121" s="322">
        <f t="shared" si="16"/>
        <v>0.33</v>
      </c>
      <c r="P121" s="322" t="s">
        <v>40</v>
      </c>
      <c r="Q121" s="322">
        <f t="shared" si="17"/>
        <v>0.67</v>
      </c>
      <c r="R121" s="301"/>
      <c r="S121" s="322"/>
      <c r="T121" s="363" t="s">
        <v>427</v>
      </c>
    </row>
    <row r="122" spans="1:20" ht="14.25" customHeight="1" x14ac:dyDescent="0.25">
      <c r="A122" s="928" t="s">
        <v>988</v>
      </c>
      <c r="B122" s="939" t="s">
        <v>109</v>
      </c>
      <c r="C122" s="322" t="s">
        <v>989</v>
      </c>
      <c r="D122" s="322" t="s">
        <v>937</v>
      </c>
      <c r="E122" s="322" t="s">
        <v>55</v>
      </c>
      <c r="F122" s="322" t="s">
        <v>105</v>
      </c>
      <c r="G122" s="322"/>
      <c r="H122" s="404" t="s">
        <v>988</v>
      </c>
      <c r="I122" s="322"/>
      <c r="J122" s="322"/>
      <c r="K122" s="322" t="s">
        <v>292</v>
      </c>
      <c r="L122" s="322">
        <f t="shared" si="15"/>
        <v>6</v>
      </c>
      <c r="M122" s="404" t="str">
        <f t="shared" si="11"/>
        <v>Same habitat required =</v>
      </c>
      <c r="N122" s="322" t="s">
        <v>292</v>
      </c>
      <c r="O122" s="322">
        <f t="shared" si="16"/>
        <v>0.33</v>
      </c>
      <c r="P122" s="322" t="s">
        <v>40</v>
      </c>
      <c r="Q122" s="322">
        <f t="shared" si="17"/>
        <v>0.67</v>
      </c>
      <c r="R122" s="301"/>
      <c r="S122" s="322"/>
      <c r="T122" s="363" t="s">
        <v>427</v>
      </c>
    </row>
    <row r="123" spans="1:20" ht="14.25" customHeight="1" x14ac:dyDescent="0.25">
      <c r="A123" s="928" t="s">
        <v>990</v>
      </c>
      <c r="B123" s="939" t="s">
        <v>991</v>
      </c>
      <c r="C123" s="322" t="s">
        <v>992</v>
      </c>
      <c r="D123" s="322" t="s">
        <v>937</v>
      </c>
      <c r="E123" s="322" t="s">
        <v>55</v>
      </c>
      <c r="F123" s="322" t="s">
        <v>105</v>
      </c>
      <c r="G123" s="322"/>
      <c r="H123" s="404" t="s">
        <v>990</v>
      </c>
      <c r="I123" s="322"/>
      <c r="J123" s="322"/>
      <c r="K123" s="322" t="s">
        <v>295</v>
      </c>
      <c r="L123" s="322">
        <f t="shared" si="15"/>
        <v>2</v>
      </c>
      <c r="M123" s="404" t="str">
        <f t="shared" si="11"/>
        <v>Same distinctiveness or better habitat required ≥</v>
      </c>
      <c r="N123" s="322" t="s">
        <v>40</v>
      </c>
      <c r="O123" s="322">
        <f t="shared" si="16"/>
        <v>0.67</v>
      </c>
      <c r="P123" s="322" t="s">
        <v>40</v>
      </c>
      <c r="Q123" s="322">
        <f t="shared" si="17"/>
        <v>0.67</v>
      </c>
      <c r="R123" s="301" t="s">
        <v>1787</v>
      </c>
      <c r="S123" s="322"/>
      <c r="T123" s="363" t="s">
        <v>427</v>
      </c>
    </row>
    <row r="124" spans="1:20" ht="14.25" customHeight="1" x14ac:dyDescent="0.25">
      <c r="A124" s="928" t="s">
        <v>993</v>
      </c>
      <c r="B124" s="939" t="s">
        <v>994</v>
      </c>
      <c r="C124" s="322" t="s">
        <v>995</v>
      </c>
      <c r="D124" s="322"/>
      <c r="E124" s="322"/>
      <c r="F124" s="322" t="s">
        <v>105</v>
      </c>
      <c r="G124" s="322"/>
      <c r="H124" s="404" t="s">
        <v>993</v>
      </c>
      <c r="I124" s="322"/>
      <c r="J124" s="322"/>
      <c r="K124" s="322" t="s">
        <v>295</v>
      </c>
      <c r="L124" s="322">
        <f t="shared" si="15"/>
        <v>2</v>
      </c>
      <c r="M124" s="404" t="str">
        <f t="shared" si="11"/>
        <v>Same distinctiveness or better habitat required ≥</v>
      </c>
      <c r="N124" s="322" t="s">
        <v>292</v>
      </c>
      <c r="O124" s="322">
        <f t="shared" si="16"/>
        <v>0.33</v>
      </c>
      <c r="P124" s="322" t="s">
        <v>40</v>
      </c>
      <c r="Q124" s="322">
        <f t="shared" si="17"/>
        <v>0.67</v>
      </c>
      <c r="R124" s="301" t="s">
        <v>1789</v>
      </c>
      <c r="S124" s="322"/>
      <c r="T124" s="363" t="s">
        <v>427</v>
      </c>
    </row>
    <row r="125" spans="1:20" ht="14.25" customHeight="1" x14ac:dyDescent="0.25">
      <c r="A125" s="928" t="s">
        <v>996</v>
      </c>
      <c r="B125" s="939" t="s">
        <v>997</v>
      </c>
      <c r="C125" s="322" t="s">
        <v>998</v>
      </c>
      <c r="D125" s="322"/>
      <c r="E125" s="322"/>
      <c r="F125" s="322" t="s">
        <v>105</v>
      </c>
      <c r="G125" s="322"/>
      <c r="H125" s="404" t="s">
        <v>996</v>
      </c>
      <c r="I125" s="322"/>
      <c r="J125" s="322"/>
      <c r="K125" s="322" t="s">
        <v>295</v>
      </c>
      <c r="L125" s="322">
        <f t="shared" si="15"/>
        <v>2</v>
      </c>
      <c r="M125" s="404" t="str">
        <f t="shared" si="11"/>
        <v>Same distinctiveness or better habitat required ≥</v>
      </c>
      <c r="N125" s="322" t="s">
        <v>40</v>
      </c>
      <c r="O125" s="322">
        <f t="shared" si="16"/>
        <v>0.67</v>
      </c>
      <c r="P125" s="322" t="s">
        <v>40</v>
      </c>
      <c r="Q125" s="322">
        <f t="shared" si="17"/>
        <v>0.67</v>
      </c>
      <c r="R125" s="301" t="s">
        <v>1789</v>
      </c>
      <c r="S125" s="322"/>
      <c r="T125" s="363" t="s">
        <v>427</v>
      </c>
    </row>
    <row r="126" spans="1:20" ht="14.25" customHeight="1" x14ac:dyDescent="0.25">
      <c r="A126" s="928" t="s">
        <v>999</v>
      </c>
      <c r="B126" s="939" t="s">
        <v>1000</v>
      </c>
      <c r="C126" s="322" t="s">
        <v>1001</v>
      </c>
      <c r="D126" s="322" t="s">
        <v>937</v>
      </c>
      <c r="E126" s="322" t="s">
        <v>55</v>
      </c>
      <c r="F126" s="322" t="s">
        <v>105</v>
      </c>
      <c r="G126" s="322"/>
      <c r="H126" s="404" t="s">
        <v>993</v>
      </c>
      <c r="I126" s="322"/>
      <c r="J126" s="322"/>
      <c r="K126" s="322" t="s">
        <v>295</v>
      </c>
      <c r="L126" s="322">
        <f t="shared" si="15"/>
        <v>2</v>
      </c>
      <c r="M126" s="404" t="str">
        <f t="shared" si="11"/>
        <v>Same distinctiveness or better habitat required ≥</v>
      </c>
      <c r="N126" s="322" t="s">
        <v>292</v>
      </c>
      <c r="O126" s="322">
        <f t="shared" si="16"/>
        <v>0.33</v>
      </c>
      <c r="P126" s="322" t="s">
        <v>40</v>
      </c>
      <c r="Q126" s="322">
        <f t="shared" si="17"/>
        <v>0.67</v>
      </c>
      <c r="R126" s="301" t="s">
        <v>1789</v>
      </c>
      <c r="S126" s="322"/>
      <c r="T126" s="363" t="s">
        <v>427</v>
      </c>
    </row>
    <row r="127" spans="1:20" ht="14.25" customHeight="1" x14ac:dyDescent="0.25">
      <c r="A127" s="928" t="s">
        <v>1002</v>
      </c>
      <c r="B127" s="939" t="s">
        <v>1003</v>
      </c>
      <c r="C127" s="322" t="s">
        <v>1004</v>
      </c>
      <c r="D127" s="322" t="s">
        <v>937</v>
      </c>
      <c r="E127" s="322" t="s">
        <v>55</v>
      </c>
      <c r="F127" s="322" t="s">
        <v>105</v>
      </c>
      <c r="G127" s="322"/>
      <c r="H127" s="404" t="s">
        <v>1002</v>
      </c>
      <c r="I127" s="322"/>
      <c r="J127" s="322"/>
      <c r="K127" s="322" t="s">
        <v>295</v>
      </c>
      <c r="L127" s="322">
        <f t="shared" si="15"/>
        <v>2</v>
      </c>
      <c r="M127" s="404" t="str">
        <f t="shared" si="11"/>
        <v>Same distinctiveness or better habitat required ≥</v>
      </c>
      <c r="N127" s="322" t="s">
        <v>292</v>
      </c>
      <c r="O127" s="322">
        <f t="shared" si="16"/>
        <v>0.33</v>
      </c>
      <c r="P127" s="322" t="s">
        <v>40</v>
      </c>
      <c r="Q127" s="322">
        <f t="shared" si="17"/>
        <v>0.67</v>
      </c>
      <c r="R127" s="301" t="s">
        <v>1789</v>
      </c>
      <c r="S127" s="322"/>
      <c r="T127" s="363" t="s">
        <v>427</v>
      </c>
    </row>
    <row r="128" spans="1:20" ht="14.25" customHeight="1" x14ac:dyDescent="0.25">
      <c r="A128" s="928" t="s">
        <v>1005</v>
      </c>
      <c r="B128" s="939" t="s">
        <v>1006</v>
      </c>
      <c r="C128" s="322" t="s">
        <v>1007</v>
      </c>
      <c r="D128" s="322" t="s">
        <v>937</v>
      </c>
      <c r="E128" s="322" t="s">
        <v>55</v>
      </c>
      <c r="F128" s="322" t="s">
        <v>105</v>
      </c>
      <c r="G128" s="322"/>
      <c r="H128" s="404" t="s">
        <v>1005</v>
      </c>
      <c r="I128" s="322"/>
      <c r="J128" s="322"/>
      <c r="K128" s="322" t="s">
        <v>295</v>
      </c>
      <c r="L128" s="322">
        <f t="shared" si="15"/>
        <v>2</v>
      </c>
      <c r="M128" s="404" t="str">
        <f t="shared" si="11"/>
        <v>Same distinctiveness or better habitat required ≥</v>
      </c>
      <c r="N128" s="322" t="s">
        <v>292</v>
      </c>
      <c r="O128" s="322">
        <f t="shared" si="16"/>
        <v>0.33</v>
      </c>
      <c r="P128" s="322" t="s">
        <v>292</v>
      </c>
      <c r="Q128" s="322">
        <f t="shared" si="17"/>
        <v>0.33</v>
      </c>
      <c r="R128" s="301" t="s">
        <v>1788</v>
      </c>
      <c r="S128" s="322"/>
      <c r="T128" s="363" t="s">
        <v>427</v>
      </c>
    </row>
    <row r="129" spans="1:20" ht="14.25" customHeight="1" x14ac:dyDescent="0.25">
      <c r="A129" s="928" t="s">
        <v>1008</v>
      </c>
      <c r="B129" s="939" t="s">
        <v>1009</v>
      </c>
      <c r="C129" s="322" t="s">
        <v>1010</v>
      </c>
      <c r="D129" s="322" t="s">
        <v>937</v>
      </c>
      <c r="E129" s="322" t="s">
        <v>55</v>
      </c>
      <c r="F129" s="322" t="s">
        <v>105</v>
      </c>
      <c r="G129" s="322"/>
      <c r="H129" s="404" t="s">
        <v>1008</v>
      </c>
      <c r="I129" s="322"/>
      <c r="J129" s="322"/>
      <c r="K129" s="322" t="s">
        <v>295</v>
      </c>
      <c r="L129" s="322">
        <f t="shared" si="15"/>
        <v>2</v>
      </c>
      <c r="M129" s="404" t="str">
        <f t="shared" si="11"/>
        <v>Same distinctiveness or better habitat required ≥</v>
      </c>
      <c r="N129" s="322" t="s">
        <v>292</v>
      </c>
      <c r="O129" s="322">
        <f t="shared" si="16"/>
        <v>0.33</v>
      </c>
      <c r="P129" s="322" t="s">
        <v>40</v>
      </c>
      <c r="Q129" s="322">
        <f t="shared" si="17"/>
        <v>0.67</v>
      </c>
      <c r="R129" s="301" t="s">
        <v>1788</v>
      </c>
      <c r="S129" s="322"/>
      <c r="T129" s="363" t="s">
        <v>427</v>
      </c>
    </row>
    <row r="130" spans="1:20" ht="14.25" customHeight="1" x14ac:dyDescent="0.25">
      <c r="A130" s="931" t="s">
        <v>1011</v>
      </c>
      <c r="B130" s="935" t="s">
        <v>1012</v>
      </c>
      <c r="C130" s="322" t="s">
        <v>1013</v>
      </c>
      <c r="D130" s="322" t="s">
        <v>937</v>
      </c>
      <c r="E130" s="322"/>
      <c r="F130" s="322" t="s">
        <v>105</v>
      </c>
      <c r="G130" s="322"/>
      <c r="H130" s="407" t="s">
        <v>1011</v>
      </c>
      <c r="I130" s="322"/>
      <c r="J130" s="322"/>
      <c r="K130" s="322" t="s">
        <v>40</v>
      </c>
      <c r="L130" s="322">
        <f t="shared" ref="L130:L135" si="18">IF(K130=$V$3,$W$3,IF(K130=$V$3,$W$3,IF(K130=$V$4,$W$4,IF(K130=$V$5,$W$5,IF(K130=$V$6,$W$6,IF(K130=$V$7,$W$7))))))</f>
        <v>4</v>
      </c>
      <c r="M130" s="404" t="str">
        <f t="shared" si="11"/>
        <v>Same broad habitat or a higher distinctiveness habitat required (≥)</v>
      </c>
      <c r="N130" s="322" t="s">
        <v>40</v>
      </c>
      <c r="O130" s="322">
        <f t="shared" ref="O130:O135" si="19">VLOOKUP(N130,Difficulty,2,FALSE)</f>
        <v>0.67</v>
      </c>
      <c r="P130" s="322" t="s">
        <v>40</v>
      </c>
      <c r="Q130" s="322">
        <f t="shared" ref="Q130:Q135" si="20">VLOOKUP(P130,Difficulty,2,FALSE)</f>
        <v>0.67</v>
      </c>
      <c r="R130" s="301"/>
      <c r="S130" s="322"/>
      <c r="T130" s="363" t="s">
        <v>427</v>
      </c>
    </row>
    <row r="131" spans="1:20" ht="14.25" customHeight="1" thickBot="1" x14ac:dyDescent="0.3">
      <c r="A131" s="931" t="s">
        <v>1014</v>
      </c>
      <c r="B131" s="936" t="s">
        <v>110</v>
      </c>
      <c r="C131" s="307" t="s">
        <v>1015</v>
      </c>
      <c r="D131" s="307" t="s">
        <v>937</v>
      </c>
      <c r="E131" s="307"/>
      <c r="F131" s="307" t="s">
        <v>105</v>
      </c>
      <c r="G131" s="307"/>
      <c r="H131" s="408" t="s">
        <v>1014</v>
      </c>
      <c r="I131" s="307"/>
      <c r="J131" s="307"/>
      <c r="K131" s="307" t="s">
        <v>292</v>
      </c>
      <c r="L131" s="307">
        <f t="shared" si="18"/>
        <v>6</v>
      </c>
      <c r="M131" s="405" t="str">
        <f t="shared" si="11"/>
        <v>Same habitat required =</v>
      </c>
      <c r="N131" s="307" t="s">
        <v>292</v>
      </c>
      <c r="O131" s="307">
        <f t="shared" si="19"/>
        <v>0.33</v>
      </c>
      <c r="P131" s="307" t="s">
        <v>40</v>
      </c>
      <c r="Q131" s="307">
        <f t="shared" si="20"/>
        <v>0.67</v>
      </c>
      <c r="R131" s="290"/>
      <c r="S131" s="307"/>
      <c r="T131" s="355" t="s">
        <v>427</v>
      </c>
    </row>
    <row r="132" spans="1:20" ht="14.25" customHeight="1" x14ac:dyDescent="0.25">
      <c r="A132" s="931" t="s">
        <v>1016</v>
      </c>
      <c r="B132" s="934" t="s">
        <v>1017</v>
      </c>
      <c r="C132" s="359" t="s">
        <v>1018</v>
      </c>
      <c r="D132" s="359" t="s">
        <v>937</v>
      </c>
      <c r="E132" s="359"/>
      <c r="F132" s="359" t="s">
        <v>216</v>
      </c>
      <c r="G132" s="359"/>
      <c r="H132" s="798" t="s">
        <v>1016</v>
      </c>
      <c r="I132" s="359"/>
      <c r="J132" s="359"/>
      <c r="K132" s="359" t="s">
        <v>295</v>
      </c>
      <c r="L132" s="359">
        <f t="shared" si="18"/>
        <v>2</v>
      </c>
      <c r="M132" s="800" t="str">
        <f>IF($K132=$V$3,$X$3,IF($K132=$V$4,$X$4,IF($K132=$V$5,$X$5,IF($K132=$V$6,$X$6,IF($K132=$V$7,$X$7)))))</f>
        <v>Same distinctiveness or better habitat required ≥</v>
      </c>
      <c r="N132" s="359" t="s">
        <v>40</v>
      </c>
      <c r="O132" s="359">
        <f t="shared" si="19"/>
        <v>0.67</v>
      </c>
      <c r="P132" s="359" t="s">
        <v>40</v>
      </c>
      <c r="Q132" s="359">
        <f t="shared" si="20"/>
        <v>0.67</v>
      </c>
      <c r="R132" s="286" t="s">
        <v>1785</v>
      </c>
      <c r="S132" s="359"/>
      <c r="T132" s="357" t="s">
        <v>427</v>
      </c>
    </row>
    <row r="133" spans="1:20" ht="14.25" customHeight="1" x14ac:dyDescent="0.25">
      <c r="A133" s="931" t="s">
        <v>1019</v>
      </c>
      <c r="B133" s="935" t="s">
        <v>1020</v>
      </c>
      <c r="C133" s="322" t="s">
        <v>1021</v>
      </c>
      <c r="D133" s="322" t="s">
        <v>937</v>
      </c>
      <c r="E133" s="322"/>
      <c r="F133" s="302" t="s">
        <v>216</v>
      </c>
      <c r="G133" s="322"/>
      <c r="H133" s="407" t="s">
        <v>1019</v>
      </c>
      <c r="I133" s="322"/>
      <c r="J133" s="322"/>
      <c r="K133" s="302" t="s">
        <v>295</v>
      </c>
      <c r="L133" s="322">
        <f t="shared" si="18"/>
        <v>2</v>
      </c>
      <c r="M133" s="404" t="str">
        <f>IF($K133=$V$3,$X$3,IF($K133=$V$4,$X$4,IF($K133=$V$5,$X$5,IF($K133=$V$6,$X$6,IF($K133=$V$7,$X$7)))))</f>
        <v>Same distinctiveness or better habitat required ≥</v>
      </c>
      <c r="N133" s="322" t="s">
        <v>40</v>
      </c>
      <c r="O133" s="322">
        <f t="shared" si="19"/>
        <v>0.67</v>
      </c>
      <c r="P133" s="322" t="s">
        <v>40</v>
      </c>
      <c r="Q133" s="322">
        <f t="shared" si="20"/>
        <v>0.67</v>
      </c>
      <c r="R133" s="301" t="s">
        <v>1791</v>
      </c>
      <c r="S133" s="322"/>
      <c r="T133" s="363" t="s">
        <v>427</v>
      </c>
    </row>
    <row r="134" spans="1:20" ht="14.25" customHeight="1" thickBot="1" x14ac:dyDescent="0.3">
      <c r="A134" s="932" t="s">
        <v>1022</v>
      </c>
      <c r="B134" s="936" t="s">
        <v>1023</v>
      </c>
      <c r="C134" s="307" t="s">
        <v>1024</v>
      </c>
      <c r="D134" s="307" t="s">
        <v>937</v>
      </c>
      <c r="E134" s="307"/>
      <c r="F134" s="588" t="s">
        <v>216</v>
      </c>
      <c r="G134" s="307"/>
      <c r="H134" s="408" t="s">
        <v>1025</v>
      </c>
      <c r="I134" s="307"/>
      <c r="J134" s="307"/>
      <c r="K134" s="307" t="s">
        <v>40</v>
      </c>
      <c r="L134" s="307">
        <f t="shared" si="18"/>
        <v>4</v>
      </c>
      <c r="M134" s="405" t="str">
        <f>IF($K134=$V$3,$X$3,IF($K134=$V$4,$X$4,IF($K134=$V$5,$X$5,IF($K134=$V$6,$X$6,IF($K134=$V$7,$X$7)))))</f>
        <v>Same broad habitat or a higher distinctiveness habitat required (≥)</v>
      </c>
      <c r="N134" s="307" t="s">
        <v>40</v>
      </c>
      <c r="O134" s="307">
        <f t="shared" si="19"/>
        <v>0.67</v>
      </c>
      <c r="P134" s="307" t="s">
        <v>40</v>
      </c>
      <c r="Q134" s="307">
        <f t="shared" si="20"/>
        <v>0.67</v>
      </c>
      <c r="R134" s="290" t="s">
        <v>1786</v>
      </c>
      <c r="S134" s="307"/>
      <c r="T134" s="355" t="s">
        <v>427</v>
      </c>
    </row>
    <row r="135" spans="1:20" ht="14.25" customHeight="1" thickBot="1" x14ac:dyDescent="0.3">
      <c r="A135" s="931" t="s">
        <v>217</v>
      </c>
      <c r="B135" s="937" t="s">
        <v>1026</v>
      </c>
      <c r="C135" s="351" t="s">
        <v>1027</v>
      </c>
      <c r="D135" s="352" t="s">
        <v>217</v>
      </c>
      <c r="E135" s="351"/>
      <c r="F135" s="351"/>
      <c r="G135" s="351"/>
      <c r="H135" s="406"/>
      <c r="I135" s="351"/>
      <c r="J135" s="351"/>
      <c r="K135" s="351" t="s">
        <v>1028</v>
      </c>
      <c r="L135" s="351">
        <f t="shared" si="18"/>
        <v>0</v>
      </c>
      <c r="M135" s="406" t="str">
        <f>IF($K135=$V$3,$X$3,IF($K135=$V$4,$X$4,IF($K135=$V$5,$X$5,IF($K135=$V$6,$X$6,IF($K135=$V$7,$X$7)))))</f>
        <v>Compensation Not Required</v>
      </c>
      <c r="N135" s="351" t="s">
        <v>295</v>
      </c>
      <c r="O135" s="351">
        <f t="shared" si="19"/>
        <v>1</v>
      </c>
      <c r="P135" s="351" t="s">
        <v>295</v>
      </c>
      <c r="Q135" s="351">
        <f t="shared" si="20"/>
        <v>1</v>
      </c>
      <c r="R135" s="352" t="s">
        <v>1029</v>
      </c>
      <c r="S135" s="351"/>
      <c r="T135" s="938" t="s">
        <v>427</v>
      </c>
    </row>
  </sheetData>
  <sheetProtection algorithmName="SHA-512" hashValue="eLV08PfDN64FPDP+/Ty58VulHX9jAgI32i8PGmDSo1XatPwDjC013k4UG4xSDdp7X2fsJMJs0Xxlde5K8+2cuQ==" saltValue="JaAgiZhL0afHAe6OmXo7ew==" spinCount="100000" sheet="1" objects="1" scenarios="1"/>
  <customSheetViews>
    <customSheetView guid="{8BDA793C-C9C5-4FC6-A0A5-F1109F6D4F22}" scale="80" state="hidden">
      <pane xSplit="2" ySplit="2" topLeftCell="C3" activePane="bottomRight" state="frozen"/>
      <selection pane="bottomRight" activeCell="D14" sqref="D14"/>
    </customSheetView>
  </customSheetViews>
  <mergeCells count="13">
    <mergeCell ref="AF45:AG46"/>
    <mergeCell ref="AF47:AF48"/>
    <mergeCell ref="AG47:AG48"/>
    <mergeCell ref="D1:F1"/>
    <mergeCell ref="AF23:AG24"/>
    <mergeCell ref="AF25:AF26"/>
    <mergeCell ref="AG25:AG26"/>
    <mergeCell ref="Z1:AA1"/>
    <mergeCell ref="V1:X1"/>
    <mergeCell ref="AF1:AF2"/>
    <mergeCell ref="AG1:AG2"/>
    <mergeCell ref="E26:E38"/>
    <mergeCell ref="E3:E12"/>
  </mergeCells>
  <phoneticPr fontId="9" type="noConversion"/>
  <conditionalFormatting sqref="X3">
    <cfRule type="containsText" dxfId="7" priority="1" operator="containsText" text="⚠">
      <formula>NOT(ISERROR(SEARCH("⚠",X3)))</formula>
    </cfRule>
  </conditionalFormatting>
  <dataValidations count="1">
    <dataValidation type="list" allowBlank="1" showInputMessage="1" showErrorMessage="1" sqref="K3:K135"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P3:P135 N3:N135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zoomScale="60" zoomScaleNormal="60" workbookViewId="0">
      <selection sqref="A1:AF1"/>
    </sheetView>
  </sheetViews>
  <sheetFormatPr defaultColWidth="16.44140625" defaultRowHeight="13.8" x14ac:dyDescent="0.25"/>
  <cols>
    <col min="1" max="1" width="88.6640625" style="30" bestFit="1" customWidth="1"/>
    <col min="2" max="2" width="23.6640625" style="30" customWidth="1"/>
    <col min="3" max="3" width="21.33203125" style="30" customWidth="1"/>
    <col min="4" max="4" width="62.6640625" style="30" bestFit="1" customWidth="1"/>
    <col min="5" max="35" width="16.44140625" style="30"/>
    <col min="36" max="36" width="23.6640625" style="30" customWidth="1"/>
    <col min="37" max="38" width="16.44140625" style="30"/>
    <col min="39" max="39" width="24.6640625" style="30" customWidth="1"/>
    <col min="40" max="40" width="25.6640625" style="30" customWidth="1"/>
    <col min="41" max="41" width="23.33203125" style="30" customWidth="1"/>
    <col min="42" max="42" width="23.5546875" style="30" customWidth="1"/>
    <col min="43" max="46" width="16.44140625" style="30"/>
    <col min="47" max="47" width="78.44140625" style="30" customWidth="1"/>
    <col min="48" max="48" width="24.44140625" style="30" bestFit="1" customWidth="1"/>
    <col min="49" max="49" width="16.6640625" style="30" bestFit="1" customWidth="1"/>
    <col min="50" max="50" width="23.5546875" style="30" bestFit="1" customWidth="1"/>
    <col min="51" max="51" width="28.33203125" style="30" customWidth="1"/>
    <col min="52" max="52" width="29.33203125" style="30" bestFit="1" customWidth="1"/>
    <col min="53" max="53" width="26.33203125" style="30" bestFit="1" customWidth="1"/>
    <col min="54" max="54" width="25.6640625" style="30" bestFit="1" customWidth="1"/>
    <col min="55" max="55" width="28.33203125" style="30" bestFit="1" customWidth="1"/>
    <col min="56" max="57" width="34.6640625" style="30" bestFit="1" customWidth="1"/>
    <col min="58" max="58" width="27.33203125" style="30" bestFit="1" customWidth="1"/>
    <col min="59" max="59" width="9.33203125" style="30" hidden="1" customWidth="1"/>
    <col min="60" max="16384" width="16.44140625" style="30"/>
  </cols>
  <sheetData>
    <row r="1" spans="1:59" ht="51.6" customHeight="1" x14ac:dyDescent="0.6">
      <c r="A1" s="1871" t="s">
        <v>1030</v>
      </c>
      <c r="B1" s="1871"/>
      <c r="C1" s="1871"/>
      <c r="D1" s="1871"/>
      <c r="E1" s="1871"/>
      <c r="F1" s="1871"/>
      <c r="G1" s="1871"/>
      <c r="H1" s="1871"/>
      <c r="I1" s="1871"/>
      <c r="J1" s="1871"/>
      <c r="K1" s="1871"/>
      <c r="L1" s="1871"/>
      <c r="M1" s="1871"/>
      <c r="N1" s="1871"/>
      <c r="O1" s="1871"/>
      <c r="P1" s="1871"/>
      <c r="Q1" s="1871"/>
      <c r="R1" s="1871"/>
      <c r="S1" s="1871"/>
      <c r="T1" s="1871"/>
      <c r="U1" s="1871"/>
      <c r="V1" s="1871"/>
      <c r="W1" s="1871"/>
      <c r="X1" s="1871"/>
      <c r="Y1" s="1871"/>
      <c r="Z1" s="1871"/>
      <c r="AA1" s="1871"/>
      <c r="AB1" s="1871"/>
      <c r="AC1" s="1871"/>
      <c r="AD1" s="1871"/>
      <c r="AE1" s="1871"/>
      <c r="AF1" s="1871"/>
      <c r="AG1" s="87"/>
      <c r="AJ1" s="1865" t="s">
        <v>1031</v>
      </c>
      <c r="AK1" s="1866"/>
      <c r="AL1" s="1866"/>
      <c r="AM1" s="1866"/>
      <c r="AN1" s="1866"/>
      <c r="AO1" s="1866"/>
      <c r="AP1" s="1867"/>
      <c r="AU1" s="1868" t="s">
        <v>1032</v>
      </c>
      <c r="AV1" s="1869"/>
      <c r="AW1" s="1869"/>
      <c r="AX1" s="1869"/>
      <c r="AY1" s="1869"/>
      <c r="AZ1" s="1869"/>
      <c r="BA1" s="1869"/>
      <c r="BB1" s="1869"/>
      <c r="BC1" s="1869"/>
      <c r="BD1" s="1869"/>
      <c r="BE1" s="1869"/>
      <c r="BF1" s="1869"/>
      <c r="BG1" s="1870"/>
    </row>
    <row r="2" spans="1:59" ht="22.8" x14ac:dyDescent="0.4">
      <c r="A2" s="68">
        <v>1</v>
      </c>
      <c r="B2" s="68">
        <v>2</v>
      </c>
      <c r="C2" s="68">
        <v>2</v>
      </c>
      <c r="D2" s="68">
        <v>3</v>
      </c>
      <c r="E2" s="68">
        <v>4</v>
      </c>
      <c r="F2" s="68">
        <v>5</v>
      </c>
      <c r="G2" s="68">
        <v>6</v>
      </c>
      <c r="H2" s="68">
        <v>7</v>
      </c>
      <c r="I2" s="68">
        <v>8</v>
      </c>
      <c r="J2" s="68">
        <v>9</v>
      </c>
      <c r="K2" s="68">
        <v>10</v>
      </c>
      <c r="L2" s="68">
        <v>11</v>
      </c>
      <c r="M2" s="68">
        <v>12</v>
      </c>
      <c r="N2" s="68">
        <v>13</v>
      </c>
      <c r="O2" s="68">
        <v>14</v>
      </c>
      <c r="P2" s="68">
        <v>15</v>
      </c>
      <c r="Q2" s="68">
        <v>16</v>
      </c>
      <c r="R2" s="68">
        <f>Q2+1</f>
        <v>17</v>
      </c>
      <c r="S2" s="68">
        <f t="shared" ref="S2:AF2" si="0">R2+1</f>
        <v>18</v>
      </c>
      <c r="T2" s="68">
        <f t="shared" si="0"/>
        <v>19</v>
      </c>
      <c r="U2" s="68">
        <f t="shared" si="0"/>
        <v>20</v>
      </c>
      <c r="V2" s="68">
        <f t="shared" si="0"/>
        <v>21</v>
      </c>
      <c r="W2" s="68">
        <f t="shared" si="0"/>
        <v>22</v>
      </c>
      <c r="X2" s="68">
        <f t="shared" si="0"/>
        <v>23</v>
      </c>
      <c r="Y2" s="68">
        <f t="shared" si="0"/>
        <v>24</v>
      </c>
      <c r="Z2" s="68">
        <f t="shared" si="0"/>
        <v>25</v>
      </c>
      <c r="AA2" s="68">
        <f t="shared" si="0"/>
        <v>26</v>
      </c>
      <c r="AB2" s="68">
        <f t="shared" si="0"/>
        <v>27</v>
      </c>
      <c r="AC2" s="68">
        <f t="shared" si="0"/>
        <v>28</v>
      </c>
      <c r="AD2" s="68">
        <f t="shared" si="0"/>
        <v>29</v>
      </c>
      <c r="AE2" s="68">
        <f t="shared" si="0"/>
        <v>30</v>
      </c>
      <c r="AF2" s="68">
        <f t="shared" si="0"/>
        <v>31</v>
      </c>
    </row>
    <row r="3" spans="1:59" ht="107.7" customHeight="1" x14ac:dyDescent="0.6">
      <c r="A3" s="69" t="s">
        <v>1033</v>
      </c>
      <c r="B3" s="69" t="s">
        <v>299</v>
      </c>
      <c r="C3" s="69" t="s">
        <v>395</v>
      </c>
      <c r="D3" s="69" t="s">
        <v>1034</v>
      </c>
      <c r="E3" s="69" t="s">
        <v>1035</v>
      </c>
      <c r="F3" s="69" t="s">
        <v>1036</v>
      </c>
      <c r="G3" s="69" t="s">
        <v>1037</v>
      </c>
      <c r="H3" s="69" t="s">
        <v>1038</v>
      </c>
      <c r="I3" s="69" t="s">
        <v>1039</v>
      </c>
      <c r="J3" s="69" t="s">
        <v>1040</v>
      </c>
      <c r="K3" s="69" t="s">
        <v>1041</v>
      </c>
      <c r="L3" s="69" t="s">
        <v>1042</v>
      </c>
      <c r="M3" s="69" t="s">
        <v>1043</v>
      </c>
      <c r="N3" s="69" t="s">
        <v>1044</v>
      </c>
      <c r="O3" s="69" t="s">
        <v>1045</v>
      </c>
      <c r="P3" s="69" t="s">
        <v>1046</v>
      </c>
      <c r="Q3" s="69" t="s">
        <v>1047</v>
      </c>
      <c r="R3" s="69" t="s">
        <v>1048</v>
      </c>
      <c r="S3" s="69" t="s">
        <v>1049</v>
      </c>
      <c r="T3" s="69" t="s">
        <v>1050</v>
      </c>
      <c r="U3" s="69" t="s">
        <v>1051</v>
      </c>
      <c r="V3" s="69" t="s">
        <v>1052</v>
      </c>
      <c r="W3" s="69" t="s">
        <v>1053</v>
      </c>
      <c r="X3" s="69" t="s">
        <v>1054</v>
      </c>
      <c r="Y3" s="69" t="s">
        <v>1055</v>
      </c>
      <c r="Z3" s="69" t="s">
        <v>1056</v>
      </c>
      <c r="AA3" s="69" t="s">
        <v>1057</v>
      </c>
      <c r="AB3" s="69" t="s">
        <v>1058</v>
      </c>
      <c r="AC3" s="69" t="s">
        <v>1059</v>
      </c>
      <c r="AD3" s="69" t="s">
        <v>1060</v>
      </c>
      <c r="AE3" s="69" t="s">
        <v>1061</v>
      </c>
      <c r="AF3" s="69" t="s">
        <v>1062</v>
      </c>
      <c r="AJ3" s="415" t="s">
        <v>1063</v>
      </c>
      <c r="AK3" s="416" t="s">
        <v>1064</v>
      </c>
      <c r="AL3" s="416" t="s">
        <v>1065</v>
      </c>
      <c r="AM3" s="416" t="s">
        <v>1066</v>
      </c>
      <c r="AN3" s="416" t="s">
        <v>1067</v>
      </c>
      <c r="AO3" s="416" t="s">
        <v>209</v>
      </c>
      <c r="AP3" s="416" t="s">
        <v>210</v>
      </c>
      <c r="AU3" s="78" t="s">
        <v>290</v>
      </c>
      <c r="AV3" s="79"/>
      <c r="AW3" s="80"/>
      <c r="AX3" s="80"/>
      <c r="AY3" s="80"/>
      <c r="AZ3" s="80"/>
      <c r="BA3" s="80"/>
      <c r="BB3" s="80"/>
      <c r="BC3" s="80"/>
      <c r="BD3" s="80"/>
      <c r="BE3" s="80"/>
      <c r="BF3" s="80"/>
      <c r="BG3" s="80"/>
    </row>
    <row r="4" spans="1:59" ht="31.2" x14ac:dyDescent="0.3">
      <c r="A4" s="70" t="str">
        <f>'G-1 All Habitats'!B3</f>
        <v>Cropland - Arable field margins cultivated annually</v>
      </c>
      <c r="B4" s="62" t="s">
        <v>147</v>
      </c>
      <c r="C4" s="62" t="str">
        <f>'G-1 All Habitats'!K3</f>
        <v>Medium</v>
      </c>
      <c r="D4" s="62" t="str">
        <f>'G-1 All Habitats'!M3</f>
        <v>Same broad habitat or a higher distinctiveness habitat required (≥)</v>
      </c>
      <c r="E4" s="274">
        <f>SUMIF('A-1 On-Site Habitat Baseline'!$AV$11:$AV$258,'G-2 Habitat groups'!A4,'A-1 On-Site Habitat Baseline'!$H$11:$H$258)</f>
        <v>0</v>
      </c>
      <c r="F4" s="274">
        <f>SUMIF('A-1 On-Site Habitat Baseline'!$AV$11:$AV$258,'G-2 Habitat groups'!A4,'A-1 On-Site Habitat Baseline'!$Q$11:$Q$258)</f>
        <v>0</v>
      </c>
      <c r="G4" s="274">
        <f>SUMIF('A-1 On-Site Habitat Baseline'!$AV$11:$AV$258,'G-2 Habitat groups'!A4,'A-1 On-Site Habitat Baseline'!$S$11:$S$258)</f>
        <v>0</v>
      </c>
      <c r="H4" s="274">
        <f>SUMIF('A-1 On-Site Habitat Baseline'!$AV$11:$AV$258,'G-2 Habitat groups'!A4,'A-1 On-Site Habitat Baseline'!$U$11:$U$258)+SUMIF('A-1 On-Site Habitat Baseline'!$AV$11:$AV$258,'G-2 Habitat groups'!A4, 'A-1 On-Site Habitat Baseline'!$AT$11:$AT$258)</f>
        <v>0</v>
      </c>
      <c r="I4" s="274">
        <f>SUMIF('A-1 On-Site Habitat Baseline'!$AV$11:$AV$258,'G-2 Habitat groups'!A4,'A-1 On-Site Habitat Baseline'!$W$11:$W$258)</f>
        <v>0</v>
      </c>
      <c r="J4" s="274">
        <f>SUMIF('A-1 On-Site Habitat Baseline'!$AV$11:$AV$258,'G-2 Habitat groups'!A4,'A-1 On-Site Habitat Baseline'!$X$11:$X$258)</f>
        <v>0</v>
      </c>
      <c r="K4" s="274">
        <f>SUMIF('A-2 On-Site Habitat Creation'!$F$11:$F$256,'G-2 Habitat groups'!A4,'A-2 On-Site Habitat Creation'!$G$11:$G$256)</f>
        <v>0</v>
      </c>
      <c r="L4" s="274">
        <f>SUMIF('A-2 On-Site Habitat Creation'!$F$11:$F$256,'G-2 Habitat groups'!A4,'A-2 On-Site Habitat Creation'!$Y$11:$Y$256)</f>
        <v>0</v>
      </c>
      <c r="M4" s="274">
        <f>SUMIF('A-3 On-Site Habitat Enhancement'!$S$12:$S$257,'G-2 Habitat groups'!A4,'A-3 On-Site Habitat Enhancement'!$V$12:$V$257)</f>
        <v>0</v>
      </c>
      <c r="N4" s="274">
        <f>SUMIF('A-3 On-Site Habitat Enhancement'!$S$12:$S$257,'G-2 Habitat groups'!A4,'A-3 On-Site Habitat Enhancement'!$AN$12:$AN$257)</f>
        <v>0</v>
      </c>
      <c r="O4" s="274">
        <f t="shared" ref="O4:O34" si="1">G4+K4+M4</f>
        <v>0</v>
      </c>
      <c r="P4" s="274">
        <f t="shared" ref="P4:P34" si="2">H4+L4+N4</f>
        <v>0</v>
      </c>
      <c r="Q4" s="274">
        <f t="shared" ref="Q4:Q34" si="3">O4-E4</f>
        <v>0</v>
      </c>
      <c r="R4" s="274">
        <f t="shared" ref="R4:R34" si="4">P4-F4</f>
        <v>0</v>
      </c>
      <c r="S4" s="274">
        <f>SUMIF('D-1 Off-Site Habitat Baseline'!$AV$11:$AV$258,'G-2 Habitat groups'!A4,'D-1 Off-Site Habitat Baseline'!$H$11:$H$258)</f>
        <v>0</v>
      </c>
      <c r="T4" s="274">
        <f>SUMIF('D-1 Off-Site Habitat Baseline'!$AV$11:$AV$258,'G-2 Habitat groups'!A4,'D-1 Off-Site Habitat Baseline'!$T$11:$T$258)</f>
        <v>0</v>
      </c>
      <c r="U4" s="274">
        <f>SUMIF('D-1 Off-Site Habitat Baseline'!$AV$11:$AV$258,'G-2 Habitat groups'!A4,'D-1 Off-Site Habitat Baseline'!$V$11:$V$258)</f>
        <v>0</v>
      </c>
      <c r="V4" s="274">
        <f>SUMIF('D-1 Off-Site Habitat Baseline'!$AV$11:$AV$258,'G-2 Habitat groups'!A4,'D-1 Off-Site Habitat Baseline'!$X$11:$X$258)+SUMIF('D-1 Off-Site Habitat Baseline'!$AV$11:$AV$258,'G-2 Habitat groups'!A4,'D-1 Off-Site Habitat Baseline'!$AS$11:$AS$258)</f>
        <v>0</v>
      </c>
      <c r="W4" s="274">
        <f>SUMIF('D-2 Off-Site Habitat Creation'!$F$9:$F$255,'G-2 Habitat groups'!A4,'D-2 Off-Site Habitat Creation'!$G$9:$G$255)</f>
        <v>0</v>
      </c>
      <c r="X4" s="274">
        <f>SUMIF('D-2 Off-Site Habitat Creation'!$F$9:$F$255,'G-2 Habitat groups'!A4,'D-2 Off-Site Habitat Creation'!$AB$9:$AB$255)</f>
        <v>0</v>
      </c>
      <c r="Y4" s="274">
        <f>SUMIF('D-3 Off-Site Habitat Enhancment'!$S$12:$S$491,'G-2 Habitat groups'!A4,'D-3 Off-Site Habitat Enhancment'!$V$12:$V$491)</f>
        <v>0</v>
      </c>
      <c r="Z4" s="274">
        <f>SUMIF('D-3 Off-Site Habitat Enhancment'!$S$12:$S$491,'G-2 Habitat groups'!A4,'D-3 Off-Site Habitat Enhancment'!$AQ$12:$AQ$491)</f>
        <v>0</v>
      </c>
      <c r="AA4" s="274">
        <f t="shared" ref="AA4:AA34" si="5">U4+W4+Y4</f>
        <v>0</v>
      </c>
      <c r="AB4" s="274">
        <f>V4+X4+Z4</f>
        <v>0</v>
      </c>
      <c r="AC4" s="274">
        <f t="shared" ref="AC4:AC34" si="6">AA4-S4</f>
        <v>0</v>
      </c>
      <c r="AD4" s="274">
        <f>AB4-T4</f>
        <v>0</v>
      </c>
      <c r="AE4" s="274">
        <f t="shared" ref="AE4:AE34" si="7">Q4+AC4</f>
        <v>0</v>
      </c>
      <c r="AF4" s="274">
        <f>R4+AD4</f>
        <v>0</v>
      </c>
      <c r="AJ4" s="72" t="s">
        <v>147</v>
      </c>
      <c r="AK4" s="422">
        <f t="shared" ref="AK4:AK16" si="8">SUMIF($B:$B,$AJ4,E:E)</f>
        <v>0</v>
      </c>
      <c r="AL4" s="422">
        <f t="shared" ref="AL4:AL18" si="9">SUMIF($B:$B,$AJ4,F:F)</f>
        <v>0</v>
      </c>
      <c r="AM4" s="422">
        <f t="shared" ref="AM4:AM18" si="10">SUMIF($B:$B,$AJ4,O:O)</f>
        <v>0</v>
      </c>
      <c r="AN4" s="422">
        <f t="shared" ref="AN4:AN18" si="11">SUMIF($B:$B,$AJ4,P:P)</f>
        <v>0</v>
      </c>
      <c r="AO4" s="493">
        <f t="shared" ref="AO4:AO18" si="12">SUMIF($B:$B,$AJ4,Q:Q)</f>
        <v>0</v>
      </c>
      <c r="AP4" s="493">
        <f t="shared" ref="AP4:AP18" si="13">SUMIF($B:$B,$AJ4,R:R)</f>
        <v>0</v>
      </c>
      <c r="AU4" s="85" t="s">
        <v>63</v>
      </c>
      <c r="AV4" s="88" t="s">
        <v>299</v>
      </c>
      <c r="AW4" s="88" t="s">
        <v>1068</v>
      </c>
      <c r="AX4" s="88" t="s">
        <v>1069</v>
      </c>
      <c r="AY4" s="88" t="s">
        <v>1070</v>
      </c>
      <c r="AZ4" s="88" t="s">
        <v>1071</v>
      </c>
      <c r="BA4" s="88" t="s">
        <v>1072</v>
      </c>
      <c r="BB4" s="88" t="s">
        <v>1073</v>
      </c>
      <c r="BC4" s="88" t="s">
        <v>1074</v>
      </c>
      <c r="BD4" s="88" t="s">
        <v>1075</v>
      </c>
      <c r="BE4" s="88" t="s">
        <v>1076</v>
      </c>
      <c r="BF4" s="88" t="s">
        <v>1077</v>
      </c>
      <c r="BG4" s="88" t="s">
        <v>1078</v>
      </c>
    </row>
    <row r="5" spans="1:59" ht="14.7" customHeight="1" x14ac:dyDescent="0.25">
      <c r="A5" s="70" t="str">
        <f>'G-1 All Habitats'!B4</f>
        <v>Cropland - Arable field margins game bird mix</v>
      </c>
      <c r="B5" s="62" t="s">
        <v>147</v>
      </c>
      <c r="C5" s="62" t="str">
        <f>'G-1 All Habitats'!K4</f>
        <v>Medium</v>
      </c>
      <c r="D5" s="62" t="str">
        <f>'G-1 All Habitats'!M4</f>
        <v>Same broad habitat or a higher distinctiveness habitat required (≥)</v>
      </c>
      <c r="E5" s="274">
        <f>SUMIF('A-1 On-Site Habitat Baseline'!$AV$11:$AV$258,'G-2 Habitat groups'!A5,'A-1 On-Site Habitat Baseline'!$H$11:$H$258)</f>
        <v>0</v>
      </c>
      <c r="F5" s="274">
        <f>SUMIF('A-1 On-Site Habitat Baseline'!$AV$11:$AV$258,'G-2 Habitat groups'!A5,'A-1 On-Site Habitat Baseline'!$Q$11:$Q$258)</f>
        <v>0</v>
      </c>
      <c r="G5" s="274">
        <f>SUMIF('A-1 On-Site Habitat Baseline'!$AV$11:$AV$258,'G-2 Habitat groups'!A5,'A-1 On-Site Habitat Baseline'!$S$11:$S$258)</f>
        <v>0</v>
      </c>
      <c r="H5" s="274">
        <f>SUMIF('A-1 On-Site Habitat Baseline'!$AV$11:$AV$258,'G-2 Habitat groups'!A5,'A-1 On-Site Habitat Baseline'!$U$11:$U$258)+SUMIF('A-1 On-Site Habitat Baseline'!$AV$11:$AV$258,'G-2 Habitat groups'!A5, 'A-1 On-Site Habitat Baseline'!$AT$11:$AT$258)</f>
        <v>0</v>
      </c>
      <c r="I5" s="274">
        <f>SUMIF('A-1 On-Site Habitat Baseline'!$AV$11:$AV$258,'G-2 Habitat groups'!A5,'A-1 On-Site Habitat Baseline'!$W$11:$W$258)</f>
        <v>0</v>
      </c>
      <c r="J5" s="274">
        <f>SUMIF('A-1 On-Site Habitat Baseline'!$AV$11:$AV$258,'G-2 Habitat groups'!A5,'A-1 On-Site Habitat Baseline'!$X$11:$X$258)</f>
        <v>0</v>
      </c>
      <c r="K5" s="274">
        <f>SUMIF('A-2 On-Site Habitat Creation'!$F$11:$F$256,'G-2 Habitat groups'!A5,'A-2 On-Site Habitat Creation'!$G$11:$G$256)</f>
        <v>0</v>
      </c>
      <c r="L5" s="274">
        <f>SUMIF('A-2 On-Site Habitat Creation'!$F$11:$F$256,'G-2 Habitat groups'!A5,'A-2 On-Site Habitat Creation'!$Y$11:$Y$256)</f>
        <v>0</v>
      </c>
      <c r="M5" s="274">
        <f>SUMIF('A-3 On-Site Habitat Enhancement'!$S$12:$S$257,'G-2 Habitat groups'!A5,'A-3 On-Site Habitat Enhancement'!$V$12:$V$257)</f>
        <v>0</v>
      </c>
      <c r="N5" s="274">
        <f>SUMIF('A-3 On-Site Habitat Enhancement'!$S$12:$S$257,'G-2 Habitat groups'!A5,'A-3 On-Site Habitat Enhancement'!$AN$12:$AN$257)</f>
        <v>0</v>
      </c>
      <c r="O5" s="274">
        <f t="shared" si="1"/>
        <v>0</v>
      </c>
      <c r="P5" s="274">
        <f t="shared" si="2"/>
        <v>0</v>
      </c>
      <c r="Q5" s="274">
        <f t="shared" si="3"/>
        <v>0</v>
      </c>
      <c r="R5" s="274">
        <f t="shared" si="4"/>
        <v>0</v>
      </c>
      <c r="S5" s="274">
        <f>SUMIF('D-1 Off-Site Habitat Baseline'!$AV$11:$AV$258,'G-2 Habitat groups'!A5,'D-1 Off-Site Habitat Baseline'!$H$11:$H$258)</f>
        <v>0</v>
      </c>
      <c r="T5" s="274">
        <f>SUMIF('D-1 Off-Site Habitat Baseline'!$AV$11:$AV$258,'G-2 Habitat groups'!A5,'D-1 Off-Site Habitat Baseline'!$T$11:$T$258)</f>
        <v>0</v>
      </c>
      <c r="U5" s="274">
        <f>SUMIF('D-1 Off-Site Habitat Baseline'!$AV$11:$AV$258,'G-2 Habitat groups'!A5,'D-1 Off-Site Habitat Baseline'!$V$11:$V$258)</f>
        <v>0</v>
      </c>
      <c r="V5" s="274">
        <f>SUMIF('D-1 Off-Site Habitat Baseline'!$AV$11:$AV$258,'G-2 Habitat groups'!A5,'D-1 Off-Site Habitat Baseline'!$X$11:$X$258)+SUMIF('D-1 Off-Site Habitat Baseline'!$AV$11:$AV$258,'G-2 Habitat groups'!A5,'D-1 Off-Site Habitat Baseline'!$AS$11:$AS$258)</f>
        <v>0</v>
      </c>
      <c r="W5" s="274">
        <f>SUMIF('D-2 Off-Site Habitat Creation'!$F$9:$F$255,'G-2 Habitat groups'!A5,'D-2 Off-Site Habitat Creation'!$G$9:$G$255)</f>
        <v>0</v>
      </c>
      <c r="X5" s="274">
        <f>SUMIF('D-2 Off-Site Habitat Creation'!$F$9:$F$255,'G-2 Habitat groups'!A5,'D-2 Off-Site Habitat Creation'!$AB$9:$AB$255)</f>
        <v>0</v>
      </c>
      <c r="Y5" s="274">
        <f>SUMIF('D-3 Off-Site Habitat Enhancment'!$S$12:$S$491,'G-2 Habitat groups'!A5,'D-3 Off-Site Habitat Enhancment'!$V$12:$V$491)</f>
        <v>0</v>
      </c>
      <c r="Z5" s="274">
        <f>SUMIF('D-3 Off-Site Habitat Enhancment'!$S$12:$S$491,'G-2 Habitat groups'!A5,'D-3 Off-Site Habitat Enhancment'!$AQ$12:$AQ$491)</f>
        <v>0</v>
      </c>
      <c r="AA5" s="274">
        <f t="shared" si="5"/>
        <v>0</v>
      </c>
      <c r="AB5" s="274">
        <f t="shared" ref="AB5:AB34" si="14">V5+X5+Z5</f>
        <v>0</v>
      </c>
      <c r="AC5" s="274">
        <f t="shared" si="6"/>
        <v>0</v>
      </c>
      <c r="AD5" s="274">
        <f t="shared" ref="AD5:AD34" si="15">AB5-T5</f>
        <v>0</v>
      </c>
      <c r="AE5" s="274">
        <f t="shared" si="7"/>
        <v>0</v>
      </c>
      <c r="AF5" s="274">
        <f t="shared" ref="AF5:AF34" si="16">R5+AD5</f>
        <v>0</v>
      </c>
      <c r="AJ5" s="73" t="s">
        <v>78</v>
      </c>
      <c r="AK5" s="423">
        <f t="shared" si="8"/>
        <v>0.46379999999999999</v>
      </c>
      <c r="AL5" s="423">
        <f t="shared" si="9"/>
        <v>1.4588899999999998</v>
      </c>
      <c r="AM5" s="423">
        <f t="shared" si="10"/>
        <v>0.16689999999999999</v>
      </c>
      <c r="AN5" s="423">
        <f t="shared" si="11"/>
        <v>0.65982627699999996</v>
      </c>
      <c r="AO5" s="493">
        <f t="shared" si="12"/>
        <v>-0.29690000000000005</v>
      </c>
      <c r="AP5" s="493">
        <f t="shared" si="13"/>
        <v>-0.79906372299999995</v>
      </c>
      <c r="AU5" s="82" t="s">
        <v>663</v>
      </c>
      <c r="AV5" s="62" t="s">
        <v>78</v>
      </c>
      <c r="AW5" s="280">
        <f>VLOOKUP($AU5,AllHabsSummaryData,5,FALSE)</f>
        <v>0</v>
      </c>
      <c r="AX5" s="280">
        <f>VLOOKUP($AU5,AllHabsSummaryData,10,FALSE)</f>
        <v>0</v>
      </c>
      <c r="AY5" s="280">
        <f>VLOOKUP($AU5,AllHabsSummaryData,15,FALSE)</f>
        <v>0</v>
      </c>
      <c r="AZ5" s="280">
        <f>VLOOKUP($AU5,AllHabsSummaryData,16,FALSE)</f>
        <v>0</v>
      </c>
      <c r="BA5" s="280">
        <f>VLOOKUP($AU5,AllHabsSummaryData,17,FALSE)</f>
        <v>0</v>
      </c>
      <c r="BB5" s="280">
        <f>VLOOKUP($AU5,AllHabsSummaryData,18,FALSE)</f>
        <v>0</v>
      </c>
      <c r="BC5" s="280">
        <f>VLOOKUP($AU5,AllHabsSummaryData,27,FALSE)</f>
        <v>0</v>
      </c>
      <c r="BD5" s="280">
        <f>VLOOKUP($AU5,AllHabsSummaryData,30,FALSE)</f>
        <v>0</v>
      </c>
      <c r="BE5" s="280">
        <f>BB5+BD5</f>
        <v>0</v>
      </c>
      <c r="BF5" s="280" t="str">
        <f>IF(BE5&lt;0,BE5,"")</f>
        <v/>
      </c>
      <c r="BG5" s="280">
        <f t="shared" ref="BG5:BG24" si="17">VLOOKUP($AU5,AllHabsSummaryData,9,FALSE)</f>
        <v>0</v>
      </c>
    </row>
    <row r="6" spans="1:59" ht="14.7" customHeight="1" x14ac:dyDescent="0.25">
      <c r="A6" s="70" t="str">
        <f>'G-1 All Habitats'!B5</f>
        <v>Cropland - Arable field margins pollen and nectar</v>
      </c>
      <c r="B6" s="62" t="s">
        <v>147</v>
      </c>
      <c r="C6" s="62" t="str">
        <f>'G-1 All Habitats'!K5</f>
        <v>Medium</v>
      </c>
      <c r="D6" s="62" t="str">
        <f>'G-1 All Habitats'!M5</f>
        <v>Same broad habitat or a higher distinctiveness habitat required (≥)</v>
      </c>
      <c r="E6" s="274">
        <f>SUMIF('A-1 On-Site Habitat Baseline'!$AV$11:$AV$258,'G-2 Habitat groups'!A6,'A-1 On-Site Habitat Baseline'!$H$11:$H$258)</f>
        <v>0</v>
      </c>
      <c r="F6" s="274">
        <f>SUMIF('A-1 On-Site Habitat Baseline'!$AV$11:$AV$258,'G-2 Habitat groups'!A6,'A-1 On-Site Habitat Baseline'!$Q$11:$Q$258)</f>
        <v>0</v>
      </c>
      <c r="G6" s="274">
        <f>SUMIF('A-1 On-Site Habitat Baseline'!$AV$11:$AV$258,'G-2 Habitat groups'!A6,'A-1 On-Site Habitat Baseline'!$S$11:$S$258)</f>
        <v>0</v>
      </c>
      <c r="H6" s="274">
        <f>SUMIF('A-1 On-Site Habitat Baseline'!$AV$11:$AV$258,'G-2 Habitat groups'!A6,'A-1 On-Site Habitat Baseline'!$U$11:$U$258)+SUMIF('A-1 On-Site Habitat Baseline'!$AV$11:$AV$258,'G-2 Habitat groups'!A6, 'A-1 On-Site Habitat Baseline'!$AT$11:$AT$258)</f>
        <v>0</v>
      </c>
      <c r="I6" s="274">
        <f>SUMIF('A-1 On-Site Habitat Baseline'!$AV$11:$AV$258,'G-2 Habitat groups'!A6,'A-1 On-Site Habitat Baseline'!$W$11:$W$258)</f>
        <v>0</v>
      </c>
      <c r="J6" s="274">
        <f>SUMIF('A-1 On-Site Habitat Baseline'!$AV$11:$AV$258,'G-2 Habitat groups'!A6,'A-1 On-Site Habitat Baseline'!$X$11:$X$258)</f>
        <v>0</v>
      </c>
      <c r="K6" s="274">
        <f>SUMIF('A-2 On-Site Habitat Creation'!$F$11:$F$256,'G-2 Habitat groups'!A6,'A-2 On-Site Habitat Creation'!$G$11:$G$256)</f>
        <v>0</v>
      </c>
      <c r="L6" s="274">
        <f>SUMIF('A-2 On-Site Habitat Creation'!$F$11:$F$256,'G-2 Habitat groups'!A6,'A-2 On-Site Habitat Creation'!$Y$11:$Y$256)</f>
        <v>0</v>
      </c>
      <c r="M6" s="274">
        <f>SUMIF('A-3 On-Site Habitat Enhancement'!$S$12:$S$257,'G-2 Habitat groups'!A6,'A-3 On-Site Habitat Enhancement'!$V$12:$V$257)</f>
        <v>0</v>
      </c>
      <c r="N6" s="274">
        <f>SUMIF('A-3 On-Site Habitat Enhancement'!$S$12:$S$257,'G-2 Habitat groups'!A6,'A-3 On-Site Habitat Enhancement'!$AN$12:$AN$257)</f>
        <v>0</v>
      </c>
      <c r="O6" s="274">
        <f t="shared" si="1"/>
        <v>0</v>
      </c>
      <c r="P6" s="274">
        <f t="shared" si="2"/>
        <v>0</v>
      </c>
      <c r="Q6" s="274">
        <f t="shared" si="3"/>
        <v>0</v>
      </c>
      <c r="R6" s="274">
        <f t="shared" si="4"/>
        <v>0</v>
      </c>
      <c r="S6" s="274">
        <f>SUMIF('D-1 Off-Site Habitat Baseline'!$AV$11:$AV$258,'G-2 Habitat groups'!A6,'D-1 Off-Site Habitat Baseline'!$H$11:$H$258)</f>
        <v>0</v>
      </c>
      <c r="T6" s="274">
        <f>SUMIF('D-1 Off-Site Habitat Baseline'!$AV$11:$AV$258,'G-2 Habitat groups'!A6,'D-1 Off-Site Habitat Baseline'!$T$11:$T$258)</f>
        <v>0</v>
      </c>
      <c r="U6" s="274">
        <f>SUMIF('D-1 Off-Site Habitat Baseline'!$AV$11:$AV$258,'G-2 Habitat groups'!A6,'D-1 Off-Site Habitat Baseline'!$V$11:$V$258)</f>
        <v>0</v>
      </c>
      <c r="V6" s="274">
        <f>SUMIF('D-1 Off-Site Habitat Baseline'!$AV$11:$AV$258,'G-2 Habitat groups'!A6,'D-1 Off-Site Habitat Baseline'!$X$11:$X$258)+SUMIF('D-1 Off-Site Habitat Baseline'!$AV$11:$AV$258,'G-2 Habitat groups'!A6,'D-1 Off-Site Habitat Baseline'!$AS$11:$AS$258)</f>
        <v>0</v>
      </c>
      <c r="W6" s="274">
        <f>SUMIF('D-2 Off-Site Habitat Creation'!$F$9:$F$255,'G-2 Habitat groups'!A6,'D-2 Off-Site Habitat Creation'!$G$9:$G$255)</f>
        <v>0</v>
      </c>
      <c r="X6" s="274">
        <f>SUMIF('D-2 Off-Site Habitat Creation'!$F$9:$F$255,'G-2 Habitat groups'!A6,'D-2 Off-Site Habitat Creation'!$AB$9:$AB$255)</f>
        <v>0</v>
      </c>
      <c r="Y6" s="274">
        <f>SUMIF('D-3 Off-Site Habitat Enhancment'!$S$12:$S$491,'G-2 Habitat groups'!A6,'D-3 Off-Site Habitat Enhancment'!$V$12:$V$491)</f>
        <v>0</v>
      </c>
      <c r="Z6" s="274">
        <f>SUMIF('D-3 Off-Site Habitat Enhancment'!$S$12:$S$491,'G-2 Habitat groups'!A6,'D-3 Off-Site Habitat Enhancment'!$AQ$12:$AQ$491)</f>
        <v>0</v>
      </c>
      <c r="AA6" s="274">
        <f t="shared" si="5"/>
        <v>0</v>
      </c>
      <c r="AB6" s="274">
        <f t="shared" si="14"/>
        <v>0</v>
      </c>
      <c r="AC6" s="274">
        <f t="shared" si="6"/>
        <v>0</v>
      </c>
      <c r="AD6" s="274">
        <f t="shared" si="15"/>
        <v>0</v>
      </c>
      <c r="AE6" s="274">
        <f t="shared" si="7"/>
        <v>0</v>
      </c>
      <c r="AF6" s="274">
        <f t="shared" si="16"/>
        <v>0</v>
      </c>
      <c r="AJ6" s="73" t="s">
        <v>116</v>
      </c>
      <c r="AK6" s="423">
        <f t="shared" si="8"/>
        <v>0</v>
      </c>
      <c r="AL6" s="423">
        <f t="shared" si="9"/>
        <v>0</v>
      </c>
      <c r="AM6" s="423">
        <f t="shared" si="10"/>
        <v>2.98E-2</v>
      </c>
      <c r="AN6" s="423">
        <f t="shared" si="11"/>
        <v>0.13228219999999999</v>
      </c>
      <c r="AO6" s="493">
        <f t="shared" si="12"/>
        <v>2.98E-2</v>
      </c>
      <c r="AP6" s="493">
        <f t="shared" si="13"/>
        <v>0.13228219999999999</v>
      </c>
      <c r="AU6" s="82" t="s">
        <v>667</v>
      </c>
      <c r="AV6" s="62" t="s">
        <v>78</v>
      </c>
      <c r="AW6" s="280">
        <f>VLOOKUP($AU6,AllHabsSummaryData,5,FALSE)</f>
        <v>0</v>
      </c>
      <c r="AX6" s="280">
        <f>VLOOKUP($AU6,AllHabsSummaryData,10,FALSE)</f>
        <v>0</v>
      </c>
      <c r="AY6" s="280">
        <f>VLOOKUP($AU6,AllHabsSummaryData,15,FALSE)</f>
        <v>0</v>
      </c>
      <c r="AZ6" s="280">
        <f>VLOOKUP($AU6,AllHabsSummaryData,16,FALSE)</f>
        <v>0</v>
      </c>
      <c r="BA6" s="280">
        <f>VLOOKUP($AU6,AllHabsSummaryData,17,FALSE)</f>
        <v>0</v>
      </c>
      <c r="BB6" s="280">
        <f>VLOOKUP($AU6,AllHabsSummaryData,18,FALSE)</f>
        <v>0</v>
      </c>
      <c r="BC6" s="280">
        <f>VLOOKUP($AU6,AllHabsSummaryData,27,FALSE)</f>
        <v>0</v>
      </c>
      <c r="BD6" s="280">
        <f>VLOOKUP($AU6,AllHabsSummaryData,30,FALSE)</f>
        <v>0</v>
      </c>
      <c r="BE6" s="280">
        <f>BB6+BD6</f>
        <v>0</v>
      </c>
      <c r="BF6" s="280" t="str">
        <f>IF(BE6&lt;0,BE6,"")</f>
        <v/>
      </c>
      <c r="BG6" s="280">
        <f t="shared" si="17"/>
        <v>0</v>
      </c>
    </row>
    <row r="7" spans="1:59" ht="14.7" customHeight="1" x14ac:dyDescent="0.25">
      <c r="A7" s="70" t="str">
        <f>'G-1 All Habitats'!B6</f>
        <v>Cropland - Arable field margins tussocky</v>
      </c>
      <c r="B7" s="62" t="s">
        <v>147</v>
      </c>
      <c r="C7" s="62" t="str">
        <f>'G-1 All Habitats'!K6</f>
        <v>Medium</v>
      </c>
      <c r="D7" s="62" t="str">
        <f>'G-1 All Habitats'!M6</f>
        <v>Same broad habitat or a higher distinctiveness habitat required (≥)</v>
      </c>
      <c r="E7" s="274">
        <f>SUMIF('A-1 On-Site Habitat Baseline'!$AV$11:$AV$258,'G-2 Habitat groups'!A7,'A-1 On-Site Habitat Baseline'!$H$11:$H$258)</f>
        <v>0</v>
      </c>
      <c r="F7" s="274">
        <f>SUMIF('A-1 On-Site Habitat Baseline'!$AV$11:$AV$258,'G-2 Habitat groups'!A7,'A-1 On-Site Habitat Baseline'!$Q$11:$Q$258)</f>
        <v>0</v>
      </c>
      <c r="G7" s="274">
        <f>SUMIF('A-1 On-Site Habitat Baseline'!$AV$11:$AV$258,'G-2 Habitat groups'!A7,'A-1 On-Site Habitat Baseline'!$S$11:$S$258)</f>
        <v>0</v>
      </c>
      <c r="H7" s="274">
        <f>SUMIF('A-1 On-Site Habitat Baseline'!$AV$11:$AV$258,'G-2 Habitat groups'!A7,'A-1 On-Site Habitat Baseline'!$U$11:$U$258)+SUMIF('A-1 On-Site Habitat Baseline'!$AV$11:$AV$258,'G-2 Habitat groups'!A7, 'A-1 On-Site Habitat Baseline'!$AT$11:$AT$258)</f>
        <v>0</v>
      </c>
      <c r="I7" s="274">
        <f>SUMIF('A-1 On-Site Habitat Baseline'!$AV$11:$AV$258,'G-2 Habitat groups'!A7,'A-1 On-Site Habitat Baseline'!$W$11:$W$258)</f>
        <v>0</v>
      </c>
      <c r="J7" s="274">
        <f>SUMIF('A-1 On-Site Habitat Baseline'!$AV$11:$AV$258,'G-2 Habitat groups'!A7,'A-1 On-Site Habitat Baseline'!$X$11:$X$258)</f>
        <v>0</v>
      </c>
      <c r="K7" s="274">
        <f>SUMIF('A-2 On-Site Habitat Creation'!$F$11:$F$256,'G-2 Habitat groups'!A7,'A-2 On-Site Habitat Creation'!$G$11:$G$256)</f>
        <v>0</v>
      </c>
      <c r="L7" s="274">
        <f>SUMIF('A-2 On-Site Habitat Creation'!$F$11:$F$256,'G-2 Habitat groups'!A7,'A-2 On-Site Habitat Creation'!$Y$11:$Y$256)</f>
        <v>0</v>
      </c>
      <c r="M7" s="274">
        <f>SUMIF('A-3 On-Site Habitat Enhancement'!$S$12:$S$257,'G-2 Habitat groups'!A7,'A-3 On-Site Habitat Enhancement'!$V$12:$V$257)</f>
        <v>0</v>
      </c>
      <c r="N7" s="274">
        <f>SUMIF('A-3 On-Site Habitat Enhancement'!$S$12:$S$257,'G-2 Habitat groups'!A7,'A-3 On-Site Habitat Enhancement'!$AN$12:$AN$257)</f>
        <v>0</v>
      </c>
      <c r="O7" s="274">
        <f t="shared" si="1"/>
        <v>0</v>
      </c>
      <c r="P7" s="274">
        <f t="shared" si="2"/>
        <v>0</v>
      </c>
      <c r="Q7" s="274">
        <f t="shared" si="3"/>
        <v>0</v>
      </c>
      <c r="R7" s="274">
        <f t="shared" si="4"/>
        <v>0</v>
      </c>
      <c r="S7" s="274">
        <f>SUMIF('D-1 Off-Site Habitat Baseline'!$AV$11:$AV$258,'G-2 Habitat groups'!A7,'D-1 Off-Site Habitat Baseline'!$H$11:$H$258)</f>
        <v>0</v>
      </c>
      <c r="T7" s="274">
        <f>SUMIF('D-1 Off-Site Habitat Baseline'!$AV$11:$AV$258,'G-2 Habitat groups'!A7,'D-1 Off-Site Habitat Baseline'!$T$11:$T$258)</f>
        <v>0</v>
      </c>
      <c r="U7" s="274">
        <f>SUMIF('D-1 Off-Site Habitat Baseline'!$AV$11:$AV$258,'G-2 Habitat groups'!A7,'D-1 Off-Site Habitat Baseline'!$V$11:$V$258)</f>
        <v>0</v>
      </c>
      <c r="V7" s="274">
        <f>SUMIF('D-1 Off-Site Habitat Baseline'!$AV$11:$AV$258,'G-2 Habitat groups'!A7,'D-1 Off-Site Habitat Baseline'!$X$11:$X$258)+SUMIF('D-1 Off-Site Habitat Baseline'!$AV$11:$AV$258,'G-2 Habitat groups'!A7,'D-1 Off-Site Habitat Baseline'!$AS$11:$AS$258)</f>
        <v>0</v>
      </c>
      <c r="W7" s="274">
        <f>SUMIF('D-2 Off-Site Habitat Creation'!$F$9:$F$255,'G-2 Habitat groups'!A7,'D-2 Off-Site Habitat Creation'!$G$9:$G$255)</f>
        <v>0</v>
      </c>
      <c r="X7" s="274">
        <f>SUMIF('D-2 Off-Site Habitat Creation'!$F$9:$F$255,'G-2 Habitat groups'!A7,'D-2 Off-Site Habitat Creation'!$AB$9:$AB$255)</f>
        <v>0</v>
      </c>
      <c r="Y7" s="274">
        <f>SUMIF('D-3 Off-Site Habitat Enhancment'!$S$12:$S$491,'G-2 Habitat groups'!A7,'D-3 Off-Site Habitat Enhancment'!$V$12:$V$491)</f>
        <v>0</v>
      </c>
      <c r="Z7" s="274">
        <f>SUMIF('D-3 Off-Site Habitat Enhancment'!$S$12:$S$491,'G-2 Habitat groups'!A7,'D-3 Off-Site Habitat Enhancment'!$AQ$12:$AQ$491)</f>
        <v>0</v>
      </c>
      <c r="AA7" s="274">
        <f t="shared" si="5"/>
        <v>0</v>
      </c>
      <c r="AB7" s="274">
        <f t="shared" si="14"/>
        <v>0</v>
      </c>
      <c r="AC7" s="274">
        <f t="shared" si="6"/>
        <v>0</v>
      </c>
      <c r="AD7" s="274">
        <f t="shared" si="15"/>
        <v>0</v>
      </c>
      <c r="AE7" s="274">
        <f t="shared" si="7"/>
        <v>0</v>
      </c>
      <c r="AF7" s="274">
        <f t="shared" si="16"/>
        <v>0</v>
      </c>
      <c r="AJ7" s="73" t="s">
        <v>72</v>
      </c>
      <c r="AK7" s="423">
        <f t="shared" si="8"/>
        <v>0</v>
      </c>
      <c r="AL7" s="423">
        <f t="shared" si="9"/>
        <v>0</v>
      </c>
      <c r="AM7" s="423">
        <f t="shared" si="10"/>
        <v>0</v>
      </c>
      <c r="AN7" s="423">
        <f t="shared" si="11"/>
        <v>0</v>
      </c>
      <c r="AO7" s="493">
        <f t="shared" si="12"/>
        <v>0</v>
      </c>
      <c r="AP7" s="493">
        <f t="shared" si="13"/>
        <v>0</v>
      </c>
      <c r="AU7" s="82" t="s">
        <v>694</v>
      </c>
      <c r="AV7" s="62" t="s">
        <v>78</v>
      </c>
      <c r="AW7" s="280">
        <f>VLOOKUP($AU7,AllHabsSummaryData,5,FALSE)</f>
        <v>0</v>
      </c>
      <c r="AX7" s="280">
        <f>VLOOKUP($AU7,AllHabsSummaryData,10,FALSE)</f>
        <v>0</v>
      </c>
      <c r="AY7" s="280">
        <f>VLOOKUP($AU7,AllHabsSummaryData,15,FALSE)</f>
        <v>0</v>
      </c>
      <c r="AZ7" s="280">
        <f>VLOOKUP($AU7,AllHabsSummaryData,16,FALSE)</f>
        <v>0</v>
      </c>
      <c r="BA7" s="280">
        <f>VLOOKUP($AU7,AllHabsSummaryData,17,FALSE)</f>
        <v>0</v>
      </c>
      <c r="BB7" s="280">
        <f>VLOOKUP($AU7,AllHabsSummaryData,18,FALSE)</f>
        <v>0</v>
      </c>
      <c r="BC7" s="280">
        <f>VLOOKUP($AU7,AllHabsSummaryData,27,FALSE)</f>
        <v>0</v>
      </c>
      <c r="BD7" s="280">
        <f>VLOOKUP($AU7,AllHabsSummaryData,30,FALSE)</f>
        <v>0</v>
      </c>
      <c r="BE7" s="280">
        <f>BB7+BD7</f>
        <v>0</v>
      </c>
      <c r="BF7" s="280" t="str">
        <f>IF(BE7&lt;0,BE7,"")</f>
        <v/>
      </c>
      <c r="BG7" s="280">
        <f t="shared" si="17"/>
        <v>0</v>
      </c>
    </row>
    <row r="8" spans="1:59" ht="14.7" customHeight="1" x14ac:dyDescent="0.25">
      <c r="A8" s="70" t="str">
        <f>'G-1 All Habitats'!B7</f>
        <v>Cropland - Cereal crops</v>
      </c>
      <c r="B8" s="62" t="s">
        <v>147</v>
      </c>
      <c r="C8" s="62" t="str">
        <f>'G-1 All Habitats'!K7</f>
        <v>Low</v>
      </c>
      <c r="D8" s="62" t="str">
        <f>'G-1 All Habitats'!M7</f>
        <v>Same distinctiveness or better habitat required ≥</v>
      </c>
      <c r="E8" s="274">
        <f>SUMIF('A-1 On-Site Habitat Baseline'!$AV$11:$AV$258,'G-2 Habitat groups'!A8,'A-1 On-Site Habitat Baseline'!$H$11:$H$258)</f>
        <v>0</v>
      </c>
      <c r="F8" s="274">
        <f>SUMIF('A-1 On-Site Habitat Baseline'!$AV$11:$AV$258,'G-2 Habitat groups'!A8,'A-1 On-Site Habitat Baseline'!$Q$11:$Q$258)</f>
        <v>0</v>
      </c>
      <c r="G8" s="274">
        <f>SUMIF('A-1 On-Site Habitat Baseline'!$AV$11:$AV$258,'G-2 Habitat groups'!A8,'A-1 On-Site Habitat Baseline'!$S$11:$S$258)</f>
        <v>0</v>
      </c>
      <c r="H8" s="274">
        <f>SUMIF('A-1 On-Site Habitat Baseline'!$AV$11:$AV$258,'G-2 Habitat groups'!A8,'A-1 On-Site Habitat Baseline'!$U$11:$U$258)+SUMIF('A-1 On-Site Habitat Baseline'!$AV$11:$AV$258,'G-2 Habitat groups'!A8, 'A-1 On-Site Habitat Baseline'!$AT$11:$AT$258)</f>
        <v>0</v>
      </c>
      <c r="I8" s="274">
        <f>SUMIF('A-1 On-Site Habitat Baseline'!$AV$11:$AV$258,'G-2 Habitat groups'!A8,'A-1 On-Site Habitat Baseline'!$W$11:$W$258)</f>
        <v>0</v>
      </c>
      <c r="J8" s="274">
        <f>SUMIF('A-1 On-Site Habitat Baseline'!$AV$11:$AV$258,'G-2 Habitat groups'!A8,'A-1 On-Site Habitat Baseline'!$X$11:$X$258)</f>
        <v>0</v>
      </c>
      <c r="K8" s="274">
        <f>SUMIF('A-2 On-Site Habitat Creation'!$F$11:$F$256,'G-2 Habitat groups'!A8,'A-2 On-Site Habitat Creation'!$G$11:$G$256)</f>
        <v>0</v>
      </c>
      <c r="L8" s="274">
        <f>SUMIF('A-2 On-Site Habitat Creation'!$F$11:$F$256,'G-2 Habitat groups'!A8,'A-2 On-Site Habitat Creation'!$Y$11:$Y$256)</f>
        <v>0</v>
      </c>
      <c r="M8" s="274">
        <f>SUMIF('A-3 On-Site Habitat Enhancement'!$S$12:$S$257,'G-2 Habitat groups'!A8,'A-3 On-Site Habitat Enhancement'!$V$12:$V$257)</f>
        <v>0</v>
      </c>
      <c r="N8" s="274">
        <f>SUMIF('A-3 On-Site Habitat Enhancement'!$S$12:$S$257,'G-2 Habitat groups'!A8,'A-3 On-Site Habitat Enhancement'!$AN$12:$AN$257)</f>
        <v>0</v>
      </c>
      <c r="O8" s="274">
        <f t="shared" si="1"/>
        <v>0</v>
      </c>
      <c r="P8" s="274">
        <f t="shared" si="2"/>
        <v>0</v>
      </c>
      <c r="Q8" s="274">
        <f t="shared" si="3"/>
        <v>0</v>
      </c>
      <c r="R8" s="274">
        <f t="shared" si="4"/>
        <v>0</v>
      </c>
      <c r="S8" s="274">
        <f>SUMIF('D-1 Off-Site Habitat Baseline'!$AV$11:$AV$258,'G-2 Habitat groups'!A8,'D-1 Off-Site Habitat Baseline'!$H$11:$H$258)</f>
        <v>0</v>
      </c>
      <c r="T8" s="274">
        <f>SUMIF('D-1 Off-Site Habitat Baseline'!$AV$11:$AV$258,'G-2 Habitat groups'!A8,'D-1 Off-Site Habitat Baseline'!$T$11:$T$258)</f>
        <v>0</v>
      </c>
      <c r="U8" s="274">
        <f>SUMIF('D-1 Off-Site Habitat Baseline'!$AV$11:$AV$258,'G-2 Habitat groups'!A8,'D-1 Off-Site Habitat Baseline'!$V$11:$V$258)</f>
        <v>0</v>
      </c>
      <c r="V8" s="274">
        <f>SUMIF('D-1 Off-Site Habitat Baseline'!$AV$11:$AV$258,'G-2 Habitat groups'!A8,'D-1 Off-Site Habitat Baseline'!$X$11:$X$258)+SUMIF('D-1 Off-Site Habitat Baseline'!$AV$11:$AV$258,'G-2 Habitat groups'!A8,'D-1 Off-Site Habitat Baseline'!$AS$11:$AS$258)</f>
        <v>0</v>
      </c>
      <c r="W8" s="274">
        <f>SUMIF('D-2 Off-Site Habitat Creation'!$F$9:$F$255,'G-2 Habitat groups'!A8,'D-2 Off-Site Habitat Creation'!$G$9:$G$255)</f>
        <v>0</v>
      </c>
      <c r="X8" s="274">
        <f>SUMIF('D-2 Off-Site Habitat Creation'!$F$9:$F$255,'G-2 Habitat groups'!A8,'D-2 Off-Site Habitat Creation'!$AB$9:$AB$255)</f>
        <v>0</v>
      </c>
      <c r="Y8" s="274">
        <f>SUMIF('D-3 Off-Site Habitat Enhancment'!$S$12:$S$491,'G-2 Habitat groups'!A8,'D-3 Off-Site Habitat Enhancment'!$V$12:$V$491)</f>
        <v>0</v>
      </c>
      <c r="Z8" s="274">
        <f>SUMIF('D-3 Off-Site Habitat Enhancment'!$S$12:$S$491,'G-2 Habitat groups'!A8,'D-3 Off-Site Habitat Enhancment'!$AQ$12:$AQ$491)</f>
        <v>0</v>
      </c>
      <c r="AA8" s="274">
        <f t="shared" si="5"/>
        <v>0</v>
      </c>
      <c r="AB8" s="274">
        <f t="shared" si="14"/>
        <v>0</v>
      </c>
      <c r="AC8" s="274">
        <f t="shared" si="6"/>
        <v>0</v>
      </c>
      <c r="AD8" s="274">
        <f t="shared" si="15"/>
        <v>0</v>
      </c>
      <c r="AE8" s="274">
        <f t="shared" si="7"/>
        <v>0</v>
      </c>
      <c r="AF8" s="274">
        <f t="shared" si="16"/>
        <v>0</v>
      </c>
      <c r="AJ8" s="74" t="s">
        <v>82</v>
      </c>
      <c r="AK8" s="423">
        <f t="shared" si="8"/>
        <v>7.5999999999999998E-2</v>
      </c>
      <c r="AL8" s="423">
        <f t="shared" si="9"/>
        <v>0.17479999999999998</v>
      </c>
      <c r="AM8" s="423">
        <f t="shared" si="10"/>
        <v>2.1499999999999998E-2</v>
      </c>
      <c r="AN8" s="423">
        <f t="shared" si="11"/>
        <v>4.9449999999999994E-2</v>
      </c>
      <c r="AO8" s="493">
        <f t="shared" si="12"/>
        <v>-5.45E-2</v>
      </c>
      <c r="AP8" s="493">
        <f t="shared" si="13"/>
        <v>-0.12534999999999999</v>
      </c>
      <c r="AU8" s="82" t="s">
        <v>724</v>
      </c>
      <c r="AV8" s="62" t="s">
        <v>116</v>
      </c>
      <c r="AW8" s="280">
        <f>VLOOKUP($AU8,AllHabsSummaryData,5,FALSE)</f>
        <v>0</v>
      </c>
      <c r="AX8" s="280">
        <f>VLOOKUP($AU8,AllHabsSummaryData,10,FALSE)</f>
        <v>0</v>
      </c>
      <c r="AY8" s="280">
        <f>VLOOKUP($AU8,AllHabsSummaryData,15,FALSE)</f>
        <v>0</v>
      </c>
      <c r="AZ8" s="280">
        <f>VLOOKUP($AU8,AllHabsSummaryData,16,FALSE)</f>
        <v>0</v>
      </c>
      <c r="BA8" s="280">
        <f>VLOOKUP($AU8,AllHabsSummaryData,17,FALSE)</f>
        <v>0</v>
      </c>
      <c r="BB8" s="280">
        <f>VLOOKUP($AU8,AllHabsSummaryData,18,FALSE)</f>
        <v>0</v>
      </c>
      <c r="BC8" s="280">
        <f>VLOOKUP($AU8,AllHabsSummaryData,27,FALSE)</f>
        <v>0</v>
      </c>
      <c r="BD8" s="280">
        <f>VLOOKUP($AU8,AllHabsSummaryData,30,FALSE)</f>
        <v>0</v>
      </c>
      <c r="BE8" s="280">
        <f>BB8+BD8</f>
        <v>0</v>
      </c>
      <c r="BF8" s="280" t="str">
        <f>IF(BE8&lt;0,BE8,"")</f>
        <v/>
      </c>
      <c r="BG8" s="280">
        <f t="shared" si="17"/>
        <v>0</v>
      </c>
    </row>
    <row r="9" spans="1:59" ht="14.7" customHeight="1" x14ac:dyDescent="0.25">
      <c r="A9" s="70" t="str">
        <f>'G-1 All Habitats'!B8</f>
        <v>Cropland - Winter stubble</v>
      </c>
      <c r="B9" s="62" t="s">
        <v>147</v>
      </c>
      <c r="C9" s="62" t="str">
        <f>'G-1 All Habitats'!K8</f>
        <v>Low</v>
      </c>
      <c r="D9" s="62" t="str">
        <f>'G-1 All Habitats'!M8</f>
        <v>Same distinctiveness or better habitat required ≥</v>
      </c>
      <c r="E9" s="274">
        <f>SUMIF('A-1 On-Site Habitat Baseline'!$AV$11:$AV$258,'G-2 Habitat groups'!A9,'A-1 On-Site Habitat Baseline'!$H$11:$H$258)</f>
        <v>0</v>
      </c>
      <c r="F9" s="274">
        <f>SUMIF('A-1 On-Site Habitat Baseline'!$AV$11:$AV$258,'G-2 Habitat groups'!A9,'A-1 On-Site Habitat Baseline'!$Q$11:$Q$258)</f>
        <v>0</v>
      </c>
      <c r="G9" s="274">
        <f>SUMIF('A-1 On-Site Habitat Baseline'!$AV$11:$AV$258,'G-2 Habitat groups'!A9,'A-1 On-Site Habitat Baseline'!$S$11:$S$258)</f>
        <v>0</v>
      </c>
      <c r="H9" s="274">
        <f>SUMIF('A-1 On-Site Habitat Baseline'!$AV$11:$AV$258,'G-2 Habitat groups'!A9,'A-1 On-Site Habitat Baseline'!$U$11:$U$258)+SUMIF('A-1 On-Site Habitat Baseline'!$AV$11:$AV$258,'G-2 Habitat groups'!A9, 'A-1 On-Site Habitat Baseline'!$AT$11:$AT$258)</f>
        <v>0</v>
      </c>
      <c r="I9" s="274">
        <f>SUMIF('A-1 On-Site Habitat Baseline'!$AV$11:$AV$258,'G-2 Habitat groups'!A9,'A-1 On-Site Habitat Baseline'!$W$11:$W$258)</f>
        <v>0</v>
      </c>
      <c r="J9" s="274">
        <f>SUMIF('A-1 On-Site Habitat Baseline'!$AV$11:$AV$258,'G-2 Habitat groups'!A9,'A-1 On-Site Habitat Baseline'!$X$11:$X$258)</f>
        <v>0</v>
      </c>
      <c r="K9" s="274">
        <f>SUMIF('A-2 On-Site Habitat Creation'!$F$11:$F$256,'G-2 Habitat groups'!A9,'A-2 On-Site Habitat Creation'!$G$11:$G$256)</f>
        <v>0</v>
      </c>
      <c r="L9" s="274">
        <f>SUMIF('A-2 On-Site Habitat Creation'!$F$11:$F$256,'G-2 Habitat groups'!A9,'A-2 On-Site Habitat Creation'!$Y$11:$Y$256)</f>
        <v>0</v>
      </c>
      <c r="M9" s="274">
        <f>SUMIF('A-3 On-Site Habitat Enhancement'!$S$12:$S$257,'G-2 Habitat groups'!A9,'A-3 On-Site Habitat Enhancement'!$V$12:$V$257)</f>
        <v>0</v>
      </c>
      <c r="N9" s="274">
        <f>SUMIF('A-3 On-Site Habitat Enhancement'!$S$12:$S$257,'G-2 Habitat groups'!A9,'A-3 On-Site Habitat Enhancement'!$AN$12:$AN$257)</f>
        <v>0</v>
      </c>
      <c r="O9" s="274">
        <f t="shared" si="1"/>
        <v>0</v>
      </c>
      <c r="P9" s="274">
        <f t="shared" si="2"/>
        <v>0</v>
      </c>
      <c r="Q9" s="274">
        <f t="shared" si="3"/>
        <v>0</v>
      </c>
      <c r="R9" s="274">
        <f t="shared" si="4"/>
        <v>0</v>
      </c>
      <c r="S9" s="274">
        <f>SUMIF('D-1 Off-Site Habitat Baseline'!$AV$11:$AV$258,'G-2 Habitat groups'!A9,'D-1 Off-Site Habitat Baseline'!$H$11:$H$258)</f>
        <v>0</v>
      </c>
      <c r="T9" s="274">
        <f>SUMIF('D-1 Off-Site Habitat Baseline'!$AV$11:$AV$258,'G-2 Habitat groups'!A9,'D-1 Off-Site Habitat Baseline'!$T$11:$T$258)</f>
        <v>0</v>
      </c>
      <c r="U9" s="274">
        <f>SUMIF('D-1 Off-Site Habitat Baseline'!$AV$11:$AV$258,'G-2 Habitat groups'!A9,'D-1 Off-Site Habitat Baseline'!$V$11:$V$258)</f>
        <v>0</v>
      </c>
      <c r="V9" s="274">
        <f>SUMIF('D-1 Off-Site Habitat Baseline'!$AV$11:$AV$258,'G-2 Habitat groups'!A9,'D-1 Off-Site Habitat Baseline'!$X$11:$X$258)+SUMIF('D-1 Off-Site Habitat Baseline'!$AV$11:$AV$258,'G-2 Habitat groups'!A9,'D-1 Off-Site Habitat Baseline'!$AS$11:$AS$258)</f>
        <v>0</v>
      </c>
      <c r="W9" s="274">
        <f>SUMIF('D-2 Off-Site Habitat Creation'!$F$9:$F$255,'G-2 Habitat groups'!A9,'D-2 Off-Site Habitat Creation'!$G$9:$G$255)</f>
        <v>0</v>
      </c>
      <c r="X9" s="274">
        <f>SUMIF('D-2 Off-Site Habitat Creation'!$F$9:$F$255,'G-2 Habitat groups'!A9,'D-2 Off-Site Habitat Creation'!$AB$9:$AB$255)</f>
        <v>0</v>
      </c>
      <c r="Y9" s="274">
        <f>SUMIF('D-3 Off-Site Habitat Enhancment'!$S$12:$S$491,'G-2 Habitat groups'!A9,'D-3 Off-Site Habitat Enhancment'!$V$12:$V$491)</f>
        <v>0</v>
      </c>
      <c r="Z9" s="274">
        <f>SUMIF('D-3 Off-Site Habitat Enhancment'!$S$12:$S$491,'G-2 Habitat groups'!A9,'D-3 Off-Site Habitat Enhancment'!$AQ$12:$AQ$491)</f>
        <v>0</v>
      </c>
      <c r="AA9" s="274">
        <f t="shared" si="5"/>
        <v>0</v>
      </c>
      <c r="AB9" s="274">
        <f t="shared" si="14"/>
        <v>0</v>
      </c>
      <c r="AC9" s="274">
        <f t="shared" si="6"/>
        <v>0</v>
      </c>
      <c r="AD9" s="274">
        <f t="shared" si="15"/>
        <v>0</v>
      </c>
      <c r="AE9" s="274">
        <f t="shared" si="7"/>
        <v>0</v>
      </c>
      <c r="AF9" s="274">
        <f t="shared" si="16"/>
        <v>0</v>
      </c>
      <c r="AJ9" s="73" t="s">
        <v>120</v>
      </c>
      <c r="AK9" s="423">
        <f>SUMIF($B:$B,$AJ9,E:E)</f>
        <v>7.8000000000000014E-2</v>
      </c>
      <c r="AL9" s="423">
        <f t="shared" si="9"/>
        <v>7.6359999999999997E-2</v>
      </c>
      <c r="AM9" s="423">
        <f t="shared" si="10"/>
        <v>0.39960000000000007</v>
      </c>
      <c r="AN9" s="423">
        <f t="shared" si="11"/>
        <v>0.19772405762249998</v>
      </c>
      <c r="AO9" s="493">
        <f t="shared" si="12"/>
        <v>0.32160000000000005</v>
      </c>
      <c r="AP9" s="493">
        <f t="shared" si="13"/>
        <v>0.12136405762249998</v>
      </c>
      <c r="AU9" s="82" t="s">
        <v>745</v>
      </c>
      <c r="AV9" s="62" t="s">
        <v>72</v>
      </c>
      <c r="AW9" s="280">
        <f t="shared" ref="AW9:AW24" si="18">VLOOKUP($AU9,AllHabsSummaryData,5,FALSE)</f>
        <v>0</v>
      </c>
      <c r="AX9" s="280">
        <f t="shared" ref="AX9:AX24" si="19">VLOOKUP($AU9,AllHabsSummaryData,10,FALSE)</f>
        <v>0</v>
      </c>
      <c r="AY9" s="280">
        <f t="shared" ref="AY9:AY24" si="20">VLOOKUP($AU9,AllHabsSummaryData,15,FALSE)</f>
        <v>0</v>
      </c>
      <c r="AZ9" s="280">
        <f t="shared" ref="AZ9:AZ24" si="21">VLOOKUP($AU9,AllHabsSummaryData,16,FALSE)</f>
        <v>0</v>
      </c>
      <c r="BA9" s="280">
        <f t="shared" ref="BA9:BA24" si="22">VLOOKUP($AU9,AllHabsSummaryData,17,FALSE)</f>
        <v>0</v>
      </c>
      <c r="BB9" s="280">
        <f t="shared" ref="BB9:BB24" si="23">VLOOKUP($AU9,AllHabsSummaryData,18,FALSE)</f>
        <v>0</v>
      </c>
      <c r="BC9" s="280">
        <f t="shared" ref="BC9:BC24" si="24">VLOOKUP($AU9,AllHabsSummaryData,27,FALSE)</f>
        <v>0</v>
      </c>
      <c r="BD9" s="280">
        <f t="shared" ref="BD9:BD24" si="25">VLOOKUP($AU9,AllHabsSummaryData,30,FALSE)</f>
        <v>0</v>
      </c>
      <c r="BE9" s="280">
        <f t="shared" ref="BE9:BE24" si="26">BB9+BD9</f>
        <v>0</v>
      </c>
      <c r="BF9" s="280" t="str">
        <f t="shared" ref="BF9:BF24" si="27">IF(BE9&lt;0,BE9,"")</f>
        <v/>
      </c>
      <c r="BG9" s="280">
        <f t="shared" si="17"/>
        <v>0</v>
      </c>
    </row>
    <row r="10" spans="1:59" ht="15" customHeight="1" x14ac:dyDescent="0.25">
      <c r="A10" s="70" t="str">
        <f>'G-1 All Habitats'!B9</f>
        <v>Cropland - Horticulture</v>
      </c>
      <c r="B10" s="62" t="s">
        <v>147</v>
      </c>
      <c r="C10" s="62" t="str">
        <f>'G-1 All Habitats'!K9</f>
        <v>Low</v>
      </c>
      <c r="D10" s="62" t="str">
        <f>'G-1 All Habitats'!M9</f>
        <v>Same distinctiveness or better habitat required ≥</v>
      </c>
      <c r="E10" s="274">
        <f>SUMIF('A-1 On-Site Habitat Baseline'!$AV$11:$AV$258,'G-2 Habitat groups'!A10,'A-1 On-Site Habitat Baseline'!$H$11:$H$258)</f>
        <v>0</v>
      </c>
      <c r="F10" s="274">
        <f>SUMIF('A-1 On-Site Habitat Baseline'!$AV$11:$AV$258,'G-2 Habitat groups'!A10,'A-1 On-Site Habitat Baseline'!$Q$11:$Q$258)</f>
        <v>0</v>
      </c>
      <c r="G10" s="274">
        <f>SUMIF('A-1 On-Site Habitat Baseline'!$AV$11:$AV$258,'G-2 Habitat groups'!A10,'A-1 On-Site Habitat Baseline'!$S$11:$S$258)</f>
        <v>0</v>
      </c>
      <c r="H10" s="274">
        <f>SUMIF('A-1 On-Site Habitat Baseline'!$AV$11:$AV$258,'G-2 Habitat groups'!A10,'A-1 On-Site Habitat Baseline'!$U$11:$U$258)+SUMIF('A-1 On-Site Habitat Baseline'!$AV$11:$AV$258,'G-2 Habitat groups'!A10, 'A-1 On-Site Habitat Baseline'!$AT$11:$AT$258)</f>
        <v>0</v>
      </c>
      <c r="I10" s="274">
        <f>SUMIF('A-1 On-Site Habitat Baseline'!$AV$11:$AV$258,'G-2 Habitat groups'!A10,'A-1 On-Site Habitat Baseline'!$W$11:$W$258)</f>
        <v>0</v>
      </c>
      <c r="J10" s="274">
        <f>SUMIF('A-1 On-Site Habitat Baseline'!$AV$11:$AV$258,'G-2 Habitat groups'!A10,'A-1 On-Site Habitat Baseline'!$X$11:$X$258)</f>
        <v>0</v>
      </c>
      <c r="K10" s="274">
        <f>SUMIF('A-2 On-Site Habitat Creation'!$F$11:$F$256,'G-2 Habitat groups'!A10,'A-2 On-Site Habitat Creation'!$G$11:$G$256)</f>
        <v>0</v>
      </c>
      <c r="L10" s="274">
        <f>SUMIF('A-2 On-Site Habitat Creation'!$F$11:$F$256,'G-2 Habitat groups'!A10,'A-2 On-Site Habitat Creation'!$Y$11:$Y$256)</f>
        <v>0</v>
      </c>
      <c r="M10" s="274">
        <f>SUMIF('A-3 On-Site Habitat Enhancement'!$S$12:$S$257,'G-2 Habitat groups'!A10,'A-3 On-Site Habitat Enhancement'!$V$12:$V$257)</f>
        <v>0</v>
      </c>
      <c r="N10" s="274">
        <f>SUMIF('A-3 On-Site Habitat Enhancement'!$S$12:$S$257,'G-2 Habitat groups'!A10,'A-3 On-Site Habitat Enhancement'!$AN$12:$AN$257)</f>
        <v>0</v>
      </c>
      <c r="O10" s="274">
        <f t="shared" si="1"/>
        <v>0</v>
      </c>
      <c r="P10" s="274">
        <f t="shared" si="2"/>
        <v>0</v>
      </c>
      <c r="Q10" s="274">
        <f t="shared" si="3"/>
        <v>0</v>
      </c>
      <c r="R10" s="274">
        <f t="shared" si="4"/>
        <v>0</v>
      </c>
      <c r="S10" s="274">
        <f>SUMIF('D-1 Off-Site Habitat Baseline'!$AV$11:$AV$258,'G-2 Habitat groups'!A10,'D-1 Off-Site Habitat Baseline'!$H$11:$H$258)</f>
        <v>0</v>
      </c>
      <c r="T10" s="274">
        <f>SUMIF('D-1 Off-Site Habitat Baseline'!$AV$11:$AV$258,'G-2 Habitat groups'!A10,'D-1 Off-Site Habitat Baseline'!$T$11:$T$258)</f>
        <v>0</v>
      </c>
      <c r="U10" s="274">
        <f>SUMIF('D-1 Off-Site Habitat Baseline'!$AV$11:$AV$258,'G-2 Habitat groups'!A10,'D-1 Off-Site Habitat Baseline'!$V$11:$V$258)</f>
        <v>0</v>
      </c>
      <c r="V10" s="274">
        <f>SUMIF('D-1 Off-Site Habitat Baseline'!$AV$11:$AV$258,'G-2 Habitat groups'!A10,'D-1 Off-Site Habitat Baseline'!$X$11:$X$258)+SUMIF('D-1 Off-Site Habitat Baseline'!$AV$11:$AV$258,'G-2 Habitat groups'!A10,'D-1 Off-Site Habitat Baseline'!$AS$11:$AS$258)</f>
        <v>0</v>
      </c>
      <c r="W10" s="274">
        <f>SUMIF('D-2 Off-Site Habitat Creation'!$F$9:$F$255,'G-2 Habitat groups'!A10,'D-2 Off-Site Habitat Creation'!$G$9:$G$255)</f>
        <v>0</v>
      </c>
      <c r="X10" s="274">
        <f>SUMIF('D-2 Off-Site Habitat Creation'!$F$9:$F$255,'G-2 Habitat groups'!A10,'D-2 Off-Site Habitat Creation'!$AB$9:$AB$255)</f>
        <v>0</v>
      </c>
      <c r="Y10" s="274">
        <f>SUMIF('D-3 Off-Site Habitat Enhancment'!$S$12:$S$491,'G-2 Habitat groups'!A10,'D-3 Off-Site Habitat Enhancment'!$V$12:$V$491)</f>
        <v>0</v>
      </c>
      <c r="Z10" s="274">
        <f>SUMIF('D-3 Off-Site Habitat Enhancment'!$S$12:$S$491,'G-2 Habitat groups'!A10,'D-3 Off-Site Habitat Enhancment'!$AQ$12:$AQ$491)</f>
        <v>0</v>
      </c>
      <c r="AA10" s="274">
        <f t="shared" si="5"/>
        <v>0</v>
      </c>
      <c r="AB10" s="274">
        <f t="shared" si="14"/>
        <v>0</v>
      </c>
      <c r="AC10" s="274">
        <f t="shared" si="6"/>
        <v>0</v>
      </c>
      <c r="AD10" s="274">
        <f t="shared" si="15"/>
        <v>0</v>
      </c>
      <c r="AE10" s="274">
        <f t="shared" si="7"/>
        <v>0</v>
      </c>
      <c r="AF10" s="274">
        <f t="shared" si="16"/>
        <v>0</v>
      </c>
      <c r="AJ10" s="73" t="s">
        <v>123</v>
      </c>
      <c r="AK10" s="423">
        <f t="shared" si="8"/>
        <v>0</v>
      </c>
      <c r="AL10" s="423">
        <f t="shared" si="9"/>
        <v>0</v>
      </c>
      <c r="AM10" s="423">
        <f t="shared" si="10"/>
        <v>0</v>
      </c>
      <c r="AN10" s="423">
        <f t="shared" si="11"/>
        <v>0</v>
      </c>
      <c r="AO10" s="493">
        <f t="shared" si="12"/>
        <v>0</v>
      </c>
      <c r="AP10" s="493">
        <f t="shared" si="13"/>
        <v>0</v>
      </c>
      <c r="AU10" s="82" t="s">
        <v>775</v>
      </c>
      <c r="AV10" s="62" t="s">
        <v>82</v>
      </c>
      <c r="AW10" s="280">
        <f t="shared" si="18"/>
        <v>0</v>
      </c>
      <c r="AX10" s="280">
        <f t="shared" si="19"/>
        <v>0</v>
      </c>
      <c r="AY10" s="280">
        <f t="shared" si="20"/>
        <v>0</v>
      </c>
      <c r="AZ10" s="280">
        <f t="shared" si="21"/>
        <v>0</v>
      </c>
      <c r="BA10" s="280">
        <f t="shared" si="22"/>
        <v>0</v>
      </c>
      <c r="BB10" s="280">
        <f t="shared" si="23"/>
        <v>0</v>
      </c>
      <c r="BC10" s="280">
        <f t="shared" si="24"/>
        <v>0</v>
      </c>
      <c r="BD10" s="280">
        <f t="shared" si="25"/>
        <v>0</v>
      </c>
      <c r="BE10" s="280">
        <f t="shared" si="26"/>
        <v>0</v>
      </c>
      <c r="BF10" s="280" t="str">
        <f t="shared" si="27"/>
        <v/>
      </c>
      <c r="BG10" s="280">
        <f t="shared" si="17"/>
        <v>0</v>
      </c>
    </row>
    <row r="11" spans="1:59" ht="14.7" customHeight="1" x14ac:dyDescent="0.25">
      <c r="A11" s="70" t="str">
        <f>'G-1 All Habitats'!B10</f>
        <v>Cropland - Intensive orchards</v>
      </c>
      <c r="B11" s="62" t="s">
        <v>147</v>
      </c>
      <c r="C11" s="62" t="str">
        <f>'G-1 All Habitats'!K10</f>
        <v>Low</v>
      </c>
      <c r="D11" s="62" t="str">
        <f>'G-1 All Habitats'!M10</f>
        <v>Same distinctiveness or better habitat required ≥</v>
      </c>
      <c r="E11" s="274">
        <f>SUMIF('A-1 On-Site Habitat Baseline'!$AV$11:$AV$258,'G-2 Habitat groups'!A11,'A-1 On-Site Habitat Baseline'!$H$11:$H$258)</f>
        <v>0</v>
      </c>
      <c r="F11" s="274">
        <f>SUMIF('A-1 On-Site Habitat Baseline'!$AV$11:$AV$258,'G-2 Habitat groups'!A11,'A-1 On-Site Habitat Baseline'!$Q$11:$Q$258)</f>
        <v>0</v>
      </c>
      <c r="G11" s="274">
        <f>SUMIF('A-1 On-Site Habitat Baseline'!$AV$11:$AV$258,'G-2 Habitat groups'!A11,'A-1 On-Site Habitat Baseline'!$S$11:$S$258)</f>
        <v>0</v>
      </c>
      <c r="H11" s="274">
        <f>SUMIF('A-1 On-Site Habitat Baseline'!$AV$11:$AV$258,'G-2 Habitat groups'!A11,'A-1 On-Site Habitat Baseline'!$U$11:$U$258)+SUMIF('A-1 On-Site Habitat Baseline'!$AV$11:$AV$258,'G-2 Habitat groups'!A11, 'A-1 On-Site Habitat Baseline'!$AT$11:$AT$258)</f>
        <v>0</v>
      </c>
      <c r="I11" s="274">
        <f>SUMIF('A-1 On-Site Habitat Baseline'!$AV$11:$AV$258,'G-2 Habitat groups'!A11,'A-1 On-Site Habitat Baseline'!$W$11:$W$258)</f>
        <v>0</v>
      </c>
      <c r="J11" s="274">
        <f>SUMIF('A-1 On-Site Habitat Baseline'!$AV$11:$AV$258,'G-2 Habitat groups'!A11,'A-1 On-Site Habitat Baseline'!$X$11:$X$258)</f>
        <v>0</v>
      </c>
      <c r="K11" s="274">
        <f>SUMIF('A-2 On-Site Habitat Creation'!$F$11:$F$256,'G-2 Habitat groups'!A11,'A-2 On-Site Habitat Creation'!$G$11:$G$256)</f>
        <v>0</v>
      </c>
      <c r="L11" s="274">
        <f>SUMIF('A-2 On-Site Habitat Creation'!$F$11:$F$256,'G-2 Habitat groups'!A11,'A-2 On-Site Habitat Creation'!$Y$11:$Y$256)</f>
        <v>0</v>
      </c>
      <c r="M11" s="274">
        <f>SUMIF('A-3 On-Site Habitat Enhancement'!$S$12:$S$257,'G-2 Habitat groups'!A11,'A-3 On-Site Habitat Enhancement'!$V$12:$V$257)</f>
        <v>0</v>
      </c>
      <c r="N11" s="274">
        <f>SUMIF('A-3 On-Site Habitat Enhancement'!$S$12:$S$257,'G-2 Habitat groups'!A11,'A-3 On-Site Habitat Enhancement'!$AN$12:$AN$257)</f>
        <v>0</v>
      </c>
      <c r="O11" s="274">
        <f t="shared" si="1"/>
        <v>0</v>
      </c>
      <c r="P11" s="274">
        <f t="shared" si="2"/>
        <v>0</v>
      </c>
      <c r="Q11" s="274">
        <f t="shared" si="3"/>
        <v>0</v>
      </c>
      <c r="R11" s="274">
        <f t="shared" si="4"/>
        <v>0</v>
      </c>
      <c r="S11" s="274">
        <f>SUMIF('D-1 Off-Site Habitat Baseline'!$AV$11:$AV$258,'G-2 Habitat groups'!A11,'D-1 Off-Site Habitat Baseline'!$H$11:$H$258)</f>
        <v>0</v>
      </c>
      <c r="T11" s="274">
        <f>SUMIF('D-1 Off-Site Habitat Baseline'!$AV$11:$AV$258,'G-2 Habitat groups'!A11,'D-1 Off-Site Habitat Baseline'!$T$11:$T$258)</f>
        <v>0</v>
      </c>
      <c r="U11" s="274">
        <f>SUMIF('D-1 Off-Site Habitat Baseline'!$AV$11:$AV$258,'G-2 Habitat groups'!A11,'D-1 Off-Site Habitat Baseline'!$V$11:$V$258)</f>
        <v>0</v>
      </c>
      <c r="V11" s="274">
        <f>SUMIF('D-1 Off-Site Habitat Baseline'!$AV$11:$AV$258,'G-2 Habitat groups'!A11,'D-1 Off-Site Habitat Baseline'!$X$11:$X$258)+SUMIF('D-1 Off-Site Habitat Baseline'!$AV$11:$AV$258,'G-2 Habitat groups'!A11,'D-1 Off-Site Habitat Baseline'!$AS$11:$AS$258)</f>
        <v>0</v>
      </c>
      <c r="W11" s="274">
        <f>SUMIF('D-2 Off-Site Habitat Creation'!$F$9:$F$255,'G-2 Habitat groups'!A11,'D-2 Off-Site Habitat Creation'!$G$9:$G$255)</f>
        <v>0</v>
      </c>
      <c r="X11" s="274">
        <f>SUMIF('D-2 Off-Site Habitat Creation'!$F$9:$F$255,'G-2 Habitat groups'!A11,'D-2 Off-Site Habitat Creation'!$AB$9:$AB$255)</f>
        <v>0</v>
      </c>
      <c r="Y11" s="274">
        <f>SUMIF('D-3 Off-Site Habitat Enhancment'!$S$12:$S$491,'G-2 Habitat groups'!A11,'D-3 Off-Site Habitat Enhancment'!$V$12:$V$491)</f>
        <v>0</v>
      </c>
      <c r="Z11" s="274">
        <f>SUMIF('D-3 Off-Site Habitat Enhancment'!$S$12:$S$491,'G-2 Habitat groups'!A11,'D-3 Off-Site Habitat Enhancment'!$AQ$12:$AQ$491)</f>
        <v>0</v>
      </c>
      <c r="AA11" s="274">
        <f t="shared" si="5"/>
        <v>0</v>
      </c>
      <c r="AB11" s="274">
        <f t="shared" si="14"/>
        <v>0</v>
      </c>
      <c r="AC11" s="274">
        <f t="shared" si="6"/>
        <v>0</v>
      </c>
      <c r="AD11" s="274">
        <f t="shared" si="15"/>
        <v>0</v>
      </c>
      <c r="AE11" s="274">
        <f t="shared" si="7"/>
        <v>0</v>
      </c>
      <c r="AF11" s="274">
        <f t="shared" si="16"/>
        <v>0</v>
      </c>
      <c r="AJ11" s="75" t="s">
        <v>87</v>
      </c>
      <c r="AK11" s="423">
        <f t="shared" si="8"/>
        <v>0</v>
      </c>
      <c r="AL11" s="423">
        <f t="shared" si="9"/>
        <v>0</v>
      </c>
      <c r="AM11" s="423">
        <f t="shared" si="10"/>
        <v>0</v>
      </c>
      <c r="AN11" s="423">
        <f t="shared" si="11"/>
        <v>0</v>
      </c>
      <c r="AO11" s="493">
        <f t="shared" si="12"/>
        <v>0</v>
      </c>
      <c r="AP11" s="493">
        <f t="shared" si="13"/>
        <v>0</v>
      </c>
      <c r="AU11" s="82" t="s">
        <v>792</v>
      </c>
      <c r="AV11" s="62" t="s">
        <v>82</v>
      </c>
      <c r="AW11" s="280">
        <f t="shared" si="18"/>
        <v>0</v>
      </c>
      <c r="AX11" s="280">
        <f t="shared" si="19"/>
        <v>0</v>
      </c>
      <c r="AY11" s="280">
        <f t="shared" si="20"/>
        <v>0</v>
      </c>
      <c r="AZ11" s="280">
        <f t="shared" si="21"/>
        <v>0</v>
      </c>
      <c r="BA11" s="280">
        <f t="shared" si="22"/>
        <v>0</v>
      </c>
      <c r="BB11" s="280">
        <f t="shared" si="23"/>
        <v>0</v>
      </c>
      <c r="BC11" s="280">
        <f t="shared" si="24"/>
        <v>0</v>
      </c>
      <c r="BD11" s="280">
        <f t="shared" si="25"/>
        <v>0</v>
      </c>
      <c r="BE11" s="280">
        <f t="shared" si="26"/>
        <v>0</v>
      </c>
      <c r="BF11" s="280" t="str">
        <f t="shared" si="27"/>
        <v/>
      </c>
      <c r="BG11" s="280">
        <f t="shared" si="17"/>
        <v>0</v>
      </c>
    </row>
    <row r="12" spans="1:59" ht="14.7" customHeight="1" x14ac:dyDescent="0.25">
      <c r="A12" s="70" t="str">
        <f>'G-1 All Habitats'!B11</f>
        <v>Cropland - Non-cereal crops</v>
      </c>
      <c r="B12" s="62" t="s">
        <v>147</v>
      </c>
      <c r="C12" s="62" t="str">
        <f>'G-1 All Habitats'!K11</f>
        <v>Low</v>
      </c>
      <c r="D12" s="62" t="str">
        <f>'G-1 All Habitats'!M11</f>
        <v>Same distinctiveness or better habitat required ≥</v>
      </c>
      <c r="E12" s="274">
        <f>SUMIF('A-1 On-Site Habitat Baseline'!$AV$11:$AV$258,'G-2 Habitat groups'!A12,'A-1 On-Site Habitat Baseline'!$H$11:$H$258)</f>
        <v>0</v>
      </c>
      <c r="F12" s="274">
        <f>SUMIF('A-1 On-Site Habitat Baseline'!$AV$11:$AV$258,'G-2 Habitat groups'!A12,'A-1 On-Site Habitat Baseline'!$Q$11:$Q$258)</f>
        <v>0</v>
      </c>
      <c r="G12" s="274">
        <f>SUMIF('A-1 On-Site Habitat Baseline'!$AV$11:$AV$258,'G-2 Habitat groups'!A12,'A-1 On-Site Habitat Baseline'!$S$11:$S$258)</f>
        <v>0</v>
      </c>
      <c r="H12" s="274">
        <f>SUMIF('A-1 On-Site Habitat Baseline'!$AV$11:$AV$258,'G-2 Habitat groups'!A12,'A-1 On-Site Habitat Baseline'!$U$11:$U$258)+SUMIF('A-1 On-Site Habitat Baseline'!$AV$11:$AV$258,'G-2 Habitat groups'!A12, 'A-1 On-Site Habitat Baseline'!$AT$11:$AT$258)</f>
        <v>0</v>
      </c>
      <c r="I12" s="274">
        <f>SUMIF('A-1 On-Site Habitat Baseline'!$AV$11:$AV$258,'G-2 Habitat groups'!A12,'A-1 On-Site Habitat Baseline'!$W$11:$W$258)</f>
        <v>0</v>
      </c>
      <c r="J12" s="274">
        <f>SUMIF('A-1 On-Site Habitat Baseline'!$AV$11:$AV$258,'G-2 Habitat groups'!A12,'A-1 On-Site Habitat Baseline'!$X$11:$X$258)</f>
        <v>0</v>
      </c>
      <c r="K12" s="274">
        <f>SUMIF('A-2 On-Site Habitat Creation'!$F$11:$F$256,'G-2 Habitat groups'!A12,'A-2 On-Site Habitat Creation'!$G$11:$G$256)</f>
        <v>0</v>
      </c>
      <c r="L12" s="274">
        <f>SUMIF('A-2 On-Site Habitat Creation'!$F$11:$F$256,'G-2 Habitat groups'!A12,'A-2 On-Site Habitat Creation'!$Y$11:$Y$256)</f>
        <v>0</v>
      </c>
      <c r="M12" s="274">
        <f>SUMIF('A-3 On-Site Habitat Enhancement'!$S$12:$S$257,'G-2 Habitat groups'!A12,'A-3 On-Site Habitat Enhancement'!$V$12:$V$257)</f>
        <v>0</v>
      </c>
      <c r="N12" s="274">
        <f>SUMIF('A-3 On-Site Habitat Enhancement'!$S$12:$S$257,'G-2 Habitat groups'!A12,'A-3 On-Site Habitat Enhancement'!$AN$12:$AN$257)</f>
        <v>0</v>
      </c>
      <c r="O12" s="274">
        <f t="shared" si="1"/>
        <v>0</v>
      </c>
      <c r="P12" s="274">
        <f t="shared" si="2"/>
        <v>0</v>
      </c>
      <c r="Q12" s="274">
        <f t="shared" si="3"/>
        <v>0</v>
      </c>
      <c r="R12" s="274">
        <f t="shared" si="4"/>
        <v>0</v>
      </c>
      <c r="S12" s="274">
        <f>SUMIF('D-1 Off-Site Habitat Baseline'!$AV$11:$AV$258,'G-2 Habitat groups'!A12,'D-1 Off-Site Habitat Baseline'!$H$11:$H$258)</f>
        <v>0</v>
      </c>
      <c r="T12" s="274">
        <f>SUMIF('D-1 Off-Site Habitat Baseline'!$AV$11:$AV$258,'G-2 Habitat groups'!A12,'D-1 Off-Site Habitat Baseline'!$T$11:$T$258)</f>
        <v>0</v>
      </c>
      <c r="U12" s="274">
        <f>SUMIF('D-1 Off-Site Habitat Baseline'!$AV$11:$AV$258,'G-2 Habitat groups'!A12,'D-1 Off-Site Habitat Baseline'!$V$11:$V$258)</f>
        <v>0</v>
      </c>
      <c r="V12" s="274">
        <f>SUMIF('D-1 Off-Site Habitat Baseline'!$AV$11:$AV$258,'G-2 Habitat groups'!A12,'D-1 Off-Site Habitat Baseline'!$X$11:$X$258)+SUMIF('D-1 Off-Site Habitat Baseline'!$AV$11:$AV$258,'G-2 Habitat groups'!A12,'D-1 Off-Site Habitat Baseline'!$AS$11:$AS$258)</f>
        <v>0</v>
      </c>
      <c r="W12" s="274">
        <f>SUMIF('D-2 Off-Site Habitat Creation'!$F$9:$F$255,'G-2 Habitat groups'!A12,'D-2 Off-Site Habitat Creation'!$G$9:$G$255)</f>
        <v>0</v>
      </c>
      <c r="X12" s="274">
        <f>SUMIF('D-2 Off-Site Habitat Creation'!$F$9:$F$255,'G-2 Habitat groups'!A12,'D-2 Off-Site Habitat Creation'!$AB$9:$AB$255)</f>
        <v>0</v>
      </c>
      <c r="Y12" s="274">
        <f>SUMIF('D-3 Off-Site Habitat Enhancment'!$S$12:$S$491,'G-2 Habitat groups'!A12,'D-3 Off-Site Habitat Enhancment'!$V$12:$V$491)</f>
        <v>0</v>
      </c>
      <c r="Z12" s="274">
        <f>SUMIF('D-3 Off-Site Habitat Enhancment'!$S$12:$S$491,'G-2 Habitat groups'!A12,'D-3 Off-Site Habitat Enhancment'!$AQ$12:$AQ$491)</f>
        <v>0</v>
      </c>
      <c r="AA12" s="274">
        <f t="shared" si="5"/>
        <v>0</v>
      </c>
      <c r="AB12" s="274">
        <f t="shared" si="14"/>
        <v>0</v>
      </c>
      <c r="AC12" s="274">
        <f t="shared" si="6"/>
        <v>0</v>
      </c>
      <c r="AD12" s="274">
        <f t="shared" si="15"/>
        <v>0</v>
      </c>
      <c r="AE12" s="274">
        <f t="shared" si="7"/>
        <v>0</v>
      </c>
      <c r="AF12" s="274">
        <f t="shared" si="16"/>
        <v>0</v>
      </c>
      <c r="AJ12" s="75" t="s">
        <v>105</v>
      </c>
      <c r="AK12" s="423">
        <f t="shared" si="8"/>
        <v>0</v>
      </c>
      <c r="AL12" s="423">
        <f t="shared" si="9"/>
        <v>0</v>
      </c>
      <c r="AM12" s="423">
        <f t="shared" si="10"/>
        <v>0</v>
      </c>
      <c r="AN12" s="423">
        <f t="shared" si="11"/>
        <v>0</v>
      </c>
      <c r="AO12" s="493">
        <f t="shared" si="12"/>
        <v>0</v>
      </c>
      <c r="AP12" s="493">
        <f t="shared" si="13"/>
        <v>0</v>
      </c>
      <c r="AU12" s="82" t="s">
        <v>865</v>
      </c>
      <c r="AV12" s="62" t="s">
        <v>123</v>
      </c>
      <c r="AW12" s="280">
        <f t="shared" si="18"/>
        <v>0</v>
      </c>
      <c r="AX12" s="280">
        <f t="shared" si="19"/>
        <v>0</v>
      </c>
      <c r="AY12" s="280">
        <f t="shared" si="20"/>
        <v>0</v>
      </c>
      <c r="AZ12" s="280">
        <f t="shared" si="21"/>
        <v>0</v>
      </c>
      <c r="BA12" s="280">
        <f t="shared" si="22"/>
        <v>0</v>
      </c>
      <c r="BB12" s="280">
        <f t="shared" si="23"/>
        <v>0</v>
      </c>
      <c r="BC12" s="280">
        <f t="shared" si="24"/>
        <v>0</v>
      </c>
      <c r="BD12" s="280">
        <f t="shared" si="25"/>
        <v>0</v>
      </c>
      <c r="BE12" s="280">
        <f t="shared" si="26"/>
        <v>0</v>
      </c>
      <c r="BF12" s="280" t="str">
        <f t="shared" si="27"/>
        <v/>
      </c>
      <c r="BG12" s="280">
        <f t="shared" si="17"/>
        <v>0</v>
      </c>
    </row>
    <row r="13" spans="1:59" ht="14.7" customHeight="1" x14ac:dyDescent="0.25">
      <c r="A13" s="70" t="str">
        <f>'G-1 All Habitats'!B12</f>
        <v>Cropland - Temporary grass and clover leys</v>
      </c>
      <c r="B13" s="62" t="s">
        <v>147</v>
      </c>
      <c r="C13" s="62" t="str">
        <f>'G-1 All Habitats'!K12</f>
        <v>Low</v>
      </c>
      <c r="D13" s="62" t="str">
        <f>'G-1 All Habitats'!M12</f>
        <v>Same distinctiveness or better habitat required ≥</v>
      </c>
      <c r="E13" s="274">
        <f>SUMIF('A-1 On-Site Habitat Baseline'!$AV$11:$AV$258,'G-2 Habitat groups'!A13,'A-1 On-Site Habitat Baseline'!$H$11:$H$258)</f>
        <v>0</v>
      </c>
      <c r="F13" s="274">
        <f>SUMIF('A-1 On-Site Habitat Baseline'!$AV$11:$AV$258,'G-2 Habitat groups'!A13,'A-1 On-Site Habitat Baseline'!$Q$11:$Q$258)</f>
        <v>0</v>
      </c>
      <c r="G13" s="274">
        <f>SUMIF('A-1 On-Site Habitat Baseline'!$AV$11:$AV$258,'G-2 Habitat groups'!A13,'A-1 On-Site Habitat Baseline'!$S$11:$S$258)</f>
        <v>0</v>
      </c>
      <c r="H13" s="274">
        <f>SUMIF('A-1 On-Site Habitat Baseline'!$AV$11:$AV$258,'G-2 Habitat groups'!A13,'A-1 On-Site Habitat Baseline'!$U$11:$U$258)+SUMIF('A-1 On-Site Habitat Baseline'!$AV$11:$AV$258,'G-2 Habitat groups'!A13, 'A-1 On-Site Habitat Baseline'!$AT$11:$AT$258)</f>
        <v>0</v>
      </c>
      <c r="I13" s="274">
        <f>SUMIF('A-1 On-Site Habitat Baseline'!$AV$11:$AV$258,'G-2 Habitat groups'!A13,'A-1 On-Site Habitat Baseline'!$W$11:$W$258)</f>
        <v>0</v>
      </c>
      <c r="J13" s="274">
        <f>SUMIF('A-1 On-Site Habitat Baseline'!$AV$11:$AV$258,'G-2 Habitat groups'!A13,'A-1 On-Site Habitat Baseline'!$X$11:$X$258)</f>
        <v>0</v>
      </c>
      <c r="K13" s="274">
        <f>SUMIF('A-2 On-Site Habitat Creation'!$F$11:$F$256,'G-2 Habitat groups'!A13,'A-2 On-Site Habitat Creation'!$G$11:$G$256)</f>
        <v>0</v>
      </c>
      <c r="L13" s="274">
        <f>SUMIF('A-2 On-Site Habitat Creation'!$F$11:$F$256,'G-2 Habitat groups'!A13,'A-2 On-Site Habitat Creation'!$Y$11:$Y$256)</f>
        <v>0</v>
      </c>
      <c r="M13" s="274">
        <f>SUMIF('A-3 On-Site Habitat Enhancement'!$S$12:$S$257,'G-2 Habitat groups'!A13,'A-3 On-Site Habitat Enhancement'!$V$12:$V$257)</f>
        <v>0</v>
      </c>
      <c r="N13" s="274">
        <f>SUMIF('A-3 On-Site Habitat Enhancement'!$S$12:$S$257,'G-2 Habitat groups'!A13,'A-3 On-Site Habitat Enhancement'!$AN$12:$AN$257)</f>
        <v>0</v>
      </c>
      <c r="O13" s="274">
        <f t="shared" si="1"/>
        <v>0</v>
      </c>
      <c r="P13" s="274">
        <f t="shared" si="2"/>
        <v>0</v>
      </c>
      <c r="Q13" s="274">
        <f t="shared" si="3"/>
        <v>0</v>
      </c>
      <c r="R13" s="274">
        <f t="shared" si="4"/>
        <v>0</v>
      </c>
      <c r="S13" s="274">
        <f>SUMIF('D-1 Off-Site Habitat Baseline'!$AV$11:$AV$258,'G-2 Habitat groups'!A13,'D-1 Off-Site Habitat Baseline'!$H$11:$H$258)</f>
        <v>0</v>
      </c>
      <c r="T13" s="274">
        <f>SUMIF('D-1 Off-Site Habitat Baseline'!$AV$11:$AV$258,'G-2 Habitat groups'!A13,'D-1 Off-Site Habitat Baseline'!$T$11:$T$258)</f>
        <v>0</v>
      </c>
      <c r="U13" s="274">
        <f>SUMIF('D-1 Off-Site Habitat Baseline'!$AV$11:$AV$258,'G-2 Habitat groups'!A13,'D-1 Off-Site Habitat Baseline'!$V$11:$V$258)</f>
        <v>0</v>
      </c>
      <c r="V13" s="274">
        <f>SUMIF('D-1 Off-Site Habitat Baseline'!$AV$11:$AV$258,'G-2 Habitat groups'!A13,'D-1 Off-Site Habitat Baseline'!$X$11:$X$258)+SUMIF('D-1 Off-Site Habitat Baseline'!$AV$11:$AV$258,'G-2 Habitat groups'!A13,'D-1 Off-Site Habitat Baseline'!$AS$11:$AS$258)</f>
        <v>0</v>
      </c>
      <c r="W13" s="274">
        <f>SUMIF('D-2 Off-Site Habitat Creation'!$F$9:$F$255,'G-2 Habitat groups'!A13,'D-2 Off-Site Habitat Creation'!$G$9:$G$255)</f>
        <v>0</v>
      </c>
      <c r="X13" s="274">
        <f>SUMIF('D-2 Off-Site Habitat Creation'!$F$9:$F$255,'G-2 Habitat groups'!A13,'D-2 Off-Site Habitat Creation'!$AB$9:$AB$255)</f>
        <v>0</v>
      </c>
      <c r="Y13" s="274">
        <f>SUMIF('D-3 Off-Site Habitat Enhancment'!$S$12:$S$491,'G-2 Habitat groups'!A13,'D-3 Off-Site Habitat Enhancment'!$V$12:$V$491)</f>
        <v>0</v>
      </c>
      <c r="Z13" s="274">
        <f>SUMIF('D-3 Off-Site Habitat Enhancment'!$S$12:$S$491,'G-2 Habitat groups'!A13,'D-3 Off-Site Habitat Enhancment'!$AQ$12:$AQ$491)</f>
        <v>0</v>
      </c>
      <c r="AA13" s="274">
        <f t="shared" si="5"/>
        <v>0</v>
      </c>
      <c r="AB13" s="274">
        <f t="shared" si="14"/>
        <v>0</v>
      </c>
      <c r="AC13" s="274">
        <f t="shared" si="6"/>
        <v>0</v>
      </c>
      <c r="AD13" s="274">
        <f t="shared" si="15"/>
        <v>0</v>
      </c>
      <c r="AE13" s="274">
        <f t="shared" si="7"/>
        <v>0</v>
      </c>
      <c r="AF13" s="274">
        <f t="shared" si="16"/>
        <v>0</v>
      </c>
      <c r="AJ13" s="75" t="s">
        <v>99</v>
      </c>
      <c r="AK13" s="423">
        <f t="shared" si="8"/>
        <v>0</v>
      </c>
      <c r="AL13" s="423">
        <f t="shared" si="9"/>
        <v>0</v>
      </c>
      <c r="AM13" s="423">
        <f t="shared" si="10"/>
        <v>0</v>
      </c>
      <c r="AN13" s="423">
        <f t="shared" si="11"/>
        <v>0</v>
      </c>
      <c r="AO13" s="493">
        <f t="shared" si="12"/>
        <v>0</v>
      </c>
      <c r="AP13" s="493">
        <f t="shared" si="13"/>
        <v>0</v>
      </c>
      <c r="AU13" s="82" t="s">
        <v>871</v>
      </c>
      <c r="AV13" s="62" t="s">
        <v>123</v>
      </c>
      <c r="AW13" s="280">
        <f t="shared" si="18"/>
        <v>0</v>
      </c>
      <c r="AX13" s="280">
        <f t="shared" si="19"/>
        <v>0</v>
      </c>
      <c r="AY13" s="280">
        <f t="shared" si="20"/>
        <v>0</v>
      </c>
      <c r="AZ13" s="280">
        <f t="shared" si="21"/>
        <v>0</v>
      </c>
      <c r="BA13" s="280">
        <f t="shared" si="22"/>
        <v>0</v>
      </c>
      <c r="BB13" s="280">
        <f t="shared" si="23"/>
        <v>0</v>
      </c>
      <c r="BC13" s="280">
        <f t="shared" si="24"/>
        <v>0</v>
      </c>
      <c r="BD13" s="280">
        <f t="shared" si="25"/>
        <v>0</v>
      </c>
      <c r="BE13" s="280">
        <f t="shared" si="26"/>
        <v>0</v>
      </c>
      <c r="BF13" s="280" t="str">
        <f t="shared" si="27"/>
        <v/>
      </c>
      <c r="BG13" s="280">
        <f t="shared" si="17"/>
        <v>0</v>
      </c>
    </row>
    <row r="14" spans="1:59" ht="14.7" customHeight="1" x14ac:dyDescent="0.25">
      <c r="A14" s="70" t="str">
        <f>'G-1 All Habitats'!B13</f>
        <v>Grassland - Traditional orchards</v>
      </c>
      <c r="B14" s="62" t="s">
        <v>78</v>
      </c>
      <c r="C14" s="62" t="str">
        <f>'G-1 All Habitats'!K13</f>
        <v>High</v>
      </c>
      <c r="D14" s="62" t="str">
        <f>'G-1 All Habitats'!M13</f>
        <v>Same habitat required =</v>
      </c>
      <c r="E14" s="274">
        <f>SUMIF('A-1 On-Site Habitat Baseline'!$AV$11:$AV$258,'G-2 Habitat groups'!A14,'A-1 On-Site Habitat Baseline'!$H$11:$H$258)</f>
        <v>0</v>
      </c>
      <c r="F14" s="274">
        <f>SUMIF('A-1 On-Site Habitat Baseline'!$AV$11:$AV$258,'G-2 Habitat groups'!A14,'A-1 On-Site Habitat Baseline'!$Q$11:$Q$258)</f>
        <v>0</v>
      </c>
      <c r="G14" s="274">
        <f>SUMIF('A-1 On-Site Habitat Baseline'!$AV$11:$AV$258,'G-2 Habitat groups'!A14,'A-1 On-Site Habitat Baseline'!$S$11:$S$258)</f>
        <v>0</v>
      </c>
      <c r="H14" s="274">
        <f>SUMIF('A-1 On-Site Habitat Baseline'!$AV$11:$AV$258,'G-2 Habitat groups'!A14,'A-1 On-Site Habitat Baseline'!$U$11:$U$258)+SUMIF('A-1 On-Site Habitat Baseline'!$AV$11:$AV$258,'G-2 Habitat groups'!A14, 'A-1 On-Site Habitat Baseline'!$AT$11:$AT$258)</f>
        <v>0</v>
      </c>
      <c r="I14" s="274">
        <f>SUMIF('A-1 On-Site Habitat Baseline'!$AV$11:$AV$258,'G-2 Habitat groups'!A14,'A-1 On-Site Habitat Baseline'!$W$11:$W$258)</f>
        <v>0</v>
      </c>
      <c r="J14" s="274">
        <f>SUMIF('A-1 On-Site Habitat Baseline'!$AV$11:$AV$258,'G-2 Habitat groups'!A14,'A-1 On-Site Habitat Baseline'!$X$11:$X$258)</f>
        <v>0</v>
      </c>
      <c r="K14" s="274">
        <f>SUMIF('A-2 On-Site Habitat Creation'!$F$11:$F$256,'G-2 Habitat groups'!A14,'A-2 On-Site Habitat Creation'!$G$11:$G$256)</f>
        <v>0</v>
      </c>
      <c r="L14" s="274">
        <f>SUMIF('A-2 On-Site Habitat Creation'!$F$11:$F$256,'G-2 Habitat groups'!A14,'A-2 On-Site Habitat Creation'!$Y$11:$Y$256)</f>
        <v>0</v>
      </c>
      <c r="M14" s="274">
        <f>SUMIF('A-3 On-Site Habitat Enhancement'!$S$12:$S$257,'G-2 Habitat groups'!A14,'A-3 On-Site Habitat Enhancement'!$V$12:$V$257)</f>
        <v>0</v>
      </c>
      <c r="N14" s="274">
        <f>SUMIF('A-3 On-Site Habitat Enhancement'!$S$12:$S$257,'G-2 Habitat groups'!A14,'A-3 On-Site Habitat Enhancement'!$AN$12:$AN$257)</f>
        <v>0</v>
      </c>
      <c r="O14" s="274">
        <f t="shared" si="1"/>
        <v>0</v>
      </c>
      <c r="P14" s="274">
        <f t="shared" si="2"/>
        <v>0</v>
      </c>
      <c r="Q14" s="274">
        <f t="shared" si="3"/>
        <v>0</v>
      </c>
      <c r="R14" s="274">
        <f t="shared" si="4"/>
        <v>0</v>
      </c>
      <c r="S14" s="274">
        <f>SUMIF('D-1 Off-Site Habitat Baseline'!$AV$11:$AV$258,'G-2 Habitat groups'!A14,'D-1 Off-Site Habitat Baseline'!$H$11:$H$258)</f>
        <v>0</v>
      </c>
      <c r="T14" s="274">
        <f>SUMIF('D-1 Off-Site Habitat Baseline'!$AV$11:$AV$258,'G-2 Habitat groups'!A14,'D-1 Off-Site Habitat Baseline'!$T$11:$T$258)</f>
        <v>0</v>
      </c>
      <c r="U14" s="274">
        <f>SUMIF('D-1 Off-Site Habitat Baseline'!$AV$11:$AV$258,'G-2 Habitat groups'!A14,'D-1 Off-Site Habitat Baseline'!$V$11:$V$258)</f>
        <v>0</v>
      </c>
      <c r="V14" s="274">
        <f>SUMIF('D-1 Off-Site Habitat Baseline'!$AV$11:$AV$258,'G-2 Habitat groups'!A14,'D-1 Off-Site Habitat Baseline'!$X$11:$X$258)+SUMIF('D-1 Off-Site Habitat Baseline'!$AV$11:$AV$258,'G-2 Habitat groups'!A14,'D-1 Off-Site Habitat Baseline'!$AS$11:$AS$258)</f>
        <v>0</v>
      </c>
      <c r="W14" s="274">
        <f>SUMIF('D-2 Off-Site Habitat Creation'!$F$9:$F$255,'G-2 Habitat groups'!A14,'D-2 Off-Site Habitat Creation'!$G$9:$G$255)</f>
        <v>0</v>
      </c>
      <c r="X14" s="274">
        <f>SUMIF('D-2 Off-Site Habitat Creation'!$F$9:$F$255,'G-2 Habitat groups'!A14,'D-2 Off-Site Habitat Creation'!$AB$9:$AB$255)</f>
        <v>0</v>
      </c>
      <c r="Y14" s="274">
        <f>SUMIF('D-3 Off-Site Habitat Enhancment'!$S$12:$S$491,'G-2 Habitat groups'!A14,'D-3 Off-Site Habitat Enhancment'!$V$12:$V$491)</f>
        <v>0</v>
      </c>
      <c r="Z14" s="274">
        <f>SUMIF('D-3 Off-Site Habitat Enhancment'!$S$12:$S$491,'G-2 Habitat groups'!A14,'D-3 Off-Site Habitat Enhancment'!$AQ$12:$AQ$491)</f>
        <v>0</v>
      </c>
      <c r="AA14" s="274">
        <f t="shared" si="5"/>
        <v>0</v>
      </c>
      <c r="AB14" s="274">
        <f t="shared" si="14"/>
        <v>0</v>
      </c>
      <c r="AC14" s="274">
        <f t="shared" si="6"/>
        <v>0</v>
      </c>
      <c r="AD14" s="274">
        <f t="shared" si="15"/>
        <v>0</v>
      </c>
      <c r="AE14" s="274">
        <f t="shared" si="7"/>
        <v>0</v>
      </c>
      <c r="AF14" s="274">
        <f t="shared" si="16"/>
        <v>0</v>
      </c>
      <c r="AJ14" s="75" t="s">
        <v>94</v>
      </c>
      <c r="AK14" s="423">
        <f t="shared" si="8"/>
        <v>0</v>
      </c>
      <c r="AL14" s="423">
        <f t="shared" si="9"/>
        <v>0</v>
      </c>
      <c r="AM14" s="423">
        <f t="shared" si="10"/>
        <v>0</v>
      </c>
      <c r="AN14" s="423">
        <f t="shared" si="11"/>
        <v>0</v>
      </c>
      <c r="AO14" s="493">
        <f t="shared" si="12"/>
        <v>0</v>
      </c>
      <c r="AP14" s="493">
        <f t="shared" si="13"/>
        <v>0</v>
      </c>
      <c r="AU14" s="82" t="s">
        <v>874</v>
      </c>
      <c r="AV14" s="62" t="s">
        <v>123</v>
      </c>
      <c r="AW14" s="280">
        <f t="shared" si="18"/>
        <v>0</v>
      </c>
      <c r="AX14" s="280">
        <f t="shared" si="19"/>
        <v>0</v>
      </c>
      <c r="AY14" s="280">
        <f t="shared" si="20"/>
        <v>0</v>
      </c>
      <c r="AZ14" s="280">
        <f t="shared" si="21"/>
        <v>0</v>
      </c>
      <c r="BA14" s="280">
        <f t="shared" si="22"/>
        <v>0</v>
      </c>
      <c r="BB14" s="280">
        <f t="shared" si="23"/>
        <v>0</v>
      </c>
      <c r="BC14" s="280">
        <f t="shared" si="24"/>
        <v>0</v>
      </c>
      <c r="BD14" s="280">
        <f t="shared" si="25"/>
        <v>0</v>
      </c>
      <c r="BE14" s="280">
        <f t="shared" si="26"/>
        <v>0</v>
      </c>
      <c r="BF14" s="280" t="str">
        <f t="shared" si="27"/>
        <v/>
      </c>
      <c r="BG14" s="280">
        <f t="shared" si="17"/>
        <v>0</v>
      </c>
    </row>
    <row r="15" spans="1:59" x14ac:dyDescent="0.25">
      <c r="A15" s="70" t="str">
        <f>'G-1 All Habitats'!B14</f>
        <v>Grassland - Bracken</v>
      </c>
      <c r="B15" s="62" t="s">
        <v>78</v>
      </c>
      <c r="C15" s="62" t="str">
        <f>'G-1 All Habitats'!K14</f>
        <v>Low</v>
      </c>
      <c r="D15" s="62" t="str">
        <f>'G-1 All Habitats'!M14</f>
        <v>Same distinctiveness or better habitat required ≥</v>
      </c>
      <c r="E15" s="274">
        <f>SUMIF('A-1 On-Site Habitat Baseline'!$AV$11:$AV$258,'G-2 Habitat groups'!A15,'A-1 On-Site Habitat Baseline'!$H$11:$H$258)</f>
        <v>0</v>
      </c>
      <c r="F15" s="274">
        <f>SUMIF('A-1 On-Site Habitat Baseline'!$AV$11:$AV$258,'G-2 Habitat groups'!A15,'A-1 On-Site Habitat Baseline'!$Q$11:$Q$258)</f>
        <v>0</v>
      </c>
      <c r="G15" s="274">
        <f>SUMIF('A-1 On-Site Habitat Baseline'!$AV$11:$AV$258,'G-2 Habitat groups'!A15,'A-1 On-Site Habitat Baseline'!$S$11:$S$258)</f>
        <v>0</v>
      </c>
      <c r="H15" s="274">
        <f>SUMIF('A-1 On-Site Habitat Baseline'!$AV$11:$AV$258,'G-2 Habitat groups'!A15,'A-1 On-Site Habitat Baseline'!$U$11:$U$258)+SUMIF('A-1 On-Site Habitat Baseline'!$AV$11:$AV$258,'G-2 Habitat groups'!A15, 'A-1 On-Site Habitat Baseline'!$AT$11:$AT$258)</f>
        <v>0</v>
      </c>
      <c r="I15" s="274">
        <f>SUMIF('A-1 On-Site Habitat Baseline'!$AV$11:$AV$258,'G-2 Habitat groups'!A15,'A-1 On-Site Habitat Baseline'!$W$11:$W$258)</f>
        <v>0</v>
      </c>
      <c r="J15" s="274">
        <f>SUMIF('A-1 On-Site Habitat Baseline'!$AV$11:$AV$258,'G-2 Habitat groups'!A15,'A-1 On-Site Habitat Baseline'!$X$11:$X$258)</f>
        <v>0</v>
      </c>
      <c r="K15" s="274">
        <f>SUMIF('A-2 On-Site Habitat Creation'!$F$11:$F$256,'G-2 Habitat groups'!A15,'A-2 On-Site Habitat Creation'!$G$11:$G$256)</f>
        <v>0</v>
      </c>
      <c r="L15" s="274">
        <f>SUMIF('A-2 On-Site Habitat Creation'!$F$11:$F$256,'G-2 Habitat groups'!A15,'A-2 On-Site Habitat Creation'!$Y$11:$Y$256)</f>
        <v>0</v>
      </c>
      <c r="M15" s="274">
        <f>SUMIF('A-3 On-Site Habitat Enhancement'!$S$12:$S$257,'G-2 Habitat groups'!A15,'A-3 On-Site Habitat Enhancement'!$V$12:$V$257)</f>
        <v>0</v>
      </c>
      <c r="N15" s="274">
        <f>SUMIF('A-3 On-Site Habitat Enhancement'!$S$12:$S$257,'G-2 Habitat groups'!A15,'A-3 On-Site Habitat Enhancement'!$AN$12:$AN$257)</f>
        <v>0</v>
      </c>
      <c r="O15" s="274">
        <f t="shared" si="1"/>
        <v>0</v>
      </c>
      <c r="P15" s="274">
        <f t="shared" si="2"/>
        <v>0</v>
      </c>
      <c r="Q15" s="274">
        <f t="shared" si="3"/>
        <v>0</v>
      </c>
      <c r="R15" s="274">
        <f t="shared" si="4"/>
        <v>0</v>
      </c>
      <c r="S15" s="274">
        <f>SUMIF('D-1 Off-Site Habitat Baseline'!$AV$11:$AV$258,'G-2 Habitat groups'!A15,'D-1 Off-Site Habitat Baseline'!$H$11:$H$258)</f>
        <v>0</v>
      </c>
      <c r="T15" s="274">
        <f>SUMIF('D-1 Off-Site Habitat Baseline'!$AV$11:$AV$258,'G-2 Habitat groups'!A15,'D-1 Off-Site Habitat Baseline'!$T$11:$T$258)</f>
        <v>0</v>
      </c>
      <c r="U15" s="274">
        <f>SUMIF('D-1 Off-Site Habitat Baseline'!$AV$11:$AV$258,'G-2 Habitat groups'!A15,'D-1 Off-Site Habitat Baseline'!$V$11:$V$258)</f>
        <v>0</v>
      </c>
      <c r="V15" s="274">
        <f>SUMIF('D-1 Off-Site Habitat Baseline'!$AV$11:$AV$258,'G-2 Habitat groups'!A15,'D-1 Off-Site Habitat Baseline'!$X$11:$X$258)+SUMIF('D-1 Off-Site Habitat Baseline'!$AV$11:$AV$258,'G-2 Habitat groups'!A15,'D-1 Off-Site Habitat Baseline'!$AS$11:$AS$258)</f>
        <v>0</v>
      </c>
      <c r="W15" s="274">
        <f>SUMIF('D-2 Off-Site Habitat Creation'!$F$9:$F$255,'G-2 Habitat groups'!A15,'D-2 Off-Site Habitat Creation'!$G$9:$G$255)</f>
        <v>0</v>
      </c>
      <c r="X15" s="274">
        <f>SUMIF('D-2 Off-Site Habitat Creation'!$F$9:$F$255,'G-2 Habitat groups'!A15,'D-2 Off-Site Habitat Creation'!$AB$9:$AB$255)</f>
        <v>0</v>
      </c>
      <c r="Y15" s="274">
        <f>SUMIF('D-3 Off-Site Habitat Enhancment'!$S$12:$S$491,'G-2 Habitat groups'!A15,'D-3 Off-Site Habitat Enhancment'!$V$12:$V$491)</f>
        <v>0</v>
      </c>
      <c r="Z15" s="274">
        <f>SUMIF('D-3 Off-Site Habitat Enhancment'!$S$12:$S$491,'G-2 Habitat groups'!A15,'D-3 Off-Site Habitat Enhancment'!$AQ$12:$AQ$491)</f>
        <v>0</v>
      </c>
      <c r="AA15" s="274">
        <f t="shared" si="5"/>
        <v>0</v>
      </c>
      <c r="AB15" s="274">
        <f t="shared" si="14"/>
        <v>0</v>
      </c>
      <c r="AC15" s="274">
        <f t="shared" si="6"/>
        <v>0</v>
      </c>
      <c r="AD15" s="274">
        <f t="shared" si="15"/>
        <v>0</v>
      </c>
      <c r="AE15" s="274">
        <f t="shared" si="7"/>
        <v>0</v>
      </c>
      <c r="AF15" s="274">
        <f t="shared" si="16"/>
        <v>0</v>
      </c>
      <c r="AJ15" s="75" t="s">
        <v>92</v>
      </c>
      <c r="AK15" s="423">
        <f t="shared" si="8"/>
        <v>0</v>
      </c>
      <c r="AL15" s="423">
        <f t="shared" si="9"/>
        <v>0</v>
      </c>
      <c r="AM15" s="423">
        <f t="shared" si="10"/>
        <v>0</v>
      </c>
      <c r="AN15" s="423">
        <f t="shared" si="11"/>
        <v>0</v>
      </c>
      <c r="AO15" s="493">
        <f t="shared" si="12"/>
        <v>0</v>
      </c>
      <c r="AP15" s="493">
        <f t="shared" si="13"/>
        <v>0</v>
      </c>
      <c r="AU15" s="82" t="s">
        <v>880</v>
      </c>
      <c r="AV15" s="62" t="s">
        <v>123</v>
      </c>
      <c r="AW15" s="280">
        <f t="shared" si="18"/>
        <v>0</v>
      </c>
      <c r="AX15" s="280">
        <f t="shared" si="19"/>
        <v>0</v>
      </c>
      <c r="AY15" s="280">
        <f t="shared" si="20"/>
        <v>0</v>
      </c>
      <c r="AZ15" s="280">
        <f t="shared" si="21"/>
        <v>0</v>
      </c>
      <c r="BA15" s="280">
        <f t="shared" si="22"/>
        <v>0</v>
      </c>
      <c r="BB15" s="280">
        <f t="shared" si="23"/>
        <v>0</v>
      </c>
      <c r="BC15" s="280">
        <f t="shared" si="24"/>
        <v>0</v>
      </c>
      <c r="BD15" s="280">
        <f t="shared" si="25"/>
        <v>0</v>
      </c>
      <c r="BE15" s="280">
        <f t="shared" si="26"/>
        <v>0</v>
      </c>
      <c r="BF15" s="280" t="str">
        <f t="shared" si="27"/>
        <v/>
      </c>
      <c r="BG15" s="280">
        <f t="shared" si="17"/>
        <v>0</v>
      </c>
    </row>
    <row r="16" spans="1:59" x14ac:dyDescent="0.25">
      <c r="A16" s="70" t="str">
        <f>'G-1 All Habitats'!B15</f>
        <v>Grassland - Floodplain wetland mosaic and CFGM</v>
      </c>
      <c r="B16" s="62" t="s">
        <v>78</v>
      </c>
      <c r="C16" s="62" t="str">
        <f>'G-1 All Habitats'!K15</f>
        <v>High</v>
      </c>
      <c r="D16" s="62" t="str">
        <f>'G-1 All Habitats'!M15</f>
        <v>Same habitat required =</v>
      </c>
      <c r="E16" s="274">
        <f>SUMIF('A-1 On-Site Habitat Baseline'!$AV$11:$AV$258,'G-2 Habitat groups'!A16,'A-1 On-Site Habitat Baseline'!$H$11:$H$258)</f>
        <v>0</v>
      </c>
      <c r="F16" s="274">
        <f>SUMIF('A-1 On-Site Habitat Baseline'!$AV$11:$AV$258,'G-2 Habitat groups'!A16,'A-1 On-Site Habitat Baseline'!$Q$11:$Q$258)</f>
        <v>0</v>
      </c>
      <c r="G16" s="274">
        <f>SUMIF('A-1 On-Site Habitat Baseline'!$AV$11:$AV$258,'G-2 Habitat groups'!A16,'A-1 On-Site Habitat Baseline'!$S$11:$S$258)</f>
        <v>0</v>
      </c>
      <c r="H16" s="274">
        <f>SUMIF('A-1 On-Site Habitat Baseline'!$AV$11:$AV$258,'G-2 Habitat groups'!A16,'A-1 On-Site Habitat Baseline'!$U$11:$U$258)+SUMIF('A-1 On-Site Habitat Baseline'!$AV$11:$AV$258,'G-2 Habitat groups'!A16, 'A-1 On-Site Habitat Baseline'!$AT$11:$AT$258)</f>
        <v>0</v>
      </c>
      <c r="I16" s="274">
        <f>SUMIF('A-1 On-Site Habitat Baseline'!$AV$11:$AV$258,'G-2 Habitat groups'!A16,'A-1 On-Site Habitat Baseline'!$W$11:$W$258)</f>
        <v>0</v>
      </c>
      <c r="J16" s="274">
        <f>SUMIF('A-1 On-Site Habitat Baseline'!$AV$11:$AV$258,'G-2 Habitat groups'!A16,'A-1 On-Site Habitat Baseline'!$X$11:$X$258)</f>
        <v>0</v>
      </c>
      <c r="K16" s="274">
        <f>SUMIF('A-2 On-Site Habitat Creation'!$F$11:$F$256,'G-2 Habitat groups'!A16,'A-2 On-Site Habitat Creation'!$G$11:$G$256)</f>
        <v>0</v>
      </c>
      <c r="L16" s="274">
        <f>SUMIF('A-2 On-Site Habitat Creation'!$F$11:$F$256,'G-2 Habitat groups'!A16,'A-2 On-Site Habitat Creation'!$Y$11:$Y$256)</f>
        <v>0</v>
      </c>
      <c r="M16" s="274">
        <f>SUMIF('A-3 On-Site Habitat Enhancement'!$S$12:$S$257,'G-2 Habitat groups'!A16,'A-3 On-Site Habitat Enhancement'!$V$12:$V$257)</f>
        <v>0</v>
      </c>
      <c r="N16" s="274">
        <f>SUMIF('A-3 On-Site Habitat Enhancement'!$S$12:$S$257,'G-2 Habitat groups'!A16,'A-3 On-Site Habitat Enhancement'!$AN$12:$AN$257)</f>
        <v>0</v>
      </c>
      <c r="O16" s="274">
        <f t="shared" si="1"/>
        <v>0</v>
      </c>
      <c r="P16" s="274">
        <f t="shared" si="2"/>
        <v>0</v>
      </c>
      <c r="Q16" s="274">
        <f t="shared" si="3"/>
        <v>0</v>
      </c>
      <c r="R16" s="274">
        <f t="shared" si="4"/>
        <v>0</v>
      </c>
      <c r="S16" s="274">
        <f>SUMIF('D-1 Off-Site Habitat Baseline'!$AV$11:$AV$258,'G-2 Habitat groups'!A16,'D-1 Off-Site Habitat Baseline'!$H$11:$H$258)</f>
        <v>0</v>
      </c>
      <c r="T16" s="274">
        <f>SUMIF('D-1 Off-Site Habitat Baseline'!$AV$11:$AV$258,'G-2 Habitat groups'!A16,'D-1 Off-Site Habitat Baseline'!$T$11:$T$258)</f>
        <v>0</v>
      </c>
      <c r="U16" s="274">
        <f>SUMIF('D-1 Off-Site Habitat Baseline'!$AV$11:$AV$258,'G-2 Habitat groups'!A16,'D-1 Off-Site Habitat Baseline'!$V$11:$V$258)</f>
        <v>0</v>
      </c>
      <c r="V16" s="274">
        <f>SUMIF('D-1 Off-Site Habitat Baseline'!$AV$11:$AV$258,'G-2 Habitat groups'!A16,'D-1 Off-Site Habitat Baseline'!$X$11:$X$258)+SUMIF('D-1 Off-Site Habitat Baseline'!$AV$11:$AV$258,'G-2 Habitat groups'!A16,'D-1 Off-Site Habitat Baseline'!$AS$11:$AS$258)</f>
        <v>0</v>
      </c>
      <c r="W16" s="274">
        <f>SUMIF('D-2 Off-Site Habitat Creation'!$F$9:$F$255,'G-2 Habitat groups'!A16,'D-2 Off-Site Habitat Creation'!$G$9:$G$255)</f>
        <v>0</v>
      </c>
      <c r="X16" s="274">
        <f>SUMIF('D-2 Off-Site Habitat Creation'!$F$9:$F$255,'G-2 Habitat groups'!A16,'D-2 Off-Site Habitat Creation'!$AB$9:$AB$255)</f>
        <v>0</v>
      </c>
      <c r="Y16" s="274">
        <f>SUMIF('D-3 Off-Site Habitat Enhancment'!$S$12:$S$491,'G-2 Habitat groups'!A16,'D-3 Off-Site Habitat Enhancment'!$V$12:$V$491)</f>
        <v>0</v>
      </c>
      <c r="Z16" s="274">
        <f>SUMIF('D-3 Off-Site Habitat Enhancment'!$S$12:$S$491,'G-2 Habitat groups'!A16,'D-3 Off-Site Habitat Enhancment'!$AQ$12:$AQ$491)</f>
        <v>0</v>
      </c>
      <c r="AA16" s="274">
        <f t="shared" si="5"/>
        <v>0</v>
      </c>
      <c r="AB16" s="274">
        <f t="shared" si="14"/>
        <v>0</v>
      </c>
      <c r="AC16" s="274">
        <f t="shared" si="6"/>
        <v>0</v>
      </c>
      <c r="AD16" s="274">
        <f t="shared" si="15"/>
        <v>0</v>
      </c>
      <c r="AE16" s="274">
        <f t="shared" si="7"/>
        <v>0</v>
      </c>
      <c r="AF16" s="274">
        <f t="shared" si="16"/>
        <v>0</v>
      </c>
      <c r="AJ16" s="75" t="s">
        <v>216</v>
      </c>
      <c r="AK16" s="423">
        <f t="shared" si="8"/>
        <v>0</v>
      </c>
      <c r="AL16" s="423">
        <f t="shared" si="9"/>
        <v>0</v>
      </c>
      <c r="AM16" s="423">
        <f t="shared" si="10"/>
        <v>0</v>
      </c>
      <c r="AN16" s="423">
        <f t="shared" si="11"/>
        <v>0</v>
      </c>
      <c r="AO16" s="493">
        <f t="shared" si="12"/>
        <v>0</v>
      </c>
      <c r="AP16" s="493">
        <f t="shared" si="13"/>
        <v>0</v>
      </c>
      <c r="AU16" s="82" t="s">
        <v>883</v>
      </c>
      <c r="AV16" s="62" t="s">
        <v>123</v>
      </c>
      <c r="AW16" s="280">
        <f t="shared" si="18"/>
        <v>0</v>
      </c>
      <c r="AX16" s="280">
        <f t="shared" si="19"/>
        <v>0</v>
      </c>
      <c r="AY16" s="280">
        <f t="shared" si="20"/>
        <v>0</v>
      </c>
      <c r="AZ16" s="280">
        <f t="shared" si="21"/>
        <v>0</v>
      </c>
      <c r="BA16" s="280">
        <f t="shared" si="22"/>
        <v>0</v>
      </c>
      <c r="BB16" s="280">
        <f t="shared" si="23"/>
        <v>0</v>
      </c>
      <c r="BC16" s="280">
        <f t="shared" si="24"/>
        <v>0</v>
      </c>
      <c r="BD16" s="280">
        <f t="shared" si="25"/>
        <v>0</v>
      </c>
      <c r="BE16" s="280">
        <f t="shared" si="26"/>
        <v>0</v>
      </c>
      <c r="BF16" s="280" t="str">
        <f t="shared" si="27"/>
        <v/>
      </c>
      <c r="BG16" s="280">
        <f t="shared" si="17"/>
        <v>0</v>
      </c>
    </row>
    <row r="17" spans="1:59" x14ac:dyDescent="0.25">
      <c r="A17" s="70" t="str">
        <f>'G-1 All Habitats'!B16</f>
        <v>Grassland - Lowland calcareous grassland</v>
      </c>
      <c r="B17" s="62" t="s">
        <v>78</v>
      </c>
      <c r="C17" s="62" t="str">
        <f>'G-1 All Habitats'!K16</f>
        <v>High</v>
      </c>
      <c r="D17" s="62" t="str">
        <f>'G-1 All Habitats'!M16</f>
        <v>Same habitat required =</v>
      </c>
      <c r="E17" s="274">
        <f>SUMIF('A-1 On-Site Habitat Baseline'!$AV$11:$AV$258,'G-2 Habitat groups'!A17,'A-1 On-Site Habitat Baseline'!$H$11:$H$258)</f>
        <v>0</v>
      </c>
      <c r="F17" s="274">
        <f>SUMIF('A-1 On-Site Habitat Baseline'!$AV$11:$AV$258,'G-2 Habitat groups'!A17,'A-1 On-Site Habitat Baseline'!$Q$11:$Q$258)</f>
        <v>0</v>
      </c>
      <c r="G17" s="274">
        <f>SUMIF('A-1 On-Site Habitat Baseline'!$AV$11:$AV$258,'G-2 Habitat groups'!A17,'A-1 On-Site Habitat Baseline'!$S$11:$S$258)</f>
        <v>0</v>
      </c>
      <c r="H17" s="274">
        <f>SUMIF('A-1 On-Site Habitat Baseline'!$AV$11:$AV$258,'G-2 Habitat groups'!A17,'A-1 On-Site Habitat Baseline'!$U$11:$U$258)+SUMIF('A-1 On-Site Habitat Baseline'!$AV$11:$AV$258,'G-2 Habitat groups'!A17, 'A-1 On-Site Habitat Baseline'!$AT$11:$AT$258)</f>
        <v>0</v>
      </c>
      <c r="I17" s="274">
        <f>SUMIF('A-1 On-Site Habitat Baseline'!$AV$11:$AV$258,'G-2 Habitat groups'!A17,'A-1 On-Site Habitat Baseline'!$W$11:$W$258)</f>
        <v>0</v>
      </c>
      <c r="J17" s="274">
        <f>SUMIF('A-1 On-Site Habitat Baseline'!$AV$11:$AV$258,'G-2 Habitat groups'!A17,'A-1 On-Site Habitat Baseline'!$X$11:$X$258)</f>
        <v>0</v>
      </c>
      <c r="K17" s="274">
        <f>SUMIF('A-2 On-Site Habitat Creation'!$F$11:$F$256,'G-2 Habitat groups'!A17,'A-2 On-Site Habitat Creation'!$G$11:$G$256)</f>
        <v>0</v>
      </c>
      <c r="L17" s="274">
        <f>SUMIF('A-2 On-Site Habitat Creation'!$F$11:$F$256,'G-2 Habitat groups'!A17,'A-2 On-Site Habitat Creation'!$Y$11:$Y$256)</f>
        <v>0</v>
      </c>
      <c r="M17" s="274">
        <f>SUMIF('A-3 On-Site Habitat Enhancement'!$S$12:$S$257,'G-2 Habitat groups'!A17,'A-3 On-Site Habitat Enhancement'!$V$12:$V$257)</f>
        <v>0</v>
      </c>
      <c r="N17" s="274">
        <f>SUMIF('A-3 On-Site Habitat Enhancement'!$S$12:$S$257,'G-2 Habitat groups'!A17,'A-3 On-Site Habitat Enhancement'!$AN$12:$AN$257)</f>
        <v>0</v>
      </c>
      <c r="O17" s="274">
        <f t="shared" si="1"/>
        <v>0</v>
      </c>
      <c r="P17" s="274">
        <f t="shared" si="2"/>
        <v>0</v>
      </c>
      <c r="Q17" s="274">
        <f t="shared" si="3"/>
        <v>0</v>
      </c>
      <c r="R17" s="274">
        <f t="shared" si="4"/>
        <v>0</v>
      </c>
      <c r="S17" s="274">
        <f>SUMIF('D-1 Off-Site Habitat Baseline'!$AV$11:$AV$258,'G-2 Habitat groups'!A17,'D-1 Off-Site Habitat Baseline'!$H$11:$H$258)</f>
        <v>0</v>
      </c>
      <c r="T17" s="274">
        <f>SUMIF('D-1 Off-Site Habitat Baseline'!$AV$11:$AV$258,'G-2 Habitat groups'!A17,'D-1 Off-Site Habitat Baseline'!$T$11:$T$258)</f>
        <v>0</v>
      </c>
      <c r="U17" s="274">
        <f>SUMIF('D-1 Off-Site Habitat Baseline'!$AV$11:$AV$258,'G-2 Habitat groups'!A17,'D-1 Off-Site Habitat Baseline'!$V$11:$V$258)</f>
        <v>0</v>
      </c>
      <c r="V17" s="274">
        <f>SUMIF('D-1 Off-Site Habitat Baseline'!$AV$11:$AV$258,'G-2 Habitat groups'!A17,'D-1 Off-Site Habitat Baseline'!$X$11:$X$258)+SUMIF('D-1 Off-Site Habitat Baseline'!$AV$11:$AV$258,'G-2 Habitat groups'!A17,'D-1 Off-Site Habitat Baseline'!$AS$11:$AS$258)</f>
        <v>0</v>
      </c>
      <c r="W17" s="274">
        <f>SUMIF('D-2 Off-Site Habitat Creation'!$F$9:$F$255,'G-2 Habitat groups'!A17,'D-2 Off-Site Habitat Creation'!$G$9:$G$255)</f>
        <v>0</v>
      </c>
      <c r="X17" s="274">
        <f>SUMIF('D-2 Off-Site Habitat Creation'!$F$9:$F$255,'G-2 Habitat groups'!A17,'D-2 Off-Site Habitat Creation'!$AB$9:$AB$255)</f>
        <v>0</v>
      </c>
      <c r="Y17" s="274">
        <f>SUMIF('D-3 Off-Site Habitat Enhancment'!$S$12:$S$491,'G-2 Habitat groups'!A17,'D-3 Off-Site Habitat Enhancment'!$V$12:$V$491)</f>
        <v>0</v>
      </c>
      <c r="Z17" s="274">
        <f>SUMIF('D-3 Off-Site Habitat Enhancment'!$S$12:$S$491,'G-2 Habitat groups'!A17,'D-3 Off-Site Habitat Enhancment'!$AQ$12:$AQ$491)</f>
        <v>0</v>
      </c>
      <c r="AA17" s="274">
        <f t="shared" si="5"/>
        <v>0</v>
      </c>
      <c r="AB17" s="274">
        <f t="shared" si="14"/>
        <v>0</v>
      </c>
      <c r="AC17" s="274">
        <f t="shared" si="6"/>
        <v>0</v>
      </c>
      <c r="AD17" s="274">
        <f t="shared" si="15"/>
        <v>0</v>
      </c>
      <c r="AE17" s="274">
        <f t="shared" si="7"/>
        <v>0</v>
      </c>
      <c r="AF17" s="274">
        <f t="shared" si="16"/>
        <v>0</v>
      </c>
      <c r="AJ17" s="492" t="s">
        <v>148</v>
      </c>
      <c r="AK17" s="423">
        <f>SUMIF($B:$B,$AJ17,E:E)</f>
        <v>0.10589999999999999</v>
      </c>
      <c r="AL17" s="423">
        <f t="shared" si="9"/>
        <v>0.97427999999999981</v>
      </c>
      <c r="AM17" s="423">
        <f t="shared" si="10"/>
        <v>0.14657361829251864</v>
      </c>
      <c r="AN17" s="423">
        <f t="shared" si="11"/>
        <v>0.66141036492817529</v>
      </c>
      <c r="AO17" s="423">
        <f t="shared" si="12"/>
        <v>4.0673618292518643E-2</v>
      </c>
      <c r="AP17" s="423">
        <f t="shared" si="13"/>
        <v>-0.31286963507182453</v>
      </c>
      <c r="AU17" s="82" t="s">
        <v>888</v>
      </c>
      <c r="AV17" s="62" t="s">
        <v>123</v>
      </c>
      <c r="AW17" s="280">
        <f t="shared" si="18"/>
        <v>0</v>
      </c>
      <c r="AX17" s="280">
        <f t="shared" si="19"/>
        <v>0</v>
      </c>
      <c r="AY17" s="280">
        <f t="shared" si="20"/>
        <v>0</v>
      </c>
      <c r="AZ17" s="280">
        <f t="shared" si="21"/>
        <v>0</v>
      </c>
      <c r="BA17" s="280">
        <f t="shared" si="22"/>
        <v>0</v>
      </c>
      <c r="BB17" s="280">
        <f t="shared" si="23"/>
        <v>0</v>
      </c>
      <c r="BC17" s="280">
        <f t="shared" si="24"/>
        <v>0</v>
      </c>
      <c r="BD17" s="280">
        <f t="shared" si="25"/>
        <v>0</v>
      </c>
      <c r="BE17" s="280">
        <f t="shared" si="26"/>
        <v>0</v>
      </c>
      <c r="BF17" s="280" t="str">
        <f t="shared" si="27"/>
        <v/>
      </c>
      <c r="BG17" s="280">
        <f t="shared" si="17"/>
        <v>0</v>
      </c>
    </row>
    <row r="18" spans="1:59" x14ac:dyDescent="0.25">
      <c r="A18" s="70" t="str">
        <f>'G-1 All Habitats'!B17</f>
        <v>Grassland - Lowland dry acid grassland</v>
      </c>
      <c r="B18" s="62" t="s">
        <v>78</v>
      </c>
      <c r="C18" s="62" t="str">
        <f>'G-1 All Habitats'!K17</f>
        <v>V.High</v>
      </c>
      <c r="D18" s="62" t="str">
        <f>'G-1 All Habitats'!M17</f>
        <v>Same habitat required – bespoke compensation option ⚠</v>
      </c>
      <c r="E18" s="274">
        <f>SUMIF('A-1 On-Site Habitat Baseline'!$AV$11:$AV$258,'G-2 Habitat groups'!A18,'A-1 On-Site Habitat Baseline'!$H$11:$H$258)</f>
        <v>0</v>
      </c>
      <c r="F18" s="274">
        <f>SUMIF('A-1 On-Site Habitat Baseline'!$AV$11:$AV$258,'G-2 Habitat groups'!A18,'A-1 On-Site Habitat Baseline'!$Q$11:$Q$258)</f>
        <v>0</v>
      </c>
      <c r="G18" s="274">
        <f>SUMIF('A-1 On-Site Habitat Baseline'!$AV$11:$AV$258,'G-2 Habitat groups'!A18,'A-1 On-Site Habitat Baseline'!$S$11:$S$258)</f>
        <v>0</v>
      </c>
      <c r="H18" s="274">
        <f>SUMIF('A-1 On-Site Habitat Baseline'!$AV$11:$AV$258,'G-2 Habitat groups'!A18,'A-1 On-Site Habitat Baseline'!$U$11:$U$258)+SUMIF('A-1 On-Site Habitat Baseline'!$AV$11:$AV$258,'G-2 Habitat groups'!A18, 'A-1 On-Site Habitat Baseline'!$AT$11:$AT$258)</f>
        <v>0</v>
      </c>
      <c r="I18" s="274">
        <f>SUMIF('A-1 On-Site Habitat Baseline'!$AV$11:$AV$258,'G-2 Habitat groups'!A18,'A-1 On-Site Habitat Baseline'!$W$11:$W$258)</f>
        <v>0</v>
      </c>
      <c r="J18" s="274">
        <f>SUMIF('A-1 On-Site Habitat Baseline'!$AV$11:$AV$258,'G-2 Habitat groups'!A18,'A-1 On-Site Habitat Baseline'!$X$11:$X$258)</f>
        <v>0</v>
      </c>
      <c r="K18" s="274">
        <f>SUMIF('A-2 On-Site Habitat Creation'!$F$11:$F$256,'G-2 Habitat groups'!A18,'A-2 On-Site Habitat Creation'!$G$11:$G$256)</f>
        <v>0</v>
      </c>
      <c r="L18" s="274">
        <f>SUMIF('A-2 On-Site Habitat Creation'!$F$11:$F$256,'G-2 Habitat groups'!A18,'A-2 On-Site Habitat Creation'!$Y$11:$Y$256)</f>
        <v>0</v>
      </c>
      <c r="M18" s="274">
        <f>SUMIF('A-3 On-Site Habitat Enhancement'!$S$12:$S$257,'G-2 Habitat groups'!A18,'A-3 On-Site Habitat Enhancement'!$V$12:$V$257)</f>
        <v>0</v>
      </c>
      <c r="N18" s="274">
        <f>SUMIF('A-3 On-Site Habitat Enhancement'!$S$12:$S$257,'G-2 Habitat groups'!A18,'A-3 On-Site Habitat Enhancement'!$AN$12:$AN$257)</f>
        <v>0</v>
      </c>
      <c r="O18" s="274">
        <f t="shared" si="1"/>
        <v>0</v>
      </c>
      <c r="P18" s="274">
        <f t="shared" si="2"/>
        <v>0</v>
      </c>
      <c r="Q18" s="274">
        <f t="shared" si="3"/>
        <v>0</v>
      </c>
      <c r="R18" s="274">
        <f t="shared" si="4"/>
        <v>0</v>
      </c>
      <c r="S18" s="274">
        <f>SUMIF('D-1 Off-Site Habitat Baseline'!$AV$11:$AV$258,'G-2 Habitat groups'!A18,'D-1 Off-Site Habitat Baseline'!$H$11:$H$258)</f>
        <v>0</v>
      </c>
      <c r="T18" s="274">
        <f>SUMIF('D-1 Off-Site Habitat Baseline'!$AV$11:$AV$258,'G-2 Habitat groups'!A18,'D-1 Off-Site Habitat Baseline'!$T$11:$T$258)</f>
        <v>0</v>
      </c>
      <c r="U18" s="274">
        <f>SUMIF('D-1 Off-Site Habitat Baseline'!$AV$11:$AV$258,'G-2 Habitat groups'!A18,'D-1 Off-Site Habitat Baseline'!$V$11:$V$258)</f>
        <v>0</v>
      </c>
      <c r="V18" s="274">
        <f>SUMIF('D-1 Off-Site Habitat Baseline'!$AV$11:$AV$258,'G-2 Habitat groups'!A18,'D-1 Off-Site Habitat Baseline'!$X$11:$X$258)+SUMIF('D-1 Off-Site Habitat Baseline'!$AV$11:$AV$258,'G-2 Habitat groups'!A18,'D-1 Off-Site Habitat Baseline'!$AS$11:$AS$258)</f>
        <v>0</v>
      </c>
      <c r="W18" s="274">
        <f>SUMIF('D-2 Off-Site Habitat Creation'!$F$9:$F$255,'G-2 Habitat groups'!A18,'D-2 Off-Site Habitat Creation'!$G$9:$G$255)</f>
        <v>0</v>
      </c>
      <c r="X18" s="274">
        <f>SUMIF('D-2 Off-Site Habitat Creation'!$F$9:$F$255,'G-2 Habitat groups'!A18,'D-2 Off-Site Habitat Creation'!$AB$9:$AB$255)</f>
        <v>0</v>
      </c>
      <c r="Y18" s="274">
        <f>SUMIF('D-3 Off-Site Habitat Enhancment'!$S$12:$S$491,'G-2 Habitat groups'!A18,'D-3 Off-Site Habitat Enhancment'!$V$12:$V$491)</f>
        <v>0</v>
      </c>
      <c r="Z18" s="274">
        <f>SUMIF('D-3 Off-Site Habitat Enhancment'!$S$12:$S$491,'G-2 Habitat groups'!A18,'D-3 Off-Site Habitat Enhancment'!$AQ$12:$AQ$491)</f>
        <v>0</v>
      </c>
      <c r="AA18" s="274">
        <f t="shared" si="5"/>
        <v>0</v>
      </c>
      <c r="AB18" s="274">
        <f t="shared" si="14"/>
        <v>0</v>
      </c>
      <c r="AC18" s="274">
        <f t="shared" si="6"/>
        <v>0</v>
      </c>
      <c r="AD18" s="274">
        <f t="shared" si="15"/>
        <v>0</v>
      </c>
      <c r="AE18" s="274">
        <f t="shared" si="7"/>
        <v>0</v>
      </c>
      <c r="AF18" s="274">
        <f t="shared" si="16"/>
        <v>0</v>
      </c>
      <c r="AJ18" s="492" t="s">
        <v>217</v>
      </c>
      <c r="AK18" s="423">
        <f>SUMIF($B:$B,$AJ18,E:E)</f>
        <v>0</v>
      </c>
      <c r="AL18" s="423">
        <f t="shared" si="9"/>
        <v>0</v>
      </c>
      <c r="AM18" s="423">
        <f t="shared" si="10"/>
        <v>0</v>
      </c>
      <c r="AN18" s="423">
        <f t="shared" si="11"/>
        <v>0</v>
      </c>
      <c r="AO18" s="423">
        <f t="shared" si="12"/>
        <v>0</v>
      </c>
      <c r="AP18" s="423">
        <f t="shared" si="13"/>
        <v>0</v>
      </c>
      <c r="AU18" s="82" t="s">
        <v>894</v>
      </c>
      <c r="AV18" s="62" t="s">
        <v>123</v>
      </c>
      <c r="AW18" s="280">
        <f t="shared" si="18"/>
        <v>0</v>
      </c>
      <c r="AX18" s="280">
        <f t="shared" si="19"/>
        <v>0</v>
      </c>
      <c r="AY18" s="280">
        <f t="shared" si="20"/>
        <v>0</v>
      </c>
      <c r="AZ18" s="280">
        <f t="shared" si="21"/>
        <v>0</v>
      </c>
      <c r="BA18" s="280">
        <f t="shared" si="22"/>
        <v>0</v>
      </c>
      <c r="BB18" s="280">
        <f t="shared" si="23"/>
        <v>0</v>
      </c>
      <c r="BC18" s="280">
        <f t="shared" si="24"/>
        <v>0</v>
      </c>
      <c r="BD18" s="280">
        <f t="shared" si="25"/>
        <v>0</v>
      </c>
      <c r="BE18" s="280">
        <f t="shared" si="26"/>
        <v>0</v>
      </c>
      <c r="BF18" s="280" t="str">
        <f t="shared" si="27"/>
        <v/>
      </c>
      <c r="BG18" s="280">
        <f t="shared" si="17"/>
        <v>0</v>
      </c>
    </row>
    <row r="19" spans="1:59" x14ac:dyDescent="0.25">
      <c r="A19" s="70" t="str">
        <f>'G-1 All Habitats'!B18</f>
        <v>Grassland - Lowland meadows</v>
      </c>
      <c r="B19" s="62" t="s">
        <v>78</v>
      </c>
      <c r="C19" s="62" t="str">
        <f>'G-1 All Habitats'!K18</f>
        <v>V.High</v>
      </c>
      <c r="D19" s="62" t="str">
        <f>'G-1 All Habitats'!M18</f>
        <v>Same habitat required – bespoke compensation option ⚠</v>
      </c>
      <c r="E19" s="274">
        <f>SUMIF('A-1 On-Site Habitat Baseline'!$AV$11:$AV$258,'G-2 Habitat groups'!A19,'A-1 On-Site Habitat Baseline'!$H$11:$H$258)</f>
        <v>0</v>
      </c>
      <c r="F19" s="274">
        <f>SUMIF('A-1 On-Site Habitat Baseline'!$AV$11:$AV$258,'G-2 Habitat groups'!A19,'A-1 On-Site Habitat Baseline'!$Q$11:$Q$258)</f>
        <v>0</v>
      </c>
      <c r="G19" s="274">
        <f>SUMIF('A-1 On-Site Habitat Baseline'!$AV$11:$AV$258,'G-2 Habitat groups'!A19,'A-1 On-Site Habitat Baseline'!$S$11:$S$258)</f>
        <v>0</v>
      </c>
      <c r="H19" s="274">
        <f>SUMIF('A-1 On-Site Habitat Baseline'!$AV$11:$AV$258,'G-2 Habitat groups'!A19,'A-1 On-Site Habitat Baseline'!$U$11:$U$258)+SUMIF('A-1 On-Site Habitat Baseline'!$AV$11:$AV$258,'G-2 Habitat groups'!A19, 'A-1 On-Site Habitat Baseline'!$AT$11:$AT$258)</f>
        <v>0</v>
      </c>
      <c r="I19" s="274">
        <f>SUMIF('A-1 On-Site Habitat Baseline'!$AV$11:$AV$258,'G-2 Habitat groups'!A19,'A-1 On-Site Habitat Baseline'!$W$11:$W$258)</f>
        <v>0</v>
      </c>
      <c r="J19" s="274">
        <f>SUMIF('A-1 On-Site Habitat Baseline'!$AV$11:$AV$258,'G-2 Habitat groups'!A19,'A-1 On-Site Habitat Baseline'!$X$11:$X$258)</f>
        <v>0</v>
      </c>
      <c r="K19" s="274">
        <f>SUMIF('A-2 On-Site Habitat Creation'!$F$11:$F$256,'G-2 Habitat groups'!A19,'A-2 On-Site Habitat Creation'!$G$11:$G$256)</f>
        <v>0</v>
      </c>
      <c r="L19" s="274">
        <f>SUMIF('A-2 On-Site Habitat Creation'!$F$11:$F$256,'G-2 Habitat groups'!A19,'A-2 On-Site Habitat Creation'!$Y$11:$Y$256)</f>
        <v>0</v>
      </c>
      <c r="M19" s="274">
        <f>SUMIF('A-3 On-Site Habitat Enhancement'!$S$12:$S$257,'G-2 Habitat groups'!A19,'A-3 On-Site Habitat Enhancement'!$V$12:$V$257)</f>
        <v>0</v>
      </c>
      <c r="N19" s="274">
        <f>SUMIF('A-3 On-Site Habitat Enhancement'!$S$12:$S$257,'G-2 Habitat groups'!A19,'A-3 On-Site Habitat Enhancement'!$AN$12:$AN$257)</f>
        <v>0</v>
      </c>
      <c r="O19" s="274">
        <f t="shared" si="1"/>
        <v>0</v>
      </c>
      <c r="P19" s="274">
        <f t="shared" si="2"/>
        <v>0</v>
      </c>
      <c r="Q19" s="274">
        <f t="shared" si="3"/>
        <v>0</v>
      </c>
      <c r="R19" s="274">
        <f t="shared" si="4"/>
        <v>0</v>
      </c>
      <c r="S19" s="274">
        <f>SUMIF('D-1 Off-Site Habitat Baseline'!$AV$11:$AV$258,'G-2 Habitat groups'!A19,'D-1 Off-Site Habitat Baseline'!$H$11:$H$258)</f>
        <v>0</v>
      </c>
      <c r="T19" s="274">
        <f>SUMIF('D-1 Off-Site Habitat Baseline'!$AV$11:$AV$258,'G-2 Habitat groups'!A19,'D-1 Off-Site Habitat Baseline'!$T$11:$T$258)</f>
        <v>0</v>
      </c>
      <c r="U19" s="274">
        <f>SUMIF('D-1 Off-Site Habitat Baseline'!$AV$11:$AV$258,'G-2 Habitat groups'!A19,'D-1 Off-Site Habitat Baseline'!$V$11:$V$258)</f>
        <v>0</v>
      </c>
      <c r="V19" s="274">
        <f>SUMIF('D-1 Off-Site Habitat Baseline'!$AV$11:$AV$258,'G-2 Habitat groups'!A19,'D-1 Off-Site Habitat Baseline'!$X$11:$X$258)+SUMIF('D-1 Off-Site Habitat Baseline'!$AV$11:$AV$258,'G-2 Habitat groups'!A19,'D-1 Off-Site Habitat Baseline'!$AS$11:$AS$258)</f>
        <v>0</v>
      </c>
      <c r="W19" s="274">
        <f>SUMIF('D-2 Off-Site Habitat Creation'!$F$9:$F$255,'G-2 Habitat groups'!A19,'D-2 Off-Site Habitat Creation'!$G$9:$G$255)</f>
        <v>0</v>
      </c>
      <c r="X19" s="274">
        <f>SUMIF('D-2 Off-Site Habitat Creation'!$F$9:$F$255,'G-2 Habitat groups'!A19,'D-2 Off-Site Habitat Creation'!$AB$9:$AB$255)</f>
        <v>0</v>
      </c>
      <c r="Y19" s="274">
        <f>SUMIF('D-3 Off-Site Habitat Enhancment'!$S$12:$S$491,'G-2 Habitat groups'!A19,'D-3 Off-Site Habitat Enhancment'!$V$12:$V$491)</f>
        <v>0</v>
      </c>
      <c r="Z19" s="274">
        <f>SUMIF('D-3 Off-Site Habitat Enhancment'!$S$12:$S$491,'G-2 Habitat groups'!A19,'D-3 Off-Site Habitat Enhancment'!$AQ$12:$AQ$491)</f>
        <v>0</v>
      </c>
      <c r="AA19" s="274">
        <f t="shared" si="5"/>
        <v>0</v>
      </c>
      <c r="AB19" s="274">
        <f t="shared" si="14"/>
        <v>0</v>
      </c>
      <c r="AC19" s="274">
        <f t="shared" si="6"/>
        <v>0</v>
      </c>
      <c r="AD19" s="274">
        <f t="shared" si="15"/>
        <v>0</v>
      </c>
      <c r="AE19" s="274">
        <f t="shared" si="7"/>
        <v>0</v>
      </c>
      <c r="AF19" s="274">
        <f t="shared" si="16"/>
        <v>0</v>
      </c>
      <c r="AU19" s="82" t="s">
        <v>933</v>
      </c>
      <c r="AV19" s="82" t="s">
        <v>87</v>
      </c>
      <c r="AW19" s="353">
        <f t="shared" si="18"/>
        <v>0</v>
      </c>
      <c r="AX19" s="353">
        <f t="shared" si="19"/>
        <v>0</v>
      </c>
      <c r="AY19" s="353">
        <f t="shared" si="20"/>
        <v>0</v>
      </c>
      <c r="AZ19" s="353">
        <f t="shared" si="21"/>
        <v>0</v>
      </c>
      <c r="BA19" s="353">
        <f t="shared" si="22"/>
        <v>0</v>
      </c>
      <c r="BB19" s="353">
        <f t="shared" si="23"/>
        <v>0</v>
      </c>
      <c r="BC19" s="353">
        <f t="shared" si="24"/>
        <v>0</v>
      </c>
      <c r="BD19" s="353">
        <f t="shared" si="25"/>
        <v>0</v>
      </c>
      <c r="BE19" s="353">
        <f t="shared" si="26"/>
        <v>0</v>
      </c>
      <c r="BF19" s="353" t="str">
        <f t="shared" si="27"/>
        <v/>
      </c>
      <c r="BG19" s="280">
        <f t="shared" si="17"/>
        <v>0</v>
      </c>
    </row>
    <row r="20" spans="1:59" ht="31.2" x14ac:dyDescent="0.25">
      <c r="A20" s="70" t="str">
        <f>'G-1 All Habitats'!B19</f>
        <v>Grassland - Modified grassland</v>
      </c>
      <c r="B20" s="62" t="s">
        <v>78</v>
      </c>
      <c r="C20" s="62" t="str">
        <f>'G-1 All Habitats'!K19</f>
        <v>Low</v>
      </c>
      <c r="D20" s="62" t="str">
        <f>'G-1 All Habitats'!M19</f>
        <v>Same distinctiveness or better habitat required ≥</v>
      </c>
      <c r="E20" s="274">
        <f>SUMIF('A-1 On-Site Habitat Baseline'!$AV$11:$AV$258,'G-2 Habitat groups'!A20,'A-1 On-Site Habitat Baseline'!$H$11:$H$258)</f>
        <v>0.29330000000000001</v>
      </c>
      <c r="F20" s="274">
        <f>SUMIF('A-1 On-Site Habitat Baseline'!$AV$11:$AV$258,'G-2 Habitat groups'!A20,'A-1 On-Site Habitat Baseline'!$Q$11:$Q$258)</f>
        <v>0.67458999999999991</v>
      </c>
      <c r="G20" s="274">
        <f>SUMIF('A-1 On-Site Habitat Baseline'!$AV$11:$AV$258,'G-2 Habitat groups'!A20,'A-1 On-Site Habitat Baseline'!$S$11:$S$258)</f>
        <v>0</v>
      </c>
      <c r="H20" s="274">
        <f>SUMIF('A-1 On-Site Habitat Baseline'!$AV$11:$AV$258,'G-2 Habitat groups'!A20,'A-1 On-Site Habitat Baseline'!$U$11:$U$258)+SUMIF('A-1 On-Site Habitat Baseline'!$AV$11:$AV$258,'G-2 Habitat groups'!A20, 'A-1 On-Site Habitat Baseline'!$AT$11:$AT$258)</f>
        <v>0</v>
      </c>
      <c r="I20" s="274">
        <f>SUMIF('A-1 On-Site Habitat Baseline'!$AV$11:$AV$258,'G-2 Habitat groups'!A20,'A-1 On-Site Habitat Baseline'!$W$11:$W$258)</f>
        <v>0.29330000000000001</v>
      </c>
      <c r="J20" s="274">
        <f>SUMIF('A-1 On-Site Habitat Baseline'!$AV$11:$AV$258,'G-2 Habitat groups'!A20,'A-1 On-Site Habitat Baseline'!$X$11:$X$258)</f>
        <v>0.67458999999999991</v>
      </c>
      <c r="K20" s="274">
        <f>SUMIF('A-2 On-Site Habitat Creation'!$F$11:$F$256,'G-2 Habitat groups'!A20,'A-2 On-Site Habitat Creation'!$G$11:$G$256)</f>
        <v>2.6700000000000002E-2</v>
      </c>
      <c r="L20" s="274">
        <f>SUMIF('A-2 On-Site Habitat Creation'!$F$11:$F$256,'G-2 Habitat groups'!A20,'A-2 On-Site Habitat Creation'!$Y$11:$Y$256)</f>
        <v>5.9260649999999991E-2</v>
      </c>
      <c r="M20" s="274">
        <f>SUMIF('A-3 On-Site Habitat Enhancement'!$S$12:$S$257,'G-2 Habitat groups'!A20,'A-3 On-Site Habitat Enhancement'!$V$12:$V$257)</f>
        <v>0</v>
      </c>
      <c r="N20" s="274">
        <f>SUMIF('A-3 On-Site Habitat Enhancement'!$S$12:$S$257,'G-2 Habitat groups'!A20,'A-3 On-Site Habitat Enhancement'!$AN$12:$AN$257)</f>
        <v>0</v>
      </c>
      <c r="O20" s="274">
        <f t="shared" si="1"/>
        <v>2.6700000000000002E-2</v>
      </c>
      <c r="P20" s="274">
        <f t="shared" si="2"/>
        <v>5.9260649999999991E-2</v>
      </c>
      <c r="Q20" s="274">
        <f t="shared" si="3"/>
        <v>-0.2666</v>
      </c>
      <c r="R20" s="274">
        <f t="shared" si="4"/>
        <v>-0.61532934999999989</v>
      </c>
      <c r="S20" s="274">
        <f>SUMIF('D-1 Off-Site Habitat Baseline'!$AV$11:$AV$258,'G-2 Habitat groups'!A20,'D-1 Off-Site Habitat Baseline'!$H$11:$H$258)</f>
        <v>0.1774</v>
      </c>
      <c r="T20" s="274">
        <f>SUMIF('D-1 Off-Site Habitat Baseline'!$AV$11:$AV$258,'G-2 Habitat groups'!A20,'D-1 Off-Site Habitat Baseline'!$T$11:$T$258)</f>
        <v>0.40801999999999999</v>
      </c>
      <c r="U20" s="274">
        <f>SUMIF('D-1 Off-Site Habitat Baseline'!$AV$11:$AV$258,'G-2 Habitat groups'!A20,'D-1 Off-Site Habitat Baseline'!$V$11:$V$258)</f>
        <v>0</v>
      </c>
      <c r="V20" s="274">
        <f>SUMIF('D-1 Off-Site Habitat Baseline'!$AV$11:$AV$258,'G-2 Habitat groups'!A20,'D-1 Off-Site Habitat Baseline'!$X$11:$X$258)+SUMIF('D-1 Off-Site Habitat Baseline'!$AV$11:$AV$258,'G-2 Habitat groups'!A20,'D-1 Off-Site Habitat Baseline'!$AS$11:$AS$258)</f>
        <v>0</v>
      </c>
      <c r="W20" s="274">
        <f>SUMIF('D-2 Off-Site Habitat Creation'!$F$9:$F$255,'G-2 Habitat groups'!A20,'D-2 Off-Site Habitat Creation'!$G$9:$G$255)</f>
        <v>0</v>
      </c>
      <c r="X20" s="274">
        <f>SUMIF('D-2 Off-Site Habitat Creation'!$F$9:$F$255,'G-2 Habitat groups'!A20,'D-2 Off-Site Habitat Creation'!$AB$9:$AB$255)</f>
        <v>0</v>
      </c>
      <c r="Y20" s="274">
        <f>SUMIF('D-3 Off-Site Habitat Enhancment'!$S$12:$S$491,'G-2 Habitat groups'!A20,'D-3 Off-Site Habitat Enhancment'!$V$12:$V$491)</f>
        <v>0</v>
      </c>
      <c r="Z20" s="274">
        <f>SUMIF('D-3 Off-Site Habitat Enhancment'!$S$12:$S$491,'G-2 Habitat groups'!A20,'D-3 Off-Site Habitat Enhancment'!$AQ$12:$AQ$491)</f>
        <v>0</v>
      </c>
      <c r="AA20" s="274">
        <f t="shared" si="5"/>
        <v>0</v>
      </c>
      <c r="AB20" s="274">
        <f t="shared" si="14"/>
        <v>0</v>
      </c>
      <c r="AC20" s="274">
        <f t="shared" si="6"/>
        <v>-0.1774</v>
      </c>
      <c r="AD20" s="274">
        <f t="shared" si="15"/>
        <v>-0.40801999999999999</v>
      </c>
      <c r="AE20" s="274">
        <f t="shared" si="7"/>
        <v>-0.44400000000000001</v>
      </c>
      <c r="AF20" s="274">
        <f t="shared" si="16"/>
        <v>-1.0233493499999999</v>
      </c>
      <c r="AJ20" s="417" t="s">
        <v>1079</v>
      </c>
      <c r="AK20" s="417" t="s">
        <v>1064</v>
      </c>
      <c r="AL20" s="417" t="s">
        <v>1065</v>
      </c>
      <c r="AM20" s="417" t="s">
        <v>1080</v>
      </c>
      <c r="AN20" s="417" t="s">
        <v>1081</v>
      </c>
      <c r="AO20" s="417" t="s">
        <v>225</v>
      </c>
      <c r="AP20" s="417" t="s">
        <v>1082</v>
      </c>
      <c r="AU20" s="82" t="s">
        <v>942</v>
      </c>
      <c r="AV20" s="62" t="s">
        <v>94</v>
      </c>
      <c r="AW20" s="280">
        <f t="shared" si="18"/>
        <v>0</v>
      </c>
      <c r="AX20" s="280">
        <f t="shared" si="19"/>
        <v>0</v>
      </c>
      <c r="AY20" s="280">
        <f t="shared" si="20"/>
        <v>0</v>
      </c>
      <c r="AZ20" s="280">
        <f t="shared" si="21"/>
        <v>0</v>
      </c>
      <c r="BA20" s="280">
        <f t="shared" si="22"/>
        <v>0</v>
      </c>
      <c r="BB20" s="280">
        <f t="shared" si="23"/>
        <v>0</v>
      </c>
      <c r="BC20" s="280">
        <f t="shared" si="24"/>
        <v>0</v>
      </c>
      <c r="BD20" s="280">
        <f t="shared" si="25"/>
        <v>0</v>
      </c>
      <c r="BE20" s="280">
        <f t="shared" si="26"/>
        <v>0</v>
      </c>
      <c r="BF20" s="280" t="str">
        <f t="shared" si="27"/>
        <v/>
      </c>
      <c r="BG20" s="280">
        <f t="shared" si="17"/>
        <v>0</v>
      </c>
    </row>
    <row r="21" spans="1:59" x14ac:dyDescent="0.25">
      <c r="A21" s="70" t="str">
        <f>'G-1 All Habitats'!B20</f>
        <v>Grassland - Other lowland acid grassland</v>
      </c>
      <c r="B21" s="62" t="s">
        <v>78</v>
      </c>
      <c r="C21" s="62" t="str">
        <f>'G-1 All Habitats'!K20</f>
        <v>Medium</v>
      </c>
      <c r="D21" s="62" t="str">
        <f>'G-1 All Habitats'!M20</f>
        <v>Same broad habitat or a higher distinctiveness habitat required (≥)</v>
      </c>
      <c r="E21" s="274">
        <f>SUMIF('A-1 On-Site Habitat Baseline'!$AV$11:$AV$258,'G-2 Habitat groups'!A21,'A-1 On-Site Habitat Baseline'!$H$11:$H$258)</f>
        <v>0</v>
      </c>
      <c r="F21" s="274">
        <f>SUMIF('A-1 On-Site Habitat Baseline'!$AV$11:$AV$258,'G-2 Habitat groups'!A21,'A-1 On-Site Habitat Baseline'!$Q$11:$Q$258)</f>
        <v>0</v>
      </c>
      <c r="G21" s="274">
        <f>SUMIF('A-1 On-Site Habitat Baseline'!$AV$11:$AV$258,'G-2 Habitat groups'!A21,'A-1 On-Site Habitat Baseline'!$S$11:$S$258)</f>
        <v>0</v>
      </c>
      <c r="H21" s="274">
        <f>SUMIF('A-1 On-Site Habitat Baseline'!$AV$11:$AV$258,'G-2 Habitat groups'!A21,'A-1 On-Site Habitat Baseline'!$U$11:$U$258)+SUMIF('A-1 On-Site Habitat Baseline'!$AV$11:$AV$258,'G-2 Habitat groups'!A21, 'A-1 On-Site Habitat Baseline'!$AT$11:$AT$258)</f>
        <v>0</v>
      </c>
      <c r="I21" s="274">
        <f>SUMIF('A-1 On-Site Habitat Baseline'!$AV$11:$AV$258,'G-2 Habitat groups'!A21,'A-1 On-Site Habitat Baseline'!$W$11:$W$258)</f>
        <v>0</v>
      </c>
      <c r="J21" s="274">
        <f>SUMIF('A-1 On-Site Habitat Baseline'!$AV$11:$AV$258,'G-2 Habitat groups'!A21,'A-1 On-Site Habitat Baseline'!$X$11:$X$258)</f>
        <v>0</v>
      </c>
      <c r="K21" s="274">
        <f>SUMIF('A-2 On-Site Habitat Creation'!$F$11:$F$256,'G-2 Habitat groups'!A21,'A-2 On-Site Habitat Creation'!$G$11:$G$256)</f>
        <v>0</v>
      </c>
      <c r="L21" s="274">
        <f>SUMIF('A-2 On-Site Habitat Creation'!$F$11:$F$256,'G-2 Habitat groups'!A21,'A-2 On-Site Habitat Creation'!$Y$11:$Y$256)</f>
        <v>0</v>
      </c>
      <c r="M21" s="274">
        <f>SUMIF('A-3 On-Site Habitat Enhancement'!$S$12:$S$257,'G-2 Habitat groups'!A21,'A-3 On-Site Habitat Enhancement'!$V$12:$V$257)</f>
        <v>0</v>
      </c>
      <c r="N21" s="274">
        <f>SUMIF('A-3 On-Site Habitat Enhancement'!$S$12:$S$257,'G-2 Habitat groups'!A21,'A-3 On-Site Habitat Enhancement'!$AN$12:$AN$257)</f>
        <v>0</v>
      </c>
      <c r="O21" s="274">
        <f t="shared" si="1"/>
        <v>0</v>
      </c>
      <c r="P21" s="274">
        <f t="shared" si="2"/>
        <v>0</v>
      </c>
      <c r="Q21" s="274">
        <f t="shared" si="3"/>
        <v>0</v>
      </c>
      <c r="R21" s="274">
        <f t="shared" si="4"/>
        <v>0</v>
      </c>
      <c r="S21" s="274">
        <f>SUMIF('D-1 Off-Site Habitat Baseline'!$AV$11:$AV$258,'G-2 Habitat groups'!A21,'D-1 Off-Site Habitat Baseline'!$H$11:$H$258)</f>
        <v>0</v>
      </c>
      <c r="T21" s="274">
        <f>SUMIF('D-1 Off-Site Habitat Baseline'!$AV$11:$AV$258,'G-2 Habitat groups'!A21,'D-1 Off-Site Habitat Baseline'!$T$11:$T$258)</f>
        <v>0</v>
      </c>
      <c r="U21" s="274">
        <f>SUMIF('D-1 Off-Site Habitat Baseline'!$AV$11:$AV$258,'G-2 Habitat groups'!A21,'D-1 Off-Site Habitat Baseline'!$V$11:$V$258)</f>
        <v>0</v>
      </c>
      <c r="V21" s="274">
        <f>SUMIF('D-1 Off-Site Habitat Baseline'!$AV$11:$AV$258,'G-2 Habitat groups'!A21,'D-1 Off-Site Habitat Baseline'!$X$11:$X$258)+SUMIF('D-1 Off-Site Habitat Baseline'!$AV$11:$AV$258,'G-2 Habitat groups'!A21,'D-1 Off-Site Habitat Baseline'!$AS$11:$AS$258)</f>
        <v>0</v>
      </c>
      <c r="W21" s="274">
        <f>SUMIF('D-2 Off-Site Habitat Creation'!$F$9:$F$255,'G-2 Habitat groups'!A21,'D-2 Off-Site Habitat Creation'!$G$9:$G$255)</f>
        <v>0</v>
      </c>
      <c r="X21" s="274">
        <f>SUMIF('D-2 Off-Site Habitat Creation'!$F$9:$F$255,'G-2 Habitat groups'!A21,'D-2 Off-Site Habitat Creation'!$AB$9:$AB$255)</f>
        <v>0</v>
      </c>
      <c r="Y21" s="274">
        <f>SUMIF('D-3 Off-Site Habitat Enhancment'!$S$12:$S$491,'G-2 Habitat groups'!A21,'D-3 Off-Site Habitat Enhancment'!$V$12:$V$491)</f>
        <v>0</v>
      </c>
      <c r="Z21" s="274">
        <f>SUMIF('D-3 Off-Site Habitat Enhancment'!$S$12:$S$491,'G-2 Habitat groups'!A21,'D-3 Off-Site Habitat Enhancment'!$AQ$12:$AQ$491)</f>
        <v>0</v>
      </c>
      <c r="AA21" s="274">
        <f t="shared" si="5"/>
        <v>0</v>
      </c>
      <c r="AB21" s="274">
        <f t="shared" si="14"/>
        <v>0</v>
      </c>
      <c r="AC21" s="274">
        <f t="shared" si="6"/>
        <v>0</v>
      </c>
      <c r="AD21" s="274">
        <f t="shared" si="15"/>
        <v>0</v>
      </c>
      <c r="AE21" s="274">
        <f t="shared" si="7"/>
        <v>0</v>
      </c>
      <c r="AF21" s="274">
        <f t="shared" si="16"/>
        <v>0</v>
      </c>
      <c r="AJ21" s="72" t="s">
        <v>147</v>
      </c>
      <c r="AK21" s="423">
        <f t="shared" ref="AK21:AK35" si="28">SUMIF($B:$B,$AJ21,S:S)</f>
        <v>0</v>
      </c>
      <c r="AL21" s="423">
        <f t="shared" ref="AL21:AL35" si="29">SUMIF($B:$B,$AJ21,T:T)</f>
        <v>0</v>
      </c>
      <c r="AM21" s="423">
        <f t="shared" ref="AM21:AM35" si="30">SUMIF($B:$B,$AJ21,AA:AA)</f>
        <v>0</v>
      </c>
      <c r="AN21" s="423">
        <f t="shared" ref="AN21:AN35" si="31">SUMIF($B:$B,$AJ21,AB:AB)</f>
        <v>0</v>
      </c>
      <c r="AO21" s="493">
        <f t="shared" ref="AO21:AO35" si="32">SUMIF($B:$B,$AJ21,AC:AC)</f>
        <v>0</v>
      </c>
      <c r="AP21" s="493">
        <f t="shared" ref="AP21:AP35" si="33">SUMIF($B:$B,$AJ21,AD:AD)</f>
        <v>0</v>
      </c>
      <c r="AU21" s="82" t="s">
        <v>948</v>
      </c>
      <c r="AV21" s="62" t="s">
        <v>94</v>
      </c>
      <c r="AW21" s="280">
        <f t="shared" si="18"/>
        <v>0</v>
      </c>
      <c r="AX21" s="280">
        <f t="shared" si="19"/>
        <v>0</v>
      </c>
      <c r="AY21" s="280">
        <f t="shared" si="20"/>
        <v>0</v>
      </c>
      <c r="AZ21" s="280">
        <f t="shared" si="21"/>
        <v>0</v>
      </c>
      <c r="BA21" s="280">
        <f t="shared" si="22"/>
        <v>0</v>
      </c>
      <c r="BB21" s="280">
        <f t="shared" si="23"/>
        <v>0</v>
      </c>
      <c r="BC21" s="280">
        <f t="shared" si="24"/>
        <v>0</v>
      </c>
      <c r="BD21" s="280">
        <f t="shared" si="25"/>
        <v>0</v>
      </c>
      <c r="BE21" s="280">
        <f t="shared" si="26"/>
        <v>0</v>
      </c>
      <c r="BF21" s="280" t="str">
        <f t="shared" si="27"/>
        <v/>
      </c>
      <c r="BG21" s="280">
        <f t="shared" si="17"/>
        <v>0</v>
      </c>
    </row>
    <row r="22" spans="1:59" x14ac:dyDescent="0.25">
      <c r="A22" s="70" t="str">
        <f>'G-1 All Habitats'!B21</f>
        <v>Grassland - Other neutral grassland</v>
      </c>
      <c r="B22" s="62" t="s">
        <v>78</v>
      </c>
      <c r="C22" s="62" t="str">
        <f>'G-1 All Habitats'!K21</f>
        <v>Medium</v>
      </c>
      <c r="D22" s="62" t="str">
        <f>'G-1 All Habitats'!M21</f>
        <v>Same broad habitat or a higher distinctiveness habitat required (≥)</v>
      </c>
      <c r="E22" s="274">
        <f>SUMIF('A-1 On-Site Habitat Baseline'!$AV$11:$AV$258,'G-2 Habitat groups'!A22,'A-1 On-Site Habitat Baseline'!$H$11:$H$258)</f>
        <v>0.17050000000000001</v>
      </c>
      <c r="F22" s="274">
        <f>SUMIF('A-1 On-Site Habitat Baseline'!$AV$11:$AV$258,'G-2 Habitat groups'!A22,'A-1 On-Site Habitat Baseline'!$Q$11:$Q$258)</f>
        <v>0.7843</v>
      </c>
      <c r="G22" s="274">
        <f>SUMIF('A-1 On-Site Habitat Baseline'!$AV$11:$AV$258,'G-2 Habitat groups'!A22,'A-1 On-Site Habitat Baseline'!$S$11:$S$258)</f>
        <v>0</v>
      </c>
      <c r="H22" s="274">
        <f>SUMIF('A-1 On-Site Habitat Baseline'!$AV$11:$AV$258,'G-2 Habitat groups'!A22,'A-1 On-Site Habitat Baseline'!$U$11:$U$258)+SUMIF('A-1 On-Site Habitat Baseline'!$AV$11:$AV$258,'G-2 Habitat groups'!A22, 'A-1 On-Site Habitat Baseline'!$AT$11:$AT$258)</f>
        <v>0</v>
      </c>
      <c r="I22" s="274">
        <f>SUMIF('A-1 On-Site Habitat Baseline'!$AV$11:$AV$258,'G-2 Habitat groups'!A22,'A-1 On-Site Habitat Baseline'!$W$11:$W$258)</f>
        <v>0.17050000000000001</v>
      </c>
      <c r="J22" s="274">
        <f>SUMIF('A-1 On-Site Habitat Baseline'!$AV$11:$AV$258,'G-2 Habitat groups'!A22,'A-1 On-Site Habitat Baseline'!$X$11:$X$258)</f>
        <v>0.7843</v>
      </c>
      <c r="K22" s="274">
        <f>SUMIF('A-2 On-Site Habitat Creation'!$F$11:$F$256,'G-2 Habitat groups'!A22,'A-2 On-Site Habitat Creation'!$G$11:$G$256)</f>
        <v>0.14019999999999999</v>
      </c>
      <c r="L22" s="274">
        <f>SUMIF('A-2 On-Site Habitat Creation'!$F$11:$F$256,'G-2 Habitat groups'!A22,'A-2 On-Site Habitat Creation'!$Y$11:$Y$256)</f>
        <v>0.60056562699999994</v>
      </c>
      <c r="M22" s="274">
        <f>SUMIF('A-3 On-Site Habitat Enhancement'!$S$12:$S$257,'G-2 Habitat groups'!A22,'A-3 On-Site Habitat Enhancement'!$V$12:$V$257)</f>
        <v>0</v>
      </c>
      <c r="N22" s="274">
        <f>SUMIF('A-3 On-Site Habitat Enhancement'!$S$12:$S$257,'G-2 Habitat groups'!A22,'A-3 On-Site Habitat Enhancement'!$AN$12:$AN$257)</f>
        <v>0</v>
      </c>
      <c r="O22" s="274">
        <f t="shared" si="1"/>
        <v>0.14019999999999999</v>
      </c>
      <c r="P22" s="274">
        <f t="shared" si="2"/>
        <v>0.60056562699999994</v>
      </c>
      <c r="Q22" s="274">
        <f t="shared" si="3"/>
        <v>-3.0300000000000021E-2</v>
      </c>
      <c r="R22" s="274">
        <f t="shared" si="4"/>
        <v>-0.18373437300000006</v>
      </c>
      <c r="S22" s="274">
        <f>SUMIF('D-1 Off-Site Habitat Baseline'!$AV$11:$AV$258,'G-2 Habitat groups'!A22,'D-1 Off-Site Habitat Baseline'!$H$11:$H$258)</f>
        <v>7.6499999999999999E-2</v>
      </c>
      <c r="T22" s="274">
        <f>SUMIF('D-1 Off-Site Habitat Baseline'!$AV$11:$AV$258,'G-2 Habitat groups'!A22,'D-1 Off-Site Habitat Baseline'!$T$11:$T$258)</f>
        <v>0.35189999999999999</v>
      </c>
      <c r="U22" s="274">
        <f>SUMIF('D-1 Off-Site Habitat Baseline'!$AV$11:$AV$258,'G-2 Habitat groups'!A22,'D-1 Off-Site Habitat Baseline'!$V$11:$V$258)</f>
        <v>0</v>
      </c>
      <c r="V22" s="274">
        <f>SUMIF('D-1 Off-Site Habitat Baseline'!$AV$11:$AV$258,'G-2 Habitat groups'!A22,'D-1 Off-Site Habitat Baseline'!$X$11:$X$258)+SUMIF('D-1 Off-Site Habitat Baseline'!$AV$11:$AV$258,'G-2 Habitat groups'!A22,'D-1 Off-Site Habitat Baseline'!$AS$11:$AS$258)</f>
        <v>0</v>
      </c>
      <c r="W22" s="274">
        <f>SUMIF('D-2 Off-Site Habitat Creation'!$F$9:$F$255,'G-2 Habitat groups'!A22,'D-2 Off-Site Habitat Creation'!$G$9:$G$255)</f>
        <v>0.1331</v>
      </c>
      <c r="X22" s="274">
        <f>SUMIF('D-2 Off-Site Habitat Creation'!$F$9:$F$255,'G-2 Habitat groups'!A22,'D-2 Off-Site Habitat Creation'!$AB$9:$AB$255)</f>
        <v>1.2862644756050756</v>
      </c>
      <c r="Y22" s="274">
        <f>SUMIF('D-3 Off-Site Habitat Enhancment'!$S$12:$S$491,'G-2 Habitat groups'!A22,'D-3 Off-Site Habitat Enhancment'!$V$12:$V$491)</f>
        <v>0</v>
      </c>
      <c r="Z22" s="274">
        <f>SUMIF('D-3 Off-Site Habitat Enhancment'!$S$12:$S$491,'G-2 Habitat groups'!A22,'D-3 Off-Site Habitat Enhancment'!$AQ$12:$AQ$491)</f>
        <v>0</v>
      </c>
      <c r="AA22" s="274">
        <f t="shared" si="5"/>
        <v>0.1331</v>
      </c>
      <c r="AB22" s="274">
        <f t="shared" si="14"/>
        <v>1.2862644756050756</v>
      </c>
      <c r="AC22" s="274">
        <f t="shared" si="6"/>
        <v>5.6599999999999998E-2</v>
      </c>
      <c r="AD22" s="274">
        <f t="shared" si="15"/>
        <v>0.93436447560507563</v>
      </c>
      <c r="AE22" s="274">
        <f t="shared" si="7"/>
        <v>2.6299999999999976E-2</v>
      </c>
      <c r="AF22" s="274">
        <f t="shared" si="16"/>
        <v>0.75063010260507557</v>
      </c>
      <c r="AJ22" s="73" t="s">
        <v>78</v>
      </c>
      <c r="AK22" s="423">
        <f t="shared" si="28"/>
        <v>0.25390000000000001</v>
      </c>
      <c r="AL22" s="423">
        <f t="shared" si="29"/>
        <v>0.75991999999999993</v>
      </c>
      <c r="AM22" s="423">
        <f t="shared" si="30"/>
        <v>0.1331</v>
      </c>
      <c r="AN22" s="423">
        <f t="shared" si="31"/>
        <v>1.2862644756050756</v>
      </c>
      <c r="AO22" s="493">
        <f t="shared" si="32"/>
        <v>-0.1208</v>
      </c>
      <c r="AP22" s="493">
        <f t="shared" si="33"/>
        <v>0.52634447560507569</v>
      </c>
      <c r="AU22" s="82" t="s">
        <v>954</v>
      </c>
      <c r="AV22" s="62" t="s">
        <v>94</v>
      </c>
      <c r="AW22" s="280">
        <f t="shared" si="18"/>
        <v>0</v>
      </c>
      <c r="AX22" s="280">
        <f t="shared" si="19"/>
        <v>0</v>
      </c>
      <c r="AY22" s="280">
        <f t="shared" si="20"/>
        <v>0</v>
      </c>
      <c r="AZ22" s="280">
        <f t="shared" si="21"/>
        <v>0</v>
      </c>
      <c r="BA22" s="280">
        <f t="shared" si="22"/>
        <v>0</v>
      </c>
      <c r="BB22" s="280">
        <f t="shared" si="23"/>
        <v>0</v>
      </c>
      <c r="BC22" s="280">
        <f t="shared" si="24"/>
        <v>0</v>
      </c>
      <c r="BD22" s="280">
        <f t="shared" si="25"/>
        <v>0</v>
      </c>
      <c r="BE22" s="280">
        <f t="shared" si="26"/>
        <v>0</v>
      </c>
      <c r="BF22" s="280" t="str">
        <f t="shared" si="27"/>
        <v/>
      </c>
      <c r="BG22" s="280">
        <f t="shared" si="17"/>
        <v>0</v>
      </c>
    </row>
    <row r="23" spans="1:59" ht="18.600000000000001" customHeight="1" x14ac:dyDescent="0.25">
      <c r="A23" s="70" t="str">
        <f>'G-1 All Habitats'!B22</f>
        <v>Grassland - Tall herb communities (H6430)</v>
      </c>
      <c r="B23" s="62" t="s">
        <v>78</v>
      </c>
      <c r="C23" s="62" t="str">
        <f>'G-1 All Habitats'!K22</f>
        <v>High</v>
      </c>
      <c r="D23" s="62" t="str">
        <f>'G-1 All Habitats'!M22</f>
        <v>Same habitat required =</v>
      </c>
      <c r="E23" s="274">
        <f>SUMIF('A-1 On-Site Habitat Baseline'!$AV$11:$AV$258,'G-2 Habitat groups'!A23,'A-1 On-Site Habitat Baseline'!$H$11:$H$258)</f>
        <v>0</v>
      </c>
      <c r="F23" s="274">
        <f>SUMIF('A-1 On-Site Habitat Baseline'!$AV$11:$AV$258,'G-2 Habitat groups'!A23,'A-1 On-Site Habitat Baseline'!$Q$11:$Q$258)</f>
        <v>0</v>
      </c>
      <c r="G23" s="274">
        <f>SUMIF('A-1 On-Site Habitat Baseline'!$AV$11:$AV$258,'G-2 Habitat groups'!A23,'A-1 On-Site Habitat Baseline'!$S$11:$S$258)</f>
        <v>0</v>
      </c>
      <c r="H23" s="274">
        <f>SUMIF('A-1 On-Site Habitat Baseline'!$AV$11:$AV$258,'G-2 Habitat groups'!A23,'A-1 On-Site Habitat Baseline'!$U$11:$U$258)+SUMIF('A-1 On-Site Habitat Baseline'!$AV$11:$AV$258,'G-2 Habitat groups'!A23, 'A-1 On-Site Habitat Baseline'!$AT$11:$AT$258)</f>
        <v>0</v>
      </c>
      <c r="I23" s="274">
        <f>SUMIF('A-1 On-Site Habitat Baseline'!$AV$11:$AV$258,'G-2 Habitat groups'!A23,'A-1 On-Site Habitat Baseline'!$W$11:$W$258)</f>
        <v>0</v>
      </c>
      <c r="J23" s="274">
        <f>SUMIF('A-1 On-Site Habitat Baseline'!$AV$11:$AV$258,'G-2 Habitat groups'!A23,'A-1 On-Site Habitat Baseline'!$X$11:$X$258)</f>
        <v>0</v>
      </c>
      <c r="K23" s="274">
        <f>SUMIF('A-2 On-Site Habitat Creation'!$F$11:$F$256,'G-2 Habitat groups'!A23,'A-2 On-Site Habitat Creation'!$G$11:$G$256)</f>
        <v>0</v>
      </c>
      <c r="L23" s="274">
        <f>SUMIF('A-2 On-Site Habitat Creation'!$F$11:$F$256,'G-2 Habitat groups'!A23,'A-2 On-Site Habitat Creation'!$Y$11:$Y$256)</f>
        <v>0</v>
      </c>
      <c r="M23" s="274">
        <f>SUMIF('A-3 On-Site Habitat Enhancement'!$S$12:$S$257,'G-2 Habitat groups'!A23,'A-3 On-Site Habitat Enhancement'!$V$12:$V$257)</f>
        <v>0</v>
      </c>
      <c r="N23" s="274">
        <f>SUMIF('A-3 On-Site Habitat Enhancement'!$S$12:$S$257,'G-2 Habitat groups'!A23,'A-3 On-Site Habitat Enhancement'!$AN$12:$AN$257)</f>
        <v>0</v>
      </c>
      <c r="O23" s="274">
        <f t="shared" si="1"/>
        <v>0</v>
      </c>
      <c r="P23" s="274">
        <f t="shared" si="2"/>
        <v>0</v>
      </c>
      <c r="Q23" s="274">
        <f t="shared" si="3"/>
        <v>0</v>
      </c>
      <c r="R23" s="274">
        <f t="shared" si="4"/>
        <v>0</v>
      </c>
      <c r="S23" s="274">
        <f>SUMIF('D-1 Off-Site Habitat Baseline'!$AV$11:$AV$258,'G-2 Habitat groups'!A23,'D-1 Off-Site Habitat Baseline'!$H$11:$H$258)</f>
        <v>0</v>
      </c>
      <c r="T23" s="274">
        <f>SUMIF('D-1 Off-Site Habitat Baseline'!$AV$11:$AV$258,'G-2 Habitat groups'!A23,'D-1 Off-Site Habitat Baseline'!$T$11:$T$258)</f>
        <v>0</v>
      </c>
      <c r="U23" s="274">
        <f>SUMIF('D-1 Off-Site Habitat Baseline'!$AV$11:$AV$258,'G-2 Habitat groups'!A23,'D-1 Off-Site Habitat Baseline'!$V$11:$V$258)</f>
        <v>0</v>
      </c>
      <c r="V23" s="274">
        <f>SUMIF('D-1 Off-Site Habitat Baseline'!$AV$11:$AV$258,'G-2 Habitat groups'!A23,'D-1 Off-Site Habitat Baseline'!$X$11:$X$258)+SUMIF('D-1 Off-Site Habitat Baseline'!$AV$11:$AV$258,'G-2 Habitat groups'!A23,'D-1 Off-Site Habitat Baseline'!$AS$11:$AS$258)</f>
        <v>0</v>
      </c>
      <c r="W23" s="274">
        <f>SUMIF('D-2 Off-Site Habitat Creation'!$F$9:$F$255,'G-2 Habitat groups'!A23,'D-2 Off-Site Habitat Creation'!$G$9:$G$255)</f>
        <v>0</v>
      </c>
      <c r="X23" s="274">
        <f>SUMIF('D-2 Off-Site Habitat Creation'!$F$9:$F$255,'G-2 Habitat groups'!A23,'D-2 Off-Site Habitat Creation'!$AB$9:$AB$255)</f>
        <v>0</v>
      </c>
      <c r="Y23" s="274">
        <f>SUMIF('D-3 Off-Site Habitat Enhancment'!$S$12:$S$491,'G-2 Habitat groups'!A23,'D-3 Off-Site Habitat Enhancment'!$V$12:$V$491)</f>
        <v>0</v>
      </c>
      <c r="Z23" s="274">
        <f>SUMIF('D-3 Off-Site Habitat Enhancment'!$S$12:$S$491,'G-2 Habitat groups'!A23,'D-3 Off-Site Habitat Enhancment'!$AQ$12:$AQ$491)</f>
        <v>0</v>
      </c>
      <c r="AA23" s="274">
        <f t="shared" si="5"/>
        <v>0</v>
      </c>
      <c r="AB23" s="274">
        <f t="shared" si="14"/>
        <v>0</v>
      </c>
      <c r="AC23" s="274">
        <f t="shared" si="6"/>
        <v>0</v>
      </c>
      <c r="AD23" s="274">
        <f t="shared" si="15"/>
        <v>0</v>
      </c>
      <c r="AE23" s="274">
        <f t="shared" si="7"/>
        <v>0</v>
      </c>
      <c r="AF23" s="274">
        <f t="shared" si="16"/>
        <v>0</v>
      </c>
      <c r="AJ23" s="73" t="s">
        <v>116</v>
      </c>
      <c r="AK23" s="423">
        <f t="shared" si="28"/>
        <v>0</v>
      </c>
      <c r="AL23" s="423">
        <f t="shared" si="29"/>
        <v>0</v>
      </c>
      <c r="AM23" s="423">
        <f t="shared" si="30"/>
        <v>0.1943</v>
      </c>
      <c r="AN23" s="423">
        <f t="shared" si="31"/>
        <v>1.0998160430737105</v>
      </c>
      <c r="AO23" s="493">
        <f t="shared" si="32"/>
        <v>0.1943</v>
      </c>
      <c r="AP23" s="493">
        <f t="shared" si="33"/>
        <v>1.0998160430737105</v>
      </c>
      <c r="AU23" s="82" t="s">
        <v>960</v>
      </c>
      <c r="AV23" s="62" t="s">
        <v>94</v>
      </c>
      <c r="AW23" s="280">
        <f t="shared" si="18"/>
        <v>0</v>
      </c>
      <c r="AX23" s="280">
        <f t="shared" si="19"/>
        <v>0</v>
      </c>
      <c r="AY23" s="280">
        <f t="shared" si="20"/>
        <v>0</v>
      </c>
      <c r="AZ23" s="280">
        <f t="shared" si="21"/>
        <v>0</v>
      </c>
      <c r="BA23" s="280">
        <f t="shared" si="22"/>
        <v>0</v>
      </c>
      <c r="BB23" s="280">
        <f t="shared" si="23"/>
        <v>0</v>
      </c>
      <c r="BC23" s="280">
        <f t="shared" si="24"/>
        <v>0</v>
      </c>
      <c r="BD23" s="280">
        <f t="shared" si="25"/>
        <v>0</v>
      </c>
      <c r="BE23" s="280">
        <f t="shared" si="26"/>
        <v>0</v>
      </c>
      <c r="BF23" s="280" t="str">
        <f t="shared" si="27"/>
        <v/>
      </c>
      <c r="BG23" s="280">
        <f t="shared" si="17"/>
        <v>0</v>
      </c>
    </row>
    <row r="24" spans="1:59" ht="18" customHeight="1" x14ac:dyDescent="0.25">
      <c r="A24" s="70" t="str">
        <f>'G-1 All Habitats'!B23</f>
        <v>Grassland - Upland acid grassland</v>
      </c>
      <c r="B24" s="62" t="s">
        <v>78</v>
      </c>
      <c r="C24" s="62" t="str">
        <f>'G-1 All Habitats'!K23</f>
        <v>Medium</v>
      </c>
      <c r="D24" s="62" t="str">
        <f>'G-1 All Habitats'!M23</f>
        <v>Same broad habitat or a higher distinctiveness habitat required (≥)</v>
      </c>
      <c r="E24" s="274">
        <f>SUMIF('A-1 On-Site Habitat Baseline'!$AV$11:$AV$258,'G-2 Habitat groups'!A24,'A-1 On-Site Habitat Baseline'!$H$11:$H$258)</f>
        <v>0</v>
      </c>
      <c r="F24" s="274">
        <f>SUMIF('A-1 On-Site Habitat Baseline'!$AV$11:$AV$258,'G-2 Habitat groups'!A24,'A-1 On-Site Habitat Baseline'!$Q$11:$Q$258)</f>
        <v>0</v>
      </c>
      <c r="G24" s="274">
        <f>SUMIF('A-1 On-Site Habitat Baseline'!$AV$11:$AV$258,'G-2 Habitat groups'!A24,'A-1 On-Site Habitat Baseline'!$S$11:$S$258)</f>
        <v>0</v>
      </c>
      <c r="H24" s="274">
        <f>SUMIF('A-1 On-Site Habitat Baseline'!$AV$11:$AV$258,'G-2 Habitat groups'!A24,'A-1 On-Site Habitat Baseline'!$U$11:$U$258)+SUMIF('A-1 On-Site Habitat Baseline'!$AV$11:$AV$258,'G-2 Habitat groups'!A24, 'A-1 On-Site Habitat Baseline'!$AT$11:$AT$258)</f>
        <v>0</v>
      </c>
      <c r="I24" s="274">
        <f>SUMIF('A-1 On-Site Habitat Baseline'!$AV$11:$AV$258,'G-2 Habitat groups'!A24,'A-1 On-Site Habitat Baseline'!$W$11:$W$258)</f>
        <v>0</v>
      </c>
      <c r="J24" s="274">
        <f>SUMIF('A-1 On-Site Habitat Baseline'!$AV$11:$AV$258,'G-2 Habitat groups'!A24,'A-1 On-Site Habitat Baseline'!$X$11:$X$258)</f>
        <v>0</v>
      </c>
      <c r="K24" s="274">
        <f>SUMIF('A-2 On-Site Habitat Creation'!$F$11:$F$256,'G-2 Habitat groups'!A24,'A-2 On-Site Habitat Creation'!$G$11:$G$256)</f>
        <v>0</v>
      </c>
      <c r="L24" s="274">
        <f>SUMIF('A-2 On-Site Habitat Creation'!$F$11:$F$256,'G-2 Habitat groups'!A24,'A-2 On-Site Habitat Creation'!$Y$11:$Y$256)</f>
        <v>0</v>
      </c>
      <c r="M24" s="274">
        <f>SUMIF('A-3 On-Site Habitat Enhancement'!$S$12:$S$257,'G-2 Habitat groups'!A24,'A-3 On-Site Habitat Enhancement'!$V$12:$V$257)</f>
        <v>0</v>
      </c>
      <c r="N24" s="274">
        <f>SUMIF('A-3 On-Site Habitat Enhancement'!$S$12:$S$257,'G-2 Habitat groups'!A24,'A-3 On-Site Habitat Enhancement'!$AN$12:$AN$257)</f>
        <v>0</v>
      </c>
      <c r="O24" s="274">
        <f t="shared" si="1"/>
        <v>0</v>
      </c>
      <c r="P24" s="274">
        <f t="shared" si="2"/>
        <v>0</v>
      </c>
      <c r="Q24" s="274">
        <f t="shared" si="3"/>
        <v>0</v>
      </c>
      <c r="R24" s="274">
        <f t="shared" si="4"/>
        <v>0</v>
      </c>
      <c r="S24" s="274">
        <f>SUMIF('D-1 Off-Site Habitat Baseline'!$AV$11:$AV$258,'G-2 Habitat groups'!A24,'D-1 Off-Site Habitat Baseline'!$H$11:$H$258)</f>
        <v>0</v>
      </c>
      <c r="T24" s="274">
        <f>SUMIF('D-1 Off-Site Habitat Baseline'!$AV$11:$AV$258,'G-2 Habitat groups'!A24,'D-1 Off-Site Habitat Baseline'!$T$11:$T$258)</f>
        <v>0</v>
      </c>
      <c r="U24" s="274">
        <f>SUMIF('D-1 Off-Site Habitat Baseline'!$AV$11:$AV$258,'G-2 Habitat groups'!A24,'D-1 Off-Site Habitat Baseline'!$V$11:$V$258)</f>
        <v>0</v>
      </c>
      <c r="V24" s="274">
        <f>SUMIF('D-1 Off-Site Habitat Baseline'!$AV$11:$AV$258,'G-2 Habitat groups'!A24,'D-1 Off-Site Habitat Baseline'!$X$11:$X$258)+SUMIF('D-1 Off-Site Habitat Baseline'!$AV$11:$AV$258,'G-2 Habitat groups'!A24,'D-1 Off-Site Habitat Baseline'!$AS$11:$AS$258)</f>
        <v>0</v>
      </c>
      <c r="W24" s="274">
        <f>SUMIF('D-2 Off-Site Habitat Creation'!$F$9:$F$255,'G-2 Habitat groups'!A24,'D-2 Off-Site Habitat Creation'!$G$9:$G$255)</f>
        <v>0</v>
      </c>
      <c r="X24" s="274">
        <f>SUMIF('D-2 Off-Site Habitat Creation'!$F$9:$F$255,'G-2 Habitat groups'!A24,'D-2 Off-Site Habitat Creation'!$AB$9:$AB$255)</f>
        <v>0</v>
      </c>
      <c r="Y24" s="274">
        <f>SUMIF('D-3 Off-Site Habitat Enhancment'!$S$12:$S$491,'G-2 Habitat groups'!A24,'D-3 Off-Site Habitat Enhancment'!$V$12:$V$491)</f>
        <v>0</v>
      </c>
      <c r="Z24" s="274">
        <f>SUMIF('D-3 Off-Site Habitat Enhancment'!$S$12:$S$491,'G-2 Habitat groups'!A24,'D-3 Off-Site Habitat Enhancment'!$AQ$12:$AQ$491)</f>
        <v>0</v>
      </c>
      <c r="AA24" s="274">
        <f t="shared" si="5"/>
        <v>0</v>
      </c>
      <c r="AB24" s="274">
        <f t="shared" si="14"/>
        <v>0</v>
      </c>
      <c r="AC24" s="274">
        <f t="shared" si="6"/>
        <v>0</v>
      </c>
      <c r="AD24" s="274">
        <f t="shared" si="15"/>
        <v>0</v>
      </c>
      <c r="AE24" s="274">
        <f t="shared" si="7"/>
        <v>0</v>
      </c>
      <c r="AF24" s="274">
        <f t="shared" si="16"/>
        <v>0</v>
      </c>
      <c r="AJ24" s="73" t="s">
        <v>72</v>
      </c>
      <c r="AK24" s="423">
        <f t="shared" si="28"/>
        <v>0</v>
      </c>
      <c r="AL24" s="423">
        <f t="shared" si="29"/>
        <v>0</v>
      </c>
      <c r="AM24" s="423">
        <f t="shared" si="30"/>
        <v>0</v>
      </c>
      <c r="AN24" s="423">
        <f t="shared" si="31"/>
        <v>0</v>
      </c>
      <c r="AO24" s="493">
        <f t="shared" si="32"/>
        <v>0</v>
      </c>
      <c r="AP24" s="493">
        <f t="shared" si="33"/>
        <v>0</v>
      </c>
      <c r="AU24" s="82" t="s">
        <v>980</v>
      </c>
      <c r="AV24" s="62" t="s">
        <v>105</v>
      </c>
      <c r="AW24" s="280">
        <f t="shared" si="18"/>
        <v>0</v>
      </c>
      <c r="AX24" s="280">
        <f t="shared" si="19"/>
        <v>0</v>
      </c>
      <c r="AY24" s="280">
        <f t="shared" si="20"/>
        <v>0</v>
      </c>
      <c r="AZ24" s="280">
        <f t="shared" si="21"/>
        <v>0</v>
      </c>
      <c r="BA24" s="280">
        <f t="shared" si="22"/>
        <v>0</v>
      </c>
      <c r="BB24" s="280">
        <f t="shared" si="23"/>
        <v>0</v>
      </c>
      <c r="BC24" s="280">
        <f t="shared" si="24"/>
        <v>0</v>
      </c>
      <c r="BD24" s="280">
        <f t="shared" si="25"/>
        <v>0</v>
      </c>
      <c r="BE24" s="280">
        <f t="shared" si="26"/>
        <v>0</v>
      </c>
      <c r="BF24" s="280" t="str">
        <f t="shared" si="27"/>
        <v/>
      </c>
      <c r="BG24" s="280">
        <f t="shared" si="17"/>
        <v>0</v>
      </c>
    </row>
    <row r="25" spans="1:59" x14ac:dyDescent="0.25">
      <c r="A25" s="70" t="str">
        <f>'G-1 All Habitats'!B24</f>
        <v>Grassland - Upland calcareous grassland</v>
      </c>
      <c r="B25" s="62" t="s">
        <v>78</v>
      </c>
      <c r="C25" s="62" t="str">
        <f>'G-1 All Habitats'!K24</f>
        <v>High</v>
      </c>
      <c r="D25" s="62" t="str">
        <f>'G-1 All Habitats'!M24</f>
        <v>Same habitat required =</v>
      </c>
      <c r="E25" s="274">
        <f>SUMIF('A-1 On-Site Habitat Baseline'!$AV$11:$AV$258,'G-2 Habitat groups'!A25,'A-1 On-Site Habitat Baseline'!$H$11:$H$258)</f>
        <v>0</v>
      </c>
      <c r="F25" s="274">
        <f>SUMIF('A-1 On-Site Habitat Baseline'!$AV$11:$AV$258,'G-2 Habitat groups'!A25,'A-1 On-Site Habitat Baseline'!$Q$11:$Q$258)</f>
        <v>0</v>
      </c>
      <c r="G25" s="274">
        <f>SUMIF('A-1 On-Site Habitat Baseline'!$AV$11:$AV$258,'G-2 Habitat groups'!A25,'A-1 On-Site Habitat Baseline'!$S$11:$S$258)</f>
        <v>0</v>
      </c>
      <c r="H25" s="274">
        <f>SUMIF('A-1 On-Site Habitat Baseline'!$AV$11:$AV$258,'G-2 Habitat groups'!A25,'A-1 On-Site Habitat Baseline'!$U$11:$U$258)+SUMIF('A-1 On-Site Habitat Baseline'!$AV$11:$AV$258,'G-2 Habitat groups'!A25, 'A-1 On-Site Habitat Baseline'!$AT$11:$AT$258)</f>
        <v>0</v>
      </c>
      <c r="I25" s="274">
        <f>SUMIF('A-1 On-Site Habitat Baseline'!$AV$11:$AV$258,'G-2 Habitat groups'!A25,'A-1 On-Site Habitat Baseline'!$W$11:$W$258)</f>
        <v>0</v>
      </c>
      <c r="J25" s="274">
        <f>SUMIF('A-1 On-Site Habitat Baseline'!$AV$11:$AV$258,'G-2 Habitat groups'!A25,'A-1 On-Site Habitat Baseline'!$X$11:$X$258)</f>
        <v>0</v>
      </c>
      <c r="K25" s="274">
        <f>SUMIF('A-2 On-Site Habitat Creation'!$F$11:$F$256,'G-2 Habitat groups'!A25,'A-2 On-Site Habitat Creation'!$G$11:$G$256)</f>
        <v>0</v>
      </c>
      <c r="L25" s="274">
        <f>SUMIF('A-2 On-Site Habitat Creation'!$F$11:$F$256,'G-2 Habitat groups'!A25,'A-2 On-Site Habitat Creation'!$Y$11:$Y$256)</f>
        <v>0</v>
      </c>
      <c r="M25" s="274">
        <f>SUMIF('A-3 On-Site Habitat Enhancement'!$S$12:$S$257,'G-2 Habitat groups'!A25,'A-3 On-Site Habitat Enhancement'!$V$12:$V$257)</f>
        <v>0</v>
      </c>
      <c r="N25" s="274">
        <f>SUMIF('A-3 On-Site Habitat Enhancement'!$S$12:$S$257,'G-2 Habitat groups'!A25,'A-3 On-Site Habitat Enhancement'!$AN$12:$AN$257)</f>
        <v>0</v>
      </c>
      <c r="O25" s="274">
        <f t="shared" si="1"/>
        <v>0</v>
      </c>
      <c r="P25" s="274">
        <f t="shared" si="2"/>
        <v>0</v>
      </c>
      <c r="Q25" s="274">
        <f t="shared" si="3"/>
        <v>0</v>
      </c>
      <c r="R25" s="274">
        <f t="shared" si="4"/>
        <v>0</v>
      </c>
      <c r="S25" s="274">
        <f>SUMIF('D-1 Off-Site Habitat Baseline'!$AV$11:$AV$258,'G-2 Habitat groups'!A25,'D-1 Off-Site Habitat Baseline'!$H$11:$H$258)</f>
        <v>0</v>
      </c>
      <c r="T25" s="274">
        <f>SUMIF('D-1 Off-Site Habitat Baseline'!$AV$11:$AV$258,'G-2 Habitat groups'!A25,'D-1 Off-Site Habitat Baseline'!$T$11:$T$258)</f>
        <v>0</v>
      </c>
      <c r="U25" s="274">
        <f>SUMIF('D-1 Off-Site Habitat Baseline'!$AV$11:$AV$258,'G-2 Habitat groups'!A25,'D-1 Off-Site Habitat Baseline'!$V$11:$V$258)</f>
        <v>0</v>
      </c>
      <c r="V25" s="274">
        <f>SUMIF('D-1 Off-Site Habitat Baseline'!$AV$11:$AV$258,'G-2 Habitat groups'!A25,'D-1 Off-Site Habitat Baseline'!$X$11:$X$258)+SUMIF('D-1 Off-Site Habitat Baseline'!$AV$11:$AV$258,'G-2 Habitat groups'!A25,'D-1 Off-Site Habitat Baseline'!$AS$11:$AS$258)</f>
        <v>0</v>
      </c>
      <c r="W25" s="274">
        <f>SUMIF('D-2 Off-Site Habitat Creation'!$F$9:$F$255,'G-2 Habitat groups'!A25,'D-2 Off-Site Habitat Creation'!$G$9:$G$255)</f>
        <v>0</v>
      </c>
      <c r="X25" s="274">
        <f>SUMIF('D-2 Off-Site Habitat Creation'!$F$9:$F$255,'G-2 Habitat groups'!A25,'D-2 Off-Site Habitat Creation'!$AB$9:$AB$255)</f>
        <v>0</v>
      </c>
      <c r="Y25" s="274">
        <f>SUMIF('D-3 Off-Site Habitat Enhancment'!$S$12:$S$491,'G-2 Habitat groups'!A25,'D-3 Off-Site Habitat Enhancment'!$V$12:$V$491)</f>
        <v>0</v>
      </c>
      <c r="Z25" s="274">
        <f>SUMIF('D-3 Off-Site Habitat Enhancment'!$S$12:$S$491,'G-2 Habitat groups'!A25,'D-3 Off-Site Habitat Enhancment'!$AQ$12:$AQ$491)</f>
        <v>0</v>
      </c>
      <c r="AA25" s="274">
        <f t="shared" si="5"/>
        <v>0</v>
      </c>
      <c r="AB25" s="274">
        <f t="shared" si="14"/>
        <v>0</v>
      </c>
      <c r="AC25" s="274">
        <f t="shared" si="6"/>
        <v>0</v>
      </c>
      <c r="AD25" s="274">
        <f t="shared" si="15"/>
        <v>0</v>
      </c>
      <c r="AE25" s="274">
        <f t="shared" si="7"/>
        <v>0</v>
      </c>
      <c r="AF25" s="274">
        <f t="shared" si="16"/>
        <v>0</v>
      </c>
      <c r="AJ25" s="74" t="s">
        <v>82</v>
      </c>
      <c r="AK25" s="423">
        <f t="shared" si="28"/>
        <v>1.2E-2</v>
      </c>
      <c r="AL25" s="423">
        <f t="shared" si="29"/>
        <v>2.76E-2</v>
      </c>
      <c r="AM25" s="423">
        <f t="shared" si="30"/>
        <v>1.2E-2</v>
      </c>
      <c r="AN25" s="423">
        <f t="shared" si="31"/>
        <v>2.76E-2</v>
      </c>
      <c r="AO25" s="493">
        <f t="shared" si="32"/>
        <v>0</v>
      </c>
      <c r="AP25" s="493">
        <f t="shared" si="33"/>
        <v>0</v>
      </c>
    </row>
    <row r="26" spans="1:59" x14ac:dyDescent="0.25">
      <c r="A26" s="70" t="str">
        <f>'G-1 All Habitats'!B25</f>
        <v>Grassland - Upland hay meadows</v>
      </c>
      <c r="B26" s="62" t="s">
        <v>78</v>
      </c>
      <c r="C26" s="62" t="str">
        <f>'G-1 All Habitats'!K25</f>
        <v>V.High</v>
      </c>
      <c r="D26" s="62" t="str">
        <f>'G-1 All Habitats'!M25</f>
        <v>Same habitat required – bespoke compensation option ⚠</v>
      </c>
      <c r="E26" s="274">
        <f>SUMIF('A-1 On-Site Habitat Baseline'!$AV$11:$AV$258,'G-2 Habitat groups'!A26,'A-1 On-Site Habitat Baseline'!$H$11:$H$258)</f>
        <v>0</v>
      </c>
      <c r="F26" s="274">
        <f>SUMIF('A-1 On-Site Habitat Baseline'!$AV$11:$AV$258,'G-2 Habitat groups'!A26,'A-1 On-Site Habitat Baseline'!$Q$11:$Q$258)</f>
        <v>0</v>
      </c>
      <c r="G26" s="274">
        <f>SUMIF('A-1 On-Site Habitat Baseline'!$AV$11:$AV$258,'G-2 Habitat groups'!A26,'A-1 On-Site Habitat Baseline'!$S$11:$S$258)</f>
        <v>0</v>
      </c>
      <c r="H26" s="274">
        <f>SUMIF('A-1 On-Site Habitat Baseline'!$AV$11:$AV$258,'G-2 Habitat groups'!A26,'A-1 On-Site Habitat Baseline'!$U$11:$U$258)+SUMIF('A-1 On-Site Habitat Baseline'!$AV$11:$AV$258,'G-2 Habitat groups'!A26, 'A-1 On-Site Habitat Baseline'!$AT$11:$AT$258)</f>
        <v>0</v>
      </c>
      <c r="I26" s="274">
        <f>SUMIF('A-1 On-Site Habitat Baseline'!$AV$11:$AV$258,'G-2 Habitat groups'!A26,'A-1 On-Site Habitat Baseline'!$W$11:$W$258)</f>
        <v>0</v>
      </c>
      <c r="J26" s="274">
        <f>SUMIF('A-1 On-Site Habitat Baseline'!$AV$11:$AV$258,'G-2 Habitat groups'!A26,'A-1 On-Site Habitat Baseline'!$X$11:$X$258)</f>
        <v>0</v>
      </c>
      <c r="K26" s="274">
        <f>SUMIF('A-2 On-Site Habitat Creation'!$F$11:$F$256,'G-2 Habitat groups'!A26,'A-2 On-Site Habitat Creation'!$G$11:$G$256)</f>
        <v>0</v>
      </c>
      <c r="L26" s="274">
        <f>SUMIF('A-2 On-Site Habitat Creation'!$F$11:$F$256,'G-2 Habitat groups'!A26,'A-2 On-Site Habitat Creation'!$Y$11:$Y$256)</f>
        <v>0</v>
      </c>
      <c r="M26" s="274">
        <f>SUMIF('A-3 On-Site Habitat Enhancement'!$S$12:$S$257,'G-2 Habitat groups'!A26,'A-3 On-Site Habitat Enhancement'!$V$12:$V$257)</f>
        <v>0</v>
      </c>
      <c r="N26" s="274">
        <f>SUMIF('A-3 On-Site Habitat Enhancement'!$S$12:$S$257,'G-2 Habitat groups'!A26,'A-3 On-Site Habitat Enhancement'!$AN$12:$AN$257)</f>
        <v>0</v>
      </c>
      <c r="O26" s="274">
        <f t="shared" si="1"/>
        <v>0</v>
      </c>
      <c r="P26" s="274">
        <f t="shared" si="2"/>
        <v>0</v>
      </c>
      <c r="Q26" s="274">
        <f t="shared" si="3"/>
        <v>0</v>
      </c>
      <c r="R26" s="274">
        <f t="shared" si="4"/>
        <v>0</v>
      </c>
      <c r="S26" s="274">
        <f>SUMIF('D-1 Off-Site Habitat Baseline'!$AV$11:$AV$258,'G-2 Habitat groups'!A26,'D-1 Off-Site Habitat Baseline'!$H$11:$H$258)</f>
        <v>0</v>
      </c>
      <c r="T26" s="274">
        <f>SUMIF('D-1 Off-Site Habitat Baseline'!$AV$11:$AV$258,'G-2 Habitat groups'!A26,'D-1 Off-Site Habitat Baseline'!$T$11:$T$258)</f>
        <v>0</v>
      </c>
      <c r="U26" s="274">
        <f>SUMIF('D-1 Off-Site Habitat Baseline'!$AV$11:$AV$258,'G-2 Habitat groups'!A26,'D-1 Off-Site Habitat Baseline'!$V$11:$V$258)</f>
        <v>0</v>
      </c>
      <c r="V26" s="274">
        <f>SUMIF('D-1 Off-Site Habitat Baseline'!$AV$11:$AV$258,'G-2 Habitat groups'!A26,'D-1 Off-Site Habitat Baseline'!$X$11:$X$258)+SUMIF('D-1 Off-Site Habitat Baseline'!$AV$11:$AV$258,'G-2 Habitat groups'!A26,'D-1 Off-Site Habitat Baseline'!$AS$11:$AS$258)</f>
        <v>0</v>
      </c>
      <c r="W26" s="274">
        <f>SUMIF('D-2 Off-Site Habitat Creation'!$F$9:$F$255,'G-2 Habitat groups'!A26,'D-2 Off-Site Habitat Creation'!$G$9:$G$255)</f>
        <v>0</v>
      </c>
      <c r="X26" s="274">
        <f>SUMIF('D-2 Off-Site Habitat Creation'!$F$9:$F$255,'G-2 Habitat groups'!A26,'D-2 Off-Site Habitat Creation'!$AB$9:$AB$255)</f>
        <v>0</v>
      </c>
      <c r="Y26" s="274">
        <f>SUMIF('D-3 Off-Site Habitat Enhancment'!$S$12:$S$491,'G-2 Habitat groups'!A26,'D-3 Off-Site Habitat Enhancment'!$V$12:$V$491)</f>
        <v>0</v>
      </c>
      <c r="Z26" s="274">
        <f>SUMIF('D-3 Off-Site Habitat Enhancment'!$S$12:$S$491,'G-2 Habitat groups'!A26,'D-3 Off-Site Habitat Enhancment'!$AQ$12:$AQ$491)</f>
        <v>0</v>
      </c>
      <c r="AA26" s="274">
        <f t="shared" si="5"/>
        <v>0</v>
      </c>
      <c r="AB26" s="274">
        <f t="shared" si="14"/>
        <v>0</v>
      </c>
      <c r="AC26" s="274">
        <f t="shared" si="6"/>
        <v>0</v>
      </c>
      <c r="AD26" s="274">
        <f t="shared" si="15"/>
        <v>0</v>
      </c>
      <c r="AE26" s="274">
        <f t="shared" si="7"/>
        <v>0</v>
      </c>
      <c r="AF26" s="274">
        <f t="shared" si="16"/>
        <v>0</v>
      </c>
      <c r="AJ26" s="73" t="s">
        <v>120</v>
      </c>
      <c r="AK26" s="423">
        <f>SUMIF($B:$B,$AJ26,S:S)</f>
        <v>7.7200000000000005E-2</v>
      </c>
      <c r="AL26" s="423">
        <f t="shared" si="29"/>
        <v>0.17756</v>
      </c>
      <c r="AM26" s="423">
        <f t="shared" si="30"/>
        <v>3.7000000000000002E-3</v>
      </c>
      <c r="AN26" s="423">
        <f t="shared" si="31"/>
        <v>1.1004280999999999E-2</v>
      </c>
      <c r="AO26" s="493">
        <f t="shared" si="32"/>
        <v>-7.350000000000001E-2</v>
      </c>
      <c r="AP26" s="493">
        <f t="shared" si="33"/>
        <v>-0.16655571899999999</v>
      </c>
    </row>
    <row r="27" spans="1:59" ht="15.6" customHeight="1" x14ac:dyDescent="0.25">
      <c r="A27" s="70" t="str">
        <f>'G-1 All Habitats'!B26</f>
        <v>Heathland and shrub - Blackthorn scrub</v>
      </c>
      <c r="B27" s="62" t="s">
        <v>116</v>
      </c>
      <c r="C27" s="62" t="str">
        <f>'G-1 All Habitats'!K26</f>
        <v>Medium</v>
      </c>
      <c r="D27" s="62" t="str">
        <f>'G-1 All Habitats'!M26</f>
        <v>Same broad habitat or a higher distinctiveness habitat required (≥)</v>
      </c>
      <c r="E27" s="274">
        <f>SUMIF('A-1 On-Site Habitat Baseline'!$AV$11:$AV$258,'G-2 Habitat groups'!A27,'A-1 On-Site Habitat Baseline'!$H$11:$H$258)</f>
        <v>0</v>
      </c>
      <c r="F27" s="274">
        <f>SUMIF('A-1 On-Site Habitat Baseline'!$AV$11:$AV$258,'G-2 Habitat groups'!A27,'A-1 On-Site Habitat Baseline'!$Q$11:$Q$258)</f>
        <v>0</v>
      </c>
      <c r="G27" s="274">
        <f>SUMIF('A-1 On-Site Habitat Baseline'!$AV$11:$AV$258,'G-2 Habitat groups'!A27,'A-1 On-Site Habitat Baseline'!$S$11:$S$258)</f>
        <v>0</v>
      </c>
      <c r="H27" s="274">
        <f>SUMIF('A-1 On-Site Habitat Baseline'!$AV$11:$AV$258,'G-2 Habitat groups'!A27,'A-1 On-Site Habitat Baseline'!$U$11:$U$258)+SUMIF('A-1 On-Site Habitat Baseline'!$AV$11:$AV$258,'G-2 Habitat groups'!A27, 'A-1 On-Site Habitat Baseline'!$AT$11:$AT$258)</f>
        <v>0</v>
      </c>
      <c r="I27" s="274">
        <f>SUMIF('A-1 On-Site Habitat Baseline'!$AV$11:$AV$258,'G-2 Habitat groups'!A27,'A-1 On-Site Habitat Baseline'!$W$11:$W$258)</f>
        <v>0</v>
      </c>
      <c r="J27" s="274">
        <f>SUMIF('A-1 On-Site Habitat Baseline'!$AV$11:$AV$258,'G-2 Habitat groups'!A27,'A-1 On-Site Habitat Baseline'!$X$11:$X$258)</f>
        <v>0</v>
      </c>
      <c r="K27" s="274">
        <f>SUMIF('A-2 On-Site Habitat Creation'!$F$11:$F$256,'G-2 Habitat groups'!A27,'A-2 On-Site Habitat Creation'!$G$11:$G$256)</f>
        <v>0</v>
      </c>
      <c r="L27" s="274">
        <f>SUMIF('A-2 On-Site Habitat Creation'!$F$11:$F$256,'G-2 Habitat groups'!A27,'A-2 On-Site Habitat Creation'!$Y$11:$Y$256)</f>
        <v>0</v>
      </c>
      <c r="M27" s="274">
        <f>SUMIF('A-3 On-Site Habitat Enhancement'!$S$12:$S$257,'G-2 Habitat groups'!A27,'A-3 On-Site Habitat Enhancement'!$V$12:$V$257)</f>
        <v>0</v>
      </c>
      <c r="N27" s="274">
        <f>SUMIF('A-3 On-Site Habitat Enhancement'!$S$12:$S$257,'G-2 Habitat groups'!A27,'A-3 On-Site Habitat Enhancement'!$AN$12:$AN$257)</f>
        <v>0</v>
      </c>
      <c r="O27" s="274">
        <f t="shared" si="1"/>
        <v>0</v>
      </c>
      <c r="P27" s="274">
        <f t="shared" si="2"/>
        <v>0</v>
      </c>
      <c r="Q27" s="274">
        <f t="shared" si="3"/>
        <v>0</v>
      </c>
      <c r="R27" s="274">
        <f t="shared" si="4"/>
        <v>0</v>
      </c>
      <c r="S27" s="274">
        <f>SUMIF('D-1 Off-Site Habitat Baseline'!$AV$11:$AV$258,'G-2 Habitat groups'!A27,'D-1 Off-Site Habitat Baseline'!$H$11:$H$258)</f>
        <v>0</v>
      </c>
      <c r="T27" s="274">
        <f>SUMIF('D-1 Off-Site Habitat Baseline'!$AV$11:$AV$258,'G-2 Habitat groups'!A27,'D-1 Off-Site Habitat Baseline'!$T$11:$T$258)</f>
        <v>0</v>
      </c>
      <c r="U27" s="274">
        <f>SUMIF('D-1 Off-Site Habitat Baseline'!$AV$11:$AV$258,'G-2 Habitat groups'!A27,'D-1 Off-Site Habitat Baseline'!$V$11:$V$258)</f>
        <v>0</v>
      </c>
      <c r="V27" s="274">
        <f>SUMIF('D-1 Off-Site Habitat Baseline'!$AV$11:$AV$258,'G-2 Habitat groups'!A27,'D-1 Off-Site Habitat Baseline'!$X$11:$X$258)+SUMIF('D-1 Off-Site Habitat Baseline'!$AV$11:$AV$258,'G-2 Habitat groups'!A27,'D-1 Off-Site Habitat Baseline'!$AS$11:$AS$258)</f>
        <v>0</v>
      </c>
      <c r="W27" s="274">
        <f>SUMIF('D-2 Off-Site Habitat Creation'!$F$9:$F$255,'G-2 Habitat groups'!A27,'D-2 Off-Site Habitat Creation'!$G$9:$G$255)</f>
        <v>0</v>
      </c>
      <c r="X27" s="274">
        <f>SUMIF('D-2 Off-Site Habitat Creation'!$F$9:$F$255,'G-2 Habitat groups'!A27,'D-2 Off-Site Habitat Creation'!$AB$9:$AB$255)</f>
        <v>0</v>
      </c>
      <c r="Y27" s="274">
        <f>SUMIF('D-3 Off-Site Habitat Enhancment'!$S$12:$S$491,'G-2 Habitat groups'!A27,'D-3 Off-Site Habitat Enhancment'!$V$12:$V$491)</f>
        <v>0</v>
      </c>
      <c r="Z27" s="274">
        <f>SUMIF('D-3 Off-Site Habitat Enhancment'!$S$12:$S$491,'G-2 Habitat groups'!A27,'D-3 Off-Site Habitat Enhancment'!$AQ$12:$AQ$491)</f>
        <v>0</v>
      </c>
      <c r="AA27" s="274">
        <f t="shared" si="5"/>
        <v>0</v>
      </c>
      <c r="AB27" s="274">
        <f t="shared" si="14"/>
        <v>0</v>
      </c>
      <c r="AC27" s="274">
        <f t="shared" si="6"/>
        <v>0</v>
      </c>
      <c r="AD27" s="274">
        <f t="shared" si="15"/>
        <v>0</v>
      </c>
      <c r="AE27" s="274">
        <f t="shared" si="7"/>
        <v>0</v>
      </c>
      <c r="AF27" s="274">
        <f t="shared" si="16"/>
        <v>0</v>
      </c>
      <c r="AJ27" s="73" t="s">
        <v>123</v>
      </c>
      <c r="AK27" s="423">
        <f t="shared" si="28"/>
        <v>0</v>
      </c>
      <c r="AL27" s="423">
        <f t="shared" si="29"/>
        <v>0</v>
      </c>
      <c r="AM27" s="423">
        <f t="shared" si="30"/>
        <v>0</v>
      </c>
      <c r="AN27" s="423">
        <f t="shared" si="31"/>
        <v>0</v>
      </c>
      <c r="AO27" s="493">
        <f t="shared" si="32"/>
        <v>0</v>
      </c>
      <c r="AP27" s="493">
        <f t="shared" si="33"/>
        <v>0</v>
      </c>
      <c r="AU27" s="1864" t="s">
        <v>292</v>
      </c>
    </row>
    <row r="28" spans="1:59" ht="15.6" customHeight="1" x14ac:dyDescent="0.25">
      <c r="A28" s="70" t="str">
        <f>'G-1 All Habitats'!B27</f>
        <v>Heathland and shrub - Bramble scrub</v>
      </c>
      <c r="B28" s="62" t="s">
        <v>116</v>
      </c>
      <c r="C28" s="62" t="str">
        <f>'G-1 All Habitats'!K27</f>
        <v>Medium</v>
      </c>
      <c r="D28" s="62" t="str">
        <f>'G-1 All Habitats'!M27</f>
        <v>Same broad habitat or a higher distinctiveness habitat required (≥)</v>
      </c>
      <c r="E28" s="274">
        <f>SUMIF('A-1 On-Site Habitat Baseline'!$AV$11:$AV$258,'G-2 Habitat groups'!A28,'A-1 On-Site Habitat Baseline'!$H$11:$H$258)</f>
        <v>0</v>
      </c>
      <c r="F28" s="274">
        <f>SUMIF('A-1 On-Site Habitat Baseline'!$AV$11:$AV$258,'G-2 Habitat groups'!A28,'A-1 On-Site Habitat Baseline'!$Q$11:$Q$258)</f>
        <v>0</v>
      </c>
      <c r="G28" s="274">
        <f>SUMIF('A-1 On-Site Habitat Baseline'!$AV$11:$AV$258,'G-2 Habitat groups'!A28,'A-1 On-Site Habitat Baseline'!$S$11:$S$258)</f>
        <v>0</v>
      </c>
      <c r="H28" s="274">
        <f>SUMIF('A-1 On-Site Habitat Baseline'!$AV$11:$AV$258,'G-2 Habitat groups'!A28,'A-1 On-Site Habitat Baseline'!$U$11:$U$258)+SUMIF('A-1 On-Site Habitat Baseline'!$AV$11:$AV$258,'G-2 Habitat groups'!A28, 'A-1 On-Site Habitat Baseline'!$AT$11:$AT$258)</f>
        <v>0</v>
      </c>
      <c r="I28" s="274">
        <f>SUMIF('A-1 On-Site Habitat Baseline'!$AV$11:$AV$258,'G-2 Habitat groups'!A28,'A-1 On-Site Habitat Baseline'!$W$11:$W$258)</f>
        <v>0</v>
      </c>
      <c r="J28" s="274">
        <f>SUMIF('A-1 On-Site Habitat Baseline'!$AV$11:$AV$258,'G-2 Habitat groups'!A28,'A-1 On-Site Habitat Baseline'!$X$11:$X$258)</f>
        <v>0</v>
      </c>
      <c r="K28" s="274">
        <f>SUMIF('A-2 On-Site Habitat Creation'!$F$11:$F$256,'G-2 Habitat groups'!A28,'A-2 On-Site Habitat Creation'!$G$11:$G$256)</f>
        <v>0</v>
      </c>
      <c r="L28" s="274">
        <f>SUMIF('A-2 On-Site Habitat Creation'!$F$11:$F$256,'G-2 Habitat groups'!A28,'A-2 On-Site Habitat Creation'!$Y$11:$Y$256)</f>
        <v>0</v>
      </c>
      <c r="M28" s="274">
        <f>SUMIF('A-3 On-Site Habitat Enhancement'!$S$12:$S$257,'G-2 Habitat groups'!A28,'A-3 On-Site Habitat Enhancement'!$V$12:$V$257)</f>
        <v>0</v>
      </c>
      <c r="N28" s="274">
        <f>SUMIF('A-3 On-Site Habitat Enhancement'!$S$12:$S$257,'G-2 Habitat groups'!A28,'A-3 On-Site Habitat Enhancement'!$AN$12:$AN$257)</f>
        <v>0</v>
      </c>
      <c r="O28" s="274">
        <f t="shared" si="1"/>
        <v>0</v>
      </c>
      <c r="P28" s="274">
        <f t="shared" si="2"/>
        <v>0</v>
      </c>
      <c r="Q28" s="274">
        <f t="shared" si="3"/>
        <v>0</v>
      </c>
      <c r="R28" s="274">
        <f t="shared" si="4"/>
        <v>0</v>
      </c>
      <c r="S28" s="274">
        <f>SUMIF('D-1 Off-Site Habitat Baseline'!$AV$11:$AV$258,'G-2 Habitat groups'!A28,'D-1 Off-Site Habitat Baseline'!$H$11:$H$258)</f>
        <v>0</v>
      </c>
      <c r="T28" s="274">
        <f>SUMIF('D-1 Off-Site Habitat Baseline'!$AV$11:$AV$258,'G-2 Habitat groups'!A28,'D-1 Off-Site Habitat Baseline'!$T$11:$T$258)</f>
        <v>0</v>
      </c>
      <c r="U28" s="274">
        <f>SUMIF('D-1 Off-Site Habitat Baseline'!$AV$11:$AV$258,'G-2 Habitat groups'!A28,'D-1 Off-Site Habitat Baseline'!$V$11:$V$258)</f>
        <v>0</v>
      </c>
      <c r="V28" s="274">
        <f>SUMIF('D-1 Off-Site Habitat Baseline'!$AV$11:$AV$258,'G-2 Habitat groups'!A28,'D-1 Off-Site Habitat Baseline'!$X$11:$X$258)+SUMIF('D-1 Off-Site Habitat Baseline'!$AV$11:$AV$258,'G-2 Habitat groups'!A28,'D-1 Off-Site Habitat Baseline'!$AS$11:$AS$258)</f>
        <v>0</v>
      </c>
      <c r="W28" s="274">
        <f>SUMIF('D-2 Off-Site Habitat Creation'!$F$9:$F$255,'G-2 Habitat groups'!A28,'D-2 Off-Site Habitat Creation'!$G$9:$G$255)</f>
        <v>0</v>
      </c>
      <c r="X28" s="274">
        <f>SUMIF('D-2 Off-Site Habitat Creation'!$F$9:$F$255,'G-2 Habitat groups'!A28,'D-2 Off-Site Habitat Creation'!$AB$9:$AB$255)</f>
        <v>0</v>
      </c>
      <c r="Y28" s="274">
        <f>SUMIF('D-3 Off-Site Habitat Enhancment'!$S$12:$S$491,'G-2 Habitat groups'!A28,'D-3 Off-Site Habitat Enhancment'!$V$12:$V$491)</f>
        <v>0</v>
      </c>
      <c r="Z28" s="274">
        <f>SUMIF('D-3 Off-Site Habitat Enhancment'!$S$12:$S$491,'G-2 Habitat groups'!A28,'D-3 Off-Site Habitat Enhancment'!$AQ$12:$AQ$491)</f>
        <v>0</v>
      </c>
      <c r="AA28" s="274">
        <f t="shared" si="5"/>
        <v>0</v>
      </c>
      <c r="AB28" s="274">
        <f t="shared" si="14"/>
        <v>0</v>
      </c>
      <c r="AC28" s="274">
        <f t="shared" si="6"/>
        <v>0</v>
      </c>
      <c r="AD28" s="274">
        <f t="shared" si="15"/>
        <v>0</v>
      </c>
      <c r="AE28" s="274">
        <f t="shared" si="7"/>
        <v>0</v>
      </c>
      <c r="AF28" s="274">
        <f t="shared" si="16"/>
        <v>0</v>
      </c>
      <c r="AJ28" s="75" t="s">
        <v>87</v>
      </c>
      <c r="AK28" s="423">
        <f t="shared" si="28"/>
        <v>0</v>
      </c>
      <c r="AL28" s="423">
        <f t="shared" si="29"/>
        <v>0</v>
      </c>
      <c r="AM28" s="423">
        <f t="shared" si="30"/>
        <v>0</v>
      </c>
      <c r="AN28" s="423">
        <f t="shared" si="31"/>
        <v>0</v>
      </c>
      <c r="AO28" s="493">
        <f t="shared" si="32"/>
        <v>0</v>
      </c>
      <c r="AP28" s="493">
        <f t="shared" si="33"/>
        <v>0</v>
      </c>
      <c r="AU28" s="1864"/>
      <c r="AV28" s="66"/>
      <c r="AW28" s="66"/>
      <c r="AX28" s="66"/>
      <c r="AY28" s="66"/>
      <c r="AZ28" s="66"/>
      <c r="BA28" s="66"/>
      <c r="BB28" s="66"/>
      <c r="BC28" s="66"/>
      <c r="BD28" s="66"/>
      <c r="BE28" s="66"/>
      <c r="BF28" s="66"/>
    </row>
    <row r="29" spans="1:59" ht="32.25" customHeight="1" x14ac:dyDescent="0.3">
      <c r="A29" s="70" t="str">
        <f>'G-1 All Habitats'!B28</f>
        <v>Heathland and shrub - Gorse scrub</v>
      </c>
      <c r="B29" s="62" t="s">
        <v>116</v>
      </c>
      <c r="C29" s="62" t="str">
        <f>'G-1 All Habitats'!K28</f>
        <v>Medium</v>
      </c>
      <c r="D29" s="62" t="str">
        <f>'G-1 All Habitats'!M28</f>
        <v>Same broad habitat or a higher distinctiveness habitat required (≥)</v>
      </c>
      <c r="E29" s="274">
        <f>SUMIF('A-1 On-Site Habitat Baseline'!$AV$11:$AV$258,'G-2 Habitat groups'!A29,'A-1 On-Site Habitat Baseline'!$H$11:$H$258)</f>
        <v>0</v>
      </c>
      <c r="F29" s="274">
        <f>SUMIF('A-1 On-Site Habitat Baseline'!$AV$11:$AV$258,'G-2 Habitat groups'!A29,'A-1 On-Site Habitat Baseline'!$Q$11:$Q$258)</f>
        <v>0</v>
      </c>
      <c r="G29" s="274">
        <f>SUMIF('A-1 On-Site Habitat Baseline'!$AV$11:$AV$258,'G-2 Habitat groups'!A29,'A-1 On-Site Habitat Baseline'!$S$11:$S$258)</f>
        <v>0</v>
      </c>
      <c r="H29" s="274">
        <f>SUMIF('A-1 On-Site Habitat Baseline'!$AV$11:$AV$258,'G-2 Habitat groups'!A29,'A-1 On-Site Habitat Baseline'!$U$11:$U$258)+SUMIF('A-1 On-Site Habitat Baseline'!$AV$11:$AV$258,'G-2 Habitat groups'!A29, 'A-1 On-Site Habitat Baseline'!$AT$11:$AT$258)</f>
        <v>0</v>
      </c>
      <c r="I29" s="274">
        <f>SUMIF('A-1 On-Site Habitat Baseline'!$AV$11:$AV$258,'G-2 Habitat groups'!A29,'A-1 On-Site Habitat Baseline'!$W$11:$W$258)</f>
        <v>0</v>
      </c>
      <c r="J29" s="274">
        <f>SUMIF('A-1 On-Site Habitat Baseline'!$AV$11:$AV$258,'G-2 Habitat groups'!A29,'A-1 On-Site Habitat Baseline'!$X$11:$X$258)</f>
        <v>0</v>
      </c>
      <c r="K29" s="274">
        <f>SUMIF('A-2 On-Site Habitat Creation'!$F$11:$F$256,'G-2 Habitat groups'!A29,'A-2 On-Site Habitat Creation'!$G$11:$G$256)</f>
        <v>0</v>
      </c>
      <c r="L29" s="274">
        <f>SUMIF('A-2 On-Site Habitat Creation'!$F$11:$F$256,'G-2 Habitat groups'!A29,'A-2 On-Site Habitat Creation'!$Y$11:$Y$256)</f>
        <v>0</v>
      </c>
      <c r="M29" s="274">
        <f>SUMIF('A-3 On-Site Habitat Enhancement'!$S$12:$S$257,'G-2 Habitat groups'!A29,'A-3 On-Site Habitat Enhancement'!$V$12:$V$257)</f>
        <v>0</v>
      </c>
      <c r="N29" s="274">
        <f>SUMIF('A-3 On-Site Habitat Enhancement'!$S$12:$S$257,'G-2 Habitat groups'!A29,'A-3 On-Site Habitat Enhancement'!$AN$12:$AN$257)</f>
        <v>0</v>
      </c>
      <c r="O29" s="274">
        <f t="shared" si="1"/>
        <v>0</v>
      </c>
      <c r="P29" s="274">
        <f t="shared" si="2"/>
        <v>0</v>
      </c>
      <c r="Q29" s="274">
        <f t="shared" si="3"/>
        <v>0</v>
      </c>
      <c r="R29" s="274">
        <f t="shared" si="4"/>
        <v>0</v>
      </c>
      <c r="S29" s="274">
        <f>SUMIF('D-1 Off-Site Habitat Baseline'!$AV$11:$AV$258,'G-2 Habitat groups'!A29,'D-1 Off-Site Habitat Baseline'!$H$11:$H$258)</f>
        <v>0</v>
      </c>
      <c r="T29" s="274">
        <f>SUMIF('D-1 Off-Site Habitat Baseline'!$AV$11:$AV$258,'G-2 Habitat groups'!A29,'D-1 Off-Site Habitat Baseline'!$T$11:$T$258)</f>
        <v>0</v>
      </c>
      <c r="U29" s="274">
        <f>SUMIF('D-1 Off-Site Habitat Baseline'!$AV$11:$AV$258,'G-2 Habitat groups'!A29,'D-1 Off-Site Habitat Baseline'!$V$11:$V$258)</f>
        <v>0</v>
      </c>
      <c r="V29" s="274">
        <f>SUMIF('D-1 Off-Site Habitat Baseline'!$AV$11:$AV$258,'G-2 Habitat groups'!A29,'D-1 Off-Site Habitat Baseline'!$X$11:$X$258)+SUMIF('D-1 Off-Site Habitat Baseline'!$AV$11:$AV$258,'G-2 Habitat groups'!A29,'D-1 Off-Site Habitat Baseline'!$AS$11:$AS$258)</f>
        <v>0</v>
      </c>
      <c r="W29" s="274">
        <f>SUMIF('D-2 Off-Site Habitat Creation'!$F$9:$F$255,'G-2 Habitat groups'!A29,'D-2 Off-Site Habitat Creation'!$G$9:$G$255)</f>
        <v>0</v>
      </c>
      <c r="X29" s="274">
        <f>SUMIF('D-2 Off-Site Habitat Creation'!$F$9:$F$255,'G-2 Habitat groups'!A29,'D-2 Off-Site Habitat Creation'!$AB$9:$AB$255)</f>
        <v>0</v>
      </c>
      <c r="Y29" s="274">
        <f>SUMIF('D-3 Off-Site Habitat Enhancment'!$S$12:$S$491,'G-2 Habitat groups'!A29,'D-3 Off-Site Habitat Enhancment'!$V$12:$V$491)</f>
        <v>0</v>
      </c>
      <c r="Z29" s="274">
        <f>SUMIF('D-3 Off-Site Habitat Enhancment'!$S$12:$S$491,'G-2 Habitat groups'!A29,'D-3 Off-Site Habitat Enhancment'!$AQ$12:$AQ$491)</f>
        <v>0</v>
      </c>
      <c r="AA29" s="274">
        <f t="shared" si="5"/>
        <v>0</v>
      </c>
      <c r="AB29" s="274">
        <f t="shared" si="14"/>
        <v>0</v>
      </c>
      <c r="AC29" s="274">
        <f t="shared" si="6"/>
        <v>0</v>
      </c>
      <c r="AD29" s="274">
        <f t="shared" si="15"/>
        <v>0</v>
      </c>
      <c r="AE29" s="274">
        <f t="shared" si="7"/>
        <v>0</v>
      </c>
      <c r="AF29" s="274">
        <f t="shared" si="16"/>
        <v>0</v>
      </c>
      <c r="AJ29" s="75" t="s">
        <v>105</v>
      </c>
      <c r="AK29" s="423">
        <f t="shared" si="28"/>
        <v>0</v>
      </c>
      <c r="AL29" s="423">
        <f t="shared" si="29"/>
        <v>0</v>
      </c>
      <c r="AM29" s="423">
        <f t="shared" si="30"/>
        <v>0</v>
      </c>
      <c r="AN29" s="423">
        <f t="shared" si="31"/>
        <v>0</v>
      </c>
      <c r="AO29" s="493">
        <f t="shared" si="32"/>
        <v>0</v>
      </c>
      <c r="AP29" s="493">
        <f t="shared" si="33"/>
        <v>0</v>
      </c>
      <c r="AU29" s="85" t="s">
        <v>63</v>
      </c>
      <c r="AV29" s="88" t="s">
        <v>299</v>
      </c>
      <c r="AW29" s="88" t="s">
        <v>1068</v>
      </c>
      <c r="AX29" s="88" t="s">
        <v>1069</v>
      </c>
      <c r="AY29" s="88" t="s">
        <v>1070</v>
      </c>
      <c r="AZ29" s="88" t="s">
        <v>1071</v>
      </c>
      <c r="BA29" s="88" t="s">
        <v>1072</v>
      </c>
      <c r="BB29" s="88" t="s">
        <v>1083</v>
      </c>
      <c r="BC29" s="88" t="s">
        <v>1074</v>
      </c>
      <c r="BD29" s="88" t="s">
        <v>1075</v>
      </c>
      <c r="BE29" s="88" t="s">
        <v>1076</v>
      </c>
      <c r="BF29" s="88" t="s">
        <v>1077</v>
      </c>
    </row>
    <row r="30" spans="1:59" x14ac:dyDescent="0.25">
      <c r="A30" s="70" t="str">
        <f>'G-1 All Habitats'!B29</f>
        <v>Heathland and shrub - Hawthorn scrub</v>
      </c>
      <c r="B30" s="62" t="s">
        <v>116</v>
      </c>
      <c r="C30" s="62" t="str">
        <f>'G-1 All Habitats'!K29</f>
        <v>Medium</v>
      </c>
      <c r="D30" s="62" t="str">
        <f>'G-1 All Habitats'!M29</f>
        <v>Same broad habitat or a higher distinctiveness habitat required (≥)</v>
      </c>
      <c r="E30" s="274">
        <f>SUMIF('A-1 On-Site Habitat Baseline'!$AV$11:$AV$258,'G-2 Habitat groups'!A30,'A-1 On-Site Habitat Baseline'!$H$11:$H$258)</f>
        <v>0</v>
      </c>
      <c r="F30" s="274">
        <f>SUMIF('A-1 On-Site Habitat Baseline'!$AV$11:$AV$258,'G-2 Habitat groups'!A30,'A-1 On-Site Habitat Baseline'!$Q$11:$Q$258)</f>
        <v>0</v>
      </c>
      <c r="G30" s="274">
        <f>SUMIF('A-1 On-Site Habitat Baseline'!$AV$11:$AV$258,'G-2 Habitat groups'!A30,'A-1 On-Site Habitat Baseline'!$S$11:$S$258)</f>
        <v>0</v>
      </c>
      <c r="H30" s="274">
        <f>SUMIF('A-1 On-Site Habitat Baseline'!$AV$11:$AV$258,'G-2 Habitat groups'!A30,'A-1 On-Site Habitat Baseline'!$U$11:$U$258)+SUMIF('A-1 On-Site Habitat Baseline'!$AV$11:$AV$258,'G-2 Habitat groups'!A30, 'A-1 On-Site Habitat Baseline'!$AT$11:$AT$258)</f>
        <v>0</v>
      </c>
      <c r="I30" s="274">
        <f>SUMIF('A-1 On-Site Habitat Baseline'!$AV$11:$AV$258,'G-2 Habitat groups'!A30,'A-1 On-Site Habitat Baseline'!$W$11:$W$258)</f>
        <v>0</v>
      </c>
      <c r="J30" s="274">
        <f>SUMIF('A-1 On-Site Habitat Baseline'!$AV$11:$AV$258,'G-2 Habitat groups'!A30,'A-1 On-Site Habitat Baseline'!$X$11:$X$258)</f>
        <v>0</v>
      </c>
      <c r="K30" s="274">
        <f>SUMIF('A-2 On-Site Habitat Creation'!$F$11:$F$256,'G-2 Habitat groups'!A30,'A-2 On-Site Habitat Creation'!$G$11:$G$256)</f>
        <v>0</v>
      </c>
      <c r="L30" s="274">
        <f>SUMIF('A-2 On-Site Habitat Creation'!$F$11:$F$256,'G-2 Habitat groups'!A30,'A-2 On-Site Habitat Creation'!$Y$11:$Y$256)</f>
        <v>0</v>
      </c>
      <c r="M30" s="274">
        <f>SUMIF('A-3 On-Site Habitat Enhancement'!$S$12:$S$257,'G-2 Habitat groups'!A30,'A-3 On-Site Habitat Enhancement'!$V$12:$V$257)</f>
        <v>0</v>
      </c>
      <c r="N30" s="274">
        <f>SUMIF('A-3 On-Site Habitat Enhancement'!$S$12:$S$257,'G-2 Habitat groups'!A30,'A-3 On-Site Habitat Enhancement'!$AN$12:$AN$257)</f>
        <v>0</v>
      </c>
      <c r="O30" s="274">
        <f t="shared" si="1"/>
        <v>0</v>
      </c>
      <c r="P30" s="274">
        <f t="shared" si="2"/>
        <v>0</v>
      </c>
      <c r="Q30" s="274">
        <f t="shared" si="3"/>
        <v>0</v>
      </c>
      <c r="R30" s="274">
        <f t="shared" si="4"/>
        <v>0</v>
      </c>
      <c r="S30" s="274">
        <f>SUMIF('D-1 Off-Site Habitat Baseline'!$AV$11:$AV$258,'G-2 Habitat groups'!A30,'D-1 Off-Site Habitat Baseline'!$H$11:$H$258)</f>
        <v>0</v>
      </c>
      <c r="T30" s="274">
        <f>SUMIF('D-1 Off-Site Habitat Baseline'!$AV$11:$AV$258,'G-2 Habitat groups'!A30,'D-1 Off-Site Habitat Baseline'!$T$11:$T$258)</f>
        <v>0</v>
      </c>
      <c r="U30" s="274">
        <f>SUMIF('D-1 Off-Site Habitat Baseline'!$AV$11:$AV$258,'G-2 Habitat groups'!A30,'D-1 Off-Site Habitat Baseline'!$V$11:$V$258)</f>
        <v>0</v>
      </c>
      <c r="V30" s="274">
        <f>SUMIF('D-1 Off-Site Habitat Baseline'!$AV$11:$AV$258,'G-2 Habitat groups'!A30,'D-1 Off-Site Habitat Baseline'!$X$11:$X$258)+SUMIF('D-1 Off-Site Habitat Baseline'!$AV$11:$AV$258,'G-2 Habitat groups'!A30,'D-1 Off-Site Habitat Baseline'!$AS$11:$AS$258)</f>
        <v>0</v>
      </c>
      <c r="W30" s="274">
        <f>SUMIF('D-2 Off-Site Habitat Creation'!$F$9:$F$255,'G-2 Habitat groups'!A30,'D-2 Off-Site Habitat Creation'!$G$9:$G$255)</f>
        <v>0</v>
      </c>
      <c r="X30" s="274">
        <f>SUMIF('D-2 Off-Site Habitat Creation'!$F$9:$F$255,'G-2 Habitat groups'!A30,'D-2 Off-Site Habitat Creation'!$AB$9:$AB$255)</f>
        <v>0</v>
      </c>
      <c r="Y30" s="274">
        <f>SUMIF('D-3 Off-Site Habitat Enhancment'!$S$12:$S$491,'G-2 Habitat groups'!A30,'D-3 Off-Site Habitat Enhancment'!$V$12:$V$491)</f>
        <v>0</v>
      </c>
      <c r="Z30" s="274">
        <f>SUMIF('D-3 Off-Site Habitat Enhancment'!$S$12:$S$491,'G-2 Habitat groups'!A30,'D-3 Off-Site Habitat Enhancment'!$AQ$12:$AQ$491)</f>
        <v>0</v>
      </c>
      <c r="AA30" s="274">
        <f t="shared" si="5"/>
        <v>0</v>
      </c>
      <c r="AB30" s="274">
        <f t="shared" si="14"/>
        <v>0</v>
      </c>
      <c r="AC30" s="274">
        <f t="shared" si="6"/>
        <v>0</v>
      </c>
      <c r="AD30" s="274">
        <f t="shared" si="15"/>
        <v>0</v>
      </c>
      <c r="AE30" s="274">
        <f t="shared" si="7"/>
        <v>0</v>
      </c>
      <c r="AF30" s="274">
        <f t="shared" si="16"/>
        <v>0</v>
      </c>
      <c r="AJ30" s="75" t="s">
        <v>99</v>
      </c>
      <c r="AK30" s="422">
        <f t="shared" si="28"/>
        <v>0</v>
      </c>
      <c r="AL30" s="422">
        <f t="shared" si="29"/>
        <v>0</v>
      </c>
      <c r="AM30" s="422">
        <f t="shared" si="30"/>
        <v>0</v>
      </c>
      <c r="AN30" s="422">
        <f t="shared" si="31"/>
        <v>0</v>
      </c>
      <c r="AO30" s="493">
        <f t="shared" si="32"/>
        <v>0</v>
      </c>
      <c r="AP30" s="493">
        <f t="shared" si="33"/>
        <v>0</v>
      </c>
      <c r="AU30" s="77" t="s">
        <v>121</v>
      </c>
      <c r="AV30" s="62" t="s">
        <v>78</v>
      </c>
      <c r="AW30" s="280">
        <f t="shared" ref="AW30:AW73" si="34">VLOOKUP($AU30,AllHabsSummaryData,5,FALSE)</f>
        <v>0</v>
      </c>
      <c r="AX30" s="280">
        <f t="shared" ref="AX30:AX73" si="35">VLOOKUP($AU30,AllHabsSummaryData,10,FALSE)</f>
        <v>0</v>
      </c>
      <c r="AY30" s="280">
        <f t="shared" ref="AY30:AY73" si="36">VLOOKUP($AU30,AllHabsSummaryData,15,FALSE)</f>
        <v>0</v>
      </c>
      <c r="AZ30" s="280">
        <f t="shared" ref="AZ30:AZ73" si="37">VLOOKUP($AU30,AllHabsSummaryData,16,FALSE)</f>
        <v>0</v>
      </c>
      <c r="BA30" s="280">
        <f t="shared" ref="BA30:BA73" si="38">VLOOKUP($AU30,AllHabsSummaryData,17,FALSE)</f>
        <v>0</v>
      </c>
      <c r="BB30" s="280">
        <f t="shared" ref="BB30:BB73" si="39">VLOOKUP($AU30,AllHabsSummaryData,18,FALSE)</f>
        <v>0</v>
      </c>
      <c r="BC30" s="280">
        <f t="shared" ref="BC30:BC73" si="40">VLOOKUP($AU30,AllHabsSummaryData,27,FALSE)</f>
        <v>0</v>
      </c>
      <c r="BD30" s="280">
        <f t="shared" ref="BD30:BD73" si="41">VLOOKUP($AU30,AllHabsSummaryData,30,FALSE)</f>
        <v>0</v>
      </c>
      <c r="BE30" s="280">
        <f t="shared" ref="BE30:BE73" si="42">BB30+BD30</f>
        <v>0</v>
      </c>
      <c r="BF30" s="280" t="str">
        <f t="shared" ref="BF30:BF73" si="43">IF(BE30&lt;0,BE30,"")</f>
        <v/>
      </c>
    </row>
    <row r="31" spans="1:59" x14ac:dyDescent="0.25">
      <c r="A31" s="70" t="str">
        <f>'G-1 All Habitats'!B30</f>
        <v>Heathland and shrub - Hazel scrub</v>
      </c>
      <c r="B31" s="62" t="s">
        <v>116</v>
      </c>
      <c r="C31" s="62" t="str">
        <f>'G-1 All Habitats'!K30</f>
        <v>Medium</v>
      </c>
      <c r="D31" s="62" t="str">
        <f>'G-1 All Habitats'!M30</f>
        <v>Same broad habitat or a higher distinctiveness habitat required (≥)</v>
      </c>
      <c r="E31" s="274">
        <f>SUMIF('A-1 On-Site Habitat Baseline'!$AV$11:$AV$258,'G-2 Habitat groups'!A31,'A-1 On-Site Habitat Baseline'!$H$11:$H$258)</f>
        <v>0</v>
      </c>
      <c r="F31" s="274">
        <f>SUMIF('A-1 On-Site Habitat Baseline'!$AV$11:$AV$258,'G-2 Habitat groups'!A31,'A-1 On-Site Habitat Baseline'!$Q$11:$Q$258)</f>
        <v>0</v>
      </c>
      <c r="G31" s="274">
        <f>SUMIF('A-1 On-Site Habitat Baseline'!$AV$11:$AV$258,'G-2 Habitat groups'!A31,'A-1 On-Site Habitat Baseline'!$S$11:$S$258)</f>
        <v>0</v>
      </c>
      <c r="H31" s="274">
        <f>SUMIF('A-1 On-Site Habitat Baseline'!$AV$11:$AV$258,'G-2 Habitat groups'!A31,'A-1 On-Site Habitat Baseline'!$U$11:$U$258)+SUMIF('A-1 On-Site Habitat Baseline'!$AV$11:$AV$258,'G-2 Habitat groups'!A31, 'A-1 On-Site Habitat Baseline'!$AT$11:$AT$258)</f>
        <v>0</v>
      </c>
      <c r="I31" s="274">
        <f>SUMIF('A-1 On-Site Habitat Baseline'!$AV$11:$AV$258,'G-2 Habitat groups'!A31,'A-1 On-Site Habitat Baseline'!$W$11:$W$258)</f>
        <v>0</v>
      </c>
      <c r="J31" s="274">
        <f>SUMIF('A-1 On-Site Habitat Baseline'!$AV$11:$AV$258,'G-2 Habitat groups'!A31,'A-1 On-Site Habitat Baseline'!$X$11:$X$258)</f>
        <v>0</v>
      </c>
      <c r="K31" s="274">
        <f>SUMIF('A-2 On-Site Habitat Creation'!$F$11:$F$256,'G-2 Habitat groups'!A31,'A-2 On-Site Habitat Creation'!$G$11:$G$256)</f>
        <v>0</v>
      </c>
      <c r="L31" s="274">
        <f>SUMIF('A-2 On-Site Habitat Creation'!$F$11:$F$256,'G-2 Habitat groups'!A31,'A-2 On-Site Habitat Creation'!$Y$11:$Y$256)</f>
        <v>0</v>
      </c>
      <c r="M31" s="274">
        <f>SUMIF('A-3 On-Site Habitat Enhancement'!$S$12:$S$257,'G-2 Habitat groups'!A31,'A-3 On-Site Habitat Enhancement'!$V$12:$V$257)</f>
        <v>0</v>
      </c>
      <c r="N31" s="274">
        <f>SUMIF('A-3 On-Site Habitat Enhancement'!$S$12:$S$257,'G-2 Habitat groups'!A31,'A-3 On-Site Habitat Enhancement'!$AN$12:$AN$257)</f>
        <v>0</v>
      </c>
      <c r="O31" s="274">
        <f t="shared" si="1"/>
        <v>0</v>
      </c>
      <c r="P31" s="274">
        <f t="shared" si="2"/>
        <v>0</v>
      </c>
      <c r="Q31" s="274">
        <f t="shared" si="3"/>
        <v>0</v>
      </c>
      <c r="R31" s="274">
        <f t="shared" si="4"/>
        <v>0</v>
      </c>
      <c r="S31" s="274">
        <f>SUMIF('D-1 Off-Site Habitat Baseline'!$AV$11:$AV$258,'G-2 Habitat groups'!A31,'D-1 Off-Site Habitat Baseline'!$H$11:$H$258)</f>
        <v>0</v>
      </c>
      <c r="T31" s="274">
        <f>SUMIF('D-1 Off-Site Habitat Baseline'!$AV$11:$AV$258,'G-2 Habitat groups'!A31,'D-1 Off-Site Habitat Baseline'!$T$11:$T$258)</f>
        <v>0</v>
      </c>
      <c r="U31" s="274">
        <f>SUMIF('D-1 Off-Site Habitat Baseline'!$AV$11:$AV$258,'G-2 Habitat groups'!A31,'D-1 Off-Site Habitat Baseline'!$V$11:$V$258)</f>
        <v>0</v>
      </c>
      <c r="V31" s="274">
        <f>SUMIF('D-1 Off-Site Habitat Baseline'!$AV$11:$AV$258,'G-2 Habitat groups'!A31,'D-1 Off-Site Habitat Baseline'!$X$11:$X$258)+SUMIF('D-1 Off-Site Habitat Baseline'!$AV$11:$AV$258,'G-2 Habitat groups'!A31,'D-1 Off-Site Habitat Baseline'!$AS$11:$AS$258)</f>
        <v>0</v>
      </c>
      <c r="W31" s="274">
        <f>SUMIF('D-2 Off-Site Habitat Creation'!$F$9:$F$255,'G-2 Habitat groups'!A31,'D-2 Off-Site Habitat Creation'!$G$9:$G$255)</f>
        <v>0</v>
      </c>
      <c r="X31" s="274">
        <f>SUMIF('D-2 Off-Site Habitat Creation'!$F$9:$F$255,'G-2 Habitat groups'!A31,'D-2 Off-Site Habitat Creation'!$AB$9:$AB$255)</f>
        <v>0</v>
      </c>
      <c r="Y31" s="274">
        <f>SUMIF('D-3 Off-Site Habitat Enhancment'!$S$12:$S$491,'G-2 Habitat groups'!A31,'D-3 Off-Site Habitat Enhancment'!$V$12:$V$491)</f>
        <v>0</v>
      </c>
      <c r="Z31" s="274">
        <f>SUMIF('D-3 Off-Site Habitat Enhancment'!$S$12:$S$491,'G-2 Habitat groups'!A31,'D-3 Off-Site Habitat Enhancment'!$AQ$12:$AQ$491)</f>
        <v>0</v>
      </c>
      <c r="AA31" s="274">
        <f t="shared" si="5"/>
        <v>0</v>
      </c>
      <c r="AB31" s="274">
        <f t="shared" si="14"/>
        <v>0</v>
      </c>
      <c r="AC31" s="274">
        <f t="shared" si="6"/>
        <v>0</v>
      </c>
      <c r="AD31" s="274">
        <f t="shared" si="15"/>
        <v>0</v>
      </c>
      <c r="AE31" s="274">
        <f t="shared" si="7"/>
        <v>0</v>
      </c>
      <c r="AF31" s="274">
        <f t="shared" si="16"/>
        <v>0</v>
      </c>
      <c r="AJ31" s="75" t="s">
        <v>94</v>
      </c>
      <c r="AK31" s="422">
        <f t="shared" si="28"/>
        <v>0</v>
      </c>
      <c r="AL31" s="422">
        <f t="shared" si="29"/>
        <v>0</v>
      </c>
      <c r="AM31" s="422">
        <f t="shared" si="30"/>
        <v>0</v>
      </c>
      <c r="AN31" s="422">
        <f t="shared" si="31"/>
        <v>0</v>
      </c>
      <c r="AO31" s="493">
        <f t="shared" si="32"/>
        <v>0</v>
      </c>
      <c r="AP31" s="493">
        <f t="shared" si="33"/>
        <v>0</v>
      </c>
      <c r="AU31" s="77" t="s">
        <v>77</v>
      </c>
      <c r="AV31" s="62" t="s">
        <v>78</v>
      </c>
      <c r="AW31" s="280">
        <f t="shared" si="34"/>
        <v>0</v>
      </c>
      <c r="AX31" s="280">
        <f t="shared" si="35"/>
        <v>0</v>
      </c>
      <c r="AY31" s="280">
        <f t="shared" si="36"/>
        <v>0</v>
      </c>
      <c r="AZ31" s="280">
        <f t="shared" si="37"/>
        <v>0</v>
      </c>
      <c r="BA31" s="280">
        <f t="shared" si="38"/>
        <v>0</v>
      </c>
      <c r="BB31" s="280">
        <f t="shared" si="39"/>
        <v>0</v>
      </c>
      <c r="BC31" s="280">
        <f t="shared" si="40"/>
        <v>0</v>
      </c>
      <c r="BD31" s="280">
        <f t="shared" si="41"/>
        <v>0</v>
      </c>
      <c r="BE31" s="280">
        <f t="shared" si="42"/>
        <v>0</v>
      </c>
      <c r="BF31" s="280" t="str">
        <f t="shared" si="43"/>
        <v/>
      </c>
    </row>
    <row r="32" spans="1:59" x14ac:dyDescent="0.25">
      <c r="A32" s="70" t="str">
        <f>'G-1 All Habitats'!B31</f>
        <v>Heathland and shrub - Lowland heathland</v>
      </c>
      <c r="B32" s="62" t="s">
        <v>116</v>
      </c>
      <c r="C32" s="62" t="str">
        <f>'G-1 All Habitats'!K31</f>
        <v>High</v>
      </c>
      <c r="D32" s="62" t="str">
        <f>'G-1 All Habitats'!M31</f>
        <v>Same habitat required =</v>
      </c>
      <c r="E32" s="274">
        <f>SUMIF('A-1 On-Site Habitat Baseline'!$AV$11:$AV$258,'G-2 Habitat groups'!A32,'A-1 On-Site Habitat Baseline'!$H$11:$H$258)</f>
        <v>0</v>
      </c>
      <c r="F32" s="274">
        <f>SUMIF('A-1 On-Site Habitat Baseline'!$AV$11:$AV$258,'G-2 Habitat groups'!A32,'A-1 On-Site Habitat Baseline'!$Q$11:$Q$258)</f>
        <v>0</v>
      </c>
      <c r="G32" s="274">
        <f>SUMIF('A-1 On-Site Habitat Baseline'!$AV$11:$AV$258,'G-2 Habitat groups'!A32,'A-1 On-Site Habitat Baseline'!$S$11:$S$258)</f>
        <v>0</v>
      </c>
      <c r="H32" s="274">
        <f>SUMIF('A-1 On-Site Habitat Baseline'!$AV$11:$AV$258,'G-2 Habitat groups'!A32,'A-1 On-Site Habitat Baseline'!$U$11:$U$258)+SUMIF('A-1 On-Site Habitat Baseline'!$AV$11:$AV$258,'G-2 Habitat groups'!A32, 'A-1 On-Site Habitat Baseline'!$AT$11:$AT$258)</f>
        <v>0</v>
      </c>
      <c r="I32" s="274">
        <f>SUMIF('A-1 On-Site Habitat Baseline'!$AV$11:$AV$258,'G-2 Habitat groups'!A32,'A-1 On-Site Habitat Baseline'!$W$11:$W$258)</f>
        <v>0</v>
      </c>
      <c r="J32" s="274">
        <f>SUMIF('A-1 On-Site Habitat Baseline'!$AV$11:$AV$258,'G-2 Habitat groups'!A32,'A-1 On-Site Habitat Baseline'!$X$11:$X$258)</f>
        <v>0</v>
      </c>
      <c r="K32" s="274">
        <f>SUMIF('A-2 On-Site Habitat Creation'!$F$11:$F$256,'G-2 Habitat groups'!A32,'A-2 On-Site Habitat Creation'!$G$11:$G$256)</f>
        <v>0</v>
      </c>
      <c r="L32" s="274">
        <f>SUMIF('A-2 On-Site Habitat Creation'!$F$11:$F$256,'G-2 Habitat groups'!A32,'A-2 On-Site Habitat Creation'!$Y$11:$Y$256)</f>
        <v>0</v>
      </c>
      <c r="M32" s="274">
        <f>SUMIF('A-3 On-Site Habitat Enhancement'!$S$12:$S$257,'G-2 Habitat groups'!A32,'A-3 On-Site Habitat Enhancement'!$V$12:$V$257)</f>
        <v>0</v>
      </c>
      <c r="N32" s="274">
        <f>SUMIF('A-3 On-Site Habitat Enhancement'!$S$12:$S$257,'G-2 Habitat groups'!A32,'A-3 On-Site Habitat Enhancement'!$AN$12:$AN$257)</f>
        <v>0</v>
      </c>
      <c r="O32" s="274">
        <f t="shared" si="1"/>
        <v>0</v>
      </c>
      <c r="P32" s="274">
        <f t="shared" si="2"/>
        <v>0</v>
      </c>
      <c r="Q32" s="274">
        <f t="shared" si="3"/>
        <v>0</v>
      </c>
      <c r="R32" s="274">
        <f t="shared" si="4"/>
        <v>0</v>
      </c>
      <c r="S32" s="274">
        <f>SUMIF('D-1 Off-Site Habitat Baseline'!$AV$11:$AV$258,'G-2 Habitat groups'!A32,'D-1 Off-Site Habitat Baseline'!$H$11:$H$258)</f>
        <v>0</v>
      </c>
      <c r="T32" s="274">
        <f>SUMIF('D-1 Off-Site Habitat Baseline'!$AV$11:$AV$258,'G-2 Habitat groups'!A32,'D-1 Off-Site Habitat Baseline'!$T$11:$T$258)</f>
        <v>0</v>
      </c>
      <c r="U32" s="274">
        <f>SUMIF('D-1 Off-Site Habitat Baseline'!$AV$11:$AV$258,'G-2 Habitat groups'!A32,'D-1 Off-Site Habitat Baseline'!$V$11:$V$258)</f>
        <v>0</v>
      </c>
      <c r="V32" s="274">
        <f>SUMIF('D-1 Off-Site Habitat Baseline'!$AV$11:$AV$258,'G-2 Habitat groups'!A32,'D-1 Off-Site Habitat Baseline'!$X$11:$X$258)+SUMIF('D-1 Off-Site Habitat Baseline'!$AV$11:$AV$258,'G-2 Habitat groups'!A32,'D-1 Off-Site Habitat Baseline'!$AS$11:$AS$258)</f>
        <v>0</v>
      </c>
      <c r="W32" s="274">
        <f>SUMIF('D-2 Off-Site Habitat Creation'!$F$9:$F$255,'G-2 Habitat groups'!A32,'D-2 Off-Site Habitat Creation'!$G$9:$G$255)</f>
        <v>0</v>
      </c>
      <c r="X32" s="274">
        <f>SUMIF('D-2 Off-Site Habitat Creation'!$F$9:$F$255,'G-2 Habitat groups'!A32,'D-2 Off-Site Habitat Creation'!$AB$9:$AB$255)</f>
        <v>0</v>
      </c>
      <c r="Y32" s="274">
        <f>SUMIF('D-3 Off-Site Habitat Enhancment'!$S$12:$S$491,'G-2 Habitat groups'!A32,'D-3 Off-Site Habitat Enhancment'!$V$12:$V$491)</f>
        <v>0</v>
      </c>
      <c r="Z32" s="274">
        <f>SUMIF('D-3 Off-Site Habitat Enhancment'!$S$12:$S$491,'G-2 Habitat groups'!A32,'D-3 Off-Site Habitat Enhancment'!$AQ$12:$AQ$491)</f>
        <v>0</v>
      </c>
      <c r="AA32" s="274">
        <f t="shared" si="5"/>
        <v>0</v>
      </c>
      <c r="AB32" s="274">
        <f t="shared" si="14"/>
        <v>0</v>
      </c>
      <c r="AC32" s="274">
        <f t="shared" si="6"/>
        <v>0</v>
      </c>
      <c r="AD32" s="274">
        <f t="shared" si="15"/>
        <v>0</v>
      </c>
      <c r="AE32" s="274">
        <f t="shared" si="7"/>
        <v>0</v>
      </c>
      <c r="AF32" s="274">
        <f t="shared" si="16"/>
        <v>0</v>
      </c>
      <c r="AJ32" s="75" t="s">
        <v>92</v>
      </c>
      <c r="AK32" s="423">
        <f t="shared" si="28"/>
        <v>0</v>
      </c>
      <c r="AL32" s="423">
        <f t="shared" si="29"/>
        <v>0</v>
      </c>
      <c r="AM32" s="423">
        <f t="shared" si="30"/>
        <v>0</v>
      </c>
      <c r="AN32" s="423">
        <f t="shared" si="31"/>
        <v>0</v>
      </c>
      <c r="AO32" s="493">
        <f t="shared" si="32"/>
        <v>0</v>
      </c>
      <c r="AP32" s="493">
        <f t="shared" si="33"/>
        <v>0</v>
      </c>
      <c r="AU32" s="77" t="s">
        <v>112</v>
      </c>
      <c r="AV32" s="62" t="s">
        <v>78</v>
      </c>
      <c r="AW32" s="280">
        <f t="shared" si="34"/>
        <v>0</v>
      </c>
      <c r="AX32" s="280">
        <f t="shared" si="35"/>
        <v>0</v>
      </c>
      <c r="AY32" s="280">
        <f t="shared" si="36"/>
        <v>0</v>
      </c>
      <c r="AZ32" s="280">
        <f t="shared" si="37"/>
        <v>0</v>
      </c>
      <c r="BA32" s="280">
        <f t="shared" si="38"/>
        <v>0</v>
      </c>
      <c r="BB32" s="280">
        <f t="shared" si="39"/>
        <v>0</v>
      </c>
      <c r="BC32" s="280">
        <f t="shared" si="40"/>
        <v>0</v>
      </c>
      <c r="BD32" s="280">
        <f t="shared" si="41"/>
        <v>0</v>
      </c>
      <c r="BE32" s="280">
        <f t="shared" si="42"/>
        <v>0</v>
      </c>
      <c r="BF32" s="280" t="str">
        <f t="shared" si="43"/>
        <v/>
      </c>
    </row>
    <row r="33" spans="1:58" x14ac:dyDescent="0.25">
      <c r="A33" s="70" t="str">
        <f>'G-1 All Habitats'!B32</f>
        <v>Heathland and shrub - Mixed scrub</v>
      </c>
      <c r="B33" s="62" t="s">
        <v>116</v>
      </c>
      <c r="C33" s="62" t="str">
        <f>'G-1 All Habitats'!K32</f>
        <v>Medium</v>
      </c>
      <c r="D33" s="62" t="str">
        <f>'G-1 All Habitats'!M32</f>
        <v>Same broad habitat or a higher distinctiveness habitat required (≥)</v>
      </c>
      <c r="E33" s="274">
        <f>SUMIF('A-1 On-Site Habitat Baseline'!$AV$11:$AV$258,'G-2 Habitat groups'!A33,'A-1 On-Site Habitat Baseline'!$H$11:$H$258)</f>
        <v>0</v>
      </c>
      <c r="F33" s="274">
        <f>SUMIF('A-1 On-Site Habitat Baseline'!$AV$11:$AV$258,'G-2 Habitat groups'!A33,'A-1 On-Site Habitat Baseline'!$Q$11:$Q$258)</f>
        <v>0</v>
      </c>
      <c r="G33" s="274">
        <f>SUMIF('A-1 On-Site Habitat Baseline'!$AV$11:$AV$258,'G-2 Habitat groups'!A33,'A-1 On-Site Habitat Baseline'!$S$11:$S$258)</f>
        <v>0</v>
      </c>
      <c r="H33" s="274">
        <f>SUMIF('A-1 On-Site Habitat Baseline'!$AV$11:$AV$258,'G-2 Habitat groups'!A33,'A-1 On-Site Habitat Baseline'!$U$11:$U$258)+SUMIF('A-1 On-Site Habitat Baseline'!$AV$11:$AV$258,'G-2 Habitat groups'!A33, 'A-1 On-Site Habitat Baseline'!$AT$11:$AT$258)</f>
        <v>0</v>
      </c>
      <c r="I33" s="274">
        <f>SUMIF('A-1 On-Site Habitat Baseline'!$AV$11:$AV$258,'G-2 Habitat groups'!A33,'A-1 On-Site Habitat Baseline'!$W$11:$W$258)</f>
        <v>0</v>
      </c>
      <c r="J33" s="274">
        <f>SUMIF('A-1 On-Site Habitat Baseline'!$AV$11:$AV$258,'G-2 Habitat groups'!A33,'A-1 On-Site Habitat Baseline'!$X$11:$X$258)</f>
        <v>0</v>
      </c>
      <c r="K33" s="274">
        <f>SUMIF('A-2 On-Site Habitat Creation'!$F$11:$F$256,'G-2 Habitat groups'!A33,'A-2 On-Site Habitat Creation'!$G$11:$G$256)</f>
        <v>2.98E-2</v>
      </c>
      <c r="L33" s="274">
        <f>SUMIF('A-2 On-Site Habitat Creation'!$F$11:$F$256,'G-2 Habitat groups'!A33,'A-2 On-Site Habitat Creation'!$Y$11:$Y$256)</f>
        <v>0.13228219999999999</v>
      </c>
      <c r="M33" s="274">
        <f>SUMIF('A-3 On-Site Habitat Enhancement'!$S$12:$S$257,'G-2 Habitat groups'!A33,'A-3 On-Site Habitat Enhancement'!$V$12:$V$257)</f>
        <v>0</v>
      </c>
      <c r="N33" s="274">
        <f>SUMIF('A-3 On-Site Habitat Enhancement'!$S$12:$S$257,'G-2 Habitat groups'!A33,'A-3 On-Site Habitat Enhancement'!$AN$12:$AN$257)</f>
        <v>0</v>
      </c>
      <c r="O33" s="274">
        <f t="shared" si="1"/>
        <v>2.98E-2</v>
      </c>
      <c r="P33" s="274">
        <f t="shared" si="2"/>
        <v>0.13228219999999999</v>
      </c>
      <c r="Q33" s="274">
        <f t="shared" si="3"/>
        <v>2.98E-2</v>
      </c>
      <c r="R33" s="274">
        <f t="shared" si="4"/>
        <v>0.13228219999999999</v>
      </c>
      <c r="S33" s="274">
        <f>SUMIF('D-1 Off-Site Habitat Baseline'!$AV$11:$AV$258,'G-2 Habitat groups'!A33,'D-1 Off-Site Habitat Baseline'!$H$11:$H$258)</f>
        <v>0</v>
      </c>
      <c r="T33" s="274">
        <f>SUMIF('D-1 Off-Site Habitat Baseline'!$AV$11:$AV$258,'G-2 Habitat groups'!A33,'D-1 Off-Site Habitat Baseline'!$T$11:$T$258)</f>
        <v>0</v>
      </c>
      <c r="U33" s="274">
        <f>SUMIF('D-1 Off-Site Habitat Baseline'!$AV$11:$AV$258,'G-2 Habitat groups'!A33,'D-1 Off-Site Habitat Baseline'!$V$11:$V$258)</f>
        <v>0</v>
      </c>
      <c r="V33" s="274">
        <f>SUMIF('D-1 Off-Site Habitat Baseline'!$AV$11:$AV$258,'G-2 Habitat groups'!A33,'D-1 Off-Site Habitat Baseline'!$X$11:$X$258)+SUMIF('D-1 Off-Site Habitat Baseline'!$AV$11:$AV$258,'G-2 Habitat groups'!A33,'D-1 Off-Site Habitat Baseline'!$AS$11:$AS$258)</f>
        <v>0</v>
      </c>
      <c r="W33" s="274">
        <f>SUMIF('D-2 Off-Site Habitat Creation'!$F$9:$F$255,'G-2 Habitat groups'!A33,'D-2 Off-Site Habitat Creation'!$G$9:$G$255)</f>
        <v>7.7200000000000005E-2</v>
      </c>
      <c r="X33" s="274">
        <f>SUMIF('D-2 Off-Site Habitat Creation'!$F$9:$F$255,'G-2 Habitat groups'!A33,'D-2 Off-Site Habitat Creation'!$AB$9:$AB$255)</f>
        <v>0.59434921631414406</v>
      </c>
      <c r="Y33" s="274">
        <f>SUMIF('D-3 Off-Site Habitat Enhancment'!$S$12:$S$491,'G-2 Habitat groups'!A33,'D-3 Off-Site Habitat Enhancment'!$V$12:$V$491)</f>
        <v>0</v>
      </c>
      <c r="Z33" s="274">
        <f>SUMIF('D-3 Off-Site Habitat Enhancment'!$S$12:$S$491,'G-2 Habitat groups'!A33,'D-3 Off-Site Habitat Enhancment'!$AQ$12:$AQ$491)</f>
        <v>0</v>
      </c>
      <c r="AA33" s="274">
        <f t="shared" si="5"/>
        <v>7.7200000000000005E-2</v>
      </c>
      <c r="AB33" s="274">
        <f t="shared" si="14"/>
        <v>0.59434921631414406</v>
      </c>
      <c r="AC33" s="274">
        <f t="shared" si="6"/>
        <v>7.7200000000000005E-2</v>
      </c>
      <c r="AD33" s="274">
        <f t="shared" si="15"/>
        <v>0.59434921631414406</v>
      </c>
      <c r="AE33" s="274">
        <f t="shared" si="7"/>
        <v>0.10700000000000001</v>
      </c>
      <c r="AF33" s="274">
        <f t="shared" si="16"/>
        <v>0.72663141631414407</v>
      </c>
      <c r="AJ33" s="75" t="s">
        <v>216</v>
      </c>
      <c r="AK33" s="423">
        <f t="shared" si="28"/>
        <v>0</v>
      </c>
      <c r="AL33" s="423">
        <f t="shared" si="29"/>
        <v>0</v>
      </c>
      <c r="AM33" s="423">
        <f t="shared" si="30"/>
        <v>0</v>
      </c>
      <c r="AN33" s="423">
        <f t="shared" si="31"/>
        <v>0</v>
      </c>
      <c r="AO33" s="493">
        <f t="shared" si="32"/>
        <v>0</v>
      </c>
      <c r="AP33" s="493">
        <f t="shared" si="33"/>
        <v>0</v>
      </c>
      <c r="AU33" s="77" t="s">
        <v>113</v>
      </c>
      <c r="AV33" s="62" t="s">
        <v>78</v>
      </c>
      <c r="AW33" s="280">
        <f t="shared" si="34"/>
        <v>0</v>
      </c>
      <c r="AX33" s="280">
        <f t="shared" si="35"/>
        <v>0</v>
      </c>
      <c r="AY33" s="280">
        <f t="shared" si="36"/>
        <v>0</v>
      </c>
      <c r="AZ33" s="280">
        <f t="shared" si="37"/>
        <v>0</v>
      </c>
      <c r="BA33" s="280">
        <f t="shared" si="38"/>
        <v>0</v>
      </c>
      <c r="BB33" s="280">
        <f t="shared" si="39"/>
        <v>0</v>
      </c>
      <c r="BC33" s="280">
        <f t="shared" si="40"/>
        <v>0</v>
      </c>
      <c r="BD33" s="280">
        <f t="shared" si="41"/>
        <v>0</v>
      </c>
      <c r="BE33" s="280">
        <f t="shared" si="42"/>
        <v>0</v>
      </c>
      <c r="BF33" s="280" t="str">
        <f t="shared" si="43"/>
        <v/>
      </c>
    </row>
    <row r="34" spans="1:58" x14ac:dyDescent="0.25">
      <c r="A34" s="70" t="str">
        <f>'G-1 All Habitats'!B33</f>
        <v>Heathland and shrub - Mountain heaths and willow scrub</v>
      </c>
      <c r="B34" s="62" t="s">
        <v>116</v>
      </c>
      <c r="C34" s="62" t="str">
        <f>'G-1 All Habitats'!K33</f>
        <v>V.High</v>
      </c>
      <c r="D34" s="62" t="str">
        <f>'G-1 All Habitats'!M33</f>
        <v>Same habitat required – bespoke compensation option ⚠</v>
      </c>
      <c r="E34" s="274">
        <f>SUMIF('A-1 On-Site Habitat Baseline'!$AV$11:$AV$258,'G-2 Habitat groups'!A34,'A-1 On-Site Habitat Baseline'!$H$11:$H$258)</f>
        <v>0</v>
      </c>
      <c r="F34" s="274">
        <f>SUMIF('A-1 On-Site Habitat Baseline'!$AV$11:$AV$258,'G-2 Habitat groups'!A34,'A-1 On-Site Habitat Baseline'!$Q$11:$Q$258)</f>
        <v>0</v>
      </c>
      <c r="G34" s="274">
        <f>SUMIF('A-1 On-Site Habitat Baseline'!$AV$11:$AV$258,'G-2 Habitat groups'!A34,'A-1 On-Site Habitat Baseline'!$S$11:$S$258)</f>
        <v>0</v>
      </c>
      <c r="H34" s="274">
        <f>SUMIF('A-1 On-Site Habitat Baseline'!$AV$11:$AV$258,'G-2 Habitat groups'!A34,'A-1 On-Site Habitat Baseline'!$U$11:$U$258)+SUMIF('A-1 On-Site Habitat Baseline'!$AV$11:$AV$258,'G-2 Habitat groups'!A34, 'A-1 On-Site Habitat Baseline'!$AT$11:$AT$258)</f>
        <v>0</v>
      </c>
      <c r="I34" s="274">
        <f>SUMIF('A-1 On-Site Habitat Baseline'!$AV$11:$AV$258,'G-2 Habitat groups'!A34,'A-1 On-Site Habitat Baseline'!$W$11:$W$258)</f>
        <v>0</v>
      </c>
      <c r="J34" s="274">
        <f>SUMIF('A-1 On-Site Habitat Baseline'!$AV$11:$AV$258,'G-2 Habitat groups'!A34,'A-1 On-Site Habitat Baseline'!$X$11:$X$258)</f>
        <v>0</v>
      </c>
      <c r="K34" s="274">
        <f>SUMIF('A-2 On-Site Habitat Creation'!$F$11:$F$256,'G-2 Habitat groups'!A34,'A-2 On-Site Habitat Creation'!$G$11:$G$256)</f>
        <v>0</v>
      </c>
      <c r="L34" s="274">
        <f>SUMIF('A-2 On-Site Habitat Creation'!$F$11:$F$256,'G-2 Habitat groups'!A34,'A-2 On-Site Habitat Creation'!$Y$11:$Y$256)</f>
        <v>0</v>
      </c>
      <c r="M34" s="274">
        <f>SUMIF('A-3 On-Site Habitat Enhancement'!$S$12:$S$257,'G-2 Habitat groups'!A34,'A-3 On-Site Habitat Enhancement'!$V$12:$V$257)</f>
        <v>0</v>
      </c>
      <c r="N34" s="274">
        <f>SUMIF('A-3 On-Site Habitat Enhancement'!$S$12:$S$257,'G-2 Habitat groups'!A34,'A-3 On-Site Habitat Enhancement'!$AN$12:$AN$257)</f>
        <v>0</v>
      </c>
      <c r="O34" s="274">
        <f t="shared" si="1"/>
        <v>0</v>
      </c>
      <c r="P34" s="274">
        <f t="shared" si="2"/>
        <v>0</v>
      </c>
      <c r="Q34" s="274">
        <f t="shared" si="3"/>
        <v>0</v>
      </c>
      <c r="R34" s="274">
        <f t="shared" si="4"/>
        <v>0</v>
      </c>
      <c r="S34" s="274">
        <f>SUMIF('D-1 Off-Site Habitat Baseline'!$AV$11:$AV$258,'G-2 Habitat groups'!A34,'D-1 Off-Site Habitat Baseline'!$H$11:$H$258)</f>
        <v>0</v>
      </c>
      <c r="T34" s="274">
        <f>SUMIF('D-1 Off-Site Habitat Baseline'!$AV$11:$AV$258,'G-2 Habitat groups'!A34,'D-1 Off-Site Habitat Baseline'!$T$11:$T$258)</f>
        <v>0</v>
      </c>
      <c r="U34" s="274">
        <f>SUMIF('D-1 Off-Site Habitat Baseline'!$AV$11:$AV$258,'G-2 Habitat groups'!A34,'D-1 Off-Site Habitat Baseline'!$V$11:$V$258)</f>
        <v>0</v>
      </c>
      <c r="V34" s="274">
        <f>SUMIF('D-1 Off-Site Habitat Baseline'!$AV$11:$AV$258,'G-2 Habitat groups'!A34,'D-1 Off-Site Habitat Baseline'!$X$11:$X$258)+SUMIF('D-1 Off-Site Habitat Baseline'!$AV$11:$AV$258,'G-2 Habitat groups'!A34,'D-1 Off-Site Habitat Baseline'!$AS$11:$AS$258)</f>
        <v>0</v>
      </c>
      <c r="W34" s="274">
        <f>SUMIF('D-2 Off-Site Habitat Creation'!$F$9:$F$255,'G-2 Habitat groups'!A34,'D-2 Off-Site Habitat Creation'!$G$9:$G$255)</f>
        <v>0</v>
      </c>
      <c r="X34" s="274">
        <f>SUMIF('D-2 Off-Site Habitat Creation'!$F$9:$F$255,'G-2 Habitat groups'!A34,'D-2 Off-Site Habitat Creation'!$AB$9:$AB$255)</f>
        <v>0</v>
      </c>
      <c r="Y34" s="274">
        <f>SUMIF('D-3 Off-Site Habitat Enhancment'!$S$12:$S$491,'G-2 Habitat groups'!A34,'D-3 Off-Site Habitat Enhancment'!$V$12:$V$491)</f>
        <v>0</v>
      </c>
      <c r="Z34" s="274">
        <f>SUMIF('D-3 Off-Site Habitat Enhancment'!$S$12:$S$491,'G-2 Habitat groups'!A34,'D-3 Off-Site Habitat Enhancment'!$AQ$12:$AQ$491)</f>
        <v>0</v>
      </c>
      <c r="AA34" s="274">
        <f t="shared" si="5"/>
        <v>0</v>
      </c>
      <c r="AB34" s="274">
        <f t="shared" si="14"/>
        <v>0</v>
      </c>
      <c r="AC34" s="274">
        <f t="shared" si="6"/>
        <v>0</v>
      </c>
      <c r="AD34" s="274">
        <f t="shared" si="15"/>
        <v>0</v>
      </c>
      <c r="AE34" s="274">
        <f t="shared" si="7"/>
        <v>0</v>
      </c>
      <c r="AF34" s="274">
        <f t="shared" si="16"/>
        <v>0</v>
      </c>
      <c r="AJ34" s="492" t="s">
        <v>148</v>
      </c>
      <c r="AK34" s="423">
        <f>SUMIF($B:$B,$AJ34,S:S)</f>
        <v>0.19139999999999999</v>
      </c>
      <c r="AL34" s="423">
        <f t="shared" si="29"/>
        <v>2.4163799999999998</v>
      </c>
      <c r="AM34" s="423">
        <f t="shared" si="30"/>
        <v>0.3054</v>
      </c>
      <c r="AN34" s="423">
        <f t="shared" si="31"/>
        <v>2.7836080245904795</v>
      </c>
      <c r="AO34" s="423">
        <f t="shared" si="32"/>
        <v>0.11400000000000002</v>
      </c>
      <c r="AP34" s="423">
        <f t="shared" si="33"/>
        <v>0.36722802459047976</v>
      </c>
      <c r="AU34" s="77" t="s">
        <v>114</v>
      </c>
      <c r="AV34" s="62" t="s">
        <v>78</v>
      </c>
      <c r="AW34" s="280">
        <f t="shared" si="34"/>
        <v>0</v>
      </c>
      <c r="AX34" s="280">
        <f t="shared" si="35"/>
        <v>0</v>
      </c>
      <c r="AY34" s="280">
        <f t="shared" si="36"/>
        <v>0</v>
      </c>
      <c r="AZ34" s="280">
        <f t="shared" si="37"/>
        <v>0</v>
      </c>
      <c r="BA34" s="280">
        <f t="shared" si="38"/>
        <v>0</v>
      </c>
      <c r="BB34" s="280">
        <f t="shared" si="39"/>
        <v>0</v>
      </c>
      <c r="BC34" s="280">
        <f t="shared" si="40"/>
        <v>0</v>
      </c>
      <c r="BD34" s="280">
        <f t="shared" si="41"/>
        <v>0</v>
      </c>
      <c r="BE34" s="280">
        <f t="shared" si="42"/>
        <v>0</v>
      </c>
      <c r="BF34" s="280" t="str">
        <f t="shared" si="43"/>
        <v/>
      </c>
    </row>
    <row r="35" spans="1:58" x14ac:dyDescent="0.25">
      <c r="A35" s="70" t="str">
        <f>'G-1 All Habitats'!B34</f>
        <v>Heathland and shrub - Rhododendron scrub</v>
      </c>
      <c r="B35" s="62" t="s">
        <v>116</v>
      </c>
      <c r="C35" s="62" t="str">
        <f>'G-1 All Habitats'!K34</f>
        <v>Low</v>
      </c>
      <c r="D35" s="62" t="str">
        <f>'G-1 All Habitats'!M34</f>
        <v>Same distinctiveness or better habitat required ≥</v>
      </c>
      <c r="E35" s="274">
        <f>SUMIF('A-1 On-Site Habitat Baseline'!$AV$11:$AV$258,'G-2 Habitat groups'!A35,'A-1 On-Site Habitat Baseline'!$H$11:$H$258)</f>
        <v>0</v>
      </c>
      <c r="F35" s="274">
        <f>SUMIF('A-1 On-Site Habitat Baseline'!$AV$11:$AV$258,'G-2 Habitat groups'!A35,'A-1 On-Site Habitat Baseline'!$Q$11:$Q$258)</f>
        <v>0</v>
      </c>
      <c r="G35" s="274">
        <f>SUMIF('A-1 On-Site Habitat Baseline'!$AV$11:$AV$258,'G-2 Habitat groups'!A35,'A-1 On-Site Habitat Baseline'!$S$11:$S$258)</f>
        <v>0</v>
      </c>
      <c r="H35" s="274">
        <f>SUMIF('A-1 On-Site Habitat Baseline'!$AV$11:$AV$258,'G-2 Habitat groups'!A35,'A-1 On-Site Habitat Baseline'!$U$11:$U$258)+SUMIF('A-1 On-Site Habitat Baseline'!$AV$11:$AV$258,'G-2 Habitat groups'!A35, 'A-1 On-Site Habitat Baseline'!$AT$11:$AT$258)</f>
        <v>0</v>
      </c>
      <c r="I35" s="274">
        <f>SUMIF('A-1 On-Site Habitat Baseline'!$AV$11:$AV$258,'G-2 Habitat groups'!A35,'A-1 On-Site Habitat Baseline'!$W$11:$W$258)</f>
        <v>0</v>
      </c>
      <c r="J35" s="274">
        <f>SUMIF('A-1 On-Site Habitat Baseline'!$AV$11:$AV$258,'G-2 Habitat groups'!A35,'A-1 On-Site Habitat Baseline'!$X$11:$X$258)</f>
        <v>0</v>
      </c>
      <c r="K35" s="274">
        <f>SUMIF('A-2 On-Site Habitat Creation'!$F$11:$F$256,'G-2 Habitat groups'!A35,'A-2 On-Site Habitat Creation'!$G$11:$G$256)</f>
        <v>0</v>
      </c>
      <c r="L35" s="274">
        <f>SUMIF('A-2 On-Site Habitat Creation'!$F$11:$F$256,'G-2 Habitat groups'!A35,'A-2 On-Site Habitat Creation'!$Y$11:$Y$256)</f>
        <v>0</v>
      </c>
      <c r="M35" s="274">
        <f>SUMIF('A-3 On-Site Habitat Enhancement'!$S$12:$S$257,'G-2 Habitat groups'!A35,'A-3 On-Site Habitat Enhancement'!$V$12:$V$257)</f>
        <v>0</v>
      </c>
      <c r="N35" s="274">
        <f>SUMIF('A-3 On-Site Habitat Enhancement'!$S$12:$S$257,'G-2 Habitat groups'!A35,'A-3 On-Site Habitat Enhancement'!$AN$12:$AN$257)</f>
        <v>0</v>
      </c>
      <c r="O35" s="274">
        <f t="shared" ref="O35:O68" si="44">G35+K35+M35</f>
        <v>0</v>
      </c>
      <c r="P35" s="274">
        <f t="shared" ref="P35:P68" si="45">H35+L35+N35</f>
        <v>0</v>
      </c>
      <c r="Q35" s="274">
        <f t="shared" ref="Q35:Q68" si="46">O35-E35</f>
        <v>0</v>
      </c>
      <c r="R35" s="274">
        <f t="shared" ref="R35:R68" si="47">P35-F35</f>
        <v>0</v>
      </c>
      <c r="S35" s="274">
        <f>SUMIF('D-1 Off-Site Habitat Baseline'!$AV$11:$AV$258,'G-2 Habitat groups'!A35,'D-1 Off-Site Habitat Baseline'!$H$11:$H$258)</f>
        <v>0</v>
      </c>
      <c r="T35" s="274">
        <f>SUMIF('D-1 Off-Site Habitat Baseline'!$AV$11:$AV$258,'G-2 Habitat groups'!A35,'D-1 Off-Site Habitat Baseline'!$T$11:$T$258)</f>
        <v>0</v>
      </c>
      <c r="U35" s="274">
        <f>SUMIF('D-1 Off-Site Habitat Baseline'!$AV$11:$AV$258,'G-2 Habitat groups'!A35,'D-1 Off-Site Habitat Baseline'!$V$11:$V$258)</f>
        <v>0</v>
      </c>
      <c r="V35" s="274">
        <f>SUMIF('D-1 Off-Site Habitat Baseline'!$AV$11:$AV$258,'G-2 Habitat groups'!A35,'D-1 Off-Site Habitat Baseline'!$X$11:$X$258)+SUMIF('D-1 Off-Site Habitat Baseline'!$AV$11:$AV$258,'G-2 Habitat groups'!A35,'D-1 Off-Site Habitat Baseline'!$AS$11:$AS$258)</f>
        <v>0</v>
      </c>
      <c r="W35" s="274">
        <f>SUMIF('D-2 Off-Site Habitat Creation'!$F$9:$F$255,'G-2 Habitat groups'!A35,'D-2 Off-Site Habitat Creation'!$G$9:$G$255)</f>
        <v>0</v>
      </c>
      <c r="X35" s="274">
        <f>SUMIF('D-2 Off-Site Habitat Creation'!$F$9:$F$255,'G-2 Habitat groups'!A35,'D-2 Off-Site Habitat Creation'!$AB$9:$AB$255)</f>
        <v>0</v>
      </c>
      <c r="Y35" s="274">
        <f>SUMIF('D-3 Off-Site Habitat Enhancment'!$S$12:$S$491,'G-2 Habitat groups'!A35,'D-3 Off-Site Habitat Enhancment'!$V$12:$V$491)</f>
        <v>0</v>
      </c>
      <c r="Z35" s="274">
        <f>SUMIF('D-3 Off-Site Habitat Enhancment'!$S$12:$S$491,'G-2 Habitat groups'!A35,'D-3 Off-Site Habitat Enhancment'!$AQ$12:$AQ$491)</f>
        <v>0</v>
      </c>
      <c r="AA35" s="274">
        <f t="shared" ref="AA35:AA68" si="48">U35+W35+Y35</f>
        <v>0</v>
      </c>
      <c r="AB35" s="274">
        <f t="shared" ref="AB35:AB68" si="49">V35+X35+Z35</f>
        <v>0</v>
      </c>
      <c r="AC35" s="274">
        <f t="shared" ref="AC35:AC68" si="50">AA35-S35</f>
        <v>0</v>
      </c>
      <c r="AD35" s="274">
        <f t="shared" ref="AD35:AD68" si="51">AB35-T35</f>
        <v>0</v>
      </c>
      <c r="AE35" s="274">
        <f t="shared" ref="AE35:AE68" si="52">Q35+AC35</f>
        <v>0</v>
      </c>
      <c r="AF35" s="274">
        <f t="shared" ref="AF35:AF68" si="53">R35+AD35</f>
        <v>0</v>
      </c>
      <c r="AJ35" s="492" t="s">
        <v>217</v>
      </c>
      <c r="AK35" s="423">
        <f t="shared" si="28"/>
        <v>0.10489999999999999</v>
      </c>
      <c r="AL35" s="423">
        <f t="shared" si="29"/>
        <v>0</v>
      </c>
      <c r="AM35" s="423">
        <f t="shared" si="30"/>
        <v>0.10489999999999999</v>
      </c>
      <c r="AN35" s="423">
        <f t="shared" si="31"/>
        <v>0</v>
      </c>
      <c r="AO35" s="423">
        <f t="shared" si="32"/>
        <v>0</v>
      </c>
      <c r="AP35" s="423">
        <f t="shared" si="33"/>
        <v>0</v>
      </c>
      <c r="AU35" s="77" t="s">
        <v>115</v>
      </c>
      <c r="AV35" s="62" t="s">
        <v>116</v>
      </c>
      <c r="AW35" s="280">
        <f t="shared" si="34"/>
        <v>0</v>
      </c>
      <c r="AX35" s="280">
        <f t="shared" si="35"/>
        <v>0</v>
      </c>
      <c r="AY35" s="280">
        <f t="shared" si="36"/>
        <v>0</v>
      </c>
      <c r="AZ35" s="280">
        <f t="shared" si="37"/>
        <v>0</v>
      </c>
      <c r="BA35" s="280">
        <f t="shared" si="38"/>
        <v>0</v>
      </c>
      <c r="BB35" s="280">
        <f t="shared" si="39"/>
        <v>0</v>
      </c>
      <c r="BC35" s="280">
        <f t="shared" si="40"/>
        <v>0</v>
      </c>
      <c r="BD35" s="280">
        <f t="shared" si="41"/>
        <v>0</v>
      </c>
      <c r="BE35" s="280">
        <f t="shared" si="42"/>
        <v>0</v>
      </c>
      <c r="BF35" s="280" t="str">
        <f t="shared" si="43"/>
        <v/>
      </c>
    </row>
    <row r="36" spans="1:58" x14ac:dyDescent="0.25">
      <c r="A36" s="70" t="str">
        <f>'G-1 All Habitats'!B35</f>
        <v>Heathland and shrub - Dunes with sea buckthorn (H2160)</v>
      </c>
      <c r="B36" s="62" t="s">
        <v>116</v>
      </c>
      <c r="C36" s="62" t="str">
        <f>'G-1 All Habitats'!K35</f>
        <v>High</v>
      </c>
      <c r="D36" s="62" t="str">
        <f>'G-1 All Habitats'!M35</f>
        <v>Same habitat required =</v>
      </c>
      <c r="E36" s="274">
        <f>SUMIF('A-1 On-Site Habitat Baseline'!$AV$11:$AV$258,'G-2 Habitat groups'!A36,'A-1 On-Site Habitat Baseline'!$H$11:$H$258)</f>
        <v>0</v>
      </c>
      <c r="F36" s="274">
        <f>SUMIF('A-1 On-Site Habitat Baseline'!$AV$11:$AV$258,'G-2 Habitat groups'!A36,'A-1 On-Site Habitat Baseline'!$Q$11:$Q$258)</f>
        <v>0</v>
      </c>
      <c r="G36" s="274">
        <f>SUMIF('A-1 On-Site Habitat Baseline'!$AV$11:$AV$258,'G-2 Habitat groups'!A36,'A-1 On-Site Habitat Baseline'!$S$11:$S$258)</f>
        <v>0</v>
      </c>
      <c r="H36" s="274">
        <f>SUMIF('A-1 On-Site Habitat Baseline'!$AV$11:$AV$258,'G-2 Habitat groups'!A36,'A-1 On-Site Habitat Baseline'!$U$11:$U$258)+SUMIF('A-1 On-Site Habitat Baseline'!$AV$11:$AV$258,'G-2 Habitat groups'!A36, 'A-1 On-Site Habitat Baseline'!$AT$11:$AT$258)</f>
        <v>0</v>
      </c>
      <c r="I36" s="274">
        <f>SUMIF('A-1 On-Site Habitat Baseline'!$AV$11:$AV$258,'G-2 Habitat groups'!A36,'A-1 On-Site Habitat Baseline'!$W$11:$W$258)</f>
        <v>0</v>
      </c>
      <c r="J36" s="274">
        <f>SUMIF('A-1 On-Site Habitat Baseline'!$AV$11:$AV$258,'G-2 Habitat groups'!A36,'A-1 On-Site Habitat Baseline'!$X$11:$X$258)</f>
        <v>0</v>
      </c>
      <c r="K36" s="274">
        <f>SUMIF('A-2 On-Site Habitat Creation'!$F$11:$F$256,'G-2 Habitat groups'!A36,'A-2 On-Site Habitat Creation'!$G$11:$G$256)</f>
        <v>0</v>
      </c>
      <c r="L36" s="274">
        <f>SUMIF('A-2 On-Site Habitat Creation'!$F$11:$F$256,'G-2 Habitat groups'!A36,'A-2 On-Site Habitat Creation'!$Y$11:$Y$256)</f>
        <v>0</v>
      </c>
      <c r="M36" s="274">
        <f>SUMIF('A-3 On-Site Habitat Enhancement'!$S$12:$S$257,'G-2 Habitat groups'!A36,'A-3 On-Site Habitat Enhancement'!$V$12:$V$257)</f>
        <v>0</v>
      </c>
      <c r="N36" s="274">
        <f>SUMIF('A-3 On-Site Habitat Enhancement'!$S$12:$S$257,'G-2 Habitat groups'!A36,'A-3 On-Site Habitat Enhancement'!$AN$12:$AN$257)</f>
        <v>0</v>
      </c>
      <c r="O36" s="274">
        <f t="shared" si="44"/>
        <v>0</v>
      </c>
      <c r="P36" s="274">
        <f t="shared" si="45"/>
        <v>0</v>
      </c>
      <c r="Q36" s="274">
        <f t="shared" si="46"/>
        <v>0</v>
      </c>
      <c r="R36" s="274">
        <f t="shared" si="47"/>
        <v>0</v>
      </c>
      <c r="S36" s="274">
        <f>SUMIF('D-1 Off-Site Habitat Baseline'!$AV$11:$AV$258,'G-2 Habitat groups'!A36,'D-1 Off-Site Habitat Baseline'!$H$11:$H$258)</f>
        <v>0</v>
      </c>
      <c r="T36" s="274">
        <f>SUMIF('D-1 Off-Site Habitat Baseline'!$AV$11:$AV$258,'G-2 Habitat groups'!A36,'D-1 Off-Site Habitat Baseline'!$T$11:$T$258)</f>
        <v>0</v>
      </c>
      <c r="U36" s="274">
        <f>SUMIF('D-1 Off-Site Habitat Baseline'!$AV$11:$AV$258,'G-2 Habitat groups'!A36,'D-1 Off-Site Habitat Baseline'!$V$11:$V$258)</f>
        <v>0</v>
      </c>
      <c r="V36" s="274">
        <f>SUMIF('D-1 Off-Site Habitat Baseline'!$AV$11:$AV$258,'G-2 Habitat groups'!A36,'D-1 Off-Site Habitat Baseline'!$X$11:$X$258)+SUMIF('D-1 Off-Site Habitat Baseline'!$AV$11:$AV$258,'G-2 Habitat groups'!A36,'D-1 Off-Site Habitat Baseline'!$AS$11:$AS$258)</f>
        <v>0</v>
      </c>
      <c r="W36" s="274">
        <f>SUMIF('D-2 Off-Site Habitat Creation'!$F$9:$F$255,'G-2 Habitat groups'!A36,'D-2 Off-Site Habitat Creation'!$G$9:$G$255)</f>
        <v>0</v>
      </c>
      <c r="X36" s="274">
        <f>SUMIF('D-2 Off-Site Habitat Creation'!$F$9:$F$255,'G-2 Habitat groups'!A36,'D-2 Off-Site Habitat Creation'!$AB$9:$AB$255)</f>
        <v>0</v>
      </c>
      <c r="Y36" s="274">
        <f>SUMIF('D-3 Off-Site Habitat Enhancment'!$S$12:$S$491,'G-2 Habitat groups'!A36,'D-3 Off-Site Habitat Enhancment'!$V$12:$V$491)</f>
        <v>0</v>
      </c>
      <c r="Z36" s="274">
        <f>SUMIF('D-3 Off-Site Habitat Enhancment'!$S$12:$S$491,'G-2 Habitat groups'!A36,'D-3 Off-Site Habitat Enhancment'!$AQ$12:$AQ$491)</f>
        <v>0</v>
      </c>
      <c r="AA36" s="274">
        <f t="shared" si="48"/>
        <v>0</v>
      </c>
      <c r="AB36" s="274">
        <f t="shared" si="49"/>
        <v>0</v>
      </c>
      <c r="AC36" s="274">
        <f t="shared" si="50"/>
        <v>0</v>
      </c>
      <c r="AD36" s="274">
        <f t="shared" si="51"/>
        <v>0</v>
      </c>
      <c r="AE36" s="274">
        <f t="shared" si="52"/>
        <v>0</v>
      </c>
      <c r="AF36" s="274">
        <f t="shared" si="53"/>
        <v>0</v>
      </c>
      <c r="AU36" s="77" t="s">
        <v>117</v>
      </c>
      <c r="AV36" s="62" t="s">
        <v>116</v>
      </c>
      <c r="AW36" s="280">
        <f t="shared" si="34"/>
        <v>0</v>
      </c>
      <c r="AX36" s="280">
        <f t="shared" si="35"/>
        <v>0</v>
      </c>
      <c r="AY36" s="280">
        <f t="shared" si="36"/>
        <v>0</v>
      </c>
      <c r="AZ36" s="280">
        <f t="shared" si="37"/>
        <v>0</v>
      </c>
      <c r="BA36" s="280">
        <f t="shared" si="38"/>
        <v>0</v>
      </c>
      <c r="BB36" s="280">
        <f t="shared" si="39"/>
        <v>0</v>
      </c>
      <c r="BC36" s="280">
        <f t="shared" si="40"/>
        <v>0</v>
      </c>
      <c r="BD36" s="280">
        <f t="shared" si="41"/>
        <v>0</v>
      </c>
      <c r="BE36" s="280">
        <f t="shared" si="42"/>
        <v>0</v>
      </c>
      <c r="BF36" s="280" t="str">
        <f t="shared" si="43"/>
        <v/>
      </c>
    </row>
    <row r="37" spans="1:58" x14ac:dyDescent="0.25">
      <c r="A37" s="70" t="str">
        <f>'G-1 All Habitats'!B36</f>
        <v>Heathland and shrub - Other sea buckthorn scrub</v>
      </c>
      <c r="B37" s="62" t="s">
        <v>116</v>
      </c>
      <c r="C37" s="62" t="str">
        <f>'G-1 All Habitats'!K36</f>
        <v>Low</v>
      </c>
      <c r="D37" s="62" t="str">
        <f>'G-1 All Habitats'!M36</f>
        <v>Same distinctiveness or better habitat required ≥</v>
      </c>
      <c r="E37" s="274">
        <f>SUMIF('A-1 On-Site Habitat Baseline'!$AV$11:$AV$258,'G-2 Habitat groups'!A37,'A-1 On-Site Habitat Baseline'!$H$11:$H$258)</f>
        <v>0</v>
      </c>
      <c r="F37" s="274">
        <f>SUMIF('A-1 On-Site Habitat Baseline'!$AV$11:$AV$258,'G-2 Habitat groups'!A37,'A-1 On-Site Habitat Baseline'!$Q$11:$Q$258)</f>
        <v>0</v>
      </c>
      <c r="G37" s="274">
        <f>SUMIF('A-1 On-Site Habitat Baseline'!$AV$11:$AV$258,'G-2 Habitat groups'!A37,'A-1 On-Site Habitat Baseline'!$S$11:$S$258)</f>
        <v>0</v>
      </c>
      <c r="H37" s="274">
        <f>SUMIF('A-1 On-Site Habitat Baseline'!$AV$11:$AV$258,'G-2 Habitat groups'!A37,'A-1 On-Site Habitat Baseline'!$U$11:$U$258)+SUMIF('A-1 On-Site Habitat Baseline'!$AV$11:$AV$258,'G-2 Habitat groups'!A37, 'A-1 On-Site Habitat Baseline'!$AT$11:$AT$258)</f>
        <v>0</v>
      </c>
      <c r="I37" s="274">
        <f>SUMIF('A-1 On-Site Habitat Baseline'!$AV$11:$AV$258,'G-2 Habitat groups'!A37,'A-1 On-Site Habitat Baseline'!$W$11:$W$258)</f>
        <v>0</v>
      </c>
      <c r="J37" s="274">
        <f>SUMIF('A-1 On-Site Habitat Baseline'!$AV$11:$AV$258,'G-2 Habitat groups'!A37,'A-1 On-Site Habitat Baseline'!$X$11:$X$258)</f>
        <v>0</v>
      </c>
      <c r="K37" s="274">
        <f>SUMIF('A-2 On-Site Habitat Creation'!$F$11:$F$256,'G-2 Habitat groups'!A37,'A-2 On-Site Habitat Creation'!$G$11:$G$256)</f>
        <v>0</v>
      </c>
      <c r="L37" s="274">
        <f>SUMIF('A-2 On-Site Habitat Creation'!$F$11:$F$256,'G-2 Habitat groups'!A37,'A-2 On-Site Habitat Creation'!$Y$11:$Y$256)</f>
        <v>0</v>
      </c>
      <c r="M37" s="274">
        <f>SUMIF('A-3 On-Site Habitat Enhancement'!$S$12:$S$257,'G-2 Habitat groups'!A37,'A-3 On-Site Habitat Enhancement'!$V$12:$V$257)</f>
        <v>0</v>
      </c>
      <c r="N37" s="274">
        <f>SUMIF('A-3 On-Site Habitat Enhancement'!$S$12:$S$257,'G-2 Habitat groups'!A37,'A-3 On-Site Habitat Enhancement'!$AN$12:$AN$257)</f>
        <v>0</v>
      </c>
      <c r="O37" s="274">
        <f t="shared" si="44"/>
        <v>0</v>
      </c>
      <c r="P37" s="274">
        <f t="shared" si="45"/>
        <v>0</v>
      </c>
      <c r="Q37" s="274">
        <f t="shared" si="46"/>
        <v>0</v>
      </c>
      <c r="R37" s="274">
        <f t="shared" si="47"/>
        <v>0</v>
      </c>
      <c r="S37" s="274">
        <f>SUMIF('D-1 Off-Site Habitat Baseline'!$AV$11:$AV$258,'G-2 Habitat groups'!A37,'D-1 Off-Site Habitat Baseline'!$H$11:$H$258)</f>
        <v>0</v>
      </c>
      <c r="T37" s="274">
        <f>SUMIF('D-1 Off-Site Habitat Baseline'!$AV$11:$AV$258,'G-2 Habitat groups'!A37,'D-1 Off-Site Habitat Baseline'!$T$11:$T$258)</f>
        <v>0</v>
      </c>
      <c r="U37" s="274">
        <f>SUMIF('D-1 Off-Site Habitat Baseline'!$AV$11:$AV$258,'G-2 Habitat groups'!A37,'D-1 Off-Site Habitat Baseline'!$V$11:$V$258)</f>
        <v>0</v>
      </c>
      <c r="V37" s="274">
        <f>SUMIF('D-1 Off-Site Habitat Baseline'!$AV$11:$AV$258,'G-2 Habitat groups'!A37,'D-1 Off-Site Habitat Baseline'!$X$11:$X$258)+SUMIF('D-1 Off-Site Habitat Baseline'!$AV$11:$AV$258,'G-2 Habitat groups'!A37,'D-1 Off-Site Habitat Baseline'!$AS$11:$AS$258)</f>
        <v>0</v>
      </c>
      <c r="W37" s="274">
        <f>SUMIF('D-2 Off-Site Habitat Creation'!$F$9:$F$255,'G-2 Habitat groups'!A37,'D-2 Off-Site Habitat Creation'!$G$9:$G$255)</f>
        <v>0</v>
      </c>
      <c r="X37" s="274">
        <f>SUMIF('D-2 Off-Site Habitat Creation'!$F$9:$F$255,'G-2 Habitat groups'!A37,'D-2 Off-Site Habitat Creation'!$AB$9:$AB$255)</f>
        <v>0</v>
      </c>
      <c r="Y37" s="274">
        <f>SUMIF('D-3 Off-Site Habitat Enhancment'!$S$12:$S$491,'G-2 Habitat groups'!A37,'D-3 Off-Site Habitat Enhancment'!$V$12:$V$491)</f>
        <v>0</v>
      </c>
      <c r="Z37" s="274">
        <f>SUMIF('D-3 Off-Site Habitat Enhancment'!$S$12:$S$491,'G-2 Habitat groups'!A37,'D-3 Off-Site Habitat Enhancment'!$AQ$12:$AQ$491)</f>
        <v>0</v>
      </c>
      <c r="AA37" s="274">
        <f t="shared" si="48"/>
        <v>0</v>
      </c>
      <c r="AB37" s="274">
        <f t="shared" si="49"/>
        <v>0</v>
      </c>
      <c r="AC37" s="274">
        <f t="shared" si="50"/>
        <v>0</v>
      </c>
      <c r="AD37" s="274">
        <f t="shared" si="51"/>
        <v>0</v>
      </c>
      <c r="AE37" s="274">
        <f t="shared" si="52"/>
        <v>0</v>
      </c>
      <c r="AF37" s="274">
        <f t="shared" si="53"/>
        <v>0</v>
      </c>
      <c r="AU37" s="77" t="s">
        <v>118</v>
      </c>
      <c r="AV37" s="62" t="s">
        <v>116</v>
      </c>
      <c r="AW37" s="280">
        <f t="shared" si="34"/>
        <v>0</v>
      </c>
      <c r="AX37" s="280">
        <f t="shared" si="35"/>
        <v>0</v>
      </c>
      <c r="AY37" s="280">
        <f t="shared" si="36"/>
        <v>0</v>
      </c>
      <c r="AZ37" s="280">
        <f t="shared" si="37"/>
        <v>0</v>
      </c>
      <c r="BA37" s="280">
        <f t="shared" si="38"/>
        <v>0</v>
      </c>
      <c r="BB37" s="280">
        <f t="shared" si="39"/>
        <v>0</v>
      </c>
      <c r="BC37" s="280">
        <f t="shared" si="40"/>
        <v>0</v>
      </c>
      <c r="BD37" s="280">
        <f t="shared" si="41"/>
        <v>0</v>
      </c>
      <c r="BE37" s="280">
        <f t="shared" si="42"/>
        <v>0</v>
      </c>
      <c r="BF37" s="280" t="str">
        <f t="shared" si="43"/>
        <v/>
      </c>
    </row>
    <row r="38" spans="1:58" x14ac:dyDescent="0.25">
      <c r="A38" s="70" t="s">
        <v>739</v>
      </c>
      <c r="B38" s="62" t="s">
        <v>116</v>
      </c>
      <c r="C38" s="62" t="s">
        <v>40</v>
      </c>
      <c r="D38" s="62" t="s">
        <v>294</v>
      </c>
      <c r="E38" s="274">
        <f>SUMIF('A-1 On-Site Habitat Baseline'!$AV$11:$AV$258,'G-2 Habitat groups'!A38,'A-1 On-Site Habitat Baseline'!$H$11:$H$258)</f>
        <v>0</v>
      </c>
      <c r="F38" s="274">
        <f>SUMIF('A-1 On-Site Habitat Baseline'!$AV$11:$AV$258,'G-2 Habitat groups'!A38,'A-1 On-Site Habitat Baseline'!$Q$11:$Q$258)</f>
        <v>0</v>
      </c>
      <c r="G38" s="274">
        <f>SUMIF('A-1 On-Site Habitat Baseline'!$AV$11:$AV$258,'G-2 Habitat groups'!A38,'A-1 On-Site Habitat Baseline'!$S$11:$S$258)</f>
        <v>0</v>
      </c>
      <c r="H38" s="274">
        <f>SUMIF('A-1 On-Site Habitat Baseline'!$AV$11:$AV$258,'G-2 Habitat groups'!A38,'A-1 On-Site Habitat Baseline'!$U$11:$U$258)+SUMIF('A-1 On-Site Habitat Baseline'!$AV$11:$AV$258,'G-2 Habitat groups'!A38, 'A-1 On-Site Habitat Baseline'!$AT$11:$AT$258)</f>
        <v>0</v>
      </c>
      <c r="I38" s="274">
        <f>SUMIF('A-1 On-Site Habitat Baseline'!$AV$11:$AV$258,'G-2 Habitat groups'!A38,'A-1 On-Site Habitat Baseline'!$W$11:$W$258)</f>
        <v>0</v>
      </c>
      <c r="J38" s="274">
        <f>SUMIF('A-1 On-Site Habitat Baseline'!$AV$11:$AV$258,'G-2 Habitat groups'!A38,'A-1 On-Site Habitat Baseline'!$X$11:$X$258)</f>
        <v>0</v>
      </c>
      <c r="K38" s="274">
        <f>SUMIF('A-2 On-Site Habitat Creation'!$F$11:$F$256,'G-2 Habitat groups'!A38,'A-2 On-Site Habitat Creation'!$G$11:$G$256)</f>
        <v>0</v>
      </c>
      <c r="L38" s="274">
        <f>SUMIF('A-2 On-Site Habitat Creation'!$F$11:$F$256,'G-2 Habitat groups'!A38,'A-2 On-Site Habitat Creation'!$Y$11:$Y$256)</f>
        <v>0</v>
      </c>
      <c r="M38" s="274">
        <f>SUMIF('A-3 On-Site Habitat Enhancement'!$S$12:$S$257,'G-2 Habitat groups'!A38,'A-3 On-Site Habitat Enhancement'!$V$12:$V$257)</f>
        <v>0</v>
      </c>
      <c r="N38" s="274">
        <f>SUMIF('A-3 On-Site Habitat Enhancement'!$S$12:$S$257,'G-2 Habitat groups'!A38,'A-3 On-Site Habitat Enhancement'!$AN$12:$AN$257)</f>
        <v>0</v>
      </c>
      <c r="O38" s="274">
        <f t="shared" si="44"/>
        <v>0</v>
      </c>
      <c r="P38" s="274">
        <f t="shared" si="45"/>
        <v>0</v>
      </c>
      <c r="Q38" s="274">
        <f t="shared" si="46"/>
        <v>0</v>
      </c>
      <c r="R38" s="274">
        <f t="shared" si="47"/>
        <v>0</v>
      </c>
      <c r="S38" s="274">
        <f>SUMIF('D-1 Off-Site Habitat Baseline'!$AV$11:$AV$258,'G-2 Habitat groups'!A38,'D-1 Off-Site Habitat Baseline'!$H$11:$H$258)</f>
        <v>0</v>
      </c>
      <c r="T38" s="274">
        <f>SUMIF('D-1 Off-Site Habitat Baseline'!$AV$11:$AV$258,'G-2 Habitat groups'!A38,'D-1 Off-Site Habitat Baseline'!$T$11:$T$258)</f>
        <v>0</v>
      </c>
      <c r="U38" s="274">
        <f>SUMIF('D-1 Off-Site Habitat Baseline'!$AV$11:$AV$258,'G-2 Habitat groups'!A38,'D-1 Off-Site Habitat Baseline'!$V$11:$V$258)</f>
        <v>0</v>
      </c>
      <c r="V38" s="274">
        <f>SUMIF('D-1 Off-Site Habitat Baseline'!$AV$11:$AV$258,'G-2 Habitat groups'!A38,'D-1 Off-Site Habitat Baseline'!$X$11:$X$258)+SUMIF('D-1 Off-Site Habitat Baseline'!$AV$11:$AV$258,'G-2 Habitat groups'!A38,'D-1 Off-Site Habitat Baseline'!$AS$11:$AS$258)</f>
        <v>0</v>
      </c>
      <c r="W38" s="274">
        <f>SUMIF('D-2 Off-Site Habitat Creation'!$F$9:$F$255,'G-2 Habitat groups'!A38,'D-2 Off-Site Habitat Creation'!$G$9:$G$255)</f>
        <v>0.1171</v>
      </c>
      <c r="X38" s="274">
        <f>SUMIF('D-2 Off-Site Habitat Creation'!$F$9:$F$255,'G-2 Habitat groups'!A38,'D-2 Off-Site Habitat Creation'!$AB$9:$AB$255)</f>
        <v>0.50546682675956633</v>
      </c>
      <c r="Y38" s="274">
        <f>SUMIF('D-3 Off-Site Habitat Enhancment'!$S$12:$S$491,'G-2 Habitat groups'!A38,'D-3 Off-Site Habitat Enhancment'!$V$12:$V$491)</f>
        <v>0</v>
      </c>
      <c r="Z38" s="274">
        <f>SUMIF('D-3 Off-Site Habitat Enhancment'!$S$12:$S$491,'G-2 Habitat groups'!A38,'D-3 Off-Site Habitat Enhancment'!$AQ$12:$AQ$491)</f>
        <v>0</v>
      </c>
      <c r="AA38" s="274">
        <f t="shared" si="48"/>
        <v>0.1171</v>
      </c>
      <c r="AB38" s="274">
        <f t="shared" si="49"/>
        <v>0.50546682675956633</v>
      </c>
      <c r="AC38" s="274">
        <f t="shared" si="50"/>
        <v>0.1171</v>
      </c>
      <c r="AD38" s="274">
        <f t="shared" si="51"/>
        <v>0.50546682675956633</v>
      </c>
      <c r="AE38" s="274">
        <f t="shared" si="52"/>
        <v>0.1171</v>
      </c>
      <c r="AF38" s="274">
        <f t="shared" si="53"/>
        <v>0.50546682675956633</v>
      </c>
      <c r="AU38" s="77"/>
      <c r="AV38" s="62"/>
      <c r="AW38" s="280"/>
      <c r="AX38" s="280"/>
      <c r="AY38" s="280"/>
      <c r="AZ38" s="280"/>
      <c r="BA38" s="280"/>
      <c r="BB38" s="280"/>
      <c r="BC38" s="280"/>
      <c r="BD38" s="280"/>
      <c r="BE38" s="280"/>
      <c r="BF38" s="280"/>
    </row>
    <row r="39" spans="1:58" x14ac:dyDescent="0.25">
      <c r="A39" s="70" t="str">
        <f>'G-1 All Habitats'!B38</f>
        <v>Heathland and shrub - Upland heathland</v>
      </c>
      <c r="B39" s="62" t="s">
        <v>116</v>
      </c>
      <c r="C39" s="62" t="str">
        <f>'G-1 All Habitats'!K38</f>
        <v>High</v>
      </c>
      <c r="D39" s="62" t="str">
        <f>'G-1 All Habitats'!M38</f>
        <v>Same habitat required =</v>
      </c>
      <c r="E39" s="274">
        <f>SUMIF('A-1 On-Site Habitat Baseline'!$AV$11:$AV$258,'G-2 Habitat groups'!A39,'A-1 On-Site Habitat Baseline'!$H$11:$H$258)</f>
        <v>0</v>
      </c>
      <c r="F39" s="274">
        <f>SUMIF('A-1 On-Site Habitat Baseline'!$AV$11:$AV$258,'G-2 Habitat groups'!A39,'A-1 On-Site Habitat Baseline'!$Q$11:$Q$258)</f>
        <v>0</v>
      </c>
      <c r="G39" s="274">
        <f>SUMIF('A-1 On-Site Habitat Baseline'!$AV$11:$AV$258,'G-2 Habitat groups'!A39,'A-1 On-Site Habitat Baseline'!$S$11:$S$258)</f>
        <v>0</v>
      </c>
      <c r="H39" s="274">
        <f>SUMIF('A-1 On-Site Habitat Baseline'!$AV$11:$AV$258,'G-2 Habitat groups'!A39,'A-1 On-Site Habitat Baseline'!$U$11:$U$258)+SUMIF('A-1 On-Site Habitat Baseline'!$AV$11:$AV$258,'G-2 Habitat groups'!A39, 'A-1 On-Site Habitat Baseline'!$AT$11:$AT$258)</f>
        <v>0</v>
      </c>
      <c r="I39" s="274">
        <f>SUMIF('A-1 On-Site Habitat Baseline'!$AV$11:$AV$258,'G-2 Habitat groups'!A39,'A-1 On-Site Habitat Baseline'!$W$11:$W$258)</f>
        <v>0</v>
      </c>
      <c r="J39" s="274">
        <f>SUMIF('A-1 On-Site Habitat Baseline'!$AV$11:$AV$258,'G-2 Habitat groups'!A39,'A-1 On-Site Habitat Baseline'!$X$11:$X$258)</f>
        <v>0</v>
      </c>
      <c r="K39" s="274">
        <f>SUMIF('A-2 On-Site Habitat Creation'!$F$11:$F$256,'G-2 Habitat groups'!A39,'A-2 On-Site Habitat Creation'!$G$11:$G$256)</f>
        <v>0</v>
      </c>
      <c r="L39" s="274">
        <f>SUMIF('A-2 On-Site Habitat Creation'!$F$11:$F$256,'G-2 Habitat groups'!A39,'A-2 On-Site Habitat Creation'!$Y$11:$Y$256)</f>
        <v>0</v>
      </c>
      <c r="M39" s="274">
        <f>SUMIF('A-3 On-Site Habitat Enhancement'!$S$12:$S$257,'G-2 Habitat groups'!A39,'A-3 On-Site Habitat Enhancement'!$V$12:$V$257)</f>
        <v>0</v>
      </c>
      <c r="N39" s="274">
        <f>SUMIF('A-3 On-Site Habitat Enhancement'!$S$12:$S$257,'G-2 Habitat groups'!A39,'A-3 On-Site Habitat Enhancement'!$AN$12:$AN$257)</f>
        <v>0</v>
      </c>
      <c r="O39" s="274">
        <f t="shared" si="44"/>
        <v>0</v>
      </c>
      <c r="P39" s="274">
        <f t="shared" si="45"/>
        <v>0</v>
      </c>
      <c r="Q39" s="274">
        <f t="shared" si="46"/>
        <v>0</v>
      </c>
      <c r="R39" s="274">
        <f t="shared" si="47"/>
        <v>0</v>
      </c>
      <c r="S39" s="274">
        <f>SUMIF('D-1 Off-Site Habitat Baseline'!$AV$11:$AV$258,'G-2 Habitat groups'!A39,'D-1 Off-Site Habitat Baseline'!$H$11:$H$258)</f>
        <v>0</v>
      </c>
      <c r="T39" s="274">
        <f>SUMIF('D-1 Off-Site Habitat Baseline'!$AV$11:$AV$258,'G-2 Habitat groups'!A39,'D-1 Off-Site Habitat Baseline'!$T$11:$T$258)</f>
        <v>0</v>
      </c>
      <c r="U39" s="274">
        <f>SUMIF('D-1 Off-Site Habitat Baseline'!$AV$11:$AV$258,'G-2 Habitat groups'!A39,'D-1 Off-Site Habitat Baseline'!$V$11:$V$258)</f>
        <v>0</v>
      </c>
      <c r="V39" s="274">
        <f>SUMIF('D-1 Off-Site Habitat Baseline'!$AV$11:$AV$258,'G-2 Habitat groups'!A39,'D-1 Off-Site Habitat Baseline'!$X$11:$X$258)+SUMIF('D-1 Off-Site Habitat Baseline'!$AV$11:$AV$258,'G-2 Habitat groups'!A39,'D-1 Off-Site Habitat Baseline'!$AS$11:$AS$258)</f>
        <v>0</v>
      </c>
      <c r="W39" s="274">
        <f>SUMIF('D-2 Off-Site Habitat Creation'!$F$9:$F$255,'G-2 Habitat groups'!A39,'D-2 Off-Site Habitat Creation'!$G$9:$G$255)</f>
        <v>0</v>
      </c>
      <c r="X39" s="274">
        <f>SUMIF('D-2 Off-Site Habitat Creation'!$F$9:$F$255,'G-2 Habitat groups'!A39,'D-2 Off-Site Habitat Creation'!$AB$9:$AB$255)</f>
        <v>0</v>
      </c>
      <c r="Y39" s="274">
        <f>SUMIF('D-3 Off-Site Habitat Enhancment'!$S$12:$S$491,'G-2 Habitat groups'!A39,'D-3 Off-Site Habitat Enhancment'!$V$12:$V$491)</f>
        <v>0</v>
      </c>
      <c r="Z39" s="274">
        <f>SUMIF('D-3 Off-Site Habitat Enhancment'!$S$12:$S$491,'G-2 Habitat groups'!A39,'D-3 Off-Site Habitat Enhancment'!$AQ$12:$AQ$491)</f>
        <v>0</v>
      </c>
      <c r="AA39" s="274">
        <f t="shared" si="48"/>
        <v>0</v>
      </c>
      <c r="AB39" s="274">
        <f t="shared" si="49"/>
        <v>0</v>
      </c>
      <c r="AC39" s="274">
        <f t="shared" si="50"/>
        <v>0</v>
      </c>
      <c r="AD39" s="274">
        <f t="shared" si="51"/>
        <v>0</v>
      </c>
      <c r="AE39" s="274">
        <f t="shared" si="52"/>
        <v>0</v>
      </c>
      <c r="AF39" s="274">
        <f t="shared" si="53"/>
        <v>0</v>
      </c>
      <c r="AU39" s="77" t="s">
        <v>71</v>
      </c>
      <c r="AV39" s="62" t="s">
        <v>72</v>
      </c>
      <c r="AW39" s="280">
        <f t="shared" si="34"/>
        <v>0</v>
      </c>
      <c r="AX39" s="280">
        <f t="shared" si="35"/>
        <v>0</v>
      </c>
      <c r="AY39" s="280">
        <f t="shared" si="36"/>
        <v>0</v>
      </c>
      <c r="AZ39" s="280">
        <f t="shared" si="37"/>
        <v>0</v>
      </c>
      <c r="BA39" s="280">
        <f t="shared" si="38"/>
        <v>0</v>
      </c>
      <c r="BB39" s="280">
        <f t="shared" si="39"/>
        <v>0</v>
      </c>
      <c r="BC39" s="280">
        <f t="shared" si="40"/>
        <v>0</v>
      </c>
      <c r="BD39" s="280">
        <f t="shared" si="41"/>
        <v>0</v>
      </c>
      <c r="BE39" s="280">
        <f t="shared" si="42"/>
        <v>0</v>
      </c>
      <c r="BF39" s="280" t="str">
        <f t="shared" si="43"/>
        <v/>
      </c>
    </row>
    <row r="40" spans="1:58" x14ac:dyDescent="0.25">
      <c r="A40" s="70" t="str">
        <f>'G-1 All Habitats'!B39</f>
        <v>Lakes - Aquifer fed naturally fluctuating water bodies</v>
      </c>
      <c r="B40" s="62" t="s">
        <v>72</v>
      </c>
      <c r="C40" s="62" t="str">
        <f>'G-1 All Habitats'!K39</f>
        <v>V.High</v>
      </c>
      <c r="D40" s="62" t="str">
        <f>'G-1 All Habitats'!M39</f>
        <v>Same habitat required – bespoke compensation option ⚠</v>
      </c>
      <c r="E40" s="274">
        <f>SUMIF('A-1 On-Site Habitat Baseline'!$AV$11:$AV$258,'G-2 Habitat groups'!A40,'A-1 On-Site Habitat Baseline'!$H$11:$H$258)</f>
        <v>0</v>
      </c>
      <c r="F40" s="274">
        <f>SUMIF('A-1 On-Site Habitat Baseline'!$AV$11:$AV$258,'G-2 Habitat groups'!A40,'A-1 On-Site Habitat Baseline'!$Q$11:$Q$258)</f>
        <v>0</v>
      </c>
      <c r="G40" s="274">
        <f>SUMIF('A-1 On-Site Habitat Baseline'!$AV$11:$AV$258,'G-2 Habitat groups'!A40,'A-1 On-Site Habitat Baseline'!$S$11:$S$258)</f>
        <v>0</v>
      </c>
      <c r="H40" s="274">
        <f>SUMIF('A-1 On-Site Habitat Baseline'!$AV$11:$AV$258,'G-2 Habitat groups'!A40,'A-1 On-Site Habitat Baseline'!$U$11:$U$258)+SUMIF('A-1 On-Site Habitat Baseline'!$AV$11:$AV$258,'G-2 Habitat groups'!A40, 'A-1 On-Site Habitat Baseline'!$AT$11:$AT$258)</f>
        <v>0</v>
      </c>
      <c r="I40" s="274">
        <f>SUMIF('A-1 On-Site Habitat Baseline'!$AV$11:$AV$258,'G-2 Habitat groups'!A40,'A-1 On-Site Habitat Baseline'!$W$11:$W$258)</f>
        <v>0</v>
      </c>
      <c r="J40" s="274">
        <f>SUMIF('A-1 On-Site Habitat Baseline'!$AV$11:$AV$258,'G-2 Habitat groups'!A40,'A-1 On-Site Habitat Baseline'!$X$11:$X$258)</f>
        <v>0</v>
      </c>
      <c r="K40" s="274">
        <f>SUMIF('A-2 On-Site Habitat Creation'!$F$11:$F$256,'G-2 Habitat groups'!A40,'A-2 On-Site Habitat Creation'!$G$11:$G$256)</f>
        <v>0</v>
      </c>
      <c r="L40" s="274">
        <f>SUMIF('A-2 On-Site Habitat Creation'!$F$11:$F$256,'G-2 Habitat groups'!A40,'A-2 On-Site Habitat Creation'!$Y$11:$Y$256)</f>
        <v>0</v>
      </c>
      <c r="M40" s="274">
        <f>SUMIF('A-3 On-Site Habitat Enhancement'!$S$12:$S$257,'G-2 Habitat groups'!A40,'A-3 On-Site Habitat Enhancement'!$V$12:$V$257)</f>
        <v>0</v>
      </c>
      <c r="N40" s="274">
        <f>SUMIF('A-3 On-Site Habitat Enhancement'!$S$12:$S$257,'G-2 Habitat groups'!A40,'A-3 On-Site Habitat Enhancement'!$AN$12:$AN$257)</f>
        <v>0</v>
      </c>
      <c r="O40" s="274">
        <f t="shared" si="44"/>
        <v>0</v>
      </c>
      <c r="P40" s="274">
        <f t="shared" si="45"/>
        <v>0</v>
      </c>
      <c r="Q40" s="274">
        <f t="shared" si="46"/>
        <v>0</v>
      </c>
      <c r="R40" s="274">
        <f t="shared" si="47"/>
        <v>0</v>
      </c>
      <c r="S40" s="274">
        <f>SUMIF('D-1 Off-Site Habitat Baseline'!$AV$11:$AV$258,'G-2 Habitat groups'!A40,'D-1 Off-Site Habitat Baseline'!$H$11:$H$258)</f>
        <v>0</v>
      </c>
      <c r="T40" s="274">
        <f>SUMIF('D-1 Off-Site Habitat Baseline'!$AV$11:$AV$258,'G-2 Habitat groups'!A40,'D-1 Off-Site Habitat Baseline'!$T$11:$T$258)</f>
        <v>0</v>
      </c>
      <c r="U40" s="274">
        <f>SUMIF('D-1 Off-Site Habitat Baseline'!$AV$11:$AV$258,'G-2 Habitat groups'!A40,'D-1 Off-Site Habitat Baseline'!$V$11:$V$258)</f>
        <v>0</v>
      </c>
      <c r="V40" s="274">
        <f>SUMIF('D-1 Off-Site Habitat Baseline'!$AV$11:$AV$258,'G-2 Habitat groups'!A40,'D-1 Off-Site Habitat Baseline'!$X$11:$X$258)+SUMIF('D-1 Off-Site Habitat Baseline'!$AV$11:$AV$258,'G-2 Habitat groups'!A40,'D-1 Off-Site Habitat Baseline'!$AS$11:$AS$258)</f>
        <v>0</v>
      </c>
      <c r="W40" s="274">
        <f>SUMIF('D-2 Off-Site Habitat Creation'!$F$9:$F$255,'G-2 Habitat groups'!A40,'D-2 Off-Site Habitat Creation'!$G$9:$G$255)</f>
        <v>0</v>
      </c>
      <c r="X40" s="274">
        <f>SUMIF('D-2 Off-Site Habitat Creation'!$F$9:$F$255,'G-2 Habitat groups'!A40,'D-2 Off-Site Habitat Creation'!$AB$9:$AB$255)</f>
        <v>0</v>
      </c>
      <c r="Y40" s="274">
        <f>SUMIF('D-3 Off-Site Habitat Enhancment'!$S$12:$S$491,'G-2 Habitat groups'!A40,'D-3 Off-Site Habitat Enhancment'!$V$12:$V$491)</f>
        <v>0</v>
      </c>
      <c r="Z40" s="274">
        <f>SUMIF('D-3 Off-Site Habitat Enhancment'!$S$12:$S$491,'G-2 Habitat groups'!A40,'D-3 Off-Site Habitat Enhancment'!$AQ$12:$AQ$491)</f>
        <v>0</v>
      </c>
      <c r="AA40" s="274">
        <f t="shared" si="48"/>
        <v>0</v>
      </c>
      <c r="AB40" s="274">
        <f t="shared" si="49"/>
        <v>0</v>
      </c>
      <c r="AC40" s="274">
        <f t="shared" si="50"/>
        <v>0</v>
      </c>
      <c r="AD40" s="274">
        <f t="shared" si="51"/>
        <v>0</v>
      </c>
      <c r="AE40" s="274">
        <f t="shared" si="52"/>
        <v>0</v>
      </c>
      <c r="AF40" s="274">
        <f t="shared" si="53"/>
        <v>0</v>
      </c>
      <c r="AU40" s="77" t="s">
        <v>73</v>
      </c>
      <c r="AV40" s="62" t="s">
        <v>72</v>
      </c>
      <c r="AW40" s="280">
        <f t="shared" si="34"/>
        <v>0</v>
      </c>
      <c r="AX40" s="280">
        <f t="shared" si="35"/>
        <v>0</v>
      </c>
      <c r="AY40" s="280">
        <f t="shared" si="36"/>
        <v>0</v>
      </c>
      <c r="AZ40" s="280">
        <f t="shared" si="37"/>
        <v>0</v>
      </c>
      <c r="BA40" s="280">
        <f t="shared" si="38"/>
        <v>0</v>
      </c>
      <c r="BB40" s="280">
        <f t="shared" si="39"/>
        <v>0</v>
      </c>
      <c r="BC40" s="280">
        <f t="shared" si="40"/>
        <v>0</v>
      </c>
      <c r="BD40" s="280">
        <f t="shared" si="41"/>
        <v>0</v>
      </c>
      <c r="BE40" s="280">
        <f t="shared" si="42"/>
        <v>0</v>
      </c>
      <c r="BF40" s="280" t="str">
        <f t="shared" si="43"/>
        <v/>
      </c>
    </row>
    <row r="41" spans="1:58" x14ac:dyDescent="0.25">
      <c r="A41" s="70" t="str">
        <f>'G-1 All Habitats'!B40</f>
        <v>Lakes - Ornamental lake or pond</v>
      </c>
      <c r="B41" s="62" t="s">
        <v>72</v>
      </c>
      <c r="C41" s="62" t="str">
        <f>'G-1 All Habitats'!K40</f>
        <v>Low</v>
      </c>
      <c r="D41" s="62" t="str">
        <f>'G-1 All Habitats'!M40</f>
        <v>Same distinctiveness or better habitat required ≥</v>
      </c>
      <c r="E41" s="274">
        <f>SUMIF('A-1 On-Site Habitat Baseline'!$AV$11:$AV$258,'G-2 Habitat groups'!A41,'A-1 On-Site Habitat Baseline'!$H$11:$H$258)</f>
        <v>0</v>
      </c>
      <c r="F41" s="274">
        <f>SUMIF('A-1 On-Site Habitat Baseline'!$AV$11:$AV$258,'G-2 Habitat groups'!A41,'A-1 On-Site Habitat Baseline'!$Q$11:$Q$258)</f>
        <v>0</v>
      </c>
      <c r="G41" s="274">
        <f>SUMIF('A-1 On-Site Habitat Baseline'!$AV$11:$AV$258,'G-2 Habitat groups'!A41,'A-1 On-Site Habitat Baseline'!$S$11:$S$258)</f>
        <v>0</v>
      </c>
      <c r="H41" s="274">
        <f>SUMIF('A-1 On-Site Habitat Baseline'!$AV$11:$AV$258,'G-2 Habitat groups'!A41,'A-1 On-Site Habitat Baseline'!$U$11:$U$258)+SUMIF('A-1 On-Site Habitat Baseline'!$AV$11:$AV$258,'G-2 Habitat groups'!A41, 'A-1 On-Site Habitat Baseline'!$AT$11:$AT$258)</f>
        <v>0</v>
      </c>
      <c r="I41" s="274">
        <f>SUMIF('A-1 On-Site Habitat Baseline'!$AV$11:$AV$258,'G-2 Habitat groups'!A41,'A-1 On-Site Habitat Baseline'!$W$11:$W$258)</f>
        <v>0</v>
      </c>
      <c r="J41" s="274">
        <f>SUMIF('A-1 On-Site Habitat Baseline'!$AV$11:$AV$258,'G-2 Habitat groups'!A41,'A-1 On-Site Habitat Baseline'!$X$11:$X$258)</f>
        <v>0</v>
      </c>
      <c r="K41" s="274">
        <f>SUMIF('A-2 On-Site Habitat Creation'!$F$11:$F$256,'G-2 Habitat groups'!A41,'A-2 On-Site Habitat Creation'!$G$11:$G$256)</f>
        <v>0</v>
      </c>
      <c r="L41" s="274">
        <f>SUMIF('A-2 On-Site Habitat Creation'!$F$11:$F$256,'G-2 Habitat groups'!A41,'A-2 On-Site Habitat Creation'!$Y$11:$Y$256)</f>
        <v>0</v>
      </c>
      <c r="M41" s="274">
        <f>SUMIF('A-3 On-Site Habitat Enhancement'!$S$12:$S$257,'G-2 Habitat groups'!A41,'A-3 On-Site Habitat Enhancement'!$V$12:$V$257)</f>
        <v>0</v>
      </c>
      <c r="N41" s="274">
        <f>SUMIF('A-3 On-Site Habitat Enhancement'!$S$12:$S$257,'G-2 Habitat groups'!A41,'A-3 On-Site Habitat Enhancement'!$AN$12:$AN$257)</f>
        <v>0</v>
      </c>
      <c r="O41" s="274">
        <f t="shared" si="44"/>
        <v>0</v>
      </c>
      <c r="P41" s="274">
        <f t="shared" si="45"/>
        <v>0</v>
      </c>
      <c r="Q41" s="274">
        <f t="shared" si="46"/>
        <v>0</v>
      </c>
      <c r="R41" s="274">
        <f t="shared" si="47"/>
        <v>0</v>
      </c>
      <c r="S41" s="274">
        <f>SUMIF('D-1 Off-Site Habitat Baseline'!$AV$11:$AV$258,'G-2 Habitat groups'!A41,'D-1 Off-Site Habitat Baseline'!$H$11:$H$258)</f>
        <v>0</v>
      </c>
      <c r="T41" s="274">
        <f>SUMIF('D-1 Off-Site Habitat Baseline'!$AV$11:$AV$258,'G-2 Habitat groups'!A41,'D-1 Off-Site Habitat Baseline'!$T$11:$T$258)</f>
        <v>0</v>
      </c>
      <c r="U41" s="274">
        <f>SUMIF('D-1 Off-Site Habitat Baseline'!$AV$11:$AV$258,'G-2 Habitat groups'!A41,'D-1 Off-Site Habitat Baseline'!$V$11:$V$258)</f>
        <v>0</v>
      </c>
      <c r="V41" s="274">
        <f>SUMIF('D-1 Off-Site Habitat Baseline'!$AV$11:$AV$258,'G-2 Habitat groups'!A41,'D-1 Off-Site Habitat Baseline'!$X$11:$X$258)+SUMIF('D-1 Off-Site Habitat Baseline'!$AV$11:$AV$258,'G-2 Habitat groups'!A41,'D-1 Off-Site Habitat Baseline'!$AS$11:$AS$258)</f>
        <v>0</v>
      </c>
      <c r="W41" s="274">
        <f>SUMIF('D-2 Off-Site Habitat Creation'!$F$9:$F$255,'G-2 Habitat groups'!A41,'D-2 Off-Site Habitat Creation'!$G$9:$G$255)</f>
        <v>0</v>
      </c>
      <c r="X41" s="274">
        <f>SUMIF('D-2 Off-Site Habitat Creation'!$F$9:$F$255,'G-2 Habitat groups'!A41,'D-2 Off-Site Habitat Creation'!$AB$9:$AB$255)</f>
        <v>0</v>
      </c>
      <c r="Y41" s="274">
        <f>SUMIF('D-3 Off-Site Habitat Enhancment'!$S$12:$S$491,'G-2 Habitat groups'!A41,'D-3 Off-Site Habitat Enhancment'!$V$12:$V$491)</f>
        <v>0</v>
      </c>
      <c r="Z41" s="274">
        <f>SUMIF('D-3 Off-Site Habitat Enhancment'!$S$12:$S$491,'G-2 Habitat groups'!A41,'D-3 Off-Site Habitat Enhancment'!$AQ$12:$AQ$491)</f>
        <v>0</v>
      </c>
      <c r="AA41" s="274">
        <f t="shared" si="48"/>
        <v>0</v>
      </c>
      <c r="AB41" s="274">
        <f t="shared" si="49"/>
        <v>0</v>
      </c>
      <c r="AC41" s="274">
        <f t="shared" si="50"/>
        <v>0</v>
      </c>
      <c r="AD41" s="274">
        <f t="shared" si="51"/>
        <v>0</v>
      </c>
      <c r="AE41" s="274">
        <f t="shared" si="52"/>
        <v>0</v>
      </c>
      <c r="AF41" s="274">
        <f t="shared" si="53"/>
        <v>0</v>
      </c>
      <c r="AU41" s="77" t="s">
        <v>74</v>
      </c>
      <c r="AV41" s="62" t="s">
        <v>72</v>
      </c>
      <c r="AW41" s="280">
        <f t="shared" si="34"/>
        <v>0</v>
      </c>
      <c r="AX41" s="280">
        <f t="shared" si="35"/>
        <v>0</v>
      </c>
      <c r="AY41" s="280">
        <f t="shared" si="36"/>
        <v>0</v>
      </c>
      <c r="AZ41" s="280">
        <f t="shared" si="37"/>
        <v>0</v>
      </c>
      <c r="BA41" s="280">
        <f t="shared" si="38"/>
        <v>0</v>
      </c>
      <c r="BB41" s="280">
        <f t="shared" si="39"/>
        <v>0</v>
      </c>
      <c r="BC41" s="280">
        <f t="shared" si="40"/>
        <v>0</v>
      </c>
      <c r="BD41" s="280">
        <f t="shared" si="41"/>
        <v>0</v>
      </c>
      <c r="BE41" s="280">
        <f t="shared" si="42"/>
        <v>0</v>
      </c>
      <c r="BF41" s="280" t="str">
        <f t="shared" si="43"/>
        <v/>
      </c>
    </row>
    <row r="42" spans="1:58" x14ac:dyDescent="0.25">
      <c r="A42" s="70" t="str">
        <f>'G-1 All Habitats'!B41</f>
        <v>Lakes - High alkalinity lakes</v>
      </c>
      <c r="B42" s="62" t="s">
        <v>72</v>
      </c>
      <c r="C42" s="62" t="str">
        <f>'G-1 All Habitats'!K41</f>
        <v>High</v>
      </c>
      <c r="D42" s="62" t="str">
        <f>'G-1 All Habitats'!M41</f>
        <v>Same habitat required =</v>
      </c>
      <c r="E42" s="274">
        <f>SUMIF('A-1 On-Site Habitat Baseline'!$AV$11:$AV$258,'G-2 Habitat groups'!A42,'A-1 On-Site Habitat Baseline'!$H$11:$H$258)</f>
        <v>0</v>
      </c>
      <c r="F42" s="274">
        <f>SUMIF('A-1 On-Site Habitat Baseline'!$AV$11:$AV$258,'G-2 Habitat groups'!A42,'A-1 On-Site Habitat Baseline'!$Q$11:$Q$258)</f>
        <v>0</v>
      </c>
      <c r="G42" s="274">
        <f>SUMIF('A-1 On-Site Habitat Baseline'!$AV$11:$AV$258,'G-2 Habitat groups'!A42,'A-1 On-Site Habitat Baseline'!$S$11:$S$258)</f>
        <v>0</v>
      </c>
      <c r="H42" s="274">
        <f>SUMIF('A-1 On-Site Habitat Baseline'!$AV$11:$AV$258,'G-2 Habitat groups'!A42,'A-1 On-Site Habitat Baseline'!$U$11:$U$258)+SUMIF('A-1 On-Site Habitat Baseline'!$AV$11:$AV$258,'G-2 Habitat groups'!A42, 'A-1 On-Site Habitat Baseline'!$AT$11:$AT$258)</f>
        <v>0</v>
      </c>
      <c r="I42" s="274">
        <f>SUMIF('A-1 On-Site Habitat Baseline'!$AV$11:$AV$258,'G-2 Habitat groups'!A42,'A-1 On-Site Habitat Baseline'!$W$11:$W$258)</f>
        <v>0</v>
      </c>
      <c r="J42" s="274">
        <f>SUMIF('A-1 On-Site Habitat Baseline'!$AV$11:$AV$258,'G-2 Habitat groups'!A42,'A-1 On-Site Habitat Baseline'!$X$11:$X$258)</f>
        <v>0</v>
      </c>
      <c r="K42" s="274">
        <f>SUMIF('A-2 On-Site Habitat Creation'!$F$11:$F$256,'G-2 Habitat groups'!A42,'A-2 On-Site Habitat Creation'!$G$11:$G$256)</f>
        <v>0</v>
      </c>
      <c r="L42" s="274">
        <f>SUMIF('A-2 On-Site Habitat Creation'!$F$11:$F$256,'G-2 Habitat groups'!A42,'A-2 On-Site Habitat Creation'!$Y$11:$Y$256)</f>
        <v>0</v>
      </c>
      <c r="M42" s="274">
        <f>SUMIF('A-3 On-Site Habitat Enhancement'!$S$12:$S$257,'G-2 Habitat groups'!A42,'A-3 On-Site Habitat Enhancement'!$V$12:$V$257)</f>
        <v>0</v>
      </c>
      <c r="N42" s="274">
        <f>SUMIF('A-3 On-Site Habitat Enhancement'!$S$12:$S$257,'G-2 Habitat groups'!A42,'A-3 On-Site Habitat Enhancement'!$AN$12:$AN$257)</f>
        <v>0</v>
      </c>
      <c r="O42" s="274">
        <f t="shared" si="44"/>
        <v>0</v>
      </c>
      <c r="P42" s="274">
        <f t="shared" si="45"/>
        <v>0</v>
      </c>
      <c r="Q42" s="274">
        <f t="shared" si="46"/>
        <v>0</v>
      </c>
      <c r="R42" s="274">
        <f t="shared" si="47"/>
        <v>0</v>
      </c>
      <c r="S42" s="274">
        <f>SUMIF('D-1 Off-Site Habitat Baseline'!$AV$11:$AV$258,'G-2 Habitat groups'!A42,'D-1 Off-Site Habitat Baseline'!$H$11:$H$258)</f>
        <v>0</v>
      </c>
      <c r="T42" s="274">
        <f>SUMIF('D-1 Off-Site Habitat Baseline'!$AV$11:$AV$258,'G-2 Habitat groups'!A42,'D-1 Off-Site Habitat Baseline'!$T$11:$T$258)</f>
        <v>0</v>
      </c>
      <c r="U42" s="274">
        <f>SUMIF('D-1 Off-Site Habitat Baseline'!$AV$11:$AV$258,'G-2 Habitat groups'!A42,'D-1 Off-Site Habitat Baseline'!$V$11:$V$258)</f>
        <v>0</v>
      </c>
      <c r="V42" s="274">
        <f>SUMIF('D-1 Off-Site Habitat Baseline'!$AV$11:$AV$258,'G-2 Habitat groups'!A42,'D-1 Off-Site Habitat Baseline'!$X$11:$X$258)+SUMIF('D-1 Off-Site Habitat Baseline'!$AV$11:$AV$258,'G-2 Habitat groups'!A42,'D-1 Off-Site Habitat Baseline'!$AS$11:$AS$258)</f>
        <v>0</v>
      </c>
      <c r="W42" s="274">
        <f>SUMIF('D-2 Off-Site Habitat Creation'!$F$9:$F$255,'G-2 Habitat groups'!A42,'D-2 Off-Site Habitat Creation'!$G$9:$G$255)</f>
        <v>0</v>
      </c>
      <c r="X42" s="274">
        <f>SUMIF('D-2 Off-Site Habitat Creation'!$F$9:$F$255,'G-2 Habitat groups'!A42,'D-2 Off-Site Habitat Creation'!$AB$9:$AB$255)</f>
        <v>0</v>
      </c>
      <c r="Y42" s="274">
        <f>SUMIF('D-3 Off-Site Habitat Enhancment'!$S$12:$S$491,'G-2 Habitat groups'!A42,'D-3 Off-Site Habitat Enhancment'!$V$12:$V$491)</f>
        <v>0</v>
      </c>
      <c r="Z42" s="274">
        <f>SUMIF('D-3 Off-Site Habitat Enhancment'!$S$12:$S$491,'G-2 Habitat groups'!A42,'D-3 Off-Site Habitat Enhancment'!$AQ$12:$AQ$491)</f>
        <v>0</v>
      </c>
      <c r="AA42" s="274">
        <f t="shared" si="48"/>
        <v>0</v>
      </c>
      <c r="AB42" s="274">
        <f t="shared" si="49"/>
        <v>0</v>
      </c>
      <c r="AC42" s="274">
        <f t="shared" si="50"/>
        <v>0</v>
      </c>
      <c r="AD42" s="274">
        <f t="shared" si="51"/>
        <v>0</v>
      </c>
      <c r="AE42" s="274">
        <f t="shared" si="52"/>
        <v>0</v>
      </c>
      <c r="AF42" s="274">
        <f t="shared" si="53"/>
        <v>0</v>
      </c>
      <c r="AU42" s="77" t="s">
        <v>75</v>
      </c>
      <c r="AV42" s="62" t="s">
        <v>72</v>
      </c>
      <c r="AW42" s="280">
        <f t="shared" si="34"/>
        <v>0</v>
      </c>
      <c r="AX42" s="280">
        <f t="shared" si="35"/>
        <v>0</v>
      </c>
      <c r="AY42" s="280">
        <f t="shared" si="36"/>
        <v>0</v>
      </c>
      <c r="AZ42" s="280">
        <f t="shared" si="37"/>
        <v>0</v>
      </c>
      <c r="BA42" s="280">
        <f t="shared" si="38"/>
        <v>0</v>
      </c>
      <c r="BB42" s="280">
        <f t="shared" si="39"/>
        <v>0</v>
      </c>
      <c r="BC42" s="280">
        <f t="shared" si="40"/>
        <v>0</v>
      </c>
      <c r="BD42" s="280">
        <f t="shared" si="41"/>
        <v>0</v>
      </c>
      <c r="BE42" s="280">
        <f t="shared" si="42"/>
        <v>0</v>
      </c>
      <c r="BF42" s="280" t="str">
        <f t="shared" si="43"/>
        <v/>
      </c>
    </row>
    <row r="43" spans="1:58" x14ac:dyDescent="0.25">
      <c r="A43" s="70" t="str">
        <f>'G-1 All Habitats'!B42</f>
        <v>Lakes - Low alkalinity lakes</v>
      </c>
      <c r="B43" s="62" t="s">
        <v>72</v>
      </c>
      <c r="C43" s="62" t="str">
        <f>'G-1 All Habitats'!K42</f>
        <v>High</v>
      </c>
      <c r="D43" s="62" t="str">
        <f>'G-1 All Habitats'!M42</f>
        <v>Same habitat required =</v>
      </c>
      <c r="E43" s="274">
        <f>SUMIF('A-1 On-Site Habitat Baseline'!$AV$11:$AV$258,'G-2 Habitat groups'!A43,'A-1 On-Site Habitat Baseline'!$H$11:$H$258)</f>
        <v>0</v>
      </c>
      <c r="F43" s="274">
        <f>SUMIF('A-1 On-Site Habitat Baseline'!$AV$11:$AV$258,'G-2 Habitat groups'!A43,'A-1 On-Site Habitat Baseline'!$Q$11:$Q$258)</f>
        <v>0</v>
      </c>
      <c r="G43" s="274">
        <f>SUMIF('A-1 On-Site Habitat Baseline'!$AV$11:$AV$258,'G-2 Habitat groups'!A43,'A-1 On-Site Habitat Baseline'!$S$11:$S$258)</f>
        <v>0</v>
      </c>
      <c r="H43" s="274">
        <f>SUMIF('A-1 On-Site Habitat Baseline'!$AV$11:$AV$258,'G-2 Habitat groups'!A43,'A-1 On-Site Habitat Baseline'!$U$11:$U$258)+SUMIF('A-1 On-Site Habitat Baseline'!$AV$11:$AV$258,'G-2 Habitat groups'!A43, 'A-1 On-Site Habitat Baseline'!$AT$11:$AT$258)</f>
        <v>0</v>
      </c>
      <c r="I43" s="274">
        <f>SUMIF('A-1 On-Site Habitat Baseline'!$AV$11:$AV$258,'G-2 Habitat groups'!A43,'A-1 On-Site Habitat Baseline'!$W$11:$W$258)</f>
        <v>0</v>
      </c>
      <c r="J43" s="274">
        <f>SUMIF('A-1 On-Site Habitat Baseline'!$AV$11:$AV$258,'G-2 Habitat groups'!A43,'A-1 On-Site Habitat Baseline'!$X$11:$X$258)</f>
        <v>0</v>
      </c>
      <c r="K43" s="274">
        <f>SUMIF('A-2 On-Site Habitat Creation'!$F$11:$F$256,'G-2 Habitat groups'!A43,'A-2 On-Site Habitat Creation'!$G$11:$G$256)</f>
        <v>0</v>
      </c>
      <c r="L43" s="274">
        <f>SUMIF('A-2 On-Site Habitat Creation'!$F$11:$F$256,'G-2 Habitat groups'!A43,'A-2 On-Site Habitat Creation'!$Y$11:$Y$256)</f>
        <v>0</v>
      </c>
      <c r="M43" s="274">
        <f>SUMIF('A-3 On-Site Habitat Enhancement'!$S$12:$S$257,'G-2 Habitat groups'!A43,'A-3 On-Site Habitat Enhancement'!$V$12:$V$257)</f>
        <v>0</v>
      </c>
      <c r="N43" s="274">
        <f>SUMIF('A-3 On-Site Habitat Enhancement'!$S$12:$S$257,'G-2 Habitat groups'!A43,'A-3 On-Site Habitat Enhancement'!$AN$12:$AN$257)</f>
        <v>0</v>
      </c>
      <c r="O43" s="274">
        <f t="shared" si="44"/>
        <v>0</v>
      </c>
      <c r="P43" s="274">
        <f t="shared" si="45"/>
        <v>0</v>
      </c>
      <c r="Q43" s="274">
        <f t="shared" si="46"/>
        <v>0</v>
      </c>
      <c r="R43" s="274">
        <f t="shared" si="47"/>
        <v>0</v>
      </c>
      <c r="S43" s="274">
        <f>SUMIF('D-1 Off-Site Habitat Baseline'!$AV$11:$AV$258,'G-2 Habitat groups'!A43,'D-1 Off-Site Habitat Baseline'!$H$11:$H$258)</f>
        <v>0</v>
      </c>
      <c r="T43" s="274">
        <f>SUMIF('D-1 Off-Site Habitat Baseline'!$AV$11:$AV$258,'G-2 Habitat groups'!A43,'D-1 Off-Site Habitat Baseline'!$T$11:$T$258)</f>
        <v>0</v>
      </c>
      <c r="U43" s="274">
        <f>SUMIF('D-1 Off-Site Habitat Baseline'!$AV$11:$AV$258,'G-2 Habitat groups'!A43,'D-1 Off-Site Habitat Baseline'!$V$11:$V$258)</f>
        <v>0</v>
      </c>
      <c r="V43" s="274">
        <f>SUMIF('D-1 Off-Site Habitat Baseline'!$AV$11:$AV$258,'G-2 Habitat groups'!A43,'D-1 Off-Site Habitat Baseline'!$X$11:$X$258)+SUMIF('D-1 Off-Site Habitat Baseline'!$AV$11:$AV$258,'G-2 Habitat groups'!A43,'D-1 Off-Site Habitat Baseline'!$AS$11:$AS$258)</f>
        <v>0</v>
      </c>
      <c r="W43" s="274">
        <f>SUMIF('D-2 Off-Site Habitat Creation'!$F$9:$F$255,'G-2 Habitat groups'!A43,'D-2 Off-Site Habitat Creation'!$G$9:$G$255)</f>
        <v>0</v>
      </c>
      <c r="X43" s="274">
        <f>SUMIF('D-2 Off-Site Habitat Creation'!$F$9:$F$255,'G-2 Habitat groups'!A43,'D-2 Off-Site Habitat Creation'!$AB$9:$AB$255)</f>
        <v>0</v>
      </c>
      <c r="Y43" s="274">
        <f>SUMIF('D-3 Off-Site Habitat Enhancment'!$S$12:$S$491,'G-2 Habitat groups'!A43,'D-3 Off-Site Habitat Enhancment'!$V$12:$V$491)</f>
        <v>0</v>
      </c>
      <c r="Z43" s="274">
        <f>SUMIF('D-3 Off-Site Habitat Enhancment'!$S$12:$S$491,'G-2 Habitat groups'!A43,'D-3 Off-Site Habitat Enhancment'!$AQ$12:$AQ$491)</f>
        <v>0</v>
      </c>
      <c r="AA43" s="274">
        <f t="shared" si="48"/>
        <v>0</v>
      </c>
      <c r="AB43" s="274">
        <f t="shared" si="49"/>
        <v>0</v>
      </c>
      <c r="AC43" s="274">
        <f t="shared" si="50"/>
        <v>0</v>
      </c>
      <c r="AD43" s="274">
        <f t="shared" si="51"/>
        <v>0</v>
      </c>
      <c r="AE43" s="274">
        <f t="shared" si="52"/>
        <v>0</v>
      </c>
      <c r="AF43" s="274">
        <f t="shared" si="53"/>
        <v>0</v>
      </c>
      <c r="AU43" s="77" t="s">
        <v>76</v>
      </c>
      <c r="AV43" s="62" t="s">
        <v>72</v>
      </c>
      <c r="AW43" s="280">
        <f t="shared" si="34"/>
        <v>0</v>
      </c>
      <c r="AX43" s="280">
        <f t="shared" si="35"/>
        <v>0</v>
      </c>
      <c r="AY43" s="280">
        <f t="shared" si="36"/>
        <v>0</v>
      </c>
      <c r="AZ43" s="280">
        <f t="shared" si="37"/>
        <v>0</v>
      </c>
      <c r="BA43" s="280">
        <f t="shared" si="38"/>
        <v>0</v>
      </c>
      <c r="BB43" s="280">
        <f t="shared" si="39"/>
        <v>0</v>
      </c>
      <c r="BC43" s="280">
        <f t="shared" si="40"/>
        <v>0</v>
      </c>
      <c r="BD43" s="280">
        <f t="shared" si="41"/>
        <v>0</v>
      </c>
      <c r="BE43" s="280">
        <f t="shared" si="42"/>
        <v>0</v>
      </c>
      <c r="BF43" s="280" t="str">
        <f t="shared" si="43"/>
        <v/>
      </c>
    </row>
    <row r="44" spans="1:58" x14ac:dyDescent="0.25">
      <c r="A44" s="70" t="str">
        <f>'G-1 All Habitats'!B43</f>
        <v>Lakes - Marl lakes</v>
      </c>
      <c r="B44" s="62" t="s">
        <v>72</v>
      </c>
      <c r="C44" s="62" t="str">
        <f>'G-1 All Habitats'!K43</f>
        <v>High</v>
      </c>
      <c r="D44" s="62" t="str">
        <f>'G-1 All Habitats'!M43</f>
        <v>Same habitat required =</v>
      </c>
      <c r="E44" s="274">
        <f>SUMIF('A-1 On-Site Habitat Baseline'!$AV$11:$AV$258,'G-2 Habitat groups'!A44,'A-1 On-Site Habitat Baseline'!$H$11:$H$258)</f>
        <v>0</v>
      </c>
      <c r="F44" s="274">
        <f>SUMIF('A-1 On-Site Habitat Baseline'!$AV$11:$AV$258,'G-2 Habitat groups'!A44,'A-1 On-Site Habitat Baseline'!$Q$11:$Q$258)</f>
        <v>0</v>
      </c>
      <c r="G44" s="274">
        <f>SUMIF('A-1 On-Site Habitat Baseline'!$AV$11:$AV$258,'G-2 Habitat groups'!A44,'A-1 On-Site Habitat Baseline'!$S$11:$S$258)</f>
        <v>0</v>
      </c>
      <c r="H44" s="274">
        <f>SUMIF('A-1 On-Site Habitat Baseline'!$AV$11:$AV$258,'G-2 Habitat groups'!A44,'A-1 On-Site Habitat Baseline'!$U$11:$U$258)+SUMIF('A-1 On-Site Habitat Baseline'!$AV$11:$AV$258,'G-2 Habitat groups'!A44, 'A-1 On-Site Habitat Baseline'!$AT$11:$AT$258)</f>
        <v>0</v>
      </c>
      <c r="I44" s="274">
        <f>SUMIF('A-1 On-Site Habitat Baseline'!$AV$11:$AV$258,'G-2 Habitat groups'!A44,'A-1 On-Site Habitat Baseline'!$W$11:$W$258)</f>
        <v>0</v>
      </c>
      <c r="J44" s="274">
        <f>SUMIF('A-1 On-Site Habitat Baseline'!$AV$11:$AV$258,'G-2 Habitat groups'!A44,'A-1 On-Site Habitat Baseline'!$X$11:$X$258)</f>
        <v>0</v>
      </c>
      <c r="K44" s="274">
        <f>SUMIF('A-2 On-Site Habitat Creation'!$F$11:$F$256,'G-2 Habitat groups'!A44,'A-2 On-Site Habitat Creation'!$G$11:$G$256)</f>
        <v>0</v>
      </c>
      <c r="L44" s="274">
        <f>SUMIF('A-2 On-Site Habitat Creation'!$F$11:$F$256,'G-2 Habitat groups'!A44,'A-2 On-Site Habitat Creation'!$Y$11:$Y$256)</f>
        <v>0</v>
      </c>
      <c r="M44" s="274">
        <f>SUMIF('A-3 On-Site Habitat Enhancement'!$S$12:$S$257,'G-2 Habitat groups'!A44,'A-3 On-Site Habitat Enhancement'!$V$12:$V$257)</f>
        <v>0</v>
      </c>
      <c r="N44" s="274">
        <f>SUMIF('A-3 On-Site Habitat Enhancement'!$S$12:$S$257,'G-2 Habitat groups'!A44,'A-3 On-Site Habitat Enhancement'!$AN$12:$AN$257)</f>
        <v>0</v>
      </c>
      <c r="O44" s="274">
        <f t="shared" si="44"/>
        <v>0</v>
      </c>
      <c r="P44" s="274">
        <f t="shared" si="45"/>
        <v>0</v>
      </c>
      <c r="Q44" s="274">
        <f t="shared" si="46"/>
        <v>0</v>
      </c>
      <c r="R44" s="274">
        <f t="shared" si="47"/>
        <v>0</v>
      </c>
      <c r="S44" s="274">
        <f>SUMIF('D-1 Off-Site Habitat Baseline'!$AV$11:$AV$258,'G-2 Habitat groups'!A44,'D-1 Off-Site Habitat Baseline'!$H$11:$H$258)</f>
        <v>0</v>
      </c>
      <c r="T44" s="274">
        <f>SUMIF('D-1 Off-Site Habitat Baseline'!$AV$11:$AV$258,'G-2 Habitat groups'!A44,'D-1 Off-Site Habitat Baseline'!$T$11:$T$258)</f>
        <v>0</v>
      </c>
      <c r="U44" s="274">
        <f>SUMIF('D-1 Off-Site Habitat Baseline'!$AV$11:$AV$258,'G-2 Habitat groups'!A44,'D-1 Off-Site Habitat Baseline'!$V$11:$V$258)</f>
        <v>0</v>
      </c>
      <c r="V44" s="274">
        <f>SUMIF('D-1 Off-Site Habitat Baseline'!$AV$11:$AV$258,'G-2 Habitat groups'!A44,'D-1 Off-Site Habitat Baseline'!$X$11:$X$258)+SUMIF('D-1 Off-Site Habitat Baseline'!$AV$11:$AV$258,'G-2 Habitat groups'!A44,'D-1 Off-Site Habitat Baseline'!$AS$11:$AS$258)</f>
        <v>0</v>
      </c>
      <c r="W44" s="274">
        <f>SUMIF('D-2 Off-Site Habitat Creation'!$F$9:$F$255,'G-2 Habitat groups'!A44,'D-2 Off-Site Habitat Creation'!$G$9:$G$255)</f>
        <v>0</v>
      </c>
      <c r="X44" s="274">
        <f>SUMIF('D-2 Off-Site Habitat Creation'!$F$9:$F$255,'G-2 Habitat groups'!A44,'D-2 Off-Site Habitat Creation'!$AB$9:$AB$255)</f>
        <v>0</v>
      </c>
      <c r="Y44" s="274">
        <f>SUMIF('D-3 Off-Site Habitat Enhancment'!$S$12:$S$491,'G-2 Habitat groups'!A44,'D-3 Off-Site Habitat Enhancment'!$V$12:$V$491)</f>
        <v>0</v>
      </c>
      <c r="Z44" s="274">
        <f>SUMIF('D-3 Off-Site Habitat Enhancment'!$S$12:$S$491,'G-2 Habitat groups'!A44,'D-3 Off-Site Habitat Enhancment'!$AQ$12:$AQ$491)</f>
        <v>0</v>
      </c>
      <c r="AA44" s="274">
        <f t="shared" si="48"/>
        <v>0</v>
      </c>
      <c r="AB44" s="274">
        <f t="shared" si="49"/>
        <v>0</v>
      </c>
      <c r="AC44" s="274">
        <f t="shared" si="50"/>
        <v>0</v>
      </c>
      <c r="AD44" s="274">
        <f t="shared" si="51"/>
        <v>0</v>
      </c>
      <c r="AE44" s="274">
        <f t="shared" si="52"/>
        <v>0</v>
      </c>
      <c r="AF44" s="274">
        <f t="shared" si="53"/>
        <v>0</v>
      </c>
      <c r="AU44" s="76" t="s">
        <v>79</v>
      </c>
      <c r="AV44" s="62" t="s">
        <v>72</v>
      </c>
      <c r="AW44" s="280">
        <f t="shared" si="34"/>
        <v>0</v>
      </c>
      <c r="AX44" s="280">
        <f t="shared" si="35"/>
        <v>0</v>
      </c>
      <c r="AY44" s="280">
        <f t="shared" si="36"/>
        <v>0</v>
      </c>
      <c r="AZ44" s="280">
        <f t="shared" si="37"/>
        <v>0</v>
      </c>
      <c r="BA44" s="280">
        <f t="shared" si="38"/>
        <v>0</v>
      </c>
      <c r="BB44" s="280">
        <f t="shared" si="39"/>
        <v>0</v>
      </c>
      <c r="BC44" s="280">
        <f t="shared" si="40"/>
        <v>0</v>
      </c>
      <c r="BD44" s="280">
        <f t="shared" si="41"/>
        <v>0</v>
      </c>
      <c r="BE44" s="280">
        <f t="shared" si="42"/>
        <v>0</v>
      </c>
      <c r="BF44" s="280" t="str">
        <f t="shared" si="43"/>
        <v/>
      </c>
    </row>
    <row r="45" spans="1:58" x14ac:dyDescent="0.25">
      <c r="A45" s="70" t="str">
        <f>'G-1 All Habitats'!B44</f>
        <v>Lakes - Moderate alkalinity lakes</v>
      </c>
      <c r="B45" s="62" t="s">
        <v>72</v>
      </c>
      <c r="C45" s="62" t="str">
        <f>'G-1 All Habitats'!K44</f>
        <v>High</v>
      </c>
      <c r="D45" s="62" t="str">
        <f>'G-1 All Habitats'!M44</f>
        <v>Same habitat required =</v>
      </c>
      <c r="E45" s="274">
        <f>SUMIF('A-1 On-Site Habitat Baseline'!$AV$11:$AV$258,'G-2 Habitat groups'!A45,'A-1 On-Site Habitat Baseline'!$H$11:$H$258)</f>
        <v>0</v>
      </c>
      <c r="F45" s="274">
        <f>SUMIF('A-1 On-Site Habitat Baseline'!$AV$11:$AV$258,'G-2 Habitat groups'!A45,'A-1 On-Site Habitat Baseline'!$Q$11:$Q$258)</f>
        <v>0</v>
      </c>
      <c r="G45" s="274">
        <f>SUMIF('A-1 On-Site Habitat Baseline'!$AV$11:$AV$258,'G-2 Habitat groups'!A45,'A-1 On-Site Habitat Baseline'!$S$11:$S$258)</f>
        <v>0</v>
      </c>
      <c r="H45" s="274">
        <f>SUMIF('A-1 On-Site Habitat Baseline'!$AV$11:$AV$258,'G-2 Habitat groups'!A45,'A-1 On-Site Habitat Baseline'!$U$11:$U$258)+SUMIF('A-1 On-Site Habitat Baseline'!$AV$11:$AV$258,'G-2 Habitat groups'!A45, 'A-1 On-Site Habitat Baseline'!$AT$11:$AT$258)</f>
        <v>0</v>
      </c>
      <c r="I45" s="274">
        <f>SUMIF('A-1 On-Site Habitat Baseline'!$AV$11:$AV$258,'G-2 Habitat groups'!A45,'A-1 On-Site Habitat Baseline'!$W$11:$W$258)</f>
        <v>0</v>
      </c>
      <c r="J45" s="274">
        <f>SUMIF('A-1 On-Site Habitat Baseline'!$AV$11:$AV$258,'G-2 Habitat groups'!A45,'A-1 On-Site Habitat Baseline'!$X$11:$X$258)</f>
        <v>0</v>
      </c>
      <c r="K45" s="274">
        <f>SUMIF('A-2 On-Site Habitat Creation'!$F$11:$F$256,'G-2 Habitat groups'!A45,'A-2 On-Site Habitat Creation'!$G$11:$G$256)</f>
        <v>0</v>
      </c>
      <c r="L45" s="274">
        <f>SUMIF('A-2 On-Site Habitat Creation'!$F$11:$F$256,'G-2 Habitat groups'!A45,'A-2 On-Site Habitat Creation'!$Y$11:$Y$256)</f>
        <v>0</v>
      </c>
      <c r="M45" s="274">
        <f>SUMIF('A-3 On-Site Habitat Enhancement'!$S$12:$S$257,'G-2 Habitat groups'!A45,'A-3 On-Site Habitat Enhancement'!$V$12:$V$257)</f>
        <v>0</v>
      </c>
      <c r="N45" s="274">
        <f>SUMIF('A-3 On-Site Habitat Enhancement'!$S$12:$S$257,'G-2 Habitat groups'!A45,'A-3 On-Site Habitat Enhancement'!$AN$12:$AN$257)</f>
        <v>0</v>
      </c>
      <c r="O45" s="274">
        <f t="shared" si="44"/>
        <v>0</v>
      </c>
      <c r="P45" s="274">
        <f t="shared" si="45"/>
        <v>0</v>
      </c>
      <c r="Q45" s="274">
        <f t="shared" si="46"/>
        <v>0</v>
      </c>
      <c r="R45" s="274">
        <f t="shared" si="47"/>
        <v>0</v>
      </c>
      <c r="S45" s="274">
        <f>SUMIF('D-1 Off-Site Habitat Baseline'!$AV$11:$AV$258,'G-2 Habitat groups'!A45,'D-1 Off-Site Habitat Baseline'!$H$11:$H$258)</f>
        <v>0</v>
      </c>
      <c r="T45" s="274">
        <f>SUMIF('D-1 Off-Site Habitat Baseline'!$AV$11:$AV$258,'G-2 Habitat groups'!A45,'D-1 Off-Site Habitat Baseline'!$T$11:$T$258)</f>
        <v>0</v>
      </c>
      <c r="U45" s="274">
        <f>SUMIF('D-1 Off-Site Habitat Baseline'!$AV$11:$AV$258,'G-2 Habitat groups'!A45,'D-1 Off-Site Habitat Baseline'!$V$11:$V$258)</f>
        <v>0</v>
      </c>
      <c r="V45" s="274">
        <f>SUMIF('D-1 Off-Site Habitat Baseline'!$AV$11:$AV$258,'G-2 Habitat groups'!A45,'D-1 Off-Site Habitat Baseline'!$X$11:$X$258)+SUMIF('D-1 Off-Site Habitat Baseline'!$AV$11:$AV$258,'G-2 Habitat groups'!A45,'D-1 Off-Site Habitat Baseline'!$AS$11:$AS$258)</f>
        <v>0</v>
      </c>
      <c r="W45" s="274">
        <f>SUMIF('D-2 Off-Site Habitat Creation'!$F$9:$F$255,'G-2 Habitat groups'!A45,'D-2 Off-Site Habitat Creation'!$G$9:$G$255)</f>
        <v>0</v>
      </c>
      <c r="X45" s="274">
        <f>SUMIF('D-2 Off-Site Habitat Creation'!$F$9:$F$255,'G-2 Habitat groups'!A45,'D-2 Off-Site Habitat Creation'!$AB$9:$AB$255)</f>
        <v>0</v>
      </c>
      <c r="Y45" s="274">
        <f>SUMIF('D-3 Off-Site Habitat Enhancment'!$S$12:$S$491,'G-2 Habitat groups'!A45,'D-3 Off-Site Habitat Enhancment'!$V$12:$V$491)</f>
        <v>0</v>
      </c>
      <c r="Z45" s="274">
        <f>SUMIF('D-3 Off-Site Habitat Enhancment'!$S$12:$S$491,'G-2 Habitat groups'!A45,'D-3 Off-Site Habitat Enhancment'!$AQ$12:$AQ$491)</f>
        <v>0</v>
      </c>
      <c r="AA45" s="274">
        <f t="shared" si="48"/>
        <v>0</v>
      </c>
      <c r="AB45" s="274">
        <f t="shared" si="49"/>
        <v>0</v>
      </c>
      <c r="AC45" s="274">
        <f t="shared" si="50"/>
        <v>0</v>
      </c>
      <c r="AD45" s="274">
        <f t="shared" si="51"/>
        <v>0</v>
      </c>
      <c r="AE45" s="274">
        <f t="shared" si="52"/>
        <v>0</v>
      </c>
      <c r="AF45" s="274">
        <f t="shared" si="53"/>
        <v>0</v>
      </c>
      <c r="AU45" s="77" t="s">
        <v>80</v>
      </c>
      <c r="AV45" s="62" t="s">
        <v>72</v>
      </c>
      <c r="AW45" s="280">
        <f t="shared" si="34"/>
        <v>0</v>
      </c>
      <c r="AX45" s="280">
        <f t="shared" si="35"/>
        <v>0</v>
      </c>
      <c r="AY45" s="280">
        <f t="shared" si="36"/>
        <v>0</v>
      </c>
      <c r="AZ45" s="280">
        <f t="shared" si="37"/>
        <v>0</v>
      </c>
      <c r="BA45" s="280">
        <f t="shared" si="38"/>
        <v>0</v>
      </c>
      <c r="BB45" s="280">
        <f t="shared" si="39"/>
        <v>0</v>
      </c>
      <c r="BC45" s="280">
        <f t="shared" si="40"/>
        <v>0</v>
      </c>
      <c r="BD45" s="280">
        <f t="shared" si="41"/>
        <v>0</v>
      </c>
      <c r="BE45" s="280">
        <f t="shared" si="42"/>
        <v>0</v>
      </c>
      <c r="BF45" s="280" t="str">
        <f t="shared" si="43"/>
        <v/>
      </c>
    </row>
    <row r="46" spans="1:58" x14ac:dyDescent="0.25">
      <c r="A46" s="70" t="str">
        <f>'G-1 All Habitats'!B45</f>
        <v>Lakes - Peat lakes</v>
      </c>
      <c r="B46" s="62" t="s">
        <v>72</v>
      </c>
      <c r="C46" s="62" t="str">
        <f>'G-1 All Habitats'!K45</f>
        <v>High</v>
      </c>
      <c r="D46" s="62" t="str">
        <f>'G-1 All Habitats'!M45</f>
        <v>Same habitat required =</v>
      </c>
      <c r="E46" s="274">
        <f>SUMIF('A-1 On-Site Habitat Baseline'!$AV$11:$AV$258,'G-2 Habitat groups'!A46,'A-1 On-Site Habitat Baseline'!$H$11:$H$258)</f>
        <v>0</v>
      </c>
      <c r="F46" s="274">
        <f>SUMIF('A-1 On-Site Habitat Baseline'!$AV$11:$AV$258,'G-2 Habitat groups'!A46,'A-1 On-Site Habitat Baseline'!$Q$11:$Q$258)</f>
        <v>0</v>
      </c>
      <c r="G46" s="274">
        <f>SUMIF('A-1 On-Site Habitat Baseline'!$AV$11:$AV$258,'G-2 Habitat groups'!A46,'A-1 On-Site Habitat Baseline'!$S$11:$S$258)</f>
        <v>0</v>
      </c>
      <c r="H46" s="274">
        <f>SUMIF('A-1 On-Site Habitat Baseline'!$AV$11:$AV$258,'G-2 Habitat groups'!A46,'A-1 On-Site Habitat Baseline'!$U$11:$U$258)+SUMIF('A-1 On-Site Habitat Baseline'!$AV$11:$AV$258,'G-2 Habitat groups'!A46, 'A-1 On-Site Habitat Baseline'!$AT$11:$AT$258)</f>
        <v>0</v>
      </c>
      <c r="I46" s="274">
        <f>SUMIF('A-1 On-Site Habitat Baseline'!$AV$11:$AV$258,'G-2 Habitat groups'!A46,'A-1 On-Site Habitat Baseline'!$W$11:$W$258)</f>
        <v>0</v>
      </c>
      <c r="J46" s="274">
        <f>SUMIF('A-1 On-Site Habitat Baseline'!$AV$11:$AV$258,'G-2 Habitat groups'!A46,'A-1 On-Site Habitat Baseline'!$X$11:$X$258)</f>
        <v>0</v>
      </c>
      <c r="K46" s="274">
        <f>SUMIF('A-2 On-Site Habitat Creation'!$F$11:$F$256,'G-2 Habitat groups'!A46,'A-2 On-Site Habitat Creation'!$G$11:$G$256)</f>
        <v>0</v>
      </c>
      <c r="L46" s="274">
        <f>SUMIF('A-2 On-Site Habitat Creation'!$F$11:$F$256,'G-2 Habitat groups'!A46,'A-2 On-Site Habitat Creation'!$Y$11:$Y$256)</f>
        <v>0</v>
      </c>
      <c r="M46" s="274">
        <f>SUMIF('A-3 On-Site Habitat Enhancement'!$S$12:$S$257,'G-2 Habitat groups'!A46,'A-3 On-Site Habitat Enhancement'!$V$12:$V$257)</f>
        <v>0</v>
      </c>
      <c r="N46" s="274">
        <f>SUMIF('A-3 On-Site Habitat Enhancement'!$S$12:$S$257,'G-2 Habitat groups'!A46,'A-3 On-Site Habitat Enhancement'!$AN$12:$AN$257)</f>
        <v>0</v>
      </c>
      <c r="O46" s="274">
        <f t="shared" si="44"/>
        <v>0</v>
      </c>
      <c r="P46" s="274">
        <f t="shared" si="45"/>
        <v>0</v>
      </c>
      <c r="Q46" s="274">
        <f t="shared" si="46"/>
        <v>0</v>
      </c>
      <c r="R46" s="274">
        <f t="shared" si="47"/>
        <v>0</v>
      </c>
      <c r="S46" s="274">
        <f>SUMIF('D-1 Off-Site Habitat Baseline'!$AV$11:$AV$258,'G-2 Habitat groups'!A46,'D-1 Off-Site Habitat Baseline'!$H$11:$H$258)</f>
        <v>0</v>
      </c>
      <c r="T46" s="274">
        <f>SUMIF('D-1 Off-Site Habitat Baseline'!$AV$11:$AV$258,'G-2 Habitat groups'!A46,'D-1 Off-Site Habitat Baseline'!$T$11:$T$258)</f>
        <v>0</v>
      </c>
      <c r="U46" s="274">
        <f>SUMIF('D-1 Off-Site Habitat Baseline'!$AV$11:$AV$258,'G-2 Habitat groups'!A46,'D-1 Off-Site Habitat Baseline'!$V$11:$V$258)</f>
        <v>0</v>
      </c>
      <c r="V46" s="274">
        <f>SUMIF('D-1 Off-Site Habitat Baseline'!$AV$11:$AV$258,'G-2 Habitat groups'!A46,'D-1 Off-Site Habitat Baseline'!$X$11:$X$258)+SUMIF('D-1 Off-Site Habitat Baseline'!$AV$11:$AV$258,'G-2 Habitat groups'!A46,'D-1 Off-Site Habitat Baseline'!$AS$11:$AS$258)</f>
        <v>0</v>
      </c>
      <c r="W46" s="274">
        <f>SUMIF('D-2 Off-Site Habitat Creation'!$F$9:$F$255,'G-2 Habitat groups'!A46,'D-2 Off-Site Habitat Creation'!$G$9:$G$255)</f>
        <v>0</v>
      </c>
      <c r="X46" s="274">
        <f>SUMIF('D-2 Off-Site Habitat Creation'!$F$9:$F$255,'G-2 Habitat groups'!A46,'D-2 Off-Site Habitat Creation'!$AB$9:$AB$255)</f>
        <v>0</v>
      </c>
      <c r="Y46" s="274">
        <f>SUMIF('D-3 Off-Site Habitat Enhancment'!$S$12:$S$491,'G-2 Habitat groups'!A46,'D-3 Off-Site Habitat Enhancment'!$V$12:$V$491)</f>
        <v>0</v>
      </c>
      <c r="Z46" s="274">
        <f>SUMIF('D-3 Off-Site Habitat Enhancment'!$S$12:$S$491,'G-2 Habitat groups'!A46,'D-3 Off-Site Habitat Enhancment'!$AQ$12:$AQ$491)</f>
        <v>0</v>
      </c>
      <c r="AA46" s="274">
        <f t="shared" si="48"/>
        <v>0</v>
      </c>
      <c r="AB46" s="274">
        <f t="shared" si="49"/>
        <v>0</v>
      </c>
      <c r="AC46" s="274">
        <f t="shared" si="50"/>
        <v>0</v>
      </c>
      <c r="AD46" s="274">
        <f t="shared" si="51"/>
        <v>0</v>
      </c>
      <c r="AE46" s="274">
        <f t="shared" si="52"/>
        <v>0</v>
      </c>
      <c r="AF46" s="274">
        <f t="shared" si="53"/>
        <v>0</v>
      </c>
      <c r="AU46" s="77" t="s">
        <v>81</v>
      </c>
      <c r="AV46" s="62" t="s">
        <v>82</v>
      </c>
      <c r="AW46" s="280">
        <f t="shared" si="34"/>
        <v>0</v>
      </c>
      <c r="AX46" s="280">
        <f t="shared" si="35"/>
        <v>0</v>
      </c>
      <c r="AY46" s="280">
        <f t="shared" si="36"/>
        <v>0</v>
      </c>
      <c r="AZ46" s="280">
        <f t="shared" si="37"/>
        <v>0</v>
      </c>
      <c r="BA46" s="280">
        <f t="shared" si="38"/>
        <v>0</v>
      </c>
      <c r="BB46" s="280">
        <f t="shared" si="39"/>
        <v>0</v>
      </c>
      <c r="BC46" s="280">
        <f t="shared" si="40"/>
        <v>0</v>
      </c>
      <c r="BD46" s="280">
        <f t="shared" si="41"/>
        <v>0</v>
      </c>
      <c r="BE46" s="280">
        <f t="shared" si="42"/>
        <v>0</v>
      </c>
      <c r="BF46" s="280" t="str">
        <f t="shared" si="43"/>
        <v/>
      </c>
    </row>
    <row r="47" spans="1:58" x14ac:dyDescent="0.25">
      <c r="A47" s="70" t="str">
        <f>'G-1 All Habitats'!B46</f>
        <v>Lakes - Ponds (priority habitat)</v>
      </c>
      <c r="B47" s="62" t="s">
        <v>72</v>
      </c>
      <c r="C47" s="62" t="str">
        <f>'G-1 All Habitats'!K46</f>
        <v>High</v>
      </c>
      <c r="D47" s="62" t="str">
        <f>'G-1 All Habitats'!M46</f>
        <v>Same habitat required =</v>
      </c>
      <c r="E47" s="274">
        <f>SUMIF('A-1 On-Site Habitat Baseline'!$AV$11:$AV$258,'G-2 Habitat groups'!A47,'A-1 On-Site Habitat Baseline'!$H$11:$H$258)</f>
        <v>0</v>
      </c>
      <c r="F47" s="274">
        <f>SUMIF('A-1 On-Site Habitat Baseline'!$AV$11:$AV$258,'G-2 Habitat groups'!A47,'A-1 On-Site Habitat Baseline'!$Q$11:$Q$258)</f>
        <v>0</v>
      </c>
      <c r="G47" s="274">
        <f>SUMIF('A-1 On-Site Habitat Baseline'!$AV$11:$AV$258,'G-2 Habitat groups'!A47,'A-1 On-Site Habitat Baseline'!$S$11:$S$258)</f>
        <v>0</v>
      </c>
      <c r="H47" s="274">
        <f>SUMIF('A-1 On-Site Habitat Baseline'!$AV$11:$AV$258,'G-2 Habitat groups'!A47,'A-1 On-Site Habitat Baseline'!$U$11:$U$258)+SUMIF('A-1 On-Site Habitat Baseline'!$AV$11:$AV$258,'G-2 Habitat groups'!A47, 'A-1 On-Site Habitat Baseline'!$AT$11:$AT$258)</f>
        <v>0</v>
      </c>
      <c r="I47" s="274">
        <f>SUMIF('A-1 On-Site Habitat Baseline'!$AV$11:$AV$258,'G-2 Habitat groups'!A47,'A-1 On-Site Habitat Baseline'!$W$11:$W$258)</f>
        <v>0</v>
      </c>
      <c r="J47" s="274">
        <f>SUMIF('A-1 On-Site Habitat Baseline'!$AV$11:$AV$258,'G-2 Habitat groups'!A47,'A-1 On-Site Habitat Baseline'!$X$11:$X$258)</f>
        <v>0</v>
      </c>
      <c r="K47" s="274">
        <f>SUMIF('A-2 On-Site Habitat Creation'!$F$11:$F$256,'G-2 Habitat groups'!A47,'A-2 On-Site Habitat Creation'!$G$11:$G$256)</f>
        <v>0</v>
      </c>
      <c r="L47" s="274">
        <f>SUMIF('A-2 On-Site Habitat Creation'!$F$11:$F$256,'G-2 Habitat groups'!A47,'A-2 On-Site Habitat Creation'!$Y$11:$Y$256)</f>
        <v>0</v>
      </c>
      <c r="M47" s="274">
        <f>SUMIF('A-3 On-Site Habitat Enhancement'!$S$12:$S$257,'G-2 Habitat groups'!A47,'A-3 On-Site Habitat Enhancement'!$V$12:$V$257)</f>
        <v>0</v>
      </c>
      <c r="N47" s="274">
        <f>SUMIF('A-3 On-Site Habitat Enhancement'!$S$12:$S$257,'G-2 Habitat groups'!A47,'A-3 On-Site Habitat Enhancement'!$AN$12:$AN$257)</f>
        <v>0</v>
      </c>
      <c r="O47" s="274">
        <f t="shared" si="44"/>
        <v>0</v>
      </c>
      <c r="P47" s="274">
        <f t="shared" si="45"/>
        <v>0</v>
      </c>
      <c r="Q47" s="274">
        <f t="shared" si="46"/>
        <v>0</v>
      </c>
      <c r="R47" s="274">
        <f t="shared" si="47"/>
        <v>0</v>
      </c>
      <c r="S47" s="274">
        <f>SUMIF('D-1 Off-Site Habitat Baseline'!$AV$11:$AV$258,'G-2 Habitat groups'!A47,'D-1 Off-Site Habitat Baseline'!$H$11:$H$258)</f>
        <v>0</v>
      </c>
      <c r="T47" s="274">
        <f>SUMIF('D-1 Off-Site Habitat Baseline'!$AV$11:$AV$258,'G-2 Habitat groups'!A47,'D-1 Off-Site Habitat Baseline'!$T$11:$T$258)</f>
        <v>0</v>
      </c>
      <c r="U47" s="274">
        <f>SUMIF('D-1 Off-Site Habitat Baseline'!$AV$11:$AV$258,'G-2 Habitat groups'!A47,'D-1 Off-Site Habitat Baseline'!$V$11:$V$258)</f>
        <v>0</v>
      </c>
      <c r="V47" s="274">
        <f>SUMIF('D-1 Off-Site Habitat Baseline'!$AV$11:$AV$258,'G-2 Habitat groups'!A47,'D-1 Off-Site Habitat Baseline'!$X$11:$X$258)+SUMIF('D-1 Off-Site Habitat Baseline'!$AV$11:$AV$258,'G-2 Habitat groups'!A47,'D-1 Off-Site Habitat Baseline'!$AS$11:$AS$258)</f>
        <v>0</v>
      </c>
      <c r="W47" s="274">
        <f>SUMIF('D-2 Off-Site Habitat Creation'!$F$9:$F$255,'G-2 Habitat groups'!A47,'D-2 Off-Site Habitat Creation'!$G$9:$G$255)</f>
        <v>0</v>
      </c>
      <c r="X47" s="274">
        <f>SUMIF('D-2 Off-Site Habitat Creation'!$F$9:$F$255,'G-2 Habitat groups'!A47,'D-2 Off-Site Habitat Creation'!$AB$9:$AB$255)</f>
        <v>0</v>
      </c>
      <c r="Y47" s="274">
        <f>SUMIF('D-3 Off-Site Habitat Enhancment'!$S$12:$S$491,'G-2 Habitat groups'!A47,'D-3 Off-Site Habitat Enhancment'!$V$12:$V$491)</f>
        <v>0</v>
      </c>
      <c r="Z47" s="274">
        <f>SUMIF('D-3 Off-Site Habitat Enhancment'!$S$12:$S$491,'G-2 Habitat groups'!A47,'D-3 Off-Site Habitat Enhancment'!$AQ$12:$AQ$491)</f>
        <v>0</v>
      </c>
      <c r="AA47" s="274">
        <f t="shared" si="48"/>
        <v>0</v>
      </c>
      <c r="AB47" s="274">
        <f t="shared" si="49"/>
        <v>0</v>
      </c>
      <c r="AC47" s="274">
        <f t="shared" si="50"/>
        <v>0</v>
      </c>
      <c r="AD47" s="274">
        <f t="shared" si="51"/>
        <v>0</v>
      </c>
      <c r="AE47" s="274">
        <f t="shared" si="52"/>
        <v>0</v>
      </c>
      <c r="AF47" s="274">
        <f t="shared" si="53"/>
        <v>0</v>
      </c>
      <c r="AU47" s="77" t="s">
        <v>83</v>
      </c>
      <c r="AV47" s="62" t="s">
        <v>82</v>
      </c>
      <c r="AW47" s="280">
        <f t="shared" si="34"/>
        <v>0</v>
      </c>
      <c r="AX47" s="280">
        <f t="shared" si="35"/>
        <v>0</v>
      </c>
      <c r="AY47" s="280">
        <f t="shared" si="36"/>
        <v>0</v>
      </c>
      <c r="AZ47" s="280">
        <f t="shared" si="37"/>
        <v>0</v>
      </c>
      <c r="BA47" s="280">
        <f t="shared" si="38"/>
        <v>0</v>
      </c>
      <c r="BB47" s="280">
        <f t="shared" si="39"/>
        <v>0</v>
      </c>
      <c r="BC47" s="280">
        <f t="shared" si="40"/>
        <v>0</v>
      </c>
      <c r="BD47" s="280">
        <f t="shared" si="41"/>
        <v>0</v>
      </c>
      <c r="BE47" s="280">
        <f t="shared" si="42"/>
        <v>0</v>
      </c>
      <c r="BF47" s="280" t="str">
        <f t="shared" si="43"/>
        <v/>
      </c>
    </row>
    <row r="48" spans="1:58" x14ac:dyDescent="0.25">
      <c r="A48" s="70" t="str">
        <f>'G-1 All Habitats'!B47</f>
        <v>Lakes - Ponds (non-priority habitat)</v>
      </c>
      <c r="B48" s="62" t="s">
        <v>72</v>
      </c>
      <c r="C48" s="62" t="str">
        <f>'G-1 All Habitats'!K47</f>
        <v>Medium</v>
      </c>
      <c r="D48" s="62" t="str">
        <f>'G-1 All Habitats'!M47</f>
        <v>Same broad habitat or a higher distinctiveness habitat required (≥)</v>
      </c>
      <c r="E48" s="274">
        <f>SUMIF('A-1 On-Site Habitat Baseline'!$AV$11:$AV$258,'G-2 Habitat groups'!A48,'A-1 On-Site Habitat Baseline'!$H$11:$H$258)</f>
        <v>0</v>
      </c>
      <c r="F48" s="274">
        <f>SUMIF('A-1 On-Site Habitat Baseline'!$AV$11:$AV$258,'G-2 Habitat groups'!A48,'A-1 On-Site Habitat Baseline'!$Q$11:$Q$258)</f>
        <v>0</v>
      </c>
      <c r="G48" s="274">
        <f>SUMIF('A-1 On-Site Habitat Baseline'!$AV$11:$AV$258,'G-2 Habitat groups'!A48,'A-1 On-Site Habitat Baseline'!$S$11:$S$258)</f>
        <v>0</v>
      </c>
      <c r="H48" s="274">
        <f>SUMIF('A-1 On-Site Habitat Baseline'!$AV$11:$AV$258,'G-2 Habitat groups'!A48,'A-1 On-Site Habitat Baseline'!$U$11:$U$258)+SUMIF('A-1 On-Site Habitat Baseline'!$AV$11:$AV$258,'G-2 Habitat groups'!A48, 'A-1 On-Site Habitat Baseline'!$AT$11:$AT$258)</f>
        <v>0</v>
      </c>
      <c r="I48" s="274">
        <f>SUMIF('A-1 On-Site Habitat Baseline'!$AV$11:$AV$258,'G-2 Habitat groups'!A48,'A-1 On-Site Habitat Baseline'!$W$11:$W$258)</f>
        <v>0</v>
      </c>
      <c r="J48" s="274">
        <f>SUMIF('A-1 On-Site Habitat Baseline'!$AV$11:$AV$258,'G-2 Habitat groups'!A48,'A-1 On-Site Habitat Baseline'!$X$11:$X$258)</f>
        <v>0</v>
      </c>
      <c r="K48" s="274">
        <f>SUMIF('A-2 On-Site Habitat Creation'!$F$11:$F$256,'G-2 Habitat groups'!A48,'A-2 On-Site Habitat Creation'!$G$11:$G$256)</f>
        <v>0</v>
      </c>
      <c r="L48" s="274">
        <f>SUMIF('A-2 On-Site Habitat Creation'!$F$11:$F$256,'G-2 Habitat groups'!A48,'A-2 On-Site Habitat Creation'!$Y$11:$Y$256)</f>
        <v>0</v>
      </c>
      <c r="M48" s="274">
        <f>SUMIF('A-3 On-Site Habitat Enhancement'!$S$12:$S$257,'G-2 Habitat groups'!A48,'A-3 On-Site Habitat Enhancement'!$V$12:$V$257)</f>
        <v>0</v>
      </c>
      <c r="N48" s="274">
        <f>SUMIF('A-3 On-Site Habitat Enhancement'!$S$12:$S$257,'G-2 Habitat groups'!A48,'A-3 On-Site Habitat Enhancement'!$AN$12:$AN$257)</f>
        <v>0</v>
      </c>
      <c r="O48" s="274">
        <f t="shared" si="44"/>
        <v>0</v>
      </c>
      <c r="P48" s="274">
        <f t="shared" si="45"/>
        <v>0</v>
      </c>
      <c r="Q48" s="274">
        <f t="shared" si="46"/>
        <v>0</v>
      </c>
      <c r="R48" s="274">
        <f t="shared" si="47"/>
        <v>0</v>
      </c>
      <c r="S48" s="274">
        <f>SUMIF('D-1 Off-Site Habitat Baseline'!$AV$11:$AV$258,'G-2 Habitat groups'!A48,'D-1 Off-Site Habitat Baseline'!$H$11:$H$258)</f>
        <v>0</v>
      </c>
      <c r="T48" s="274">
        <f>SUMIF('D-1 Off-Site Habitat Baseline'!$AV$11:$AV$258,'G-2 Habitat groups'!A48,'D-1 Off-Site Habitat Baseline'!$T$11:$T$258)</f>
        <v>0</v>
      </c>
      <c r="U48" s="274">
        <f>SUMIF('D-1 Off-Site Habitat Baseline'!$AV$11:$AV$258,'G-2 Habitat groups'!A48,'D-1 Off-Site Habitat Baseline'!$V$11:$V$258)</f>
        <v>0</v>
      </c>
      <c r="V48" s="274">
        <f>SUMIF('D-1 Off-Site Habitat Baseline'!$AV$11:$AV$258,'G-2 Habitat groups'!A48,'D-1 Off-Site Habitat Baseline'!$X$11:$X$258)+SUMIF('D-1 Off-Site Habitat Baseline'!$AV$11:$AV$258,'G-2 Habitat groups'!A48,'D-1 Off-Site Habitat Baseline'!$AS$11:$AS$258)</f>
        <v>0</v>
      </c>
      <c r="W48" s="274">
        <f>SUMIF('D-2 Off-Site Habitat Creation'!$F$9:$F$255,'G-2 Habitat groups'!A48,'D-2 Off-Site Habitat Creation'!$G$9:$G$255)</f>
        <v>0</v>
      </c>
      <c r="X48" s="274">
        <f>SUMIF('D-2 Off-Site Habitat Creation'!$F$9:$F$255,'G-2 Habitat groups'!A48,'D-2 Off-Site Habitat Creation'!$AB$9:$AB$255)</f>
        <v>0</v>
      </c>
      <c r="Y48" s="274">
        <f>SUMIF('D-3 Off-Site Habitat Enhancment'!$S$12:$S$491,'G-2 Habitat groups'!A48,'D-3 Off-Site Habitat Enhancment'!$V$12:$V$491)</f>
        <v>0</v>
      </c>
      <c r="Z48" s="274">
        <f>SUMIF('D-3 Off-Site Habitat Enhancment'!$S$12:$S$491,'G-2 Habitat groups'!A48,'D-3 Off-Site Habitat Enhancment'!$AQ$12:$AQ$491)</f>
        <v>0</v>
      </c>
      <c r="AA48" s="274">
        <f t="shared" si="48"/>
        <v>0</v>
      </c>
      <c r="AB48" s="274">
        <f t="shared" si="49"/>
        <v>0</v>
      </c>
      <c r="AC48" s="274">
        <f t="shared" si="50"/>
        <v>0</v>
      </c>
      <c r="AD48" s="274">
        <f t="shared" si="51"/>
        <v>0</v>
      </c>
      <c r="AE48" s="274">
        <f t="shared" si="52"/>
        <v>0</v>
      </c>
      <c r="AF48" s="274">
        <f t="shared" si="53"/>
        <v>0</v>
      </c>
      <c r="AU48" s="77" t="s">
        <v>84</v>
      </c>
      <c r="AV48" s="62" t="s">
        <v>82</v>
      </c>
      <c r="AW48" s="280">
        <f t="shared" si="34"/>
        <v>0</v>
      </c>
      <c r="AX48" s="280">
        <f t="shared" si="35"/>
        <v>0</v>
      </c>
      <c r="AY48" s="280">
        <f t="shared" si="36"/>
        <v>0</v>
      </c>
      <c r="AZ48" s="280">
        <f t="shared" si="37"/>
        <v>0</v>
      </c>
      <c r="BA48" s="280">
        <f t="shared" si="38"/>
        <v>0</v>
      </c>
      <c r="BB48" s="280">
        <f t="shared" si="39"/>
        <v>0</v>
      </c>
      <c r="BC48" s="280">
        <f t="shared" si="40"/>
        <v>0</v>
      </c>
      <c r="BD48" s="280">
        <f t="shared" si="41"/>
        <v>0</v>
      </c>
      <c r="BE48" s="280">
        <f t="shared" si="42"/>
        <v>0</v>
      </c>
      <c r="BF48" s="280" t="str">
        <f t="shared" si="43"/>
        <v/>
      </c>
    </row>
    <row r="49" spans="1:58" x14ac:dyDescent="0.25">
      <c r="A49" s="70" t="str">
        <f>'G-1 All Habitats'!B48</f>
        <v>Lakes - Reservoirs</v>
      </c>
      <c r="B49" s="62" t="s">
        <v>72</v>
      </c>
      <c r="C49" s="62" t="str">
        <f>'G-1 All Habitats'!K48</f>
        <v>Medium</v>
      </c>
      <c r="D49" s="62" t="str">
        <f>'G-1 All Habitats'!M48</f>
        <v>Same broad habitat or a higher distinctiveness habitat required (≥)</v>
      </c>
      <c r="E49" s="274">
        <f>SUMIF('A-1 On-Site Habitat Baseline'!$AV$11:$AV$258,'G-2 Habitat groups'!A49,'A-1 On-Site Habitat Baseline'!$H$11:$H$258)</f>
        <v>0</v>
      </c>
      <c r="F49" s="274">
        <f>SUMIF('A-1 On-Site Habitat Baseline'!$AV$11:$AV$258,'G-2 Habitat groups'!A49,'A-1 On-Site Habitat Baseline'!$Q$11:$Q$258)</f>
        <v>0</v>
      </c>
      <c r="G49" s="274">
        <f>SUMIF('A-1 On-Site Habitat Baseline'!$AV$11:$AV$258,'G-2 Habitat groups'!A49,'A-1 On-Site Habitat Baseline'!$S$11:$S$258)</f>
        <v>0</v>
      </c>
      <c r="H49" s="274">
        <f>SUMIF('A-1 On-Site Habitat Baseline'!$AV$11:$AV$258,'G-2 Habitat groups'!A49,'A-1 On-Site Habitat Baseline'!$U$11:$U$258)+SUMIF('A-1 On-Site Habitat Baseline'!$AV$11:$AV$258,'G-2 Habitat groups'!A49, 'A-1 On-Site Habitat Baseline'!$AT$11:$AT$258)</f>
        <v>0</v>
      </c>
      <c r="I49" s="274">
        <f>SUMIF('A-1 On-Site Habitat Baseline'!$AV$11:$AV$258,'G-2 Habitat groups'!A49,'A-1 On-Site Habitat Baseline'!$W$11:$W$258)</f>
        <v>0</v>
      </c>
      <c r="J49" s="274">
        <f>SUMIF('A-1 On-Site Habitat Baseline'!$AV$11:$AV$258,'G-2 Habitat groups'!A49,'A-1 On-Site Habitat Baseline'!$X$11:$X$258)</f>
        <v>0</v>
      </c>
      <c r="K49" s="274">
        <f>SUMIF('A-2 On-Site Habitat Creation'!$F$11:$F$256,'G-2 Habitat groups'!A49,'A-2 On-Site Habitat Creation'!$G$11:$G$256)</f>
        <v>0</v>
      </c>
      <c r="L49" s="274">
        <f>SUMIF('A-2 On-Site Habitat Creation'!$F$11:$F$256,'G-2 Habitat groups'!A49,'A-2 On-Site Habitat Creation'!$Y$11:$Y$256)</f>
        <v>0</v>
      </c>
      <c r="M49" s="274">
        <f>SUMIF('A-3 On-Site Habitat Enhancement'!$S$12:$S$257,'G-2 Habitat groups'!A49,'A-3 On-Site Habitat Enhancement'!$V$12:$V$257)</f>
        <v>0</v>
      </c>
      <c r="N49" s="274">
        <f>SUMIF('A-3 On-Site Habitat Enhancement'!$S$12:$S$257,'G-2 Habitat groups'!A49,'A-3 On-Site Habitat Enhancement'!$AN$12:$AN$257)</f>
        <v>0</v>
      </c>
      <c r="O49" s="274">
        <f t="shared" si="44"/>
        <v>0</v>
      </c>
      <c r="P49" s="274">
        <f t="shared" si="45"/>
        <v>0</v>
      </c>
      <c r="Q49" s="274">
        <f t="shared" si="46"/>
        <v>0</v>
      </c>
      <c r="R49" s="274">
        <f t="shared" si="47"/>
        <v>0</v>
      </c>
      <c r="S49" s="274">
        <f>SUMIF('D-1 Off-Site Habitat Baseline'!$AV$11:$AV$258,'G-2 Habitat groups'!A49,'D-1 Off-Site Habitat Baseline'!$H$11:$H$258)</f>
        <v>0</v>
      </c>
      <c r="T49" s="274">
        <f>SUMIF('D-1 Off-Site Habitat Baseline'!$AV$11:$AV$258,'G-2 Habitat groups'!A49,'D-1 Off-Site Habitat Baseline'!$T$11:$T$258)</f>
        <v>0</v>
      </c>
      <c r="U49" s="274">
        <f>SUMIF('D-1 Off-Site Habitat Baseline'!$AV$11:$AV$258,'G-2 Habitat groups'!A49,'D-1 Off-Site Habitat Baseline'!$V$11:$V$258)</f>
        <v>0</v>
      </c>
      <c r="V49" s="274">
        <f>SUMIF('D-1 Off-Site Habitat Baseline'!$AV$11:$AV$258,'G-2 Habitat groups'!A49,'D-1 Off-Site Habitat Baseline'!$X$11:$X$258)+SUMIF('D-1 Off-Site Habitat Baseline'!$AV$11:$AV$258,'G-2 Habitat groups'!A49,'D-1 Off-Site Habitat Baseline'!$AS$11:$AS$258)</f>
        <v>0</v>
      </c>
      <c r="W49" s="274">
        <f>SUMIF('D-2 Off-Site Habitat Creation'!$F$9:$F$255,'G-2 Habitat groups'!A49,'D-2 Off-Site Habitat Creation'!$G$9:$G$255)</f>
        <v>0</v>
      </c>
      <c r="X49" s="274">
        <f>SUMIF('D-2 Off-Site Habitat Creation'!$F$9:$F$255,'G-2 Habitat groups'!A49,'D-2 Off-Site Habitat Creation'!$AB$9:$AB$255)</f>
        <v>0</v>
      </c>
      <c r="Y49" s="274">
        <f>SUMIF('D-3 Off-Site Habitat Enhancment'!$S$12:$S$491,'G-2 Habitat groups'!A49,'D-3 Off-Site Habitat Enhancment'!$V$12:$V$491)</f>
        <v>0</v>
      </c>
      <c r="Z49" s="274">
        <f>SUMIF('D-3 Off-Site Habitat Enhancment'!$S$12:$S$491,'G-2 Habitat groups'!A49,'D-3 Off-Site Habitat Enhancment'!$AQ$12:$AQ$491)</f>
        <v>0</v>
      </c>
      <c r="AA49" s="274">
        <f t="shared" si="48"/>
        <v>0</v>
      </c>
      <c r="AB49" s="274">
        <f t="shared" si="49"/>
        <v>0</v>
      </c>
      <c r="AC49" s="274">
        <f t="shared" si="50"/>
        <v>0</v>
      </c>
      <c r="AD49" s="274">
        <f t="shared" si="51"/>
        <v>0</v>
      </c>
      <c r="AE49" s="274">
        <f t="shared" si="52"/>
        <v>0</v>
      </c>
      <c r="AF49" s="274">
        <f t="shared" si="53"/>
        <v>0</v>
      </c>
      <c r="AU49" s="77" t="s">
        <v>85</v>
      </c>
      <c r="AV49" s="62" t="s">
        <v>82</v>
      </c>
      <c r="AW49" s="280">
        <f t="shared" si="34"/>
        <v>0</v>
      </c>
      <c r="AX49" s="280">
        <f t="shared" si="35"/>
        <v>0</v>
      </c>
      <c r="AY49" s="280">
        <f t="shared" si="36"/>
        <v>0</v>
      </c>
      <c r="AZ49" s="280">
        <f t="shared" si="37"/>
        <v>0</v>
      </c>
      <c r="BA49" s="280">
        <f t="shared" si="38"/>
        <v>0</v>
      </c>
      <c r="BB49" s="280">
        <f t="shared" si="39"/>
        <v>0</v>
      </c>
      <c r="BC49" s="280">
        <f t="shared" si="40"/>
        <v>0</v>
      </c>
      <c r="BD49" s="280">
        <f t="shared" si="41"/>
        <v>0</v>
      </c>
      <c r="BE49" s="280">
        <f t="shared" si="42"/>
        <v>0</v>
      </c>
      <c r="BF49" s="280" t="str">
        <f t="shared" si="43"/>
        <v/>
      </c>
    </row>
    <row r="50" spans="1:58" x14ac:dyDescent="0.25">
      <c r="A50" s="70" t="str">
        <f>'G-1 All Habitats'!B49</f>
        <v>Lakes - Temporary lakes ponds and pools (H3170)</v>
      </c>
      <c r="B50" s="62" t="s">
        <v>72</v>
      </c>
      <c r="C50" s="62" t="str">
        <f>'G-1 All Habitats'!K49</f>
        <v>High</v>
      </c>
      <c r="D50" s="62" t="str">
        <f>'G-1 All Habitats'!M49</f>
        <v>Same habitat required =</v>
      </c>
      <c r="E50" s="274">
        <f>SUMIF('A-1 On-Site Habitat Baseline'!$AV$11:$AV$258,'G-2 Habitat groups'!A50,'A-1 On-Site Habitat Baseline'!$H$11:$H$258)</f>
        <v>0</v>
      </c>
      <c r="F50" s="274">
        <f>SUMIF('A-1 On-Site Habitat Baseline'!$AV$11:$AV$258,'G-2 Habitat groups'!A50,'A-1 On-Site Habitat Baseline'!$Q$11:$Q$258)</f>
        <v>0</v>
      </c>
      <c r="G50" s="274">
        <f>SUMIF('A-1 On-Site Habitat Baseline'!$AV$11:$AV$258,'G-2 Habitat groups'!A50,'A-1 On-Site Habitat Baseline'!$S$11:$S$258)</f>
        <v>0</v>
      </c>
      <c r="H50" s="274">
        <f>SUMIF('A-1 On-Site Habitat Baseline'!$AV$11:$AV$258,'G-2 Habitat groups'!A50,'A-1 On-Site Habitat Baseline'!$U$11:$U$258)+SUMIF('A-1 On-Site Habitat Baseline'!$AV$11:$AV$258,'G-2 Habitat groups'!A50, 'A-1 On-Site Habitat Baseline'!$AT$11:$AT$258)</f>
        <v>0</v>
      </c>
      <c r="I50" s="274">
        <f>SUMIF('A-1 On-Site Habitat Baseline'!$AV$11:$AV$258,'G-2 Habitat groups'!A50,'A-1 On-Site Habitat Baseline'!$W$11:$W$258)</f>
        <v>0</v>
      </c>
      <c r="J50" s="274">
        <f>SUMIF('A-1 On-Site Habitat Baseline'!$AV$11:$AV$258,'G-2 Habitat groups'!A50,'A-1 On-Site Habitat Baseline'!$X$11:$X$258)</f>
        <v>0</v>
      </c>
      <c r="K50" s="274">
        <f>SUMIF('A-2 On-Site Habitat Creation'!$F$11:$F$256,'G-2 Habitat groups'!A50,'A-2 On-Site Habitat Creation'!$G$11:$G$256)</f>
        <v>0</v>
      </c>
      <c r="L50" s="274">
        <f>SUMIF('A-2 On-Site Habitat Creation'!$F$11:$F$256,'G-2 Habitat groups'!A50,'A-2 On-Site Habitat Creation'!$Y$11:$Y$256)</f>
        <v>0</v>
      </c>
      <c r="M50" s="274">
        <f>SUMIF('A-3 On-Site Habitat Enhancement'!$S$12:$S$257,'G-2 Habitat groups'!A50,'A-3 On-Site Habitat Enhancement'!$V$12:$V$257)</f>
        <v>0</v>
      </c>
      <c r="N50" s="274">
        <f>SUMIF('A-3 On-Site Habitat Enhancement'!$S$12:$S$257,'G-2 Habitat groups'!A50,'A-3 On-Site Habitat Enhancement'!$AN$12:$AN$257)</f>
        <v>0</v>
      </c>
      <c r="O50" s="274">
        <f t="shared" si="44"/>
        <v>0</v>
      </c>
      <c r="P50" s="274">
        <f t="shared" si="45"/>
        <v>0</v>
      </c>
      <c r="Q50" s="274">
        <f t="shared" si="46"/>
        <v>0</v>
      </c>
      <c r="R50" s="274">
        <f t="shared" si="47"/>
        <v>0</v>
      </c>
      <c r="S50" s="274">
        <f>SUMIF('D-1 Off-Site Habitat Baseline'!$AV$11:$AV$258,'G-2 Habitat groups'!A50,'D-1 Off-Site Habitat Baseline'!$H$11:$H$258)</f>
        <v>0</v>
      </c>
      <c r="T50" s="274">
        <f>SUMIF('D-1 Off-Site Habitat Baseline'!$AV$11:$AV$258,'G-2 Habitat groups'!A50,'D-1 Off-Site Habitat Baseline'!$T$11:$T$258)</f>
        <v>0</v>
      </c>
      <c r="U50" s="274">
        <f>SUMIF('D-1 Off-Site Habitat Baseline'!$AV$11:$AV$258,'G-2 Habitat groups'!A50,'D-1 Off-Site Habitat Baseline'!$V$11:$V$258)</f>
        <v>0</v>
      </c>
      <c r="V50" s="274">
        <f>SUMIF('D-1 Off-Site Habitat Baseline'!$AV$11:$AV$258,'G-2 Habitat groups'!A50,'D-1 Off-Site Habitat Baseline'!$X$11:$X$258)+SUMIF('D-1 Off-Site Habitat Baseline'!$AV$11:$AV$258,'G-2 Habitat groups'!A50,'D-1 Off-Site Habitat Baseline'!$AS$11:$AS$258)</f>
        <v>0</v>
      </c>
      <c r="W50" s="274">
        <f>SUMIF('D-2 Off-Site Habitat Creation'!$F$9:$F$255,'G-2 Habitat groups'!A50,'D-2 Off-Site Habitat Creation'!$G$9:$G$255)</f>
        <v>0</v>
      </c>
      <c r="X50" s="274">
        <f>SUMIF('D-2 Off-Site Habitat Creation'!$F$9:$F$255,'G-2 Habitat groups'!A50,'D-2 Off-Site Habitat Creation'!$AB$9:$AB$255)</f>
        <v>0</v>
      </c>
      <c r="Y50" s="274">
        <f>SUMIF('D-3 Off-Site Habitat Enhancment'!$S$12:$S$491,'G-2 Habitat groups'!A50,'D-3 Off-Site Habitat Enhancment'!$V$12:$V$491)</f>
        <v>0</v>
      </c>
      <c r="Z50" s="274">
        <f>SUMIF('D-3 Off-Site Habitat Enhancment'!$S$12:$S$491,'G-2 Habitat groups'!A50,'D-3 Off-Site Habitat Enhancment'!$AQ$12:$AQ$491)</f>
        <v>0</v>
      </c>
      <c r="AA50" s="274">
        <f t="shared" si="48"/>
        <v>0</v>
      </c>
      <c r="AB50" s="274">
        <f t="shared" si="49"/>
        <v>0</v>
      </c>
      <c r="AC50" s="274">
        <f t="shared" si="50"/>
        <v>0</v>
      </c>
      <c r="AD50" s="274">
        <f t="shared" si="51"/>
        <v>0</v>
      </c>
      <c r="AE50" s="274">
        <f t="shared" si="52"/>
        <v>0</v>
      </c>
      <c r="AF50" s="274">
        <f t="shared" si="53"/>
        <v>0</v>
      </c>
      <c r="AU50" s="77" t="s">
        <v>119</v>
      </c>
      <c r="AV50" s="62" t="s">
        <v>120</v>
      </c>
      <c r="AW50" s="280">
        <f t="shared" si="34"/>
        <v>0</v>
      </c>
      <c r="AX50" s="280">
        <f t="shared" si="35"/>
        <v>0</v>
      </c>
      <c r="AY50" s="280">
        <f t="shared" si="36"/>
        <v>0</v>
      </c>
      <c r="AZ50" s="280">
        <f t="shared" si="37"/>
        <v>0</v>
      </c>
      <c r="BA50" s="280">
        <f t="shared" si="38"/>
        <v>0</v>
      </c>
      <c r="BB50" s="280">
        <f t="shared" si="39"/>
        <v>0</v>
      </c>
      <c r="BC50" s="280">
        <f t="shared" si="40"/>
        <v>0</v>
      </c>
      <c r="BD50" s="280">
        <f t="shared" si="41"/>
        <v>0</v>
      </c>
      <c r="BE50" s="280">
        <f t="shared" si="42"/>
        <v>0</v>
      </c>
      <c r="BF50" s="280" t="str">
        <f t="shared" si="43"/>
        <v/>
      </c>
    </row>
    <row r="51" spans="1:58" x14ac:dyDescent="0.25">
      <c r="A51" s="70" t="str">
        <f>'G-1 All Habitats'!B50</f>
        <v>Sparsely vegetated land - Calaminarian grasslands</v>
      </c>
      <c r="B51" s="62" t="s">
        <v>82</v>
      </c>
      <c r="C51" s="62" t="str">
        <f>'G-1 All Habitats'!K50</f>
        <v>V.High</v>
      </c>
      <c r="D51" s="62" t="str">
        <f>'G-1 All Habitats'!M50</f>
        <v>Same habitat required – bespoke compensation option ⚠</v>
      </c>
      <c r="E51" s="274">
        <f>SUMIF('A-1 On-Site Habitat Baseline'!$AV$11:$AV$258,'G-2 Habitat groups'!A51,'A-1 On-Site Habitat Baseline'!$H$11:$H$258)</f>
        <v>0</v>
      </c>
      <c r="F51" s="274">
        <f>SUMIF('A-1 On-Site Habitat Baseline'!$AV$11:$AV$258,'G-2 Habitat groups'!A51,'A-1 On-Site Habitat Baseline'!$Q$11:$Q$258)</f>
        <v>0</v>
      </c>
      <c r="G51" s="274">
        <f>SUMIF('A-1 On-Site Habitat Baseline'!$AV$11:$AV$258,'G-2 Habitat groups'!A51,'A-1 On-Site Habitat Baseline'!$S$11:$S$258)</f>
        <v>0</v>
      </c>
      <c r="H51" s="274">
        <f>SUMIF('A-1 On-Site Habitat Baseline'!$AV$11:$AV$258,'G-2 Habitat groups'!A51,'A-1 On-Site Habitat Baseline'!$U$11:$U$258)+SUMIF('A-1 On-Site Habitat Baseline'!$AV$11:$AV$258,'G-2 Habitat groups'!A51, 'A-1 On-Site Habitat Baseline'!$AT$11:$AT$258)</f>
        <v>0</v>
      </c>
      <c r="I51" s="274">
        <f>SUMIF('A-1 On-Site Habitat Baseline'!$AV$11:$AV$258,'G-2 Habitat groups'!A51,'A-1 On-Site Habitat Baseline'!$W$11:$W$258)</f>
        <v>0</v>
      </c>
      <c r="J51" s="274">
        <f>SUMIF('A-1 On-Site Habitat Baseline'!$AV$11:$AV$258,'G-2 Habitat groups'!A51,'A-1 On-Site Habitat Baseline'!$X$11:$X$258)</f>
        <v>0</v>
      </c>
      <c r="K51" s="274">
        <f>SUMIF('A-2 On-Site Habitat Creation'!$F$11:$F$256,'G-2 Habitat groups'!A51,'A-2 On-Site Habitat Creation'!$G$11:$G$256)</f>
        <v>0</v>
      </c>
      <c r="L51" s="274">
        <f>SUMIF('A-2 On-Site Habitat Creation'!$F$11:$F$256,'G-2 Habitat groups'!A51,'A-2 On-Site Habitat Creation'!$Y$11:$Y$256)</f>
        <v>0</v>
      </c>
      <c r="M51" s="274">
        <f>SUMIF('A-3 On-Site Habitat Enhancement'!$S$12:$S$257,'G-2 Habitat groups'!A51,'A-3 On-Site Habitat Enhancement'!$V$12:$V$257)</f>
        <v>0</v>
      </c>
      <c r="N51" s="274">
        <f>SUMIF('A-3 On-Site Habitat Enhancement'!$S$12:$S$257,'G-2 Habitat groups'!A51,'A-3 On-Site Habitat Enhancement'!$AN$12:$AN$257)</f>
        <v>0</v>
      </c>
      <c r="O51" s="274">
        <f t="shared" si="44"/>
        <v>0</v>
      </c>
      <c r="P51" s="274">
        <f t="shared" si="45"/>
        <v>0</v>
      </c>
      <c r="Q51" s="274">
        <f t="shared" si="46"/>
        <v>0</v>
      </c>
      <c r="R51" s="274">
        <f t="shared" si="47"/>
        <v>0</v>
      </c>
      <c r="S51" s="274">
        <f>SUMIF('D-1 Off-Site Habitat Baseline'!$AV$11:$AV$258,'G-2 Habitat groups'!A51,'D-1 Off-Site Habitat Baseline'!$H$11:$H$258)</f>
        <v>0</v>
      </c>
      <c r="T51" s="274">
        <f>SUMIF('D-1 Off-Site Habitat Baseline'!$AV$11:$AV$258,'G-2 Habitat groups'!A51,'D-1 Off-Site Habitat Baseline'!$T$11:$T$258)</f>
        <v>0</v>
      </c>
      <c r="U51" s="274">
        <f>SUMIF('D-1 Off-Site Habitat Baseline'!$AV$11:$AV$258,'G-2 Habitat groups'!A51,'D-1 Off-Site Habitat Baseline'!$V$11:$V$258)</f>
        <v>0</v>
      </c>
      <c r="V51" s="274">
        <f>SUMIF('D-1 Off-Site Habitat Baseline'!$AV$11:$AV$258,'G-2 Habitat groups'!A51,'D-1 Off-Site Habitat Baseline'!$X$11:$X$258)+SUMIF('D-1 Off-Site Habitat Baseline'!$AV$11:$AV$258,'G-2 Habitat groups'!A51,'D-1 Off-Site Habitat Baseline'!$AS$11:$AS$258)</f>
        <v>0</v>
      </c>
      <c r="W51" s="274">
        <f>SUMIF('D-2 Off-Site Habitat Creation'!$F$9:$F$255,'G-2 Habitat groups'!A51,'D-2 Off-Site Habitat Creation'!$G$9:$G$255)</f>
        <v>0</v>
      </c>
      <c r="X51" s="274">
        <f>SUMIF('D-2 Off-Site Habitat Creation'!$F$9:$F$255,'G-2 Habitat groups'!A51,'D-2 Off-Site Habitat Creation'!$AB$9:$AB$255)</f>
        <v>0</v>
      </c>
      <c r="Y51" s="274">
        <f>SUMIF('D-3 Off-Site Habitat Enhancment'!$S$12:$S$491,'G-2 Habitat groups'!A51,'D-3 Off-Site Habitat Enhancment'!$V$12:$V$491)</f>
        <v>0</v>
      </c>
      <c r="Z51" s="274">
        <f>SUMIF('D-3 Off-Site Habitat Enhancment'!$S$12:$S$491,'G-2 Habitat groups'!A51,'D-3 Off-Site Habitat Enhancment'!$AQ$12:$AQ$491)</f>
        <v>0</v>
      </c>
      <c r="AA51" s="274">
        <f t="shared" si="48"/>
        <v>0</v>
      </c>
      <c r="AB51" s="274">
        <f t="shared" si="49"/>
        <v>0</v>
      </c>
      <c r="AC51" s="274">
        <f t="shared" si="50"/>
        <v>0</v>
      </c>
      <c r="AD51" s="274">
        <f t="shared" si="51"/>
        <v>0</v>
      </c>
      <c r="AE51" s="274">
        <f t="shared" si="52"/>
        <v>0</v>
      </c>
      <c r="AF51" s="274">
        <f t="shared" si="53"/>
        <v>0</v>
      </c>
      <c r="AU51" s="77" t="s">
        <v>122</v>
      </c>
      <c r="AV51" s="62" t="s">
        <v>123</v>
      </c>
      <c r="AW51" s="280">
        <f t="shared" si="34"/>
        <v>0</v>
      </c>
      <c r="AX51" s="280">
        <f t="shared" si="35"/>
        <v>0</v>
      </c>
      <c r="AY51" s="280">
        <f t="shared" si="36"/>
        <v>0</v>
      </c>
      <c r="AZ51" s="280">
        <f t="shared" si="37"/>
        <v>0</v>
      </c>
      <c r="BA51" s="280">
        <f t="shared" si="38"/>
        <v>0</v>
      </c>
      <c r="BB51" s="280">
        <f t="shared" si="39"/>
        <v>0</v>
      </c>
      <c r="BC51" s="280">
        <f t="shared" si="40"/>
        <v>0</v>
      </c>
      <c r="BD51" s="280">
        <f t="shared" si="41"/>
        <v>0</v>
      </c>
      <c r="BE51" s="280">
        <f t="shared" si="42"/>
        <v>0</v>
      </c>
      <c r="BF51" s="280" t="str">
        <f t="shared" si="43"/>
        <v/>
      </c>
    </row>
    <row r="52" spans="1:58" x14ac:dyDescent="0.25">
      <c r="A52" s="70" t="str">
        <f>'G-1 All Habitats'!B51</f>
        <v>Sparsely vegetated land - Coastal sand dunes</v>
      </c>
      <c r="B52" s="62" t="s">
        <v>82</v>
      </c>
      <c r="C52" s="62" t="str">
        <f>'G-1 All Habitats'!K51</f>
        <v>High</v>
      </c>
      <c r="D52" s="62" t="str">
        <f>'G-1 All Habitats'!M51</f>
        <v>Same habitat required =</v>
      </c>
      <c r="E52" s="274">
        <f>SUMIF('A-1 On-Site Habitat Baseline'!$AV$11:$AV$258,'G-2 Habitat groups'!A52,'A-1 On-Site Habitat Baseline'!$H$11:$H$258)</f>
        <v>0</v>
      </c>
      <c r="F52" s="274">
        <f>SUMIF('A-1 On-Site Habitat Baseline'!$AV$11:$AV$258,'G-2 Habitat groups'!A52,'A-1 On-Site Habitat Baseline'!$Q$11:$Q$258)</f>
        <v>0</v>
      </c>
      <c r="G52" s="274">
        <f>SUMIF('A-1 On-Site Habitat Baseline'!$AV$11:$AV$258,'G-2 Habitat groups'!A52,'A-1 On-Site Habitat Baseline'!$S$11:$S$258)</f>
        <v>0</v>
      </c>
      <c r="H52" s="274">
        <f>SUMIF('A-1 On-Site Habitat Baseline'!$AV$11:$AV$258,'G-2 Habitat groups'!A52,'A-1 On-Site Habitat Baseline'!$U$11:$U$258)+SUMIF('A-1 On-Site Habitat Baseline'!$AV$11:$AV$258,'G-2 Habitat groups'!A52, 'A-1 On-Site Habitat Baseline'!$AT$11:$AT$258)</f>
        <v>0</v>
      </c>
      <c r="I52" s="274">
        <f>SUMIF('A-1 On-Site Habitat Baseline'!$AV$11:$AV$258,'G-2 Habitat groups'!A52,'A-1 On-Site Habitat Baseline'!$W$11:$W$258)</f>
        <v>0</v>
      </c>
      <c r="J52" s="274">
        <f>SUMIF('A-1 On-Site Habitat Baseline'!$AV$11:$AV$258,'G-2 Habitat groups'!A52,'A-1 On-Site Habitat Baseline'!$X$11:$X$258)</f>
        <v>0</v>
      </c>
      <c r="K52" s="274">
        <f>SUMIF('A-2 On-Site Habitat Creation'!$F$11:$F$256,'G-2 Habitat groups'!A52,'A-2 On-Site Habitat Creation'!$G$11:$G$256)</f>
        <v>0</v>
      </c>
      <c r="L52" s="274">
        <f>SUMIF('A-2 On-Site Habitat Creation'!$F$11:$F$256,'G-2 Habitat groups'!A52,'A-2 On-Site Habitat Creation'!$Y$11:$Y$256)</f>
        <v>0</v>
      </c>
      <c r="M52" s="274">
        <f>SUMIF('A-3 On-Site Habitat Enhancement'!$S$12:$S$257,'G-2 Habitat groups'!A52,'A-3 On-Site Habitat Enhancement'!$V$12:$V$257)</f>
        <v>0</v>
      </c>
      <c r="N52" s="274">
        <f>SUMIF('A-3 On-Site Habitat Enhancement'!$S$12:$S$257,'G-2 Habitat groups'!A52,'A-3 On-Site Habitat Enhancement'!$AN$12:$AN$257)</f>
        <v>0</v>
      </c>
      <c r="O52" s="274">
        <f t="shared" si="44"/>
        <v>0</v>
      </c>
      <c r="P52" s="274">
        <f t="shared" si="45"/>
        <v>0</v>
      </c>
      <c r="Q52" s="274">
        <f t="shared" si="46"/>
        <v>0</v>
      </c>
      <c r="R52" s="274">
        <f t="shared" si="47"/>
        <v>0</v>
      </c>
      <c r="S52" s="274">
        <f>SUMIF('D-1 Off-Site Habitat Baseline'!$AV$11:$AV$258,'G-2 Habitat groups'!A52,'D-1 Off-Site Habitat Baseline'!$H$11:$H$258)</f>
        <v>0</v>
      </c>
      <c r="T52" s="274">
        <f>SUMIF('D-1 Off-Site Habitat Baseline'!$AV$11:$AV$258,'G-2 Habitat groups'!A52,'D-1 Off-Site Habitat Baseline'!$T$11:$T$258)</f>
        <v>0</v>
      </c>
      <c r="U52" s="274">
        <f>SUMIF('D-1 Off-Site Habitat Baseline'!$AV$11:$AV$258,'G-2 Habitat groups'!A52,'D-1 Off-Site Habitat Baseline'!$V$11:$V$258)</f>
        <v>0</v>
      </c>
      <c r="V52" s="274">
        <f>SUMIF('D-1 Off-Site Habitat Baseline'!$AV$11:$AV$258,'G-2 Habitat groups'!A52,'D-1 Off-Site Habitat Baseline'!$X$11:$X$258)+SUMIF('D-1 Off-Site Habitat Baseline'!$AV$11:$AV$258,'G-2 Habitat groups'!A52,'D-1 Off-Site Habitat Baseline'!$AS$11:$AS$258)</f>
        <v>0</v>
      </c>
      <c r="W52" s="274">
        <f>SUMIF('D-2 Off-Site Habitat Creation'!$F$9:$F$255,'G-2 Habitat groups'!A52,'D-2 Off-Site Habitat Creation'!$G$9:$G$255)</f>
        <v>0</v>
      </c>
      <c r="X52" s="274">
        <f>SUMIF('D-2 Off-Site Habitat Creation'!$F$9:$F$255,'G-2 Habitat groups'!A52,'D-2 Off-Site Habitat Creation'!$AB$9:$AB$255)</f>
        <v>0</v>
      </c>
      <c r="Y52" s="274">
        <f>SUMIF('D-3 Off-Site Habitat Enhancment'!$S$12:$S$491,'G-2 Habitat groups'!A52,'D-3 Off-Site Habitat Enhancment'!$V$12:$V$491)</f>
        <v>0</v>
      </c>
      <c r="Z52" s="274">
        <f>SUMIF('D-3 Off-Site Habitat Enhancment'!$S$12:$S$491,'G-2 Habitat groups'!A52,'D-3 Off-Site Habitat Enhancment'!$AQ$12:$AQ$491)</f>
        <v>0</v>
      </c>
      <c r="AA52" s="274">
        <f t="shared" si="48"/>
        <v>0</v>
      </c>
      <c r="AB52" s="274">
        <f t="shared" si="49"/>
        <v>0</v>
      </c>
      <c r="AC52" s="274">
        <f t="shared" si="50"/>
        <v>0</v>
      </c>
      <c r="AD52" s="274">
        <f t="shared" si="51"/>
        <v>0</v>
      </c>
      <c r="AE52" s="274">
        <f t="shared" si="52"/>
        <v>0</v>
      </c>
      <c r="AF52" s="274">
        <f t="shared" si="53"/>
        <v>0</v>
      </c>
      <c r="AU52" s="62" t="s">
        <v>898</v>
      </c>
      <c r="AV52" s="62" t="s">
        <v>87</v>
      </c>
      <c r="AW52" s="280">
        <f t="shared" si="34"/>
        <v>0</v>
      </c>
      <c r="AX52" s="280">
        <f t="shared" si="35"/>
        <v>0</v>
      </c>
      <c r="AY52" s="280">
        <f t="shared" si="36"/>
        <v>0</v>
      </c>
      <c r="AZ52" s="280">
        <f t="shared" si="37"/>
        <v>0</v>
      </c>
      <c r="BA52" s="280">
        <f t="shared" si="38"/>
        <v>0</v>
      </c>
      <c r="BB52" s="280">
        <f t="shared" si="39"/>
        <v>0</v>
      </c>
      <c r="BC52" s="280">
        <f t="shared" si="40"/>
        <v>0</v>
      </c>
      <c r="BD52" s="280">
        <f t="shared" si="41"/>
        <v>0</v>
      </c>
      <c r="BE52" s="280">
        <f t="shared" si="42"/>
        <v>0</v>
      </c>
      <c r="BF52" s="280" t="str">
        <f t="shared" si="43"/>
        <v/>
      </c>
    </row>
    <row r="53" spans="1:58" x14ac:dyDescent="0.25">
      <c r="A53" s="70" t="str">
        <f>'G-1 All Habitats'!B52</f>
        <v>Sparsely vegetated land - Coastal vegetated shingle</v>
      </c>
      <c r="B53" s="62" t="s">
        <v>82</v>
      </c>
      <c r="C53" s="62" t="str">
        <f>'G-1 All Habitats'!K52</f>
        <v>High</v>
      </c>
      <c r="D53" s="62" t="str">
        <f>'G-1 All Habitats'!M52</f>
        <v>Same habitat required =</v>
      </c>
      <c r="E53" s="274">
        <f>SUMIF('A-1 On-Site Habitat Baseline'!$AV$11:$AV$258,'G-2 Habitat groups'!A53,'A-1 On-Site Habitat Baseline'!$H$11:$H$258)</f>
        <v>0</v>
      </c>
      <c r="F53" s="274">
        <f>SUMIF('A-1 On-Site Habitat Baseline'!$AV$11:$AV$258,'G-2 Habitat groups'!A53,'A-1 On-Site Habitat Baseline'!$Q$11:$Q$258)</f>
        <v>0</v>
      </c>
      <c r="G53" s="274">
        <f>SUMIF('A-1 On-Site Habitat Baseline'!$AV$11:$AV$258,'G-2 Habitat groups'!A53,'A-1 On-Site Habitat Baseline'!$S$11:$S$258)</f>
        <v>0</v>
      </c>
      <c r="H53" s="274">
        <f>SUMIF('A-1 On-Site Habitat Baseline'!$AV$11:$AV$258,'G-2 Habitat groups'!A53,'A-1 On-Site Habitat Baseline'!$U$11:$U$258)+SUMIF('A-1 On-Site Habitat Baseline'!$AV$11:$AV$258,'G-2 Habitat groups'!A53, 'A-1 On-Site Habitat Baseline'!$AT$11:$AT$258)</f>
        <v>0</v>
      </c>
      <c r="I53" s="274">
        <f>SUMIF('A-1 On-Site Habitat Baseline'!$AV$11:$AV$258,'G-2 Habitat groups'!A53,'A-1 On-Site Habitat Baseline'!$W$11:$W$258)</f>
        <v>0</v>
      </c>
      <c r="J53" s="274">
        <f>SUMIF('A-1 On-Site Habitat Baseline'!$AV$11:$AV$258,'G-2 Habitat groups'!A53,'A-1 On-Site Habitat Baseline'!$X$11:$X$258)</f>
        <v>0</v>
      </c>
      <c r="K53" s="274">
        <f>SUMIF('A-2 On-Site Habitat Creation'!$F$11:$F$256,'G-2 Habitat groups'!A53,'A-2 On-Site Habitat Creation'!$G$11:$G$256)</f>
        <v>0</v>
      </c>
      <c r="L53" s="274">
        <f>SUMIF('A-2 On-Site Habitat Creation'!$F$11:$F$256,'G-2 Habitat groups'!A53,'A-2 On-Site Habitat Creation'!$Y$11:$Y$256)</f>
        <v>0</v>
      </c>
      <c r="M53" s="274">
        <f>SUMIF('A-3 On-Site Habitat Enhancement'!$S$12:$S$257,'G-2 Habitat groups'!A53,'A-3 On-Site Habitat Enhancement'!$V$12:$V$257)</f>
        <v>0</v>
      </c>
      <c r="N53" s="274">
        <f>SUMIF('A-3 On-Site Habitat Enhancement'!$S$12:$S$257,'G-2 Habitat groups'!A53,'A-3 On-Site Habitat Enhancement'!$AN$12:$AN$257)</f>
        <v>0</v>
      </c>
      <c r="O53" s="274">
        <f t="shared" si="44"/>
        <v>0</v>
      </c>
      <c r="P53" s="274">
        <f t="shared" si="45"/>
        <v>0</v>
      </c>
      <c r="Q53" s="274">
        <f t="shared" si="46"/>
        <v>0</v>
      </c>
      <c r="R53" s="274">
        <f t="shared" si="47"/>
        <v>0</v>
      </c>
      <c r="S53" s="274">
        <f>SUMIF('D-1 Off-Site Habitat Baseline'!$AV$11:$AV$258,'G-2 Habitat groups'!A53,'D-1 Off-Site Habitat Baseline'!$H$11:$H$258)</f>
        <v>0</v>
      </c>
      <c r="T53" s="274">
        <f>SUMIF('D-1 Off-Site Habitat Baseline'!$AV$11:$AV$258,'G-2 Habitat groups'!A53,'D-1 Off-Site Habitat Baseline'!$T$11:$T$258)</f>
        <v>0</v>
      </c>
      <c r="U53" s="274">
        <f>SUMIF('D-1 Off-Site Habitat Baseline'!$AV$11:$AV$258,'G-2 Habitat groups'!A53,'D-1 Off-Site Habitat Baseline'!$V$11:$V$258)</f>
        <v>0</v>
      </c>
      <c r="V53" s="274">
        <f>SUMIF('D-1 Off-Site Habitat Baseline'!$AV$11:$AV$258,'G-2 Habitat groups'!A53,'D-1 Off-Site Habitat Baseline'!$X$11:$X$258)+SUMIF('D-1 Off-Site Habitat Baseline'!$AV$11:$AV$258,'G-2 Habitat groups'!A53,'D-1 Off-Site Habitat Baseline'!$AS$11:$AS$258)</f>
        <v>0</v>
      </c>
      <c r="W53" s="274">
        <f>SUMIF('D-2 Off-Site Habitat Creation'!$F$9:$F$255,'G-2 Habitat groups'!A53,'D-2 Off-Site Habitat Creation'!$G$9:$G$255)</f>
        <v>0</v>
      </c>
      <c r="X53" s="274">
        <f>SUMIF('D-2 Off-Site Habitat Creation'!$F$9:$F$255,'G-2 Habitat groups'!A53,'D-2 Off-Site Habitat Creation'!$AB$9:$AB$255)</f>
        <v>0</v>
      </c>
      <c r="Y53" s="274">
        <f>SUMIF('D-3 Off-Site Habitat Enhancment'!$S$12:$S$491,'G-2 Habitat groups'!A53,'D-3 Off-Site Habitat Enhancment'!$V$12:$V$491)</f>
        <v>0</v>
      </c>
      <c r="Z53" s="274">
        <f>SUMIF('D-3 Off-Site Habitat Enhancment'!$S$12:$S$491,'G-2 Habitat groups'!A53,'D-3 Off-Site Habitat Enhancment'!$AQ$12:$AQ$491)</f>
        <v>0</v>
      </c>
      <c r="AA53" s="274">
        <f t="shared" si="48"/>
        <v>0</v>
      </c>
      <c r="AB53" s="274">
        <f t="shared" si="49"/>
        <v>0</v>
      </c>
      <c r="AC53" s="274">
        <f t="shared" si="50"/>
        <v>0</v>
      </c>
      <c r="AD53" s="274">
        <f t="shared" si="51"/>
        <v>0</v>
      </c>
      <c r="AE53" s="274">
        <f t="shared" si="52"/>
        <v>0</v>
      </c>
      <c r="AF53" s="274">
        <f t="shared" si="53"/>
        <v>0</v>
      </c>
      <c r="AU53" s="77" t="s">
        <v>101</v>
      </c>
      <c r="AV53" s="62" t="s">
        <v>87</v>
      </c>
      <c r="AW53" s="280">
        <f t="shared" si="34"/>
        <v>0</v>
      </c>
      <c r="AX53" s="280">
        <f t="shared" si="35"/>
        <v>0</v>
      </c>
      <c r="AY53" s="280">
        <f t="shared" si="36"/>
        <v>0</v>
      </c>
      <c r="AZ53" s="280">
        <f t="shared" si="37"/>
        <v>0</v>
      </c>
      <c r="BA53" s="280">
        <f t="shared" si="38"/>
        <v>0</v>
      </c>
      <c r="BB53" s="280">
        <f t="shared" si="39"/>
        <v>0</v>
      </c>
      <c r="BC53" s="280">
        <f t="shared" si="40"/>
        <v>0</v>
      </c>
      <c r="BD53" s="280">
        <f t="shared" si="41"/>
        <v>0</v>
      </c>
      <c r="BE53" s="280">
        <f t="shared" si="42"/>
        <v>0</v>
      </c>
      <c r="BF53" s="280" t="str">
        <f t="shared" si="43"/>
        <v/>
      </c>
    </row>
    <row r="54" spans="1:58" x14ac:dyDescent="0.25">
      <c r="A54" s="70" t="str">
        <f>'G-1 All Habitats'!B53</f>
        <v>Sparsely vegetated land - Ruderal/Ephemeral</v>
      </c>
      <c r="B54" s="62" t="s">
        <v>82</v>
      </c>
      <c r="C54" s="62" t="str">
        <f>'G-1 All Habitats'!K53</f>
        <v>Low</v>
      </c>
      <c r="D54" s="62" t="str">
        <f>'G-1 All Habitats'!M53</f>
        <v>Same distinctiveness or better habitat required ≥</v>
      </c>
      <c r="E54" s="274">
        <f>SUMIF('A-1 On-Site Habitat Baseline'!$AV$11:$AV$258,'G-2 Habitat groups'!A54,'A-1 On-Site Habitat Baseline'!$H$11:$H$258)</f>
        <v>7.5999999999999998E-2</v>
      </c>
      <c r="F54" s="274">
        <f>SUMIF('A-1 On-Site Habitat Baseline'!$AV$11:$AV$258,'G-2 Habitat groups'!A54,'A-1 On-Site Habitat Baseline'!$Q$11:$Q$258)</f>
        <v>0.17479999999999998</v>
      </c>
      <c r="G54" s="274">
        <f>SUMIF('A-1 On-Site Habitat Baseline'!$AV$11:$AV$258,'G-2 Habitat groups'!A54,'A-1 On-Site Habitat Baseline'!$S$11:$S$258)</f>
        <v>2.1499999999999998E-2</v>
      </c>
      <c r="H54" s="274">
        <f>SUMIF('A-1 On-Site Habitat Baseline'!$AV$11:$AV$258,'G-2 Habitat groups'!A54,'A-1 On-Site Habitat Baseline'!$U$11:$U$258)+SUMIF('A-1 On-Site Habitat Baseline'!$AV$11:$AV$258,'G-2 Habitat groups'!A54, 'A-1 On-Site Habitat Baseline'!$AT$11:$AT$258)</f>
        <v>4.9449999999999994E-2</v>
      </c>
      <c r="I54" s="274">
        <f>SUMIF('A-1 On-Site Habitat Baseline'!$AV$11:$AV$258,'G-2 Habitat groups'!A54,'A-1 On-Site Habitat Baseline'!$W$11:$W$258)</f>
        <v>5.45E-2</v>
      </c>
      <c r="J54" s="274">
        <f>SUMIF('A-1 On-Site Habitat Baseline'!$AV$11:$AV$258,'G-2 Habitat groups'!A54,'A-1 On-Site Habitat Baseline'!$X$11:$X$258)</f>
        <v>0.12534999999999999</v>
      </c>
      <c r="K54" s="274">
        <f>SUMIF('A-2 On-Site Habitat Creation'!$F$11:$F$256,'G-2 Habitat groups'!A54,'A-2 On-Site Habitat Creation'!$G$11:$G$256)</f>
        <v>0</v>
      </c>
      <c r="L54" s="274">
        <f>SUMIF('A-2 On-Site Habitat Creation'!$F$11:$F$256,'G-2 Habitat groups'!A54,'A-2 On-Site Habitat Creation'!$Y$11:$Y$256)</f>
        <v>0</v>
      </c>
      <c r="M54" s="274">
        <f>SUMIF('A-3 On-Site Habitat Enhancement'!$S$12:$S$257,'G-2 Habitat groups'!A54,'A-3 On-Site Habitat Enhancement'!$V$12:$V$257)</f>
        <v>0</v>
      </c>
      <c r="N54" s="274">
        <f>SUMIF('A-3 On-Site Habitat Enhancement'!$S$12:$S$257,'G-2 Habitat groups'!A54,'A-3 On-Site Habitat Enhancement'!$AN$12:$AN$257)</f>
        <v>0</v>
      </c>
      <c r="O54" s="274">
        <f t="shared" si="44"/>
        <v>2.1499999999999998E-2</v>
      </c>
      <c r="P54" s="274">
        <f t="shared" si="45"/>
        <v>4.9449999999999994E-2</v>
      </c>
      <c r="Q54" s="274">
        <f t="shared" si="46"/>
        <v>-5.45E-2</v>
      </c>
      <c r="R54" s="274">
        <f t="shared" si="47"/>
        <v>-0.12534999999999999</v>
      </c>
      <c r="S54" s="274">
        <f>SUMIF('D-1 Off-Site Habitat Baseline'!$AV$11:$AV$258,'G-2 Habitat groups'!A54,'D-1 Off-Site Habitat Baseline'!$H$11:$H$258)</f>
        <v>1.2E-2</v>
      </c>
      <c r="T54" s="274">
        <f>SUMIF('D-1 Off-Site Habitat Baseline'!$AV$11:$AV$258,'G-2 Habitat groups'!A54,'D-1 Off-Site Habitat Baseline'!$T$11:$T$258)</f>
        <v>2.76E-2</v>
      </c>
      <c r="U54" s="274">
        <f>SUMIF('D-1 Off-Site Habitat Baseline'!$AV$11:$AV$258,'G-2 Habitat groups'!A54,'D-1 Off-Site Habitat Baseline'!$V$11:$V$258)</f>
        <v>1.2E-2</v>
      </c>
      <c r="V54" s="274">
        <f>SUMIF('D-1 Off-Site Habitat Baseline'!$AV$11:$AV$258,'G-2 Habitat groups'!A54,'D-1 Off-Site Habitat Baseline'!$X$11:$X$258)+SUMIF('D-1 Off-Site Habitat Baseline'!$AV$11:$AV$258,'G-2 Habitat groups'!A54,'D-1 Off-Site Habitat Baseline'!$AS$11:$AS$258)</f>
        <v>2.76E-2</v>
      </c>
      <c r="W54" s="274">
        <f>SUMIF('D-2 Off-Site Habitat Creation'!$F$9:$F$255,'G-2 Habitat groups'!A54,'D-2 Off-Site Habitat Creation'!$G$9:$G$255)</f>
        <v>0</v>
      </c>
      <c r="X54" s="274">
        <f>SUMIF('D-2 Off-Site Habitat Creation'!$F$9:$F$255,'G-2 Habitat groups'!A54,'D-2 Off-Site Habitat Creation'!$AB$9:$AB$255)</f>
        <v>0</v>
      </c>
      <c r="Y54" s="274">
        <f>SUMIF('D-3 Off-Site Habitat Enhancment'!$S$12:$S$491,'G-2 Habitat groups'!A54,'D-3 Off-Site Habitat Enhancment'!$V$12:$V$491)</f>
        <v>0</v>
      </c>
      <c r="Z54" s="274">
        <f>SUMIF('D-3 Off-Site Habitat Enhancment'!$S$12:$S$491,'G-2 Habitat groups'!A54,'D-3 Off-Site Habitat Enhancment'!$AQ$12:$AQ$491)</f>
        <v>0</v>
      </c>
      <c r="AA54" s="274">
        <f t="shared" si="48"/>
        <v>1.2E-2</v>
      </c>
      <c r="AB54" s="274">
        <f t="shared" si="49"/>
        <v>2.76E-2</v>
      </c>
      <c r="AC54" s="274">
        <f t="shared" si="50"/>
        <v>0</v>
      </c>
      <c r="AD54" s="274">
        <f t="shared" si="51"/>
        <v>0</v>
      </c>
      <c r="AE54" s="274">
        <f t="shared" si="52"/>
        <v>-5.45E-2</v>
      </c>
      <c r="AF54" s="274">
        <f t="shared" si="53"/>
        <v>-0.12534999999999999</v>
      </c>
      <c r="AU54" s="77" t="s">
        <v>86</v>
      </c>
      <c r="AV54" s="62" t="s">
        <v>87</v>
      </c>
      <c r="AW54" s="280">
        <f t="shared" si="34"/>
        <v>0</v>
      </c>
      <c r="AX54" s="280">
        <f t="shared" si="35"/>
        <v>0</v>
      </c>
      <c r="AY54" s="280">
        <f t="shared" si="36"/>
        <v>0</v>
      </c>
      <c r="AZ54" s="280">
        <f t="shared" si="37"/>
        <v>0</v>
      </c>
      <c r="BA54" s="280">
        <f t="shared" si="38"/>
        <v>0</v>
      </c>
      <c r="BB54" s="280">
        <f t="shared" si="39"/>
        <v>0</v>
      </c>
      <c r="BC54" s="280">
        <f t="shared" si="40"/>
        <v>0</v>
      </c>
      <c r="BD54" s="280">
        <f t="shared" si="41"/>
        <v>0</v>
      </c>
      <c r="BE54" s="280">
        <f t="shared" si="42"/>
        <v>0</v>
      </c>
      <c r="BF54" s="280" t="str">
        <f t="shared" si="43"/>
        <v/>
      </c>
    </row>
    <row r="55" spans="1:58" x14ac:dyDescent="0.25">
      <c r="A55" s="70" t="s">
        <v>787</v>
      </c>
      <c r="B55" s="62" t="s">
        <v>82</v>
      </c>
      <c r="C55" s="62" t="s">
        <v>295</v>
      </c>
      <c r="D55" s="62" t="s">
        <v>296</v>
      </c>
      <c r="E55" s="274">
        <f>SUMIF('A-1 On-Site Habitat Baseline'!$AV$11:$AV$258,'G-2 Habitat groups'!A55,'A-1 On-Site Habitat Baseline'!$H$11:$H$258)</f>
        <v>0</v>
      </c>
      <c r="F55" s="274">
        <f>SUMIF('A-1 On-Site Habitat Baseline'!$AV$11:$AV$258,'G-2 Habitat groups'!A55,'A-1 On-Site Habitat Baseline'!$Q$11:$Q$258)</f>
        <v>0</v>
      </c>
      <c r="G55" s="274">
        <f>SUMIF('A-1 On-Site Habitat Baseline'!$AV$11:$AV$258,'G-2 Habitat groups'!A55,'A-1 On-Site Habitat Baseline'!$S$11:$S$258)</f>
        <v>0</v>
      </c>
      <c r="H55" s="274">
        <f>SUMIF('A-1 On-Site Habitat Baseline'!$AV$11:$AV$258,'G-2 Habitat groups'!A55,'A-1 On-Site Habitat Baseline'!$U$11:$U$258)+SUMIF('A-1 On-Site Habitat Baseline'!$AV$11:$AV$258,'G-2 Habitat groups'!A55, 'A-1 On-Site Habitat Baseline'!$AT$11:$AT$258)</f>
        <v>0</v>
      </c>
      <c r="I55" s="274">
        <f>SUMIF('A-1 On-Site Habitat Baseline'!$AV$11:$AV$258,'G-2 Habitat groups'!A55,'A-1 On-Site Habitat Baseline'!$W$11:$W$258)</f>
        <v>0</v>
      </c>
      <c r="J55" s="274">
        <f>SUMIF('A-1 On-Site Habitat Baseline'!$AV$11:$AV$258,'G-2 Habitat groups'!A55,'A-1 On-Site Habitat Baseline'!$X$11:$X$258)</f>
        <v>0</v>
      </c>
      <c r="K55" s="274">
        <f>SUMIF('A-2 On-Site Habitat Creation'!$F$11:$F$256,'G-2 Habitat groups'!A55,'A-2 On-Site Habitat Creation'!$G$11:$G$256)</f>
        <v>0</v>
      </c>
      <c r="L55" s="274">
        <f>SUMIF('A-2 On-Site Habitat Creation'!$F$11:$F$256,'G-2 Habitat groups'!A55,'A-2 On-Site Habitat Creation'!$Y$11:$Y$256)</f>
        <v>0</v>
      </c>
      <c r="M55" s="274">
        <f>SUMIF('A-3 On-Site Habitat Enhancement'!$S$12:$S$257,'G-2 Habitat groups'!A55,'A-3 On-Site Habitat Enhancement'!$V$12:$V$257)</f>
        <v>0</v>
      </c>
      <c r="N55" s="274">
        <f>SUMIF('A-3 On-Site Habitat Enhancement'!$S$12:$S$257,'G-2 Habitat groups'!A55,'A-3 On-Site Habitat Enhancement'!$AN$12:$AN$257)</f>
        <v>0</v>
      </c>
      <c r="O55" s="274">
        <f t="shared" si="44"/>
        <v>0</v>
      </c>
      <c r="P55" s="274">
        <f t="shared" si="45"/>
        <v>0</v>
      </c>
      <c r="Q55" s="274">
        <f t="shared" si="46"/>
        <v>0</v>
      </c>
      <c r="R55" s="274">
        <f t="shared" si="47"/>
        <v>0</v>
      </c>
      <c r="S55" s="274">
        <f>SUMIF('D-1 Off-Site Habitat Baseline'!$AV$11:$AV$258,'G-2 Habitat groups'!A55,'D-1 Off-Site Habitat Baseline'!$H$11:$H$258)</f>
        <v>0</v>
      </c>
      <c r="T55" s="274">
        <f>SUMIF('D-1 Off-Site Habitat Baseline'!$AV$11:$AV$258,'G-2 Habitat groups'!A55,'D-1 Off-Site Habitat Baseline'!$T$11:$T$258)</f>
        <v>0</v>
      </c>
      <c r="U55" s="274">
        <f>SUMIF('D-1 Off-Site Habitat Baseline'!$AV$11:$AV$258,'G-2 Habitat groups'!A55,'D-1 Off-Site Habitat Baseline'!$V$11:$V$258)</f>
        <v>0</v>
      </c>
      <c r="V55" s="274">
        <f>SUMIF('D-1 Off-Site Habitat Baseline'!$AV$11:$AV$258,'G-2 Habitat groups'!A55,'D-1 Off-Site Habitat Baseline'!$X$11:$X$258)+SUMIF('D-1 Off-Site Habitat Baseline'!$AV$11:$AV$258,'G-2 Habitat groups'!A55,'D-1 Off-Site Habitat Baseline'!$AS$11:$AS$258)</f>
        <v>0</v>
      </c>
      <c r="W55" s="274">
        <f>SUMIF('D-2 Off-Site Habitat Creation'!$F$9:$F$255,'G-2 Habitat groups'!A55,'D-2 Off-Site Habitat Creation'!$G$9:$G$255)</f>
        <v>0</v>
      </c>
      <c r="X55" s="274">
        <f>SUMIF('D-2 Off-Site Habitat Creation'!$F$9:$F$255,'G-2 Habitat groups'!A55,'D-2 Off-Site Habitat Creation'!$AB$9:$AB$255)</f>
        <v>0</v>
      </c>
      <c r="Y55" s="274">
        <f>SUMIF('D-3 Off-Site Habitat Enhancment'!$S$12:$S$491,'G-2 Habitat groups'!A55,'D-3 Off-Site Habitat Enhancment'!$V$12:$V$491)</f>
        <v>0</v>
      </c>
      <c r="Z55" s="274">
        <f>SUMIF('D-3 Off-Site Habitat Enhancment'!$S$12:$S$491,'G-2 Habitat groups'!A55,'D-3 Off-Site Habitat Enhancment'!$AQ$12:$AQ$491)</f>
        <v>0</v>
      </c>
      <c r="AA55" s="274">
        <f t="shared" si="48"/>
        <v>0</v>
      </c>
      <c r="AB55" s="274">
        <f t="shared" si="49"/>
        <v>0</v>
      </c>
      <c r="AC55" s="274">
        <f t="shared" si="50"/>
        <v>0</v>
      </c>
      <c r="AD55" s="274">
        <f t="shared" si="51"/>
        <v>0</v>
      </c>
      <c r="AE55" s="274">
        <f t="shared" si="52"/>
        <v>0</v>
      </c>
      <c r="AF55" s="274">
        <f t="shared" si="53"/>
        <v>0</v>
      </c>
      <c r="AU55" s="77"/>
      <c r="AV55" s="62"/>
      <c r="AW55" s="280"/>
      <c r="AX55" s="280"/>
      <c r="AY55" s="280"/>
      <c r="AZ55" s="280"/>
      <c r="BA55" s="280"/>
      <c r="BB55" s="280"/>
      <c r="BC55" s="280"/>
      <c r="BD55" s="280"/>
      <c r="BE55" s="280"/>
      <c r="BF55" s="280"/>
    </row>
    <row r="56" spans="1:58" x14ac:dyDescent="0.25">
      <c r="A56" s="70" t="str">
        <f>'G-1 All Habitats'!B55</f>
        <v>Sparsely vegetated land - Inland rock outcrop and scree habitats</v>
      </c>
      <c r="B56" s="62" t="s">
        <v>82</v>
      </c>
      <c r="C56" s="62" t="str">
        <f>'G-1 All Habitats'!K55</f>
        <v>High</v>
      </c>
      <c r="D56" s="62" t="str">
        <f>'G-1 All Habitats'!M55</f>
        <v>Same habitat required =</v>
      </c>
      <c r="E56" s="274">
        <f>SUMIF('A-1 On-Site Habitat Baseline'!$AV$11:$AV$258,'G-2 Habitat groups'!A56,'A-1 On-Site Habitat Baseline'!$H$11:$H$258)</f>
        <v>0</v>
      </c>
      <c r="F56" s="274">
        <f>SUMIF('A-1 On-Site Habitat Baseline'!$AV$11:$AV$258,'G-2 Habitat groups'!A56,'A-1 On-Site Habitat Baseline'!$Q$11:$Q$258)</f>
        <v>0</v>
      </c>
      <c r="G56" s="274">
        <f>SUMIF('A-1 On-Site Habitat Baseline'!$AV$11:$AV$258,'G-2 Habitat groups'!A56,'A-1 On-Site Habitat Baseline'!$S$11:$S$258)</f>
        <v>0</v>
      </c>
      <c r="H56" s="274">
        <f>SUMIF('A-1 On-Site Habitat Baseline'!$AV$11:$AV$258,'G-2 Habitat groups'!A56,'A-1 On-Site Habitat Baseline'!$U$11:$U$258)+SUMIF('A-1 On-Site Habitat Baseline'!$AV$11:$AV$258,'G-2 Habitat groups'!A56, 'A-1 On-Site Habitat Baseline'!$AT$11:$AT$258)</f>
        <v>0</v>
      </c>
      <c r="I56" s="274">
        <f>SUMIF('A-1 On-Site Habitat Baseline'!$AV$11:$AV$258,'G-2 Habitat groups'!A56,'A-1 On-Site Habitat Baseline'!$W$11:$W$258)</f>
        <v>0</v>
      </c>
      <c r="J56" s="274">
        <f>SUMIF('A-1 On-Site Habitat Baseline'!$AV$11:$AV$258,'G-2 Habitat groups'!A56,'A-1 On-Site Habitat Baseline'!$X$11:$X$258)</f>
        <v>0</v>
      </c>
      <c r="K56" s="274">
        <f>SUMIF('A-2 On-Site Habitat Creation'!$F$11:$F$256,'G-2 Habitat groups'!A56,'A-2 On-Site Habitat Creation'!$G$11:$G$256)</f>
        <v>0</v>
      </c>
      <c r="L56" s="274">
        <f>SUMIF('A-2 On-Site Habitat Creation'!$F$11:$F$256,'G-2 Habitat groups'!A56,'A-2 On-Site Habitat Creation'!$Y$11:$Y$256)</f>
        <v>0</v>
      </c>
      <c r="M56" s="274">
        <f>SUMIF('A-3 On-Site Habitat Enhancement'!$S$12:$S$257,'G-2 Habitat groups'!A56,'A-3 On-Site Habitat Enhancement'!$V$12:$V$257)</f>
        <v>0</v>
      </c>
      <c r="N56" s="274">
        <f>SUMIF('A-3 On-Site Habitat Enhancement'!$S$12:$S$257,'G-2 Habitat groups'!A56,'A-3 On-Site Habitat Enhancement'!$AN$12:$AN$257)</f>
        <v>0</v>
      </c>
      <c r="O56" s="274">
        <f t="shared" si="44"/>
        <v>0</v>
      </c>
      <c r="P56" s="274">
        <f t="shared" si="45"/>
        <v>0</v>
      </c>
      <c r="Q56" s="274">
        <f t="shared" si="46"/>
        <v>0</v>
      </c>
      <c r="R56" s="274">
        <f t="shared" si="47"/>
        <v>0</v>
      </c>
      <c r="S56" s="274">
        <f>SUMIF('D-1 Off-Site Habitat Baseline'!$AV$11:$AV$258,'G-2 Habitat groups'!A56,'D-1 Off-Site Habitat Baseline'!$H$11:$H$258)</f>
        <v>0</v>
      </c>
      <c r="T56" s="274">
        <f>SUMIF('D-1 Off-Site Habitat Baseline'!$AV$11:$AV$258,'G-2 Habitat groups'!A56,'D-1 Off-Site Habitat Baseline'!$T$11:$T$258)</f>
        <v>0</v>
      </c>
      <c r="U56" s="274">
        <f>SUMIF('D-1 Off-Site Habitat Baseline'!$AV$11:$AV$258,'G-2 Habitat groups'!A56,'D-1 Off-Site Habitat Baseline'!$V$11:$V$258)</f>
        <v>0</v>
      </c>
      <c r="V56" s="274">
        <f>SUMIF('D-1 Off-Site Habitat Baseline'!$AV$11:$AV$258,'G-2 Habitat groups'!A56,'D-1 Off-Site Habitat Baseline'!$X$11:$X$258)+SUMIF('D-1 Off-Site Habitat Baseline'!$AV$11:$AV$258,'G-2 Habitat groups'!A56,'D-1 Off-Site Habitat Baseline'!$AS$11:$AS$258)</f>
        <v>0</v>
      </c>
      <c r="W56" s="274">
        <f>SUMIF('D-2 Off-Site Habitat Creation'!$F$9:$F$255,'G-2 Habitat groups'!A56,'D-2 Off-Site Habitat Creation'!$G$9:$G$255)</f>
        <v>0</v>
      </c>
      <c r="X56" s="274">
        <f>SUMIF('D-2 Off-Site Habitat Creation'!$F$9:$F$255,'G-2 Habitat groups'!A56,'D-2 Off-Site Habitat Creation'!$AB$9:$AB$255)</f>
        <v>0</v>
      </c>
      <c r="Y56" s="274">
        <f>SUMIF('D-3 Off-Site Habitat Enhancment'!$S$12:$S$491,'G-2 Habitat groups'!A56,'D-3 Off-Site Habitat Enhancment'!$V$12:$V$491)</f>
        <v>0</v>
      </c>
      <c r="Z56" s="274">
        <f>SUMIF('D-3 Off-Site Habitat Enhancment'!$S$12:$S$491,'G-2 Habitat groups'!A56,'D-3 Off-Site Habitat Enhancment'!$AQ$12:$AQ$491)</f>
        <v>0</v>
      </c>
      <c r="AA56" s="274">
        <f t="shared" si="48"/>
        <v>0</v>
      </c>
      <c r="AB56" s="274">
        <f t="shared" si="49"/>
        <v>0</v>
      </c>
      <c r="AC56" s="274">
        <f t="shared" si="50"/>
        <v>0</v>
      </c>
      <c r="AD56" s="274">
        <f t="shared" si="51"/>
        <v>0</v>
      </c>
      <c r="AE56" s="274">
        <f t="shared" si="52"/>
        <v>0</v>
      </c>
      <c r="AF56" s="274">
        <f t="shared" si="53"/>
        <v>0</v>
      </c>
      <c r="AU56" s="77" t="s">
        <v>88</v>
      </c>
      <c r="AV56" s="62" t="s">
        <v>87</v>
      </c>
      <c r="AW56" s="280">
        <f t="shared" si="34"/>
        <v>0</v>
      </c>
      <c r="AX56" s="280">
        <f t="shared" si="35"/>
        <v>0</v>
      </c>
      <c r="AY56" s="280">
        <f t="shared" si="36"/>
        <v>0</v>
      </c>
      <c r="AZ56" s="280">
        <f t="shared" si="37"/>
        <v>0</v>
      </c>
      <c r="BA56" s="280">
        <f t="shared" si="38"/>
        <v>0</v>
      </c>
      <c r="BB56" s="280">
        <f t="shared" si="39"/>
        <v>0</v>
      </c>
      <c r="BC56" s="280">
        <f t="shared" si="40"/>
        <v>0</v>
      </c>
      <c r="BD56" s="280">
        <f t="shared" si="41"/>
        <v>0</v>
      </c>
      <c r="BE56" s="280">
        <f t="shared" si="42"/>
        <v>0</v>
      </c>
      <c r="BF56" s="280" t="str">
        <f t="shared" si="43"/>
        <v/>
      </c>
    </row>
    <row r="57" spans="1:58" x14ac:dyDescent="0.25">
      <c r="A57" s="70" t="str">
        <f>'G-1 All Habitats'!B56</f>
        <v>Sparsely vegetated land - Limestone pavement</v>
      </c>
      <c r="B57" s="62" t="s">
        <v>82</v>
      </c>
      <c r="C57" s="62" t="str">
        <f>'G-1 All Habitats'!K56</f>
        <v>V.High</v>
      </c>
      <c r="D57" s="62" t="str">
        <f>'G-1 All Habitats'!M56</f>
        <v>Same habitat required – bespoke compensation option ⚠</v>
      </c>
      <c r="E57" s="274">
        <f>SUMIF('A-1 On-Site Habitat Baseline'!$AV$11:$AV$258,'G-2 Habitat groups'!A57,'A-1 On-Site Habitat Baseline'!$H$11:$H$258)</f>
        <v>0</v>
      </c>
      <c r="F57" s="274">
        <f>SUMIF('A-1 On-Site Habitat Baseline'!$AV$11:$AV$258,'G-2 Habitat groups'!A57,'A-1 On-Site Habitat Baseline'!$Q$11:$Q$258)</f>
        <v>0</v>
      </c>
      <c r="G57" s="274">
        <f>SUMIF('A-1 On-Site Habitat Baseline'!$AV$11:$AV$258,'G-2 Habitat groups'!A57,'A-1 On-Site Habitat Baseline'!$S$11:$S$258)</f>
        <v>0</v>
      </c>
      <c r="H57" s="274">
        <f>SUMIF('A-1 On-Site Habitat Baseline'!$AV$11:$AV$258,'G-2 Habitat groups'!A57,'A-1 On-Site Habitat Baseline'!$U$11:$U$258)+SUMIF('A-1 On-Site Habitat Baseline'!$AV$11:$AV$258,'G-2 Habitat groups'!A57, 'A-1 On-Site Habitat Baseline'!$AT$11:$AT$258)</f>
        <v>0</v>
      </c>
      <c r="I57" s="274">
        <f>SUMIF('A-1 On-Site Habitat Baseline'!$AV$11:$AV$258,'G-2 Habitat groups'!A57,'A-1 On-Site Habitat Baseline'!$W$11:$W$258)</f>
        <v>0</v>
      </c>
      <c r="J57" s="274">
        <f>SUMIF('A-1 On-Site Habitat Baseline'!$AV$11:$AV$258,'G-2 Habitat groups'!A57,'A-1 On-Site Habitat Baseline'!$X$11:$X$258)</f>
        <v>0</v>
      </c>
      <c r="K57" s="274">
        <f>SUMIF('A-2 On-Site Habitat Creation'!$F$11:$F$256,'G-2 Habitat groups'!A57,'A-2 On-Site Habitat Creation'!$G$11:$G$256)</f>
        <v>0</v>
      </c>
      <c r="L57" s="274">
        <f>SUMIF('A-2 On-Site Habitat Creation'!$F$11:$F$256,'G-2 Habitat groups'!A57,'A-2 On-Site Habitat Creation'!$Y$11:$Y$256)</f>
        <v>0</v>
      </c>
      <c r="M57" s="274">
        <f>SUMIF('A-3 On-Site Habitat Enhancement'!$S$12:$S$257,'G-2 Habitat groups'!A57,'A-3 On-Site Habitat Enhancement'!$V$12:$V$257)</f>
        <v>0</v>
      </c>
      <c r="N57" s="274">
        <f>SUMIF('A-3 On-Site Habitat Enhancement'!$S$12:$S$257,'G-2 Habitat groups'!A57,'A-3 On-Site Habitat Enhancement'!$AN$12:$AN$257)</f>
        <v>0</v>
      </c>
      <c r="O57" s="274">
        <f t="shared" si="44"/>
        <v>0</v>
      </c>
      <c r="P57" s="274">
        <f t="shared" si="45"/>
        <v>0</v>
      </c>
      <c r="Q57" s="274">
        <f t="shared" si="46"/>
        <v>0</v>
      </c>
      <c r="R57" s="274">
        <f t="shared" si="47"/>
        <v>0</v>
      </c>
      <c r="S57" s="274">
        <f>SUMIF('D-1 Off-Site Habitat Baseline'!$AV$11:$AV$258,'G-2 Habitat groups'!A57,'D-1 Off-Site Habitat Baseline'!$H$11:$H$258)</f>
        <v>0</v>
      </c>
      <c r="T57" s="274">
        <f>SUMIF('D-1 Off-Site Habitat Baseline'!$AV$11:$AV$258,'G-2 Habitat groups'!A57,'D-1 Off-Site Habitat Baseline'!$T$11:$T$258)</f>
        <v>0</v>
      </c>
      <c r="U57" s="274">
        <f>SUMIF('D-1 Off-Site Habitat Baseline'!$AV$11:$AV$258,'G-2 Habitat groups'!A57,'D-1 Off-Site Habitat Baseline'!$V$11:$V$258)</f>
        <v>0</v>
      </c>
      <c r="V57" s="274">
        <f>SUMIF('D-1 Off-Site Habitat Baseline'!$AV$11:$AV$258,'G-2 Habitat groups'!A57,'D-1 Off-Site Habitat Baseline'!$X$11:$X$258)+SUMIF('D-1 Off-Site Habitat Baseline'!$AV$11:$AV$258,'G-2 Habitat groups'!A57,'D-1 Off-Site Habitat Baseline'!$AS$11:$AS$258)</f>
        <v>0</v>
      </c>
      <c r="W57" s="274">
        <f>SUMIF('D-2 Off-Site Habitat Creation'!$F$9:$F$255,'G-2 Habitat groups'!A57,'D-2 Off-Site Habitat Creation'!$G$9:$G$255)</f>
        <v>0</v>
      </c>
      <c r="X57" s="274">
        <f>SUMIF('D-2 Off-Site Habitat Creation'!$F$9:$F$255,'G-2 Habitat groups'!A57,'D-2 Off-Site Habitat Creation'!$AB$9:$AB$255)</f>
        <v>0</v>
      </c>
      <c r="Y57" s="274">
        <f>SUMIF('D-3 Off-Site Habitat Enhancment'!$S$12:$S$491,'G-2 Habitat groups'!A57,'D-3 Off-Site Habitat Enhancment'!$V$12:$V$491)</f>
        <v>0</v>
      </c>
      <c r="Z57" s="274">
        <f>SUMIF('D-3 Off-Site Habitat Enhancment'!$S$12:$S$491,'G-2 Habitat groups'!A57,'D-3 Off-Site Habitat Enhancment'!$AQ$12:$AQ$491)</f>
        <v>0</v>
      </c>
      <c r="AA57" s="274">
        <f t="shared" si="48"/>
        <v>0</v>
      </c>
      <c r="AB57" s="274">
        <f t="shared" si="49"/>
        <v>0</v>
      </c>
      <c r="AC57" s="274">
        <f t="shared" si="50"/>
        <v>0</v>
      </c>
      <c r="AD57" s="274">
        <f t="shared" si="51"/>
        <v>0</v>
      </c>
      <c r="AE57" s="274">
        <f t="shared" si="52"/>
        <v>0</v>
      </c>
      <c r="AF57" s="274">
        <f t="shared" si="53"/>
        <v>0</v>
      </c>
      <c r="AU57" s="77" t="s">
        <v>102</v>
      </c>
      <c r="AV57" s="62" t="s">
        <v>87</v>
      </c>
      <c r="AW57" s="280">
        <f t="shared" si="34"/>
        <v>0</v>
      </c>
      <c r="AX57" s="280">
        <f t="shared" si="35"/>
        <v>0</v>
      </c>
      <c r="AY57" s="280">
        <f t="shared" si="36"/>
        <v>0</v>
      </c>
      <c r="AZ57" s="280">
        <f t="shared" si="37"/>
        <v>0</v>
      </c>
      <c r="BA57" s="280">
        <f t="shared" si="38"/>
        <v>0</v>
      </c>
      <c r="BB57" s="280">
        <f t="shared" si="39"/>
        <v>0</v>
      </c>
      <c r="BC57" s="280">
        <f t="shared" si="40"/>
        <v>0</v>
      </c>
      <c r="BD57" s="280">
        <f t="shared" si="41"/>
        <v>0</v>
      </c>
      <c r="BE57" s="280">
        <f t="shared" si="42"/>
        <v>0</v>
      </c>
      <c r="BF57" s="280" t="str">
        <f t="shared" si="43"/>
        <v/>
      </c>
    </row>
    <row r="58" spans="1:58" x14ac:dyDescent="0.25">
      <c r="A58" s="70" t="str">
        <f>'G-1 All Habitats'!B57</f>
        <v>Sparsely vegetated land - Maritime cliff and slopes</v>
      </c>
      <c r="B58" s="62" t="s">
        <v>82</v>
      </c>
      <c r="C58" s="62" t="str">
        <f>'G-1 All Habitats'!K57</f>
        <v>High</v>
      </c>
      <c r="D58" s="62" t="str">
        <f>'G-1 All Habitats'!M57</f>
        <v>Same habitat required =</v>
      </c>
      <c r="E58" s="274">
        <f>SUMIF('A-1 On-Site Habitat Baseline'!$AV$11:$AV$258,'G-2 Habitat groups'!A58,'A-1 On-Site Habitat Baseline'!$H$11:$H$258)</f>
        <v>0</v>
      </c>
      <c r="F58" s="274">
        <f>SUMIF('A-1 On-Site Habitat Baseline'!$AV$11:$AV$258,'G-2 Habitat groups'!A58,'A-1 On-Site Habitat Baseline'!$Q$11:$Q$258)</f>
        <v>0</v>
      </c>
      <c r="G58" s="274">
        <f>SUMIF('A-1 On-Site Habitat Baseline'!$AV$11:$AV$258,'G-2 Habitat groups'!A58,'A-1 On-Site Habitat Baseline'!$S$11:$S$258)</f>
        <v>0</v>
      </c>
      <c r="H58" s="274">
        <f>SUMIF('A-1 On-Site Habitat Baseline'!$AV$11:$AV$258,'G-2 Habitat groups'!A58,'A-1 On-Site Habitat Baseline'!$U$11:$U$258)+SUMIF('A-1 On-Site Habitat Baseline'!$AV$11:$AV$258,'G-2 Habitat groups'!A58, 'A-1 On-Site Habitat Baseline'!$AT$11:$AT$258)</f>
        <v>0</v>
      </c>
      <c r="I58" s="274">
        <f>SUMIF('A-1 On-Site Habitat Baseline'!$AV$11:$AV$258,'G-2 Habitat groups'!A58,'A-1 On-Site Habitat Baseline'!$W$11:$W$258)</f>
        <v>0</v>
      </c>
      <c r="J58" s="274">
        <f>SUMIF('A-1 On-Site Habitat Baseline'!$AV$11:$AV$258,'G-2 Habitat groups'!A58,'A-1 On-Site Habitat Baseline'!$X$11:$X$258)</f>
        <v>0</v>
      </c>
      <c r="K58" s="274">
        <f>SUMIF('A-2 On-Site Habitat Creation'!$F$11:$F$256,'G-2 Habitat groups'!A58,'A-2 On-Site Habitat Creation'!$G$11:$G$256)</f>
        <v>0</v>
      </c>
      <c r="L58" s="274">
        <f>SUMIF('A-2 On-Site Habitat Creation'!$F$11:$F$256,'G-2 Habitat groups'!A58,'A-2 On-Site Habitat Creation'!$Y$11:$Y$256)</f>
        <v>0</v>
      </c>
      <c r="M58" s="274">
        <f>SUMIF('A-3 On-Site Habitat Enhancement'!$S$12:$S$257,'G-2 Habitat groups'!A58,'A-3 On-Site Habitat Enhancement'!$V$12:$V$257)</f>
        <v>0</v>
      </c>
      <c r="N58" s="274">
        <f>SUMIF('A-3 On-Site Habitat Enhancement'!$S$12:$S$257,'G-2 Habitat groups'!A58,'A-3 On-Site Habitat Enhancement'!$AN$12:$AN$257)</f>
        <v>0</v>
      </c>
      <c r="O58" s="274">
        <f t="shared" si="44"/>
        <v>0</v>
      </c>
      <c r="P58" s="274">
        <f t="shared" si="45"/>
        <v>0</v>
      </c>
      <c r="Q58" s="274">
        <f t="shared" si="46"/>
        <v>0</v>
      </c>
      <c r="R58" s="274">
        <f t="shared" si="47"/>
        <v>0</v>
      </c>
      <c r="S58" s="274">
        <f>SUMIF('D-1 Off-Site Habitat Baseline'!$AV$11:$AV$258,'G-2 Habitat groups'!A58,'D-1 Off-Site Habitat Baseline'!$H$11:$H$258)</f>
        <v>0</v>
      </c>
      <c r="T58" s="274">
        <f>SUMIF('D-1 Off-Site Habitat Baseline'!$AV$11:$AV$258,'G-2 Habitat groups'!A58,'D-1 Off-Site Habitat Baseline'!$T$11:$T$258)</f>
        <v>0</v>
      </c>
      <c r="U58" s="274">
        <f>SUMIF('D-1 Off-Site Habitat Baseline'!$AV$11:$AV$258,'G-2 Habitat groups'!A58,'D-1 Off-Site Habitat Baseline'!$V$11:$V$258)</f>
        <v>0</v>
      </c>
      <c r="V58" s="274">
        <f>SUMIF('D-1 Off-Site Habitat Baseline'!$AV$11:$AV$258,'G-2 Habitat groups'!A58,'D-1 Off-Site Habitat Baseline'!$X$11:$X$258)+SUMIF('D-1 Off-Site Habitat Baseline'!$AV$11:$AV$258,'G-2 Habitat groups'!A58,'D-1 Off-Site Habitat Baseline'!$AS$11:$AS$258)</f>
        <v>0</v>
      </c>
      <c r="W58" s="274">
        <f>SUMIF('D-2 Off-Site Habitat Creation'!$F$9:$F$255,'G-2 Habitat groups'!A58,'D-2 Off-Site Habitat Creation'!$G$9:$G$255)</f>
        <v>0</v>
      </c>
      <c r="X58" s="274">
        <f>SUMIF('D-2 Off-Site Habitat Creation'!$F$9:$F$255,'G-2 Habitat groups'!A58,'D-2 Off-Site Habitat Creation'!$AB$9:$AB$255)</f>
        <v>0</v>
      </c>
      <c r="Y58" s="274">
        <f>SUMIF('D-3 Off-Site Habitat Enhancment'!$S$12:$S$491,'G-2 Habitat groups'!A58,'D-3 Off-Site Habitat Enhancment'!$V$12:$V$491)</f>
        <v>0</v>
      </c>
      <c r="Z58" s="274">
        <f>SUMIF('D-3 Off-Site Habitat Enhancment'!$S$12:$S$491,'G-2 Habitat groups'!A58,'D-3 Off-Site Habitat Enhancment'!$AQ$12:$AQ$491)</f>
        <v>0</v>
      </c>
      <c r="AA58" s="274">
        <f t="shared" si="48"/>
        <v>0</v>
      </c>
      <c r="AB58" s="274">
        <f t="shared" si="49"/>
        <v>0</v>
      </c>
      <c r="AC58" s="274">
        <f t="shared" si="50"/>
        <v>0</v>
      </c>
      <c r="AD58" s="274">
        <f t="shared" si="51"/>
        <v>0</v>
      </c>
      <c r="AE58" s="274">
        <f t="shared" si="52"/>
        <v>0</v>
      </c>
      <c r="AF58" s="274">
        <f t="shared" si="53"/>
        <v>0</v>
      </c>
      <c r="AU58" s="77" t="s">
        <v>89</v>
      </c>
      <c r="AV58" s="62" t="s">
        <v>87</v>
      </c>
      <c r="AW58" s="280">
        <f t="shared" si="34"/>
        <v>0</v>
      </c>
      <c r="AX58" s="280">
        <f t="shared" si="35"/>
        <v>0</v>
      </c>
      <c r="AY58" s="280">
        <f t="shared" si="36"/>
        <v>0</v>
      </c>
      <c r="AZ58" s="280">
        <f t="shared" si="37"/>
        <v>0</v>
      </c>
      <c r="BA58" s="280">
        <f t="shared" si="38"/>
        <v>0</v>
      </c>
      <c r="BB58" s="280">
        <f t="shared" si="39"/>
        <v>0</v>
      </c>
      <c r="BC58" s="280">
        <f t="shared" si="40"/>
        <v>0</v>
      </c>
      <c r="BD58" s="280">
        <f t="shared" si="41"/>
        <v>0</v>
      </c>
      <c r="BE58" s="280">
        <f t="shared" si="42"/>
        <v>0</v>
      </c>
      <c r="BF58" s="280" t="str">
        <f t="shared" si="43"/>
        <v/>
      </c>
    </row>
    <row r="59" spans="1:58" x14ac:dyDescent="0.25">
      <c r="A59" s="70" t="str">
        <f>'G-1 All Habitats'!B58</f>
        <v>Sparsely vegetated land - Other inland rock and scree</v>
      </c>
      <c r="B59" s="62" t="s">
        <v>82</v>
      </c>
      <c r="C59" s="62" t="str">
        <f>'G-1 All Habitats'!K58</f>
        <v>Medium</v>
      </c>
      <c r="D59" s="62" t="str">
        <f>'G-1 All Habitats'!M58</f>
        <v>Same broad habitat or a higher distinctiveness habitat required (≥)</v>
      </c>
      <c r="E59" s="274">
        <f>SUMIF('A-1 On-Site Habitat Baseline'!$AV$11:$AV$258,'G-2 Habitat groups'!A59,'A-1 On-Site Habitat Baseline'!$H$11:$H$258)</f>
        <v>0</v>
      </c>
      <c r="F59" s="274">
        <f>SUMIF('A-1 On-Site Habitat Baseline'!$AV$11:$AV$258,'G-2 Habitat groups'!A59,'A-1 On-Site Habitat Baseline'!$Q$11:$Q$258)</f>
        <v>0</v>
      </c>
      <c r="G59" s="274">
        <f>SUMIF('A-1 On-Site Habitat Baseline'!$AV$11:$AV$258,'G-2 Habitat groups'!A59,'A-1 On-Site Habitat Baseline'!$S$11:$S$258)</f>
        <v>0</v>
      </c>
      <c r="H59" s="274">
        <f>SUMIF('A-1 On-Site Habitat Baseline'!$AV$11:$AV$258,'G-2 Habitat groups'!A59,'A-1 On-Site Habitat Baseline'!$U$11:$U$258)+SUMIF('A-1 On-Site Habitat Baseline'!$AV$11:$AV$258,'G-2 Habitat groups'!A59, 'A-1 On-Site Habitat Baseline'!$AT$11:$AT$258)</f>
        <v>0</v>
      </c>
      <c r="I59" s="274">
        <f>SUMIF('A-1 On-Site Habitat Baseline'!$AV$11:$AV$258,'G-2 Habitat groups'!A59,'A-1 On-Site Habitat Baseline'!$W$11:$W$258)</f>
        <v>0</v>
      </c>
      <c r="J59" s="274">
        <f>SUMIF('A-1 On-Site Habitat Baseline'!$AV$11:$AV$258,'G-2 Habitat groups'!A59,'A-1 On-Site Habitat Baseline'!$X$11:$X$258)</f>
        <v>0</v>
      </c>
      <c r="K59" s="274">
        <f>SUMIF('A-2 On-Site Habitat Creation'!$F$11:$F$256,'G-2 Habitat groups'!A59,'A-2 On-Site Habitat Creation'!$G$11:$G$256)</f>
        <v>0</v>
      </c>
      <c r="L59" s="274">
        <f>SUMIF('A-2 On-Site Habitat Creation'!$F$11:$F$256,'G-2 Habitat groups'!A59,'A-2 On-Site Habitat Creation'!$Y$11:$Y$256)</f>
        <v>0</v>
      </c>
      <c r="M59" s="274">
        <f>SUMIF('A-3 On-Site Habitat Enhancement'!$S$12:$S$257,'G-2 Habitat groups'!A59,'A-3 On-Site Habitat Enhancement'!$V$12:$V$257)</f>
        <v>0</v>
      </c>
      <c r="N59" s="274">
        <f>SUMIF('A-3 On-Site Habitat Enhancement'!$S$12:$S$257,'G-2 Habitat groups'!A59,'A-3 On-Site Habitat Enhancement'!$AN$12:$AN$257)</f>
        <v>0</v>
      </c>
      <c r="O59" s="274">
        <f t="shared" si="44"/>
        <v>0</v>
      </c>
      <c r="P59" s="274">
        <f t="shared" si="45"/>
        <v>0</v>
      </c>
      <c r="Q59" s="274">
        <f t="shared" si="46"/>
        <v>0</v>
      </c>
      <c r="R59" s="274">
        <f t="shared" si="47"/>
        <v>0</v>
      </c>
      <c r="S59" s="274">
        <f>SUMIF('D-1 Off-Site Habitat Baseline'!$AV$11:$AV$258,'G-2 Habitat groups'!A59,'D-1 Off-Site Habitat Baseline'!$H$11:$H$258)</f>
        <v>0</v>
      </c>
      <c r="T59" s="274">
        <f>SUMIF('D-1 Off-Site Habitat Baseline'!$AV$11:$AV$258,'G-2 Habitat groups'!A59,'D-1 Off-Site Habitat Baseline'!$T$11:$T$258)</f>
        <v>0</v>
      </c>
      <c r="U59" s="274">
        <f>SUMIF('D-1 Off-Site Habitat Baseline'!$AV$11:$AV$258,'G-2 Habitat groups'!A59,'D-1 Off-Site Habitat Baseline'!$V$11:$V$258)</f>
        <v>0</v>
      </c>
      <c r="V59" s="274">
        <f>SUMIF('D-1 Off-Site Habitat Baseline'!$AV$11:$AV$258,'G-2 Habitat groups'!A59,'D-1 Off-Site Habitat Baseline'!$X$11:$X$258)+SUMIF('D-1 Off-Site Habitat Baseline'!$AV$11:$AV$258,'G-2 Habitat groups'!A59,'D-1 Off-Site Habitat Baseline'!$AS$11:$AS$258)</f>
        <v>0</v>
      </c>
      <c r="W59" s="274">
        <f>SUMIF('D-2 Off-Site Habitat Creation'!$F$9:$F$255,'G-2 Habitat groups'!A59,'D-2 Off-Site Habitat Creation'!$G$9:$G$255)</f>
        <v>0</v>
      </c>
      <c r="X59" s="274">
        <f>SUMIF('D-2 Off-Site Habitat Creation'!$F$9:$F$255,'G-2 Habitat groups'!A59,'D-2 Off-Site Habitat Creation'!$AB$9:$AB$255)</f>
        <v>0</v>
      </c>
      <c r="Y59" s="274">
        <f>SUMIF('D-3 Off-Site Habitat Enhancment'!$S$12:$S$491,'G-2 Habitat groups'!A59,'D-3 Off-Site Habitat Enhancment'!$V$12:$V$491)</f>
        <v>0</v>
      </c>
      <c r="Z59" s="274">
        <f>SUMIF('D-3 Off-Site Habitat Enhancment'!$S$12:$S$491,'G-2 Habitat groups'!A59,'D-3 Off-Site Habitat Enhancment'!$AQ$12:$AQ$491)</f>
        <v>0</v>
      </c>
      <c r="AA59" s="274">
        <f t="shared" si="48"/>
        <v>0</v>
      </c>
      <c r="AB59" s="274">
        <f t="shared" si="49"/>
        <v>0</v>
      </c>
      <c r="AC59" s="274">
        <f t="shared" si="50"/>
        <v>0</v>
      </c>
      <c r="AD59" s="274">
        <f t="shared" si="51"/>
        <v>0</v>
      </c>
      <c r="AE59" s="274">
        <f t="shared" si="52"/>
        <v>0</v>
      </c>
      <c r="AF59" s="274">
        <f t="shared" si="53"/>
        <v>0</v>
      </c>
      <c r="AU59" s="77" t="s">
        <v>90</v>
      </c>
      <c r="AV59" s="62" t="s">
        <v>87</v>
      </c>
      <c r="AW59" s="280">
        <f t="shared" si="34"/>
        <v>0</v>
      </c>
      <c r="AX59" s="280">
        <f t="shared" si="35"/>
        <v>0</v>
      </c>
      <c r="AY59" s="280">
        <f t="shared" si="36"/>
        <v>0</v>
      </c>
      <c r="AZ59" s="280">
        <f t="shared" si="37"/>
        <v>0</v>
      </c>
      <c r="BA59" s="280">
        <f t="shared" si="38"/>
        <v>0</v>
      </c>
      <c r="BB59" s="280">
        <f t="shared" si="39"/>
        <v>0</v>
      </c>
      <c r="BC59" s="280">
        <f t="shared" si="40"/>
        <v>0</v>
      </c>
      <c r="BD59" s="280">
        <f t="shared" si="41"/>
        <v>0</v>
      </c>
      <c r="BE59" s="280">
        <f t="shared" si="42"/>
        <v>0</v>
      </c>
      <c r="BF59" s="280" t="str">
        <f t="shared" si="43"/>
        <v/>
      </c>
    </row>
    <row r="60" spans="1:58" x14ac:dyDescent="0.25">
      <c r="A60" s="70" t="str">
        <f>'G-1 All Habitats'!B59</f>
        <v>Urban - Allotments</v>
      </c>
      <c r="B60" s="62" t="s">
        <v>120</v>
      </c>
      <c r="C60" s="62" t="str">
        <f>'G-1 All Habitats'!K59</f>
        <v>Low</v>
      </c>
      <c r="D60" s="62" t="str">
        <f>'G-1 All Habitats'!M59</f>
        <v>Same distinctiveness or better habitat required ≥</v>
      </c>
      <c r="E60" s="274">
        <f>SUMIF('A-1 On-Site Habitat Baseline'!$AV$11:$AV$258,'G-2 Habitat groups'!A60,'A-1 On-Site Habitat Baseline'!$H$11:$H$258)</f>
        <v>0</v>
      </c>
      <c r="F60" s="274">
        <f>SUMIF('A-1 On-Site Habitat Baseline'!$AV$11:$AV$258,'G-2 Habitat groups'!A60,'A-1 On-Site Habitat Baseline'!$Q$11:$Q$258)</f>
        <v>0</v>
      </c>
      <c r="G60" s="274">
        <f>SUMIF('A-1 On-Site Habitat Baseline'!$AV$11:$AV$258,'G-2 Habitat groups'!A60,'A-1 On-Site Habitat Baseline'!$S$11:$S$258)</f>
        <v>0</v>
      </c>
      <c r="H60" s="274">
        <f>SUMIF('A-1 On-Site Habitat Baseline'!$AV$11:$AV$258,'G-2 Habitat groups'!A60,'A-1 On-Site Habitat Baseline'!$U$11:$U$258)+SUMIF('A-1 On-Site Habitat Baseline'!$AV$11:$AV$258,'G-2 Habitat groups'!A60, 'A-1 On-Site Habitat Baseline'!$AT$11:$AT$258)</f>
        <v>0</v>
      </c>
      <c r="I60" s="274">
        <f>SUMIF('A-1 On-Site Habitat Baseline'!$AV$11:$AV$258,'G-2 Habitat groups'!A60,'A-1 On-Site Habitat Baseline'!$W$11:$W$258)</f>
        <v>0</v>
      </c>
      <c r="J60" s="274">
        <f>SUMIF('A-1 On-Site Habitat Baseline'!$AV$11:$AV$258,'G-2 Habitat groups'!A60,'A-1 On-Site Habitat Baseline'!$X$11:$X$258)</f>
        <v>0</v>
      </c>
      <c r="K60" s="274">
        <f>SUMIF('A-2 On-Site Habitat Creation'!$F$11:$F$256,'G-2 Habitat groups'!A60,'A-2 On-Site Habitat Creation'!$G$11:$G$256)</f>
        <v>0</v>
      </c>
      <c r="L60" s="274">
        <f>SUMIF('A-2 On-Site Habitat Creation'!$F$11:$F$256,'G-2 Habitat groups'!A60,'A-2 On-Site Habitat Creation'!$Y$11:$Y$256)</f>
        <v>0</v>
      </c>
      <c r="M60" s="274">
        <f>SUMIF('A-3 On-Site Habitat Enhancement'!$S$12:$S$257,'G-2 Habitat groups'!A60,'A-3 On-Site Habitat Enhancement'!$V$12:$V$257)</f>
        <v>0</v>
      </c>
      <c r="N60" s="274">
        <f>SUMIF('A-3 On-Site Habitat Enhancement'!$S$12:$S$257,'G-2 Habitat groups'!A60,'A-3 On-Site Habitat Enhancement'!$AN$12:$AN$257)</f>
        <v>0</v>
      </c>
      <c r="O60" s="274">
        <f t="shared" si="44"/>
        <v>0</v>
      </c>
      <c r="P60" s="274">
        <f t="shared" si="45"/>
        <v>0</v>
      </c>
      <c r="Q60" s="274">
        <f t="shared" si="46"/>
        <v>0</v>
      </c>
      <c r="R60" s="274">
        <f t="shared" si="47"/>
        <v>0</v>
      </c>
      <c r="S60" s="274">
        <f>SUMIF('D-1 Off-Site Habitat Baseline'!$AV$11:$AV$258,'G-2 Habitat groups'!A60,'D-1 Off-Site Habitat Baseline'!$H$11:$H$258)</f>
        <v>0</v>
      </c>
      <c r="T60" s="274">
        <f>SUMIF('D-1 Off-Site Habitat Baseline'!$AV$11:$AV$258,'G-2 Habitat groups'!A60,'D-1 Off-Site Habitat Baseline'!$T$11:$T$258)</f>
        <v>0</v>
      </c>
      <c r="U60" s="274">
        <f>SUMIF('D-1 Off-Site Habitat Baseline'!$AV$11:$AV$258,'G-2 Habitat groups'!A60,'D-1 Off-Site Habitat Baseline'!$V$11:$V$258)</f>
        <v>0</v>
      </c>
      <c r="V60" s="274">
        <f>SUMIF('D-1 Off-Site Habitat Baseline'!$AV$11:$AV$258,'G-2 Habitat groups'!A60,'D-1 Off-Site Habitat Baseline'!$X$11:$X$258)+SUMIF('D-1 Off-Site Habitat Baseline'!$AV$11:$AV$258,'G-2 Habitat groups'!A60,'D-1 Off-Site Habitat Baseline'!$AS$11:$AS$258)</f>
        <v>0</v>
      </c>
      <c r="W60" s="274">
        <f>SUMIF('D-2 Off-Site Habitat Creation'!$F$9:$F$255,'G-2 Habitat groups'!A60,'D-2 Off-Site Habitat Creation'!$G$9:$G$255)</f>
        <v>0</v>
      </c>
      <c r="X60" s="274">
        <f>SUMIF('D-2 Off-Site Habitat Creation'!$F$9:$F$255,'G-2 Habitat groups'!A60,'D-2 Off-Site Habitat Creation'!$AB$9:$AB$255)</f>
        <v>0</v>
      </c>
      <c r="Y60" s="274">
        <f>SUMIF('D-3 Off-Site Habitat Enhancment'!$S$12:$S$491,'G-2 Habitat groups'!A60,'D-3 Off-Site Habitat Enhancment'!$V$12:$V$491)</f>
        <v>0</v>
      </c>
      <c r="Z60" s="274">
        <f>SUMIF('D-3 Off-Site Habitat Enhancment'!$S$12:$S$491,'G-2 Habitat groups'!A60,'D-3 Off-Site Habitat Enhancment'!$AQ$12:$AQ$491)</f>
        <v>0</v>
      </c>
      <c r="AA60" s="274">
        <f t="shared" si="48"/>
        <v>0</v>
      </c>
      <c r="AB60" s="274">
        <f t="shared" si="49"/>
        <v>0</v>
      </c>
      <c r="AC60" s="274">
        <f t="shared" si="50"/>
        <v>0</v>
      </c>
      <c r="AD60" s="274">
        <f t="shared" si="51"/>
        <v>0</v>
      </c>
      <c r="AE60" s="274">
        <f t="shared" si="52"/>
        <v>0</v>
      </c>
      <c r="AF60" s="274">
        <f t="shared" si="53"/>
        <v>0</v>
      </c>
      <c r="AU60" s="77" t="s">
        <v>103</v>
      </c>
      <c r="AV60" s="62" t="s">
        <v>87</v>
      </c>
      <c r="AW60" s="280">
        <f t="shared" si="34"/>
        <v>0</v>
      </c>
      <c r="AX60" s="280">
        <f t="shared" si="35"/>
        <v>0</v>
      </c>
      <c r="AY60" s="280">
        <f t="shared" si="36"/>
        <v>0</v>
      </c>
      <c r="AZ60" s="280">
        <f t="shared" si="37"/>
        <v>0</v>
      </c>
      <c r="BA60" s="280">
        <f t="shared" si="38"/>
        <v>0</v>
      </c>
      <c r="BB60" s="280">
        <f t="shared" si="39"/>
        <v>0</v>
      </c>
      <c r="BC60" s="280">
        <f t="shared" si="40"/>
        <v>0</v>
      </c>
      <c r="BD60" s="280">
        <f t="shared" si="41"/>
        <v>0</v>
      </c>
      <c r="BE60" s="280">
        <f t="shared" si="42"/>
        <v>0</v>
      </c>
      <c r="BF60" s="280" t="str">
        <f t="shared" si="43"/>
        <v/>
      </c>
    </row>
    <row r="61" spans="1:58" x14ac:dyDescent="0.25">
      <c r="A61" s="70" t="str">
        <f>'G-1 All Habitats'!B60</f>
        <v>Urban - Artificial unvegetated, unsealed surface</v>
      </c>
      <c r="B61" s="62" t="s">
        <v>120</v>
      </c>
      <c r="C61" s="62" t="str">
        <f>'G-1 All Habitats'!K60</f>
        <v>V.Low</v>
      </c>
      <c r="D61" s="62" t="str">
        <f>'G-1 All Habitats'!M60</f>
        <v>Compensation Not Required</v>
      </c>
      <c r="E61" s="274">
        <f>SUMIF('A-1 On-Site Habitat Baseline'!$AV$11:$AV$258,'G-2 Habitat groups'!A61,'A-1 On-Site Habitat Baseline'!$H$11:$H$258)</f>
        <v>0</v>
      </c>
      <c r="F61" s="274">
        <f>SUMIF('A-1 On-Site Habitat Baseline'!$AV$11:$AV$258,'G-2 Habitat groups'!A61,'A-1 On-Site Habitat Baseline'!$Q$11:$Q$258)</f>
        <v>0</v>
      </c>
      <c r="G61" s="274">
        <f>SUMIF('A-1 On-Site Habitat Baseline'!$AV$11:$AV$258,'G-2 Habitat groups'!A61,'A-1 On-Site Habitat Baseline'!$S$11:$S$258)</f>
        <v>0</v>
      </c>
      <c r="H61" s="274">
        <f>SUMIF('A-1 On-Site Habitat Baseline'!$AV$11:$AV$258,'G-2 Habitat groups'!A61,'A-1 On-Site Habitat Baseline'!$U$11:$U$258)+SUMIF('A-1 On-Site Habitat Baseline'!$AV$11:$AV$258,'G-2 Habitat groups'!A61, 'A-1 On-Site Habitat Baseline'!$AT$11:$AT$258)</f>
        <v>0</v>
      </c>
      <c r="I61" s="274">
        <f>SUMIF('A-1 On-Site Habitat Baseline'!$AV$11:$AV$258,'G-2 Habitat groups'!A61,'A-1 On-Site Habitat Baseline'!$W$11:$W$258)</f>
        <v>0</v>
      </c>
      <c r="J61" s="274">
        <f>SUMIF('A-1 On-Site Habitat Baseline'!$AV$11:$AV$258,'G-2 Habitat groups'!A61,'A-1 On-Site Habitat Baseline'!$X$11:$X$258)</f>
        <v>0</v>
      </c>
      <c r="K61" s="274">
        <f>SUMIF('A-2 On-Site Habitat Creation'!$F$11:$F$256,'G-2 Habitat groups'!A61,'A-2 On-Site Habitat Creation'!$G$11:$G$256)</f>
        <v>0</v>
      </c>
      <c r="L61" s="274">
        <f>SUMIF('A-2 On-Site Habitat Creation'!$F$11:$F$256,'G-2 Habitat groups'!A61,'A-2 On-Site Habitat Creation'!$Y$11:$Y$256)</f>
        <v>0</v>
      </c>
      <c r="M61" s="274">
        <f>SUMIF('A-3 On-Site Habitat Enhancement'!$S$12:$S$257,'G-2 Habitat groups'!A61,'A-3 On-Site Habitat Enhancement'!$V$12:$V$257)</f>
        <v>0</v>
      </c>
      <c r="N61" s="274">
        <f>SUMIF('A-3 On-Site Habitat Enhancement'!$S$12:$S$257,'G-2 Habitat groups'!A61,'A-3 On-Site Habitat Enhancement'!$AN$12:$AN$257)</f>
        <v>0</v>
      </c>
      <c r="O61" s="274">
        <f t="shared" si="44"/>
        <v>0</v>
      </c>
      <c r="P61" s="274">
        <f t="shared" si="45"/>
        <v>0</v>
      </c>
      <c r="Q61" s="274">
        <f t="shared" si="46"/>
        <v>0</v>
      </c>
      <c r="R61" s="274">
        <f t="shared" si="47"/>
        <v>0</v>
      </c>
      <c r="S61" s="274">
        <f>SUMIF('D-1 Off-Site Habitat Baseline'!$AV$11:$AV$258,'G-2 Habitat groups'!A61,'D-1 Off-Site Habitat Baseline'!$H$11:$H$258)</f>
        <v>0</v>
      </c>
      <c r="T61" s="274">
        <f>SUMIF('D-1 Off-Site Habitat Baseline'!$AV$11:$AV$258,'G-2 Habitat groups'!A61,'D-1 Off-Site Habitat Baseline'!$T$11:$T$258)</f>
        <v>0</v>
      </c>
      <c r="U61" s="274">
        <f>SUMIF('D-1 Off-Site Habitat Baseline'!$AV$11:$AV$258,'G-2 Habitat groups'!A61,'D-1 Off-Site Habitat Baseline'!$V$11:$V$258)</f>
        <v>0</v>
      </c>
      <c r="V61" s="274">
        <f>SUMIF('D-1 Off-Site Habitat Baseline'!$AV$11:$AV$258,'G-2 Habitat groups'!A61,'D-1 Off-Site Habitat Baseline'!$X$11:$X$258)+SUMIF('D-1 Off-Site Habitat Baseline'!$AV$11:$AV$258,'G-2 Habitat groups'!A61,'D-1 Off-Site Habitat Baseline'!$AS$11:$AS$258)</f>
        <v>0</v>
      </c>
      <c r="W61" s="274">
        <f>SUMIF('D-2 Off-Site Habitat Creation'!$F$9:$F$255,'G-2 Habitat groups'!A61,'D-2 Off-Site Habitat Creation'!$G$9:$G$255)</f>
        <v>0</v>
      </c>
      <c r="X61" s="274">
        <f>SUMIF('D-2 Off-Site Habitat Creation'!$F$9:$F$255,'G-2 Habitat groups'!A61,'D-2 Off-Site Habitat Creation'!$AB$9:$AB$255)</f>
        <v>0</v>
      </c>
      <c r="Y61" s="274">
        <f>SUMIF('D-3 Off-Site Habitat Enhancment'!$S$12:$S$491,'G-2 Habitat groups'!A61,'D-3 Off-Site Habitat Enhancment'!$V$12:$V$491)</f>
        <v>0</v>
      </c>
      <c r="Z61" s="274">
        <f>SUMIF('D-3 Off-Site Habitat Enhancment'!$S$12:$S$491,'G-2 Habitat groups'!A61,'D-3 Off-Site Habitat Enhancment'!$AQ$12:$AQ$491)</f>
        <v>0</v>
      </c>
      <c r="AA61" s="274">
        <f t="shared" si="48"/>
        <v>0</v>
      </c>
      <c r="AB61" s="274">
        <f t="shared" si="49"/>
        <v>0</v>
      </c>
      <c r="AC61" s="274">
        <f t="shared" si="50"/>
        <v>0</v>
      </c>
      <c r="AD61" s="274">
        <f t="shared" si="51"/>
        <v>0</v>
      </c>
      <c r="AE61" s="274">
        <f t="shared" si="52"/>
        <v>0</v>
      </c>
      <c r="AF61" s="274">
        <f t="shared" si="53"/>
        <v>0</v>
      </c>
      <c r="AU61" s="77" t="s">
        <v>91</v>
      </c>
      <c r="AV61" s="62" t="s">
        <v>92</v>
      </c>
      <c r="AW61" s="280">
        <f t="shared" si="34"/>
        <v>0</v>
      </c>
      <c r="AX61" s="280">
        <f t="shared" si="35"/>
        <v>0</v>
      </c>
      <c r="AY61" s="280">
        <f t="shared" si="36"/>
        <v>0</v>
      </c>
      <c r="AZ61" s="280">
        <f t="shared" si="37"/>
        <v>0</v>
      </c>
      <c r="BA61" s="280">
        <f t="shared" si="38"/>
        <v>0</v>
      </c>
      <c r="BB61" s="280">
        <f t="shared" si="39"/>
        <v>0</v>
      </c>
      <c r="BC61" s="280">
        <f t="shared" si="40"/>
        <v>0</v>
      </c>
      <c r="BD61" s="280">
        <f t="shared" si="41"/>
        <v>0</v>
      </c>
      <c r="BE61" s="280">
        <f t="shared" si="42"/>
        <v>0</v>
      </c>
      <c r="BF61" s="280" t="str">
        <f t="shared" si="43"/>
        <v/>
      </c>
    </row>
    <row r="62" spans="1:58" x14ac:dyDescent="0.25">
      <c r="A62" s="70" t="str">
        <f>'G-1 All Habitats'!B61</f>
        <v>Urban - Bioswale</v>
      </c>
      <c r="B62" s="62" t="s">
        <v>120</v>
      </c>
      <c r="C62" s="62" t="str">
        <f>'G-1 All Habitats'!K61</f>
        <v>Low</v>
      </c>
      <c r="D62" s="62" t="str">
        <f>'G-1 All Habitats'!M61</f>
        <v>Same distinctiveness or better habitat required ≥</v>
      </c>
      <c r="E62" s="274">
        <f>SUMIF('A-1 On-Site Habitat Baseline'!$AV$11:$AV$258,'G-2 Habitat groups'!A62,'A-1 On-Site Habitat Baseline'!$H$11:$H$258)</f>
        <v>0</v>
      </c>
      <c r="F62" s="274">
        <f>SUMIF('A-1 On-Site Habitat Baseline'!$AV$11:$AV$258,'G-2 Habitat groups'!A62,'A-1 On-Site Habitat Baseline'!$Q$11:$Q$258)</f>
        <v>0</v>
      </c>
      <c r="G62" s="274">
        <f>SUMIF('A-1 On-Site Habitat Baseline'!$AV$11:$AV$258,'G-2 Habitat groups'!A62,'A-1 On-Site Habitat Baseline'!$S$11:$S$258)</f>
        <v>0</v>
      </c>
      <c r="H62" s="274">
        <f>SUMIF('A-1 On-Site Habitat Baseline'!$AV$11:$AV$258,'G-2 Habitat groups'!A62,'A-1 On-Site Habitat Baseline'!$U$11:$U$258)+SUMIF('A-1 On-Site Habitat Baseline'!$AV$11:$AV$258,'G-2 Habitat groups'!A62, 'A-1 On-Site Habitat Baseline'!$AT$11:$AT$258)</f>
        <v>0</v>
      </c>
      <c r="I62" s="274">
        <f>SUMIF('A-1 On-Site Habitat Baseline'!$AV$11:$AV$258,'G-2 Habitat groups'!A62,'A-1 On-Site Habitat Baseline'!$W$11:$W$258)</f>
        <v>0</v>
      </c>
      <c r="J62" s="274">
        <f>SUMIF('A-1 On-Site Habitat Baseline'!$AV$11:$AV$258,'G-2 Habitat groups'!A62,'A-1 On-Site Habitat Baseline'!$X$11:$X$258)</f>
        <v>0</v>
      </c>
      <c r="K62" s="274">
        <f>SUMIF('A-2 On-Site Habitat Creation'!$F$11:$F$256,'G-2 Habitat groups'!A62,'A-2 On-Site Habitat Creation'!$G$11:$G$256)</f>
        <v>8.0000000000000004E-4</v>
      </c>
      <c r="L62" s="274">
        <f>SUMIF('A-2 On-Site Habitat Creation'!$F$11:$F$256,'G-2 Habitat groups'!A62,'A-2 On-Site Habitat Creation'!$Y$11:$Y$256)</f>
        <v>2.3793040000000001E-3</v>
      </c>
      <c r="M62" s="274">
        <f>SUMIF('A-3 On-Site Habitat Enhancement'!$S$12:$S$257,'G-2 Habitat groups'!A62,'A-3 On-Site Habitat Enhancement'!$V$12:$V$257)</f>
        <v>0</v>
      </c>
      <c r="N62" s="274">
        <f>SUMIF('A-3 On-Site Habitat Enhancement'!$S$12:$S$257,'G-2 Habitat groups'!A62,'A-3 On-Site Habitat Enhancement'!$AN$12:$AN$257)</f>
        <v>0</v>
      </c>
      <c r="O62" s="274">
        <f t="shared" si="44"/>
        <v>8.0000000000000004E-4</v>
      </c>
      <c r="P62" s="274">
        <f t="shared" si="45"/>
        <v>2.3793040000000001E-3</v>
      </c>
      <c r="Q62" s="274">
        <f t="shared" si="46"/>
        <v>8.0000000000000004E-4</v>
      </c>
      <c r="R62" s="274">
        <f t="shared" si="47"/>
        <v>2.3793040000000001E-3</v>
      </c>
      <c r="S62" s="274">
        <f>SUMIF('D-1 Off-Site Habitat Baseline'!$AV$11:$AV$258,'G-2 Habitat groups'!A62,'D-1 Off-Site Habitat Baseline'!$H$11:$H$258)</f>
        <v>0</v>
      </c>
      <c r="T62" s="274">
        <f>SUMIF('D-1 Off-Site Habitat Baseline'!$AV$11:$AV$258,'G-2 Habitat groups'!A62,'D-1 Off-Site Habitat Baseline'!$T$11:$T$258)</f>
        <v>0</v>
      </c>
      <c r="U62" s="274">
        <f>SUMIF('D-1 Off-Site Habitat Baseline'!$AV$11:$AV$258,'G-2 Habitat groups'!A62,'D-1 Off-Site Habitat Baseline'!$V$11:$V$258)</f>
        <v>0</v>
      </c>
      <c r="V62" s="274">
        <f>SUMIF('D-1 Off-Site Habitat Baseline'!$AV$11:$AV$258,'G-2 Habitat groups'!A62,'D-1 Off-Site Habitat Baseline'!$X$11:$X$258)+SUMIF('D-1 Off-Site Habitat Baseline'!$AV$11:$AV$258,'G-2 Habitat groups'!A62,'D-1 Off-Site Habitat Baseline'!$AS$11:$AS$258)</f>
        <v>0</v>
      </c>
      <c r="W62" s="274">
        <f>SUMIF('D-2 Off-Site Habitat Creation'!$F$9:$F$255,'G-2 Habitat groups'!A62,'D-2 Off-Site Habitat Creation'!$G$9:$G$255)</f>
        <v>3.7000000000000002E-3</v>
      </c>
      <c r="X62" s="274">
        <f>SUMIF('D-2 Off-Site Habitat Creation'!$F$9:$F$255,'G-2 Habitat groups'!A62,'D-2 Off-Site Habitat Creation'!$AB$9:$AB$255)</f>
        <v>1.1004280999999999E-2</v>
      </c>
      <c r="Y62" s="274">
        <f>SUMIF('D-3 Off-Site Habitat Enhancment'!$S$12:$S$491,'G-2 Habitat groups'!A62,'D-3 Off-Site Habitat Enhancment'!$V$12:$V$491)</f>
        <v>0</v>
      </c>
      <c r="Z62" s="274">
        <f>SUMIF('D-3 Off-Site Habitat Enhancment'!$S$12:$S$491,'G-2 Habitat groups'!A62,'D-3 Off-Site Habitat Enhancment'!$AQ$12:$AQ$491)</f>
        <v>0</v>
      </c>
      <c r="AA62" s="274">
        <f t="shared" si="48"/>
        <v>3.7000000000000002E-3</v>
      </c>
      <c r="AB62" s="274">
        <f t="shared" si="49"/>
        <v>1.1004280999999999E-2</v>
      </c>
      <c r="AC62" s="274">
        <f t="shared" si="50"/>
        <v>3.7000000000000002E-3</v>
      </c>
      <c r="AD62" s="274">
        <f t="shared" si="51"/>
        <v>1.1004280999999999E-2</v>
      </c>
      <c r="AE62" s="274">
        <f t="shared" si="52"/>
        <v>4.5000000000000005E-3</v>
      </c>
      <c r="AF62" s="274">
        <f t="shared" si="53"/>
        <v>1.3383585E-2</v>
      </c>
      <c r="AU62" s="62" t="s">
        <v>93</v>
      </c>
      <c r="AV62" s="62" t="s">
        <v>94</v>
      </c>
      <c r="AW62" s="280">
        <f t="shared" si="34"/>
        <v>0</v>
      </c>
      <c r="AX62" s="280">
        <f t="shared" si="35"/>
        <v>0</v>
      </c>
      <c r="AY62" s="280">
        <f t="shared" si="36"/>
        <v>0</v>
      </c>
      <c r="AZ62" s="280">
        <f t="shared" si="37"/>
        <v>0</v>
      </c>
      <c r="BA62" s="280">
        <f t="shared" si="38"/>
        <v>0</v>
      </c>
      <c r="BB62" s="280">
        <f t="shared" si="39"/>
        <v>0</v>
      </c>
      <c r="BC62" s="280">
        <f t="shared" si="40"/>
        <v>0</v>
      </c>
      <c r="BD62" s="280">
        <f t="shared" si="41"/>
        <v>0</v>
      </c>
      <c r="BE62" s="280">
        <f t="shared" si="42"/>
        <v>0</v>
      </c>
      <c r="BF62" s="280" t="str">
        <f t="shared" si="43"/>
        <v/>
      </c>
    </row>
    <row r="63" spans="1:58" x14ac:dyDescent="0.25">
      <c r="A63" s="70" t="str">
        <f>'G-1 All Habitats'!B62</f>
        <v>Urban - Intensive green roof</v>
      </c>
      <c r="B63" s="62" t="s">
        <v>120</v>
      </c>
      <c r="C63" s="62" t="str">
        <f>'G-1 All Habitats'!K62</f>
        <v>Low</v>
      </c>
      <c r="D63" s="62" t="str">
        <f>'G-1 All Habitats'!M62</f>
        <v>Same distinctiveness or better habitat required ≥</v>
      </c>
      <c r="E63" s="274">
        <f>SUMIF('A-1 On-Site Habitat Baseline'!$AV$11:$AV$258,'G-2 Habitat groups'!A63,'A-1 On-Site Habitat Baseline'!$H$11:$H$258)</f>
        <v>0</v>
      </c>
      <c r="F63" s="274">
        <f>SUMIF('A-1 On-Site Habitat Baseline'!$AV$11:$AV$258,'G-2 Habitat groups'!A63,'A-1 On-Site Habitat Baseline'!$Q$11:$Q$258)</f>
        <v>0</v>
      </c>
      <c r="G63" s="274">
        <f>SUMIF('A-1 On-Site Habitat Baseline'!$AV$11:$AV$258,'G-2 Habitat groups'!A63,'A-1 On-Site Habitat Baseline'!$S$11:$S$258)</f>
        <v>0</v>
      </c>
      <c r="H63" s="274">
        <f>SUMIF('A-1 On-Site Habitat Baseline'!$AV$11:$AV$258,'G-2 Habitat groups'!A63,'A-1 On-Site Habitat Baseline'!$U$11:$U$258)+SUMIF('A-1 On-Site Habitat Baseline'!$AV$11:$AV$258,'G-2 Habitat groups'!A63, 'A-1 On-Site Habitat Baseline'!$AT$11:$AT$258)</f>
        <v>0</v>
      </c>
      <c r="I63" s="274">
        <f>SUMIF('A-1 On-Site Habitat Baseline'!$AV$11:$AV$258,'G-2 Habitat groups'!A63,'A-1 On-Site Habitat Baseline'!$W$11:$W$258)</f>
        <v>0</v>
      </c>
      <c r="J63" s="274">
        <f>SUMIF('A-1 On-Site Habitat Baseline'!$AV$11:$AV$258,'G-2 Habitat groups'!A63,'A-1 On-Site Habitat Baseline'!$X$11:$X$258)</f>
        <v>0</v>
      </c>
      <c r="K63" s="274">
        <f>SUMIF('A-2 On-Site Habitat Creation'!$F$11:$F$256,'G-2 Habitat groups'!A63,'A-2 On-Site Habitat Creation'!$G$11:$G$256)</f>
        <v>0</v>
      </c>
      <c r="L63" s="274">
        <f>SUMIF('A-2 On-Site Habitat Creation'!$F$11:$F$256,'G-2 Habitat groups'!A63,'A-2 On-Site Habitat Creation'!$Y$11:$Y$256)</f>
        <v>0</v>
      </c>
      <c r="M63" s="274">
        <f>SUMIF('A-3 On-Site Habitat Enhancement'!$S$12:$S$257,'G-2 Habitat groups'!A63,'A-3 On-Site Habitat Enhancement'!$V$12:$V$257)</f>
        <v>0</v>
      </c>
      <c r="N63" s="274">
        <f>SUMIF('A-3 On-Site Habitat Enhancement'!$S$12:$S$257,'G-2 Habitat groups'!A63,'A-3 On-Site Habitat Enhancement'!$AN$12:$AN$257)</f>
        <v>0</v>
      </c>
      <c r="O63" s="274">
        <f t="shared" si="44"/>
        <v>0</v>
      </c>
      <c r="P63" s="274">
        <f t="shared" si="45"/>
        <v>0</v>
      </c>
      <c r="Q63" s="274">
        <f t="shared" si="46"/>
        <v>0</v>
      </c>
      <c r="R63" s="274">
        <f t="shared" si="47"/>
        <v>0</v>
      </c>
      <c r="S63" s="274">
        <f>SUMIF('D-1 Off-Site Habitat Baseline'!$AV$11:$AV$258,'G-2 Habitat groups'!A63,'D-1 Off-Site Habitat Baseline'!$H$11:$H$258)</f>
        <v>0</v>
      </c>
      <c r="T63" s="274">
        <f>SUMIF('D-1 Off-Site Habitat Baseline'!$AV$11:$AV$258,'G-2 Habitat groups'!A63,'D-1 Off-Site Habitat Baseline'!$T$11:$T$258)</f>
        <v>0</v>
      </c>
      <c r="U63" s="274">
        <f>SUMIF('D-1 Off-Site Habitat Baseline'!$AV$11:$AV$258,'G-2 Habitat groups'!A63,'D-1 Off-Site Habitat Baseline'!$V$11:$V$258)</f>
        <v>0</v>
      </c>
      <c r="V63" s="274">
        <f>SUMIF('D-1 Off-Site Habitat Baseline'!$AV$11:$AV$258,'G-2 Habitat groups'!A63,'D-1 Off-Site Habitat Baseline'!$X$11:$X$258)+SUMIF('D-1 Off-Site Habitat Baseline'!$AV$11:$AV$258,'G-2 Habitat groups'!A63,'D-1 Off-Site Habitat Baseline'!$AS$11:$AS$258)</f>
        <v>0</v>
      </c>
      <c r="W63" s="274">
        <f>SUMIF('D-2 Off-Site Habitat Creation'!$F$9:$F$255,'G-2 Habitat groups'!A63,'D-2 Off-Site Habitat Creation'!$G$9:$G$255)</f>
        <v>0</v>
      </c>
      <c r="X63" s="274">
        <f>SUMIF('D-2 Off-Site Habitat Creation'!$F$9:$F$255,'G-2 Habitat groups'!A63,'D-2 Off-Site Habitat Creation'!$AB$9:$AB$255)</f>
        <v>0</v>
      </c>
      <c r="Y63" s="274">
        <f>SUMIF('D-3 Off-Site Habitat Enhancment'!$S$12:$S$491,'G-2 Habitat groups'!A63,'D-3 Off-Site Habitat Enhancment'!$V$12:$V$491)</f>
        <v>0</v>
      </c>
      <c r="Z63" s="274">
        <f>SUMIF('D-3 Off-Site Habitat Enhancment'!$S$12:$S$491,'G-2 Habitat groups'!A63,'D-3 Off-Site Habitat Enhancment'!$AQ$12:$AQ$491)</f>
        <v>0</v>
      </c>
      <c r="AA63" s="274">
        <f t="shared" si="48"/>
        <v>0</v>
      </c>
      <c r="AB63" s="274">
        <f t="shared" si="49"/>
        <v>0</v>
      </c>
      <c r="AC63" s="274">
        <f t="shared" si="50"/>
        <v>0</v>
      </c>
      <c r="AD63" s="274">
        <f t="shared" si="51"/>
        <v>0</v>
      </c>
      <c r="AE63" s="274">
        <f t="shared" si="52"/>
        <v>0</v>
      </c>
      <c r="AF63" s="274">
        <f t="shared" si="53"/>
        <v>0</v>
      </c>
      <c r="AU63" s="62" t="s">
        <v>95</v>
      </c>
      <c r="AV63" s="62" t="s">
        <v>94</v>
      </c>
      <c r="AW63" s="280">
        <f t="shared" si="34"/>
        <v>0</v>
      </c>
      <c r="AX63" s="280">
        <f t="shared" si="35"/>
        <v>0</v>
      </c>
      <c r="AY63" s="280">
        <f t="shared" si="36"/>
        <v>0</v>
      </c>
      <c r="AZ63" s="280">
        <f t="shared" si="37"/>
        <v>0</v>
      </c>
      <c r="BA63" s="280">
        <f t="shared" si="38"/>
        <v>0</v>
      </c>
      <c r="BB63" s="280">
        <f t="shared" si="39"/>
        <v>0</v>
      </c>
      <c r="BC63" s="280">
        <f t="shared" si="40"/>
        <v>0</v>
      </c>
      <c r="BD63" s="280">
        <f t="shared" si="41"/>
        <v>0</v>
      </c>
      <c r="BE63" s="280">
        <f t="shared" si="42"/>
        <v>0</v>
      </c>
      <c r="BF63" s="280" t="str">
        <f t="shared" si="43"/>
        <v/>
      </c>
    </row>
    <row r="64" spans="1:58" x14ac:dyDescent="0.25">
      <c r="A64" s="70" t="str">
        <f>'G-1 All Habitats'!B63</f>
        <v>Urban - Built linear features</v>
      </c>
      <c r="B64" s="62" t="s">
        <v>120</v>
      </c>
      <c r="C64" s="62" t="str">
        <f>'G-1 All Habitats'!K63</f>
        <v>V.Low</v>
      </c>
      <c r="D64" s="62" t="str">
        <f>'G-1 All Habitats'!M63</f>
        <v>Compensation Not Required</v>
      </c>
      <c r="E64" s="274">
        <f>SUMIF('A-1 On-Site Habitat Baseline'!$AV$11:$AV$258,'G-2 Habitat groups'!A64,'A-1 On-Site Habitat Baseline'!$H$11:$H$258)</f>
        <v>0</v>
      </c>
      <c r="F64" s="274">
        <f>SUMIF('A-1 On-Site Habitat Baseline'!$AV$11:$AV$258,'G-2 Habitat groups'!A64,'A-1 On-Site Habitat Baseline'!$Q$11:$Q$258)</f>
        <v>0</v>
      </c>
      <c r="G64" s="274">
        <f>SUMIF('A-1 On-Site Habitat Baseline'!$AV$11:$AV$258,'G-2 Habitat groups'!A64,'A-1 On-Site Habitat Baseline'!$S$11:$S$258)</f>
        <v>0</v>
      </c>
      <c r="H64" s="274">
        <f>SUMIF('A-1 On-Site Habitat Baseline'!$AV$11:$AV$258,'G-2 Habitat groups'!A64,'A-1 On-Site Habitat Baseline'!$U$11:$U$258)+SUMIF('A-1 On-Site Habitat Baseline'!$AV$11:$AV$258,'G-2 Habitat groups'!A64, 'A-1 On-Site Habitat Baseline'!$AT$11:$AT$258)</f>
        <v>0</v>
      </c>
      <c r="I64" s="274">
        <f>SUMIF('A-1 On-Site Habitat Baseline'!$AV$11:$AV$258,'G-2 Habitat groups'!A64,'A-1 On-Site Habitat Baseline'!$W$11:$W$258)</f>
        <v>0</v>
      </c>
      <c r="J64" s="274">
        <f>SUMIF('A-1 On-Site Habitat Baseline'!$AV$11:$AV$258,'G-2 Habitat groups'!A64,'A-1 On-Site Habitat Baseline'!$X$11:$X$258)</f>
        <v>0</v>
      </c>
      <c r="K64" s="274">
        <f>SUMIF('A-2 On-Site Habitat Creation'!$F$11:$F$256,'G-2 Habitat groups'!A64,'A-2 On-Site Habitat Creation'!$G$11:$G$256)</f>
        <v>0</v>
      </c>
      <c r="L64" s="274">
        <f>SUMIF('A-2 On-Site Habitat Creation'!$F$11:$F$256,'G-2 Habitat groups'!A64,'A-2 On-Site Habitat Creation'!$Y$11:$Y$256)</f>
        <v>0</v>
      </c>
      <c r="M64" s="274">
        <f>SUMIF('A-3 On-Site Habitat Enhancement'!$S$12:$S$257,'G-2 Habitat groups'!A64,'A-3 On-Site Habitat Enhancement'!$V$12:$V$257)</f>
        <v>0</v>
      </c>
      <c r="N64" s="274">
        <f>SUMIF('A-3 On-Site Habitat Enhancement'!$S$12:$S$257,'G-2 Habitat groups'!A64,'A-3 On-Site Habitat Enhancement'!$AN$12:$AN$257)</f>
        <v>0</v>
      </c>
      <c r="O64" s="274">
        <f t="shared" si="44"/>
        <v>0</v>
      </c>
      <c r="P64" s="274">
        <f t="shared" si="45"/>
        <v>0</v>
      </c>
      <c r="Q64" s="274">
        <f t="shared" si="46"/>
        <v>0</v>
      </c>
      <c r="R64" s="274">
        <f t="shared" si="47"/>
        <v>0</v>
      </c>
      <c r="S64" s="274">
        <f>SUMIF('D-1 Off-Site Habitat Baseline'!$AV$11:$AV$258,'G-2 Habitat groups'!A64,'D-1 Off-Site Habitat Baseline'!$H$11:$H$258)</f>
        <v>0</v>
      </c>
      <c r="T64" s="274">
        <f>SUMIF('D-1 Off-Site Habitat Baseline'!$AV$11:$AV$258,'G-2 Habitat groups'!A64,'D-1 Off-Site Habitat Baseline'!$T$11:$T$258)</f>
        <v>0</v>
      </c>
      <c r="U64" s="274">
        <f>SUMIF('D-1 Off-Site Habitat Baseline'!$AV$11:$AV$258,'G-2 Habitat groups'!A64,'D-1 Off-Site Habitat Baseline'!$V$11:$V$258)</f>
        <v>0</v>
      </c>
      <c r="V64" s="274">
        <f>SUMIF('D-1 Off-Site Habitat Baseline'!$AV$11:$AV$258,'G-2 Habitat groups'!A64,'D-1 Off-Site Habitat Baseline'!$X$11:$X$258)+SUMIF('D-1 Off-Site Habitat Baseline'!$AV$11:$AV$258,'G-2 Habitat groups'!A64,'D-1 Off-Site Habitat Baseline'!$AS$11:$AS$258)</f>
        <v>0</v>
      </c>
      <c r="W64" s="274">
        <f>SUMIF('D-2 Off-Site Habitat Creation'!$F$9:$F$255,'G-2 Habitat groups'!A64,'D-2 Off-Site Habitat Creation'!$G$9:$G$255)</f>
        <v>0</v>
      </c>
      <c r="X64" s="274">
        <f>SUMIF('D-2 Off-Site Habitat Creation'!$F$9:$F$255,'G-2 Habitat groups'!A64,'D-2 Off-Site Habitat Creation'!$AB$9:$AB$255)</f>
        <v>0</v>
      </c>
      <c r="Y64" s="274">
        <f>SUMIF('D-3 Off-Site Habitat Enhancment'!$S$12:$S$491,'G-2 Habitat groups'!A64,'D-3 Off-Site Habitat Enhancment'!$V$12:$V$491)</f>
        <v>0</v>
      </c>
      <c r="Z64" s="274">
        <f>SUMIF('D-3 Off-Site Habitat Enhancment'!$S$12:$S$491,'G-2 Habitat groups'!A64,'D-3 Off-Site Habitat Enhancment'!$AQ$12:$AQ$491)</f>
        <v>0</v>
      </c>
      <c r="AA64" s="274">
        <f t="shared" si="48"/>
        <v>0</v>
      </c>
      <c r="AB64" s="274">
        <f t="shared" si="49"/>
        <v>0</v>
      </c>
      <c r="AC64" s="274">
        <f t="shared" si="50"/>
        <v>0</v>
      </c>
      <c r="AD64" s="274">
        <f t="shared" si="51"/>
        <v>0</v>
      </c>
      <c r="AE64" s="274">
        <f t="shared" si="52"/>
        <v>0</v>
      </c>
      <c r="AF64" s="274">
        <f t="shared" si="53"/>
        <v>0</v>
      </c>
      <c r="AU64" s="62" t="s">
        <v>96</v>
      </c>
      <c r="AV64" s="62" t="s">
        <v>94</v>
      </c>
      <c r="AW64" s="280">
        <f t="shared" si="34"/>
        <v>0</v>
      </c>
      <c r="AX64" s="280">
        <f t="shared" si="35"/>
        <v>0</v>
      </c>
      <c r="AY64" s="280">
        <f t="shared" si="36"/>
        <v>0</v>
      </c>
      <c r="AZ64" s="280">
        <f t="shared" si="37"/>
        <v>0</v>
      </c>
      <c r="BA64" s="280">
        <f t="shared" si="38"/>
        <v>0</v>
      </c>
      <c r="BB64" s="280">
        <f t="shared" si="39"/>
        <v>0</v>
      </c>
      <c r="BC64" s="280">
        <f t="shared" si="40"/>
        <v>0</v>
      </c>
      <c r="BD64" s="280">
        <f t="shared" si="41"/>
        <v>0</v>
      </c>
      <c r="BE64" s="280">
        <f t="shared" si="42"/>
        <v>0</v>
      </c>
      <c r="BF64" s="280" t="str">
        <f t="shared" si="43"/>
        <v/>
      </c>
    </row>
    <row r="65" spans="1:59" x14ac:dyDescent="0.25">
      <c r="A65" s="70" t="str">
        <f>'G-1 All Habitats'!B64</f>
        <v>Urban - Cemeteries and churchyards</v>
      </c>
      <c r="B65" s="62" t="s">
        <v>120</v>
      </c>
      <c r="C65" s="62" t="str">
        <f>'G-1 All Habitats'!K64</f>
        <v>Medium</v>
      </c>
      <c r="D65" s="62" t="str">
        <f>'G-1 All Habitats'!M64</f>
        <v>Same broad habitat or a higher distinctiveness habitat required (≥)</v>
      </c>
      <c r="E65" s="274">
        <f>SUMIF('A-1 On-Site Habitat Baseline'!$AV$11:$AV$258,'G-2 Habitat groups'!A65,'A-1 On-Site Habitat Baseline'!$H$11:$H$258)</f>
        <v>0</v>
      </c>
      <c r="F65" s="274">
        <f>SUMIF('A-1 On-Site Habitat Baseline'!$AV$11:$AV$258,'G-2 Habitat groups'!A65,'A-1 On-Site Habitat Baseline'!$Q$11:$Q$258)</f>
        <v>0</v>
      </c>
      <c r="G65" s="274">
        <f>SUMIF('A-1 On-Site Habitat Baseline'!$AV$11:$AV$258,'G-2 Habitat groups'!A65,'A-1 On-Site Habitat Baseline'!$S$11:$S$258)</f>
        <v>0</v>
      </c>
      <c r="H65" s="274">
        <f>SUMIF('A-1 On-Site Habitat Baseline'!$AV$11:$AV$258,'G-2 Habitat groups'!A65,'A-1 On-Site Habitat Baseline'!$U$11:$U$258)+SUMIF('A-1 On-Site Habitat Baseline'!$AV$11:$AV$258,'G-2 Habitat groups'!A65, 'A-1 On-Site Habitat Baseline'!$AT$11:$AT$258)</f>
        <v>0</v>
      </c>
      <c r="I65" s="274">
        <f>SUMIF('A-1 On-Site Habitat Baseline'!$AV$11:$AV$258,'G-2 Habitat groups'!A65,'A-1 On-Site Habitat Baseline'!$W$11:$W$258)</f>
        <v>0</v>
      </c>
      <c r="J65" s="274">
        <f>SUMIF('A-1 On-Site Habitat Baseline'!$AV$11:$AV$258,'G-2 Habitat groups'!A65,'A-1 On-Site Habitat Baseline'!$X$11:$X$258)</f>
        <v>0</v>
      </c>
      <c r="K65" s="274">
        <f>SUMIF('A-2 On-Site Habitat Creation'!$F$11:$F$256,'G-2 Habitat groups'!A65,'A-2 On-Site Habitat Creation'!$G$11:$G$256)</f>
        <v>0</v>
      </c>
      <c r="L65" s="274">
        <f>SUMIF('A-2 On-Site Habitat Creation'!$F$11:$F$256,'G-2 Habitat groups'!A65,'A-2 On-Site Habitat Creation'!$Y$11:$Y$256)</f>
        <v>0</v>
      </c>
      <c r="M65" s="274">
        <f>SUMIF('A-3 On-Site Habitat Enhancement'!$S$12:$S$257,'G-2 Habitat groups'!A65,'A-3 On-Site Habitat Enhancement'!$V$12:$V$257)</f>
        <v>0</v>
      </c>
      <c r="N65" s="274">
        <f>SUMIF('A-3 On-Site Habitat Enhancement'!$S$12:$S$257,'G-2 Habitat groups'!A65,'A-3 On-Site Habitat Enhancement'!$AN$12:$AN$257)</f>
        <v>0</v>
      </c>
      <c r="O65" s="274">
        <f t="shared" si="44"/>
        <v>0</v>
      </c>
      <c r="P65" s="274">
        <f t="shared" si="45"/>
        <v>0</v>
      </c>
      <c r="Q65" s="274">
        <f t="shared" si="46"/>
        <v>0</v>
      </c>
      <c r="R65" s="274">
        <f t="shared" si="47"/>
        <v>0</v>
      </c>
      <c r="S65" s="274">
        <f>SUMIF('D-1 Off-Site Habitat Baseline'!$AV$11:$AV$258,'G-2 Habitat groups'!A65,'D-1 Off-Site Habitat Baseline'!$H$11:$H$258)</f>
        <v>0</v>
      </c>
      <c r="T65" s="274">
        <f>SUMIF('D-1 Off-Site Habitat Baseline'!$AV$11:$AV$258,'G-2 Habitat groups'!A65,'D-1 Off-Site Habitat Baseline'!$T$11:$T$258)</f>
        <v>0</v>
      </c>
      <c r="U65" s="274">
        <f>SUMIF('D-1 Off-Site Habitat Baseline'!$AV$11:$AV$258,'G-2 Habitat groups'!A65,'D-1 Off-Site Habitat Baseline'!$V$11:$V$258)</f>
        <v>0</v>
      </c>
      <c r="V65" s="274">
        <f>SUMIF('D-1 Off-Site Habitat Baseline'!$AV$11:$AV$258,'G-2 Habitat groups'!A65,'D-1 Off-Site Habitat Baseline'!$X$11:$X$258)+SUMIF('D-1 Off-Site Habitat Baseline'!$AV$11:$AV$258,'G-2 Habitat groups'!A65,'D-1 Off-Site Habitat Baseline'!$AS$11:$AS$258)</f>
        <v>0</v>
      </c>
      <c r="W65" s="274">
        <f>SUMIF('D-2 Off-Site Habitat Creation'!$F$9:$F$255,'G-2 Habitat groups'!A65,'D-2 Off-Site Habitat Creation'!$G$9:$G$255)</f>
        <v>0</v>
      </c>
      <c r="X65" s="274">
        <f>SUMIF('D-2 Off-Site Habitat Creation'!$F$9:$F$255,'G-2 Habitat groups'!A65,'D-2 Off-Site Habitat Creation'!$AB$9:$AB$255)</f>
        <v>0</v>
      </c>
      <c r="Y65" s="274">
        <f>SUMIF('D-3 Off-Site Habitat Enhancment'!$S$12:$S$491,'G-2 Habitat groups'!A65,'D-3 Off-Site Habitat Enhancment'!$V$12:$V$491)</f>
        <v>0</v>
      </c>
      <c r="Z65" s="274">
        <f>SUMIF('D-3 Off-Site Habitat Enhancment'!$S$12:$S$491,'G-2 Habitat groups'!A65,'D-3 Off-Site Habitat Enhancment'!$AQ$12:$AQ$491)</f>
        <v>0</v>
      </c>
      <c r="AA65" s="274">
        <f t="shared" si="48"/>
        <v>0</v>
      </c>
      <c r="AB65" s="274">
        <f t="shared" si="49"/>
        <v>0</v>
      </c>
      <c r="AC65" s="274">
        <f t="shared" si="50"/>
        <v>0</v>
      </c>
      <c r="AD65" s="274">
        <f t="shared" si="51"/>
        <v>0</v>
      </c>
      <c r="AE65" s="274">
        <f t="shared" si="52"/>
        <v>0</v>
      </c>
      <c r="AF65" s="274">
        <f t="shared" si="53"/>
        <v>0</v>
      </c>
      <c r="AU65" s="62" t="s">
        <v>97</v>
      </c>
      <c r="AV65" s="62" t="s">
        <v>94</v>
      </c>
      <c r="AW65" s="280">
        <f t="shared" si="34"/>
        <v>0</v>
      </c>
      <c r="AX65" s="280">
        <f t="shared" si="35"/>
        <v>0</v>
      </c>
      <c r="AY65" s="280">
        <f t="shared" si="36"/>
        <v>0</v>
      </c>
      <c r="AZ65" s="280">
        <f t="shared" si="37"/>
        <v>0</v>
      </c>
      <c r="BA65" s="280">
        <f t="shared" si="38"/>
        <v>0</v>
      </c>
      <c r="BB65" s="280">
        <f t="shared" si="39"/>
        <v>0</v>
      </c>
      <c r="BC65" s="280">
        <f t="shared" si="40"/>
        <v>0</v>
      </c>
      <c r="BD65" s="280">
        <f t="shared" si="41"/>
        <v>0</v>
      </c>
      <c r="BE65" s="280">
        <f t="shared" si="42"/>
        <v>0</v>
      </c>
      <c r="BF65" s="280" t="str">
        <f t="shared" si="43"/>
        <v/>
      </c>
    </row>
    <row r="66" spans="1:59" x14ac:dyDescent="0.25">
      <c r="A66" s="70" t="str">
        <f>'G-1 All Habitats'!B65</f>
        <v>Urban - Developed land; sealed surface</v>
      </c>
      <c r="B66" s="62" t="s">
        <v>120</v>
      </c>
      <c r="C66" s="62" t="str">
        <f>'G-1 All Habitats'!K65</f>
        <v>V.Low</v>
      </c>
      <c r="D66" s="62" t="str">
        <f>'G-1 All Habitats'!M65</f>
        <v>Compensation Not Required</v>
      </c>
      <c r="E66" s="274">
        <f>SUMIF('A-1 On-Site Habitat Baseline'!$AV$11:$AV$258,'G-2 Habitat groups'!A66,'A-1 On-Site Habitat Baseline'!$H$11:$H$258)</f>
        <v>4.48E-2</v>
      </c>
      <c r="F66" s="274">
        <f>SUMIF('A-1 On-Site Habitat Baseline'!$AV$11:$AV$258,'G-2 Habitat groups'!A66,'A-1 On-Site Habitat Baseline'!$Q$11:$Q$258)</f>
        <v>0</v>
      </c>
      <c r="G66" s="274">
        <f>SUMIF('A-1 On-Site Habitat Baseline'!$AV$11:$AV$258,'G-2 Habitat groups'!A66,'A-1 On-Site Habitat Baseline'!$S$11:$S$258)</f>
        <v>0</v>
      </c>
      <c r="H66" s="274">
        <f>SUMIF('A-1 On-Site Habitat Baseline'!$AV$11:$AV$258,'G-2 Habitat groups'!A66,'A-1 On-Site Habitat Baseline'!$U$11:$U$258)+SUMIF('A-1 On-Site Habitat Baseline'!$AV$11:$AV$258,'G-2 Habitat groups'!A66, 'A-1 On-Site Habitat Baseline'!$AT$11:$AT$258)</f>
        <v>0</v>
      </c>
      <c r="I66" s="274">
        <f>SUMIF('A-1 On-Site Habitat Baseline'!$AV$11:$AV$258,'G-2 Habitat groups'!A66,'A-1 On-Site Habitat Baseline'!$W$11:$W$258)</f>
        <v>4.48E-2</v>
      </c>
      <c r="J66" s="274">
        <f>SUMIF('A-1 On-Site Habitat Baseline'!$AV$11:$AV$258,'G-2 Habitat groups'!A66,'A-1 On-Site Habitat Baseline'!$X$11:$X$258)</f>
        <v>0</v>
      </c>
      <c r="K66" s="274">
        <f>SUMIF('A-2 On-Site Habitat Creation'!$F$11:$F$256,'G-2 Habitat groups'!A66,'A-2 On-Site Habitat Creation'!$G$11:$G$256)</f>
        <v>0.32450000000000001</v>
      </c>
      <c r="L66" s="274">
        <f>SUMIF('A-2 On-Site Habitat Creation'!$F$11:$F$256,'G-2 Habitat groups'!A66,'A-2 On-Site Habitat Creation'!$Y$11:$Y$256)</f>
        <v>0</v>
      </c>
      <c r="M66" s="274">
        <f>SUMIF('A-3 On-Site Habitat Enhancement'!$S$12:$S$257,'G-2 Habitat groups'!A66,'A-3 On-Site Habitat Enhancement'!$V$12:$V$257)</f>
        <v>0</v>
      </c>
      <c r="N66" s="274">
        <f>SUMIF('A-3 On-Site Habitat Enhancement'!$S$12:$S$257,'G-2 Habitat groups'!A66,'A-3 On-Site Habitat Enhancement'!$AN$12:$AN$257)</f>
        <v>0</v>
      </c>
      <c r="O66" s="274">
        <f t="shared" si="44"/>
        <v>0.32450000000000001</v>
      </c>
      <c r="P66" s="274">
        <f t="shared" si="45"/>
        <v>0</v>
      </c>
      <c r="Q66" s="274">
        <f t="shared" si="46"/>
        <v>0.2797</v>
      </c>
      <c r="R66" s="274">
        <f t="shared" si="47"/>
        <v>0</v>
      </c>
      <c r="S66" s="274">
        <f>SUMIF('D-1 Off-Site Habitat Baseline'!$AV$11:$AV$258,'G-2 Habitat groups'!A66,'D-1 Off-Site Habitat Baseline'!$H$11:$H$258)</f>
        <v>0</v>
      </c>
      <c r="T66" s="274">
        <f>SUMIF('D-1 Off-Site Habitat Baseline'!$AV$11:$AV$258,'G-2 Habitat groups'!A66,'D-1 Off-Site Habitat Baseline'!$T$11:$T$258)</f>
        <v>0</v>
      </c>
      <c r="U66" s="274">
        <f>SUMIF('D-1 Off-Site Habitat Baseline'!$AV$11:$AV$258,'G-2 Habitat groups'!A66,'D-1 Off-Site Habitat Baseline'!$V$11:$V$258)</f>
        <v>0</v>
      </c>
      <c r="V66" s="274">
        <f>SUMIF('D-1 Off-Site Habitat Baseline'!$AV$11:$AV$258,'G-2 Habitat groups'!A66,'D-1 Off-Site Habitat Baseline'!$X$11:$X$258)+SUMIF('D-1 Off-Site Habitat Baseline'!$AV$11:$AV$258,'G-2 Habitat groups'!A66,'D-1 Off-Site Habitat Baseline'!$AS$11:$AS$258)</f>
        <v>0</v>
      </c>
      <c r="W66" s="274">
        <f>SUMIF('D-2 Off-Site Habitat Creation'!$F$9:$F$255,'G-2 Habitat groups'!A66,'D-2 Off-Site Habitat Creation'!$G$9:$G$255)</f>
        <v>0</v>
      </c>
      <c r="X66" s="274">
        <f>SUMIF('D-2 Off-Site Habitat Creation'!$F$9:$F$255,'G-2 Habitat groups'!A66,'D-2 Off-Site Habitat Creation'!$AB$9:$AB$255)</f>
        <v>0</v>
      </c>
      <c r="Y66" s="274">
        <f>SUMIF('D-3 Off-Site Habitat Enhancment'!$S$12:$S$491,'G-2 Habitat groups'!A66,'D-3 Off-Site Habitat Enhancment'!$V$12:$V$491)</f>
        <v>0</v>
      </c>
      <c r="Z66" s="274">
        <f>SUMIF('D-3 Off-Site Habitat Enhancment'!$S$12:$S$491,'G-2 Habitat groups'!A66,'D-3 Off-Site Habitat Enhancment'!$AQ$12:$AQ$491)</f>
        <v>0</v>
      </c>
      <c r="AA66" s="274">
        <f t="shared" si="48"/>
        <v>0</v>
      </c>
      <c r="AB66" s="274">
        <f t="shared" si="49"/>
        <v>0</v>
      </c>
      <c r="AC66" s="274">
        <f t="shared" si="50"/>
        <v>0</v>
      </c>
      <c r="AD66" s="274">
        <f t="shared" si="51"/>
        <v>0</v>
      </c>
      <c r="AE66" s="274">
        <f t="shared" si="52"/>
        <v>0.2797</v>
      </c>
      <c r="AF66" s="274">
        <f t="shared" si="53"/>
        <v>0</v>
      </c>
      <c r="AU66" s="62" t="s">
        <v>104</v>
      </c>
      <c r="AV66" s="62" t="s">
        <v>105</v>
      </c>
      <c r="AW66" s="280">
        <f t="shared" si="34"/>
        <v>0</v>
      </c>
      <c r="AX66" s="280">
        <f t="shared" si="35"/>
        <v>0</v>
      </c>
      <c r="AY66" s="280">
        <f t="shared" si="36"/>
        <v>0</v>
      </c>
      <c r="AZ66" s="280">
        <f t="shared" si="37"/>
        <v>0</v>
      </c>
      <c r="BA66" s="280">
        <f t="shared" si="38"/>
        <v>0</v>
      </c>
      <c r="BB66" s="280">
        <f t="shared" si="39"/>
        <v>0</v>
      </c>
      <c r="BC66" s="280">
        <f t="shared" si="40"/>
        <v>0</v>
      </c>
      <c r="BD66" s="280">
        <f t="shared" si="41"/>
        <v>0</v>
      </c>
      <c r="BE66" s="280">
        <f t="shared" si="42"/>
        <v>0</v>
      </c>
      <c r="BF66" s="280" t="str">
        <f t="shared" si="43"/>
        <v/>
      </c>
    </row>
    <row r="67" spans="1:59" x14ac:dyDescent="0.25">
      <c r="A67" s="70" t="str">
        <f>'G-1 All Habitats'!B66</f>
        <v>Urban - Other green roof</v>
      </c>
      <c r="B67" s="62" t="s">
        <v>120</v>
      </c>
      <c r="C67" s="62" t="str">
        <f>'G-1 All Habitats'!K66</f>
        <v>Low</v>
      </c>
      <c r="D67" s="62" t="str">
        <f>'G-1 All Habitats'!M66</f>
        <v>Same distinctiveness or better habitat required ≥</v>
      </c>
      <c r="E67" s="274">
        <f>SUMIF('A-1 On-Site Habitat Baseline'!$AV$11:$AV$258,'G-2 Habitat groups'!A67,'A-1 On-Site Habitat Baseline'!$H$11:$H$258)</f>
        <v>0</v>
      </c>
      <c r="F67" s="274">
        <f>SUMIF('A-1 On-Site Habitat Baseline'!$AV$11:$AV$258,'G-2 Habitat groups'!A67,'A-1 On-Site Habitat Baseline'!$Q$11:$Q$258)</f>
        <v>0</v>
      </c>
      <c r="G67" s="274">
        <f>SUMIF('A-1 On-Site Habitat Baseline'!$AV$11:$AV$258,'G-2 Habitat groups'!A67,'A-1 On-Site Habitat Baseline'!$S$11:$S$258)</f>
        <v>0</v>
      </c>
      <c r="H67" s="274">
        <f>SUMIF('A-1 On-Site Habitat Baseline'!$AV$11:$AV$258,'G-2 Habitat groups'!A67,'A-1 On-Site Habitat Baseline'!$U$11:$U$258)+SUMIF('A-1 On-Site Habitat Baseline'!$AV$11:$AV$258,'G-2 Habitat groups'!A67, 'A-1 On-Site Habitat Baseline'!$AT$11:$AT$258)</f>
        <v>0</v>
      </c>
      <c r="I67" s="274">
        <f>SUMIF('A-1 On-Site Habitat Baseline'!$AV$11:$AV$258,'G-2 Habitat groups'!A67,'A-1 On-Site Habitat Baseline'!$W$11:$W$258)</f>
        <v>0</v>
      </c>
      <c r="J67" s="274">
        <f>SUMIF('A-1 On-Site Habitat Baseline'!$AV$11:$AV$258,'G-2 Habitat groups'!A67,'A-1 On-Site Habitat Baseline'!$X$11:$X$258)</f>
        <v>0</v>
      </c>
      <c r="K67" s="274">
        <f>SUMIF('A-2 On-Site Habitat Creation'!$F$11:$F$256,'G-2 Habitat groups'!A67,'A-2 On-Site Habitat Creation'!$G$11:$G$256)</f>
        <v>0</v>
      </c>
      <c r="L67" s="274">
        <f>SUMIF('A-2 On-Site Habitat Creation'!$F$11:$F$256,'G-2 Habitat groups'!A67,'A-2 On-Site Habitat Creation'!$Y$11:$Y$256)</f>
        <v>0</v>
      </c>
      <c r="M67" s="274">
        <f>SUMIF('A-3 On-Site Habitat Enhancement'!$S$12:$S$257,'G-2 Habitat groups'!A67,'A-3 On-Site Habitat Enhancement'!$V$12:$V$257)</f>
        <v>0</v>
      </c>
      <c r="N67" s="274">
        <f>SUMIF('A-3 On-Site Habitat Enhancement'!$S$12:$S$257,'G-2 Habitat groups'!A67,'A-3 On-Site Habitat Enhancement'!$AN$12:$AN$257)</f>
        <v>0</v>
      </c>
      <c r="O67" s="274">
        <f t="shared" si="44"/>
        <v>0</v>
      </c>
      <c r="P67" s="274">
        <f t="shared" si="45"/>
        <v>0</v>
      </c>
      <c r="Q67" s="274">
        <f t="shared" si="46"/>
        <v>0</v>
      </c>
      <c r="R67" s="274">
        <f t="shared" si="47"/>
        <v>0</v>
      </c>
      <c r="S67" s="274">
        <f>SUMIF('D-1 Off-Site Habitat Baseline'!$AV$11:$AV$258,'G-2 Habitat groups'!A67,'D-1 Off-Site Habitat Baseline'!$H$11:$H$258)</f>
        <v>0</v>
      </c>
      <c r="T67" s="274">
        <f>SUMIF('D-1 Off-Site Habitat Baseline'!$AV$11:$AV$258,'G-2 Habitat groups'!A67,'D-1 Off-Site Habitat Baseline'!$T$11:$T$258)</f>
        <v>0</v>
      </c>
      <c r="U67" s="274">
        <f>SUMIF('D-1 Off-Site Habitat Baseline'!$AV$11:$AV$258,'G-2 Habitat groups'!A67,'D-1 Off-Site Habitat Baseline'!$V$11:$V$258)</f>
        <v>0</v>
      </c>
      <c r="V67" s="274">
        <f>SUMIF('D-1 Off-Site Habitat Baseline'!$AV$11:$AV$258,'G-2 Habitat groups'!A67,'D-1 Off-Site Habitat Baseline'!$X$11:$X$258)+SUMIF('D-1 Off-Site Habitat Baseline'!$AV$11:$AV$258,'G-2 Habitat groups'!A67,'D-1 Off-Site Habitat Baseline'!$AS$11:$AS$258)</f>
        <v>0</v>
      </c>
      <c r="W67" s="274">
        <f>SUMIF('D-2 Off-Site Habitat Creation'!$F$9:$F$255,'G-2 Habitat groups'!A67,'D-2 Off-Site Habitat Creation'!$G$9:$G$255)</f>
        <v>0</v>
      </c>
      <c r="X67" s="274">
        <f>SUMIF('D-2 Off-Site Habitat Creation'!$F$9:$F$255,'G-2 Habitat groups'!A67,'D-2 Off-Site Habitat Creation'!$AB$9:$AB$255)</f>
        <v>0</v>
      </c>
      <c r="Y67" s="274">
        <f>SUMIF('D-3 Off-Site Habitat Enhancment'!$S$12:$S$491,'G-2 Habitat groups'!A67,'D-3 Off-Site Habitat Enhancment'!$V$12:$V$491)</f>
        <v>0</v>
      </c>
      <c r="Z67" s="274">
        <f>SUMIF('D-3 Off-Site Habitat Enhancment'!$S$12:$S$491,'G-2 Habitat groups'!A67,'D-3 Off-Site Habitat Enhancment'!$AQ$12:$AQ$491)</f>
        <v>0</v>
      </c>
      <c r="AA67" s="274">
        <f t="shared" si="48"/>
        <v>0</v>
      </c>
      <c r="AB67" s="274">
        <f t="shared" si="49"/>
        <v>0</v>
      </c>
      <c r="AC67" s="274">
        <f t="shared" si="50"/>
        <v>0</v>
      </c>
      <c r="AD67" s="274">
        <f t="shared" si="51"/>
        <v>0</v>
      </c>
      <c r="AE67" s="274">
        <f t="shared" si="52"/>
        <v>0</v>
      </c>
      <c r="AF67" s="274">
        <f t="shared" si="53"/>
        <v>0</v>
      </c>
      <c r="AU67" s="62" t="s">
        <v>106</v>
      </c>
      <c r="AV67" s="62" t="s">
        <v>105</v>
      </c>
      <c r="AW67" s="280">
        <f t="shared" si="34"/>
        <v>0</v>
      </c>
      <c r="AX67" s="280">
        <f t="shared" si="35"/>
        <v>0</v>
      </c>
      <c r="AY67" s="280">
        <f t="shared" si="36"/>
        <v>0</v>
      </c>
      <c r="AZ67" s="280">
        <f t="shared" si="37"/>
        <v>0</v>
      </c>
      <c r="BA67" s="280">
        <f t="shared" si="38"/>
        <v>0</v>
      </c>
      <c r="BB67" s="280">
        <f t="shared" si="39"/>
        <v>0</v>
      </c>
      <c r="BC67" s="280">
        <f t="shared" si="40"/>
        <v>0</v>
      </c>
      <c r="BD67" s="280">
        <f t="shared" si="41"/>
        <v>0</v>
      </c>
      <c r="BE67" s="280">
        <f t="shared" si="42"/>
        <v>0</v>
      </c>
      <c r="BF67" s="280" t="str">
        <f t="shared" si="43"/>
        <v/>
      </c>
    </row>
    <row r="68" spans="1:59" x14ac:dyDescent="0.25">
      <c r="A68" s="70" t="str">
        <f>'G-1 All Habitats'!B67</f>
        <v>Urban - Facade-bound green wall</v>
      </c>
      <c r="B68" s="62" t="s">
        <v>120</v>
      </c>
      <c r="C68" s="62" t="str">
        <f>'G-1 All Habitats'!K67</f>
        <v>Low</v>
      </c>
      <c r="D68" s="62" t="str">
        <f>'G-1 All Habitats'!M67</f>
        <v>Same distinctiveness or better habitat required ≥</v>
      </c>
      <c r="E68" s="274">
        <f>SUMIF('A-1 On-Site Habitat Baseline'!$AV$11:$AV$258,'G-2 Habitat groups'!A68,'A-1 On-Site Habitat Baseline'!$H$11:$H$258)</f>
        <v>0</v>
      </c>
      <c r="F68" s="274">
        <f>SUMIF('A-1 On-Site Habitat Baseline'!$AV$11:$AV$258,'G-2 Habitat groups'!A68,'A-1 On-Site Habitat Baseline'!$Q$11:$Q$258)</f>
        <v>0</v>
      </c>
      <c r="G68" s="274">
        <f>SUMIF('A-1 On-Site Habitat Baseline'!$AV$11:$AV$258,'G-2 Habitat groups'!A68,'A-1 On-Site Habitat Baseline'!$S$11:$S$258)</f>
        <v>0</v>
      </c>
      <c r="H68" s="274">
        <f>SUMIF('A-1 On-Site Habitat Baseline'!$AV$11:$AV$258,'G-2 Habitat groups'!A68,'A-1 On-Site Habitat Baseline'!$U$11:$U$258)+SUMIF('A-1 On-Site Habitat Baseline'!$AV$11:$AV$258,'G-2 Habitat groups'!A68, 'A-1 On-Site Habitat Baseline'!$AT$11:$AT$258)</f>
        <v>0</v>
      </c>
      <c r="I68" s="274">
        <f>SUMIF('A-1 On-Site Habitat Baseline'!$AV$11:$AV$258,'G-2 Habitat groups'!A68,'A-1 On-Site Habitat Baseline'!$W$11:$W$258)</f>
        <v>0</v>
      </c>
      <c r="J68" s="274">
        <f>SUMIF('A-1 On-Site Habitat Baseline'!$AV$11:$AV$258,'G-2 Habitat groups'!A68,'A-1 On-Site Habitat Baseline'!$X$11:$X$258)</f>
        <v>0</v>
      </c>
      <c r="K68" s="274">
        <f>SUMIF('A-2 On-Site Habitat Creation'!$F$11:$F$256,'G-2 Habitat groups'!A68,'A-2 On-Site Habitat Creation'!$G$11:$G$256)</f>
        <v>0</v>
      </c>
      <c r="L68" s="274">
        <f>SUMIF('A-2 On-Site Habitat Creation'!$F$11:$F$256,'G-2 Habitat groups'!A68,'A-2 On-Site Habitat Creation'!$Y$11:$Y$256)</f>
        <v>0</v>
      </c>
      <c r="M68" s="274">
        <f>SUMIF('A-3 On-Site Habitat Enhancement'!$S$12:$S$257,'G-2 Habitat groups'!A68,'A-3 On-Site Habitat Enhancement'!$V$12:$V$257)</f>
        <v>0</v>
      </c>
      <c r="N68" s="274">
        <f>SUMIF('A-3 On-Site Habitat Enhancement'!$S$12:$S$257,'G-2 Habitat groups'!A68,'A-3 On-Site Habitat Enhancement'!$AN$12:$AN$257)</f>
        <v>0</v>
      </c>
      <c r="O68" s="274">
        <f t="shared" si="44"/>
        <v>0</v>
      </c>
      <c r="P68" s="274">
        <f t="shared" si="45"/>
        <v>0</v>
      </c>
      <c r="Q68" s="274">
        <f t="shared" si="46"/>
        <v>0</v>
      </c>
      <c r="R68" s="274">
        <f t="shared" si="47"/>
        <v>0</v>
      </c>
      <c r="S68" s="274">
        <f>SUMIF('D-1 Off-Site Habitat Baseline'!$AV$11:$AV$258,'G-2 Habitat groups'!A68,'D-1 Off-Site Habitat Baseline'!$H$11:$H$258)</f>
        <v>0</v>
      </c>
      <c r="T68" s="274">
        <f>SUMIF('D-1 Off-Site Habitat Baseline'!$AV$11:$AV$258,'G-2 Habitat groups'!A68,'D-1 Off-Site Habitat Baseline'!$T$11:$T$258)</f>
        <v>0</v>
      </c>
      <c r="U68" s="274">
        <f>SUMIF('D-1 Off-Site Habitat Baseline'!$AV$11:$AV$258,'G-2 Habitat groups'!A68,'D-1 Off-Site Habitat Baseline'!$V$11:$V$258)</f>
        <v>0</v>
      </c>
      <c r="V68" s="274">
        <f>SUMIF('D-1 Off-Site Habitat Baseline'!$AV$11:$AV$258,'G-2 Habitat groups'!A68,'D-1 Off-Site Habitat Baseline'!$X$11:$X$258)+SUMIF('D-1 Off-Site Habitat Baseline'!$AV$11:$AV$258,'G-2 Habitat groups'!A68,'D-1 Off-Site Habitat Baseline'!$AS$11:$AS$258)</f>
        <v>0</v>
      </c>
      <c r="W68" s="274">
        <f>SUMIF('D-2 Off-Site Habitat Creation'!$F$9:$F$255,'G-2 Habitat groups'!A68,'D-2 Off-Site Habitat Creation'!$G$9:$G$255)</f>
        <v>0</v>
      </c>
      <c r="X68" s="274">
        <f>SUMIF('D-2 Off-Site Habitat Creation'!$F$9:$F$255,'G-2 Habitat groups'!A68,'D-2 Off-Site Habitat Creation'!$AB$9:$AB$255)</f>
        <v>0</v>
      </c>
      <c r="Y68" s="274">
        <f>SUMIF('D-3 Off-Site Habitat Enhancment'!$S$12:$S$491,'G-2 Habitat groups'!A68,'D-3 Off-Site Habitat Enhancment'!$V$12:$V$491)</f>
        <v>0</v>
      </c>
      <c r="Z68" s="274">
        <f>SUMIF('D-3 Off-Site Habitat Enhancment'!$S$12:$S$491,'G-2 Habitat groups'!A68,'D-3 Off-Site Habitat Enhancment'!$AQ$12:$AQ$491)</f>
        <v>0</v>
      </c>
      <c r="AA68" s="274">
        <f t="shared" si="48"/>
        <v>0</v>
      </c>
      <c r="AB68" s="274">
        <f t="shared" si="49"/>
        <v>0</v>
      </c>
      <c r="AC68" s="274">
        <f t="shared" si="50"/>
        <v>0</v>
      </c>
      <c r="AD68" s="274">
        <f t="shared" si="51"/>
        <v>0</v>
      </c>
      <c r="AE68" s="274">
        <f t="shared" si="52"/>
        <v>0</v>
      </c>
      <c r="AF68" s="274">
        <f t="shared" si="53"/>
        <v>0</v>
      </c>
      <c r="AU68" s="62" t="s">
        <v>98</v>
      </c>
      <c r="AV68" s="62" t="s">
        <v>99</v>
      </c>
      <c r="AW68" s="280">
        <f t="shared" si="34"/>
        <v>0</v>
      </c>
      <c r="AX68" s="280">
        <f t="shared" si="35"/>
        <v>0</v>
      </c>
      <c r="AY68" s="280">
        <f t="shared" si="36"/>
        <v>0</v>
      </c>
      <c r="AZ68" s="280">
        <f t="shared" si="37"/>
        <v>0</v>
      </c>
      <c r="BA68" s="280">
        <f t="shared" si="38"/>
        <v>0</v>
      </c>
      <c r="BB68" s="280">
        <f t="shared" si="39"/>
        <v>0</v>
      </c>
      <c r="BC68" s="280">
        <f t="shared" si="40"/>
        <v>0</v>
      </c>
      <c r="BD68" s="280">
        <f t="shared" si="41"/>
        <v>0</v>
      </c>
      <c r="BE68" s="280">
        <f t="shared" si="42"/>
        <v>0</v>
      </c>
      <c r="BF68" s="280" t="str">
        <f t="shared" si="43"/>
        <v/>
      </c>
    </row>
    <row r="69" spans="1:59" x14ac:dyDescent="0.25">
      <c r="A69" s="70" t="str">
        <f>'G-1 All Habitats'!B68</f>
        <v>Urban - Ground based green wall</v>
      </c>
      <c r="B69" s="62" t="s">
        <v>120</v>
      </c>
      <c r="C69" s="62" t="str">
        <f>'G-1 All Habitats'!K68</f>
        <v>Low</v>
      </c>
      <c r="D69" s="62" t="str">
        <f>'G-1 All Habitats'!M68</f>
        <v>Same distinctiveness or better habitat required ≥</v>
      </c>
      <c r="E69" s="274">
        <f>SUMIF('A-1 On-Site Habitat Baseline'!$AV$11:$AV$258,'G-2 Habitat groups'!A69,'A-1 On-Site Habitat Baseline'!$H$11:$H$258)</f>
        <v>0</v>
      </c>
      <c r="F69" s="274">
        <f>SUMIF('A-1 On-Site Habitat Baseline'!$AV$11:$AV$258,'G-2 Habitat groups'!A69,'A-1 On-Site Habitat Baseline'!$Q$11:$Q$258)</f>
        <v>0</v>
      </c>
      <c r="G69" s="274">
        <f>SUMIF('A-1 On-Site Habitat Baseline'!$AV$11:$AV$258,'G-2 Habitat groups'!A69,'A-1 On-Site Habitat Baseline'!$S$11:$S$258)</f>
        <v>0</v>
      </c>
      <c r="H69" s="274">
        <f>SUMIF('A-1 On-Site Habitat Baseline'!$AV$11:$AV$258,'G-2 Habitat groups'!A69,'A-1 On-Site Habitat Baseline'!$U$11:$U$258)+SUMIF('A-1 On-Site Habitat Baseline'!$AV$11:$AV$258,'G-2 Habitat groups'!A69, 'A-1 On-Site Habitat Baseline'!$AT$11:$AT$258)</f>
        <v>0</v>
      </c>
      <c r="I69" s="274">
        <f>SUMIF('A-1 On-Site Habitat Baseline'!$AV$11:$AV$258,'G-2 Habitat groups'!A69,'A-1 On-Site Habitat Baseline'!$W$11:$W$258)</f>
        <v>0</v>
      </c>
      <c r="J69" s="274">
        <f>SUMIF('A-1 On-Site Habitat Baseline'!$AV$11:$AV$258,'G-2 Habitat groups'!A69,'A-1 On-Site Habitat Baseline'!$X$11:$X$258)</f>
        <v>0</v>
      </c>
      <c r="K69" s="274">
        <f>SUMIF('A-2 On-Site Habitat Creation'!$F$11:$F$256,'G-2 Habitat groups'!A69,'A-2 On-Site Habitat Creation'!$G$11:$G$256)</f>
        <v>0</v>
      </c>
      <c r="L69" s="274">
        <f>SUMIF('A-2 On-Site Habitat Creation'!$F$11:$F$256,'G-2 Habitat groups'!A69,'A-2 On-Site Habitat Creation'!$Y$11:$Y$256)</f>
        <v>0</v>
      </c>
      <c r="M69" s="274">
        <f>SUMIF('A-3 On-Site Habitat Enhancement'!$S$12:$S$257,'G-2 Habitat groups'!A69,'A-3 On-Site Habitat Enhancement'!$V$12:$V$257)</f>
        <v>0</v>
      </c>
      <c r="N69" s="274">
        <f>SUMIF('A-3 On-Site Habitat Enhancement'!$S$12:$S$257,'G-2 Habitat groups'!A69,'A-3 On-Site Habitat Enhancement'!$AN$12:$AN$257)</f>
        <v>0</v>
      </c>
      <c r="O69" s="274">
        <f t="shared" ref="O69:O101" si="54">G69+K69+M69</f>
        <v>0</v>
      </c>
      <c r="P69" s="274">
        <f t="shared" ref="P69:P101" si="55">H69+L69+N69</f>
        <v>0</v>
      </c>
      <c r="Q69" s="274">
        <f t="shared" ref="Q69:Q101" si="56">O69-E69</f>
        <v>0</v>
      </c>
      <c r="R69" s="274">
        <f t="shared" ref="R69:R101" si="57">P69-F69</f>
        <v>0</v>
      </c>
      <c r="S69" s="274">
        <f>SUMIF('D-1 Off-Site Habitat Baseline'!$AV$11:$AV$258,'G-2 Habitat groups'!A69,'D-1 Off-Site Habitat Baseline'!$H$11:$H$258)</f>
        <v>0</v>
      </c>
      <c r="T69" s="274">
        <f>SUMIF('D-1 Off-Site Habitat Baseline'!$AV$11:$AV$258,'G-2 Habitat groups'!A69,'D-1 Off-Site Habitat Baseline'!$T$11:$T$258)</f>
        <v>0</v>
      </c>
      <c r="U69" s="274">
        <f>SUMIF('D-1 Off-Site Habitat Baseline'!$AV$11:$AV$258,'G-2 Habitat groups'!A69,'D-1 Off-Site Habitat Baseline'!$V$11:$V$258)</f>
        <v>0</v>
      </c>
      <c r="V69" s="274">
        <f>SUMIF('D-1 Off-Site Habitat Baseline'!$AV$11:$AV$258,'G-2 Habitat groups'!A69,'D-1 Off-Site Habitat Baseline'!$X$11:$X$258)+SUMIF('D-1 Off-Site Habitat Baseline'!$AV$11:$AV$258,'G-2 Habitat groups'!A69,'D-1 Off-Site Habitat Baseline'!$AS$11:$AS$258)</f>
        <v>0</v>
      </c>
      <c r="W69" s="274">
        <f>SUMIF('D-2 Off-Site Habitat Creation'!$F$9:$F$255,'G-2 Habitat groups'!A69,'D-2 Off-Site Habitat Creation'!$G$9:$G$255)</f>
        <v>0</v>
      </c>
      <c r="X69" s="274">
        <f>SUMIF('D-2 Off-Site Habitat Creation'!$F$9:$F$255,'G-2 Habitat groups'!A69,'D-2 Off-Site Habitat Creation'!$AB$9:$AB$255)</f>
        <v>0</v>
      </c>
      <c r="Y69" s="274">
        <f>SUMIF('D-3 Off-Site Habitat Enhancment'!$S$12:$S$491,'G-2 Habitat groups'!A69,'D-3 Off-Site Habitat Enhancment'!$V$12:$V$491)</f>
        <v>0</v>
      </c>
      <c r="Z69" s="274">
        <f>SUMIF('D-3 Off-Site Habitat Enhancment'!$S$12:$S$491,'G-2 Habitat groups'!A69,'D-3 Off-Site Habitat Enhancment'!$AQ$12:$AQ$491)</f>
        <v>0</v>
      </c>
      <c r="AA69" s="274">
        <f t="shared" ref="AA69:AA101" si="58">U69+W69+Y69</f>
        <v>0</v>
      </c>
      <c r="AB69" s="274">
        <f t="shared" ref="AB69:AB101" si="59">V69+X69+Z69</f>
        <v>0</v>
      </c>
      <c r="AC69" s="274">
        <f t="shared" ref="AC69:AC101" si="60">AA69-S69</f>
        <v>0</v>
      </c>
      <c r="AD69" s="274">
        <f t="shared" ref="AD69:AD101" si="61">AB69-T69</f>
        <v>0</v>
      </c>
      <c r="AE69" s="274">
        <f t="shared" ref="AE69:AE101" si="62">Q69+AC69</f>
        <v>0</v>
      </c>
      <c r="AF69" s="274">
        <f t="shared" ref="AF69:AF101" si="63">R69+AD69</f>
        <v>0</v>
      </c>
      <c r="AU69" s="82" t="s">
        <v>107</v>
      </c>
      <c r="AV69" s="62" t="s">
        <v>105</v>
      </c>
      <c r="AW69" s="280">
        <f t="shared" si="34"/>
        <v>0</v>
      </c>
      <c r="AX69" s="280">
        <f t="shared" si="35"/>
        <v>0</v>
      </c>
      <c r="AY69" s="280">
        <f t="shared" si="36"/>
        <v>0</v>
      </c>
      <c r="AZ69" s="280">
        <f t="shared" si="37"/>
        <v>0</v>
      </c>
      <c r="BA69" s="280">
        <f t="shared" si="38"/>
        <v>0</v>
      </c>
      <c r="BB69" s="280">
        <f t="shared" si="39"/>
        <v>0</v>
      </c>
      <c r="BC69" s="280">
        <f t="shared" si="40"/>
        <v>0</v>
      </c>
      <c r="BD69" s="280">
        <f t="shared" si="41"/>
        <v>0</v>
      </c>
      <c r="BE69" s="280">
        <f t="shared" si="42"/>
        <v>0</v>
      </c>
      <c r="BF69" s="280" t="str">
        <f t="shared" si="43"/>
        <v/>
      </c>
    </row>
    <row r="70" spans="1:59" x14ac:dyDescent="0.25">
      <c r="A70" s="70" t="str">
        <f>'G-1 All Habitats'!B69</f>
        <v>Urban - Ground level planters</v>
      </c>
      <c r="B70" s="62" t="s">
        <v>120</v>
      </c>
      <c r="C70" s="62" t="str">
        <f>'G-1 All Habitats'!K69</f>
        <v>Low</v>
      </c>
      <c r="D70" s="62" t="str">
        <f>'G-1 All Habitats'!M69</f>
        <v>Same distinctiveness or better habitat required ≥</v>
      </c>
      <c r="E70" s="274">
        <f>SUMIF('A-1 On-Site Habitat Baseline'!$AV$11:$AV$258,'G-2 Habitat groups'!A70,'A-1 On-Site Habitat Baseline'!$H$11:$H$258)</f>
        <v>0</v>
      </c>
      <c r="F70" s="274">
        <f>SUMIF('A-1 On-Site Habitat Baseline'!$AV$11:$AV$258,'G-2 Habitat groups'!A70,'A-1 On-Site Habitat Baseline'!$Q$11:$Q$258)</f>
        <v>0</v>
      </c>
      <c r="G70" s="274">
        <f>SUMIF('A-1 On-Site Habitat Baseline'!$AV$11:$AV$258,'G-2 Habitat groups'!A70,'A-1 On-Site Habitat Baseline'!$S$11:$S$258)</f>
        <v>0</v>
      </c>
      <c r="H70" s="274">
        <f>SUMIF('A-1 On-Site Habitat Baseline'!$AV$11:$AV$258,'G-2 Habitat groups'!A70,'A-1 On-Site Habitat Baseline'!$U$11:$U$258)+SUMIF('A-1 On-Site Habitat Baseline'!$AV$11:$AV$258,'G-2 Habitat groups'!A70, 'A-1 On-Site Habitat Baseline'!$AT$11:$AT$258)</f>
        <v>0</v>
      </c>
      <c r="I70" s="274">
        <f>SUMIF('A-1 On-Site Habitat Baseline'!$AV$11:$AV$258,'G-2 Habitat groups'!A70,'A-1 On-Site Habitat Baseline'!$W$11:$W$258)</f>
        <v>0</v>
      </c>
      <c r="J70" s="274">
        <f>SUMIF('A-1 On-Site Habitat Baseline'!$AV$11:$AV$258,'G-2 Habitat groups'!A70,'A-1 On-Site Habitat Baseline'!$X$11:$X$258)</f>
        <v>0</v>
      </c>
      <c r="K70" s="274">
        <f>SUMIF('A-2 On-Site Habitat Creation'!$F$11:$F$256,'G-2 Habitat groups'!A70,'A-2 On-Site Habitat Creation'!$G$11:$G$256)</f>
        <v>0</v>
      </c>
      <c r="L70" s="274">
        <f>SUMIF('A-2 On-Site Habitat Creation'!$F$11:$F$256,'G-2 Habitat groups'!A70,'A-2 On-Site Habitat Creation'!$Y$11:$Y$256)</f>
        <v>0</v>
      </c>
      <c r="M70" s="274">
        <f>SUMIF('A-3 On-Site Habitat Enhancement'!$S$12:$S$257,'G-2 Habitat groups'!A70,'A-3 On-Site Habitat Enhancement'!$V$12:$V$257)</f>
        <v>0</v>
      </c>
      <c r="N70" s="274">
        <f>SUMIF('A-3 On-Site Habitat Enhancement'!$S$12:$S$257,'G-2 Habitat groups'!A70,'A-3 On-Site Habitat Enhancement'!$AN$12:$AN$257)</f>
        <v>0</v>
      </c>
      <c r="O70" s="274">
        <f t="shared" si="54"/>
        <v>0</v>
      </c>
      <c r="P70" s="274">
        <f t="shared" si="55"/>
        <v>0</v>
      </c>
      <c r="Q70" s="274">
        <f t="shared" si="56"/>
        <v>0</v>
      </c>
      <c r="R70" s="274">
        <f t="shared" si="57"/>
        <v>0</v>
      </c>
      <c r="S70" s="274">
        <f>SUMIF('D-1 Off-Site Habitat Baseline'!$AV$11:$AV$258,'G-2 Habitat groups'!A70,'D-1 Off-Site Habitat Baseline'!$H$11:$H$258)</f>
        <v>0</v>
      </c>
      <c r="T70" s="274">
        <f>SUMIF('D-1 Off-Site Habitat Baseline'!$AV$11:$AV$258,'G-2 Habitat groups'!A70,'D-1 Off-Site Habitat Baseline'!$T$11:$T$258)</f>
        <v>0</v>
      </c>
      <c r="U70" s="274">
        <f>SUMIF('D-1 Off-Site Habitat Baseline'!$AV$11:$AV$258,'G-2 Habitat groups'!A70,'D-1 Off-Site Habitat Baseline'!$V$11:$V$258)</f>
        <v>0</v>
      </c>
      <c r="V70" s="274">
        <f>SUMIF('D-1 Off-Site Habitat Baseline'!$AV$11:$AV$258,'G-2 Habitat groups'!A70,'D-1 Off-Site Habitat Baseline'!$X$11:$X$258)+SUMIF('D-1 Off-Site Habitat Baseline'!$AV$11:$AV$258,'G-2 Habitat groups'!A70,'D-1 Off-Site Habitat Baseline'!$AS$11:$AS$258)</f>
        <v>0</v>
      </c>
      <c r="W70" s="274">
        <f>SUMIF('D-2 Off-Site Habitat Creation'!$F$9:$F$255,'G-2 Habitat groups'!A70,'D-2 Off-Site Habitat Creation'!$G$9:$G$255)</f>
        <v>0</v>
      </c>
      <c r="X70" s="274">
        <f>SUMIF('D-2 Off-Site Habitat Creation'!$F$9:$F$255,'G-2 Habitat groups'!A70,'D-2 Off-Site Habitat Creation'!$AB$9:$AB$255)</f>
        <v>0</v>
      </c>
      <c r="Y70" s="274">
        <f>SUMIF('D-3 Off-Site Habitat Enhancment'!$S$12:$S$491,'G-2 Habitat groups'!A70,'D-3 Off-Site Habitat Enhancment'!$V$12:$V$491)</f>
        <v>0</v>
      </c>
      <c r="Z70" s="274">
        <f>SUMIF('D-3 Off-Site Habitat Enhancment'!$S$12:$S$491,'G-2 Habitat groups'!A70,'D-3 Off-Site Habitat Enhancment'!$AQ$12:$AQ$491)</f>
        <v>0</v>
      </c>
      <c r="AA70" s="274">
        <f t="shared" si="58"/>
        <v>0</v>
      </c>
      <c r="AB70" s="274">
        <f t="shared" si="59"/>
        <v>0</v>
      </c>
      <c r="AC70" s="274">
        <f t="shared" si="60"/>
        <v>0</v>
      </c>
      <c r="AD70" s="274">
        <f t="shared" si="61"/>
        <v>0</v>
      </c>
      <c r="AE70" s="274">
        <f t="shared" si="62"/>
        <v>0</v>
      </c>
      <c r="AF70" s="274">
        <f t="shared" si="63"/>
        <v>0</v>
      </c>
      <c r="AU70" s="82" t="s">
        <v>108</v>
      </c>
      <c r="AV70" s="62" t="s">
        <v>105</v>
      </c>
      <c r="AW70" s="280">
        <f t="shared" si="34"/>
        <v>0</v>
      </c>
      <c r="AX70" s="280">
        <f t="shared" si="35"/>
        <v>0</v>
      </c>
      <c r="AY70" s="280">
        <f t="shared" si="36"/>
        <v>0</v>
      </c>
      <c r="AZ70" s="280">
        <f t="shared" si="37"/>
        <v>0</v>
      </c>
      <c r="BA70" s="280">
        <f t="shared" si="38"/>
        <v>0</v>
      </c>
      <c r="BB70" s="280">
        <f t="shared" si="39"/>
        <v>0</v>
      </c>
      <c r="BC70" s="280">
        <f t="shared" si="40"/>
        <v>0</v>
      </c>
      <c r="BD70" s="280">
        <f t="shared" si="41"/>
        <v>0</v>
      </c>
      <c r="BE70" s="280">
        <f t="shared" si="42"/>
        <v>0</v>
      </c>
      <c r="BF70" s="280" t="str">
        <f t="shared" si="43"/>
        <v/>
      </c>
    </row>
    <row r="71" spans="1:59" x14ac:dyDescent="0.25">
      <c r="A71" s="70" t="str">
        <f>'G-1 All Habitats'!B70</f>
        <v>Urban - Biodiverse green roof</v>
      </c>
      <c r="B71" s="62" t="s">
        <v>120</v>
      </c>
      <c r="C71" s="62" t="str">
        <f>'G-1 All Habitats'!K70</f>
        <v>Medium</v>
      </c>
      <c r="D71" s="62" t="str">
        <f>'G-1 All Habitats'!M70</f>
        <v>Same broad habitat or a higher distinctiveness habitat required (≥)</v>
      </c>
      <c r="E71" s="274">
        <f>SUMIF('A-1 On-Site Habitat Baseline'!$AV$11:$AV$258,'G-2 Habitat groups'!A71,'A-1 On-Site Habitat Baseline'!$H$11:$H$258)</f>
        <v>0</v>
      </c>
      <c r="F71" s="274">
        <f>SUMIF('A-1 On-Site Habitat Baseline'!$AV$11:$AV$258,'G-2 Habitat groups'!A71,'A-1 On-Site Habitat Baseline'!$Q$11:$Q$258)</f>
        <v>0</v>
      </c>
      <c r="G71" s="274">
        <f>SUMIF('A-1 On-Site Habitat Baseline'!$AV$11:$AV$258,'G-2 Habitat groups'!A71,'A-1 On-Site Habitat Baseline'!$S$11:$S$258)</f>
        <v>0</v>
      </c>
      <c r="H71" s="274">
        <f>SUMIF('A-1 On-Site Habitat Baseline'!$AV$11:$AV$258,'G-2 Habitat groups'!A71,'A-1 On-Site Habitat Baseline'!$U$11:$U$258)+SUMIF('A-1 On-Site Habitat Baseline'!$AV$11:$AV$258,'G-2 Habitat groups'!A71, 'A-1 On-Site Habitat Baseline'!$AT$11:$AT$258)</f>
        <v>0</v>
      </c>
      <c r="I71" s="274">
        <f>SUMIF('A-1 On-Site Habitat Baseline'!$AV$11:$AV$258,'G-2 Habitat groups'!A71,'A-1 On-Site Habitat Baseline'!$W$11:$W$258)</f>
        <v>0</v>
      </c>
      <c r="J71" s="274">
        <f>SUMIF('A-1 On-Site Habitat Baseline'!$AV$11:$AV$258,'G-2 Habitat groups'!A71,'A-1 On-Site Habitat Baseline'!$X$11:$X$258)</f>
        <v>0</v>
      </c>
      <c r="K71" s="274">
        <f>SUMIF('A-2 On-Site Habitat Creation'!$F$11:$F$256,'G-2 Habitat groups'!A71,'A-2 On-Site Habitat Creation'!$G$11:$G$256)</f>
        <v>0</v>
      </c>
      <c r="L71" s="274">
        <f>SUMIF('A-2 On-Site Habitat Creation'!$F$11:$F$256,'G-2 Habitat groups'!A71,'A-2 On-Site Habitat Creation'!$Y$11:$Y$256)</f>
        <v>0</v>
      </c>
      <c r="M71" s="274">
        <f>SUMIF('A-3 On-Site Habitat Enhancement'!$S$12:$S$257,'G-2 Habitat groups'!A71,'A-3 On-Site Habitat Enhancement'!$V$12:$V$257)</f>
        <v>0</v>
      </c>
      <c r="N71" s="274">
        <f>SUMIF('A-3 On-Site Habitat Enhancement'!$S$12:$S$257,'G-2 Habitat groups'!A71,'A-3 On-Site Habitat Enhancement'!$AN$12:$AN$257)</f>
        <v>0</v>
      </c>
      <c r="O71" s="274">
        <f t="shared" si="54"/>
        <v>0</v>
      </c>
      <c r="P71" s="274">
        <f t="shared" si="55"/>
        <v>0</v>
      </c>
      <c r="Q71" s="274">
        <f t="shared" si="56"/>
        <v>0</v>
      </c>
      <c r="R71" s="274">
        <f t="shared" si="57"/>
        <v>0</v>
      </c>
      <c r="S71" s="274">
        <f>SUMIF('D-1 Off-Site Habitat Baseline'!$AV$11:$AV$258,'G-2 Habitat groups'!A71,'D-1 Off-Site Habitat Baseline'!$H$11:$H$258)</f>
        <v>0</v>
      </c>
      <c r="T71" s="274">
        <f>SUMIF('D-1 Off-Site Habitat Baseline'!$AV$11:$AV$258,'G-2 Habitat groups'!A71,'D-1 Off-Site Habitat Baseline'!$T$11:$T$258)</f>
        <v>0</v>
      </c>
      <c r="U71" s="274">
        <f>SUMIF('D-1 Off-Site Habitat Baseline'!$AV$11:$AV$258,'G-2 Habitat groups'!A71,'D-1 Off-Site Habitat Baseline'!$V$11:$V$258)</f>
        <v>0</v>
      </c>
      <c r="V71" s="274">
        <f>SUMIF('D-1 Off-Site Habitat Baseline'!$AV$11:$AV$258,'G-2 Habitat groups'!A71,'D-1 Off-Site Habitat Baseline'!$X$11:$X$258)+SUMIF('D-1 Off-Site Habitat Baseline'!$AV$11:$AV$258,'G-2 Habitat groups'!A71,'D-1 Off-Site Habitat Baseline'!$AS$11:$AS$258)</f>
        <v>0</v>
      </c>
      <c r="W71" s="274">
        <f>SUMIF('D-2 Off-Site Habitat Creation'!$F$9:$F$255,'G-2 Habitat groups'!A71,'D-2 Off-Site Habitat Creation'!$G$9:$G$255)</f>
        <v>0</v>
      </c>
      <c r="X71" s="274">
        <f>SUMIF('D-2 Off-Site Habitat Creation'!$F$9:$F$255,'G-2 Habitat groups'!A71,'D-2 Off-Site Habitat Creation'!$AB$9:$AB$255)</f>
        <v>0</v>
      </c>
      <c r="Y71" s="274">
        <f>SUMIF('D-3 Off-Site Habitat Enhancment'!$S$12:$S$491,'G-2 Habitat groups'!A71,'D-3 Off-Site Habitat Enhancment'!$V$12:$V$491)</f>
        <v>0</v>
      </c>
      <c r="Z71" s="274">
        <f>SUMIF('D-3 Off-Site Habitat Enhancment'!$S$12:$S$491,'G-2 Habitat groups'!A71,'D-3 Off-Site Habitat Enhancment'!$AQ$12:$AQ$491)</f>
        <v>0</v>
      </c>
      <c r="AA71" s="274">
        <f t="shared" si="58"/>
        <v>0</v>
      </c>
      <c r="AB71" s="274">
        <f t="shared" si="59"/>
        <v>0</v>
      </c>
      <c r="AC71" s="274">
        <f t="shared" si="60"/>
        <v>0</v>
      </c>
      <c r="AD71" s="274">
        <f t="shared" si="61"/>
        <v>0</v>
      </c>
      <c r="AE71" s="274">
        <f t="shared" si="62"/>
        <v>0</v>
      </c>
      <c r="AF71" s="274">
        <f t="shared" si="63"/>
        <v>0</v>
      </c>
      <c r="AU71" s="62" t="s">
        <v>109</v>
      </c>
      <c r="AV71" s="62" t="s">
        <v>105</v>
      </c>
      <c r="AW71" s="280">
        <f t="shared" si="34"/>
        <v>0</v>
      </c>
      <c r="AX71" s="280">
        <f t="shared" si="35"/>
        <v>0</v>
      </c>
      <c r="AY71" s="280">
        <f t="shared" si="36"/>
        <v>0</v>
      </c>
      <c r="AZ71" s="280">
        <f t="shared" si="37"/>
        <v>0</v>
      </c>
      <c r="BA71" s="280">
        <f t="shared" si="38"/>
        <v>0</v>
      </c>
      <c r="BB71" s="280">
        <f t="shared" si="39"/>
        <v>0</v>
      </c>
      <c r="BC71" s="280">
        <f t="shared" si="40"/>
        <v>0</v>
      </c>
      <c r="BD71" s="280">
        <f t="shared" si="41"/>
        <v>0</v>
      </c>
      <c r="BE71" s="280">
        <f t="shared" si="42"/>
        <v>0</v>
      </c>
      <c r="BF71" s="280" t="str">
        <f t="shared" si="43"/>
        <v/>
      </c>
    </row>
    <row r="72" spans="1:59" x14ac:dyDescent="0.25">
      <c r="A72" s="70" t="str">
        <f>'G-1 All Habitats'!B71</f>
        <v>Urban - Introduced shrub</v>
      </c>
      <c r="B72" s="62" t="s">
        <v>120</v>
      </c>
      <c r="C72" s="62" t="str">
        <f>'G-1 All Habitats'!K71</f>
        <v>Low</v>
      </c>
      <c r="D72" s="62" t="str">
        <f>'G-1 All Habitats'!M71</f>
        <v>Same distinctiveness or better habitat required ≥</v>
      </c>
      <c r="E72" s="274">
        <f>SUMIF('A-1 On-Site Habitat Baseline'!$AV$11:$AV$258,'G-2 Habitat groups'!A72,'A-1 On-Site Habitat Baseline'!$H$11:$H$258)</f>
        <v>1.9900000000000001E-2</v>
      </c>
      <c r="F72" s="274">
        <f>SUMIF('A-1 On-Site Habitat Baseline'!$AV$11:$AV$258,'G-2 Habitat groups'!A72,'A-1 On-Site Habitat Baseline'!$Q$11:$Q$258)</f>
        <v>4.5769999999999998E-2</v>
      </c>
      <c r="G72" s="274">
        <f>SUMIF('A-1 On-Site Habitat Baseline'!$AV$11:$AV$258,'G-2 Habitat groups'!A72,'A-1 On-Site Habitat Baseline'!$S$11:$S$258)</f>
        <v>0</v>
      </c>
      <c r="H72" s="274">
        <f>SUMIF('A-1 On-Site Habitat Baseline'!$AV$11:$AV$258,'G-2 Habitat groups'!A72,'A-1 On-Site Habitat Baseline'!$U$11:$U$258)+SUMIF('A-1 On-Site Habitat Baseline'!$AV$11:$AV$258,'G-2 Habitat groups'!A72, 'A-1 On-Site Habitat Baseline'!$AT$11:$AT$258)</f>
        <v>0</v>
      </c>
      <c r="I72" s="274">
        <f>SUMIF('A-1 On-Site Habitat Baseline'!$AV$11:$AV$258,'G-2 Habitat groups'!A72,'A-1 On-Site Habitat Baseline'!$W$11:$W$258)</f>
        <v>1.9900000000000001E-2</v>
      </c>
      <c r="J72" s="274">
        <f>SUMIF('A-1 On-Site Habitat Baseline'!$AV$11:$AV$258,'G-2 Habitat groups'!A72,'A-1 On-Site Habitat Baseline'!$X$11:$X$258)</f>
        <v>4.5769999999999998E-2</v>
      </c>
      <c r="K72" s="274">
        <f>SUMIF('A-2 On-Site Habitat Creation'!$F$11:$F$256,'G-2 Habitat groups'!A72,'A-2 On-Site Habitat Creation'!$G$11:$G$256)</f>
        <v>5.8400000000000001E-2</v>
      </c>
      <c r="L72" s="274">
        <f>SUMIF('A-2 On-Site Habitat Creation'!$F$11:$F$256,'G-2 Habitat groups'!A72,'A-2 On-Site Habitat Creation'!$Y$11:$Y$256)</f>
        <v>0.12961879999999998</v>
      </c>
      <c r="M72" s="274">
        <f>SUMIF('A-3 On-Site Habitat Enhancement'!$S$12:$S$257,'G-2 Habitat groups'!A72,'A-3 On-Site Habitat Enhancement'!$V$12:$V$257)</f>
        <v>0</v>
      </c>
      <c r="N72" s="274">
        <f>SUMIF('A-3 On-Site Habitat Enhancement'!$S$12:$S$257,'G-2 Habitat groups'!A72,'A-3 On-Site Habitat Enhancement'!$AN$12:$AN$257)</f>
        <v>0</v>
      </c>
      <c r="O72" s="274">
        <f t="shared" si="54"/>
        <v>5.8400000000000001E-2</v>
      </c>
      <c r="P72" s="274">
        <f t="shared" si="55"/>
        <v>0.12961879999999998</v>
      </c>
      <c r="Q72" s="274">
        <f t="shared" si="56"/>
        <v>3.85E-2</v>
      </c>
      <c r="R72" s="274">
        <f t="shared" si="57"/>
        <v>8.3848799999999973E-2</v>
      </c>
      <c r="S72" s="274">
        <f>SUMIF('D-1 Off-Site Habitat Baseline'!$AV$11:$AV$258,'G-2 Habitat groups'!A72,'D-1 Off-Site Habitat Baseline'!$H$11:$H$258)</f>
        <v>7.7200000000000005E-2</v>
      </c>
      <c r="T72" s="274">
        <f>SUMIF('D-1 Off-Site Habitat Baseline'!$AV$11:$AV$258,'G-2 Habitat groups'!A72,'D-1 Off-Site Habitat Baseline'!$T$11:$T$258)</f>
        <v>0.17756</v>
      </c>
      <c r="U72" s="274">
        <f>SUMIF('D-1 Off-Site Habitat Baseline'!$AV$11:$AV$258,'G-2 Habitat groups'!A72,'D-1 Off-Site Habitat Baseline'!$V$11:$V$258)</f>
        <v>0</v>
      </c>
      <c r="V72" s="274">
        <f>SUMIF('D-1 Off-Site Habitat Baseline'!$AV$11:$AV$258,'G-2 Habitat groups'!A72,'D-1 Off-Site Habitat Baseline'!$X$11:$X$258)+SUMIF('D-1 Off-Site Habitat Baseline'!$AV$11:$AV$258,'G-2 Habitat groups'!A72,'D-1 Off-Site Habitat Baseline'!$AS$11:$AS$258)</f>
        <v>0</v>
      </c>
      <c r="W72" s="274">
        <f>SUMIF('D-2 Off-Site Habitat Creation'!$F$9:$F$255,'G-2 Habitat groups'!A72,'D-2 Off-Site Habitat Creation'!$G$9:$G$255)</f>
        <v>0</v>
      </c>
      <c r="X72" s="274">
        <f>SUMIF('D-2 Off-Site Habitat Creation'!$F$9:$F$255,'G-2 Habitat groups'!A72,'D-2 Off-Site Habitat Creation'!$AB$9:$AB$255)</f>
        <v>0</v>
      </c>
      <c r="Y72" s="274">
        <f>SUMIF('D-3 Off-Site Habitat Enhancment'!$S$12:$S$491,'G-2 Habitat groups'!A72,'D-3 Off-Site Habitat Enhancment'!$V$12:$V$491)</f>
        <v>0</v>
      </c>
      <c r="Z72" s="274">
        <f>SUMIF('D-3 Off-Site Habitat Enhancment'!$S$12:$S$491,'G-2 Habitat groups'!A72,'D-3 Off-Site Habitat Enhancment'!$AQ$12:$AQ$491)</f>
        <v>0</v>
      </c>
      <c r="AA72" s="274">
        <f t="shared" si="58"/>
        <v>0</v>
      </c>
      <c r="AB72" s="274">
        <f t="shared" si="59"/>
        <v>0</v>
      </c>
      <c r="AC72" s="274">
        <f t="shared" si="60"/>
        <v>-7.7200000000000005E-2</v>
      </c>
      <c r="AD72" s="274">
        <f t="shared" si="61"/>
        <v>-0.17756</v>
      </c>
      <c r="AE72" s="274">
        <f t="shared" si="62"/>
        <v>-3.8700000000000005E-2</v>
      </c>
      <c r="AF72" s="274">
        <f t="shared" si="63"/>
        <v>-9.3711200000000022E-2</v>
      </c>
      <c r="AU72" s="71" t="s">
        <v>110</v>
      </c>
      <c r="AV72" s="62" t="s">
        <v>105</v>
      </c>
      <c r="AW72" s="280">
        <f t="shared" si="34"/>
        <v>0</v>
      </c>
      <c r="AX72" s="280">
        <f t="shared" si="35"/>
        <v>0</v>
      </c>
      <c r="AY72" s="280">
        <f t="shared" si="36"/>
        <v>0</v>
      </c>
      <c r="AZ72" s="280">
        <f t="shared" si="37"/>
        <v>0</v>
      </c>
      <c r="BA72" s="280">
        <f t="shared" si="38"/>
        <v>0</v>
      </c>
      <c r="BB72" s="280">
        <f t="shared" si="39"/>
        <v>0</v>
      </c>
      <c r="BC72" s="280">
        <f t="shared" si="40"/>
        <v>0</v>
      </c>
      <c r="BD72" s="280">
        <f t="shared" si="41"/>
        <v>0</v>
      </c>
      <c r="BE72" s="280">
        <f t="shared" si="42"/>
        <v>0</v>
      </c>
      <c r="BF72" s="280" t="str">
        <f t="shared" si="43"/>
        <v/>
      </c>
    </row>
    <row r="73" spans="1:59" x14ac:dyDescent="0.25">
      <c r="A73" s="70" t="str">
        <f>'G-1 All Habitats'!B72</f>
        <v>Urban - Open mosaic habitats on previously developed land</v>
      </c>
      <c r="B73" s="62" t="s">
        <v>120</v>
      </c>
      <c r="C73" s="62" t="str">
        <f>'G-1 All Habitats'!K72</f>
        <v>High</v>
      </c>
      <c r="D73" s="62" t="str">
        <f>'G-1 All Habitats'!M72</f>
        <v>Same habitat required =</v>
      </c>
      <c r="E73" s="274">
        <f>SUMIF('A-1 On-Site Habitat Baseline'!$AV$11:$AV$258,'G-2 Habitat groups'!A73,'A-1 On-Site Habitat Baseline'!$H$11:$H$258)</f>
        <v>0</v>
      </c>
      <c r="F73" s="274">
        <f>SUMIF('A-1 On-Site Habitat Baseline'!$AV$11:$AV$258,'G-2 Habitat groups'!A73,'A-1 On-Site Habitat Baseline'!$Q$11:$Q$258)</f>
        <v>0</v>
      </c>
      <c r="G73" s="274">
        <f>SUMIF('A-1 On-Site Habitat Baseline'!$AV$11:$AV$258,'G-2 Habitat groups'!A73,'A-1 On-Site Habitat Baseline'!$S$11:$S$258)</f>
        <v>0</v>
      </c>
      <c r="H73" s="274">
        <f>SUMIF('A-1 On-Site Habitat Baseline'!$AV$11:$AV$258,'G-2 Habitat groups'!A73,'A-1 On-Site Habitat Baseline'!$U$11:$U$258)+SUMIF('A-1 On-Site Habitat Baseline'!$AV$11:$AV$258,'G-2 Habitat groups'!A73, 'A-1 On-Site Habitat Baseline'!$AT$11:$AT$258)</f>
        <v>0</v>
      </c>
      <c r="I73" s="274">
        <f>SUMIF('A-1 On-Site Habitat Baseline'!$AV$11:$AV$258,'G-2 Habitat groups'!A73,'A-1 On-Site Habitat Baseline'!$W$11:$W$258)</f>
        <v>0</v>
      </c>
      <c r="J73" s="274">
        <f>SUMIF('A-1 On-Site Habitat Baseline'!$AV$11:$AV$258,'G-2 Habitat groups'!A73,'A-1 On-Site Habitat Baseline'!$X$11:$X$258)</f>
        <v>0</v>
      </c>
      <c r="K73" s="274">
        <f>SUMIF('A-2 On-Site Habitat Creation'!$F$11:$F$256,'G-2 Habitat groups'!A73,'A-2 On-Site Habitat Creation'!$G$11:$G$256)</f>
        <v>0</v>
      </c>
      <c r="L73" s="274">
        <f>SUMIF('A-2 On-Site Habitat Creation'!$F$11:$F$256,'G-2 Habitat groups'!A73,'A-2 On-Site Habitat Creation'!$Y$11:$Y$256)</f>
        <v>0</v>
      </c>
      <c r="M73" s="274">
        <f>SUMIF('A-3 On-Site Habitat Enhancement'!$S$12:$S$257,'G-2 Habitat groups'!A73,'A-3 On-Site Habitat Enhancement'!$V$12:$V$257)</f>
        <v>0</v>
      </c>
      <c r="N73" s="274">
        <f>SUMIF('A-3 On-Site Habitat Enhancement'!$S$12:$S$257,'G-2 Habitat groups'!A73,'A-3 On-Site Habitat Enhancement'!$AN$12:$AN$257)</f>
        <v>0</v>
      </c>
      <c r="O73" s="274">
        <f t="shared" si="54"/>
        <v>0</v>
      </c>
      <c r="P73" s="274">
        <f t="shared" si="55"/>
        <v>0</v>
      </c>
      <c r="Q73" s="274">
        <f t="shared" si="56"/>
        <v>0</v>
      </c>
      <c r="R73" s="274">
        <f t="shared" si="57"/>
        <v>0</v>
      </c>
      <c r="S73" s="274">
        <f>SUMIF('D-1 Off-Site Habitat Baseline'!$AV$11:$AV$258,'G-2 Habitat groups'!A73,'D-1 Off-Site Habitat Baseline'!$H$11:$H$258)</f>
        <v>0</v>
      </c>
      <c r="T73" s="274">
        <f>SUMIF('D-1 Off-Site Habitat Baseline'!$AV$11:$AV$258,'G-2 Habitat groups'!A73,'D-1 Off-Site Habitat Baseline'!$T$11:$T$258)</f>
        <v>0</v>
      </c>
      <c r="U73" s="274">
        <f>SUMIF('D-1 Off-Site Habitat Baseline'!$AV$11:$AV$258,'G-2 Habitat groups'!A73,'D-1 Off-Site Habitat Baseline'!$V$11:$V$258)</f>
        <v>0</v>
      </c>
      <c r="V73" s="274">
        <f>SUMIF('D-1 Off-Site Habitat Baseline'!$AV$11:$AV$258,'G-2 Habitat groups'!A73,'D-1 Off-Site Habitat Baseline'!$X$11:$X$258)+SUMIF('D-1 Off-Site Habitat Baseline'!$AV$11:$AV$258,'G-2 Habitat groups'!A73,'D-1 Off-Site Habitat Baseline'!$AS$11:$AS$258)</f>
        <v>0</v>
      </c>
      <c r="W73" s="274">
        <f>SUMIF('D-2 Off-Site Habitat Creation'!$F$9:$F$255,'G-2 Habitat groups'!A73,'D-2 Off-Site Habitat Creation'!$G$9:$G$255)</f>
        <v>0</v>
      </c>
      <c r="X73" s="274">
        <f>SUMIF('D-2 Off-Site Habitat Creation'!$F$9:$F$255,'G-2 Habitat groups'!A73,'D-2 Off-Site Habitat Creation'!$AB$9:$AB$255)</f>
        <v>0</v>
      </c>
      <c r="Y73" s="274">
        <f>SUMIF('D-3 Off-Site Habitat Enhancment'!$S$12:$S$491,'G-2 Habitat groups'!A73,'D-3 Off-Site Habitat Enhancment'!$V$12:$V$491)</f>
        <v>0</v>
      </c>
      <c r="Z73" s="274">
        <f>SUMIF('D-3 Off-Site Habitat Enhancment'!$S$12:$S$491,'G-2 Habitat groups'!A73,'D-3 Off-Site Habitat Enhancment'!$AQ$12:$AQ$491)</f>
        <v>0</v>
      </c>
      <c r="AA73" s="274">
        <f t="shared" si="58"/>
        <v>0</v>
      </c>
      <c r="AB73" s="274">
        <f t="shared" si="59"/>
        <v>0</v>
      </c>
      <c r="AC73" s="274">
        <f t="shared" si="60"/>
        <v>0</v>
      </c>
      <c r="AD73" s="274">
        <f t="shared" si="61"/>
        <v>0</v>
      </c>
      <c r="AE73" s="274">
        <f t="shared" si="62"/>
        <v>0</v>
      </c>
      <c r="AF73" s="274">
        <f t="shared" si="63"/>
        <v>0</v>
      </c>
      <c r="AU73" s="492" t="s">
        <v>111</v>
      </c>
      <c r="AV73" s="492" t="s">
        <v>105</v>
      </c>
      <c r="AW73" s="280">
        <f t="shared" si="34"/>
        <v>0</v>
      </c>
      <c r="AX73" s="280">
        <f t="shared" si="35"/>
        <v>0</v>
      </c>
      <c r="AY73" s="280">
        <f t="shared" si="36"/>
        <v>0</v>
      </c>
      <c r="AZ73" s="280">
        <f t="shared" si="37"/>
        <v>0</v>
      </c>
      <c r="BA73" s="280">
        <f t="shared" si="38"/>
        <v>0</v>
      </c>
      <c r="BB73" s="280">
        <f t="shared" si="39"/>
        <v>0</v>
      </c>
      <c r="BC73" s="280">
        <f t="shared" si="40"/>
        <v>0</v>
      </c>
      <c r="BD73" s="280">
        <f t="shared" si="41"/>
        <v>0</v>
      </c>
      <c r="BE73" s="280">
        <f t="shared" si="42"/>
        <v>0</v>
      </c>
      <c r="BF73" s="280" t="str">
        <f t="shared" si="43"/>
        <v/>
      </c>
    </row>
    <row r="74" spans="1:59" x14ac:dyDescent="0.25">
      <c r="A74" s="70" t="str">
        <f>'G-1 All Habitats'!B73</f>
        <v>Urban - Rain garden</v>
      </c>
      <c r="B74" s="62" t="s">
        <v>120</v>
      </c>
      <c r="C74" s="62" t="str">
        <f>'G-1 All Habitats'!K73</f>
        <v>Low</v>
      </c>
      <c r="D74" s="62" t="str">
        <f>'G-1 All Habitats'!M73</f>
        <v>Same distinctiveness or better habitat required ≥</v>
      </c>
      <c r="E74" s="274">
        <f>SUMIF('A-1 On-Site Habitat Baseline'!$AV$11:$AV$258,'G-2 Habitat groups'!A74,'A-1 On-Site Habitat Baseline'!$H$11:$H$258)</f>
        <v>0</v>
      </c>
      <c r="F74" s="274">
        <f>SUMIF('A-1 On-Site Habitat Baseline'!$AV$11:$AV$258,'G-2 Habitat groups'!A74,'A-1 On-Site Habitat Baseline'!$Q$11:$Q$258)</f>
        <v>0</v>
      </c>
      <c r="G74" s="274">
        <f>SUMIF('A-1 On-Site Habitat Baseline'!$AV$11:$AV$258,'G-2 Habitat groups'!A74,'A-1 On-Site Habitat Baseline'!$S$11:$S$258)</f>
        <v>0</v>
      </c>
      <c r="H74" s="274">
        <f>SUMIF('A-1 On-Site Habitat Baseline'!$AV$11:$AV$258,'G-2 Habitat groups'!A74,'A-1 On-Site Habitat Baseline'!$U$11:$U$258)+SUMIF('A-1 On-Site Habitat Baseline'!$AV$11:$AV$258,'G-2 Habitat groups'!A74, 'A-1 On-Site Habitat Baseline'!$AT$11:$AT$258)</f>
        <v>0</v>
      </c>
      <c r="I74" s="274">
        <f>SUMIF('A-1 On-Site Habitat Baseline'!$AV$11:$AV$258,'G-2 Habitat groups'!A74,'A-1 On-Site Habitat Baseline'!$W$11:$W$258)</f>
        <v>0</v>
      </c>
      <c r="J74" s="274">
        <f>SUMIF('A-1 On-Site Habitat Baseline'!$AV$11:$AV$258,'G-2 Habitat groups'!A74,'A-1 On-Site Habitat Baseline'!$X$11:$X$258)</f>
        <v>0</v>
      </c>
      <c r="K74" s="274">
        <f>SUMIF('A-2 On-Site Habitat Creation'!$F$11:$F$256,'G-2 Habitat groups'!A74,'A-2 On-Site Habitat Creation'!$G$11:$G$256)</f>
        <v>1.5900000000000001E-2</v>
      </c>
      <c r="L74" s="274">
        <f>SUMIF('A-2 On-Site Habitat Creation'!$F$11:$F$256,'G-2 Habitat groups'!A74,'A-2 On-Site Habitat Creation'!$Y$11:$Y$256)</f>
        <v>6.57259536225E-2</v>
      </c>
      <c r="M74" s="274">
        <f>SUMIF('A-3 On-Site Habitat Enhancement'!$S$12:$S$257,'G-2 Habitat groups'!A74,'A-3 On-Site Habitat Enhancement'!$V$12:$V$257)</f>
        <v>0</v>
      </c>
      <c r="N74" s="274">
        <f>SUMIF('A-3 On-Site Habitat Enhancement'!$S$12:$S$257,'G-2 Habitat groups'!A74,'A-3 On-Site Habitat Enhancement'!$AN$12:$AN$257)</f>
        <v>0</v>
      </c>
      <c r="O74" s="274">
        <f t="shared" si="54"/>
        <v>1.5900000000000001E-2</v>
      </c>
      <c r="P74" s="274">
        <f t="shared" si="55"/>
        <v>6.57259536225E-2</v>
      </c>
      <c r="Q74" s="274">
        <f t="shared" si="56"/>
        <v>1.5900000000000001E-2</v>
      </c>
      <c r="R74" s="274">
        <f t="shared" si="57"/>
        <v>6.57259536225E-2</v>
      </c>
      <c r="S74" s="274">
        <f>SUMIF('D-1 Off-Site Habitat Baseline'!$AV$11:$AV$258,'G-2 Habitat groups'!A74,'D-1 Off-Site Habitat Baseline'!$H$11:$H$258)</f>
        <v>0</v>
      </c>
      <c r="T74" s="274">
        <f>SUMIF('D-1 Off-Site Habitat Baseline'!$AV$11:$AV$258,'G-2 Habitat groups'!A74,'D-1 Off-Site Habitat Baseline'!$T$11:$T$258)</f>
        <v>0</v>
      </c>
      <c r="U74" s="274">
        <f>SUMIF('D-1 Off-Site Habitat Baseline'!$AV$11:$AV$258,'G-2 Habitat groups'!A74,'D-1 Off-Site Habitat Baseline'!$V$11:$V$258)</f>
        <v>0</v>
      </c>
      <c r="V74" s="274">
        <f>SUMIF('D-1 Off-Site Habitat Baseline'!$AV$11:$AV$258,'G-2 Habitat groups'!A74,'D-1 Off-Site Habitat Baseline'!$X$11:$X$258)+SUMIF('D-1 Off-Site Habitat Baseline'!$AV$11:$AV$258,'G-2 Habitat groups'!A74,'D-1 Off-Site Habitat Baseline'!$AS$11:$AS$258)</f>
        <v>0</v>
      </c>
      <c r="W74" s="274">
        <f>SUMIF('D-2 Off-Site Habitat Creation'!$F$9:$F$255,'G-2 Habitat groups'!A74,'D-2 Off-Site Habitat Creation'!$G$9:$G$255)</f>
        <v>0</v>
      </c>
      <c r="X74" s="274">
        <f>SUMIF('D-2 Off-Site Habitat Creation'!$F$9:$F$255,'G-2 Habitat groups'!A74,'D-2 Off-Site Habitat Creation'!$AB$9:$AB$255)</f>
        <v>0</v>
      </c>
      <c r="Y74" s="274">
        <f>SUMIF('D-3 Off-Site Habitat Enhancment'!$S$12:$S$491,'G-2 Habitat groups'!A74,'D-3 Off-Site Habitat Enhancment'!$V$12:$V$491)</f>
        <v>0</v>
      </c>
      <c r="Z74" s="274">
        <f>SUMIF('D-3 Off-Site Habitat Enhancment'!$S$12:$S$491,'G-2 Habitat groups'!A74,'D-3 Off-Site Habitat Enhancment'!$AQ$12:$AQ$491)</f>
        <v>0</v>
      </c>
      <c r="AA74" s="274">
        <f t="shared" si="58"/>
        <v>0</v>
      </c>
      <c r="AB74" s="274">
        <f t="shared" si="59"/>
        <v>0</v>
      </c>
      <c r="AC74" s="274">
        <f t="shared" si="60"/>
        <v>0</v>
      </c>
      <c r="AD74" s="274">
        <f t="shared" si="61"/>
        <v>0</v>
      </c>
      <c r="AE74" s="274">
        <f t="shared" si="62"/>
        <v>1.5900000000000001E-2</v>
      </c>
      <c r="AF74" s="274">
        <f t="shared" si="63"/>
        <v>6.57259536225E-2</v>
      </c>
    </row>
    <row r="75" spans="1:59" x14ac:dyDescent="0.25">
      <c r="A75" s="70" t="str">
        <f>'G-1 All Habitats'!B74</f>
        <v>Urban - Actively worked sand pit quarry or open cast mine</v>
      </c>
      <c r="B75" s="62" t="s">
        <v>120</v>
      </c>
      <c r="C75" s="62" t="str">
        <f>'G-1 All Habitats'!K74</f>
        <v>Low</v>
      </c>
      <c r="D75" s="62" t="str">
        <f>'G-1 All Habitats'!M74</f>
        <v>Same distinctiveness or better habitat required ≥</v>
      </c>
      <c r="E75" s="274">
        <f>SUMIF('A-1 On-Site Habitat Baseline'!$AV$11:$AV$258,'G-2 Habitat groups'!A75,'A-1 On-Site Habitat Baseline'!$H$11:$H$258)</f>
        <v>0</v>
      </c>
      <c r="F75" s="274">
        <f>SUMIF('A-1 On-Site Habitat Baseline'!$AV$11:$AV$258,'G-2 Habitat groups'!A75,'A-1 On-Site Habitat Baseline'!$Q$11:$Q$258)</f>
        <v>0</v>
      </c>
      <c r="G75" s="274">
        <f>SUMIF('A-1 On-Site Habitat Baseline'!$AV$11:$AV$258,'G-2 Habitat groups'!A75,'A-1 On-Site Habitat Baseline'!$S$11:$S$258)</f>
        <v>0</v>
      </c>
      <c r="H75" s="274">
        <f>SUMIF('A-1 On-Site Habitat Baseline'!$AV$11:$AV$258,'G-2 Habitat groups'!A75,'A-1 On-Site Habitat Baseline'!$U$11:$U$258)+SUMIF('A-1 On-Site Habitat Baseline'!$AV$11:$AV$258,'G-2 Habitat groups'!A75, 'A-1 On-Site Habitat Baseline'!$AT$11:$AT$258)</f>
        <v>0</v>
      </c>
      <c r="I75" s="274">
        <f>SUMIF('A-1 On-Site Habitat Baseline'!$AV$11:$AV$258,'G-2 Habitat groups'!A75,'A-1 On-Site Habitat Baseline'!$W$11:$W$258)</f>
        <v>0</v>
      </c>
      <c r="J75" s="274">
        <f>SUMIF('A-1 On-Site Habitat Baseline'!$AV$11:$AV$258,'G-2 Habitat groups'!A75,'A-1 On-Site Habitat Baseline'!$X$11:$X$258)</f>
        <v>0</v>
      </c>
      <c r="K75" s="274">
        <f>SUMIF('A-2 On-Site Habitat Creation'!$F$11:$F$256,'G-2 Habitat groups'!A75,'A-2 On-Site Habitat Creation'!$G$11:$G$256)</f>
        <v>0</v>
      </c>
      <c r="L75" s="274">
        <f>SUMIF('A-2 On-Site Habitat Creation'!$F$11:$F$256,'G-2 Habitat groups'!A75,'A-2 On-Site Habitat Creation'!$Y$11:$Y$256)</f>
        <v>0</v>
      </c>
      <c r="M75" s="274">
        <f>SUMIF('A-3 On-Site Habitat Enhancement'!$S$12:$S$257,'G-2 Habitat groups'!A75,'A-3 On-Site Habitat Enhancement'!$V$12:$V$257)</f>
        <v>0</v>
      </c>
      <c r="N75" s="274">
        <f>SUMIF('A-3 On-Site Habitat Enhancement'!$S$12:$S$257,'G-2 Habitat groups'!A75,'A-3 On-Site Habitat Enhancement'!$AN$12:$AN$257)</f>
        <v>0</v>
      </c>
      <c r="O75" s="274">
        <f t="shared" si="54"/>
        <v>0</v>
      </c>
      <c r="P75" s="274">
        <f t="shared" si="55"/>
        <v>0</v>
      </c>
      <c r="Q75" s="274">
        <f t="shared" si="56"/>
        <v>0</v>
      </c>
      <c r="R75" s="274">
        <f t="shared" si="57"/>
        <v>0</v>
      </c>
      <c r="S75" s="274">
        <f>SUMIF('D-1 Off-Site Habitat Baseline'!$AV$11:$AV$258,'G-2 Habitat groups'!A75,'D-1 Off-Site Habitat Baseline'!$H$11:$H$258)</f>
        <v>0</v>
      </c>
      <c r="T75" s="274">
        <f>SUMIF('D-1 Off-Site Habitat Baseline'!$AV$11:$AV$258,'G-2 Habitat groups'!A75,'D-1 Off-Site Habitat Baseline'!$T$11:$T$258)</f>
        <v>0</v>
      </c>
      <c r="U75" s="274">
        <f>SUMIF('D-1 Off-Site Habitat Baseline'!$AV$11:$AV$258,'G-2 Habitat groups'!A75,'D-1 Off-Site Habitat Baseline'!$V$11:$V$258)</f>
        <v>0</v>
      </c>
      <c r="V75" s="274">
        <f>SUMIF('D-1 Off-Site Habitat Baseline'!$AV$11:$AV$258,'G-2 Habitat groups'!A75,'D-1 Off-Site Habitat Baseline'!$X$11:$X$258)+SUMIF('D-1 Off-Site Habitat Baseline'!$AV$11:$AV$258,'G-2 Habitat groups'!A75,'D-1 Off-Site Habitat Baseline'!$AS$11:$AS$258)</f>
        <v>0</v>
      </c>
      <c r="W75" s="274">
        <f>SUMIF('D-2 Off-Site Habitat Creation'!$F$9:$F$255,'G-2 Habitat groups'!A75,'D-2 Off-Site Habitat Creation'!$G$9:$G$255)</f>
        <v>0</v>
      </c>
      <c r="X75" s="274">
        <f>SUMIF('D-2 Off-Site Habitat Creation'!$F$9:$F$255,'G-2 Habitat groups'!A75,'D-2 Off-Site Habitat Creation'!$AB$9:$AB$255)</f>
        <v>0</v>
      </c>
      <c r="Y75" s="274">
        <f>SUMIF('D-3 Off-Site Habitat Enhancment'!$S$12:$S$491,'G-2 Habitat groups'!A75,'D-3 Off-Site Habitat Enhancment'!$V$12:$V$491)</f>
        <v>0</v>
      </c>
      <c r="Z75" s="274">
        <f>SUMIF('D-3 Off-Site Habitat Enhancment'!$S$12:$S$491,'G-2 Habitat groups'!A75,'D-3 Off-Site Habitat Enhancment'!$AQ$12:$AQ$491)</f>
        <v>0</v>
      </c>
      <c r="AA75" s="274">
        <f t="shared" si="58"/>
        <v>0</v>
      </c>
      <c r="AB75" s="274">
        <f t="shared" si="59"/>
        <v>0</v>
      </c>
      <c r="AC75" s="274">
        <f t="shared" si="60"/>
        <v>0</v>
      </c>
      <c r="AD75" s="274">
        <f t="shared" si="61"/>
        <v>0</v>
      </c>
      <c r="AE75" s="274">
        <f t="shared" si="62"/>
        <v>0</v>
      </c>
      <c r="AF75" s="274">
        <f t="shared" si="63"/>
        <v>0</v>
      </c>
    </row>
    <row r="76" spans="1:59" x14ac:dyDescent="0.25">
      <c r="A76" s="70" t="str">
        <f>'G-1 All Habitats'!B80</f>
        <v>Individual trees - Urban tree</v>
      </c>
      <c r="B76" s="62" t="s">
        <v>148</v>
      </c>
      <c r="C76" s="62" t="str">
        <f>'G-1 All Habitats'!K80</f>
        <v>Medium</v>
      </c>
      <c r="D76" s="62" t="str">
        <f>'G-1 All Habitats'!M80</f>
        <v>Same broad habitat or a higher distinctiveness habitat required (≥)</v>
      </c>
      <c r="E76" s="274">
        <f>SUMIF('A-1 On-Site Habitat Baseline'!$AV$11:$AV$258,'G-2 Habitat groups'!A76,'A-1 On-Site Habitat Baseline'!$H$11:$H$258)</f>
        <v>0.10589999999999999</v>
      </c>
      <c r="F76" s="274">
        <f>SUMIF('A-1 On-Site Habitat Baseline'!$AV$11:$AV$258,'G-2 Habitat groups'!A76,'A-1 On-Site Habitat Baseline'!$Q$11:$Q$258)</f>
        <v>0.97427999999999981</v>
      </c>
      <c r="G76" s="274">
        <f>SUMIF('A-1 On-Site Habitat Baseline'!$AV$11:$AV$258,'G-2 Habitat groups'!A76,'A-1 On-Site Habitat Baseline'!$S$11:$S$258)</f>
        <v>2.8499999999999998E-2</v>
      </c>
      <c r="H76" s="274">
        <f>SUMIF('A-1 On-Site Habitat Baseline'!$AV$11:$AV$258,'G-2 Habitat groups'!A76,'A-1 On-Site Habitat Baseline'!$U$11:$U$258)+SUMIF('A-1 On-Site Habitat Baseline'!$AV$11:$AV$258,'G-2 Habitat groups'!A76, 'A-1 On-Site Habitat Baseline'!$AT$11:$AT$258)</f>
        <v>0.28105999999999998</v>
      </c>
      <c r="I76" s="274">
        <f>SUMIF('A-1 On-Site Habitat Baseline'!$AV$11:$AV$258,'G-2 Habitat groups'!A76,'A-1 On-Site Habitat Baseline'!$W$11:$W$258)</f>
        <v>7.7399999999999997E-2</v>
      </c>
      <c r="J76" s="274">
        <f>SUMIF('A-1 On-Site Habitat Baseline'!$AV$11:$AV$258,'G-2 Habitat groups'!A76,'A-1 On-Site Habitat Baseline'!$X$11:$X$258)</f>
        <v>0.69321999999999995</v>
      </c>
      <c r="K76" s="274">
        <f>SUMIF('A-2 On-Site Habitat Creation'!$F$11:$F$256,'G-2 Habitat groups'!A76,'A-2 On-Site Habitat Creation'!$G$11:$G$256)</f>
        <v>0.11807361829251865</v>
      </c>
      <c r="L76" s="274">
        <f>SUMIF('A-2 On-Site Habitat Creation'!$F$11:$F$256,'G-2 Habitat groups'!A76,'A-2 On-Site Habitat Creation'!$Y$11:$Y$256)</f>
        <v>0.38035036492817526</v>
      </c>
      <c r="M76" s="274">
        <f>SUMIF('A-3 On-Site Habitat Enhancement'!$S$12:$S$257,'G-2 Habitat groups'!A76,'A-3 On-Site Habitat Enhancement'!$V$12:$V$257)</f>
        <v>0</v>
      </c>
      <c r="N76" s="274">
        <f>SUMIF('A-3 On-Site Habitat Enhancement'!$S$12:$S$257,'G-2 Habitat groups'!A76,'A-3 On-Site Habitat Enhancement'!$AN$12:$AN$257)</f>
        <v>0</v>
      </c>
      <c r="O76" s="274">
        <f t="shared" si="54"/>
        <v>0.14657361829251864</v>
      </c>
      <c r="P76" s="274">
        <f t="shared" si="55"/>
        <v>0.66141036492817529</v>
      </c>
      <c r="Q76" s="274">
        <f t="shared" si="56"/>
        <v>4.0673618292518643E-2</v>
      </c>
      <c r="R76" s="274">
        <f t="shared" si="57"/>
        <v>-0.31286963507182453</v>
      </c>
      <c r="S76" s="274">
        <f>SUMIF('D-1 Off-Site Habitat Baseline'!$AV$11:$AV$258,'G-2 Habitat groups'!A76,'D-1 Off-Site Habitat Baseline'!$H$11:$H$258)</f>
        <v>0.19139999999999999</v>
      </c>
      <c r="T76" s="274">
        <f>SUMIF('D-1 Off-Site Habitat Baseline'!$AV$11:$AV$258,'G-2 Habitat groups'!A76,'D-1 Off-Site Habitat Baseline'!$T$11:$T$258)</f>
        <v>2.4163799999999998</v>
      </c>
      <c r="U76" s="274">
        <f>SUMIF('D-1 Off-Site Habitat Baseline'!$AV$11:$AV$258,'G-2 Habitat groups'!A76,'D-1 Off-Site Habitat Baseline'!$V$11:$V$258)</f>
        <v>0.19139999999999999</v>
      </c>
      <c r="V76" s="274">
        <f>SUMIF('D-1 Off-Site Habitat Baseline'!$AV$11:$AV$258,'G-2 Habitat groups'!A76,'D-1 Off-Site Habitat Baseline'!$X$11:$X$258)+SUMIF('D-1 Off-Site Habitat Baseline'!$AV$11:$AV$258,'G-2 Habitat groups'!A76,'D-1 Off-Site Habitat Baseline'!$AS$11:$AS$258)</f>
        <v>2.4163799999999998</v>
      </c>
      <c r="W76" s="274">
        <f>SUMIF('D-2 Off-Site Habitat Creation'!$F$9:$F$255,'G-2 Habitat groups'!A76,'D-2 Off-Site Habitat Creation'!$G$9:$G$255)</f>
        <v>0.114</v>
      </c>
      <c r="X76" s="274">
        <f>SUMIF('D-2 Off-Site Habitat Creation'!$F$9:$F$255,'G-2 Habitat groups'!A76,'D-2 Off-Site Habitat Creation'!$AB$9:$AB$255)</f>
        <v>0.36722802459047993</v>
      </c>
      <c r="Y76" s="274">
        <f>SUMIF('D-3 Off-Site Habitat Enhancment'!$S$12:$S$491,'G-2 Habitat groups'!A76,'D-3 Off-Site Habitat Enhancment'!$V$12:$V$491)</f>
        <v>0</v>
      </c>
      <c r="Z76" s="274">
        <f>SUMIF('D-3 Off-Site Habitat Enhancment'!$S$12:$S$491,'G-2 Habitat groups'!A76,'D-3 Off-Site Habitat Enhancment'!$AQ$12:$AQ$491)</f>
        <v>0</v>
      </c>
      <c r="AA76" s="274">
        <f t="shared" si="58"/>
        <v>0.3054</v>
      </c>
      <c r="AB76" s="274">
        <f t="shared" si="59"/>
        <v>2.7836080245904795</v>
      </c>
      <c r="AC76" s="274">
        <f t="shared" si="60"/>
        <v>0.11400000000000002</v>
      </c>
      <c r="AD76" s="274">
        <f t="shared" si="61"/>
        <v>0.36722802459047976</v>
      </c>
      <c r="AE76" s="274">
        <f t="shared" si="62"/>
        <v>0.15467361829251866</v>
      </c>
      <c r="AF76" s="274">
        <f t="shared" si="63"/>
        <v>5.4358389518655237E-2</v>
      </c>
    </row>
    <row r="77" spans="1:59" ht="35.4" x14ac:dyDescent="0.6">
      <c r="A77" s="70" t="str">
        <f>'G-1 All Habitats'!B75</f>
        <v>Urban - Sustainable drainage system</v>
      </c>
      <c r="B77" s="62" t="s">
        <v>120</v>
      </c>
      <c r="C77" s="62" t="str">
        <f>'G-1 All Habitats'!K75</f>
        <v>Low</v>
      </c>
      <c r="D77" s="62" t="str">
        <f>'G-1 All Habitats'!M75</f>
        <v>Same distinctiveness or better habitat required ≥</v>
      </c>
      <c r="E77" s="274">
        <f>SUMIF('A-1 On-Site Habitat Baseline'!$AV$11:$AV$258,'G-2 Habitat groups'!A77,'A-1 On-Site Habitat Baseline'!$H$11:$H$258)</f>
        <v>0</v>
      </c>
      <c r="F77" s="274">
        <f>SUMIF('A-1 On-Site Habitat Baseline'!$AV$11:$AV$258,'G-2 Habitat groups'!A77,'A-1 On-Site Habitat Baseline'!$Q$11:$Q$258)</f>
        <v>0</v>
      </c>
      <c r="G77" s="274">
        <f>SUMIF('A-1 On-Site Habitat Baseline'!$AV$11:$AV$258,'G-2 Habitat groups'!A77,'A-1 On-Site Habitat Baseline'!$S$11:$S$258)</f>
        <v>0</v>
      </c>
      <c r="H77" s="274">
        <f>SUMIF('A-1 On-Site Habitat Baseline'!$AV$11:$AV$258,'G-2 Habitat groups'!A77,'A-1 On-Site Habitat Baseline'!$U$11:$U$258)+SUMIF('A-1 On-Site Habitat Baseline'!$AV$11:$AV$258,'G-2 Habitat groups'!A77, 'A-1 On-Site Habitat Baseline'!$AT$11:$AT$258)</f>
        <v>0</v>
      </c>
      <c r="I77" s="274">
        <f>SUMIF('A-1 On-Site Habitat Baseline'!$AV$11:$AV$258,'G-2 Habitat groups'!A77,'A-1 On-Site Habitat Baseline'!$W$11:$W$258)</f>
        <v>0</v>
      </c>
      <c r="J77" s="274">
        <f>SUMIF('A-1 On-Site Habitat Baseline'!$AV$11:$AV$258,'G-2 Habitat groups'!A77,'A-1 On-Site Habitat Baseline'!$X$11:$X$258)</f>
        <v>0</v>
      </c>
      <c r="K77" s="274">
        <f>SUMIF('A-2 On-Site Habitat Creation'!$F$11:$F$256,'G-2 Habitat groups'!A77,'A-2 On-Site Habitat Creation'!$G$11:$G$256)</f>
        <v>0</v>
      </c>
      <c r="L77" s="274">
        <f>SUMIF('A-2 On-Site Habitat Creation'!$F$11:$F$256,'G-2 Habitat groups'!A77,'A-2 On-Site Habitat Creation'!$Y$11:$Y$256)</f>
        <v>0</v>
      </c>
      <c r="M77" s="274">
        <f>SUMIF('A-3 On-Site Habitat Enhancement'!$S$12:$S$257,'G-2 Habitat groups'!A77,'A-3 On-Site Habitat Enhancement'!$V$12:$V$257)</f>
        <v>0</v>
      </c>
      <c r="N77" s="274">
        <f>SUMIF('A-3 On-Site Habitat Enhancement'!$S$12:$S$257,'G-2 Habitat groups'!A77,'A-3 On-Site Habitat Enhancement'!$AN$12:$AN$257)</f>
        <v>0</v>
      </c>
      <c r="O77" s="274">
        <f t="shared" si="54"/>
        <v>0</v>
      </c>
      <c r="P77" s="274">
        <f t="shared" si="55"/>
        <v>0</v>
      </c>
      <c r="Q77" s="274">
        <f t="shared" si="56"/>
        <v>0</v>
      </c>
      <c r="R77" s="274">
        <f t="shared" si="57"/>
        <v>0</v>
      </c>
      <c r="S77" s="274">
        <f>SUMIF('D-1 Off-Site Habitat Baseline'!$AV$11:$AV$258,'G-2 Habitat groups'!A77,'D-1 Off-Site Habitat Baseline'!$H$11:$H$258)</f>
        <v>0</v>
      </c>
      <c r="T77" s="274">
        <f>SUMIF('D-1 Off-Site Habitat Baseline'!$AV$11:$AV$258,'G-2 Habitat groups'!A77,'D-1 Off-Site Habitat Baseline'!$T$11:$T$258)</f>
        <v>0</v>
      </c>
      <c r="U77" s="274">
        <f>SUMIF('D-1 Off-Site Habitat Baseline'!$AV$11:$AV$258,'G-2 Habitat groups'!A77,'D-1 Off-Site Habitat Baseline'!$V$11:$V$258)</f>
        <v>0</v>
      </c>
      <c r="V77" s="274">
        <f>SUMIF('D-1 Off-Site Habitat Baseline'!$AV$11:$AV$258,'G-2 Habitat groups'!A77,'D-1 Off-Site Habitat Baseline'!$X$11:$X$258)+SUMIF('D-1 Off-Site Habitat Baseline'!$AV$11:$AV$258,'G-2 Habitat groups'!A77,'D-1 Off-Site Habitat Baseline'!$AS$11:$AS$258)</f>
        <v>0</v>
      </c>
      <c r="W77" s="274">
        <f>SUMIF('D-2 Off-Site Habitat Creation'!$F$9:$F$255,'G-2 Habitat groups'!A77,'D-2 Off-Site Habitat Creation'!$G$9:$G$255)</f>
        <v>0</v>
      </c>
      <c r="X77" s="274">
        <f>SUMIF('D-2 Off-Site Habitat Creation'!$F$9:$F$255,'G-2 Habitat groups'!A77,'D-2 Off-Site Habitat Creation'!$AB$9:$AB$255)</f>
        <v>0</v>
      </c>
      <c r="Y77" s="274">
        <f>SUMIF('D-3 Off-Site Habitat Enhancment'!$S$12:$S$491,'G-2 Habitat groups'!A77,'D-3 Off-Site Habitat Enhancment'!$V$12:$V$491)</f>
        <v>0</v>
      </c>
      <c r="Z77" s="274">
        <f>SUMIF('D-3 Off-Site Habitat Enhancment'!$S$12:$S$491,'G-2 Habitat groups'!A77,'D-3 Off-Site Habitat Enhancment'!$AQ$12:$AQ$491)</f>
        <v>0</v>
      </c>
      <c r="AA77" s="274">
        <f t="shared" si="58"/>
        <v>0</v>
      </c>
      <c r="AB77" s="274">
        <f t="shared" si="59"/>
        <v>0</v>
      </c>
      <c r="AC77" s="274">
        <f t="shared" si="60"/>
        <v>0</v>
      </c>
      <c r="AD77" s="274">
        <f t="shared" si="61"/>
        <v>0</v>
      </c>
      <c r="AE77" s="274">
        <f t="shared" si="62"/>
        <v>0</v>
      </c>
      <c r="AF77" s="274">
        <f t="shared" si="63"/>
        <v>0</v>
      </c>
      <c r="AU77" s="229" t="s">
        <v>40</v>
      </c>
      <c r="AV77" s="67"/>
      <c r="AW77" s="67"/>
      <c r="AX77" s="67"/>
      <c r="AY77" s="67"/>
      <c r="AZ77" s="67"/>
      <c r="BA77" s="67"/>
      <c r="BB77" s="67"/>
      <c r="BC77" s="67"/>
      <c r="BD77" s="67"/>
      <c r="BE77" s="67"/>
      <c r="BF77" s="67"/>
      <c r="BG77" s="83"/>
    </row>
    <row r="78" spans="1:59" ht="33.75" customHeight="1" x14ac:dyDescent="0.3">
      <c r="A78" s="70" t="str">
        <f>'G-1 All Habitats'!B76</f>
        <v>Urban - Unvegetated garden</v>
      </c>
      <c r="B78" s="62" t="s">
        <v>120</v>
      </c>
      <c r="C78" s="62" t="str">
        <f>'G-1 All Habitats'!K76</f>
        <v>V.Low</v>
      </c>
      <c r="D78" s="62" t="str">
        <f>'G-1 All Habitats'!M76</f>
        <v>Compensation Not Required</v>
      </c>
      <c r="E78" s="274">
        <f>SUMIF('A-1 On-Site Habitat Baseline'!$AV$11:$AV$258,'G-2 Habitat groups'!A78,'A-1 On-Site Habitat Baseline'!$H$11:$H$258)</f>
        <v>0</v>
      </c>
      <c r="F78" s="274">
        <f>SUMIF('A-1 On-Site Habitat Baseline'!$AV$11:$AV$258,'G-2 Habitat groups'!A78,'A-1 On-Site Habitat Baseline'!$Q$11:$Q$258)</f>
        <v>0</v>
      </c>
      <c r="G78" s="274">
        <f>SUMIF('A-1 On-Site Habitat Baseline'!$AV$11:$AV$258,'G-2 Habitat groups'!A78,'A-1 On-Site Habitat Baseline'!$S$11:$S$258)</f>
        <v>0</v>
      </c>
      <c r="H78" s="274">
        <f>SUMIF('A-1 On-Site Habitat Baseline'!$AV$11:$AV$258,'G-2 Habitat groups'!A78,'A-1 On-Site Habitat Baseline'!$U$11:$U$258)+SUMIF('A-1 On-Site Habitat Baseline'!$AV$11:$AV$258,'G-2 Habitat groups'!A78, 'A-1 On-Site Habitat Baseline'!$AT$11:$AT$258)</f>
        <v>0</v>
      </c>
      <c r="I78" s="274">
        <f>SUMIF('A-1 On-Site Habitat Baseline'!$AV$11:$AV$258,'G-2 Habitat groups'!A78,'A-1 On-Site Habitat Baseline'!$W$11:$W$258)</f>
        <v>0</v>
      </c>
      <c r="J78" s="274">
        <f>SUMIF('A-1 On-Site Habitat Baseline'!$AV$11:$AV$258,'G-2 Habitat groups'!A78,'A-1 On-Site Habitat Baseline'!$X$11:$X$258)</f>
        <v>0</v>
      </c>
      <c r="K78" s="274">
        <f>SUMIF('A-2 On-Site Habitat Creation'!$F$11:$F$256,'G-2 Habitat groups'!A78,'A-2 On-Site Habitat Creation'!$G$11:$G$256)</f>
        <v>0</v>
      </c>
      <c r="L78" s="274">
        <f>SUMIF('A-2 On-Site Habitat Creation'!$F$11:$F$256,'G-2 Habitat groups'!A78,'A-2 On-Site Habitat Creation'!$Y$11:$Y$256)</f>
        <v>0</v>
      </c>
      <c r="M78" s="274">
        <f>SUMIF('A-3 On-Site Habitat Enhancement'!$S$12:$S$257,'G-2 Habitat groups'!A78,'A-3 On-Site Habitat Enhancement'!$V$12:$V$257)</f>
        <v>0</v>
      </c>
      <c r="N78" s="274">
        <f>SUMIF('A-3 On-Site Habitat Enhancement'!$S$12:$S$257,'G-2 Habitat groups'!A78,'A-3 On-Site Habitat Enhancement'!$AN$12:$AN$257)</f>
        <v>0</v>
      </c>
      <c r="O78" s="274">
        <f t="shared" si="54"/>
        <v>0</v>
      </c>
      <c r="P78" s="274">
        <f t="shared" si="55"/>
        <v>0</v>
      </c>
      <c r="Q78" s="274">
        <f t="shared" si="56"/>
        <v>0</v>
      </c>
      <c r="R78" s="274">
        <f t="shared" si="57"/>
        <v>0</v>
      </c>
      <c r="S78" s="274">
        <f>SUMIF('D-1 Off-Site Habitat Baseline'!$AV$11:$AV$258,'G-2 Habitat groups'!A78,'D-1 Off-Site Habitat Baseline'!$H$11:$H$258)</f>
        <v>0</v>
      </c>
      <c r="T78" s="274">
        <f>SUMIF('D-1 Off-Site Habitat Baseline'!$AV$11:$AV$258,'G-2 Habitat groups'!A78,'D-1 Off-Site Habitat Baseline'!$T$11:$T$258)</f>
        <v>0</v>
      </c>
      <c r="U78" s="274">
        <f>SUMIF('D-1 Off-Site Habitat Baseline'!$AV$11:$AV$258,'G-2 Habitat groups'!A78,'D-1 Off-Site Habitat Baseline'!$V$11:$V$258)</f>
        <v>0</v>
      </c>
      <c r="V78" s="274">
        <f>SUMIF('D-1 Off-Site Habitat Baseline'!$AV$11:$AV$258,'G-2 Habitat groups'!A78,'D-1 Off-Site Habitat Baseline'!$X$11:$X$258)+SUMIF('D-1 Off-Site Habitat Baseline'!$AV$11:$AV$258,'G-2 Habitat groups'!A78,'D-1 Off-Site Habitat Baseline'!$AS$11:$AS$258)</f>
        <v>0</v>
      </c>
      <c r="W78" s="274">
        <f>SUMIF('D-2 Off-Site Habitat Creation'!$F$9:$F$255,'G-2 Habitat groups'!A78,'D-2 Off-Site Habitat Creation'!$G$9:$G$255)</f>
        <v>0</v>
      </c>
      <c r="X78" s="274">
        <f>SUMIF('D-2 Off-Site Habitat Creation'!$F$9:$F$255,'G-2 Habitat groups'!A78,'D-2 Off-Site Habitat Creation'!$AB$9:$AB$255)</f>
        <v>0</v>
      </c>
      <c r="Y78" s="274">
        <f>SUMIF('D-3 Off-Site Habitat Enhancment'!$S$12:$S$491,'G-2 Habitat groups'!A78,'D-3 Off-Site Habitat Enhancment'!$V$12:$V$491)</f>
        <v>0</v>
      </c>
      <c r="Z78" s="274">
        <f>SUMIF('D-3 Off-Site Habitat Enhancment'!$S$12:$S$491,'G-2 Habitat groups'!A78,'D-3 Off-Site Habitat Enhancment'!$AQ$12:$AQ$491)</f>
        <v>0</v>
      </c>
      <c r="AA78" s="274">
        <f t="shared" si="58"/>
        <v>0</v>
      </c>
      <c r="AB78" s="274">
        <f t="shared" si="59"/>
        <v>0</v>
      </c>
      <c r="AC78" s="274">
        <f t="shared" si="60"/>
        <v>0</v>
      </c>
      <c r="AD78" s="274">
        <f t="shared" si="61"/>
        <v>0</v>
      </c>
      <c r="AE78" s="274">
        <f t="shared" si="62"/>
        <v>0</v>
      </c>
      <c r="AF78" s="274">
        <f t="shared" si="63"/>
        <v>0</v>
      </c>
      <c r="AU78" s="85" t="s">
        <v>63</v>
      </c>
      <c r="AV78" s="88" t="s">
        <v>299</v>
      </c>
      <c r="AW78" s="89" t="s">
        <v>1068</v>
      </c>
      <c r="AX78" s="89" t="s">
        <v>1069</v>
      </c>
      <c r="AY78" s="89" t="s">
        <v>1070</v>
      </c>
      <c r="AZ78" s="89" t="s">
        <v>1071</v>
      </c>
      <c r="BA78" s="89" t="s">
        <v>1072</v>
      </c>
      <c r="BB78" s="89" t="s">
        <v>1073</v>
      </c>
      <c r="BC78" s="89" t="s">
        <v>1074</v>
      </c>
      <c r="BD78" s="88" t="s">
        <v>1075</v>
      </c>
      <c r="BE78" s="89" t="s">
        <v>1076</v>
      </c>
      <c r="BF78" s="89" t="s">
        <v>1084</v>
      </c>
      <c r="BG78" s="84"/>
    </row>
    <row r="79" spans="1:59" x14ac:dyDescent="0.25">
      <c r="A79" s="70" t="str">
        <f>'G-1 All Habitats'!B77</f>
        <v>Urban - Vacant or derelict land</v>
      </c>
      <c r="B79" s="62" t="s">
        <v>120</v>
      </c>
      <c r="C79" s="62" t="str">
        <f>'G-1 All Habitats'!K77</f>
        <v>Low</v>
      </c>
      <c r="D79" s="62" t="str">
        <f>'G-1 All Habitats'!M77</f>
        <v>Same distinctiveness or better habitat required ≥</v>
      </c>
      <c r="E79" s="274">
        <f>SUMIF('A-1 On-Site Habitat Baseline'!$AV$11:$AV$258,'G-2 Habitat groups'!A79,'A-1 On-Site Habitat Baseline'!$H$11:$H$258)</f>
        <v>0</v>
      </c>
      <c r="F79" s="274">
        <f>SUMIF('A-1 On-Site Habitat Baseline'!$AV$11:$AV$258,'G-2 Habitat groups'!A79,'A-1 On-Site Habitat Baseline'!$Q$11:$Q$258)</f>
        <v>0</v>
      </c>
      <c r="G79" s="274">
        <f>SUMIF('A-1 On-Site Habitat Baseline'!$AV$11:$AV$258,'G-2 Habitat groups'!A79,'A-1 On-Site Habitat Baseline'!$S$11:$S$258)</f>
        <v>0</v>
      </c>
      <c r="H79" s="274">
        <f>SUMIF('A-1 On-Site Habitat Baseline'!$AV$11:$AV$258,'G-2 Habitat groups'!A79,'A-1 On-Site Habitat Baseline'!$U$11:$U$258)+SUMIF('A-1 On-Site Habitat Baseline'!$AV$11:$AV$258,'G-2 Habitat groups'!A79, 'A-1 On-Site Habitat Baseline'!$AT$11:$AT$258)</f>
        <v>0</v>
      </c>
      <c r="I79" s="274">
        <f>SUMIF('A-1 On-Site Habitat Baseline'!$AV$11:$AV$258,'G-2 Habitat groups'!A79,'A-1 On-Site Habitat Baseline'!$W$11:$W$258)</f>
        <v>0</v>
      </c>
      <c r="J79" s="274">
        <f>SUMIF('A-1 On-Site Habitat Baseline'!$AV$11:$AV$258,'G-2 Habitat groups'!A79,'A-1 On-Site Habitat Baseline'!$X$11:$X$258)</f>
        <v>0</v>
      </c>
      <c r="K79" s="274">
        <f>SUMIF('A-2 On-Site Habitat Creation'!$F$11:$F$256,'G-2 Habitat groups'!A79,'A-2 On-Site Habitat Creation'!$G$11:$G$256)</f>
        <v>0</v>
      </c>
      <c r="L79" s="274">
        <f>SUMIF('A-2 On-Site Habitat Creation'!$F$11:$F$256,'G-2 Habitat groups'!A79,'A-2 On-Site Habitat Creation'!$Y$11:$Y$256)</f>
        <v>0</v>
      </c>
      <c r="M79" s="274">
        <f>SUMIF('A-3 On-Site Habitat Enhancement'!$S$12:$S$257,'G-2 Habitat groups'!A79,'A-3 On-Site Habitat Enhancement'!$V$12:$V$257)</f>
        <v>0</v>
      </c>
      <c r="N79" s="274">
        <f>SUMIF('A-3 On-Site Habitat Enhancement'!$S$12:$S$257,'G-2 Habitat groups'!A79,'A-3 On-Site Habitat Enhancement'!$AN$12:$AN$257)</f>
        <v>0</v>
      </c>
      <c r="O79" s="274">
        <f t="shared" si="54"/>
        <v>0</v>
      </c>
      <c r="P79" s="274">
        <f t="shared" si="55"/>
        <v>0</v>
      </c>
      <c r="Q79" s="274">
        <f t="shared" si="56"/>
        <v>0</v>
      </c>
      <c r="R79" s="274">
        <f t="shared" si="57"/>
        <v>0</v>
      </c>
      <c r="S79" s="274">
        <f>SUMIF('D-1 Off-Site Habitat Baseline'!$AV$11:$AV$258,'G-2 Habitat groups'!A79,'D-1 Off-Site Habitat Baseline'!$H$11:$H$258)</f>
        <v>0</v>
      </c>
      <c r="T79" s="274">
        <f>SUMIF('D-1 Off-Site Habitat Baseline'!$AV$11:$AV$258,'G-2 Habitat groups'!A79,'D-1 Off-Site Habitat Baseline'!$T$11:$T$258)</f>
        <v>0</v>
      </c>
      <c r="U79" s="274">
        <f>SUMIF('D-1 Off-Site Habitat Baseline'!$AV$11:$AV$258,'G-2 Habitat groups'!A79,'D-1 Off-Site Habitat Baseline'!$V$11:$V$258)</f>
        <v>0</v>
      </c>
      <c r="V79" s="274">
        <f>SUMIF('D-1 Off-Site Habitat Baseline'!$AV$11:$AV$258,'G-2 Habitat groups'!A79,'D-1 Off-Site Habitat Baseline'!$X$11:$X$258)+SUMIF('D-1 Off-Site Habitat Baseline'!$AV$11:$AV$258,'G-2 Habitat groups'!A79,'D-1 Off-Site Habitat Baseline'!$AS$11:$AS$258)</f>
        <v>0</v>
      </c>
      <c r="W79" s="274">
        <f>SUMIF('D-2 Off-Site Habitat Creation'!$F$9:$F$255,'G-2 Habitat groups'!A79,'D-2 Off-Site Habitat Creation'!$G$9:$G$255)</f>
        <v>0</v>
      </c>
      <c r="X79" s="274">
        <f>SUMIF('D-2 Off-Site Habitat Creation'!$F$9:$F$255,'G-2 Habitat groups'!A79,'D-2 Off-Site Habitat Creation'!$AB$9:$AB$255)</f>
        <v>0</v>
      </c>
      <c r="Y79" s="274">
        <f>SUMIF('D-3 Off-Site Habitat Enhancment'!$S$12:$S$491,'G-2 Habitat groups'!A79,'D-3 Off-Site Habitat Enhancment'!$V$12:$V$491)</f>
        <v>0</v>
      </c>
      <c r="Z79" s="274">
        <f>SUMIF('D-3 Off-Site Habitat Enhancment'!$S$12:$S$491,'G-2 Habitat groups'!A79,'D-3 Off-Site Habitat Enhancment'!$AQ$12:$AQ$491)</f>
        <v>0</v>
      </c>
      <c r="AA79" s="274">
        <f t="shared" si="58"/>
        <v>0</v>
      </c>
      <c r="AB79" s="274">
        <f t="shared" si="59"/>
        <v>0</v>
      </c>
      <c r="AC79" s="274">
        <f t="shared" si="60"/>
        <v>0</v>
      </c>
      <c r="AD79" s="274">
        <f t="shared" si="61"/>
        <v>0</v>
      </c>
      <c r="AE79" s="274">
        <f t="shared" si="62"/>
        <v>0</v>
      </c>
      <c r="AF79" s="274">
        <f t="shared" si="63"/>
        <v>0</v>
      </c>
      <c r="AU79" s="70" t="s">
        <v>593</v>
      </c>
      <c r="AV79" s="62" t="s">
        <v>147</v>
      </c>
      <c r="AW79" s="280">
        <f>VLOOKUP($AU79,AllHabsSummaryData,5,FALSE)</f>
        <v>0</v>
      </c>
      <c r="AX79" s="280">
        <f>VLOOKUP($AU79,AllHabsSummaryData,10,FALSE)</f>
        <v>0</v>
      </c>
      <c r="AY79" s="280">
        <f>VLOOKUP($AU79,AllHabsSummaryData,15,FALSE)</f>
        <v>0</v>
      </c>
      <c r="AZ79" s="280">
        <f>VLOOKUP($AU79,AllHabsSummaryData,16,FALSE)</f>
        <v>0</v>
      </c>
      <c r="BA79" s="280">
        <f>VLOOKUP($AU79,AllHabsSummaryData,17,FALSE)</f>
        <v>0</v>
      </c>
      <c r="BB79" s="280">
        <f>VLOOKUP($AU79,AllHabsSummaryData,18,FALSE)</f>
        <v>0</v>
      </c>
      <c r="BC79" s="280">
        <f>VLOOKUP($AU79,AllHabsSummaryData,27,FALSE)</f>
        <v>0</v>
      </c>
      <c r="BD79" s="280">
        <f>VLOOKUP($AU79,AllHabsSummaryData,30,FALSE)</f>
        <v>0</v>
      </c>
      <c r="BE79" s="280">
        <f>BB79+BD79</f>
        <v>0</v>
      </c>
      <c r="BF79" s="280" t="str">
        <f>IF(BE79&lt;0,BE79,"")</f>
        <v/>
      </c>
    </row>
    <row r="80" spans="1:59" x14ac:dyDescent="0.25">
      <c r="A80" s="70" t="s">
        <v>852</v>
      </c>
      <c r="B80" s="62" t="s">
        <v>120</v>
      </c>
      <c r="C80" s="62" t="s">
        <v>295</v>
      </c>
      <c r="D80" s="62" t="s">
        <v>296</v>
      </c>
      <c r="E80" s="274">
        <f>SUMIF('A-1 On-Site Habitat Baseline'!$AV$11:$AV$258,'G-2 Habitat groups'!A80,'A-1 On-Site Habitat Baseline'!$H$11:$H$258)</f>
        <v>1.3299999999999999E-2</v>
      </c>
      <c r="F80" s="274">
        <f>SUMIF('A-1 On-Site Habitat Baseline'!$AV$11:$AV$258,'G-2 Habitat groups'!A80,'A-1 On-Site Habitat Baseline'!$Q$11:$Q$258)</f>
        <v>3.0589999999999996E-2</v>
      </c>
      <c r="G80" s="274">
        <f>SUMIF('A-1 On-Site Habitat Baseline'!$AV$11:$AV$258,'G-2 Habitat groups'!A80,'A-1 On-Site Habitat Baseline'!$S$11:$S$258)</f>
        <v>0</v>
      </c>
      <c r="H80" s="274">
        <f>SUMIF('A-1 On-Site Habitat Baseline'!$AV$11:$AV$258,'G-2 Habitat groups'!A80,'A-1 On-Site Habitat Baseline'!$U$11:$U$258)+SUMIF('A-1 On-Site Habitat Baseline'!$AV$11:$AV$258,'G-2 Habitat groups'!A80, 'A-1 On-Site Habitat Baseline'!$AT$11:$AT$258)</f>
        <v>0</v>
      </c>
      <c r="I80" s="274">
        <f>SUMIF('A-1 On-Site Habitat Baseline'!$AV$11:$AV$258,'G-2 Habitat groups'!A80,'A-1 On-Site Habitat Baseline'!$W$11:$W$258)</f>
        <v>1.3299999999999999E-2</v>
      </c>
      <c r="J80" s="274">
        <f>SUMIF('A-1 On-Site Habitat Baseline'!$AV$11:$AV$258,'G-2 Habitat groups'!A80,'A-1 On-Site Habitat Baseline'!$X$11:$X$258)</f>
        <v>3.0589999999999996E-2</v>
      </c>
      <c r="K80" s="274">
        <f>SUMIF('A-2 On-Site Habitat Creation'!$F$11:$F$256,'G-2 Habitat groups'!A80,'A-2 On-Site Habitat Creation'!$G$11:$G$256)</f>
        <v>0</v>
      </c>
      <c r="L80" s="274">
        <f>SUMIF('A-2 On-Site Habitat Creation'!$F$11:$F$256,'G-2 Habitat groups'!A80,'A-2 On-Site Habitat Creation'!$Y$11:$Y$256)</f>
        <v>0</v>
      </c>
      <c r="M80" s="274">
        <f>SUMIF('A-3 On-Site Habitat Enhancement'!$S$12:$S$257,'G-2 Habitat groups'!A80,'A-3 On-Site Habitat Enhancement'!$V$12:$V$257)</f>
        <v>0</v>
      </c>
      <c r="N80" s="274">
        <f>SUMIF('A-3 On-Site Habitat Enhancement'!$S$12:$S$257,'G-2 Habitat groups'!A80,'A-3 On-Site Habitat Enhancement'!$AN$12:$AN$257)</f>
        <v>0</v>
      </c>
      <c r="O80" s="274">
        <f t="shared" si="54"/>
        <v>0</v>
      </c>
      <c r="P80" s="274">
        <f t="shared" si="55"/>
        <v>0</v>
      </c>
      <c r="Q80" s="274">
        <f t="shared" si="56"/>
        <v>-1.3299999999999999E-2</v>
      </c>
      <c r="R80" s="274">
        <f t="shared" si="57"/>
        <v>-3.0589999999999996E-2</v>
      </c>
      <c r="S80" s="274">
        <f>SUMIF('D-1 Off-Site Habitat Baseline'!$AV$11:$AV$258,'G-2 Habitat groups'!A80,'D-1 Off-Site Habitat Baseline'!$H$11:$H$258)</f>
        <v>0</v>
      </c>
      <c r="T80" s="274">
        <f>SUMIF('D-1 Off-Site Habitat Baseline'!$AV$11:$AV$258,'G-2 Habitat groups'!A80,'D-1 Off-Site Habitat Baseline'!$T$11:$T$258)</f>
        <v>0</v>
      </c>
      <c r="U80" s="274">
        <f>SUMIF('D-1 Off-Site Habitat Baseline'!$AV$11:$AV$258,'G-2 Habitat groups'!A80,'D-1 Off-Site Habitat Baseline'!$V$11:$V$258)</f>
        <v>0</v>
      </c>
      <c r="V80" s="274">
        <f>SUMIF('D-1 Off-Site Habitat Baseline'!$AV$11:$AV$258,'G-2 Habitat groups'!A80,'D-1 Off-Site Habitat Baseline'!$X$11:$X$258)+SUMIF('D-1 Off-Site Habitat Baseline'!$AV$11:$AV$258,'G-2 Habitat groups'!A80,'D-1 Off-Site Habitat Baseline'!$AS$11:$AS$258)</f>
        <v>0</v>
      </c>
      <c r="W80" s="274">
        <f>SUMIF('D-2 Off-Site Habitat Creation'!$F$9:$F$255,'G-2 Habitat groups'!A80,'D-2 Off-Site Habitat Creation'!$G$9:$G$255)</f>
        <v>0</v>
      </c>
      <c r="X80" s="274">
        <f>SUMIF('D-2 Off-Site Habitat Creation'!$F$9:$F$255,'G-2 Habitat groups'!A80,'D-2 Off-Site Habitat Creation'!$AB$9:$AB$255)</f>
        <v>0</v>
      </c>
      <c r="Y80" s="274">
        <f>SUMIF('D-3 Off-Site Habitat Enhancment'!$S$12:$S$491,'G-2 Habitat groups'!A80,'D-3 Off-Site Habitat Enhancment'!$V$12:$V$491)</f>
        <v>0</v>
      </c>
      <c r="Z80" s="274">
        <f>SUMIF('D-3 Off-Site Habitat Enhancment'!$S$12:$S$491,'G-2 Habitat groups'!A80,'D-3 Off-Site Habitat Enhancment'!$AQ$12:$AQ$491)</f>
        <v>0</v>
      </c>
      <c r="AA80" s="274">
        <f t="shared" si="58"/>
        <v>0</v>
      </c>
      <c r="AB80" s="274">
        <f t="shared" si="59"/>
        <v>0</v>
      </c>
      <c r="AC80" s="274">
        <f t="shared" si="60"/>
        <v>0</v>
      </c>
      <c r="AD80" s="274">
        <f t="shared" si="61"/>
        <v>0</v>
      </c>
      <c r="AE80" s="274">
        <f t="shared" si="62"/>
        <v>-1.3299999999999999E-2</v>
      </c>
      <c r="AF80" s="274">
        <f t="shared" si="63"/>
        <v>-3.0589999999999996E-2</v>
      </c>
      <c r="AU80" s="70" t="s">
        <v>862</v>
      </c>
      <c r="AV80" s="62" t="s">
        <v>148</v>
      </c>
      <c r="AW80" s="280">
        <f>VLOOKUP($AU80,AllHabsSummaryData,5,FALSE)</f>
        <v>0</v>
      </c>
      <c r="AX80" s="280">
        <f>VLOOKUP($AU80,AllHabsSummaryData,10,FALSE)</f>
        <v>0</v>
      </c>
      <c r="AY80" s="280">
        <f>VLOOKUP($AU80,AllHabsSummaryData,15,FALSE)</f>
        <v>0</v>
      </c>
      <c r="AZ80" s="280">
        <f>VLOOKUP($AU80,AllHabsSummaryData,16,FALSE)</f>
        <v>0</v>
      </c>
      <c r="BA80" s="280">
        <f>VLOOKUP($AU80,AllHabsSummaryData,17,FALSE)</f>
        <v>0</v>
      </c>
      <c r="BB80" s="280">
        <f>VLOOKUP($AU80,AllHabsSummaryData,18,FALSE)</f>
        <v>0</v>
      </c>
      <c r="BC80" s="280">
        <f>VLOOKUP($AU80,AllHabsSummaryData,27,FALSE)</f>
        <v>0</v>
      </c>
      <c r="BD80" s="280">
        <f>VLOOKUP($AU80,AllHabsSummaryData,30,FALSE)</f>
        <v>0</v>
      </c>
      <c r="BE80" s="280">
        <f>BB80+BD80</f>
        <v>0</v>
      </c>
      <c r="BF80" s="280" t="str">
        <f>IF(BE80&lt;0,BE80,"")</f>
        <v/>
      </c>
    </row>
    <row r="81" spans="1:58" x14ac:dyDescent="0.25">
      <c r="A81" s="70" t="str">
        <f>'G-1 All Habitats'!B79</f>
        <v>Urban - Vegetated garden</v>
      </c>
      <c r="B81" s="62" t="s">
        <v>120</v>
      </c>
      <c r="C81" s="62" t="str">
        <f>'G-1 All Habitats'!K79</f>
        <v>Low</v>
      </c>
      <c r="D81" s="62" t="str">
        <f>'G-1 All Habitats'!M79</f>
        <v>Same distinctiveness or better habitat required ≥</v>
      </c>
      <c r="E81" s="274">
        <f>SUMIF('A-1 On-Site Habitat Baseline'!$AV$11:$AV$258,'G-2 Habitat groups'!A81,'A-1 On-Site Habitat Baseline'!$H$11:$H$258)</f>
        <v>0</v>
      </c>
      <c r="F81" s="274">
        <f>SUMIF('A-1 On-Site Habitat Baseline'!$AV$11:$AV$258,'G-2 Habitat groups'!A81,'A-1 On-Site Habitat Baseline'!$Q$11:$Q$258)</f>
        <v>0</v>
      </c>
      <c r="G81" s="274">
        <f>SUMIF('A-1 On-Site Habitat Baseline'!$AV$11:$AV$258,'G-2 Habitat groups'!A81,'A-1 On-Site Habitat Baseline'!$S$11:$S$258)</f>
        <v>0</v>
      </c>
      <c r="H81" s="274">
        <f>SUMIF('A-1 On-Site Habitat Baseline'!$AV$11:$AV$258,'G-2 Habitat groups'!A81,'A-1 On-Site Habitat Baseline'!$U$11:$U$258)+SUMIF('A-1 On-Site Habitat Baseline'!$AV$11:$AV$258,'G-2 Habitat groups'!A81, 'A-1 On-Site Habitat Baseline'!$AT$11:$AT$258)</f>
        <v>0</v>
      </c>
      <c r="I81" s="274">
        <f>SUMIF('A-1 On-Site Habitat Baseline'!$AV$11:$AV$258,'G-2 Habitat groups'!A81,'A-1 On-Site Habitat Baseline'!$W$11:$W$258)</f>
        <v>0</v>
      </c>
      <c r="J81" s="274">
        <f>SUMIF('A-1 On-Site Habitat Baseline'!$AV$11:$AV$258,'G-2 Habitat groups'!A81,'A-1 On-Site Habitat Baseline'!$X$11:$X$258)</f>
        <v>0</v>
      </c>
      <c r="K81" s="274">
        <f>SUMIF('A-2 On-Site Habitat Creation'!$F$11:$F$256,'G-2 Habitat groups'!A81,'A-2 On-Site Habitat Creation'!$G$11:$G$256)</f>
        <v>0</v>
      </c>
      <c r="L81" s="274">
        <f>SUMIF('A-2 On-Site Habitat Creation'!$F$11:$F$256,'G-2 Habitat groups'!A81,'A-2 On-Site Habitat Creation'!$Y$11:$Y$256)</f>
        <v>0</v>
      </c>
      <c r="M81" s="274">
        <f>SUMIF('A-3 On-Site Habitat Enhancement'!$S$12:$S$257,'G-2 Habitat groups'!A81,'A-3 On-Site Habitat Enhancement'!$V$12:$V$257)</f>
        <v>0</v>
      </c>
      <c r="N81" s="274">
        <f>SUMIF('A-3 On-Site Habitat Enhancement'!$S$12:$S$257,'G-2 Habitat groups'!A81,'A-3 On-Site Habitat Enhancement'!$AN$12:$AN$257)</f>
        <v>0</v>
      </c>
      <c r="O81" s="274">
        <f t="shared" si="54"/>
        <v>0</v>
      </c>
      <c r="P81" s="274">
        <f t="shared" si="55"/>
        <v>0</v>
      </c>
      <c r="Q81" s="274">
        <f t="shared" si="56"/>
        <v>0</v>
      </c>
      <c r="R81" s="274">
        <f t="shared" si="57"/>
        <v>0</v>
      </c>
      <c r="S81" s="274">
        <f>SUMIF('D-1 Off-Site Habitat Baseline'!$AV$11:$AV$258,'G-2 Habitat groups'!A81,'D-1 Off-Site Habitat Baseline'!$H$11:$H$258)</f>
        <v>0</v>
      </c>
      <c r="T81" s="274">
        <f>SUMIF('D-1 Off-Site Habitat Baseline'!$AV$11:$AV$258,'G-2 Habitat groups'!A81,'D-1 Off-Site Habitat Baseline'!$T$11:$T$258)</f>
        <v>0</v>
      </c>
      <c r="U81" s="274">
        <f>SUMIF('D-1 Off-Site Habitat Baseline'!$AV$11:$AV$258,'G-2 Habitat groups'!A81,'D-1 Off-Site Habitat Baseline'!$V$11:$V$258)</f>
        <v>0</v>
      </c>
      <c r="V81" s="274">
        <f>SUMIF('D-1 Off-Site Habitat Baseline'!$AV$11:$AV$258,'G-2 Habitat groups'!A81,'D-1 Off-Site Habitat Baseline'!$X$11:$X$258)+SUMIF('D-1 Off-Site Habitat Baseline'!$AV$11:$AV$258,'G-2 Habitat groups'!A81,'D-1 Off-Site Habitat Baseline'!$AS$11:$AS$258)</f>
        <v>0</v>
      </c>
      <c r="W81" s="274">
        <f>SUMIF('D-2 Off-Site Habitat Creation'!$F$9:$F$255,'G-2 Habitat groups'!A81,'D-2 Off-Site Habitat Creation'!$G$9:$G$255)</f>
        <v>0</v>
      </c>
      <c r="X81" s="274">
        <f>SUMIF('D-2 Off-Site Habitat Creation'!$F$9:$F$255,'G-2 Habitat groups'!A81,'D-2 Off-Site Habitat Creation'!$AB$9:$AB$255)</f>
        <v>0</v>
      </c>
      <c r="Y81" s="274">
        <f>SUMIF('D-3 Off-Site Habitat Enhancment'!$S$12:$S$491,'G-2 Habitat groups'!A81,'D-3 Off-Site Habitat Enhancment'!$V$12:$V$491)</f>
        <v>0</v>
      </c>
      <c r="Z81" s="274">
        <f>SUMIF('D-3 Off-Site Habitat Enhancment'!$S$12:$S$491,'G-2 Habitat groups'!A81,'D-3 Off-Site Habitat Enhancment'!$AQ$12:$AQ$491)</f>
        <v>0</v>
      </c>
      <c r="AA81" s="274">
        <f t="shared" si="58"/>
        <v>0</v>
      </c>
      <c r="AB81" s="274">
        <f t="shared" si="59"/>
        <v>0</v>
      </c>
      <c r="AC81" s="274">
        <f t="shared" si="60"/>
        <v>0</v>
      </c>
      <c r="AD81" s="274">
        <f t="shared" si="61"/>
        <v>0</v>
      </c>
      <c r="AE81" s="274">
        <f t="shared" si="62"/>
        <v>0</v>
      </c>
      <c r="AF81" s="274">
        <f t="shared" si="63"/>
        <v>0</v>
      </c>
      <c r="AU81" s="70" t="s">
        <v>603</v>
      </c>
      <c r="AV81" s="62" t="s">
        <v>147</v>
      </c>
      <c r="AW81" s="280">
        <f>VLOOKUP($AU81,AllHabsSummaryData,5,FALSE)</f>
        <v>0</v>
      </c>
      <c r="AX81" s="280">
        <f>VLOOKUP($AU81,AllHabsSummaryData,10,FALSE)</f>
        <v>0</v>
      </c>
      <c r="AY81" s="280">
        <f>VLOOKUP($AU81,AllHabsSummaryData,15,FALSE)</f>
        <v>0</v>
      </c>
      <c r="AZ81" s="280">
        <f>VLOOKUP($AU81,AllHabsSummaryData,16,FALSE)</f>
        <v>0</v>
      </c>
      <c r="BA81" s="280">
        <f>VLOOKUP($AU81,AllHabsSummaryData,17,FALSE)</f>
        <v>0</v>
      </c>
      <c r="BB81" s="280">
        <f>VLOOKUP($AU81,AllHabsSummaryData,18,FALSE)</f>
        <v>0</v>
      </c>
      <c r="BC81" s="280">
        <f>VLOOKUP($AU81,AllHabsSummaryData,27,FALSE)</f>
        <v>0</v>
      </c>
      <c r="BD81" s="280">
        <f>VLOOKUP($AU81,AllHabsSummaryData,30,FALSE)</f>
        <v>0</v>
      </c>
      <c r="BE81" s="280">
        <f>BB81+BD81</f>
        <v>0</v>
      </c>
      <c r="BF81" s="280" t="str">
        <f>IF(BE81&lt;0,BE81,"")</f>
        <v/>
      </c>
    </row>
    <row r="82" spans="1:58" x14ac:dyDescent="0.25">
      <c r="A82" s="70" t="str">
        <f>'G-1 All Habitats'!B82</f>
        <v>Wetland - Blanket bog</v>
      </c>
      <c r="B82" s="62" t="s">
        <v>123</v>
      </c>
      <c r="C82" s="62" t="str">
        <f>'G-1 All Habitats'!K82</f>
        <v>V.High</v>
      </c>
      <c r="D82" s="62" t="str">
        <f>'G-1 All Habitats'!M82</f>
        <v>Same habitat required – bespoke compensation option ⚠</v>
      </c>
      <c r="E82" s="274">
        <f>SUMIF('A-1 On-Site Habitat Baseline'!$AV$11:$AV$258,'G-2 Habitat groups'!A82,'A-1 On-Site Habitat Baseline'!$H$11:$H$258)</f>
        <v>0</v>
      </c>
      <c r="F82" s="274">
        <f>SUMIF('A-1 On-Site Habitat Baseline'!$AV$11:$AV$258,'G-2 Habitat groups'!A82,'A-1 On-Site Habitat Baseline'!$Q$11:$Q$258)</f>
        <v>0</v>
      </c>
      <c r="G82" s="274">
        <f>SUMIF('A-1 On-Site Habitat Baseline'!$AV$11:$AV$258,'G-2 Habitat groups'!A82,'A-1 On-Site Habitat Baseline'!$S$11:$S$258)</f>
        <v>0</v>
      </c>
      <c r="H82" s="274">
        <f>SUMIF('A-1 On-Site Habitat Baseline'!$AV$11:$AV$258,'G-2 Habitat groups'!A82,'A-1 On-Site Habitat Baseline'!$U$11:$U$258)+SUMIF('A-1 On-Site Habitat Baseline'!$AV$11:$AV$258,'G-2 Habitat groups'!A82, 'A-1 On-Site Habitat Baseline'!$AT$11:$AT$258)</f>
        <v>0</v>
      </c>
      <c r="I82" s="274">
        <f>SUMIF('A-1 On-Site Habitat Baseline'!$AV$11:$AV$258,'G-2 Habitat groups'!A82,'A-1 On-Site Habitat Baseline'!$W$11:$W$258)</f>
        <v>0</v>
      </c>
      <c r="J82" s="274">
        <f>SUMIF('A-1 On-Site Habitat Baseline'!$AV$11:$AV$258,'G-2 Habitat groups'!A82,'A-1 On-Site Habitat Baseline'!$X$11:$X$258)</f>
        <v>0</v>
      </c>
      <c r="K82" s="274">
        <f>SUMIF('A-2 On-Site Habitat Creation'!$F$11:$F$256,'G-2 Habitat groups'!A82,'A-2 On-Site Habitat Creation'!$G$11:$G$256)</f>
        <v>0</v>
      </c>
      <c r="L82" s="274">
        <f>SUMIF('A-2 On-Site Habitat Creation'!$F$11:$F$256,'G-2 Habitat groups'!A82,'A-2 On-Site Habitat Creation'!$Y$11:$Y$256)</f>
        <v>0</v>
      </c>
      <c r="M82" s="274">
        <f>SUMIF('A-3 On-Site Habitat Enhancement'!$S$12:$S$257,'G-2 Habitat groups'!A82,'A-3 On-Site Habitat Enhancement'!$V$12:$V$257)</f>
        <v>0</v>
      </c>
      <c r="N82" s="274">
        <f>SUMIF('A-3 On-Site Habitat Enhancement'!$S$12:$S$257,'G-2 Habitat groups'!A82,'A-3 On-Site Habitat Enhancement'!$AN$12:$AN$257)</f>
        <v>0</v>
      </c>
      <c r="O82" s="274">
        <f t="shared" si="54"/>
        <v>0</v>
      </c>
      <c r="P82" s="274">
        <f t="shared" si="55"/>
        <v>0</v>
      </c>
      <c r="Q82" s="274">
        <f t="shared" si="56"/>
        <v>0</v>
      </c>
      <c r="R82" s="274">
        <f t="shared" si="57"/>
        <v>0</v>
      </c>
      <c r="S82" s="274">
        <f>SUMIF('D-1 Off-Site Habitat Baseline'!$AV$11:$AV$258,'G-2 Habitat groups'!A82,'D-1 Off-Site Habitat Baseline'!$H$11:$H$258)</f>
        <v>0</v>
      </c>
      <c r="T82" s="274">
        <f>SUMIF('D-1 Off-Site Habitat Baseline'!$AV$11:$AV$258,'G-2 Habitat groups'!A82,'D-1 Off-Site Habitat Baseline'!$T$11:$T$258)</f>
        <v>0</v>
      </c>
      <c r="U82" s="274">
        <f>SUMIF('D-1 Off-Site Habitat Baseline'!$AV$11:$AV$258,'G-2 Habitat groups'!A82,'D-1 Off-Site Habitat Baseline'!$V$11:$V$258)</f>
        <v>0</v>
      </c>
      <c r="V82" s="274">
        <f>SUMIF('D-1 Off-Site Habitat Baseline'!$AV$11:$AV$258,'G-2 Habitat groups'!A82,'D-1 Off-Site Habitat Baseline'!$X$11:$X$258)+SUMIF('D-1 Off-Site Habitat Baseline'!$AV$11:$AV$258,'G-2 Habitat groups'!A82,'D-1 Off-Site Habitat Baseline'!$AS$11:$AS$258)</f>
        <v>0</v>
      </c>
      <c r="W82" s="274">
        <f>SUMIF('D-2 Off-Site Habitat Creation'!$F$9:$F$255,'G-2 Habitat groups'!A82,'D-2 Off-Site Habitat Creation'!$G$9:$G$255)</f>
        <v>0</v>
      </c>
      <c r="X82" s="274">
        <f>SUMIF('D-2 Off-Site Habitat Creation'!$F$9:$F$255,'G-2 Habitat groups'!A82,'D-2 Off-Site Habitat Creation'!$AB$9:$AB$255)</f>
        <v>0</v>
      </c>
      <c r="Y82" s="274">
        <f>SUMIF('D-3 Off-Site Habitat Enhancment'!$S$12:$S$491,'G-2 Habitat groups'!A82,'D-3 Off-Site Habitat Enhancment'!$V$12:$V$491)</f>
        <v>0</v>
      </c>
      <c r="Z82" s="274">
        <f>SUMIF('D-3 Off-Site Habitat Enhancment'!$S$12:$S$491,'G-2 Habitat groups'!A82,'D-3 Off-Site Habitat Enhancment'!$AQ$12:$AQ$491)</f>
        <v>0</v>
      </c>
      <c r="AA82" s="274">
        <f t="shared" si="58"/>
        <v>0</v>
      </c>
      <c r="AB82" s="274">
        <f t="shared" si="59"/>
        <v>0</v>
      </c>
      <c r="AC82" s="274">
        <f t="shared" si="60"/>
        <v>0</v>
      </c>
      <c r="AD82" s="274">
        <f t="shared" si="61"/>
        <v>0</v>
      </c>
      <c r="AE82" s="274">
        <f t="shared" si="62"/>
        <v>0</v>
      </c>
      <c r="AF82" s="274">
        <f t="shared" si="63"/>
        <v>0</v>
      </c>
      <c r="AU82" s="218" t="s">
        <v>607</v>
      </c>
      <c r="AV82" s="62" t="s">
        <v>147</v>
      </c>
      <c r="AW82" s="280">
        <f>VLOOKUP($AU82,AllHabsSummaryData,5,FALSE)</f>
        <v>0</v>
      </c>
      <c r="AX82" s="280">
        <f>VLOOKUP($AU82,AllHabsSummaryData,10,FALSE)</f>
        <v>0</v>
      </c>
      <c r="AY82" s="280">
        <f>VLOOKUP($AU82,AllHabsSummaryData,15,FALSE)</f>
        <v>0</v>
      </c>
      <c r="AZ82" s="280">
        <f>VLOOKUP($AU82,AllHabsSummaryData,16,FALSE)</f>
        <v>0</v>
      </c>
      <c r="BA82" s="280">
        <f>VLOOKUP($AU82,AllHabsSummaryData,17,FALSE)</f>
        <v>0</v>
      </c>
      <c r="BB82" s="280">
        <f>VLOOKUP($AU82,AllHabsSummaryData,18,FALSE)</f>
        <v>0</v>
      </c>
      <c r="BC82" s="280">
        <f>VLOOKUP($AU82,AllHabsSummaryData,27,FALSE)</f>
        <v>0</v>
      </c>
      <c r="BD82" s="280">
        <f>VLOOKUP($AU82,AllHabsSummaryData,30,FALSE)</f>
        <v>0</v>
      </c>
      <c r="BE82" s="280">
        <f>BB82+BD82</f>
        <v>0</v>
      </c>
      <c r="BF82" s="280" t="str">
        <f>IF(BE82&lt;0,BE82,"")</f>
        <v/>
      </c>
    </row>
    <row r="83" spans="1:58" x14ac:dyDescent="0.25">
      <c r="A83" s="70" t="str">
        <f>'G-1 All Habitats'!B83</f>
        <v>Wetland - Depressions on peat substrates (H7150)</v>
      </c>
      <c r="B83" s="62" t="s">
        <v>123</v>
      </c>
      <c r="C83" s="62" t="str">
        <f>'G-1 All Habitats'!K83</f>
        <v>V.High</v>
      </c>
      <c r="D83" s="62" t="str">
        <f>'G-1 All Habitats'!M83</f>
        <v>Same habitat required – bespoke compensation option ⚠</v>
      </c>
      <c r="E83" s="274">
        <f>SUMIF('A-1 On-Site Habitat Baseline'!$AV$11:$AV$258,'G-2 Habitat groups'!A83,'A-1 On-Site Habitat Baseline'!$H$11:$H$258)</f>
        <v>0</v>
      </c>
      <c r="F83" s="274">
        <f>SUMIF('A-1 On-Site Habitat Baseline'!$AV$11:$AV$258,'G-2 Habitat groups'!A83,'A-1 On-Site Habitat Baseline'!$Q$11:$Q$258)</f>
        <v>0</v>
      </c>
      <c r="G83" s="274">
        <f>SUMIF('A-1 On-Site Habitat Baseline'!$AV$11:$AV$258,'G-2 Habitat groups'!A83,'A-1 On-Site Habitat Baseline'!$S$11:$S$258)</f>
        <v>0</v>
      </c>
      <c r="H83" s="274">
        <f>SUMIF('A-1 On-Site Habitat Baseline'!$AV$11:$AV$258,'G-2 Habitat groups'!A83,'A-1 On-Site Habitat Baseline'!$U$11:$U$258)+SUMIF('A-1 On-Site Habitat Baseline'!$AV$11:$AV$258,'G-2 Habitat groups'!A83, 'A-1 On-Site Habitat Baseline'!$AT$11:$AT$258)</f>
        <v>0</v>
      </c>
      <c r="I83" s="274">
        <f>SUMIF('A-1 On-Site Habitat Baseline'!$AV$11:$AV$258,'G-2 Habitat groups'!A83,'A-1 On-Site Habitat Baseline'!$W$11:$W$258)</f>
        <v>0</v>
      </c>
      <c r="J83" s="274">
        <f>SUMIF('A-1 On-Site Habitat Baseline'!$AV$11:$AV$258,'G-2 Habitat groups'!A83,'A-1 On-Site Habitat Baseline'!$X$11:$X$258)</f>
        <v>0</v>
      </c>
      <c r="K83" s="274">
        <f>SUMIF('A-2 On-Site Habitat Creation'!$F$11:$F$256,'G-2 Habitat groups'!A83,'A-2 On-Site Habitat Creation'!$G$11:$G$256)</f>
        <v>0</v>
      </c>
      <c r="L83" s="274">
        <f>SUMIF('A-2 On-Site Habitat Creation'!$F$11:$F$256,'G-2 Habitat groups'!A83,'A-2 On-Site Habitat Creation'!$Y$11:$Y$256)</f>
        <v>0</v>
      </c>
      <c r="M83" s="274">
        <f>SUMIF('A-3 On-Site Habitat Enhancement'!$S$12:$S$257,'G-2 Habitat groups'!A83,'A-3 On-Site Habitat Enhancement'!$V$12:$V$257)</f>
        <v>0</v>
      </c>
      <c r="N83" s="274">
        <f>SUMIF('A-3 On-Site Habitat Enhancement'!$S$12:$S$257,'G-2 Habitat groups'!A83,'A-3 On-Site Habitat Enhancement'!$AN$12:$AN$257)</f>
        <v>0</v>
      </c>
      <c r="O83" s="274">
        <f t="shared" si="54"/>
        <v>0</v>
      </c>
      <c r="P83" s="274">
        <f t="shared" si="55"/>
        <v>0</v>
      </c>
      <c r="Q83" s="274">
        <f t="shared" si="56"/>
        <v>0</v>
      </c>
      <c r="R83" s="274">
        <f t="shared" si="57"/>
        <v>0</v>
      </c>
      <c r="S83" s="274">
        <f>SUMIF('D-1 Off-Site Habitat Baseline'!$AV$11:$AV$258,'G-2 Habitat groups'!A83,'D-1 Off-Site Habitat Baseline'!$H$11:$H$258)</f>
        <v>0</v>
      </c>
      <c r="T83" s="274">
        <f>SUMIF('D-1 Off-Site Habitat Baseline'!$AV$11:$AV$258,'G-2 Habitat groups'!A83,'D-1 Off-Site Habitat Baseline'!$T$11:$T$258)</f>
        <v>0</v>
      </c>
      <c r="U83" s="274">
        <f>SUMIF('D-1 Off-Site Habitat Baseline'!$AV$11:$AV$258,'G-2 Habitat groups'!A83,'D-1 Off-Site Habitat Baseline'!$V$11:$V$258)</f>
        <v>0</v>
      </c>
      <c r="V83" s="274">
        <f>SUMIF('D-1 Off-Site Habitat Baseline'!$AV$11:$AV$258,'G-2 Habitat groups'!A83,'D-1 Off-Site Habitat Baseline'!$X$11:$X$258)+SUMIF('D-1 Off-Site Habitat Baseline'!$AV$11:$AV$258,'G-2 Habitat groups'!A83,'D-1 Off-Site Habitat Baseline'!$AS$11:$AS$258)</f>
        <v>0</v>
      </c>
      <c r="W83" s="274">
        <f>SUMIF('D-2 Off-Site Habitat Creation'!$F$9:$F$255,'G-2 Habitat groups'!A83,'D-2 Off-Site Habitat Creation'!$G$9:$G$255)</f>
        <v>0</v>
      </c>
      <c r="X83" s="274">
        <f>SUMIF('D-2 Off-Site Habitat Creation'!$F$9:$F$255,'G-2 Habitat groups'!A83,'D-2 Off-Site Habitat Creation'!$AB$9:$AB$255)</f>
        <v>0</v>
      </c>
      <c r="Y83" s="274">
        <f>SUMIF('D-3 Off-Site Habitat Enhancment'!$S$12:$S$491,'G-2 Habitat groups'!A83,'D-3 Off-Site Habitat Enhancment'!$V$12:$V$491)</f>
        <v>0</v>
      </c>
      <c r="Z83" s="274">
        <f>SUMIF('D-3 Off-Site Habitat Enhancment'!$S$12:$S$491,'G-2 Habitat groups'!A83,'D-3 Off-Site Habitat Enhancment'!$AQ$12:$AQ$491)</f>
        <v>0</v>
      </c>
      <c r="AA83" s="274">
        <f t="shared" si="58"/>
        <v>0</v>
      </c>
      <c r="AB83" s="274">
        <f t="shared" si="59"/>
        <v>0</v>
      </c>
      <c r="AC83" s="274">
        <f t="shared" si="60"/>
        <v>0</v>
      </c>
      <c r="AD83" s="274">
        <f t="shared" si="61"/>
        <v>0</v>
      </c>
      <c r="AE83" s="274">
        <f t="shared" si="62"/>
        <v>0</v>
      </c>
      <c r="AF83" s="274">
        <f t="shared" si="63"/>
        <v>0</v>
      </c>
      <c r="AU83" s="70" t="s">
        <v>612</v>
      </c>
      <c r="AV83" s="62" t="s">
        <v>147</v>
      </c>
      <c r="AW83" s="280">
        <f>VLOOKUP($AU83,AllHabsSummaryData,5,FALSE)</f>
        <v>0</v>
      </c>
      <c r="AX83" s="280">
        <f>VLOOKUP($AU83,AllHabsSummaryData,10,FALSE)</f>
        <v>0</v>
      </c>
      <c r="AY83" s="280">
        <f>VLOOKUP($AU83,AllHabsSummaryData,15,FALSE)</f>
        <v>0</v>
      </c>
      <c r="AZ83" s="280">
        <f>VLOOKUP($AU83,AllHabsSummaryData,16,FALSE)</f>
        <v>0</v>
      </c>
      <c r="BA83" s="280">
        <f>VLOOKUP($AU83,AllHabsSummaryData,17,FALSE)</f>
        <v>0</v>
      </c>
      <c r="BB83" s="280">
        <f>VLOOKUP($AU83,AllHabsSummaryData,18,FALSE)</f>
        <v>0</v>
      </c>
      <c r="BC83" s="280">
        <f>VLOOKUP($AU83,AllHabsSummaryData,27,FALSE)</f>
        <v>0</v>
      </c>
      <c r="BD83" s="280">
        <f>VLOOKUP($AU83,AllHabsSummaryData,30,FALSE)</f>
        <v>0</v>
      </c>
      <c r="BE83" s="280">
        <f>BB83+BD83</f>
        <v>0</v>
      </c>
      <c r="BF83" s="280" t="str">
        <f>IF(BE83&lt;0,BE83,"")</f>
        <v/>
      </c>
    </row>
    <row r="84" spans="1:58" x14ac:dyDescent="0.25">
      <c r="A84" s="70" t="str">
        <f>'G-1 All Habitats'!B84</f>
        <v>Wetland - Fens (upland and lowland)</v>
      </c>
      <c r="B84" s="62" t="s">
        <v>123</v>
      </c>
      <c r="C84" s="62" t="str">
        <f>'G-1 All Habitats'!K84</f>
        <v>V.High</v>
      </c>
      <c r="D84" s="62" t="str">
        <f>'G-1 All Habitats'!M84</f>
        <v>Same habitat required – bespoke compensation option ⚠</v>
      </c>
      <c r="E84" s="274">
        <f>SUMIF('A-1 On-Site Habitat Baseline'!$AV$11:$AV$258,'G-2 Habitat groups'!A84,'A-1 On-Site Habitat Baseline'!$H$11:$H$258)</f>
        <v>0</v>
      </c>
      <c r="F84" s="274">
        <f>SUMIF('A-1 On-Site Habitat Baseline'!$AV$11:$AV$258,'G-2 Habitat groups'!A84,'A-1 On-Site Habitat Baseline'!$Q$11:$Q$258)</f>
        <v>0</v>
      </c>
      <c r="G84" s="274">
        <f>SUMIF('A-1 On-Site Habitat Baseline'!$AV$11:$AV$258,'G-2 Habitat groups'!A84,'A-1 On-Site Habitat Baseline'!$S$11:$S$258)</f>
        <v>0</v>
      </c>
      <c r="H84" s="274">
        <f>SUMIF('A-1 On-Site Habitat Baseline'!$AV$11:$AV$258,'G-2 Habitat groups'!A84,'A-1 On-Site Habitat Baseline'!$U$11:$U$258)+SUMIF('A-1 On-Site Habitat Baseline'!$AV$11:$AV$258,'G-2 Habitat groups'!A84, 'A-1 On-Site Habitat Baseline'!$AT$11:$AT$258)</f>
        <v>0</v>
      </c>
      <c r="I84" s="274">
        <f>SUMIF('A-1 On-Site Habitat Baseline'!$AV$11:$AV$258,'G-2 Habitat groups'!A84,'A-1 On-Site Habitat Baseline'!$W$11:$W$258)</f>
        <v>0</v>
      </c>
      <c r="J84" s="274">
        <f>SUMIF('A-1 On-Site Habitat Baseline'!$AV$11:$AV$258,'G-2 Habitat groups'!A84,'A-1 On-Site Habitat Baseline'!$X$11:$X$258)</f>
        <v>0</v>
      </c>
      <c r="K84" s="274">
        <f>SUMIF('A-2 On-Site Habitat Creation'!$F$11:$F$256,'G-2 Habitat groups'!A84,'A-2 On-Site Habitat Creation'!$G$11:$G$256)</f>
        <v>0</v>
      </c>
      <c r="L84" s="274">
        <f>SUMIF('A-2 On-Site Habitat Creation'!$F$11:$F$256,'G-2 Habitat groups'!A84,'A-2 On-Site Habitat Creation'!$Y$11:$Y$256)</f>
        <v>0</v>
      </c>
      <c r="M84" s="274">
        <f>SUMIF('A-3 On-Site Habitat Enhancement'!$S$12:$S$257,'G-2 Habitat groups'!A84,'A-3 On-Site Habitat Enhancement'!$V$12:$V$257)</f>
        <v>0</v>
      </c>
      <c r="N84" s="274">
        <f>SUMIF('A-3 On-Site Habitat Enhancement'!$S$12:$S$257,'G-2 Habitat groups'!A84,'A-3 On-Site Habitat Enhancement'!$AN$12:$AN$257)</f>
        <v>0</v>
      </c>
      <c r="O84" s="274">
        <f t="shared" si="54"/>
        <v>0</v>
      </c>
      <c r="P84" s="274">
        <f t="shared" si="55"/>
        <v>0</v>
      </c>
      <c r="Q84" s="274">
        <f t="shared" si="56"/>
        <v>0</v>
      </c>
      <c r="R84" s="274">
        <f t="shared" si="57"/>
        <v>0</v>
      </c>
      <c r="S84" s="274">
        <f>SUMIF('D-1 Off-Site Habitat Baseline'!$AV$11:$AV$258,'G-2 Habitat groups'!A84,'D-1 Off-Site Habitat Baseline'!$H$11:$H$258)</f>
        <v>0</v>
      </c>
      <c r="T84" s="274">
        <f>SUMIF('D-1 Off-Site Habitat Baseline'!$AV$11:$AV$258,'G-2 Habitat groups'!A84,'D-1 Off-Site Habitat Baseline'!$T$11:$T$258)</f>
        <v>0</v>
      </c>
      <c r="U84" s="274">
        <f>SUMIF('D-1 Off-Site Habitat Baseline'!$AV$11:$AV$258,'G-2 Habitat groups'!A84,'D-1 Off-Site Habitat Baseline'!$V$11:$V$258)</f>
        <v>0</v>
      </c>
      <c r="V84" s="274">
        <f>SUMIF('D-1 Off-Site Habitat Baseline'!$AV$11:$AV$258,'G-2 Habitat groups'!A84,'D-1 Off-Site Habitat Baseline'!$X$11:$X$258)+SUMIF('D-1 Off-Site Habitat Baseline'!$AV$11:$AV$258,'G-2 Habitat groups'!A84,'D-1 Off-Site Habitat Baseline'!$AS$11:$AS$258)</f>
        <v>0</v>
      </c>
      <c r="W84" s="274">
        <f>SUMIF('D-2 Off-Site Habitat Creation'!$F$9:$F$255,'G-2 Habitat groups'!A84,'D-2 Off-Site Habitat Creation'!$G$9:$G$255)</f>
        <v>0</v>
      </c>
      <c r="X84" s="274">
        <f>SUMIF('D-2 Off-Site Habitat Creation'!$F$9:$F$255,'G-2 Habitat groups'!A84,'D-2 Off-Site Habitat Creation'!$AB$9:$AB$255)</f>
        <v>0</v>
      </c>
      <c r="Y84" s="274">
        <f>SUMIF('D-3 Off-Site Habitat Enhancment'!$S$12:$S$491,'G-2 Habitat groups'!A84,'D-3 Off-Site Habitat Enhancment'!$V$12:$V$491)</f>
        <v>0</v>
      </c>
      <c r="Z84" s="274">
        <f>SUMIF('D-3 Off-Site Habitat Enhancment'!$S$12:$S$491,'G-2 Habitat groups'!A84,'D-3 Off-Site Habitat Enhancment'!$AQ$12:$AQ$491)</f>
        <v>0</v>
      </c>
      <c r="AA84" s="274">
        <f t="shared" si="58"/>
        <v>0</v>
      </c>
      <c r="AB84" s="274">
        <f t="shared" si="59"/>
        <v>0</v>
      </c>
      <c r="AC84" s="274">
        <f t="shared" si="60"/>
        <v>0</v>
      </c>
      <c r="AD84" s="274">
        <f t="shared" si="61"/>
        <v>0</v>
      </c>
      <c r="AE84" s="274">
        <f t="shared" si="62"/>
        <v>0</v>
      </c>
      <c r="AF84" s="274">
        <f t="shared" si="63"/>
        <v>0</v>
      </c>
      <c r="AU84" s="70" t="s">
        <v>676</v>
      </c>
      <c r="AV84" s="62" t="s">
        <v>78</v>
      </c>
      <c r="AW84" s="280">
        <f t="shared" ref="AW84:AW103" si="64">VLOOKUP($AU84,AllHabsSummaryData,5,FALSE)</f>
        <v>0</v>
      </c>
      <c r="AX84" s="280">
        <f t="shared" ref="AX84:AX104" si="65">VLOOKUP($AU84,AllHabsSummaryData,10,FALSE)</f>
        <v>0</v>
      </c>
      <c r="AY84" s="280">
        <f t="shared" ref="AY84:AY104" si="66">VLOOKUP($AU84,AllHabsSummaryData,15,FALSE)</f>
        <v>0</v>
      </c>
      <c r="AZ84" s="280">
        <f t="shared" ref="AZ84:AZ104" si="67">VLOOKUP($AU84,AllHabsSummaryData,16,FALSE)</f>
        <v>0</v>
      </c>
      <c r="BA84" s="280">
        <f t="shared" ref="BA84:BA104" si="68">VLOOKUP($AU84,AllHabsSummaryData,17,FALSE)</f>
        <v>0</v>
      </c>
      <c r="BB84" s="280">
        <f t="shared" ref="BB84:BB104" si="69">VLOOKUP($AU84,AllHabsSummaryData,18,FALSE)</f>
        <v>0</v>
      </c>
      <c r="BC84" s="280">
        <f t="shared" ref="BC84:BC104" si="70">VLOOKUP($AU84,AllHabsSummaryData,27,FALSE)</f>
        <v>0</v>
      </c>
      <c r="BD84" s="280">
        <f t="shared" ref="BD84:BD104" si="71">VLOOKUP($AU84,AllHabsSummaryData,30,FALSE)</f>
        <v>0</v>
      </c>
      <c r="BE84" s="280">
        <f t="shared" ref="BE84:BE92" si="72">BB84+BD84</f>
        <v>0</v>
      </c>
      <c r="BF84" s="280" t="str">
        <f t="shared" ref="BF84:BF92" si="73">IF(BE84&lt;0,BE84,"")</f>
        <v/>
      </c>
    </row>
    <row r="85" spans="1:58" x14ac:dyDescent="0.25">
      <c r="A85" s="70" t="str">
        <f>'G-1 All Habitats'!B85</f>
        <v>Wetland - Lowland raised bog</v>
      </c>
      <c r="B85" s="62" t="s">
        <v>123</v>
      </c>
      <c r="C85" s="62" t="str">
        <f>'G-1 All Habitats'!K85</f>
        <v>V.High</v>
      </c>
      <c r="D85" s="62" t="str">
        <f>'G-1 All Habitats'!M85</f>
        <v>Same habitat required – bespoke compensation option ⚠</v>
      </c>
      <c r="E85" s="274">
        <f>SUMIF('A-1 On-Site Habitat Baseline'!$AV$11:$AV$258,'G-2 Habitat groups'!A85,'A-1 On-Site Habitat Baseline'!$H$11:$H$258)</f>
        <v>0</v>
      </c>
      <c r="F85" s="274">
        <f>SUMIF('A-1 On-Site Habitat Baseline'!$AV$11:$AV$258,'G-2 Habitat groups'!A85,'A-1 On-Site Habitat Baseline'!$Q$11:$Q$258)</f>
        <v>0</v>
      </c>
      <c r="G85" s="274">
        <f>SUMIF('A-1 On-Site Habitat Baseline'!$AV$11:$AV$258,'G-2 Habitat groups'!A85,'A-1 On-Site Habitat Baseline'!$S$11:$S$258)</f>
        <v>0</v>
      </c>
      <c r="H85" s="274">
        <f>SUMIF('A-1 On-Site Habitat Baseline'!$AV$11:$AV$258,'G-2 Habitat groups'!A85,'A-1 On-Site Habitat Baseline'!$U$11:$U$258)+SUMIF('A-1 On-Site Habitat Baseline'!$AV$11:$AV$258,'G-2 Habitat groups'!A85, 'A-1 On-Site Habitat Baseline'!$AT$11:$AT$258)</f>
        <v>0</v>
      </c>
      <c r="I85" s="274">
        <f>SUMIF('A-1 On-Site Habitat Baseline'!$AV$11:$AV$258,'G-2 Habitat groups'!A85,'A-1 On-Site Habitat Baseline'!$W$11:$W$258)</f>
        <v>0</v>
      </c>
      <c r="J85" s="274">
        <f>SUMIF('A-1 On-Site Habitat Baseline'!$AV$11:$AV$258,'G-2 Habitat groups'!A85,'A-1 On-Site Habitat Baseline'!$X$11:$X$258)</f>
        <v>0</v>
      </c>
      <c r="K85" s="274">
        <f>SUMIF('A-2 On-Site Habitat Creation'!$F$11:$F$256,'G-2 Habitat groups'!A85,'A-2 On-Site Habitat Creation'!$G$11:$G$256)</f>
        <v>0</v>
      </c>
      <c r="L85" s="274">
        <f>SUMIF('A-2 On-Site Habitat Creation'!$F$11:$F$256,'G-2 Habitat groups'!A85,'A-2 On-Site Habitat Creation'!$Y$11:$Y$256)</f>
        <v>0</v>
      </c>
      <c r="M85" s="274">
        <f>SUMIF('A-3 On-Site Habitat Enhancement'!$S$12:$S$257,'G-2 Habitat groups'!A85,'A-3 On-Site Habitat Enhancement'!$V$12:$V$257)</f>
        <v>0</v>
      </c>
      <c r="N85" s="274">
        <f>SUMIF('A-3 On-Site Habitat Enhancement'!$S$12:$S$257,'G-2 Habitat groups'!A85,'A-3 On-Site Habitat Enhancement'!$AN$12:$AN$257)</f>
        <v>0</v>
      </c>
      <c r="O85" s="274">
        <f t="shared" si="54"/>
        <v>0</v>
      </c>
      <c r="P85" s="274">
        <f t="shared" si="55"/>
        <v>0</v>
      </c>
      <c r="Q85" s="274">
        <f t="shared" si="56"/>
        <v>0</v>
      </c>
      <c r="R85" s="274">
        <f t="shared" si="57"/>
        <v>0</v>
      </c>
      <c r="S85" s="274">
        <f>SUMIF('D-1 Off-Site Habitat Baseline'!$AV$11:$AV$258,'G-2 Habitat groups'!A85,'D-1 Off-Site Habitat Baseline'!$H$11:$H$258)</f>
        <v>0</v>
      </c>
      <c r="T85" s="274">
        <f>SUMIF('D-1 Off-Site Habitat Baseline'!$AV$11:$AV$258,'G-2 Habitat groups'!A85,'D-1 Off-Site Habitat Baseline'!$T$11:$T$258)</f>
        <v>0</v>
      </c>
      <c r="U85" s="274">
        <f>SUMIF('D-1 Off-Site Habitat Baseline'!$AV$11:$AV$258,'G-2 Habitat groups'!A85,'D-1 Off-Site Habitat Baseline'!$V$11:$V$258)</f>
        <v>0</v>
      </c>
      <c r="V85" s="274">
        <f>SUMIF('D-1 Off-Site Habitat Baseline'!$AV$11:$AV$258,'G-2 Habitat groups'!A85,'D-1 Off-Site Habitat Baseline'!$X$11:$X$258)+SUMIF('D-1 Off-Site Habitat Baseline'!$AV$11:$AV$258,'G-2 Habitat groups'!A85,'D-1 Off-Site Habitat Baseline'!$AS$11:$AS$258)</f>
        <v>0</v>
      </c>
      <c r="W85" s="274">
        <f>SUMIF('D-2 Off-Site Habitat Creation'!$F$9:$F$255,'G-2 Habitat groups'!A85,'D-2 Off-Site Habitat Creation'!$G$9:$G$255)</f>
        <v>0</v>
      </c>
      <c r="X85" s="274">
        <f>SUMIF('D-2 Off-Site Habitat Creation'!$F$9:$F$255,'G-2 Habitat groups'!A85,'D-2 Off-Site Habitat Creation'!$AB$9:$AB$255)</f>
        <v>0</v>
      </c>
      <c r="Y85" s="274">
        <f>SUMIF('D-3 Off-Site Habitat Enhancment'!$S$12:$S$491,'G-2 Habitat groups'!A85,'D-3 Off-Site Habitat Enhancment'!$V$12:$V$491)</f>
        <v>0</v>
      </c>
      <c r="Z85" s="274">
        <f>SUMIF('D-3 Off-Site Habitat Enhancment'!$S$12:$S$491,'G-2 Habitat groups'!A85,'D-3 Off-Site Habitat Enhancment'!$AQ$12:$AQ$491)</f>
        <v>0</v>
      </c>
      <c r="AA85" s="274">
        <f t="shared" si="58"/>
        <v>0</v>
      </c>
      <c r="AB85" s="274">
        <f t="shared" si="59"/>
        <v>0</v>
      </c>
      <c r="AC85" s="274">
        <f t="shared" si="60"/>
        <v>0</v>
      </c>
      <c r="AD85" s="274">
        <f t="shared" si="61"/>
        <v>0</v>
      </c>
      <c r="AE85" s="274">
        <f t="shared" si="62"/>
        <v>0</v>
      </c>
      <c r="AF85" s="274">
        <f t="shared" si="63"/>
        <v>0</v>
      </c>
      <c r="AU85" s="70" t="s">
        <v>679</v>
      </c>
      <c r="AV85" s="62" t="s">
        <v>78</v>
      </c>
      <c r="AW85" s="280">
        <f t="shared" si="64"/>
        <v>0.17050000000000001</v>
      </c>
      <c r="AX85" s="280">
        <f t="shared" si="65"/>
        <v>0.7843</v>
      </c>
      <c r="AY85" s="280">
        <f t="shared" si="66"/>
        <v>0.14019999999999999</v>
      </c>
      <c r="AZ85" s="280">
        <f t="shared" si="67"/>
        <v>0.60056562699999994</v>
      </c>
      <c r="BA85" s="280">
        <f t="shared" si="68"/>
        <v>-3.0300000000000021E-2</v>
      </c>
      <c r="BB85" s="280">
        <f t="shared" si="69"/>
        <v>-0.18373437300000006</v>
      </c>
      <c r="BC85" s="280">
        <f t="shared" si="70"/>
        <v>0.1331</v>
      </c>
      <c r="BD85" s="280">
        <f t="shared" si="71"/>
        <v>0.93436447560507563</v>
      </c>
      <c r="BE85" s="280">
        <f t="shared" si="72"/>
        <v>0.75063010260507557</v>
      </c>
      <c r="BF85" s="280" t="str">
        <f t="shared" si="73"/>
        <v/>
      </c>
    </row>
    <row r="86" spans="1:58" x14ac:dyDescent="0.25">
      <c r="A86" s="70" t="str">
        <f>'G-1 All Habitats'!B86</f>
        <v>Wetland - Oceanic valley mire[1] (D2.1)</v>
      </c>
      <c r="B86" s="62" t="s">
        <v>123</v>
      </c>
      <c r="C86" s="62" t="str">
        <f>'G-1 All Habitats'!K86</f>
        <v>V.High</v>
      </c>
      <c r="D86" s="62" t="str">
        <f>'G-1 All Habitats'!M86</f>
        <v>Same habitat required – bespoke compensation option ⚠</v>
      </c>
      <c r="E86" s="274">
        <f>SUMIF('A-1 On-Site Habitat Baseline'!$AV$11:$AV$258,'G-2 Habitat groups'!A86,'A-1 On-Site Habitat Baseline'!$H$11:$H$258)</f>
        <v>0</v>
      </c>
      <c r="F86" s="274">
        <f>SUMIF('A-1 On-Site Habitat Baseline'!$AV$11:$AV$258,'G-2 Habitat groups'!A86,'A-1 On-Site Habitat Baseline'!$Q$11:$Q$258)</f>
        <v>0</v>
      </c>
      <c r="G86" s="274">
        <f>SUMIF('A-1 On-Site Habitat Baseline'!$AV$11:$AV$258,'G-2 Habitat groups'!A86,'A-1 On-Site Habitat Baseline'!$S$11:$S$258)</f>
        <v>0</v>
      </c>
      <c r="H86" s="274">
        <f>SUMIF('A-1 On-Site Habitat Baseline'!$AV$11:$AV$258,'G-2 Habitat groups'!A86,'A-1 On-Site Habitat Baseline'!$U$11:$U$258)+SUMIF('A-1 On-Site Habitat Baseline'!$AV$11:$AV$258,'G-2 Habitat groups'!A86, 'A-1 On-Site Habitat Baseline'!$AT$11:$AT$258)</f>
        <v>0</v>
      </c>
      <c r="I86" s="274">
        <f>SUMIF('A-1 On-Site Habitat Baseline'!$AV$11:$AV$258,'G-2 Habitat groups'!A86,'A-1 On-Site Habitat Baseline'!$W$11:$W$258)</f>
        <v>0</v>
      </c>
      <c r="J86" s="274">
        <f>SUMIF('A-1 On-Site Habitat Baseline'!$AV$11:$AV$258,'G-2 Habitat groups'!A86,'A-1 On-Site Habitat Baseline'!$X$11:$X$258)</f>
        <v>0</v>
      </c>
      <c r="K86" s="274">
        <f>SUMIF('A-2 On-Site Habitat Creation'!$F$11:$F$256,'G-2 Habitat groups'!A86,'A-2 On-Site Habitat Creation'!$G$11:$G$256)</f>
        <v>0</v>
      </c>
      <c r="L86" s="274">
        <f>SUMIF('A-2 On-Site Habitat Creation'!$F$11:$F$256,'G-2 Habitat groups'!A86,'A-2 On-Site Habitat Creation'!$Y$11:$Y$256)</f>
        <v>0</v>
      </c>
      <c r="M86" s="274">
        <f>SUMIF('A-3 On-Site Habitat Enhancement'!$S$12:$S$257,'G-2 Habitat groups'!A86,'A-3 On-Site Habitat Enhancement'!$V$12:$V$257)</f>
        <v>0</v>
      </c>
      <c r="N86" s="274">
        <f>SUMIF('A-3 On-Site Habitat Enhancement'!$S$12:$S$257,'G-2 Habitat groups'!A86,'A-3 On-Site Habitat Enhancement'!$AN$12:$AN$257)</f>
        <v>0</v>
      </c>
      <c r="O86" s="274">
        <f t="shared" si="54"/>
        <v>0</v>
      </c>
      <c r="P86" s="274">
        <f t="shared" si="55"/>
        <v>0</v>
      </c>
      <c r="Q86" s="274">
        <f t="shared" si="56"/>
        <v>0</v>
      </c>
      <c r="R86" s="274">
        <f t="shared" si="57"/>
        <v>0</v>
      </c>
      <c r="S86" s="274">
        <f>SUMIF('D-1 Off-Site Habitat Baseline'!$AV$11:$AV$258,'G-2 Habitat groups'!A86,'D-1 Off-Site Habitat Baseline'!$H$11:$H$258)</f>
        <v>0</v>
      </c>
      <c r="T86" s="274">
        <f>SUMIF('D-1 Off-Site Habitat Baseline'!$AV$11:$AV$258,'G-2 Habitat groups'!A86,'D-1 Off-Site Habitat Baseline'!$T$11:$T$258)</f>
        <v>0</v>
      </c>
      <c r="U86" s="274">
        <f>SUMIF('D-1 Off-Site Habitat Baseline'!$AV$11:$AV$258,'G-2 Habitat groups'!A86,'D-1 Off-Site Habitat Baseline'!$V$11:$V$258)</f>
        <v>0</v>
      </c>
      <c r="V86" s="274">
        <f>SUMIF('D-1 Off-Site Habitat Baseline'!$AV$11:$AV$258,'G-2 Habitat groups'!A86,'D-1 Off-Site Habitat Baseline'!$X$11:$X$258)+SUMIF('D-1 Off-Site Habitat Baseline'!$AV$11:$AV$258,'G-2 Habitat groups'!A86,'D-1 Off-Site Habitat Baseline'!$AS$11:$AS$258)</f>
        <v>0</v>
      </c>
      <c r="W86" s="274">
        <f>SUMIF('D-2 Off-Site Habitat Creation'!$F$9:$F$255,'G-2 Habitat groups'!A86,'D-2 Off-Site Habitat Creation'!$G$9:$G$255)</f>
        <v>0</v>
      </c>
      <c r="X86" s="274">
        <f>SUMIF('D-2 Off-Site Habitat Creation'!$F$9:$F$255,'G-2 Habitat groups'!A86,'D-2 Off-Site Habitat Creation'!$AB$9:$AB$255)</f>
        <v>0</v>
      </c>
      <c r="Y86" s="274">
        <f>SUMIF('D-3 Off-Site Habitat Enhancment'!$S$12:$S$491,'G-2 Habitat groups'!A86,'D-3 Off-Site Habitat Enhancment'!$V$12:$V$491)</f>
        <v>0</v>
      </c>
      <c r="Z86" s="274">
        <f>SUMIF('D-3 Off-Site Habitat Enhancment'!$S$12:$S$491,'G-2 Habitat groups'!A86,'D-3 Off-Site Habitat Enhancment'!$AQ$12:$AQ$491)</f>
        <v>0</v>
      </c>
      <c r="AA86" s="274">
        <f t="shared" si="58"/>
        <v>0</v>
      </c>
      <c r="AB86" s="274">
        <f t="shared" si="59"/>
        <v>0</v>
      </c>
      <c r="AC86" s="274">
        <f t="shared" si="60"/>
        <v>0</v>
      </c>
      <c r="AD86" s="274">
        <f t="shared" si="61"/>
        <v>0</v>
      </c>
      <c r="AE86" s="274">
        <f t="shared" si="62"/>
        <v>0</v>
      </c>
      <c r="AF86" s="274">
        <f t="shared" si="63"/>
        <v>0</v>
      </c>
      <c r="AU86" s="70" t="s">
        <v>688</v>
      </c>
      <c r="AV86" s="62" t="s">
        <v>78</v>
      </c>
      <c r="AW86" s="280">
        <f t="shared" si="64"/>
        <v>0</v>
      </c>
      <c r="AX86" s="280">
        <f t="shared" si="65"/>
        <v>0</v>
      </c>
      <c r="AY86" s="280">
        <f t="shared" si="66"/>
        <v>0</v>
      </c>
      <c r="AZ86" s="280">
        <f t="shared" si="67"/>
        <v>0</v>
      </c>
      <c r="BA86" s="280">
        <f t="shared" si="68"/>
        <v>0</v>
      </c>
      <c r="BB86" s="280">
        <f t="shared" si="69"/>
        <v>0</v>
      </c>
      <c r="BC86" s="280">
        <f t="shared" si="70"/>
        <v>0</v>
      </c>
      <c r="BD86" s="280">
        <f t="shared" si="71"/>
        <v>0</v>
      </c>
      <c r="BE86" s="280">
        <f t="shared" si="72"/>
        <v>0</v>
      </c>
      <c r="BF86" s="280" t="str">
        <f t="shared" si="73"/>
        <v/>
      </c>
    </row>
    <row r="87" spans="1:58" x14ac:dyDescent="0.25">
      <c r="A87" s="70" t="str">
        <f>'G-1 All Habitats'!B87</f>
        <v>Wetland - Purple moor grass and rush pastures</v>
      </c>
      <c r="B87" s="62" t="s">
        <v>123</v>
      </c>
      <c r="C87" s="62" t="str">
        <f>'G-1 All Habitats'!K87</f>
        <v>V.High</v>
      </c>
      <c r="D87" s="62" t="str">
        <f>'G-1 All Habitats'!M87</f>
        <v>Same habitat required – bespoke compensation option ⚠</v>
      </c>
      <c r="E87" s="274">
        <f>SUMIF('A-1 On-Site Habitat Baseline'!$AV$11:$AV$258,'G-2 Habitat groups'!A87,'A-1 On-Site Habitat Baseline'!$H$11:$H$258)</f>
        <v>0</v>
      </c>
      <c r="F87" s="274">
        <f>SUMIF('A-1 On-Site Habitat Baseline'!$AV$11:$AV$258,'G-2 Habitat groups'!A87,'A-1 On-Site Habitat Baseline'!$Q$11:$Q$258)</f>
        <v>0</v>
      </c>
      <c r="G87" s="274">
        <f>SUMIF('A-1 On-Site Habitat Baseline'!$AV$11:$AV$258,'G-2 Habitat groups'!A87,'A-1 On-Site Habitat Baseline'!$S$11:$S$258)</f>
        <v>0</v>
      </c>
      <c r="H87" s="274">
        <f>SUMIF('A-1 On-Site Habitat Baseline'!$AV$11:$AV$258,'G-2 Habitat groups'!A87,'A-1 On-Site Habitat Baseline'!$U$11:$U$258)+SUMIF('A-1 On-Site Habitat Baseline'!$AV$11:$AV$258,'G-2 Habitat groups'!A87, 'A-1 On-Site Habitat Baseline'!$AT$11:$AT$258)</f>
        <v>0</v>
      </c>
      <c r="I87" s="274">
        <f>SUMIF('A-1 On-Site Habitat Baseline'!$AV$11:$AV$258,'G-2 Habitat groups'!A87,'A-1 On-Site Habitat Baseline'!$W$11:$W$258)</f>
        <v>0</v>
      </c>
      <c r="J87" s="274">
        <f>SUMIF('A-1 On-Site Habitat Baseline'!$AV$11:$AV$258,'G-2 Habitat groups'!A87,'A-1 On-Site Habitat Baseline'!$X$11:$X$258)</f>
        <v>0</v>
      </c>
      <c r="K87" s="274">
        <f>SUMIF('A-2 On-Site Habitat Creation'!$F$11:$F$256,'G-2 Habitat groups'!A87,'A-2 On-Site Habitat Creation'!$G$11:$G$256)</f>
        <v>0</v>
      </c>
      <c r="L87" s="274">
        <f>SUMIF('A-2 On-Site Habitat Creation'!$F$11:$F$256,'G-2 Habitat groups'!A87,'A-2 On-Site Habitat Creation'!$Y$11:$Y$256)</f>
        <v>0</v>
      </c>
      <c r="M87" s="274">
        <f>SUMIF('A-3 On-Site Habitat Enhancement'!$S$12:$S$257,'G-2 Habitat groups'!A87,'A-3 On-Site Habitat Enhancement'!$V$12:$V$257)</f>
        <v>0</v>
      </c>
      <c r="N87" s="274">
        <f>SUMIF('A-3 On-Site Habitat Enhancement'!$S$12:$S$257,'G-2 Habitat groups'!A87,'A-3 On-Site Habitat Enhancement'!$AN$12:$AN$257)</f>
        <v>0</v>
      </c>
      <c r="O87" s="274">
        <f t="shared" si="54"/>
        <v>0</v>
      </c>
      <c r="P87" s="274">
        <f t="shared" si="55"/>
        <v>0</v>
      </c>
      <c r="Q87" s="274">
        <f t="shared" si="56"/>
        <v>0</v>
      </c>
      <c r="R87" s="274">
        <f t="shared" si="57"/>
        <v>0</v>
      </c>
      <c r="S87" s="274">
        <f>SUMIF('D-1 Off-Site Habitat Baseline'!$AV$11:$AV$258,'G-2 Habitat groups'!A87,'D-1 Off-Site Habitat Baseline'!$H$11:$H$258)</f>
        <v>0</v>
      </c>
      <c r="T87" s="274">
        <f>SUMIF('D-1 Off-Site Habitat Baseline'!$AV$11:$AV$258,'G-2 Habitat groups'!A87,'D-1 Off-Site Habitat Baseline'!$T$11:$T$258)</f>
        <v>0</v>
      </c>
      <c r="U87" s="274">
        <f>SUMIF('D-1 Off-Site Habitat Baseline'!$AV$11:$AV$258,'G-2 Habitat groups'!A87,'D-1 Off-Site Habitat Baseline'!$V$11:$V$258)</f>
        <v>0</v>
      </c>
      <c r="V87" s="274">
        <f>SUMIF('D-1 Off-Site Habitat Baseline'!$AV$11:$AV$258,'G-2 Habitat groups'!A87,'D-1 Off-Site Habitat Baseline'!$X$11:$X$258)+SUMIF('D-1 Off-Site Habitat Baseline'!$AV$11:$AV$258,'G-2 Habitat groups'!A87,'D-1 Off-Site Habitat Baseline'!$AS$11:$AS$258)</f>
        <v>0</v>
      </c>
      <c r="W87" s="274">
        <f>SUMIF('D-2 Off-Site Habitat Creation'!$F$9:$F$255,'G-2 Habitat groups'!A87,'D-2 Off-Site Habitat Creation'!$G$9:$G$255)</f>
        <v>0</v>
      </c>
      <c r="X87" s="274">
        <f>SUMIF('D-2 Off-Site Habitat Creation'!$F$9:$F$255,'G-2 Habitat groups'!A87,'D-2 Off-Site Habitat Creation'!$AB$9:$AB$255)</f>
        <v>0</v>
      </c>
      <c r="Y87" s="274">
        <f>SUMIF('D-3 Off-Site Habitat Enhancment'!$S$12:$S$491,'G-2 Habitat groups'!A87,'D-3 Off-Site Habitat Enhancment'!$V$12:$V$491)</f>
        <v>0</v>
      </c>
      <c r="Z87" s="274">
        <f>SUMIF('D-3 Off-Site Habitat Enhancment'!$S$12:$S$491,'G-2 Habitat groups'!A87,'D-3 Off-Site Habitat Enhancment'!$AQ$12:$AQ$491)</f>
        <v>0</v>
      </c>
      <c r="AA87" s="274">
        <f t="shared" si="58"/>
        <v>0</v>
      </c>
      <c r="AB87" s="274">
        <f t="shared" si="59"/>
        <v>0</v>
      </c>
      <c r="AC87" s="274">
        <f t="shared" si="60"/>
        <v>0</v>
      </c>
      <c r="AD87" s="274">
        <f t="shared" si="61"/>
        <v>0</v>
      </c>
      <c r="AE87" s="274">
        <f t="shared" si="62"/>
        <v>0</v>
      </c>
      <c r="AF87" s="274">
        <f t="shared" si="63"/>
        <v>0</v>
      </c>
      <c r="AU87" s="70" t="s">
        <v>697</v>
      </c>
      <c r="AV87" s="62" t="s">
        <v>116</v>
      </c>
      <c r="AW87" s="280">
        <f t="shared" si="64"/>
        <v>0</v>
      </c>
      <c r="AX87" s="280">
        <f t="shared" si="65"/>
        <v>0</v>
      </c>
      <c r="AY87" s="280">
        <f t="shared" si="66"/>
        <v>0</v>
      </c>
      <c r="AZ87" s="280">
        <f t="shared" si="67"/>
        <v>0</v>
      </c>
      <c r="BA87" s="280">
        <f t="shared" si="68"/>
        <v>0</v>
      </c>
      <c r="BB87" s="280">
        <f t="shared" si="69"/>
        <v>0</v>
      </c>
      <c r="BC87" s="280">
        <f t="shared" si="70"/>
        <v>0</v>
      </c>
      <c r="BD87" s="280">
        <f t="shared" si="71"/>
        <v>0</v>
      </c>
      <c r="BE87" s="280">
        <f t="shared" si="72"/>
        <v>0</v>
      </c>
      <c r="BF87" s="280" t="str">
        <f t="shared" si="73"/>
        <v/>
      </c>
    </row>
    <row r="88" spans="1:58" x14ac:dyDescent="0.25">
      <c r="A88" s="70" t="str">
        <f>'G-1 All Habitats'!B88</f>
        <v>Wetland - Reedbeds</v>
      </c>
      <c r="B88" s="62" t="s">
        <v>123</v>
      </c>
      <c r="C88" s="62" t="str">
        <f>'G-1 All Habitats'!K88</f>
        <v>High</v>
      </c>
      <c r="D88" s="62" t="str">
        <f>'G-1 All Habitats'!M88</f>
        <v>Same habitat required =</v>
      </c>
      <c r="E88" s="274">
        <f>SUMIF('A-1 On-Site Habitat Baseline'!$AV$11:$AV$258,'G-2 Habitat groups'!A88,'A-1 On-Site Habitat Baseline'!$H$11:$H$258)</f>
        <v>0</v>
      </c>
      <c r="F88" s="274">
        <f>SUMIF('A-1 On-Site Habitat Baseline'!$AV$11:$AV$258,'G-2 Habitat groups'!A88,'A-1 On-Site Habitat Baseline'!$Q$11:$Q$258)</f>
        <v>0</v>
      </c>
      <c r="G88" s="274">
        <f>SUMIF('A-1 On-Site Habitat Baseline'!$AV$11:$AV$258,'G-2 Habitat groups'!A88,'A-1 On-Site Habitat Baseline'!$S$11:$S$258)</f>
        <v>0</v>
      </c>
      <c r="H88" s="274">
        <f>SUMIF('A-1 On-Site Habitat Baseline'!$AV$11:$AV$258,'G-2 Habitat groups'!A88,'A-1 On-Site Habitat Baseline'!$U$11:$U$258)+SUMIF('A-1 On-Site Habitat Baseline'!$AV$11:$AV$258,'G-2 Habitat groups'!A88, 'A-1 On-Site Habitat Baseline'!$AT$11:$AT$258)</f>
        <v>0</v>
      </c>
      <c r="I88" s="274">
        <f>SUMIF('A-1 On-Site Habitat Baseline'!$AV$11:$AV$258,'G-2 Habitat groups'!A88,'A-1 On-Site Habitat Baseline'!$W$11:$W$258)</f>
        <v>0</v>
      </c>
      <c r="J88" s="274">
        <f>SUMIF('A-1 On-Site Habitat Baseline'!$AV$11:$AV$258,'G-2 Habitat groups'!A88,'A-1 On-Site Habitat Baseline'!$X$11:$X$258)</f>
        <v>0</v>
      </c>
      <c r="K88" s="274">
        <f>SUMIF('A-2 On-Site Habitat Creation'!$F$11:$F$256,'G-2 Habitat groups'!A88,'A-2 On-Site Habitat Creation'!$G$11:$G$256)</f>
        <v>0</v>
      </c>
      <c r="L88" s="274">
        <f>SUMIF('A-2 On-Site Habitat Creation'!$F$11:$F$256,'G-2 Habitat groups'!A88,'A-2 On-Site Habitat Creation'!$Y$11:$Y$256)</f>
        <v>0</v>
      </c>
      <c r="M88" s="274">
        <f>SUMIF('A-3 On-Site Habitat Enhancement'!$S$12:$S$257,'G-2 Habitat groups'!A88,'A-3 On-Site Habitat Enhancement'!$V$12:$V$257)</f>
        <v>0</v>
      </c>
      <c r="N88" s="274">
        <f>SUMIF('A-3 On-Site Habitat Enhancement'!$S$12:$S$257,'G-2 Habitat groups'!A88,'A-3 On-Site Habitat Enhancement'!$AN$12:$AN$257)</f>
        <v>0</v>
      </c>
      <c r="O88" s="274">
        <f t="shared" si="54"/>
        <v>0</v>
      </c>
      <c r="P88" s="274">
        <f t="shared" si="55"/>
        <v>0</v>
      </c>
      <c r="Q88" s="274">
        <f t="shared" si="56"/>
        <v>0</v>
      </c>
      <c r="R88" s="274">
        <f t="shared" si="57"/>
        <v>0</v>
      </c>
      <c r="S88" s="274">
        <f>SUMIF('D-1 Off-Site Habitat Baseline'!$AV$11:$AV$258,'G-2 Habitat groups'!A88,'D-1 Off-Site Habitat Baseline'!$H$11:$H$258)</f>
        <v>0</v>
      </c>
      <c r="T88" s="274">
        <f>SUMIF('D-1 Off-Site Habitat Baseline'!$AV$11:$AV$258,'G-2 Habitat groups'!A88,'D-1 Off-Site Habitat Baseline'!$T$11:$T$258)</f>
        <v>0</v>
      </c>
      <c r="U88" s="274">
        <f>SUMIF('D-1 Off-Site Habitat Baseline'!$AV$11:$AV$258,'G-2 Habitat groups'!A88,'D-1 Off-Site Habitat Baseline'!$V$11:$V$258)</f>
        <v>0</v>
      </c>
      <c r="V88" s="274">
        <f>SUMIF('D-1 Off-Site Habitat Baseline'!$AV$11:$AV$258,'G-2 Habitat groups'!A88,'D-1 Off-Site Habitat Baseline'!$X$11:$X$258)+SUMIF('D-1 Off-Site Habitat Baseline'!$AV$11:$AV$258,'G-2 Habitat groups'!A88,'D-1 Off-Site Habitat Baseline'!$AS$11:$AS$258)</f>
        <v>0</v>
      </c>
      <c r="W88" s="274">
        <f>SUMIF('D-2 Off-Site Habitat Creation'!$F$9:$F$255,'G-2 Habitat groups'!A88,'D-2 Off-Site Habitat Creation'!$G$9:$G$255)</f>
        <v>0</v>
      </c>
      <c r="X88" s="274">
        <f>SUMIF('D-2 Off-Site Habitat Creation'!$F$9:$F$255,'G-2 Habitat groups'!A88,'D-2 Off-Site Habitat Creation'!$AB$9:$AB$255)</f>
        <v>0</v>
      </c>
      <c r="Y88" s="274">
        <f>SUMIF('D-3 Off-Site Habitat Enhancment'!$S$12:$S$491,'G-2 Habitat groups'!A88,'D-3 Off-Site Habitat Enhancment'!$V$12:$V$491)</f>
        <v>0</v>
      </c>
      <c r="Z88" s="274">
        <f>SUMIF('D-3 Off-Site Habitat Enhancment'!$S$12:$S$491,'G-2 Habitat groups'!A88,'D-3 Off-Site Habitat Enhancment'!$AQ$12:$AQ$491)</f>
        <v>0</v>
      </c>
      <c r="AA88" s="274">
        <f t="shared" si="58"/>
        <v>0</v>
      </c>
      <c r="AB88" s="274">
        <f t="shared" si="59"/>
        <v>0</v>
      </c>
      <c r="AC88" s="274">
        <f t="shared" si="60"/>
        <v>0</v>
      </c>
      <c r="AD88" s="274">
        <f t="shared" si="61"/>
        <v>0</v>
      </c>
      <c r="AE88" s="274">
        <f t="shared" si="62"/>
        <v>0</v>
      </c>
      <c r="AF88" s="274">
        <f t="shared" si="63"/>
        <v>0</v>
      </c>
      <c r="AU88" s="70" t="s">
        <v>703</v>
      </c>
      <c r="AV88" s="62" t="s">
        <v>116</v>
      </c>
      <c r="AW88" s="280">
        <f t="shared" si="64"/>
        <v>0</v>
      </c>
      <c r="AX88" s="280">
        <f t="shared" si="65"/>
        <v>0</v>
      </c>
      <c r="AY88" s="280">
        <f t="shared" si="66"/>
        <v>0</v>
      </c>
      <c r="AZ88" s="280">
        <f t="shared" si="67"/>
        <v>0</v>
      </c>
      <c r="BA88" s="280">
        <f t="shared" si="68"/>
        <v>0</v>
      </c>
      <c r="BB88" s="280">
        <f t="shared" si="69"/>
        <v>0</v>
      </c>
      <c r="BC88" s="280">
        <f t="shared" si="70"/>
        <v>0</v>
      </c>
      <c r="BD88" s="280">
        <f t="shared" si="71"/>
        <v>0</v>
      </c>
      <c r="BE88" s="280">
        <f t="shared" si="72"/>
        <v>0</v>
      </c>
      <c r="BF88" s="280" t="str">
        <f t="shared" si="73"/>
        <v/>
      </c>
    </row>
    <row r="89" spans="1:58" x14ac:dyDescent="0.25">
      <c r="A89" s="70" t="str">
        <f>'G-1 All Habitats'!B89</f>
        <v>Wetland - Transition mires and quaking bogs (H7140)</v>
      </c>
      <c r="B89" s="62" t="s">
        <v>123</v>
      </c>
      <c r="C89" s="62" t="str">
        <f>'G-1 All Habitats'!K89</f>
        <v>V.High</v>
      </c>
      <c r="D89" s="62" t="str">
        <f>'G-1 All Habitats'!M89</f>
        <v>Same habitat required – bespoke compensation option ⚠</v>
      </c>
      <c r="E89" s="274">
        <f>SUMIF('A-1 On-Site Habitat Baseline'!$AV$11:$AV$258,'G-2 Habitat groups'!A89,'A-1 On-Site Habitat Baseline'!$H$11:$H$258)</f>
        <v>0</v>
      </c>
      <c r="F89" s="274">
        <f>SUMIF('A-1 On-Site Habitat Baseline'!$AV$11:$AV$258,'G-2 Habitat groups'!A89,'A-1 On-Site Habitat Baseline'!$Q$11:$Q$258)</f>
        <v>0</v>
      </c>
      <c r="G89" s="274">
        <f>SUMIF('A-1 On-Site Habitat Baseline'!$AV$11:$AV$258,'G-2 Habitat groups'!A89,'A-1 On-Site Habitat Baseline'!$S$11:$S$258)</f>
        <v>0</v>
      </c>
      <c r="H89" s="274">
        <f>SUMIF('A-1 On-Site Habitat Baseline'!$AV$11:$AV$258,'G-2 Habitat groups'!A89,'A-1 On-Site Habitat Baseline'!$U$11:$U$258)+SUMIF('A-1 On-Site Habitat Baseline'!$AV$11:$AV$258,'G-2 Habitat groups'!A89, 'A-1 On-Site Habitat Baseline'!$AT$11:$AT$258)</f>
        <v>0</v>
      </c>
      <c r="I89" s="274">
        <f>SUMIF('A-1 On-Site Habitat Baseline'!$AV$11:$AV$258,'G-2 Habitat groups'!A89,'A-1 On-Site Habitat Baseline'!$W$11:$W$258)</f>
        <v>0</v>
      </c>
      <c r="J89" s="274">
        <f>SUMIF('A-1 On-Site Habitat Baseline'!$AV$11:$AV$258,'G-2 Habitat groups'!A89,'A-1 On-Site Habitat Baseline'!$X$11:$X$258)</f>
        <v>0</v>
      </c>
      <c r="K89" s="274">
        <f>SUMIF('A-2 On-Site Habitat Creation'!$F$11:$F$256,'G-2 Habitat groups'!A89,'A-2 On-Site Habitat Creation'!$G$11:$G$256)</f>
        <v>0</v>
      </c>
      <c r="L89" s="274">
        <f>SUMIF('A-2 On-Site Habitat Creation'!$F$11:$F$256,'G-2 Habitat groups'!A89,'A-2 On-Site Habitat Creation'!$Y$11:$Y$256)</f>
        <v>0</v>
      </c>
      <c r="M89" s="274">
        <f>SUMIF('A-3 On-Site Habitat Enhancement'!$S$12:$S$257,'G-2 Habitat groups'!A89,'A-3 On-Site Habitat Enhancement'!$V$12:$V$257)</f>
        <v>0</v>
      </c>
      <c r="N89" s="274">
        <f>SUMIF('A-3 On-Site Habitat Enhancement'!$S$12:$S$257,'G-2 Habitat groups'!A89,'A-3 On-Site Habitat Enhancement'!$AN$12:$AN$257)</f>
        <v>0</v>
      </c>
      <c r="O89" s="274">
        <f t="shared" si="54"/>
        <v>0</v>
      </c>
      <c r="P89" s="274">
        <f t="shared" si="55"/>
        <v>0</v>
      </c>
      <c r="Q89" s="274">
        <f t="shared" si="56"/>
        <v>0</v>
      </c>
      <c r="R89" s="274">
        <f t="shared" si="57"/>
        <v>0</v>
      </c>
      <c r="S89" s="274">
        <f>SUMIF('D-1 Off-Site Habitat Baseline'!$AV$11:$AV$258,'G-2 Habitat groups'!A89,'D-1 Off-Site Habitat Baseline'!$H$11:$H$258)</f>
        <v>0</v>
      </c>
      <c r="T89" s="274">
        <f>SUMIF('D-1 Off-Site Habitat Baseline'!$AV$11:$AV$258,'G-2 Habitat groups'!A89,'D-1 Off-Site Habitat Baseline'!$T$11:$T$258)</f>
        <v>0</v>
      </c>
      <c r="U89" s="274">
        <f>SUMIF('D-1 Off-Site Habitat Baseline'!$AV$11:$AV$258,'G-2 Habitat groups'!A89,'D-1 Off-Site Habitat Baseline'!$V$11:$V$258)</f>
        <v>0</v>
      </c>
      <c r="V89" s="274">
        <f>SUMIF('D-1 Off-Site Habitat Baseline'!$AV$11:$AV$258,'G-2 Habitat groups'!A89,'D-1 Off-Site Habitat Baseline'!$X$11:$X$258)+SUMIF('D-1 Off-Site Habitat Baseline'!$AV$11:$AV$258,'G-2 Habitat groups'!A89,'D-1 Off-Site Habitat Baseline'!$AS$11:$AS$258)</f>
        <v>0</v>
      </c>
      <c r="W89" s="274">
        <f>SUMIF('D-2 Off-Site Habitat Creation'!$F$9:$F$255,'G-2 Habitat groups'!A89,'D-2 Off-Site Habitat Creation'!$G$9:$G$255)</f>
        <v>0</v>
      </c>
      <c r="X89" s="274">
        <f>SUMIF('D-2 Off-Site Habitat Creation'!$F$9:$F$255,'G-2 Habitat groups'!A89,'D-2 Off-Site Habitat Creation'!$AB$9:$AB$255)</f>
        <v>0</v>
      </c>
      <c r="Y89" s="274">
        <f>SUMIF('D-3 Off-Site Habitat Enhancment'!$S$12:$S$491,'G-2 Habitat groups'!A89,'D-3 Off-Site Habitat Enhancment'!$V$12:$V$491)</f>
        <v>0</v>
      </c>
      <c r="Z89" s="274">
        <f>SUMIF('D-3 Off-Site Habitat Enhancment'!$S$12:$S$491,'G-2 Habitat groups'!A89,'D-3 Off-Site Habitat Enhancment'!$AQ$12:$AQ$491)</f>
        <v>0</v>
      </c>
      <c r="AA89" s="274">
        <f t="shared" si="58"/>
        <v>0</v>
      </c>
      <c r="AB89" s="274">
        <f t="shared" si="59"/>
        <v>0</v>
      </c>
      <c r="AC89" s="274">
        <f t="shared" si="60"/>
        <v>0</v>
      </c>
      <c r="AD89" s="274">
        <f t="shared" si="61"/>
        <v>0</v>
      </c>
      <c r="AE89" s="274">
        <f t="shared" si="62"/>
        <v>0</v>
      </c>
      <c r="AF89" s="274">
        <f t="shared" si="63"/>
        <v>0</v>
      </c>
      <c r="AU89" s="70" t="s">
        <v>706</v>
      </c>
      <c r="AV89" s="62" t="s">
        <v>116</v>
      </c>
      <c r="AW89" s="280">
        <f t="shared" si="64"/>
        <v>0</v>
      </c>
      <c r="AX89" s="280">
        <f t="shared" si="65"/>
        <v>0</v>
      </c>
      <c r="AY89" s="280">
        <f t="shared" si="66"/>
        <v>0</v>
      </c>
      <c r="AZ89" s="280">
        <f t="shared" si="67"/>
        <v>0</v>
      </c>
      <c r="BA89" s="280">
        <f t="shared" si="68"/>
        <v>0</v>
      </c>
      <c r="BB89" s="280">
        <f t="shared" si="69"/>
        <v>0</v>
      </c>
      <c r="BC89" s="280">
        <f t="shared" si="70"/>
        <v>0</v>
      </c>
      <c r="BD89" s="280">
        <f t="shared" si="71"/>
        <v>0</v>
      </c>
      <c r="BE89" s="280">
        <f t="shared" si="72"/>
        <v>0</v>
      </c>
      <c r="BF89" s="280" t="str">
        <f t="shared" si="73"/>
        <v/>
      </c>
    </row>
    <row r="90" spans="1:58" x14ac:dyDescent="0.25">
      <c r="A90" s="70" t="str">
        <f>'G-1 All Habitats'!B90</f>
        <v>Woodland and forest - Felled</v>
      </c>
      <c r="B90" s="62" t="s">
        <v>87</v>
      </c>
      <c r="C90" s="62" t="str">
        <f>'G-1 All Habitats'!K90</f>
        <v>High</v>
      </c>
      <c r="D90" s="62" t="str">
        <f>'G-1 All Habitats'!M90</f>
        <v>Same habitat required =</v>
      </c>
      <c r="E90" s="274">
        <f>SUMIF('A-1 On-Site Habitat Baseline'!$AV$11:$AV$258,'G-2 Habitat groups'!A90,'A-1 On-Site Habitat Baseline'!$H$11:$H$258)</f>
        <v>0</v>
      </c>
      <c r="F90" s="274">
        <f>SUMIF('A-1 On-Site Habitat Baseline'!$AV$11:$AV$258,'G-2 Habitat groups'!A90,'A-1 On-Site Habitat Baseline'!$Q$11:$Q$258)</f>
        <v>0</v>
      </c>
      <c r="G90" s="274">
        <f>SUMIF('A-1 On-Site Habitat Baseline'!$AV$11:$AV$258,'G-2 Habitat groups'!A90,'A-1 On-Site Habitat Baseline'!$S$11:$S$258)</f>
        <v>0</v>
      </c>
      <c r="H90" s="274">
        <f>SUMIF('A-1 On-Site Habitat Baseline'!$AV$11:$AV$258,'G-2 Habitat groups'!A90,'A-1 On-Site Habitat Baseline'!$U$11:$U$258)+SUMIF('A-1 On-Site Habitat Baseline'!$AV$11:$AV$258,'G-2 Habitat groups'!A90, 'A-1 On-Site Habitat Baseline'!$AT$11:$AT$258)</f>
        <v>0</v>
      </c>
      <c r="I90" s="274">
        <f>SUMIF('A-1 On-Site Habitat Baseline'!$AV$11:$AV$258,'G-2 Habitat groups'!A90,'A-1 On-Site Habitat Baseline'!$W$11:$W$258)</f>
        <v>0</v>
      </c>
      <c r="J90" s="274">
        <f>SUMIF('A-1 On-Site Habitat Baseline'!$AV$11:$AV$258,'G-2 Habitat groups'!A90,'A-1 On-Site Habitat Baseline'!$X$11:$X$258)</f>
        <v>0</v>
      </c>
      <c r="K90" s="274">
        <f>SUMIF('A-2 On-Site Habitat Creation'!$F$11:$F$256,'G-2 Habitat groups'!A90,'A-2 On-Site Habitat Creation'!$G$11:$G$256)</f>
        <v>0</v>
      </c>
      <c r="L90" s="274">
        <f>SUMIF('A-2 On-Site Habitat Creation'!$F$11:$F$256,'G-2 Habitat groups'!A90,'A-2 On-Site Habitat Creation'!$Y$11:$Y$256)</f>
        <v>0</v>
      </c>
      <c r="M90" s="274">
        <f>SUMIF('A-3 On-Site Habitat Enhancement'!$S$12:$S$257,'G-2 Habitat groups'!A90,'A-3 On-Site Habitat Enhancement'!$V$12:$V$257)</f>
        <v>0</v>
      </c>
      <c r="N90" s="274">
        <f>SUMIF('A-3 On-Site Habitat Enhancement'!$S$12:$S$257,'G-2 Habitat groups'!A90,'A-3 On-Site Habitat Enhancement'!$AN$12:$AN$257)</f>
        <v>0</v>
      </c>
      <c r="O90" s="274">
        <f t="shared" si="54"/>
        <v>0</v>
      </c>
      <c r="P90" s="274">
        <f t="shared" si="55"/>
        <v>0</v>
      </c>
      <c r="Q90" s="274">
        <f t="shared" si="56"/>
        <v>0</v>
      </c>
      <c r="R90" s="274">
        <f t="shared" si="57"/>
        <v>0</v>
      </c>
      <c r="S90" s="274">
        <f>SUMIF('D-1 Off-Site Habitat Baseline'!$AV$11:$AV$258,'G-2 Habitat groups'!A90,'D-1 Off-Site Habitat Baseline'!$H$11:$H$258)</f>
        <v>0</v>
      </c>
      <c r="T90" s="274">
        <f>SUMIF('D-1 Off-Site Habitat Baseline'!$AV$11:$AV$258,'G-2 Habitat groups'!A90,'D-1 Off-Site Habitat Baseline'!$T$11:$T$258)</f>
        <v>0</v>
      </c>
      <c r="U90" s="274">
        <f>SUMIF('D-1 Off-Site Habitat Baseline'!$AV$11:$AV$258,'G-2 Habitat groups'!A90,'D-1 Off-Site Habitat Baseline'!$V$11:$V$258)</f>
        <v>0</v>
      </c>
      <c r="V90" s="274">
        <f>SUMIF('D-1 Off-Site Habitat Baseline'!$AV$11:$AV$258,'G-2 Habitat groups'!A90,'D-1 Off-Site Habitat Baseline'!$X$11:$X$258)+SUMIF('D-1 Off-Site Habitat Baseline'!$AV$11:$AV$258,'G-2 Habitat groups'!A90,'D-1 Off-Site Habitat Baseline'!$AS$11:$AS$258)</f>
        <v>0</v>
      </c>
      <c r="W90" s="274">
        <f>SUMIF('D-2 Off-Site Habitat Creation'!$F$9:$F$255,'G-2 Habitat groups'!A90,'D-2 Off-Site Habitat Creation'!$G$9:$G$255)</f>
        <v>0</v>
      </c>
      <c r="X90" s="274">
        <f>SUMIF('D-2 Off-Site Habitat Creation'!$F$9:$F$255,'G-2 Habitat groups'!A90,'D-2 Off-Site Habitat Creation'!$AB$9:$AB$255)</f>
        <v>0</v>
      </c>
      <c r="Y90" s="274">
        <f>SUMIF('D-3 Off-Site Habitat Enhancment'!$S$12:$S$491,'G-2 Habitat groups'!A90,'D-3 Off-Site Habitat Enhancment'!$V$12:$V$491)</f>
        <v>0</v>
      </c>
      <c r="Z90" s="274">
        <f>SUMIF('D-3 Off-Site Habitat Enhancment'!$S$12:$S$491,'G-2 Habitat groups'!A90,'D-3 Off-Site Habitat Enhancment'!$AQ$12:$AQ$491)</f>
        <v>0</v>
      </c>
      <c r="AA90" s="274">
        <f t="shared" si="58"/>
        <v>0</v>
      </c>
      <c r="AB90" s="274">
        <f t="shared" si="59"/>
        <v>0</v>
      </c>
      <c r="AC90" s="274">
        <f t="shared" si="60"/>
        <v>0</v>
      </c>
      <c r="AD90" s="274">
        <f t="shared" si="61"/>
        <v>0</v>
      </c>
      <c r="AE90" s="274">
        <f t="shared" si="62"/>
        <v>0</v>
      </c>
      <c r="AF90" s="274">
        <f t="shared" si="63"/>
        <v>0</v>
      </c>
      <c r="AU90" s="70" t="s">
        <v>709</v>
      </c>
      <c r="AV90" s="62" t="s">
        <v>116</v>
      </c>
      <c r="AW90" s="280">
        <f t="shared" si="64"/>
        <v>0</v>
      </c>
      <c r="AX90" s="280">
        <f t="shared" si="65"/>
        <v>0</v>
      </c>
      <c r="AY90" s="280">
        <f t="shared" si="66"/>
        <v>0</v>
      </c>
      <c r="AZ90" s="280">
        <f t="shared" si="67"/>
        <v>0</v>
      </c>
      <c r="BA90" s="280">
        <f t="shared" si="68"/>
        <v>0</v>
      </c>
      <c r="BB90" s="280">
        <f t="shared" si="69"/>
        <v>0</v>
      </c>
      <c r="BC90" s="280">
        <f t="shared" si="70"/>
        <v>0</v>
      </c>
      <c r="BD90" s="280">
        <f t="shared" si="71"/>
        <v>0</v>
      </c>
      <c r="BE90" s="280">
        <f t="shared" si="72"/>
        <v>0</v>
      </c>
      <c r="BF90" s="280" t="str">
        <f t="shared" si="73"/>
        <v/>
      </c>
    </row>
    <row r="91" spans="1:58" x14ac:dyDescent="0.25">
      <c r="A91" s="70" t="str">
        <f>'G-1 All Habitats'!B91</f>
        <v>Woodland and forest - Lowland beech and yew woodland</v>
      </c>
      <c r="B91" s="62" t="s">
        <v>87</v>
      </c>
      <c r="C91" s="62" t="str">
        <f>'G-1 All Habitats'!K91</f>
        <v>High</v>
      </c>
      <c r="D91" s="62" t="str">
        <f>'G-1 All Habitats'!M91</f>
        <v>Same habitat required =</v>
      </c>
      <c r="E91" s="274">
        <f>SUMIF('A-1 On-Site Habitat Baseline'!$AV$11:$AV$258,'G-2 Habitat groups'!A91,'A-1 On-Site Habitat Baseline'!$H$11:$H$258)</f>
        <v>0</v>
      </c>
      <c r="F91" s="274">
        <f>SUMIF('A-1 On-Site Habitat Baseline'!$AV$11:$AV$258,'G-2 Habitat groups'!A91,'A-1 On-Site Habitat Baseline'!$Q$11:$Q$258)</f>
        <v>0</v>
      </c>
      <c r="G91" s="274">
        <f>SUMIF('A-1 On-Site Habitat Baseline'!$AV$11:$AV$258,'G-2 Habitat groups'!A91,'A-1 On-Site Habitat Baseline'!$S$11:$S$258)</f>
        <v>0</v>
      </c>
      <c r="H91" s="274">
        <f>SUMIF('A-1 On-Site Habitat Baseline'!$AV$11:$AV$258,'G-2 Habitat groups'!A91,'A-1 On-Site Habitat Baseline'!$U$11:$U$258)+SUMIF('A-1 On-Site Habitat Baseline'!$AV$11:$AV$258,'G-2 Habitat groups'!A91, 'A-1 On-Site Habitat Baseline'!$AT$11:$AT$258)</f>
        <v>0</v>
      </c>
      <c r="I91" s="274">
        <f>SUMIF('A-1 On-Site Habitat Baseline'!$AV$11:$AV$258,'G-2 Habitat groups'!A91,'A-1 On-Site Habitat Baseline'!$W$11:$W$258)</f>
        <v>0</v>
      </c>
      <c r="J91" s="274">
        <f>SUMIF('A-1 On-Site Habitat Baseline'!$AV$11:$AV$258,'G-2 Habitat groups'!A91,'A-1 On-Site Habitat Baseline'!$X$11:$X$258)</f>
        <v>0</v>
      </c>
      <c r="K91" s="274">
        <f>SUMIF('A-2 On-Site Habitat Creation'!$F$11:$F$256,'G-2 Habitat groups'!A91,'A-2 On-Site Habitat Creation'!$G$11:$G$256)</f>
        <v>0</v>
      </c>
      <c r="L91" s="274">
        <f>SUMIF('A-2 On-Site Habitat Creation'!$F$11:$F$256,'G-2 Habitat groups'!A91,'A-2 On-Site Habitat Creation'!$Y$11:$Y$256)</f>
        <v>0</v>
      </c>
      <c r="M91" s="274">
        <f>SUMIF('A-3 On-Site Habitat Enhancement'!$S$12:$S$257,'G-2 Habitat groups'!A91,'A-3 On-Site Habitat Enhancement'!$V$12:$V$257)</f>
        <v>0</v>
      </c>
      <c r="N91" s="274">
        <f>SUMIF('A-3 On-Site Habitat Enhancement'!$S$12:$S$257,'G-2 Habitat groups'!A91,'A-3 On-Site Habitat Enhancement'!$AN$12:$AN$257)</f>
        <v>0</v>
      </c>
      <c r="O91" s="274">
        <f t="shared" si="54"/>
        <v>0</v>
      </c>
      <c r="P91" s="274">
        <f t="shared" si="55"/>
        <v>0</v>
      </c>
      <c r="Q91" s="274">
        <f t="shared" si="56"/>
        <v>0</v>
      </c>
      <c r="R91" s="274">
        <f t="shared" si="57"/>
        <v>0</v>
      </c>
      <c r="S91" s="274">
        <f>SUMIF('D-1 Off-Site Habitat Baseline'!$AV$11:$AV$258,'G-2 Habitat groups'!A91,'D-1 Off-Site Habitat Baseline'!$H$11:$H$258)</f>
        <v>0</v>
      </c>
      <c r="T91" s="274">
        <f>SUMIF('D-1 Off-Site Habitat Baseline'!$AV$11:$AV$258,'G-2 Habitat groups'!A91,'D-1 Off-Site Habitat Baseline'!$T$11:$T$258)</f>
        <v>0</v>
      </c>
      <c r="U91" s="274">
        <f>SUMIF('D-1 Off-Site Habitat Baseline'!$AV$11:$AV$258,'G-2 Habitat groups'!A91,'D-1 Off-Site Habitat Baseline'!$V$11:$V$258)</f>
        <v>0</v>
      </c>
      <c r="V91" s="274">
        <f>SUMIF('D-1 Off-Site Habitat Baseline'!$AV$11:$AV$258,'G-2 Habitat groups'!A91,'D-1 Off-Site Habitat Baseline'!$X$11:$X$258)+SUMIF('D-1 Off-Site Habitat Baseline'!$AV$11:$AV$258,'G-2 Habitat groups'!A91,'D-1 Off-Site Habitat Baseline'!$AS$11:$AS$258)</f>
        <v>0</v>
      </c>
      <c r="W91" s="274">
        <f>SUMIF('D-2 Off-Site Habitat Creation'!$F$9:$F$255,'G-2 Habitat groups'!A91,'D-2 Off-Site Habitat Creation'!$G$9:$G$255)</f>
        <v>0</v>
      </c>
      <c r="X91" s="274">
        <f>SUMIF('D-2 Off-Site Habitat Creation'!$F$9:$F$255,'G-2 Habitat groups'!A91,'D-2 Off-Site Habitat Creation'!$AB$9:$AB$255)</f>
        <v>0</v>
      </c>
      <c r="Y91" s="274">
        <f>SUMIF('D-3 Off-Site Habitat Enhancment'!$S$12:$S$491,'G-2 Habitat groups'!A91,'D-3 Off-Site Habitat Enhancment'!$V$12:$V$491)</f>
        <v>0</v>
      </c>
      <c r="Z91" s="274">
        <f>SUMIF('D-3 Off-Site Habitat Enhancment'!$S$12:$S$491,'G-2 Habitat groups'!A91,'D-3 Off-Site Habitat Enhancment'!$AQ$12:$AQ$491)</f>
        <v>0</v>
      </c>
      <c r="AA91" s="274">
        <f t="shared" si="58"/>
        <v>0</v>
      </c>
      <c r="AB91" s="274">
        <f t="shared" si="59"/>
        <v>0</v>
      </c>
      <c r="AC91" s="274">
        <f t="shared" si="60"/>
        <v>0</v>
      </c>
      <c r="AD91" s="274">
        <f t="shared" si="61"/>
        <v>0</v>
      </c>
      <c r="AE91" s="274">
        <f t="shared" si="62"/>
        <v>0</v>
      </c>
      <c r="AF91" s="274">
        <f t="shared" si="63"/>
        <v>0</v>
      </c>
      <c r="AU91" s="70" t="s">
        <v>712</v>
      </c>
      <c r="AV91" s="62" t="s">
        <v>116</v>
      </c>
      <c r="AW91" s="280">
        <f t="shared" si="64"/>
        <v>0</v>
      </c>
      <c r="AX91" s="280">
        <f t="shared" si="65"/>
        <v>0</v>
      </c>
      <c r="AY91" s="280">
        <f t="shared" si="66"/>
        <v>0</v>
      </c>
      <c r="AZ91" s="280">
        <f t="shared" si="67"/>
        <v>0</v>
      </c>
      <c r="BA91" s="280">
        <f t="shared" si="68"/>
        <v>0</v>
      </c>
      <c r="BB91" s="280">
        <f t="shared" si="69"/>
        <v>0</v>
      </c>
      <c r="BC91" s="280">
        <f t="shared" si="70"/>
        <v>0</v>
      </c>
      <c r="BD91" s="280">
        <f t="shared" si="71"/>
        <v>0</v>
      </c>
      <c r="BE91" s="280">
        <f t="shared" si="72"/>
        <v>0</v>
      </c>
      <c r="BF91" s="280" t="str">
        <f t="shared" si="73"/>
        <v/>
      </c>
    </row>
    <row r="92" spans="1:58" x14ac:dyDescent="0.25">
      <c r="A92" s="70" t="str">
        <f>'G-1 All Habitats'!B92</f>
        <v>Woodland and forest - Lowland mixed deciduous woodland</v>
      </c>
      <c r="B92" s="62" t="s">
        <v>87</v>
      </c>
      <c r="C92" s="62" t="str">
        <f>'G-1 All Habitats'!K92</f>
        <v>High</v>
      </c>
      <c r="D92" s="62" t="str">
        <f>'G-1 All Habitats'!M92</f>
        <v>Same habitat required =</v>
      </c>
      <c r="E92" s="274">
        <f>SUMIF('A-1 On-Site Habitat Baseline'!$AV$11:$AV$258,'G-2 Habitat groups'!A92,'A-1 On-Site Habitat Baseline'!$H$11:$H$258)</f>
        <v>0</v>
      </c>
      <c r="F92" s="274">
        <f>SUMIF('A-1 On-Site Habitat Baseline'!$AV$11:$AV$258,'G-2 Habitat groups'!A92,'A-1 On-Site Habitat Baseline'!$Q$11:$Q$258)</f>
        <v>0</v>
      </c>
      <c r="G92" s="274">
        <f>SUMIF('A-1 On-Site Habitat Baseline'!$AV$11:$AV$258,'G-2 Habitat groups'!A92,'A-1 On-Site Habitat Baseline'!$S$11:$S$258)</f>
        <v>0</v>
      </c>
      <c r="H92" s="274">
        <f>SUMIF('A-1 On-Site Habitat Baseline'!$AV$11:$AV$258,'G-2 Habitat groups'!A92,'A-1 On-Site Habitat Baseline'!$U$11:$U$258)+SUMIF('A-1 On-Site Habitat Baseline'!$AV$11:$AV$258,'G-2 Habitat groups'!A92, 'A-1 On-Site Habitat Baseline'!$AT$11:$AT$258)</f>
        <v>0</v>
      </c>
      <c r="I92" s="274">
        <f>SUMIF('A-1 On-Site Habitat Baseline'!$AV$11:$AV$258,'G-2 Habitat groups'!A92,'A-1 On-Site Habitat Baseline'!$W$11:$W$258)</f>
        <v>0</v>
      </c>
      <c r="J92" s="274">
        <f>SUMIF('A-1 On-Site Habitat Baseline'!$AV$11:$AV$258,'G-2 Habitat groups'!A92,'A-1 On-Site Habitat Baseline'!$X$11:$X$258)</f>
        <v>0</v>
      </c>
      <c r="K92" s="274">
        <f>SUMIF('A-2 On-Site Habitat Creation'!$F$11:$F$256,'G-2 Habitat groups'!A92,'A-2 On-Site Habitat Creation'!$G$11:$G$256)</f>
        <v>0</v>
      </c>
      <c r="L92" s="274">
        <f>SUMIF('A-2 On-Site Habitat Creation'!$F$11:$F$256,'G-2 Habitat groups'!A92,'A-2 On-Site Habitat Creation'!$Y$11:$Y$256)</f>
        <v>0</v>
      </c>
      <c r="M92" s="274">
        <f>SUMIF('A-3 On-Site Habitat Enhancement'!$S$12:$S$257,'G-2 Habitat groups'!A92,'A-3 On-Site Habitat Enhancement'!$V$12:$V$257)</f>
        <v>0</v>
      </c>
      <c r="N92" s="274">
        <f>SUMIF('A-3 On-Site Habitat Enhancement'!$S$12:$S$257,'G-2 Habitat groups'!A92,'A-3 On-Site Habitat Enhancement'!$AN$12:$AN$257)</f>
        <v>0</v>
      </c>
      <c r="O92" s="274">
        <f t="shared" si="54"/>
        <v>0</v>
      </c>
      <c r="P92" s="274">
        <f t="shared" si="55"/>
        <v>0</v>
      </c>
      <c r="Q92" s="274">
        <f t="shared" si="56"/>
        <v>0</v>
      </c>
      <c r="R92" s="274">
        <f t="shared" si="57"/>
        <v>0</v>
      </c>
      <c r="S92" s="274">
        <f>SUMIF('D-1 Off-Site Habitat Baseline'!$AV$11:$AV$258,'G-2 Habitat groups'!A92,'D-1 Off-Site Habitat Baseline'!$H$11:$H$258)</f>
        <v>0</v>
      </c>
      <c r="T92" s="274">
        <f>SUMIF('D-1 Off-Site Habitat Baseline'!$AV$11:$AV$258,'G-2 Habitat groups'!A92,'D-1 Off-Site Habitat Baseline'!$T$11:$T$258)</f>
        <v>0</v>
      </c>
      <c r="U92" s="274">
        <f>SUMIF('D-1 Off-Site Habitat Baseline'!$AV$11:$AV$258,'G-2 Habitat groups'!A92,'D-1 Off-Site Habitat Baseline'!$V$11:$V$258)</f>
        <v>0</v>
      </c>
      <c r="V92" s="274">
        <f>SUMIF('D-1 Off-Site Habitat Baseline'!$AV$11:$AV$258,'G-2 Habitat groups'!A92,'D-1 Off-Site Habitat Baseline'!$X$11:$X$258)+SUMIF('D-1 Off-Site Habitat Baseline'!$AV$11:$AV$258,'G-2 Habitat groups'!A92,'D-1 Off-Site Habitat Baseline'!$AS$11:$AS$258)</f>
        <v>0</v>
      </c>
      <c r="W92" s="274">
        <f>SUMIF('D-2 Off-Site Habitat Creation'!$F$9:$F$255,'G-2 Habitat groups'!A92,'D-2 Off-Site Habitat Creation'!$G$9:$G$255)</f>
        <v>0</v>
      </c>
      <c r="X92" s="274">
        <f>SUMIF('D-2 Off-Site Habitat Creation'!$F$9:$F$255,'G-2 Habitat groups'!A92,'D-2 Off-Site Habitat Creation'!$AB$9:$AB$255)</f>
        <v>0</v>
      </c>
      <c r="Y92" s="274">
        <f>SUMIF('D-3 Off-Site Habitat Enhancment'!$S$12:$S$491,'G-2 Habitat groups'!A92,'D-3 Off-Site Habitat Enhancment'!$V$12:$V$491)</f>
        <v>0</v>
      </c>
      <c r="Z92" s="274">
        <f>SUMIF('D-3 Off-Site Habitat Enhancment'!$S$12:$S$491,'G-2 Habitat groups'!A92,'D-3 Off-Site Habitat Enhancment'!$AQ$12:$AQ$491)</f>
        <v>0</v>
      </c>
      <c r="AA92" s="274">
        <f t="shared" si="58"/>
        <v>0</v>
      </c>
      <c r="AB92" s="274">
        <f t="shared" si="59"/>
        <v>0</v>
      </c>
      <c r="AC92" s="274">
        <f t="shared" si="60"/>
        <v>0</v>
      </c>
      <c r="AD92" s="274">
        <f t="shared" si="61"/>
        <v>0</v>
      </c>
      <c r="AE92" s="274">
        <f t="shared" si="62"/>
        <v>0</v>
      </c>
      <c r="AF92" s="274">
        <f t="shared" si="63"/>
        <v>0</v>
      </c>
      <c r="AU92" s="70" t="s">
        <v>721</v>
      </c>
      <c r="AV92" s="62" t="s">
        <v>116</v>
      </c>
      <c r="AW92" s="280">
        <f t="shared" si="64"/>
        <v>0</v>
      </c>
      <c r="AX92" s="280">
        <f t="shared" si="65"/>
        <v>0</v>
      </c>
      <c r="AY92" s="280">
        <f t="shared" si="66"/>
        <v>2.98E-2</v>
      </c>
      <c r="AZ92" s="280">
        <f t="shared" si="67"/>
        <v>0.13228219999999999</v>
      </c>
      <c r="BA92" s="280">
        <f t="shared" si="68"/>
        <v>2.98E-2</v>
      </c>
      <c r="BB92" s="280">
        <f t="shared" si="69"/>
        <v>0.13228219999999999</v>
      </c>
      <c r="BC92" s="280">
        <f t="shared" si="70"/>
        <v>7.7200000000000005E-2</v>
      </c>
      <c r="BD92" s="280">
        <f t="shared" si="71"/>
        <v>0.59434921631414406</v>
      </c>
      <c r="BE92" s="280">
        <f t="shared" si="72"/>
        <v>0.72663141631414407</v>
      </c>
      <c r="BF92" s="280" t="str">
        <f t="shared" si="73"/>
        <v/>
      </c>
    </row>
    <row r="93" spans="1:58" x14ac:dyDescent="0.25">
      <c r="A93" s="70" t="str">
        <f>'G-1 All Habitats'!B93</f>
        <v>Woodland and forest - Native pine woodlands</v>
      </c>
      <c r="B93" s="62" t="s">
        <v>87</v>
      </c>
      <c r="C93" s="62" t="str">
        <f>'G-1 All Habitats'!K93</f>
        <v>High</v>
      </c>
      <c r="D93" s="62" t="str">
        <f>'G-1 All Habitats'!M93</f>
        <v>Same habitat required =</v>
      </c>
      <c r="E93" s="274">
        <f>SUMIF('A-1 On-Site Habitat Baseline'!$AV$11:$AV$258,'G-2 Habitat groups'!A93,'A-1 On-Site Habitat Baseline'!$H$11:$H$258)</f>
        <v>0</v>
      </c>
      <c r="F93" s="274">
        <f>SUMIF('A-1 On-Site Habitat Baseline'!$AV$11:$AV$258,'G-2 Habitat groups'!A93,'A-1 On-Site Habitat Baseline'!$Q$11:$Q$258)</f>
        <v>0</v>
      </c>
      <c r="G93" s="274">
        <f>SUMIF('A-1 On-Site Habitat Baseline'!$AV$11:$AV$258,'G-2 Habitat groups'!A93,'A-1 On-Site Habitat Baseline'!$S$11:$S$258)</f>
        <v>0</v>
      </c>
      <c r="H93" s="274">
        <f>SUMIF('A-1 On-Site Habitat Baseline'!$AV$11:$AV$258,'G-2 Habitat groups'!A93,'A-1 On-Site Habitat Baseline'!$U$11:$U$258)+SUMIF('A-1 On-Site Habitat Baseline'!$AV$11:$AV$258,'G-2 Habitat groups'!A93, 'A-1 On-Site Habitat Baseline'!$AT$11:$AT$258)</f>
        <v>0</v>
      </c>
      <c r="I93" s="274">
        <f>SUMIF('A-1 On-Site Habitat Baseline'!$AV$11:$AV$258,'G-2 Habitat groups'!A93,'A-1 On-Site Habitat Baseline'!$W$11:$W$258)</f>
        <v>0</v>
      </c>
      <c r="J93" s="274">
        <f>SUMIF('A-1 On-Site Habitat Baseline'!$AV$11:$AV$258,'G-2 Habitat groups'!A93,'A-1 On-Site Habitat Baseline'!$X$11:$X$258)</f>
        <v>0</v>
      </c>
      <c r="K93" s="274">
        <f>SUMIF('A-2 On-Site Habitat Creation'!$F$11:$F$256,'G-2 Habitat groups'!A93,'A-2 On-Site Habitat Creation'!$G$11:$G$256)</f>
        <v>0</v>
      </c>
      <c r="L93" s="274">
        <f>SUMIF('A-2 On-Site Habitat Creation'!$F$11:$F$256,'G-2 Habitat groups'!A93,'A-2 On-Site Habitat Creation'!$Y$11:$Y$256)</f>
        <v>0</v>
      </c>
      <c r="M93" s="274">
        <f>SUMIF('A-3 On-Site Habitat Enhancement'!$S$12:$S$257,'G-2 Habitat groups'!A93,'A-3 On-Site Habitat Enhancement'!$V$12:$V$257)</f>
        <v>0</v>
      </c>
      <c r="N93" s="274">
        <f>SUMIF('A-3 On-Site Habitat Enhancement'!$S$12:$S$257,'G-2 Habitat groups'!A93,'A-3 On-Site Habitat Enhancement'!$AN$12:$AN$257)</f>
        <v>0</v>
      </c>
      <c r="O93" s="274">
        <f t="shared" si="54"/>
        <v>0</v>
      </c>
      <c r="P93" s="274">
        <f t="shared" si="55"/>
        <v>0</v>
      </c>
      <c r="Q93" s="274">
        <f t="shared" si="56"/>
        <v>0</v>
      </c>
      <c r="R93" s="274">
        <f t="shared" si="57"/>
        <v>0</v>
      </c>
      <c r="S93" s="274">
        <f>SUMIF('D-1 Off-Site Habitat Baseline'!$AV$11:$AV$258,'G-2 Habitat groups'!A93,'D-1 Off-Site Habitat Baseline'!$H$11:$H$258)</f>
        <v>0</v>
      </c>
      <c r="T93" s="274">
        <f>SUMIF('D-1 Off-Site Habitat Baseline'!$AV$11:$AV$258,'G-2 Habitat groups'!A93,'D-1 Off-Site Habitat Baseline'!$T$11:$T$258)</f>
        <v>0</v>
      </c>
      <c r="U93" s="274">
        <f>SUMIF('D-1 Off-Site Habitat Baseline'!$AV$11:$AV$258,'G-2 Habitat groups'!A93,'D-1 Off-Site Habitat Baseline'!$V$11:$V$258)</f>
        <v>0</v>
      </c>
      <c r="V93" s="274">
        <f>SUMIF('D-1 Off-Site Habitat Baseline'!$AV$11:$AV$258,'G-2 Habitat groups'!A93,'D-1 Off-Site Habitat Baseline'!$X$11:$X$258)+SUMIF('D-1 Off-Site Habitat Baseline'!$AV$11:$AV$258,'G-2 Habitat groups'!A93,'D-1 Off-Site Habitat Baseline'!$AS$11:$AS$258)</f>
        <v>0</v>
      </c>
      <c r="W93" s="274">
        <f>SUMIF('D-2 Off-Site Habitat Creation'!$F$9:$F$255,'G-2 Habitat groups'!A93,'D-2 Off-Site Habitat Creation'!$G$9:$G$255)</f>
        <v>0</v>
      </c>
      <c r="X93" s="274">
        <f>SUMIF('D-2 Off-Site Habitat Creation'!$F$9:$F$255,'G-2 Habitat groups'!A93,'D-2 Off-Site Habitat Creation'!$AB$9:$AB$255)</f>
        <v>0</v>
      </c>
      <c r="Y93" s="274">
        <f>SUMIF('D-3 Off-Site Habitat Enhancment'!$S$12:$S$491,'G-2 Habitat groups'!A93,'D-3 Off-Site Habitat Enhancment'!$V$12:$V$491)</f>
        <v>0</v>
      </c>
      <c r="Z93" s="274">
        <f>SUMIF('D-3 Off-Site Habitat Enhancment'!$S$12:$S$491,'G-2 Habitat groups'!A93,'D-3 Off-Site Habitat Enhancment'!$AQ$12:$AQ$491)</f>
        <v>0</v>
      </c>
      <c r="AA93" s="274">
        <f t="shared" si="58"/>
        <v>0</v>
      </c>
      <c r="AB93" s="274">
        <f t="shared" si="59"/>
        <v>0</v>
      </c>
      <c r="AC93" s="274">
        <f t="shared" si="60"/>
        <v>0</v>
      </c>
      <c r="AD93" s="274">
        <f t="shared" si="61"/>
        <v>0</v>
      </c>
      <c r="AE93" s="274">
        <f t="shared" si="62"/>
        <v>0</v>
      </c>
      <c r="AF93" s="274">
        <f t="shared" si="63"/>
        <v>0</v>
      </c>
      <c r="AU93" s="218" t="s">
        <v>769</v>
      </c>
      <c r="AV93" s="62" t="s">
        <v>72</v>
      </c>
      <c r="AW93" s="280">
        <f t="shared" si="64"/>
        <v>0</v>
      </c>
      <c r="AX93" s="280">
        <f t="shared" si="65"/>
        <v>0</v>
      </c>
      <c r="AY93" s="280">
        <f t="shared" si="66"/>
        <v>0</v>
      </c>
      <c r="AZ93" s="280">
        <f t="shared" si="67"/>
        <v>0</v>
      </c>
      <c r="BA93" s="280">
        <f t="shared" si="68"/>
        <v>0</v>
      </c>
      <c r="BB93" s="280">
        <f t="shared" si="69"/>
        <v>0</v>
      </c>
      <c r="BC93" s="280">
        <f t="shared" si="70"/>
        <v>0</v>
      </c>
      <c r="BD93" s="280">
        <f t="shared" si="71"/>
        <v>0</v>
      </c>
      <c r="BE93" s="280">
        <f t="shared" ref="BE93:BE104" si="74">BB93+BD93</f>
        <v>0</v>
      </c>
      <c r="BF93" s="280" t="str">
        <f t="shared" ref="BF93:BF104" si="75">IF(BE93&lt;0,BE93,"")</f>
        <v/>
      </c>
    </row>
    <row r="94" spans="1:58" x14ac:dyDescent="0.25">
      <c r="A94" s="70" t="str">
        <f>'G-1 All Habitats'!B94</f>
        <v>Woodland and forest - Other coniferous woodland</v>
      </c>
      <c r="B94" s="62" t="s">
        <v>87</v>
      </c>
      <c r="C94" s="62" t="str">
        <f>'G-1 All Habitats'!K94</f>
        <v>Low</v>
      </c>
      <c r="D94" s="62" t="str">
        <f>'G-1 All Habitats'!M94</f>
        <v>Same distinctiveness or better habitat required ≥</v>
      </c>
      <c r="E94" s="274">
        <f>SUMIF('A-1 On-Site Habitat Baseline'!$AV$11:$AV$258,'G-2 Habitat groups'!A94,'A-1 On-Site Habitat Baseline'!$H$11:$H$258)</f>
        <v>0</v>
      </c>
      <c r="F94" s="274">
        <f>SUMIF('A-1 On-Site Habitat Baseline'!$AV$11:$AV$258,'G-2 Habitat groups'!A94,'A-1 On-Site Habitat Baseline'!$Q$11:$Q$258)</f>
        <v>0</v>
      </c>
      <c r="G94" s="274">
        <f>SUMIF('A-1 On-Site Habitat Baseline'!$AV$11:$AV$258,'G-2 Habitat groups'!A94,'A-1 On-Site Habitat Baseline'!$S$11:$S$258)</f>
        <v>0</v>
      </c>
      <c r="H94" s="274">
        <f>SUMIF('A-1 On-Site Habitat Baseline'!$AV$11:$AV$258,'G-2 Habitat groups'!A94,'A-1 On-Site Habitat Baseline'!$U$11:$U$258)+SUMIF('A-1 On-Site Habitat Baseline'!$AV$11:$AV$258,'G-2 Habitat groups'!A94, 'A-1 On-Site Habitat Baseline'!$AT$11:$AT$258)</f>
        <v>0</v>
      </c>
      <c r="I94" s="274">
        <f>SUMIF('A-1 On-Site Habitat Baseline'!$AV$11:$AV$258,'G-2 Habitat groups'!A94,'A-1 On-Site Habitat Baseline'!$W$11:$W$258)</f>
        <v>0</v>
      </c>
      <c r="J94" s="274">
        <f>SUMIF('A-1 On-Site Habitat Baseline'!$AV$11:$AV$258,'G-2 Habitat groups'!A94,'A-1 On-Site Habitat Baseline'!$X$11:$X$258)</f>
        <v>0</v>
      </c>
      <c r="K94" s="274">
        <f>SUMIF('A-2 On-Site Habitat Creation'!$F$11:$F$256,'G-2 Habitat groups'!A94,'A-2 On-Site Habitat Creation'!$G$11:$G$256)</f>
        <v>0</v>
      </c>
      <c r="L94" s="274">
        <f>SUMIF('A-2 On-Site Habitat Creation'!$F$11:$F$256,'G-2 Habitat groups'!A94,'A-2 On-Site Habitat Creation'!$Y$11:$Y$256)</f>
        <v>0</v>
      </c>
      <c r="M94" s="274">
        <f>SUMIF('A-3 On-Site Habitat Enhancement'!$S$12:$S$257,'G-2 Habitat groups'!A94,'A-3 On-Site Habitat Enhancement'!$V$12:$V$257)</f>
        <v>0</v>
      </c>
      <c r="N94" s="274">
        <f>SUMIF('A-3 On-Site Habitat Enhancement'!$S$12:$S$257,'G-2 Habitat groups'!A94,'A-3 On-Site Habitat Enhancement'!$AN$12:$AN$257)</f>
        <v>0</v>
      </c>
      <c r="O94" s="274">
        <f t="shared" si="54"/>
        <v>0</v>
      </c>
      <c r="P94" s="274">
        <f t="shared" si="55"/>
        <v>0</v>
      </c>
      <c r="Q94" s="274">
        <f t="shared" si="56"/>
        <v>0</v>
      </c>
      <c r="R94" s="274">
        <f t="shared" si="57"/>
        <v>0</v>
      </c>
      <c r="S94" s="274">
        <f>SUMIF('D-1 Off-Site Habitat Baseline'!$AV$11:$AV$258,'G-2 Habitat groups'!A94,'D-1 Off-Site Habitat Baseline'!$H$11:$H$258)</f>
        <v>0</v>
      </c>
      <c r="T94" s="274">
        <f>SUMIF('D-1 Off-Site Habitat Baseline'!$AV$11:$AV$258,'G-2 Habitat groups'!A94,'D-1 Off-Site Habitat Baseline'!$T$11:$T$258)</f>
        <v>0</v>
      </c>
      <c r="U94" s="274">
        <f>SUMIF('D-1 Off-Site Habitat Baseline'!$AV$11:$AV$258,'G-2 Habitat groups'!A94,'D-1 Off-Site Habitat Baseline'!$V$11:$V$258)</f>
        <v>0</v>
      </c>
      <c r="V94" s="274">
        <f>SUMIF('D-1 Off-Site Habitat Baseline'!$AV$11:$AV$258,'G-2 Habitat groups'!A94,'D-1 Off-Site Habitat Baseline'!$X$11:$X$258)+SUMIF('D-1 Off-Site Habitat Baseline'!$AV$11:$AV$258,'G-2 Habitat groups'!A94,'D-1 Off-Site Habitat Baseline'!$AS$11:$AS$258)</f>
        <v>0</v>
      </c>
      <c r="W94" s="274">
        <f>SUMIF('D-2 Off-Site Habitat Creation'!$F$9:$F$255,'G-2 Habitat groups'!A94,'D-2 Off-Site Habitat Creation'!$G$9:$G$255)</f>
        <v>0</v>
      </c>
      <c r="X94" s="274">
        <f>SUMIF('D-2 Off-Site Habitat Creation'!$F$9:$F$255,'G-2 Habitat groups'!A94,'D-2 Off-Site Habitat Creation'!$AB$9:$AB$255)</f>
        <v>0</v>
      </c>
      <c r="Y94" s="274">
        <f>SUMIF('D-3 Off-Site Habitat Enhancment'!$S$12:$S$491,'G-2 Habitat groups'!A94,'D-3 Off-Site Habitat Enhancment'!$V$12:$V$491)</f>
        <v>0</v>
      </c>
      <c r="Z94" s="274">
        <f>SUMIF('D-3 Off-Site Habitat Enhancment'!$S$12:$S$491,'G-2 Habitat groups'!A94,'D-3 Off-Site Habitat Enhancment'!$AQ$12:$AQ$491)</f>
        <v>0</v>
      </c>
      <c r="AA94" s="274">
        <f t="shared" si="58"/>
        <v>0</v>
      </c>
      <c r="AB94" s="274">
        <f t="shared" si="59"/>
        <v>0</v>
      </c>
      <c r="AC94" s="274">
        <f t="shared" si="60"/>
        <v>0</v>
      </c>
      <c r="AD94" s="274">
        <f t="shared" si="61"/>
        <v>0</v>
      </c>
      <c r="AE94" s="274">
        <f t="shared" si="62"/>
        <v>0</v>
      </c>
      <c r="AF94" s="274">
        <f t="shared" si="63"/>
        <v>0</v>
      </c>
      <c r="AU94" s="70" t="s">
        <v>771</v>
      </c>
      <c r="AV94" s="62" t="s">
        <v>72</v>
      </c>
      <c r="AW94" s="280">
        <f t="shared" si="64"/>
        <v>0</v>
      </c>
      <c r="AX94" s="280">
        <f t="shared" si="65"/>
        <v>0</v>
      </c>
      <c r="AY94" s="280">
        <f t="shared" si="66"/>
        <v>0</v>
      </c>
      <c r="AZ94" s="280">
        <f t="shared" si="67"/>
        <v>0</v>
      </c>
      <c r="BA94" s="280">
        <f t="shared" si="68"/>
        <v>0</v>
      </c>
      <c r="BB94" s="280">
        <f t="shared" si="69"/>
        <v>0</v>
      </c>
      <c r="BC94" s="280">
        <f t="shared" si="70"/>
        <v>0</v>
      </c>
      <c r="BD94" s="280">
        <f t="shared" si="71"/>
        <v>0</v>
      </c>
      <c r="BE94" s="280">
        <f t="shared" si="74"/>
        <v>0</v>
      </c>
      <c r="BF94" s="280" t="str">
        <f t="shared" si="75"/>
        <v/>
      </c>
    </row>
    <row r="95" spans="1:58" x14ac:dyDescent="0.25">
      <c r="A95" s="70" t="str">
        <f>'G-1 All Habitats'!B95</f>
        <v>Woodland and forest - Other Scot's pine woodland</v>
      </c>
      <c r="B95" s="62" t="s">
        <v>87</v>
      </c>
      <c r="C95" s="62" t="str">
        <f>'G-1 All Habitats'!K95</f>
        <v>Medium</v>
      </c>
      <c r="D95" s="62" t="str">
        <f>'G-1 All Habitats'!M95</f>
        <v>Same broad habitat or a higher distinctiveness habitat required (≥)</v>
      </c>
      <c r="E95" s="274">
        <f>SUMIF('A-1 On-Site Habitat Baseline'!$AV$11:$AV$258,'G-2 Habitat groups'!A95,'A-1 On-Site Habitat Baseline'!$H$11:$H$258)</f>
        <v>0</v>
      </c>
      <c r="F95" s="274">
        <f>SUMIF('A-1 On-Site Habitat Baseline'!$AV$11:$AV$258,'G-2 Habitat groups'!A95,'A-1 On-Site Habitat Baseline'!$Q$11:$Q$258)</f>
        <v>0</v>
      </c>
      <c r="G95" s="274">
        <f>SUMIF('A-1 On-Site Habitat Baseline'!$AV$11:$AV$258,'G-2 Habitat groups'!A95,'A-1 On-Site Habitat Baseline'!$S$11:$S$258)</f>
        <v>0</v>
      </c>
      <c r="H95" s="274">
        <f>SUMIF('A-1 On-Site Habitat Baseline'!$AV$11:$AV$258,'G-2 Habitat groups'!A95,'A-1 On-Site Habitat Baseline'!$U$11:$U$258)+SUMIF('A-1 On-Site Habitat Baseline'!$AV$11:$AV$258,'G-2 Habitat groups'!A95, 'A-1 On-Site Habitat Baseline'!$AT$11:$AT$258)</f>
        <v>0</v>
      </c>
      <c r="I95" s="274">
        <f>SUMIF('A-1 On-Site Habitat Baseline'!$AV$11:$AV$258,'G-2 Habitat groups'!A95,'A-1 On-Site Habitat Baseline'!$W$11:$W$258)</f>
        <v>0</v>
      </c>
      <c r="J95" s="274">
        <f>SUMIF('A-1 On-Site Habitat Baseline'!$AV$11:$AV$258,'G-2 Habitat groups'!A95,'A-1 On-Site Habitat Baseline'!$X$11:$X$258)</f>
        <v>0</v>
      </c>
      <c r="K95" s="274">
        <f>SUMIF('A-2 On-Site Habitat Creation'!$F$11:$F$256,'G-2 Habitat groups'!A95,'A-2 On-Site Habitat Creation'!$G$11:$G$256)</f>
        <v>0</v>
      </c>
      <c r="L95" s="274">
        <f>SUMIF('A-2 On-Site Habitat Creation'!$F$11:$F$256,'G-2 Habitat groups'!A95,'A-2 On-Site Habitat Creation'!$Y$11:$Y$256)</f>
        <v>0</v>
      </c>
      <c r="M95" s="274">
        <f>SUMIF('A-3 On-Site Habitat Enhancement'!$S$12:$S$257,'G-2 Habitat groups'!A95,'A-3 On-Site Habitat Enhancement'!$V$12:$V$257)</f>
        <v>0</v>
      </c>
      <c r="N95" s="274">
        <f>SUMIF('A-3 On-Site Habitat Enhancement'!$S$12:$S$257,'G-2 Habitat groups'!A95,'A-3 On-Site Habitat Enhancement'!$AN$12:$AN$257)</f>
        <v>0</v>
      </c>
      <c r="O95" s="274">
        <f t="shared" si="54"/>
        <v>0</v>
      </c>
      <c r="P95" s="274">
        <f t="shared" si="55"/>
        <v>0</v>
      </c>
      <c r="Q95" s="274">
        <f t="shared" si="56"/>
        <v>0</v>
      </c>
      <c r="R95" s="274">
        <f t="shared" si="57"/>
        <v>0</v>
      </c>
      <c r="S95" s="274">
        <f>SUMIF('D-1 Off-Site Habitat Baseline'!$AV$11:$AV$258,'G-2 Habitat groups'!A95,'D-1 Off-Site Habitat Baseline'!$H$11:$H$258)</f>
        <v>0</v>
      </c>
      <c r="T95" s="274">
        <f>SUMIF('D-1 Off-Site Habitat Baseline'!$AV$11:$AV$258,'G-2 Habitat groups'!A95,'D-1 Off-Site Habitat Baseline'!$T$11:$T$258)</f>
        <v>0</v>
      </c>
      <c r="U95" s="274">
        <f>SUMIF('D-1 Off-Site Habitat Baseline'!$AV$11:$AV$258,'G-2 Habitat groups'!A95,'D-1 Off-Site Habitat Baseline'!$V$11:$V$258)</f>
        <v>0</v>
      </c>
      <c r="V95" s="274">
        <f>SUMIF('D-1 Off-Site Habitat Baseline'!$AV$11:$AV$258,'G-2 Habitat groups'!A95,'D-1 Off-Site Habitat Baseline'!$X$11:$X$258)+SUMIF('D-1 Off-Site Habitat Baseline'!$AV$11:$AV$258,'G-2 Habitat groups'!A95,'D-1 Off-Site Habitat Baseline'!$AS$11:$AS$258)</f>
        <v>0</v>
      </c>
      <c r="W95" s="274">
        <f>SUMIF('D-2 Off-Site Habitat Creation'!$F$9:$F$255,'G-2 Habitat groups'!A95,'D-2 Off-Site Habitat Creation'!$G$9:$G$255)</f>
        <v>0</v>
      </c>
      <c r="X95" s="274">
        <f>SUMIF('D-2 Off-Site Habitat Creation'!$F$9:$F$255,'G-2 Habitat groups'!A95,'D-2 Off-Site Habitat Creation'!$AB$9:$AB$255)</f>
        <v>0</v>
      </c>
      <c r="Y95" s="274">
        <f>SUMIF('D-3 Off-Site Habitat Enhancment'!$S$12:$S$491,'G-2 Habitat groups'!A95,'D-3 Off-Site Habitat Enhancment'!$V$12:$V$491)</f>
        <v>0</v>
      </c>
      <c r="Z95" s="274">
        <f>SUMIF('D-3 Off-Site Habitat Enhancment'!$S$12:$S$491,'G-2 Habitat groups'!A95,'D-3 Off-Site Habitat Enhancment'!$AQ$12:$AQ$491)</f>
        <v>0</v>
      </c>
      <c r="AA95" s="274">
        <f t="shared" si="58"/>
        <v>0</v>
      </c>
      <c r="AB95" s="274">
        <f t="shared" si="59"/>
        <v>0</v>
      </c>
      <c r="AC95" s="274">
        <f t="shared" si="60"/>
        <v>0</v>
      </c>
      <c r="AD95" s="274">
        <f t="shared" si="61"/>
        <v>0</v>
      </c>
      <c r="AE95" s="274">
        <f t="shared" si="62"/>
        <v>0</v>
      </c>
      <c r="AF95" s="274">
        <f t="shared" si="63"/>
        <v>0</v>
      </c>
      <c r="AU95" s="70" t="s">
        <v>800</v>
      </c>
      <c r="AV95" s="62" t="s">
        <v>82</v>
      </c>
      <c r="AW95" s="280">
        <f t="shared" si="64"/>
        <v>0</v>
      </c>
      <c r="AX95" s="280">
        <f t="shared" si="65"/>
        <v>0</v>
      </c>
      <c r="AY95" s="280">
        <f t="shared" si="66"/>
        <v>0</v>
      </c>
      <c r="AZ95" s="280">
        <f t="shared" si="67"/>
        <v>0</v>
      </c>
      <c r="BA95" s="280">
        <f t="shared" si="68"/>
        <v>0</v>
      </c>
      <c r="BB95" s="280">
        <f t="shared" si="69"/>
        <v>0</v>
      </c>
      <c r="BC95" s="280">
        <f t="shared" si="70"/>
        <v>0</v>
      </c>
      <c r="BD95" s="280">
        <f t="shared" si="71"/>
        <v>0</v>
      </c>
      <c r="BE95" s="280">
        <f t="shared" si="74"/>
        <v>0</v>
      </c>
      <c r="BF95" s="280" t="str">
        <f t="shared" si="75"/>
        <v/>
      </c>
    </row>
    <row r="96" spans="1:58" x14ac:dyDescent="0.25">
      <c r="A96" s="70" t="str">
        <f>'G-1 All Habitats'!B96</f>
        <v>Woodland and forest - Other woodland; broadleaved</v>
      </c>
      <c r="B96" s="62" t="s">
        <v>87</v>
      </c>
      <c r="C96" s="62" t="str">
        <f>'G-1 All Habitats'!K96</f>
        <v>Medium</v>
      </c>
      <c r="D96" s="62" t="str">
        <f>'G-1 All Habitats'!M96</f>
        <v>Same broad habitat or a higher distinctiveness habitat required (≥)</v>
      </c>
      <c r="E96" s="274">
        <f>SUMIF('A-1 On-Site Habitat Baseline'!$AV$11:$AV$258,'G-2 Habitat groups'!A96,'A-1 On-Site Habitat Baseline'!$H$11:$H$258)</f>
        <v>0</v>
      </c>
      <c r="F96" s="274">
        <f>SUMIF('A-1 On-Site Habitat Baseline'!$AV$11:$AV$258,'G-2 Habitat groups'!A96,'A-1 On-Site Habitat Baseline'!$Q$11:$Q$258)</f>
        <v>0</v>
      </c>
      <c r="G96" s="274">
        <f>SUMIF('A-1 On-Site Habitat Baseline'!$AV$11:$AV$258,'G-2 Habitat groups'!A96,'A-1 On-Site Habitat Baseline'!$S$11:$S$258)</f>
        <v>0</v>
      </c>
      <c r="H96" s="274">
        <f>SUMIF('A-1 On-Site Habitat Baseline'!$AV$11:$AV$258,'G-2 Habitat groups'!A96,'A-1 On-Site Habitat Baseline'!$U$11:$U$258)+SUMIF('A-1 On-Site Habitat Baseline'!$AV$11:$AV$258,'G-2 Habitat groups'!A96, 'A-1 On-Site Habitat Baseline'!$AT$11:$AT$258)</f>
        <v>0</v>
      </c>
      <c r="I96" s="274">
        <f>SUMIF('A-1 On-Site Habitat Baseline'!$AV$11:$AV$258,'G-2 Habitat groups'!A96,'A-1 On-Site Habitat Baseline'!$W$11:$W$258)</f>
        <v>0</v>
      </c>
      <c r="J96" s="274">
        <f>SUMIF('A-1 On-Site Habitat Baseline'!$AV$11:$AV$258,'G-2 Habitat groups'!A96,'A-1 On-Site Habitat Baseline'!$X$11:$X$258)</f>
        <v>0</v>
      </c>
      <c r="K96" s="274">
        <f>SUMIF('A-2 On-Site Habitat Creation'!$F$11:$F$256,'G-2 Habitat groups'!A96,'A-2 On-Site Habitat Creation'!$G$11:$G$256)</f>
        <v>0</v>
      </c>
      <c r="L96" s="274">
        <f>SUMIF('A-2 On-Site Habitat Creation'!$F$11:$F$256,'G-2 Habitat groups'!A96,'A-2 On-Site Habitat Creation'!$Y$11:$Y$256)</f>
        <v>0</v>
      </c>
      <c r="M96" s="274">
        <f>SUMIF('A-3 On-Site Habitat Enhancement'!$S$12:$S$257,'G-2 Habitat groups'!A96,'A-3 On-Site Habitat Enhancement'!$V$12:$V$257)</f>
        <v>0</v>
      </c>
      <c r="N96" s="274">
        <f>SUMIF('A-3 On-Site Habitat Enhancement'!$S$12:$S$257,'G-2 Habitat groups'!A96,'A-3 On-Site Habitat Enhancement'!$AN$12:$AN$257)</f>
        <v>0</v>
      </c>
      <c r="O96" s="274">
        <f t="shared" si="54"/>
        <v>0</v>
      </c>
      <c r="P96" s="274">
        <f t="shared" si="55"/>
        <v>0</v>
      </c>
      <c r="Q96" s="274">
        <f t="shared" si="56"/>
        <v>0</v>
      </c>
      <c r="R96" s="274">
        <f t="shared" si="57"/>
        <v>0</v>
      </c>
      <c r="S96" s="274">
        <f>SUMIF('D-1 Off-Site Habitat Baseline'!$AV$11:$AV$258,'G-2 Habitat groups'!A96,'D-1 Off-Site Habitat Baseline'!$H$11:$H$258)</f>
        <v>0</v>
      </c>
      <c r="T96" s="274">
        <f>SUMIF('D-1 Off-Site Habitat Baseline'!$AV$11:$AV$258,'G-2 Habitat groups'!A96,'D-1 Off-Site Habitat Baseline'!$T$11:$T$258)</f>
        <v>0</v>
      </c>
      <c r="U96" s="274">
        <f>SUMIF('D-1 Off-Site Habitat Baseline'!$AV$11:$AV$258,'G-2 Habitat groups'!A96,'D-1 Off-Site Habitat Baseline'!$V$11:$V$258)</f>
        <v>0</v>
      </c>
      <c r="V96" s="274">
        <f>SUMIF('D-1 Off-Site Habitat Baseline'!$AV$11:$AV$258,'G-2 Habitat groups'!A96,'D-1 Off-Site Habitat Baseline'!$X$11:$X$258)+SUMIF('D-1 Off-Site Habitat Baseline'!$AV$11:$AV$258,'G-2 Habitat groups'!A96,'D-1 Off-Site Habitat Baseline'!$AS$11:$AS$258)</f>
        <v>0</v>
      </c>
      <c r="W96" s="274">
        <f>SUMIF('D-2 Off-Site Habitat Creation'!$F$9:$F$255,'G-2 Habitat groups'!A96,'D-2 Off-Site Habitat Creation'!$G$9:$G$255)</f>
        <v>0</v>
      </c>
      <c r="X96" s="274">
        <f>SUMIF('D-2 Off-Site Habitat Creation'!$F$9:$F$255,'G-2 Habitat groups'!A96,'D-2 Off-Site Habitat Creation'!$AB$9:$AB$255)</f>
        <v>0</v>
      </c>
      <c r="Y96" s="274">
        <f>SUMIF('D-3 Off-Site Habitat Enhancment'!$S$12:$S$491,'G-2 Habitat groups'!A96,'D-3 Off-Site Habitat Enhancment'!$V$12:$V$491)</f>
        <v>0</v>
      </c>
      <c r="Z96" s="274">
        <f>SUMIF('D-3 Off-Site Habitat Enhancment'!$S$12:$S$491,'G-2 Habitat groups'!A96,'D-3 Off-Site Habitat Enhancment'!$AQ$12:$AQ$491)</f>
        <v>0</v>
      </c>
      <c r="AA96" s="274">
        <f t="shared" si="58"/>
        <v>0</v>
      </c>
      <c r="AB96" s="274">
        <f t="shared" si="59"/>
        <v>0</v>
      </c>
      <c r="AC96" s="274">
        <f t="shared" si="60"/>
        <v>0</v>
      </c>
      <c r="AD96" s="274">
        <f t="shared" si="61"/>
        <v>0</v>
      </c>
      <c r="AE96" s="274">
        <f t="shared" si="62"/>
        <v>0</v>
      </c>
      <c r="AF96" s="274">
        <f t="shared" si="63"/>
        <v>0</v>
      </c>
      <c r="AU96" s="70" t="s">
        <v>817</v>
      </c>
      <c r="AV96" s="62" t="s">
        <v>120</v>
      </c>
      <c r="AW96" s="280">
        <f t="shared" si="64"/>
        <v>0</v>
      </c>
      <c r="AX96" s="280">
        <f t="shared" si="65"/>
        <v>0</v>
      </c>
      <c r="AY96" s="280">
        <f t="shared" si="66"/>
        <v>0</v>
      </c>
      <c r="AZ96" s="280">
        <f t="shared" si="67"/>
        <v>0</v>
      </c>
      <c r="BA96" s="280">
        <f t="shared" si="68"/>
        <v>0</v>
      </c>
      <c r="BB96" s="280">
        <f t="shared" si="69"/>
        <v>0</v>
      </c>
      <c r="BC96" s="280">
        <f t="shared" si="70"/>
        <v>0</v>
      </c>
      <c r="BD96" s="280">
        <f t="shared" si="71"/>
        <v>0</v>
      </c>
      <c r="BE96" s="280">
        <f t="shared" si="74"/>
        <v>0</v>
      </c>
      <c r="BF96" s="280" t="str">
        <f t="shared" si="75"/>
        <v/>
      </c>
    </row>
    <row r="97" spans="1:59" x14ac:dyDescent="0.25">
      <c r="A97" s="70" t="str">
        <f>'G-1 All Habitats'!B97</f>
        <v>Woodland and forest - Other woodland; mixed</v>
      </c>
      <c r="B97" s="62" t="s">
        <v>87</v>
      </c>
      <c r="C97" s="62" t="str">
        <f>'G-1 All Habitats'!K97</f>
        <v>Medium</v>
      </c>
      <c r="D97" s="62" t="str">
        <f>'G-1 All Habitats'!M97</f>
        <v>Same broad habitat or a higher distinctiveness habitat required (≥)</v>
      </c>
      <c r="E97" s="274">
        <f>SUMIF('A-1 On-Site Habitat Baseline'!$AV$11:$AV$258,'G-2 Habitat groups'!A97,'A-1 On-Site Habitat Baseline'!$H$11:$H$258)</f>
        <v>0</v>
      </c>
      <c r="F97" s="274">
        <f>SUMIF('A-1 On-Site Habitat Baseline'!$AV$11:$AV$258,'G-2 Habitat groups'!A97,'A-1 On-Site Habitat Baseline'!$Q$11:$Q$258)</f>
        <v>0</v>
      </c>
      <c r="G97" s="274">
        <f>SUMIF('A-1 On-Site Habitat Baseline'!$AV$11:$AV$258,'G-2 Habitat groups'!A97,'A-1 On-Site Habitat Baseline'!$S$11:$S$258)</f>
        <v>0</v>
      </c>
      <c r="H97" s="274">
        <f>SUMIF('A-1 On-Site Habitat Baseline'!$AV$11:$AV$258,'G-2 Habitat groups'!A97,'A-1 On-Site Habitat Baseline'!$U$11:$U$258)+SUMIF('A-1 On-Site Habitat Baseline'!$AV$11:$AV$258,'G-2 Habitat groups'!A97, 'A-1 On-Site Habitat Baseline'!$AT$11:$AT$258)</f>
        <v>0</v>
      </c>
      <c r="I97" s="274">
        <f>SUMIF('A-1 On-Site Habitat Baseline'!$AV$11:$AV$258,'G-2 Habitat groups'!A97,'A-1 On-Site Habitat Baseline'!$W$11:$W$258)</f>
        <v>0</v>
      </c>
      <c r="J97" s="274">
        <f>SUMIF('A-1 On-Site Habitat Baseline'!$AV$11:$AV$258,'G-2 Habitat groups'!A97,'A-1 On-Site Habitat Baseline'!$X$11:$X$258)</f>
        <v>0</v>
      </c>
      <c r="K97" s="274">
        <f>SUMIF('A-2 On-Site Habitat Creation'!$F$11:$F$256,'G-2 Habitat groups'!A97,'A-2 On-Site Habitat Creation'!$G$11:$G$256)</f>
        <v>0</v>
      </c>
      <c r="L97" s="274">
        <f>SUMIF('A-2 On-Site Habitat Creation'!$F$11:$F$256,'G-2 Habitat groups'!A97,'A-2 On-Site Habitat Creation'!$Y$11:$Y$256)</f>
        <v>0</v>
      </c>
      <c r="M97" s="274">
        <f>SUMIF('A-3 On-Site Habitat Enhancement'!$S$12:$S$257,'G-2 Habitat groups'!A97,'A-3 On-Site Habitat Enhancement'!$V$12:$V$257)</f>
        <v>0</v>
      </c>
      <c r="N97" s="274">
        <f>SUMIF('A-3 On-Site Habitat Enhancement'!$S$12:$S$257,'G-2 Habitat groups'!A97,'A-3 On-Site Habitat Enhancement'!$AN$12:$AN$257)</f>
        <v>0</v>
      </c>
      <c r="O97" s="274">
        <f t="shared" si="54"/>
        <v>0</v>
      </c>
      <c r="P97" s="274">
        <f t="shared" si="55"/>
        <v>0</v>
      </c>
      <c r="Q97" s="274">
        <f t="shared" si="56"/>
        <v>0</v>
      </c>
      <c r="R97" s="274">
        <f t="shared" si="57"/>
        <v>0</v>
      </c>
      <c r="S97" s="274">
        <f>SUMIF('D-1 Off-Site Habitat Baseline'!$AV$11:$AV$258,'G-2 Habitat groups'!A97,'D-1 Off-Site Habitat Baseline'!$H$11:$H$258)</f>
        <v>0</v>
      </c>
      <c r="T97" s="274">
        <f>SUMIF('D-1 Off-Site Habitat Baseline'!$AV$11:$AV$258,'G-2 Habitat groups'!A97,'D-1 Off-Site Habitat Baseline'!$T$11:$T$258)</f>
        <v>0</v>
      </c>
      <c r="U97" s="274">
        <f>SUMIF('D-1 Off-Site Habitat Baseline'!$AV$11:$AV$258,'G-2 Habitat groups'!A97,'D-1 Off-Site Habitat Baseline'!$V$11:$V$258)</f>
        <v>0</v>
      </c>
      <c r="V97" s="274">
        <f>SUMIF('D-1 Off-Site Habitat Baseline'!$AV$11:$AV$258,'G-2 Habitat groups'!A97,'D-1 Off-Site Habitat Baseline'!$X$11:$X$258)+SUMIF('D-1 Off-Site Habitat Baseline'!$AV$11:$AV$258,'G-2 Habitat groups'!A97,'D-1 Off-Site Habitat Baseline'!$AS$11:$AS$258)</f>
        <v>0</v>
      </c>
      <c r="W97" s="274">
        <f>SUMIF('D-2 Off-Site Habitat Creation'!$F$9:$F$255,'G-2 Habitat groups'!A97,'D-2 Off-Site Habitat Creation'!$G$9:$G$255)</f>
        <v>0</v>
      </c>
      <c r="X97" s="274">
        <f>SUMIF('D-2 Off-Site Habitat Creation'!$F$9:$F$255,'G-2 Habitat groups'!A97,'D-2 Off-Site Habitat Creation'!$AB$9:$AB$255)</f>
        <v>0</v>
      </c>
      <c r="Y97" s="274">
        <f>SUMIF('D-3 Off-Site Habitat Enhancment'!$S$12:$S$491,'G-2 Habitat groups'!A97,'D-3 Off-Site Habitat Enhancment'!$V$12:$V$491)</f>
        <v>0</v>
      </c>
      <c r="Z97" s="274">
        <f>SUMIF('D-3 Off-Site Habitat Enhancment'!$S$12:$S$491,'G-2 Habitat groups'!A97,'D-3 Off-Site Habitat Enhancment'!$AQ$12:$AQ$491)</f>
        <v>0</v>
      </c>
      <c r="AA97" s="274">
        <f t="shared" si="58"/>
        <v>0</v>
      </c>
      <c r="AB97" s="274">
        <f t="shared" si="59"/>
        <v>0</v>
      </c>
      <c r="AC97" s="274">
        <f t="shared" si="60"/>
        <v>0</v>
      </c>
      <c r="AD97" s="274">
        <f t="shared" si="61"/>
        <v>0</v>
      </c>
      <c r="AE97" s="274">
        <f t="shared" si="62"/>
        <v>0</v>
      </c>
      <c r="AF97" s="274">
        <f t="shared" si="63"/>
        <v>0</v>
      </c>
      <c r="AU97" s="70" t="s">
        <v>831</v>
      </c>
      <c r="AV97" s="62" t="s">
        <v>120</v>
      </c>
      <c r="AW97" s="280">
        <f t="shared" si="64"/>
        <v>0</v>
      </c>
      <c r="AX97" s="280">
        <f t="shared" si="65"/>
        <v>0</v>
      </c>
      <c r="AY97" s="280">
        <f t="shared" si="66"/>
        <v>0</v>
      </c>
      <c r="AZ97" s="280">
        <f t="shared" si="67"/>
        <v>0</v>
      </c>
      <c r="BA97" s="280">
        <f t="shared" si="68"/>
        <v>0</v>
      </c>
      <c r="BB97" s="280">
        <f t="shared" si="69"/>
        <v>0</v>
      </c>
      <c r="BC97" s="280">
        <f t="shared" si="70"/>
        <v>0</v>
      </c>
      <c r="BD97" s="280">
        <f t="shared" si="71"/>
        <v>0</v>
      </c>
      <c r="BE97" s="280">
        <f t="shared" si="74"/>
        <v>0</v>
      </c>
      <c r="BF97" s="280" t="str">
        <f t="shared" si="75"/>
        <v/>
      </c>
    </row>
    <row r="98" spans="1:59" x14ac:dyDescent="0.25">
      <c r="A98" s="70" t="str">
        <f>'G-1 All Habitats'!B98</f>
        <v>Woodland and forest - Upland birchwoods</v>
      </c>
      <c r="B98" s="62" t="s">
        <v>87</v>
      </c>
      <c r="C98" s="62" t="str">
        <f>'G-1 All Habitats'!K98</f>
        <v>High</v>
      </c>
      <c r="D98" s="62" t="str">
        <f>'G-1 All Habitats'!M98</f>
        <v>Same habitat required =</v>
      </c>
      <c r="E98" s="274">
        <f>SUMIF('A-1 On-Site Habitat Baseline'!$AV$11:$AV$258,'G-2 Habitat groups'!A98,'A-1 On-Site Habitat Baseline'!$H$11:$H$258)</f>
        <v>0</v>
      </c>
      <c r="F98" s="274">
        <f>SUMIF('A-1 On-Site Habitat Baseline'!$AV$11:$AV$258,'G-2 Habitat groups'!A98,'A-1 On-Site Habitat Baseline'!$Q$11:$Q$258)</f>
        <v>0</v>
      </c>
      <c r="G98" s="274">
        <f>SUMIF('A-1 On-Site Habitat Baseline'!$AV$11:$AV$258,'G-2 Habitat groups'!A98,'A-1 On-Site Habitat Baseline'!$S$11:$S$258)</f>
        <v>0</v>
      </c>
      <c r="H98" s="274">
        <f>SUMIF('A-1 On-Site Habitat Baseline'!$AV$11:$AV$258,'G-2 Habitat groups'!A98,'A-1 On-Site Habitat Baseline'!$U$11:$U$258)+SUMIF('A-1 On-Site Habitat Baseline'!$AV$11:$AV$258,'G-2 Habitat groups'!A98, 'A-1 On-Site Habitat Baseline'!$AT$11:$AT$258)</f>
        <v>0</v>
      </c>
      <c r="I98" s="274">
        <f>SUMIF('A-1 On-Site Habitat Baseline'!$AV$11:$AV$258,'G-2 Habitat groups'!A98,'A-1 On-Site Habitat Baseline'!$W$11:$W$258)</f>
        <v>0</v>
      </c>
      <c r="J98" s="274">
        <f>SUMIF('A-1 On-Site Habitat Baseline'!$AV$11:$AV$258,'G-2 Habitat groups'!A98,'A-1 On-Site Habitat Baseline'!$X$11:$X$258)</f>
        <v>0</v>
      </c>
      <c r="K98" s="274">
        <f>SUMIF('A-2 On-Site Habitat Creation'!$F$11:$F$256,'G-2 Habitat groups'!A98,'A-2 On-Site Habitat Creation'!$G$11:$G$256)</f>
        <v>0</v>
      </c>
      <c r="L98" s="274">
        <f>SUMIF('A-2 On-Site Habitat Creation'!$F$11:$F$256,'G-2 Habitat groups'!A98,'A-2 On-Site Habitat Creation'!$Y$11:$Y$256)</f>
        <v>0</v>
      </c>
      <c r="M98" s="274">
        <f>SUMIF('A-3 On-Site Habitat Enhancement'!$S$12:$S$257,'G-2 Habitat groups'!A98,'A-3 On-Site Habitat Enhancement'!$V$12:$V$257)</f>
        <v>0</v>
      </c>
      <c r="N98" s="274">
        <f>SUMIF('A-3 On-Site Habitat Enhancement'!$S$12:$S$257,'G-2 Habitat groups'!A98,'A-3 On-Site Habitat Enhancement'!$AN$12:$AN$257)</f>
        <v>0</v>
      </c>
      <c r="O98" s="274">
        <f t="shared" si="54"/>
        <v>0</v>
      </c>
      <c r="P98" s="274">
        <f t="shared" si="55"/>
        <v>0</v>
      </c>
      <c r="Q98" s="274">
        <f t="shared" si="56"/>
        <v>0</v>
      </c>
      <c r="R98" s="274">
        <f t="shared" si="57"/>
        <v>0</v>
      </c>
      <c r="S98" s="274">
        <f>SUMIF('D-1 Off-Site Habitat Baseline'!$AV$11:$AV$258,'G-2 Habitat groups'!A98,'D-1 Off-Site Habitat Baseline'!$H$11:$H$258)</f>
        <v>0</v>
      </c>
      <c r="T98" s="274">
        <f>SUMIF('D-1 Off-Site Habitat Baseline'!$AV$11:$AV$258,'G-2 Habitat groups'!A98,'D-1 Off-Site Habitat Baseline'!$T$11:$T$258)</f>
        <v>0</v>
      </c>
      <c r="U98" s="274">
        <f>SUMIF('D-1 Off-Site Habitat Baseline'!$AV$11:$AV$258,'G-2 Habitat groups'!A98,'D-1 Off-Site Habitat Baseline'!$V$11:$V$258)</f>
        <v>0</v>
      </c>
      <c r="V98" s="274">
        <f>SUMIF('D-1 Off-Site Habitat Baseline'!$AV$11:$AV$258,'G-2 Habitat groups'!A98,'D-1 Off-Site Habitat Baseline'!$X$11:$X$258)+SUMIF('D-1 Off-Site Habitat Baseline'!$AV$11:$AV$258,'G-2 Habitat groups'!A98,'D-1 Off-Site Habitat Baseline'!$AS$11:$AS$258)</f>
        <v>0</v>
      </c>
      <c r="W98" s="274">
        <f>SUMIF('D-2 Off-Site Habitat Creation'!$F$9:$F$255,'G-2 Habitat groups'!A98,'D-2 Off-Site Habitat Creation'!$G$9:$G$255)</f>
        <v>0</v>
      </c>
      <c r="X98" s="274">
        <f>SUMIF('D-2 Off-Site Habitat Creation'!$F$9:$F$255,'G-2 Habitat groups'!A98,'D-2 Off-Site Habitat Creation'!$AB$9:$AB$255)</f>
        <v>0</v>
      </c>
      <c r="Y98" s="274">
        <f>SUMIF('D-3 Off-Site Habitat Enhancment'!$S$12:$S$491,'G-2 Habitat groups'!A98,'D-3 Off-Site Habitat Enhancment'!$V$12:$V$491)</f>
        <v>0</v>
      </c>
      <c r="Z98" s="274">
        <f>SUMIF('D-3 Off-Site Habitat Enhancment'!$S$12:$S$491,'G-2 Habitat groups'!A98,'D-3 Off-Site Habitat Enhancment'!$AQ$12:$AQ$491)</f>
        <v>0</v>
      </c>
      <c r="AA98" s="274">
        <f t="shared" si="58"/>
        <v>0</v>
      </c>
      <c r="AB98" s="274">
        <f t="shared" si="59"/>
        <v>0</v>
      </c>
      <c r="AC98" s="274">
        <f t="shared" si="60"/>
        <v>0</v>
      </c>
      <c r="AD98" s="274">
        <f t="shared" si="61"/>
        <v>0</v>
      </c>
      <c r="AE98" s="274">
        <f t="shared" si="62"/>
        <v>0</v>
      </c>
      <c r="AF98" s="274">
        <f t="shared" si="63"/>
        <v>0</v>
      </c>
      <c r="AU98" s="70" t="s">
        <v>915</v>
      </c>
      <c r="AV98" s="62" t="s">
        <v>87</v>
      </c>
      <c r="AW98" s="280">
        <f t="shared" si="64"/>
        <v>0</v>
      </c>
      <c r="AX98" s="280">
        <f t="shared" si="65"/>
        <v>0</v>
      </c>
      <c r="AY98" s="280">
        <f t="shared" si="66"/>
        <v>0</v>
      </c>
      <c r="AZ98" s="280">
        <f t="shared" si="67"/>
        <v>0</v>
      </c>
      <c r="BA98" s="280">
        <f t="shared" si="68"/>
        <v>0</v>
      </c>
      <c r="BB98" s="280">
        <f t="shared" si="69"/>
        <v>0</v>
      </c>
      <c r="BC98" s="280">
        <f t="shared" si="70"/>
        <v>0</v>
      </c>
      <c r="BD98" s="280">
        <f t="shared" si="71"/>
        <v>0</v>
      </c>
      <c r="BE98" s="280">
        <f t="shared" si="74"/>
        <v>0</v>
      </c>
      <c r="BF98" s="280" t="str">
        <f t="shared" si="75"/>
        <v/>
      </c>
    </row>
    <row r="99" spans="1:59" x14ac:dyDescent="0.25">
      <c r="A99" s="70" t="str">
        <f>'G-1 All Habitats'!B99</f>
        <v>Woodland and forest - Upland mixed ashwoods</v>
      </c>
      <c r="B99" s="62" t="s">
        <v>87</v>
      </c>
      <c r="C99" s="62" t="str">
        <f>'G-1 All Habitats'!K99</f>
        <v>High</v>
      </c>
      <c r="D99" s="62" t="str">
        <f>'G-1 All Habitats'!M99</f>
        <v>Same habitat required =</v>
      </c>
      <c r="E99" s="274">
        <f>SUMIF('A-1 On-Site Habitat Baseline'!$AV$11:$AV$258,'G-2 Habitat groups'!A99,'A-1 On-Site Habitat Baseline'!$H$11:$H$258)</f>
        <v>0</v>
      </c>
      <c r="F99" s="274">
        <f>SUMIF('A-1 On-Site Habitat Baseline'!$AV$11:$AV$258,'G-2 Habitat groups'!A99,'A-1 On-Site Habitat Baseline'!$Q$11:$Q$258)</f>
        <v>0</v>
      </c>
      <c r="G99" s="274">
        <f>SUMIF('A-1 On-Site Habitat Baseline'!$AV$11:$AV$258,'G-2 Habitat groups'!A99,'A-1 On-Site Habitat Baseline'!$S$11:$S$258)</f>
        <v>0</v>
      </c>
      <c r="H99" s="274">
        <f>SUMIF('A-1 On-Site Habitat Baseline'!$AV$11:$AV$258,'G-2 Habitat groups'!A99,'A-1 On-Site Habitat Baseline'!$U$11:$U$258)+SUMIF('A-1 On-Site Habitat Baseline'!$AV$11:$AV$258,'G-2 Habitat groups'!A99, 'A-1 On-Site Habitat Baseline'!$AT$11:$AT$258)</f>
        <v>0</v>
      </c>
      <c r="I99" s="274">
        <f>SUMIF('A-1 On-Site Habitat Baseline'!$AV$11:$AV$258,'G-2 Habitat groups'!A99,'A-1 On-Site Habitat Baseline'!$W$11:$W$258)</f>
        <v>0</v>
      </c>
      <c r="J99" s="274">
        <f>SUMIF('A-1 On-Site Habitat Baseline'!$AV$11:$AV$258,'G-2 Habitat groups'!A99,'A-1 On-Site Habitat Baseline'!$X$11:$X$258)</f>
        <v>0</v>
      </c>
      <c r="K99" s="274">
        <f>SUMIF('A-2 On-Site Habitat Creation'!$F$11:$F$256,'G-2 Habitat groups'!A99,'A-2 On-Site Habitat Creation'!$G$11:$G$256)</f>
        <v>0</v>
      </c>
      <c r="L99" s="274">
        <f>SUMIF('A-2 On-Site Habitat Creation'!$F$11:$F$256,'G-2 Habitat groups'!A99,'A-2 On-Site Habitat Creation'!$Y$11:$Y$256)</f>
        <v>0</v>
      </c>
      <c r="M99" s="274">
        <f>SUMIF('A-3 On-Site Habitat Enhancement'!$S$12:$S$257,'G-2 Habitat groups'!A99,'A-3 On-Site Habitat Enhancement'!$V$12:$V$257)</f>
        <v>0</v>
      </c>
      <c r="N99" s="274">
        <f>SUMIF('A-3 On-Site Habitat Enhancement'!$S$12:$S$257,'G-2 Habitat groups'!A99,'A-3 On-Site Habitat Enhancement'!$AN$12:$AN$257)</f>
        <v>0</v>
      </c>
      <c r="O99" s="274">
        <f t="shared" si="54"/>
        <v>0</v>
      </c>
      <c r="P99" s="274">
        <f t="shared" si="55"/>
        <v>0</v>
      </c>
      <c r="Q99" s="274">
        <f t="shared" si="56"/>
        <v>0</v>
      </c>
      <c r="R99" s="274">
        <f t="shared" si="57"/>
        <v>0</v>
      </c>
      <c r="S99" s="274">
        <f>SUMIF('D-1 Off-Site Habitat Baseline'!$AV$11:$AV$258,'G-2 Habitat groups'!A99,'D-1 Off-Site Habitat Baseline'!$H$11:$H$258)</f>
        <v>0</v>
      </c>
      <c r="T99" s="274">
        <f>SUMIF('D-1 Off-Site Habitat Baseline'!$AV$11:$AV$258,'G-2 Habitat groups'!A99,'D-1 Off-Site Habitat Baseline'!$T$11:$T$258)</f>
        <v>0</v>
      </c>
      <c r="U99" s="274">
        <f>SUMIF('D-1 Off-Site Habitat Baseline'!$AV$11:$AV$258,'G-2 Habitat groups'!A99,'D-1 Off-Site Habitat Baseline'!$V$11:$V$258)</f>
        <v>0</v>
      </c>
      <c r="V99" s="274">
        <f>SUMIF('D-1 Off-Site Habitat Baseline'!$AV$11:$AV$258,'G-2 Habitat groups'!A99,'D-1 Off-Site Habitat Baseline'!$X$11:$X$258)+SUMIF('D-1 Off-Site Habitat Baseline'!$AV$11:$AV$258,'G-2 Habitat groups'!A99,'D-1 Off-Site Habitat Baseline'!$AS$11:$AS$258)</f>
        <v>0</v>
      </c>
      <c r="W99" s="274">
        <f>SUMIF('D-2 Off-Site Habitat Creation'!$F$9:$F$255,'G-2 Habitat groups'!A99,'D-2 Off-Site Habitat Creation'!$G$9:$G$255)</f>
        <v>0</v>
      </c>
      <c r="X99" s="274">
        <f>SUMIF('D-2 Off-Site Habitat Creation'!$F$9:$F$255,'G-2 Habitat groups'!A99,'D-2 Off-Site Habitat Creation'!$AB$9:$AB$255)</f>
        <v>0</v>
      </c>
      <c r="Y99" s="274">
        <f>SUMIF('D-3 Off-Site Habitat Enhancment'!$S$12:$S$491,'G-2 Habitat groups'!A99,'D-3 Off-Site Habitat Enhancment'!$V$12:$V$491)</f>
        <v>0</v>
      </c>
      <c r="Z99" s="274">
        <f>SUMIF('D-3 Off-Site Habitat Enhancment'!$S$12:$S$491,'G-2 Habitat groups'!A99,'D-3 Off-Site Habitat Enhancment'!$AQ$12:$AQ$491)</f>
        <v>0</v>
      </c>
      <c r="AA99" s="274">
        <f t="shared" si="58"/>
        <v>0</v>
      </c>
      <c r="AB99" s="274">
        <f t="shared" si="59"/>
        <v>0</v>
      </c>
      <c r="AC99" s="274">
        <f t="shared" si="60"/>
        <v>0</v>
      </c>
      <c r="AD99" s="274">
        <f t="shared" si="61"/>
        <v>0</v>
      </c>
      <c r="AE99" s="274">
        <f t="shared" si="62"/>
        <v>0</v>
      </c>
      <c r="AF99" s="274">
        <f t="shared" si="63"/>
        <v>0</v>
      </c>
      <c r="AU99" s="70" t="s">
        <v>919</v>
      </c>
      <c r="AV99" s="62" t="s">
        <v>87</v>
      </c>
      <c r="AW99" s="280">
        <f t="shared" si="64"/>
        <v>0</v>
      </c>
      <c r="AX99" s="280">
        <f t="shared" si="65"/>
        <v>0</v>
      </c>
      <c r="AY99" s="280">
        <f t="shared" si="66"/>
        <v>0</v>
      </c>
      <c r="AZ99" s="280">
        <f t="shared" si="67"/>
        <v>0</v>
      </c>
      <c r="BA99" s="280">
        <f t="shared" si="68"/>
        <v>0</v>
      </c>
      <c r="BB99" s="280">
        <f t="shared" si="69"/>
        <v>0</v>
      </c>
      <c r="BC99" s="280">
        <f t="shared" si="70"/>
        <v>0</v>
      </c>
      <c r="BD99" s="280">
        <f t="shared" si="71"/>
        <v>0</v>
      </c>
      <c r="BE99" s="280">
        <f t="shared" si="74"/>
        <v>0</v>
      </c>
      <c r="BF99" s="280" t="str">
        <f t="shared" si="75"/>
        <v/>
      </c>
    </row>
    <row r="100" spans="1:59" x14ac:dyDescent="0.25">
      <c r="A100" s="70" t="str">
        <f>'G-1 All Habitats'!B100</f>
        <v>Woodland and forest - Upland oakwood</v>
      </c>
      <c r="B100" s="62" t="s">
        <v>87</v>
      </c>
      <c r="C100" s="62" t="str">
        <f>'G-1 All Habitats'!K100</f>
        <v>High</v>
      </c>
      <c r="D100" s="62" t="str">
        <f>'G-1 All Habitats'!M100</f>
        <v>Same habitat required =</v>
      </c>
      <c r="E100" s="274">
        <f>SUMIF('A-1 On-Site Habitat Baseline'!$AV$11:$AV$258,'G-2 Habitat groups'!A100,'A-1 On-Site Habitat Baseline'!$H$11:$H$258)</f>
        <v>0</v>
      </c>
      <c r="F100" s="274">
        <f>SUMIF('A-1 On-Site Habitat Baseline'!$AV$11:$AV$258,'G-2 Habitat groups'!A100,'A-1 On-Site Habitat Baseline'!$Q$11:$Q$258)</f>
        <v>0</v>
      </c>
      <c r="G100" s="274">
        <f>SUMIF('A-1 On-Site Habitat Baseline'!$AV$11:$AV$258,'G-2 Habitat groups'!A100,'A-1 On-Site Habitat Baseline'!$S$11:$S$258)</f>
        <v>0</v>
      </c>
      <c r="H100" s="274">
        <f>SUMIF('A-1 On-Site Habitat Baseline'!$AV$11:$AV$258,'G-2 Habitat groups'!A100,'A-1 On-Site Habitat Baseline'!$U$11:$U$258)+SUMIF('A-1 On-Site Habitat Baseline'!$AV$11:$AV$258,'G-2 Habitat groups'!A100, 'A-1 On-Site Habitat Baseline'!$AT$11:$AT$258)</f>
        <v>0</v>
      </c>
      <c r="I100" s="274">
        <f>SUMIF('A-1 On-Site Habitat Baseline'!$AV$11:$AV$258,'G-2 Habitat groups'!A100,'A-1 On-Site Habitat Baseline'!$W$11:$W$258)</f>
        <v>0</v>
      </c>
      <c r="J100" s="274">
        <f>SUMIF('A-1 On-Site Habitat Baseline'!$AV$11:$AV$258,'G-2 Habitat groups'!A100,'A-1 On-Site Habitat Baseline'!$X$11:$X$258)</f>
        <v>0</v>
      </c>
      <c r="K100" s="274">
        <f>SUMIF('A-2 On-Site Habitat Creation'!$F$11:$F$256,'G-2 Habitat groups'!A100,'A-2 On-Site Habitat Creation'!$G$11:$G$256)</f>
        <v>0</v>
      </c>
      <c r="L100" s="274">
        <f>SUMIF('A-2 On-Site Habitat Creation'!$F$11:$F$256,'G-2 Habitat groups'!A100,'A-2 On-Site Habitat Creation'!$Y$11:$Y$256)</f>
        <v>0</v>
      </c>
      <c r="M100" s="274">
        <f>SUMIF('A-3 On-Site Habitat Enhancement'!$S$12:$S$257,'G-2 Habitat groups'!A100,'A-3 On-Site Habitat Enhancement'!$V$12:$V$257)</f>
        <v>0</v>
      </c>
      <c r="N100" s="274">
        <f>SUMIF('A-3 On-Site Habitat Enhancement'!$S$12:$S$257,'G-2 Habitat groups'!A100,'A-3 On-Site Habitat Enhancement'!$AN$12:$AN$257)</f>
        <v>0</v>
      </c>
      <c r="O100" s="274">
        <f t="shared" si="54"/>
        <v>0</v>
      </c>
      <c r="P100" s="274">
        <f t="shared" si="55"/>
        <v>0</v>
      </c>
      <c r="Q100" s="274">
        <f t="shared" si="56"/>
        <v>0</v>
      </c>
      <c r="R100" s="274">
        <f t="shared" si="57"/>
        <v>0</v>
      </c>
      <c r="S100" s="274">
        <f>SUMIF('D-1 Off-Site Habitat Baseline'!$AV$11:$AV$258,'G-2 Habitat groups'!A100,'D-1 Off-Site Habitat Baseline'!$H$11:$H$258)</f>
        <v>0</v>
      </c>
      <c r="T100" s="274">
        <f>SUMIF('D-1 Off-Site Habitat Baseline'!$AV$11:$AV$258,'G-2 Habitat groups'!A100,'D-1 Off-Site Habitat Baseline'!$T$11:$T$258)</f>
        <v>0</v>
      </c>
      <c r="U100" s="274">
        <f>SUMIF('D-1 Off-Site Habitat Baseline'!$AV$11:$AV$258,'G-2 Habitat groups'!A100,'D-1 Off-Site Habitat Baseline'!$V$11:$V$258)</f>
        <v>0</v>
      </c>
      <c r="V100" s="274">
        <f>SUMIF('D-1 Off-Site Habitat Baseline'!$AV$11:$AV$258,'G-2 Habitat groups'!A100,'D-1 Off-Site Habitat Baseline'!$X$11:$X$258)+SUMIF('D-1 Off-Site Habitat Baseline'!$AV$11:$AV$258,'G-2 Habitat groups'!A100,'D-1 Off-Site Habitat Baseline'!$AS$11:$AS$258)</f>
        <v>0</v>
      </c>
      <c r="W100" s="274">
        <f>SUMIF('D-2 Off-Site Habitat Creation'!$F$9:$F$255,'G-2 Habitat groups'!A100,'D-2 Off-Site Habitat Creation'!$G$9:$G$255)</f>
        <v>0</v>
      </c>
      <c r="X100" s="274">
        <f>SUMIF('D-2 Off-Site Habitat Creation'!$F$9:$F$255,'G-2 Habitat groups'!A100,'D-2 Off-Site Habitat Creation'!$AB$9:$AB$255)</f>
        <v>0</v>
      </c>
      <c r="Y100" s="274">
        <f>SUMIF('D-3 Off-Site Habitat Enhancment'!$S$12:$S$491,'G-2 Habitat groups'!A100,'D-3 Off-Site Habitat Enhancment'!$V$12:$V$491)</f>
        <v>0</v>
      </c>
      <c r="Z100" s="274">
        <f>SUMIF('D-3 Off-Site Habitat Enhancment'!$S$12:$S$491,'G-2 Habitat groups'!A100,'D-3 Off-Site Habitat Enhancment'!$AQ$12:$AQ$491)</f>
        <v>0</v>
      </c>
      <c r="AA100" s="274">
        <f t="shared" si="58"/>
        <v>0</v>
      </c>
      <c r="AB100" s="274">
        <f t="shared" si="59"/>
        <v>0</v>
      </c>
      <c r="AC100" s="274">
        <f t="shared" si="60"/>
        <v>0</v>
      </c>
      <c r="AD100" s="274">
        <f t="shared" si="61"/>
        <v>0</v>
      </c>
      <c r="AE100" s="274">
        <f t="shared" si="62"/>
        <v>0</v>
      </c>
      <c r="AF100" s="274">
        <f t="shared" si="63"/>
        <v>0</v>
      </c>
      <c r="AU100" s="70" t="s">
        <v>922</v>
      </c>
      <c r="AV100" s="62" t="s">
        <v>87</v>
      </c>
      <c r="AW100" s="280">
        <f t="shared" si="64"/>
        <v>0</v>
      </c>
      <c r="AX100" s="280">
        <f t="shared" si="65"/>
        <v>0</v>
      </c>
      <c r="AY100" s="280">
        <f t="shared" si="66"/>
        <v>0</v>
      </c>
      <c r="AZ100" s="280">
        <f t="shared" si="67"/>
        <v>0</v>
      </c>
      <c r="BA100" s="280">
        <f t="shared" si="68"/>
        <v>0</v>
      </c>
      <c r="BB100" s="280">
        <f t="shared" si="69"/>
        <v>0</v>
      </c>
      <c r="BC100" s="280">
        <f t="shared" si="70"/>
        <v>0</v>
      </c>
      <c r="BD100" s="280">
        <f t="shared" si="71"/>
        <v>0</v>
      </c>
      <c r="BE100" s="280">
        <f t="shared" si="74"/>
        <v>0</v>
      </c>
      <c r="BF100" s="280" t="str">
        <f t="shared" si="75"/>
        <v/>
      </c>
    </row>
    <row r="101" spans="1:59" x14ac:dyDescent="0.25">
      <c r="A101" s="70" t="str">
        <f>'G-1 All Habitats'!B101</f>
        <v>Woodland and forest - Wet woodland</v>
      </c>
      <c r="B101" s="62" t="s">
        <v>87</v>
      </c>
      <c r="C101" s="62" t="str">
        <f>'G-1 All Habitats'!K101</f>
        <v>High</v>
      </c>
      <c r="D101" s="62" t="str">
        <f>'G-1 All Habitats'!M101</f>
        <v>Same habitat required =</v>
      </c>
      <c r="E101" s="274">
        <f>SUMIF('A-1 On-Site Habitat Baseline'!$AV$11:$AV$258,'G-2 Habitat groups'!A101,'A-1 On-Site Habitat Baseline'!$H$11:$H$258)</f>
        <v>0</v>
      </c>
      <c r="F101" s="274">
        <f>SUMIF('A-1 On-Site Habitat Baseline'!$AV$11:$AV$258,'G-2 Habitat groups'!A101,'A-1 On-Site Habitat Baseline'!$Q$11:$Q$258)</f>
        <v>0</v>
      </c>
      <c r="G101" s="274">
        <f>SUMIF('A-1 On-Site Habitat Baseline'!$AV$11:$AV$258,'G-2 Habitat groups'!A101,'A-1 On-Site Habitat Baseline'!$S$11:$S$258)</f>
        <v>0</v>
      </c>
      <c r="H101" s="274">
        <f>SUMIF('A-1 On-Site Habitat Baseline'!$AV$11:$AV$258,'G-2 Habitat groups'!A101,'A-1 On-Site Habitat Baseline'!$U$11:$U$258)+SUMIF('A-1 On-Site Habitat Baseline'!$AV$11:$AV$258,'G-2 Habitat groups'!A101, 'A-1 On-Site Habitat Baseline'!$AT$11:$AT$258)</f>
        <v>0</v>
      </c>
      <c r="I101" s="274">
        <f>SUMIF('A-1 On-Site Habitat Baseline'!$AV$11:$AV$258,'G-2 Habitat groups'!A101,'A-1 On-Site Habitat Baseline'!$W$11:$W$258)</f>
        <v>0</v>
      </c>
      <c r="J101" s="274">
        <f>SUMIF('A-1 On-Site Habitat Baseline'!$AV$11:$AV$258,'G-2 Habitat groups'!A101,'A-1 On-Site Habitat Baseline'!$X$11:$X$258)</f>
        <v>0</v>
      </c>
      <c r="K101" s="274">
        <f>SUMIF('A-2 On-Site Habitat Creation'!$F$11:$F$256,'G-2 Habitat groups'!A101,'A-2 On-Site Habitat Creation'!$G$11:$G$256)</f>
        <v>0</v>
      </c>
      <c r="L101" s="274">
        <f>SUMIF('A-2 On-Site Habitat Creation'!$F$11:$F$256,'G-2 Habitat groups'!A101,'A-2 On-Site Habitat Creation'!$Y$11:$Y$256)</f>
        <v>0</v>
      </c>
      <c r="M101" s="274">
        <f>SUMIF('A-3 On-Site Habitat Enhancement'!$S$12:$S$257,'G-2 Habitat groups'!A101,'A-3 On-Site Habitat Enhancement'!$V$12:$V$257)</f>
        <v>0</v>
      </c>
      <c r="N101" s="274">
        <f>SUMIF('A-3 On-Site Habitat Enhancement'!$S$12:$S$257,'G-2 Habitat groups'!A101,'A-3 On-Site Habitat Enhancement'!$AN$12:$AN$257)</f>
        <v>0</v>
      </c>
      <c r="O101" s="274">
        <f t="shared" si="54"/>
        <v>0</v>
      </c>
      <c r="P101" s="274">
        <f t="shared" si="55"/>
        <v>0</v>
      </c>
      <c r="Q101" s="274">
        <f t="shared" si="56"/>
        <v>0</v>
      </c>
      <c r="R101" s="274">
        <f t="shared" si="57"/>
        <v>0</v>
      </c>
      <c r="S101" s="274">
        <f>SUMIF('D-1 Off-Site Habitat Baseline'!$AV$11:$AV$258,'G-2 Habitat groups'!A101,'D-1 Off-Site Habitat Baseline'!$H$11:$H$258)</f>
        <v>0</v>
      </c>
      <c r="T101" s="274">
        <f>SUMIF('D-1 Off-Site Habitat Baseline'!$AV$11:$AV$258,'G-2 Habitat groups'!A101,'D-1 Off-Site Habitat Baseline'!$T$11:$T$258)</f>
        <v>0</v>
      </c>
      <c r="U101" s="274">
        <f>SUMIF('D-1 Off-Site Habitat Baseline'!$AV$11:$AV$258,'G-2 Habitat groups'!A101,'D-1 Off-Site Habitat Baseline'!$V$11:$V$258)</f>
        <v>0</v>
      </c>
      <c r="V101" s="274">
        <f>SUMIF('D-1 Off-Site Habitat Baseline'!$AV$11:$AV$258,'G-2 Habitat groups'!A101,'D-1 Off-Site Habitat Baseline'!$X$11:$X$258)+SUMIF('D-1 Off-Site Habitat Baseline'!$AV$11:$AV$258,'G-2 Habitat groups'!A101,'D-1 Off-Site Habitat Baseline'!$AS$11:$AS$258)</f>
        <v>0</v>
      </c>
      <c r="W101" s="274">
        <f>SUMIF('D-2 Off-Site Habitat Creation'!$F$9:$F$255,'G-2 Habitat groups'!A101,'D-2 Off-Site Habitat Creation'!$G$9:$G$255)</f>
        <v>0</v>
      </c>
      <c r="X101" s="274">
        <f>SUMIF('D-2 Off-Site Habitat Creation'!$F$9:$F$255,'G-2 Habitat groups'!A101,'D-2 Off-Site Habitat Creation'!$AB$9:$AB$255)</f>
        <v>0</v>
      </c>
      <c r="Y101" s="274">
        <f>SUMIF('D-3 Off-Site Habitat Enhancment'!$S$12:$S$491,'G-2 Habitat groups'!A101,'D-3 Off-Site Habitat Enhancment'!$V$12:$V$491)</f>
        <v>0</v>
      </c>
      <c r="Z101" s="274">
        <f>SUMIF('D-3 Off-Site Habitat Enhancment'!$S$12:$S$491,'G-2 Habitat groups'!A101,'D-3 Off-Site Habitat Enhancment'!$AQ$12:$AQ$491)</f>
        <v>0</v>
      </c>
      <c r="AA101" s="274">
        <f t="shared" si="58"/>
        <v>0</v>
      </c>
      <c r="AB101" s="274">
        <f t="shared" si="59"/>
        <v>0</v>
      </c>
      <c r="AC101" s="274">
        <f t="shared" si="60"/>
        <v>0</v>
      </c>
      <c r="AD101" s="274">
        <f t="shared" si="61"/>
        <v>0</v>
      </c>
      <c r="AE101" s="274">
        <f t="shared" si="62"/>
        <v>0</v>
      </c>
      <c r="AF101" s="274">
        <f t="shared" si="63"/>
        <v>0</v>
      </c>
      <c r="AU101" s="70" t="s">
        <v>970</v>
      </c>
      <c r="AV101" s="62" t="s">
        <v>105</v>
      </c>
      <c r="AW101" s="280">
        <f t="shared" si="64"/>
        <v>0</v>
      </c>
      <c r="AX101" s="280">
        <f t="shared" si="65"/>
        <v>0</v>
      </c>
      <c r="AY101" s="280">
        <f t="shared" si="66"/>
        <v>0</v>
      </c>
      <c r="AZ101" s="280">
        <f t="shared" si="67"/>
        <v>0</v>
      </c>
      <c r="BA101" s="280">
        <f t="shared" si="68"/>
        <v>0</v>
      </c>
      <c r="BB101" s="280">
        <f t="shared" si="69"/>
        <v>0</v>
      </c>
      <c r="BC101" s="280">
        <f t="shared" si="70"/>
        <v>0</v>
      </c>
      <c r="BD101" s="280">
        <f t="shared" si="71"/>
        <v>0</v>
      </c>
      <c r="BE101" s="280">
        <f t="shared" si="74"/>
        <v>0</v>
      </c>
      <c r="BF101" s="280" t="str">
        <f t="shared" si="75"/>
        <v/>
      </c>
    </row>
    <row r="102" spans="1:59" x14ac:dyDescent="0.25">
      <c r="A102" s="70" t="str">
        <f>'G-1 All Habitats'!B102</f>
        <v>Woodland and forest - Wood-pasture and parkland</v>
      </c>
      <c r="B102" s="62" t="s">
        <v>87</v>
      </c>
      <c r="C102" s="62" t="str">
        <f>'G-1 All Habitats'!K102</f>
        <v>V.High</v>
      </c>
      <c r="D102" s="62" t="str">
        <f>'G-1 All Habitats'!M102</f>
        <v>Same habitat required – bespoke compensation option ⚠</v>
      </c>
      <c r="E102" s="274">
        <f>SUMIF('A-1 On-Site Habitat Baseline'!$AV$11:$AV$258,'G-2 Habitat groups'!A102,'A-1 On-Site Habitat Baseline'!$H$11:$H$258)</f>
        <v>0</v>
      </c>
      <c r="F102" s="274">
        <f>SUMIF('A-1 On-Site Habitat Baseline'!$AV$11:$AV$258,'G-2 Habitat groups'!A102,'A-1 On-Site Habitat Baseline'!$Q$11:$Q$258)</f>
        <v>0</v>
      </c>
      <c r="G102" s="274">
        <f>SUMIF('A-1 On-Site Habitat Baseline'!$AV$11:$AV$258,'G-2 Habitat groups'!A102,'A-1 On-Site Habitat Baseline'!$S$11:$S$258)</f>
        <v>0</v>
      </c>
      <c r="H102" s="274">
        <f>SUMIF('A-1 On-Site Habitat Baseline'!$AV$11:$AV$258,'G-2 Habitat groups'!A102,'A-1 On-Site Habitat Baseline'!$U$11:$U$258)+SUMIF('A-1 On-Site Habitat Baseline'!$AV$11:$AV$258,'G-2 Habitat groups'!A102, 'A-1 On-Site Habitat Baseline'!$AT$11:$AT$258)</f>
        <v>0</v>
      </c>
      <c r="I102" s="274">
        <f>SUMIF('A-1 On-Site Habitat Baseline'!$AV$11:$AV$258,'G-2 Habitat groups'!A102,'A-1 On-Site Habitat Baseline'!$W$11:$W$258)</f>
        <v>0</v>
      </c>
      <c r="J102" s="274">
        <f>SUMIF('A-1 On-Site Habitat Baseline'!$AV$11:$AV$258,'G-2 Habitat groups'!A102,'A-1 On-Site Habitat Baseline'!$X$11:$X$258)</f>
        <v>0</v>
      </c>
      <c r="K102" s="274">
        <f>SUMIF('A-2 On-Site Habitat Creation'!$F$11:$F$256,'G-2 Habitat groups'!A102,'A-2 On-Site Habitat Creation'!$G$11:$G$256)</f>
        <v>0</v>
      </c>
      <c r="L102" s="274">
        <f>SUMIF('A-2 On-Site Habitat Creation'!$F$11:$F$256,'G-2 Habitat groups'!A102,'A-2 On-Site Habitat Creation'!$Y$11:$Y$256)</f>
        <v>0</v>
      </c>
      <c r="M102" s="274">
        <f>SUMIF('A-3 On-Site Habitat Enhancement'!$S$12:$S$257,'G-2 Habitat groups'!A102,'A-3 On-Site Habitat Enhancement'!$V$12:$V$257)</f>
        <v>0</v>
      </c>
      <c r="N102" s="274">
        <f>SUMIF('A-3 On-Site Habitat Enhancement'!$S$12:$S$257,'G-2 Habitat groups'!A102,'A-3 On-Site Habitat Enhancement'!$AN$12:$AN$257)</f>
        <v>0</v>
      </c>
      <c r="O102" s="274">
        <f t="shared" ref="O102:O134" si="76">G102+K102+M102</f>
        <v>0</v>
      </c>
      <c r="P102" s="274">
        <f t="shared" ref="P102:P134" si="77">H102+L102+N102</f>
        <v>0</v>
      </c>
      <c r="Q102" s="274">
        <f t="shared" ref="Q102:Q134" si="78">O102-E102</f>
        <v>0</v>
      </c>
      <c r="R102" s="274">
        <f t="shared" ref="R102:R134" si="79">P102-F102</f>
        <v>0</v>
      </c>
      <c r="S102" s="274">
        <f>SUMIF('D-1 Off-Site Habitat Baseline'!$AV$11:$AV$258,'G-2 Habitat groups'!A102,'D-1 Off-Site Habitat Baseline'!$H$11:$H$258)</f>
        <v>0</v>
      </c>
      <c r="T102" s="274">
        <f>SUMIF('D-1 Off-Site Habitat Baseline'!$AV$11:$AV$258,'G-2 Habitat groups'!A102,'D-1 Off-Site Habitat Baseline'!$T$11:$T$258)</f>
        <v>0</v>
      </c>
      <c r="U102" s="274">
        <f>SUMIF('D-1 Off-Site Habitat Baseline'!$AV$11:$AV$258,'G-2 Habitat groups'!A102,'D-1 Off-Site Habitat Baseline'!$V$11:$V$258)</f>
        <v>0</v>
      </c>
      <c r="V102" s="274">
        <f>SUMIF('D-1 Off-Site Habitat Baseline'!$AV$11:$AV$258,'G-2 Habitat groups'!A102,'D-1 Off-Site Habitat Baseline'!$X$11:$X$258)+SUMIF('D-1 Off-Site Habitat Baseline'!$AV$11:$AV$258,'G-2 Habitat groups'!A102,'D-1 Off-Site Habitat Baseline'!$AS$11:$AS$258)</f>
        <v>0</v>
      </c>
      <c r="W102" s="274">
        <f>SUMIF('D-2 Off-Site Habitat Creation'!$F$9:$F$255,'G-2 Habitat groups'!A102,'D-2 Off-Site Habitat Creation'!$G$9:$G$255)</f>
        <v>0</v>
      </c>
      <c r="X102" s="274">
        <f>SUMIF('D-2 Off-Site Habitat Creation'!$F$9:$F$255,'G-2 Habitat groups'!A102,'D-2 Off-Site Habitat Creation'!$AB$9:$AB$255)</f>
        <v>0</v>
      </c>
      <c r="Y102" s="274">
        <f>SUMIF('D-3 Off-Site Habitat Enhancment'!$S$12:$S$491,'G-2 Habitat groups'!A102,'D-3 Off-Site Habitat Enhancment'!$V$12:$V$491)</f>
        <v>0</v>
      </c>
      <c r="Z102" s="274">
        <f>SUMIF('D-3 Off-Site Habitat Enhancment'!$S$12:$S$491,'G-2 Habitat groups'!A102,'D-3 Off-Site Habitat Enhancment'!$AQ$12:$AQ$491)</f>
        <v>0</v>
      </c>
      <c r="AA102" s="274">
        <f t="shared" ref="AA102:AA135" si="80">U102+W102+Y102</f>
        <v>0</v>
      </c>
      <c r="AB102" s="274">
        <f t="shared" ref="AB102:AB135" si="81">V102+X102+Z102</f>
        <v>0</v>
      </c>
      <c r="AC102" s="274">
        <f t="shared" ref="AC102:AC134" si="82">AA102-S102</f>
        <v>0</v>
      </c>
      <c r="AD102" s="274">
        <f t="shared" ref="AD102:AD134" si="83">AB102-T102</f>
        <v>0</v>
      </c>
      <c r="AE102" s="274">
        <f t="shared" ref="AE102:AE134" si="84">Q102+AC102</f>
        <v>0</v>
      </c>
      <c r="AF102" s="274">
        <f t="shared" ref="AF102:AF134" si="85">R102+AD102</f>
        <v>0</v>
      </c>
      <c r="AU102" s="91" t="s">
        <v>1012</v>
      </c>
      <c r="AV102" s="62" t="s">
        <v>105</v>
      </c>
      <c r="AW102" s="280">
        <f t="shared" si="64"/>
        <v>0</v>
      </c>
      <c r="AX102" s="280">
        <f t="shared" si="65"/>
        <v>0</v>
      </c>
      <c r="AY102" s="280">
        <f t="shared" si="66"/>
        <v>0</v>
      </c>
      <c r="AZ102" s="280">
        <f t="shared" si="67"/>
        <v>0</v>
      </c>
      <c r="BA102" s="280">
        <f t="shared" si="68"/>
        <v>0</v>
      </c>
      <c r="BB102" s="280">
        <f t="shared" si="69"/>
        <v>0</v>
      </c>
      <c r="BC102" s="280">
        <f t="shared" si="70"/>
        <v>0</v>
      </c>
      <c r="BD102" s="280">
        <f t="shared" si="71"/>
        <v>0</v>
      </c>
      <c r="BE102" s="280">
        <f t="shared" si="74"/>
        <v>0</v>
      </c>
      <c r="BF102" s="280" t="str">
        <f t="shared" si="75"/>
        <v/>
      </c>
    </row>
    <row r="103" spans="1:59" ht="27.6" x14ac:dyDescent="0.25">
      <c r="A103" s="70" t="str">
        <f>'G-1 All Habitats'!B104</f>
        <v>Coastal lagoons - Coastal lagoons</v>
      </c>
      <c r="B103" s="62" t="s">
        <v>92</v>
      </c>
      <c r="C103" s="62" t="str">
        <f>'G-1 All Habitats'!K104</f>
        <v>High</v>
      </c>
      <c r="D103" s="62" t="str">
        <f>'G-1 All Habitats'!M104</f>
        <v>Same habitat required =</v>
      </c>
      <c r="E103" s="274">
        <f>SUMIF('A-1 On-Site Habitat Baseline'!$AV$11:$AV$258,'G-2 Habitat groups'!A103,'A-1 On-Site Habitat Baseline'!$H$11:$H$258)</f>
        <v>0</v>
      </c>
      <c r="F103" s="274">
        <f>SUMIF('A-1 On-Site Habitat Baseline'!$AV$11:$AV$258,'G-2 Habitat groups'!A103,'A-1 On-Site Habitat Baseline'!$Q$11:$Q$258)</f>
        <v>0</v>
      </c>
      <c r="G103" s="274">
        <f>SUMIF('A-1 On-Site Habitat Baseline'!$AV$11:$AV$258,'G-2 Habitat groups'!A103,'A-1 On-Site Habitat Baseline'!$S$11:$S$258)</f>
        <v>0</v>
      </c>
      <c r="H103" s="274">
        <f>SUMIF('A-1 On-Site Habitat Baseline'!$AV$11:$AV$258,'G-2 Habitat groups'!A103,'A-1 On-Site Habitat Baseline'!$U$11:$U$258)+SUMIF('A-1 On-Site Habitat Baseline'!$AV$11:$AV$258,'G-2 Habitat groups'!A103, 'A-1 On-Site Habitat Baseline'!$AT$11:$AT$258)</f>
        <v>0</v>
      </c>
      <c r="I103" s="274">
        <f>SUMIF('A-1 On-Site Habitat Baseline'!$AV$11:$AV$258,'G-2 Habitat groups'!A103,'A-1 On-Site Habitat Baseline'!$W$11:$W$258)</f>
        <v>0</v>
      </c>
      <c r="J103" s="274">
        <f>SUMIF('A-1 On-Site Habitat Baseline'!$AV$11:$AV$258,'G-2 Habitat groups'!A103,'A-1 On-Site Habitat Baseline'!$X$11:$X$258)</f>
        <v>0</v>
      </c>
      <c r="K103" s="274">
        <f>SUMIF('A-2 On-Site Habitat Creation'!$F$11:$F$256,'G-2 Habitat groups'!A103,'A-2 On-Site Habitat Creation'!$G$11:$G$256)</f>
        <v>0</v>
      </c>
      <c r="L103" s="274">
        <f>SUMIF('A-2 On-Site Habitat Creation'!$F$11:$F$256,'G-2 Habitat groups'!A103,'A-2 On-Site Habitat Creation'!$Y$11:$Y$256)</f>
        <v>0</v>
      </c>
      <c r="M103" s="274">
        <f>SUMIF('A-3 On-Site Habitat Enhancement'!$S$12:$S$257,'G-2 Habitat groups'!A103,'A-3 On-Site Habitat Enhancement'!$V$12:$V$257)</f>
        <v>0</v>
      </c>
      <c r="N103" s="274">
        <f>SUMIF('A-3 On-Site Habitat Enhancement'!$S$12:$S$257,'G-2 Habitat groups'!A103,'A-3 On-Site Habitat Enhancement'!$AN$12:$AN$257)</f>
        <v>0</v>
      </c>
      <c r="O103" s="274">
        <f t="shared" si="76"/>
        <v>0</v>
      </c>
      <c r="P103" s="274">
        <f t="shared" si="77"/>
        <v>0</v>
      </c>
      <c r="Q103" s="274">
        <f t="shared" si="78"/>
        <v>0</v>
      </c>
      <c r="R103" s="274">
        <f t="shared" si="79"/>
        <v>0</v>
      </c>
      <c r="S103" s="274">
        <f>SUMIF('D-1 Off-Site Habitat Baseline'!$AV$11:$AV$258,'G-2 Habitat groups'!A103,'D-1 Off-Site Habitat Baseline'!$H$11:$H$258)</f>
        <v>0</v>
      </c>
      <c r="T103" s="274">
        <f>SUMIF('D-1 Off-Site Habitat Baseline'!$AV$11:$AV$258,'G-2 Habitat groups'!A103,'D-1 Off-Site Habitat Baseline'!$T$11:$T$258)</f>
        <v>0</v>
      </c>
      <c r="U103" s="274">
        <f>SUMIF('D-1 Off-Site Habitat Baseline'!$AV$11:$AV$258,'G-2 Habitat groups'!A103,'D-1 Off-Site Habitat Baseline'!$V$11:$V$258)</f>
        <v>0</v>
      </c>
      <c r="V103" s="274">
        <f>SUMIF('D-1 Off-Site Habitat Baseline'!$AV$11:$AV$258,'G-2 Habitat groups'!A103,'D-1 Off-Site Habitat Baseline'!$X$11:$X$258)+SUMIF('D-1 Off-Site Habitat Baseline'!$AV$11:$AV$258,'G-2 Habitat groups'!A103,'D-1 Off-Site Habitat Baseline'!$AS$11:$AS$258)</f>
        <v>0</v>
      </c>
      <c r="W103" s="274">
        <f>SUMIF('D-2 Off-Site Habitat Creation'!$F$9:$F$255,'G-2 Habitat groups'!A103,'D-2 Off-Site Habitat Creation'!$G$9:$G$255)</f>
        <v>0</v>
      </c>
      <c r="X103" s="274">
        <f>SUMIF('D-2 Off-Site Habitat Creation'!$F$9:$F$255,'G-2 Habitat groups'!A103,'D-2 Off-Site Habitat Creation'!$AB$9:$AB$255)</f>
        <v>0</v>
      </c>
      <c r="Y103" s="274">
        <f>SUMIF('D-3 Off-Site Habitat Enhancment'!$S$12:$S$491,'G-2 Habitat groups'!A103,'D-3 Off-Site Habitat Enhancment'!$V$12:$V$491)</f>
        <v>0</v>
      </c>
      <c r="Z103" s="274">
        <f>SUMIF('D-3 Off-Site Habitat Enhancment'!$S$12:$S$491,'G-2 Habitat groups'!A103,'D-3 Off-Site Habitat Enhancment'!$AQ$12:$AQ$491)</f>
        <v>0</v>
      </c>
      <c r="AA103" s="274">
        <f t="shared" si="80"/>
        <v>0</v>
      </c>
      <c r="AB103" s="274">
        <f t="shared" si="81"/>
        <v>0</v>
      </c>
      <c r="AC103" s="274">
        <f t="shared" si="82"/>
        <v>0</v>
      </c>
      <c r="AD103" s="274">
        <f t="shared" si="83"/>
        <v>0</v>
      </c>
      <c r="AE103" s="274">
        <f t="shared" si="84"/>
        <v>0</v>
      </c>
      <c r="AF103" s="274">
        <f t="shared" si="85"/>
        <v>0</v>
      </c>
      <c r="AU103" s="91" t="s">
        <v>1023</v>
      </c>
      <c r="AV103" s="215" t="s">
        <v>216</v>
      </c>
      <c r="AW103" s="353">
        <f t="shared" si="64"/>
        <v>0</v>
      </c>
      <c r="AX103" s="353">
        <f t="shared" si="65"/>
        <v>0</v>
      </c>
      <c r="AY103" s="353">
        <f t="shared" si="66"/>
        <v>0</v>
      </c>
      <c r="AZ103" s="353">
        <f t="shared" si="67"/>
        <v>0</v>
      </c>
      <c r="BA103" s="353">
        <f t="shared" si="68"/>
        <v>0</v>
      </c>
      <c r="BB103" s="353">
        <f t="shared" si="69"/>
        <v>0</v>
      </c>
      <c r="BC103" s="353">
        <f t="shared" si="70"/>
        <v>0</v>
      </c>
      <c r="BD103" s="353">
        <f t="shared" si="71"/>
        <v>0</v>
      </c>
      <c r="BE103" s="353">
        <f t="shared" si="74"/>
        <v>0</v>
      </c>
      <c r="BF103" s="353" t="str">
        <f t="shared" si="75"/>
        <v/>
      </c>
    </row>
    <row r="104" spans="1:59" x14ac:dyDescent="0.25">
      <c r="A104" s="70" t="str">
        <f>'G-1 All Habitats'!B105</f>
        <v>Rocky shore - High energy littoral rock</v>
      </c>
      <c r="B104" s="62" t="s">
        <v>94</v>
      </c>
      <c r="C104" s="62" t="str">
        <f>'G-1 All Habitats'!K105</f>
        <v>High</v>
      </c>
      <c r="D104" s="62" t="str">
        <f>'G-1 All Habitats'!M105</f>
        <v>Same habitat required =</v>
      </c>
      <c r="E104" s="274">
        <f>SUMIF('A-1 On-Site Habitat Baseline'!$AV$11:$AV$258,'G-2 Habitat groups'!A104,'A-1 On-Site Habitat Baseline'!$H$11:$H$258)</f>
        <v>0</v>
      </c>
      <c r="F104" s="274">
        <f>SUMIF('A-1 On-Site Habitat Baseline'!$AV$11:$AV$258,'G-2 Habitat groups'!A104,'A-1 On-Site Habitat Baseline'!$Q$11:$Q$258)</f>
        <v>0</v>
      </c>
      <c r="G104" s="274">
        <f>SUMIF('A-1 On-Site Habitat Baseline'!$AV$11:$AV$258,'G-2 Habitat groups'!A104,'A-1 On-Site Habitat Baseline'!$S$11:$S$258)</f>
        <v>0</v>
      </c>
      <c r="H104" s="274">
        <f>SUMIF('A-1 On-Site Habitat Baseline'!$AV$11:$AV$258,'G-2 Habitat groups'!A104,'A-1 On-Site Habitat Baseline'!$U$11:$U$258)+SUMIF('A-1 On-Site Habitat Baseline'!$AV$11:$AV$258,'G-2 Habitat groups'!A104, 'A-1 On-Site Habitat Baseline'!$AT$11:$AT$258)</f>
        <v>0</v>
      </c>
      <c r="I104" s="274">
        <f>SUMIF('A-1 On-Site Habitat Baseline'!$AV$11:$AV$258,'G-2 Habitat groups'!A104,'A-1 On-Site Habitat Baseline'!$W$11:$W$258)</f>
        <v>0</v>
      </c>
      <c r="J104" s="274">
        <f>SUMIF('A-1 On-Site Habitat Baseline'!$AV$11:$AV$258,'G-2 Habitat groups'!A104,'A-1 On-Site Habitat Baseline'!$X$11:$X$258)</f>
        <v>0</v>
      </c>
      <c r="K104" s="274">
        <f>SUMIF('A-2 On-Site Habitat Creation'!$F$11:$F$256,'G-2 Habitat groups'!A104,'A-2 On-Site Habitat Creation'!$G$11:$G$256)</f>
        <v>0</v>
      </c>
      <c r="L104" s="274">
        <f>SUMIF('A-2 On-Site Habitat Creation'!$F$11:$F$256,'G-2 Habitat groups'!A104,'A-2 On-Site Habitat Creation'!$Y$11:$Y$256)</f>
        <v>0</v>
      </c>
      <c r="M104" s="274">
        <f>SUMIF('A-3 On-Site Habitat Enhancement'!$S$12:$S$257,'G-2 Habitat groups'!A104,'A-3 On-Site Habitat Enhancement'!$V$12:$V$257)</f>
        <v>0</v>
      </c>
      <c r="N104" s="274">
        <f>SUMIF('A-3 On-Site Habitat Enhancement'!$S$12:$S$257,'G-2 Habitat groups'!A104,'A-3 On-Site Habitat Enhancement'!$AN$12:$AN$257)</f>
        <v>0</v>
      </c>
      <c r="O104" s="274">
        <f t="shared" si="76"/>
        <v>0</v>
      </c>
      <c r="P104" s="274">
        <f t="shared" si="77"/>
        <v>0</v>
      </c>
      <c r="Q104" s="274">
        <f t="shared" si="78"/>
        <v>0</v>
      </c>
      <c r="R104" s="274">
        <f t="shared" si="79"/>
        <v>0</v>
      </c>
      <c r="S104" s="274">
        <f>SUMIF('D-1 Off-Site Habitat Baseline'!$AV$11:$AV$258,'G-2 Habitat groups'!A104,'D-1 Off-Site Habitat Baseline'!$H$11:$H$258)</f>
        <v>0</v>
      </c>
      <c r="T104" s="274">
        <f>SUMIF('D-1 Off-Site Habitat Baseline'!$AV$11:$AV$258,'G-2 Habitat groups'!A104,'D-1 Off-Site Habitat Baseline'!$T$11:$T$258)</f>
        <v>0</v>
      </c>
      <c r="U104" s="274">
        <f>SUMIF('D-1 Off-Site Habitat Baseline'!$AV$11:$AV$258,'G-2 Habitat groups'!A104,'D-1 Off-Site Habitat Baseline'!$V$11:$V$258)</f>
        <v>0</v>
      </c>
      <c r="V104" s="274">
        <f>SUMIF('D-1 Off-Site Habitat Baseline'!$AV$11:$AV$258,'G-2 Habitat groups'!A104,'D-1 Off-Site Habitat Baseline'!$X$11:$X$258)+SUMIF('D-1 Off-Site Habitat Baseline'!$AV$11:$AV$258,'G-2 Habitat groups'!A104,'D-1 Off-Site Habitat Baseline'!$AS$11:$AS$258)</f>
        <v>0</v>
      </c>
      <c r="W104" s="274">
        <f>SUMIF('D-2 Off-Site Habitat Creation'!$F$9:$F$255,'G-2 Habitat groups'!A104,'D-2 Off-Site Habitat Creation'!$G$9:$G$255)</f>
        <v>0</v>
      </c>
      <c r="X104" s="274">
        <f>SUMIF('D-2 Off-Site Habitat Creation'!$F$9:$F$255,'G-2 Habitat groups'!A104,'D-2 Off-Site Habitat Creation'!$AB$9:$AB$255)</f>
        <v>0</v>
      </c>
      <c r="Y104" s="274">
        <f>SUMIF('D-3 Off-Site Habitat Enhancment'!$S$12:$S$491,'G-2 Habitat groups'!A104,'D-3 Off-Site Habitat Enhancment'!$V$12:$V$491)</f>
        <v>0</v>
      </c>
      <c r="Z104" s="274">
        <f>SUMIF('D-3 Off-Site Habitat Enhancment'!$S$12:$S$491,'G-2 Habitat groups'!A104,'D-3 Off-Site Habitat Enhancment'!$AQ$12:$AQ$491)</f>
        <v>0</v>
      </c>
      <c r="AA104" s="274">
        <f t="shared" si="80"/>
        <v>0</v>
      </c>
      <c r="AB104" s="274">
        <f t="shared" si="81"/>
        <v>0</v>
      </c>
      <c r="AC104" s="274">
        <f t="shared" si="82"/>
        <v>0</v>
      </c>
      <c r="AD104" s="274">
        <f t="shared" si="83"/>
        <v>0</v>
      </c>
      <c r="AE104" s="274">
        <f t="shared" si="84"/>
        <v>0</v>
      </c>
      <c r="AF104" s="274">
        <f t="shared" si="85"/>
        <v>0</v>
      </c>
      <c r="AU104" s="70" t="s">
        <v>739</v>
      </c>
      <c r="AV104" s="62" t="s">
        <v>116</v>
      </c>
      <c r="AW104" s="353">
        <f>VLOOKUP($AU104,AllHabsSummaryData,5,FALSE)</f>
        <v>0</v>
      </c>
      <c r="AX104" s="353">
        <f t="shared" si="65"/>
        <v>0</v>
      </c>
      <c r="AY104" s="353">
        <f t="shared" si="66"/>
        <v>0</v>
      </c>
      <c r="AZ104" s="353">
        <f t="shared" si="67"/>
        <v>0</v>
      </c>
      <c r="BA104" s="353">
        <f t="shared" si="68"/>
        <v>0</v>
      </c>
      <c r="BB104" s="353">
        <f t="shared" si="69"/>
        <v>0</v>
      </c>
      <c r="BC104" s="353">
        <f t="shared" si="70"/>
        <v>0.1171</v>
      </c>
      <c r="BD104" s="353">
        <f t="shared" si="71"/>
        <v>0.50546682675956633</v>
      </c>
      <c r="BE104" s="353">
        <f t="shared" si="74"/>
        <v>0.50546682675956633</v>
      </c>
      <c r="BF104" s="353" t="str">
        <f t="shared" si="75"/>
        <v/>
      </c>
    </row>
    <row r="105" spans="1:59" x14ac:dyDescent="0.25">
      <c r="A105" s="70" t="str">
        <f>'G-1 All Habitats'!B106</f>
        <v>Rocky shore - High energy littoral rock - on peat, clay or chalk</v>
      </c>
      <c r="B105" s="62" t="s">
        <v>94</v>
      </c>
      <c r="C105" s="62" t="str">
        <f>'G-1 All Habitats'!K106</f>
        <v>V.High</v>
      </c>
      <c r="D105" s="62" t="str">
        <f>'G-1 All Habitats'!M106</f>
        <v>Same habitat required – bespoke compensation option ⚠</v>
      </c>
      <c r="E105" s="274">
        <f>SUMIF('A-1 On-Site Habitat Baseline'!$AV$11:$AV$258,'G-2 Habitat groups'!A105,'A-1 On-Site Habitat Baseline'!$H$11:$H$258)</f>
        <v>0</v>
      </c>
      <c r="F105" s="274">
        <f>SUMIF('A-1 On-Site Habitat Baseline'!$AV$11:$AV$258,'G-2 Habitat groups'!A105,'A-1 On-Site Habitat Baseline'!$Q$11:$Q$258)</f>
        <v>0</v>
      </c>
      <c r="G105" s="274">
        <f>SUMIF('A-1 On-Site Habitat Baseline'!$AV$11:$AV$258,'G-2 Habitat groups'!A105,'A-1 On-Site Habitat Baseline'!$S$11:$S$258)</f>
        <v>0</v>
      </c>
      <c r="H105" s="274">
        <f>SUMIF('A-1 On-Site Habitat Baseline'!$AV$11:$AV$258,'G-2 Habitat groups'!A105,'A-1 On-Site Habitat Baseline'!$U$11:$U$258)+SUMIF('A-1 On-Site Habitat Baseline'!$AV$11:$AV$258,'G-2 Habitat groups'!A105, 'A-1 On-Site Habitat Baseline'!$AT$11:$AT$258)</f>
        <v>0</v>
      </c>
      <c r="I105" s="274">
        <f>SUMIF('A-1 On-Site Habitat Baseline'!$AV$11:$AV$258,'G-2 Habitat groups'!A105,'A-1 On-Site Habitat Baseline'!$W$11:$W$258)</f>
        <v>0</v>
      </c>
      <c r="J105" s="274">
        <f>SUMIF('A-1 On-Site Habitat Baseline'!$AV$11:$AV$258,'G-2 Habitat groups'!A105,'A-1 On-Site Habitat Baseline'!$X$11:$X$258)</f>
        <v>0</v>
      </c>
      <c r="K105" s="274">
        <f>SUMIF('A-2 On-Site Habitat Creation'!$F$11:$F$256,'G-2 Habitat groups'!A105,'A-2 On-Site Habitat Creation'!$G$11:$G$256)</f>
        <v>0</v>
      </c>
      <c r="L105" s="274">
        <f>SUMIF('A-2 On-Site Habitat Creation'!$F$11:$F$256,'G-2 Habitat groups'!A105,'A-2 On-Site Habitat Creation'!$Y$11:$Y$256)</f>
        <v>0</v>
      </c>
      <c r="M105" s="274">
        <f>SUMIF('A-3 On-Site Habitat Enhancement'!$S$12:$S$257,'G-2 Habitat groups'!A105,'A-3 On-Site Habitat Enhancement'!$V$12:$V$257)</f>
        <v>0</v>
      </c>
      <c r="N105" s="274">
        <f>SUMIF('A-3 On-Site Habitat Enhancement'!$S$12:$S$257,'G-2 Habitat groups'!A105,'A-3 On-Site Habitat Enhancement'!$AN$12:$AN$257)</f>
        <v>0</v>
      </c>
      <c r="O105" s="274">
        <f t="shared" si="76"/>
        <v>0</v>
      </c>
      <c r="P105" s="274">
        <f t="shared" si="77"/>
        <v>0</v>
      </c>
      <c r="Q105" s="274">
        <f t="shared" si="78"/>
        <v>0</v>
      </c>
      <c r="R105" s="274">
        <f t="shared" si="79"/>
        <v>0</v>
      </c>
      <c r="S105" s="274">
        <f>SUMIF('D-1 Off-Site Habitat Baseline'!$AV$11:$AV$258,'G-2 Habitat groups'!A105,'D-1 Off-Site Habitat Baseline'!$H$11:$H$258)</f>
        <v>0</v>
      </c>
      <c r="T105" s="274">
        <f>SUMIF('D-1 Off-Site Habitat Baseline'!$AV$11:$AV$258,'G-2 Habitat groups'!A105,'D-1 Off-Site Habitat Baseline'!$T$11:$T$258)</f>
        <v>0</v>
      </c>
      <c r="U105" s="274">
        <f>SUMIF('D-1 Off-Site Habitat Baseline'!$AV$11:$AV$258,'G-2 Habitat groups'!A105,'D-1 Off-Site Habitat Baseline'!$V$11:$V$258)</f>
        <v>0</v>
      </c>
      <c r="V105" s="274">
        <f>SUMIF('D-1 Off-Site Habitat Baseline'!$AV$11:$AV$258,'G-2 Habitat groups'!A105,'D-1 Off-Site Habitat Baseline'!$X$11:$X$258)+SUMIF('D-1 Off-Site Habitat Baseline'!$AV$11:$AV$258,'G-2 Habitat groups'!A105,'D-1 Off-Site Habitat Baseline'!$AS$11:$AS$258)</f>
        <v>0</v>
      </c>
      <c r="W105" s="274">
        <f>SUMIF('D-2 Off-Site Habitat Creation'!$F$9:$F$255,'G-2 Habitat groups'!A105,'D-2 Off-Site Habitat Creation'!$G$9:$G$255)</f>
        <v>0</v>
      </c>
      <c r="X105" s="274">
        <f>SUMIF('D-2 Off-Site Habitat Creation'!$F$9:$F$255,'G-2 Habitat groups'!A105,'D-2 Off-Site Habitat Creation'!$AB$9:$AB$255)</f>
        <v>0</v>
      </c>
      <c r="Y105" s="274">
        <f>SUMIF('D-3 Off-Site Habitat Enhancment'!$S$12:$S$491,'G-2 Habitat groups'!A105,'D-3 Off-Site Habitat Enhancment'!$V$12:$V$491)</f>
        <v>0</v>
      </c>
      <c r="Z105" s="274">
        <f>SUMIF('D-3 Off-Site Habitat Enhancment'!$S$12:$S$491,'G-2 Habitat groups'!A105,'D-3 Off-Site Habitat Enhancment'!$AQ$12:$AQ$491)</f>
        <v>0</v>
      </c>
      <c r="AA105" s="274">
        <f t="shared" si="80"/>
        <v>0</v>
      </c>
      <c r="AB105" s="274">
        <f t="shared" si="81"/>
        <v>0</v>
      </c>
      <c r="AC105" s="274">
        <f t="shared" si="82"/>
        <v>0</v>
      </c>
      <c r="AD105" s="274">
        <f t="shared" si="83"/>
        <v>0</v>
      </c>
      <c r="AE105" s="274">
        <f t="shared" si="84"/>
        <v>0</v>
      </c>
      <c r="AF105" s="274">
        <f t="shared" si="85"/>
        <v>0</v>
      </c>
      <c r="AU105" s="70" t="s">
        <v>857</v>
      </c>
      <c r="AV105" s="62" t="s">
        <v>148</v>
      </c>
      <c r="AW105" s="353">
        <f>VLOOKUP($AU105,AllHabsSummaryData,5,FALSE)</f>
        <v>0.10589999999999999</v>
      </c>
      <c r="AX105" s="353">
        <f>VLOOKUP($AU105,AllHabsSummaryData,10,FALSE)</f>
        <v>0.69321999999999995</v>
      </c>
      <c r="AY105" s="353">
        <f>VLOOKUP($AU105,AllHabsSummaryData,15,FALSE)</f>
        <v>0.14657361829251864</v>
      </c>
      <c r="AZ105" s="353">
        <f>VLOOKUP($AU105,AllHabsSummaryData,16,FALSE)</f>
        <v>0.66141036492817529</v>
      </c>
      <c r="BA105" s="353">
        <f>VLOOKUP($AU105,AllHabsSummaryData,17,FALSE)</f>
        <v>4.0673618292518643E-2</v>
      </c>
      <c r="BB105" s="353">
        <f>VLOOKUP($AU105,AllHabsSummaryData,18,FALSE)</f>
        <v>-0.31286963507182453</v>
      </c>
      <c r="BC105" s="353">
        <f>VLOOKUP($AU105,AllHabsSummaryData,27,FALSE)</f>
        <v>0.3054</v>
      </c>
      <c r="BD105" s="353">
        <f>VLOOKUP($AU105,AllHabsSummaryData,30,FALSE)</f>
        <v>0.36722802459047976</v>
      </c>
      <c r="BE105" s="353">
        <f>BB105+BD105</f>
        <v>5.4358389518655237E-2</v>
      </c>
      <c r="BF105" s="353" t="str">
        <f>IF(BE105&lt;0,BE105,"")</f>
        <v/>
      </c>
    </row>
    <row r="106" spans="1:59" x14ac:dyDescent="0.25">
      <c r="A106" s="70" t="str">
        <f>'G-1 All Habitats'!B107</f>
        <v>Rocky shore - Moderate energy littoral rock</v>
      </c>
      <c r="B106" s="62" t="s">
        <v>94</v>
      </c>
      <c r="C106" s="62" t="str">
        <f>'G-1 All Habitats'!K107</f>
        <v>High</v>
      </c>
      <c r="D106" s="62" t="str">
        <f>'G-1 All Habitats'!M107</f>
        <v>Same habitat required =</v>
      </c>
      <c r="E106" s="274">
        <f>SUMIF('A-1 On-Site Habitat Baseline'!$AV$11:$AV$258,'G-2 Habitat groups'!A106,'A-1 On-Site Habitat Baseline'!$H$11:$H$258)</f>
        <v>0</v>
      </c>
      <c r="F106" s="274">
        <f>SUMIF('A-1 On-Site Habitat Baseline'!$AV$11:$AV$258,'G-2 Habitat groups'!A106,'A-1 On-Site Habitat Baseline'!$Q$11:$Q$258)</f>
        <v>0</v>
      </c>
      <c r="G106" s="274">
        <f>SUMIF('A-1 On-Site Habitat Baseline'!$AV$11:$AV$258,'G-2 Habitat groups'!A106,'A-1 On-Site Habitat Baseline'!$S$11:$S$258)</f>
        <v>0</v>
      </c>
      <c r="H106" s="274">
        <f>SUMIF('A-1 On-Site Habitat Baseline'!$AV$11:$AV$258,'G-2 Habitat groups'!A106,'A-1 On-Site Habitat Baseline'!$U$11:$U$258)+SUMIF('A-1 On-Site Habitat Baseline'!$AV$11:$AV$258,'G-2 Habitat groups'!A106, 'A-1 On-Site Habitat Baseline'!$AT$11:$AT$258)</f>
        <v>0</v>
      </c>
      <c r="I106" s="274">
        <f>SUMIF('A-1 On-Site Habitat Baseline'!$AV$11:$AV$258,'G-2 Habitat groups'!A106,'A-1 On-Site Habitat Baseline'!$W$11:$W$258)</f>
        <v>0</v>
      </c>
      <c r="J106" s="274">
        <f>SUMIF('A-1 On-Site Habitat Baseline'!$AV$11:$AV$258,'G-2 Habitat groups'!A106,'A-1 On-Site Habitat Baseline'!$X$11:$X$258)</f>
        <v>0</v>
      </c>
      <c r="K106" s="274">
        <f>SUMIF('A-2 On-Site Habitat Creation'!$F$11:$F$256,'G-2 Habitat groups'!A106,'A-2 On-Site Habitat Creation'!$G$11:$G$256)</f>
        <v>0</v>
      </c>
      <c r="L106" s="274">
        <f>SUMIF('A-2 On-Site Habitat Creation'!$F$11:$F$256,'G-2 Habitat groups'!A106,'A-2 On-Site Habitat Creation'!$Y$11:$Y$256)</f>
        <v>0</v>
      </c>
      <c r="M106" s="274">
        <f>SUMIF('A-3 On-Site Habitat Enhancement'!$S$12:$S$257,'G-2 Habitat groups'!A106,'A-3 On-Site Habitat Enhancement'!$V$12:$V$257)</f>
        <v>0</v>
      </c>
      <c r="N106" s="274">
        <f>SUMIF('A-3 On-Site Habitat Enhancement'!$S$12:$S$257,'G-2 Habitat groups'!A106,'A-3 On-Site Habitat Enhancement'!$AN$12:$AN$257)</f>
        <v>0</v>
      </c>
      <c r="O106" s="274">
        <f t="shared" si="76"/>
        <v>0</v>
      </c>
      <c r="P106" s="274">
        <f t="shared" si="77"/>
        <v>0</v>
      </c>
      <c r="Q106" s="274">
        <f t="shared" si="78"/>
        <v>0</v>
      </c>
      <c r="R106" s="274">
        <f t="shared" si="79"/>
        <v>0</v>
      </c>
      <c r="S106" s="274">
        <f>SUMIF('D-1 Off-Site Habitat Baseline'!$AV$11:$AV$258,'G-2 Habitat groups'!A106,'D-1 Off-Site Habitat Baseline'!$H$11:$H$258)</f>
        <v>0</v>
      </c>
      <c r="T106" s="274">
        <f>SUMIF('D-1 Off-Site Habitat Baseline'!$AV$11:$AV$258,'G-2 Habitat groups'!A106,'D-1 Off-Site Habitat Baseline'!$T$11:$T$258)</f>
        <v>0</v>
      </c>
      <c r="U106" s="274">
        <f>SUMIF('D-1 Off-Site Habitat Baseline'!$AV$11:$AV$258,'G-2 Habitat groups'!A106,'D-1 Off-Site Habitat Baseline'!$V$11:$V$258)</f>
        <v>0</v>
      </c>
      <c r="V106" s="274">
        <f>SUMIF('D-1 Off-Site Habitat Baseline'!$AV$11:$AV$258,'G-2 Habitat groups'!A106,'D-1 Off-Site Habitat Baseline'!$X$11:$X$258)+SUMIF('D-1 Off-Site Habitat Baseline'!$AV$11:$AV$258,'G-2 Habitat groups'!A106,'D-1 Off-Site Habitat Baseline'!$AS$11:$AS$258)</f>
        <v>0</v>
      </c>
      <c r="W106" s="274">
        <f>SUMIF('D-2 Off-Site Habitat Creation'!$F$9:$F$255,'G-2 Habitat groups'!A106,'D-2 Off-Site Habitat Creation'!$G$9:$G$255)</f>
        <v>0</v>
      </c>
      <c r="X106" s="274">
        <f>SUMIF('D-2 Off-Site Habitat Creation'!$F$9:$F$255,'G-2 Habitat groups'!A106,'D-2 Off-Site Habitat Creation'!$AB$9:$AB$255)</f>
        <v>0</v>
      </c>
      <c r="Y106" s="274">
        <f>SUMIF('D-3 Off-Site Habitat Enhancment'!$S$12:$S$491,'G-2 Habitat groups'!A106,'D-3 Off-Site Habitat Enhancment'!$V$12:$V$491)</f>
        <v>0</v>
      </c>
      <c r="Z106" s="274">
        <f>SUMIF('D-3 Off-Site Habitat Enhancment'!$S$12:$S$491,'G-2 Habitat groups'!A106,'D-3 Off-Site Habitat Enhancment'!$AQ$12:$AQ$491)</f>
        <v>0</v>
      </c>
      <c r="AA106" s="274">
        <f t="shared" si="80"/>
        <v>0</v>
      </c>
      <c r="AB106" s="274">
        <f t="shared" si="81"/>
        <v>0</v>
      </c>
      <c r="AC106" s="274">
        <f t="shared" si="82"/>
        <v>0</v>
      </c>
      <c r="AD106" s="274">
        <f t="shared" si="83"/>
        <v>0</v>
      </c>
      <c r="AE106" s="274">
        <f t="shared" si="84"/>
        <v>0</v>
      </c>
      <c r="AF106" s="274">
        <f t="shared" si="85"/>
        <v>0</v>
      </c>
    </row>
    <row r="107" spans="1:59" x14ac:dyDescent="0.25">
      <c r="A107" s="70" t="str">
        <f>'G-1 All Habitats'!B108</f>
        <v>Rocky shore - Moderate energy littoral rock - on peat, clay or chalk</v>
      </c>
      <c r="B107" s="62" t="s">
        <v>94</v>
      </c>
      <c r="C107" s="62" t="str">
        <f>'G-1 All Habitats'!K108</f>
        <v>V.High</v>
      </c>
      <c r="D107" s="62" t="str">
        <f>'G-1 All Habitats'!M108</f>
        <v>Same habitat required – bespoke compensation option ⚠</v>
      </c>
      <c r="E107" s="274">
        <f>SUMIF('A-1 On-Site Habitat Baseline'!$AV$11:$AV$258,'G-2 Habitat groups'!A107,'A-1 On-Site Habitat Baseline'!$H$11:$H$258)</f>
        <v>0</v>
      </c>
      <c r="F107" s="274">
        <f>SUMIF('A-1 On-Site Habitat Baseline'!$AV$11:$AV$258,'G-2 Habitat groups'!A107,'A-1 On-Site Habitat Baseline'!$Q$11:$Q$258)</f>
        <v>0</v>
      </c>
      <c r="G107" s="274">
        <f>SUMIF('A-1 On-Site Habitat Baseline'!$AV$11:$AV$258,'G-2 Habitat groups'!A107,'A-1 On-Site Habitat Baseline'!$S$11:$S$258)</f>
        <v>0</v>
      </c>
      <c r="H107" s="274">
        <f>SUMIF('A-1 On-Site Habitat Baseline'!$AV$11:$AV$258,'G-2 Habitat groups'!A107,'A-1 On-Site Habitat Baseline'!$U$11:$U$258)+SUMIF('A-1 On-Site Habitat Baseline'!$AV$11:$AV$258,'G-2 Habitat groups'!A107, 'A-1 On-Site Habitat Baseline'!$AT$11:$AT$258)</f>
        <v>0</v>
      </c>
      <c r="I107" s="274">
        <f>SUMIF('A-1 On-Site Habitat Baseline'!$AV$11:$AV$258,'G-2 Habitat groups'!A107,'A-1 On-Site Habitat Baseline'!$W$11:$W$258)</f>
        <v>0</v>
      </c>
      <c r="J107" s="274">
        <f>SUMIF('A-1 On-Site Habitat Baseline'!$AV$11:$AV$258,'G-2 Habitat groups'!A107,'A-1 On-Site Habitat Baseline'!$X$11:$X$258)</f>
        <v>0</v>
      </c>
      <c r="K107" s="274">
        <f>SUMIF('A-2 On-Site Habitat Creation'!$F$11:$F$256,'G-2 Habitat groups'!A107,'A-2 On-Site Habitat Creation'!$G$11:$G$256)</f>
        <v>0</v>
      </c>
      <c r="L107" s="274">
        <f>SUMIF('A-2 On-Site Habitat Creation'!$F$11:$F$256,'G-2 Habitat groups'!A107,'A-2 On-Site Habitat Creation'!$Y$11:$Y$256)</f>
        <v>0</v>
      </c>
      <c r="M107" s="274">
        <f>SUMIF('A-3 On-Site Habitat Enhancement'!$S$12:$S$257,'G-2 Habitat groups'!A107,'A-3 On-Site Habitat Enhancement'!$V$12:$V$257)</f>
        <v>0</v>
      </c>
      <c r="N107" s="274">
        <f>SUMIF('A-3 On-Site Habitat Enhancement'!$S$12:$S$257,'G-2 Habitat groups'!A107,'A-3 On-Site Habitat Enhancement'!$AN$12:$AN$257)</f>
        <v>0</v>
      </c>
      <c r="O107" s="274">
        <f t="shared" si="76"/>
        <v>0</v>
      </c>
      <c r="P107" s="274">
        <f t="shared" si="77"/>
        <v>0</v>
      </c>
      <c r="Q107" s="274">
        <f t="shared" si="78"/>
        <v>0</v>
      </c>
      <c r="R107" s="274">
        <f t="shared" si="79"/>
        <v>0</v>
      </c>
      <c r="S107" s="274">
        <f>SUMIF('D-1 Off-Site Habitat Baseline'!$AV$11:$AV$258,'G-2 Habitat groups'!A107,'D-1 Off-Site Habitat Baseline'!$H$11:$H$258)</f>
        <v>0</v>
      </c>
      <c r="T107" s="274">
        <f>SUMIF('D-1 Off-Site Habitat Baseline'!$AV$11:$AV$258,'G-2 Habitat groups'!A107,'D-1 Off-Site Habitat Baseline'!$T$11:$T$258)</f>
        <v>0</v>
      </c>
      <c r="U107" s="274">
        <f>SUMIF('D-1 Off-Site Habitat Baseline'!$AV$11:$AV$258,'G-2 Habitat groups'!A107,'D-1 Off-Site Habitat Baseline'!$V$11:$V$258)</f>
        <v>0</v>
      </c>
      <c r="V107" s="274">
        <f>SUMIF('D-1 Off-Site Habitat Baseline'!$AV$11:$AV$258,'G-2 Habitat groups'!A107,'D-1 Off-Site Habitat Baseline'!$X$11:$X$258)+SUMIF('D-1 Off-Site Habitat Baseline'!$AV$11:$AV$258,'G-2 Habitat groups'!A107,'D-1 Off-Site Habitat Baseline'!$AS$11:$AS$258)</f>
        <v>0</v>
      </c>
      <c r="W107" s="274">
        <f>SUMIF('D-2 Off-Site Habitat Creation'!$F$9:$F$255,'G-2 Habitat groups'!A107,'D-2 Off-Site Habitat Creation'!$G$9:$G$255)</f>
        <v>0</v>
      </c>
      <c r="X107" s="274">
        <f>SUMIF('D-2 Off-Site Habitat Creation'!$F$9:$F$255,'G-2 Habitat groups'!A107,'D-2 Off-Site Habitat Creation'!$AB$9:$AB$255)</f>
        <v>0</v>
      </c>
      <c r="Y107" s="274">
        <f>SUMIF('D-3 Off-Site Habitat Enhancment'!$S$12:$S$491,'G-2 Habitat groups'!A107,'D-3 Off-Site Habitat Enhancment'!$V$12:$V$491)</f>
        <v>0</v>
      </c>
      <c r="Z107" s="274">
        <f>SUMIF('D-3 Off-Site Habitat Enhancment'!$S$12:$S$491,'G-2 Habitat groups'!A107,'D-3 Off-Site Habitat Enhancment'!$AQ$12:$AQ$491)</f>
        <v>0</v>
      </c>
      <c r="AA107" s="274">
        <f t="shared" si="80"/>
        <v>0</v>
      </c>
      <c r="AB107" s="274">
        <f t="shared" si="81"/>
        <v>0</v>
      </c>
      <c r="AC107" s="274">
        <f t="shared" si="82"/>
        <v>0</v>
      </c>
      <c r="AD107" s="274">
        <f t="shared" si="83"/>
        <v>0</v>
      </c>
      <c r="AE107" s="274">
        <f t="shared" si="84"/>
        <v>0</v>
      </c>
      <c r="AF107" s="274">
        <f t="shared" si="85"/>
        <v>0</v>
      </c>
    </row>
    <row r="108" spans="1:59" x14ac:dyDescent="0.25">
      <c r="A108" s="70" t="str">
        <f>'G-1 All Habitats'!B109</f>
        <v>Rocky shore - Low energy littoral rock</v>
      </c>
      <c r="B108" s="62" t="s">
        <v>94</v>
      </c>
      <c r="C108" s="62" t="str">
        <f>'G-1 All Habitats'!K109</f>
        <v>High</v>
      </c>
      <c r="D108" s="62" t="str">
        <f>'G-1 All Habitats'!M109</f>
        <v>Same habitat required =</v>
      </c>
      <c r="E108" s="274">
        <f>SUMIF('A-1 On-Site Habitat Baseline'!$AV$11:$AV$258,'G-2 Habitat groups'!A108,'A-1 On-Site Habitat Baseline'!$H$11:$H$258)</f>
        <v>0</v>
      </c>
      <c r="F108" s="274">
        <f>SUMIF('A-1 On-Site Habitat Baseline'!$AV$11:$AV$258,'G-2 Habitat groups'!A108,'A-1 On-Site Habitat Baseline'!$Q$11:$Q$258)</f>
        <v>0</v>
      </c>
      <c r="G108" s="274">
        <f>SUMIF('A-1 On-Site Habitat Baseline'!$AV$11:$AV$258,'G-2 Habitat groups'!A108,'A-1 On-Site Habitat Baseline'!$S$11:$S$258)</f>
        <v>0</v>
      </c>
      <c r="H108" s="274">
        <f>SUMIF('A-1 On-Site Habitat Baseline'!$AV$11:$AV$258,'G-2 Habitat groups'!A108,'A-1 On-Site Habitat Baseline'!$U$11:$U$258)+SUMIF('A-1 On-Site Habitat Baseline'!$AV$11:$AV$258,'G-2 Habitat groups'!A108, 'A-1 On-Site Habitat Baseline'!$AT$11:$AT$258)</f>
        <v>0</v>
      </c>
      <c r="I108" s="274">
        <f>SUMIF('A-1 On-Site Habitat Baseline'!$AV$11:$AV$258,'G-2 Habitat groups'!A108,'A-1 On-Site Habitat Baseline'!$W$11:$W$258)</f>
        <v>0</v>
      </c>
      <c r="J108" s="274">
        <f>SUMIF('A-1 On-Site Habitat Baseline'!$AV$11:$AV$258,'G-2 Habitat groups'!A108,'A-1 On-Site Habitat Baseline'!$X$11:$X$258)</f>
        <v>0</v>
      </c>
      <c r="K108" s="274">
        <f>SUMIF('A-2 On-Site Habitat Creation'!$F$11:$F$256,'G-2 Habitat groups'!A108,'A-2 On-Site Habitat Creation'!$G$11:$G$256)</f>
        <v>0</v>
      </c>
      <c r="L108" s="274">
        <f>SUMIF('A-2 On-Site Habitat Creation'!$F$11:$F$256,'G-2 Habitat groups'!A108,'A-2 On-Site Habitat Creation'!$Y$11:$Y$256)</f>
        <v>0</v>
      </c>
      <c r="M108" s="274">
        <f>SUMIF('A-3 On-Site Habitat Enhancement'!$S$12:$S$257,'G-2 Habitat groups'!A108,'A-3 On-Site Habitat Enhancement'!$V$12:$V$257)</f>
        <v>0</v>
      </c>
      <c r="N108" s="274">
        <f>SUMIF('A-3 On-Site Habitat Enhancement'!$S$12:$S$257,'G-2 Habitat groups'!A108,'A-3 On-Site Habitat Enhancement'!$AN$12:$AN$257)</f>
        <v>0</v>
      </c>
      <c r="O108" s="274">
        <f t="shared" si="76"/>
        <v>0</v>
      </c>
      <c r="P108" s="274">
        <f t="shared" si="77"/>
        <v>0</v>
      </c>
      <c r="Q108" s="274">
        <f t="shared" si="78"/>
        <v>0</v>
      </c>
      <c r="R108" s="274">
        <f t="shared" si="79"/>
        <v>0</v>
      </c>
      <c r="S108" s="274">
        <f>SUMIF('D-1 Off-Site Habitat Baseline'!$AV$11:$AV$258,'G-2 Habitat groups'!A108,'D-1 Off-Site Habitat Baseline'!$H$11:$H$258)</f>
        <v>0</v>
      </c>
      <c r="T108" s="274">
        <f>SUMIF('D-1 Off-Site Habitat Baseline'!$AV$11:$AV$258,'G-2 Habitat groups'!A108,'D-1 Off-Site Habitat Baseline'!$T$11:$T$258)</f>
        <v>0</v>
      </c>
      <c r="U108" s="274">
        <f>SUMIF('D-1 Off-Site Habitat Baseline'!$AV$11:$AV$258,'G-2 Habitat groups'!A108,'D-1 Off-Site Habitat Baseline'!$V$11:$V$258)</f>
        <v>0</v>
      </c>
      <c r="V108" s="274">
        <f>SUMIF('D-1 Off-Site Habitat Baseline'!$AV$11:$AV$258,'G-2 Habitat groups'!A108,'D-1 Off-Site Habitat Baseline'!$X$11:$X$258)+SUMIF('D-1 Off-Site Habitat Baseline'!$AV$11:$AV$258,'G-2 Habitat groups'!A108,'D-1 Off-Site Habitat Baseline'!$AS$11:$AS$258)</f>
        <v>0</v>
      </c>
      <c r="W108" s="274">
        <f>SUMIF('D-2 Off-Site Habitat Creation'!$F$9:$F$255,'G-2 Habitat groups'!A108,'D-2 Off-Site Habitat Creation'!$G$9:$G$255)</f>
        <v>0</v>
      </c>
      <c r="X108" s="274">
        <f>SUMIF('D-2 Off-Site Habitat Creation'!$F$9:$F$255,'G-2 Habitat groups'!A108,'D-2 Off-Site Habitat Creation'!$AB$9:$AB$255)</f>
        <v>0</v>
      </c>
      <c r="Y108" s="274">
        <f>SUMIF('D-3 Off-Site Habitat Enhancment'!$S$12:$S$491,'G-2 Habitat groups'!A108,'D-3 Off-Site Habitat Enhancment'!$V$12:$V$491)</f>
        <v>0</v>
      </c>
      <c r="Z108" s="274">
        <f>SUMIF('D-3 Off-Site Habitat Enhancment'!$S$12:$S$491,'G-2 Habitat groups'!A108,'D-3 Off-Site Habitat Enhancment'!$AQ$12:$AQ$491)</f>
        <v>0</v>
      </c>
      <c r="AA108" s="274">
        <f t="shared" si="80"/>
        <v>0</v>
      </c>
      <c r="AB108" s="274">
        <f t="shared" si="81"/>
        <v>0</v>
      </c>
      <c r="AC108" s="274">
        <f t="shared" si="82"/>
        <v>0</v>
      </c>
      <c r="AD108" s="274">
        <f t="shared" si="83"/>
        <v>0</v>
      </c>
      <c r="AE108" s="274">
        <f t="shared" si="84"/>
        <v>0</v>
      </c>
      <c r="AF108" s="274">
        <f t="shared" si="85"/>
        <v>0</v>
      </c>
    </row>
    <row r="109" spans="1:59" x14ac:dyDescent="0.25">
      <c r="A109" s="70" t="str">
        <f>'G-1 All Habitats'!B110</f>
        <v>Rocky shore - Low energy littoral rock - on peat, clay or chalk</v>
      </c>
      <c r="B109" s="62" t="s">
        <v>94</v>
      </c>
      <c r="C109" s="62" t="str">
        <f>'G-1 All Habitats'!K110</f>
        <v>V.High</v>
      </c>
      <c r="D109" s="62" t="str">
        <f>'G-1 All Habitats'!M110</f>
        <v>Same habitat required – bespoke compensation option ⚠</v>
      </c>
      <c r="E109" s="274">
        <f>SUMIF('A-1 On-Site Habitat Baseline'!$AV$11:$AV$258,'G-2 Habitat groups'!A109,'A-1 On-Site Habitat Baseline'!$H$11:$H$258)</f>
        <v>0</v>
      </c>
      <c r="F109" s="274">
        <f>SUMIF('A-1 On-Site Habitat Baseline'!$AV$11:$AV$258,'G-2 Habitat groups'!A109,'A-1 On-Site Habitat Baseline'!$Q$11:$Q$258)</f>
        <v>0</v>
      </c>
      <c r="G109" s="274">
        <f>SUMIF('A-1 On-Site Habitat Baseline'!$AV$11:$AV$258,'G-2 Habitat groups'!A109,'A-1 On-Site Habitat Baseline'!$S$11:$S$258)</f>
        <v>0</v>
      </c>
      <c r="H109" s="274">
        <f>SUMIF('A-1 On-Site Habitat Baseline'!$AV$11:$AV$258,'G-2 Habitat groups'!A109,'A-1 On-Site Habitat Baseline'!$U$11:$U$258)+SUMIF('A-1 On-Site Habitat Baseline'!$AV$11:$AV$258,'G-2 Habitat groups'!A109, 'A-1 On-Site Habitat Baseline'!$AT$11:$AT$258)</f>
        <v>0</v>
      </c>
      <c r="I109" s="274">
        <f>SUMIF('A-1 On-Site Habitat Baseline'!$AV$11:$AV$258,'G-2 Habitat groups'!A109,'A-1 On-Site Habitat Baseline'!$W$11:$W$258)</f>
        <v>0</v>
      </c>
      <c r="J109" s="274">
        <f>SUMIF('A-1 On-Site Habitat Baseline'!$AV$11:$AV$258,'G-2 Habitat groups'!A109,'A-1 On-Site Habitat Baseline'!$X$11:$X$258)</f>
        <v>0</v>
      </c>
      <c r="K109" s="274">
        <f>SUMIF('A-2 On-Site Habitat Creation'!$F$11:$F$256,'G-2 Habitat groups'!A109,'A-2 On-Site Habitat Creation'!$G$11:$G$256)</f>
        <v>0</v>
      </c>
      <c r="L109" s="274">
        <f>SUMIF('A-2 On-Site Habitat Creation'!$F$11:$F$256,'G-2 Habitat groups'!A109,'A-2 On-Site Habitat Creation'!$Y$11:$Y$256)</f>
        <v>0</v>
      </c>
      <c r="M109" s="274">
        <f>SUMIF('A-3 On-Site Habitat Enhancement'!$S$12:$S$257,'G-2 Habitat groups'!A109,'A-3 On-Site Habitat Enhancement'!$V$12:$V$257)</f>
        <v>0</v>
      </c>
      <c r="N109" s="274">
        <f>SUMIF('A-3 On-Site Habitat Enhancement'!$S$12:$S$257,'G-2 Habitat groups'!A109,'A-3 On-Site Habitat Enhancement'!$AN$12:$AN$257)</f>
        <v>0</v>
      </c>
      <c r="O109" s="274">
        <f t="shared" si="76"/>
        <v>0</v>
      </c>
      <c r="P109" s="274">
        <f t="shared" si="77"/>
        <v>0</v>
      </c>
      <c r="Q109" s="274">
        <f t="shared" si="78"/>
        <v>0</v>
      </c>
      <c r="R109" s="274">
        <f t="shared" si="79"/>
        <v>0</v>
      </c>
      <c r="S109" s="274">
        <f>SUMIF('D-1 Off-Site Habitat Baseline'!$AV$11:$AV$258,'G-2 Habitat groups'!A109,'D-1 Off-Site Habitat Baseline'!$H$11:$H$258)</f>
        <v>0</v>
      </c>
      <c r="T109" s="274">
        <f>SUMIF('D-1 Off-Site Habitat Baseline'!$AV$11:$AV$258,'G-2 Habitat groups'!A109,'D-1 Off-Site Habitat Baseline'!$T$11:$T$258)</f>
        <v>0</v>
      </c>
      <c r="U109" s="274">
        <f>SUMIF('D-1 Off-Site Habitat Baseline'!$AV$11:$AV$258,'G-2 Habitat groups'!A109,'D-1 Off-Site Habitat Baseline'!$V$11:$V$258)</f>
        <v>0</v>
      </c>
      <c r="V109" s="274">
        <f>SUMIF('D-1 Off-Site Habitat Baseline'!$AV$11:$AV$258,'G-2 Habitat groups'!A109,'D-1 Off-Site Habitat Baseline'!$X$11:$X$258)+SUMIF('D-1 Off-Site Habitat Baseline'!$AV$11:$AV$258,'G-2 Habitat groups'!A109,'D-1 Off-Site Habitat Baseline'!$AS$11:$AS$258)</f>
        <v>0</v>
      </c>
      <c r="W109" s="274">
        <f>SUMIF('D-2 Off-Site Habitat Creation'!$F$9:$F$255,'G-2 Habitat groups'!A109,'D-2 Off-Site Habitat Creation'!$G$9:$G$255)</f>
        <v>0</v>
      </c>
      <c r="X109" s="274">
        <f>SUMIF('D-2 Off-Site Habitat Creation'!$F$9:$F$255,'G-2 Habitat groups'!A109,'D-2 Off-Site Habitat Creation'!$AB$9:$AB$255)</f>
        <v>0</v>
      </c>
      <c r="Y109" s="274">
        <f>SUMIF('D-3 Off-Site Habitat Enhancment'!$S$12:$S$491,'G-2 Habitat groups'!A109,'D-3 Off-Site Habitat Enhancment'!$V$12:$V$491)</f>
        <v>0</v>
      </c>
      <c r="Z109" s="274">
        <f>SUMIF('D-3 Off-Site Habitat Enhancment'!$S$12:$S$491,'G-2 Habitat groups'!A109,'D-3 Off-Site Habitat Enhancment'!$AQ$12:$AQ$491)</f>
        <v>0</v>
      </c>
      <c r="AA109" s="274">
        <f t="shared" si="80"/>
        <v>0</v>
      </c>
      <c r="AB109" s="274">
        <f t="shared" si="81"/>
        <v>0</v>
      </c>
      <c r="AC109" s="274">
        <f t="shared" si="82"/>
        <v>0</v>
      </c>
      <c r="AD109" s="274">
        <f t="shared" si="83"/>
        <v>0</v>
      </c>
      <c r="AE109" s="274">
        <f t="shared" si="84"/>
        <v>0</v>
      </c>
      <c r="AF109" s="274">
        <f t="shared" si="85"/>
        <v>0</v>
      </c>
    </row>
    <row r="110" spans="1:59" x14ac:dyDescent="0.25">
      <c r="A110" s="70" t="str">
        <f>'G-1 All Habitats'!B111</f>
        <v>Rocky shore - Features of littoral rock</v>
      </c>
      <c r="B110" s="62" t="s">
        <v>94</v>
      </c>
      <c r="C110" s="62" t="str">
        <f>'G-1 All Habitats'!K111</f>
        <v>High</v>
      </c>
      <c r="D110" s="62" t="str">
        <f>'G-1 All Habitats'!M111</f>
        <v>Same habitat required =</v>
      </c>
      <c r="E110" s="274">
        <f>SUMIF('A-1 On-Site Habitat Baseline'!$AV$11:$AV$258,'G-2 Habitat groups'!A110,'A-1 On-Site Habitat Baseline'!$H$11:$H$258)</f>
        <v>0</v>
      </c>
      <c r="F110" s="274">
        <f>SUMIF('A-1 On-Site Habitat Baseline'!$AV$11:$AV$258,'G-2 Habitat groups'!A110,'A-1 On-Site Habitat Baseline'!$Q$11:$Q$258)</f>
        <v>0</v>
      </c>
      <c r="G110" s="274">
        <f>SUMIF('A-1 On-Site Habitat Baseline'!$AV$11:$AV$258,'G-2 Habitat groups'!A110,'A-1 On-Site Habitat Baseline'!$S$11:$S$258)</f>
        <v>0</v>
      </c>
      <c r="H110" s="274">
        <f>SUMIF('A-1 On-Site Habitat Baseline'!$AV$11:$AV$258,'G-2 Habitat groups'!A110,'A-1 On-Site Habitat Baseline'!$U$11:$U$258)+SUMIF('A-1 On-Site Habitat Baseline'!$AV$11:$AV$258,'G-2 Habitat groups'!A110, 'A-1 On-Site Habitat Baseline'!$AT$11:$AT$258)</f>
        <v>0</v>
      </c>
      <c r="I110" s="274">
        <f>SUMIF('A-1 On-Site Habitat Baseline'!$AV$11:$AV$258,'G-2 Habitat groups'!A110,'A-1 On-Site Habitat Baseline'!$W$11:$W$258)</f>
        <v>0</v>
      </c>
      <c r="J110" s="274">
        <f>SUMIF('A-1 On-Site Habitat Baseline'!$AV$11:$AV$258,'G-2 Habitat groups'!A110,'A-1 On-Site Habitat Baseline'!$X$11:$X$258)</f>
        <v>0</v>
      </c>
      <c r="K110" s="274">
        <f>SUMIF('A-2 On-Site Habitat Creation'!$F$11:$F$256,'G-2 Habitat groups'!A110,'A-2 On-Site Habitat Creation'!$G$11:$G$256)</f>
        <v>0</v>
      </c>
      <c r="L110" s="274">
        <f>SUMIF('A-2 On-Site Habitat Creation'!$F$11:$F$256,'G-2 Habitat groups'!A110,'A-2 On-Site Habitat Creation'!$Y$11:$Y$256)</f>
        <v>0</v>
      </c>
      <c r="M110" s="274">
        <f>SUMIF('A-3 On-Site Habitat Enhancement'!$S$12:$S$257,'G-2 Habitat groups'!A110,'A-3 On-Site Habitat Enhancement'!$V$12:$V$257)</f>
        <v>0</v>
      </c>
      <c r="N110" s="274">
        <f>SUMIF('A-3 On-Site Habitat Enhancement'!$S$12:$S$257,'G-2 Habitat groups'!A110,'A-3 On-Site Habitat Enhancement'!$AN$12:$AN$257)</f>
        <v>0</v>
      </c>
      <c r="O110" s="274">
        <f t="shared" si="76"/>
        <v>0</v>
      </c>
      <c r="P110" s="274">
        <f t="shared" si="77"/>
        <v>0</v>
      </c>
      <c r="Q110" s="274">
        <f t="shared" si="78"/>
        <v>0</v>
      </c>
      <c r="R110" s="274">
        <f t="shared" si="79"/>
        <v>0</v>
      </c>
      <c r="S110" s="274">
        <f>SUMIF('D-1 Off-Site Habitat Baseline'!$AV$11:$AV$258,'G-2 Habitat groups'!A110,'D-1 Off-Site Habitat Baseline'!$H$11:$H$258)</f>
        <v>0</v>
      </c>
      <c r="T110" s="274">
        <f>SUMIF('D-1 Off-Site Habitat Baseline'!$AV$11:$AV$258,'G-2 Habitat groups'!A110,'D-1 Off-Site Habitat Baseline'!$T$11:$T$258)</f>
        <v>0</v>
      </c>
      <c r="U110" s="274">
        <f>SUMIF('D-1 Off-Site Habitat Baseline'!$AV$11:$AV$258,'G-2 Habitat groups'!A110,'D-1 Off-Site Habitat Baseline'!$V$11:$V$258)</f>
        <v>0</v>
      </c>
      <c r="V110" s="274">
        <f>SUMIF('D-1 Off-Site Habitat Baseline'!$AV$11:$AV$258,'G-2 Habitat groups'!A110,'D-1 Off-Site Habitat Baseline'!$X$11:$X$258)+SUMIF('D-1 Off-Site Habitat Baseline'!$AV$11:$AV$258,'G-2 Habitat groups'!A110,'D-1 Off-Site Habitat Baseline'!$AS$11:$AS$258)</f>
        <v>0</v>
      </c>
      <c r="W110" s="274">
        <f>SUMIF('D-2 Off-Site Habitat Creation'!$F$9:$F$255,'G-2 Habitat groups'!A110,'D-2 Off-Site Habitat Creation'!$G$9:$G$255)</f>
        <v>0</v>
      </c>
      <c r="X110" s="274">
        <f>SUMIF('D-2 Off-Site Habitat Creation'!$F$9:$F$255,'G-2 Habitat groups'!A110,'D-2 Off-Site Habitat Creation'!$AB$9:$AB$255)</f>
        <v>0</v>
      </c>
      <c r="Y110" s="274">
        <f>SUMIF('D-3 Off-Site Habitat Enhancment'!$S$12:$S$491,'G-2 Habitat groups'!A110,'D-3 Off-Site Habitat Enhancment'!$V$12:$V$491)</f>
        <v>0</v>
      </c>
      <c r="Z110" s="274">
        <f>SUMIF('D-3 Off-Site Habitat Enhancment'!$S$12:$S$491,'G-2 Habitat groups'!A110,'D-3 Off-Site Habitat Enhancment'!$AQ$12:$AQ$491)</f>
        <v>0</v>
      </c>
      <c r="AA110" s="274">
        <f t="shared" si="80"/>
        <v>0</v>
      </c>
      <c r="AB110" s="274">
        <f t="shared" si="81"/>
        <v>0</v>
      </c>
      <c r="AC110" s="274">
        <f t="shared" si="82"/>
        <v>0</v>
      </c>
      <c r="AD110" s="274">
        <f t="shared" si="83"/>
        <v>0</v>
      </c>
      <c r="AE110" s="274">
        <f t="shared" si="84"/>
        <v>0</v>
      </c>
      <c r="AF110" s="274">
        <f t="shared" si="85"/>
        <v>0</v>
      </c>
    </row>
    <row r="111" spans="1:59" ht="35.4" x14ac:dyDescent="0.6">
      <c r="A111" s="70" t="str">
        <f>'G-1 All Habitats'!B112</f>
        <v>Rocky shore - Features of littoral rock - on peat, clay or chalk</v>
      </c>
      <c r="B111" s="62" t="s">
        <v>94</v>
      </c>
      <c r="C111" s="62" t="str">
        <f>'G-1 All Habitats'!K112</f>
        <v>V.High</v>
      </c>
      <c r="D111" s="62" t="str">
        <f>'G-1 All Habitats'!M112</f>
        <v>Same habitat required – bespoke compensation option ⚠</v>
      </c>
      <c r="E111" s="274">
        <f>SUMIF('A-1 On-Site Habitat Baseline'!$AV$11:$AV$258,'G-2 Habitat groups'!A111,'A-1 On-Site Habitat Baseline'!$H$11:$H$258)</f>
        <v>0</v>
      </c>
      <c r="F111" s="274">
        <f>SUMIF('A-1 On-Site Habitat Baseline'!$AV$11:$AV$258,'G-2 Habitat groups'!A111,'A-1 On-Site Habitat Baseline'!$Q$11:$Q$258)</f>
        <v>0</v>
      </c>
      <c r="G111" s="274">
        <f>SUMIF('A-1 On-Site Habitat Baseline'!$AV$11:$AV$258,'G-2 Habitat groups'!A111,'A-1 On-Site Habitat Baseline'!$S$11:$S$258)</f>
        <v>0</v>
      </c>
      <c r="H111" s="274">
        <f>SUMIF('A-1 On-Site Habitat Baseline'!$AV$11:$AV$258,'G-2 Habitat groups'!A111,'A-1 On-Site Habitat Baseline'!$U$11:$U$258)+SUMIF('A-1 On-Site Habitat Baseline'!$AV$11:$AV$258,'G-2 Habitat groups'!A111, 'A-1 On-Site Habitat Baseline'!$AT$11:$AT$258)</f>
        <v>0</v>
      </c>
      <c r="I111" s="274">
        <f>SUMIF('A-1 On-Site Habitat Baseline'!$AV$11:$AV$258,'G-2 Habitat groups'!A111,'A-1 On-Site Habitat Baseline'!$W$11:$W$258)</f>
        <v>0</v>
      </c>
      <c r="J111" s="274">
        <f>SUMIF('A-1 On-Site Habitat Baseline'!$AV$11:$AV$258,'G-2 Habitat groups'!A111,'A-1 On-Site Habitat Baseline'!$X$11:$X$258)</f>
        <v>0</v>
      </c>
      <c r="K111" s="274">
        <f>SUMIF('A-2 On-Site Habitat Creation'!$F$11:$F$256,'G-2 Habitat groups'!A111,'A-2 On-Site Habitat Creation'!$G$11:$G$256)</f>
        <v>0</v>
      </c>
      <c r="L111" s="274">
        <f>SUMIF('A-2 On-Site Habitat Creation'!$F$11:$F$256,'G-2 Habitat groups'!A111,'A-2 On-Site Habitat Creation'!$Y$11:$Y$256)</f>
        <v>0</v>
      </c>
      <c r="M111" s="274">
        <f>SUMIF('A-3 On-Site Habitat Enhancement'!$S$12:$S$257,'G-2 Habitat groups'!A111,'A-3 On-Site Habitat Enhancement'!$V$12:$V$257)</f>
        <v>0</v>
      </c>
      <c r="N111" s="274">
        <f>SUMIF('A-3 On-Site Habitat Enhancement'!$S$12:$S$257,'G-2 Habitat groups'!A111,'A-3 On-Site Habitat Enhancement'!$AN$12:$AN$257)</f>
        <v>0</v>
      </c>
      <c r="O111" s="274">
        <f t="shared" si="76"/>
        <v>0</v>
      </c>
      <c r="P111" s="274">
        <f t="shared" si="77"/>
        <v>0</v>
      </c>
      <c r="Q111" s="274">
        <f t="shared" si="78"/>
        <v>0</v>
      </c>
      <c r="R111" s="274">
        <f t="shared" si="79"/>
        <v>0</v>
      </c>
      <c r="S111" s="274">
        <f>SUMIF('D-1 Off-Site Habitat Baseline'!$AV$11:$AV$258,'G-2 Habitat groups'!A111,'D-1 Off-Site Habitat Baseline'!$H$11:$H$258)</f>
        <v>0</v>
      </c>
      <c r="T111" s="274">
        <f>SUMIF('D-1 Off-Site Habitat Baseline'!$AV$11:$AV$258,'G-2 Habitat groups'!A111,'D-1 Off-Site Habitat Baseline'!$T$11:$T$258)</f>
        <v>0</v>
      </c>
      <c r="U111" s="274">
        <f>SUMIF('D-1 Off-Site Habitat Baseline'!$AV$11:$AV$258,'G-2 Habitat groups'!A111,'D-1 Off-Site Habitat Baseline'!$V$11:$V$258)</f>
        <v>0</v>
      </c>
      <c r="V111" s="274">
        <f>SUMIF('D-1 Off-Site Habitat Baseline'!$AV$11:$AV$258,'G-2 Habitat groups'!A111,'D-1 Off-Site Habitat Baseline'!$X$11:$X$258)+SUMIF('D-1 Off-Site Habitat Baseline'!$AV$11:$AV$258,'G-2 Habitat groups'!A111,'D-1 Off-Site Habitat Baseline'!$AS$11:$AS$258)</f>
        <v>0</v>
      </c>
      <c r="W111" s="274">
        <f>SUMIF('D-2 Off-Site Habitat Creation'!$F$9:$F$255,'G-2 Habitat groups'!A111,'D-2 Off-Site Habitat Creation'!$G$9:$G$255)</f>
        <v>0</v>
      </c>
      <c r="X111" s="274">
        <f>SUMIF('D-2 Off-Site Habitat Creation'!$F$9:$F$255,'G-2 Habitat groups'!A111,'D-2 Off-Site Habitat Creation'!$AB$9:$AB$255)</f>
        <v>0</v>
      </c>
      <c r="Y111" s="274">
        <f>SUMIF('D-3 Off-Site Habitat Enhancment'!$S$12:$S$491,'G-2 Habitat groups'!A111,'D-3 Off-Site Habitat Enhancment'!$V$12:$V$491)</f>
        <v>0</v>
      </c>
      <c r="Z111" s="274">
        <f>SUMIF('D-3 Off-Site Habitat Enhancment'!$S$12:$S$491,'G-2 Habitat groups'!A111,'D-3 Off-Site Habitat Enhancment'!$AQ$12:$AQ$491)</f>
        <v>0</v>
      </c>
      <c r="AA111" s="274">
        <f t="shared" si="80"/>
        <v>0</v>
      </c>
      <c r="AB111" s="274">
        <f t="shared" si="81"/>
        <v>0</v>
      </c>
      <c r="AC111" s="274">
        <f t="shared" si="82"/>
        <v>0</v>
      </c>
      <c r="AD111" s="274">
        <f t="shared" si="83"/>
        <v>0</v>
      </c>
      <c r="AE111" s="274">
        <f t="shared" si="84"/>
        <v>0</v>
      </c>
      <c r="AF111" s="274">
        <f t="shared" si="85"/>
        <v>0</v>
      </c>
      <c r="AU111" s="229" t="s">
        <v>295</v>
      </c>
    </row>
    <row r="112" spans="1:59" ht="33" customHeight="1" x14ac:dyDescent="0.3">
      <c r="A112" s="70" t="str">
        <f>'G-1 All Habitats'!B115</f>
        <v>Intertidal sediment - Littoral coarse sediment</v>
      </c>
      <c r="B112" s="62" t="s">
        <v>105</v>
      </c>
      <c r="C112" s="62" t="str">
        <f>'G-1 All Habitats'!K115</f>
        <v>Medium</v>
      </c>
      <c r="D112" s="62" t="str">
        <f>'G-1 All Habitats'!M115</f>
        <v>Same broad habitat or a higher distinctiveness habitat required (≥)</v>
      </c>
      <c r="E112" s="274">
        <f>SUMIF('A-1 On-Site Habitat Baseline'!$AV$11:$AV$258,'G-2 Habitat groups'!A112,'A-1 On-Site Habitat Baseline'!$H$11:$H$258)</f>
        <v>0</v>
      </c>
      <c r="F112" s="274">
        <f>SUMIF('A-1 On-Site Habitat Baseline'!$AV$11:$AV$258,'G-2 Habitat groups'!A112,'A-1 On-Site Habitat Baseline'!$Q$11:$Q$258)</f>
        <v>0</v>
      </c>
      <c r="G112" s="274">
        <f>SUMIF('A-1 On-Site Habitat Baseline'!$AV$11:$AV$258,'G-2 Habitat groups'!A112,'A-1 On-Site Habitat Baseline'!$S$11:$S$258)</f>
        <v>0</v>
      </c>
      <c r="H112" s="274">
        <f>SUMIF('A-1 On-Site Habitat Baseline'!$AV$11:$AV$258,'G-2 Habitat groups'!A112,'A-1 On-Site Habitat Baseline'!$U$11:$U$258)+SUMIF('A-1 On-Site Habitat Baseline'!$AV$11:$AV$258,'G-2 Habitat groups'!A112, 'A-1 On-Site Habitat Baseline'!$AT$11:$AT$258)</f>
        <v>0</v>
      </c>
      <c r="I112" s="274">
        <f>SUMIF('A-1 On-Site Habitat Baseline'!$AV$11:$AV$258,'G-2 Habitat groups'!A112,'A-1 On-Site Habitat Baseline'!$W$11:$W$258)</f>
        <v>0</v>
      </c>
      <c r="J112" s="274">
        <f>SUMIF('A-1 On-Site Habitat Baseline'!$AV$11:$AV$258,'G-2 Habitat groups'!A112,'A-1 On-Site Habitat Baseline'!$X$11:$X$258)</f>
        <v>0</v>
      </c>
      <c r="K112" s="274">
        <f>SUMIF('A-2 On-Site Habitat Creation'!$F$11:$F$256,'G-2 Habitat groups'!A112,'A-2 On-Site Habitat Creation'!$G$11:$G$256)</f>
        <v>0</v>
      </c>
      <c r="L112" s="274">
        <f>SUMIF('A-2 On-Site Habitat Creation'!$F$11:$F$256,'G-2 Habitat groups'!A112,'A-2 On-Site Habitat Creation'!$Y$11:$Y$256)</f>
        <v>0</v>
      </c>
      <c r="M112" s="274">
        <f>SUMIF('A-3 On-Site Habitat Enhancement'!$S$12:$S$257,'G-2 Habitat groups'!A112,'A-3 On-Site Habitat Enhancement'!$V$12:$V$257)</f>
        <v>0</v>
      </c>
      <c r="N112" s="274">
        <f>SUMIF('A-3 On-Site Habitat Enhancement'!$S$12:$S$257,'G-2 Habitat groups'!A112,'A-3 On-Site Habitat Enhancement'!$AN$12:$AN$257)</f>
        <v>0</v>
      </c>
      <c r="O112" s="274">
        <f t="shared" si="76"/>
        <v>0</v>
      </c>
      <c r="P112" s="274">
        <f t="shared" si="77"/>
        <v>0</v>
      </c>
      <c r="Q112" s="274">
        <f t="shared" si="78"/>
        <v>0</v>
      </c>
      <c r="R112" s="274">
        <f t="shared" si="79"/>
        <v>0</v>
      </c>
      <c r="S112" s="274">
        <f>SUMIF('D-1 Off-Site Habitat Baseline'!$AV$11:$AV$258,'G-2 Habitat groups'!A112,'D-1 Off-Site Habitat Baseline'!$H$11:$H$258)</f>
        <v>0</v>
      </c>
      <c r="T112" s="274">
        <f>SUMIF('D-1 Off-Site Habitat Baseline'!$AV$11:$AV$258,'G-2 Habitat groups'!A112,'D-1 Off-Site Habitat Baseline'!$T$11:$T$258)</f>
        <v>0</v>
      </c>
      <c r="U112" s="274">
        <f>SUMIF('D-1 Off-Site Habitat Baseline'!$AV$11:$AV$258,'G-2 Habitat groups'!A112,'D-1 Off-Site Habitat Baseline'!$V$11:$V$258)</f>
        <v>0</v>
      </c>
      <c r="V112" s="274">
        <f>SUMIF('D-1 Off-Site Habitat Baseline'!$AV$11:$AV$258,'G-2 Habitat groups'!A112,'D-1 Off-Site Habitat Baseline'!$X$11:$X$258)+SUMIF('D-1 Off-Site Habitat Baseline'!$AV$11:$AV$258,'G-2 Habitat groups'!A112,'D-1 Off-Site Habitat Baseline'!$AS$11:$AS$258)</f>
        <v>0</v>
      </c>
      <c r="W112" s="274">
        <f>SUMIF('D-2 Off-Site Habitat Creation'!$F$9:$F$255,'G-2 Habitat groups'!A112,'D-2 Off-Site Habitat Creation'!$G$9:$G$255)</f>
        <v>0</v>
      </c>
      <c r="X112" s="274">
        <f>SUMIF('D-2 Off-Site Habitat Creation'!$F$9:$F$255,'G-2 Habitat groups'!A112,'D-2 Off-Site Habitat Creation'!$AB$9:$AB$255)</f>
        <v>0</v>
      </c>
      <c r="Y112" s="274">
        <f>SUMIF('D-3 Off-Site Habitat Enhancment'!$S$12:$S$491,'G-2 Habitat groups'!A112,'D-3 Off-Site Habitat Enhancment'!$V$12:$V$491)</f>
        <v>0</v>
      </c>
      <c r="Z112" s="274">
        <f>SUMIF('D-3 Off-Site Habitat Enhancment'!$S$12:$S$491,'G-2 Habitat groups'!A112,'D-3 Off-Site Habitat Enhancment'!$AQ$12:$AQ$491)</f>
        <v>0</v>
      </c>
      <c r="AA112" s="274">
        <f t="shared" si="80"/>
        <v>0</v>
      </c>
      <c r="AB112" s="274">
        <f t="shared" si="81"/>
        <v>0</v>
      </c>
      <c r="AC112" s="274">
        <f t="shared" si="82"/>
        <v>0</v>
      </c>
      <c r="AD112" s="274">
        <f t="shared" si="83"/>
        <v>0</v>
      </c>
      <c r="AE112" s="274">
        <f t="shared" si="84"/>
        <v>0</v>
      </c>
      <c r="AF112" s="274">
        <f t="shared" si="85"/>
        <v>0</v>
      </c>
      <c r="AU112" s="85" t="s">
        <v>63</v>
      </c>
      <c r="AV112" s="88" t="s">
        <v>299</v>
      </c>
      <c r="AW112" s="89" t="s">
        <v>1068</v>
      </c>
      <c r="AX112" s="89" t="s">
        <v>1069</v>
      </c>
      <c r="AY112" s="89" t="s">
        <v>1070</v>
      </c>
      <c r="AZ112" s="89" t="s">
        <v>1071</v>
      </c>
      <c r="BA112" s="89" t="s">
        <v>1072</v>
      </c>
      <c r="BB112" s="89" t="s">
        <v>1073</v>
      </c>
      <c r="BC112" s="89" t="s">
        <v>1074</v>
      </c>
      <c r="BD112" s="89" t="s">
        <v>1075</v>
      </c>
      <c r="BE112" s="89" t="s">
        <v>1076</v>
      </c>
      <c r="BF112" s="89" t="s">
        <v>1084</v>
      </c>
      <c r="BG112" s="31"/>
    </row>
    <row r="113" spans="1:58" x14ac:dyDescent="0.25">
      <c r="A113" s="70" t="str">
        <f>'G-1 All Habitats'!B116</f>
        <v>Intertidal sediment - Littoral mud</v>
      </c>
      <c r="B113" s="62" t="s">
        <v>105</v>
      </c>
      <c r="C113" s="62" t="str">
        <f>'G-1 All Habitats'!K116</f>
        <v>High</v>
      </c>
      <c r="D113" s="62" t="str">
        <f>'G-1 All Habitats'!M116</f>
        <v>Same habitat required =</v>
      </c>
      <c r="E113" s="274">
        <f>SUMIF('A-1 On-Site Habitat Baseline'!$AV$11:$AV$258,'G-2 Habitat groups'!A113,'A-1 On-Site Habitat Baseline'!$H$11:$H$258)</f>
        <v>0</v>
      </c>
      <c r="F113" s="274">
        <f>SUMIF('A-1 On-Site Habitat Baseline'!$AV$11:$AV$258,'G-2 Habitat groups'!A113,'A-1 On-Site Habitat Baseline'!$Q$11:$Q$258)</f>
        <v>0</v>
      </c>
      <c r="G113" s="274">
        <f>SUMIF('A-1 On-Site Habitat Baseline'!$AV$11:$AV$258,'G-2 Habitat groups'!A113,'A-1 On-Site Habitat Baseline'!$S$11:$S$258)</f>
        <v>0</v>
      </c>
      <c r="H113" s="274">
        <f>SUMIF('A-1 On-Site Habitat Baseline'!$AV$11:$AV$258,'G-2 Habitat groups'!A113,'A-1 On-Site Habitat Baseline'!$U$11:$U$258)+SUMIF('A-1 On-Site Habitat Baseline'!$AV$11:$AV$258,'G-2 Habitat groups'!A113, 'A-1 On-Site Habitat Baseline'!$AT$11:$AT$258)</f>
        <v>0</v>
      </c>
      <c r="I113" s="274">
        <f>SUMIF('A-1 On-Site Habitat Baseline'!$AV$11:$AV$258,'G-2 Habitat groups'!A113,'A-1 On-Site Habitat Baseline'!$W$11:$W$258)</f>
        <v>0</v>
      </c>
      <c r="J113" s="274">
        <f>SUMIF('A-1 On-Site Habitat Baseline'!$AV$11:$AV$258,'G-2 Habitat groups'!A113,'A-1 On-Site Habitat Baseline'!$X$11:$X$258)</f>
        <v>0</v>
      </c>
      <c r="K113" s="274">
        <f>SUMIF('A-2 On-Site Habitat Creation'!$F$11:$F$256,'G-2 Habitat groups'!A113,'A-2 On-Site Habitat Creation'!$G$11:$G$256)</f>
        <v>0</v>
      </c>
      <c r="L113" s="274">
        <f>SUMIF('A-2 On-Site Habitat Creation'!$F$11:$F$256,'G-2 Habitat groups'!A113,'A-2 On-Site Habitat Creation'!$Y$11:$Y$256)</f>
        <v>0</v>
      </c>
      <c r="M113" s="274">
        <f>SUMIF('A-3 On-Site Habitat Enhancement'!$S$12:$S$257,'G-2 Habitat groups'!A113,'A-3 On-Site Habitat Enhancement'!$V$12:$V$257)</f>
        <v>0</v>
      </c>
      <c r="N113" s="274">
        <f>SUMIF('A-3 On-Site Habitat Enhancement'!$S$12:$S$257,'G-2 Habitat groups'!A113,'A-3 On-Site Habitat Enhancement'!$AN$12:$AN$257)</f>
        <v>0</v>
      </c>
      <c r="O113" s="274">
        <f t="shared" si="76"/>
        <v>0</v>
      </c>
      <c r="P113" s="274">
        <f t="shared" si="77"/>
        <v>0</v>
      </c>
      <c r="Q113" s="274">
        <f t="shared" si="78"/>
        <v>0</v>
      </c>
      <c r="R113" s="274">
        <f t="shared" si="79"/>
        <v>0</v>
      </c>
      <c r="S113" s="274">
        <f>SUMIF('D-1 Off-Site Habitat Baseline'!$AV$11:$AV$258,'G-2 Habitat groups'!A113,'D-1 Off-Site Habitat Baseline'!$H$11:$H$258)</f>
        <v>0</v>
      </c>
      <c r="T113" s="274">
        <f>SUMIF('D-1 Off-Site Habitat Baseline'!$AV$11:$AV$258,'G-2 Habitat groups'!A113,'D-1 Off-Site Habitat Baseline'!$T$11:$T$258)</f>
        <v>0</v>
      </c>
      <c r="U113" s="274">
        <f>SUMIF('D-1 Off-Site Habitat Baseline'!$AV$11:$AV$258,'G-2 Habitat groups'!A113,'D-1 Off-Site Habitat Baseline'!$V$11:$V$258)</f>
        <v>0</v>
      </c>
      <c r="V113" s="274">
        <f>SUMIF('D-1 Off-Site Habitat Baseline'!$AV$11:$AV$258,'G-2 Habitat groups'!A113,'D-1 Off-Site Habitat Baseline'!$X$11:$X$258)+SUMIF('D-1 Off-Site Habitat Baseline'!$AV$11:$AV$258,'G-2 Habitat groups'!A113,'D-1 Off-Site Habitat Baseline'!$AS$11:$AS$258)</f>
        <v>0</v>
      </c>
      <c r="W113" s="274">
        <f>SUMIF('D-2 Off-Site Habitat Creation'!$F$9:$F$255,'G-2 Habitat groups'!A113,'D-2 Off-Site Habitat Creation'!$G$9:$G$255)</f>
        <v>0</v>
      </c>
      <c r="X113" s="274">
        <f>SUMIF('D-2 Off-Site Habitat Creation'!$F$9:$F$255,'G-2 Habitat groups'!A113,'D-2 Off-Site Habitat Creation'!$AB$9:$AB$255)</f>
        <v>0</v>
      </c>
      <c r="Y113" s="274">
        <f>SUMIF('D-3 Off-Site Habitat Enhancment'!$S$12:$S$491,'G-2 Habitat groups'!A113,'D-3 Off-Site Habitat Enhancment'!$V$12:$V$491)</f>
        <v>0</v>
      </c>
      <c r="Z113" s="274">
        <f>SUMIF('D-3 Off-Site Habitat Enhancment'!$S$12:$S$491,'G-2 Habitat groups'!A113,'D-3 Off-Site Habitat Enhancment'!$AQ$12:$AQ$491)</f>
        <v>0</v>
      </c>
      <c r="AA113" s="274">
        <f t="shared" si="80"/>
        <v>0</v>
      </c>
      <c r="AB113" s="274">
        <f t="shared" si="81"/>
        <v>0</v>
      </c>
      <c r="AC113" s="274">
        <f t="shared" si="82"/>
        <v>0</v>
      </c>
      <c r="AD113" s="274">
        <f t="shared" si="83"/>
        <v>0</v>
      </c>
      <c r="AE113" s="274">
        <f t="shared" si="84"/>
        <v>0</v>
      </c>
      <c r="AF113" s="274">
        <f t="shared" si="85"/>
        <v>0</v>
      </c>
      <c r="AU113" s="70" t="s">
        <v>616</v>
      </c>
      <c r="AV113" s="62" t="s">
        <v>147</v>
      </c>
      <c r="AW113" s="280">
        <f t="shared" ref="AW113:AW121" si="86">VLOOKUP($AU113,AllHabsSummaryData,5,FALSE)</f>
        <v>0</v>
      </c>
      <c r="AX113" s="280">
        <f>VLOOKUP($AU113,AllHabsSummaryData,10,FALSE)</f>
        <v>0</v>
      </c>
      <c r="AY113" s="280">
        <f>VLOOKUP($AU113,AllHabsSummaryData,15,FALSE)</f>
        <v>0</v>
      </c>
      <c r="AZ113" s="280">
        <f>VLOOKUP($AU113,AllHabsSummaryData,16,FALSE)</f>
        <v>0</v>
      </c>
      <c r="BA113" s="280">
        <f>VLOOKUP($AU113,AllHabsSummaryData,17,FALSE)</f>
        <v>0</v>
      </c>
      <c r="BB113" s="280">
        <f>VLOOKUP($AU113,AllHabsSummaryData,18,FALSE)</f>
        <v>0</v>
      </c>
      <c r="BC113" s="280">
        <f>VLOOKUP($AU113,AllHabsSummaryData,27,FALSE)</f>
        <v>0</v>
      </c>
      <c r="BD113" s="280">
        <f>VLOOKUP($AU113,AllHabsSummaryData,30,FALSE)</f>
        <v>0</v>
      </c>
      <c r="BE113" s="280">
        <f t="shared" ref="BE113:BE151" si="87">BB113+BD113</f>
        <v>0</v>
      </c>
      <c r="BF113" s="280" t="str">
        <f t="shared" ref="BF113:BF151" si="88">IF(BE113&lt;0,BE113,"")</f>
        <v/>
      </c>
    </row>
    <row r="114" spans="1:58" x14ac:dyDescent="0.25">
      <c r="A114" s="70" t="str">
        <f>'G-1 All Habitats'!B117</f>
        <v>Intertidal sediment - Littoral mixed sediments</v>
      </c>
      <c r="B114" s="62" t="s">
        <v>105</v>
      </c>
      <c r="C114" s="62" t="str">
        <f>'G-1 All Habitats'!K117</f>
        <v>High</v>
      </c>
      <c r="D114" s="62" t="str">
        <f>'G-1 All Habitats'!M117</f>
        <v>Same habitat required =</v>
      </c>
      <c r="E114" s="274">
        <f>SUMIF('A-1 On-Site Habitat Baseline'!$AV$11:$AV$258,'G-2 Habitat groups'!A114,'A-1 On-Site Habitat Baseline'!$H$11:$H$258)</f>
        <v>0</v>
      </c>
      <c r="F114" s="274">
        <f>SUMIF('A-1 On-Site Habitat Baseline'!$AV$11:$AV$258,'G-2 Habitat groups'!A114,'A-1 On-Site Habitat Baseline'!$Q$11:$Q$258)</f>
        <v>0</v>
      </c>
      <c r="G114" s="274">
        <f>SUMIF('A-1 On-Site Habitat Baseline'!$AV$11:$AV$258,'G-2 Habitat groups'!A114,'A-1 On-Site Habitat Baseline'!$S$11:$S$258)</f>
        <v>0</v>
      </c>
      <c r="H114" s="274">
        <f>SUMIF('A-1 On-Site Habitat Baseline'!$AV$11:$AV$258,'G-2 Habitat groups'!A114,'A-1 On-Site Habitat Baseline'!$U$11:$U$258)+SUMIF('A-1 On-Site Habitat Baseline'!$AV$11:$AV$258,'G-2 Habitat groups'!A114, 'A-1 On-Site Habitat Baseline'!$AT$11:$AT$258)</f>
        <v>0</v>
      </c>
      <c r="I114" s="274">
        <f>SUMIF('A-1 On-Site Habitat Baseline'!$AV$11:$AV$258,'G-2 Habitat groups'!A114,'A-1 On-Site Habitat Baseline'!$W$11:$W$258)</f>
        <v>0</v>
      </c>
      <c r="J114" s="274">
        <f>SUMIF('A-1 On-Site Habitat Baseline'!$AV$11:$AV$258,'G-2 Habitat groups'!A114,'A-1 On-Site Habitat Baseline'!$X$11:$X$258)</f>
        <v>0</v>
      </c>
      <c r="K114" s="274">
        <f>SUMIF('A-2 On-Site Habitat Creation'!$F$11:$F$256,'G-2 Habitat groups'!A114,'A-2 On-Site Habitat Creation'!$G$11:$G$256)</f>
        <v>0</v>
      </c>
      <c r="L114" s="274">
        <f>SUMIF('A-2 On-Site Habitat Creation'!$F$11:$F$256,'G-2 Habitat groups'!A114,'A-2 On-Site Habitat Creation'!$Y$11:$Y$256)</f>
        <v>0</v>
      </c>
      <c r="M114" s="274">
        <f>SUMIF('A-3 On-Site Habitat Enhancement'!$S$12:$S$257,'G-2 Habitat groups'!A114,'A-3 On-Site Habitat Enhancement'!$V$12:$V$257)</f>
        <v>0</v>
      </c>
      <c r="N114" s="274">
        <f>SUMIF('A-3 On-Site Habitat Enhancement'!$S$12:$S$257,'G-2 Habitat groups'!A114,'A-3 On-Site Habitat Enhancement'!$AN$12:$AN$257)</f>
        <v>0</v>
      </c>
      <c r="O114" s="274">
        <f t="shared" si="76"/>
        <v>0</v>
      </c>
      <c r="P114" s="274">
        <f t="shared" si="77"/>
        <v>0</v>
      </c>
      <c r="Q114" s="274">
        <f t="shared" si="78"/>
        <v>0</v>
      </c>
      <c r="R114" s="274">
        <f t="shared" si="79"/>
        <v>0</v>
      </c>
      <c r="S114" s="274">
        <f>SUMIF('D-1 Off-Site Habitat Baseline'!$AV$11:$AV$258,'G-2 Habitat groups'!A114,'D-1 Off-Site Habitat Baseline'!$H$11:$H$258)</f>
        <v>0</v>
      </c>
      <c r="T114" s="274">
        <f>SUMIF('D-1 Off-Site Habitat Baseline'!$AV$11:$AV$258,'G-2 Habitat groups'!A114,'D-1 Off-Site Habitat Baseline'!$T$11:$T$258)</f>
        <v>0</v>
      </c>
      <c r="U114" s="274">
        <f>SUMIF('D-1 Off-Site Habitat Baseline'!$AV$11:$AV$258,'G-2 Habitat groups'!A114,'D-1 Off-Site Habitat Baseline'!$V$11:$V$258)</f>
        <v>0</v>
      </c>
      <c r="V114" s="274">
        <f>SUMIF('D-1 Off-Site Habitat Baseline'!$AV$11:$AV$258,'G-2 Habitat groups'!A114,'D-1 Off-Site Habitat Baseline'!$X$11:$X$258)+SUMIF('D-1 Off-Site Habitat Baseline'!$AV$11:$AV$258,'G-2 Habitat groups'!A114,'D-1 Off-Site Habitat Baseline'!$AS$11:$AS$258)</f>
        <v>0</v>
      </c>
      <c r="W114" s="274">
        <f>SUMIF('D-2 Off-Site Habitat Creation'!$F$9:$F$255,'G-2 Habitat groups'!A114,'D-2 Off-Site Habitat Creation'!$G$9:$G$255)</f>
        <v>0</v>
      </c>
      <c r="X114" s="274">
        <f>SUMIF('D-2 Off-Site Habitat Creation'!$F$9:$F$255,'G-2 Habitat groups'!A114,'D-2 Off-Site Habitat Creation'!$AB$9:$AB$255)</f>
        <v>0</v>
      </c>
      <c r="Y114" s="274">
        <f>SUMIF('D-3 Off-Site Habitat Enhancment'!$S$12:$S$491,'G-2 Habitat groups'!A114,'D-3 Off-Site Habitat Enhancment'!$V$12:$V$491)</f>
        <v>0</v>
      </c>
      <c r="Z114" s="274">
        <f>SUMIF('D-3 Off-Site Habitat Enhancment'!$S$12:$S$491,'G-2 Habitat groups'!A114,'D-3 Off-Site Habitat Enhancment'!$AQ$12:$AQ$491)</f>
        <v>0</v>
      </c>
      <c r="AA114" s="274">
        <f t="shared" si="80"/>
        <v>0</v>
      </c>
      <c r="AB114" s="274">
        <f t="shared" si="81"/>
        <v>0</v>
      </c>
      <c r="AC114" s="274">
        <f t="shared" si="82"/>
        <v>0</v>
      </c>
      <c r="AD114" s="274">
        <f t="shared" si="83"/>
        <v>0</v>
      </c>
      <c r="AE114" s="274">
        <f t="shared" si="84"/>
        <v>0</v>
      </c>
      <c r="AF114" s="274">
        <f t="shared" si="85"/>
        <v>0</v>
      </c>
      <c r="AU114" s="70" t="s">
        <v>626</v>
      </c>
      <c r="AV114" s="62" t="s">
        <v>147</v>
      </c>
      <c r="AW114" s="280">
        <f t="shared" si="86"/>
        <v>0</v>
      </c>
      <c r="AX114" s="280">
        <f t="shared" ref="AX114:AX151" si="89">VLOOKUP($AU114,AllHabsSummaryData,10,FALSE)</f>
        <v>0</v>
      </c>
      <c r="AY114" s="280">
        <f t="shared" ref="AY114:AY151" si="90">VLOOKUP($AU114,AllHabsSummaryData,15,FALSE)</f>
        <v>0</v>
      </c>
      <c r="AZ114" s="280">
        <f t="shared" ref="AZ114:AZ151" si="91">VLOOKUP($AU114,AllHabsSummaryData,16,FALSE)</f>
        <v>0</v>
      </c>
      <c r="BA114" s="280">
        <f t="shared" ref="BA114:BA151" si="92">VLOOKUP($AU114,AllHabsSummaryData,17,FALSE)</f>
        <v>0</v>
      </c>
      <c r="BB114" s="280">
        <f t="shared" ref="BB114:BB151" si="93">VLOOKUP($AU114,AllHabsSummaryData,18,FALSE)</f>
        <v>0</v>
      </c>
      <c r="BC114" s="280">
        <f t="shared" ref="BC114:BC151" si="94">VLOOKUP($AU114,AllHabsSummaryData,27,FALSE)</f>
        <v>0</v>
      </c>
      <c r="BD114" s="280">
        <f t="shared" ref="BD114:BD151" si="95">VLOOKUP($AU114,AllHabsSummaryData,30,FALSE)</f>
        <v>0</v>
      </c>
      <c r="BE114" s="280">
        <f t="shared" si="87"/>
        <v>0</v>
      </c>
      <c r="BF114" s="280" t="str">
        <f t="shared" si="88"/>
        <v/>
      </c>
    </row>
    <row r="115" spans="1:58" x14ac:dyDescent="0.25">
      <c r="A115" s="70" t="str">
        <f>'G-1 All Habitats'!B113</f>
        <v>Coastal saltmarsh - Saltmarshes and saline reedbeds</v>
      </c>
      <c r="B115" s="62" t="s">
        <v>99</v>
      </c>
      <c r="C115" s="62" t="str">
        <f>'G-1 All Habitats'!K113</f>
        <v>High</v>
      </c>
      <c r="D115" s="62" t="str">
        <f>'G-1 All Habitats'!M113</f>
        <v>Same habitat required =</v>
      </c>
      <c r="E115" s="274">
        <f>SUMIF('A-1 On-Site Habitat Baseline'!$AV$11:$AV$258,'G-2 Habitat groups'!A115,'A-1 On-Site Habitat Baseline'!$H$11:$H$258)</f>
        <v>0</v>
      </c>
      <c r="F115" s="274">
        <f>SUMIF('A-1 On-Site Habitat Baseline'!$AV$11:$AV$258,'G-2 Habitat groups'!A115,'A-1 On-Site Habitat Baseline'!$Q$11:$Q$258)</f>
        <v>0</v>
      </c>
      <c r="G115" s="274">
        <f>SUMIF('A-1 On-Site Habitat Baseline'!$AV$11:$AV$258,'G-2 Habitat groups'!A115,'A-1 On-Site Habitat Baseline'!$S$11:$S$258)</f>
        <v>0</v>
      </c>
      <c r="H115" s="274">
        <f>SUMIF('A-1 On-Site Habitat Baseline'!$AV$11:$AV$258,'G-2 Habitat groups'!A115,'A-1 On-Site Habitat Baseline'!$U$11:$U$258)+SUMIF('A-1 On-Site Habitat Baseline'!$AV$11:$AV$258,'G-2 Habitat groups'!A115, 'A-1 On-Site Habitat Baseline'!$AT$11:$AT$258)</f>
        <v>0</v>
      </c>
      <c r="I115" s="274">
        <f>SUMIF('A-1 On-Site Habitat Baseline'!$AV$11:$AV$258,'G-2 Habitat groups'!A115,'A-1 On-Site Habitat Baseline'!$W$11:$W$258)</f>
        <v>0</v>
      </c>
      <c r="J115" s="274">
        <f>SUMIF('A-1 On-Site Habitat Baseline'!$AV$11:$AV$258,'G-2 Habitat groups'!A115,'A-1 On-Site Habitat Baseline'!$X$11:$X$258)</f>
        <v>0</v>
      </c>
      <c r="K115" s="274">
        <f>SUMIF('A-2 On-Site Habitat Creation'!$F$11:$F$256,'G-2 Habitat groups'!A115,'A-2 On-Site Habitat Creation'!$G$11:$G$256)</f>
        <v>0</v>
      </c>
      <c r="L115" s="274">
        <f>SUMIF('A-2 On-Site Habitat Creation'!$F$11:$F$256,'G-2 Habitat groups'!A115,'A-2 On-Site Habitat Creation'!$Y$11:$Y$256)</f>
        <v>0</v>
      </c>
      <c r="M115" s="274">
        <f>SUMIF('A-3 On-Site Habitat Enhancement'!$S$12:$S$257,'G-2 Habitat groups'!A115,'A-3 On-Site Habitat Enhancement'!$V$12:$V$257)</f>
        <v>0</v>
      </c>
      <c r="N115" s="274">
        <f>SUMIF('A-3 On-Site Habitat Enhancement'!$S$12:$S$257,'G-2 Habitat groups'!A115,'A-3 On-Site Habitat Enhancement'!$AN$12:$AN$257)</f>
        <v>0</v>
      </c>
      <c r="O115" s="274">
        <f t="shared" si="76"/>
        <v>0</v>
      </c>
      <c r="P115" s="274">
        <f t="shared" si="77"/>
        <v>0</v>
      </c>
      <c r="Q115" s="274">
        <f t="shared" si="78"/>
        <v>0</v>
      </c>
      <c r="R115" s="274">
        <f t="shared" si="79"/>
        <v>0</v>
      </c>
      <c r="S115" s="274">
        <f>SUMIF('D-1 Off-Site Habitat Baseline'!$AV$11:$AV$258,'G-2 Habitat groups'!A115,'D-1 Off-Site Habitat Baseline'!$H$11:$H$258)</f>
        <v>0</v>
      </c>
      <c r="T115" s="274">
        <f>SUMIF('D-1 Off-Site Habitat Baseline'!$AV$11:$AV$258,'G-2 Habitat groups'!A115,'D-1 Off-Site Habitat Baseline'!$T$11:$T$258)</f>
        <v>0</v>
      </c>
      <c r="U115" s="274">
        <f>SUMIF('D-1 Off-Site Habitat Baseline'!$AV$11:$AV$258,'G-2 Habitat groups'!A115,'D-1 Off-Site Habitat Baseline'!$V$11:$V$258)</f>
        <v>0</v>
      </c>
      <c r="V115" s="274">
        <f>SUMIF('D-1 Off-Site Habitat Baseline'!$AV$11:$AV$258,'G-2 Habitat groups'!A115,'D-1 Off-Site Habitat Baseline'!$X$11:$X$258)+SUMIF('D-1 Off-Site Habitat Baseline'!$AV$11:$AV$258,'G-2 Habitat groups'!A115,'D-1 Off-Site Habitat Baseline'!$AS$11:$AS$258)</f>
        <v>0</v>
      </c>
      <c r="W115" s="274">
        <f>SUMIF('D-2 Off-Site Habitat Creation'!$F$9:$F$255,'G-2 Habitat groups'!A115,'D-2 Off-Site Habitat Creation'!$G$9:$G$255)</f>
        <v>0</v>
      </c>
      <c r="X115" s="274">
        <f>SUMIF('D-2 Off-Site Habitat Creation'!$F$9:$F$255,'G-2 Habitat groups'!A115,'D-2 Off-Site Habitat Creation'!$AB$9:$AB$255)</f>
        <v>0</v>
      </c>
      <c r="Y115" s="274">
        <f>SUMIF('D-3 Off-Site Habitat Enhancment'!$S$12:$S$491,'G-2 Habitat groups'!A115,'D-3 Off-Site Habitat Enhancment'!$V$12:$V$491)</f>
        <v>0</v>
      </c>
      <c r="Z115" s="274">
        <f>SUMIF('D-3 Off-Site Habitat Enhancment'!$S$12:$S$491,'G-2 Habitat groups'!A115,'D-3 Off-Site Habitat Enhancment'!$AQ$12:$AQ$491)</f>
        <v>0</v>
      </c>
      <c r="AA115" s="274">
        <f t="shared" si="80"/>
        <v>0</v>
      </c>
      <c r="AB115" s="274">
        <f t="shared" si="81"/>
        <v>0</v>
      </c>
      <c r="AC115" s="274">
        <f t="shared" si="82"/>
        <v>0</v>
      </c>
      <c r="AD115" s="274">
        <f t="shared" si="83"/>
        <v>0</v>
      </c>
      <c r="AE115" s="274">
        <f t="shared" si="84"/>
        <v>0</v>
      </c>
      <c r="AF115" s="274">
        <f t="shared" si="85"/>
        <v>0</v>
      </c>
      <c r="AU115" s="70" t="s">
        <v>632</v>
      </c>
      <c r="AV115" s="62" t="s">
        <v>147</v>
      </c>
      <c r="AW115" s="280">
        <f t="shared" si="86"/>
        <v>0</v>
      </c>
      <c r="AX115" s="280">
        <f t="shared" si="89"/>
        <v>0</v>
      </c>
      <c r="AY115" s="280">
        <f t="shared" si="90"/>
        <v>0</v>
      </c>
      <c r="AZ115" s="280">
        <f t="shared" si="91"/>
        <v>0</v>
      </c>
      <c r="BA115" s="280">
        <f t="shared" si="92"/>
        <v>0</v>
      </c>
      <c r="BB115" s="280">
        <f t="shared" si="93"/>
        <v>0</v>
      </c>
      <c r="BC115" s="280">
        <f t="shared" si="94"/>
        <v>0</v>
      </c>
      <c r="BD115" s="280">
        <f t="shared" si="95"/>
        <v>0</v>
      </c>
      <c r="BE115" s="280">
        <f t="shared" si="87"/>
        <v>0</v>
      </c>
      <c r="BF115" s="280" t="str">
        <f t="shared" si="88"/>
        <v/>
      </c>
    </row>
    <row r="116" spans="1:58" x14ac:dyDescent="0.25">
      <c r="A116" s="70" t="str">
        <f>'G-1 All Habitats'!B114</f>
        <v>Coastal saltmarsh - Artificial saltmarshes and saline reedbeds</v>
      </c>
      <c r="B116" s="62" t="s">
        <v>99</v>
      </c>
      <c r="C116" s="62" t="str">
        <f>'G-1 All Habitats'!K114</f>
        <v>Low</v>
      </c>
      <c r="D116" s="62" t="str">
        <f>'G-1 All Habitats'!M114</f>
        <v>Same distinctiveness or better habitat required ≥</v>
      </c>
      <c r="E116" s="274">
        <f>SUMIF('A-1 On-Site Habitat Baseline'!$AV$11:$AV$258,'G-2 Habitat groups'!A116,'A-1 On-Site Habitat Baseline'!$H$11:$H$258)</f>
        <v>0</v>
      </c>
      <c r="F116" s="274">
        <f>SUMIF('A-1 On-Site Habitat Baseline'!$AV$11:$AV$258,'G-2 Habitat groups'!A116,'A-1 On-Site Habitat Baseline'!$Q$11:$Q$258)</f>
        <v>0</v>
      </c>
      <c r="G116" s="274">
        <f>SUMIF('A-1 On-Site Habitat Baseline'!$AV$11:$AV$258,'G-2 Habitat groups'!A116,'A-1 On-Site Habitat Baseline'!$S$11:$S$258)</f>
        <v>0</v>
      </c>
      <c r="H116" s="274">
        <f>SUMIF('A-1 On-Site Habitat Baseline'!$AV$11:$AV$258,'G-2 Habitat groups'!A116,'A-1 On-Site Habitat Baseline'!$U$11:$U$258)+SUMIF('A-1 On-Site Habitat Baseline'!$AV$11:$AV$258,'G-2 Habitat groups'!A116, 'A-1 On-Site Habitat Baseline'!$AT$11:$AT$258)</f>
        <v>0</v>
      </c>
      <c r="I116" s="274">
        <f>SUMIF('A-1 On-Site Habitat Baseline'!$AV$11:$AV$258,'G-2 Habitat groups'!A116,'A-1 On-Site Habitat Baseline'!$W$11:$W$258)</f>
        <v>0</v>
      </c>
      <c r="J116" s="274">
        <f>SUMIF('A-1 On-Site Habitat Baseline'!$AV$11:$AV$258,'G-2 Habitat groups'!A116,'A-1 On-Site Habitat Baseline'!$X$11:$X$258)</f>
        <v>0</v>
      </c>
      <c r="K116" s="274">
        <f>SUMIF('A-2 On-Site Habitat Creation'!$F$11:$F$256,'G-2 Habitat groups'!A116,'A-2 On-Site Habitat Creation'!$G$11:$G$256)</f>
        <v>0</v>
      </c>
      <c r="L116" s="274">
        <f>SUMIF('A-2 On-Site Habitat Creation'!$F$11:$F$256,'G-2 Habitat groups'!A116,'A-2 On-Site Habitat Creation'!$Y$11:$Y$256)</f>
        <v>0</v>
      </c>
      <c r="M116" s="274">
        <f>SUMIF('A-3 On-Site Habitat Enhancement'!$S$12:$S$257,'G-2 Habitat groups'!A116,'A-3 On-Site Habitat Enhancement'!$V$12:$V$257)</f>
        <v>0</v>
      </c>
      <c r="N116" s="274">
        <f>SUMIF('A-3 On-Site Habitat Enhancement'!$S$12:$S$257,'G-2 Habitat groups'!A116,'A-3 On-Site Habitat Enhancement'!$AN$12:$AN$257)</f>
        <v>0</v>
      </c>
      <c r="O116" s="274">
        <f t="shared" si="76"/>
        <v>0</v>
      </c>
      <c r="P116" s="274">
        <f t="shared" si="77"/>
        <v>0</v>
      </c>
      <c r="Q116" s="274">
        <f t="shared" si="78"/>
        <v>0</v>
      </c>
      <c r="R116" s="274">
        <f t="shared" si="79"/>
        <v>0</v>
      </c>
      <c r="S116" s="274">
        <f>SUMIF('D-1 Off-Site Habitat Baseline'!$AV$11:$AV$258,'G-2 Habitat groups'!A116,'D-1 Off-Site Habitat Baseline'!$H$11:$H$258)</f>
        <v>0</v>
      </c>
      <c r="T116" s="274">
        <f>SUMIF('D-1 Off-Site Habitat Baseline'!$AV$11:$AV$258,'G-2 Habitat groups'!A116,'D-1 Off-Site Habitat Baseline'!$T$11:$T$258)</f>
        <v>0</v>
      </c>
      <c r="U116" s="274">
        <f>SUMIF('D-1 Off-Site Habitat Baseline'!$AV$11:$AV$258,'G-2 Habitat groups'!A116,'D-1 Off-Site Habitat Baseline'!$V$11:$V$258)</f>
        <v>0</v>
      </c>
      <c r="V116" s="274">
        <f>SUMIF('D-1 Off-Site Habitat Baseline'!$AV$11:$AV$258,'G-2 Habitat groups'!A116,'D-1 Off-Site Habitat Baseline'!$X$11:$X$258)+SUMIF('D-1 Off-Site Habitat Baseline'!$AV$11:$AV$258,'G-2 Habitat groups'!A116,'D-1 Off-Site Habitat Baseline'!$AS$11:$AS$258)</f>
        <v>0</v>
      </c>
      <c r="W116" s="274">
        <f>SUMIF('D-2 Off-Site Habitat Creation'!$F$9:$F$255,'G-2 Habitat groups'!A116,'D-2 Off-Site Habitat Creation'!$G$9:$G$255)</f>
        <v>0</v>
      </c>
      <c r="X116" s="274">
        <f>SUMIF('D-2 Off-Site Habitat Creation'!$F$9:$F$255,'G-2 Habitat groups'!A116,'D-2 Off-Site Habitat Creation'!$AB$9:$AB$255)</f>
        <v>0</v>
      </c>
      <c r="Y116" s="274">
        <f>SUMIF('D-3 Off-Site Habitat Enhancment'!$S$12:$S$491,'G-2 Habitat groups'!A116,'D-3 Off-Site Habitat Enhancment'!$V$12:$V$491)</f>
        <v>0</v>
      </c>
      <c r="Z116" s="274">
        <f>SUMIF('D-3 Off-Site Habitat Enhancment'!$S$12:$S$491,'G-2 Habitat groups'!A116,'D-3 Off-Site Habitat Enhancment'!$AQ$12:$AQ$491)</f>
        <v>0</v>
      </c>
      <c r="AA116" s="274">
        <f t="shared" si="80"/>
        <v>0</v>
      </c>
      <c r="AB116" s="274">
        <f t="shared" si="81"/>
        <v>0</v>
      </c>
      <c r="AC116" s="274">
        <f t="shared" si="82"/>
        <v>0</v>
      </c>
      <c r="AD116" s="274">
        <f t="shared" si="83"/>
        <v>0</v>
      </c>
      <c r="AE116" s="274">
        <f t="shared" si="84"/>
        <v>0</v>
      </c>
      <c r="AF116" s="274">
        <f t="shared" si="85"/>
        <v>0</v>
      </c>
      <c r="AU116" s="70" t="s">
        <v>636</v>
      </c>
      <c r="AV116" s="62" t="s">
        <v>147</v>
      </c>
      <c r="AW116" s="280">
        <f t="shared" si="86"/>
        <v>0</v>
      </c>
      <c r="AX116" s="280">
        <f t="shared" si="89"/>
        <v>0</v>
      </c>
      <c r="AY116" s="280">
        <f t="shared" si="90"/>
        <v>0</v>
      </c>
      <c r="AZ116" s="280">
        <f t="shared" si="91"/>
        <v>0</v>
      </c>
      <c r="BA116" s="280">
        <f t="shared" si="92"/>
        <v>0</v>
      </c>
      <c r="BB116" s="280">
        <f t="shared" si="93"/>
        <v>0</v>
      </c>
      <c r="BC116" s="280">
        <f t="shared" si="94"/>
        <v>0</v>
      </c>
      <c r="BD116" s="280">
        <f t="shared" si="95"/>
        <v>0</v>
      </c>
      <c r="BE116" s="280">
        <f t="shared" si="87"/>
        <v>0</v>
      </c>
      <c r="BF116" s="280" t="str">
        <f t="shared" si="88"/>
        <v/>
      </c>
    </row>
    <row r="117" spans="1:58" x14ac:dyDescent="0.25">
      <c r="A117" s="70" t="str">
        <f>'G-1 All Habitats'!B118</f>
        <v>Intertidal sediment - Littoral seagrass</v>
      </c>
      <c r="B117" s="62" t="s">
        <v>105</v>
      </c>
      <c r="C117" s="62" t="str">
        <f>'G-1 All Habitats'!K118</f>
        <v>High</v>
      </c>
      <c r="D117" s="62" t="str">
        <f>'G-1 All Habitats'!M118</f>
        <v>Same habitat required =</v>
      </c>
      <c r="E117" s="274">
        <f>SUMIF('A-1 On-Site Habitat Baseline'!$AV$11:$AV$258,'G-2 Habitat groups'!A117,'A-1 On-Site Habitat Baseline'!$H$11:$H$258)</f>
        <v>0</v>
      </c>
      <c r="F117" s="274">
        <f>SUMIF('A-1 On-Site Habitat Baseline'!$AV$11:$AV$258,'G-2 Habitat groups'!A117,'A-1 On-Site Habitat Baseline'!$Q$11:$Q$258)</f>
        <v>0</v>
      </c>
      <c r="G117" s="274">
        <f>SUMIF('A-1 On-Site Habitat Baseline'!$AV$11:$AV$258,'G-2 Habitat groups'!A117,'A-1 On-Site Habitat Baseline'!$S$11:$S$258)</f>
        <v>0</v>
      </c>
      <c r="H117" s="274">
        <f>SUMIF('A-1 On-Site Habitat Baseline'!$AV$11:$AV$258,'G-2 Habitat groups'!A117,'A-1 On-Site Habitat Baseline'!$U$11:$U$258)+SUMIF('A-1 On-Site Habitat Baseline'!$AV$11:$AV$258,'G-2 Habitat groups'!A117, 'A-1 On-Site Habitat Baseline'!$AT$11:$AT$258)</f>
        <v>0</v>
      </c>
      <c r="I117" s="274">
        <f>SUMIF('A-1 On-Site Habitat Baseline'!$AV$11:$AV$258,'G-2 Habitat groups'!A117,'A-1 On-Site Habitat Baseline'!$W$11:$W$258)</f>
        <v>0</v>
      </c>
      <c r="J117" s="274">
        <f>SUMIF('A-1 On-Site Habitat Baseline'!$AV$11:$AV$258,'G-2 Habitat groups'!A117,'A-1 On-Site Habitat Baseline'!$X$11:$X$258)</f>
        <v>0</v>
      </c>
      <c r="K117" s="274">
        <f>SUMIF('A-2 On-Site Habitat Creation'!$F$11:$F$256,'G-2 Habitat groups'!A117,'A-2 On-Site Habitat Creation'!$G$11:$G$256)</f>
        <v>0</v>
      </c>
      <c r="L117" s="274">
        <f>SUMIF('A-2 On-Site Habitat Creation'!$F$11:$F$256,'G-2 Habitat groups'!A117,'A-2 On-Site Habitat Creation'!$Y$11:$Y$256)</f>
        <v>0</v>
      </c>
      <c r="M117" s="274">
        <f>SUMIF('A-3 On-Site Habitat Enhancement'!$S$12:$S$257,'G-2 Habitat groups'!A117,'A-3 On-Site Habitat Enhancement'!$V$12:$V$257)</f>
        <v>0</v>
      </c>
      <c r="N117" s="274">
        <f>SUMIF('A-3 On-Site Habitat Enhancement'!$S$12:$S$257,'G-2 Habitat groups'!A117,'A-3 On-Site Habitat Enhancement'!$AN$12:$AN$257)</f>
        <v>0</v>
      </c>
      <c r="O117" s="274">
        <f t="shared" si="76"/>
        <v>0</v>
      </c>
      <c r="P117" s="274">
        <f t="shared" si="77"/>
        <v>0</v>
      </c>
      <c r="Q117" s="274">
        <f t="shared" si="78"/>
        <v>0</v>
      </c>
      <c r="R117" s="274">
        <f t="shared" si="79"/>
        <v>0</v>
      </c>
      <c r="S117" s="274">
        <f>SUMIF('D-1 Off-Site Habitat Baseline'!$AV$11:$AV$258,'G-2 Habitat groups'!A117,'D-1 Off-Site Habitat Baseline'!$H$11:$H$258)</f>
        <v>0</v>
      </c>
      <c r="T117" s="274">
        <f>SUMIF('D-1 Off-Site Habitat Baseline'!$AV$11:$AV$258,'G-2 Habitat groups'!A117,'D-1 Off-Site Habitat Baseline'!$T$11:$T$258)</f>
        <v>0</v>
      </c>
      <c r="U117" s="274">
        <f>SUMIF('D-1 Off-Site Habitat Baseline'!$AV$11:$AV$258,'G-2 Habitat groups'!A117,'D-1 Off-Site Habitat Baseline'!$V$11:$V$258)</f>
        <v>0</v>
      </c>
      <c r="V117" s="274">
        <f>SUMIF('D-1 Off-Site Habitat Baseline'!$AV$11:$AV$258,'G-2 Habitat groups'!A117,'D-1 Off-Site Habitat Baseline'!$X$11:$X$258)+SUMIF('D-1 Off-Site Habitat Baseline'!$AV$11:$AV$258,'G-2 Habitat groups'!A117,'D-1 Off-Site Habitat Baseline'!$AS$11:$AS$258)</f>
        <v>0</v>
      </c>
      <c r="W117" s="274">
        <f>SUMIF('D-2 Off-Site Habitat Creation'!$F$9:$F$255,'G-2 Habitat groups'!A117,'D-2 Off-Site Habitat Creation'!$G$9:$G$255)</f>
        <v>0</v>
      </c>
      <c r="X117" s="274">
        <f>SUMIF('D-2 Off-Site Habitat Creation'!$F$9:$F$255,'G-2 Habitat groups'!A117,'D-2 Off-Site Habitat Creation'!$AB$9:$AB$255)</f>
        <v>0</v>
      </c>
      <c r="Y117" s="274">
        <f>SUMIF('D-3 Off-Site Habitat Enhancment'!$S$12:$S$491,'G-2 Habitat groups'!A117,'D-3 Off-Site Habitat Enhancment'!$V$12:$V$491)</f>
        <v>0</v>
      </c>
      <c r="Z117" s="274">
        <f>SUMIF('D-3 Off-Site Habitat Enhancment'!$S$12:$S$491,'G-2 Habitat groups'!A117,'D-3 Off-Site Habitat Enhancment'!$AQ$12:$AQ$491)</f>
        <v>0</v>
      </c>
      <c r="AA117" s="274">
        <f t="shared" si="80"/>
        <v>0</v>
      </c>
      <c r="AB117" s="274">
        <f t="shared" si="81"/>
        <v>0</v>
      </c>
      <c r="AC117" s="274">
        <f t="shared" si="82"/>
        <v>0</v>
      </c>
      <c r="AD117" s="274">
        <f t="shared" si="83"/>
        <v>0</v>
      </c>
      <c r="AE117" s="274">
        <f t="shared" si="84"/>
        <v>0</v>
      </c>
      <c r="AF117" s="274">
        <f t="shared" si="85"/>
        <v>0</v>
      </c>
      <c r="AU117" s="70" t="s">
        <v>640</v>
      </c>
      <c r="AV117" s="62" t="s">
        <v>147</v>
      </c>
      <c r="AW117" s="280">
        <f t="shared" si="86"/>
        <v>0</v>
      </c>
      <c r="AX117" s="280">
        <f t="shared" si="89"/>
        <v>0</v>
      </c>
      <c r="AY117" s="280">
        <f t="shared" si="90"/>
        <v>0</v>
      </c>
      <c r="AZ117" s="280">
        <f t="shared" si="91"/>
        <v>0</v>
      </c>
      <c r="BA117" s="280">
        <f t="shared" si="92"/>
        <v>0</v>
      </c>
      <c r="BB117" s="280">
        <f t="shared" si="93"/>
        <v>0</v>
      </c>
      <c r="BC117" s="280">
        <f t="shared" si="94"/>
        <v>0</v>
      </c>
      <c r="BD117" s="280">
        <f t="shared" si="95"/>
        <v>0</v>
      </c>
      <c r="BE117" s="280">
        <f t="shared" si="87"/>
        <v>0</v>
      </c>
      <c r="BF117" s="280" t="str">
        <f t="shared" si="88"/>
        <v/>
      </c>
    </row>
    <row r="118" spans="1:58" x14ac:dyDescent="0.25">
      <c r="A118" s="70" t="str">
        <f>'G-1 All Habitats'!B119</f>
        <v>Intertidal sediment - Littoral seagrass on peat, clay or chalk</v>
      </c>
      <c r="B118" s="62" t="s">
        <v>105</v>
      </c>
      <c r="C118" s="62" t="str">
        <f>'G-1 All Habitats'!K119</f>
        <v>V.High</v>
      </c>
      <c r="D118" s="62" t="str">
        <f>'G-1 All Habitats'!M119</f>
        <v>Same habitat required – bespoke compensation option ⚠</v>
      </c>
      <c r="E118" s="274">
        <f>SUMIF('A-1 On-Site Habitat Baseline'!$AV$11:$AV$258,'G-2 Habitat groups'!A118,'A-1 On-Site Habitat Baseline'!$H$11:$H$258)</f>
        <v>0</v>
      </c>
      <c r="F118" s="274">
        <f>SUMIF('A-1 On-Site Habitat Baseline'!$AV$11:$AV$258,'G-2 Habitat groups'!A118,'A-1 On-Site Habitat Baseline'!$Q$11:$Q$258)</f>
        <v>0</v>
      </c>
      <c r="G118" s="274">
        <f>SUMIF('A-1 On-Site Habitat Baseline'!$AV$11:$AV$258,'G-2 Habitat groups'!A118,'A-1 On-Site Habitat Baseline'!$S$11:$S$258)</f>
        <v>0</v>
      </c>
      <c r="H118" s="274">
        <f>SUMIF('A-1 On-Site Habitat Baseline'!$AV$11:$AV$258,'G-2 Habitat groups'!A118,'A-1 On-Site Habitat Baseline'!$U$11:$U$258)+SUMIF('A-1 On-Site Habitat Baseline'!$AV$11:$AV$258,'G-2 Habitat groups'!A118, 'A-1 On-Site Habitat Baseline'!$AT$11:$AT$258)</f>
        <v>0</v>
      </c>
      <c r="I118" s="274">
        <f>SUMIF('A-1 On-Site Habitat Baseline'!$AV$11:$AV$258,'G-2 Habitat groups'!A118,'A-1 On-Site Habitat Baseline'!$W$11:$W$258)</f>
        <v>0</v>
      </c>
      <c r="J118" s="274">
        <f>SUMIF('A-1 On-Site Habitat Baseline'!$AV$11:$AV$258,'G-2 Habitat groups'!A118,'A-1 On-Site Habitat Baseline'!$X$11:$X$258)</f>
        <v>0</v>
      </c>
      <c r="K118" s="274">
        <f>SUMIF('A-2 On-Site Habitat Creation'!$F$11:$F$256,'G-2 Habitat groups'!A118,'A-2 On-Site Habitat Creation'!$G$11:$G$256)</f>
        <v>0</v>
      </c>
      <c r="L118" s="274">
        <f>SUMIF('A-2 On-Site Habitat Creation'!$F$11:$F$256,'G-2 Habitat groups'!A118,'A-2 On-Site Habitat Creation'!$Y$11:$Y$256)</f>
        <v>0</v>
      </c>
      <c r="M118" s="274">
        <f>SUMIF('A-3 On-Site Habitat Enhancement'!$S$12:$S$257,'G-2 Habitat groups'!A118,'A-3 On-Site Habitat Enhancement'!$V$12:$V$257)</f>
        <v>0</v>
      </c>
      <c r="N118" s="274">
        <f>SUMIF('A-3 On-Site Habitat Enhancement'!$S$12:$S$257,'G-2 Habitat groups'!A118,'A-3 On-Site Habitat Enhancement'!$AN$12:$AN$257)</f>
        <v>0</v>
      </c>
      <c r="O118" s="274">
        <f t="shared" si="76"/>
        <v>0</v>
      </c>
      <c r="P118" s="274">
        <f t="shared" si="77"/>
        <v>0</v>
      </c>
      <c r="Q118" s="274">
        <f t="shared" si="78"/>
        <v>0</v>
      </c>
      <c r="R118" s="274">
        <f t="shared" si="79"/>
        <v>0</v>
      </c>
      <c r="S118" s="274">
        <f>SUMIF('D-1 Off-Site Habitat Baseline'!$AV$11:$AV$258,'G-2 Habitat groups'!A118,'D-1 Off-Site Habitat Baseline'!$H$11:$H$258)</f>
        <v>0</v>
      </c>
      <c r="T118" s="274">
        <f>SUMIF('D-1 Off-Site Habitat Baseline'!$AV$11:$AV$258,'G-2 Habitat groups'!A118,'D-1 Off-Site Habitat Baseline'!$T$11:$T$258)</f>
        <v>0</v>
      </c>
      <c r="U118" s="274">
        <f>SUMIF('D-1 Off-Site Habitat Baseline'!$AV$11:$AV$258,'G-2 Habitat groups'!A118,'D-1 Off-Site Habitat Baseline'!$V$11:$V$258)</f>
        <v>0</v>
      </c>
      <c r="V118" s="274">
        <f>SUMIF('D-1 Off-Site Habitat Baseline'!$AV$11:$AV$258,'G-2 Habitat groups'!A118,'D-1 Off-Site Habitat Baseline'!$X$11:$X$258)+SUMIF('D-1 Off-Site Habitat Baseline'!$AV$11:$AV$258,'G-2 Habitat groups'!A118,'D-1 Off-Site Habitat Baseline'!$AS$11:$AS$258)</f>
        <v>0</v>
      </c>
      <c r="W118" s="274">
        <f>SUMIF('D-2 Off-Site Habitat Creation'!$F$9:$F$255,'G-2 Habitat groups'!A118,'D-2 Off-Site Habitat Creation'!$G$9:$G$255)</f>
        <v>0</v>
      </c>
      <c r="X118" s="274">
        <f>SUMIF('D-2 Off-Site Habitat Creation'!$F$9:$F$255,'G-2 Habitat groups'!A118,'D-2 Off-Site Habitat Creation'!$AB$9:$AB$255)</f>
        <v>0</v>
      </c>
      <c r="Y118" s="274">
        <f>SUMIF('D-3 Off-Site Habitat Enhancment'!$S$12:$S$491,'G-2 Habitat groups'!A118,'D-3 Off-Site Habitat Enhancment'!$V$12:$V$491)</f>
        <v>0</v>
      </c>
      <c r="Z118" s="274">
        <f>SUMIF('D-3 Off-Site Habitat Enhancment'!$S$12:$S$491,'G-2 Habitat groups'!A118,'D-3 Off-Site Habitat Enhancment'!$AQ$12:$AQ$491)</f>
        <v>0</v>
      </c>
      <c r="AA118" s="274">
        <f t="shared" si="80"/>
        <v>0</v>
      </c>
      <c r="AB118" s="274">
        <f t="shared" si="81"/>
        <v>0</v>
      </c>
      <c r="AC118" s="274">
        <f t="shared" si="82"/>
        <v>0</v>
      </c>
      <c r="AD118" s="274">
        <f t="shared" si="83"/>
        <v>0</v>
      </c>
      <c r="AE118" s="274">
        <f t="shared" si="84"/>
        <v>0</v>
      </c>
      <c r="AF118" s="274">
        <f t="shared" si="85"/>
        <v>0</v>
      </c>
      <c r="AU118" s="70" t="s">
        <v>622</v>
      </c>
      <c r="AV118" s="62" t="s">
        <v>147</v>
      </c>
      <c r="AW118" s="280">
        <f t="shared" si="86"/>
        <v>0</v>
      </c>
      <c r="AX118" s="280">
        <f t="shared" si="89"/>
        <v>0</v>
      </c>
      <c r="AY118" s="280">
        <f t="shared" si="90"/>
        <v>0</v>
      </c>
      <c r="AZ118" s="280">
        <f t="shared" si="91"/>
        <v>0</v>
      </c>
      <c r="BA118" s="280">
        <f t="shared" si="92"/>
        <v>0</v>
      </c>
      <c r="BB118" s="280">
        <f t="shared" si="93"/>
        <v>0</v>
      </c>
      <c r="BC118" s="280">
        <f t="shared" si="94"/>
        <v>0</v>
      </c>
      <c r="BD118" s="280">
        <f t="shared" si="95"/>
        <v>0</v>
      </c>
      <c r="BE118" s="280">
        <f t="shared" si="87"/>
        <v>0</v>
      </c>
      <c r="BF118" s="280" t="str">
        <f t="shared" si="88"/>
        <v/>
      </c>
    </row>
    <row r="119" spans="1:58" x14ac:dyDescent="0.25">
      <c r="A119" s="70" t="str">
        <f>'G-1 All Habitats'!B120</f>
        <v>Intertidal sediment - Littoral biogenic reefs - Mussels</v>
      </c>
      <c r="B119" s="62" t="s">
        <v>105</v>
      </c>
      <c r="C119" s="62" t="str">
        <f>'G-1 All Habitats'!K120</f>
        <v>High</v>
      </c>
      <c r="D119" s="62" t="str">
        <f>'G-1 All Habitats'!M120</f>
        <v>Same habitat required =</v>
      </c>
      <c r="E119" s="274">
        <f>SUMIF('A-1 On-Site Habitat Baseline'!$AV$11:$AV$258,'G-2 Habitat groups'!A119,'A-1 On-Site Habitat Baseline'!$H$11:$H$258)</f>
        <v>0</v>
      </c>
      <c r="F119" s="274">
        <f>SUMIF('A-1 On-Site Habitat Baseline'!$AV$11:$AV$258,'G-2 Habitat groups'!A119,'A-1 On-Site Habitat Baseline'!$Q$11:$Q$258)</f>
        <v>0</v>
      </c>
      <c r="G119" s="274">
        <f>SUMIF('A-1 On-Site Habitat Baseline'!$AV$11:$AV$258,'G-2 Habitat groups'!A119,'A-1 On-Site Habitat Baseline'!$S$11:$S$258)</f>
        <v>0</v>
      </c>
      <c r="H119" s="274">
        <f>SUMIF('A-1 On-Site Habitat Baseline'!$AV$11:$AV$258,'G-2 Habitat groups'!A119,'A-1 On-Site Habitat Baseline'!$U$11:$U$258)+SUMIF('A-1 On-Site Habitat Baseline'!$AV$11:$AV$258,'G-2 Habitat groups'!A119, 'A-1 On-Site Habitat Baseline'!$AT$11:$AT$258)</f>
        <v>0</v>
      </c>
      <c r="I119" s="274">
        <f>SUMIF('A-1 On-Site Habitat Baseline'!$AV$11:$AV$258,'G-2 Habitat groups'!A119,'A-1 On-Site Habitat Baseline'!$W$11:$W$258)</f>
        <v>0</v>
      </c>
      <c r="J119" s="274">
        <f>SUMIF('A-1 On-Site Habitat Baseline'!$AV$11:$AV$258,'G-2 Habitat groups'!A119,'A-1 On-Site Habitat Baseline'!$X$11:$X$258)</f>
        <v>0</v>
      </c>
      <c r="K119" s="274">
        <f>SUMIF('A-2 On-Site Habitat Creation'!$F$11:$F$256,'G-2 Habitat groups'!A119,'A-2 On-Site Habitat Creation'!$G$11:$G$256)</f>
        <v>0</v>
      </c>
      <c r="L119" s="274">
        <f>SUMIF('A-2 On-Site Habitat Creation'!$F$11:$F$256,'G-2 Habitat groups'!A119,'A-2 On-Site Habitat Creation'!$Y$11:$Y$256)</f>
        <v>0</v>
      </c>
      <c r="M119" s="274">
        <f>SUMIF('A-3 On-Site Habitat Enhancement'!$S$12:$S$257,'G-2 Habitat groups'!A119,'A-3 On-Site Habitat Enhancement'!$V$12:$V$257)</f>
        <v>0</v>
      </c>
      <c r="N119" s="274">
        <f>SUMIF('A-3 On-Site Habitat Enhancement'!$S$12:$S$257,'G-2 Habitat groups'!A119,'A-3 On-Site Habitat Enhancement'!$AN$12:$AN$257)</f>
        <v>0</v>
      </c>
      <c r="O119" s="274">
        <f t="shared" si="76"/>
        <v>0</v>
      </c>
      <c r="P119" s="274">
        <f t="shared" si="77"/>
        <v>0</v>
      </c>
      <c r="Q119" s="274">
        <f t="shared" si="78"/>
        <v>0</v>
      </c>
      <c r="R119" s="274">
        <f t="shared" si="79"/>
        <v>0</v>
      </c>
      <c r="S119" s="274">
        <f>SUMIF('D-1 Off-Site Habitat Baseline'!$AV$11:$AV$258,'G-2 Habitat groups'!A119,'D-1 Off-Site Habitat Baseline'!$H$11:$H$258)</f>
        <v>0</v>
      </c>
      <c r="T119" s="274">
        <f>SUMIF('D-1 Off-Site Habitat Baseline'!$AV$11:$AV$258,'G-2 Habitat groups'!A119,'D-1 Off-Site Habitat Baseline'!$T$11:$T$258)</f>
        <v>0</v>
      </c>
      <c r="U119" s="274">
        <f>SUMIF('D-1 Off-Site Habitat Baseline'!$AV$11:$AV$258,'G-2 Habitat groups'!A119,'D-1 Off-Site Habitat Baseline'!$V$11:$V$258)</f>
        <v>0</v>
      </c>
      <c r="V119" s="274">
        <f>SUMIF('D-1 Off-Site Habitat Baseline'!$AV$11:$AV$258,'G-2 Habitat groups'!A119,'D-1 Off-Site Habitat Baseline'!$X$11:$X$258)+SUMIF('D-1 Off-Site Habitat Baseline'!$AV$11:$AV$258,'G-2 Habitat groups'!A119,'D-1 Off-Site Habitat Baseline'!$AS$11:$AS$258)</f>
        <v>0</v>
      </c>
      <c r="W119" s="274">
        <f>SUMIF('D-2 Off-Site Habitat Creation'!$F$9:$F$255,'G-2 Habitat groups'!A119,'D-2 Off-Site Habitat Creation'!$G$9:$G$255)</f>
        <v>0</v>
      </c>
      <c r="X119" s="274">
        <f>SUMIF('D-2 Off-Site Habitat Creation'!$F$9:$F$255,'G-2 Habitat groups'!A119,'D-2 Off-Site Habitat Creation'!$AB$9:$AB$255)</f>
        <v>0</v>
      </c>
      <c r="Y119" s="274">
        <f>SUMIF('D-3 Off-Site Habitat Enhancment'!$S$12:$S$491,'G-2 Habitat groups'!A119,'D-3 Off-Site Habitat Enhancment'!$V$12:$V$491)</f>
        <v>0</v>
      </c>
      <c r="Z119" s="274">
        <f>SUMIF('D-3 Off-Site Habitat Enhancment'!$S$12:$S$491,'G-2 Habitat groups'!A119,'D-3 Off-Site Habitat Enhancment'!$AQ$12:$AQ$491)</f>
        <v>0</v>
      </c>
      <c r="AA119" s="274">
        <f t="shared" si="80"/>
        <v>0</v>
      </c>
      <c r="AB119" s="274">
        <f t="shared" si="81"/>
        <v>0</v>
      </c>
      <c r="AC119" s="274">
        <f t="shared" si="82"/>
        <v>0</v>
      </c>
      <c r="AD119" s="274">
        <f t="shared" si="83"/>
        <v>0</v>
      </c>
      <c r="AE119" s="274">
        <f t="shared" si="84"/>
        <v>0</v>
      </c>
      <c r="AF119" s="274">
        <f t="shared" si="85"/>
        <v>0</v>
      </c>
      <c r="AU119" s="70" t="s">
        <v>672</v>
      </c>
      <c r="AV119" s="62" t="s">
        <v>78</v>
      </c>
      <c r="AW119" s="280">
        <f t="shared" si="86"/>
        <v>0.29330000000000001</v>
      </c>
      <c r="AX119" s="280">
        <f t="shared" si="89"/>
        <v>0.67458999999999991</v>
      </c>
      <c r="AY119" s="280">
        <f t="shared" si="90"/>
        <v>2.6700000000000002E-2</v>
      </c>
      <c r="AZ119" s="280">
        <f t="shared" si="91"/>
        <v>5.9260649999999991E-2</v>
      </c>
      <c r="BA119" s="280">
        <f t="shared" si="92"/>
        <v>-0.2666</v>
      </c>
      <c r="BB119" s="280">
        <f t="shared" si="93"/>
        <v>-0.61532934999999989</v>
      </c>
      <c r="BC119" s="280">
        <f t="shared" si="94"/>
        <v>0</v>
      </c>
      <c r="BD119" s="280">
        <f t="shared" si="95"/>
        <v>-0.40801999999999999</v>
      </c>
      <c r="BE119" s="280">
        <f t="shared" si="87"/>
        <v>-1.0233493499999999</v>
      </c>
      <c r="BF119" s="280">
        <f t="shared" si="88"/>
        <v>-1.0233493499999999</v>
      </c>
    </row>
    <row r="120" spans="1:58" x14ac:dyDescent="0.25">
      <c r="A120" s="70" t="str">
        <f>'G-1 All Habitats'!B121</f>
        <v>Intertidal sediment - Littoral biogenic reefs - Sabellaria</v>
      </c>
      <c r="B120" s="62" t="s">
        <v>105</v>
      </c>
      <c r="C120" s="62" t="str">
        <f>'G-1 All Habitats'!K121</f>
        <v>High</v>
      </c>
      <c r="D120" s="62" t="str">
        <f>'G-1 All Habitats'!M121</f>
        <v>Same habitat required =</v>
      </c>
      <c r="E120" s="274">
        <f>SUMIF('A-1 On-Site Habitat Baseline'!$AV$11:$AV$258,'G-2 Habitat groups'!A120,'A-1 On-Site Habitat Baseline'!$H$11:$H$258)</f>
        <v>0</v>
      </c>
      <c r="F120" s="274">
        <f>SUMIF('A-1 On-Site Habitat Baseline'!$AV$11:$AV$258,'G-2 Habitat groups'!A120,'A-1 On-Site Habitat Baseline'!$Q$11:$Q$258)</f>
        <v>0</v>
      </c>
      <c r="G120" s="274">
        <f>SUMIF('A-1 On-Site Habitat Baseline'!$AV$11:$AV$258,'G-2 Habitat groups'!A120,'A-1 On-Site Habitat Baseline'!$S$11:$S$258)</f>
        <v>0</v>
      </c>
      <c r="H120" s="274">
        <f>SUMIF('A-1 On-Site Habitat Baseline'!$AV$11:$AV$258,'G-2 Habitat groups'!A120,'A-1 On-Site Habitat Baseline'!$U$11:$U$258)+SUMIF('A-1 On-Site Habitat Baseline'!$AV$11:$AV$258,'G-2 Habitat groups'!A120, 'A-1 On-Site Habitat Baseline'!$AT$11:$AT$258)</f>
        <v>0</v>
      </c>
      <c r="I120" s="274">
        <f>SUMIF('A-1 On-Site Habitat Baseline'!$AV$11:$AV$258,'G-2 Habitat groups'!A120,'A-1 On-Site Habitat Baseline'!$W$11:$W$258)</f>
        <v>0</v>
      </c>
      <c r="J120" s="274">
        <f>SUMIF('A-1 On-Site Habitat Baseline'!$AV$11:$AV$258,'G-2 Habitat groups'!A120,'A-1 On-Site Habitat Baseline'!$X$11:$X$258)</f>
        <v>0</v>
      </c>
      <c r="K120" s="274">
        <f>SUMIF('A-2 On-Site Habitat Creation'!$F$11:$F$256,'G-2 Habitat groups'!A120,'A-2 On-Site Habitat Creation'!$G$11:$G$256)</f>
        <v>0</v>
      </c>
      <c r="L120" s="274">
        <f>SUMIF('A-2 On-Site Habitat Creation'!$F$11:$F$256,'G-2 Habitat groups'!A120,'A-2 On-Site Habitat Creation'!$Y$11:$Y$256)</f>
        <v>0</v>
      </c>
      <c r="M120" s="274">
        <f>SUMIF('A-3 On-Site Habitat Enhancement'!$S$12:$S$257,'G-2 Habitat groups'!A120,'A-3 On-Site Habitat Enhancement'!$V$12:$V$257)</f>
        <v>0</v>
      </c>
      <c r="N120" s="274">
        <f>SUMIF('A-3 On-Site Habitat Enhancement'!$S$12:$S$257,'G-2 Habitat groups'!A120,'A-3 On-Site Habitat Enhancement'!$AN$12:$AN$257)</f>
        <v>0</v>
      </c>
      <c r="O120" s="274">
        <f t="shared" si="76"/>
        <v>0</v>
      </c>
      <c r="P120" s="274">
        <f t="shared" si="77"/>
        <v>0</v>
      </c>
      <c r="Q120" s="274">
        <f t="shared" si="78"/>
        <v>0</v>
      </c>
      <c r="R120" s="274">
        <f t="shared" si="79"/>
        <v>0</v>
      </c>
      <c r="S120" s="274">
        <f>SUMIF('D-1 Off-Site Habitat Baseline'!$AV$11:$AV$258,'G-2 Habitat groups'!A120,'D-1 Off-Site Habitat Baseline'!$H$11:$H$258)</f>
        <v>0</v>
      </c>
      <c r="T120" s="274">
        <f>SUMIF('D-1 Off-Site Habitat Baseline'!$AV$11:$AV$258,'G-2 Habitat groups'!A120,'D-1 Off-Site Habitat Baseline'!$T$11:$T$258)</f>
        <v>0</v>
      </c>
      <c r="U120" s="274">
        <f>SUMIF('D-1 Off-Site Habitat Baseline'!$AV$11:$AV$258,'G-2 Habitat groups'!A120,'D-1 Off-Site Habitat Baseline'!$V$11:$V$258)</f>
        <v>0</v>
      </c>
      <c r="V120" s="274">
        <f>SUMIF('D-1 Off-Site Habitat Baseline'!$AV$11:$AV$258,'G-2 Habitat groups'!A120,'D-1 Off-Site Habitat Baseline'!$X$11:$X$258)+SUMIF('D-1 Off-Site Habitat Baseline'!$AV$11:$AV$258,'G-2 Habitat groups'!A120,'D-1 Off-Site Habitat Baseline'!$AS$11:$AS$258)</f>
        <v>0</v>
      </c>
      <c r="W120" s="274">
        <f>SUMIF('D-2 Off-Site Habitat Creation'!$F$9:$F$255,'G-2 Habitat groups'!A120,'D-2 Off-Site Habitat Creation'!$G$9:$G$255)</f>
        <v>0</v>
      </c>
      <c r="X120" s="274">
        <f>SUMIF('D-2 Off-Site Habitat Creation'!$F$9:$F$255,'G-2 Habitat groups'!A120,'D-2 Off-Site Habitat Creation'!$AB$9:$AB$255)</f>
        <v>0</v>
      </c>
      <c r="Y120" s="274">
        <f>SUMIF('D-3 Off-Site Habitat Enhancment'!$S$12:$S$491,'G-2 Habitat groups'!A120,'D-3 Off-Site Habitat Enhancment'!$V$12:$V$491)</f>
        <v>0</v>
      </c>
      <c r="Z120" s="274">
        <f>SUMIF('D-3 Off-Site Habitat Enhancment'!$S$12:$S$491,'G-2 Habitat groups'!A120,'D-3 Off-Site Habitat Enhancment'!$AQ$12:$AQ$491)</f>
        <v>0</v>
      </c>
      <c r="AA120" s="274">
        <f t="shared" si="80"/>
        <v>0</v>
      </c>
      <c r="AB120" s="274">
        <f t="shared" si="81"/>
        <v>0</v>
      </c>
      <c r="AC120" s="274">
        <f t="shared" si="82"/>
        <v>0</v>
      </c>
      <c r="AD120" s="274">
        <f t="shared" si="83"/>
        <v>0</v>
      </c>
      <c r="AE120" s="274">
        <f t="shared" si="84"/>
        <v>0</v>
      </c>
      <c r="AF120" s="274">
        <f t="shared" si="85"/>
        <v>0</v>
      </c>
      <c r="AU120" s="70" t="s">
        <v>647</v>
      </c>
      <c r="AV120" s="62" t="s">
        <v>78</v>
      </c>
      <c r="AW120" s="280">
        <f t="shared" si="86"/>
        <v>0</v>
      </c>
      <c r="AX120" s="280">
        <f t="shared" si="89"/>
        <v>0</v>
      </c>
      <c r="AY120" s="280">
        <f t="shared" si="90"/>
        <v>0</v>
      </c>
      <c r="AZ120" s="280">
        <f t="shared" si="91"/>
        <v>0</v>
      </c>
      <c r="BA120" s="280">
        <f t="shared" si="92"/>
        <v>0</v>
      </c>
      <c r="BB120" s="280">
        <f t="shared" si="93"/>
        <v>0</v>
      </c>
      <c r="BC120" s="280">
        <f t="shared" si="94"/>
        <v>0</v>
      </c>
      <c r="BD120" s="280">
        <f t="shared" si="95"/>
        <v>0</v>
      </c>
      <c r="BE120" s="280">
        <f t="shared" si="87"/>
        <v>0</v>
      </c>
      <c r="BF120" s="280" t="str">
        <f t="shared" si="88"/>
        <v/>
      </c>
    </row>
    <row r="121" spans="1:58" x14ac:dyDescent="0.25">
      <c r="A121" s="70" t="str">
        <f>'G-1 All Habitats'!B122</f>
        <v>Intertidal sediment - Features of littoral sediment</v>
      </c>
      <c r="B121" s="62" t="s">
        <v>105</v>
      </c>
      <c r="C121" s="62" t="str">
        <f>'G-1 All Habitats'!K122</f>
        <v>High</v>
      </c>
      <c r="D121" s="62" t="str">
        <f>'G-1 All Habitats'!M122</f>
        <v>Same habitat required =</v>
      </c>
      <c r="E121" s="274">
        <f>SUMIF('A-1 On-Site Habitat Baseline'!$AV$11:$AV$258,'G-2 Habitat groups'!A121,'A-1 On-Site Habitat Baseline'!$H$11:$H$258)</f>
        <v>0</v>
      </c>
      <c r="F121" s="274">
        <f>SUMIF('A-1 On-Site Habitat Baseline'!$AV$11:$AV$258,'G-2 Habitat groups'!A121,'A-1 On-Site Habitat Baseline'!$Q$11:$Q$258)</f>
        <v>0</v>
      </c>
      <c r="G121" s="274">
        <f>SUMIF('A-1 On-Site Habitat Baseline'!$AV$11:$AV$258,'G-2 Habitat groups'!A121,'A-1 On-Site Habitat Baseline'!$S$11:$S$258)</f>
        <v>0</v>
      </c>
      <c r="H121" s="274">
        <f>SUMIF('A-1 On-Site Habitat Baseline'!$AV$11:$AV$258,'G-2 Habitat groups'!A121,'A-1 On-Site Habitat Baseline'!$U$11:$U$258)+SUMIF('A-1 On-Site Habitat Baseline'!$AV$11:$AV$258,'G-2 Habitat groups'!A121, 'A-1 On-Site Habitat Baseline'!$AT$11:$AT$258)</f>
        <v>0</v>
      </c>
      <c r="I121" s="274">
        <f>SUMIF('A-1 On-Site Habitat Baseline'!$AV$11:$AV$258,'G-2 Habitat groups'!A121,'A-1 On-Site Habitat Baseline'!$W$11:$W$258)</f>
        <v>0</v>
      </c>
      <c r="J121" s="274">
        <f>SUMIF('A-1 On-Site Habitat Baseline'!$AV$11:$AV$258,'G-2 Habitat groups'!A121,'A-1 On-Site Habitat Baseline'!$X$11:$X$258)</f>
        <v>0</v>
      </c>
      <c r="K121" s="274">
        <f>SUMIF('A-2 On-Site Habitat Creation'!$F$11:$F$256,'G-2 Habitat groups'!A121,'A-2 On-Site Habitat Creation'!$G$11:$G$256)</f>
        <v>0</v>
      </c>
      <c r="L121" s="274">
        <f>SUMIF('A-2 On-Site Habitat Creation'!$F$11:$F$256,'G-2 Habitat groups'!A121,'A-2 On-Site Habitat Creation'!$Y$11:$Y$256)</f>
        <v>0</v>
      </c>
      <c r="M121" s="274">
        <f>SUMIF('A-3 On-Site Habitat Enhancement'!$S$12:$S$257,'G-2 Habitat groups'!A121,'A-3 On-Site Habitat Enhancement'!$V$12:$V$257)</f>
        <v>0</v>
      </c>
      <c r="N121" s="274">
        <f>SUMIF('A-3 On-Site Habitat Enhancement'!$S$12:$S$257,'G-2 Habitat groups'!A121,'A-3 On-Site Habitat Enhancement'!$AN$12:$AN$257)</f>
        <v>0</v>
      </c>
      <c r="O121" s="274">
        <f t="shared" si="76"/>
        <v>0</v>
      </c>
      <c r="P121" s="274">
        <f t="shared" si="77"/>
        <v>0</v>
      </c>
      <c r="Q121" s="274">
        <f t="shared" si="78"/>
        <v>0</v>
      </c>
      <c r="R121" s="274">
        <f t="shared" si="79"/>
        <v>0</v>
      </c>
      <c r="S121" s="274">
        <f>SUMIF('D-1 Off-Site Habitat Baseline'!$AV$11:$AV$258,'G-2 Habitat groups'!A121,'D-1 Off-Site Habitat Baseline'!$H$11:$H$258)</f>
        <v>0</v>
      </c>
      <c r="T121" s="274">
        <f>SUMIF('D-1 Off-Site Habitat Baseline'!$AV$11:$AV$258,'G-2 Habitat groups'!A121,'D-1 Off-Site Habitat Baseline'!$T$11:$T$258)</f>
        <v>0</v>
      </c>
      <c r="U121" s="274">
        <f>SUMIF('D-1 Off-Site Habitat Baseline'!$AV$11:$AV$258,'G-2 Habitat groups'!A121,'D-1 Off-Site Habitat Baseline'!$V$11:$V$258)</f>
        <v>0</v>
      </c>
      <c r="V121" s="274">
        <f>SUMIF('D-1 Off-Site Habitat Baseline'!$AV$11:$AV$258,'G-2 Habitat groups'!A121,'D-1 Off-Site Habitat Baseline'!$X$11:$X$258)+SUMIF('D-1 Off-Site Habitat Baseline'!$AV$11:$AV$258,'G-2 Habitat groups'!A121,'D-1 Off-Site Habitat Baseline'!$AS$11:$AS$258)</f>
        <v>0</v>
      </c>
      <c r="W121" s="274">
        <f>SUMIF('D-2 Off-Site Habitat Creation'!$F$9:$F$255,'G-2 Habitat groups'!A121,'D-2 Off-Site Habitat Creation'!$G$9:$G$255)</f>
        <v>0</v>
      </c>
      <c r="X121" s="274">
        <f>SUMIF('D-2 Off-Site Habitat Creation'!$F$9:$F$255,'G-2 Habitat groups'!A121,'D-2 Off-Site Habitat Creation'!$AB$9:$AB$255)</f>
        <v>0</v>
      </c>
      <c r="Y121" s="274">
        <f>SUMIF('D-3 Off-Site Habitat Enhancment'!$S$12:$S$491,'G-2 Habitat groups'!A121,'D-3 Off-Site Habitat Enhancment'!$V$12:$V$491)</f>
        <v>0</v>
      </c>
      <c r="Z121" s="274">
        <f>SUMIF('D-3 Off-Site Habitat Enhancment'!$S$12:$S$491,'G-2 Habitat groups'!A121,'D-3 Off-Site Habitat Enhancment'!$AQ$12:$AQ$491)</f>
        <v>0</v>
      </c>
      <c r="AA121" s="274">
        <f t="shared" si="80"/>
        <v>0</v>
      </c>
      <c r="AB121" s="274">
        <f t="shared" si="81"/>
        <v>0</v>
      </c>
      <c r="AC121" s="274">
        <f t="shared" si="82"/>
        <v>0</v>
      </c>
      <c r="AD121" s="274">
        <f t="shared" si="83"/>
        <v>0</v>
      </c>
      <c r="AE121" s="274">
        <f t="shared" si="84"/>
        <v>0</v>
      </c>
      <c r="AF121" s="274">
        <f t="shared" si="85"/>
        <v>0</v>
      </c>
      <c r="AU121" s="70" t="s">
        <v>727</v>
      </c>
      <c r="AV121" s="62" t="s">
        <v>116</v>
      </c>
      <c r="AW121" s="280">
        <f t="shared" si="86"/>
        <v>0</v>
      </c>
      <c r="AX121" s="280">
        <f t="shared" si="89"/>
        <v>0</v>
      </c>
      <c r="AY121" s="280">
        <f t="shared" si="90"/>
        <v>0</v>
      </c>
      <c r="AZ121" s="280">
        <f t="shared" si="91"/>
        <v>0</v>
      </c>
      <c r="BA121" s="280">
        <f t="shared" si="92"/>
        <v>0</v>
      </c>
      <c r="BB121" s="280">
        <f t="shared" si="93"/>
        <v>0</v>
      </c>
      <c r="BC121" s="280">
        <f t="shared" si="94"/>
        <v>0</v>
      </c>
      <c r="BD121" s="280">
        <f t="shared" si="95"/>
        <v>0</v>
      </c>
      <c r="BE121" s="280">
        <f t="shared" si="87"/>
        <v>0</v>
      </c>
      <c r="BF121" s="280" t="str">
        <f t="shared" si="88"/>
        <v/>
      </c>
    </row>
    <row r="122" spans="1:58" x14ac:dyDescent="0.25">
      <c r="A122" s="70" t="str">
        <f>'G-1 All Habitats'!B123</f>
        <v>Intertidal sediment - Artificial littoral coarse sediment</v>
      </c>
      <c r="B122" s="62" t="s">
        <v>105</v>
      </c>
      <c r="C122" s="62" t="str">
        <f>'G-1 All Habitats'!K123</f>
        <v>Low</v>
      </c>
      <c r="D122" s="62" t="str">
        <f>'G-1 All Habitats'!M123</f>
        <v>Same distinctiveness or better habitat required ≥</v>
      </c>
      <c r="E122" s="274">
        <f>SUMIF('A-1 On-Site Habitat Baseline'!$AV$11:$AV$258,'G-2 Habitat groups'!A122,'A-1 On-Site Habitat Baseline'!$H$11:$H$258)</f>
        <v>0</v>
      </c>
      <c r="F122" s="274">
        <f>SUMIF('A-1 On-Site Habitat Baseline'!$AV$11:$AV$258,'G-2 Habitat groups'!A122,'A-1 On-Site Habitat Baseline'!$Q$11:$Q$258)</f>
        <v>0</v>
      </c>
      <c r="G122" s="274">
        <f>SUMIF('A-1 On-Site Habitat Baseline'!$AV$11:$AV$258,'G-2 Habitat groups'!A122,'A-1 On-Site Habitat Baseline'!$S$11:$S$258)</f>
        <v>0</v>
      </c>
      <c r="H122" s="274">
        <f>SUMIF('A-1 On-Site Habitat Baseline'!$AV$11:$AV$258,'G-2 Habitat groups'!A122,'A-1 On-Site Habitat Baseline'!$U$11:$U$258)+SUMIF('A-1 On-Site Habitat Baseline'!$AV$11:$AV$258,'G-2 Habitat groups'!A122, 'A-1 On-Site Habitat Baseline'!$AT$11:$AT$258)</f>
        <v>0</v>
      </c>
      <c r="I122" s="274">
        <f>SUMIF('A-1 On-Site Habitat Baseline'!$AV$11:$AV$258,'G-2 Habitat groups'!A122,'A-1 On-Site Habitat Baseline'!$W$11:$W$258)</f>
        <v>0</v>
      </c>
      <c r="J122" s="274">
        <f>SUMIF('A-1 On-Site Habitat Baseline'!$AV$11:$AV$258,'G-2 Habitat groups'!A122,'A-1 On-Site Habitat Baseline'!$X$11:$X$258)</f>
        <v>0</v>
      </c>
      <c r="K122" s="274">
        <f>SUMIF('A-2 On-Site Habitat Creation'!$F$11:$F$256,'G-2 Habitat groups'!A122,'A-2 On-Site Habitat Creation'!$G$11:$G$256)</f>
        <v>0</v>
      </c>
      <c r="L122" s="274">
        <f>SUMIF('A-2 On-Site Habitat Creation'!$F$11:$F$256,'G-2 Habitat groups'!A122,'A-2 On-Site Habitat Creation'!$Y$11:$Y$256)</f>
        <v>0</v>
      </c>
      <c r="M122" s="274">
        <f>SUMIF('A-3 On-Site Habitat Enhancement'!$S$12:$S$257,'G-2 Habitat groups'!A122,'A-3 On-Site Habitat Enhancement'!$V$12:$V$257)</f>
        <v>0</v>
      </c>
      <c r="N122" s="274">
        <f>SUMIF('A-3 On-Site Habitat Enhancement'!$S$12:$S$257,'G-2 Habitat groups'!A122,'A-3 On-Site Habitat Enhancement'!$AN$12:$AN$257)</f>
        <v>0</v>
      </c>
      <c r="O122" s="274">
        <f t="shared" si="76"/>
        <v>0</v>
      </c>
      <c r="P122" s="274">
        <f t="shared" si="77"/>
        <v>0</v>
      </c>
      <c r="Q122" s="274">
        <f t="shared" si="78"/>
        <v>0</v>
      </c>
      <c r="R122" s="274">
        <f t="shared" si="79"/>
        <v>0</v>
      </c>
      <c r="S122" s="274">
        <f>SUMIF('D-1 Off-Site Habitat Baseline'!$AV$11:$AV$258,'G-2 Habitat groups'!A122,'D-1 Off-Site Habitat Baseline'!$H$11:$H$258)</f>
        <v>0</v>
      </c>
      <c r="T122" s="274">
        <f>SUMIF('D-1 Off-Site Habitat Baseline'!$AV$11:$AV$258,'G-2 Habitat groups'!A122,'D-1 Off-Site Habitat Baseline'!$T$11:$T$258)</f>
        <v>0</v>
      </c>
      <c r="U122" s="274">
        <f>SUMIF('D-1 Off-Site Habitat Baseline'!$AV$11:$AV$258,'G-2 Habitat groups'!A122,'D-1 Off-Site Habitat Baseline'!$V$11:$V$258)</f>
        <v>0</v>
      </c>
      <c r="V122" s="274">
        <f>SUMIF('D-1 Off-Site Habitat Baseline'!$AV$11:$AV$258,'G-2 Habitat groups'!A122,'D-1 Off-Site Habitat Baseline'!$X$11:$X$258)+SUMIF('D-1 Off-Site Habitat Baseline'!$AV$11:$AV$258,'G-2 Habitat groups'!A122,'D-1 Off-Site Habitat Baseline'!$AS$11:$AS$258)</f>
        <v>0</v>
      </c>
      <c r="W122" s="274">
        <f>SUMIF('D-2 Off-Site Habitat Creation'!$F$9:$F$255,'G-2 Habitat groups'!A122,'D-2 Off-Site Habitat Creation'!$G$9:$G$255)</f>
        <v>0</v>
      </c>
      <c r="X122" s="274">
        <f>SUMIF('D-2 Off-Site Habitat Creation'!$F$9:$F$255,'G-2 Habitat groups'!A122,'D-2 Off-Site Habitat Creation'!$AB$9:$AB$255)</f>
        <v>0</v>
      </c>
      <c r="Y122" s="274">
        <f>SUMIF('D-3 Off-Site Habitat Enhancment'!$S$12:$S$491,'G-2 Habitat groups'!A122,'D-3 Off-Site Habitat Enhancment'!$V$12:$V$491)</f>
        <v>0</v>
      </c>
      <c r="Z122" s="274">
        <f>SUMIF('D-3 Off-Site Habitat Enhancment'!$S$12:$S$491,'G-2 Habitat groups'!A122,'D-3 Off-Site Habitat Enhancment'!$AQ$12:$AQ$491)</f>
        <v>0</v>
      </c>
      <c r="AA122" s="274">
        <f t="shared" si="80"/>
        <v>0</v>
      </c>
      <c r="AB122" s="274">
        <f t="shared" si="81"/>
        <v>0</v>
      </c>
      <c r="AC122" s="274">
        <f t="shared" si="82"/>
        <v>0</v>
      </c>
      <c r="AD122" s="274">
        <f t="shared" si="83"/>
        <v>0</v>
      </c>
      <c r="AE122" s="274">
        <f t="shared" si="84"/>
        <v>0</v>
      </c>
      <c r="AF122" s="274">
        <f t="shared" si="85"/>
        <v>0</v>
      </c>
      <c r="AU122" s="70" t="s">
        <v>753</v>
      </c>
      <c r="AV122" s="62" t="s">
        <v>72</v>
      </c>
      <c r="AW122" s="280">
        <f>VLOOKUP($AU123,AllHabsSummaryData,5,FALSE)</f>
        <v>7.5999999999999998E-2</v>
      </c>
      <c r="AX122" s="280">
        <f t="shared" si="89"/>
        <v>0</v>
      </c>
      <c r="AY122" s="280">
        <f t="shared" si="90"/>
        <v>0</v>
      </c>
      <c r="AZ122" s="280">
        <f t="shared" si="91"/>
        <v>0</v>
      </c>
      <c r="BA122" s="280">
        <f t="shared" si="92"/>
        <v>0</v>
      </c>
      <c r="BB122" s="280">
        <f t="shared" si="93"/>
        <v>0</v>
      </c>
      <c r="BC122" s="280">
        <f t="shared" si="94"/>
        <v>0</v>
      </c>
      <c r="BD122" s="280">
        <f t="shared" si="95"/>
        <v>0</v>
      </c>
      <c r="BE122" s="280">
        <f t="shared" si="87"/>
        <v>0</v>
      </c>
      <c r="BF122" s="280" t="str">
        <f t="shared" si="88"/>
        <v/>
      </c>
    </row>
    <row r="123" spans="1:58" x14ac:dyDescent="0.25">
      <c r="A123" s="70" t="str">
        <f>'G-1 All Habitats'!B124</f>
        <v>Intertidal sediment - Artificial littoral mud</v>
      </c>
      <c r="B123" s="62" t="s">
        <v>105</v>
      </c>
      <c r="C123" s="62" t="str">
        <f>'G-1 All Habitats'!K124</f>
        <v>Low</v>
      </c>
      <c r="D123" s="62" t="str">
        <f>'G-1 All Habitats'!M124</f>
        <v>Same distinctiveness or better habitat required ≥</v>
      </c>
      <c r="E123" s="274">
        <f>SUMIF('A-1 On-Site Habitat Baseline'!$AV$11:$AV$258,'G-2 Habitat groups'!A123,'A-1 On-Site Habitat Baseline'!$H$11:$H$258)</f>
        <v>0</v>
      </c>
      <c r="F123" s="274">
        <f>SUMIF('A-1 On-Site Habitat Baseline'!$AV$11:$AV$258,'G-2 Habitat groups'!A123,'A-1 On-Site Habitat Baseline'!$Q$11:$Q$258)</f>
        <v>0</v>
      </c>
      <c r="G123" s="274">
        <f>SUMIF('A-1 On-Site Habitat Baseline'!$AV$11:$AV$258,'G-2 Habitat groups'!A123,'A-1 On-Site Habitat Baseline'!$S$11:$S$258)</f>
        <v>0</v>
      </c>
      <c r="H123" s="274">
        <f>SUMIF('A-1 On-Site Habitat Baseline'!$AV$11:$AV$258,'G-2 Habitat groups'!A123,'A-1 On-Site Habitat Baseline'!$U$11:$U$258)+SUMIF('A-1 On-Site Habitat Baseline'!$AV$11:$AV$258,'G-2 Habitat groups'!A123, 'A-1 On-Site Habitat Baseline'!$AT$11:$AT$258)</f>
        <v>0</v>
      </c>
      <c r="I123" s="274">
        <f>SUMIF('A-1 On-Site Habitat Baseline'!$AV$11:$AV$258,'G-2 Habitat groups'!A123,'A-1 On-Site Habitat Baseline'!$W$11:$W$258)</f>
        <v>0</v>
      </c>
      <c r="J123" s="274">
        <f>SUMIF('A-1 On-Site Habitat Baseline'!$AV$11:$AV$258,'G-2 Habitat groups'!A123,'A-1 On-Site Habitat Baseline'!$X$11:$X$258)</f>
        <v>0</v>
      </c>
      <c r="K123" s="274">
        <f>SUMIF('A-2 On-Site Habitat Creation'!$F$11:$F$256,'G-2 Habitat groups'!A123,'A-2 On-Site Habitat Creation'!$G$11:$G$256)</f>
        <v>0</v>
      </c>
      <c r="L123" s="274">
        <f>SUMIF('A-2 On-Site Habitat Creation'!$F$11:$F$256,'G-2 Habitat groups'!A123,'A-2 On-Site Habitat Creation'!$Y$11:$Y$256)</f>
        <v>0</v>
      </c>
      <c r="M123" s="274">
        <f>SUMIF('A-3 On-Site Habitat Enhancement'!$S$12:$S$257,'G-2 Habitat groups'!A123,'A-3 On-Site Habitat Enhancement'!$V$12:$V$257)</f>
        <v>0</v>
      </c>
      <c r="N123" s="274">
        <f>SUMIF('A-3 On-Site Habitat Enhancement'!$S$12:$S$257,'G-2 Habitat groups'!A123,'A-3 On-Site Habitat Enhancement'!$AN$12:$AN$257)</f>
        <v>0</v>
      </c>
      <c r="O123" s="274">
        <f t="shared" si="76"/>
        <v>0</v>
      </c>
      <c r="P123" s="274">
        <f t="shared" si="77"/>
        <v>0</v>
      </c>
      <c r="Q123" s="274">
        <f t="shared" si="78"/>
        <v>0</v>
      </c>
      <c r="R123" s="274">
        <f t="shared" si="79"/>
        <v>0</v>
      </c>
      <c r="S123" s="274">
        <f>SUMIF('D-1 Off-Site Habitat Baseline'!$AV$11:$AV$258,'G-2 Habitat groups'!A123,'D-1 Off-Site Habitat Baseline'!$H$11:$H$258)</f>
        <v>0</v>
      </c>
      <c r="T123" s="274">
        <f>SUMIF('D-1 Off-Site Habitat Baseline'!$AV$11:$AV$258,'G-2 Habitat groups'!A123,'D-1 Off-Site Habitat Baseline'!$T$11:$T$258)</f>
        <v>0</v>
      </c>
      <c r="U123" s="274">
        <f>SUMIF('D-1 Off-Site Habitat Baseline'!$AV$11:$AV$258,'G-2 Habitat groups'!A123,'D-1 Off-Site Habitat Baseline'!$V$11:$V$258)</f>
        <v>0</v>
      </c>
      <c r="V123" s="274">
        <f>SUMIF('D-1 Off-Site Habitat Baseline'!$AV$11:$AV$258,'G-2 Habitat groups'!A123,'D-1 Off-Site Habitat Baseline'!$X$11:$X$258)+SUMIF('D-1 Off-Site Habitat Baseline'!$AV$11:$AV$258,'G-2 Habitat groups'!A123,'D-1 Off-Site Habitat Baseline'!$AS$11:$AS$258)</f>
        <v>0</v>
      </c>
      <c r="W123" s="274">
        <f>SUMIF('D-2 Off-Site Habitat Creation'!$F$9:$F$255,'G-2 Habitat groups'!A123,'D-2 Off-Site Habitat Creation'!$G$9:$G$255)</f>
        <v>0</v>
      </c>
      <c r="X123" s="274">
        <f>SUMIF('D-2 Off-Site Habitat Creation'!$F$9:$F$255,'G-2 Habitat groups'!A123,'D-2 Off-Site Habitat Creation'!$AB$9:$AB$255)</f>
        <v>0</v>
      </c>
      <c r="Y123" s="274">
        <f>SUMIF('D-3 Off-Site Habitat Enhancment'!$S$12:$S$491,'G-2 Habitat groups'!A123,'D-3 Off-Site Habitat Enhancment'!$V$12:$V$491)</f>
        <v>0</v>
      </c>
      <c r="Z123" s="274">
        <f>SUMIF('D-3 Off-Site Habitat Enhancment'!$S$12:$S$491,'G-2 Habitat groups'!A123,'D-3 Off-Site Habitat Enhancment'!$AQ$12:$AQ$491)</f>
        <v>0</v>
      </c>
      <c r="AA123" s="274">
        <f t="shared" si="80"/>
        <v>0</v>
      </c>
      <c r="AB123" s="274">
        <f t="shared" si="81"/>
        <v>0</v>
      </c>
      <c r="AC123" s="274">
        <f t="shared" si="82"/>
        <v>0</v>
      </c>
      <c r="AD123" s="274">
        <f t="shared" si="83"/>
        <v>0</v>
      </c>
      <c r="AE123" s="274">
        <f t="shared" si="84"/>
        <v>0</v>
      </c>
      <c r="AF123" s="274">
        <f t="shared" si="85"/>
        <v>0</v>
      </c>
      <c r="AU123" s="70" t="s">
        <v>1085</v>
      </c>
      <c r="AV123" s="62" t="s">
        <v>82</v>
      </c>
      <c r="AW123" s="280">
        <f>VLOOKUP($AU124,AllHabsSummaryData,5,FALSE)</f>
        <v>0</v>
      </c>
      <c r="AX123" s="280">
        <f t="shared" si="89"/>
        <v>0.12534999999999999</v>
      </c>
      <c r="AY123" s="280">
        <f t="shared" si="90"/>
        <v>2.1499999999999998E-2</v>
      </c>
      <c r="AZ123" s="280">
        <f t="shared" si="91"/>
        <v>4.9449999999999994E-2</v>
      </c>
      <c r="BA123" s="280">
        <f t="shared" si="92"/>
        <v>-5.45E-2</v>
      </c>
      <c r="BB123" s="280">
        <f t="shared" si="93"/>
        <v>-0.12534999999999999</v>
      </c>
      <c r="BC123" s="280">
        <f t="shared" si="94"/>
        <v>1.2E-2</v>
      </c>
      <c r="BD123" s="280">
        <f t="shared" si="95"/>
        <v>0</v>
      </c>
      <c r="BE123" s="280">
        <f t="shared" si="87"/>
        <v>-0.12534999999999999</v>
      </c>
      <c r="BF123" s="280">
        <f t="shared" si="88"/>
        <v>-0.12534999999999999</v>
      </c>
    </row>
    <row r="124" spans="1:58" x14ac:dyDescent="0.25">
      <c r="A124" s="70" t="str">
        <f>'G-1 All Habitats'!B125</f>
        <v>Intertidal sediment - Artificial littoral sand</v>
      </c>
      <c r="B124" s="62" t="s">
        <v>105</v>
      </c>
      <c r="C124" s="62" t="str">
        <f>'G-1 All Habitats'!K125</f>
        <v>Low</v>
      </c>
      <c r="D124" s="62" t="str">
        <f>'G-1 All Habitats'!M125</f>
        <v>Same distinctiveness or better habitat required ≥</v>
      </c>
      <c r="E124" s="274">
        <f>SUMIF('A-1 On-Site Habitat Baseline'!$AV$11:$AV$258,'G-2 Habitat groups'!A124,'A-1 On-Site Habitat Baseline'!$H$11:$H$258)</f>
        <v>0</v>
      </c>
      <c r="F124" s="274">
        <f>SUMIF('A-1 On-Site Habitat Baseline'!$AV$11:$AV$258,'G-2 Habitat groups'!A124,'A-1 On-Site Habitat Baseline'!$Q$11:$Q$258)</f>
        <v>0</v>
      </c>
      <c r="G124" s="274">
        <f>SUMIF('A-1 On-Site Habitat Baseline'!$AV$11:$AV$258,'G-2 Habitat groups'!A124,'A-1 On-Site Habitat Baseline'!$S$11:$S$258)</f>
        <v>0</v>
      </c>
      <c r="H124" s="274">
        <f>SUMIF('A-1 On-Site Habitat Baseline'!$AV$11:$AV$258,'G-2 Habitat groups'!A124,'A-1 On-Site Habitat Baseline'!$U$11:$U$258)+SUMIF('A-1 On-Site Habitat Baseline'!$AV$11:$AV$258,'G-2 Habitat groups'!A124, 'A-1 On-Site Habitat Baseline'!$AT$11:$AT$258)</f>
        <v>0</v>
      </c>
      <c r="I124" s="274">
        <f>SUMIF('A-1 On-Site Habitat Baseline'!$AV$11:$AV$258,'G-2 Habitat groups'!A124,'A-1 On-Site Habitat Baseline'!$W$11:$W$258)</f>
        <v>0</v>
      </c>
      <c r="J124" s="274">
        <f>SUMIF('A-1 On-Site Habitat Baseline'!$AV$11:$AV$258,'G-2 Habitat groups'!A124,'A-1 On-Site Habitat Baseline'!$X$11:$X$258)</f>
        <v>0</v>
      </c>
      <c r="K124" s="274">
        <f>SUMIF('A-2 On-Site Habitat Creation'!$F$11:$F$256,'G-2 Habitat groups'!A124,'A-2 On-Site Habitat Creation'!$G$11:$G$256)</f>
        <v>0</v>
      </c>
      <c r="L124" s="274">
        <f>SUMIF('A-2 On-Site Habitat Creation'!$F$11:$F$256,'G-2 Habitat groups'!A124,'A-2 On-Site Habitat Creation'!$Y$11:$Y$256)</f>
        <v>0</v>
      </c>
      <c r="M124" s="274">
        <f>SUMIF('A-3 On-Site Habitat Enhancement'!$S$12:$S$257,'G-2 Habitat groups'!A124,'A-3 On-Site Habitat Enhancement'!$V$12:$V$257)</f>
        <v>0</v>
      </c>
      <c r="N124" s="274">
        <f>SUMIF('A-3 On-Site Habitat Enhancement'!$S$12:$S$257,'G-2 Habitat groups'!A124,'A-3 On-Site Habitat Enhancement'!$AN$12:$AN$257)</f>
        <v>0</v>
      </c>
      <c r="O124" s="274">
        <f t="shared" si="76"/>
        <v>0</v>
      </c>
      <c r="P124" s="274">
        <f t="shared" si="77"/>
        <v>0</v>
      </c>
      <c r="Q124" s="274">
        <f t="shared" si="78"/>
        <v>0</v>
      </c>
      <c r="R124" s="274">
        <f t="shared" si="79"/>
        <v>0</v>
      </c>
      <c r="S124" s="274">
        <f>SUMIF('D-1 Off-Site Habitat Baseline'!$AV$11:$AV$258,'G-2 Habitat groups'!A124,'D-1 Off-Site Habitat Baseline'!$H$11:$H$258)</f>
        <v>0</v>
      </c>
      <c r="T124" s="274">
        <f>SUMIF('D-1 Off-Site Habitat Baseline'!$AV$11:$AV$258,'G-2 Habitat groups'!A124,'D-1 Off-Site Habitat Baseline'!$T$11:$T$258)</f>
        <v>0</v>
      </c>
      <c r="U124" s="274">
        <f>SUMIF('D-1 Off-Site Habitat Baseline'!$AV$11:$AV$258,'G-2 Habitat groups'!A124,'D-1 Off-Site Habitat Baseline'!$V$11:$V$258)</f>
        <v>0</v>
      </c>
      <c r="V124" s="274">
        <f>SUMIF('D-1 Off-Site Habitat Baseline'!$AV$11:$AV$258,'G-2 Habitat groups'!A124,'D-1 Off-Site Habitat Baseline'!$X$11:$X$258)+SUMIF('D-1 Off-Site Habitat Baseline'!$AV$11:$AV$258,'G-2 Habitat groups'!A124,'D-1 Off-Site Habitat Baseline'!$AS$11:$AS$258)</f>
        <v>0</v>
      </c>
      <c r="W124" s="274">
        <f>SUMIF('D-2 Off-Site Habitat Creation'!$F$9:$F$255,'G-2 Habitat groups'!A124,'D-2 Off-Site Habitat Creation'!$G$9:$G$255)</f>
        <v>0</v>
      </c>
      <c r="X124" s="274">
        <f>SUMIF('D-2 Off-Site Habitat Creation'!$F$9:$F$255,'G-2 Habitat groups'!A124,'D-2 Off-Site Habitat Creation'!$AB$9:$AB$255)</f>
        <v>0</v>
      </c>
      <c r="Y124" s="274">
        <f>SUMIF('D-3 Off-Site Habitat Enhancment'!$S$12:$S$491,'G-2 Habitat groups'!A124,'D-3 Off-Site Habitat Enhancment'!$V$12:$V$491)</f>
        <v>0</v>
      </c>
      <c r="Z124" s="274">
        <f>SUMIF('D-3 Off-Site Habitat Enhancment'!$S$12:$S$491,'G-2 Habitat groups'!A124,'D-3 Off-Site Habitat Enhancment'!$AQ$12:$AQ$491)</f>
        <v>0</v>
      </c>
      <c r="AA124" s="274">
        <f t="shared" si="80"/>
        <v>0</v>
      </c>
      <c r="AB124" s="274">
        <f t="shared" si="81"/>
        <v>0</v>
      </c>
      <c r="AC124" s="274">
        <f t="shared" si="82"/>
        <v>0</v>
      </c>
      <c r="AD124" s="274">
        <f t="shared" si="83"/>
        <v>0</v>
      </c>
      <c r="AE124" s="274">
        <f t="shared" si="84"/>
        <v>0</v>
      </c>
      <c r="AF124" s="274">
        <f t="shared" si="85"/>
        <v>0</v>
      </c>
      <c r="AU124" s="70" t="s">
        <v>810</v>
      </c>
      <c r="AV124" s="62" t="s">
        <v>120</v>
      </c>
      <c r="AW124" s="280">
        <f t="shared" ref="AW124:AW151" si="96">VLOOKUP($AU124,AllHabsSummaryData,5,FALSE)</f>
        <v>0</v>
      </c>
      <c r="AX124" s="280">
        <f t="shared" si="89"/>
        <v>0</v>
      </c>
      <c r="AY124" s="280">
        <f t="shared" si="90"/>
        <v>8.0000000000000004E-4</v>
      </c>
      <c r="AZ124" s="280">
        <f t="shared" si="91"/>
        <v>2.3793040000000001E-3</v>
      </c>
      <c r="BA124" s="280">
        <f t="shared" si="92"/>
        <v>8.0000000000000004E-4</v>
      </c>
      <c r="BB124" s="280">
        <f t="shared" si="93"/>
        <v>2.3793040000000001E-3</v>
      </c>
      <c r="BC124" s="280">
        <f t="shared" si="94"/>
        <v>3.7000000000000002E-3</v>
      </c>
      <c r="BD124" s="280">
        <f t="shared" si="95"/>
        <v>1.1004280999999999E-2</v>
      </c>
      <c r="BE124" s="280">
        <f t="shared" si="87"/>
        <v>1.3383585E-2</v>
      </c>
      <c r="BF124" s="280" t="str">
        <f t="shared" si="88"/>
        <v/>
      </c>
    </row>
    <row r="125" spans="1:58" x14ac:dyDescent="0.25">
      <c r="A125" s="70" t="str">
        <f>'G-1 All Habitats'!B126</f>
        <v>Intertidal sediment - Artificial littoral muddy sand</v>
      </c>
      <c r="B125" s="62" t="s">
        <v>105</v>
      </c>
      <c r="C125" s="62" t="str">
        <f>'G-1 All Habitats'!K126</f>
        <v>Low</v>
      </c>
      <c r="D125" s="62" t="str">
        <f>'G-1 All Habitats'!M126</f>
        <v>Same distinctiveness or better habitat required ≥</v>
      </c>
      <c r="E125" s="274">
        <f>SUMIF('A-1 On-Site Habitat Baseline'!$AV$11:$AV$258,'G-2 Habitat groups'!A125,'A-1 On-Site Habitat Baseline'!$H$11:$H$258)</f>
        <v>0</v>
      </c>
      <c r="F125" s="274">
        <f>SUMIF('A-1 On-Site Habitat Baseline'!$AV$11:$AV$258,'G-2 Habitat groups'!A125,'A-1 On-Site Habitat Baseline'!$Q$11:$Q$258)</f>
        <v>0</v>
      </c>
      <c r="G125" s="274">
        <f>SUMIF('A-1 On-Site Habitat Baseline'!$AV$11:$AV$258,'G-2 Habitat groups'!A125,'A-1 On-Site Habitat Baseline'!$S$11:$S$258)</f>
        <v>0</v>
      </c>
      <c r="H125" s="274">
        <f>SUMIF('A-1 On-Site Habitat Baseline'!$AV$11:$AV$258,'G-2 Habitat groups'!A125,'A-1 On-Site Habitat Baseline'!$U$11:$U$258)+SUMIF('A-1 On-Site Habitat Baseline'!$AV$11:$AV$258,'G-2 Habitat groups'!A125, 'A-1 On-Site Habitat Baseline'!$AT$11:$AT$258)</f>
        <v>0</v>
      </c>
      <c r="I125" s="274">
        <f>SUMIF('A-1 On-Site Habitat Baseline'!$AV$11:$AV$258,'G-2 Habitat groups'!A125,'A-1 On-Site Habitat Baseline'!$W$11:$W$258)</f>
        <v>0</v>
      </c>
      <c r="J125" s="274">
        <f>SUMIF('A-1 On-Site Habitat Baseline'!$AV$11:$AV$258,'G-2 Habitat groups'!A125,'A-1 On-Site Habitat Baseline'!$X$11:$X$258)</f>
        <v>0</v>
      </c>
      <c r="K125" s="274">
        <f>SUMIF('A-2 On-Site Habitat Creation'!$F$11:$F$256,'G-2 Habitat groups'!A125,'A-2 On-Site Habitat Creation'!$G$11:$G$256)</f>
        <v>0</v>
      </c>
      <c r="L125" s="274">
        <f>SUMIF('A-2 On-Site Habitat Creation'!$F$11:$F$256,'G-2 Habitat groups'!A125,'A-2 On-Site Habitat Creation'!$Y$11:$Y$256)</f>
        <v>0</v>
      </c>
      <c r="M125" s="274">
        <f>SUMIF('A-3 On-Site Habitat Enhancement'!$S$12:$S$257,'G-2 Habitat groups'!A125,'A-3 On-Site Habitat Enhancement'!$V$12:$V$257)</f>
        <v>0</v>
      </c>
      <c r="N125" s="274">
        <f>SUMIF('A-3 On-Site Habitat Enhancement'!$S$12:$S$257,'G-2 Habitat groups'!A125,'A-3 On-Site Habitat Enhancement'!$AN$12:$AN$257)</f>
        <v>0</v>
      </c>
      <c r="O125" s="274">
        <f t="shared" si="76"/>
        <v>0</v>
      </c>
      <c r="P125" s="274">
        <f t="shared" si="77"/>
        <v>0</v>
      </c>
      <c r="Q125" s="274">
        <f t="shared" si="78"/>
        <v>0</v>
      </c>
      <c r="R125" s="274">
        <f t="shared" si="79"/>
        <v>0</v>
      </c>
      <c r="S125" s="274">
        <f>SUMIF('D-1 Off-Site Habitat Baseline'!$AV$11:$AV$258,'G-2 Habitat groups'!A125,'D-1 Off-Site Habitat Baseline'!$H$11:$H$258)</f>
        <v>0</v>
      </c>
      <c r="T125" s="274">
        <f>SUMIF('D-1 Off-Site Habitat Baseline'!$AV$11:$AV$258,'G-2 Habitat groups'!A125,'D-1 Off-Site Habitat Baseline'!$T$11:$T$258)</f>
        <v>0</v>
      </c>
      <c r="U125" s="274">
        <f>SUMIF('D-1 Off-Site Habitat Baseline'!$AV$11:$AV$258,'G-2 Habitat groups'!A125,'D-1 Off-Site Habitat Baseline'!$V$11:$V$258)</f>
        <v>0</v>
      </c>
      <c r="V125" s="274">
        <f>SUMIF('D-1 Off-Site Habitat Baseline'!$AV$11:$AV$258,'G-2 Habitat groups'!A125,'D-1 Off-Site Habitat Baseline'!$X$11:$X$258)+SUMIF('D-1 Off-Site Habitat Baseline'!$AV$11:$AV$258,'G-2 Habitat groups'!A125,'D-1 Off-Site Habitat Baseline'!$AS$11:$AS$258)</f>
        <v>0</v>
      </c>
      <c r="W125" s="274">
        <f>SUMIF('D-2 Off-Site Habitat Creation'!$F$9:$F$255,'G-2 Habitat groups'!A125,'D-2 Off-Site Habitat Creation'!$G$9:$G$255)</f>
        <v>0</v>
      </c>
      <c r="X125" s="274">
        <f>SUMIF('D-2 Off-Site Habitat Creation'!$F$9:$F$255,'G-2 Habitat groups'!A125,'D-2 Off-Site Habitat Creation'!$AB$9:$AB$255)</f>
        <v>0</v>
      </c>
      <c r="Y125" s="274">
        <f>SUMIF('D-3 Off-Site Habitat Enhancment'!$S$12:$S$491,'G-2 Habitat groups'!A125,'D-3 Off-Site Habitat Enhancment'!$V$12:$V$491)</f>
        <v>0</v>
      </c>
      <c r="Z125" s="274">
        <f>SUMIF('D-3 Off-Site Habitat Enhancment'!$S$12:$S$491,'G-2 Habitat groups'!A125,'D-3 Off-Site Habitat Enhancment'!$AQ$12:$AQ$491)</f>
        <v>0</v>
      </c>
      <c r="AA125" s="274">
        <f t="shared" si="80"/>
        <v>0</v>
      </c>
      <c r="AB125" s="274">
        <f t="shared" si="81"/>
        <v>0</v>
      </c>
      <c r="AC125" s="274">
        <f t="shared" si="82"/>
        <v>0</v>
      </c>
      <c r="AD125" s="274">
        <f t="shared" si="83"/>
        <v>0</v>
      </c>
      <c r="AE125" s="274">
        <f t="shared" si="84"/>
        <v>0</v>
      </c>
      <c r="AF125" s="274">
        <f t="shared" si="85"/>
        <v>0</v>
      </c>
      <c r="AU125" s="70" t="s">
        <v>803</v>
      </c>
      <c r="AV125" s="62" t="s">
        <v>120</v>
      </c>
      <c r="AW125" s="280">
        <f t="shared" si="96"/>
        <v>0</v>
      </c>
      <c r="AX125" s="280">
        <f t="shared" si="89"/>
        <v>0</v>
      </c>
      <c r="AY125" s="280">
        <f t="shared" si="90"/>
        <v>0</v>
      </c>
      <c r="AZ125" s="280">
        <f t="shared" si="91"/>
        <v>0</v>
      </c>
      <c r="BA125" s="280">
        <f t="shared" si="92"/>
        <v>0</v>
      </c>
      <c r="BB125" s="280">
        <f t="shared" si="93"/>
        <v>0</v>
      </c>
      <c r="BC125" s="280">
        <f t="shared" si="94"/>
        <v>0</v>
      </c>
      <c r="BD125" s="280">
        <f t="shared" si="95"/>
        <v>0</v>
      </c>
      <c r="BE125" s="280">
        <f t="shared" si="87"/>
        <v>0</v>
      </c>
      <c r="BF125" s="280" t="str">
        <f t="shared" si="88"/>
        <v/>
      </c>
    </row>
    <row r="126" spans="1:58" x14ac:dyDescent="0.25">
      <c r="A126" s="70" t="str">
        <f>'G-1 All Habitats'!B127</f>
        <v>Intertidal sediment - Artificial littoral mixed sediments</v>
      </c>
      <c r="B126" s="62" t="s">
        <v>105</v>
      </c>
      <c r="C126" s="62" t="str">
        <f>'G-1 All Habitats'!K127</f>
        <v>Low</v>
      </c>
      <c r="D126" s="62" t="str">
        <f>'G-1 All Habitats'!M127</f>
        <v>Same distinctiveness or better habitat required ≥</v>
      </c>
      <c r="E126" s="274">
        <f>SUMIF('A-1 On-Site Habitat Baseline'!$AV$11:$AV$258,'G-2 Habitat groups'!A126,'A-1 On-Site Habitat Baseline'!$H$11:$H$258)</f>
        <v>0</v>
      </c>
      <c r="F126" s="274">
        <f>SUMIF('A-1 On-Site Habitat Baseline'!$AV$11:$AV$258,'G-2 Habitat groups'!A126,'A-1 On-Site Habitat Baseline'!$Q$11:$Q$258)</f>
        <v>0</v>
      </c>
      <c r="G126" s="274">
        <f>SUMIF('A-1 On-Site Habitat Baseline'!$AV$11:$AV$258,'G-2 Habitat groups'!A126,'A-1 On-Site Habitat Baseline'!$S$11:$S$258)</f>
        <v>0</v>
      </c>
      <c r="H126" s="274">
        <f>SUMIF('A-1 On-Site Habitat Baseline'!$AV$11:$AV$258,'G-2 Habitat groups'!A126,'A-1 On-Site Habitat Baseline'!$U$11:$U$258)+SUMIF('A-1 On-Site Habitat Baseline'!$AV$11:$AV$258,'G-2 Habitat groups'!A126, 'A-1 On-Site Habitat Baseline'!$AT$11:$AT$258)</f>
        <v>0</v>
      </c>
      <c r="I126" s="274">
        <f>SUMIF('A-1 On-Site Habitat Baseline'!$AV$11:$AV$258,'G-2 Habitat groups'!A126,'A-1 On-Site Habitat Baseline'!$W$11:$W$258)</f>
        <v>0</v>
      </c>
      <c r="J126" s="274">
        <f>SUMIF('A-1 On-Site Habitat Baseline'!$AV$11:$AV$258,'G-2 Habitat groups'!A126,'A-1 On-Site Habitat Baseline'!$X$11:$X$258)</f>
        <v>0</v>
      </c>
      <c r="K126" s="274">
        <f>SUMIF('A-2 On-Site Habitat Creation'!$F$11:$F$256,'G-2 Habitat groups'!A126,'A-2 On-Site Habitat Creation'!$G$11:$G$256)</f>
        <v>0</v>
      </c>
      <c r="L126" s="274">
        <f>SUMIF('A-2 On-Site Habitat Creation'!$F$11:$F$256,'G-2 Habitat groups'!A126,'A-2 On-Site Habitat Creation'!$Y$11:$Y$256)</f>
        <v>0</v>
      </c>
      <c r="M126" s="274">
        <f>SUMIF('A-3 On-Site Habitat Enhancement'!$S$12:$S$257,'G-2 Habitat groups'!A126,'A-3 On-Site Habitat Enhancement'!$V$12:$V$257)</f>
        <v>0</v>
      </c>
      <c r="N126" s="274">
        <f>SUMIF('A-3 On-Site Habitat Enhancement'!$S$12:$S$257,'G-2 Habitat groups'!A126,'A-3 On-Site Habitat Enhancement'!$AN$12:$AN$257)</f>
        <v>0</v>
      </c>
      <c r="O126" s="274">
        <f t="shared" si="76"/>
        <v>0</v>
      </c>
      <c r="P126" s="274">
        <f t="shared" si="77"/>
        <v>0</v>
      </c>
      <c r="Q126" s="274">
        <f t="shared" si="78"/>
        <v>0</v>
      </c>
      <c r="R126" s="274">
        <f t="shared" si="79"/>
        <v>0</v>
      </c>
      <c r="S126" s="274">
        <f>SUMIF('D-1 Off-Site Habitat Baseline'!$AV$11:$AV$258,'G-2 Habitat groups'!A126,'D-1 Off-Site Habitat Baseline'!$H$11:$H$258)</f>
        <v>0</v>
      </c>
      <c r="T126" s="274">
        <f>SUMIF('D-1 Off-Site Habitat Baseline'!$AV$11:$AV$258,'G-2 Habitat groups'!A126,'D-1 Off-Site Habitat Baseline'!$T$11:$T$258)</f>
        <v>0</v>
      </c>
      <c r="U126" s="274">
        <f>SUMIF('D-1 Off-Site Habitat Baseline'!$AV$11:$AV$258,'G-2 Habitat groups'!A126,'D-1 Off-Site Habitat Baseline'!$V$11:$V$258)</f>
        <v>0</v>
      </c>
      <c r="V126" s="274">
        <f>SUMIF('D-1 Off-Site Habitat Baseline'!$AV$11:$AV$258,'G-2 Habitat groups'!A126,'D-1 Off-Site Habitat Baseline'!$X$11:$X$258)+SUMIF('D-1 Off-Site Habitat Baseline'!$AV$11:$AV$258,'G-2 Habitat groups'!A126,'D-1 Off-Site Habitat Baseline'!$AS$11:$AS$258)</f>
        <v>0</v>
      </c>
      <c r="W126" s="274">
        <f>SUMIF('D-2 Off-Site Habitat Creation'!$F$9:$F$255,'G-2 Habitat groups'!A126,'D-2 Off-Site Habitat Creation'!$G$9:$G$255)</f>
        <v>0</v>
      </c>
      <c r="X126" s="274">
        <f>SUMIF('D-2 Off-Site Habitat Creation'!$F$9:$F$255,'G-2 Habitat groups'!A126,'D-2 Off-Site Habitat Creation'!$AB$9:$AB$255)</f>
        <v>0</v>
      </c>
      <c r="Y126" s="274">
        <f>SUMIF('D-3 Off-Site Habitat Enhancment'!$S$12:$S$491,'G-2 Habitat groups'!A126,'D-3 Off-Site Habitat Enhancment'!$V$12:$V$491)</f>
        <v>0</v>
      </c>
      <c r="Z126" s="274">
        <f>SUMIF('D-3 Off-Site Habitat Enhancment'!$S$12:$S$491,'G-2 Habitat groups'!A126,'D-3 Off-Site Habitat Enhancment'!$AQ$12:$AQ$491)</f>
        <v>0</v>
      </c>
      <c r="AA126" s="274">
        <f t="shared" si="80"/>
        <v>0</v>
      </c>
      <c r="AB126" s="274">
        <f t="shared" si="81"/>
        <v>0</v>
      </c>
      <c r="AC126" s="274">
        <f t="shared" si="82"/>
        <v>0</v>
      </c>
      <c r="AD126" s="274">
        <f t="shared" si="83"/>
        <v>0</v>
      </c>
      <c r="AE126" s="274">
        <f t="shared" si="84"/>
        <v>0</v>
      </c>
      <c r="AF126" s="274">
        <f t="shared" si="85"/>
        <v>0</v>
      </c>
      <c r="AU126" s="70" t="s">
        <v>824</v>
      </c>
      <c r="AV126" s="62" t="s">
        <v>120</v>
      </c>
      <c r="AW126" s="280">
        <f t="shared" si="96"/>
        <v>0</v>
      </c>
      <c r="AX126" s="280">
        <f t="shared" si="89"/>
        <v>0</v>
      </c>
      <c r="AY126" s="280">
        <f t="shared" si="90"/>
        <v>0</v>
      </c>
      <c r="AZ126" s="280">
        <f t="shared" si="91"/>
        <v>0</v>
      </c>
      <c r="BA126" s="280">
        <f t="shared" si="92"/>
        <v>0</v>
      </c>
      <c r="BB126" s="280">
        <f t="shared" si="93"/>
        <v>0</v>
      </c>
      <c r="BC126" s="280">
        <f t="shared" si="94"/>
        <v>0</v>
      </c>
      <c r="BD126" s="280">
        <f t="shared" si="95"/>
        <v>0</v>
      </c>
      <c r="BE126" s="280">
        <f t="shared" si="87"/>
        <v>0</v>
      </c>
      <c r="BF126" s="280" t="str">
        <f t="shared" si="88"/>
        <v/>
      </c>
    </row>
    <row r="127" spans="1:58" x14ac:dyDescent="0.25">
      <c r="A127" s="70" t="str">
        <f>'G-1 All Habitats'!B128</f>
        <v>Intertidal sediment - Artificial littoral seagrass</v>
      </c>
      <c r="B127" s="62" t="s">
        <v>105</v>
      </c>
      <c r="C127" s="62" t="str">
        <f>'G-1 All Habitats'!K128</f>
        <v>Low</v>
      </c>
      <c r="D127" s="62" t="str">
        <f>'G-1 All Habitats'!M128</f>
        <v>Same distinctiveness or better habitat required ≥</v>
      </c>
      <c r="E127" s="274">
        <f>SUMIF('A-1 On-Site Habitat Baseline'!$AV$11:$AV$258,'G-2 Habitat groups'!A127,'A-1 On-Site Habitat Baseline'!$H$11:$H$258)</f>
        <v>0</v>
      </c>
      <c r="F127" s="274">
        <f>SUMIF('A-1 On-Site Habitat Baseline'!$AV$11:$AV$258,'G-2 Habitat groups'!A127,'A-1 On-Site Habitat Baseline'!$Q$11:$Q$258)</f>
        <v>0</v>
      </c>
      <c r="G127" s="274">
        <f>SUMIF('A-1 On-Site Habitat Baseline'!$AV$11:$AV$258,'G-2 Habitat groups'!A127,'A-1 On-Site Habitat Baseline'!$S$11:$S$258)</f>
        <v>0</v>
      </c>
      <c r="H127" s="274">
        <f>SUMIF('A-1 On-Site Habitat Baseline'!$AV$11:$AV$258,'G-2 Habitat groups'!A127,'A-1 On-Site Habitat Baseline'!$U$11:$U$258)+SUMIF('A-1 On-Site Habitat Baseline'!$AV$11:$AV$258,'G-2 Habitat groups'!A127, 'A-1 On-Site Habitat Baseline'!$AT$11:$AT$258)</f>
        <v>0</v>
      </c>
      <c r="I127" s="274">
        <f>SUMIF('A-1 On-Site Habitat Baseline'!$AV$11:$AV$258,'G-2 Habitat groups'!A127,'A-1 On-Site Habitat Baseline'!$W$11:$W$258)</f>
        <v>0</v>
      </c>
      <c r="J127" s="274">
        <f>SUMIF('A-1 On-Site Habitat Baseline'!$AV$11:$AV$258,'G-2 Habitat groups'!A127,'A-1 On-Site Habitat Baseline'!$X$11:$X$258)</f>
        <v>0</v>
      </c>
      <c r="K127" s="274">
        <f>SUMIF('A-2 On-Site Habitat Creation'!$F$11:$F$256,'G-2 Habitat groups'!A127,'A-2 On-Site Habitat Creation'!$G$11:$G$256)</f>
        <v>0</v>
      </c>
      <c r="L127" s="274">
        <f>SUMIF('A-2 On-Site Habitat Creation'!$F$11:$F$256,'G-2 Habitat groups'!A127,'A-2 On-Site Habitat Creation'!$Y$11:$Y$256)</f>
        <v>0</v>
      </c>
      <c r="M127" s="274">
        <f>SUMIF('A-3 On-Site Habitat Enhancement'!$S$12:$S$257,'G-2 Habitat groups'!A127,'A-3 On-Site Habitat Enhancement'!$V$12:$V$257)</f>
        <v>0</v>
      </c>
      <c r="N127" s="274">
        <f>SUMIF('A-3 On-Site Habitat Enhancement'!$S$12:$S$257,'G-2 Habitat groups'!A127,'A-3 On-Site Habitat Enhancement'!$AN$12:$AN$257)</f>
        <v>0</v>
      </c>
      <c r="O127" s="274">
        <f t="shared" si="76"/>
        <v>0</v>
      </c>
      <c r="P127" s="274">
        <f t="shared" si="77"/>
        <v>0</v>
      </c>
      <c r="Q127" s="274">
        <f t="shared" si="78"/>
        <v>0</v>
      </c>
      <c r="R127" s="274">
        <f t="shared" si="79"/>
        <v>0</v>
      </c>
      <c r="S127" s="274">
        <f>SUMIF('D-1 Off-Site Habitat Baseline'!$AV$11:$AV$258,'G-2 Habitat groups'!A127,'D-1 Off-Site Habitat Baseline'!$H$11:$H$258)</f>
        <v>0</v>
      </c>
      <c r="T127" s="274">
        <f>SUMIF('D-1 Off-Site Habitat Baseline'!$AV$11:$AV$258,'G-2 Habitat groups'!A127,'D-1 Off-Site Habitat Baseline'!$T$11:$T$258)</f>
        <v>0</v>
      </c>
      <c r="U127" s="274">
        <f>SUMIF('D-1 Off-Site Habitat Baseline'!$AV$11:$AV$258,'G-2 Habitat groups'!A127,'D-1 Off-Site Habitat Baseline'!$V$11:$V$258)</f>
        <v>0</v>
      </c>
      <c r="V127" s="274">
        <f>SUMIF('D-1 Off-Site Habitat Baseline'!$AV$11:$AV$258,'G-2 Habitat groups'!A127,'D-1 Off-Site Habitat Baseline'!$X$11:$X$258)+SUMIF('D-1 Off-Site Habitat Baseline'!$AV$11:$AV$258,'G-2 Habitat groups'!A127,'D-1 Off-Site Habitat Baseline'!$AS$11:$AS$258)</f>
        <v>0</v>
      </c>
      <c r="W127" s="274">
        <f>SUMIF('D-2 Off-Site Habitat Creation'!$F$9:$F$255,'G-2 Habitat groups'!A127,'D-2 Off-Site Habitat Creation'!$G$9:$G$255)</f>
        <v>0</v>
      </c>
      <c r="X127" s="274">
        <f>SUMIF('D-2 Off-Site Habitat Creation'!$F$9:$F$255,'G-2 Habitat groups'!A127,'D-2 Off-Site Habitat Creation'!$AB$9:$AB$255)</f>
        <v>0</v>
      </c>
      <c r="Y127" s="274">
        <f>SUMIF('D-3 Off-Site Habitat Enhancment'!$S$12:$S$491,'G-2 Habitat groups'!A127,'D-3 Off-Site Habitat Enhancment'!$V$12:$V$491)</f>
        <v>0</v>
      </c>
      <c r="Z127" s="274">
        <f>SUMIF('D-3 Off-Site Habitat Enhancment'!$S$12:$S$491,'G-2 Habitat groups'!A127,'D-3 Off-Site Habitat Enhancment'!$AQ$12:$AQ$491)</f>
        <v>0</v>
      </c>
      <c r="AA127" s="274">
        <f t="shared" si="80"/>
        <v>0</v>
      </c>
      <c r="AB127" s="274">
        <f t="shared" si="81"/>
        <v>0</v>
      </c>
      <c r="AC127" s="274">
        <f t="shared" si="82"/>
        <v>0</v>
      </c>
      <c r="AD127" s="274">
        <f t="shared" si="83"/>
        <v>0</v>
      </c>
      <c r="AE127" s="274">
        <f t="shared" si="84"/>
        <v>0</v>
      </c>
      <c r="AF127" s="274">
        <f t="shared" si="85"/>
        <v>0</v>
      </c>
      <c r="AU127" s="70" t="s">
        <v>827</v>
      </c>
      <c r="AV127" s="62" t="s">
        <v>120</v>
      </c>
      <c r="AW127" s="280">
        <f t="shared" si="96"/>
        <v>0</v>
      </c>
      <c r="AX127" s="280">
        <f t="shared" si="89"/>
        <v>0</v>
      </c>
      <c r="AY127" s="280">
        <f t="shared" si="90"/>
        <v>0</v>
      </c>
      <c r="AZ127" s="280">
        <f t="shared" si="91"/>
        <v>0</v>
      </c>
      <c r="BA127" s="280">
        <f t="shared" si="92"/>
        <v>0</v>
      </c>
      <c r="BB127" s="280">
        <f t="shared" si="93"/>
        <v>0</v>
      </c>
      <c r="BC127" s="280">
        <f t="shared" si="94"/>
        <v>0</v>
      </c>
      <c r="BD127" s="280">
        <f t="shared" si="95"/>
        <v>0</v>
      </c>
      <c r="BE127" s="280">
        <f t="shared" si="87"/>
        <v>0</v>
      </c>
      <c r="BF127" s="280" t="str">
        <f t="shared" si="88"/>
        <v/>
      </c>
    </row>
    <row r="128" spans="1:58" x14ac:dyDescent="0.25">
      <c r="A128" s="70" t="str">
        <f>'G-1 All Habitats'!B129</f>
        <v>Intertidal sediment - Artificial littoral biogenic reefs</v>
      </c>
      <c r="B128" s="62" t="s">
        <v>105</v>
      </c>
      <c r="C128" s="62" t="str">
        <f>'G-1 All Habitats'!K129</f>
        <v>Low</v>
      </c>
      <c r="D128" s="62" t="str">
        <f>'G-1 All Habitats'!M129</f>
        <v>Same distinctiveness or better habitat required ≥</v>
      </c>
      <c r="E128" s="274">
        <f>SUMIF('A-1 On-Site Habitat Baseline'!$AV$11:$AV$258,'G-2 Habitat groups'!A128,'A-1 On-Site Habitat Baseline'!$H$11:$H$258)</f>
        <v>0</v>
      </c>
      <c r="F128" s="274">
        <f>SUMIF('A-1 On-Site Habitat Baseline'!$AV$11:$AV$258,'G-2 Habitat groups'!A128,'A-1 On-Site Habitat Baseline'!$Q$11:$Q$258)</f>
        <v>0</v>
      </c>
      <c r="G128" s="274">
        <f>SUMIF('A-1 On-Site Habitat Baseline'!$AV$11:$AV$258,'G-2 Habitat groups'!A128,'A-1 On-Site Habitat Baseline'!$S$11:$S$258)</f>
        <v>0</v>
      </c>
      <c r="H128" s="274">
        <f>SUMIF('A-1 On-Site Habitat Baseline'!$AV$11:$AV$258,'G-2 Habitat groups'!A128,'A-1 On-Site Habitat Baseline'!$U$11:$U$258)+SUMIF('A-1 On-Site Habitat Baseline'!$AV$11:$AV$258,'G-2 Habitat groups'!A128, 'A-1 On-Site Habitat Baseline'!$AT$11:$AT$258)</f>
        <v>0</v>
      </c>
      <c r="I128" s="274">
        <f>SUMIF('A-1 On-Site Habitat Baseline'!$AV$11:$AV$258,'G-2 Habitat groups'!A128,'A-1 On-Site Habitat Baseline'!$W$11:$W$258)</f>
        <v>0</v>
      </c>
      <c r="J128" s="274">
        <f>SUMIF('A-1 On-Site Habitat Baseline'!$AV$11:$AV$258,'G-2 Habitat groups'!A128,'A-1 On-Site Habitat Baseline'!$X$11:$X$258)</f>
        <v>0</v>
      </c>
      <c r="K128" s="274">
        <f>SUMIF('A-2 On-Site Habitat Creation'!$F$11:$F$256,'G-2 Habitat groups'!A128,'A-2 On-Site Habitat Creation'!$G$11:$G$256)</f>
        <v>0</v>
      </c>
      <c r="L128" s="274">
        <f>SUMIF('A-2 On-Site Habitat Creation'!$F$11:$F$256,'G-2 Habitat groups'!A128,'A-2 On-Site Habitat Creation'!$Y$11:$Y$256)</f>
        <v>0</v>
      </c>
      <c r="M128" s="274">
        <f>SUMIF('A-3 On-Site Habitat Enhancement'!$S$12:$S$257,'G-2 Habitat groups'!A128,'A-3 On-Site Habitat Enhancement'!$V$12:$V$257)</f>
        <v>0</v>
      </c>
      <c r="N128" s="274">
        <f>SUMIF('A-3 On-Site Habitat Enhancement'!$S$12:$S$257,'G-2 Habitat groups'!A128,'A-3 On-Site Habitat Enhancement'!$AN$12:$AN$257)</f>
        <v>0</v>
      </c>
      <c r="O128" s="274">
        <f t="shared" si="76"/>
        <v>0</v>
      </c>
      <c r="P128" s="274">
        <f t="shared" si="77"/>
        <v>0</v>
      </c>
      <c r="Q128" s="274">
        <f t="shared" si="78"/>
        <v>0</v>
      </c>
      <c r="R128" s="274">
        <f t="shared" si="79"/>
        <v>0</v>
      </c>
      <c r="S128" s="274">
        <f>SUMIF('D-1 Off-Site Habitat Baseline'!$AV$11:$AV$258,'G-2 Habitat groups'!A128,'D-1 Off-Site Habitat Baseline'!$H$11:$H$258)</f>
        <v>0</v>
      </c>
      <c r="T128" s="274">
        <f>SUMIF('D-1 Off-Site Habitat Baseline'!$AV$11:$AV$258,'G-2 Habitat groups'!A128,'D-1 Off-Site Habitat Baseline'!$T$11:$T$258)</f>
        <v>0</v>
      </c>
      <c r="U128" s="274">
        <f>SUMIF('D-1 Off-Site Habitat Baseline'!$AV$11:$AV$258,'G-2 Habitat groups'!A128,'D-1 Off-Site Habitat Baseline'!$V$11:$V$258)</f>
        <v>0</v>
      </c>
      <c r="V128" s="274">
        <f>SUMIF('D-1 Off-Site Habitat Baseline'!$AV$11:$AV$258,'G-2 Habitat groups'!A128,'D-1 Off-Site Habitat Baseline'!$X$11:$X$258)+SUMIF('D-1 Off-Site Habitat Baseline'!$AV$11:$AV$258,'G-2 Habitat groups'!A128,'D-1 Off-Site Habitat Baseline'!$AS$11:$AS$258)</f>
        <v>0</v>
      </c>
      <c r="W128" s="274">
        <f>SUMIF('D-2 Off-Site Habitat Creation'!$F$9:$F$255,'G-2 Habitat groups'!A128,'D-2 Off-Site Habitat Creation'!$G$9:$G$255)</f>
        <v>0</v>
      </c>
      <c r="X128" s="274">
        <f>SUMIF('D-2 Off-Site Habitat Creation'!$F$9:$F$255,'G-2 Habitat groups'!A128,'D-2 Off-Site Habitat Creation'!$AB$9:$AB$255)</f>
        <v>0</v>
      </c>
      <c r="Y128" s="274">
        <f>SUMIF('D-3 Off-Site Habitat Enhancment'!$S$12:$S$491,'G-2 Habitat groups'!A128,'D-3 Off-Site Habitat Enhancment'!$V$12:$V$491)</f>
        <v>0</v>
      </c>
      <c r="Z128" s="274">
        <f>SUMIF('D-3 Off-Site Habitat Enhancment'!$S$12:$S$491,'G-2 Habitat groups'!A128,'D-3 Off-Site Habitat Enhancment'!$AQ$12:$AQ$491)</f>
        <v>0</v>
      </c>
      <c r="AA128" s="274">
        <f t="shared" si="80"/>
        <v>0</v>
      </c>
      <c r="AB128" s="274">
        <f t="shared" si="81"/>
        <v>0</v>
      </c>
      <c r="AC128" s="274">
        <f t="shared" si="82"/>
        <v>0</v>
      </c>
      <c r="AD128" s="274">
        <f t="shared" si="83"/>
        <v>0</v>
      </c>
      <c r="AE128" s="274">
        <f t="shared" si="84"/>
        <v>0</v>
      </c>
      <c r="AF128" s="274">
        <f t="shared" si="85"/>
        <v>0</v>
      </c>
      <c r="AU128" s="70" t="s">
        <v>829</v>
      </c>
      <c r="AV128" s="62" t="s">
        <v>120</v>
      </c>
      <c r="AW128" s="280">
        <f t="shared" si="96"/>
        <v>0</v>
      </c>
      <c r="AX128" s="280">
        <f t="shared" si="89"/>
        <v>0</v>
      </c>
      <c r="AY128" s="280">
        <f t="shared" si="90"/>
        <v>0</v>
      </c>
      <c r="AZ128" s="280">
        <f t="shared" si="91"/>
        <v>0</v>
      </c>
      <c r="BA128" s="280">
        <f t="shared" si="92"/>
        <v>0</v>
      </c>
      <c r="BB128" s="280">
        <f t="shared" si="93"/>
        <v>0</v>
      </c>
      <c r="BC128" s="280">
        <f t="shared" si="94"/>
        <v>0</v>
      </c>
      <c r="BD128" s="280">
        <f t="shared" si="95"/>
        <v>0</v>
      </c>
      <c r="BE128" s="280">
        <f t="shared" si="87"/>
        <v>0</v>
      </c>
      <c r="BF128" s="280" t="str">
        <f t="shared" si="88"/>
        <v/>
      </c>
    </row>
    <row r="129" spans="1:58" x14ac:dyDescent="0.25">
      <c r="A129" s="70" t="str">
        <f>'G-1 All Habitats'!B130</f>
        <v>Intertidal sediment - Littoral sand</v>
      </c>
      <c r="B129" s="62" t="s">
        <v>105</v>
      </c>
      <c r="C129" s="62" t="str">
        <f>'G-1 All Habitats'!K130</f>
        <v>Medium</v>
      </c>
      <c r="D129" s="62" t="str">
        <f>'G-1 All Habitats'!M130</f>
        <v>Same broad habitat or a higher distinctiveness habitat required (≥)</v>
      </c>
      <c r="E129" s="274">
        <f>SUMIF('A-1 On-Site Habitat Baseline'!$AV$11:$AV$258,'G-2 Habitat groups'!A129,'A-1 On-Site Habitat Baseline'!$H$11:$H$258)</f>
        <v>0</v>
      </c>
      <c r="F129" s="274">
        <f>SUMIF('A-1 On-Site Habitat Baseline'!$AV$11:$AV$258,'G-2 Habitat groups'!A129,'A-1 On-Site Habitat Baseline'!$Q$11:$Q$258)</f>
        <v>0</v>
      </c>
      <c r="G129" s="274">
        <f>SUMIF('A-1 On-Site Habitat Baseline'!$AV$11:$AV$258,'G-2 Habitat groups'!A129,'A-1 On-Site Habitat Baseline'!$S$11:$S$258)</f>
        <v>0</v>
      </c>
      <c r="H129" s="274">
        <f>SUMIF('A-1 On-Site Habitat Baseline'!$AV$11:$AV$258,'G-2 Habitat groups'!A129,'A-1 On-Site Habitat Baseline'!$U$11:$U$258)+SUMIF('A-1 On-Site Habitat Baseline'!$AV$11:$AV$258,'G-2 Habitat groups'!A129, 'A-1 On-Site Habitat Baseline'!$AT$11:$AT$258)</f>
        <v>0</v>
      </c>
      <c r="I129" s="274">
        <f>SUMIF('A-1 On-Site Habitat Baseline'!$AV$11:$AV$258,'G-2 Habitat groups'!A129,'A-1 On-Site Habitat Baseline'!$W$11:$W$258)</f>
        <v>0</v>
      </c>
      <c r="J129" s="274">
        <f>SUMIF('A-1 On-Site Habitat Baseline'!$AV$11:$AV$258,'G-2 Habitat groups'!A129,'A-1 On-Site Habitat Baseline'!$X$11:$X$258)</f>
        <v>0</v>
      </c>
      <c r="K129" s="274">
        <f>SUMIF('A-2 On-Site Habitat Creation'!$F$11:$F$256,'G-2 Habitat groups'!A129,'A-2 On-Site Habitat Creation'!$G$11:$G$256)</f>
        <v>0</v>
      </c>
      <c r="L129" s="274">
        <f>SUMIF('A-2 On-Site Habitat Creation'!$F$11:$F$256,'G-2 Habitat groups'!A129,'A-2 On-Site Habitat Creation'!$Y$11:$Y$256)</f>
        <v>0</v>
      </c>
      <c r="M129" s="274">
        <f>SUMIF('A-3 On-Site Habitat Enhancement'!$S$12:$S$257,'G-2 Habitat groups'!A129,'A-3 On-Site Habitat Enhancement'!$V$12:$V$257)</f>
        <v>0</v>
      </c>
      <c r="N129" s="274">
        <f>SUMIF('A-3 On-Site Habitat Enhancement'!$S$12:$S$257,'G-2 Habitat groups'!A129,'A-3 On-Site Habitat Enhancement'!$AN$12:$AN$257)</f>
        <v>0</v>
      </c>
      <c r="O129" s="274">
        <f t="shared" si="76"/>
        <v>0</v>
      </c>
      <c r="P129" s="274">
        <f t="shared" si="77"/>
        <v>0</v>
      </c>
      <c r="Q129" s="274">
        <f t="shared" si="78"/>
        <v>0</v>
      </c>
      <c r="R129" s="274">
        <f t="shared" si="79"/>
        <v>0</v>
      </c>
      <c r="S129" s="274">
        <f>SUMIF('D-1 Off-Site Habitat Baseline'!$AV$11:$AV$258,'G-2 Habitat groups'!A129,'D-1 Off-Site Habitat Baseline'!$H$11:$H$258)</f>
        <v>0</v>
      </c>
      <c r="T129" s="274">
        <f>SUMIF('D-1 Off-Site Habitat Baseline'!$AV$11:$AV$258,'G-2 Habitat groups'!A129,'D-1 Off-Site Habitat Baseline'!$T$11:$T$258)</f>
        <v>0</v>
      </c>
      <c r="U129" s="274">
        <f>SUMIF('D-1 Off-Site Habitat Baseline'!$AV$11:$AV$258,'G-2 Habitat groups'!A129,'D-1 Off-Site Habitat Baseline'!$V$11:$V$258)</f>
        <v>0</v>
      </c>
      <c r="V129" s="274">
        <f>SUMIF('D-1 Off-Site Habitat Baseline'!$AV$11:$AV$258,'G-2 Habitat groups'!A129,'D-1 Off-Site Habitat Baseline'!$X$11:$X$258)+SUMIF('D-1 Off-Site Habitat Baseline'!$AV$11:$AV$258,'G-2 Habitat groups'!A129,'D-1 Off-Site Habitat Baseline'!$AS$11:$AS$258)</f>
        <v>0</v>
      </c>
      <c r="W129" s="274">
        <f>SUMIF('D-2 Off-Site Habitat Creation'!$F$9:$F$255,'G-2 Habitat groups'!A129,'D-2 Off-Site Habitat Creation'!$G$9:$G$255)</f>
        <v>0</v>
      </c>
      <c r="X129" s="274">
        <f>SUMIF('D-2 Off-Site Habitat Creation'!$F$9:$F$255,'G-2 Habitat groups'!A129,'D-2 Off-Site Habitat Creation'!$AB$9:$AB$255)</f>
        <v>0</v>
      </c>
      <c r="Y129" s="274">
        <f>SUMIF('D-3 Off-Site Habitat Enhancment'!$S$12:$S$491,'G-2 Habitat groups'!A129,'D-3 Off-Site Habitat Enhancment'!$V$12:$V$491)</f>
        <v>0</v>
      </c>
      <c r="Z129" s="274">
        <f>SUMIF('D-3 Off-Site Habitat Enhancment'!$S$12:$S$491,'G-2 Habitat groups'!A129,'D-3 Off-Site Habitat Enhancment'!$AQ$12:$AQ$491)</f>
        <v>0</v>
      </c>
      <c r="AA129" s="274">
        <f t="shared" si="80"/>
        <v>0</v>
      </c>
      <c r="AB129" s="274">
        <f t="shared" si="81"/>
        <v>0</v>
      </c>
      <c r="AC129" s="274">
        <f t="shared" si="82"/>
        <v>0</v>
      </c>
      <c r="AD129" s="274">
        <f t="shared" si="83"/>
        <v>0</v>
      </c>
      <c r="AE129" s="274">
        <f t="shared" si="84"/>
        <v>0</v>
      </c>
      <c r="AF129" s="274">
        <f t="shared" si="85"/>
        <v>0</v>
      </c>
      <c r="AU129" s="70" t="s">
        <v>822</v>
      </c>
      <c r="AV129" s="62" t="s">
        <v>120</v>
      </c>
      <c r="AW129" s="280">
        <f t="shared" si="96"/>
        <v>0</v>
      </c>
      <c r="AX129" s="280">
        <f t="shared" si="89"/>
        <v>0</v>
      </c>
      <c r="AY129" s="280">
        <f t="shared" si="90"/>
        <v>0</v>
      </c>
      <c r="AZ129" s="280">
        <f t="shared" si="91"/>
        <v>0</v>
      </c>
      <c r="BA129" s="280">
        <f t="shared" si="92"/>
        <v>0</v>
      </c>
      <c r="BB129" s="280">
        <f t="shared" si="93"/>
        <v>0</v>
      </c>
      <c r="BC129" s="280">
        <f t="shared" si="94"/>
        <v>0</v>
      </c>
      <c r="BD129" s="280">
        <f t="shared" si="95"/>
        <v>0</v>
      </c>
      <c r="BE129" s="280">
        <f t="shared" si="87"/>
        <v>0</v>
      </c>
      <c r="BF129" s="280" t="str">
        <f t="shared" si="88"/>
        <v/>
      </c>
    </row>
    <row r="130" spans="1:58" x14ac:dyDescent="0.25">
      <c r="A130" s="70" t="str">
        <f>'G-1 All Habitats'!B131</f>
        <v>Intertidal sediment - Littoral muddy sand</v>
      </c>
      <c r="B130" s="62" t="s">
        <v>105</v>
      </c>
      <c r="C130" s="62" t="str">
        <f>'G-1 All Habitats'!K131</f>
        <v>High</v>
      </c>
      <c r="D130" s="62" t="str">
        <f>'G-1 All Habitats'!M131</f>
        <v>Same habitat required =</v>
      </c>
      <c r="E130" s="274">
        <f>SUMIF('A-1 On-Site Habitat Baseline'!$AV$11:$AV$258,'G-2 Habitat groups'!A130,'A-1 On-Site Habitat Baseline'!$H$11:$H$258)</f>
        <v>0</v>
      </c>
      <c r="F130" s="274">
        <f>SUMIF('A-1 On-Site Habitat Baseline'!$AV$11:$AV$258,'G-2 Habitat groups'!A130,'A-1 On-Site Habitat Baseline'!$Q$11:$Q$258)</f>
        <v>0</v>
      </c>
      <c r="G130" s="274">
        <f>SUMIF('A-1 On-Site Habitat Baseline'!$AV$11:$AV$258,'G-2 Habitat groups'!A130,'A-1 On-Site Habitat Baseline'!$S$11:$S$258)</f>
        <v>0</v>
      </c>
      <c r="H130" s="274">
        <f>SUMIF('A-1 On-Site Habitat Baseline'!$AV$11:$AV$258,'G-2 Habitat groups'!A130,'A-1 On-Site Habitat Baseline'!$U$11:$U$258)+SUMIF('A-1 On-Site Habitat Baseline'!$AV$11:$AV$258,'G-2 Habitat groups'!A130, 'A-1 On-Site Habitat Baseline'!$AT$11:$AT$258)</f>
        <v>0</v>
      </c>
      <c r="I130" s="274">
        <f>SUMIF('A-1 On-Site Habitat Baseline'!$AV$11:$AV$258,'G-2 Habitat groups'!A130,'A-1 On-Site Habitat Baseline'!$W$11:$W$258)</f>
        <v>0</v>
      </c>
      <c r="J130" s="274">
        <f>SUMIF('A-1 On-Site Habitat Baseline'!$AV$11:$AV$258,'G-2 Habitat groups'!A130,'A-1 On-Site Habitat Baseline'!$X$11:$X$258)</f>
        <v>0</v>
      </c>
      <c r="K130" s="274">
        <f>SUMIF('A-2 On-Site Habitat Creation'!$F$11:$F$256,'G-2 Habitat groups'!A130,'A-2 On-Site Habitat Creation'!$G$11:$G$256)</f>
        <v>0</v>
      </c>
      <c r="L130" s="274">
        <f>SUMIF('A-2 On-Site Habitat Creation'!$F$11:$F$256,'G-2 Habitat groups'!A130,'A-2 On-Site Habitat Creation'!$Y$11:$Y$256)</f>
        <v>0</v>
      </c>
      <c r="M130" s="274">
        <f>SUMIF('A-3 On-Site Habitat Enhancement'!$S$12:$S$257,'G-2 Habitat groups'!A130,'A-3 On-Site Habitat Enhancement'!$V$12:$V$257)</f>
        <v>0</v>
      </c>
      <c r="N130" s="274">
        <f>SUMIF('A-3 On-Site Habitat Enhancement'!$S$12:$S$257,'G-2 Habitat groups'!A130,'A-3 On-Site Habitat Enhancement'!$AN$12:$AN$257)</f>
        <v>0</v>
      </c>
      <c r="O130" s="274">
        <f t="shared" si="76"/>
        <v>0</v>
      </c>
      <c r="P130" s="274">
        <f t="shared" si="77"/>
        <v>0</v>
      </c>
      <c r="Q130" s="274">
        <f t="shared" si="78"/>
        <v>0</v>
      </c>
      <c r="R130" s="274">
        <f t="shared" si="79"/>
        <v>0</v>
      </c>
      <c r="S130" s="274">
        <f>SUMIF('D-1 Off-Site Habitat Baseline'!$AV$11:$AV$258,'G-2 Habitat groups'!A130,'D-1 Off-Site Habitat Baseline'!$H$11:$H$258)</f>
        <v>0</v>
      </c>
      <c r="T130" s="274">
        <f>SUMIF('D-1 Off-Site Habitat Baseline'!$AV$11:$AV$258,'G-2 Habitat groups'!A130,'D-1 Off-Site Habitat Baseline'!$T$11:$T$258)</f>
        <v>0</v>
      </c>
      <c r="U130" s="274">
        <f>SUMIF('D-1 Off-Site Habitat Baseline'!$AV$11:$AV$258,'G-2 Habitat groups'!A130,'D-1 Off-Site Habitat Baseline'!$V$11:$V$258)</f>
        <v>0</v>
      </c>
      <c r="V130" s="274">
        <f>SUMIF('D-1 Off-Site Habitat Baseline'!$AV$11:$AV$258,'G-2 Habitat groups'!A130,'D-1 Off-Site Habitat Baseline'!$X$11:$X$258)+SUMIF('D-1 Off-Site Habitat Baseline'!$AV$11:$AV$258,'G-2 Habitat groups'!A130,'D-1 Off-Site Habitat Baseline'!$AS$11:$AS$258)</f>
        <v>0</v>
      </c>
      <c r="W130" s="274">
        <f>SUMIF('D-2 Off-Site Habitat Creation'!$F$9:$F$255,'G-2 Habitat groups'!A130,'D-2 Off-Site Habitat Creation'!$G$9:$G$255)</f>
        <v>0</v>
      </c>
      <c r="X130" s="274">
        <f>SUMIF('D-2 Off-Site Habitat Creation'!$F$9:$F$255,'G-2 Habitat groups'!A130,'D-2 Off-Site Habitat Creation'!$AB$9:$AB$255)</f>
        <v>0</v>
      </c>
      <c r="Y130" s="274">
        <f>SUMIF('D-3 Off-Site Habitat Enhancment'!$S$12:$S$491,'G-2 Habitat groups'!A130,'D-3 Off-Site Habitat Enhancment'!$V$12:$V$491)</f>
        <v>0</v>
      </c>
      <c r="Z130" s="274">
        <f>SUMIF('D-3 Off-Site Habitat Enhancment'!$S$12:$S$491,'G-2 Habitat groups'!A130,'D-3 Off-Site Habitat Enhancment'!$AQ$12:$AQ$491)</f>
        <v>0</v>
      </c>
      <c r="AA130" s="274">
        <f t="shared" si="80"/>
        <v>0</v>
      </c>
      <c r="AB130" s="274">
        <f t="shared" si="81"/>
        <v>0</v>
      </c>
      <c r="AC130" s="274">
        <f t="shared" si="82"/>
        <v>0</v>
      </c>
      <c r="AD130" s="274">
        <f t="shared" si="83"/>
        <v>0</v>
      </c>
      <c r="AE130" s="274">
        <f t="shared" si="84"/>
        <v>0</v>
      </c>
      <c r="AF130" s="274">
        <f t="shared" si="85"/>
        <v>0</v>
      </c>
      <c r="AU130" s="70" t="s">
        <v>833</v>
      </c>
      <c r="AV130" s="62" t="s">
        <v>120</v>
      </c>
      <c r="AW130" s="280">
        <f t="shared" si="96"/>
        <v>1.9900000000000001E-2</v>
      </c>
      <c r="AX130" s="280">
        <f t="shared" si="89"/>
        <v>4.5769999999999998E-2</v>
      </c>
      <c r="AY130" s="280">
        <f t="shared" si="90"/>
        <v>5.8400000000000001E-2</v>
      </c>
      <c r="AZ130" s="280">
        <f t="shared" si="91"/>
        <v>0.12961879999999998</v>
      </c>
      <c r="BA130" s="280">
        <f t="shared" si="92"/>
        <v>3.85E-2</v>
      </c>
      <c r="BB130" s="280">
        <f t="shared" si="93"/>
        <v>8.3848799999999973E-2</v>
      </c>
      <c r="BC130" s="280">
        <f t="shared" si="94"/>
        <v>0</v>
      </c>
      <c r="BD130" s="280">
        <f t="shared" si="95"/>
        <v>-0.17756</v>
      </c>
      <c r="BE130" s="280">
        <f t="shared" si="87"/>
        <v>-9.3711200000000022E-2</v>
      </c>
      <c r="BF130" s="280">
        <f t="shared" si="88"/>
        <v>-9.3711200000000022E-2</v>
      </c>
    </row>
    <row r="131" spans="1:58" x14ac:dyDescent="0.25">
      <c r="A131" s="70" t="str">
        <f>'G-1 All Habitats'!B132</f>
        <v>Intertidal hard structures - Artificial hard structures</v>
      </c>
      <c r="B131" s="62" t="s">
        <v>216</v>
      </c>
      <c r="C131" s="62" t="str">
        <f>'G-1 All Habitats'!K132</f>
        <v>Low</v>
      </c>
      <c r="D131" s="62" t="str">
        <f>'G-1 All Habitats'!M132</f>
        <v>Same distinctiveness or better habitat required ≥</v>
      </c>
      <c r="E131" s="274">
        <f>SUMIF('A-1 On-Site Habitat Baseline'!$AV$11:$AV$258,'G-2 Habitat groups'!A131,'A-1 On-Site Habitat Baseline'!$H$11:$H$258)</f>
        <v>0</v>
      </c>
      <c r="F131" s="274">
        <f>SUMIF('A-1 On-Site Habitat Baseline'!$AV$11:$AV$258,'G-2 Habitat groups'!A131,'A-1 On-Site Habitat Baseline'!$Q$11:$Q$258)</f>
        <v>0</v>
      </c>
      <c r="G131" s="274">
        <f>SUMIF('A-1 On-Site Habitat Baseline'!$AV$11:$AV$258,'G-2 Habitat groups'!A131,'A-1 On-Site Habitat Baseline'!$S$11:$S$258)</f>
        <v>0</v>
      </c>
      <c r="H131" s="274">
        <f>SUMIF('A-1 On-Site Habitat Baseline'!$AV$11:$AV$258,'G-2 Habitat groups'!A131,'A-1 On-Site Habitat Baseline'!$U$11:$U$258)+SUMIF('A-1 On-Site Habitat Baseline'!$AV$11:$AV$258,'G-2 Habitat groups'!A131, 'A-1 On-Site Habitat Baseline'!$AT$11:$AT$258)</f>
        <v>0</v>
      </c>
      <c r="I131" s="274">
        <f>SUMIF('A-1 On-Site Habitat Baseline'!$AV$11:$AV$258,'G-2 Habitat groups'!A131,'A-1 On-Site Habitat Baseline'!$W$11:$W$258)</f>
        <v>0</v>
      </c>
      <c r="J131" s="274">
        <f>SUMIF('A-1 On-Site Habitat Baseline'!$AV$11:$AV$258,'G-2 Habitat groups'!A131,'A-1 On-Site Habitat Baseline'!$X$11:$X$258)</f>
        <v>0</v>
      </c>
      <c r="K131" s="274">
        <f>SUMIF('A-2 On-Site Habitat Creation'!$F$11:$F$256,'G-2 Habitat groups'!A131,'A-2 On-Site Habitat Creation'!$G$11:$G$256)</f>
        <v>0</v>
      </c>
      <c r="L131" s="274">
        <f>SUMIF('A-2 On-Site Habitat Creation'!$F$11:$F$256,'G-2 Habitat groups'!A131,'A-2 On-Site Habitat Creation'!$Y$11:$Y$256)</f>
        <v>0</v>
      </c>
      <c r="M131" s="274">
        <f>SUMIF('A-3 On-Site Habitat Enhancement'!$S$12:$S$257,'G-2 Habitat groups'!A131,'A-3 On-Site Habitat Enhancement'!$V$12:$V$257)</f>
        <v>0</v>
      </c>
      <c r="N131" s="274">
        <f>SUMIF('A-3 On-Site Habitat Enhancement'!$S$12:$S$257,'G-2 Habitat groups'!A131,'A-3 On-Site Habitat Enhancement'!$AN$12:$AN$257)</f>
        <v>0</v>
      </c>
      <c r="O131" s="274">
        <f t="shared" si="76"/>
        <v>0</v>
      </c>
      <c r="P131" s="274">
        <f t="shared" si="77"/>
        <v>0</v>
      </c>
      <c r="Q131" s="274">
        <f t="shared" si="78"/>
        <v>0</v>
      </c>
      <c r="R131" s="274">
        <f t="shared" si="79"/>
        <v>0</v>
      </c>
      <c r="S131" s="274">
        <f>SUMIF('D-1 Off-Site Habitat Baseline'!$AV$11:$AV$258,'G-2 Habitat groups'!A131,'D-1 Off-Site Habitat Baseline'!$H$11:$H$258)</f>
        <v>0</v>
      </c>
      <c r="T131" s="274">
        <f>SUMIF('D-1 Off-Site Habitat Baseline'!$AV$11:$AV$258,'G-2 Habitat groups'!A131,'D-1 Off-Site Habitat Baseline'!$T$11:$T$258)</f>
        <v>0</v>
      </c>
      <c r="U131" s="274">
        <f>SUMIF('D-1 Off-Site Habitat Baseline'!$AV$11:$AV$258,'G-2 Habitat groups'!A131,'D-1 Off-Site Habitat Baseline'!$V$11:$V$258)</f>
        <v>0</v>
      </c>
      <c r="V131" s="274">
        <f>SUMIF('D-1 Off-Site Habitat Baseline'!$AV$11:$AV$258,'G-2 Habitat groups'!A131,'D-1 Off-Site Habitat Baseline'!$X$11:$X$258)+SUMIF('D-1 Off-Site Habitat Baseline'!$AV$11:$AV$258,'G-2 Habitat groups'!A131,'D-1 Off-Site Habitat Baseline'!$AS$11:$AS$258)</f>
        <v>0</v>
      </c>
      <c r="W131" s="274">
        <f>SUMIF('D-2 Off-Site Habitat Creation'!$F$9:$F$255,'G-2 Habitat groups'!A131,'D-2 Off-Site Habitat Creation'!$G$9:$G$255)</f>
        <v>0</v>
      </c>
      <c r="X131" s="274">
        <f>SUMIF('D-2 Off-Site Habitat Creation'!$F$9:$F$255,'G-2 Habitat groups'!A131,'D-2 Off-Site Habitat Creation'!$AB$9:$AB$255)</f>
        <v>0</v>
      </c>
      <c r="Y131" s="274">
        <f>SUMIF('D-3 Off-Site Habitat Enhancment'!$S$12:$S$491,'G-2 Habitat groups'!A131,'D-3 Off-Site Habitat Enhancment'!$V$12:$V$491)</f>
        <v>0</v>
      </c>
      <c r="Z131" s="274">
        <f>SUMIF('D-3 Off-Site Habitat Enhancment'!$S$12:$S$491,'G-2 Habitat groups'!A131,'D-3 Off-Site Habitat Enhancment'!$AQ$12:$AQ$491)</f>
        <v>0</v>
      </c>
      <c r="AA131" s="274">
        <f t="shared" si="80"/>
        <v>0</v>
      </c>
      <c r="AB131" s="274">
        <f t="shared" si="81"/>
        <v>0</v>
      </c>
      <c r="AC131" s="274">
        <f t="shared" si="82"/>
        <v>0</v>
      </c>
      <c r="AD131" s="274">
        <f t="shared" si="83"/>
        <v>0</v>
      </c>
      <c r="AE131" s="274">
        <f t="shared" si="84"/>
        <v>0</v>
      </c>
      <c r="AF131" s="274">
        <f t="shared" si="85"/>
        <v>0</v>
      </c>
      <c r="AU131" s="70" t="s">
        <v>838</v>
      </c>
      <c r="AV131" s="62" t="s">
        <v>120</v>
      </c>
      <c r="AW131" s="280">
        <f t="shared" si="96"/>
        <v>0</v>
      </c>
      <c r="AX131" s="280">
        <f t="shared" si="89"/>
        <v>0</v>
      </c>
      <c r="AY131" s="280">
        <f t="shared" si="90"/>
        <v>1.5900000000000001E-2</v>
      </c>
      <c r="AZ131" s="280">
        <f t="shared" si="91"/>
        <v>6.57259536225E-2</v>
      </c>
      <c r="BA131" s="280">
        <f t="shared" si="92"/>
        <v>1.5900000000000001E-2</v>
      </c>
      <c r="BB131" s="280">
        <f t="shared" si="93"/>
        <v>6.57259536225E-2</v>
      </c>
      <c r="BC131" s="280">
        <f t="shared" si="94"/>
        <v>0</v>
      </c>
      <c r="BD131" s="280">
        <f t="shared" si="95"/>
        <v>0</v>
      </c>
      <c r="BE131" s="280">
        <f t="shared" si="87"/>
        <v>6.57259536225E-2</v>
      </c>
      <c r="BF131" s="280" t="str">
        <f t="shared" si="88"/>
        <v/>
      </c>
    </row>
    <row r="132" spans="1:58" x14ac:dyDescent="0.25">
      <c r="A132" s="70" t="str">
        <f>'G-1 All Habitats'!B133</f>
        <v>Intertidal hard structures - Artificial features of hard structures</v>
      </c>
      <c r="B132" s="62" t="s">
        <v>216</v>
      </c>
      <c r="C132" s="62" t="str">
        <f>'G-1 All Habitats'!K133</f>
        <v>Low</v>
      </c>
      <c r="D132" s="62" t="str">
        <f>'G-1 All Habitats'!M133</f>
        <v>Same distinctiveness or better habitat required ≥</v>
      </c>
      <c r="E132" s="274">
        <f>SUMIF('A-1 On-Site Habitat Baseline'!$AV$11:$AV$258,'G-2 Habitat groups'!A132,'A-1 On-Site Habitat Baseline'!$H$11:$H$258)</f>
        <v>0</v>
      </c>
      <c r="F132" s="274">
        <f>SUMIF('A-1 On-Site Habitat Baseline'!$AV$11:$AV$258,'G-2 Habitat groups'!A132,'A-1 On-Site Habitat Baseline'!$Q$11:$Q$258)</f>
        <v>0</v>
      </c>
      <c r="G132" s="274">
        <f>SUMIF('A-1 On-Site Habitat Baseline'!$AV$11:$AV$258,'G-2 Habitat groups'!A132,'A-1 On-Site Habitat Baseline'!$S$11:$S$258)</f>
        <v>0</v>
      </c>
      <c r="H132" s="274">
        <f>SUMIF('A-1 On-Site Habitat Baseline'!$AV$11:$AV$258,'G-2 Habitat groups'!A132,'A-1 On-Site Habitat Baseline'!$U$11:$U$258)+SUMIF('A-1 On-Site Habitat Baseline'!$AV$11:$AV$258,'G-2 Habitat groups'!A132, 'A-1 On-Site Habitat Baseline'!$AT$11:$AT$258)</f>
        <v>0</v>
      </c>
      <c r="I132" s="274">
        <f>SUMIF('A-1 On-Site Habitat Baseline'!$AV$11:$AV$258,'G-2 Habitat groups'!A132,'A-1 On-Site Habitat Baseline'!$W$11:$W$258)</f>
        <v>0</v>
      </c>
      <c r="J132" s="274">
        <f>SUMIF('A-1 On-Site Habitat Baseline'!$AV$11:$AV$258,'G-2 Habitat groups'!A132,'A-1 On-Site Habitat Baseline'!$X$11:$X$258)</f>
        <v>0</v>
      </c>
      <c r="K132" s="274">
        <f>SUMIF('A-2 On-Site Habitat Creation'!$F$11:$F$256,'G-2 Habitat groups'!A132,'A-2 On-Site Habitat Creation'!$G$11:$G$256)</f>
        <v>0</v>
      </c>
      <c r="L132" s="274">
        <f>SUMIF('A-2 On-Site Habitat Creation'!$F$11:$F$256,'G-2 Habitat groups'!A132,'A-2 On-Site Habitat Creation'!$Y$11:$Y$256)</f>
        <v>0</v>
      </c>
      <c r="M132" s="274">
        <f>SUMIF('A-3 On-Site Habitat Enhancement'!$S$12:$S$257,'G-2 Habitat groups'!A132,'A-3 On-Site Habitat Enhancement'!$V$12:$V$257)</f>
        <v>0</v>
      </c>
      <c r="N132" s="274">
        <f>SUMIF('A-3 On-Site Habitat Enhancement'!$S$12:$S$257,'G-2 Habitat groups'!A132,'A-3 On-Site Habitat Enhancement'!$AN$12:$AN$257)</f>
        <v>0</v>
      </c>
      <c r="O132" s="274">
        <f t="shared" si="76"/>
        <v>0</v>
      </c>
      <c r="P132" s="274">
        <f t="shared" si="77"/>
        <v>0</v>
      </c>
      <c r="Q132" s="274">
        <f t="shared" si="78"/>
        <v>0</v>
      </c>
      <c r="R132" s="274">
        <f t="shared" si="79"/>
        <v>0</v>
      </c>
      <c r="S132" s="274">
        <f>SUMIF('D-1 Off-Site Habitat Baseline'!$AV$11:$AV$258,'G-2 Habitat groups'!A132,'D-1 Off-Site Habitat Baseline'!$H$11:$H$258)</f>
        <v>0</v>
      </c>
      <c r="T132" s="274">
        <f>SUMIF('D-1 Off-Site Habitat Baseline'!$AV$11:$AV$258,'G-2 Habitat groups'!A132,'D-1 Off-Site Habitat Baseline'!$T$11:$T$258)</f>
        <v>0</v>
      </c>
      <c r="U132" s="274">
        <f>SUMIF('D-1 Off-Site Habitat Baseline'!$AV$11:$AV$258,'G-2 Habitat groups'!A132,'D-1 Off-Site Habitat Baseline'!$V$11:$V$258)</f>
        <v>0</v>
      </c>
      <c r="V132" s="274">
        <f>SUMIF('D-1 Off-Site Habitat Baseline'!$AV$11:$AV$258,'G-2 Habitat groups'!A132,'D-1 Off-Site Habitat Baseline'!$X$11:$X$258)+SUMIF('D-1 Off-Site Habitat Baseline'!$AV$11:$AV$258,'G-2 Habitat groups'!A132,'D-1 Off-Site Habitat Baseline'!$AS$11:$AS$258)</f>
        <v>0</v>
      </c>
      <c r="W132" s="274">
        <f>SUMIF('D-2 Off-Site Habitat Creation'!$F$9:$F$255,'G-2 Habitat groups'!A132,'D-2 Off-Site Habitat Creation'!$G$9:$G$255)</f>
        <v>0</v>
      </c>
      <c r="X132" s="274">
        <f>SUMIF('D-2 Off-Site Habitat Creation'!$F$9:$F$255,'G-2 Habitat groups'!A132,'D-2 Off-Site Habitat Creation'!$AB$9:$AB$255)</f>
        <v>0</v>
      </c>
      <c r="Y132" s="274">
        <f>SUMIF('D-3 Off-Site Habitat Enhancment'!$S$12:$S$491,'G-2 Habitat groups'!A132,'D-3 Off-Site Habitat Enhancment'!$V$12:$V$491)</f>
        <v>0</v>
      </c>
      <c r="Z132" s="274">
        <f>SUMIF('D-3 Off-Site Habitat Enhancment'!$S$12:$S$491,'G-2 Habitat groups'!A132,'D-3 Off-Site Habitat Enhancment'!$AQ$12:$AQ$491)</f>
        <v>0</v>
      </c>
      <c r="AA132" s="274">
        <f t="shared" si="80"/>
        <v>0</v>
      </c>
      <c r="AB132" s="274">
        <f t="shared" si="81"/>
        <v>0</v>
      </c>
      <c r="AC132" s="274">
        <f t="shared" si="82"/>
        <v>0</v>
      </c>
      <c r="AD132" s="274">
        <f t="shared" si="83"/>
        <v>0</v>
      </c>
      <c r="AE132" s="274">
        <f t="shared" si="84"/>
        <v>0</v>
      </c>
      <c r="AF132" s="274">
        <f t="shared" si="85"/>
        <v>0</v>
      </c>
      <c r="AU132" s="70" t="s">
        <v>840</v>
      </c>
      <c r="AV132" s="62" t="s">
        <v>120</v>
      </c>
      <c r="AW132" s="280">
        <f t="shared" si="96"/>
        <v>0</v>
      </c>
      <c r="AX132" s="280">
        <f t="shared" si="89"/>
        <v>0</v>
      </c>
      <c r="AY132" s="280">
        <f t="shared" si="90"/>
        <v>0</v>
      </c>
      <c r="AZ132" s="280">
        <f t="shared" si="91"/>
        <v>0</v>
      </c>
      <c r="BA132" s="280">
        <f t="shared" si="92"/>
        <v>0</v>
      </c>
      <c r="BB132" s="280">
        <f t="shared" si="93"/>
        <v>0</v>
      </c>
      <c r="BC132" s="280">
        <f t="shared" si="94"/>
        <v>0</v>
      </c>
      <c r="BD132" s="280">
        <f t="shared" si="95"/>
        <v>0</v>
      </c>
      <c r="BE132" s="280">
        <f t="shared" si="87"/>
        <v>0</v>
      </c>
      <c r="BF132" s="280" t="str">
        <f t="shared" si="88"/>
        <v/>
      </c>
    </row>
    <row r="133" spans="1:58" x14ac:dyDescent="0.25">
      <c r="A133" s="70" t="str">
        <f>'G-1 All Habitats'!B134</f>
        <v>Intertidal hard structures - Artificial hard structures with integrated greening of grey infrastructure (IGGI)</v>
      </c>
      <c r="B133" s="62" t="s">
        <v>216</v>
      </c>
      <c r="C133" s="62" t="str">
        <f>'G-1 All Habitats'!K134</f>
        <v>Medium</v>
      </c>
      <c r="D133" s="62" t="str">
        <f>'G-1 All Habitats'!M134</f>
        <v>Same broad habitat or a higher distinctiveness habitat required (≥)</v>
      </c>
      <c r="E133" s="274">
        <f>SUMIF('A-1 On-Site Habitat Baseline'!$AV$11:$AV$258,'G-2 Habitat groups'!A133,'A-1 On-Site Habitat Baseline'!$H$11:$H$258)</f>
        <v>0</v>
      </c>
      <c r="F133" s="274">
        <f>SUMIF('A-1 On-Site Habitat Baseline'!$AV$11:$AV$258,'G-2 Habitat groups'!A133,'A-1 On-Site Habitat Baseline'!$Q$11:$Q$258)</f>
        <v>0</v>
      </c>
      <c r="G133" s="274">
        <f>SUMIF('A-1 On-Site Habitat Baseline'!$AV$11:$AV$258,'G-2 Habitat groups'!A133,'A-1 On-Site Habitat Baseline'!$S$11:$S$258)</f>
        <v>0</v>
      </c>
      <c r="H133" s="274">
        <f>SUMIF('A-1 On-Site Habitat Baseline'!$AV$11:$AV$258,'G-2 Habitat groups'!A133,'A-1 On-Site Habitat Baseline'!$U$11:$U$258)+SUMIF('A-1 On-Site Habitat Baseline'!$AV$11:$AV$258,'G-2 Habitat groups'!A133, 'A-1 On-Site Habitat Baseline'!$AT$11:$AT$258)</f>
        <v>0</v>
      </c>
      <c r="I133" s="274">
        <f>SUMIF('A-1 On-Site Habitat Baseline'!$AV$11:$AV$258,'G-2 Habitat groups'!A133,'A-1 On-Site Habitat Baseline'!$W$11:$W$258)</f>
        <v>0</v>
      </c>
      <c r="J133" s="274">
        <f>SUMIF('A-1 On-Site Habitat Baseline'!$AV$11:$AV$258,'G-2 Habitat groups'!A133,'A-1 On-Site Habitat Baseline'!$X$11:$X$258)</f>
        <v>0</v>
      </c>
      <c r="K133" s="274">
        <f>SUMIF('A-2 On-Site Habitat Creation'!$F$11:$F$256,'G-2 Habitat groups'!A133,'A-2 On-Site Habitat Creation'!$G$11:$G$256)</f>
        <v>0</v>
      </c>
      <c r="L133" s="274">
        <f>SUMIF('A-2 On-Site Habitat Creation'!$F$11:$F$256,'G-2 Habitat groups'!A133,'A-2 On-Site Habitat Creation'!$Y$11:$Y$256)</f>
        <v>0</v>
      </c>
      <c r="M133" s="274">
        <f>SUMIF('A-3 On-Site Habitat Enhancement'!$S$12:$S$257,'G-2 Habitat groups'!A133,'A-3 On-Site Habitat Enhancement'!$V$12:$V$257)</f>
        <v>0</v>
      </c>
      <c r="N133" s="274">
        <f>SUMIF('A-3 On-Site Habitat Enhancement'!$S$12:$S$257,'G-2 Habitat groups'!A133,'A-3 On-Site Habitat Enhancement'!$AN$12:$AN$257)</f>
        <v>0</v>
      </c>
      <c r="O133" s="274">
        <f t="shared" si="76"/>
        <v>0</v>
      </c>
      <c r="P133" s="274">
        <f t="shared" si="77"/>
        <v>0</v>
      </c>
      <c r="Q133" s="274">
        <f t="shared" si="78"/>
        <v>0</v>
      </c>
      <c r="R133" s="274">
        <f t="shared" si="79"/>
        <v>0</v>
      </c>
      <c r="S133" s="274">
        <f>SUMIF('D-1 Off-Site Habitat Baseline'!$AV$11:$AV$258,'G-2 Habitat groups'!A133,'D-1 Off-Site Habitat Baseline'!$H$11:$H$258)</f>
        <v>0</v>
      </c>
      <c r="T133" s="274">
        <f>SUMIF('D-1 Off-Site Habitat Baseline'!$AV$11:$AV$258,'G-2 Habitat groups'!A133,'D-1 Off-Site Habitat Baseline'!$T$11:$T$258)</f>
        <v>0</v>
      </c>
      <c r="U133" s="274">
        <f>SUMIF('D-1 Off-Site Habitat Baseline'!$AV$11:$AV$258,'G-2 Habitat groups'!A133,'D-1 Off-Site Habitat Baseline'!$V$11:$V$258)</f>
        <v>0</v>
      </c>
      <c r="V133" s="274">
        <f>SUMIF('D-1 Off-Site Habitat Baseline'!$AV$11:$AV$258,'G-2 Habitat groups'!A133,'D-1 Off-Site Habitat Baseline'!$X$11:$X$258)+SUMIF('D-1 Off-Site Habitat Baseline'!$AV$11:$AV$258,'G-2 Habitat groups'!A133,'D-1 Off-Site Habitat Baseline'!$AS$11:$AS$258)</f>
        <v>0</v>
      </c>
      <c r="W133" s="274">
        <f>SUMIF('D-2 Off-Site Habitat Creation'!$F$9:$F$255,'G-2 Habitat groups'!A133,'D-2 Off-Site Habitat Creation'!$G$9:$G$255)</f>
        <v>0</v>
      </c>
      <c r="X133" s="274">
        <f>SUMIF('D-2 Off-Site Habitat Creation'!$F$9:$F$255,'G-2 Habitat groups'!A133,'D-2 Off-Site Habitat Creation'!$AB$9:$AB$255)</f>
        <v>0</v>
      </c>
      <c r="Y133" s="274">
        <f>SUMIF('D-3 Off-Site Habitat Enhancment'!$S$12:$S$491,'G-2 Habitat groups'!A133,'D-3 Off-Site Habitat Enhancment'!$V$12:$V$491)</f>
        <v>0</v>
      </c>
      <c r="Z133" s="274">
        <f>SUMIF('D-3 Off-Site Habitat Enhancment'!$S$12:$S$491,'G-2 Habitat groups'!A133,'D-3 Off-Site Habitat Enhancment'!$AQ$12:$AQ$491)</f>
        <v>0</v>
      </c>
      <c r="AA133" s="274">
        <f t="shared" si="80"/>
        <v>0</v>
      </c>
      <c r="AB133" s="274">
        <f t="shared" si="81"/>
        <v>0</v>
      </c>
      <c r="AC133" s="274">
        <f t="shared" si="82"/>
        <v>0</v>
      </c>
      <c r="AD133" s="274">
        <f t="shared" si="83"/>
        <v>0</v>
      </c>
      <c r="AE133" s="274">
        <f t="shared" si="84"/>
        <v>0</v>
      </c>
      <c r="AF133" s="274">
        <f t="shared" si="85"/>
        <v>0</v>
      </c>
      <c r="AU133" s="70"/>
      <c r="AV133" s="62"/>
      <c r="AW133" s="280"/>
      <c r="AX133" s="280"/>
      <c r="AY133" s="280"/>
      <c r="AZ133" s="280"/>
      <c r="BA133" s="280"/>
      <c r="BB133" s="280"/>
      <c r="BC133" s="280"/>
      <c r="BD133" s="280"/>
      <c r="BE133" s="280"/>
      <c r="BF133" s="280"/>
    </row>
    <row r="134" spans="1:58" x14ac:dyDescent="0.25">
      <c r="A134" s="70" t="s">
        <v>1026</v>
      </c>
      <c r="B134" s="62" t="s">
        <v>217</v>
      </c>
      <c r="C134" s="62" t="s">
        <v>618</v>
      </c>
      <c r="D134" s="62" t="str">
        <f>'G-1 All Habitats'!M135</f>
        <v>Compensation Not Required</v>
      </c>
      <c r="E134" s="274">
        <f>SUMIF('A-1 On-Site Habitat Baseline'!$AV$11:$AV$258,'G-2 Habitat groups'!A134,'A-1 On-Site Habitat Baseline'!$H$11:$H$258)</f>
        <v>0</v>
      </c>
      <c r="F134" s="274">
        <f>SUMIF('A-1 On-Site Habitat Baseline'!$AV$11:$AV$258,'G-2 Habitat groups'!A134,'A-1 On-Site Habitat Baseline'!$Q$11:$Q$258)</f>
        <v>0</v>
      </c>
      <c r="G134" s="274">
        <f>SUMIF('A-1 On-Site Habitat Baseline'!$AV$11:$AV$258,'G-2 Habitat groups'!A134,'A-1 On-Site Habitat Baseline'!$S$11:$S$258)</f>
        <v>0</v>
      </c>
      <c r="H134" s="274">
        <f>SUMIF('A-1 On-Site Habitat Baseline'!$AV$11:$AV$258,'G-2 Habitat groups'!A134,'A-1 On-Site Habitat Baseline'!$U$11:$U$258)+SUMIF('A-1 On-Site Habitat Baseline'!$AV$11:$AV$258,'G-2 Habitat groups'!A134, 'A-1 On-Site Habitat Baseline'!$AT$11:$AT$258)</f>
        <v>0</v>
      </c>
      <c r="I134" s="274">
        <f>SUMIF('A-1 On-Site Habitat Baseline'!$AV$11:$AV$258,'G-2 Habitat groups'!A134,'A-1 On-Site Habitat Baseline'!$W$11:$W$258)</f>
        <v>0</v>
      </c>
      <c r="J134" s="274">
        <f>SUMIF('A-1 On-Site Habitat Baseline'!$AV$11:$AV$258,'G-2 Habitat groups'!A134,'A-1 On-Site Habitat Baseline'!$X$11:$X$258)</f>
        <v>0</v>
      </c>
      <c r="K134" s="274">
        <f>SUMIF('A-2 On-Site Habitat Creation'!$F$11:$F$256,'G-2 Habitat groups'!A134,'A-2 On-Site Habitat Creation'!$G$11:$G$256)</f>
        <v>0</v>
      </c>
      <c r="L134" s="274">
        <f>SUMIF('A-2 On-Site Habitat Creation'!$F$11:$F$256,'G-2 Habitat groups'!A134,'A-2 On-Site Habitat Creation'!$Y$11:$Y$256)</f>
        <v>0</v>
      </c>
      <c r="M134" s="274">
        <f>SUMIF('A-3 On-Site Habitat Enhancement'!$S$12:$S$257,'G-2 Habitat groups'!A134,'A-3 On-Site Habitat Enhancement'!$V$12:$V$257)</f>
        <v>0</v>
      </c>
      <c r="N134" s="274">
        <f>SUMIF('A-3 On-Site Habitat Enhancement'!$S$12:$S$257,'G-2 Habitat groups'!A134,'A-3 On-Site Habitat Enhancement'!$AN$12:$AN$257)</f>
        <v>0</v>
      </c>
      <c r="O134" s="274">
        <f t="shared" si="76"/>
        <v>0</v>
      </c>
      <c r="P134" s="274">
        <f t="shared" si="77"/>
        <v>0</v>
      </c>
      <c r="Q134" s="274">
        <f t="shared" si="78"/>
        <v>0</v>
      </c>
      <c r="R134" s="274">
        <f t="shared" si="79"/>
        <v>0</v>
      </c>
      <c r="S134" s="274">
        <f>SUMIF('D-1 Off-Site Habitat Baseline'!$AV$11:$AV$258,'G-2 Habitat groups'!A134,'D-1 Off-Site Habitat Baseline'!$H$11:$H$258)</f>
        <v>0.10489999999999999</v>
      </c>
      <c r="T134" s="274">
        <f>SUMIF('D-1 Off-Site Habitat Baseline'!$AV$11:$AV$258,'G-2 Habitat groups'!A134,'D-1 Off-Site Habitat Baseline'!$T$11:$T$258)</f>
        <v>0</v>
      </c>
      <c r="U134" s="274">
        <f>SUMIF('D-1 Off-Site Habitat Baseline'!$AV$11:$AV$258,'G-2 Habitat groups'!A134,'D-1 Off-Site Habitat Baseline'!$V$11:$V$258)</f>
        <v>0.10489999999999999</v>
      </c>
      <c r="V134" s="274">
        <f>SUMIF('D-1 Off-Site Habitat Baseline'!$AV$11:$AV$258,'G-2 Habitat groups'!A134,'D-1 Off-Site Habitat Baseline'!$X$11:$X$258)+SUMIF('D-1 Off-Site Habitat Baseline'!$AV$11:$AV$258,'G-2 Habitat groups'!A134,'D-1 Off-Site Habitat Baseline'!$AS$11:$AS$258)</f>
        <v>0</v>
      </c>
      <c r="W134" s="274">
        <f>SUMIF('D-2 Off-Site Habitat Creation'!$F$9:$F$255,'G-2 Habitat groups'!A134,'D-2 Off-Site Habitat Creation'!$G$9:$G$255)</f>
        <v>0</v>
      </c>
      <c r="X134" s="274">
        <f>SUMIF('D-2 Off-Site Habitat Creation'!$F$9:$F$255,'G-2 Habitat groups'!A134,'D-2 Off-Site Habitat Creation'!$AB$9:$AB$255)</f>
        <v>0</v>
      </c>
      <c r="Y134" s="274">
        <f>SUMIF('D-3 Off-Site Habitat Enhancment'!$S$12:$S$491,'G-2 Habitat groups'!A134,'D-3 Off-Site Habitat Enhancment'!$V$12:$V$491)</f>
        <v>0</v>
      </c>
      <c r="Z134" s="274">
        <f>SUMIF('D-3 Off-Site Habitat Enhancment'!$S$12:$S$491,'G-2 Habitat groups'!A134,'D-3 Off-Site Habitat Enhancment'!$AQ$12:$AQ$491)</f>
        <v>0</v>
      </c>
      <c r="AA134" s="274">
        <f t="shared" si="80"/>
        <v>0.10489999999999999</v>
      </c>
      <c r="AB134" s="274">
        <f t="shared" si="81"/>
        <v>0</v>
      </c>
      <c r="AC134" s="274">
        <f t="shared" si="82"/>
        <v>0</v>
      </c>
      <c r="AD134" s="274">
        <f t="shared" si="83"/>
        <v>0</v>
      </c>
      <c r="AE134" s="274">
        <f t="shared" si="84"/>
        <v>0</v>
      </c>
      <c r="AF134" s="274">
        <f t="shared" si="85"/>
        <v>0</v>
      </c>
      <c r="AU134" s="70" t="s">
        <v>852</v>
      </c>
      <c r="AV134" s="62" t="s">
        <v>120</v>
      </c>
      <c r="AW134" s="280">
        <f t="shared" si="96"/>
        <v>1.3299999999999999E-2</v>
      </c>
      <c r="AX134" s="280">
        <f t="shared" si="89"/>
        <v>3.0589999999999996E-2</v>
      </c>
      <c r="AY134" s="280">
        <f t="shared" si="90"/>
        <v>0</v>
      </c>
      <c r="AZ134" s="280">
        <f t="shared" si="91"/>
        <v>0</v>
      </c>
      <c r="BA134" s="280">
        <f t="shared" si="92"/>
        <v>-1.3299999999999999E-2</v>
      </c>
      <c r="BB134" s="280">
        <f t="shared" si="93"/>
        <v>-3.0589999999999996E-2</v>
      </c>
      <c r="BC134" s="280">
        <f t="shared" si="94"/>
        <v>0</v>
      </c>
      <c r="BD134" s="280">
        <f t="shared" si="95"/>
        <v>0</v>
      </c>
      <c r="BE134" s="280">
        <f t="shared" si="87"/>
        <v>-3.0589999999999996E-2</v>
      </c>
      <c r="BF134" s="280">
        <f t="shared" si="88"/>
        <v>-3.0589999999999996E-2</v>
      </c>
    </row>
    <row r="135" spans="1:58" x14ac:dyDescent="0.25">
      <c r="A135" s="70" t="s">
        <v>862</v>
      </c>
      <c r="B135" s="62" t="s">
        <v>148</v>
      </c>
      <c r="C135" s="62" t="str">
        <f>'G-1 All Habitats'!K81</f>
        <v>Medium</v>
      </c>
      <c r="D135" s="62" t="str">
        <f>'G-1 All Habitats'!M81</f>
        <v>Same broad habitat or a higher distinctiveness habitat required (≥)</v>
      </c>
      <c r="E135" s="274">
        <f>SUMIF('A-1 On-Site Habitat Baseline'!$AV$11:$AV$258,'G-2 Habitat groups'!A135,'A-1 On-Site Habitat Baseline'!$H$11:$H$258)</f>
        <v>0</v>
      </c>
      <c r="F135" s="274">
        <f>SUMIF('A-1 On-Site Habitat Baseline'!$AV$11:$AV$258,'G-2 Habitat groups'!A135,'A-1 On-Site Habitat Baseline'!$Q$11:$Q$258)</f>
        <v>0</v>
      </c>
      <c r="G135" s="274">
        <f>SUMIF('A-1 On-Site Habitat Baseline'!$AV$11:$AV$258,'G-2 Habitat groups'!A135,'A-1 On-Site Habitat Baseline'!$S$11:$S$258)</f>
        <v>0</v>
      </c>
      <c r="H135" s="274">
        <f>SUMIF('A-1 On-Site Habitat Baseline'!$AV$11:$AV$258,'G-2 Habitat groups'!A135,'A-1 On-Site Habitat Baseline'!$U$11:$U$258)+SUMIF('A-1 On-Site Habitat Baseline'!$AV$11:$AV$258,'G-2 Habitat groups'!A135, 'A-1 On-Site Habitat Baseline'!$AT$11:$AT$258)</f>
        <v>0</v>
      </c>
      <c r="I135" s="274">
        <f>SUMIF('A-1 On-Site Habitat Baseline'!$AV$11:$AV$258,'G-2 Habitat groups'!A135,'A-1 On-Site Habitat Baseline'!$W$11:$W$258)</f>
        <v>0</v>
      </c>
      <c r="J135" s="274">
        <f>SUMIF('A-1 On-Site Habitat Baseline'!$AV$11:$AV$258,'G-2 Habitat groups'!A135,'A-1 On-Site Habitat Baseline'!$X$11:$X$258)</f>
        <v>0</v>
      </c>
      <c r="K135" s="274">
        <f>SUMIF('A-2 On-Site Habitat Creation'!$F$11:$F$256,'G-2 Habitat groups'!A135,'A-2 On-Site Habitat Creation'!$G$11:$G$256)</f>
        <v>0</v>
      </c>
      <c r="L135" s="274">
        <f>SUMIF('A-2 On-Site Habitat Creation'!$F$11:$F$256,'G-2 Habitat groups'!A135,'A-2 On-Site Habitat Creation'!$Y$11:$Y$256)</f>
        <v>0</v>
      </c>
      <c r="M135" s="274">
        <f>SUMIF('A-3 On-Site Habitat Enhancement'!$S$12:$S$257,'G-2 Habitat groups'!A135,'A-3 On-Site Habitat Enhancement'!$V$12:$V$257)</f>
        <v>0</v>
      </c>
      <c r="N135" s="274">
        <f>SUMIF('A-3 On-Site Habitat Enhancement'!$S$12:$S$257,'G-2 Habitat groups'!A135,'A-3 On-Site Habitat Enhancement'!$AN$12:$AN$257)</f>
        <v>0</v>
      </c>
      <c r="O135" s="274">
        <f t="shared" ref="O135:O140" si="97">G135+K135+M135</f>
        <v>0</v>
      </c>
      <c r="P135" s="274">
        <f t="shared" ref="P135:P140" si="98">H135+L135+N135</f>
        <v>0</v>
      </c>
      <c r="Q135" s="274">
        <f t="shared" ref="Q135:Q140" si="99">O135-E135</f>
        <v>0</v>
      </c>
      <c r="R135" s="274">
        <f t="shared" ref="R135:R140" si="100">P135-F135</f>
        <v>0</v>
      </c>
      <c r="S135" s="274">
        <f>SUMIF('D-1 Off-Site Habitat Baseline'!$AV$11:$AV$258,'G-2 Habitat groups'!A135,'D-1 Off-Site Habitat Baseline'!$H$11:$H$258)</f>
        <v>0</v>
      </c>
      <c r="T135" s="274">
        <f>SUMIF('D-1 Off-Site Habitat Baseline'!$AV$11:$AV$258,'G-2 Habitat groups'!A135,'D-1 Off-Site Habitat Baseline'!$T$11:$T$258)</f>
        <v>0</v>
      </c>
      <c r="U135" s="274">
        <f>SUMIF('D-1 Off-Site Habitat Baseline'!$AV$11:$AV$258,'G-2 Habitat groups'!A135,'D-1 Off-Site Habitat Baseline'!$V$11:$V$258)</f>
        <v>0</v>
      </c>
      <c r="V135" s="274">
        <f>SUMIF('D-1 Off-Site Habitat Baseline'!$AV$11:$AV$258,'G-2 Habitat groups'!A135,'D-1 Off-Site Habitat Baseline'!$X$11:$X$258)+SUMIF('D-1 Off-Site Habitat Baseline'!$AV$11:$AV$258,'G-2 Habitat groups'!A135,'D-1 Off-Site Habitat Baseline'!$AS$11:$AS$258)</f>
        <v>0</v>
      </c>
      <c r="W135" s="274">
        <f>SUMIF('D-2 Off-Site Habitat Creation'!$F$9:$F$255,'G-2 Habitat groups'!A135,'D-2 Off-Site Habitat Creation'!$G$9:$G$255)</f>
        <v>0</v>
      </c>
      <c r="X135" s="274">
        <f>SUMIF('D-2 Off-Site Habitat Creation'!$F$9:$F$255,'G-2 Habitat groups'!A135,'D-2 Off-Site Habitat Creation'!$AB$9:$AB$255)</f>
        <v>0</v>
      </c>
      <c r="Y135" s="274">
        <f>SUMIF('D-3 Off-Site Habitat Enhancment'!$S$12:$S$491,'G-2 Habitat groups'!A135,'D-3 Off-Site Habitat Enhancment'!$V$12:$V$491)</f>
        <v>0</v>
      </c>
      <c r="Z135" s="274">
        <f>SUMIF('D-3 Off-Site Habitat Enhancment'!$S$12:$S$491,'G-2 Habitat groups'!A135,'D-3 Off-Site Habitat Enhancment'!$AQ$12:$AQ$491)</f>
        <v>0</v>
      </c>
      <c r="AA135" s="274">
        <f t="shared" si="80"/>
        <v>0</v>
      </c>
      <c r="AB135" s="274">
        <f t="shared" si="81"/>
        <v>0</v>
      </c>
      <c r="AC135" s="274">
        <f t="shared" ref="AC135:AC140" si="101">AA135-S135</f>
        <v>0</v>
      </c>
      <c r="AD135" s="274">
        <f t="shared" ref="AD135:AD140" si="102">AB135-T135</f>
        <v>0</v>
      </c>
      <c r="AE135" s="274">
        <f t="shared" ref="AE135:AE140" si="103">Q135+AC135</f>
        <v>0</v>
      </c>
      <c r="AF135" s="274">
        <f t="shared" ref="AF135:AF140" si="104">R135+AD135</f>
        <v>0</v>
      </c>
      <c r="AU135" s="70" t="s">
        <v>843</v>
      </c>
      <c r="AV135" s="62" t="s">
        <v>120</v>
      </c>
      <c r="AW135" s="280">
        <f t="shared" si="96"/>
        <v>0</v>
      </c>
      <c r="AX135" s="280">
        <f t="shared" si="89"/>
        <v>0</v>
      </c>
      <c r="AY135" s="280">
        <f t="shared" si="90"/>
        <v>0</v>
      </c>
      <c r="AZ135" s="280">
        <f t="shared" si="91"/>
        <v>0</v>
      </c>
      <c r="BA135" s="280">
        <f t="shared" si="92"/>
        <v>0</v>
      </c>
      <c r="BB135" s="280">
        <f t="shared" si="93"/>
        <v>0</v>
      </c>
      <c r="BC135" s="280">
        <f t="shared" si="94"/>
        <v>0</v>
      </c>
      <c r="BD135" s="280">
        <f t="shared" si="95"/>
        <v>0</v>
      </c>
      <c r="BE135" s="280">
        <f t="shared" si="87"/>
        <v>0</v>
      </c>
      <c r="BF135" s="280" t="str">
        <f t="shared" si="88"/>
        <v/>
      </c>
    </row>
    <row r="136" spans="1:58" x14ac:dyDescent="0.25">
      <c r="A136" s="70">
        <f>'G-1 All Habitats'!B142</f>
        <v>0</v>
      </c>
      <c r="B136" s="62">
        <f>'G-1 All Habitats'!F136</f>
        <v>0</v>
      </c>
      <c r="C136" s="62">
        <f>'G-1 All Habitats'!K136</f>
        <v>0</v>
      </c>
      <c r="D136" s="62">
        <f>'G-1 All Habitats'!M136</f>
        <v>0</v>
      </c>
      <c r="E136" s="274">
        <f>SUMIF('A-1 On-Site Habitat Baseline'!$AV$11:$AV$258,'G-2 Habitat groups'!A136,'A-1 On-Site Habitat Baseline'!$H$11:$H$258)</f>
        <v>0</v>
      </c>
      <c r="F136" s="274">
        <f>SUMIF('A-1 On-Site Habitat Baseline'!$AV$11:$AV$258,'G-2 Habitat groups'!A136,'A-1 On-Site Habitat Baseline'!$Q$11:$Q$258)</f>
        <v>0</v>
      </c>
      <c r="G136" s="274">
        <f>SUMIF('A-1 On-Site Habitat Baseline'!$AV$11:$AV$258,'G-2 Habitat groups'!A136,'A-1 On-Site Habitat Baseline'!$S$11:$S$258)</f>
        <v>0</v>
      </c>
      <c r="H136" s="274">
        <f>SUMIF('A-1 On-Site Habitat Baseline'!$AV$11:$AV$258,'G-2 Habitat groups'!A136,'A-1 On-Site Habitat Baseline'!$U$11:$U$258)+SUMIF('A-1 On-Site Habitat Baseline'!$AV$11:$AV$258,'G-2 Habitat groups'!A136, 'A-1 On-Site Habitat Baseline'!$AT$11:$AT$258)</f>
        <v>0</v>
      </c>
      <c r="I136" s="274">
        <f>SUMIF('A-1 On-Site Habitat Baseline'!$AV$11:$AV$258,'G-2 Habitat groups'!A136,'A-1 On-Site Habitat Baseline'!$W$11:$W$258)</f>
        <v>0</v>
      </c>
      <c r="J136" s="274">
        <f>SUMIF('A-1 On-Site Habitat Baseline'!$AV$11:$AV$258,'G-2 Habitat groups'!A136,'A-1 On-Site Habitat Baseline'!$X$11:$X$258)</f>
        <v>0</v>
      </c>
      <c r="K136" s="274">
        <f>SUMIF('A-2 On-Site Habitat Creation'!$F$11:$F$256,'G-2 Habitat groups'!A136,'A-2 On-Site Habitat Creation'!$G$11:$G$256)</f>
        <v>0</v>
      </c>
      <c r="L136" s="274">
        <f>SUMIF('A-2 On-Site Habitat Creation'!$F$11:$F$256,'G-2 Habitat groups'!A136,'A-2 On-Site Habitat Creation'!$Y$11:$Y$256)</f>
        <v>0</v>
      </c>
      <c r="M136" s="274">
        <f>SUMIF('A-3 On-Site Habitat Enhancement'!$S$12:$S$257,'G-2 Habitat groups'!A136,'A-3 On-Site Habitat Enhancement'!$V$12:$V$257)</f>
        <v>0</v>
      </c>
      <c r="N136" s="274">
        <f>SUMIF('A-3 On-Site Habitat Enhancement'!$S$12:$S$257,'G-2 Habitat groups'!A136,'A-3 On-Site Habitat Enhancement'!$AN$12:$AN$257)</f>
        <v>0</v>
      </c>
      <c r="O136" s="274">
        <f t="shared" si="97"/>
        <v>0</v>
      </c>
      <c r="P136" s="274">
        <f t="shared" si="98"/>
        <v>0</v>
      </c>
      <c r="Q136" s="274">
        <f t="shared" si="99"/>
        <v>0</v>
      </c>
      <c r="R136" s="274">
        <f t="shared" si="100"/>
        <v>0</v>
      </c>
      <c r="S136" s="274">
        <f>SUMIF('D-1 Off-Site Habitat Baseline'!$AV$11:$AV$258,'G-2 Habitat groups'!A136,'D-1 Off-Site Habitat Baseline'!$H$11:$H$258)</f>
        <v>0</v>
      </c>
      <c r="T136" s="274">
        <f>SUMIF('D-1 Off-Site Habitat Baseline'!$AV$11:$AV$258,'G-2 Habitat groups'!A136,'D-1 Off-Site Habitat Baseline'!$T$11:$T$258)</f>
        <v>0</v>
      </c>
      <c r="U136" s="274">
        <f>SUMIF('D-1 Off-Site Habitat Baseline'!$AV$11:$AV$258,'G-2 Habitat groups'!A136,'D-1 Off-Site Habitat Baseline'!$V$11:$V$258)</f>
        <v>0</v>
      </c>
      <c r="V136" s="274">
        <f>SUMIF('D-1 Off-Site Habitat Baseline'!$AV$11:$AV$258,'G-2 Habitat groups'!A136,'D-1 Off-Site Habitat Baseline'!$X$11:$X$258)+SUMIF('D-1 Off-Site Habitat Baseline'!$AV$11:$AV$258,'G-2 Habitat groups'!A136,'D-1 Off-Site Habitat Baseline'!$AS$11:$AS$258)</f>
        <v>0</v>
      </c>
      <c r="W136" s="274">
        <f>SUMIF('D-2 Off-Site Habitat Creation'!$F$9:$F$255,'G-2 Habitat groups'!A136,'D-2 Off-Site Habitat Creation'!$G$9:$G$255)</f>
        <v>0</v>
      </c>
      <c r="X136" s="274">
        <f>SUMIF('D-2 Off-Site Habitat Creation'!$F$9:$F$255,'G-2 Habitat groups'!A136,'D-2 Off-Site Habitat Creation'!$AB$9:$AB$255)</f>
        <v>0</v>
      </c>
      <c r="Y136" s="274">
        <f>SUMIF('D-3 Off-Site Habitat Enhancment'!$S$12:$S$491,'G-2 Habitat groups'!A136,'D-3 Off-Site Habitat Enhancment'!$V$12:$V$491)</f>
        <v>0</v>
      </c>
      <c r="Z136" s="274">
        <f>SUMIF('D-3 Off-Site Habitat Enhancment'!$S$12:$S$491,'G-2 Habitat groups'!A136,'D-3 Off-Site Habitat Enhancment'!$AQ$12:$AQ$491)</f>
        <v>0</v>
      </c>
      <c r="AA136" s="274">
        <f t="shared" ref="AA136:AB140" si="105">U136+W136+Y136</f>
        <v>0</v>
      </c>
      <c r="AB136" s="274">
        <f t="shared" si="105"/>
        <v>0</v>
      </c>
      <c r="AC136" s="274">
        <f t="shared" si="101"/>
        <v>0</v>
      </c>
      <c r="AD136" s="274">
        <f t="shared" si="102"/>
        <v>0</v>
      </c>
      <c r="AE136" s="274">
        <f t="shared" si="103"/>
        <v>0</v>
      </c>
      <c r="AF136" s="274">
        <f t="shared" si="104"/>
        <v>0</v>
      </c>
      <c r="AU136" s="70" t="s">
        <v>849</v>
      </c>
      <c r="AV136" s="62" t="s">
        <v>120</v>
      </c>
      <c r="AW136" s="280">
        <f t="shared" si="96"/>
        <v>0</v>
      </c>
      <c r="AX136" s="280">
        <f t="shared" si="89"/>
        <v>0</v>
      </c>
      <c r="AY136" s="280">
        <f t="shared" si="90"/>
        <v>0</v>
      </c>
      <c r="AZ136" s="280">
        <f t="shared" si="91"/>
        <v>0</v>
      </c>
      <c r="BA136" s="280">
        <f t="shared" si="92"/>
        <v>0</v>
      </c>
      <c r="BB136" s="280">
        <f t="shared" si="93"/>
        <v>0</v>
      </c>
      <c r="BC136" s="280">
        <f t="shared" si="94"/>
        <v>0</v>
      </c>
      <c r="BD136" s="280">
        <f t="shared" si="95"/>
        <v>0</v>
      </c>
      <c r="BE136" s="280">
        <f t="shared" si="87"/>
        <v>0</v>
      </c>
      <c r="BF136" s="280" t="str">
        <f t="shared" si="88"/>
        <v/>
      </c>
    </row>
    <row r="137" spans="1:58" x14ac:dyDescent="0.25">
      <c r="A137" s="70">
        <f>'G-1 All Habitats'!B143</f>
        <v>0</v>
      </c>
      <c r="B137" s="62">
        <f>'G-1 All Habitats'!F137</f>
        <v>0</v>
      </c>
      <c r="C137" s="62">
        <f>'G-1 All Habitats'!K137</f>
        <v>0</v>
      </c>
      <c r="D137" s="62">
        <f>'G-1 All Habitats'!M137</f>
        <v>0</v>
      </c>
      <c r="E137" s="274">
        <f>SUMIF('A-1 On-Site Habitat Baseline'!$AV$11:$AV$258,'G-2 Habitat groups'!A137,'A-1 On-Site Habitat Baseline'!$H$11:$H$258)</f>
        <v>0</v>
      </c>
      <c r="F137" s="274">
        <f>SUMIF('A-1 On-Site Habitat Baseline'!$AV$11:$AV$258,'G-2 Habitat groups'!A137,'A-1 On-Site Habitat Baseline'!$Q$11:$Q$258)</f>
        <v>0</v>
      </c>
      <c r="G137" s="274">
        <f>SUMIF('A-1 On-Site Habitat Baseline'!$AV$11:$AV$258,'G-2 Habitat groups'!A137,'A-1 On-Site Habitat Baseline'!$S$11:$S$258)</f>
        <v>0</v>
      </c>
      <c r="H137" s="274">
        <f>SUMIF('A-1 On-Site Habitat Baseline'!$AV$11:$AV$258,'G-2 Habitat groups'!A137,'A-1 On-Site Habitat Baseline'!$U$11:$U$258)+SUMIF('A-1 On-Site Habitat Baseline'!$AV$11:$AV$258,'G-2 Habitat groups'!A137, 'A-1 On-Site Habitat Baseline'!$AT$11:$AT$258)</f>
        <v>0</v>
      </c>
      <c r="I137" s="274">
        <f>SUMIF('A-1 On-Site Habitat Baseline'!$AV$11:$AV$258,'G-2 Habitat groups'!A137,'A-1 On-Site Habitat Baseline'!$W$11:$W$258)</f>
        <v>0</v>
      </c>
      <c r="J137" s="274">
        <f>SUMIF('A-1 On-Site Habitat Baseline'!$AV$11:$AV$258,'G-2 Habitat groups'!A137,'A-1 On-Site Habitat Baseline'!$X$11:$X$258)</f>
        <v>0</v>
      </c>
      <c r="K137" s="274">
        <f>SUMIF('A-2 On-Site Habitat Creation'!$F$11:$F$256,'G-2 Habitat groups'!A137,'A-2 On-Site Habitat Creation'!$G$11:$G$256)</f>
        <v>0</v>
      </c>
      <c r="L137" s="274">
        <f>SUMIF('A-2 On-Site Habitat Creation'!$F$11:$F$256,'G-2 Habitat groups'!A137,'A-2 On-Site Habitat Creation'!$Y$11:$Y$256)</f>
        <v>0</v>
      </c>
      <c r="M137" s="274">
        <f>SUMIF('A-3 On-Site Habitat Enhancement'!$S$12:$S$257,'G-2 Habitat groups'!A137,'A-3 On-Site Habitat Enhancement'!$V$12:$V$257)</f>
        <v>0</v>
      </c>
      <c r="N137" s="274">
        <f>SUMIF('A-3 On-Site Habitat Enhancement'!$S$12:$S$257,'G-2 Habitat groups'!A137,'A-3 On-Site Habitat Enhancement'!$AN$12:$AN$257)</f>
        <v>0</v>
      </c>
      <c r="O137" s="274">
        <f t="shared" si="97"/>
        <v>0</v>
      </c>
      <c r="P137" s="274">
        <f t="shared" si="98"/>
        <v>0</v>
      </c>
      <c r="Q137" s="274">
        <f t="shared" si="99"/>
        <v>0</v>
      </c>
      <c r="R137" s="274">
        <f t="shared" si="100"/>
        <v>0</v>
      </c>
      <c r="S137" s="274">
        <f>SUMIF('D-1 Off-Site Habitat Baseline'!$AV$11:$AV$258,'G-2 Habitat groups'!A137,'D-1 Off-Site Habitat Baseline'!$H$11:$H$258)</f>
        <v>0</v>
      </c>
      <c r="T137" s="274">
        <f>SUMIF('D-1 Off-Site Habitat Baseline'!$AV$11:$AV$258,'G-2 Habitat groups'!A137,'D-1 Off-Site Habitat Baseline'!$T$11:$T$258)</f>
        <v>0</v>
      </c>
      <c r="U137" s="274">
        <f>SUMIF('D-1 Off-Site Habitat Baseline'!$AV$11:$AV$258,'G-2 Habitat groups'!A137,'D-1 Off-Site Habitat Baseline'!$V$11:$V$258)</f>
        <v>0</v>
      </c>
      <c r="V137" s="274">
        <f>SUMIF('D-1 Off-Site Habitat Baseline'!$AV$11:$AV$258,'G-2 Habitat groups'!A137,'D-1 Off-Site Habitat Baseline'!$X$11:$X$258)+SUMIF('D-1 Off-Site Habitat Baseline'!$AV$11:$AV$258,'G-2 Habitat groups'!A137,'D-1 Off-Site Habitat Baseline'!$AS$11:$AS$258)</f>
        <v>0</v>
      </c>
      <c r="W137" s="274">
        <f>SUMIF('D-2 Off-Site Habitat Creation'!$F$9:$F$255,'G-2 Habitat groups'!A137,'D-2 Off-Site Habitat Creation'!$G$9:$G$255)</f>
        <v>0</v>
      </c>
      <c r="X137" s="274">
        <f>SUMIF('D-2 Off-Site Habitat Creation'!$F$9:$F$255,'G-2 Habitat groups'!A137,'D-2 Off-Site Habitat Creation'!$AB$9:$AB$255)</f>
        <v>0</v>
      </c>
      <c r="Y137" s="274">
        <f>SUMIF('D-3 Off-Site Habitat Enhancment'!$S$12:$S$491,'G-2 Habitat groups'!A137,'D-3 Off-Site Habitat Enhancment'!$V$12:$V$491)</f>
        <v>0</v>
      </c>
      <c r="Z137" s="274">
        <f>SUMIF('D-3 Off-Site Habitat Enhancment'!$S$12:$S$491,'G-2 Habitat groups'!A137,'D-3 Off-Site Habitat Enhancment'!$AQ$12:$AQ$491)</f>
        <v>0</v>
      </c>
      <c r="AA137" s="274">
        <f t="shared" si="105"/>
        <v>0</v>
      </c>
      <c r="AB137" s="274">
        <f t="shared" si="105"/>
        <v>0</v>
      </c>
      <c r="AC137" s="274">
        <f t="shared" si="101"/>
        <v>0</v>
      </c>
      <c r="AD137" s="274">
        <f t="shared" si="102"/>
        <v>0</v>
      </c>
      <c r="AE137" s="274">
        <f t="shared" si="103"/>
        <v>0</v>
      </c>
      <c r="AF137" s="274">
        <f t="shared" si="104"/>
        <v>0</v>
      </c>
      <c r="AU137" s="70" t="s">
        <v>855</v>
      </c>
      <c r="AV137" s="62" t="s">
        <v>120</v>
      </c>
      <c r="AW137" s="280">
        <f t="shared" si="96"/>
        <v>0</v>
      </c>
      <c r="AX137" s="280">
        <f t="shared" si="89"/>
        <v>0</v>
      </c>
      <c r="AY137" s="280">
        <f t="shared" si="90"/>
        <v>0</v>
      </c>
      <c r="AZ137" s="280">
        <f t="shared" si="91"/>
        <v>0</v>
      </c>
      <c r="BA137" s="280">
        <f t="shared" si="92"/>
        <v>0</v>
      </c>
      <c r="BB137" s="280">
        <f t="shared" si="93"/>
        <v>0</v>
      </c>
      <c r="BC137" s="280">
        <f t="shared" si="94"/>
        <v>0</v>
      </c>
      <c r="BD137" s="280">
        <f t="shared" si="95"/>
        <v>0</v>
      </c>
      <c r="BE137" s="280">
        <f t="shared" si="87"/>
        <v>0</v>
      </c>
      <c r="BF137" s="280" t="str">
        <f t="shared" si="88"/>
        <v/>
      </c>
    </row>
    <row r="138" spans="1:58" x14ac:dyDescent="0.25">
      <c r="A138" s="70">
        <f>'G-1 All Habitats'!B144</f>
        <v>0</v>
      </c>
      <c r="B138" s="62">
        <f>'G-1 All Habitats'!F138</f>
        <v>0</v>
      </c>
      <c r="C138" s="62">
        <f>'G-1 All Habitats'!K138</f>
        <v>0</v>
      </c>
      <c r="D138" s="62">
        <f>'G-1 All Habitats'!M138</f>
        <v>0</v>
      </c>
      <c r="E138" s="274">
        <f>SUMIF('A-1 On-Site Habitat Baseline'!$AV$11:$AV$258,'G-2 Habitat groups'!A138,'A-1 On-Site Habitat Baseline'!$H$11:$H$258)</f>
        <v>0</v>
      </c>
      <c r="F138" s="274">
        <f>SUMIF('A-1 On-Site Habitat Baseline'!$AV$11:$AV$258,'G-2 Habitat groups'!A138,'A-1 On-Site Habitat Baseline'!$Q$11:$Q$258)</f>
        <v>0</v>
      </c>
      <c r="G138" s="274">
        <f>SUMIF('A-1 On-Site Habitat Baseline'!$AV$11:$AV$258,'G-2 Habitat groups'!A138,'A-1 On-Site Habitat Baseline'!$S$11:$S$258)</f>
        <v>0</v>
      </c>
      <c r="H138" s="274">
        <f>SUMIF('A-1 On-Site Habitat Baseline'!$AV$11:$AV$258,'G-2 Habitat groups'!A138,'A-1 On-Site Habitat Baseline'!$U$11:$U$258)+SUMIF('A-1 On-Site Habitat Baseline'!$AV$11:$AV$258,'G-2 Habitat groups'!A138, 'A-1 On-Site Habitat Baseline'!$AT$11:$AT$258)</f>
        <v>0</v>
      </c>
      <c r="I138" s="274">
        <f>SUMIF('A-1 On-Site Habitat Baseline'!$AV$11:$AV$258,'G-2 Habitat groups'!A138,'A-1 On-Site Habitat Baseline'!$W$11:$W$258)</f>
        <v>0</v>
      </c>
      <c r="J138" s="274">
        <f>SUMIF('A-1 On-Site Habitat Baseline'!$AV$11:$AV$258,'G-2 Habitat groups'!A138,'A-1 On-Site Habitat Baseline'!$X$11:$X$258)</f>
        <v>0</v>
      </c>
      <c r="K138" s="274">
        <f>SUMIF('A-2 On-Site Habitat Creation'!$F$11:$F$256,'G-2 Habitat groups'!A138,'A-2 On-Site Habitat Creation'!$G$11:$G$256)</f>
        <v>0</v>
      </c>
      <c r="L138" s="274">
        <f>SUMIF('A-2 On-Site Habitat Creation'!$F$11:$F$256,'G-2 Habitat groups'!A138,'A-2 On-Site Habitat Creation'!$Y$11:$Y$256)</f>
        <v>0</v>
      </c>
      <c r="M138" s="274">
        <f>SUMIF('A-3 On-Site Habitat Enhancement'!$S$12:$S$257,'G-2 Habitat groups'!A138,'A-3 On-Site Habitat Enhancement'!$V$12:$V$257)</f>
        <v>0</v>
      </c>
      <c r="N138" s="274">
        <f>SUMIF('A-3 On-Site Habitat Enhancement'!$S$12:$S$257,'G-2 Habitat groups'!A138,'A-3 On-Site Habitat Enhancement'!$AN$12:$AN$257)</f>
        <v>0</v>
      </c>
      <c r="O138" s="274">
        <f t="shared" si="97"/>
        <v>0</v>
      </c>
      <c r="P138" s="274">
        <f t="shared" si="98"/>
        <v>0</v>
      </c>
      <c r="Q138" s="274">
        <f t="shared" si="99"/>
        <v>0</v>
      </c>
      <c r="R138" s="274">
        <f t="shared" si="100"/>
        <v>0</v>
      </c>
      <c r="S138" s="274">
        <f>SUMIF('D-1 Off-Site Habitat Baseline'!$AV$11:$AV$258,'G-2 Habitat groups'!A138,'D-1 Off-Site Habitat Baseline'!$H$11:$H$258)</f>
        <v>0</v>
      </c>
      <c r="T138" s="274">
        <f>SUMIF('D-1 Off-Site Habitat Baseline'!$AV$11:$AV$258,'G-2 Habitat groups'!A138,'D-1 Off-Site Habitat Baseline'!$T$11:$T$258)</f>
        <v>0</v>
      </c>
      <c r="U138" s="274">
        <f>SUMIF('D-1 Off-Site Habitat Baseline'!$AV$11:$AV$258,'G-2 Habitat groups'!A138,'D-1 Off-Site Habitat Baseline'!$V$11:$V$258)</f>
        <v>0</v>
      </c>
      <c r="V138" s="274">
        <f>SUMIF('D-1 Off-Site Habitat Baseline'!$AV$11:$AV$258,'G-2 Habitat groups'!A138,'D-1 Off-Site Habitat Baseline'!$X$11:$X$258)+SUMIF('D-1 Off-Site Habitat Baseline'!$AV$11:$AV$258,'G-2 Habitat groups'!A138,'D-1 Off-Site Habitat Baseline'!$AS$11:$AS$258)</f>
        <v>0</v>
      </c>
      <c r="W138" s="274">
        <f>SUMIF('D-2 Off-Site Habitat Creation'!$F$9:$F$255,'G-2 Habitat groups'!A138,'D-2 Off-Site Habitat Creation'!$G$9:$G$255)</f>
        <v>0</v>
      </c>
      <c r="X138" s="274">
        <f>SUMIF('D-2 Off-Site Habitat Creation'!$F$9:$F$255,'G-2 Habitat groups'!A138,'D-2 Off-Site Habitat Creation'!$AB$9:$AB$255)</f>
        <v>0</v>
      </c>
      <c r="Y138" s="274">
        <f>SUMIF('D-3 Off-Site Habitat Enhancment'!$S$12:$S$491,'G-2 Habitat groups'!A138,'D-3 Off-Site Habitat Enhancment'!$V$12:$V$491)</f>
        <v>0</v>
      </c>
      <c r="Z138" s="274">
        <f>SUMIF('D-3 Off-Site Habitat Enhancment'!$S$12:$S$491,'G-2 Habitat groups'!A138,'D-3 Off-Site Habitat Enhancment'!$AQ$12:$AQ$491)</f>
        <v>0</v>
      </c>
      <c r="AA138" s="274">
        <f t="shared" si="105"/>
        <v>0</v>
      </c>
      <c r="AB138" s="274">
        <f t="shared" si="105"/>
        <v>0</v>
      </c>
      <c r="AC138" s="274">
        <f t="shared" si="101"/>
        <v>0</v>
      </c>
      <c r="AD138" s="274">
        <f t="shared" si="102"/>
        <v>0</v>
      </c>
      <c r="AE138" s="274">
        <f t="shared" si="103"/>
        <v>0</v>
      </c>
      <c r="AF138" s="274">
        <f t="shared" si="104"/>
        <v>0</v>
      </c>
      <c r="AU138" s="86" t="s">
        <v>912</v>
      </c>
      <c r="AV138" s="62" t="s">
        <v>87</v>
      </c>
      <c r="AW138" s="280">
        <f t="shared" si="96"/>
        <v>0</v>
      </c>
      <c r="AX138" s="280">
        <f t="shared" si="89"/>
        <v>0</v>
      </c>
      <c r="AY138" s="280">
        <f t="shared" si="90"/>
        <v>0</v>
      </c>
      <c r="AZ138" s="280">
        <f t="shared" si="91"/>
        <v>0</v>
      </c>
      <c r="BA138" s="280">
        <f t="shared" si="92"/>
        <v>0</v>
      </c>
      <c r="BB138" s="280">
        <f t="shared" si="93"/>
        <v>0</v>
      </c>
      <c r="BC138" s="280">
        <f t="shared" si="94"/>
        <v>0</v>
      </c>
      <c r="BD138" s="280">
        <f t="shared" si="95"/>
        <v>0</v>
      </c>
      <c r="BE138" s="280">
        <f t="shared" si="87"/>
        <v>0</v>
      </c>
      <c r="BF138" s="280" t="str">
        <f t="shared" si="88"/>
        <v/>
      </c>
    </row>
    <row r="139" spans="1:58" x14ac:dyDescent="0.25">
      <c r="A139" s="70">
        <f>'G-1 All Habitats'!B145</f>
        <v>0</v>
      </c>
      <c r="B139" s="62">
        <f>'G-1 All Habitats'!F139</f>
        <v>0</v>
      </c>
      <c r="C139" s="62">
        <f>'G-1 All Habitats'!K139</f>
        <v>0</v>
      </c>
      <c r="D139" s="62">
        <f>'G-1 All Habitats'!M139</f>
        <v>0</v>
      </c>
      <c r="E139" s="274">
        <f>SUMIF('A-1 On-Site Habitat Baseline'!$AV$11:$AV$258,'G-2 Habitat groups'!A139,'A-1 On-Site Habitat Baseline'!$H$11:$H$258)</f>
        <v>0</v>
      </c>
      <c r="F139" s="274">
        <f>SUMIF('A-1 On-Site Habitat Baseline'!$AV$11:$AV$258,'G-2 Habitat groups'!A139,'A-1 On-Site Habitat Baseline'!$Q$11:$Q$258)</f>
        <v>0</v>
      </c>
      <c r="G139" s="274">
        <f>SUMIF('A-1 On-Site Habitat Baseline'!$AV$11:$AV$258,'G-2 Habitat groups'!A139,'A-1 On-Site Habitat Baseline'!$S$11:$S$258)</f>
        <v>0</v>
      </c>
      <c r="H139" s="274">
        <f>SUMIF('A-1 On-Site Habitat Baseline'!$AV$11:$AV$258,'G-2 Habitat groups'!A139,'A-1 On-Site Habitat Baseline'!$U$11:$U$258)+SUMIF('A-1 On-Site Habitat Baseline'!$AV$11:$AV$258,'G-2 Habitat groups'!A139, 'A-1 On-Site Habitat Baseline'!$AT$11:$AT$258)</f>
        <v>0</v>
      </c>
      <c r="I139" s="274">
        <f>SUMIF('A-1 On-Site Habitat Baseline'!$AV$11:$AV$258,'G-2 Habitat groups'!A139,'A-1 On-Site Habitat Baseline'!$W$11:$W$258)</f>
        <v>0</v>
      </c>
      <c r="J139" s="274">
        <f>SUMIF('A-1 On-Site Habitat Baseline'!$AV$11:$AV$258,'G-2 Habitat groups'!A139,'A-1 On-Site Habitat Baseline'!$X$11:$X$258)</f>
        <v>0</v>
      </c>
      <c r="K139" s="274">
        <f>SUMIF('A-2 On-Site Habitat Creation'!$F$11:$F$256,'G-2 Habitat groups'!A139,'A-2 On-Site Habitat Creation'!$G$11:$G$256)</f>
        <v>0</v>
      </c>
      <c r="L139" s="274">
        <f>SUMIF('A-2 On-Site Habitat Creation'!$F$11:$F$256,'G-2 Habitat groups'!A139,'A-2 On-Site Habitat Creation'!$Y$11:$Y$256)</f>
        <v>0</v>
      </c>
      <c r="M139" s="274">
        <f>SUMIF('A-3 On-Site Habitat Enhancement'!$S$12:$S$257,'G-2 Habitat groups'!A139,'A-3 On-Site Habitat Enhancement'!$V$12:$V$257)</f>
        <v>0</v>
      </c>
      <c r="N139" s="274">
        <f>SUMIF('A-3 On-Site Habitat Enhancement'!$S$12:$S$257,'G-2 Habitat groups'!A139,'A-3 On-Site Habitat Enhancement'!$AN$12:$AN$257)</f>
        <v>0</v>
      </c>
      <c r="O139" s="274">
        <f t="shared" si="97"/>
        <v>0</v>
      </c>
      <c r="P139" s="274">
        <f t="shared" si="98"/>
        <v>0</v>
      </c>
      <c r="Q139" s="274">
        <f t="shared" si="99"/>
        <v>0</v>
      </c>
      <c r="R139" s="274">
        <f t="shared" si="100"/>
        <v>0</v>
      </c>
      <c r="S139" s="274">
        <f>SUMIF('D-1 Off-Site Habitat Baseline'!$AV$11:$AV$258,'G-2 Habitat groups'!A139,'D-1 Off-Site Habitat Baseline'!$H$11:$H$258)</f>
        <v>0</v>
      </c>
      <c r="T139" s="274">
        <f>SUMIF('D-1 Off-Site Habitat Baseline'!$AV$11:$AV$258,'G-2 Habitat groups'!A139,'D-1 Off-Site Habitat Baseline'!$T$11:$T$258)</f>
        <v>0</v>
      </c>
      <c r="U139" s="274">
        <f>SUMIF('D-1 Off-Site Habitat Baseline'!$AV$11:$AV$258,'G-2 Habitat groups'!A139,'D-1 Off-Site Habitat Baseline'!$V$11:$V$258)</f>
        <v>0</v>
      </c>
      <c r="V139" s="274">
        <f>SUMIF('D-1 Off-Site Habitat Baseline'!$AV$11:$AV$258,'G-2 Habitat groups'!A139,'D-1 Off-Site Habitat Baseline'!$X$11:$X$258)+SUMIF('D-1 Off-Site Habitat Baseline'!$AV$11:$AV$258,'G-2 Habitat groups'!A139,'D-1 Off-Site Habitat Baseline'!$AS$11:$AS$258)</f>
        <v>0</v>
      </c>
      <c r="W139" s="274">
        <f>SUMIF('D-2 Off-Site Habitat Creation'!$F$9:$F$255,'G-2 Habitat groups'!A139,'D-2 Off-Site Habitat Creation'!$G$9:$G$255)</f>
        <v>0</v>
      </c>
      <c r="X139" s="274">
        <f>SUMIF('D-2 Off-Site Habitat Creation'!$F$9:$F$255,'G-2 Habitat groups'!A139,'D-2 Off-Site Habitat Creation'!$AB$9:$AB$255)</f>
        <v>0</v>
      </c>
      <c r="Y139" s="274">
        <f>SUMIF('D-3 Off-Site Habitat Enhancment'!$S$12:$S$491,'G-2 Habitat groups'!A139,'D-3 Off-Site Habitat Enhancment'!$V$12:$V$491)</f>
        <v>0</v>
      </c>
      <c r="Z139" s="274">
        <f>SUMIF('D-3 Off-Site Habitat Enhancment'!$S$12:$S$491,'G-2 Habitat groups'!A139,'D-3 Off-Site Habitat Enhancment'!$AQ$12:$AQ$491)</f>
        <v>0</v>
      </c>
      <c r="AA139" s="274">
        <f t="shared" si="105"/>
        <v>0</v>
      </c>
      <c r="AB139" s="274">
        <f t="shared" si="105"/>
        <v>0</v>
      </c>
      <c r="AC139" s="274">
        <f t="shared" si="101"/>
        <v>0</v>
      </c>
      <c r="AD139" s="274">
        <f t="shared" si="102"/>
        <v>0</v>
      </c>
      <c r="AE139" s="274">
        <f t="shared" si="103"/>
        <v>0</v>
      </c>
      <c r="AF139" s="274">
        <f t="shared" si="104"/>
        <v>0</v>
      </c>
      <c r="AU139" s="70" t="s">
        <v>967</v>
      </c>
      <c r="AV139" s="82" t="s">
        <v>214</v>
      </c>
      <c r="AW139" s="280">
        <f t="shared" si="96"/>
        <v>0</v>
      </c>
      <c r="AX139" s="280">
        <f t="shared" si="89"/>
        <v>0</v>
      </c>
      <c r="AY139" s="280">
        <f t="shared" si="90"/>
        <v>0</v>
      </c>
      <c r="AZ139" s="280">
        <f t="shared" si="91"/>
        <v>0</v>
      </c>
      <c r="BA139" s="280">
        <f t="shared" si="92"/>
        <v>0</v>
      </c>
      <c r="BB139" s="280">
        <f t="shared" si="93"/>
        <v>0</v>
      </c>
      <c r="BC139" s="280">
        <f t="shared" si="94"/>
        <v>0</v>
      </c>
      <c r="BD139" s="280">
        <f t="shared" si="95"/>
        <v>0</v>
      </c>
      <c r="BE139" s="280">
        <f t="shared" si="87"/>
        <v>0</v>
      </c>
      <c r="BF139" s="280" t="str">
        <f t="shared" si="88"/>
        <v/>
      </c>
    </row>
    <row r="140" spans="1:58" x14ac:dyDescent="0.25">
      <c r="A140" s="70">
        <f>'G-1 All Habitats'!B146</f>
        <v>0</v>
      </c>
      <c r="B140" s="62">
        <f>'G-1 All Habitats'!F140</f>
        <v>0</v>
      </c>
      <c r="C140" s="62">
        <f>'G-1 All Habitats'!K140</f>
        <v>0</v>
      </c>
      <c r="D140" s="62">
        <f>'G-1 All Habitats'!M140</f>
        <v>0</v>
      </c>
      <c r="E140" s="274">
        <f>SUMIF('A-1 On-Site Habitat Baseline'!$AV$11:$AV$258,'G-2 Habitat groups'!A140,'A-1 On-Site Habitat Baseline'!$H$11:$H$258)</f>
        <v>0</v>
      </c>
      <c r="F140" s="274">
        <f>SUMIF('A-1 On-Site Habitat Baseline'!$AV$11:$AV$258,'G-2 Habitat groups'!A140,'A-1 On-Site Habitat Baseline'!$Q$11:$Q$258)</f>
        <v>0</v>
      </c>
      <c r="G140" s="274">
        <f>SUMIF('A-1 On-Site Habitat Baseline'!$AV$11:$AV$258,'G-2 Habitat groups'!A140,'A-1 On-Site Habitat Baseline'!$S$11:$S$258)</f>
        <v>0</v>
      </c>
      <c r="H140" s="274">
        <f>SUMIF('A-1 On-Site Habitat Baseline'!$AV$11:$AV$258,'G-2 Habitat groups'!A140,'A-1 On-Site Habitat Baseline'!$U$11:$U$258)+SUMIF('A-1 On-Site Habitat Baseline'!$AV$11:$AV$258,'G-2 Habitat groups'!A140, 'A-1 On-Site Habitat Baseline'!$AT$11:$AT$258)</f>
        <v>0</v>
      </c>
      <c r="I140" s="274">
        <f>SUMIF('A-1 On-Site Habitat Baseline'!$AV$11:$AV$258,'G-2 Habitat groups'!A140,'A-1 On-Site Habitat Baseline'!$W$11:$W$258)</f>
        <v>0</v>
      </c>
      <c r="J140" s="274">
        <f>SUMIF('A-1 On-Site Habitat Baseline'!$AV$11:$AV$258,'G-2 Habitat groups'!A140,'A-1 On-Site Habitat Baseline'!$X$11:$X$258)</f>
        <v>0</v>
      </c>
      <c r="K140" s="274">
        <f>SUMIF('A-2 On-Site Habitat Creation'!$F$11:$F$256,'G-2 Habitat groups'!A140,'A-2 On-Site Habitat Creation'!$G$11:$G$256)</f>
        <v>0</v>
      </c>
      <c r="L140" s="274">
        <f>SUMIF('A-2 On-Site Habitat Creation'!$F$11:$F$256,'G-2 Habitat groups'!A140,'A-2 On-Site Habitat Creation'!$Y$11:$Y$256)</f>
        <v>0</v>
      </c>
      <c r="M140" s="274">
        <f>SUMIF('A-3 On-Site Habitat Enhancement'!$S$12:$S$257,'G-2 Habitat groups'!A140,'A-3 On-Site Habitat Enhancement'!$V$12:$V$257)</f>
        <v>0</v>
      </c>
      <c r="N140" s="274">
        <f>SUMIF('A-3 On-Site Habitat Enhancement'!$S$12:$S$257,'G-2 Habitat groups'!A140,'A-3 On-Site Habitat Enhancement'!$AN$12:$AN$257)</f>
        <v>0</v>
      </c>
      <c r="O140" s="274">
        <f t="shared" si="97"/>
        <v>0</v>
      </c>
      <c r="P140" s="274">
        <f t="shared" si="98"/>
        <v>0</v>
      </c>
      <c r="Q140" s="274">
        <f t="shared" si="99"/>
        <v>0</v>
      </c>
      <c r="R140" s="274">
        <f t="shared" si="100"/>
        <v>0</v>
      </c>
      <c r="S140" s="274">
        <f>SUMIF('D-1 Off-Site Habitat Baseline'!$AV$11:$AV$258,'G-2 Habitat groups'!A140,'D-1 Off-Site Habitat Baseline'!$H$11:$H$258)</f>
        <v>0</v>
      </c>
      <c r="T140" s="274">
        <f>SUMIF('D-1 Off-Site Habitat Baseline'!$AV$11:$AV$258,'G-2 Habitat groups'!A140,'D-1 Off-Site Habitat Baseline'!$T$11:$T$258)</f>
        <v>0</v>
      </c>
      <c r="U140" s="274">
        <f>SUMIF('D-1 Off-Site Habitat Baseline'!$AV$11:$AV$258,'G-2 Habitat groups'!A140,'D-1 Off-Site Habitat Baseline'!$V$11:$V$258)</f>
        <v>0</v>
      </c>
      <c r="V140" s="274">
        <f>SUMIF('D-1 Off-Site Habitat Baseline'!$AV$11:$AV$258,'G-2 Habitat groups'!A140,'D-1 Off-Site Habitat Baseline'!$X$11:$X$258)+SUMIF('D-1 Off-Site Habitat Baseline'!$AV$11:$AV$258,'G-2 Habitat groups'!A140,'D-1 Off-Site Habitat Baseline'!$AS$11:$AS$258)</f>
        <v>0</v>
      </c>
      <c r="W140" s="274">
        <f>SUMIF('D-2 Off-Site Habitat Creation'!$F$9:$F$255,'G-2 Habitat groups'!A140,'D-2 Off-Site Habitat Creation'!$G$9:$G$255)</f>
        <v>0</v>
      </c>
      <c r="X140" s="274">
        <f>SUMIF('D-2 Off-Site Habitat Creation'!$F$9:$F$255,'G-2 Habitat groups'!A140,'D-2 Off-Site Habitat Creation'!$AB$9:$AB$255)</f>
        <v>0</v>
      </c>
      <c r="Y140" s="274">
        <f>SUMIF('D-3 Off-Site Habitat Enhancment'!$S$12:$S$491,'G-2 Habitat groups'!A140,'D-3 Off-Site Habitat Enhancment'!$V$12:$V$491)</f>
        <v>0</v>
      </c>
      <c r="Z140" s="274">
        <f>SUMIF('D-3 Off-Site Habitat Enhancment'!$S$12:$S$491,'G-2 Habitat groups'!A140,'D-3 Off-Site Habitat Enhancment'!$AQ$12:$AQ$491)</f>
        <v>0</v>
      </c>
      <c r="AA140" s="274">
        <f t="shared" si="105"/>
        <v>0</v>
      </c>
      <c r="AB140" s="274">
        <f t="shared" si="105"/>
        <v>0</v>
      </c>
      <c r="AC140" s="274">
        <f t="shared" si="101"/>
        <v>0</v>
      </c>
      <c r="AD140" s="274">
        <f t="shared" si="102"/>
        <v>0</v>
      </c>
      <c r="AE140" s="274">
        <f t="shared" si="103"/>
        <v>0</v>
      </c>
      <c r="AF140" s="274">
        <f t="shared" si="104"/>
        <v>0</v>
      </c>
      <c r="AU140" s="70" t="s">
        <v>991</v>
      </c>
      <c r="AV140" s="62" t="s">
        <v>105</v>
      </c>
      <c r="AW140" s="280">
        <f t="shared" si="96"/>
        <v>0</v>
      </c>
      <c r="AX140" s="280">
        <f t="shared" si="89"/>
        <v>0</v>
      </c>
      <c r="AY140" s="280">
        <f t="shared" si="90"/>
        <v>0</v>
      </c>
      <c r="AZ140" s="280">
        <f t="shared" si="91"/>
        <v>0</v>
      </c>
      <c r="BA140" s="280">
        <f t="shared" si="92"/>
        <v>0</v>
      </c>
      <c r="BB140" s="280">
        <f t="shared" si="93"/>
        <v>0</v>
      </c>
      <c r="BC140" s="280">
        <f t="shared" si="94"/>
        <v>0</v>
      </c>
      <c r="BD140" s="280">
        <f t="shared" si="95"/>
        <v>0</v>
      </c>
      <c r="BE140" s="280">
        <f t="shared" si="87"/>
        <v>0</v>
      </c>
      <c r="BF140" s="280" t="str">
        <f t="shared" si="88"/>
        <v/>
      </c>
    </row>
    <row r="141" spans="1:58" x14ac:dyDescent="0.25">
      <c r="AU141" s="70" t="s">
        <v>994</v>
      </c>
      <c r="AV141" s="62" t="s">
        <v>105</v>
      </c>
      <c r="AW141" s="280">
        <f t="shared" si="96"/>
        <v>0</v>
      </c>
      <c r="AX141" s="280">
        <f t="shared" si="89"/>
        <v>0</v>
      </c>
      <c r="AY141" s="280">
        <f t="shared" si="90"/>
        <v>0</v>
      </c>
      <c r="AZ141" s="280">
        <f t="shared" si="91"/>
        <v>0</v>
      </c>
      <c r="BA141" s="280">
        <f t="shared" si="92"/>
        <v>0</v>
      </c>
      <c r="BB141" s="280">
        <f t="shared" si="93"/>
        <v>0</v>
      </c>
      <c r="BC141" s="280">
        <f t="shared" si="94"/>
        <v>0</v>
      </c>
      <c r="BD141" s="280">
        <f t="shared" si="95"/>
        <v>0</v>
      </c>
      <c r="BE141" s="280">
        <f t="shared" si="87"/>
        <v>0</v>
      </c>
      <c r="BF141" s="280" t="str">
        <f t="shared" si="88"/>
        <v/>
      </c>
    </row>
    <row r="142" spans="1:58" x14ac:dyDescent="0.25">
      <c r="AU142" s="70" t="s">
        <v>997</v>
      </c>
      <c r="AV142" s="62" t="s">
        <v>105</v>
      </c>
      <c r="AW142" s="280">
        <f t="shared" si="96"/>
        <v>0</v>
      </c>
      <c r="AX142" s="280">
        <f t="shared" si="89"/>
        <v>0</v>
      </c>
      <c r="AY142" s="280">
        <f t="shared" si="90"/>
        <v>0</v>
      </c>
      <c r="AZ142" s="280">
        <f t="shared" si="91"/>
        <v>0</v>
      </c>
      <c r="BA142" s="280">
        <f t="shared" si="92"/>
        <v>0</v>
      </c>
      <c r="BB142" s="280">
        <f t="shared" si="93"/>
        <v>0</v>
      </c>
      <c r="BC142" s="280">
        <f t="shared" si="94"/>
        <v>0</v>
      </c>
      <c r="BD142" s="280">
        <f t="shared" si="95"/>
        <v>0</v>
      </c>
      <c r="BE142" s="280">
        <f t="shared" si="87"/>
        <v>0</v>
      </c>
      <c r="BF142" s="280" t="str">
        <f t="shared" si="88"/>
        <v/>
      </c>
    </row>
    <row r="143" spans="1:58" x14ac:dyDescent="0.25">
      <c r="AU143" s="70" t="s">
        <v>1000</v>
      </c>
      <c r="AV143" s="62" t="s">
        <v>105</v>
      </c>
      <c r="AW143" s="280">
        <f t="shared" si="96"/>
        <v>0</v>
      </c>
      <c r="AX143" s="280">
        <f t="shared" si="89"/>
        <v>0</v>
      </c>
      <c r="AY143" s="280">
        <f t="shared" si="90"/>
        <v>0</v>
      </c>
      <c r="AZ143" s="280">
        <f t="shared" si="91"/>
        <v>0</v>
      </c>
      <c r="BA143" s="280">
        <f t="shared" si="92"/>
        <v>0</v>
      </c>
      <c r="BB143" s="280">
        <f t="shared" si="93"/>
        <v>0</v>
      </c>
      <c r="BC143" s="280">
        <f t="shared" si="94"/>
        <v>0</v>
      </c>
      <c r="BD143" s="280">
        <f t="shared" si="95"/>
        <v>0</v>
      </c>
      <c r="BE143" s="280">
        <f t="shared" si="87"/>
        <v>0</v>
      </c>
      <c r="BF143" s="280" t="str">
        <f t="shared" si="88"/>
        <v/>
      </c>
    </row>
    <row r="144" spans="1:58" x14ac:dyDescent="0.25">
      <c r="AU144" s="70" t="s">
        <v>1003</v>
      </c>
      <c r="AV144" s="62" t="s">
        <v>105</v>
      </c>
      <c r="AW144" s="280">
        <f t="shared" si="96"/>
        <v>0</v>
      </c>
      <c r="AX144" s="280">
        <f t="shared" si="89"/>
        <v>0</v>
      </c>
      <c r="AY144" s="280">
        <f t="shared" si="90"/>
        <v>0</v>
      </c>
      <c r="AZ144" s="280">
        <f t="shared" si="91"/>
        <v>0</v>
      </c>
      <c r="BA144" s="280">
        <f t="shared" si="92"/>
        <v>0</v>
      </c>
      <c r="BB144" s="280">
        <f t="shared" si="93"/>
        <v>0</v>
      </c>
      <c r="BC144" s="280">
        <f t="shared" si="94"/>
        <v>0</v>
      </c>
      <c r="BD144" s="280">
        <f t="shared" si="95"/>
        <v>0</v>
      </c>
      <c r="BE144" s="280">
        <f t="shared" si="87"/>
        <v>0</v>
      </c>
      <c r="BF144" s="280" t="str">
        <f t="shared" si="88"/>
        <v/>
      </c>
    </row>
    <row r="145" spans="1:59" ht="27.6" x14ac:dyDescent="0.45">
      <c r="A145" s="213" t="s">
        <v>237</v>
      </c>
      <c r="AU145" s="70" t="s">
        <v>1006</v>
      </c>
      <c r="AV145" s="62" t="s">
        <v>105</v>
      </c>
      <c r="AW145" s="280">
        <f t="shared" si="96"/>
        <v>0</v>
      </c>
      <c r="AX145" s="280">
        <f t="shared" si="89"/>
        <v>0</v>
      </c>
      <c r="AY145" s="280">
        <f t="shared" si="90"/>
        <v>0</v>
      </c>
      <c r="AZ145" s="280">
        <f t="shared" si="91"/>
        <v>0</v>
      </c>
      <c r="BA145" s="280">
        <f t="shared" si="92"/>
        <v>0</v>
      </c>
      <c r="BB145" s="280">
        <f t="shared" si="93"/>
        <v>0</v>
      </c>
      <c r="BC145" s="280">
        <f t="shared" si="94"/>
        <v>0</v>
      </c>
      <c r="BD145" s="280">
        <f t="shared" si="95"/>
        <v>0</v>
      </c>
      <c r="BE145" s="280">
        <f t="shared" si="87"/>
        <v>0</v>
      </c>
      <c r="BF145" s="280" t="str">
        <f t="shared" si="88"/>
        <v/>
      </c>
    </row>
    <row r="146" spans="1:59" x14ac:dyDescent="0.25">
      <c r="AU146" s="70" t="s">
        <v>1009</v>
      </c>
      <c r="AV146" s="62" t="s">
        <v>105</v>
      </c>
      <c r="AW146" s="280">
        <f t="shared" si="96"/>
        <v>0</v>
      </c>
      <c r="AX146" s="280">
        <f t="shared" si="89"/>
        <v>0</v>
      </c>
      <c r="AY146" s="280">
        <f t="shared" si="90"/>
        <v>0</v>
      </c>
      <c r="AZ146" s="280">
        <f t="shared" si="91"/>
        <v>0</v>
      </c>
      <c r="BA146" s="280">
        <f t="shared" si="92"/>
        <v>0</v>
      </c>
      <c r="BB146" s="280">
        <f t="shared" si="93"/>
        <v>0</v>
      </c>
      <c r="BC146" s="280">
        <f t="shared" si="94"/>
        <v>0</v>
      </c>
      <c r="BD146" s="280">
        <f t="shared" si="95"/>
        <v>0</v>
      </c>
      <c r="BE146" s="280">
        <f t="shared" si="87"/>
        <v>0</v>
      </c>
      <c r="BF146" s="280" t="str">
        <f t="shared" si="88"/>
        <v/>
      </c>
    </row>
    <row r="147" spans="1:59" x14ac:dyDescent="0.25">
      <c r="AU147" s="91" t="s">
        <v>1017</v>
      </c>
      <c r="AV147" s="82" t="s">
        <v>216</v>
      </c>
      <c r="AW147" s="280">
        <f t="shared" si="96"/>
        <v>0</v>
      </c>
      <c r="AX147" s="280">
        <f t="shared" si="89"/>
        <v>0</v>
      </c>
      <c r="AY147" s="280">
        <f t="shared" si="90"/>
        <v>0</v>
      </c>
      <c r="AZ147" s="280">
        <f t="shared" si="91"/>
        <v>0</v>
      </c>
      <c r="BA147" s="280">
        <f t="shared" si="92"/>
        <v>0</v>
      </c>
      <c r="BB147" s="280">
        <f t="shared" si="93"/>
        <v>0</v>
      </c>
      <c r="BC147" s="280">
        <f t="shared" si="94"/>
        <v>0</v>
      </c>
      <c r="BD147" s="280">
        <f t="shared" si="95"/>
        <v>0</v>
      </c>
      <c r="BE147" s="280">
        <f t="shared" si="87"/>
        <v>0</v>
      </c>
      <c r="BF147" s="280" t="str">
        <f t="shared" si="88"/>
        <v/>
      </c>
    </row>
    <row r="148" spans="1:59" ht="22.8" x14ac:dyDescent="0.4">
      <c r="A148" s="68">
        <v>1</v>
      </c>
      <c r="B148" s="68">
        <v>2</v>
      </c>
      <c r="C148" s="68">
        <v>3</v>
      </c>
      <c r="D148" s="68">
        <v>4</v>
      </c>
      <c r="E148" s="68">
        <v>5</v>
      </c>
      <c r="F148" s="68">
        <v>6</v>
      </c>
      <c r="G148" s="68">
        <v>7</v>
      </c>
      <c r="H148" s="68">
        <v>8</v>
      </c>
      <c r="I148" s="68">
        <v>9</v>
      </c>
      <c r="J148" s="68">
        <v>10</v>
      </c>
      <c r="K148" s="68">
        <v>11</v>
      </c>
      <c r="L148" s="68">
        <v>12</v>
      </c>
      <c r="M148" s="68">
        <v>13</v>
      </c>
      <c r="N148" s="68">
        <v>14</v>
      </c>
      <c r="O148" s="68">
        <v>15</v>
      </c>
      <c r="P148" s="68">
        <v>16</v>
      </c>
      <c r="Q148" s="68">
        <v>17</v>
      </c>
      <c r="R148" s="68">
        <v>18</v>
      </c>
      <c r="S148" s="68">
        <v>19</v>
      </c>
      <c r="T148" s="68">
        <v>20</v>
      </c>
      <c r="U148" s="68">
        <v>21</v>
      </c>
      <c r="V148" s="68">
        <v>22</v>
      </c>
      <c r="W148" s="68">
        <v>23</v>
      </c>
      <c r="X148" s="68">
        <v>24</v>
      </c>
      <c r="Y148" s="68">
        <v>25</v>
      </c>
      <c r="Z148" s="68">
        <v>26</v>
      </c>
      <c r="AA148" s="68">
        <v>27</v>
      </c>
      <c r="AB148" s="68">
        <v>28</v>
      </c>
      <c r="AC148" s="68">
        <v>29</v>
      </c>
      <c r="AD148" s="68">
        <v>30</v>
      </c>
      <c r="AE148" s="68">
        <v>31</v>
      </c>
      <c r="AF148" s="68">
        <v>32</v>
      </c>
      <c r="AU148" s="91" t="s">
        <v>1020</v>
      </c>
      <c r="AV148" s="82" t="s">
        <v>216</v>
      </c>
      <c r="AW148" s="280">
        <f t="shared" si="96"/>
        <v>0</v>
      </c>
      <c r="AX148" s="280">
        <f t="shared" si="89"/>
        <v>0</v>
      </c>
      <c r="AY148" s="280">
        <f t="shared" si="90"/>
        <v>0</v>
      </c>
      <c r="AZ148" s="280">
        <f t="shared" si="91"/>
        <v>0</v>
      </c>
      <c r="BA148" s="280">
        <f t="shared" si="92"/>
        <v>0</v>
      </c>
      <c r="BB148" s="280">
        <f t="shared" si="93"/>
        <v>0</v>
      </c>
      <c r="BC148" s="280">
        <f t="shared" si="94"/>
        <v>0</v>
      </c>
      <c r="BD148" s="280">
        <f t="shared" si="95"/>
        <v>0</v>
      </c>
      <c r="BE148" s="280">
        <f t="shared" si="87"/>
        <v>0</v>
      </c>
      <c r="BF148" s="280" t="str">
        <f t="shared" si="88"/>
        <v/>
      </c>
    </row>
    <row r="149" spans="1:59" ht="69" x14ac:dyDescent="0.25">
      <c r="A149" s="69" t="s">
        <v>1086</v>
      </c>
      <c r="B149" s="69" t="s">
        <v>299</v>
      </c>
      <c r="C149" s="69" t="s">
        <v>395</v>
      </c>
      <c r="D149" s="69" t="s">
        <v>1034</v>
      </c>
      <c r="E149" s="69" t="s">
        <v>1087</v>
      </c>
      <c r="F149" s="69" t="s">
        <v>1036</v>
      </c>
      <c r="G149" s="69" t="s">
        <v>1088</v>
      </c>
      <c r="H149" s="69" t="s">
        <v>1089</v>
      </c>
      <c r="I149" s="69" t="s">
        <v>1090</v>
      </c>
      <c r="J149" s="69" t="s">
        <v>1040</v>
      </c>
      <c r="K149" s="69" t="s">
        <v>1091</v>
      </c>
      <c r="L149" s="69" t="s">
        <v>1042</v>
      </c>
      <c r="M149" s="69" t="s">
        <v>1092</v>
      </c>
      <c r="N149" s="69" t="s">
        <v>1044</v>
      </c>
      <c r="O149" s="69" t="s">
        <v>1093</v>
      </c>
      <c r="P149" s="69" t="s">
        <v>1046</v>
      </c>
      <c r="Q149" s="69" t="s">
        <v>1094</v>
      </c>
      <c r="R149" s="69" t="s">
        <v>1048</v>
      </c>
      <c r="S149" s="69" t="s">
        <v>1095</v>
      </c>
      <c r="T149" s="69" t="s">
        <v>1050</v>
      </c>
      <c r="U149" s="69" t="s">
        <v>1096</v>
      </c>
      <c r="V149" s="69" t="s">
        <v>1052</v>
      </c>
      <c r="W149" s="69" t="s">
        <v>1097</v>
      </c>
      <c r="X149" s="69" t="s">
        <v>1054</v>
      </c>
      <c r="Y149" s="69" t="s">
        <v>1098</v>
      </c>
      <c r="Z149" s="69" t="s">
        <v>1099</v>
      </c>
      <c r="AA149" s="69" t="s">
        <v>1100</v>
      </c>
      <c r="AB149" s="69" t="s">
        <v>1058</v>
      </c>
      <c r="AC149" s="69" t="s">
        <v>1101</v>
      </c>
      <c r="AD149" s="69" t="s">
        <v>1060</v>
      </c>
      <c r="AE149" s="69" t="s">
        <v>1102</v>
      </c>
      <c r="AF149" s="69" t="s">
        <v>1062</v>
      </c>
      <c r="AU149" s="214" t="s">
        <v>735</v>
      </c>
      <c r="AV149" s="215" t="s">
        <v>116</v>
      </c>
      <c r="AW149" s="353">
        <f t="shared" si="96"/>
        <v>0</v>
      </c>
      <c r="AX149" s="353">
        <f t="shared" si="89"/>
        <v>0</v>
      </c>
      <c r="AY149" s="353">
        <f t="shared" si="90"/>
        <v>0</v>
      </c>
      <c r="AZ149" s="353">
        <f t="shared" si="91"/>
        <v>0</v>
      </c>
      <c r="BA149" s="353">
        <f t="shared" si="92"/>
        <v>0</v>
      </c>
      <c r="BB149" s="353">
        <f t="shared" si="93"/>
        <v>0</v>
      </c>
      <c r="BC149" s="353">
        <f t="shared" si="94"/>
        <v>0</v>
      </c>
      <c r="BD149" s="353">
        <f t="shared" si="95"/>
        <v>0</v>
      </c>
      <c r="BE149" s="353">
        <f t="shared" si="87"/>
        <v>0</v>
      </c>
      <c r="BF149" s="353" t="str">
        <f t="shared" si="88"/>
        <v/>
      </c>
    </row>
    <row r="150" spans="1:59" x14ac:dyDescent="0.25">
      <c r="A150" s="70" t="str">
        <f>'G-6 Hedgerow Data'!B3</f>
        <v>Species-rich native hedgerow with trees - associated with bank or ditch</v>
      </c>
      <c r="B150" s="62" t="s">
        <v>1103</v>
      </c>
      <c r="C150" s="62" t="str">
        <f>'G-6 Hedgerow Data'!C3</f>
        <v>V.High</v>
      </c>
      <c r="D150" s="62" t="str">
        <f>'G-6 Hedgerow Data'!AH3</f>
        <v>Like for like</v>
      </c>
      <c r="E150" s="280">
        <f>SUMIF('B-1 On-Site Hedge Baseline'!$D$10:$D$257,'G-2 Habitat groups'!A150,'B-1 On-Site Hedge Baseline'!$E$10:$E$257)</f>
        <v>0</v>
      </c>
      <c r="F150" s="280">
        <f>SUMIF('B-1 On-Site Hedge Baseline'!$D$10:$D$257,'G-2 Habitat groups'!A150,'B-1 On-Site Hedge Baseline'!$N$10:$N$257)</f>
        <v>0</v>
      </c>
      <c r="G150" s="280">
        <f>SUMIF('B-1 On-Site Hedge Baseline'!$D$10:$D$257,'G-2 Habitat groups'!A150,'B-1 On-Site Hedge Baseline'!$P$10:$P$257)</f>
        <v>0</v>
      </c>
      <c r="H150" s="280">
        <f>SUMIF('B-1 On-Site Hedge Baseline'!$D$10:$D$257,'G-2 Habitat groups'!A150,'B-1 On-Site Hedge Baseline'!$R$10:$R$257)</f>
        <v>0</v>
      </c>
      <c r="I150" s="280">
        <f>SUMIF('B-1 On-Site Hedge Baseline'!$D$10:$D$257,'G-2 Habitat groups'!A150,'B-1 On-Site Hedge Baseline'!$T$10:$T$257)</f>
        <v>0</v>
      </c>
      <c r="J150" s="353">
        <f>SUMIF('B-1 On-Site Hedge Baseline'!$D$10:$D$257,'G-2 Habitat groups'!A150,'B-1 On-Site Hedge Baseline'!$U$10:$U$257)</f>
        <v>0</v>
      </c>
      <c r="K150" s="280">
        <f>SUMIF('B-2 On-Site Hedge Creation'!$D$12:$D$259,'G-2 Habitat groups'!A150,'B-2 On-Site Hedge Creation'!$E$12:$E$259)</f>
        <v>0</v>
      </c>
      <c r="L150" s="280">
        <f>SUMIF('B-2 On-Site Hedge Creation'!$D$12:$D$259,'G-2 Habitat groups'!A150,'B-2 On-Site Hedge Creation'!$W$12:$W$259)</f>
        <v>0</v>
      </c>
      <c r="M150" s="280">
        <f>SUMIF('B-3 On-Site Hedge Enhancement'!$M$12:$M$257,'G-2 Habitat groups'!A150,'B-3 On-Site Hedge Enhancement'!$P$12:$P$257)</f>
        <v>0</v>
      </c>
      <c r="N150" s="280">
        <f>SUMIF('B-3 On-Site Hedge Enhancement'!$M$12:$M$257,'G-2 Habitat groups'!A150,'B-3 On-Site Hedge Enhancement'!$AH$12:$AH$257)</f>
        <v>0</v>
      </c>
      <c r="O150" s="280">
        <f t="shared" ref="O150:O162" si="106">G150+K150+M150</f>
        <v>0</v>
      </c>
      <c r="P150" s="280">
        <f t="shared" ref="P150:P162" si="107">H150+L150+N150</f>
        <v>0</v>
      </c>
      <c r="Q150" s="280">
        <f t="shared" ref="Q150:Q162" si="108">O150-E150</f>
        <v>0</v>
      </c>
      <c r="R150" s="280">
        <f t="shared" ref="R150:R162" si="109">P150-F150</f>
        <v>0</v>
      </c>
      <c r="S150" s="280">
        <f>SUMIF('E-1 Off-Site Hedge Baseline'!$D$10:$D$257,'G-2 Habitat groups'!A150,'E-1 Off-Site Hedge Baseline'!$E$10:$E$257)</f>
        <v>0</v>
      </c>
      <c r="T150" s="280">
        <f>SUMIF('E-1 Off-Site Hedge Baseline'!$D$10:$D$257,'G-2 Habitat groups'!A150,'E-1 Off-Site Hedge Baseline'!$Q$10:$Q$257)</f>
        <v>0</v>
      </c>
      <c r="U150" s="280">
        <f>SUMIF('E-1 Off-Site Hedge Baseline'!$D$10:$D$257,'G-2 Habitat groups'!A150,'E-1 Off-Site Hedge Baseline'!$S$10:$S$257)</f>
        <v>0</v>
      </c>
      <c r="V150" s="280">
        <f>SUMIF('E-1 Off-Site Hedge Baseline'!$D$10:$D$257,'G-2 Habitat groups'!A150,'E-1 Off-Site Hedge Baseline'!$U$10:$U$257)</f>
        <v>0</v>
      </c>
      <c r="W150" s="280">
        <f>SUMIF('E-2 Off-Site Hedge Creation'!$D$12:$D$259,'G-2 Habitat groups'!A150,'E-2 Off-Site Hedge Creation'!$E$12:$E$259)</f>
        <v>0</v>
      </c>
      <c r="X150" s="280">
        <f>SUMIF('E-2 Off-Site Hedge Creation'!$D$12:$D$259,'G-2 Habitat groups'!A150,'E-2 Off-Site Hedge Creation'!$Z$12:$Z$259)</f>
        <v>0</v>
      </c>
      <c r="Y150" s="280">
        <f>SUMIF('E-3 Off-Site Hedge Enhancement'!$M$12:$M$259,'G-2 Habitat groups'!A150,'E-3 Off-Site Hedge Enhancement'!$P$12:$P$259)</f>
        <v>0</v>
      </c>
      <c r="Z150" s="280">
        <f>SUMIF('E-3 Off-Site Hedge Enhancement'!$M$12:$M$259,'G-2 Habitat groups'!A150,'E-3 Off-Site Hedge Enhancement'!$AK$12:$AK$259)</f>
        <v>0</v>
      </c>
      <c r="AA150" s="280">
        <f>U150+W150+Y150</f>
        <v>0</v>
      </c>
      <c r="AB150" s="280">
        <f>V150+X150+Z150</f>
        <v>0</v>
      </c>
      <c r="AC150" s="280">
        <f t="shared" ref="AC150:AC162" si="110">AA150-S150</f>
        <v>0</v>
      </c>
      <c r="AD150" s="280">
        <f t="shared" ref="AD150:AD162" si="111">AB150-T150</f>
        <v>0</v>
      </c>
      <c r="AE150" s="280">
        <f t="shared" ref="AE150:AE162" si="112">Q150+AC150</f>
        <v>0</v>
      </c>
      <c r="AF150" s="280">
        <f t="shared" ref="AF150:AF162" si="113">R150+AD150</f>
        <v>0</v>
      </c>
      <c r="AU150" s="214" t="s">
        <v>812</v>
      </c>
      <c r="AV150" s="215" t="s">
        <v>120</v>
      </c>
      <c r="AW150" s="353">
        <f t="shared" si="96"/>
        <v>0</v>
      </c>
      <c r="AX150" s="353">
        <f t="shared" si="89"/>
        <v>0</v>
      </c>
      <c r="AY150" s="353">
        <f t="shared" si="90"/>
        <v>0</v>
      </c>
      <c r="AZ150" s="353">
        <f t="shared" si="91"/>
        <v>0</v>
      </c>
      <c r="BA150" s="353">
        <f t="shared" si="92"/>
        <v>0</v>
      </c>
      <c r="BB150" s="353">
        <f t="shared" si="93"/>
        <v>0</v>
      </c>
      <c r="BC150" s="353">
        <f t="shared" si="94"/>
        <v>0</v>
      </c>
      <c r="BD150" s="353">
        <f t="shared" si="95"/>
        <v>0</v>
      </c>
      <c r="BE150" s="353">
        <f t="shared" si="87"/>
        <v>0</v>
      </c>
      <c r="BF150" s="353" t="str">
        <f t="shared" si="88"/>
        <v/>
      </c>
    </row>
    <row r="151" spans="1:59" x14ac:dyDescent="0.25">
      <c r="A151" s="70" t="str">
        <f>'G-6 Hedgerow Data'!B4</f>
        <v>Species-rich native hedgerow with trees</v>
      </c>
      <c r="B151" s="62" t="s">
        <v>1103</v>
      </c>
      <c r="C151" s="62" t="str">
        <f>'G-6 Hedgerow Data'!C4</f>
        <v>High</v>
      </c>
      <c r="D151" s="62" t="str">
        <f>'G-6 Hedgerow Data'!AH4</f>
        <v>Like for like or better</v>
      </c>
      <c r="E151" s="280">
        <f>SUMIF('B-1 On-Site Hedge Baseline'!$D$10:$D$257,'G-2 Habitat groups'!A151,'B-1 On-Site Hedge Baseline'!$E$10:$E$257)</f>
        <v>0</v>
      </c>
      <c r="F151" s="280">
        <f>SUMIF('B-1 On-Site Hedge Baseline'!$D$10:$D$257,'G-2 Habitat groups'!A151,'B-1 On-Site Hedge Baseline'!$N$10:$N$257)</f>
        <v>0</v>
      </c>
      <c r="G151" s="280">
        <f>SUMIF('B-1 On-Site Hedge Baseline'!$D$10:$D$257,'G-2 Habitat groups'!A151,'B-1 On-Site Hedge Baseline'!$P$10:$P$257)</f>
        <v>0</v>
      </c>
      <c r="H151" s="280">
        <f>SUMIF('B-1 On-Site Hedge Baseline'!$D$10:$D$257,'G-2 Habitat groups'!A151,'B-1 On-Site Hedge Baseline'!$R$10:$R$257)</f>
        <v>0</v>
      </c>
      <c r="I151" s="280">
        <f>SUMIF('B-1 On-Site Hedge Baseline'!$D$10:$D$257,'G-2 Habitat groups'!A151,'B-1 On-Site Hedge Baseline'!$T$10:$T$257)</f>
        <v>0</v>
      </c>
      <c r="J151" s="353">
        <f>SUMIF('B-1 On-Site Hedge Baseline'!$D$10:$D$257,'G-2 Habitat groups'!A151,'B-1 On-Site Hedge Baseline'!$U$10:$U$257)</f>
        <v>0</v>
      </c>
      <c r="K151" s="280">
        <f>SUMIF('B-2 On-Site Hedge Creation'!$D$12:$D$259,'G-2 Habitat groups'!A151,'B-2 On-Site Hedge Creation'!$E$12:$E$259)</f>
        <v>0</v>
      </c>
      <c r="L151" s="280">
        <f>SUMIF('B-2 On-Site Hedge Creation'!$D$12:$D$259,'G-2 Habitat groups'!A151,'B-2 On-Site Hedge Creation'!$W$12:$W$259)</f>
        <v>0</v>
      </c>
      <c r="M151" s="280">
        <f>SUMIF('B-3 On-Site Hedge Enhancement'!$M$12:$M$257,'G-2 Habitat groups'!A151,'B-3 On-Site Hedge Enhancement'!$P$12:$P$257)</f>
        <v>0</v>
      </c>
      <c r="N151" s="280">
        <f>SUMIF('B-3 On-Site Hedge Enhancement'!$M$12:$M$257,'G-2 Habitat groups'!A151,'B-3 On-Site Hedge Enhancement'!$AH$12:$AH$257)</f>
        <v>0</v>
      </c>
      <c r="O151" s="280">
        <f t="shared" si="106"/>
        <v>0</v>
      </c>
      <c r="P151" s="280">
        <f t="shared" si="107"/>
        <v>0</v>
      </c>
      <c r="Q151" s="280">
        <f t="shared" si="108"/>
        <v>0</v>
      </c>
      <c r="R151" s="280">
        <f t="shared" si="109"/>
        <v>0</v>
      </c>
      <c r="S151" s="280">
        <f>SUMIF('E-1 Off-Site Hedge Baseline'!$D$10:$D$257,'G-2 Habitat groups'!A151,'E-1 Off-Site Hedge Baseline'!$E$10:$E$257)</f>
        <v>0</v>
      </c>
      <c r="T151" s="280">
        <f>SUMIF('E-1 Off-Site Hedge Baseline'!$D$10:$D$257,'G-2 Habitat groups'!A151,'E-1 Off-Site Hedge Baseline'!$Q$10:$Q$257)</f>
        <v>0</v>
      </c>
      <c r="U151" s="280">
        <f>SUMIF('E-1 Off-Site Hedge Baseline'!$D$10:$D$257,'G-2 Habitat groups'!A151,'E-1 Off-Site Hedge Baseline'!$S$10:$S$257)</f>
        <v>0</v>
      </c>
      <c r="V151" s="280">
        <f>SUMIF('E-1 Off-Site Hedge Baseline'!$D$10:$D$257,'G-2 Habitat groups'!A151,'E-1 Off-Site Hedge Baseline'!$U$10:$U$257)</f>
        <v>0</v>
      </c>
      <c r="W151" s="280">
        <f>SUMIF('E-2 Off-Site Hedge Creation'!$D$12:$D$259,'G-2 Habitat groups'!A151,'E-2 Off-Site Hedge Creation'!$E$12:$E$259)</f>
        <v>0</v>
      </c>
      <c r="X151" s="280">
        <f>SUMIF('E-2 Off-Site Hedge Creation'!$D$12:$D$259,'G-2 Habitat groups'!A151,'E-2 Off-Site Hedge Creation'!$Z$12:$Z$259)</f>
        <v>0</v>
      </c>
      <c r="Y151" s="280">
        <f>SUMIF('E-3 Off-Site Hedge Enhancement'!$M$12:$M$259,'G-2 Habitat groups'!A151,'E-3 Off-Site Hedge Enhancement'!$P$12:$P$259)</f>
        <v>0</v>
      </c>
      <c r="Z151" s="280">
        <f>SUMIF('E-3 Off-Site Hedge Enhancement'!$M$12:$M$259,'G-2 Habitat groups'!A151,'E-3 Off-Site Hedge Enhancement'!$AK$12:$AK$259)</f>
        <v>0</v>
      </c>
      <c r="AA151" s="280">
        <f t="shared" ref="AA151:AA162" si="114">U151+W151+Y151</f>
        <v>0</v>
      </c>
      <c r="AB151" s="280">
        <f t="shared" ref="AB151:AB162" si="115">V151+X151+Z151</f>
        <v>0</v>
      </c>
      <c r="AC151" s="280">
        <f t="shared" si="110"/>
        <v>0</v>
      </c>
      <c r="AD151" s="280">
        <f t="shared" si="111"/>
        <v>0</v>
      </c>
      <c r="AE151" s="280">
        <f t="shared" si="112"/>
        <v>0</v>
      </c>
      <c r="AF151" s="280">
        <f t="shared" si="113"/>
        <v>0</v>
      </c>
      <c r="AU151" s="70" t="s">
        <v>787</v>
      </c>
      <c r="AV151" s="62" t="s">
        <v>82</v>
      </c>
      <c r="AW151" s="353">
        <f t="shared" si="96"/>
        <v>0</v>
      </c>
      <c r="AX151" s="353">
        <f t="shared" si="89"/>
        <v>0</v>
      </c>
      <c r="AY151" s="353">
        <f t="shared" si="90"/>
        <v>0</v>
      </c>
      <c r="AZ151" s="353">
        <f t="shared" si="91"/>
        <v>0</v>
      </c>
      <c r="BA151" s="353">
        <f t="shared" si="92"/>
        <v>0</v>
      </c>
      <c r="BB151" s="353">
        <f t="shared" si="93"/>
        <v>0</v>
      </c>
      <c r="BC151" s="353">
        <f t="shared" si="94"/>
        <v>0</v>
      </c>
      <c r="BD151" s="353">
        <f t="shared" si="95"/>
        <v>0</v>
      </c>
      <c r="BE151" s="353">
        <f t="shared" si="87"/>
        <v>0</v>
      </c>
      <c r="BF151" s="353" t="str">
        <f t="shared" si="88"/>
        <v/>
      </c>
    </row>
    <row r="152" spans="1:59" x14ac:dyDescent="0.25">
      <c r="A152" s="70" t="str">
        <f>'G-6 Hedgerow Data'!B5</f>
        <v>Species-rich native hedgerow - associated with bank or ditch</v>
      </c>
      <c r="B152" s="62" t="s">
        <v>1103</v>
      </c>
      <c r="C152" s="62" t="str">
        <f>'G-6 Hedgerow Data'!C5</f>
        <v>High</v>
      </c>
      <c r="D152" s="62" t="str">
        <f>'G-6 Hedgerow Data'!AH5</f>
        <v>Like for like or better</v>
      </c>
      <c r="E152" s="280">
        <f>SUMIF('B-1 On-Site Hedge Baseline'!$D$10:$D$257,'G-2 Habitat groups'!A152,'B-1 On-Site Hedge Baseline'!$E$10:$E$257)</f>
        <v>0</v>
      </c>
      <c r="F152" s="280">
        <f>SUMIF('B-1 On-Site Hedge Baseline'!$D$10:$D$257,'G-2 Habitat groups'!A152,'B-1 On-Site Hedge Baseline'!$N$10:$N$257)</f>
        <v>0</v>
      </c>
      <c r="G152" s="280">
        <f>SUMIF('B-1 On-Site Hedge Baseline'!$D$10:$D$257,'G-2 Habitat groups'!A152,'B-1 On-Site Hedge Baseline'!$P$10:$P$257)</f>
        <v>0</v>
      </c>
      <c r="H152" s="280">
        <f>SUMIF('B-1 On-Site Hedge Baseline'!$D$10:$D$257,'G-2 Habitat groups'!A152,'B-1 On-Site Hedge Baseline'!$R$10:$R$257)</f>
        <v>0</v>
      </c>
      <c r="I152" s="280">
        <f>SUMIF('B-1 On-Site Hedge Baseline'!$D$10:$D$257,'G-2 Habitat groups'!A152,'B-1 On-Site Hedge Baseline'!$T$10:$T$257)</f>
        <v>0</v>
      </c>
      <c r="J152" s="353">
        <f>SUMIF('B-1 On-Site Hedge Baseline'!$D$10:$D$257,'G-2 Habitat groups'!A152,'B-1 On-Site Hedge Baseline'!$U$10:$U$257)</f>
        <v>0</v>
      </c>
      <c r="K152" s="280">
        <f>SUMIF('B-2 On-Site Hedge Creation'!$D$12:$D$259,'G-2 Habitat groups'!A152,'B-2 On-Site Hedge Creation'!$E$12:$E$259)</f>
        <v>0</v>
      </c>
      <c r="L152" s="280">
        <f>SUMIF('B-2 On-Site Hedge Creation'!$D$12:$D$259,'G-2 Habitat groups'!A152,'B-2 On-Site Hedge Creation'!$W$12:$W$259)</f>
        <v>0</v>
      </c>
      <c r="M152" s="280">
        <f>SUMIF('B-3 On-Site Hedge Enhancement'!$M$12:$M$257,'G-2 Habitat groups'!A152,'B-3 On-Site Hedge Enhancement'!$P$12:$P$257)</f>
        <v>0</v>
      </c>
      <c r="N152" s="280">
        <f>SUMIF('B-3 On-Site Hedge Enhancement'!$M$12:$M$257,'G-2 Habitat groups'!A152,'B-3 On-Site Hedge Enhancement'!$AH$12:$AH$257)</f>
        <v>0</v>
      </c>
      <c r="O152" s="280">
        <f t="shared" si="106"/>
        <v>0</v>
      </c>
      <c r="P152" s="280">
        <f t="shared" si="107"/>
        <v>0</v>
      </c>
      <c r="Q152" s="280">
        <f t="shared" si="108"/>
        <v>0</v>
      </c>
      <c r="R152" s="280">
        <f t="shared" si="109"/>
        <v>0</v>
      </c>
      <c r="S152" s="280">
        <f>SUMIF('E-1 Off-Site Hedge Baseline'!$D$10:$D$257,'G-2 Habitat groups'!A152,'E-1 Off-Site Hedge Baseline'!$E$10:$E$257)</f>
        <v>0</v>
      </c>
      <c r="T152" s="280">
        <f>SUMIF('E-1 Off-Site Hedge Baseline'!$D$10:$D$257,'G-2 Habitat groups'!A152,'E-1 Off-Site Hedge Baseline'!$Q$10:$Q$257)</f>
        <v>0</v>
      </c>
      <c r="U152" s="280">
        <f>SUMIF('E-1 Off-Site Hedge Baseline'!$D$10:$D$257,'G-2 Habitat groups'!A152,'E-1 Off-Site Hedge Baseline'!$S$10:$S$257)</f>
        <v>0</v>
      </c>
      <c r="V152" s="280">
        <f>SUMIF('E-1 Off-Site Hedge Baseline'!$D$10:$D$257,'G-2 Habitat groups'!A152,'E-1 Off-Site Hedge Baseline'!$U$10:$U$257)</f>
        <v>0</v>
      </c>
      <c r="W152" s="280">
        <f>SUMIF('E-2 Off-Site Hedge Creation'!$D$12:$D$259,'G-2 Habitat groups'!A152,'E-2 Off-Site Hedge Creation'!$E$12:$E$259)</f>
        <v>0</v>
      </c>
      <c r="X152" s="280">
        <f>SUMIF('E-2 Off-Site Hedge Creation'!$D$12:$D$259,'G-2 Habitat groups'!A152,'E-2 Off-Site Hedge Creation'!$Z$12:$Z$259)</f>
        <v>0</v>
      </c>
      <c r="Y152" s="280">
        <f>SUMIF('E-3 Off-Site Hedge Enhancement'!$M$12:$M$259,'G-2 Habitat groups'!A152,'E-3 Off-Site Hedge Enhancement'!$P$12:$P$259)</f>
        <v>0</v>
      </c>
      <c r="Z152" s="280">
        <f>SUMIF('E-3 Off-Site Hedge Enhancement'!$M$12:$M$259,'G-2 Habitat groups'!A152,'E-3 Off-Site Hedge Enhancement'!$AK$12:$AK$259)</f>
        <v>0</v>
      </c>
      <c r="AA152" s="280">
        <f t="shared" si="114"/>
        <v>0</v>
      </c>
      <c r="AB152" s="280">
        <f t="shared" si="115"/>
        <v>0</v>
      </c>
      <c r="AC152" s="280">
        <f t="shared" si="110"/>
        <v>0</v>
      </c>
      <c r="AD152" s="280">
        <f t="shared" si="111"/>
        <v>0</v>
      </c>
      <c r="AE152" s="280">
        <f t="shared" si="112"/>
        <v>0</v>
      </c>
      <c r="AF152" s="280">
        <f t="shared" si="113"/>
        <v>0</v>
      </c>
    </row>
    <row r="153" spans="1:59" x14ac:dyDescent="0.25">
      <c r="A153" s="70" t="str">
        <f>'G-6 Hedgerow Data'!B6</f>
        <v>Native hedgerow with trees - associated with bank or ditch</v>
      </c>
      <c r="B153" s="62" t="s">
        <v>1103</v>
      </c>
      <c r="C153" s="62" t="str">
        <f>'G-6 Hedgerow Data'!C6</f>
        <v>High</v>
      </c>
      <c r="D153" s="62" t="str">
        <f>'G-6 Hedgerow Data'!AH6</f>
        <v>Like for like or better</v>
      </c>
      <c r="E153" s="280">
        <f>SUMIF('B-1 On-Site Hedge Baseline'!$D$10:$D$257,'G-2 Habitat groups'!A153,'B-1 On-Site Hedge Baseline'!$E$10:$E$257)</f>
        <v>0</v>
      </c>
      <c r="F153" s="280">
        <f>SUMIF('B-1 On-Site Hedge Baseline'!$D$10:$D$257,'G-2 Habitat groups'!A153,'B-1 On-Site Hedge Baseline'!$N$10:$N$257)</f>
        <v>0</v>
      </c>
      <c r="G153" s="280">
        <f>SUMIF('B-1 On-Site Hedge Baseline'!$D$10:$D$257,'G-2 Habitat groups'!A153,'B-1 On-Site Hedge Baseline'!$P$10:$P$257)</f>
        <v>0</v>
      </c>
      <c r="H153" s="280">
        <f>SUMIF('B-1 On-Site Hedge Baseline'!$D$10:$D$257,'G-2 Habitat groups'!A153,'B-1 On-Site Hedge Baseline'!$R$10:$R$257)</f>
        <v>0</v>
      </c>
      <c r="I153" s="280">
        <f>SUMIF('B-1 On-Site Hedge Baseline'!$D$10:$D$257,'G-2 Habitat groups'!A153,'B-1 On-Site Hedge Baseline'!$T$10:$T$257)</f>
        <v>0</v>
      </c>
      <c r="J153" s="353">
        <f>SUMIF('B-1 On-Site Hedge Baseline'!$D$10:$D$257,'G-2 Habitat groups'!A153,'B-1 On-Site Hedge Baseline'!$U$10:$U$257)</f>
        <v>0</v>
      </c>
      <c r="K153" s="280">
        <f>SUMIF('B-2 On-Site Hedge Creation'!$D$12:$D$259,'G-2 Habitat groups'!A153,'B-2 On-Site Hedge Creation'!$E$12:$E$259)</f>
        <v>0</v>
      </c>
      <c r="L153" s="280">
        <f>SUMIF('B-2 On-Site Hedge Creation'!$D$12:$D$259,'G-2 Habitat groups'!A153,'B-2 On-Site Hedge Creation'!$W$12:$W$259)</f>
        <v>0</v>
      </c>
      <c r="M153" s="280">
        <f>SUMIF('B-3 On-Site Hedge Enhancement'!$M$12:$M$257,'G-2 Habitat groups'!A153,'B-3 On-Site Hedge Enhancement'!$P$12:$P$257)</f>
        <v>0</v>
      </c>
      <c r="N153" s="280">
        <f>SUMIF('B-3 On-Site Hedge Enhancement'!$M$12:$M$257,'G-2 Habitat groups'!A153,'B-3 On-Site Hedge Enhancement'!$AH$12:$AH$257)</f>
        <v>0</v>
      </c>
      <c r="O153" s="280">
        <f t="shared" si="106"/>
        <v>0</v>
      </c>
      <c r="P153" s="280">
        <f t="shared" si="107"/>
        <v>0</v>
      </c>
      <c r="Q153" s="280">
        <f t="shared" si="108"/>
        <v>0</v>
      </c>
      <c r="R153" s="280">
        <f t="shared" si="109"/>
        <v>0</v>
      </c>
      <c r="S153" s="280">
        <f>SUMIF('E-1 Off-Site Hedge Baseline'!$D$10:$D$257,'G-2 Habitat groups'!A153,'E-1 Off-Site Hedge Baseline'!$E$10:$E$257)</f>
        <v>0</v>
      </c>
      <c r="T153" s="280">
        <f>SUMIF('E-1 Off-Site Hedge Baseline'!$D$10:$D$257,'G-2 Habitat groups'!A153,'E-1 Off-Site Hedge Baseline'!$Q$10:$Q$257)</f>
        <v>0</v>
      </c>
      <c r="U153" s="280">
        <f>SUMIF('E-1 Off-Site Hedge Baseline'!$D$10:$D$257,'G-2 Habitat groups'!A153,'E-1 Off-Site Hedge Baseline'!$S$10:$S$257)</f>
        <v>0</v>
      </c>
      <c r="V153" s="280">
        <f>SUMIF('E-1 Off-Site Hedge Baseline'!$D$10:$D$257,'G-2 Habitat groups'!A153,'E-1 Off-Site Hedge Baseline'!$U$10:$U$257)</f>
        <v>0</v>
      </c>
      <c r="W153" s="280">
        <f>SUMIF('E-2 Off-Site Hedge Creation'!$D$12:$D$259,'G-2 Habitat groups'!A153,'E-2 Off-Site Hedge Creation'!$E$12:$E$259)</f>
        <v>0</v>
      </c>
      <c r="X153" s="280">
        <f>SUMIF('E-2 Off-Site Hedge Creation'!$D$12:$D$259,'G-2 Habitat groups'!A153,'E-2 Off-Site Hedge Creation'!$Z$12:$Z$259)</f>
        <v>0</v>
      </c>
      <c r="Y153" s="280">
        <f>SUMIF('E-3 Off-Site Hedge Enhancement'!$M$12:$M$259,'G-2 Habitat groups'!A153,'E-3 Off-Site Hedge Enhancement'!$P$12:$P$259)</f>
        <v>0</v>
      </c>
      <c r="Z153" s="280">
        <f>SUMIF('E-3 Off-Site Hedge Enhancement'!$M$12:$M$259,'G-2 Habitat groups'!A153,'E-3 Off-Site Hedge Enhancement'!$AK$12:$AK$259)</f>
        <v>0</v>
      </c>
      <c r="AA153" s="280">
        <f t="shared" si="114"/>
        <v>0</v>
      </c>
      <c r="AB153" s="280">
        <f t="shared" si="115"/>
        <v>0</v>
      </c>
      <c r="AC153" s="280">
        <f t="shared" si="110"/>
        <v>0</v>
      </c>
      <c r="AD153" s="280">
        <f t="shared" si="111"/>
        <v>0</v>
      </c>
      <c r="AE153" s="280">
        <f t="shared" si="112"/>
        <v>0</v>
      </c>
      <c r="AF153" s="280">
        <f t="shared" si="113"/>
        <v>0</v>
      </c>
    </row>
    <row r="154" spans="1:59" ht="35.4" x14ac:dyDescent="0.6">
      <c r="A154" s="214" t="str">
        <f>'G-6 Hedgerow Data'!B7</f>
        <v>Species-rich native hedgerow</v>
      </c>
      <c r="B154" s="215" t="s">
        <v>1103</v>
      </c>
      <c r="C154" s="215" t="str">
        <f>'G-6 Hedgerow Data'!C7</f>
        <v>Medium</v>
      </c>
      <c r="D154" s="215" t="str">
        <f>'G-6 Hedgerow Data'!AH7</f>
        <v>Same distinctiveness band or better</v>
      </c>
      <c r="E154" s="353">
        <f>SUMIF('B-1 On-Site Hedge Baseline'!$D$10:$D$257,'G-2 Habitat groups'!A154,'B-1 On-Site Hedge Baseline'!$E$10:$E$257)</f>
        <v>0</v>
      </c>
      <c r="F154" s="353">
        <f>SUMIF('B-1 On-Site Hedge Baseline'!$D$10:$D$257,'G-2 Habitat groups'!A154,'B-1 On-Site Hedge Baseline'!$N$10:$N$257)</f>
        <v>0</v>
      </c>
      <c r="G154" s="353">
        <f>SUMIF('B-1 On-Site Hedge Baseline'!$D$10:$D$257,'G-2 Habitat groups'!A154,'B-1 On-Site Hedge Baseline'!$P$10:$P$257)</f>
        <v>0</v>
      </c>
      <c r="H154" s="353">
        <f>SUMIF('B-1 On-Site Hedge Baseline'!$D$10:$D$257,'G-2 Habitat groups'!A154,'B-1 On-Site Hedge Baseline'!$R$10:$R$257)</f>
        <v>0</v>
      </c>
      <c r="I154" s="353">
        <f>SUMIF('B-1 On-Site Hedge Baseline'!$D$10:$D$257,'G-2 Habitat groups'!A154,'B-1 On-Site Hedge Baseline'!$T$10:$T$257)</f>
        <v>0</v>
      </c>
      <c r="J154" s="353">
        <f>SUMIF('B-1 On-Site Hedge Baseline'!$D$10:$D$257,'G-2 Habitat groups'!A154,'B-1 On-Site Hedge Baseline'!$U$10:$U$257)</f>
        <v>0</v>
      </c>
      <c r="K154" s="353">
        <f>SUMIF('B-2 On-Site Hedge Creation'!$D$12:$D$259,'G-2 Habitat groups'!A154,'B-2 On-Site Hedge Creation'!$E$12:$E$259)</f>
        <v>0</v>
      </c>
      <c r="L154" s="353">
        <f>SUMIF('B-2 On-Site Hedge Creation'!$D$12:$D$259,'G-2 Habitat groups'!A154,'B-2 On-Site Hedge Creation'!$W$12:$W$259)</f>
        <v>0</v>
      </c>
      <c r="M154" s="353">
        <f>SUMIF('B-3 On-Site Hedge Enhancement'!$M$12:$M$257,'G-2 Habitat groups'!A154,'B-3 On-Site Hedge Enhancement'!$P$12:$P$257)</f>
        <v>0</v>
      </c>
      <c r="N154" s="353">
        <f>SUMIF('B-3 On-Site Hedge Enhancement'!$M$12:$M$257,'G-2 Habitat groups'!A154,'B-3 On-Site Hedge Enhancement'!$AH$12:$AH$257)</f>
        <v>0</v>
      </c>
      <c r="O154" s="353">
        <f t="shared" si="106"/>
        <v>0</v>
      </c>
      <c r="P154" s="353">
        <f t="shared" si="107"/>
        <v>0</v>
      </c>
      <c r="Q154" s="353">
        <f t="shared" si="108"/>
        <v>0</v>
      </c>
      <c r="R154" s="353">
        <f t="shared" si="109"/>
        <v>0</v>
      </c>
      <c r="S154" s="353">
        <f>SUMIF('E-1 Off-Site Hedge Baseline'!$D$10:$D$257,'G-2 Habitat groups'!A154,'E-1 Off-Site Hedge Baseline'!$E$10:$E$257)</f>
        <v>0</v>
      </c>
      <c r="T154" s="280">
        <f>SUMIF('E-1 Off-Site Hedge Baseline'!$D$10:$D$257,'G-2 Habitat groups'!A154,'E-1 Off-Site Hedge Baseline'!$Q$10:$Q$257)</f>
        <v>0</v>
      </c>
      <c r="U154" s="280">
        <f>SUMIF('E-1 Off-Site Hedge Baseline'!$D$10:$D$257,'G-2 Habitat groups'!A154,'E-1 Off-Site Hedge Baseline'!$S$10:$S$257)</f>
        <v>0</v>
      </c>
      <c r="V154" s="280">
        <f>SUMIF('E-1 Off-Site Hedge Baseline'!$D$10:$D$257,'G-2 Habitat groups'!A154,'E-1 Off-Site Hedge Baseline'!$U$10:$U$257)</f>
        <v>0</v>
      </c>
      <c r="W154" s="280">
        <f>SUMIF('E-2 Off-Site Hedge Creation'!$D$12:$D$259,'G-2 Habitat groups'!A154,'E-2 Off-Site Hedge Creation'!$E$12:$E$259)</f>
        <v>0</v>
      </c>
      <c r="X154" s="280">
        <f>SUMIF('E-2 Off-Site Hedge Creation'!$D$12:$D$259,'G-2 Habitat groups'!A154,'E-2 Off-Site Hedge Creation'!$Z$12:$Z$259)</f>
        <v>0</v>
      </c>
      <c r="Y154" s="280">
        <f>SUMIF('E-3 Off-Site Hedge Enhancement'!$M$12:$M$259,'G-2 Habitat groups'!A154,'E-3 Off-Site Hedge Enhancement'!$P$12:$P$259)</f>
        <v>0</v>
      </c>
      <c r="Z154" s="280">
        <f>SUMIF('E-3 Off-Site Hedge Enhancement'!$M$12:$M$259,'G-2 Habitat groups'!A154,'E-3 Off-Site Hedge Enhancement'!$AK$12:$AK$259)</f>
        <v>0</v>
      </c>
      <c r="AA154" s="353">
        <f t="shared" si="114"/>
        <v>0</v>
      </c>
      <c r="AB154" s="353">
        <f t="shared" si="115"/>
        <v>0</v>
      </c>
      <c r="AC154" s="353">
        <f t="shared" si="110"/>
        <v>0</v>
      </c>
      <c r="AD154" s="353">
        <f t="shared" si="111"/>
        <v>0</v>
      </c>
      <c r="AE154" s="353">
        <f t="shared" si="112"/>
        <v>0</v>
      </c>
      <c r="AF154" s="353">
        <f t="shared" si="113"/>
        <v>0</v>
      </c>
      <c r="AU154" s="229" t="s">
        <v>323</v>
      </c>
      <c r="AV154" s="67"/>
      <c r="AW154" s="67"/>
      <c r="AX154" s="67"/>
      <c r="AY154" s="67"/>
      <c r="AZ154" s="67"/>
      <c r="BA154" s="67"/>
      <c r="BB154" s="67"/>
      <c r="BC154" s="67"/>
      <c r="BD154" s="67"/>
      <c r="BE154" s="67"/>
      <c r="BF154" s="67"/>
      <c r="BG154" s="83"/>
    </row>
    <row r="155" spans="1:59" ht="31.2" x14ac:dyDescent="0.3">
      <c r="A155" s="214" t="str">
        <f>'G-6 Hedgerow Data'!B8</f>
        <v>Native hedgerow - associated with bank or ditch</v>
      </c>
      <c r="B155" s="215" t="s">
        <v>1103</v>
      </c>
      <c r="C155" s="215" t="str">
        <f>'G-6 Hedgerow Data'!C8</f>
        <v>Medium</v>
      </c>
      <c r="D155" s="215" t="str">
        <f>'G-6 Hedgerow Data'!AH8</f>
        <v>Same distinctiveness band or better</v>
      </c>
      <c r="E155" s="353">
        <f>SUMIF('B-1 On-Site Hedge Baseline'!$D$10:$D$257,'G-2 Habitat groups'!A155,'B-1 On-Site Hedge Baseline'!$E$10:$E$257)</f>
        <v>0</v>
      </c>
      <c r="F155" s="353">
        <f>SUMIF('B-1 On-Site Hedge Baseline'!$D$10:$D$257,'G-2 Habitat groups'!A155,'B-1 On-Site Hedge Baseline'!$N$10:$N$257)</f>
        <v>0</v>
      </c>
      <c r="G155" s="353">
        <f>SUMIF('B-1 On-Site Hedge Baseline'!$D$10:$D$257,'G-2 Habitat groups'!A155,'B-1 On-Site Hedge Baseline'!$P$10:$P$257)</f>
        <v>0</v>
      </c>
      <c r="H155" s="353">
        <f>SUMIF('B-1 On-Site Hedge Baseline'!$D$10:$D$257,'G-2 Habitat groups'!A155,'B-1 On-Site Hedge Baseline'!$R$10:$R$257)</f>
        <v>0</v>
      </c>
      <c r="I155" s="353">
        <f>SUMIF('B-1 On-Site Hedge Baseline'!$D$10:$D$257,'G-2 Habitat groups'!A155,'B-1 On-Site Hedge Baseline'!$T$10:$T$257)</f>
        <v>0</v>
      </c>
      <c r="J155" s="353">
        <f>SUMIF('B-1 On-Site Hedge Baseline'!$D$10:$D$257,'G-2 Habitat groups'!A155,'B-1 On-Site Hedge Baseline'!$U$10:$U$257)</f>
        <v>0</v>
      </c>
      <c r="K155" s="353">
        <f>SUMIF('B-2 On-Site Hedge Creation'!$D$12:$D$259,'G-2 Habitat groups'!A155,'B-2 On-Site Hedge Creation'!$E$12:$E$259)</f>
        <v>0</v>
      </c>
      <c r="L155" s="353">
        <f>SUMIF('B-2 On-Site Hedge Creation'!$D$12:$D$259,'G-2 Habitat groups'!A155,'B-2 On-Site Hedge Creation'!$W$12:$W$259)</f>
        <v>0</v>
      </c>
      <c r="M155" s="353">
        <f>SUMIF('B-3 On-Site Hedge Enhancement'!$M$12:$M$257,'G-2 Habitat groups'!A155,'B-3 On-Site Hedge Enhancement'!$P$12:$P$257)</f>
        <v>0</v>
      </c>
      <c r="N155" s="353">
        <f>SUMIF('B-3 On-Site Hedge Enhancement'!$M$12:$M$257,'G-2 Habitat groups'!A155,'B-3 On-Site Hedge Enhancement'!$AH$12:$AH$257)</f>
        <v>0</v>
      </c>
      <c r="O155" s="353">
        <f t="shared" si="106"/>
        <v>0</v>
      </c>
      <c r="P155" s="353">
        <f t="shared" si="107"/>
        <v>0</v>
      </c>
      <c r="Q155" s="353">
        <f t="shared" si="108"/>
        <v>0</v>
      </c>
      <c r="R155" s="353">
        <f t="shared" si="109"/>
        <v>0</v>
      </c>
      <c r="S155" s="353">
        <f>SUMIF('E-1 Off-Site Hedge Baseline'!$D$10:$D$257,'G-2 Habitat groups'!A155,'E-1 Off-Site Hedge Baseline'!$E$10:$E$257)</f>
        <v>0</v>
      </c>
      <c r="T155" s="280">
        <f>SUMIF('E-1 Off-Site Hedge Baseline'!$D$10:$D$257,'G-2 Habitat groups'!A155,'E-1 Off-Site Hedge Baseline'!$Q$10:$Q$257)</f>
        <v>0</v>
      </c>
      <c r="U155" s="280">
        <f>SUMIF('E-1 Off-Site Hedge Baseline'!$D$10:$D$257,'G-2 Habitat groups'!A155,'E-1 Off-Site Hedge Baseline'!$S$10:$S$257)</f>
        <v>0</v>
      </c>
      <c r="V155" s="280">
        <f>SUMIF('E-1 Off-Site Hedge Baseline'!$D$10:$D$257,'G-2 Habitat groups'!A155,'E-1 Off-Site Hedge Baseline'!$U$10:$U$257)</f>
        <v>0</v>
      </c>
      <c r="W155" s="280">
        <f>SUMIF('E-2 Off-Site Hedge Creation'!$D$12:$D$259,'G-2 Habitat groups'!A155,'E-2 Off-Site Hedge Creation'!$E$12:$E$259)</f>
        <v>0</v>
      </c>
      <c r="X155" s="280">
        <f>SUMIF('E-2 Off-Site Hedge Creation'!$D$12:$D$259,'G-2 Habitat groups'!A155,'E-2 Off-Site Hedge Creation'!$Z$12:$Z$259)</f>
        <v>0</v>
      </c>
      <c r="Y155" s="280">
        <f>SUMIF('E-3 Off-Site Hedge Enhancement'!$M$12:$M$259,'G-2 Habitat groups'!A155,'E-3 Off-Site Hedge Enhancement'!$P$12:$P$259)</f>
        <v>0</v>
      </c>
      <c r="Z155" s="280">
        <f>SUMIF('E-3 Off-Site Hedge Enhancement'!$M$12:$M$259,'G-2 Habitat groups'!A155,'E-3 Off-Site Hedge Enhancement'!$AK$12:$AK$259)</f>
        <v>0</v>
      </c>
      <c r="AA155" s="353">
        <f t="shared" si="114"/>
        <v>0</v>
      </c>
      <c r="AB155" s="353">
        <f t="shared" si="115"/>
        <v>0</v>
      </c>
      <c r="AC155" s="353">
        <f t="shared" si="110"/>
        <v>0</v>
      </c>
      <c r="AD155" s="353">
        <f t="shared" si="111"/>
        <v>0</v>
      </c>
      <c r="AE155" s="353">
        <f t="shared" si="112"/>
        <v>0</v>
      </c>
      <c r="AF155" s="353">
        <f t="shared" si="113"/>
        <v>0</v>
      </c>
      <c r="AU155" s="188" t="s">
        <v>63</v>
      </c>
      <c r="AV155" s="188" t="s">
        <v>299</v>
      </c>
      <c r="AW155" s="418" t="s">
        <v>1068</v>
      </c>
      <c r="AX155" s="418" t="s">
        <v>1069</v>
      </c>
      <c r="AY155" s="418" t="s">
        <v>1070</v>
      </c>
      <c r="AZ155" s="418" t="s">
        <v>1071</v>
      </c>
      <c r="BA155" s="418" t="s">
        <v>1072</v>
      </c>
      <c r="BB155" s="418" t="s">
        <v>1073</v>
      </c>
      <c r="BC155" s="418" t="s">
        <v>1074</v>
      </c>
      <c r="BD155" s="89" t="s">
        <v>1075</v>
      </c>
      <c r="BE155" s="418" t="s">
        <v>1076</v>
      </c>
      <c r="BF155" s="89" t="s">
        <v>1084</v>
      </c>
    </row>
    <row r="156" spans="1:59" x14ac:dyDescent="0.25">
      <c r="A156" s="70" t="str">
        <f>'G-6 Hedgerow Data'!B9</f>
        <v>Native hedgerow with trees</v>
      </c>
      <c r="B156" s="62" t="s">
        <v>1103</v>
      </c>
      <c r="C156" s="62" t="str">
        <f>'G-6 Hedgerow Data'!C9</f>
        <v>Medium</v>
      </c>
      <c r="D156" s="62" t="str">
        <f>'G-6 Hedgerow Data'!AH9</f>
        <v>Same distinctiveness band or better</v>
      </c>
      <c r="E156" s="280">
        <f>SUMIF('B-1 On-Site Hedge Baseline'!$D$10:$D$257,'G-2 Habitat groups'!A156,'B-1 On-Site Hedge Baseline'!$E$10:$E$257)</f>
        <v>0</v>
      </c>
      <c r="F156" s="280">
        <f>SUMIF('B-1 On-Site Hedge Baseline'!$D$10:$D$257,'G-2 Habitat groups'!A156,'B-1 On-Site Hedge Baseline'!$N$10:$N$257)</f>
        <v>0</v>
      </c>
      <c r="G156" s="280">
        <f>SUMIF('B-1 On-Site Hedge Baseline'!$D$10:$D$257,'G-2 Habitat groups'!A156,'B-1 On-Site Hedge Baseline'!$P$10:$P$257)</f>
        <v>0</v>
      </c>
      <c r="H156" s="280">
        <f>SUMIF('B-1 On-Site Hedge Baseline'!$D$10:$D$257,'G-2 Habitat groups'!A156,'B-1 On-Site Hedge Baseline'!$R$10:$R$257)</f>
        <v>0</v>
      </c>
      <c r="I156" s="280">
        <f>SUMIF('B-1 On-Site Hedge Baseline'!$D$10:$D$257,'G-2 Habitat groups'!A156,'B-1 On-Site Hedge Baseline'!$T$10:$T$257)</f>
        <v>0</v>
      </c>
      <c r="J156" s="353">
        <f>SUMIF('B-1 On-Site Hedge Baseline'!$D$10:$D$257,'G-2 Habitat groups'!A156,'B-1 On-Site Hedge Baseline'!$U$10:$U$257)</f>
        <v>0</v>
      </c>
      <c r="K156" s="280">
        <f>SUMIF('B-2 On-Site Hedge Creation'!$D$12:$D$259,'G-2 Habitat groups'!A156,'B-2 On-Site Hedge Creation'!$E$12:$E$259)</f>
        <v>0</v>
      </c>
      <c r="L156" s="280">
        <f>SUMIF('B-2 On-Site Hedge Creation'!$D$12:$D$259,'G-2 Habitat groups'!A156,'B-2 On-Site Hedge Creation'!$W$12:$W$259)</f>
        <v>0</v>
      </c>
      <c r="M156" s="280">
        <f>SUMIF('B-3 On-Site Hedge Enhancement'!$M$12:$M$257,'G-2 Habitat groups'!A156,'B-3 On-Site Hedge Enhancement'!$P$12:$P$257)</f>
        <v>0</v>
      </c>
      <c r="N156" s="280">
        <f>SUMIF('B-3 On-Site Hedge Enhancement'!$M$12:$M$257,'G-2 Habitat groups'!A156,'B-3 On-Site Hedge Enhancement'!$AH$12:$AH$257)</f>
        <v>0</v>
      </c>
      <c r="O156" s="280">
        <f t="shared" si="106"/>
        <v>0</v>
      </c>
      <c r="P156" s="280">
        <f t="shared" si="107"/>
        <v>0</v>
      </c>
      <c r="Q156" s="280">
        <f t="shared" si="108"/>
        <v>0</v>
      </c>
      <c r="R156" s="280">
        <f t="shared" si="109"/>
        <v>0</v>
      </c>
      <c r="S156" s="280">
        <f>SUMIF('E-1 Off-Site Hedge Baseline'!$D$10:$D$257,'G-2 Habitat groups'!A156,'E-1 Off-Site Hedge Baseline'!$E$10:$E$257)</f>
        <v>0</v>
      </c>
      <c r="T156" s="280">
        <f>SUMIF('E-1 Off-Site Hedge Baseline'!$D$10:$D$257,'G-2 Habitat groups'!A156,'E-1 Off-Site Hedge Baseline'!$Q$10:$Q$257)</f>
        <v>0</v>
      </c>
      <c r="U156" s="280">
        <f>SUMIF('E-1 Off-Site Hedge Baseline'!$D$10:$D$257,'G-2 Habitat groups'!A156,'E-1 Off-Site Hedge Baseline'!$S$10:$S$257)</f>
        <v>0</v>
      </c>
      <c r="V156" s="280">
        <f>SUMIF('E-1 Off-Site Hedge Baseline'!$D$10:$D$257,'G-2 Habitat groups'!A156,'E-1 Off-Site Hedge Baseline'!$U$10:$U$257)</f>
        <v>0</v>
      </c>
      <c r="W156" s="280">
        <f>SUMIF('E-2 Off-Site Hedge Creation'!$D$12:$D$259,'G-2 Habitat groups'!A156,'E-2 Off-Site Hedge Creation'!$E$12:$E$259)</f>
        <v>0</v>
      </c>
      <c r="X156" s="280">
        <f>SUMIF('E-2 Off-Site Hedge Creation'!$D$12:$D$259,'G-2 Habitat groups'!A156,'E-2 Off-Site Hedge Creation'!$Z$12:$Z$259)</f>
        <v>0</v>
      </c>
      <c r="Y156" s="280">
        <f>SUMIF('E-3 Off-Site Hedge Enhancement'!$M$12:$M$259,'G-2 Habitat groups'!A156,'E-3 Off-Site Hedge Enhancement'!$P$12:$P$259)</f>
        <v>0</v>
      </c>
      <c r="Z156" s="280">
        <f>SUMIF('E-3 Off-Site Hedge Enhancement'!$M$12:$M$259,'G-2 Habitat groups'!A156,'E-3 Off-Site Hedge Enhancement'!$AK$12:$AK$259)</f>
        <v>0</v>
      </c>
      <c r="AA156" s="280">
        <f t="shared" si="114"/>
        <v>0</v>
      </c>
      <c r="AB156" s="280">
        <f t="shared" si="115"/>
        <v>0</v>
      </c>
      <c r="AC156" s="280">
        <f t="shared" si="110"/>
        <v>0</v>
      </c>
      <c r="AD156" s="280">
        <f t="shared" si="111"/>
        <v>0</v>
      </c>
      <c r="AE156" s="280">
        <f t="shared" si="112"/>
        <v>0</v>
      </c>
      <c r="AF156" s="280">
        <f t="shared" si="113"/>
        <v>0</v>
      </c>
      <c r="AU156" s="70" t="s">
        <v>805</v>
      </c>
      <c r="AV156" s="62" t="s">
        <v>120</v>
      </c>
      <c r="AW156" s="280">
        <f>VLOOKUP($AU156,AllHabsSummaryData,5,FALSE)</f>
        <v>0</v>
      </c>
      <c r="AX156" s="280">
        <f>VLOOKUP($AU156,AllHabsSummaryData,10,FALSE)</f>
        <v>0</v>
      </c>
      <c r="AY156" s="280">
        <f>VLOOKUP($AU156,AllHabsSummaryData,15,FALSE)</f>
        <v>0</v>
      </c>
      <c r="AZ156" s="280">
        <f>VLOOKUP($AU156,AllHabsSummaryData,16,FALSE)</f>
        <v>0</v>
      </c>
      <c r="BA156" s="280">
        <f>VLOOKUP($AU156,AllHabsSummaryData,17,FALSE)</f>
        <v>0</v>
      </c>
      <c r="BB156" s="280">
        <f>VLOOKUP($AU156,AllHabsSummaryData,18,FALSE)</f>
        <v>0</v>
      </c>
      <c r="BC156" s="280">
        <f>VLOOKUP($AU156,AllHabsSummaryData,27,FALSE)</f>
        <v>0</v>
      </c>
      <c r="BD156" s="280">
        <f>VLOOKUP($AU156,AllHabsSummaryData,30,FALSE)</f>
        <v>0</v>
      </c>
      <c r="BE156" s="280">
        <f>BB156+BD156</f>
        <v>0</v>
      </c>
      <c r="BF156" s="280" t="str">
        <f>IF(BE156&lt;0,BE156,"")</f>
        <v/>
      </c>
    </row>
    <row r="157" spans="1:59" x14ac:dyDescent="0.25">
      <c r="A157" s="70" t="str">
        <f>'G-6 Hedgerow Data'!B10</f>
        <v>Ecologically valuable line of trees</v>
      </c>
      <c r="B157" s="62" t="s">
        <v>1103</v>
      </c>
      <c r="C157" s="62" t="str">
        <f>'G-6 Hedgerow Data'!C10</f>
        <v>Medium</v>
      </c>
      <c r="D157" s="62" t="str">
        <f>'G-6 Hedgerow Data'!AH10</f>
        <v>Same distinctiveness band or better</v>
      </c>
      <c r="E157" s="280">
        <f>SUMIF('B-1 On-Site Hedge Baseline'!$D$10:$D$257,'G-2 Habitat groups'!A157,'B-1 On-Site Hedge Baseline'!$E$10:$E$257)</f>
        <v>0</v>
      </c>
      <c r="F157" s="280">
        <f>SUMIF('B-1 On-Site Hedge Baseline'!$D$10:$D$257,'G-2 Habitat groups'!A157,'B-1 On-Site Hedge Baseline'!$N$10:$N$257)</f>
        <v>0</v>
      </c>
      <c r="G157" s="280">
        <f>SUMIF('B-1 On-Site Hedge Baseline'!$D$10:$D$257,'G-2 Habitat groups'!A157,'B-1 On-Site Hedge Baseline'!$P$10:$P$257)</f>
        <v>0</v>
      </c>
      <c r="H157" s="280">
        <f>SUMIF('B-1 On-Site Hedge Baseline'!$D$10:$D$257,'G-2 Habitat groups'!A157,'B-1 On-Site Hedge Baseline'!$R$10:$R$257)</f>
        <v>0</v>
      </c>
      <c r="I157" s="280">
        <f>SUMIF('B-1 On-Site Hedge Baseline'!$D$10:$D$257,'G-2 Habitat groups'!A157,'B-1 On-Site Hedge Baseline'!$T$10:$T$257)</f>
        <v>0</v>
      </c>
      <c r="J157" s="353">
        <f>SUMIF('B-1 On-Site Hedge Baseline'!$D$10:$D$257,'G-2 Habitat groups'!A157,'B-1 On-Site Hedge Baseline'!$U$10:$U$257)</f>
        <v>0</v>
      </c>
      <c r="K157" s="280">
        <f>SUMIF('B-2 On-Site Hedge Creation'!$D$12:$D$259,'G-2 Habitat groups'!A157,'B-2 On-Site Hedge Creation'!$E$12:$E$259)</f>
        <v>0</v>
      </c>
      <c r="L157" s="280">
        <f>SUMIF('B-2 On-Site Hedge Creation'!$D$12:$D$259,'G-2 Habitat groups'!A157,'B-2 On-Site Hedge Creation'!$W$12:$W$259)</f>
        <v>0</v>
      </c>
      <c r="M157" s="280">
        <f>SUMIF('B-3 On-Site Hedge Enhancement'!$M$12:$M$257,'G-2 Habitat groups'!A157,'B-3 On-Site Hedge Enhancement'!$P$12:$P$257)</f>
        <v>0</v>
      </c>
      <c r="N157" s="280">
        <f>SUMIF('B-3 On-Site Hedge Enhancement'!$M$12:$M$257,'G-2 Habitat groups'!A157,'B-3 On-Site Hedge Enhancement'!$AH$12:$AH$257)</f>
        <v>0</v>
      </c>
      <c r="O157" s="280">
        <f t="shared" si="106"/>
        <v>0</v>
      </c>
      <c r="P157" s="280">
        <f t="shared" si="107"/>
        <v>0</v>
      </c>
      <c r="Q157" s="280">
        <f t="shared" si="108"/>
        <v>0</v>
      </c>
      <c r="R157" s="280">
        <f t="shared" si="109"/>
        <v>0</v>
      </c>
      <c r="S157" s="280">
        <f>SUMIF('E-1 Off-Site Hedge Baseline'!$D$10:$D$257,'G-2 Habitat groups'!A157,'E-1 Off-Site Hedge Baseline'!$E$10:$E$257)</f>
        <v>0</v>
      </c>
      <c r="T157" s="280">
        <f>SUMIF('E-1 Off-Site Hedge Baseline'!$D$10:$D$257,'G-2 Habitat groups'!A157,'E-1 Off-Site Hedge Baseline'!$Q$10:$Q$257)</f>
        <v>0</v>
      </c>
      <c r="U157" s="280">
        <f>SUMIF('E-1 Off-Site Hedge Baseline'!$D$10:$D$257,'G-2 Habitat groups'!A157,'E-1 Off-Site Hedge Baseline'!$S$10:$S$257)</f>
        <v>0</v>
      </c>
      <c r="V157" s="280">
        <f>SUMIF('E-1 Off-Site Hedge Baseline'!$D$10:$D$257,'G-2 Habitat groups'!A157,'E-1 Off-Site Hedge Baseline'!$U$10:$U$257)</f>
        <v>0</v>
      </c>
      <c r="W157" s="280">
        <f>SUMIF('E-2 Off-Site Hedge Creation'!$D$12:$D$259,'G-2 Habitat groups'!A157,'E-2 Off-Site Hedge Creation'!$E$12:$E$259)</f>
        <v>0</v>
      </c>
      <c r="X157" s="280">
        <f>SUMIF('E-2 Off-Site Hedge Creation'!$D$12:$D$259,'G-2 Habitat groups'!A157,'E-2 Off-Site Hedge Creation'!$Z$12:$Z$259)</f>
        <v>0</v>
      </c>
      <c r="Y157" s="280">
        <f>SUMIF('E-3 Off-Site Hedge Enhancement'!$M$12:$M$259,'G-2 Habitat groups'!A157,'E-3 Off-Site Hedge Enhancement'!$P$12:$P$259)</f>
        <v>0</v>
      </c>
      <c r="Z157" s="280">
        <f>SUMIF('E-3 Off-Site Hedge Enhancement'!$M$12:$M$259,'G-2 Habitat groups'!A157,'E-3 Off-Site Hedge Enhancement'!$AK$12:$AK$259)</f>
        <v>0</v>
      </c>
      <c r="AA157" s="280">
        <f t="shared" si="114"/>
        <v>0</v>
      </c>
      <c r="AB157" s="280">
        <f t="shared" si="115"/>
        <v>0</v>
      </c>
      <c r="AC157" s="280">
        <f t="shared" si="110"/>
        <v>0</v>
      </c>
      <c r="AD157" s="280">
        <f t="shared" si="111"/>
        <v>0</v>
      </c>
      <c r="AE157" s="280">
        <f t="shared" si="112"/>
        <v>0</v>
      </c>
      <c r="AF157" s="280">
        <f t="shared" si="113"/>
        <v>0</v>
      </c>
      <c r="AU157" s="70" t="s">
        <v>814</v>
      </c>
      <c r="AV157" s="62" t="s">
        <v>120</v>
      </c>
      <c r="AW157" s="280">
        <f>VLOOKUP($AU157,AllHabsSummaryData,5,FALSE)</f>
        <v>0</v>
      </c>
      <c r="AX157" s="280">
        <f>VLOOKUP($AU157,AllHabsSummaryData,10,FALSE)</f>
        <v>0</v>
      </c>
      <c r="AY157" s="280">
        <f>VLOOKUP($AU157,AllHabsSummaryData,15,FALSE)</f>
        <v>0</v>
      </c>
      <c r="AZ157" s="280">
        <f>VLOOKUP($AU157,AllHabsSummaryData,16,FALSE)</f>
        <v>0</v>
      </c>
      <c r="BA157" s="280">
        <f>VLOOKUP($AU157,AllHabsSummaryData,17,FALSE)</f>
        <v>0</v>
      </c>
      <c r="BB157" s="280">
        <f>VLOOKUP($AU157,AllHabsSummaryData,18,FALSE)</f>
        <v>0</v>
      </c>
      <c r="BC157" s="280">
        <f>VLOOKUP($AU157,AllHabsSummaryData,27,FALSE)</f>
        <v>0</v>
      </c>
      <c r="BD157" s="280">
        <f>VLOOKUP($AU157,AllHabsSummaryData,30,FALSE)</f>
        <v>0</v>
      </c>
      <c r="BE157" s="280">
        <f>BB157+BD157</f>
        <v>0</v>
      </c>
      <c r="BF157" s="280" t="str">
        <f>IF(BE157&lt;0,BE157,"")</f>
        <v/>
      </c>
    </row>
    <row r="158" spans="1:59" x14ac:dyDescent="0.25">
      <c r="A158" s="70" t="str">
        <f>'G-6 Hedgerow Data'!B11</f>
        <v>Ecologically valuable line of trees - associated with bank or ditch</v>
      </c>
      <c r="B158" s="62" t="s">
        <v>1103</v>
      </c>
      <c r="C158" s="62" t="str">
        <f>'G-6 Hedgerow Data'!C11</f>
        <v>Medium</v>
      </c>
      <c r="D158" s="62" t="str">
        <f>'G-6 Hedgerow Data'!AH11</f>
        <v>Same distinctiveness band or better</v>
      </c>
      <c r="E158" s="280">
        <f>SUMIF('B-1 On-Site Hedge Baseline'!$D$10:$D$257,'G-2 Habitat groups'!A158,'B-1 On-Site Hedge Baseline'!$E$10:$E$257)</f>
        <v>0</v>
      </c>
      <c r="F158" s="280">
        <f>SUMIF('B-1 On-Site Hedge Baseline'!$D$10:$D$257,'G-2 Habitat groups'!A158,'B-1 On-Site Hedge Baseline'!$N$10:$N$257)</f>
        <v>0</v>
      </c>
      <c r="G158" s="280">
        <f>SUMIF('B-1 On-Site Hedge Baseline'!$D$10:$D$257,'G-2 Habitat groups'!A158,'B-1 On-Site Hedge Baseline'!$P$10:$P$257)</f>
        <v>0</v>
      </c>
      <c r="H158" s="280">
        <f>SUMIF('B-1 On-Site Hedge Baseline'!$D$10:$D$257,'G-2 Habitat groups'!A158,'B-1 On-Site Hedge Baseline'!$R$10:$R$257)</f>
        <v>0</v>
      </c>
      <c r="I158" s="280">
        <f>SUMIF('B-1 On-Site Hedge Baseline'!$D$10:$D$257,'G-2 Habitat groups'!A158,'B-1 On-Site Hedge Baseline'!$T$10:$T$257)</f>
        <v>0</v>
      </c>
      <c r="J158" s="353">
        <f>SUMIF('B-1 On-Site Hedge Baseline'!$D$10:$D$257,'G-2 Habitat groups'!A158,'B-1 On-Site Hedge Baseline'!$U$10:$U$257)</f>
        <v>0</v>
      </c>
      <c r="K158" s="280">
        <f>SUMIF('B-2 On-Site Hedge Creation'!$D$12:$D$259,'G-2 Habitat groups'!A158,'B-2 On-Site Hedge Creation'!$E$12:$E$259)</f>
        <v>0</v>
      </c>
      <c r="L158" s="280">
        <f>SUMIF('B-2 On-Site Hedge Creation'!$D$12:$D$259,'G-2 Habitat groups'!A158,'B-2 On-Site Hedge Creation'!$W$12:$W$259)</f>
        <v>0</v>
      </c>
      <c r="M158" s="280">
        <f>SUMIF('B-3 On-Site Hedge Enhancement'!$M$12:$M$257,'G-2 Habitat groups'!A158,'B-3 On-Site Hedge Enhancement'!$P$12:$P$257)</f>
        <v>0</v>
      </c>
      <c r="N158" s="280">
        <f>SUMIF('B-3 On-Site Hedge Enhancement'!$M$12:$M$257,'G-2 Habitat groups'!A158,'B-3 On-Site Hedge Enhancement'!$AH$12:$AH$257)</f>
        <v>0</v>
      </c>
      <c r="O158" s="280">
        <f t="shared" si="106"/>
        <v>0</v>
      </c>
      <c r="P158" s="280">
        <f t="shared" si="107"/>
        <v>0</v>
      </c>
      <c r="Q158" s="280">
        <f t="shared" si="108"/>
        <v>0</v>
      </c>
      <c r="R158" s="280">
        <f t="shared" si="109"/>
        <v>0</v>
      </c>
      <c r="S158" s="280">
        <f>SUMIF('E-1 Off-Site Hedge Baseline'!$D$10:$D$257,'G-2 Habitat groups'!A158,'E-1 Off-Site Hedge Baseline'!$E$10:$E$257)</f>
        <v>0</v>
      </c>
      <c r="T158" s="280">
        <f>SUMIF('E-1 Off-Site Hedge Baseline'!$D$10:$D$257,'G-2 Habitat groups'!A158,'E-1 Off-Site Hedge Baseline'!$Q$10:$Q$257)</f>
        <v>0</v>
      </c>
      <c r="U158" s="280">
        <f>SUMIF('E-1 Off-Site Hedge Baseline'!$D$10:$D$257,'G-2 Habitat groups'!A158,'E-1 Off-Site Hedge Baseline'!$S$10:$S$257)</f>
        <v>0</v>
      </c>
      <c r="V158" s="280">
        <f>SUMIF('E-1 Off-Site Hedge Baseline'!$D$10:$D$257,'G-2 Habitat groups'!A158,'E-1 Off-Site Hedge Baseline'!$U$10:$U$257)</f>
        <v>0</v>
      </c>
      <c r="W158" s="280">
        <f>SUMIF('E-2 Off-Site Hedge Creation'!$D$12:$D$259,'G-2 Habitat groups'!A158,'E-2 Off-Site Hedge Creation'!$E$12:$E$259)</f>
        <v>0</v>
      </c>
      <c r="X158" s="280">
        <f>SUMIF('E-2 Off-Site Hedge Creation'!$D$12:$D$259,'G-2 Habitat groups'!A158,'E-2 Off-Site Hedge Creation'!$Z$12:$Z$259)</f>
        <v>0</v>
      </c>
      <c r="Y158" s="280">
        <f>SUMIF('E-3 Off-Site Hedge Enhancement'!$M$12:$M$259,'G-2 Habitat groups'!A158,'E-3 Off-Site Hedge Enhancement'!$P$12:$P$259)</f>
        <v>0</v>
      </c>
      <c r="Z158" s="280">
        <f>SUMIF('E-3 Off-Site Hedge Enhancement'!$M$12:$M$259,'G-2 Habitat groups'!A158,'E-3 Off-Site Hedge Enhancement'!$AK$12:$AK$259)</f>
        <v>0</v>
      </c>
      <c r="AA158" s="280">
        <f t="shared" si="114"/>
        <v>0</v>
      </c>
      <c r="AB158" s="280">
        <f t="shared" si="115"/>
        <v>0</v>
      </c>
      <c r="AC158" s="280">
        <f t="shared" si="110"/>
        <v>0</v>
      </c>
      <c r="AD158" s="280">
        <f t="shared" si="111"/>
        <v>0</v>
      </c>
      <c r="AE158" s="280">
        <f t="shared" si="112"/>
        <v>0</v>
      </c>
      <c r="AF158" s="280">
        <f t="shared" si="113"/>
        <v>0</v>
      </c>
      <c r="AU158" s="70" t="s">
        <v>819</v>
      </c>
      <c r="AV158" s="62" t="s">
        <v>120</v>
      </c>
      <c r="AW158" s="280">
        <f>VLOOKUP($AU158,AllHabsSummaryData,5,FALSE)</f>
        <v>4.48E-2</v>
      </c>
      <c r="AX158" s="280">
        <f>VLOOKUP($AU158,AllHabsSummaryData,10,FALSE)</f>
        <v>0</v>
      </c>
      <c r="AY158" s="280">
        <f>VLOOKUP($AU158,AllHabsSummaryData,15,FALSE)</f>
        <v>0.32450000000000001</v>
      </c>
      <c r="AZ158" s="280">
        <f>VLOOKUP($AU158,AllHabsSummaryData,16,FALSE)</f>
        <v>0</v>
      </c>
      <c r="BA158" s="280">
        <f>VLOOKUP($AU158,AllHabsSummaryData,17,FALSE)</f>
        <v>0.2797</v>
      </c>
      <c r="BB158" s="280">
        <f>VLOOKUP($AU158,AllHabsSummaryData,18,FALSE)</f>
        <v>0</v>
      </c>
      <c r="BC158" s="280">
        <f>VLOOKUP($AU158,AllHabsSummaryData,27,FALSE)</f>
        <v>0</v>
      </c>
      <c r="BD158" s="280">
        <f>VLOOKUP($AU158,AllHabsSummaryData,30,FALSE)</f>
        <v>0</v>
      </c>
      <c r="BE158" s="280">
        <f>BB158+BD158</f>
        <v>0</v>
      </c>
      <c r="BF158" s="280" t="str">
        <f>IF(BE158&lt;0,BE158,"")</f>
        <v/>
      </c>
    </row>
    <row r="159" spans="1:59" x14ac:dyDescent="0.25">
      <c r="A159" s="70" t="str">
        <f>'G-6 Hedgerow Data'!B12</f>
        <v>Native hedgerow</v>
      </c>
      <c r="B159" s="62" t="s">
        <v>1103</v>
      </c>
      <c r="C159" s="62" t="str">
        <f>'G-6 Hedgerow Data'!C12</f>
        <v>Low</v>
      </c>
      <c r="D159" s="62" t="str">
        <f>'G-6 Hedgerow Data'!AH12</f>
        <v>Same distinctiveness band or better</v>
      </c>
      <c r="E159" s="280">
        <f>SUMIF('B-1 On-Site Hedge Baseline'!$D$10:$D$257,'G-2 Habitat groups'!A159,'B-1 On-Site Hedge Baseline'!$E$10:$E$257)</f>
        <v>0.11</v>
      </c>
      <c r="F159" s="280">
        <f>SUMIF('B-1 On-Site Hedge Baseline'!$D$10:$D$257,'G-2 Habitat groups'!A159,'B-1 On-Site Hedge Baseline'!$N$10:$N$257)</f>
        <v>0.22</v>
      </c>
      <c r="G159" s="280">
        <f>SUMIF('B-1 On-Site Hedge Baseline'!$D$10:$D$257,'G-2 Habitat groups'!A159,'B-1 On-Site Hedge Baseline'!$P$10:$P$257)</f>
        <v>0</v>
      </c>
      <c r="H159" s="280">
        <f>SUMIF('B-1 On-Site Hedge Baseline'!$D$10:$D$257,'G-2 Habitat groups'!A159,'B-1 On-Site Hedge Baseline'!$R$10:$R$257)</f>
        <v>0</v>
      </c>
      <c r="I159" s="280">
        <f>SUMIF('B-1 On-Site Hedge Baseline'!$D$10:$D$257,'G-2 Habitat groups'!A159,'B-1 On-Site Hedge Baseline'!$T$10:$T$257)</f>
        <v>0</v>
      </c>
      <c r="J159" s="353">
        <f>SUMIF('B-1 On-Site Hedge Baseline'!$D$10:$D$257,'G-2 Habitat groups'!A159,'B-1 On-Site Hedge Baseline'!$U$10:$U$257)</f>
        <v>0</v>
      </c>
      <c r="K159" s="280">
        <f>SUMIF('B-2 On-Site Hedge Creation'!$D$12:$D$259,'G-2 Habitat groups'!A159,'B-2 On-Site Hedge Creation'!$E$12:$E$259)</f>
        <v>0</v>
      </c>
      <c r="L159" s="280">
        <f>SUMIF('B-2 On-Site Hedge Creation'!$D$12:$D$259,'G-2 Habitat groups'!A159,'B-2 On-Site Hedge Creation'!$W$12:$W$259)</f>
        <v>0</v>
      </c>
      <c r="M159" s="280">
        <f>SUMIF('B-3 On-Site Hedge Enhancement'!$M$12:$M$257,'G-2 Habitat groups'!A159,'B-3 On-Site Hedge Enhancement'!$P$12:$P$257)</f>
        <v>0.11</v>
      </c>
      <c r="N159" s="280">
        <f ca="1">SUMIF('B-3 On-Site Hedge Enhancement'!$M$12:$M$257,'G-2 Habitat groups'!A159,'B-3 On-Site Hedge Enhancement'!$AH$12:$AH$257)</f>
        <v>0.48035392762499995</v>
      </c>
      <c r="O159" s="280">
        <f t="shared" si="106"/>
        <v>0.11</v>
      </c>
      <c r="P159" s="280">
        <f t="shared" ca="1" si="107"/>
        <v>0.48035392762499995</v>
      </c>
      <c r="Q159" s="280">
        <f t="shared" si="108"/>
        <v>0</v>
      </c>
      <c r="R159" s="280">
        <f t="shared" ca="1" si="109"/>
        <v>0.26035392762499998</v>
      </c>
      <c r="S159" s="280">
        <f>SUMIF('E-1 Off-Site Hedge Baseline'!$D$10:$D$257,'G-2 Habitat groups'!A159,'E-1 Off-Site Hedge Baseline'!$E$10:$E$257)</f>
        <v>0</v>
      </c>
      <c r="T159" s="280">
        <f>SUMIF('E-1 Off-Site Hedge Baseline'!$D$10:$D$257,'G-2 Habitat groups'!A159,'E-1 Off-Site Hedge Baseline'!$Q$10:$Q$257)</f>
        <v>0</v>
      </c>
      <c r="U159" s="280">
        <f>SUMIF('E-1 Off-Site Hedge Baseline'!$D$10:$D$257,'G-2 Habitat groups'!A159,'E-1 Off-Site Hedge Baseline'!$S$10:$S$257)</f>
        <v>0</v>
      </c>
      <c r="V159" s="280">
        <f>SUMIF('E-1 Off-Site Hedge Baseline'!$D$10:$D$257,'G-2 Habitat groups'!A159,'E-1 Off-Site Hedge Baseline'!$U$10:$U$257)</f>
        <v>0</v>
      </c>
      <c r="W159" s="280">
        <f>SUMIF('E-2 Off-Site Hedge Creation'!$D$12:$D$259,'G-2 Habitat groups'!A159,'E-2 Off-Site Hedge Creation'!$E$12:$E$259)</f>
        <v>0</v>
      </c>
      <c r="X159" s="280">
        <f>SUMIF('E-2 Off-Site Hedge Creation'!$D$12:$D$259,'G-2 Habitat groups'!A159,'E-2 Off-Site Hedge Creation'!$Z$12:$Z$259)</f>
        <v>0</v>
      </c>
      <c r="Y159" s="280">
        <f>SUMIF('E-3 Off-Site Hedge Enhancement'!$M$12:$M$259,'G-2 Habitat groups'!A159,'E-3 Off-Site Hedge Enhancement'!$P$12:$P$259)</f>
        <v>0</v>
      </c>
      <c r="Z159" s="280">
        <f>SUMIF('E-3 Off-Site Hedge Enhancement'!$M$12:$M$259,'G-2 Habitat groups'!A159,'E-3 Off-Site Hedge Enhancement'!$AK$12:$AK$259)</f>
        <v>0</v>
      </c>
      <c r="AA159" s="280">
        <f t="shared" si="114"/>
        <v>0</v>
      </c>
      <c r="AB159" s="280">
        <f t="shared" si="115"/>
        <v>0</v>
      </c>
      <c r="AC159" s="280">
        <f t="shared" si="110"/>
        <v>0</v>
      </c>
      <c r="AD159" s="280">
        <f t="shared" si="111"/>
        <v>0</v>
      </c>
      <c r="AE159" s="280">
        <f t="shared" si="112"/>
        <v>0</v>
      </c>
      <c r="AF159" s="280">
        <f t="shared" ca="1" si="113"/>
        <v>0.26035392762499998</v>
      </c>
      <c r="AU159" s="70" t="s">
        <v>846</v>
      </c>
      <c r="AV159" s="62" t="s">
        <v>120</v>
      </c>
      <c r="AW159" s="280">
        <f>VLOOKUP($AU159,AllHabsSummaryData,5,FALSE)</f>
        <v>0</v>
      </c>
      <c r="AX159" s="280">
        <f>VLOOKUP($AU159,AllHabsSummaryData,10,FALSE)</f>
        <v>0</v>
      </c>
      <c r="AY159" s="280">
        <f>VLOOKUP($AU159,AllHabsSummaryData,15,FALSE)</f>
        <v>0</v>
      </c>
      <c r="AZ159" s="280">
        <f>VLOOKUP($AU159,AllHabsSummaryData,16,FALSE)</f>
        <v>0</v>
      </c>
      <c r="BA159" s="280">
        <f>VLOOKUP($AU159,AllHabsSummaryData,17,FALSE)</f>
        <v>0</v>
      </c>
      <c r="BB159" s="280">
        <f>VLOOKUP($AU159,AllHabsSummaryData,18,FALSE)</f>
        <v>0</v>
      </c>
      <c r="BC159" s="280">
        <f>VLOOKUP($AU159,AllHabsSummaryData,27,FALSE)</f>
        <v>0</v>
      </c>
      <c r="BD159" s="280">
        <f>VLOOKUP($AU159,AllHabsSummaryData,30,FALSE)</f>
        <v>0</v>
      </c>
      <c r="BE159" s="280">
        <f>BB159+BD159</f>
        <v>0</v>
      </c>
      <c r="BF159" s="280" t="str">
        <f>IF(BE159&lt;0,BE159,"")</f>
        <v/>
      </c>
    </row>
    <row r="160" spans="1:59" x14ac:dyDescent="0.25">
      <c r="A160" s="70" t="str">
        <f>'G-6 Hedgerow Data'!B13</f>
        <v>Line of trees</v>
      </c>
      <c r="B160" s="62" t="s">
        <v>1103</v>
      </c>
      <c r="C160" s="62" t="str">
        <f>'G-6 Hedgerow Data'!C13</f>
        <v>Low</v>
      </c>
      <c r="D160" s="62" t="str">
        <f>'G-6 Hedgerow Data'!AH13</f>
        <v>Same distinctiveness band or better</v>
      </c>
      <c r="E160" s="280">
        <f>SUMIF('B-1 On-Site Hedge Baseline'!$D$10:$D$257,'G-2 Habitat groups'!A160,'B-1 On-Site Hedge Baseline'!$E$10:$E$257)</f>
        <v>0</v>
      </c>
      <c r="F160" s="280">
        <f>SUMIF('B-1 On-Site Hedge Baseline'!$D$10:$D$257,'G-2 Habitat groups'!A160,'B-1 On-Site Hedge Baseline'!$N$10:$N$257)</f>
        <v>0</v>
      </c>
      <c r="G160" s="280">
        <f>SUMIF('B-1 On-Site Hedge Baseline'!$D$10:$D$257,'G-2 Habitat groups'!A160,'B-1 On-Site Hedge Baseline'!$P$10:$P$257)</f>
        <v>0</v>
      </c>
      <c r="H160" s="280">
        <f>SUMIF('B-1 On-Site Hedge Baseline'!$D$10:$D$257,'G-2 Habitat groups'!A160,'B-1 On-Site Hedge Baseline'!$R$10:$R$257)</f>
        <v>0</v>
      </c>
      <c r="I160" s="280">
        <f>SUMIF('B-1 On-Site Hedge Baseline'!$D$10:$D$257,'G-2 Habitat groups'!A160,'B-1 On-Site Hedge Baseline'!$T$10:$T$257)</f>
        <v>0</v>
      </c>
      <c r="J160" s="353">
        <f>SUMIF('B-1 On-Site Hedge Baseline'!$D$10:$D$257,'G-2 Habitat groups'!A160,'B-1 On-Site Hedge Baseline'!$U$10:$U$257)</f>
        <v>0</v>
      </c>
      <c r="K160" s="280">
        <f>SUMIF('B-2 On-Site Hedge Creation'!$D$12:$D$259,'G-2 Habitat groups'!A160,'B-2 On-Site Hedge Creation'!$E$12:$E$259)</f>
        <v>0</v>
      </c>
      <c r="L160" s="280">
        <f>SUMIF('B-2 On-Site Hedge Creation'!$D$12:$D$259,'G-2 Habitat groups'!A160,'B-2 On-Site Hedge Creation'!$W$12:$W$259)</f>
        <v>0</v>
      </c>
      <c r="M160" s="280">
        <f>SUMIF('B-3 On-Site Hedge Enhancement'!$M$12:$M$257,'G-2 Habitat groups'!A160,'B-3 On-Site Hedge Enhancement'!$P$12:$P$257)</f>
        <v>0</v>
      </c>
      <c r="N160" s="280">
        <f>SUMIF('B-3 On-Site Hedge Enhancement'!$M$12:$M$257,'G-2 Habitat groups'!A160,'B-3 On-Site Hedge Enhancement'!$AH$12:$AH$257)</f>
        <v>0</v>
      </c>
      <c r="O160" s="280">
        <f t="shared" si="106"/>
        <v>0</v>
      </c>
      <c r="P160" s="280">
        <f t="shared" si="107"/>
        <v>0</v>
      </c>
      <c r="Q160" s="280">
        <f t="shared" si="108"/>
        <v>0</v>
      </c>
      <c r="R160" s="280">
        <f t="shared" si="109"/>
        <v>0</v>
      </c>
      <c r="S160" s="280">
        <f>SUMIF('E-1 Off-Site Hedge Baseline'!$D$10:$D$257,'G-2 Habitat groups'!A160,'E-1 Off-Site Hedge Baseline'!$E$10:$E$257)</f>
        <v>0</v>
      </c>
      <c r="T160" s="280">
        <f>SUMIF('E-1 Off-Site Hedge Baseline'!$D$10:$D$257,'G-2 Habitat groups'!A160,'E-1 Off-Site Hedge Baseline'!$Q$10:$Q$257)</f>
        <v>0</v>
      </c>
      <c r="U160" s="280">
        <f>SUMIF('E-1 Off-Site Hedge Baseline'!$D$10:$D$257,'G-2 Habitat groups'!A160,'E-1 Off-Site Hedge Baseline'!$S$10:$S$257)</f>
        <v>0</v>
      </c>
      <c r="V160" s="280">
        <f>SUMIF('E-1 Off-Site Hedge Baseline'!$D$10:$D$257,'G-2 Habitat groups'!A160,'E-1 Off-Site Hedge Baseline'!$U$10:$U$257)</f>
        <v>0</v>
      </c>
      <c r="W160" s="280">
        <f>SUMIF('E-2 Off-Site Hedge Creation'!$D$12:$D$259,'G-2 Habitat groups'!A160,'E-2 Off-Site Hedge Creation'!$E$12:$E$259)</f>
        <v>0</v>
      </c>
      <c r="X160" s="280">
        <f>SUMIF('E-2 Off-Site Hedge Creation'!$D$12:$D$259,'G-2 Habitat groups'!A160,'E-2 Off-Site Hedge Creation'!$Z$12:$Z$259)</f>
        <v>0</v>
      </c>
      <c r="Y160" s="280">
        <f>SUMIF('E-3 Off-Site Hedge Enhancement'!$M$12:$M$259,'G-2 Habitat groups'!A160,'E-3 Off-Site Hedge Enhancement'!$P$12:$P$259)</f>
        <v>0</v>
      </c>
      <c r="Z160" s="280">
        <f>SUMIF('E-3 Off-Site Hedge Enhancement'!$M$12:$M$259,'G-2 Habitat groups'!A160,'E-3 Off-Site Hedge Enhancement'!$AK$12:$AK$259)</f>
        <v>0</v>
      </c>
      <c r="AA160" s="280">
        <f t="shared" si="114"/>
        <v>0</v>
      </c>
      <c r="AB160" s="280">
        <f t="shared" si="115"/>
        <v>0</v>
      </c>
      <c r="AC160" s="280">
        <f t="shared" si="110"/>
        <v>0</v>
      </c>
      <c r="AD160" s="280">
        <f t="shared" si="111"/>
        <v>0</v>
      </c>
      <c r="AE160" s="280">
        <f t="shared" si="112"/>
        <v>0</v>
      </c>
      <c r="AF160" s="280">
        <f t="shared" si="113"/>
        <v>0</v>
      </c>
    </row>
    <row r="161" spans="1:32" x14ac:dyDescent="0.25">
      <c r="A161" s="70" t="str">
        <f>'G-6 Hedgerow Data'!B14</f>
        <v>Line of trees - associated with bank or ditch</v>
      </c>
      <c r="B161" s="62" t="s">
        <v>1103</v>
      </c>
      <c r="C161" s="62" t="str">
        <f>'G-6 Hedgerow Data'!C14</f>
        <v>Low</v>
      </c>
      <c r="D161" s="62" t="str">
        <f>'G-6 Hedgerow Data'!AH14</f>
        <v>Same distinctiveness band or better</v>
      </c>
      <c r="E161" s="280">
        <f>SUMIF('B-1 On-Site Hedge Baseline'!$D$10:$D$257,'G-2 Habitat groups'!A161,'B-1 On-Site Hedge Baseline'!$E$10:$E$257)</f>
        <v>0</v>
      </c>
      <c r="F161" s="280">
        <f>SUMIF('B-1 On-Site Hedge Baseline'!$D$10:$D$257,'G-2 Habitat groups'!A161,'B-1 On-Site Hedge Baseline'!$N$10:$N$257)</f>
        <v>0</v>
      </c>
      <c r="G161" s="280">
        <f>SUMIF('B-1 On-Site Hedge Baseline'!$D$10:$D$257,'G-2 Habitat groups'!A161,'B-1 On-Site Hedge Baseline'!$P$10:$P$257)</f>
        <v>0</v>
      </c>
      <c r="H161" s="280">
        <f>SUMIF('B-1 On-Site Hedge Baseline'!$D$10:$D$257,'G-2 Habitat groups'!A161,'B-1 On-Site Hedge Baseline'!$R$10:$R$257)</f>
        <v>0</v>
      </c>
      <c r="I161" s="280">
        <f>SUMIF('B-1 On-Site Hedge Baseline'!$D$10:$D$257,'G-2 Habitat groups'!A161,'B-1 On-Site Hedge Baseline'!$T$10:$T$257)</f>
        <v>0</v>
      </c>
      <c r="J161" s="353">
        <f>SUMIF('B-1 On-Site Hedge Baseline'!$D$10:$D$257,'G-2 Habitat groups'!A161,'B-1 On-Site Hedge Baseline'!$U$10:$U$257)</f>
        <v>0</v>
      </c>
      <c r="K161" s="280">
        <f>SUMIF('B-2 On-Site Hedge Creation'!$D$12:$D$259,'G-2 Habitat groups'!A161,'B-2 On-Site Hedge Creation'!$E$12:$E$259)</f>
        <v>0</v>
      </c>
      <c r="L161" s="280">
        <f>SUMIF('B-2 On-Site Hedge Creation'!$D$12:$D$259,'G-2 Habitat groups'!A161,'B-2 On-Site Hedge Creation'!$W$12:$W$259)</f>
        <v>0</v>
      </c>
      <c r="M161" s="280">
        <f>SUMIF('B-3 On-Site Hedge Enhancement'!$M$12:$M$257,'G-2 Habitat groups'!A161,'B-3 On-Site Hedge Enhancement'!$P$12:$P$257)</f>
        <v>0</v>
      </c>
      <c r="N161" s="280">
        <f>SUMIF('B-3 On-Site Hedge Enhancement'!$M$12:$M$257,'G-2 Habitat groups'!A161,'B-3 On-Site Hedge Enhancement'!$AH$12:$AH$257)</f>
        <v>0</v>
      </c>
      <c r="O161" s="280">
        <f t="shared" si="106"/>
        <v>0</v>
      </c>
      <c r="P161" s="280">
        <f t="shared" si="107"/>
        <v>0</v>
      </c>
      <c r="Q161" s="280">
        <f t="shared" si="108"/>
        <v>0</v>
      </c>
      <c r="R161" s="280">
        <f t="shared" si="109"/>
        <v>0</v>
      </c>
      <c r="S161" s="280">
        <f>SUMIF('E-1 Off-Site Hedge Baseline'!$D$10:$D$257,'G-2 Habitat groups'!A161,'E-1 Off-Site Hedge Baseline'!$E$10:$E$257)</f>
        <v>0</v>
      </c>
      <c r="T161" s="280">
        <f>SUMIF('E-1 Off-Site Hedge Baseline'!$D$10:$D$257,'G-2 Habitat groups'!A161,'E-1 Off-Site Hedge Baseline'!$Q$10:$Q$257)</f>
        <v>0</v>
      </c>
      <c r="U161" s="280">
        <f>SUMIF('E-1 Off-Site Hedge Baseline'!$D$10:$D$257,'G-2 Habitat groups'!A161,'E-1 Off-Site Hedge Baseline'!$S$10:$S$257)</f>
        <v>0</v>
      </c>
      <c r="V161" s="280">
        <f>SUMIF('E-1 Off-Site Hedge Baseline'!$D$10:$D$257,'G-2 Habitat groups'!A161,'E-1 Off-Site Hedge Baseline'!$U$10:$U$257)</f>
        <v>0</v>
      </c>
      <c r="W161" s="280">
        <f>SUMIF('E-2 Off-Site Hedge Creation'!$D$12:$D$259,'G-2 Habitat groups'!A161,'E-2 Off-Site Hedge Creation'!$E$12:$E$259)</f>
        <v>0</v>
      </c>
      <c r="X161" s="280">
        <f>SUMIF('E-2 Off-Site Hedge Creation'!$D$12:$D$259,'G-2 Habitat groups'!A161,'E-2 Off-Site Hedge Creation'!$Z$12:$Z$259)</f>
        <v>0</v>
      </c>
      <c r="Y161" s="280">
        <f>SUMIF('E-3 Off-Site Hedge Enhancement'!$M$12:$M$259,'G-2 Habitat groups'!A161,'E-3 Off-Site Hedge Enhancement'!$P$12:$P$259)</f>
        <v>0</v>
      </c>
      <c r="Z161" s="280">
        <f>SUMIF('E-3 Off-Site Hedge Enhancement'!$M$12:$M$259,'G-2 Habitat groups'!A161,'E-3 Off-Site Hedge Enhancement'!$AK$12:$AK$259)</f>
        <v>0</v>
      </c>
      <c r="AA161" s="280">
        <f t="shared" si="114"/>
        <v>0</v>
      </c>
      <c r="AB161" s="280">
        <f t="shared" si="115"/>
        <v>0</v>
      </c>
      <c r="AC161" s="280">
        <f t="shared" si="110"/>
        <v>0</v>
      </c>
      <c r="AD161" s="280">
        <f t="shared" si="111"/>
        <v>0</v>
      </c>
      <c r="AE161" s="280">
        <f t="shared" si="112"/>
        <v>0</v>
      </c>
      <c r="AF161" s="280">
        <f t="shared" si="113"/>
        <v>0</v>
      </c>
    </row>
    <row r="162" spans="1:32" x14ac:dyDescent="0.25">
      <c r="A162" s="70" t="str">
        <f>'G-6 Hedgerow Data'!B15</f>
        <v>Non-native and ornamental hedgerow</v>
      </c>
      <c r="B162" s="62" t="s">
        <v>1103</v>
      </c>
      <c r="C162" s="62" t="str">
        <f>'G-6 Hedgerow Data'!C15</f>
        <v>V.Low</v>
      </c>
      <c r="D162" s="62" t="str">
        <f>'G-6 Hedgerow Data'!AH15</f>
        <v>Same distinctiveness band or better</v>
      </c>
      <c r="E162" s="280">
        <f>SUMIF('B-1 On-Site Hedge Baseline'!$D$10:$D$257,'G-2 Habitat groups'!A162,'B-1 On-Site Hedge Baseline'!$E$10:$E$257)</f>
        <v>1.2999999999999999E-2</v>
      </c>
      <c r="F162" s="280">
        <f>SUMIF('B-1 On-Site Hedge Baseline'!$D$10:$D$257,'G-2 Habitat groups'!A162,'B-1 On-Site Hedge Baseline'!$N$10:$N$257)</f>
        <v>1.2999999999999999E-2</v>
      </c>
      <c r="G162" s="280">
        <f>SUMIF('B-1 On-Site Hedge Baseline'!$D$10:$D$257,'G-2 Habitat groups'!A162,'B-1 On-Site Hedge Baseline'!$P$10:$P$257)</f>
        <v>0</v>
      </c>
      <c r="H162" s="280">
        <f>SUMIF('B-1 On-Site Hedge Baseline'!$D$10:$D$257,'G-2 Habitat groups'!A162,'B-1 On-Site Hedge Baseline'!$R$10:$R$257)</f>
        <v>0</v>
      </c>
      <c r="I162" s="280">
        <f>SUMIF('B-1 On-Site Hedge Baseline'!$D$10:$D$257,'G-2 Habitat groups'!A162,'B-1 On-Site Hedge Baseline'!$T$10:$T$257)</f>
        <v>1.2999999999999999E-2</v>
      </c>
      <c r="J162" s="353">
        <f>SUMIF('B-1 On-Site Hedge Baseline'!$D$10:$D$257,'G-2 Habitat groups'!A162,'B-1 On-Site Hedge Baseline'!$U$10:$U$257)</f>
        <v>1.2999999999999999E-2</v>
      </c>
      <c r="K162" s="280">
        <f>SUMIF('B-2 On-Site Hedge Creation'!$D$12:$D$259,'G-2 Habitat groups'!A162,'B-2 On-Site Hedge Creation'!$E$12:$E$259)</f>
        <v>3.6999999999999998E-2</v>
      </c>
      <c r="L162" s="280">
        <f>SUMIF('B-2 On-Site Hedge Creation'!$D$12:$D$259,'G-2 Habitat groups'!A162,'B-2 On-Site Hedge Creation'!$W$12:$W$259)</f>
        <v>4.1060749999999993E-2</v>
      </c>
      <c r="M162" s="280">
        <f>SUMIF('B-3 On-Site Hedge Enhancement'!$M$12:$M$257,'G-2 Habitat groups'!A162,'B-3 On-Site Hedge Enhancement'!$P$12:$P$257)</f>
        <v>0</v>
      </c>
      <c r="N162" s="280">
        <f>SUMIF('B-3 On-Site Hedge Enhancement'!$M$12:$M$257,'G-2 Habitat groups'!A162,'B-3 On-Site Hedge Enhancement'!$AH$12:$AH$257)</f>
        <v>0</v>
      </c>
      <c r="O162" s="280">
        <f t="shared" si="106"/>
        <v>3.6999999999999998E-2</v>
      </c>
      <c r="P162" s="280">
        <f t="shared" si="107"/>
        <v>4.1060749999999993E-2</v>
      </c>
      <c r="Q162" s="280">
        <f t="shared" si="108"/>
        <v>2.4E-2</v>
      </c>
      <c r="R162" s="280">
        <f t="shared" si="109"/>
        <v>2.8060749999999995E-2</v>
      </c>
      <c r="S162" s="280">
        <f>SUMIF('E-1 Off-Site Hedge Baseline'!$D$10:$D$257,'G-2 Habitat groups'!A162,'E-1 Off-Site Hedge Baseline'!$E$10:$E$257)</f>
        <v>0</v>
      </c>
      <c r="T162" s="280">
        <f>SUMIF('E-1 Off-Site Hedge Baseline'!$D$10:$D$257,'G-2 Habitat groups'!A162,'E-1 Off-Site Hedge Baseline'!$Q$10:$Q$257)</f>
        <v>0</v>
      </c>
      <c r="U162" s="280">
        <f>SUMIF('E-1 Off-Site Hedge Baseline'!$D$10:$D$257,'G-2 Habitat groups'!A162,'E-1 Off-Site Hedge Baseline'!$S$10:$S$257)</f>
        <v>0</v>
      </c>
      <c r="V162" s="280">
        <f>SUMIF('E-1 Off-Site Hedge Baseline'!$D$10:$D$257,'G-2 Habitat groups'!A162,'E-1 Off-Site Hedge Baseline'!$U$10:$U$257)</f>
        <v>0</v>
      </c>
      <c r="W162" s="280">
        <f>SUMIF('E-2 Off-Site Hedge Creation'!$D$12:$D$259,'G-2 Habitat groups'!A162,'E-2 Off-Site Hedge Creation'!$E$12:$E$259)</f>
        <v>0</v>
      </c>
      <c r="X162" s="280">
        <f>SUMIF('E-2 Off-Site Hedge Creation'!$D$12:$D$259,'G-2 Habitat groups'!A162,'E-2 Off-Site Hedge Creation'!$Z$12:$Z$259)</f>
        <v>0</v>
      </c>
      <c r="Y162" s="280">
        <f>SUMIF('E-3 Off-Site Hedge Enhancement'!$M$12:$M$259,'G-2 Habitat groups'!A162,'E-3 Off-Site Hedge Enhancement'!$P$12:$P$259)</f>
        <v>0</v>
      </c>
      <c r="Z162" s="280">
        <f>SUMIF('E-3 Off-Site Hedge Enhancement'!$M$12:$M$259,'G-2 Habitat groups'!A162,'E-3 Off-Site Hedge Enhancement'!$AK$12:$AK$259)</f>
        <v>0</v>
      </c>
      <c r="AA162" s="280">
        <f t="shared" si="114"/>
        <v>0</v>
      </c>
      <c r="AB162" s="280">
        <f t="shared" si="115"/>
        <v>0</v>
      </c>
      <c r="AC162" s="280">
        <f t="shared" si="110"/>
        <v>0</v>
      </c>
      <c r="AD162" s="280">
        <f t="shared" si="111"/>
        <v>0</v>
      </c>
      <c r="AE162" s="280">
        <f t="shared" si="112"/>
        <v>2.4E-2</v>
      </c>
      <c r="AF162" s="280">
        <f t="shared" si="113"/>
        <v>2.8060749999999995E-2</v>
      </c>
    </row>
    <row r="167" spans="1:32" ht="27.6" x14ac:dyDescent="0.45">
      <c r="A167" s="213" t="s">
        <v>50</v>
      </c>
    </row>
    <row r="170" spans="1:32" ht="22.8" x14ac:dyDescent="0.4">
      <c r="A170" s="68">
        <v>1</v>
      </c>
      <c r="B170" s="68">
        <v>2</v>
      </c>
      <c r="C170" s="68">
        <v>3</v>
      </c>
      <c r="D170" s="68">
        <v>4</v>
      </c>
      <c r="E170" s="68">
        <v>5</v>
      </c>
      <c r="F170" s="68">
        <v>6</v>
      </c>
      <c r="G170" s="68">
        <v>7</v>
      </c>
      <c r="H170" s="68">
        <v>8</v>
      </c>
      <c r="I170" s="68">
        <v>9</v>
      </c>
      <c r="J170" s="68">
        <v>10</v>
      </c>
      <c r="K170" s="68">
        <v>11</v>
      </c>
      <c r="L170" s="68">
        <v>12</v>
      </c>
      <c r="M170" s="68">
        <v>13</v>
      </c>
      <c r="N170" s="68">
        <v>14</v>
      </c>
      <c r="O170" s="68">
        <v>15</v>
      </c>
      <c r="P170" s="68">
        <v>16</v>
      </c>
      <c r="Q170" s="68">
        <v>17</v>
      </c>
      <c r="R170" s="68">
        <v>18</v>
      </c>
      <c r="S170" s="68">
        <v>19</v>
      </c>
      <c r="T170" s="68">
        <v>20</v>
      </c>
      <c r="U170" s="68">
        <v>21</v>
      </c>
      <c r="V170" s="68">
        <v>22</v>
      </c>
      <c r="W170" s="68">
        <v>23</v>
      </c>
      <c r="X170" s="68">
        <v>24</v>
      </c>
      <c r="Y170" s="68">
        <v>25</v>
      </c>
      <c r="Z170" s="68">
        <v>26</v>
      </c>
      <c r="AA170" s="68">
        <v>27</v>
      </c>
      <c r="AB170" s="68">
        <v>28</v>
      </c>
      <c r="AC170" s="68">
        <v>29</v>
      </c>
      <c r="AD170" s="68">
        <v>30</v>
      </c>
      <c r="AE170" s="68">
        <v>31</v>
      </c>
      <c r="AF170" s="68">
        <v>32</v>
      </c>
    </row>
    <row r="171" spans="1:32" ht="69" x14ac:dyDescent="0.25">
      <c r="A171" s="69" t="s">
        <v>1104</v>
      </c>
      <c r="B171" s="69" t="s">
        <v>299</v>
      </c>
      <c r="C171" s="69" t="s">
        <v>395</v>
      </c>
      <c r="D171" s="69" t="s">
        <v>1034</v>
      </c>
      <c r="E171" s="69" t="s">
        <v>1087</v>
      </c>
      <c r="F171" s="69" t="s">
        <v>1036</v>
      </c>
      <c r="G171" s="69" t="s">
        <v>1088</v>
      </c>
      <c r="H171" s="69" t="s">
        <v>1089</v>
      </c>
      <c r="I171" s="69" t="s">
        <v>1105</v>
      </c>
      <c r="J171" s="69" t="s">
        <v>1106</v>
      </c>
      <c r="K171" s="69" t="s">
        <v>1091</v>
      </c>
      <c r="L171" s="69" t="s">
        <v>1042</v>
      </c>
      <c r="M171" s="69" t="s">
        <v>1092</v>
      </c>
      <c r="N171" s="69" t="s">
        <v>1044</v>
      </c>
      <c r="O171" s="69" t="s">
        <v>1093</v>
      </c>
      <c r="P171" s="69" t="s">
        <v>1046</v>
      </c>
      <c r="Q171" s="69" t="s">
        <v>1094</v>
      </c>
      <c r="R171" s="69" t="s">
        <v>1048</v>
      </c>
      <c r="S171" s="69" t="s">
        <v>1095</v>
      </c>
      <c r="T171" s="69" t="s">
        <v>1050</v>
      </c>
      <c r="U171" s="69" t="s">
        <v>1096</v>
      </c>
      <c r="V171" s="69" t="s">
        <v>1052</v>
      </c>
      <c r="W171" s="69" t="s">
        <v>1097</v>
      </c>
      <c r="X171" s="69" t="s">
        <v>1054</v>
      </c>
      <c r="Y171" s="69" t="s">
        <v>1098</v>
      </c>
      <c r="Z171" s="69" t="s">
        <v>1099</v>
      </c>
      <c r="AA171" s="69" t="s">
        <v>1100</v>
      </c>
      <c r="AB171" s="69" t="s">
        <v>1058</v>
      </c>
      <c r="AC171" s="69" t="s">
        <v>1101</v>
      </c>
      <c r="AD171" s="69" t="s">
        <v>1060</v>
      </c>
      <c r="AE171" s="69" t="s">
        <v>1102</v>
      </c>
      <c r="AF171" s="69" t="s">
        <v>1062</v>
      </c>
    </row>
    <row r="172" spans="1:32" x14ac:dyDescent="0.25">
      <c r="A172" s="70" t="str">
        <f>'G-7 WaterC'' Data'!B4</f>
        <v>Priority habitat</v>
      </c>
      <c r="B172" s="62" t="s">
        <v>50</v>
      </c>
      <c r="C172" s="62" t="str">
        <f>'G-7 WaterC'' Data'!C4</f>
        <v>V.High</v>
      </c>
      <c r="D172" s="62" t="str">
        <f>'G-7 WaterC'' Data'!AU4</f>
        <v>Loss Unacceptable</v>
      </c>
      <c r="E172" s="280">
        <f>SUMIF('C-1 On-Site WaterC'' Baseline'!$D$10:$D$257,'G-2 Habitat groups'!A172,'C-1 On-Site WaterC'' Baseline'!$E$10:$E$257)</f>
        <v>0</v>
      </c>
      <c r="F172" s="280">
        <f>SUMIF('C-1 On-Site WaterC'' Baseline'!$D$10:$D$257,'G-2 Habitat groups'!A172,'C-1 On-Site WaterC'' Baseline'!$R$10:$R$257)</f>
        <v>0</v>
      </c>
      <c r="G172" s="280">
        <f>SUMIF('C-1 On-Site WaterC'' Baseline'!$D$10:$D$257,'G-2 Habitat groups'!A172,'C-1 On-Site WaterC'' Baseline'!$U$10:$U$257)</f>
        <v>0</v>
      </c>
      <c r="H172" s="280">
        <f>SUMIF('C-1 On-Site WaterC'' Baseline'!$D$10:$D$257,'G-2 Habitat groups'!A172,'C-1 On-Site WaterC'' Baseline'!$W$10:$W$257)+SUMIF('C-1 On-Site WaterC'' Baseline'!$D$10:$D$257,'G-2 Habitat groups'!A172,'C-1 On-Site WaterC'' Baseline'!$AT$10:$AT$257)</f>
        <v>0</v>
      </c>
      <c r="I172" s="280">
        <f>SUMIF('C-1 On-Site WaterC'' Baseline'!$D$10:$D$257,'G-2 Habitat groups'!A172,'C-1 On-Site WaterC'' Baseline'!$Y$10:$Y$257)</f>
        <v>0</v>
      </c>
      <c r="J172" s="280">
        <f>SUMIF('C-1 On-Site WaterC'' Baseline'!$D$10:$D$257,'G-2 Habitat groups'!A172,'C-1 On-Site WaterC'' Baseline'!$Z$10:$Z$257)</f>
        <v>0</v>
      </c>
      <c r="K172" s="280">
        <f>SUMIF('C-2 On-Site WaterC'' Creation'!$C$10:$C$257,'G-2 Habitat groups'!A172,'C-2 On-Site WaterC'' Creation'!$D$10:$D$257)</f>
        <v>0</v>
      </c>
      <c r="L172" s="280">
        <f>SUMIF('C-2 On-Site WaterC'' Creation'!$C$10:$C$257,'G-2 Habitat groups'!A172,'C-2 On-Site WaterC'' Creation'!$Z$10:$Z$257)</f>
        <v>0</v>
      </c>
      <c r="M172" s="280">
        <f>SUMIF('C-3 On-Site WaterC'' Enhancement'!$N$12:$N$257,'G-2 Habitat groups'!A172,'C-3 On-Site WaterC'' Enhancement'!$Q$12:$Q$257)</f>
        <v>0</v>
      </c>
      <c r="N172" s="280">
        <f>SUMIF('C-3 On-Site WaterC'' Enhancement'!$N$12:$N$257,'G-2 Habitat groups'!A172,'C-3 On-Site WaterC'' Enhancement'!$AM$12:$AM$257)</f>
        <v>0</v>
      </c>
      <c r="O172" s="280">
        <f t="shared" ref="O172:P176" si="116">G172+K172+M172</f>
        <v>0</v>
      </c>
      <c r="P172" s="280">
        <f t="shared" si="116"/>
        <v>0</v>
      </c>
      <c r="Q172" s="280">
        <f t="shared" ref="Q172:R176" si="117">O172-E172</f>
        <v>0</v>
      </c>
      <c r="R172" s="280">
        <f t="shared" si="117"/>
        <v>0</v>
      </c>
      <c r="S172" s="280">
        <f>SUMIF('F-1 Off-Site WaterC'' Baseline'!$D$10:$D$257,'G-2 Habitat groups'!A172,'F-1 Off-Site WaterC'' Baseline'!$E$10:$E$257)</f>
        <v>0.14899999999999999</v>
      </c>
      <c r="T172" s="280">
        <f>SUMIF('F-1 Off-Site WaterC'' Baseline'!$D$10:$D$257,'G-2 Habitat groups'!A172,'F-1 Off-Site WaterC'' Baseline'!$U$10:$U$257)</f>
        <v>1.598868</v>
      </c>
      <c r="U172" s="280">
        <f>SUMIF('F-1 Off-Site WaterC'' Baseline'!$D$10:$D$257,'G-2 Habitat groups'!A172,'F-1 Off-Site WaterC'' Baseline'!$X$10:$X$257)</f>
        <v>0</v>
      </c>
      <c r="V172" s="280">
        <f>SUMIF('F-1 Off-Site WaterC'' Baseline'!$D$10:$D$257,'G-2 Habitat groups'!A172,'F-1 Off-Site WaterC'' Baseline'!$Z$10:$Z$257)+SUMIF('F-1 Off-Site WaterC'' Baseline'!$D$10:$D$257,'G-2 Habitat groups'!A172,'F-1 Off-Site WaterC'' Baseline'!$AT$10:$AT$257)</f>
        <v>0</v>
      </c>
      <c r="W172" s="280">
        <f>SUMIF('F-2 Off-Site WaterC'' Creation'!$C$12:$C$259,'G-2 Habitat groups'!A172,'F-2 Off-Site WaterC'' Creation'!$D$12:$D$259)</f>
        <v>0</v>
      </c>
      <c r="X172" s="280">
        <f>SUMIF('F-2 Off-Site WaterC'' Creation'!$C$12:$C$259,'G-2 Habitat groups'!A172,'F-2 Off-Site WaterC'' Creation'!$AC$12:$AC$259)</f>
        <v>0</v>
      </c>
      <c r="Y172" s="280">
        <f>SUMIF('F-3 Off-Site WaterC Enhancement'!$N$12:$N$259,'G-2 Habitat groups'!A172,'F-3 Off-Site WaterC Enhancement'!$Q$12:$Q$259)</f>
        <v>0.14899999999999999</v>
      </c>
      <c r="Z172" s="280">
        <f>SUMIF('F-3 Off-Site WaterC Enhancement'!$N$12:$N$259,'G-2 Habitat groups'!A172,'F-3 Off-Site WaterC Enhancement'!$AP$12:$AP$259)</f>
        <v>1.8646560000000001</v>
      </c>
      <c r="AA172" s="280">
        <f t="shared" ref="AA172:AB176" si="118">U172+W172+Y172</f>
        <v>0.14899999999999999</v>
      </c>
      <c r="AB172" s="280">
        <f t="shared" si="118"/>
        <v>1.8646560000000001</v>
      </c>
      <c r="AC172" s="280">
        <f t="shared" ref="AC172:AD176" si="119">AA172-S172</f>
        <v>0</v>
      </c>
      <c r="AD172" s="280">
        <f t="shared" si="119"/>
        <v>0.26578800000000014</v>
      </c>
      <c r="AE172" s="280">
        <f t="shared" ref="AE172:AF176" si="120">Q172+AC172</f>
        <v>0</v>
      </c>
      <c r="AF172" s="280">
        <f t="shared" si="120"/>
        <v>0.26578800000000014</v>
      </c>
    </row>
    <row r="173" spans="1:32" x14ac:dyDescent="0.25">
      <c r="A173" s="70" t="str">
        <f>'G-7 WaterC'' Data'!B5</f>
        <v>Other rivers and streams</v>
      </c>
      <c r="B173" s="62" t="s">
        <v>50</v>
      </c>
      <c r="C173" s="62" t="str">
        <f>'G-7 WaterC'' Data'!C5</f>
        <v>High</v>
      </c>
      <c r="D173" s="62" t="str">
        <f>'G-7 WaterC'' Data'!AU5</f>
        <v>Avoid</v>
      </c>
      <c r="E173" s="280">
        <f>SUMIF('C-1 On-Site WaterC'' Baseline'!$D$10:$D$257,'G-2 Habitat groups'!A173,'C-1 On-Site WaterC'' Baseline'!$E$10:$E$257)</f>
        <v>0</v>
      </c>
      <c r="F173" s="280">
        <f>SUMIF('C-1 On-Site WaterC'' Baseline'!$D$10:$D$257,'G-2 Habitat groups'!A173,'C-1 On-Site WaterC'' Baseline'!$R$10:$R$257)</f>
        <v>0</v>
      </c>
      <c r="G173" s="280">
        <f>SUMIF('C-1 On-Site WaterC'' Baseline'!$D$10:$D$257,'G-2 Habitat groups'!A173,'C-1 On-Site WaterC'' Baseline'!$U$10:$U$257)</f>
        <v>0</v>
      </c>
      <c r="H173" s="280">
        <f>SUMIF('C-1 On-Site WaterC'' Baseline'!$D$10:$D$257,'G-2 Habitat groups'!A173,'C-1 On-Site WaterC'' Baseline'!$W$10:$W$257)</f>
        <v>0</v>
      </c>
      <c r="I173" s="280">
        <f>SUMIF('C-1 On-Site WaterC'' Baseline'!$D$10:$D$257,'G-2 Habitat groups'!A173,'C-1 On-Site WaterC'' Baseline'!$Y$10:$Y$257)</f>
        <v>0</v>
      </c>
      <c r="J173" s="280">
        <f>SUMIF('C-1 On-Site WaterC'' Baseline'!$D$10:$D$257,'G-2 Habitat groups'!A173,'C-1 On-Site WaterC'' Baseline'!$Z$10:$Z$257)</f>
        <v>0</v>
      </c>
      <c r="K173" s="280">
        <f>SUMIF('C-2 On-Site WaterC'' Creation'!$C$10:$C$257,'G-2 Habitat groups'!A173,'C-2 On-Site WaterC'' Creation'!$D$10:$D$257)</f>
        <v>0</v>
      </c>
      <c r="L173" s="280">
        <f>SUMIF('C-2 On-Site WaterC'' Creation'!$C$10:$C$257,'G-2 Habitat groups'!A173,'C-2 On-Site WaterC'' Creation'!$Z$10:$Z$257)</f>
        <v>0</v>
      </c>
      <c r="M173" s="280">
        <f>SUMIF('C-3 On-Site WaterC'' Enhancement'!$N$12:$N$257,'G-2 Habitat groups'!A173,'C-3 On-Site WaterC'' Enhancement'!$Q$12:$Q$257)</f>
        <v>0</v>
      </c>
      <c r="N173" s="280">
        <f>SUMIF('C-3 On-Site WaterC'' Enhancement'!$N$12:$N$257,'G-2 Habitat groups'!A173,'C-3 On-Site WaterC'' Enhancement'!$AM$12:$AM$257)</f>
        <v>0</v>
      </c>
      <c r="O173" s="280">
        <f t="shared" si="116"/>
        <v>0</v>
      </c>
      <c r="P173" s="280">
        <f t="shared" si="116"/>
        <v>0</v>
      </c>
      <c r="Q173" s="280">
        <f t="shared" si="117"/>
        <v>0</v>
      </c>
      <c r="R173" s="280">
        <f t="shared" si="117"/>
        <v>0</v>
      </c>
      <c r="S173" s="280">
        <f>SUMIF('F-1 Off-Site WaterC'' Baseline'!$D$10:$D$257,'G-2 Habitat groups'!A173,'F-1 Off-Site WaterC'' Baseline'!$E$10:$E$257)</f>
        <v>0</v>
      </c>
      <c r="T173" s="280">
        <f>SUMIF('F-1 Off-Site WaterC'' Baseline'!$D$10:$D$257,'G-2 Habitat groups'!A173,'F-1 Off-Site WaterC'' Baseline'!$U$10:$U$257)</f>
        <v>0</v>
      </c>
      <c r="U173" s="280">
        <f>SUMIF('F-1 Off-Site WaterC'' Baseline'!$D$10:$D$257,'G-2 Habitat groups'!A173,'F-1 Off-Site WaterC'' Baseline'!$X$10:$X$257)</f>
        <v>0</v>
      </c>
      <c r="V173" s="280">
        <f>SUMIF('F-1 Off-Site WaterC'' Baseline'!$D$10:$D$257,'G-2 Habitat groups'!A173,'F-1 Off-Site WaterC'' Baseline'!$Z$10:$Z$257)</f>
        <v>0</v>
      </c>
      <c r="W173" s="280">
        <f>SUMIF('F-2 Off-Site WaterC'' Creation'!$C$12:$C$259,'G-2 Habitat groups'!A173,'F-2 Off-Site WaterC'' Creation'!$D$12:$D$259)</f>
        <v>0</v>
      </c>
      <c r="X173" s="280">
        <f>SUMIF('F-2 Off-Site WaterC'' Creation'!$C$12:$C$259,'G-2 Habitat groups'!A173,'F-2 Off-Site WaterC'' Creation'!$AC$12:$AC$259)</f>
        <v>0</v>
      </c>
      <c r="Y173" s="280">
        <f>SUMIF('F-3 Off-Site WaterC Enhancement'!$N$12:$N$259,'G-2 Habitat groups'!A173,'F-3 Off-Site WaterC Enhancement'!$Q$12:$Q$259)</f>
        <v>0</v>
      </c>
      <c r="Z173" s="280">
        <f>SUMIF('F-3 Off-Site WaterC Enhancement'!$N$12:$N$259,'G-2 Habitat groups'!A173,'F-3 Off-Site WaterC Enhancement'!$AP$12:$AP$259)</f>
        <v>0</v>
      </c>
      <c r="AA173" s="280">
        <f t="shared" si="118"/>
        <v>0</v>
      </c>
      <c r="AB173" s="280">
        <f t="shared" si="118"/>
        <v>0</v>
      </c>
      <c r="AC173" s="280">
        <f t="shared" si="119"/>
        <v>0</v>
      </c>
      <c r="AD173" s="280">
        <f t="shared" si="119"/>
        <v>0</v>
      </c>
      <c r="AE173" s="280">
        <f t="shared" si="120"/>
        <v>0</v>
      </c>
      <c r="AF173" s="280">
        <f t="shared" si="120"/>
        <v>0</v>
      </c>
    </row>
    <row r="174" spans="1:32" x14ac:dyDescent="0.25">
      <c r="A174" s="70" t="str">
        <f>'G-7 WaterC'' Data'!B6</f>
        <v>Ditches</v>
      </c>
      <c r="B174" s="62" t="s">
        <v>50</v>
      </c>
      <c r="C174" s="62" t="str">
        <f>'G-7 WaterC'' Data'!C6</f>
        <v>Medium</v>
      </c>
      <c r="D174" s="62" t="str">
        <f>'G-7 WaterC'' Data'!AU6</f>
        <v>Avoid, Mitigate or Compensate</v>
      </c>
      <c r="E174" s="280">
        <f>SUMIF('C-1 On-Site WaterC'' Baseline'!$D$10:$D$257,'G-2 Habitat groups'!A174,'C-1 On-Site WaterC'' Baseline'!$E$10:$E$257)</f>
        <v>0</v>
      </c>
      <c r="F174" s="280">
        <f>SUMIF('C-1 On-Site WaterC'' Baseline'!$D$10:$D$257,'G-2 Habitat groups'!A174,'C-1 On-Site WaterC'' Baseline'!$R$10:$R$257)</f>
        <v>0</v>
      </c>
      <c r="G174" s="280">
        <f>SUMIF('C-1 On-Site WaterC'' Baseline'!$D$10:$D$257,'G-2 Habitat groups'!A174,'C-1 On-Site WaterC'' Baseline'!$U$10:$U$257)</f>
        <v>0</v>
      </c>
      <c r="H174" s="280">
        <f>SUMIF('C-1 On-Site WaterC'' Baseline'!$D$10:$D$257,'G-2 Habitat groups'!A174,'C-1 On-Site WaterC'' Baseline'!$W$10:$W$257)</f>
        <v>0</v>
      </c>
      <c r="I174" s="280">
        <f>SUMIF('C-1 On-Site WaterC'' Baseline'!$D$10:$D$257,'G-2 Habitat groups'!A174,'C-1 On-Site WaterC'' Baseline'!$Y$10:$Y$257)</f>
        <v>0</v>
      </c>
      <c r="J174" s="280">
        <f>SUMIF('C-1 On-Site WaterC'' Baseline'!$D$10:$D$257,'G-2 Habitat groups'!A174,'C-1 On-Site WaterC'' Baseline'!$Z$10:$Z$257)</f>
        <v>0</v>
      </c>
      <c r="K174" s="280">
        <f>SUMIF('C-2 On-Site WaterC'' Creation'!$C$10:$C$257,'G-2 Habitat groups'!A174,'C-2 On-Site WaterC'' Creation'!$D$10:$D$257)</f>
        <v>0</v>
      </c>
      <c r="L174" s="280">
        <f>SUMIF('C-2 On-Site WaterC'' Creation'!$C$10:$C$257,'G-2 Habitat groups'!A174,'C-2 On-Site WaterC'' Creation'!$Z$10:$Z$257)</f>
        <v>0</v>
      </c>
      <c r="M174" s="280">
        <f>SUMIF('C-3 On-Site WaterC'' Enhancement'!$N$12:$N$257,'G-2 Habitat groups'!A174,'C-3 On-Site WaterC'' Enhancement'!$Q$12:$Q$257)</f>
        <v>0</v>
      </c>
      <c r="N174" s="280">
        <f>SUMIF('C-3 On-Site WaterC'' Enhancement'!$N$12:$N$257,'G-2 Habitat groups'!A174,'C-3 On-Site WaterC'' Enhancement'!$AM$12:$AM$257)</f>
        <v>0</v>
      </c>
      <c r="O174" s="280">
        <f t="shared" si="116"/>
        <v>0</v>
      </c>
      <c r="P174" s="280">
        <f t="shared" si="116"/>
        <v>0</v>
      </c>
      <c r="Q174" s="280">
        <f t="shared" si="117"/>
        <v>0</v>
      </c>
      <c r="R174" s="280">
        <f t="shared" si="117"/>
        <v>0</v>
      </c>
      <c r="S174" s="280">
        <f>SUMIF('F-1 Off-Site WaterC'' Baseline'!$D$10:$D$257,'G-2 Habitat groups'!A174,'F-1 Off-Site WaterC'' Baseline'!$E$10:$E$257)</f>
        <v>0</v>
      </c>
      <c r="T174" s="280">
        <f>SUMIF('F-1 Off-Site WaterC'' Baseline'!$D$10:$D$257,'G-2 Habitat groups'!A174,'F-1 Off-Site WaterC'' Baseline'!$U$10:$U$257)</f>
        <v>0</v>
      </c>
      <c r="U174" s="280">
        <f>SUMIF('F-1 Off-Site WaterC'' Baseline'!$D$10:$D$257,'G-2 Habitat groups'!A174,'F-1 Off-Site WaterC'' Baseline'!$X$10:$X$257)</f>
        <v>0</v>
      </c>
      <c r="V174" s="280">
        <f>SUMIF('F-1 Off-Site WaterC'' Baseline'!$D$10:$D$257,'G-2 Habitat groups'!A174,'F-1 Off-Site WaterC'' Baseline'!$Z$10:$Z$257)</f>
        <v>0</v>
      </c>
      <c r="W174" s="280">
        <f>SUMIF('F-2 Off-Site WaterC'' Creation'!$C$12:$C$259,'G-2 Habitat groups'!A174,'F-2 Off-Site WaterC'' Creation'!$D$12:$D$259)</f>
        <v>0</v>
      </c>
      <c r="X174" s="280">
        <f>SUMIF('F-2 Off-Site WaterC'' Creation'!$C$12:$C$259,'G-2 Habitat groups'!A174,'F-2 Off-Site WaterC'' Creation'!$AC$12:$AC$259)</f>
        <v>0</v>
      </c>
      <c r="Y174" s="280">
        <f>SUMIF('F-3 Off-Site WaterC Enhancement'!$N$12:$N$259,'G-2 Habitat groups'!A174,'F-3 Off-Site WaterC Enhancement'!$Q$12:$Q$259)</f>
        <v>0</v>
      </c>
      <c r="Z174" s="280">
        <f>SUMIF('F-3 Off-Site WaterC Enhancement'!$N$12:$N$259,'G-2 Habitat groups'!A174,'F-3 Off-Site WaterC Enhancement'!$AP$12:$AP$259)</f>
        <v>0</v>
      </c>
      <c r="AA174" s="280">
        <f t="shared" si="118"/>
        <v>0</v>
      </c>
      <c r="AB174" s="280">
        <f t="shared" si="118"/>
        <v>0</v>
      </c>
      <c r="AC174" s="280">
        <f t="shared" si="119"/>
        <v>0</v>
      </c>
      <c r="AD174" s="280">
        <f t="shared" si="119"/>
        <v>0</v>
      </c>
      <c r="AE174" s="280">
        <f t="shared" si="120"/>
        <v>0</v>
      </c>
      <c r="AF174" s="280">
        <f t="shared" si="120"/>
        <v>0</v>
      </c>
    </row>
    <row r="175" spans="1:32" x14ac:dyDescent="0.25">
      <c r="A175" s="70" t="str">
        <f>'G-7 WaterC'' Data'!B7</f>
        <v>Canals</v>
      </c>
      <c r="B175" s="62" t="s">
        <v>50</v>
      </c>
      <c r="C175" s="62" t="str">
        <f>'G-7 WaterC'' Data'!C7</f>
        <v>Medium</v>
      </c>
      <c r="D175" s="62" t="str">
        <f>'G-7 WaterC'' Data'!AU6</f>
        <v>Avoid, Mitigate or Compensate</v>
      </c>
      <c r="E175" s="280">
        <f>SUMIF('C-1 On-Site WaterC'' Baseline'!$D$10:$D$257,'G-2 Habitat groups'!A175,'C-1 On-Site WaterC'' Baseline'!$E$10:$E$257)</f>
        <v>0</v>
      </c>
      <c r="F175" s="280">
        <f>SUMIF('C-1 On-Site WaterC'' Baseline'!$D$10:$D$257,'G-2 Habitat groups'!A175,'C-1 On-Site WaterC'' Baseline'!$R$10:$R$257)</f>
        <v>0</v>
      </c>
      <c r="G175" s="280">
        <f>SUMIF('C-1 On-Site WaterC'' Baseline'!$D$10:$D$257,'G-2 Habitat groups'!A175,'C-1 On-Site WaterC'' Baseline'!$U$10:$U$257)</f>
        <v>0</v>
      </c>
      <c r="H175" s="280">
        <f>SUMIF('C-1 On-Site WaterC'' Baseline'!$D$10:$D$257,'G-2 Habitat groups'!A175,'C-1 On-Site WaterC'' Baseline'!$W$10:$W$257)</f>
        <v>0</v>
      </c>
      <c r="I175" s="280">
        <f>SUMIF('C-1 On-Site WaterC'' Baseline'!$D$10:$D$257,'G-2 Habitat groups'!A175,'C-1 On-Site WaterC'' Baseline'!$Y$10:$Y$257)</f>
        <v>0</v>
      </c>
      <c r="J175" s="280">
        <f>SUMIF('C-1 On-Site WaterC'' Baseline'!$D$10:$D$257,'G-2 Habitat groups'!A175,'C-1 On-Site WaterC'' Baseline'!$Z$10:$Z$257)</f>
        <v>0</v>
      </c>
      <c r="K175" s="280">
        <f>SUMIF('C-2 On-Site WaterC'' Creation'!$C$10:$C$257,'G-2 Habitat groups'!A175,'C-2 On-Site WaterC'' Creation'!$D$10:$D$257)</f>
        <v>0</v>
      </c>
      <c r="L175" s="280">
        <f>SUMIF('C-2 On-Site WaterC'' Creation'!$C$10:$C$257,'G-2 Habitat groups'!A175,'C-2 On-Site WaterC'' Creation'!$Z$10:$Z$257)</f>
        <v>0</v>
      </c>
      <c r="M175" s="280">
        <f>SUMIF('C-3 On-Site WaterC'' Enhancement'!$N$12:$N$257,'G-2 Habitat groups'!A175,'C-3 On-Site WaterC'' Enhancement'!$Q$12:$Q$257)</f>
        <v>0</v>
      </c>
      <c r="N175" s="280">
        <f>SUMIF('C-3 On-Site WaterC'' Enhancement'!$N$12:$N$257,'G-2 Habitat groups'!A175,'C-3 On-Site WaterC'' Enhancement'!$AM$12:$AM$257)</f>
        <v>0</v>
      </c>
      <c r="O175" s="280">
        <f t="shared" si="116"/>
        <v>0</v>
      </c>
      <c r="P175" s="280">
        <f t="shared" si="116"/>
        <v>0</v>
      </c>
      <c r="Q175" s="280">
        <f t="shared" si="117"/>
        <v>0</v>
      </c>
      <c r="R175" s="280">
        <f t="shared" si="117"/>
        <v>0</v>
      </c>
      <c r="S175" s="280">
        <f>SUMIF('F-1 Off-Site WaterC'' Baseline'!$D$10:$D$257,'G-2 Habitat groups'!A175,'F-1 Off-Site WaterC'' Baseline'!$E$10:$E$257)</f>
        <v>0</v>
      </c>
      <c r="T175" s="280">
        <f>SUMIF('F-1 Off-Site WaterC'' Baseline'!$D$10:$D$257,'G-2 Habitat groups'!A175,'F-1 Off-Site WaterC'' Baseline'!$U$10:$U$257)</f>
        <v>0</v>
      </c>
      <c r="U175" s="280">
        <f>SUMIF('F-1 Off-Site WaterC'' Baseline'!$D$10:$D$257,'G-2 Habitat groups'!A175,'F-1 Off-Site WaterC'' Baseline'!$X$10:$X$257)</f>
        <v>0</v>
      </c>
      <c r="V175" s="280">
        <f>SUMIF('F-1 Off-Site WaterC'' Baseline'!$D$10:$D$257,'G-2 Habitat groups'!A175,'F-1 Off-Site WaterC'' Baseline'!$Z$10:$Z$257)</f>
        <v>0</v>
      </c>
      <c r="W175" s="280">
        <f>SUMIF('F-2 Off-Site WaterC'' Creation'!$C$12:$C$259,'G-2 Habitat groups'!A175,'F-2 Off-Site WaterC'' Creation'!$D$12:$D$259)</f>
        <v>0</v>
      </c>
      <c r="X175" s="280">
        <f>SUMIF('F-2 Off-Site WaterC'' Creation'!$C$12:$C$259,'G-2 Habitat groups'!A175,'F-2 Off-Site WaterC'' Creation'!$AC$12:$AC$259)</f>
        <v>0</v>
      </c>
      <c r="Y175" s="280">
        <f>SUMIF('F-3 Off-Site WaterC Enhancement'!$N$12:$N$259,'G-2 Habitat groups'!A175,'F-3 Off-Site WaterC Enhancement'!$Q$12:$Q$259)</f>
        <v>0</v>
      </c>
      <c r="Z175" s="280">
        <f>SUMIF('F-3 Off-Site WaterC Enhancement'!$N$12:$N$259,'G-2 Habitat groups'!A175,'F-3 Off-Site WaterC Enhancement'!$AP$12:$AP$259)</f>
        <v>0</v>
      </c>
      <c r="AA175" s="280">
        <f t="shared" si="118"/>
        <v>0</v>
      </c>
      <c r="AB175" s="280">
        <f t="shared" si="118"/>
        <v>0</v>
      </c>
      <c r="AC175" s="280">
        <f t="shared" si="119"/>
        <v>0</v>
      </c>
      <c r="AD175" s="280">
        <f t="shared" si="119"/>
        <v>0</v>
      </c>
      <c r="AE175" s="280">
        <f t="shared" si="120"/>
        <v>0</v>
      </c>
      <c r="AF175" s="280">
        <f t="shared" si="120"/>
        <v>0</v>
      </c>
    </row>
    <row r="176" spans="1:32" x14ac:dyDescent="0.25">
      <c r="A176" s="70" t="str">
        <f>'G-7 WaterC'' Data'!B8</f>
        <v>Culvert</v>
      </c>
      <c r="B176" s="62" t="s">
        <v>50</v>
      </c>
      <c r="C176" s="62" t="str">
        <f>'G-7 WaterC'' Data'!C8</f>
        <v>Low</v>
      </c>
      <c r="D176" s="62" t="str">
        <f>'G-7 WaterC'' Data'!AU7</f>
        <v>Mitigate or Compensate</v>
      </c>
      <c r="E176" s="280">
        <f>SUMIF('C-1 On-Site WaterC'' Baseline'!$D$10:$D$257,'G-2 Habitat groups'!A176,'C-1 On-Site WaterC'' Baseline'!$E$10:$E$257)</f>
        <v>0</v>
      </c>
      <c r="F176" s="280">
        <f>SUMIF('C-1 On-Site WaterC'' Baseline'!$D$10:$D$257,'G-2 Habitat groups'!A176,'C-1 On-Site WaterC'' Baseline'!$R$10:$R$257)</f>
        <v>0</v>
      </c>
      <c r="G176" s="280">
        <f>SUMIF('C-1 On-Site WaterC'' Baseline'!$D$10:$D$257,'G-2 Habitat groups'!A176,'C-1 On-Site WaterC'' Baseline'!$U$10:$U$257)</f>
        <v>0</v>
      </c>
      <c r="H176" s="280">
        <f>SUMIF('C-1 On-Site WaterC'' Baseline'!$D$10:$D$257,'G-2 Habitat groups'!A176,'C-1 On-Site WaterC'' Baseline'!$W$10:$W$257)</f>
        <v>0</v>
      </c>
      <c r="I176" s="280">
        <f>SUMIF('C-1 On-Site WaterC'' Baseline'!$D$10:$D$257,'G-2 Habitat groups'!A176,'C-1 On-Site WaterC'' Baseline'!$Y$10:$Y$257)</f>
        <v>0</v>
      </c>
      <c r="J176" s="280">
        <f>SUMIF('C-1 On-Site WaterC'' Baseline'!$D$10:$D$257,'G-2 Habitat groups'!A176,'C-1 On-Site WaterC'' Baseline'!$Z$10:$Z$257)</f>
        <v>0</v>
      </c>
      <c r="K176" s="280">
        <f>SUMIF('C-2 On-Site WaterC'' Creation'!$C$10:$C$257,'G-2 Habitat groups'!A176,'C-2 On-Site WaterC'' Creation'!$D$10:$D$257)</f>
        <v>0</v>
      </c>
      <c r="L176" s="280">
        <f>SUMIF('C-2 On-Site WaterC'' Creation'!$C$10:$C$257,'G-2 Habitat groups'!A176,'C-2 On-Site WaterC'' Creation'!$Z$10:$Z$257)</f>
        <v>0</v>
      </c>
      <c r="M176" s="280">
        <f>SUMIF('C-3 On-Site WaterC'' Enhancement'!$N$12:$N$257,'G-2 Habitat groups'!A176,'C-3 On-Site WaterC'' Enhancement'!$Q$12:$Q$257)</f>
        <v>0</v>
      </c>
      <c r="N176" s="280">
        <f>SUMIF('C-3 On-Site WaterC'' Enhancement'!$N$12:$N$257,'G-2 Habitat groups'!A176,'C-3 On-Site WaterC'' Enhancement'!$AM$12:$AM$257)</f>
        <v>0</v>
      </c>
      <c r="O176" s="353">
        <f t="shared" si="116"/>
        <v>0</v>
      </c>
      <c r="P176" s="353">
        <f t="shared" si="116"/>
        <v>0</v>
      </c>
      <c r="Q176" s="353">
        <f t="shared" si="117"/>
        <v>0</v>
      </c>
      <c r="R176" s="353">
        <f t="shared" si="117"/>
        <v>0</v>
      </c>
      <c r="S176" s="280">
        <f>SUMIF('F-1 Off-Site WaterC'' Baseline'!$D$10:$D$257,'G-2 Habitat groups'!A176,'F-1 Off-Site WaterC'' Baseline'!$E$10:$E$257)</f>
        <v>0</v>
      </c>
      <c r="T176" s="280">
        <f>SUMIF('F-1 Off-Site WaterC'' Baseline'!$D$10:$D$257,'G-2 Habitat groups'!A176,'F-1 Off-Site WaterC'' Baseline'!$U$10:$U$257)</f>
        <v>0</v>
      </c>
      <c r="U176" s="280">
        <f>SUMIF('F-1 Off-Site WaterC'' Baseline'!$D$10:$D$257,'G-2 Habitat groups'!A176,'F-1 Off-Site WaterC'' Baseline'!$X$10:$X$257)</f>
        <v>0</v>
      </c>
      <c r="V176" s="280">
        <f>SUMIF('F-1 Off-Site WaterC'' Baseline'!$D$10:$D$257,'G-2 Habitat groups'!A176,'F-1 Off-Site WaterC'' Baseline'!$Z$10:$Z$257)</f>
        <v>0</v>
      </c>
      <c r="W176" s="280">
        <f>SUMIF('F-2 Off-Site WaterC'' Creation'!$C$12:$C$259,'G-2 Habitat groups'!A176,'F-2 Off-Site WaterC'' Creation'!$D$12:$D$259)</f>
        <v>0</v>
      </c>
      <c r="X176" s="280">
        <f>SUMIF('F-2 Off-Site WaterC'' Creation'!$C$12:$C$259,'G-2 Habitat groups'!A176,'F-2 Off-Site WaterC'' Creation'!$AC$12:$AC$259)</f>
        <v>0</v>
      </c>
      <c r="Y176" s="280">
        <f>SUMIF('F-3 Off-Site WaterC Enhancement'!$N$12:$N$259,'G-2 Habitat groups'!A176,'F-3 Off-Site WaterC Enhancement'!$Q$12:$Q$259)</f>
        <v>0</v>
      </c>
      <c r="Z176" s="280">
        <f>SUMIF('F-3 Off-Site WaterC Enhancement'!$N$12:$N$259,'G-2 Habitat groups'!A176,'F-3 Off-Site WaterC Enhancement'!$AP$12:$AP$259)</f>
        <v>0</v>
      </c>
      <c r="AA176" s="353">
        <f t="shared" si="118"/>
        <v>0</v>
      </c>
      <c r="AB176" s="353">
        <f t="shared" si="118"/>
        <v>0</v>
      </c>
      <c r="AC176" s="353">
        <f t="shared" si="119"/>
        <v>0</v>
      </c>
      <c r="AD176" s="353">
        <f t="shared" si="119"/>
        <v>0</v>
      </c>
      <c r="AE176" s="353">
        <f t="shared" si="120"/>
        <v>0</v>
      </c>
      <c r="AF176" s="353">
        <f t="shared" si="120"/>
        <v>0</v>
      </c>
    </row>
  </sheetData>
  <sheetProtection algorithmName="SHA-512" hashValue="1j8/ohQnRa39A+UoL9A/FkwFt7uKs3kvesWyNvEl2l5eeZ8ETL/syFmTH95zswacAobOC9aPbY/EN+wMpfs8CA==" saltValue="5JPHM4kG/laB5SoiQ6gvk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6" priority="16" operator="lessThan">
      <formula>0</formula>
    </cfRule>
  </conditionalFormatting>
  <conditionalFormatting sqref="R150:R162">
    <cfRule type="cellIs" dxfId="5" priority="6" operator="lessThan">
      <formula>0</formula>
    </cfRule>
  </conditionalFormatting>
  <conditionalFormatting sqref="AD150:AD162">
    <cfRule type="cellIs" dxfId="4" priority="5" operator="lessThan">
      <formula>0</formula>
    </cfRule>
  </conditionalFormatting>
  <conditionalFormatting sqref="AE150:AF162">
    <cfRule type="cellIs" dxfId="3" priority="4" operator="lessThan">
      <formula>0</formula>
    </cfRule>
  </conditionalFormatting>
  <conditionalFormatting sqref="AE172:AF176">
    <cfRule type="cellIs" dxfId="2" priority="1" operator="lessThan">
      <formula>0</formula>
    </cfRule>
  </conditionalFormatting>
  <conditionalFormatting sqref="R172:R176">
    <cfRule type="cellIs" dxfId="1" priority="3" operator="lessThan">
      <formula>0</formula>
    </cfRule>
  </conditionalFormatting>
  <conditionalFormatting sqref="AD172:AD176">
    <cfRule type="cellIs" dxfId="0" priority="2" operator="lessThan">
      <formula>0</formula>
    </cfRule>
  </conditionalFormatting>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Z146"/>
  <sheetViews>
    <sheetView zoomScale="80" zoomScaleNormal="80" workbookViewId="0">
      <selection sqref="A1:E1"/>
    </sheetView>
  </sheetViews>
  <sheetFormatPr defaultColWidth="15.44140625" defaultRowHeight="13.8" zeroHeight="1" x14ac:dyDescent="0.25"/>
  <cols>
    <col min="1" max="1" width="76.44140625" style="30" customWidth="1"/>
    <col min="2" max="2" width="28.6640625" style="30" bestFit="1" customWidth="1"/>
    <col min="3" max="3" width="18.5546875" style="30" bestFit="1" customWidth="1"/>
    <col min="4" max="4" width="30.5546875" style="30" bestFit="1" customWidth="1"/>
    <col min="5" max="5" width="18.5546875" style="30" bestFit="1" customWidth="1"/>
    <col min="6" max="7" width="9.33203125" style="30" customWidth="1"/>
    <col min="8" max="8" width="16.33203125" style="30" hidden="1" customWidth="1"/>
    <col min="9" max="9" width="32.6640625" style="30" hidden="1" customWidth="1"/>
    <col min="10" max="10" width="8.33203125" style="30" hidden="1" customWidth="1"/>
    <col min="11" max="11" width="9.33203125" style="30" customWidth="1"/>
    <col min="12" max="12" width="38.5546875" style="30" customWidth="1"/>
    <col min="13" max="13" width="26.33203125" style="30" customWidth="1"/>
    <col min="14" max="14" width="12" style="30" bestFit="1" customWidth="1"/>
    <col min="15" max="15" width="9.33203125" style="30" customWidth="1"/>
    <col min="16" max="16" width="11.6640625" style="30" bestFit="1" customWidth="1"/>
    <col min="17" max="17" width="9.33203125" style="30" customWidth="1"/>
    <col min="18" max="18" width="18.6640625" style="30" customWidth="1"/>
    <col min="19" max="19" width="40" style="30" customWidth="1"/>
    <col min="20" max="20" width="19.44140625" style="30" customWidth="1"/>
    <col min="21" max="21" width="9.33203125" style="30" customWidth="1"/>
    <col min="22" max="22" width="11.33203125" style="30" customWidth="1"/>
    <col min="23" max="23" width="12" style="30" bestFit="1" customWidth="1"/>
    <col min="24" max="24" width="14.33203125" style="30" hidden="1" customWidth="1"/>
    <col min="25" max="25" width="17.6640625" style="30" bestFit="1" customWidth="1"/>
    <col min="26" max="26" width="10.33203125" style="30" bestFit="1" customWidth="1"/>
    <col min="27" max="27" width="9.33203125" style="30" customWidth="1"/>
    <col min="28" max="16380" width="0" style="30" hidden="1" customWidth="1"/>
    <col min="16381" max="16384" width="15.44140625" style="30"/>
  </cols>
  <sheetData>
    <row r="1" spans="1:26" ht="36.6" customHeight="1" thickBot="1" x14ac:dyDescent="0.4">
      <c r="A1" s="1872" t="s">
        <v>1107</v>
      </c>
      <c r="B1" s="1873"/>
      <c r="C1" s="1873"/>
      <c r="D1" s="1873"/>
      <c r="E1" s="1874"/>
      <c r="J1" s="191"/>
      <c r="L1" s="1872" t="s">
        <v>1108</v>
      </c>
      <c r="M1" s="1873"/>
      <c r="N1" s="1874"/>
      <c r="P1" s="1872" t="s">
        <v>501</v>
      </c>
      <c r="Q1" s="1874"/>
    </row>
    <row r="2" spans="1:26" ht="42" customHeight="1" thickBot="1" x14ac:dyDescent="0.3">
      <c r="A2" s="996" t="s">
        <v>1033</v>
      </c>
      <c r="B2" s="96" t="s">
        <v>581</v>
      </c>
      <c r="C2" s="96" t="s">
        <v>532</v>
      </c>
      <c r="D2" s="96" t="s">
        <v>582</v>
      </c>
      <c r="E2" s="997" t="s">
        <v>532</v>
      </c>
      <c r="H2" s="1878" t="s">
        <v>1109</v>
      </c>
      <c r="I2" s="1879"/>
      <c r="J2" s="1880"/>
      <c r="L2" s="1875" t="s">
        <v>1110</v>
      </c>
      <c r="M2" s="1876"/>
      <c r="N2" s="1877"/>
      <c r="P2" s="996" t="s">
        <v>211</v>
      </c>
      <c r="Q2" s="997" t="s">
        <v>1111</v>
      </c>
      <c r="S2" s="1414" t="s">
        <v>1112</v>
      </c>
      <c r="T2" s="1416"/>
      <c r="W2" s="1872" t="s">
        <v>148</v>
      </c>
      <c r="X2" s="1873"/>
      <c r="Y2" s="1873"/>
      <c r="Z2" s="1874"/>
    </row>
    <row r="3" spans="1:26" x14ac:dyDescent="0.25">
      <c r="A3" s="1005" t="str">
        <f>'G-1 All Habitats'!B104</f>
        <v>Coastal lagoons - Coastal lagoons</v>
      </c>
      <c r="B3" s="322" t="str">
        <f>'G-1 All Habitats'!N104</f>
        <v>Medium</v>
      </c>
      <c r="C3" s="322">
        <f>'G-1 All Habitats'!O104</f>
        <v>0.67</v>
      </c>
      <c r="D3" s="322" t="str">
        <f>'G-1 All Habitats'!P104</f>
        <v>Medium</v>
      </c>
      <c r="E3" s="363">
        <f>'G-1 All Habitats'!Q104</f>
        <v>0.67</v>
      </c>
      <c r="H3" s="69" t="s">
        <v>411</v>
      </c>
      <c r="I3" s="185" t="s">
        <v>1113</v>
      </c>
      <c r="J3" s="185" t="s">
        <v>1114</v>
      </c>
      <c r="L3" s="1003" t="s">
        <v>1113</v>
      </c>
      <c r="M3" s="69" t="s">
        <v>397</v>
      </c>
      <c r="N3" s="1004" t="s">
        <v>532</v>
      </c>
      <c r="P3" s="90" t="s">
        <v>295</v>
      </c>
      <c r="Q3" s="363">
        <v>1</v>
      </c>
      <c r="S3" s="996" t="s">
        <v>211</v>
      </c>
      <c r="T3" s="997" t="s">
        <v>532</v>
      </c>
      <c r="W3" s="996" t="s">
        <v>33</v>
      </c>
      <c r="X3" s="1000" t="s">
        <v>1115</v>
      </c>
      <c r="Y3" s="1000" t="s">
        <v>1116</v>
      </c>
      <c r="Z3" s="997" t="s">
        <v>1117</v>
      </c>
    </row>
    <row r="4" spans="1:26" ht="27.6" x14ac:dyDescent="0.25">
      <c r="A4" s="1005" t="str">
        <f>'G-1 All Habitats'!B113</f>
        <v>Coastal saltmarsh - Saltmarshes and saline reedbeds</v>
      </c>
      <c r="B4" s="322" t="str">
        <f>'G-1 All Habitats'!N113</f>
        <v>High</v>
      </c>
      <c r="C4" s="322">
        <f>'G-1 All Habitats'!O113</f>
        <v>0.33</v>
      </c>
      <c r="D4" s="322" t="str">
        <f>'G-1 All Habitats'!P113</f>
        <v>Medium</v>
      </c>
      <c r="E4" s="363">
        <f>'G-1 All Habitats'!Q113</f>
        <v>0.67</v>
      </c>
      <c r="H4" s="91" t="s">
        <v>292</v>
      </c>
      <c r="I4" s="107" t="s">
        <v>1118</v>
      </c>
      <c r="J4" s="133">
        <v>1.1499999999999999</v>
      </c>
      <c r="L4" s="90" t="s">
        <v>1119</v>
      </c>
      <c r="M4" s="301" t="s">
        <v>1120</v>
      </c>
      <c r="N4" s="363">
        <v>1.1499999999999999</v>
      </c>
      <c r="P4" s="90" t="s">
        <v>40</v>
      </c>
      <c r="Q4" s="363">
        <v>0.67</v>
      </c>
      <c r="S4" s="90" t="s">
        <v>1121</v>
      </c>
      <c r="T4" s="305">
        <v>1</v>
      </c>
      <c r="W4" s="174" t="s">
        <v>39</v>
      </c>
      <c r="X4" s="322">
        <v>0.3</v>
      </c>
      <c r="Y4" s="322">
        <f>X4*12</f>
        <v>3.5999999999999996</v>
      </c>
      <c r="Z4" s="1001">
        <f>3.14159265358979*(Y4*Y4)/10000</f>
        <v>4.0715040790523672E-3</v>
      </c>
    </row>
    <row r="5" spans="1:26" ht="47.7" customHeight="1" x14ac:dyDescent="0.25">
      <c r="A5" s="1005" t="str">
        <f>'G-1 All Habitats'!B3</f>
        <v>Cropland - Arable field margins cultivated annually</v>
      </c>
      <c r="B5" s="322" t="str">
        <f>'G-1 All Habitats'!N3</f>
        <v>Low</v>
      </c>
      <c r="C5" s="322">
        <f>'G-1 All Habitats'!O3</f>
        <v>1</v>
      </c>
      <c r="D5" s="322" t="str">
        <f>'G-1 All Habitats'!P3</f>
        <v>Low</v>
      </c>
      <c r="E5" s="363">
        <f>'G-1 All Habitats'!Q3</f>
        <v>1</v>
      </c>
      <c r="H5" s="91" t="s">
        <v>40</v>
      </c>
      <c r="I5" s="107" t="s">
        <v>1122</v>
      </c>
      <c r="J5" s="133">
        <v>1.1000000000000001</v>
      </c>
      <c r="L5" s="90" t="s">
        <v>1123</v>
      </c>
      <c r="M5" s="301" t="s">
        <v>1124</v>
      </c>
      <c r="N5" s="363">
        <v>1.1000000000000001</v>
      </c>
      <c r="P5" s="90" t="s">
        <v>292</v>
      </c>
      <c r="Q5" s="363">
        <v>0.33</v>
      </c>
      <c r="S5" s="90" t="s">
        <v>1125</v>
      </c>
      <c r="T5" s="305">
        <v>0.75</v>
      </c>
      <c r="W5" s="174" t="s">
        <v>40</v>
      </c>
      <c r="X5" s="322">
        <v>0.6</v>
      </c>
      <c r="Y5" s="322">
        <f>X5*12</f>
        <v>7.1999999999999993</v>
      </c>
      <c r="Z5" s="1001">
        <f>3.14159265358979*(Y5*Y5)/10000</f>
        <v>1.6286016316209469E-2</v>
      </c>
    </row>
    <row r="6" spans="1:26" ht="28.2" thickBot="1" x14ac:dyDescent="0.3">
      <c r="A6" s="1005" t="str">
        <f>'G-1 All Habitats'!B4</f>
        <v>Cropland - Arable field margins game bird mix</v>
      </c>
      <c r="B6" s="322" t="str">
        <f>'G-1 All Habitats'!N4</f>
        <v>Low</v>
      </c>
      <c r="C6" s="322">
        <f>'G-1 All Habitats'!O4</f>
        <v>1</v>
      </c>
      <c r="D6" s="322" t="str">
        <f>'G-1 All Habitats'!P4</f>
        <v>Low</v>
      </c>
      <c r="E6" s="363">
        <f>'G-1 All Habitats'!Q4</f>
        <v>1</v>
      </c>
      <c r="H6" s="192" t="s">
        <v>295</v>
      </c>
      <c r="I6" s="107" t="s">
        <v>1126</v>
      </c>
      <c r="J6" s="133">
        <v>1</v>
      </c>
      <c r="L6" s="65" t="s">
        <v>1127</v>
      </c>
      <c r="M6" s="290" t="s">
        <v>1128</v>
      </c>
      <c r="N6" s="355">
        <v>1</v>
      </c>
      <c r="P6" s="65" t="s">
        <v>290</v>
      </c>
      <c r="Q6" s="355">
        <v>0.1</v>
      </c>
      <c r="S6" s="998" t="s">
        <v>1129</v>
      </c>
      <c r="T6" s="305">
        <v>0.5</v>
      </c>
      <c r="W6" s="174" t="s">
        <v>41</v>
      </c>
      <c r="X6" s="322">
        <v>0.9</v>
      </c>
      <c r="Y6" s="322">
        <f>X6*12</f>
        <v>10.8</v>
      </c>
      <c r="Z6" s="1001">
        <f>3.14159265358979*(Y6*Y6)/10000</f>
        <v>3.664353671147131E-2</v>
      </c>
    </row>
    <row r="7" spans="1:26" ht="50.1" customHeight="1" thickBot="1" x14ac:dyDescent="0.3">
      <c r="A7" s="1005" t="str">
        <f>'G-1 All Habitats'!B5</f>
        <v>Cropland - Arable field margins pollen and nectar</v>
      </c>
      <c r="B7" s="322" t="str">
        <f>'G-1 All Habitats'!N5</f>
        <v>Low</v>
      </c>
      <c r="C7" s="322">
        <f>'G-1 All Habitats'!O5</f>
        <v>1</v>
      </c>
      <c r="D7" s="322" t="str">
        <f>'G-1 All Habitats'!P5</f>
        <v>Low</v>
      </c>
      <c r="E7" s="363">
        <f>'G-1 All Habitats'!Q5</f>
        <v>1</v>
      </c>
      <c r="H7" s="192" t="s">
        <v>1130</v>
      </c>
      <c r="I7" s="107" t="s">
        <v>1131</v>
      </c>
      <c r="J7" s="133">
        <v>1</v>
      </c>
      <c r="S7" s="998" t="s">
        <v>1132</v>
      </c>
      <c r="T7" s="363">
        <v>1</v>
      </c>
      <c r="W7" s="223" t="s">
        <v>42</v>
      </c>
      <c r="X7" s="307">
        <v>1.3</v>
      </c>
      <c r="Y7" s="307">
        <f>X7*12</f>
        <v>15.600000000000001</v>
      </c>
      <c r="Z7" s="1002">
        <f>3.14159265358979*(Y7*Y7)/10000</f>
        <v>7.645379881776114E-2</v>
      </c>
    </row>
    <row r="8" spans="1:26" ht="50.1" customHeight="1" x14ac:dyDescent="0.25">
      <c r="A8" s="1005" t="str">
        <f>'G-1 All Habitats'!B6</f>
        <v>Cropland - Arable field margins tussocky</v>
      </c>
      <c r="B8" s="322" t="str">
        <f>'G-1 All Habitats'!N6</f>
        <v>Low</v>
      </c>
      <c r="C8" s="322">
        <f>'G-1 All Habitats'!O6</f>
        <v>1</v>
      </c>
      <c r="D8" s="322" t="str">
        <f>'G-1 All Habitats'!P6</f>
        <v>Low</v>
      </c>
      <c r="E8" s="363">
        <f>'G-1 All Habitats'!Q6</f>
        <v>1</v>
      </c>
      <c r="S8" s="998" t="s">
        <v>1133</v>
      </c>
      <c r="T8" s="305">
        <v>1</v>
      </c>
    </row>
    <row r="9" spans="1:26" ht="50.1" customHeight="1" x14ac:dyDescent="0.25">
      <c r="A9" s="1005" t="str">
        <f>'G-1 All Habitats'!B7</f>
        <v>Cropland - Cereal crops</v>
      </c>
      <c r="B9" s="322" t="str">
        <f>'G-1 All Habitats'!N7</f>
        <v>Low</v>
      </c>
      <c r="C9" s="322">
        <f>'G-1 All Habitats'!O7</f>
        <v>1</v>
      </c>
      <c r="D9" s="322" t="str">
        <f>'G-1 All Habitats'!P7</f>
        <v>Low</v>
      </c>
      <c r="E9" s="363">
        <f>'G-1 All Habitats'!Q7</f>
        <v>1</v>
      </c>
      <c r="S9" s="998" t="s">
        <v>1134</v>
      </c>
      <c r="T9" s="305">
        <v>0.75</v>
      </c>
    </row>
    <row r="10" spans="1:26" ht="42" thickBot="1" x14ac:dyDescent="0.3">
      <c r="A10" s="1005" t="str">
        <f>'G-1 All Habitats'!B8</f>
        <v>Cropland - Winter stubble</v>
      </c>
      <c r="B10" s="322" t="str">
        <f>'G-1 All Habitats'!N8</f>
        <v>Low</v>
      </c>
      <c r="C10" s="322">
        <f>'G-1 All Habitats'!O8</f>
        <v>1</v>
      </c>
      <c r="D10" s="322" t="str">
        <f>'G-1 All Habitats'!P8</f>
        <v>Low</v>
      </c>
      <c r="E10" s="363">
        <f>'G-1 All Habitats'!Q8</f>
        <v>1</v>
      </c>
      <c r="S10" s="999" t="s">
        <v>1135</v>
      </c>
      <c r="T10" s="284">
        <v>0.5</v>
      </c>
    </row>
    <row r="11" spans="1:26" x14ac:dyDescent="0.25">
      <c r="A11" s="1005" t="str">
        <f>'G-1 All Habitats'!B9</f>
        <v>Cropland - Horticulture</v>
      </c>
      <c r="B11" s="322" t="str">
        <f>'G-1 All Habitats'!N9</f>
        <v>Low</v>
      </c>
      <c r="C11" s="322">
        <f>'G-1 All Habitats'!O9</f>
        <v>1</v>
      </c>
      <c r="D11" s="322" t="str">
        <f>'G-1 All Habitats'!P9</f>
        <v>Low</v>
      </c>
      <c r="E11" s="363">
        <f>'G-1 All Habitats'!Q9</f>
        <v>1</v>
      </c>
    </row>
    <row r="12" spans="1:26" x14ac:dyDescent="0.25">
      <c r="A12" s="1005" t="str">
        <f>'G-1 All Habitats'!B10</f>
        <v>Cropland - Intensive orchards</v>
      </c>
      <c r="B12" s="322" t="str">
        <f>'G-1 All Habitats'!N10</f>
        <v>Low</v>
      </c>
      <c r="C12" s="322">
        <f>'G-1 All Habitats'!O10</f>
        <v>1</v>
      </c>
      <c r="D12" s="322" t="str">
        <f>'G-1 All Habitats'!P10</f>
        <v>Low</v>
      </c>
      <c r="E12" s="363">
        <f>'G-1 All Habitats'!Q10</f>
        <v>1</v>
      </c>
    </row>
    <row r="13" spans="1:26" x14ac:dyDescent="0.25">
      <c r="A13" s="1005" t="str">
        <f>'G-1 All Habitats'!B11</f>
        <v>Cropland - Non-cereal crops</v>
      </c>
      <c r="B13" s="322" t="str">
        <f>'G-1 All Habitats'!N11</f>
        <v>Low</v>
      </c>
      <c r="C13" s="322">
        <f>'G-1 All Habitats'!O11</f>
        <v>1</v>
      </c>
      <c r="D13" s="322" t="str">
        <f>'G-1 All Habitats'!P11</f>
        <v>Low</v>
      </c>
      <c r="E13" s="363">
        <f>'G-1 All Habitats'!Q11</f>
        <v>1</v>
      </c>
    </row>
    <row r="14" spans="1:26" x14ac:dyDescent="0.25">
      <c r="A14" s="1005" t="str">
        <f>'G-1 All Habitats'!B12</f>
        <v>Cropland - Temporary grass and clover leys</v>
      </c>
      <c r="B14" s="322" t="str">
        <f>'G-1 All Habitats'!N12</f>
        <v>Low</v>
      </c>
      <c r="C14" s="322">
        <f>'G-1 All Habitats'!O12</f>
        <v>1</v>
      </c>
      <c r="D14" s="322" t="str">
        <f>'G-1 All Habitats'!P12</f>
        <v>Low</v>
      </c>
      <c r="E14" s="363">
        <f>'G-1 All Habitats'!Q12</f>
        <v>1</v>
      </c>
    </row>
    <row r="15" spans="1:26" x14ac:dyDescent="0.25">
      <c r="A15" s="1005" t="str">
        <f>'G-1 All Habitats'!B13</f>
        <v>Grassland - Traditional orchards</v>
      </c>
      <c r="B15" s="322" t="str">
        <f>'G-1 All Habitats'!N13</f>
        <v>Low</v>
      </c>
      <c r="C15" s="322">
        <f>'G-1 All Habitats'!O13</f>
        <v>1</v>
      </c>
      <c r="D15" s="322" t="str">
        <f>'G-1 All Habitats'!P13</f>
        <v>Medium</v>
      </c>
      <c r="E15" s="363">
        <f>'G-1 All Habitats'!Q13</f>
        <v>0.67</v>
      </c>
    </row>
    <row r="16" spans="1:26" x14ac:dyDescent="0.25">
      <c r="A16" s="1005" t="str">
        <f>'G-1 All Habitats'!B14</f>
        <v>Grassland - Bracken</v>
      </c>
      <c r="B16" s="322" t="str">
        <f>'G-1 All Habitats'!N14</f>
        <v>Low</v>
      </c>
      <c r="C16" s="322">
        <f>'G-1 All Habitats'!O14</f>
        <v>1</v>
      </c>
      <c r="D16" s="322" t="str">
        <f>'G-1 All Habitats'!P14</f>
        <v>Low</v>
      </c>
      <c r="E16" s="363">
        <f>'G-1 All Habitats'!Q14</f>
        <v>1</v>
      </c>
    </row>
    <row r="17" spans="1:5" x14ac:dyDescent="0.25">
      <c r="A17" s="1005" t="str">
        <f>'G-1 All Habitats'!B15</f>
        <v>Grassland - Floodplain wetland mosaic and CFGM</v>
      </c>
      <c r="B17" s="322" t="str">
        <f>'G-1 All Habitats'!N15</f>
        <v>High</v>
      </c>
      <c r="C17" s="322">
        <f>'G-1 All Habitats'!O15</f>
        <v>0.33</v>
      </c>
      <c r="D17" s="322" t="str">
        <f>'G-1 All Habitats'!P15</f>
        <v>Medium</v>
      </c>
      <c r="E17" s="363">
        <f>'G-1 All Habitats'!Q15</f>
        <v>0.67</v>
      </c>
    </row>
    <row r="18" spans="1:5" x14ac:dyDescent="0.25">
      <c r="A18" s="1005" t="str">
        <f>'G-1 All Habitats'!B16</f>
        <v>Grassland - Lowland calcareous grassland</v>
      </c>
      <c r="B18" s="322" t="str">
        <f>'G-1 All Habitats'!N16</f>
        <v>High</v>
      </c>
      <c r="C18" s="322">
        <f>'G-1 All Habitats'!O16</f>
        <v>0.33</v>
      </c>
      <c r="D18" s="322" t="str">
        <f>'G-1 All Habitats'!P16</f>
        <v>High</v>
      </c>
      <c r="E18" s="363">
        <f>'G-1 All Habitats'!Q16</f>
        <v>0.33</v>
      </c>
    </row>
    <row r="19" spans="1:5" x14ac:dyDescent="0.25">
      <c r="A19" s="1005" t="str">
        <f>'G-1 All Habitats'!B17</f>
        <v>Grassland - Lowland dry acid grassland</v>
      </c>
      <c r="B19" s="322" t="str">
        <f>'G-1 All Habitats'!N17</f>
        <v>High</v>
      </c>
      <c r="C19" s="322">
        <f>'G-1 All Habitats'!O17</f>
        <v>0.33</v>
      </c>
      <c r="D19" s="322" t="str">
        <f>'G-1 All Habitats'!P17</f>
        <v>High</v>
      </c>
      <c r="E19" s="363">
        <f>'G-1 All Habitats'!Q17</f>
        <v>0.33</v>
      </c>
    </row>
    <row r="20" spans="1:5" x14ac:dyDescent="0.25">
      <c r="A20" s="1005" t="str">
        <f>'G-1 All Habitats'!B18</f>
        <v>Grassland - Lowland meadows</v>
      </c>
      <c r="B20" s="322" t="str">
        <f>'G-1 All Habitats'!N18</f>
        <v>High</v>
      </c>
      <c r="C20" s="322">
        <f>'G-1 All Habitats'!O18</f>
        <v>0.33</v>
      </c>
      <c r="D20" s="322" t="str">
        <f>'G-1 All Habitats'!P18</f>
        <v>Medium</v>
      </c>
      <c r="E20" s="363">
        <f>'G-1 All Habitats'!Q18</f>
        <v>0.67</v>
      </c>
    </row>
    <row r="21" spans="1:5" x14ac:dyDescent="0.25">
      <c r="A21" s="1005" t="str">
        <f>'G-1 All Habitats'!B19</f>
        <v>Grassland - Modified grassland</v>
      </c>
      <c r="B21" s="322" t="str">
        <f>'G-1 All Habitats'!N19</f>
        <v>Low</v>
      </c>
      <c r="C21" s="322">
        <f>'G-1 All Habitats'!O19</f>
        <v>1</v>
      </c>
      <c r="D21" s="322" t="str">
        <f>'G-1 All Habitats'!P19</f>
        <v>Low</v>
      </c>
      <c r="E21" s="363">
        <f>'G-1 All Habitats'!Q19</f>
        <v>1</v>
      </c>
    </row>
    <row r="22" spans="1:5" x14ac:dyDescent="0.25">
      <c r="A22" s="1005" t="str">
        <f>'G-1 All Habitats'!B20</f>
        <v>Grassland - Other lowland acid grassland</v>
      </c>
      <c r="B22" s="322" t="str">
        <f>'G-1 All Habitats'!N20</f>
        <v>Low</v>
      </c>
      <c r="C22" s="322">
        <f>'G-1 All Habitats'!O20</f>
        <v>1</v>
      </c>
      <c r="D22" s="322" t="str">
        <f>'G-1 All Habitats'!P20</f>
        <v>Low</v>
      </c>
      <c r="E22" s="363">
        <f>'G-1 All Habitats'!Q20</f>
        <v>1</v>
      </c>
    </row>
    <row r="23" spans="1:5" x14ac:dyDescent="0.25">
      <c r="A23" s="1005" t="str">
        <f>'G-1 All Habitats'!B21</f>
        <v>Grassland - Other neutral grassland</v>
      </c>
      <c r="B23" s="322" t="str">
        <f>'G-1 All Habitats'!N21</f>
        <v>Low</v>
      </c>
      <c r="C23" s="322">
        <f>'G-1 All Habitats'!O21</f>
        <v>1</v>
      </c>
      <c r="D23" s="322" t="str">
        <f>'G-1 All Habitats'!P21</f>
        <v>Low</v>
      </c>
      <c r="E23" s="363">
        <f>'G-1 All Habitats'!Q21</f>
        <v>1</v>
      </c>
    </row>
    <row r="24" spans="1:5" x14ac:dyDescent="0.25">
      <c r="A24" s="1005" t="str">
        <f>'G-1 All Habitats'!B22</f>
        <v>Grassland - Tall herb communities (H6430)</v>
      </c>
      <c r="B24" s="322" t="str">
        <f>'G-1 All Habitats'!N22</f>
        <v>High</v>
      </c>
      <c r="C24" s="322">
        <f>'G-1 All Habitats'!O22</f>
        <v>0.33</v>
      </c>
      <c r="D24" s="322" t="str">
        <f>'G-1 All Habitats'!P22</f>
        <v>High</v>
      </c>
      <c r="E24" s="363">
        <f>'G-1 All Habitats'!Q22</f>
        <v>0.33</v>
      </c>
    </row>
    <row r="25" spans="1:5" x14ac:dyDescent="0.25">
      <c r="A25" s="1005" t="str">
        <f>'G-1 All Habitats'!B23</f>
        <v>Grassland - Upland acid grassland</v>
      </c>
      <c r="B25" s="322" t="str">
        <f>'G-1 All Habitats'!N23</f>
        <v>Low</v>
      </c>
      <c r="C25" s="322">
        <f>'G-1 All Habitats'!O23</f>
        <v>1</v>
      </c>
      <c r="D25" s="322" t="str">
        <f>'G-1 All Habitats'!P23</f>
        <v>Low</v>
      </c>
      <c r="E25" s="363">
        <f>'G-1 All Habitats'!Q23</f>
        <v>1</v>
      </c>
    </row>
    <row r="26" spans="1:5" x14ac:dyDescent="0.25">
      <c r="A26" s="1005" t="str">
        <f>'G-1 All Habitats'!B24</f>
        <v>Grassland - Upland calcareous grassland</v>
      </c>
      <c r="B26" s="322" t="str">
        <f>'G-1 All Habitats'!N24</f>
        <v>High</v>
      </c>
      <c r="C26" s="322">
        <f>'G-1 All Habitats'!O24</f>
        <v>0.33</v>
      </c>
      <c r="D26" s="322" t="str">
        <f>'G-1 All Habitats'!P24</f>
        <v>High</v>
      </c>
      <c r="E26" s="363">
        <f>'G-1 All Habitats'!Q24</f>
        <v>0.33</v>
      </c>
    </row>
    <row r="27" spans="1:5" x14ac:dyDescent="0.25">
      <c r="A27" s="1005" t="str">
        <f>'G-1 All Habitats'!B25</f>
        <v>Grassland - Upland hay meadows</v>
      </c>
      <c r="B27" s="322" t="str">
        <f>'G-1 All Habitats'!N25</f>
        <v>High</v>
      </c>
      <c r="C27" s="322">
        <f>'G-1 All Habitats'!O25</f>
        <v>0.33</v>
      </c>
      <c r="D27" s="322" t="str">
        <f>'G-1 All Habitats'!P25</f>
        <v>Medium</v>
      </c>
      <c r="E27" s="363">
        <f>'G-1 All Habitats'!Q25</f>
        <v>0.67</v>
      </c>
    </row>
    <row r="28" spans="1:5" x14ac:dyDescent="0.25">
      <c r="A28" s="1005" t="str">
        <f>'G-1 All Habitats'!B26</f>
        <v>Heathland and shrub - Blackthorn scrub</v>
      </c>
      <c r="B28" s="322" t="str">
        <f>'G-1 All Habitats'!N26</f>
        <v>Low</v>
      </c>
      <c r="C28" s="322">
        <f>'G-1 All Habitats'!O26</f>
        <v>1</v>
      </c>
      <c r="D28" s="322" t="str">
        <f>'G-1 All Habitats'!P26</f>
        <v>Low</v>
      </c>
      <c r="E28" s="363">
        <f>'G-1 All Habitats'!Q26</f>
        <v>1</v>
      </c>
    </row>
    <row r="29" spans="1:5" x14ac:dyDescent="0.25">
      <c r="A29" s="1005" t="str">
        <f>'G-1 All Habitats'!B27</f>
        <v>Heathland and shrub - Bramble scrub</v>
      </c>
      <c r="B29" s="322" t="str">
        <f>'G-1 All Habitats'!N27</f>
        <v>Low</v>
      </c>
      <c r="C29" s="322">
        <f>'G-1 All Habitats'!O27</f>
        <v>1</v>
      </c>
      <c r="D29" s="322" t="str">
        <f>'G-1 All Habitats'!P27</f>
        <v>Low</v>
      </c>
      <c r="E29" s="363">
        <f>'G-1 All Habitats'!Q27</f>
        <v>1</v>
      </c>
    </row>
    <row r="30" spans="1:5" x14ac:dyDescent="0.25">
      <c r="A30" s="1005" t="str">
        <f>'G-1 All Habitats'!B28</f>
        <v>Heathland and shrub - Gorse scrub</v>
      </c>
      <c r="B30" s="322" t="str">
        <f>'G-1 All Habitats'!N28</f>
        <v>Low</v>
      </c>
      <c r="C30" s="322">
        <f>'G-1 All Habitats'!O28</f>
        <v>1</v>
      </c>
      <c r="D30" s="322" t="str">
        <f>'G-1 All Habitats'!P28</f>
        <v>Low</v>
      </c>
      <c r="E30" s="363">
        <f>'G-1 All Habitats'!Q28</f>
        <v>1</v>
      </c>
    </row>
    <row r="31" spans="1:5" x14ac:dyDescent="0.25">
      <c r="A31" s="1005" t="str">
        <f>'G-1 All Habitats'!B29</f>
        <v>Heathland and shrub - Hawthorn scrub</v>
      </c>
      <c r="B31" s="322" t="str">
        <f>'G-1 All Habitats'!N29</f>
        <v>Low</v>
      </c>
      <c r="C31" s="322">
        <f>'G-1 All Habitats'!O29</f>
        <v>1</v>
      </c>
      <c r="D31" s="322" t="str">
        <f>'G-1 All Habitats'!P29</f>
        <v>Low</v>
      </c>
      <c r="E31" s="363">
        <f>'G-1 All Habitats'!Q29</f>
        <v>1</v>
      </c>
    </row>
    <row r="32" spans="1:5" x14ac:dyDescent="0.25">
      <c r="A32" s="1005" t="str">
        <f>'G-1 All Habitats'!B30</f>
        <v>Heathland and shrub - Hazel scrub</v>
      </c>
      <c r="B32" s="322" t="s">
        <v>40</v>
      </c>
      <c r="C32" s="322">
        <f>'G-1 All Habitats'!O30</f>
        <v>0.67</v>
      </c>
      <c r="D32" s="322" t="s">
        <v>295</v>
      </c>
      <c r="E32" s="363">
        <f>'G-1 All Habitats'!Q30</f>
        <v>1</v>
      </c>
    </row>
    <row r="33" spans="1:5" x14ac:dyDescent="0.25">
      <c r="A33" s="1005" t="s">
        <v>739</v>
      </c>
      <c r="B33" s="322" t="s">
        <v>40</v>
      </c>
      <c r="C33" s="322">
        <v>0.67</v>
      </c>
      <c r="D33" s="322" t="s">
        <v>295</v>
      </c>
      <c r="E33" s="363">
        <v>1</v>
      </c>
    </row>
    <row r="34" spans="1:5" x14ac:dyDescent="0.25">
      <c r="A34" s="1005" t="str">
        <f>'G-1 All Habitats'!B31</f>
        <v>Heathland and shrub - Lowland heathland</v>
      </c>
      <c r="B34" s="322" t="str">
        <f>'G-1 All Habitats'!N31</f>
        <v>High</v>
      </c>
      <c r="C34" s="322">
        <f>'G-1 All Habitats'!O31</f>
        <v>0.33</v>
      </c>
      <c r="D34" s="322" t="str">
        <f>'G-1 All Habitats'!P31</f>
        <v>Medium</v>
      </c>
      <c r="E34" s="363">
        <f>'G-1 All Habitats'!Q31</f>
        <v>0.67</v>
      </c>
    </row>
    <row r="35" spans="1:5" x14ac:dyDescent="0.25">
      <c r="A35" s="1005" t="str">
        <f>'G-1 All Habitats'!B32</f>
        <v>Heathland and shrub - Mixed scrub</v>
      </c>
      <c r="B35" s="322" t="str">
        <f>'G-1 All Habitats'!N32</f>
        <v>Low</v>
      </c>
      <c r="C35" s="322">
        <f>'G-1 All Habitats'!O32</f>
        <v>1</v>
      </c>
      <c r="D35" s="322" t="str">
        <f>'G-1 All Habitats'!P32</f>
        <v>Low</v>
      </c>
      <c r="E35" s="363">
        <f>'G-1 All Habitats'!Q32</f>
        <v>1</v>
      </c>
    </row>
    <row r="36" spans="1:5" x14ac:dyDescent="0.25">
      <c r="A36" s="1005" t="str">
        <f>'G-1 All Habitats'!B33</f>
        <v>Heathland and shrub - Mountain heaths and willow scrub</v>
      </c>
      <c r="B36" s="322" t="str">
        <f>'G-1 All Habitats'!N33</f>
        <v>High</v>
      </c>
      <c r="C36" s="322">
        <f>'G-1 All Habitats'!O33</f>
        <v>0.33</v>
      </c>
      <c r="D36" s="322" t="str">
        <f>'G-1 All Habitats'!P33</f>
        <v>High</v>
      </c>
      <c r="E36" s="363">
        <f>'G-1 All Habitats'!Q33</f>
        <v>0.33</v>
      </c>
    </row>
    <row r="37" spans="1:5" x14ac:dyDescent="0.25">
      <c r="A37" s="1005" t="str">
        <f>'G-1 All Habitats'!B34</f>
        <v>Heathland and shrub - Rhododendron scrub</v>
      </c>
      <c r="B37" s="322" t="str">
        <f>'G-1 All Habitats'!N34</f>
        <v>Low</v>
      </c>
      <c r="C37" s="322">
        <f>'G-1 All Habitats'!O34</f>
        <v>1</v>
      </c>
      <c r="D37" s="322" t="str">
        <f>'G-1 All Habitats'!P34</f>
        <v>Low</v>
      </c>
      <c r="E37" s="363">
        <f>'G-1 All Habitats'!Q34</f>
        <v>1</v>
      </c>
    </row>
    <row r="38" spans="1:5" x14ac:dyDescent="0.25">
      <c r="A38" s="1005" t="str">
        <f>'G-1 All Habitats'!B35</f>
        <v>Heathland and shrub - Dunes with sea buckthorn (H2160)</v>
      </c>
      <c r="B38" s="322" t="str">
        <f>'G-1 All Habitats'!N35</f>
        <v>Medium</v>
      </c>
      <c r="C38" s="322">
        <f>'G-1 All Habitats'!O35</f>
        <v>0.67</v>
      </c>
      <c r="D38" s="322" t="str">
        <f>'G-1 All Habitats'!P35</f>
        <v>Low</v>
      </c>
      <c r="E38" s="363">
        <f>'G-1 All Habitats'!Q35</f>
        <v>1</v>
      </c>
    </row>
    <row r="39" spans="1:5" x14ac:dyDescent="0.25">
      <c r="A39" s="1005" t="str">
        <f>'G-1 All Habitats'!B36</f>
        <v>Heathland and shrub - Other sea buckthorn scrub</v>
      </c>
      <c r="B39" s="322" t="str">
        <f>'G-1 All Habitats'!N36</f>
        <v>Low</v>
      </c>
      <c r="C39" s="322">
        <f>'G-1 All Habitats'!O36</f>
        <v>1</v>
      </c>
      <c r="D39" s="322" t="str">
        <f>'G-1 All Habitats'!P36</f>
        <v>Low</v>
      </c>
      <c r="E39" s="363">
        <f>'G-1 All Habitats'!Q36</f>
        <v>1</v>
      </c>
    </row>
    <row r="40" spans="1:5" x14ac:dyDescent="0.25">
      <c r="A40" s="1005" t="str">
        <f>'G-1 All Habitats'!B38</f>
        <v>Heathland and shrub - Upland heathland</v>
      </c>
      <c r="B40" s="322" t="str">
        <f>'G-1 All Habitats'!N38</f>
        <v>Medium</v>
      </c>
      <c r="C40" s="322">
        <f>'G-1 All Habitats'!O38</f>
        <v>0.67</v>
      </c>
      <c r="D40" s="322" t="str">
        <f>'G-1 All Habitats'!P38</f>
        <v>Medium</v>
      </c>
      <c r="E40" s="363">
        <f>'G-1 All Habitats'!Q38</f>
        <v>0.67</v>
      </c>
    </row>
    <row r="41" spans="1:5" x14ac:dyDescent="0.25">
      <c r="A41" s="1005" t="str">
        <f>'G-1 All Habitats'!B129</f>
        <v>Intertidal sediment - Artificial littoral biogenic reefs</v>
      </c>
      <c r="B41" s="322" t="str">
        <f>'G-1 All Habitats'!N129</f>
        <v>High</v>
      </c>
      <c r="C41" s="322">
        <f>'G-1 All Habitats'!O129</f>
        <v>0.33</v>
      </c>
      <c r="D41" s="322" t="str">
        <f>'G-1 All Habitats'!P129</f>
        <v>Medium</v>
      </c>
      <c r="E41" s="363">
        <f>'G-1 All Habitats'!Q129</f>
        <v>0.67</v>
      </c>
    </row>
    <row r="42" spans="1:5" x14ac:dyDescent="0.25">
      <c r="A42" s="1005" t="str">
        <f>'G-1 All Habitats'!B123</f>
        <v>Intertidal sediment - Artificial littoral coarse sediment</v>
      </c>
      <c r="B42" s="322" t="str">
        <f>'G-1 All Habitats'!N123</f>
        <v>Medium</v>
      </c>
      <c r="C42" s="322">
        <f>'G-1 All Habitats'!O123</f>
        <v>0.67</v>
      </c>
      <c r="D42" s="322" t="str">
        <f>'G-1 All Habitats'!P123</f>
        <v>Medium</v>
      </c>
      <c r="E42" s="363">
        <f>'G-1 All Habitats'!Q123</f>
        <v>0.67</v>
      </c>
    </row>
    <row r="43" spans="1:5" x14ac:dyDescent="0.25">
      <c r="A43" s="1005" t="str">
        <f>'G-1 All Habitats'!B127</f>
        <v>Intertidal sediment - Artificial littoral mixed sediments</v>
      </c>
      <c r="B43" s="322" t="str">
        <f>'G-1 All Habitats'!N127</f>
        <v>High</v>
      </c>
      <c r="C43" s="322">
        <f>'G-1 All Habitats'!O127</f>
        <v>0.33</v>
      </c>
      <c r="D43" s="322" t="str">
        <f>'G-1 All Habitats'!P127</f>
        <v>Medium</v>
      </c>
      <c r="E43" s="363">
        <f>'G-1 All Habitats'!Q127</f>
        <v>0.67</v>
      </c>
    </row>
    <row r="44" spans="1:5" x14ac:dyDescent="0.25">
      <c r="A44" s="1005" t="str">
        <f>'G-1 All Habitats'!B126</f>
        <v>Intertidal sediment - Artificial littoral muddy sand</v>
      </c>
      <c r="B44" s="322" t="str">
        <f>'G-1 All Habitats'!N126</f>
        <v>High</v>
      </c>
      <c r="C44" s="322">
        <f>'G-1 All Habitats'!O126</f>
        <v>0.33</v>
      </c>
      <c r="D44" s="322" t="str">
        <f>'G-1 All Habitats'!P126</f>
        <v>Medium</v>
      </c>
      <c r="E44" s="363">
        <f>'G-1 All Habitats'!Q126</f>
        <v>0.67</v>
      </c>
    </row>
    <row r="45" spans="1:5" x14ac:dyDescent="0.25">
      <c r="A45" s="1005" t="str">
        <f>'G-1 All Habitats'!B128</f>
        <v>Intertidal sediment - Artificial littoral seagrass</v>
      </c>
      <c r="B45" s="322" t="str">
        <f>'G-1 All Habitats'!N128</f>
        <v>High</v>
      </c>
      <c r="C45" s="322">
        <f>'G-1 All Habitats'!O128</f>
        <v>0.33</v>
      </c>
      <c r="D45" s="322" t="str">
        <f>'G-1 All Habitats'!P128</f>
        <v>High</v>
      </c>
      <c r="E45" s="363">
        <f>'G-1 All Habitats'!Q128</f>
        <v>0.33</v>
      </c>
    </row>
    <row r="46" spans="1:5" x14ac:dyDescent="0.25">
      <c r="A46" s="1005" t="str">
        <f>'G-1 All Habitats'!B122</f>
        <v>Intertidal sediment - Features of littoral sediment</v>
      </c>
      <c r="B46" s="322" t="str">
        <f>'G-1 All Habitats'!N122</f>
        <v>High</v>
      </c>
      <c r="C46" s="322">
        <f>'G-1 All Habitats'!O122</f>
        <v>0.33</v>
      </c>
      <c r="D46" s="322" t="str">
        <f>'G-1 All Habitats'!P122</f>
        <v>Medium</v>
      </c>
      <c r="E46" s="363">
        <f>'G-1 All Habitats'!Q122</f>
        <v>0.67</v>
      </c>
    </row>
    <row r="47" spans="1:5" x14ac:dyDescent="0.25">
      <c r="A47" s="1005" t="str">
        <f>'G-1 All Habitats'!B121</f>
        <v>Intertidal sediment - Littoral biogenic reefs - Sabellaria</v>
      </c>
      <c r="B47" s="322" t="str">
        <f>'G-1 All Habitats'!N121</f>
        <v>High</v>
      </c>
      <c r="C47" s="322">
        <f>'G-1 All Habitats'!O121</f>
        <v>0.33</v>
      </c>
      <c r="D47" s="322" t="str">
        <f>'G-1 All Habitats'!P121</f>
        <v>Medium</v>
      </c>
      <c r="E47" s="363">
        <f>'G-1 All Habitats'!Q121</f>
        <v>0.67</v>
      </c>
    </row>
    <row r="48" spans="1:5" x14ac:dyDescent="0.25">
      <c r="A48" s="1005" t="str">
        <f>'G-1 All Habitats'!B115</f>
        <v>Intertidal sediment - Littoral coarse sediment</v>
      </c>
      <c r="B48" s="322" t="str">
        <f>'G-1 All Habitats'!N115</f>
        <v>Medium</v>
      </c>
      <c r="C48" s="322">
        <f>'G-1 All Habitats'!O115</f>
        <v>0.67</v>
      </c>
      <c r="D48" s="322" t="str">
        <f>'G-1 All Habitats'!P115</f>
        <v>Medium</v>
      </c>
      <c r="E48" s="363">
        <f>'G-1 All Habitats'!Q115</f>
        <v>0.67</v>
      </c>
    </row>
    <row r="49" spans="1:5" x14ac:dyDescent="0.25">
      <c r="A49" s="1005" t="str">
        <f>'G-1 All Habitats'!B117</f>
        <v>Intertidal sediment - Littoral mixed sediments</v>
      </c>
      <c r="B49" s="322" t="str">
        <f>'G-1 All Habitats'!N117</f>
        <v>High</v>
      </c>
      <c r="C49" s="322">
        <f>'G-1 All Habitats'!O117</f>
        <v>0.33</v>
      </c>
      <c r="D49" s="322" t="str">
        <f>'G-1 All Habitats'!P117</f>
        <v>Medium</v>
      </c>
      <c r="E49" s="363">
        <f>'G-1 All Habitats'!Q117</f>
        <v>0.67</v>
      </c>
    </row>
    <row r="50" spans="1:5" x14ac:dyDescent="0.25">
      <c r="A50" s="1005" t="str">
        <f>'G-1 All Habitats'!B116</f>
        <v>Intertidal sediment - Littoral mud</v>
      </c>
      <c r="B50" s="322" t="str">
        <f>'G-1 All Habitats'!N116</f>
        <v>High</v>
      </c>
      <c r="C50" s="322">
        <f>'G-1 All Habitats'!O116</f>
        <v>0.33</v>
      </c>
      <c r="D50" s="322" t="str">
        <f>'G-1 All Habitats'!P116</f>
        <v>Medium</v>
      </c>
      <c r="E50" s="363">
        <f>'G-1 All Habitats'!Q116</f>
        <v>0.67</v>
      </c>
    </row>
    <row r="51" spans="1:5" x14ac:dyDescent="0.25">
      <c r="A51" s="1005" t="str">
        <f>'G-1 All Habitats'!B118</f>
        <v>Intertidal sediment - Littoral seagrass</v>
      </c>
      <c r="B51" s="322" t="str">
        <f>'G-1 All Habitats'!N118</f>
        <v>High</v>
      </c>
      <c r="C51" s="322">
        <f>'G-1 All Habitats'!O118</f>
        <v>0.33</v>
      </c>
      <c r="D51" s="322" t="str">
        <f>'G-1 All Habitats'!P118</f>
        <v>High</v>
      </c>
      <c r="E51" s="363">
        <f>'G-1 All Habitats'!Q118</f>
        <v>0.33</v>
      </c>
    </row>
    <row r="52" spans="1:5" x14ac:dyDescent="0.25">
      <c r="A52" s="1005" t="str">
        <f>'G-1 All Habitats'!B119</f>
        <v>Intertidal sediment - Littoral seagrass on peat, clay or chalk</v>
      </c>
      <c r="B52" s="322" t="str">
        <f>'G-1 All Habitats'!N119</f>
        <v>Very High</v>
      </c>
      <c r="C52" s="322">
        <f>'G-1 All Habitats'!O119</f>
        <v>0.1</v>
      </c>
      <c r="D52" s="322" t="str">
        <f>'G-1 All Habitats'!P119</f>
        <v>High</v>
      </c>
      <c r="E52" s="363">
        <f>'G-1 All Habitats'!Q119</f>
        <v>0.33</v>
      </c>
    </row>
    <row r="53" spans="1:5" x14ac:dyDescent="0.25">
      <c r="A53" s="1005" t="str">
        <f>'G-1 All Habitats'!B39</f>
        <v>Lakes - Aquifer fed naturally fluctuating water bodies</v>
      </c>
      <c r="B53" s="322" t="str">
        <f>'G-1 All Habitats'!N39</f>
        <v>Very High</v>
      </c>
      <c r="C53" s="322">
        <f>'G-1 All Habitats'!O39</f>
        <v>0.1</v>
      </c>
      <c r="D53" s="322" t="str">
        <f>'G-1 All Habitats'!P39</f>
        <v>High</v>
      </c>
      <c r="E53" s="363">
        <f>'G-1 All Habitats'!Q39</f>
        <v>0.33</v>
      </c>
    </row>
    <row r="54" spans="1:5" x14ac:dyDescent="0.25">
      <c r="A54" s="1005" t="str">
        <f>'G-1 All Habitats'!B40</f>
        <v>Lakes - Ornamental lake or pond</v>
      </c>
      <c r="B54" s="322" t="str">
        <f>'G-1 All Habitats'!N40</f>
        <v>Low</v>
      </c>
      <c r="C54" s="322">
        <f>'G-1 All Habitats'!O40</f>
        <v>1</v>
      </c>
      <c r="D54" s="322" t="str">
        <f>'G-1 All Habitats'!P40</f>
        <v>High</v>
      </c>
      <c r="E54" s="363">
        <f>'G-1 All Habitats'!Q40</f>
        <v>0.33</v>
      </c>
    </row>
    <row r="55" spans="1:5" x14ac:dyDescent="0.25">
      <c r="A55" s="1005" t="str">
        <f>'G-1 All Habitats'!B41</f>
        <v>Lakes - High alkalinity lakes</v>
      </c>
      <c r="B55" s="322" t="str">
        <f>'G-1 All Habitats'!N41</f>
        <v>High</v>
      </c>
      <c r="C55" s="322">
        <f>'G-1 All Habitats'!O41</f>
        <v>0.33</v>
      </c>
      <c r="D55" s="322" t="str">
        <f>'G-1 All Habitats'!P41</f>
        <v>High</v>
      </c>
      <c r="E55" s="363">
        <f>'G-1 All Habitats'!Q41</f>
        <v>0.33</v>
      </c>
    </row>
    <row r="56" spans="1:5" x14ac:dyDescent="0.25">
      <c r="A56" s="1005" t="str">
        <f>'G-1 All Habitats'!B42</f>
        <v>Lakes - Low alkalinity lakes</v>
      </c>
      <c r="B56" s="322" t="str">
        <f>'G-1 All Habitats'!N42</f>
        <v>High</v>
      </c>
      <c r="C56" s="322">
        <f>'G-1 All Habitats'!O42</f>
        <v>0.33</v>
      </c>
      <c r="D56" s="322" t="str">
        <f>'G-1 All Habitats'!P42</f>
        <v>Medium</v>
      </c>
      <c r="E56" s="363">
        <f>'G-1 All Habitats'!Q42</f>
        <v>0.67</v>
      </c>
    </row>
    <row r="57" spans="1:5" x14ac:dyDescent="0.25">
      <c r="A57" s="1005" t="str">
        <f>'G-1 All Habitats'!B43</f>
        <v>Lakes - Marl lakes</v>
      </c>
      <c r="B57" s="322" t="str">
        <f>'G-1 All Habitats'!N43</f>
        <v>High</v>
      </c>
      <c r="C57" s="322">
        <f>'G-1 All Habitats'!O43</f>
        <v>0.33</v>
      </c>
      <c r="D57" s="322" t="str">
        <f>'G-1 All Habitats'!P43</f>
        <v>High</v>
      </c>
      <c r="E57" s="363">
        <f>'G-1 All Habitats'!Q43</f>
        <v>0.33</v>
      </c>
    </row>
    <row r="58" spans="1:5" x14ac:dyDescent="0.25">
      <c r="A58" s="1005" t="str">
        <f>'G-1 All Habitats'!B44</f>
        <v>Lakes - Moderate alkalinity lakes</v>
      </c>
      <c r="B58" s="322" t="str">
        <f>'G-1 All Habitats'!N44</f>
        <v>High</v>
      </c>
      <c r="C58" s="322">
        <f>'G-1 All Habitats'!O44</f>
        <v>0.33</v>
      </c>
      <c r="D58" s="322" t="str">
        <f>'G-1 All Habitats'!P44</f>
        <v>High</v>
      </c>
      <c r="E58" s="363">
        <f>'G-1 All Habitats'!Q44</f>
        <v>0.33</v>
      </c>
    </row>
    <row r="59" spans="1:5" x14ac:dyDescent="0.25">
      <c r="A59" s="1005" t="str">
        <f>'G-1 All Habitats'!B45</f>
        <v>Lakes - Peat lakes</v>
      </c>
      <c r="B59" s="322" t="str">
        <f>'G-1 All Habitats'!N45</f>
        <v>High</v>
      </c>
      <c r="C59" s="322">
        <f>'G-1 All Habitats'!O45</f>
        <v>0.33</v>
      </c>
      <c r="D59" s="322" t="str">
        <f>'G-1 All Habitats'!P45</f>
        <v>High</v>
      </c>
      <c r="E59" s="363">
        <f>'G-1 All Habitats'!Q45</f>
        <v>0.33</v>
      </c>
    </row>
    <row r="60" spans="1:5" x14ac:dyDescent="0.25">
      <c r="A60" s="1005" t="str">
        <f>'G-1 All Habitats'!B47</f>
        <v>Lakes - Ponds (non-priority habitat)</v>
      </c>
      <c r="B60" s="322" t="str">
        <f>'G-1 All Habitats'!N47</f>
        <v>Low</v>
      </c>
      <c r="C60" s="322">
        <f>'G-1 All Habitats'!O47</f>
        <v>1</v>
      </c>
      <c r="D60" s="322" t="str">
        <f>'G-1 All Habitats'!P47</f>
        <v>Medium</v>
      </c>
      <c r="E60" s="363">
        <f>'G-1 All Habitats'!Q47</f>
        <v>0.67</v>
      </c>
    </row>
    <row r="61" spans="1:5" x14ac:dyDescent="0.25">
      <c r="A61" s="1005" t="str">
        <f>'G-1 All Habitats'!B46</f>
        <v>Lakes - Ponds (priority habitat)</v>
      </c>
      <c r="B61" s="322" t="str">
        <f>'G-1 All Habitats'!N46</f>
        <v>Medium</v>
      </c>
      <c r="C61" s="322">
        <f>'G-1 All Habitats'!O46</f>
        <v>0.67</v>
      </c>
      <c r="D61" s="322" t="str">
        <f>'G-1 All Habitats'!P46</f>
        <v>Medium</v>
      </c>
      <c r="E61" s="363">
        <f>'G-1 All Habitats'!Q46</f>
        <v>0.67</v>
      </c>
    </row>
    <row r="62" spans="1:5" x14ac:dyDescent="0.25">
      <c r="A62" s="1005" t="str">
        <f>'G-1 All Habitats'!B48</f>
        <v>Lakes - Reservoirs</v>
      </c>
      <c r="B62" s="322" t="str">
        <f>'G-1 All Habitats'!N48</f>
        <v>Medium</v>
      </c>
      <c r="C62" s="322">
        <f>'G-1 All Habitats'!O48</f>
        <v>0.67</v>
      </c>
      <c r="D62" s="322" t="str">
        <f>'G-1 All Habitats'!P48</f>
        <v>Medium</v>
      </c>
      <c r="E62" s="363">
        <f>'G-1 All Habitats'!Q48</f>
        <v>0.67</v>
      </c>
    </row>
    <row r="63" spans="1:5" x14ac:dyDescent="0.25">
      <c r="A63" s="1005" t="str">
        <f>'G-1 All Habitats'!B49</f>
        <v>Lakes - Temporary lakes ponds and pools (H3170)</v>
      </c>
      <c r="B63" s="322" t="str">
        <f>'G-1 All Habitats'!N49</f>
        <v>Medium</v>
      </c>
      <c r="C63" s="322">
        <f>'G-1 All Habitats'!O49</f>
        <v>0.67</v>
      </c>
      <c r="D63" s="322" t="str">
        <f>'G-1 All Habitats'!P49</f>
        <v>Medium</v>
      </c>
      <c r="E63" s="363">
        <f>'G-1 All Habitats'!Q49</f>
        <v>0.67</v>
      </c>
    </row>
    <row r="64" spans="1:5" x14ac:dyDescent="0.25">
      <c r="A64" s="1005" t="str">
        <f>'G-1 All Habitats'!B111</f>
        <v>Rocky shore - Features of littoral rock</v>
      </c>
      <c r="B64" s="322" t="str">
        <f>'G-1 All Habitats'!N111</f>
        <v>High</v>
      </c>
      <c r="C64" s="322">
        <f>'G-1 All Habitats'!O111</f>
        <v>0.33</v>
      </c>
      <c r="D64" s="322" t="str">
        <f>'G-1 All Habitats'!P111</f>
        <v>Medium</v>
      </c>
      <c r="E64" s="363">
        <f>'G-1 All Habitats'!Q111</f>
        <v>0.67</v>
      </c>
    </row>
    <row r="65" spans="1:5" x14ac:dyDescent="0.25">
      <c r="A65" s="1005" t="str">
        <f>'G-1 All Habitats'!B112</f>
        <v>Rocky shore - Features of littoral rock - on peat, clay or chalk</v>
      </c>
      <c r="B65" s="322" t="str">
        <f>'G-1 All Habitats'!N112</f>
        <v>Very High</v>
      </c>
      <c r="C65" s="322">
        <f>'G-1 All Habitats'!O112</f>
        <v>0.1</v>
      </c>
      <c r="D65" s="322" t="str">
        <f>'G-1 All Habitats'!P112</f>
        <v>Medium</v>
      </c>
      <c r="E65" s="363">
        <f>'G-1 All Habitats'!Q112</f>
        <v>0.67</v>
      </c>
    </row>
    <row r="66" spans="1:5" x14ac:dyDescent="0.25">
      <c r="A66" s="1005" t="str">
        <f>'G-1 All Habitats'!B105</f>
        <v>Rocky shore - High energy littoral rock</v>
      </c>
      <c r="B66" s="322" t="str">
        <f>'G-1 All Habitats'!N105</f>
        <v>High</v>
      </c>
      <c r="C66" s="322">
        <f>'G-1 All Habitats'!O105</f>
        <v>0.33</v>
      </c>
      <c r="D66" s="322" t="str">
        <f>'G-1 All Habitats'!P105</f>
        <v>Medium</v>
      </c>
      <c r="E66" s="363">
        <f>'G-1 All Habitats'!Q105</f>
        <v>0.67</v>
      </c>
    </row>
    <row r="67" spans="1:5" x14ac:dyDescent="0.25">
      <c r="A67" s="1005" t="str">
        <f>'G-1 All Habitats'!B106</f>
        <v>Rocky shore - High energy littoral rock - on peat, clay or chalk</v>
      </c>
      <c r="B67" s="322" t="str">
        <f>'G-1 All Habitats'!N106</f>
        <v>Very High</v>
      </c>
      <c r="C67" s="322">
        <f>'G-1 All Habitats'!O106</f>
        <v>0.1</v>
      </c>
      <c r="D67" s="322" t="str">
        <f>'G-1 All Habitats'!P106</f>
        <v>Medium</v>
      </c>
      <c r="E67" s="363">
        <f>'G-1 All Habitats'!Q106</f>
        <v>0.67</v>
      </c>
    </row>
    <row r="68" spans="1:5" x14ac:dyDescent="0.25">
      <c r="A68" s="1005" t="str">
        <f>'G-1 All Habitats'!B109</f>
        <v>Rocky shore - Low energy littoral rock</v>
      </c>
      <c r="B68" s="322" t="str">
        <f>'G-1 All Habitats'!N109</f>
        <v>High</v>
      </c>
      <c r="C68" s="322">
        <f>'G-1 All Habitats'!O109</f>
        <v>0.33</v>
      </c>
      <c r="D68" s="322" t="str">
        <f>'G-1 All Habitats'!P109</f>
        <v>Medium</v>
      </c>
      <c r="E68" s="363">
        <f>'G-1 All Habitats'!Q109</f>
        <v>0.67</v>
      </c>
    </row>
    <row r="69" spans="1:5" x14ac:dyDescent="0.25">
      <c r="A69" s="1005" t="str">
        <f>'G-1 All Habitats'!B110</f>
        <v>Rocky shore - Low energy littoral rock - on peat, clay or chalk</v>
      </c>
      <c r="B69" s="322" t="str">
        <f>'G-1 All Habitats'!N110</f>
        <v>Very High</v>
      </c>
      <c r="C69" s="322">
        <f>'G-1 All Habitats'!O110</f>
        <v>0.1</v>
      </c>
      <c r="D69" s="322" t="str">
        <f>'G-1 All Habitats'!P110</f>
        <v>Medium</v>
      </c>
      <c r="E69" s="363">
        <f>'G-1 All Habitats'!Q110</f>
        <v>0.67</v>
      </c>
    </row>
    <row r="70" spans="1:5" x14ac:dyDescent="0.25">
      <c r="A70" s="1005" t="str">
        <f>'G-1 All Habitats'!B107</f>
        <v>Rocky shore - Moderate energy littoral rock</v>
      </c>
      <c r="B70" s="322" t="str">
        <f>'G-1 All Habitats'!N107</f>
        <v>High</v>
      </c>
      <c r="C70" s="322">
        <f>'G-1 All Habitats'!O107</f>
        <v>0.33</v>
      </c>
      <c r="D70" s="322" t="str">
        <f>'G-1 All Habitats'!P107</f>
        <v>Medium</v>
      </c>
      <c r="E70" s="363">
        <f>'G-1 All Habitats'!Q107</f>
        <v>0.67</v>
      </c>
    </row>
    <row r="71" spans="1:5" x14ac:dyDescent="0.25">
      <c r="A71" s="1005" t="str">
        <f>'G-1 All Habitats'!B108</f>
        <v>Rocky shore - Moderate energy littoral rock - on peat, clay or chalk</v>
      </c>
      <c r="B71" s="322" t="str">
        <f>'G-1 All Habitats'!N108</f>
        <v>Very High</v>
      </c>
      <c r="C71" s="322">
        <f>'G-1 All Habitats'!O108</f>
        <v>0.1</v>
      </c>
      <c r="D71" s="322" t="str">
        <f>'G-1 All Habitats'!P108</f>
        <v>Medium</v>
      </c>
      <c r="E71" s="363">
        <f>'G-1 All Habitats'!Q108</f>
        <v>0.67</v>
      </c>
    </row>
    <row r="72" spans="1:5" x14ac:dyDescent="0.25">
      <c r="A72" s="1005" t="str">
        <f>'G-1 All Habitats'!B50</f>
        <v>Sparsely vegetated land - Calaminarian grasslands</v>
      </c>
      <c r="B72" s="322" t="str">
        <f>'G-1 All Habitats'!N50</f>
        <v>Very High</v>
      </c>
      <c r="C72" s="322">
        <f>'G-1 All Habitats'!O50</f>
        <v>0.1</v>
      </c>
      <c r="D72" s="322" t="str">
        <f>'G-1 All Habitats'!P50</f>
        <v>Medium</v>
      </c>
      <c r="E72" s="363">
        <f>'G-1 All Habitats'!Q50</f>
        <v>0.67</v>
      </c>
    </row>
    <row r="73" spans="1:5" x14ac:dyDescent="0.25">
      <c r="A73" s="1005" t="str">
        <f>'G-1 All Habitats'!B51</f>
        <v>Sparsely vegetated land - Coastal sand dunes</v>
      </c>
      <c r="B73" s="322" t="str">
        <f>'G-1 All Habitats'!N51</f>
        <v>Very High</v>
      </c>
      <c r="C73" s="322">
        <f>'G-1 All Habitats'!O51</f>
        <v>0.1</v>
      </c>
      <c r="D73" s="322" t="str">
        <f>'G-1 All Habitats'!P51</f>
        <v>Medium</v>
      </c>
      <c r="E73" s="363">
        <f>'G-1 All Habitats'!Q51</f>
        <v>0.67</v>
      </c>
    </row>
    <row r="74" spans="1:5" x14ac:dyDescent="0.25">
      <c r="A74" s="1005" t="str">
        <f>'G-1 All Habitats'!B52</f>
        <v>Sparsely vegetated land - Coastal vegetated shingle</v>
      </c>
      <c r="B74" s="322" t="str">
        <f>'G-1 All Habitats'!N52</f>
        <v>Very High</v>
      </c>
      <c r="C74" s="322">
        <f>'G-1 All Habitats'!O52</f>
        <v>0.1</v>
      </c>
      <c r="D74" s="322" t="str">
        <f>'G-1 All Habitats'!P52</f>
        <v>Medium</v>
      </c>
      <c r="E74" s="363">
        <f>'G-1 All Habitats'!Q52</f>
        <v>0.67</v>
      </c>
    </row>
    <row r="75" spans="1:5" x14ac:dyDescent="0.25">
      <c r="A75" s="1005" t="str">
        <f>'G-1 All Habitats'!B55</f>
        <v>Sparsely vegetated land - Inland rock outcrop and scree habitats</v>
      </c>
      <c r="B75" s="322" t="str">
        <f>'G-1 All Habitats'!N55</f>
        <v>High</v>
      </c>
      <c r="C75" s="322">
        <f>'G-1 All Habitats'!O55</f>
        <v>0.33</v>
      </c>
      <c r="D75" s="322" t="str">
        <f>'G-1 All Habitats'!P55</f>
        <v>Low</v>
      </c>
      <c r="E75" s="363">
        <f>'G-1 All Habitats'!Q55</f>
        <v>1</v>
      </c>
    </row>
    <row r="76" spans="1:5" x14ac:dyDescent="0.25">
      <c r="A76" s="1005" t="str">
        <f>'G-1 All Habitats'!B56</f>
        <v>Sparsely vegetated land - Limestone pavement</v>
      </c>
      <c r="B76" s="322" t="str">
        <f>'G-1 All Habitats'!N56</f>
        <v>Very High</v>
      </c>
      <c r="C76" s="322">
        <f>'G-1 All Habitats'!O56</f>
        <v>0.1</v>
      </c>
      <c r="D76" s="322" t="str">
        <f>'G-1 All Habitats'!P56</f>
        <v>Medium</v>
      </c>
      <c r="E76" s="363">
        <f>'G-1 All Habitats'!Q56</f>
        <v>0.67</v>
      </c>
    </row>
    <row r="77" spans="1:5" x14ac:dyDescent="0.25">
      <c r="A77" s="1005" t="str">
        <f>'G-1 All Habitats'!B57</f>
        <v>Sparsely vegetated land - Maritime cliff and slopes</v>
      </c>
      <c r="B77" s="322" t="str">
        <f>'G-1 All Habitats'!N57</f>
        <v>High</v>
      </c>
      <c r="C77" s="322">
        <f>'G-1 All Habitats'!O57</f>
        <v>0.33</v>
      </c>
      <c r="D77" s="322" t="str">
        <f>'G-1 All Habitats'!P57</f>
        <v>Medium</v>
      </c>
      <c r="E77" s="363">
        <f>'G-1 All Habitats'!Q57</f>
        <v>0.67</v>
      </c>
    </row>
    <row r="78" spans="1:5" x14ac:dyDescent="0.25">
      <c r="A78" s="1005" t="str">
        <f>'G-1 All Habitats'!B58</f>
        <v>Sparsely vegetated land - Other inland rock and scree</v>
      </c>
      <c r="B78" s="322" t="str">
        <f>'G-1 All Habitats'!N58</f>
        <v>Medium</v>
      </c>
      <c r="C78" s="322">
        <f>'G-1 All Habitats'!O58</f>
        <v>0.67</v>
      </c>
      <c r="D78" s="322" t="str">
        <f>'G-1 All Habitats'!P58</f>
        <v>Medium</v>
      </c>
      <c r="E78" s="363">
        <f>'G-1 All Habitats'!Q58</f>
        <v>0.67</v>
      </c>
    </row>
    <row r="79" spans="1:5" x14ac:dyDescent="0.25">
      <c r="A79" s="1005" t="str">
        <f>'G-1 All Habitats'!B53</f>
        <v>Sparsely vegetated land - Ruderal/Ephemeral</v>
      </c>
      <c r="B79" s="322" t="str">
        <f>'G-1 All Habitats'!N53</f>
        <v>Low</v>
      </c>
      <c r="C79" s="322">
        <f>'G-1 All Habitats'!O53</f>
        <v>1</v>
      </c>
      <c r="D79" s="322" t="str">
        <f>'G-1 All Habitats'!P53</f>
        <v>Medium</v>
      </c>
      <c r="E79" s="363">
        <f>'G-1 All Habitats'!Q53</f>
        <v>0.67</v>
      </c>
    </row>
    <row r="80" spans="1:5" x14ac:dyDescent="0.25">
      <c r="A80" s="1005" t="str">
        <f>'G-1 All Habitats'!B54</f>
        <v>Sparsely vegetated land - Tall forbs</v>
      </c>
      <c r="B80" s="322" t="str">
        <f>'G-1 All Habitats'!N54</f>
        <v>Low</v>
      </c>
      <c r="C80" s="322">
        <f>'G-1 All Habitats'!O54</f>
        <v>1</v>
      </c>
      <c r="D80" s="322" t="str">
        <f>'G-1 All Habitats'!P54</f>
        <v>Medium</v>
      </c>
      <c r="E80" s="363">
        <f>'G-1 All Habitats'!Q54</f>
        <v>0.67</v>
      </c>
    </row>
    <row r="81" spans="1:5" x14ac:dyDescent="0.25">
      <c r="A81" s="1005" t="str">
        <f>'G-1 All Habitats'!B77</f>
        <v>Urban - Vacant or derelict land</v>
      </c>
      <c r="B81" s="322" t="str">
        <f>'G-1 All Habitats'!N77</f>
        <v>Low</v>
      </c>
      <c r="C81" s="322">
        <f>'G-1 All Habitats'!O77</f>
        <v>1</v>
      </c>
      <c r="D81" s="322" t="str">
        <f>'G-1 All Habitats'!P77</f>
        <v>Low</v>
      </c>
      <c r="E81" s="363">
        <f>'G-1 All Habitats'!Q77</f>
        <v>1</v>
      </c>
    </row>
    <row r="82" spans="1:5" x14ac:dyDescent="0.25">
      <c r="A82" s="1005" t="s">
        <v>852</v>
      </c>
      <c r="B82" s="322" t="s">
        <v>295</v>
      </c>
      <c r="C82" s="322">
        <v>1</v>
      </c>
      <c r="D82" s="322" t="s">
        <v>295</v>
      </c>
      <c r="E82" s="363">
        <v>1</v>
      </c>
    </row>
    <row r="83" spans="1:5" x14ac:dyDescent="0.25">
      <c r="A83" s="1005" t="str">
        <f>'G-1 All Habitats'!B59</f>
        <v>Urban - Allotments</v>
      </c>
      <c r="B83" s="322" t="str">
        <f>'G-1 All Habitats'!N59</f>
        <v>Low</v>
      </c>
      <c r="C83" s="322">
        <f>'G-1 All Habitats'!O59</f>
        <v>1</v>
      </c>
      <c r="D83" s="322" t="str">
        <f>'G-1 All Habitats'!P59</f>
        <v>Low</v>
      </c>
      <c r="E83" s="363">
        <f>'G-1 All Habitats'!Q59</f>
        <v>1</v>
      </c>
    </row>
    <row r="84" spans="1:5" x14ac:dyDescent="0.25">
      <c r="A84" s="1005" t="str">
        <f>'G-1 All Habitats'!B60</f>
        <v>Urban - Artificial unvegetated, unsealed surface</v>
      </c>
      <c r="B84" s="322" t="str">
        <f>'G-1 All Habitats'!N60</f>
        <v>Low</v>
      </c>
      <c r="C84" s="322">
        <f>'G-1 All Habitats'!O60</f>
        <v>1</v>
      </c>
      <c r="D84" s="322" t="str">
        <f>'G-1 All Habitats'!P60</f>
        <v>Low</v>
      </c>
      <c r="E84" s="363">
        <f>'G-1 All Habitats'!Q60</f>
        <v>1</v>
      </c>
    </row>
    <row r="85" spans="1:5" x14ac:dyDescent="0.25">
      <c r="A85" s="1005" t="str">
        <f>'G-1 All Habitats'!B61</f>
        <v>Urban - Bioswale</v>
      </c>
      <c r="B85" s="322" t="str">
        <f>'G-1 All Habitats'!N61</f>
        <v>Medium</v>
      </c>
      <c r="C85" s="322">
        <f>'G-1 All Habitats'!O61</f>
        <v>0.67</v>
      </c>
      <c r="D85" s="322" t="str">
        <f>'G-1 All Habitats'!P61</f>
        <v>Low</v>
      </c>
      <c r="E85" s="363">
        <f>'G-1 All Habitats'!Q61</f>
        <v>1</v>
      </c>
    </row>
    <row r="86" spans="1:5" x14ac:dyDescent="0.25">
      <c r="A86" s="1005" t="str">
        <f>'G-1 All Habitats'!B62</f>
        <v>Urban - Intensive green roof</v>
      </c>
      <c r="B86" s="322" t="str">
        <f>'G-1 All Habitats'!N62</f>
        <v>Low</v>
      </c>
      <c r="C86" s="322">
        <f>'G-1 All Habitats'!O62</f>
        <v>1</v>
      </c>
      <c r="D86" s="322" t="str">
        <f>'G-1 All Habitats'!P62</f>
        <v>Low</v>
      </c>
      <c r="E86" s="363">
        <f>'G-1 All Habitats'!Q62</f>
        <v>1</v>
      </c>
    </row>
    <row r="87" spans="1:5" x14ac:dyDescent="0.25">
      <c r="A87" s="1005" t="str">
        <f>'G-1 All Habitats'!B63</f>
        <v>Urban - Built linear features</v>
      </c>
      <c r="B87" s="322" t="str">
        <f>'G-1 All Habitats'!N63</f>
        <v>Low</v>
      </c>
      <c r="C87" s="322">
        <f>'G-1 All Habitats'!O63</f>
        <v>1</v>
      </c>
      <c r="D87" s="322" t="str">
        <f>'G-1 All Habitats'!P63</f>
        <v>Low</v>
      </c>
      <c r="E87" s="363">
        <f>'G-1 All Habitats'!Q63</f>
        <v>1</v>
      </c>
    </row>
    <row r="88" spans="1:5" x14ac:dyDescent="0.25">
      <c r="A88" s="1005" t="str">
        <f>'G-1 All Habitats'!B64</f>
        <v>Urban - Cemeteries and churchyards</v>
      </c>
      <c r="B88" s="322" t="str">
        <f>'G-1 All Habitats'!N64</f>
        <v>Medium</v>
      </c>
      <c r="C88" s="322">
        <f>'G-1 All Habitats'!O64</f>
        <v>0.67</v>
      </c>
      <c r="D88" s="322" t="str">
        <f>'G-1 All Habitats'!P64</f>
        <v>Low</v>
      </c>
      <c r="E88" s="363">
        <f>'G-1 All Habitats'!Q64</f>
        <v>1</v>
      </c>
    </row>
    <row r="89" spans="1:5" x14ac:dyDescent="0.25">
      <c r="A89" s="1005" t="str">
        <f>'G-1 All Habitats'!B65</f>
        <v>Urban - Developed land; sealed surface</v>
      </c>
      <c r="B89" s="322" t="str">
        <f>'G-1 All Habitats'!N65</f>
        <v>Low</v>
      </c>
      <c r="C89" s="322">
        <f>'G-1 All Habitats'!O65</f>
        <v>1</v>
      </c>
      <c r="D89" s="322" t="str">
        <f>'G-1 All Habitats'!P65</f>
        <v>Low</v>
      </c>
      <c r="E89" s="363">
        <f>'G-1 All Habitats'!Q65</f>
        <v>1</v>
      </c>
    </row>
    <row r="90" spans="1:5" x14ac:dyDescent="0.25">
      <c r="A90" s="1005" t="str">
        <f>'G-1 All Habitats'!B66</f>
        <v>Urban - Other green roof</v>
      </c>
      <c r="B90" s="322" t="str">
        <f>'G-1 All Habitats'!N66</f>
        <v>Low</v>
      </c>
      <c r="C90" s="322">
        <f>'G-1 All Habitats'!O66</f>
        <v>1</v>
      </c>
      <c r="D90" s="322" t="str">
        <f>'G-1 All Habitats'!P66</f>
        <v>Low</v>
      </c>
      <c r="E90" s="363">
        <f>'G-1 All Habitats'!Q66</f>
        <v>1</v>
      </c>
    </row>
    <row r="91" spans="1:5" x14ac:dyDescent="0.25">
      <c r="A91" s="1005" t="str">
        <f>'G-1 All Habitats'!B67</f>
        <v>Urban - Facade-bound green wall</v>
      </c>
      <c r="B91" s="322" t="str">
        <f>'G-1 All Habitats'!N67</f>
        <v>Medium</v>
      </c>
      <c r="C91" s="322">
        <f>'G-1 All Habitats'!O67</f>
        <v>0.67</v>
      </c>
      <c r="D91" s="322" t="str">
        <f>'G-1 All Habitats'!P67</f>
        <v>Medium</v>
      </c>
      <c r="E91" s="363">
        <f>'G-1 All Habitats'!Q67</f>
        <v>0.67</v>
      </c>
    </row>
    <row r="92" spans="1:5" x14ac:dyDescent="0.25">
      <c r="A92" s="1005" t="str">
        <f>'G-1 All Habitats'!B68</f>
        <v>Urban - Ground based green wall</v>
      </c>
      <c r="B92" s="322" t="str">
        <f>'G-1 All Habitats'!N68</f>
        <v>Medium</v>
      </c>
      <c r="C92" s="322">
        <f>'G-1 All Habitats'!O68</f>
        <v>0.67</v>
      </c>
      <c r="D92" s="322" t="str">
        <f>'G-1 All Habitats'!P68</f>
        <v>Medium</v>
      </c>
      <c r="E92" s="363">
        <f>'G-1 All Habitats'!Q68</f>
        <v>0.67</v>
      </c>
    </row>
    <row r="93" spans="1:5" x14ac:dyDescent="0.25">
      <c r="A93" s="1005" t="str">
        <f>'G-1 All Habitats'!B69</f>
        <v>Urban - Ground level planters</v>
      </c>
      <c r="B93" s="322" t="str">
        <f>'G-1 All Habitats'!N69</f>
        <v>Low</v>
      </c>
      <c r="C93" s="322">
        <f>'G-1 All Habitats'!O69</f>
        <v>1</v>
      </c>
      <c r="D93" s="322" t="str">
        <f>'G-1 All Habitats'!P69</f>
        <v>Low</v>
      </c>
      <c r="E93" s="363">
        <f>'G-1 All Habitats'!Q69</f>
        <v>1</v>
      </c>
    </row>
    <row r="94" spans="1:5" x14ac:dyDescent="0.25">
      <c r="A94" s="1005" t="str">
        <f>'G-1 All Habitats'!B70</f>
        <v>Urban - Biodiverse green roof</v>
      </c>
      <c r="B94" s="322" t="str">
        <f>'G-1 All Habitats'!N70</f>
        <v>Medium</v>
      </c>
      <c r="C94" s="322">
        <f>'G-1 All Habitats'!O70</f>
        <v>0.67</v>
      </c>
      <c r="D94" s="322" t="str">
        <f>'G-1 All Habitats'!P70</f>
        <v>Medium</v>
      </c>
      <c r="E94" s="363">
        <f>'G-1 All Habitats'!Q70</f>
        <v>0.67</v>
      </c>
    </row>
    <row r="95" spans="1:5" x14ac:dyDescent="0.25">
      <c r="A95" s="1005" t="str">
        <f>'G-1 All Habitats'!B71</f>
        <v>Urban - Introduced shrub</v>
      </c>
      <c r="B95" s="322" t="str">
        <f>'G-1 All Habitats'!N71</f>
        <v>Low</v>
      </c>
      <c r="C95" s="322">
        <f>'G-1 All Habitats'!O71</f>
        <v>1</v>
      </c>
      <c r="D95" s="322" t="str">
        <f>'G-1 All Habitats'!P71</f>
        <v>Low</v>
      </c>
      <c r="E95" s="363">
        <f>'G-1 All Habitats'!Q71</f>
        <v>1</v>
      </c>
    </row>
    <row r="96" spans="1:5" x14ac:dyDescent="0.25">
      <c r="A96" s="1005" t="str">
        <f>'G-1 All Habitats'!B72</f>
        <v>Urban - Open mosaic habitats on previously developed land</v>
      </c>
      <c r="B96" s="322" t="str">
        <f>'G-1 All Habitats'!N72</f>
        <v>Medium</v>
      </c>
      <c r="C96" s="322">
        <f>'G-1 All Habitats'!O72</f>
        <v>0.67</v>
      </c>
      <c r="D96" s="322" t="str">
        <f>'G-1 All Habitats'!P72</f>
        <v>Medium</v>
      </c>
      <c r="E96" s="363">
        <f>'G-1 All Habitats'!Q72</f>
        <v>0.67</v>
      </c>
    </row>
    <row r="97" spans="1:5" x14ac:dyDescent="0.25">
      <c r="A97" s="1005" t="str">
        <f>'G-1 All Habitats'!B73</f>
        <v>Urban - Rain garden</v>
      </c>
      <c r="B97" s="322" t="str">
        <f>'G-1 All Habitats'!N73</f>
        <v>Low</v>
      </c>
      <c r="C97" s="322">
        <f>'G-1 All Habitats'!O73</f>
        <v>1</v>
      </c>
      <c r="D97" s="322" t="str">
        <f>'G-1 All Habitats'!P73</f>
        <v>Low</v>
      </c>
      <c r="E97" s="363">
        <f>'G-1 All Habitats'!Q73</f>
        <v>1</v>
      </c>
    </row>
    <row r="98" spans="1:5" x14ac:dyDescent="0.25">
      <c r="A98" s="1005" t="str">
        <f>'G-1 All Habitats'!B74</f>
        <v>Urban - Actively worked sand pit quarry or open cast mine</v>
      </c>
      <c r="B98" s="322" t="str">
        <f>'G-1 All Habitats'!N74</f>
        <v>Medium</v>
      </c>
      <c r="C98" s="322">
        <f>'G-1 All Habitats'!O74</f>
        <v>0.67</v>
      </c>
      <c r="D98" s="322" t="str">
        <f>'G-1 All Habitats'!P74</f>
        <v>Low</v>
      </c>
      <c r="E98" s="363">
        <f>'G-1 All Habitats'!Q74</f>
        <v>1</v>
      </c>
    </row>
    <row r="99" spans="1:5" x14ac:dyDescent="0.25">
      <c r="A99" s="1005" t="str">
        <f>'G-1 All Habitats'!B80</f>
        <v>Individual trees - Urban tree</v>
      </c>
      <c r="B99" s="322" t="str">
        <f>'G-1 All Habitats'!N80</f>
        <v>Low</v>
      </c>
      <c r="C99" s="322">
        <f>'G-1 All Habitats'!O80</f>
        <v>1</v>
      </c>
      <c r="D99" s="322" t="str">
        <f>'G-1 All Habitats'!P80</f>
        <v>Low</v>
      </c>
      <c r="E99" s="363">
        <f>'G-1 All Habitats'!Q80</f>
        <v>1</v>
      </c>
    </row>
    <row r="100" spans="1:5" x14ac:dyDescent="0.25">
      <c r="A100" s="1005" t="str">
        <f>'G-1 All Habitats'!B75</f>
        <v>Urban - Sustainable drainage system</v>
      </c>
      <c r="B100" s="322" t="str">
        <f>'G-1 All Habitats'!N75</f>
        <v>Medium</v>
      </c>
      <c r="C100" s="322">
        <f>'G-1 All Habitats'!O75</f>
        <v>0.67</v>
      </c>
      <c r="D100" s="322" t="str">
        <f>'G-1 All Habitats'!P75</f>
        <v>Medium</v>
      </c>
      <c r="E100" s="363">
        <f>'G-1 All Habitats'!Q75</f>
        <v>0.67</v>
      </c>
    </row>
    <row r="101" spans="1:5" x14ac:dyDescent="0.25">
      <c r="A101" s="1005" t="str">
        <f>'G-1 All Habitats'!B76</f>
        <v>Urban - Unvegetated garden</v>
      </c>
      <c r="B101" s="322" t="str">
        <f>'G-1 All Habitats'!N76</f>
        <v>Low</v>
      </c>
      <c r="C101" s="322">
        <f>'G-1 All Habitats'!O76</f>
        <v>1</v>
      </c>
      <c r="D101" s="322" t="str">
        <f>'G-1 All Habitats'!P76</f>
        <v>Low</v>
      </c>
      <c r="E101" s="363">
        <f>'G-1 All Habitats'!Q76</f>
        <v>1</v>
      </c>
    </row>
    <row r="102" spans="1:5" x14ac:dyDescent="0.25">
      <c r="A102" s="1005" t="str">
        <f>'G-1 All Habitats'!B79</f>
        <v>Urban - Vegetated garden</v>
      </c>
      <c r="B102" s="322" t="str">
        <f>'G-1 All Habitats'!N79</f>
        <v>Low</v>
      </c>
      <c r="C102" s="322">
        <f>'G-1 All Habitats'!O79</f>
        <v>1</v>
      </c>
      <c r="D102" s="322" t="str">
        <f>'G-1 All Habitats'!P79</f>
        <v>Low</v>
      </c>
      <c r="E102" s="363">
        <f>'G-1 All Habitats'!Q79</f>
        <v>1</v>
      </c>
    </row>
    <row r="103" spans="1:5" x14ac:dyDescent="0.25">
      <c r="A103" s="1005" t="str">
        <f>'G-1 All Habitats'!B82</f>
        <v>Wetland - Blanket bog</v>
      </c>
      <c r="B103" s="322" t="str">
        <f>'G-1 All Habitats'!N82</f>
        <v>Very High</v>
      </c>
      <c r="C103" s="322">
        <f>'G-1 All Habitats'!O82</f>
        <v>0.1</v>
      </c>
      <c r="D103" s="322" t="str">
        <f>'G-1 All Habitats'!P82</f>
        <v>High</v>
      </c>
      <c r="E103" s="363">
        <f>'G-1 All Habitats'!Q82</f>
        <v>0.33</v>
      </c>
    </row>
    <row r="104" spans="1:5" x14ac:dyDescent="0.25">
      <c r="A104" s="1005" t="str">
        <f>'G-1 All Habitats'!B83</f>
        <v>Wetland - Depressions on peat substrates (H7150)</v>
      </c>
      <c r="B104" s="322" t="str">
        <f>'G-1 All Habitats'!N83</f>
        <v>Very High</v>
      </c>
      <c r="C104" s="322">
        <f>'G-1 All Habitats'!O83</f>
        <v>0.1</v>
      </c>
      <c r="D104" s="322" t="str">
        <f>'G-1 All Habitats'!P83</f>
        <v>High</v>
      </c>
      <c r="E104" s="363">
        <f>'G-1 All Habitats'!Q83</f>
        <v>0.33</v>
      </c>
    </row>
    <row r="105" spans="1:5" x14ac:dyDescent="0.25">
      <c r="A105" s="1005" t="str">
        <f>'G-1 All Habitats'!B84</f>
        <v>Wetland - Fens (upland and lowland)</v>
      </c>
      <c r="B105" s="322" t="str">
        <f>'G-1 All Habitats'!N84</f>
        <v>High</v>
      </c>
      <c r="C105" s="322">
        <f>'G-1 All Habitats'!O84</f>
        <v>0.33</v>
      </c>
      <c r="D105" s="322" t="str">
        <f>'G-1 All Habitats'!P84</f>
        <v>High</v>
      </c>
      <c r="E105" s="363">
        <f>'G-1 All Habitats'!Q84</f>
        <v>0.33</v>
      </c>
    </row>
    <row r="106" spans="1:5" x14ac:dyDescent="0.25">
      <c r="A106" s="1005" t="str">
        <f>'G-1 All Habitats'!B85</f>
        <v>Wetland - Lowland raised bog</v>
      </c>
      <c r="B106" s="322" t="str">
        <f>'G-1 All Habitats'!N85</f>
        <v>Very High</v>
      </c>
      <c r="C106" s="322">
        <f>'G-1 All Habitats'!O85</f>
        <v>0.1</v>
      </c>
      <c r="D106" s="322" t="str">
        <f>'G-1 All Habitats'!P85</f>
        <v>High</v>
      </c>
      <c r="E106" s="363">
        <f>'G-1 All Habitats'!Q85</f>
        <v>0.33</v>
      </c>
    </row>
    <row r="107" spans="1:5" x14ac:dyDescent="0.25">
      <c r="A107" s="1005" t="str">
        <f>'G-1 All Habitats'!B86</f>
        <v>Wetland - Oceanic valley mire[1] (D2.1)</v>
      </c>
      <c r="B107" s="322" t="str">
        <f>'G-1 All Habitats'!N86</f>
        <v>Very High</v>
      </c>
      <c r="C107" s="322">
        <f>'G-1 All Habitats'!O86</f>
        <v>0.1</v>
      </c>
      <c r="D107" s="322" t="str">
        <f>'G-1 All Habitats'!P86</f>
        <v>High</v>
      </c>
      <c r="E107" s="363">
        <f>'G-1 All Habitats'!Q86</f>
        <v>0.33</v>
      </c>
    </row>
    <row r="108" spans="1:5" x14ac:dyDescent="0.25">
      <c r="A108" s="1005" t="str">
        <f>'G-1 All Habitats'!B87</f>
        <v>Wetland - Purple moor grass and rush pastures</v>
      </c>
      <c r="B108" s="322" t="str">
        <f>'G-1 All Habitats'!N87</f>
        <v>High</v>
      </c>
      <c r="C108" s="322">
        <f>'G-1 All Habitats'!O87</f>
        <v>0.33</v>
      </c>
      <c r="D108" s="322" t="str">
        <f>'G-1 All Habitats'!P87</f>
        <v>High</v>
      </c>
      <c r="E108" s="363">
        <f>'G-1 All Habitats'!Q87</f>
        <v>0.33</v>
      </c>
    </row>
    <row r="109" spans="1:5" x14ac:dyDescent="0.25">
      <c r="A109" s="1005" t="str">
        <f>'G-1 All Habitats'!B88</f>
        <v>Wetland - Reedbeds</v>
      </c>
      <c r="B109" s="322" t="str">
        <f>'G-1 All Habitats'!N88</f>
        <v>Medium</v>
      </c>
      <c r="C109" s="322">
        <f>'G-1 All Habitats'!O88</f>
        <v>0.67</v>
      </c>
      <c r="D109" s="322" t="str">
        <f>'G-1 All Habitats'!P88</f>
        <v>Medium</v>
      </c>
      <c r="E109" s="363">
        <f>'G-1 All Habitats'!Q88</f>
        <v>0.67</v>
      </c>
    </row>
    <row r="110" spans="1:5" x14ac:dyDescent="0.25">
      <c r="A110" s="1005" t="str">
        <f>'G-1 All Habitats'!B89</f>
        <v>Wetland - Transition mires and quaking bogs (H7140)</v>
      </c>
      <c r="B110" s="322" t="str">
        <f>'G-1 All Habitats'!N89</f>
        <v>Very High</v>
      </c>
      <c r="C110" s="322">
        <f>'G-1 All Habitats'!O89</f>
        <v>0.1</v>
      </c>
      <c r="D110" s="322" t="str">
        <f>'G-1 All Habitats'!P89</f>
        <v>High</v>
      </c>
      <c r="E110" s="363">
        <f>'G-1 All Habitats'!Q89</f>
        <v>0.33</v>
      </c>
    </row>
    <row r="111" spans="1:5" x14ac:dyDescent="0.25">
      <c r="A111" s="1005" t="str">
        <f>'G-1 All Habitats'!B90</f>
        <v>Woodland and forest - Felled</v>
      </c>
      <c r="B111" s="322" t="s">
        <v>292</v>
      </c>
      <c r="C111" s="322">
        <f>'G-1 All Habitats'!O90</f>
        <v>0.33</v>
      </c>
      <c r="D111" s="322" t="str">
        <f>'G-1 All Habitats'!P90</f>
        <v>Low</v>
      </c>
      <c r="E111" s="363">
        <f>'G-1 All Habitats'!Q90</f>
        <v>1</v>
      </c>
    </row>
    <row r="112" spans="1:5" x14ac:dyDescent="0.25">
      <c r="A112" s="1005" t="str">
        <f>'G-1 All Habitats'!B91</f>
        <v>Woodland and forest - Lowland beech and yew woodland</v>
      </c>
      <c r="B112" s="322" t="str">
        <f>'G-1 All Habitats'!N91</f>
        <v>High</v>
      </c>
      <c r="C112" s="322">
        <f>'G-1 All Habitats'!O91</f>
        <v>0.33</v>
      </c>
      <c r="D112" s="322" t="str">
        <f>'G-1 All Habitats'!P91</f>
        <v>High</v>
      </c>
      <c r="E112" s="363">
        <f>'G-1 All Habitats'!Q91</f>
        <v>0.33</v>
      </c>
    </row>
    <row r="113" spans="1:5" x14ac:dyDescent="0.25">
      <c r="A113" s="1005" t="str">
        <f>'G-1 All Habitats'!B92</f>
        <v>Woodland and forest - Lowland mixed deciduous woodland</v>
      </c>
      <c r="B113" s="322" t="str">
        <f>'G-1 All Habitats'!N92</f>
        <v>High</v>
      </c>
      <c r="C113" s="322">
        <f>'G-1 All Habitats'!O92</f>
        <v>0.33</v>
      </c>
      <c r="D113" s="322" t="str">
        <f>'G-1 All Habitats'!P92</f>
        <v>High</v>
      </c>
      <c r="E113" s="363">
        <f>'G-1 All Habitats'!Q92</f>
        <v>0.33</v>
      </c>
    </row>
    <row r="114" spans="1:5" x14ac:dyDescent="0.25">
      <c r="A114" s="1005" t="str">
        <f>'G-1 All Habitats'!B93</f>
        <v>Woodland and forest - Native pine woodlands</v>
      </c>
      <c r="B114" s="322" t="str">
        <f>'G-1 All Habitats'!N93</f>
        <v>High</v>
      </c>
      <c r="C114" s="322">
        <f>'G-1 All Habitats'!O93</f>
        <v>0.33</v>
      </c>
      <c r="D114" s="322" t="str">
        <f>'G-1 All Habitats'!P93</f>
        <v>High</v>
      </c>
      <c r="E114" s="363">
        <f>'G-1 All Habitats'!Q93</f>
        <v>0.33</v>
      </c>
    </row>
    <row r="115" spans="1:5" x14ac:dyDescent="0.25">
      <c r="A115" s="1005" t="str">
        <f>'G-1 All Habitats'!B94</f>
        <v>Woodland and forest - Other coniferous woodland</v>
      </c>
      <c r="B115" s="322" t="str">
        <f>'G-1 All Habitats'!N94</f>
        <v>Low</v>
      </c>
      <c r="C115" s="322">
        <f>'G-1 All Habitats'!O94</f>
        <v>1</v>
      </c>
      <c r="D115" s="322" t="str">
        <f>'G-1 All Habitats'!P94</f>
        <v>Low</v>
      </c>
      <c r="E115" s="363">
        <f>'G-1 All Habitats'!Q94</f>
        <v>1</v>
      </c>
    </row>
    <row r="116" spans="1:5" x14ac:dyDescent="0.25">
      <c r="A116" s="1005" t="str">
        <f>'G-1 All Habitats'!B95</f>
        <v>Woodland and forest - Other Scot's pine woodland</v>
      </c>
      <c r="B116" s="322" t="str">
        <f>'G-1 All Habitats'!N95</f>
        <v>Medium</v>
      </c>
      <c r="C116" s="322">
        <f>'G-1 All Habitats'!O95</f>
        <v>0.67</v>
      </c>
      <c r="D116" s="322" t="str">
        <f>'G-1 All Habitats'!P95</f>
        <v>Medium</v>
      </c>
      <c r="E116" s="363">
        <f>'G-1 All Habitats'!Q95</f>
        <v>0.67</v>
      </c>
    </row>
    <row r="117" spans="1:5" x14ac:dyDescent="0.25">
      <c r="A117" s="1005" t="str">
        <f>'G-1 All Habitats'!B96</f>
        <v>Woodland and forest - Other woodland; broadleaved</v>
      </c>
      <c r="B117" s="322" t="str">
        <f>'G-1 All Habitats'!N96</f>
        <v>Low</v>
      </c>
      <c r="C117" s="322">
        <f>'G-1 All Habitats'!O96</f>
        <v>1</v>
      </c>
      <c r="D117" s="322" t="str">
        <f>'G-1 All Habitats'!P96</f>
        <v>Low</v>
      </c>
      <c r="E117" s="363">
        <f>'G-1 All Habitats'!Q96</f>
        <v>1</v>
      </c>
    </row>
    <row r="118" spans="1:5" x14ac:dyDescent="0.25">
      <c r="A118" s="1005" t="str">
        <f>'G-1 All Habitats'!B97</f>
        <v>Woodland and forest - Other woodland; mixed</v>
      </c>
      <c r="B118" s="322" t="str">
        <f>'G-1 All Habitats'!N97</f>
        <v>Low</v>
      </c>
      <c r="C118" s="322">
        <f>'G-1 All Habitats'!O97</f>
        <v>1</v>
      </c>
      <c r="D118" s="322" t="str">
        <f>'G-1 All Habitats'!P97</f>
        <v>Low</v>
      </c>
      <c r="E118" s="363">
        <f>'G-1 All Habitats'!Q97</f>
        <v>1</v>
      </c>
    </row>
    <row r="119" spans="1:5" x14ac:dyDescent="0.25">
      <c r="A119" s="1005" t="str">
        <f>'G-1 All Habitats'!B98</f>
        <v>Woodland and forest - Upland birchwoods</v>
      </c>
      <c r="B119" s="322" t="str">
        <f>'G-1 All Habitats'!N98</f>
        <v>Medium</v>
      </c>
      <c r="C119" s="322">
        <f>'G-1 All Habitats'!O98</f>
        <v>0.67</v>
      </c>
      <c r="D119" s="322" t="str">
        <f>'G-1 All Habitats'!P98</f>
        <v>Medium</v>
      </c>
      <c r="E119" s="363">
        <f>'G-1 All Habitats'!Q98</f>
        <v>0.67</v>
      </c>
    </row>
    <row r="120" spans="1:5" x14ac:dyDescent="0.25">
      <c r="A120" s="1005" t="str">
        <f>'G-1 All Habitats'!B99</f>
        <v>Woodland and forest - Upland mixed ashwoods</v>
      </c>
      <c r="B120" s="322" t="str">
        <f>'G-1 All Habitats'!N99</f>
        <v>High</v>
      </c>
      <c r="C120" s="322">
        <f>'G-1 All Habitats'!O99</f>
        <v>0.33</v>
      </c>
      <c r="D120" s="322" t="str">
        <f>'G-1 All Habitats'!P99</f>
        <v>High</v>
      </c>
      <c r="E120" s="363">
        <f>'G-1 All Habitats'!Q99</f>
        <v>0.33</v>
      </c>
    </row>
    <row r="121" spans="1:5" x14ac:dyDescent="0.25">
      <c r="A121" s="1005" t="str">
        <f>'G-1 All Habitats'!B100</f>
        <v>Woodland and forest - Upland oakwood</v>
      </c>
      <c r="B121" s="322" t="str">
        <f>'G-1 All Habitats'!N100</f>
        <v>High</v>
      </c>
      <c r="C121" s="322">
        <f>'G-1 All Habitats'!O100</f>
        <v>0.33</v>
      </c>
      <c r="D121" s="322" t="str">
        <f>'G-1 All Habitats'!P100</f>
        <v>High</v>
      </c>
      <c r="E121" s="363">
        <f>'G-1 All Habitats'!Q100</f>
        <v>0.33</v>
      </c>
    </row>
    <row r="122" spans="1:5" x14ac:dyDescent="0.25">
      <c r="A122" s="1005" t="str">
        <f>'G-1 All Habitats'!B101</f>
        <v>Woodland and forest - Wet woodland</v>
      </c>
      <c r="B122" s="322" t="str">
        <f>'G-1 All Habitats'!N101</f>
        <v>Medium</v>
      </c>
      <c r="C122" s="322">
        <f>'G-1 All Habitats'!O101</f>
        <v>0.67</v>
      </c>
      <c r="D122" s="322" t="str">
        <f>'G-1 All Habitats'!P101</f>
        <v>Medium</v>
      </c>
      <c r="E122" s="363">
        <f>'G-1 All Habitats'!Q101</f>
        <v>0.67</v>
      </c>
    </row>
    <row r="123" spans="1:5" x14ac:dyDescent="0.25">
      <c r="A123" s="1005" t="str">
        <f>'G-1 All Habitats'!B102</f>
        <v>Woodland and forest - Wood-pasture and parkland</v>
      </c>
      <c r="B123" s="322" t="str">
        <f>'G-1 All Habitats'!N102</f>
        <v>Very High</v>
      </c>
      <c r="C123" s="322">
        <f>'G-1 All Habitats'!O102</f>
        <v>0.1</v>
      </c>
      <c r="D123" s="322" t="str">
        <f>'G-1 All Habitats'!P102</f>
        <v>High</v>
      </c>
      <c r="E123" s="363">
        <f>'G-1 All Habitats'!Q102</f>
        <v>0.33</v>
      </c>
    </row>
    <row r="124" spans="1:5" x14ac:dyDescent="0.25">
      <c r="A124" s="1005" t="str">
        <f>'G-1 All Habitats'!B130</f>
        <v>Intertidal sediment - Littoral sand</v>
      </c>
      <c r="B124" s="322" t="str">
        <f>'G-1 All Habitats'!N130</f>
        <v>Medium</v>
      </c>
      <c r="C124" s="322">
        <f>'G-1 All Habitats'!O130</f>
        <v>0.67</v>
      </c>
      <c r="D124" s="322" t="str">
        <f>'G-1 All Habitats'!P130</f>
        <v>Medium</v>
      </c>
      <c r="E124" s="363">
        <f>'G-1 All Habitats'!Q130</f>
        <v>0.67</v>
      </c>
    </row>
    <row r="125" spans="1:5" x14ac:dyDescent="0.25">
      <c r="A125" s="1005" t="str">
        <f>'G-1 All Habitats'!B131</f>
        <v>Intertidal sediment - Littoral muddy sand</v>
      </c>
      <c r="B125" s="322" t="str">
        <f>'G-1 All Habitats'!N131</f>
        <v>High</v>
      </c>
      <c r="C125" s="322">
        <f>'G-1 All Habitats'!O131</f>
        <v>0.33</v>
      </c>
      <c r="D125" s="322" t="str">
        <f>'G-1 All Habitats'!P131</f>
        <v>Medium</v>
      </c>
      <c r="E125" s="363">
        <f>'G-1 All Habitats'!Q131</f>
        <v>0.67</v>
      </c>
    </row>
    <row r="126" spans="1:5" x14ac:dyDescent="0.25">
      <c r="A126" s="1005" t="str">
        <f>'G-1 All Habitats'!B132</f>
        <v>Intertidal hard structures - Artificial hard structures</v>
      </c>
      <c r="B126" s="322" t="str">
        <f>'G-1 All Habitats'!N132</f>
        <v>Medium</v>
      </c>
      <c r="C126" s="322">
        <f>'G-1 All Habitats'!O132</f>
        <v>0.67</v>
      </c>
      <c r="D126" s="322" t="str">
        <f>'G-1 All Habitats'!P132</f>
        <v>Medium</v>
      </c>
      <c r="E126" s="363">
        <f>'G-1 All Habitats'!Q132</f>
        <v>0.67</v>
      </c>
    </row>
    <row r="127" spans="1:5" x14ac:dyDescent="0.25">
      <c r="A127" s="1005" t="str">
        <f>'G-1 All Habitats'!B133</f>
        <v>Intertidal hard structures - Artificial features of hard structures</v>
      </c>
      <c r="B127" s="322" t="str">
        <f>'G-1 All Habitats'!N133</f>
        <v>Medium</v>
      </c>
      <c r="C127" s="322">
        <f>'G-1 All Habitats'!O133</f>
        <v>0.67</v>
      </c>
      <c r="D127" s="322" t="str">
        <f>'G-1 All Habitats'!P133</f>
        <v>Medium</v>
      </c>
      <c r="E127" s="363">
        <f>'G-1 All Habitats'!Q133</f>
        <v>0.67</v>
      </c>
    </row>
    <row r="128" spans="1:5" x14ac:dyDescent="0.25">
      <c r="A128" s="1005" t="str">
        <f>'G-1 All Habitats'!B134</f>
        <v>Intertidal hard structures - Artificial hard structures with integrated greening of grey infrastructure (IGGI)</v>
      </c>
      <c r="B128" s="322" t="str">
        <f>'G-1 All Habitats'!N134</f>
        <v>Medium</v>
      </c>
      <c r="C128" s="322">
        <f>'G-1 All Habitats'!O134</f>
        <v>0.67</v>
      </c>
      <c r="D128" s="322" t="str">
        <f>'G-1 All Habitats'!P134</f>
        <v>Medium</v>
      </c>
      <c r="E128" s="363">
        <f>'G-1 All Habitats'!Q134</f>
        <v>0.67</v>
      </c>
    </row>
    <row r="129" spans="1:5" x14ac:dyDescent="0.25">
      <c r="A129" s="1005" t="str">
        <f>'G-1 All Habitats'!B114</f>
        <v>Coastal saltmarsh - Artificial saltmarshes and saline reedbeds</v>
      </c>
      <c r="B129" s="322" t="str">
        <f>'G-1 All Habitats'!N114</f>
        <v>High</v>
      </c>
      <c r="C129" s="322">
        <f>'G-1 All Habitats'!O114</f>
        <v>0.33</v>
      </c>
      <c r="D129" s="322" t="str">
        <f>'G-1 All Habitats'!P114</f>
        <v>Medium</v>
      </c>
      <c r="E129" s="363">
        <f>'G-1 All Habitats'!Q114</f>
        <v>0.67</v>
      </c>
    </row>
    <row r="130" spans="1:5" x14ac:dyDescent="0.25">
      <c r="A130" s="1005" t="str">
        <f>'G-1 All Habitats'!B120</f>
        <v>Intertidal sediment - Littoral biogenic reefs - Mussels</v>
      </c>
      <c r="B130" s="322" t="str">
        <f>'G-1 All Habitats'!N120</f>
        <v>High</v>
      </c>
      <c r="C130" s="322">
        <f>'G-1 All Habitats'!O120</f>
        <v>0.33</v>
      </c>
      <c r="D130" s="322" t="str">
        <f>'G-1 All Habitats'!P120</f>
        <v>Medium</v>
      </c>
      <c r="E130" s="363">
        <f>'G-1 All Habitats'!Q120</f>
        <v>0.67</v>
      </c>
    </row>
    <row r="131" spans="1:5" x14ac:dyDescent="0.25">
      <c r="A131" s="1005" t="str">
        <f>'G-1 All Habitats'!B124</f>
        <v>Intertidal sediment - Artificial littoral mud</v>
      </c>
      <c r="B131" s="322" t="str">
        <f>'G-1 All Habitats'!N124</f>
        <v>High</v>
      </c>
      <c r="C131" s="322">
        <f>'G-1 All Habitats'!O124</f>
        <v>0.33</v>
      </c>
      <c r="D131" s="322" t="str">
        <f>'G-1 All Habitats'!P124</f>
        <v>Medium</v>
      </c>
      <c r="E131" s="363">
        <f>'G-1 All Habitats'!Q124</f>
        <v>0.67</v>
      </c>
    </row>
    <row r="132" spans="1:5" x14ac:dyDescent="0.25">
      <c r="A132" s="1005" t="str">
        <f>'G-1 All Habitats'!B125</f>
        <v>Intertidal sediment - Artificial littoral sand</v>
      </c>
      <c r="B132" s="322" t="str">
        <f>'G-1 All Habitats'!N125</f>
        <v>Medium</v>
      </c>
      <c r="C132" s="322">
        <f>'G-1 All Habitats'!O125</f>
        <v>0.67</v>
      </c>
      <c r="D132" s="322" t="str">
        <f>'G-1 All Habitats'!P125</f>
        <v>Medium</v>
      </c>
      <c r="E132" s="363">
        <f>'G-1 All Habitats'!Q125</f>
        <v>0.67</v>
      </c>
    </row>
    <row r="133" spans="1:5" x14ac:dyDescent="0.25">
      <c r="A133" s="1005" t="s">
        <v>1026</v>
      </c>
      <c r="B133" s="322" t="s">
        <v>295</v>
      </c>
      <c r="C133" s="322">
        <v>1</v>
      </c>
      <c r="D133" s="322" t="s">
        <v>295</v>
      </c>
      <c r="E133" s="363">
        <v>1</v>
      </c>
    </row>
    <row r="134" spans="1:5" ht="14.4" thickBot="1" x14ac:dyDescent="0.3">
      <c r="A134" s="1006" t="str">
        <f>'G-1 All Habitats'!B81</f>
        <v>Individual trees - Rural tree</v>
      </c>
      <c r="B134" s="307" t="str">
        <f>'G-1 All Habitats'!N81</f>
        <v>Low</v>
      </c>
      <c r="C134" s="307">
        <f>'G-1 All Habitats'!O81</f>
        <v>1</v>
      </c>
      <c r="D134" s="307" t="str">
        <f>'G-1 All Habitats'!P81</f>
        <v>Low</v>
      </c>
      <c r="E134" s="355">
        <f>'G-1 All Habitats'!Q81</f>
        <v>1</v>
      </c>
    </row>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row r="143" spans="1:5" x14ac:dyDescent="0.25"/>
    <row r="144" spans="1:5" x14ac:dyDescent="0.25"/>
    <row r="145" x14ac:dyDescent="0.25"/>
    <row r="146" x14ac:dyDescent="0.25"/>
  </sheetData>
  <sheetProtection algorithmName="SHA-512" hashValue="M9zSl3/ELiYr/qmTW3Y8xQbaOwg02N1h5eLXEd9MzxZq+ntB5Os5Rgb+SlLnQin6qL404AEkhKHE+7l2WI6j1w==" saltValue="0NW1Rcgb4tHAccw4q98MlA==" spinCount="100000" sheet="1" objects="1" scenarios="1"/>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34 B3:B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F153"/>
  <sheetViews>
    <sheetView zoomScale="80" zoomScaleNormal="80" workbookViewId="0">
      <pane xSplit="6" ySplit="3" topLeftCell="G4" activePane="bottomRight" state="frozen"/>
      <selection pane="topRight" activeCell="G1" sqref="G1"/>
      <selection pane="bottomLeft" activeCell="A4" sqref="A4"/>
      <selection pane="bottomRight" sqref="A1:C1"/>
    </sheetView>
  </sheetViews>
  <sheetFormatPr defaultColWidth="0" defaultRowHeight="13.8" zeroHeight="1" x14ac:dyDescent="0.25"/>
  <cols>
    <col min="1" max="1" width="14.5546875" style="30" hidden="1" customWidth="1"/>
    <col min="2" max="2" width="16.5546875" style="30" hidden="1" customWidth="1"/>
    <col min="3" max="3" width="16.44140625" style="30" hidden="1" customWidth="1"/>
    <col min="4" max="4" width="3" style="30" customWidth="1"/>
    <col min="5" max="5" width="4.33203125" style="30" customWidth="1"/>
    <col min="6" max="6" width="88.6640625" style="30" bestFit="1" customWidth="1"/>
    <col min="7" max="7" width="16.44140625" style="30" customWidth="1"/>
    <col min="8" max="8" width="18.5546875" style="30" bestFit="1" customWidth="1"/>
    <col min="9" max="9" width="16.6640625" style="30" bestFit="1" customWidth="1"/>
    <col min="10" max="10" width="17.6640625" style="30" bestFit="1" customWidth="1"/>
    <col min="11" max="11" width="16" style="30" customWidth="1"/>
    <col min="12" max="12" width="23.5546875" style="30" bestFit="1" customWidth="1"/>
    <col min="13" max="13" width="18.5546875" style="30" bestFit="1" customWidth="1"/>
    <col min="14" max="14" width="9.33203125" style="30" customWidth="1"/>
    <col min="15" max="16" width="12.33203125" style="30" hidden="1" customWidth="1"/>
    <col min="17" max="17" width="12.6640625" style="30" hidden="1" customWidth="1"/>
    <col min="18" max="18" width="11.44140625" style="30" hidden="1" customWidth="1"/>
    <col min="19" max="29" width="9.33203125" style="30" hidden="1" customWidth="1"/>
    <col min="30" max="32" width="9.33203125" style="30" customWidth="1"/>
    <col min="33" max="16384" width="13.6640625" style="30" hidden="1"/>
  </cols>
  <sheetData>
    <row r="1" spans="1:13" ht="55.35" customHeight="1" x14ac:dyDescent="0.5">
      <c r="A1" s="1777"/>
      <c r="B1" s="1777"/>
      <c r="C1" s="1777"/>
      <c r="F1" s="186"/>
      <c r="G1" s="186"/>
      <c r="H1" s="186"/>
      <c r="I1" s="186"/>
      <c r="J1" s="186"/>
      <c r="K1" s="186"/>
      <c r="L1" s="186"/>
      <c r="M1" s="186"/>
    </row>
    <row r="2" spans="1:13" ht="29.7" customHeight="1" x14ac:dyDescent="0.5">
      <c r="A2" s="1881" t="s">
        <v>1136</v>
      </c>
      <c r="B2" s="1881"/>
      <c r="C2" s="1881"/>
      <c r="F2" s="187"/>
      <c r="G2" s="1882" t="s">
        <v>690</v>
      </c>
      <c r="H2" s="1882"/>
      <c r="I2" s="1882"/>
      <c r="J2" s="1882"/>
      <c r="K2" s="1882"/>
      <c r="L2" s="1882"/>
      <c r="M2" s="1883"/>
    </row>
    <row r="3" spans="1:13" ht="27.6" x14ac:dyDescent="0.25">
      <c r="A3" s="69" t="s">
        <v>1137</v>
      </c>
      <c r="B3" s="69" t="s">
        <v>1138</v>
      </c>
      <c r="C3" s="69" t="s">
        <v>1139</v>
      </c>
      <c r="F3" s="188" t="s">
        <v>1033</v>
      </c>
      <c r="G3" s="70" t="s">
        <v>38</v>
      </c>
      <c r="H3" s="70" t="s">
        <v>605</v>
      </c>
      <c r="I3" s="70" t="s">
        <v>37</v>
      </c>
      <c r="J3" s="70" t="s">
        <v>614</v>
      </c>
      <c r="K3" s="91" t="s">
        <v>453</v>
      </c>
      <c r="L3" s="91" t="s">
        <v>624</v>
      </c>
      <c r="M3" s="70" t="s">
        <v>630</v>
      </c>
    </row>
    <row r="4" spans="1:13" x14ac:dyDescent="0.25">
      <c r="A4" s="70">
        <v>0</v>
      </c>
      <c r="B4" s="322">
        <v>100</v>
      </c>
      <c r="C4" s="389">
        <v>1</v>
      </c>
      <c r="F4" s="62" t="str">
        <f>'G-1 All Habitats'!B3</f>
        <v>Cropland - Arable field margins cultivated annually</v>
      </c>
      <c r="G4" s="322" t="s">
        <v>1140</v>
      </c>
      <c r="H4" s="322" t="s">
        <v>1140</v>
      </c>
      <c r="I4" s="322" t="s">
        <v>1140</v>
      </c>
      <c r="J4" s="322" t="s">
        <v>1140</v>
      </c>
      <c r="K4" s="322" t="s">
        <v>1140</v>
      </c>
      <c r="L4" s="322">
        <v>1</v>
      </c>
      <c r="M4" s="322" t="s">
        <v>1140</v>
      </c>
    </row>
    <row r="5" spans="1:13" x14ac:dyDescent="0.25">
      <c r="A5" s="70">
        <v>1</v>
      </c>
      <c r="B5" s="322">
        <v>96.5</v>
      </c>
      <c r="C5" s="389">
        <v>0.96499999999999997</v>
      </c>
      <c r="F5" s="62" t="str">
        <f>'G-1 All Habitats'!B4</f>
        <v>Cropland - Arable field margins game bird mix</v>
      </c>
      <c r="G5" s="322" t="s">
        <v>1140</v>
      </c>
      <c r="H5" s="322" t="s">
        <v>1140</v>
      </c>
      <c r="I5" s="322" t="s">
        <v>1140</v>
      </c>
      <c r="J5" s="322" t="s">
        <v>1140</v>
      </c>
      <c r="K5" s="322" t="s">
        <v>1140</v>
      </c>
      <c r="L5" s="322">
        <v>1</v>
      </c>
      <c r="M5" s="322" t="s">
        <v>1140</v>
      </c>
    </row>
    <row r="6" spans="1:13" x14ac:dyDescent="0.25">
      <c r="A6" s="70">
        <v>2</v>
      </c>
      <c r="B6" s="322">
        <v>93.122500000000002</v>
      </c>
      <c r="C6" s="389">
        <v>0.93122499999999997</v>
      </c>
      <c r="F6" s="62" t="str">
        <f>'G-1 All Habitats'!B5</f>
        <v>Cropland - Arable field margins pollen and nectar</v>
      </c>
      <c r="G6" s="322" t="s">
        <v>1140</v>
      </c>
      <c r="H6" s="322" t="s">
        <v>1140</v>
      </c>
      <c r="I6" s="322" t="s">
        <v>1140</v>
      </c>
      <c r="J6" s="322" t="s">
        <v>1140</v>
      </c>
      <c r="K6" s="322" t="s">
        <v>1140</v>
      </c>
      <c r="L6" s="322">
        <v>1</v>
      </c>
      <c r="M6" s="322" t="s">
        <v>1140</v>
      </c>
    </row>
    <row r="7" spans="1:13" x14ac:dyDescent="0.25">
      <c r="A7" s="70">
        <v>3</v>
      </c>
      <c r="B7" s="322">
        <v>89.863212500000003</v>
      </c>
      <c r="C7" s="389">
        <v>0.898632125</v>
      </c>
      <c r="F7" s="62" t="str">
        <f>'G-1 All Habitats'!B6</f>
        <v>Cropland - Arable field margins tussocky</v>
      </c>
      <c r="G7" s="322" t="s">
        <v>1140</v>
      </c>
      <c r="H7" s="322" t="s">
        <v>1140</v>
      </c>
      <c r="I7" s="322" t="s">
        <v>1140</v>
      </c>
      <c r="J7" s="322" t="s">
        <v>1140</v>
      </c>
      <c r="K7" s="322" t="s">
        <v>1140</v>
      </c>
      <c r="L7" s="322">
        <v>1</v>
      </c>
      <c r="M7" s="322" t="s">
        <v>1140</v>
      </c>
    </row>
    <row r="8" spans="1:13" x14ac:dyDescent="0.25">
      <c r="A8" s="70">
        <v>4</v>
      </c>
      <c r="B8" s="322">
        <v>86.718000059999994</v>
      </c>
      <c r="C8" s="389">
        <v>0.86718000059999989</v>
      </c>
      <c r="F8" s="62" t="str">
        <f>'G-1 All Habitats'!B7</f>
        <v>Cropland - Cereal crops</v>
      </c>
      <c r="G8" s="322" t="s">
        <v>1140</v>
      </c>
      <c r="H8" s="322" t="s">
        <v>1140</v>
      </c>
      <c r="I8" s="322" t="s">
        <v>1140</v>
      </c>
      <c r="J8" s="322" t="s">
        <v>1140</v>
      </c>
      <c r="K8" s="322" t="s">
        <v>1140</v>
      </c>
      <c r="L8" s="322">
        <v>1</v>
      </c>
      <c r="M8" s="322" t="s">
        <v>1140</v>
      </c>
    </row>
    <row r="9" spans="1:13" x14ac:dyDescent="0.25">
      <c r="A9" s="70">
        <v>5</v>
      </c>
      <c r="B9" s="322">
        <v>83.682870059999999</v>
      </c>
      <c r="C9" s="389">
        <v>0.83682870060000003</v>
      </c>
      <c r="F9" s="62" t="str">
        <f>'G-1 All Habitats'!B8</f>
        <v>Cropland - Winter stubble</v>
      </c>
      <c r="G9" s="322" t="s">
        <v>1140</v>
      </c>
      <c r="H9" s="322" t="s">
        <v>1140</v>
      </c>
      <c r="I9" s="322" t="s">
        <v>1140</v>
      </c>
      <c r="J9" s="322" t="s">
        <v>1140</v>
      </c>
      <c r="K9" s="322" t="s">
        <v>1140</v>
      </c>
      <c r="L9" s="322">
        <v>1</v>
      </c>
      <c r="M9" s="322" t="s">
        <v>1140</v>
      </c>
    </row>
    <row r="10" spans="1:13" x14ac:dyDescent="0.25">
      <c r="A10" s="70">
        <v>6</v>
      </c>
      <c r="B10" s="322">
        <v>80.753969609999999</v>
      </c>
      <c r="C10" s="389">
        <v>0.80753969609999998</v>
      </c>
      <c r="F10" s="62" t="str">
        <f>'G-1 All Habitats'!B9</f>
        <v>Cropland - Horticulture</v>
      </c>
      <c r="G10" s="322" t="s">
        <v>1140</v>
      </c>
      <c r="H10" s="322" t="s">
        <v>1140</v>
      </c>
      <c r="I10" s="322" t="s">
        <v>1140</v>
      </c>
      <c r="J10" s="322" t="s">
        <v>1140</v>
      </c>
      <c r="K10" s="322" t="s">
        <v>1140</v>
      </c>
      <c r="L10" s="322">
        <v>1</v>
      </c>
      <c r="M10" s="322" t="s">
        <v>1140</v>
      </c>
    </row>
    <row r="11" spans="1:13" x14ac:dyDescent="0.25">
      <c r="A11" s="70">
        <v>7</v>
      </c>
      <c r="B11" s="322">
        <v>77.927580669999998</v>
      </c>
      <c r="C11" s="389">
        <v>0.77927580669999996</v>
      </c>
      <c r="F11" s="62" t="str">
        <f>'G-1 All Habitats'!B10</f>
        <v>Cropland - Intensive orchards</v>
      </c>
      <c r="G11" s="322" t="s">
        <v>1140</v>
      </c>
      <c r="H11" s="322" t="s">
        <v>1140</v>
      </c>
      <c r="I11" s="322" t="s">
        <v>1140</v>
      </c>
      <c r="J11" s="322" t="s">
        <v>1140</v>
      </c>
      <c r="K11" s="322" t="s">
        <v>1140</v>
      </c>
      <c r="L11" s="322">
        <v>1</v>
      </c>
      <c r="M11" s="322" t="s">
        <v>1140</v>
      </c>
    </row>
    <row r="12" spans="1:13" x14ac:dyDescent="0.25">
      <c r="A12" s="70">
        <v>8</v>
      </c>
      <c r="B12" s="322">
        <v>75.200115350000004</v>
      </c>
      <c r="C12" s="389">
        <v>0.75200115350000007</v>
      </c>
      <c r="F12" s="62" t="str">
        <f>'G-1 All Habitats'!B11</f>
        <v>Cropland - Non-cereal crops</v>
      </c>
      <c r="G12" s="322" t="s">
        <v>1140</v>
      </c>
      <c r="H12" s="322" t="s">
        <v>1140</v>
      </c>
      <c r="I12" s="322" t="s">
        <v>1140</v>
      </c>
      <c r="J12" s="322" t="s">
        <v>1140</v>
      </c>
      <c r="K12" s="322" t="s">
        <v>1140</v>
      </c>
      <c r="L12" s="322">
        <v>1</v>
      </c>
      <c r="M12" s="322" t="s">
        <v>1140</v>
      </c>
    </row>
    <row r="13" spans="1:13" x14ac:dyDescent="0.25">
      <c r="A13" s="70">
        <v>9</v>
      </c>
      <c r="B13" s="322">
        <v>72.568111310000006</v>
      </c>
      <c r="C13" s="389">
        <v>0.72568111310000005</v>
      </c>
      <c r="F13" s="62" t="str">
        <f>'G-1 All Habitats'!B12</f>
        <v>Cropland - Temporary grass and clover leys</v>
      </c>
      <c r="G13" s="322" t="s">
        <v>1140</v>
      </c>
      <c r="H13" s="322" t="s">
        <v>1140</v>
      </c>
      <c r="I13" s="322" t="s">
        <v>1140</v>
      </c>
      <c r="J13" s="322" t="s">
        <v>1140</v>
      </c>
      <c r="K13" s="322" t="s">
        <v>1140</v>
      </c>
      <c r="L13" s="322">
        <v>1</v>
      </c>
      <c r="M13" s="322" t="s">
        <v>1140</v>
      </c>
    </row>
    <row r="14" spans="1:13" x14ac:dyDescent="0.25">
      <c r="A14" s="70">
        <v>10</v>
      </c>
      <c r="B14" s="322">
        <v>70.028227419999993</v>
      </c>
      <c r="C14" s="389">
        <v>0.70028227419999989</v>
      </c>
      <c r="F14" s="62" t="str">
        <f>'G-1 All Habitats'!B13</f>
        <v>Grassland - Traditional orchards</v>
      </c>
      <c r="G14" s="322">
        <v>30</v>
      </c>
      <c r="H14" s="322">
        <v>25</v>
      </c>
      <c r="I14" s="322">
        <v>20</v>
      </c>
      <c r="J14" s="322">
        <v>10</v>
      </c>
      <c r="K14" s="322">
        <v>5</v>
      </c>
      <c r="L14" s="322" t="s">
        <v>1140</v>
      </c>
      <c r="M14" s="322" t="s">
        <v>1140</v>
      </c>
    </row>
    <row r="15" spans="1:13" x14ac:dyDescent="0.25">
      <c r="A15" s="70">
        <v>11</v>
      </c>
      <c r="B15" s="322">
        <v>67.577239460000001</v>
      </c>
      <c r="C15" s="389">
        <v>0.67577239460000005</v>
      </c>
      <c r="F15" s="62" t="str">
        <f>'G-1 All Habitats'!B14</f>
        <v>Grassland - Bracken</v>
      </c>
      <c r="G15" s="322" t="s">
        <v>1140</v>
      </c>
      <c r="H15" s="322" t="s">
        <v>1140</v>
      </c>
      <c r="I15" s="322" t="s">
        <v>1140</v>
      </c>
      <c r="J15" s="322" t="s">
        <v>1140</v>
      </c>
      <c r="K15" s="322" t="s">
        <v>1140</v>
      </c>
      <c r="L15" s="322">
        <v>1</v>
      </c>
      <c r="M15" s="322" t="s">
        <v>1140</v>
      </c>
    </row>
    <row r="16" spans="1:13" x14ac:dyDescent="0.25">
      <c r="A16" s="70">
        <v>12</v>
      </c>
      <c r="B16" s="322">
        <v>65.212036069999996</v>
      </c>
      <c r="C16" s="389">
        <v>0.65212036070000001</v>
      </c>
      <c r="F16" s="62" t="str">
        <f>'G-1 All Habitats'!B15</f>
        <v>Grassland - Floodplain wetland mosaic and CFGM</v>
      </c>
      <c r="G16" s="322">
        <v>20</v>
      </c>
      <c r="H16" s="322">
        <v>15</v>
      </c>
      <c r="I16" s="322">
        <v>10</v>
      </c>
      <c r="J16" s="322">
        <v>8</v>
      </c>
      <c r="K16" s="322">
        <v>5</v>
      </c>
      <c r="L16" s="322" t="s">
        <v>1140</v>
      </c>
      <c r="M16" s="322" t="s">
        <v>1140</v>
      </c>
    </row>
    <row r="17" spans="1:13" x14ac:dyDescent="0.25">
      <c r="A17" s="70">
        <v>13</v>
      </c>
      <c r="B17" s="322">
        <v>62.929614809999997</v>
      </c>
      <c r="C17" s="389">
        <v>0.62929614810000001</v>
      </c>
      <c r="F17" s="62" t="str">
        <f>'G-1 All Habitats'!B16</f>
        <v>Grassland - Lowland calcareous grassland</v>
      </c>
      <c r="G17" s="322">
        <v>20</v>
      </c>
      <c r="H17" s="322">
        <v>15</v>
      </c>
      <c r="I17" s="322">
        <v>10</v>
      </c>
      <c r="J17" s="322">
        <v>8</v>
      </c>
      <c r="K17" s="322">
        <v>5</v>
      </c>
      <c r="L17" s="322" t="s">
        <v>1140</v>
      </c>
      <c r="M17" s="322" t="s">
        <v>1140</v>
      </c>
    </row>
    <row r="18" spans="1:13" x14ac:dyDescent="0.25">
      <c r="A18" s="70">
        <v>14</v>
      </c>
      <c r="B18" s="322">
        <v>60.727078290000001</v>
      </c>
      <c r="C18" s="389">
        <v>0.60727078290000003</v>
      </c>
      <c r="F18" s="62" t="str">
        <f>'G-1 All Habitats'!B17</f>
        <v>Grassland - Lowland dry acid grassland</v>
      </c>
      <c r="G18" s="322" t="s">
        <v>1141</v>
      </c>
      <c r="H18" s="322">
        <v>25</v>
      </c>
      <c r="I18" s="322">
        <v>20</v>
      </c>
      <c r="J18" s="322">
        <v>15</v>
      </c>
      <c r="K18" s="322">
        <v>10</v>
      </c>
      <c r="L18" s="322" t="s">
        <v>1140</v>
      </c>
      <c r="M18" s="322" t="s">
        <v>1140</v>
      </c>
    </row>
    <row r="19" spans="1:13" x14ac:dyDescent="0.25">
      <c r="A19" s="70">
        <v>15</v>
      </c>
      <c r="B19" s="322">
        <v>58.601630550000003</v>
      </c>
      <c r="C19" s="389">
        <v>0.58601630550000006</v>
      </c>
      <c r="F19" s="62" t="str">
        <f>'G-1 All Habitats'!B18</f>
        <v>Grassland - Lowland meadows</v>
      </c>
      <c r="G19" s="322">
        <v>15</v>
      </c>
      <c r="H19" s="322">
        <v>12</v>
      </c>
      <c r="I19" s="322">
        <v>10</v>
      </c>
      <c r="J19" s="322">
        <v>8</v>
      </c>
      <c r="K19" s="322">
        <v>5</v>
      </c>
      <c r="L19" s="322" t="s">
        <v>1140</v>
      </c>
      <c r="M19" s="322" t="s">
        <v>1140</v>
      </c>
    </row>
    <row r="20" spans="1:13" x14ac:dyDescent="0.25">
      <c r="A20" s="70">
        <v>16</v>
      </c>
      <c r="B20" s="322">
        <v>56.550573479999997</v>
      </c>
      <c r="C20" s="389">
        <v>0.56550573479999999</v>
      </c>
      <c r="F20" s="62" t="str">
        <f>'G-1 All Habitats'!B19</f>
        <v>Grassland - Modified grassland</v>
      </c>
      <c r="G20" s="322">
        <v>7</v>
      </c>
      <c r="H20" s="322">
        <v>5</v>
      </c>
      <c r="I20" s="322">
        <v>4</v>
      </c>
      <c r="J20" s="322">
        <v>2</v>
      </c>
      <c r="K20" s="322">
        <v>1</v>
      </c>
      <c r="L20" s="322" t="s">
        <v>1140</v>
      </c>
      <c r="M20" s="322" t="s">
        <v>1140</v>
      </c>
    </row>
    <row r="21" spans="1:13" ht="15" customHeight="1" x14ac:dyDescent="0.25">
      <c r="A21" s="70">
        <v>17</v>
      </c>
      <c r="B21" s="322">
        <v>54.571303409999999</v>
      </c>
      <c r="C21" s="389">
        <v>0.54571303409999994</v>
      </c>
      <c r="F21" s="62" t="str">
        <f>'G-1 All Habitats'!B20</f>
        <v>Grassland - Other lowland acid grassland</v>
      </c>
      <c r="G21" s="322">
        <v>15</v>
      </c>
      <c r="H21" s="322">
        <v>12</v>
      </c>
      <c r="I21" s="322">
        <v>10</v>
      </c>
      <c r="J21" s="322">
        <v>5</v>
      </c>
      <c r="K21" s="322">
        <v>1</v>
      </c>
      <c r="L21" s="322" t="s">
        <v>1140</v>
      </c>
      <c r="M21" s="322" t="s">
        <v>1140</v>
      </c>
    </row>
    <row r="22" spans="1:13" ht="15" customHeight="1" x14ac:dyDescent="0.25">
      <c r="A22" s="70">
        <v>18</v>
      </c>
      <c r="B22" s="322">
        <v>52.661307790000002</v>
      </c>
      <c r="C22" s="389">
        <v>0.5266130779</v>
      </c>
      <c r="F22" s="62" t="str">
        <f>'G-1 All Habitats'!B21</f>
        <v>Grassland - Other neutral grassland</v>
      </c>
      <c r="G22" s="322">
        <v>10</v>
      </c>
      <c r="H22" s="322">
        <v>7</v>
      </c>
      <c r="I22" s="322">
        <v>5</v>
      </c>
      <c r="J22" s="322">
        <v>3</v>
      </c>
      <c r="K22" s="322">
        <v>2</v>
      </c>
      <c r="L22" s="322" t="s">
        <v>1140</v>
      </c>
      <c r="M22" s="322" t="s">
        <v>1140</v>
      </c>
    </row>
    <row r="23" spans="1:13" ht="15" customHeight="1" x14ac:dyDescent="0.25">
      <c r="A23" s="70">
        <v>19</v>
      </c>
      <c r="B23" s="322">
        <v>50.818162020000003</v>
      </c>
      <c r="C23" s="389">
        <v>0.50818162020000002</v>
      </c>
      <c r="F23" s="62" t="str">
        <f>'G-1 All Habitats'!B22</f>
        <v>Grassland - Tall herb communities (H6430)</v>
      </c>
      <c r="G23" s="322">
        <v>30</v>
      </c>
      <c r="H23" s="322">
        <v>25</v>
      </c>
      <c r="I23" s="322">
        <v>20</v>
      </c>
      <c r="J23" s="322">
        <v>15</v>
      </c>
      <c r="K23" s="322">
        <v>10</v>
      </c>
      <c r="L23" s="322" t="s">
        <v>1140</v>
      </c>
      <c r="M23" s="322" t="s">
        <v>1140</v>
      </c>
    </row>
    <row r="24" spans="1:13" ht="15" customHeight="1" x14ac:dyDescent="0.25">
      <c r="A24" s="70">
        <v>20</v>
      </c>
      <c r="B24" s="322">
        <v>49.039526350000003</v>
      </c>
      <c r="C24" s="389">
        <v>0.49039526350000001</v>
      </c>
      <c r="F24" s="62" t="str">
        <f>'G-1 All Habitats'!B23</f>
        <v>Grassland - Upland acid grassland</v>
      </c>
      <c r="G24" s="322">
        <v>15</v>
      </c>
      <c r="H24" s="322">
        <v>12</v>
      </c>
      <c r="I24" s="322">
        <v>10</v>
      </c>
      <c r="J24" s="322">
        <v>5</v>
      </c>
      <c r="K24" s="322">
        <v>1</v>
      </c>
      <c r="L24" s="322" t="s">
        <v>1140</v>
      </c>
      <c r="M24" s="322" t="s">
        <v>1140</v>
      </c>
    </row>
    <row r="25" spans="1:13" ht="15" customHeight="1" x14ac:dyDescent="0.25">
      <c r="A25" s="70">
        <v>21</v>
      </c>
      <c r="B25" s="322">
        <v>47.323142930000003</v>
      </c>
      <c r="C25" s="389">
        <v>0.47323142930000001</v>
      </c>
      <c r="F25" s="62" t="str">
        <f>'G-1 All Habitats'!B24</f>
        <v>Grassland - Upland calcareous grassland</v>
      </c>
      <c r="G25" s="322">
        <v>25</v>
      </c>
      <c r="H25" s="322">
        <v>20</v>
      </c>
      <c r="I25" s="322">
        <v>15</v>
      </c>
      <c r="J25" s="322">
        <v>12</v>
      </c>
      <c r="K25" s="322">
        <v>10</v>
      </c>
      <c r="L25" s="322" t="s">
        <v>1140</v>
      </c>
      <c r="M25" s="322" t="s">
        <v>1140</v>
      </c>
    </row>
    <row r="26" spans="1:13" ht="15" customHeight="1" x14ac:dyDescent="0.25">
      <c r="A26" s="70">
        <v>22</v>
      </c>
      <c r="B26" s="322">
        <v>45.666832919999997</v>
      </c>
      <c r="C26" s="389">
        <v>0.4566683292</v>
      </c>
      <c r="F26" s="62" t="str">
        <f>'G-1 All Habitats'!B25</f>
        <v>Grassland - Upland hay meadows</v>
      </c>
      <c r="G26" s="322">
        <v>20</v>
      </c>
      <c r="H26" s="322">
        <v>18</v>
      </c>
      <c r="I26" s="322">
        <v>15</v>
      </c>
      <c r="J26" s="322">
        <v>12</v>
      </c>
      <c r="K26" s="322">
        <v>10</v>
      </c>
      <c r="L26" s="322" t="s">
        <v>1140</v>
      </c>
      <c r="M26" s="322" t="s">
        <v>1140</v>
      </c>
    </row>
    <row r="27" spans="1:13" x14ac:dyDescent="0.25">
      <c r="A27" s="70">
        <v>23</v>
      </c>
      <c r="B27" s="322">
        <v>44.068493770000003</v>
      </c>
      <c r="C27" s="389">
        <v>0.44068493770000006</v>
      </c>
      <c r="F27" s="62" t="str">
        <f>'G-1 All Habitats'!B26</f>
        <v>Heathland and shrub - Blackthorn scrub</v>
      </c>
      <c r="G27" s="322">
        <v>10</v>
      </c>
      <c r="H27" s="322">
        <v>7</v>
      </c>
      <c r="I27" s="322">
        <v>5</v>
      </c>
      <c r="J27" s="322">
        <v>3</v>
      </c>
      <c r="K27" s="322">
        <v>1</v>
      </c>
      <c r="L27" s="322" t="s">
        <v>1140</v>
      </c>
      <c r="M27" s="322" t="s">
        <v>1140</v>
      </c>
    </row>
    <row r="28" spans="1:13" x14ac:dyDescent="0.25">
      <c r="A28" s="70">
        <v>24</v>
      </c>
      <c r="B28" s="322">
        <v>42.52609649</v>
      </c>
      <c r="C28" s="389">
        <v>0.42526096489999998</v>
      </c>
      <c r="F28" s="62" t="str">
        <f>'G-1 All Habitats'!B27</f>
        <v>Heathland and shrub - Bramble scrub</v>
      </c>
      <c r="G28" s="322" t="s">
        <v>1140</v>
      </c>
      <c r="H28" s="322" t="s">
        <v>1140</v>
      </c>
      <c r="I28" s="322" t="s">
        <v>1140</v>
      </c>
      <c r="J28" s="322" t="s">
        <v>1140</v>
      </c>
      <c r="K28" s="322" t="s">
        <v>1140</v>
      </c>
      <c r="L28" s="322">
        <v>1</v>
      </c>
      <c r="M28" s="322" t="s">
        <v>1140</v>
      </c>
    </row>
    <row r="29" spans="1:13" x14ac:dyDescent="0.25">
      <c r="A29" s="70">
        <v>25</v>
      </c>
      <c r="B29" s="322">
        <v>41.037683110000003</v>
      </c>
      <c r="C29" s="389">
        <v>0.41037683110000001</v>
      </c>
      <c r="F29" s="62" t="str">
        <f>'G-1 All Habitats'!B28</f>
        <v>Heathland and shrub - Gorse scrub</v>
      </c>
      <c r="G29" s="322">
        <v>10</v>
      </c>
      <c r="H29" s="322">
        <v>7</v>
      </c>
      <c r="I29" s="322">
        <v>5</v>
      </c>
      <c r="J29" s="322">
        <v>3</v>
      </c>
      <c r="K29" s="322">
        <v>1</v>
      </c>
      <c r="L29" s="322" t="s">
        <v>1140</v>
      </c>
      <c r="M29" s="322" t="s">
        <v>1140</v>
      </c>
    </row>
    <row r="30" spans="1:13" x14ac:dyDescent="0.25">
      <c r="A30" s="70">
        <v>26</v>
      </c>
      <c r="B30" s="322">
        <v>39.601364199999999</v>
      </c>
      <c r="C30" s="389">
        <v>0.396013642</v>
      </c>
      <c r="F30" s="62" t="str">
        <f>'G-1 All Habitats'!B29</f>
        <v>Heathland and shrub - Hawthorn scrub</v>
      </c>
      <c r="G30" s="322">
        <v>10</v>
      </c>
      <c r="H30" s="322">
        <v>7</v>
      </c>
      <c r="I30" s="322">
        <v>5</v>
      </c>
      <c r="J30" s="322">
        <v>3</v>
      </c>
      <c r="K30" s="322">
        <v>1</v>
      </c>
      <c r="L30" s="322" t="s">
        <v>1140</v>
      </c>
      <c r="M30" s="322" t="s">
        <v>1140</v>
      </c>
    </row>
    <row r="31" spans="1:13" x14ac:dyDescent="0.25">
      <c r="A31" s="70">
        <v>27</v>
      </c>
      <c r="B31" s="322">
        <v>38.215316459999997</v>
      </c>
      <c r="C31" s="389">
        <v>0.38215316459999998</v>
      </c>
      <c r="F31" s="62" t="str">
        <f>'G-1 All Habitats'!B30</f>
        <v>Heathland and shrub - Hazel scrub</v>
      </c>
      <c r="G31" s="322">
        <v>15</v>
      </c>
      <c r="H31" s="322">
        <v>12</v>
      </c>
      <c r="I31" s="322">
        <v>10</v>
      </c>
      <c r="J31" s="322">
        <v>7</v>
      </c>
      <c r="K31" s="322">
        <v>5</v>
      </c>
      <c r="L31" s="322" t="s">
        <v>1140</v>
      </c>
      <c r="M31" s="322" t="s">
        <v>1140</v>
      </c>
    </row>
    <row r="32" spans="1:13" x14ac:dyDescent="0.25">
      <c r="A32" s="70">
        <v>28</v>
      </c>
      <c r="B32" s="322">
        <v>36.877780379999997</v>
      </c>
      <c r="C32" s="389">
        <v>0.36877780379999997</v>
      </c>
      <c r="F32" s="62" t="s">
        <v>739</v>
      </c>
      <c r="G32" s="322">
        <v>15</v>
      </c>
      <c r="H32" s="322">
        <v>12</v>
      </c>
      <c r="I32" s="322">
        <v>10</v>
      </c>
      <c r="J32" s="322">
        <v>7</v>
      </c>
      <c r="K32" s="322">
        <v>5</v>
      </c>
      <c r="L32" s="322" t="s">
        <v>1140</v>
      </c>
      <c r="M32" s="322" t="s">
        <v>1140</v>
      </c>
    </row>
    <row r="33" spans="1:13" x14ac:dyDescent="0.25">
      <c r="A33" s="70">
        <v>29</v>
      </c>
      <c r="B33" s="322">
        <v>35.587058069999998</v>
      </c>
      <c r="C33" s="389">
        <v>0.35587058069999999</v>
      </c>
      <c r="F33" s="62" t="str">
        <f>'G-1 All Habitats'!B31</f>
        <v>Heathland and shrub - Lowland heathland</v>
      </c>
      <c r="G33" s="322" t="s">
        <v>1141</v>
      </c>
      <c r="H33" s="322">
        <v>25</v>
      </c>
      <c r="I33" s="322">
        <v>20</v>
      </c>
      <c r="J33" s="322">
        <v>15</v>
      </c>
      <c r="K33" s="322">
        <v>10</v>
      </c>
      <c r="L33" s="322" t="s">
        <v>1140</v>
      </c>
      <c r="M33" s="322" t="s">
        <v>1140</v>
      </c>
    </row>
    <row r="34" spans="1:13" x14ac:dyDescent="0.25">
      <c r="A34" s="70">
        <v>30</v>
      </c>
      <c r="B34" s="322">
        <v>34.34151104</v>
      </c>
      <c r="C34" s="389">
        <v>0.3434151104</v>
      </c>
      <c r="F34" s="62" t="str">
        <f>'G-1 All Habitats'!B32</f>
        <v>Heathland and shrub - Mixed scrub</v>
      </c>
      <c r="G34" s="322">
        <v>10</v>
      </c>
      <c r="H34" s="322">
        <v>7</v>
      </c>
      <c r="I34" s="322">
        <v>5</v>
      </c>
      <c r="J34" s="322">
        <v>3</v>
      </c>
      <c r="K34" s="322">
        <v>1</v>
      </c>
      <c r="L34" s="322" t="s">
        <v>1140</v>
      </c>
      <c r="M34" s="322" t="s">
        <v>1140</v>
      </c>
    </row>
    <row r="35" spans="1:13" x14ac:dyDescent="0.25">
      <c r="A35" s="70">
        <v>31</v>
      </c>
      <c r="B35" s="322">
        <v>33.139558149999999</v>
      </c>
      <c r="C35" s="389">
        <v>0.33139558149999998</v>
      </c>
      <c r="F35" s="62" t="str">
        <f>'G-1 All Habitats'!B33</f>
        <v>Heathland and shrub - Mountain heaths and willow scrub</v>
      </c>
      <c r="G35" s="322" t="s">
        <v>1141</v>
      </c>
      <c r="H35" s="322" t="s">
        <v>1141</v>
      </c>
      <c r="I35" s="322">
        <v>25</v>
      </c>
      <c r="J35" s="322">
        <v>23</v>
      </c>
      <c r="K35" s="322">
        <v>15</v>
      </c>
      <c r="L35" s="322" t="s">
        <v>1140</v>
      </c>
      <c r="M35" s="322" t="s">
        <v>1140</v>
      </c>
    </row>
    <row r="36" spans="1:13" x14ac:dyDescent="0.25">
      <c r="A36" s="70" t="s">
        <v>1141</v>
      </c>
      <c r="B36" s="947">
        <v>31.979673609999999</v>
      </c>
      <c r="C36" s="389">
        <v>0.31979673609999998</v>
      </c>
      <c r="F36" s="62" t="str">
        <f>'G-1 All Habitats'!B34</f>
        <v>Heathland and shrub - Rhododendron scrub</v>
      </c>
      <c r="G36" s="322" t="s">
        <v>1140</v>
      </c>
      <c r="H36" s="322" t="s">
        <v>1140</v>
      </c>
      <c r="I36" s="322" t="s">
        <v>1140</v>
      </c>
      <c r="J36" s="322" t="s">
        <v>1140</v>
      </c>
      <c r="K36" s="322" t="s">
        <v>1140</v>
      </c>
      <c r="L36" s="322">
        <v>1</v>
      </c>
      <c r="M36" s="322" t="s">
        <v>1140</v>
      </c>
    </row>
    <row r="37" spans="1:13" ht="27.6" x14ac:dyDescent="0.25">
      <c r="A37" s="71" t="s">
        <v>1140</v>
      </c>
      <c r="B37" s="947" t="s">
        <v>1130</v>
      </c>
      <c r="C37" s="947" t="s">
        <v>1130</v>
      </c>
      <c r="F37" s="62" t="str">
        <f>'G-1 All Habitats'!B35</f>
        <v>Heathland and shrub - Dunes with sea buckthorn (H2160)</v>
      </c>
      <c r="G37" s="322">
        <v>10</v>
      </c>
      <c r="H37" s="322">
        <v>7</v>
      </c>
      <c r="I37" s="322">
        <v>5</v>
      </c>
      <c r="J37" s="322">
        <v>3</v>
      </c>
      <c r="K37" s="322">
        <v>1</v>
      </c>
      <c r="L37" s="322" t="s">
        <v>1140</v>
      </c>
      <c r="M37" s="322" t="s">
        <v>1140</v>
      </c>
    </row>
    <row r="38" spans="1:13" x14ac:dyDescent="0.25">
      <c r="F38" s="62" t="str">
        <f>'G-1 All Habitats'!B36</f>
        <v>Heathland and shrub - Other sea buckthorn scrub</v>
      </c>
      <c r="G38" s="322" t="s">
        <v>1140</v>
      </c>
      <c r="H38" s="322" t="s">
        <v>1140</v>
      </c>
      <c r="I38" s="322" t="s">
        <v>1140</v>
      </c>
      <c r="J38" s="322" t="s">
        <v>1140</v>
      </c>
      <c r="K38" s="322" t="s">
        <v>1140</v>
      </c>
      <c r="L38" s="322">
        <v>1</v>
      </c>
      <c r="M38" s="322" t="s">
        <v>1140</v>
      </c>
    </row>
    <row r="39" spans="1:13" x14ac:dyDescent="0.25">
      <c r="A39" s="33"/>
      <c r="B39" s="33"/>
      <c r="C39" s="33"/>
      <c r="F39" s="62" t="str">
        <f>'G-1 All Habitats'!B38</f>
        <v>Heathland and shrub - Upland heathland</v>
      </c>
      <c r="G39" s="322">
        <v>30</v>
      </c>
      <c r="H39" s="322">
        <v>25</v>
      </c>
      <c r="I39" s="322">
        <v>20</v>
      </c>
      <c r="J39" s="322">
        <v>15</v>
      </c>
      <c r="K39" s="322">
        <v>10</v>
      </c>
      <c r="L39" s="322" t="s">
        <v>1140</v>
      </c>
      <c r="M39" s="322" t="s">
        <v>1140</v>
      </c>
    </row>
    <row r="40" spans="1:13" ht="55.2" x14ac:dyDescent="0.25">
      <c r="A40" s="190" t="s">
        <v>1142</v>
      </c>
      <c r="B40" s="33"/>
      <c r="C40" s="33"/>
      <c r="F40" s="62" t="str">
        <f>'G-1 All Habitats'!B39</f>
        <v>Lakes - Aquifer fed naturally fluctuating water bodies</v>
      </c>
      <c r="G40" s="322">
        <v>30</v>
      </c>
      <c r="H40" s="322">
        <v>20</v>
      </c>
      <c r="I40" s="322">
        <v>15</v>
      </c>
      <c r="J40" s="322">
        <v>10</v>
      </c>
      <c r="K40" s="322">
        <v>1</v>
      </c>
      <c r="L40" s="322" t="s">
        <v>1140</v>
      </c>
      <c r="M40" s="322" t="s">
        <v>1140</v>
      </c>
    </row>
    <row r="41" spans="1:13" x14ac:dyDescent="0.25">
      <c r="A41" s="69" t="s">
        <v>1137</v>
      </c>
      <c r="B41" s="33"/>
      <c r="C41" s="33"/>
      <c r="F41" s="62" t="str">
        <f>'G-1 All Habitats'!B41</f>
        <v>Lakes - High alkalinity lakes</v>
      </c>
      <c r="G41" s="322">
        <v>30</v>
      </c>
      <c r="H41" s="322">
        <v>20</v>
      </c>
      <c r="I41" s="322">
        <v>10</v>
      </c>
      <c r="J41" s="322">
        <v>7</v>
      </c>
      <c r="K41" s="322">
        <v>5</v>
      </c>
      <c r="L41" s="322" t="s">
        <v>1140</v>
      </c>
      <c r="M41" s="322" t="s">
        <v>1140</v>
      </c>
    </row>
    <row r="42" spans="1:13" x14ac:dyDescent="0.25">
      <c r="A42" s="322">
        <v>0</v>
      </c>
      <c r="B42" s="33"/>
      <c r="C42" s="33"/>
      <c r="F42" s="62" t="str">
        <f>'G-1 All Habitats'!B42</f>
        <v>Lakes - Low alkalinity lakes</v>
      </c>
      <c r="G42" s="322">
        <v>30</v>
      </c>
      <c r="H42" s="322">
        <v>20</v>
      </c>
      <c r="I42" s="322">
        <v>10</v>
      </c>
      <c r="J42" s="322">
        <v>7</v>
      </c>
      <c r="K42" s="322">
        <v>5</v>
      </c>
      <c r="L42" s="322" t="s">
        <v>1140</v>
      </c>
      <c r="M42" s="322" t="s">
        <v>1140</v>
      </c>
    </row>
    <row r="43" spans="1:13" x14ac:dyDescent="0.25">
      <c r="A43" s="322">
        <v>1</v>
      </c>
      <c r="B43" s="33"/>
      <c r="C43" s="33"/>
      <c r="F43" s="62" t="str">
        <f>'G-1 All Habitats'!B43</f>
        <v>Lakes - Marl lakes</v>
      </c>
      <c r="G43" s="322">
        <v>30</v>
      </c>
      <c r="H43" s="322">
        <v>20</v>
      </c>
      <c r="I43" s="322">
        <v>10</v>
      </c>
      <c r="J43" s="322">
        <v>7</v>
      </c>
      <c r="K43" s="322">
        <v>5</v>
      </c>
      <c r="L43" s="322" t="s">
        <v>1140</v>
      </c>
      <c r="M43" s="322" t="s">
        <v>1140</v>
      </c>
    </row>
    <row r="44" spans="1:13" x14ac:dyDescent="0.25">
      <c r="A44" s="322">
        <v>2</v>
      </c>
      <c r="B44" s="33"/>
      <c r="C44" s="33"/>
      <c r="F44" s="62" t="str">
        <f>'G-1 All Habitats'!B44</f>
        <v>Lakes - Moderate alkalinity lakes</v>
      </c>
      <c r="G44" s="322">
        <v>30</v>
      </c>
      <c r="H44" s="322">
        <v>20</v>
      </c>
      <c r="I44" s="322">
        <v>10</v>
      </c>
      <c r="J44" s="322">
        <v>7</v>
      </c>
      <c r="K44" s="322">
        <v>5</v>
      </c>
      <c r="L44" s="322" t="s">
        <v>1140</v>
      </c>
      <c r="M44" s="322" t="s">
        <v>1140</v>
      </c>
    </row>
    <row r="45" spans="1:13" x14ac:dyDescent="0.25">
      <c r="A45" s="322">
        <v>3</v>
      </c>
      <c r="B45" s="33"/>
      <c r="C45" s="33"/>
      <c r="F45" s="62" t="str">
        <f>'G-1 All Habitats'!B45</f>
        <v>Lakes - Peat lakes</v>
      </c>
      <c r="G45" s="322">
        <v>30</v>
      </c>
      <c r="H45" s="322">
        <v>20</v>
      </c>
      <c r="I45" s="322">
        <v>10</v>
      </c>
      <c r="J45" s="322">
        <v>7</v>
      </c>
      <c r="K45" s="322">
        <v>5</v>
      </c>
      <c r="L45" s="322" t="s">
        <v>1140</v>
      </c>
      <c r="M45" s="322" t="s">
        <v>1140</v>
      </c>
    </row>
    <row r="46" spans="1:13" x14ac:dyDescent="0.25">
      <c r="A46" s="322">
        <v>4</v>
      </c>
      <c r="B46" s="33"/>
      <c r="C46" s="33"/>
      <c r="F46" s="62" t="str">
        <f>'G-1 All Habitats'!B46</f>
        <v>Lakes - Ponds (priority habitat)</v>
      </c>
      <c r="G46" s="322">
        <v>5</v>
      </c>
      <c r="H46" s="322">
        <v>4</v>
      </c>
      <c r="I46" s="322">
        <v>3</v>
      </c>
      <c r="J46" s="322">
        <v>2</v>
      </c>
      <c r="K46" s="322">
        <v>1</v>
      </c>
      <c r="L46" s="322" t="s">
        <v>1140</v>
      </c>
      <c r="M46" s="322" t="s">
        <v>1140</v>
      </c>
    </row>
    <row r="47" spans="1:13" x14ac:dyDescent="0.25">
      <c r="A47" s="322">
        <v>5</v>
      </c>
      <c r="B47" s="33"/>
      <c r="C47" s="33"/>
      <c r="F47" s="62" t="str">
        <f>'G-1 All Habitats'!B47</f>
        <v>Lakes - Ponds (non-priority habitat)</v>
      </c>
      <c r="G47" s="322">
        <v>5</v>
      </c>
      <c r="H47" s="322">
        <v>4</v>
      </c>
      <c r="I47" s="322">
        <v>3</v>
      </c>
      <c r="J47" s="322">
        <v>2</v>
      </c>
      <c r="K47" s="322">
        <v>1</v>
      </c>
      <c r="L47" s="322" t="s">
        <v>1140</v>
      </c>
      <c r="M47" s="322" t="s">
        <v>1140</v>
      </c>
    </row>
    <row r="48" spans="1:13" x14ac:dyDescent="0.25">
      <c r="A48" s="322">
        <v>6</v>
      </c>
      <c r="B48" s="33"/>
      <c r="C48" s="33"/>
      <c r="F48" s="62" t="str">
        <f>'G-1 All Habitats'!B48</f>
        <v>Lakes - Reservoirs</v>
      </c>
      <c r="G48" s="322">
        <v>10</v>
      </c>
      <c r="H48" s="322">
        <v>7</v>
      </c>
      <c r="I48" s="322">
        <v>5</v>
      </c>
      <c r="J48" s="322">
        <v>3</v>
      </c>
      <c r="K48" s="322">
        <v>1</v>
      </c>
      <c r="L48" s="322" t="s">
        <v>1140</v>
      </c>
      <c r="M48" s="322" t="s">
        <v>1140</v>
      </c>
    </row>
    <row r="49" spans="1:13" x14ac:dyDescent="0.25">
      <c r="A49" s="322">
        <v>7</v>
      </c>
      <c r="B49" s="33"/>
      <c r="C49" s="33"/>
      <c r="F49" s="62" t="str">
        <f>'G-1 All Habitats'!B49</f>
        <v>Lakes - Temporary lakes ponds and pools (H3170)</v>
      </c>
      <c r="G49" s="322">
        <v>5</v>
      </c>
      <c r="H49" s="322">
        <v>4</v>
      </c>
      <c r="I49" s="322">
        <v>3</v>
      </c>
      <c r="J49" s="322">
        <v>2</v>
      </c>
      <c r="K49" s="322">
        <v>1</v>
      </c>
      <c r="L49" s="322" t="s">
        <v>1140</v>
      </c>
      <c r="M49" s="322" t="s">
        <v>1140</v>
      </c>
    </row>
    <row r="50" spans="1:13" x14ac:dyDescent="0.25">
      <c r="A50" s="322">
        <v>8</v>
      </c>
      <c r="B50" s="33"/>
      <c r="C50" s="33"/>
      <c r="F50" s="62" t="str">
        <f>'G-1 All Habitats'!B50</f>
        <v>Sparsely vegetated land - Calaminarian grasslands</v>
      </c>
      <c r="G50" s="322">
        <v>10</v>
      </c>
      <c r="H50" s="322">
        <v>7</v>
      </c>
      <c r="I50" s="322">
        <v>5</v>
      </c>
      <c r="J50" s="322">
        <v>3</v>
      </c>
      <c r="K50" s="322">
        <v>2</v>
      </c>
      <c r="L50" s="322" t="s">
        <v>1140</v>
      </c>
      <c r="M50" s="322" t="s">
        <v>1140</v>
      </c>
    </row>
    <row r="51" spans="1:13" x14ac:dyDescent="0.25">
      <c r="A51" s="322">
        <v>9</v>
      </c>
      <c r="B51" s="33"/>
      <c r="C51" s="33"/>
      <c r="F51" s="62" t="str">
        <f>'G-1 All Habitats'!B51</f>
        <v>Sparsely vegetated land - Coastal sand dunes</v>
      </c>
      <c r="G51" s="322">
        <v>20</v>
      </c>
      <c r="H51" s="322">
        <v>15</v>
      </c>
      <c r="I51" s="322">
        <v>10</v>
      </c>
      <c r="J51" s="322">
        <v>7</v>
      </c>
      <c r="K51" s="322">
        <v>5</v>
      </c>
      <c r="L51" s="322" t="s">
        <v>1140</v>
      </c>
      <c r="M51" s="322" t="s">
        <v>1140</v>
      </c>
    </row>
    <row r="52" spans="1:13" x14ac:dyDescent="0.25">
      <c r="A52" s="322">
        <v>10</v>
      </c>
      <c r="B52" s="33"/>
      <c r="C52" s="33"/>
      <c r="F52" s="62" t="str">
        <f>'G-1 All Habitats'!B52</f>
        <v>Sparsely vegetated land - Coastal vegetated shingle</v>
      </c>
      <c r="G52" s="322">
        <v>20</v>
      </c>
      <c r="H52" s="322">
        <v>15</v>
      </c>
      <c r="I52" s="322">
        <v>10</v>
      </c>
      <c r="J52" s="322">
        <v>7</v>
      </c>
      <c r="K52" s="322">
        <v>5</v>
      </c>
      <c r="L52" s="322" t="s">
        <v>1140</v>
      </c>
      <c r="M52" s="322" t="s">
        <v>1140</v>
      </c>
    </row>
    <row r="53" spans="1:13" x14ac:dyDescent="0.25">
      <c r="A53" s="322">
        <v>11</v>
      </c>
      <c r="B53" s="33"/>
      <c r="C53" s="33"/>
      <c r="F53" s="62" t="str">
        <f>'G-1 All Habitats'!B53</f>
        <v>Sparsely vegetated land - Ruderal/Ephemeral</v>
      </c>
      <c r="G53" s="322">
        <v>5</v>
      </c>
      <c r="H53" s="322">
        <v>4</v>
      </c>
      <c r="I53" s="322">
        <v>3</v>
      </c>
      <c r="J53" s="322">
        <v>2</v>
      </c>
      <c r="K53" s="322">
        <v>1</v>
      </c>
      <c r="L53" s="322" t="s">
        <v>1140</v>
      </c>
      <c r="M53" s="322" t="s">
        <v>1140</v>
      </c>
    </row>
    <row r="54" spans="1:13" x14ac:dyDescent="0.25">
      <c r="A54" s="322">
        <v>12</v>
      </c>
      <c r="B54" s="33"/>
      <c r="C54" s="33"/>
      <c r="F54" s="62" t="s">
        <v>787</v>
      </c>
      <c r="G54" s="322">
        <v>5</v>
      </c>
      <c r="H54" s="322">
        <v>4</v>
      </c>
      <c r="I54" s="322">
        <v>3</v>
      </c>
      <c r="J54" s="322">
        <v>2</v>
      </c>
      <c r="K54" s="322">
        <v>1</v>
      </c>
      <c r="L54" s="322" t="s">
        <v>1140</v>
      </c>
      <c r="M54" s="322" t="s">
        <v>1140</v>
      </c>
    </row>
    <row r="55" spans="1:13" x14ac:dyDescent="0.25">
      <c r="A55" s="322">
        <v>13</v>
      </c>
      <c r="B55" s="33"/>
      <c r="C55" s="33"/>
      <c r="F55" s="62" t="str">
        <f>'G-1 All Habitats'!B55</f>
        <v>Sparsely vegetated land - Inland rock outcrop and scree habitats</v>
      </c>
      <c r="G55" s="322" t="s">
        <v>1141</v>
      </c>
      <c r="H55" s="322">
        <v>25</v>
      </c>
      <c r="I55" s="322">
        <v>20</v>
      </c>
      <c r="J55" s="322">
        <v>15</v>
      </c>
      <c r="K55" s="322">
        <v>10</v>
      </c>
      <c r="L55" s="322" t="s">
        <v>1140</v>
      </c>
      <c r="M55" s="322" t="s">
        <v>1140</v>
      </c>
    </row>
    <row r="56" spans="1:13" x14ac:dyDescent="0.25">
      <c r="A56" s="322">
        <v>14</v>
      </c>
      <c r="B56" s="33"/>
      <c r="C56" s="33"/>
      <c r="F56" s="62" t="str">
        <f>'G-1 All Habitats'!B56</f>
        <v>Sparsely vegetated land - Limestone pavement</v>
      </c>
      <c r="G56" s="322" t="s">
        <v>1141</v>
      </c>
      <c r="H56" s="322" t="s">
        <v>1141</v>
      </c>
      <c r="I56" s="322" t="s">
        <v>1141</v>
      </c>
      <c r="J56" s="322" t="s">
        <v>1141</v>
      </c>
      <c r="K56" s="322" t="s">
        <v>1141</v>
      </c>
      <c r="L56" s="322" t="s">
        <v>1140</v>
      </c>
      <c r="M56" s="322" t="s">
        <v>1140</v>
      </c>
    </row>
    <row r="57" spans="1:13" x14ac:dyDescent="0.25">
      <c r="A57" s="322">
        <v>15</v>
      </c>
      <c r="B57" s="33"/>
      <c r="C57" s="33"/>
      <c r="F57" s="62" t="str">
        <f>'G-1 All Habitats'!B57</f>
        <v>Sparsely vegetated land - Maritime cliff and slopes</v>
      </c>
      <c r="G57" s="322">
        <v>20</v>
      </c>
      <c r="H57" s="322">
        <v>15</v>
      </c>
      <c r="I57" s="322">
        <v>10</v>
      </c>
      <c r="J57" s="322">
        <v>7</v>
      </c>
      <c r="K57" s="322">
        <v>5</v>
      </c>
      <c r="L57" s="322" t="s">
        <v>1140</v>
      </c>
      <c r="M57" s="322" t="s">
        <v>1140</v>
      </c>
    </row>
    <row r="58" spans="1:13" x14ac:dyDescent="0.25">
      <c r="A58" s="322">
        <v>16</v>
      </c>
      <c r="B58" s="33"/>
      <c r="C58" s="33"/>
      <c r="F58" s="62" t="str">
        <f>'G-1 All Habitats'!B58</f>
        <v>Sparsely vegetated land - Other inland rock and scree</v>
      </c>
      <c r="G58" s="322">
        <v>20</v>
      </c>
      <c r="H58" s="322">
        <v>15</v>
      </c>
      <c r="I58" s="322">
        <v>10</v>
      </c>
      <c r="J58" s="322">
        <v>7</v>
      </c>
      <c r="K58" s="322">
        <v>5</v>
      </c>
      <c r="L58" s="322" t="s">
        <v>1140</v>
      </c>
      <c r="M58" s="322" t="s">
        <v>1140</v>
      </c>
    </row>
    <row r="59" spans="1:13" x14ac:dyDescent="0.25">
      <c r="A59" s="322">
        <v>17</v>
      </c>
      <c r="B59" s="33"/>
      <c r="C59" s="33"/>
      <c r="F59" s="62" t="str">
        <f>'G-1 All Habitats'!B59</f>
        <v>Urban - Allotments</v>
      </c>
      <c r="G59" s="322">
        <v>1</v>
      </c>
      <c r="H59" s="322">
        <v>1</v>
      </c>
      <c r="I59" s="322">
        <v>1</v>
      </c>
      <c r="J59" s="322">
        <v>1</v>
      </c>
      <c r="K59" s="322">
        <v>1</v>
      </c>
      <c r="L59" s="322" t="s">
        <v>1140</v>
      </c>
      <c r="M59" s="322" t="s">
        <v>1140</v>
      </c>
    </row>
    <row r="60" spans="1:13" x14ac:dyDescent="0.25">
      <c r="A60" s="322">
        <v>18</v>
      </c>
      <c r="B60" s="33"/>
      <c r="C60" s="33"/>
      <c r="F60" s="62" t="str">
        <f>'G-1 All Habitats'!B40</f>
        <v>Lakes - Ornamental lake or pond</v>
      </c>
      <c r="G60" s="322">
        <v>5</v>
      </c>
      <c r="H60" s="322">
        <v>4</v>
      </c>
      <c r="I60" s="322">
        <v>3</v>
      </c>
      <c r="J60" s="322">
        <v>2</v>
      </c>
      <c r="K60" s="322">
        <v>1</v>
      </c>
      <c r="L60" s="322" t="s">
        <v>1140</v>
      </c>
      <c r="M60" s="322" t="s">
        <v>1140</v>
      </c>
    </row>
    <row r="61" spans="1:13" x14ac:dyDescent="0.25">
      <c r="A61" s="322">
        <v>19</v>
      </c>
      <c r="B61" s="33"/>
      <c r="C61" s="33"/>
      <c r="F61" s="62" t="str">
        <f>'G-1 All Habitats'!B60</f>
        <v>Urban - Artificial unvegetated, unsealed surface</v>
      </c>
      <c r="G61" s="322" t="s">
        <v>1140</v>
      </c>
      <c r="H61" s="322" t="s">
        <v>1140</v>
      </c>
      <c r="I61" s="322" t="s">
        <v>1140</v>
      </c>
      <c r="J61" s="322" t="s">
        <v>1140</v>
      </c>
      <c r="K61" s="322" t="s">
        <v>1140</v>
      </c>
      <c r="L61" s="322" t="s">
        <v>1140</v>
      </c>
      <c r="M61" s="322">
        <v>0</v>
      </c>
    </row>
    <row r="62" spans="1:13" x14ac:dyDescent="0.25">
      <c r="A62" s="322">
        <v>20</v>
      </c>
      <c r="B62" s="33"/>
      <c r="C62" s="33"/>
      <c r="F62" s="62" t="str">
        <f>'G-1 All Habitats'!B61</f>
        <v>Urban - Bioswale</v>
      </c>
      <c r="G62" s="322">
        <v>3</v>
      </c>
      <c r="H62" s="322">
        <v>2</v>
      </c>
      <c r="I62" s="322">
        <v>1</v>
      </c>
      <c r="J62" s="322">
        <v>1</v>
      </c>
      <c r="K62" s="322">
        <v>1</v>
      </c>
      <c r="L62" s="322" t="s">
        <v>1140</v>
      </c>
      <c r="M62" s="322" t="s">
        <v>1140</v>
      </c>
    </row>
    <row r="63" spans="1:13" x14ac:dyDescent="0.25">
      <c r="A63" s="322">
        <v>21</v>
      </c>
      <c r="B63" s="33"/>
      <c r="C63" s="33"/>
      <c r="F63" s="62" t="str">
        <f>'G-1 All Habitats'!B62</f>
        <v>Urban - Intensive green roof</v>
      </c>
      <c r="G63" s="322">
        <v>5</v>
      </c>
      <c r="H63" s="322">
        <v>4</v>
      </c>
      <c r="I63" s="322">
        <v>3</v>
      </c>
      <c r="J63" s="322">
        <v>2</v>
      </c>
      <c r="K63" s="322">
        <v>1</v>
      </c>
      <c r="L63" s="322" t="s">
        <v>1140</v>
      </c>
      <c r="M63" s="322" t="s">
        <v>1140</v>
      </c>
    </row>
    <row r="64" spans="1:13" x14ac:dyDescent="0.25">
      <c r="A64" s="322">
        <v>22</v>
      </c>
      <c r="B64" s="33"/>
      <c r="C64" s="33"/>
      <c r="F64" s="62" t="str">
        <f>'G-1 All Habitats'!B63</f>
        <v>Urban - Built linear features</v>
      </c>
      <c r="G64" s="322" t="s">
        <v>1140</v>
      </c>
      <c r="H64" s="322" t="s">
        <v>1140</v>
      </c>
      <c r="I64" s="322" t="s">
        <v>1140</v>
      </c>
      <c r="J64" s="322" t="s">
        <v>1140</v>
      </c>
      <c r="K64" s="322" t="s">
        <v>1140</v>
      </c>
      <c r="L64" s="322" t="s">
        <v>1140</v>
      </c>
      <c r="M64" s="322">
        <v>0</v>
      </c>
    </row>
    <row r="65" spans="1:13" x14ac:dyDescent="0.25">
      <c r="A65" s="322">
        <v>23</v>
      </c>
      <c r="B65" s="33"/>
      <c r="C65" s="33"/>
      <c r="F65" s="62" t="str">
        <f>'G-1 All Habitats'!B64</f>
        <v>Urban - Cemeteries and churchyards</v>
      </c>
      <c r="G65" s="322">
        <v>20</v>
      </c>
      <c r="H65" s="322">
        <v>17</v>
      </c>
      <c r="I65" s="322">
        <v>15</v>
      </c>
      <c r="J65" s="322">
        <v>12</v>
      </c>
      <c r="K65" s="322">
        <v>10</v>
      </c>
      <c r="L65" s="322" t="s">
        <v>1140</v>
      </c>
      <c r="M65" s="322" t="s">
        <v>1140</v>
      </c>
    </row>
    <row r="66" spans="1:13" x14ac:dyDescent="0.25">
      <c r="A66" s="322">
        <v>24</v>
      </c>
      <c r="B66" s="33"/>
      <c r="C66" s="33"/>
      <c r="F66" s="62" t="str">
        <f>'G-1 All Habitats'!B65</f>
        <v>Urban - Developed land; sealed surface</v>
      </c>
      <c r="G66" s="322" t="s">
        <v>1140</v>
      </c>
      <c r="H66" s="322" t="s">
        <v>1140</v>
      </c>
      <c r="I66" s="322" t="s">
        <v>1140</v>
      </c>
      <c r="J66" s="322" t="s">
        <v>1140</v>
      </c>
      <c r="K66" s="322" t="s">
        <v>1140</v>
      </c>
      <c r="L66" s="322" t="s">
        <v>1140</v>
      </c>
      <c r="M66" s="322">
        <v>0</v>
      </c>
    </row>
    <row r="67" spans="1:13" x14ac:dyDescent="0.25">
      <c r="A67" s="322">
        <v>25</v>
      </c>
      <c r="B67" s="33"/>
      <c r="C67" s="33"/>
      <c r="F67" s="62" t="str">
        <f>'G-1 All Habitats'!B66</f>
        <v>Urban - Other green roof</v>
      </c>
      <c r="G67" s="322" t="s">
        <v>1140</v>
      </c>
      <c r="H67" s="322" t="s">
        <v>1140</v>
      </c>
      <c r="I67" s="322" t="s">
        <v>1140</v>
      </c>
      <c r="J67" s="322" t="s">
        <v>1140</v>
      </c>
      <c r="K67" s="322" t="s">
        <v>1140</v>
      </c>
      <c r="L67" s="322">
        <v>1</v>
      </c>
      <c r="M67" s="322" t="s">
        <v>1140</v>
      </c>
    </row>
    <row r="68" spans="1:13" x14ac:dyDescent="0.25">
      <c r="A68" s="322">
        <v>26</v>
      </c>
      <c r="B68" s="33"/>
      <c r="C68" s="33"/>
      <c r="F68" s="62" t="str">
        <f>'G-1 All Habitats'!B67</f>
        <v>Urban - Facade-bound green wall</v>
      </c>
      <c r="G68" s="322">
        <v>5</v>
      </c>
      <c r="H68" s="322">
        <v>4</v>
      </c>
      <c r="I68" s="322">
        <v>3</v>
      </c>
      <c r="J68" s="322">
        <v>2</v>
      </c>
      <c r="K68" s="322">
        <v>1</v>
      </c>
      <c r="L68" s="322" t="s">
        <v>1140</v>
      </c>
      <c r="M68" s="322" t="s">
        <v>1140</v>
      </c>
    </row>
    <row r="69" spans="1:13" x14ac:dyDescent="0.25">
      <c r="A69" s="322">
        <v>27</v>
      </c>
      <c r="B69" s="33"/>
      <c r="C69" s="33"/>
      <c r="F69" s="62" t="str">
        <f>'G-1 All Habitats'!B68</f>
        <v>Urban - Ground based green wall</v>
      </c>
      <c r="G69" s="322">
        <v>5</v>
      </c>
      <c r="H69" s="322">
        <v>4</v>
      </c>
      <c r="I69" s="322">
        <v>3</v>
      </c>
      <c r="J69" s="322">
        <v>2</v>
      </c>
      <c r="K69" s="322">
        <v>1</v>
      </c>
      <c r="L69" s="322" t="s">
        <v>1140</v>
      </c>
      <c r="M69" s="322" t="s">
        <v>1140</v>
      </c>
    </row>
    <row r="70" spans="1:13" x14ac:dyDescent="0.25">
      <c r="A70" s="322">
        <v>28</v>
      </c>
      <c r="B70" s="33"/>
      <c r="C70" s="33"/>
      <c r="F70" s="62" t="str">
        <f>'G-1 All Habitats'!B69</f>
        <v>Urban - Ground level planters</v>
      </c>
      <c r="G70" s="322" t="s">
        <v>1140</v>
      </c>
      <c r="H70" s="322" t="s">
        <v>1140</v>
      </c>
      <c r="I70" s="322" t="s">
        <v>1140</v>
      </c>
      <c r="J70" s="322" t="s">
        <v>1140</v>
      </c>
      <c r="K70" s="322" t="s">
        <v>1140</v>
      </c>
      <c r="L70" s="322">
        <v>1</v>
      </c>
      <c r="M70" s="322" t="s">
        <v>1140</v>
      </c>
    </row>
    <row r="71" spans="1:13" x14ac:dyDescent="0.25">
      <c r="A71" s="322">
        <v>29</v>
      </c>
      <c r="B71" s="33"/>
      <c r="C71" s="33"/>
      <c r="F71" s="62" t="str">
        <f>'G-1 All Habitats'!B70</f>
        <v>Urban - Biodiverse green roof</v>
      </c>
      <c r="G71" s="322">
        <v>10</v>
      </c>
      <c r="H71" s="322">
        <v>8</v>
      </c>
      <c r="I71" s="322">
        <v>5</v>
      </c>
      <c r="J71" s="322">
        <v>3</v>
      </c>
      <c r="K71" s="322">
        <v>1</v>
      </c>
      <c r="L71" s="322" t="s">
        <v>1140</v>
      </c>
      <c r="M71" s="322" t="s">
        <v>1140</v>
      </c>
    </row>
    <row r="72" spans="1:13" x14ac:dyDescent="0.25">
      <c r="A72" s="322">
        <v>30</v>
      </c>
      <c r="B72" s="33"/>
      <c r="C72" s="33"/>
      <c r="F72" s="62" t="str">
        <f>'G-1 All Habitats'!B71</f>
        <v>Urban - Introduced shrub</v>
      </c>
      <c r="G72" s="322" t="s">
        <v>1140</v>
      </c>
      <c r="H72" s="322" t="s">
        <v>1140</v>
      </c>
      <c r="I72" s="322" t="s">
        <v>1140</v>
      </c>
      <c r="J72" s="322" t="s">
        <v>1140</v>
      </c>
      <c r="K72" s="322" t="s">
        <v>1140</v>
      </c>
      <c r="L72" s="322">
        <v>1</v>
      </c>
      <c r="M72" s="322" t="s">
        <v>1140</v>
      </c>
    </row>
    <row r="73" spans="1:13" x14ac:dyDescent="0.25">
      <c r="A73" s="322" t="s">
        <v>1141</v>
      </c>
      <c r="B73" s="33"/>
      <c r="C73" s="33"/>
      <c r="F73" s="62" t="str">
        <f>'G-1 All Habitats'!B72</f>
        <v>Urban - Open mosaic habitats on previously developed land</v>
      </c>
      <c r="G73" s="322">
        <v>10</v>
      </c>
      <c r="H73" s="322">
        <v>7</v>
      </c>
      <c r="I73" s="322">
        <v>4</v>
      </c>
      <c r="J73" s="322">
        <v>2</v>
      </c>
      <c r="K73" s="322">
        <v>0</v>
      </c>
      <c r="L73" s="322" t="s">
        <v>1140</v>
      </c>
      <c r="M73" s="322" t="s">
        <v>1140</v>
      </c>
    </row>
    <row r="74" spans="1:13" x14ac:dyDescent="0.25">
      <c r="B74" s="33"/>
      <c r="C74" s="33"/>
      <c r="F74" s="62" t="str">
        <f>'G-1 All Habitats'!B73</f>
        <v>Urban - Rain garden</v>
      </c>
      <c r="G74" s="322">
        <v>5</v>
      </c>
      <c r="H74" s="322">
        <v>4</v>
      </c>
      <c r="I74" s="322">
        <v>3</v>
      </c>
      <c r="J74" s="322">
        <v>2</v>
      </c>
      <c r="K74" s="322">
        <v>1</v>
      </c>
      <c r="L74" s="322" t="s">
        <v>1140</v>
      </c>
      <c r="M74" s="322" t="s">
        <v>1140</v>
      </c>
    </row>
    <row r="75" spans="1:13" x14ac:dyDescent="0.25">
      <c r="A75" s="33"/>
      <c r="B75" s="33"/>
      <c r="C75" s="33"/>
      <c r="F75" s="62" t="str">
        <f>'G-1 All Habitats'!B74</f>
        <v>Urban - Actively worked sand pit quarry or open cast mine</v>
      </c>
      <c r="G75" s="322" t="s">
        <v>1140</v>
      </c>
      <c r="H75" s="322" t="s">
        <v>1140</v>
      </c>
      <c r="I75" s="322" t="s">
        <v>1140</v>
      </c>
      <c r="J75" s="322" t="s">
        <v>1140</v>
      </c>
      <c r="K75" s="322" t="s">
        <v>1140</v>
      </c>
      <c r="L75" s="322">
        <v>1</v>
      </c>
      <c r="M75" s="322" t="s">
        <v>1140</v>
      </c>
    </row>
    <row r="76" spans="1:13" x14ac:dyDescent="0.25">
      <c r="A76" s="33"/>
      <c r="B76" s="33"/>
      <c r="C76" s="33"/>
      <c r="F76" s="62" t="str">
        <f>'G-1 All Habitats'!B80</f>
        <v>Individual trees - Urban tree</v>
      </c>
      <c r="G76" s="322" t="s">
        <v>1141</v>
      </c>
      <c r="H76" s="322" t="s">
        <v>1141</v>
      </c>
      <c r="I76" s="322">
        <v>27</v>
      </c>
      <c r="J76" s="322">
        <v>19</v>
      </c>
      <c r="K76" s="322">
        <v>10</v>
      </c>
      <c r="L76" s="322" t="s">
        <v>1140</v>
      </c>
      <c r="M76" s="322" t="s">
        <v>1140</v>
      </c>
    </row>
    <row r="77" spans="1:13" x14ac:dyDescent="0.25">
      <c r="A77" s="33"/>
      <c r="B77" s="33"/>
      <c r="C77" s="33"/>
      <c r="F77" s="62" t="str">
        <f>'G-1 All Habitats'!B75</f>
        <v>Urban - Sustainable drainage system</v>
      </c>
      <c r="G77" s="322">
        <v>5</v>
      </c>
      <c r="H77" s="322">
        <v>4</v>
      </c>
      <c r="I77" s="322">
        <v>3</v>
      </c>
      <c r="J77" s="322">
        <v>2</v>
      </c>
      <c r="K77" s="322">
        <v>1</v>
      </c>
      <c r="L77" s="322" t="s">
        <v>1140</v>
      </c>
      <c r="M77" s="322" t="s">
        <v>1140</v>
      </c>
    </row>
    <row r="78" spans="1:13" x14ac:dyDescent="0.25">
      <c r="A78" s="33"/>
      <c r="B78" s="33"/>
      <c r="C78" s="33"/>
      <c r="F78" s="62" t="str">
        <f>'G-1 All Habitats'!B76</f>
        <v>Urban - Unvegetated garden</v>
      </c>
      <c r="G78" s="322" t="s">
        <v>1140</v>
      </c>
      <c r="H78" s="322" t="s">
        <v>1140</v>
      </c>
      <c r="I78" s="322" t="s">
        <v>1140</v>
      </c>
      <c r="J78" s="322" t="s">
        <v>1140</v>
      </c>
      <c r="K78" s="322" t="s">
        <v>1140</v>
      </c>
      <c r="L78" s="322" t="s">
        <v>1140</v>
      </c>
      <c r="M78" s="322">
        <v>0</v>
      </c>
    </row>
    <row r="79" spans="1:13" x14ac:dyDescent="0.25">
      <c r="A79" s="33"/>
      <c r="B79" s="33"/>
      <c r="C79" s="33"/>
      <c r="F79" s="62" t="str">
        <f>'G-1 All Habitats'!B77</f>
        <v>Urban - Vacant or derelict land</v>
      </c>
      <c r="G79" s="322">
        <v>5</v>
      </c>
      <c r="H79" s="322">
        <v>4</v>
      </c>
      <c r="I79" s="322">
        <v>3</v>
      </c>
      <c r="J79" s="322">
        <v>2</v>
      </c>
      <c r="K79" s="322">
        <v>1</v>
      </c>
      <c r="L79" s="322" t="s">
        <v>1140</v>
      </c>
      <c r="M79" s="322" t="s">
        <v>1140</v>
      </c>
    </row>
    <row r="80" spans="1:13" x14ac:dyDescent="0.25">
      <c r="A80" s="33"/>
      <c r="B80" s="33"/>
      <c r="C80" s="33"/>
      <c r="F80" s="62" t="s">
        <v>852</v>
      </c>
      <c r="G80" s="322">
        <v>5</v>
      </c>
      <c r="H80" s="322">
        <v>4</v>
      </c>
      <c r="I80" s="322">
        <v>3</v>
      </c>
      <c r="J80" s="322">
        <v>2</v>
      </c>
      <c r="K80" s="322">
        <v>1</v>
      </c>
      <c r="L80" s="322" t="s">
        <v>1140</v>
      </c>
      <c r="M80" s="322" t="s">
        <v>1140</v>
      </c>
    </row>
    <row r="81" spans="1:13" x14ac:dyDescent="0.25">
      <c r="A81" s="33"/>
      <c r="B81" s="33"/>
      <c r="C81" s="33"/>
      <c r="F81" s="62" t="str">
        <f>'G-1 All Habitats'!B79</f>
        <v>Urban - Vegetated garden</v>
      </c>
      <c r="G81" s="322" t="s">
        <v>1140</v>
      </c>
      <c r="H81" s="322" t="s">
        <v>1140</v>
      </c>
      <c r="I81" s="322" t="s">
        <v>1140</v>
      </c>
      <c r="J81" s="322" t="s">
        <v>1140</v>
      </c>
      <c r="K81" s="322" t="s">
        <v>1140</v>
      </c>
      <c r="L81" s="322">
        <v>1</v>
      </c>
      <c r="M81" s="322" t="s">
        <v>1140</v>
      </c>
    </row>
    <row r="82" spans="1:13" x14ac:dyDescent="0.25">
      <c r="A82" s="33"/>
      <c r="B82" s="33"/>
      <c r="C82" s="33"/>
      <c r="F82" s="62" t="str">
        <f>'G-1 All Habitats'!B82</f>
        <v>Wetland - Blanket bog</v>
      </c>
      <c r="G82" s="322" t="s">
        <v>1141</v>
      </c>
      <c r="H82" s="322" t="s">
        <v>1141</v>
      </c>
      <c r="I82" s="322" t="s">
        <v>1141</v>
      </c>
      <c r="J82" s="322" t="s">
        <v>1141</v>
      </c>
      <c r="K82" s="322" t="s">
        <v>1141</v>
      </c>
      <c r="L82" s="322" t="s">
        <v>1140</v>
      </c>
      <c r="M82" s="322" t="s">
        <v>1140</v>
      </c>
    </row>
    <row r="83" spans="1:13" x14ac:dyDescent="0.25">
      <c r="A83" s="33"/>
      <c r="B83" s="33"/>
      <c r="C83" s="33"/>
      <c r="F83" s="62" t="str">
        <f>'G-1 All Habitats'!B83</f>
        <v>Wetland - Depressions on peat substrates (H7150)</v>
      </c>
      <c r="G83" s="322" t="s">
        <v>1141</v>
      </c>
      <c r="H83" s="322" t="s">
        <v>1141</v>
      </c>
      <c r="I83" s="322">
        <v>30</v>
      </c>
      <c r="J83" s="322">
        <v>25</v>
      </c>
      <c r="K83" s="322">
        <v>15</v>
      </c>
      <c r="L83" s="322" t="s">
        <v>1140</v>
      </c>
      <c r="M83" s="322" t="s">
        <v>1140</v>
      </c>
    </row>
    <row r="84" spans="1:13" x14ac:dyDescent="0.25">
      <c r="A84" s="33"/>
      <c r="B84" s="33"/>
      <c r="C84" s="33"/>
      <c r="F84" s="62" t="str">
        <f>'G-1 All Habitats'!B84</f>
        <v>Wetland - Fens (upland and lowland)</v>
      </c>
      <c r="G84" s="322">
        <v>30</v>
      </c>
      <c r="H84" s="322">
        <v>25</v>
      </c>
      <c r="I84" s="322">
        <v>20</v>
      </c>
      <c r="J84" s="322">
        <v>15</v>
      </c>
      <c r="K84" s="322">
        <v>10</v>
      </c>
      <c r="L84" s="322" t="s">
        <v>1140</v>
      </c>
      <c r="M84" s="322" t="s">
        <v>1140</v>
      </c>
    </row>
    <row r="85" spans="1:13" x14ac:dyDescent="0.25">
      <c r="A85" s="33"/>
      <c r="B85" s="33"/>
      <c r="C85" s="33"/>
      <c r="F85" s="62" t="str">
        <f>'G-1 All Habitats'!B85</f>
        <v>Wetland - Lowland raised bog</v>
      </c>
      <c r="G85" s="322" t="s">
        <v>1141</v>
      </c>
      <c r="H85" s="322" t="s">
        <v>1141</v>
      </c>
      <c r="I85" s="322">
        <v>30</v>
      </c>
      <c r="J85" s="322">
        <v>20</v>
      </c>
      <c r="K85" s="322">
        <v>15</v>
      </c>
      <c r="L85" s="322" t="s">
        <v>1140</v>
      </c>
      <c r="M85" s="322" t="s">
        <v>1140</v>
      </c>
    </row>
    <row r="86" spans="1:13" x14ac:dyDescent="0.25">
      <c r="A86" s="33"/>
      <c r="B86" s="33"/>
      <c r="C86" s="33"/>
      <c r="F86" s="62" t="str">
        <f>'G-1 All Habitats'!B86</f>
        <v>Wetland - Oceanic valley mire[1] (D2.1)</v>
      </c>
      <c r="G86" s="322" t="s">
        <v>1141</v>
      </c>
      <c r="H86" s="322" t="s">
        <v>1141</v>
      </c>
      <c r="I86" s="322">
        <v>30</v>
      </c>
      <c r="J86" s="322">
        <v>20</v>
      </c>
      <c r="K86" s="322">
        <v>15</v>
      </c>
      <c r="L86" s="322" t="s">
        <v>1140</v>
      </c>
      <c r="M86" s="322" t="s">
        <v>1140</v>
      </c>
    </row>
    <row r="87" spans="1:13" x14ac:dyDescent="0.25">
      <c r="A87" s="33"/>
      <c r="B87" s="33"/>
      <c r="C87" s="33"/>
      <c r="F87" s="62" t="str">
        <f>'G-1 All Habitats'!B87</f>
        <v>Wetland - Purple moor grass and rush pastures</v>
      </c>
      <c r="G87" s="322">
        <v>30</v>
      </c>
      <c r="H87" s="322">
        <v>25</v>
      </c>
      <c r="I87" s="322">
        <v>20</v>
      </c>
      <c r="J87" s="322">
        <v>15</v>
      </c>
      <c r="K87" s="322">
        <v>10</v>
      </c>
      <c r="L87" s="322" t="s">
        <v>1140</v>
      </c>
      <c r="M87" s="322" t="s">
        <v>1140</v>
      </c>
    </row>
    <row r="88" spans="1:13" x14ac:dyDescent="0.25">
      <c r="A88" s="33"/>
      <c r="B88" s="33"/>
      <c r="C88" s="33"/>
      <c r="F88" s="62" t="str">
        <f>'G-1 All Habitats'!B88</f>
        <v>Wetland - Reedbeds</v>
      </c>
      <c r="G88" s="322">
        <v>12</v>
      </c>
      <c r="H88" s="322">
        <v>10</v>
      </c>
      <c r="I88" s="322">
        <v>7</v>
      </c>
      <c r="J88" s="322">
        <v>5</v>
      </c>
      <c r="K88" s="322">
        <v>3</v>
      </c>
      <c r="L88" s="322" t="s">
        <v>1140</v>
      </c>
      <c r="M88" s="322" t="s">
        <v>1140</v>
      </c>
    </row>
    <row r="89" spans="1:13" x14ac:dyDescent="0.25">
      <c r="A89" s="33"/>
      <c r="B89" s="33"/>
      <c r="C89" s="33"/>
      <c r="F89" s="62" t="str">
        <f>'G-1 All Habitats'!B89</f>
        <v>Wetland - Transition mires and quaking bogs (H7140)</v>
      </c>
      <c r="G89" s="322" t="s">
        <v>1141</v>
      </c>
      <c r="H89" s="322" t="s">
        <v>1141</v>
      </c>
      <c r="I89" s="322">
        <v>30</v>
      </c>
      <c r="J89" s="322">
        <v>25</v>
      </c>
      <c r="K89" s="322">
        <v>15</v>
      </c>
      <c r="L89" s="322" t="s">
        <v>1140</v>
      </c>
      <c r="M89" s="322" t="s">
        <v>1140</v>
      </c>
    </row>
    <row r="90" spans="1:13" x14ac:dyDescent="0.25">
      <c r="A90" s="33"/>
      <c r="B90" s="33"/>
      <c r="C90" s="33"/>
      <c r="F90" s="62" t="str">
        <f>'G-1 All Habitats'!B90</f>
        <v>Woodland and forest - Felled</v>
      </c>
      <c r="G90" s="322" t="s">
        <v>1141</v>
      </c>
      <c r="H90" s="322" t="s">
        <v>1140</v>
      </c>
      <c r="I90" s="322" t="s">
        <v>1140</v>
      </c>
      <c r="J90" s="322" t="s">
        <v>1140</v>
      </c>
      <c r="K90" s="322" t="s">
        <v>1140</v>
      </c>
      <c r="L90" s="322" t="s">
        <v>1140</v>
      </c>
      <c r="M90" s="322" t="s">
        <v>1140</v>
      </c>
    </row>
    <row r="91" spans="1:13" x14ac:dyDescent="0.25">
      <c r="A91" s="33"/>
      <c r="B91" s="33"/>
      <c r="C91" s="33"/>
      <c r="F91" s="62" t="str">
        <f>'G-1 All Habitats'!B91</f>
        <v>Woodland and forest - Lowland beech and yew woodland</v>
      </c>
      <c r="G91" s="322" t="s">
        <v>1141</v>
      </c>
      <c r="H91" s="322" t="s">
        <v>1141</v>
      </c>
      <c r="I91" s="322" t="s">
        <v>1141</v>
      </c>
      <c r="J91" s="322">
        <v>25</v>
      </c>
      <c r="K91" s="322">
        <v>10</v>
      </c>
      <c r="L91" s="322" t="s">
        <v>1140</v>
      </c>
      <c r="M91" s="322" t="s">
        <v>1140</v>
      </c>
    </row>
    <row r="92" spans="1:13" x14ac:dyDescent="0.25">
      <c r="A92" s="33"/>
      <c r="B92" s="33"/>
      <c r="C92" s="33"/>
      <c r="F92" s="62" t="str">
        <f>'G-1 All Habitats'!B92</f>
        <v>Woodland and forest - Lowland mixed deciduous woodland</v>
      </c>
      <c r="G92" s="322" t="s">
        <v>1141</v>
      </c>
      <c r="H92" s="322" t="s">
        <v>1141</v>
      </c>
      <c r="I92" s="322" t="s">
        <v>1141</v>
      </c>
      <c r="J92" s="322">
        <v>25</v>
      </c>
      <c r="K92" s="322">
        <v>10</v>
      </c>
      <c r="L92" s="322" t="s">
        <v>1140</v>
      </c>
      <c r="M92" s="322" t="s">
        <v>1140</v>
      </c>
    </row>
    <row r="93" spans="1:13" x14ac:dyDescent="0.25">
      <c r="A93" s="33"/>
      <c r="B93" s="33"/>
      <c r="C93" s="33"/>
      <c r="F93" s="62" t="str">
        <f>'G-1 All Habitats'!B93</f>
        <v>Woodland and forest - Native pine woodlands</v>
      </c>
      <c r="G93" s="322" t="s">
        <v>1141</v>
      </c>
      <c r="H93" s="322" t="s">
        <v>1141</v>
      </c>
      <c r="I93" s="322" t="s">
        <v>1141</v>
      </c>
      <c r="J93" s="322">
        <v>25</v>
      </c>
      <c r="K93" s="322">
        <v>10</v>
      </c>
      <c r="L93" s="322" t="s">
        <v>1140</v>
      </c>
      <c r="M93" s="322" t="s">
        <v>1140</v>
      </c>
    </row>
    <row r="94" spans="1:13" x14ac:dyDescent="0.25">
      <c r="A94" s="33"/>
      <c r="B94" s="33"/>
      <c r="C94" s="33"/>
      <c r="F94" s="62" t="str">
        <f>'G-1 All Habitats'!B94</f>
        <v>Woodland and forest - Other coniferous woodland</v>
      </c>
      <c r="G94" s="322" t="s">
        <v>1141</v>
      </c>
      <c r="H94" s="322" t="s">
        <v>1141</v>
      </c>
      <c r="I94" s="322">
        <v>30</v>
      </c>
      <c r="J94" s="322">
        <v>10</v>
      </c>
      <c r="K94" s="322">
        <v>5</v>
      </c>
      <c r="L94" s="322" t="s">
        <v>1140</v>
      </c>
      <c r="M94" s="322" t="s">
        <v>1140</v>
      </c>
    </row>
    <row r="95" spans="1:13" x14ac:dyDescent="0.25">
      <c r="A95" s="33"/>
      <c r="B95" s="33"/>
      <c r="C95" s="33"/>
      <c r="F95" s="62" t="str">
        <f>'G-1 All Habitats'!B95</f>
        <v>Woodland and forest - Other Scot's pine woodland</v>
      </c>
      <c r="G95" s="322" t="s">
        <v>1141</v>
      </c>
      <c r="H95" s="322" t="s">
        <v>1141</v>
      </c>
      <c r="I95" s="322" t="s">
        <v>1141</v>
      </c>
      <c r="J95" s="322">
        <v>25</v>
      </c>
      <c r="K95" s="322">
        <v>10</v>
      </c>
      <c r="L95" s="322" t="s">
        <v>1140</v>
      </c>
      <c r="M95" s="322" t="s">
        <v>1140</v>
      </c>
    </row>
    <row r="96" spans="1:13" x14ac:dyDescent="0.25">
      <c r="A96" s="33"/>
      <c r="B96" s="33"/>
      <c r="C96" s="33"/>
      <c r="F96" s="62" t="str">
        <f>'G-1 All Habitats'!B96</f>
        <v>Woodland and forest - Other woodland; broadleaved</v>
      </c>
      <c r="G96" s="322" t="s">
        <v>1141</v>
      </c>
      <c r="H96" s="322">
        <v>25</v>
      </c>
      <c r="I96" s="322">
        <v>15</v>
      </c>
      <c r="J96" s="322">
        <v>7</v>
      </c>
      <c r="K96" s="322">
        <v>5</v>
      </c>
      <c r="L96" s="322" t="s">
        <v>1140</v>
      </c>
      <c r="M96" s="322" t="s">
        <v>1140</v>
      </c>
    </row>
    <row r="97" spans="1:13" x14ac:dyDescent="0.25">
      <c r="A97" s="33"/>
      <c r="B97" s="33"/>
      <c r="C97" s="33"/>
      <c r="F97" s="62" t="str">
        <f>'G-1 All Habitats'!B97</f>
        <v>Woodland and forest - Other woodland; mixed</v>
      </c>
      <c r="G97" s="322" t="s">
        <v>1141</v>
      </c>
      <c r="H97" s="322" t="s">
        <v>1141</v>
      </c>
      <c r="I97" s="322">
        <v>30</v>
      </c>
      <c r="J97" s="322">
        <v>10</v>
      </c>
      <c r="K97" s="322">
        <v>5</v>
      </c>
      <c r="L97" s="322" t="s">
        <v>1140</v>
      </c>
      <c r="M97" s="322" t="s">
        <v>1140</v>
      </c>
    </row>
    <row r="98" spans="1:13" x14ac:dyDescent="0.25">
      <c r="A98" s="33"/>
      <c r="B98" s="33"/>
      <c r="C98" s="33"/>
      <c r="F98" s="62" t="str">
        <f>'G-1 All Habitats'!B98</f>
        <v>Woodland and forest - Upland birchwoods</v>
      </c>
      <c r="G98" s="322" t="s">
        <v>1141</v>
      </c>
      <c r="H98" s="322">
        <v>30</v>
      </c>
      <c r="I98" s="322">
        <v>25</v>
      </c>
      <c r="J98" s="322">
        <v>20</v>
      </c>
      <c r="K98" s="322">
        <v>10</v>
      </c>
      <c r="L98" s="322" t="s">
        <v>1140</v>
      </c>
      <c r="M98" s="322" t="s">
        <v>1140</v>
      </c>
    </row>
    <row r="99" spans="1:13" x14ac:dyDescent="0.25">
      <c r="A99" s="33"/>
      <c r="B99" s="33"/>
      <c r="C99" s="33"/>
      <c r="F99" s="62" t="str">
        <f>'G-1 All Habitats'!B99</f>
        <v>Woodland and forest - Upland mixed ashwoods</v>
      </c>
      <c r="G99" s="322" t="s">
        <v>1141</v>
      </c>
      <c r="H99" s="322" t="s">
        <v>1141</v>
      </c>
      <c r="I99" s="322" t="s">
        <v>1141</v>
      </c>
      <c r="J99" s="322">
        <v>25</v>
      </c>
      <c r="K99" s="322">
        <v>10</v>
      </c>
      <c r="L99" s="322" t="s">
        <v>1140</v>
      </c>
      <c r="M99" s="322" t="s">
        <v>1140</v>
      </c>
    </row>
    <row r="100" spans="1:13" x14ac:dyDescent="0.25">
      <c r="A100" s="33"/>
      <c r="B100" s="33"/>
      <c r="C100" s="33"/>
      <c r="F100" s="62" t="str">
        <f>'G-1 All Habitats'!B100</f>
        <v>Woodland and forest - Upland oakwood</v>
      </c>
      <c r="G100" s="322" t="s">
        <v>1141</v>
      </c>
      <c r="H100" s="322" t="s">
        <v>1141</v>
      </c>
      <c r="I100" s="322" t="s">
        <v>1141</v>
      </c>
      <c r="J100" s="322">
        <v>25</v>
      </c>
      <c r="K100" s="322">
        <v>10</v>
      </c>
      <c r="L100" s="322" t="s">
        <v>1140</v>
      </c>
      <c r="M100" s="322" t="s">
        <v>1140</v>
      </c>
    </row>
    <row r="101" spans="1:13" x14ac:dyDescent="0.25">
      <c r="A101" s="33"/>
      <c r="B101" s="33"/>
      <c r="C101" s="33"/>
      <c r="F101" s="62" t="str">
        <f>'G-1 All Habitats'!B101</f>
        <v>Woodland and forest - Wet woodland</v>
      </c>
      <c r="G101" s="322" t="s">
        <v>1141</v>
      </c>
      <c r="H101" s="322">
        <v>30</v>
      </c>
      <c r="I101" s="322">
        <v>15</v>
      </c>
      <c r="J101" s="322">
        <v>10</v>
      </c>
      <c r="K101" s="322">
        <v>5</v>
      </c>
      <c r="L101" s="322" t="s">
        <v>1140</v>
      </c>
      <c r="M101" s="322" t="s">
        <v>1140</v>
      </c>
    </row>
    <row r="102" spans="1:13" x14ac:dyDescent="0.25">
      <c r="F102" s="62" t="str">
        <f>'G-1 All Habitats'!B102</f>
        <v>Woodland and forest - Wood-pasture and parkland</v>
      </c>
      <c r="G102" s="322" t="s">
        <v>1141</v>
      </c>
      <c r="H102" s="322" t="s">
        <v>1141</v>
      </c>
      <c r="I102" s="322" t="s">
        <v>1141</v>
      </c>
      <c r="J102" s="322">
        <v>25</v>
      </c>
      <c r="K102" s="322">
        <v>10</v>
      </c>
      <c r="L102" s="322" t="s">
        <v>1140</v>
      </c>
      <c r="M102" s="322" t="s">
        <v>1140</v>
      </c>
    </row>
    <row r="103" spans="1:13" x14ac:dyDescent="0.25">
      <c r="F103" s="62" t="str">
        <f>'G-1 All Habitats'!B104</f>
        <v>Coastal lagoons - Coastal lagoons</v>
      </c>
      <c r="G103" s="322">
        <v>10</v>
      </c>
      <c r="H103" s="322">
        <v>8</v>
      </c>
      <c r="I103" s="322">
        <v>5</v>
      </c>
      <c r="J103" s="322">
        <v>3</v>
      </c>
      <c r="K103" s="322">
        <v>1</v>
      </c>
      <c r="L103" s="322" t="s">
        <v>1140</v>
      </c>
      <c r="M103" s="322" t="s">
        <v>1140</v>
      </c>
    </row>
    <row r="104" spans="1:13" x14ac:dyDescent="0.25">
      <c r="F104" s="62" t="str">
        <f>'G-1 All Habitats'!B105</f>
        <v>Rocky shore - High energy littoral rock</v>
      </c>
      <c r="G104" s="322">
        <v>10</v>
      </c>
      <c r="H104" s="322">
        <v>7</v>
      </c>
      <c r="I104" s="322">
        <v>4</v>
      </c>
      <c r="J104" s="322">
        <v>2</v>
      </c>
      <c r="K104" s="322">
        <v>1</v>
      </c>
      <c r="L104" s="322" t="s">
        <v>1140</v>
      </c>
      <c r="M104" s="322" t="s">
        <v>1140</v>
      </c>
    </row>
    <row r="105" spans="1:13" x14ac:dyDescent="0.25">
      <c r="F105" s="62" t="str">
        <f>'G-1 All Habitats'!B106</f>
        <v>Rocky shore - High energy littoral rock - on peat, clay or chalk</v>
      </c>
      <c r="G105" s="322" t="s">
        <v>1141</v>
      </c>
      <c r="H105" s="322" t="s">
        <v>1141</v>
      </c>
      <c r="I105" s="322" t="s">
        <v>1141</v>
      </c>
      <c r="J105" s="322" t="s">
        <v>1141</v>
      </c>
      <c r="K105" s="322" t="s">
        <v>1141</v>
      </c>
      <c r="L105" s="322" t="s">
        <v>1140</v>
      </c>
      <c r="M105" s="322" t="s">
        <v>1140</v>
      </c>
    </row>
    <row r="106" spans="1:13" x14ac:dyDescent="0.25">
      <c r="F106" s="62" t="str">
        <f>'G-1 All Habitats'!B107</f>
        <v>Rocky shore - Moderate energy littoral rock</v>
      </c>
      <c r="G106" s="322">
        <v>13</v>
      </c>
      <c r="H106" s="322">
        <v>8</v>
      </c>
      <c r="I106" s="322">
        <v>4</v>
      </c>
      <c r="J106" s="322">
        <v>2</v>
      </c>
      <c r="K106" s="322">
        <v>1</v>
      </c>
      <c r="L106" s="322" t="s">
        <v>1140</v>
      </c>
      <c r="M106" s="322" t="s">
        <v>1140</v>
      </c>
    </row>
    <row r="107" spans="1:13" x14ac:dyDescent="0.25">
      <c r="F107" s="62" t="str">
        <f>'G-1 All Habitats'!B108</f>
        <v>Rocky shore - Moderate energy littoral rock - on peat, clay or chalk</v>
      </c>
      <c r="G107" s="322" t="s">
        <v>1141</v>
      </c>
      <c r="H107" s="322" t="s">
        <v>1141</v>
      </c>
      <c r="I107" s="322" t="s">
        <v>1141</v>
      </c>
      <c r="J107" s="322" t="s">
        <v>1141</v>
      </c>
      <c r="K107" s="322" t="s">
        <v>1141</v>
      </c>
      <c r="L107" s="322" t="s">
        <v>1140</v>
      </c>
      <c r="M107" s="322" t="s">
        <v>1140</v>
      </c>
    </row>
    <row r="108" spans="1:13" x14ac:dyDescent="0.25">
      <c r="F108" s="62" t="str">
        <f>'G-1 All Habitats'!B109</f>
        <v>Rocky shore - Low energy littoral rock</v>
      </c>
      <c r="G108" s="322">
        <v>15</v>
      </c>
      <c r="H108" s="322">
        <v>10</v>
      </c>
      <c r="I108" s="322">
        <v>5</v>
      </c>
      <c r="J108" s="322">
        <v>1</v>
      </c>
      <c r="K108" s="322">
        <v>1</v>
      </c>
      <c r="L108" s="322" t="s">
        <v>1140</v>
      </c>
      <c r="M108" s="322" t="s">
        <v>1140</v>
      </c>
    </row>
    <row r="109" spans="1:13" x14ac:dyDescent="0.25">
      <c r="F109" s="62" t="str">
        <f>'G-1 All Habitats'!B110</f>
        <v>Rocky shore - Low energy littoral rock - on peat, clay or chalk</v>
      </c>
      <c r="G109" s="322" t="s">
        <v>1141</v>
      </c>
      <c r="H109" s="322" t="s">
        <v>1141</v>
      </c>
      <c r="I109" s="322" t="s">
        <v>1141</v>
      </c>
      <c r="J109" s="322" t="s">
        <v>1141</v>
      </c>
      <c r="K109" s="322" t="s">
        <v>1141</v>
      </c>
      <c r="L109" s="322" t="s">
        <v>1140</v>
      </c>
      <c r="M109" s="322" t="s">
        <v>1140</v>
      </c>
    </row>
    <row r="110" spans="1:13" x14ac:dyDescent="0.25">
      <c r="F110" s="62" t="str">
        <f>'G-1 All Habitats'!B111</f>
        <v>Rocky shore - Features of littoral rock</v>
      </c>
      <c r="G110" s="322">
        <v>13</v>
      </c>
      <c r="H110" s="322">
        <v>8</v>
      </c>
      <c r="I110" s="322">
        <v>4</v>
      </c>
      <c r="J110" s="322">
        <v>2</v>
      </c>
      <c r="K110" s="322">
        <v>1</v>
      </c>
      <c r="L110" s="322" t="s">
        <v>1140</v>
      </c>
      <c r="M110" s="322" t="s">
        <v>1140</v>
      </c>
    </row>
    <row r="111" spans="1:13" x14ac:dyDescent="0.25">
      <c r="F111" s="62" t="str">
        <f>'G-1 All Habitats'!B112</f>
        <v>Rocky shore - Features of littoral rock - on peat, clay or chalk</v>
      </c>
      <c r="G111" s="322" t="s">
        <v>1141</v>
      </c>
      <c r="H111" s="322" t="s">
        <v>1141</v>
      </c>
      <c r="I111" s="322" t="s">
        <v>1141</v>
      </c>
      <c r="J111" s="322" t="s">
        <v>1141</v>
      </c>
      <c r="K111" s="322" t="s">
        <v>1141</v>
      </c>
      <c r="L111" s="322" t="s">
        <v>1140</v>
      </c>
      <c r="M111" s="322" t="s">
        <v>1140</v>
      </c>
    </row>
    <row r="112" spans="1:13" x14ac:dyDescent="0.25">
      <c r="F112" s="62" t="str">
        <f>'G-1 All Habitats'!B115</f>
        <v>Intertidal sediment - Littoral coarse sediment</v>
      </c>
      <c r="G112" s="322">
        <v>3</v>
      </c>
      <c r="H112" s="322">
        <v>2</v>
      </c>
      <c r="I112" s="322">
        <v>1</v>
      </c>
      <c r="J112" s="322">
        <v>1</v>
      </c>
      <c r="K112" s="322">
        <v>1</v>
      </c>
      <c r="L112" s="322" t="s">
        <v>1140</v>
      </c>
      <c r="M112" s="322" t="s">
        <v>1140</v>
      </c>
    </row>
    <row r="113" spans="6:13" x14ac:dyDescent="0.25">
      <c r="F113" s="62" t="str">
        <f>'G-1 All Habitats'!B116</f>
        <v>Intertidal sediment - Littoral mud</v>
      </c>
      <c r="G113" s="322">
        <v>6</v>
      </c>
      <c r="H113" s="322">
        <v>4</v>
      </c>
      <c r="I113" s="322">
        <v>3</v>
      </c>
      <c r="J113" s="322">
        <v>2</v>
      </c>
      <c r="K113" s="322">
        <v>1</v>
      </c>
      <c r="L113" s="322" t="s">
        <v>1140</v>
      </c>
      <c r="M113" s="322" t="s">
        <v>1140</v>
      </c>
    </row>
    <row r="114" spans="6:13" x14ac:dyDescent="0.25">
      <c r="F114" s="62" t="str">
        <f>'G-1 All Habitats'!B117</f>
        <v>Intertidal sediment - Littoral mixed sediments</v>
      </c>
      <c r="G114" s="322">
        <v>5</v>
      </c>
      <c r="H114" s="322">
        <v>4</v>
      </c>
      <c r="I114" s="322">
        <v>3</v>
      </c>
      <c r="J114" s="322">
        <v>2</v>
      </c>
      <c r="K114" s="322">
        <v>1</v>
      </c>
      <c r="L114" s="322" t="s">
        <v>1140</v>
      </c>
      <c r="M114" s="322" t="s">
        <v>1140</v>
      </c>
    </row>
    <row r="115" spans="6:13" x14ac:dyDescent="0.25">
      <c r="F115" s="62" t="str">
        <f>'G-1 All Habitats'!B113</f>
        <v>Coastal saltmarsh - Saltmarshes and saline reedbeds</v>
      </c>
      <c r="G115" s="322">
        <v>15</v>
      </c>
      <c r="H115" s="322">
        <v>10</v>
      </c>
      <c r="I115" s="322">
        <v>7</v>
      </c>
      <c r="J115" s="322">
        <v>3</v>
      </c>
      <c r="K115" s="322">
        <v>1</v>
      </c>
      <c r="L115" s="322" t="s">
        <v>1140</v>
      </c>
      <c r="M115" s="322" t="s">
        <v>1140</v>
      </c>
    </row>
    <row r="116" spans="6:13" x14ac:dyDescent="0.25">
      <c r="F116" s="62" t="str">
        <f>'G-1 All Habitats'!B114</f>
        <v>Coastal saltmarsh - Artificial saltmarshes and saline reedbeds</v>
      </c>
      <c r="G116" s="322">
        <v>15</v>
      </c>
      <c r="H116" s="322">
        <v>10</v>
      </c>
      <c r="I116" s="322">
        <v>7</v>
      </c>
      <c r="J116" s="322">
        <v>3</v>
      </c>
      <c r="K116" s="322">
        <v>1</v>
      </c>
      <c r="L116" s="322" t="s">
        <v>1140</v>
      </c>
      <c r="M116" s="322" t="s">
        <v>1140</v>
      </c>
    </row>
    <row r="117" spans="6:13" x14ac:dyDescent="0.25">
      <c r="F117" s="62" t="str">
        <f>'G-1 All Habitats'!B118</f>
        <v>Intertidal sediment - Littoral seagrass</v>
      </c>
      <c r="G117" s="322">
        <v>20</v>
      </c>
      <c r="H117" s="322">
        <v>15</v>
      </c>
      <c r="I117" s="322">
        <v>10</v>
      </c>
      <c r="J117" s="322">
        <v>5</v>
      </c>
      <c r="K117" s="322">
        <v>2</v>
      </c>
      <c r="L117" s="322" t="s">
        <v>1140</v>
      </c>
      <c r="M117" s="322" t="s">
        <v>1140</v>
      </c>
    </row>
    <row r="118" spans="6:13" x14ac:dyDescent="0.25">
      <c r="F118" s="62" t="str">
        <f>'G-1 All Habitats'!B119</f>
        <v>Intertidal sediment - Littoral seagrass on peat, clay or chalk</v>
      </c>
      <c r="G118" s="322" t="s">
        <v>1141</v>
      </c>
      <c r="H118" s="322" t="s">
        <v>1141</v>
      </c>
      <c r="I118" s="322" t="s">
        <v>1141</v>
      </c>
      <c r="J118" s="322" t="s">
        <v>1141</v>
      </c>
      <c r="K118" s="322" t="s">
        <v>1141</v>
      </c>
      <c r="L118" s="322" t="s">
        <v>1140</v>
      </c>
      <c r="M118" s="322" t="s">
        <v>1140</v>
      </c>
    </row>
    <row r="119" spans="6:13" x14ac:dyDescent="0.25">
      <c r="F119" s="62" t="str">
        <f>'G-1 All Habitats'!B120</f>
        <v>Intertidal sediment - Littoral biogenic reefs - Mussels</v>
      </c>
      <c r="G119" s="322">
        <v>15</v>
      </c>
      <c r="H119" s="322">
        <v>10</v>
      </c>
      <c r="I119" s="322">
        <v>5</v>
      </c>
      <c r="J119" s="322">
        <v>3</v>
      </c>
      <c r="K119" s="322">
        <v>3</v>
      </c>
      <c r="L119" s="322" t="s">
        <v>1140</v>
      </c>
      <c r="M119" s="322" t="s">
        <v>1140</v>
      </c>
    </row>
    <row r="120" spans="6:13" x14ac:dyDescent="0.25">
      <c r="F120" s="62" t="str">
        <f>'G-1 All Habitats'!B121</f>
        <v>Intertidal sediment - Littoral biogenic reefs - Sabellaria</v>
      </c>
      <c r="G120" s="322">
        <v>15</v>
      </c>
      <c r="H120" s="322">
        <v>10</v>
      </c>
      <c r="I120" s="322">
        <v>5</v>
      </c>
      <c r="J120" s="322">
        <v>3</v>
      </c>
      <c r="K120" s="322">
        <v>3</v>
      </c>
      <c r="L120" s="322" t="s">
        <v>1140</v>
      </c>
      <c r="M120" s="322" t="s">
        <v>1140</v>
      </c>
    </row>
    <row r="121" spans="6:13" x14ac:dyDescent="0.25">
      <c r="F121" s="62" t="str">
        <f>'G-1 All Habitats'!B122</f>
        <v>Intertidal sediment - Features of littoral sediment</v>
      </c>
      <c r="G121" s="322">
        <v>10</v>
      </c>
      <c r="H121" s="322">
        <v>7</v>
      </c>
      <c r="I121" s="322">
        <v>5</v>
      </c>
      <c r="J121" s="322">
        <v>3</v>
      </c>
      <c r="K121" s="322">
        <v>3</v>
      </c>
      <c r="L121" s="322" t="s">
        <v>1140</v>
      </c>
      <c r="M121" s="322" t="s">
        <v>1140</v>
      </c>
    </row>
    <row r="122" spans="6:13" x14ac:dyDescent="0.25">
      <c r="F122" s="62" t="str">
        <f>'G-1 All Habitats'!B123</f>
        <v>Intertidal sediment - Artificial littoral coarse sediment</v>
      </c>
      <c r="G122" s="322">
        <v>3</v>
      </c>
      <c r="H122" s="322">
        <v>2</v>
      </c>
      <c r="I122" s="322">
        <v>1</v>
      </c>
      <c r="J122" s="322">
        <v>1</v>
      </c>
      <c r="K122" s="322">
        <v>1</v>
      </c>
      <c r="L122" s="322" t="s">
        <v>1140</v>
      </c>
      <c r="M122" s="322" t="s">
        <v>1140</v>
      </c>
    </row>
    <row r="123" spans="6:13" x14ac:dyDescent="0.25">
      <c r="F123" s="62" t="str">
        <f>'G-1 All Habitats'!B124</f>
        <v>Intertidal sediment - Artificial littoral mud</v>
      </c>
      <c r="G123" s="322">
        <v>6</v>
      </c>
      <c r="H123" s="322">
        <v>4</v>
      </c>
      <c r="I123" s="322">
        <v>3</v>
      </c>
      <c r="J123" s="322">
        <v>2</v>
      </c>
      <c r="K123" s="322">
        <v>1</v>
      </c>
      <c r="L123" s="322" t="s">
        <v>1140</v>
      </c>
      <c r="M123" s="322" t="s">
        <v>1140</v>
      </c>
    </row>
    <row r="124" spans="6:13" x14ac:dyDescent="0.25">
      <c r="F124" s="62" t="str">
        <f>'G-1 All Habitats'!B125</f>
        <v>Intertidal sediment - Artificial littoral sand</v>
      </c>
      <c r="G124" s="322">
        <v>4</v>
      </c>
      <c r="H124" s="322">
        <v>2</v>
      </c>
      <c r="I124" s="322">
        <v>1</v>
      </c>
      <c r="J124" s="322">
        <v>1</v>
      </c>
      <c r="K124" s="322">
        <v>1</v>
      </c>
      <c r="L124" s="322" t="s">
        <v>1140</v>
      </c>
      <c r="M124" s="322" t="s">
        <v>1140</v>
      </c>
    </row>
    <row r="125" spans="6:13" x14ac:dyDescent="0.25">
      <c r="F125" s="62" t="str">
        <f>'G-1 All Habitats'!B126</f>
        <v>Intertidal sediment - Artificial littoral muddy sand</v>
      </c>
      <c r="G125" s="322">
        <v>5</v>
      </c>
      <c r="H125" s="322">
        <v>4</v>
      </c>
      <c r="I125" s="322">
        <v>3</v>
      </c>
      <c r="J125" s="322">
        <v>2</v>
      </c>
      <c r="K125" s="322">
        <v>1</v>
      </c>
      <c r="L125" s="322" t="s">
        <v>1140</v>
      </c>
      <c r="M125" s="322" t="s">
        <v>1140</v>
      </c>
    </row>
    <row r="126" spans="6:13" x14ac:dyDescent="0.25">
      <c r="F126" s="62" t="str">
        <f>'G-1 All Habitats'!B127</f>
        <v>Intertidal sediment - Artificial littoral mixed sediments</v>
      </c>
      <c r="G126" s="322">
        <v>5</v>
      </c>
      <c r="H126" s="322">
        <v>4</v>
      </c>
      <c r="I126" s="322">
        <v>3</v>
      </c>
      <c r="J126" s="322">
        <v>2</v>
      </c>
      <c r="K126" s="322">
        <v>1</v>
      </c>
      <c r="L126" s="322" t="s">
        <v>1140</v>
      </c>
      <c r="M126" s="322" t="s">
        <v>1140</v>
      </c>
    </row>
    <row r="127" spans="6:13" x14ac:dyDescent="0.25">
      <c r="F127" s="62" t="str">
        <f>'G-1 All Habitats'!B128</f>
        <v>Intertidal sediment - Artificial littoral seagrass</v>
      </c>
      <c r="G127" s="322">
        <v>20</v>
      </c>
      <c r="H127" s="322">
        <v>15</v>
      </c>
      <c r="I127" s="322">
        <v>10</v>
      </c>
      <c r="J127" s="322">
        <v>5</v>
      </c>
      <c r="K127" s="322">
        <v>2</v>
      </c>
      <c r="L127" s="322" t="s">
        <v>1140</v>
      </c>
      <c r="M127" s="322" t="s">
        <v>1140</v>
      </c>
    </row>
    <row r="128" spans="6:13" x14ac:dyDescent="0.25">
      <c r="F128" s="62" t="str">
        <f>'G-1 All Habitats'!B129</f>
        <v>Intertidal sediment - Artificial littoral biogenic reefs</v>
      </c>
      <c r="G128" s="322">
        <v>15</v>
      </c>
      <c r="H128" s="322">
        <v>10</v>
      </c>
      <c r="I128" s="322">
        <v>5</v>
      </c>
      <c r="J128" s="322">
        <v>3</v>
      </c>
      <c r="K128" s="322">
        <v>3</v>
      </c>
      <c r="L128" s="322" t="s">
        <v>1140</v>
      </c>
      <c r="M128" s="322" t="s">
        <v>1140</v>
      </c>
    </row>
    <row r="129" spans="6:13" x14ac:dyDescent="0.25">
      <c r="F129" s="62" t="str">
        <f>'G-1 All Habitats'!B130</f>
        <v>Intertidal sediment - Littoral sand</v>
      </c>
      <c r="G129" s="322">
        <v>4</v>
      </c>
      <c r="H129" s="322">
        <v>2</v>
      </c>
      <c r="I129" s="322">
        <v>1</v>
      </c>
      <c r="J129" s="322">
        <v>1</v>
      </c>
      <c r="K129" s="322">
        <v>1</v>
      </c>
      <c r="L129" s="322" t="s">
        <v>1140</v>
      </c>
      <c r="M129" s="322" t="s">
        <v>1140</v>
      </c>
    </row>
    <row r="130" spans="6:13" x14ac:dyDescent="0.25">
      <c r="F130" s="62" t="str">
        <f>'G-1 All Habitats'!B131</f>
        <v>Intertidal sediment - Littoral muddy sand</v>
      </c>
      <c r="G130" s="322">
        <v>5</v>
      </c>
      <c r="H130" s="322">
        <v>4</v>
      </c>
      <c r="I130" s="322">
        <v>3</v>
      </c>
      <c r="J130" s="322">
        <v>2</v>
      </c>
      <c r="K130" s="322">
        <v>1</v>
      </c>
      <c r="L130" s="322" t="s">
        <v>1140</v>
      </c>
      <c r="M130" s="322" t="s">
        <v>1140</v>
      </c>
    </row>
    <row r="131" spans="6:13" x14ac:dyDescent="0.25">
      <c r="F131" s="62" t="str">
        <f>'G-1 All Habitats'!B132</f>
        <v>Intertidal hard structures - Artificial hard structures</v>
      </c>
      <c r="G131" s="322">
        <v>15</v>
      </c>
      <c r="H131" s="322">
        <v>10</v>
      </c>
      <c r="I131" s="322">
        <v>5</v>
      </c>
      <c r="J131" s="322">
        <v>2</v>
      </c>
      <c r="K131" s="322">
        <v>1</v>
      </c>
      <c r="L131" s="322" t="s">
        <v>1140</v>
      </c>
      <c r="M131" s="322" t="s">
        <v>1140</v>
      </c>
    </row>
    <row r="132" spans="6:13" x14ac:dyDescent="0.25">
      <c r="F132" s="62" t="str">
        <f>'G-1 All Habitats'!B133</f>
        <v>Intertidal hard structures - Artificial features of hard structures</v>
      </c>
      <c r="G132" s="322">
        <v>13</v>
      </c>
      <c r="H132" s="322">
        <v>8</v>
      </c>
      <c r="I132" s="322">
        <v>4</v>
      </c>
      <c r="J132" s="322">
        <v>2</v>
      </c>
      <c r="K132" s="322">
        <v>1</v>
      </c>
      <c r="L132" s="322" t="s">
        <v>1140</v>
      </c>
      <c r="M132" s="322" t="s">
        <v>1140</v>
      </c>
    </row>
    <row r="133" spans="6:13" x14ac:dyDescent="0.25">
      <c r="F133" s="62" t="str">
        <f>'G-1 All Habitats'!B134</f>
        <v>Intertidal hard structures - Artificial hard structures with integrated greening of grey infrastructure (IGGI)</v>
      </c>
      <c r="G133" s="322">
        <v>13</v>
      </c>
      <c r="H133" s="322">
        <v>8</v>
      </c>
      <c r="I133" s="322">
        <v>4</v>
      </c>
      <c r="J133" s="322">
        <v>2</v>
      </c>
      <c r="K133" s="322">
        <v>1</v>
      </c>
      <c r="L133" s="322" t="s">
        <v>1140</v>
      </c>
      <c r="M133" s="322" t="s">
        <v>1140</v>
      </c>
    </row>
    <row r="134" spans="6:13" x14ac:dyDescent="0.25">
      <c r="F134" s="62" t="str">
        <f>'G-1 All Habitats'!B135</f>
        <v>Watercourse footprint - Watercourse footprint</v>
      </c>
      <c r="G134" s="322" t="s">
        <v>1140</v>
      </c>
      <c r="H134" s="322" t="s">
        <v>1140</v>
      </c>
      <c r="I134" s="322" t="s">
        <v>1140</v>
      </c>
      <c r="J134" s="322" t="s">
        <v>1140</v>
      </c>
      <c r="K134" s="322" t="s">
        <v>1140</v>
      </c>
      <c r="L134" s="322" t="s">
        <v>1140</v>
      </c>
      <c r="M134" s="322">
        <v>0</v>
      </c>
    </row>
    <row r="135" spans="6:13" x14ac:dyDescent="0.25">
      <c r="F135" s="62" t="str">
        <f>'G-1 All Habitats'!B81</f>
        <v>Individual trees - Rural tree</v>
      </c>
      <c r="G135" s="322" t="s">
        <v>1141</v>
      </c>
      <c r="H135" s="322" t="s">
        <v>1141</v>
      </c>
      <c r="I135" s="322">
        <v>27</v>
      </c>
      <c r="J135" s="322">
        <v>19</v>
      </c>
      <c r="K135" s="322">
        <v>10</v>
      </c>
      <c r="L135" s="322" t="s">
        <v>1140</v>
      </c>
      <c r="M135" s="322" t="s">
        <v>1140</v>
      </c>
    </row>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row r="150" x14ac:dyDescent="0.25"/>
    <row r="151" x14ac:dyDescent="0.25"/>
    <row r="152" x14ac:dyDescent="0.25"/>
    <row r="153" x14ac:dyDescent="0.25"/>
  </sheetData>
  <sheetProtection algorithmName="SHA-512" hashValue="d2I2ZD+brzgzq524MpEV4WNRm8LvJWExMt7TYKO2hdRRngTavcSV8sLbKdgiyNVfRilEol8UwVw3uInYjUd9eg==" saltValue="eJ1RO8bGZ+LTiWa0Sok4tA==" spinCount="100000" sheet="1" objects="1" scenarios="1"/>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C1:AC295"/>
  <sheetViews>
    <sheetView zoomScale="80" zoomScaleNormal="80" workbookViewId="0">
      <pane xSplit="3" ySplit="4" topLeftCell="D5" activePane="bottomRight" state="frozen"/>
      <selection pane="topRight" activeCell="D1" sqref="D1"/>
      <selection pane="bottomLeft" activeCell="A5" sqref="A5"/>
      <selection pane="bottomRight"/>
    </sheetView>
  </sheetViews>
  <sheetFormatPr defaultColWidth="13.5546875" defaultRowHeight="13.8" zeroHeight="1" x14ac:dyDescent="0.25"/>
  <cols>
    <col min="1" max="1" width="3.5546875" style="30" customWidth="1"/>
    <col min="2" max="2" width="3.33203125" style="30" customWidth="1"/>
    <col min="3" max="3" width="88.6640625" style="30" bestFit="1" customWidth="1"/>
    <col min="4" max="4" width="18" style="33" customWidth="1"/>
    <col min="5" max="5" width="21.5546875" style="33" customWidth="1"/>
    <col min="6" max="6" width="17.6640625" style="33" customWidth="1"/>
    <col min="7" max="8" width="18.6640625" style="33" customWidth="1"/>
    <col min="9" max="9" width="17.6640625" style="33" customWidth="1"/>
    <col min="10" max="14" width="17.44140625" style="33" customWidth="1"/>
    <col min="15" max="15" width="14.44140625" style="33" bestFit="1" customWidth="1"/>
    <col min="16" max="16" width="12.6640625" style="33" bestFit="1" customWidth="1"/>
    <col min="17" max="21" width="14.44140625" style="33" bestFit="1" customWidth="1"/>
    <col min="22" max="22" width="14.33203125" style="33" bestFit="1" customWidth="1"/>
    <col min="23" max="23" width="13.33203125" style="33" bestFit="1" customWidth="1"/>
    <col min="24" max="24" width="14.44140625" style="33" bestFit="1" customWidth="1"/>
    <col min="25" max="25" width="14.6640625" style="33" customWidth="1"/>
    <col min="26" max="26" width="11.6640625" style="33" customWidth="1"/>
    <col min="27" max="27" width="11.6640625" style="30" customWidth="1"/>
    <col min="28" max="29" width="11.6640625" style="30" hidden="1" customWidth="1"/>
    <col min="30" max="16382" width="0" style="30" hidden="1" customWidth="1"/>
    <col min="16383" max="16384" width="13.5546875" style="30"/>
  </cols>
  <sheetData>
    <row r="1" spans="3:25" ht="33.6" customHeight="1" x14ac:dyDescent="0.25">
      <c r="D1" s="30"/>
      <c r="E1" s="30"/>
      <c r="F1" s="30"/>
      <c r="G1" s="30"/>
      <c r="H1" s="30"/>
      <c r="I1" s="30"/>
      <c r="J1" s="30"/>
      <c r="K1" s="30"/>
      <c r="L1" s="30"/>
      <c r="M1" s="30"/>
      <c r="N1" s="30"/>
      <c r="O1" s="30"/>
      <c r="P1" s="30"/>
      <c r="Q1" s="30"/>
      <c r="R1" s="30"/>
      <c r="S1" s="30"/>
      <c r="T1" s="30"/>
      <c r="U1" s="30"/>
      <c r="V1" s="30"/>
      <c r="W1" s="30"/>
      <c r="X1" s="30"/>
      <c r="Y1" s="30"/>
    </row>
    <row r="2" spans="3:25" ht="41.4" x14ac:dyDescent="0.25">
      <c r="C2" s="185" t="s">
        <v>1143</v>
      </c>
      <c r="D2" s="71" t="s">
        <v>1144</v>
      </c>
      <c r="E2" s="71" t="s">
        <v>1144</v>
      </c>
      <c r="F2" s="71" t="s">
        <v>1144</v>
      </c>
      <c r="G2" s="71" t="s">
        <v>1144</v>
      </c>
      <c r="H2" s="71" t="s">
        <v>1144</v>
      </c>
      <c r="I2" s="71" t="s">
        <v>1144</v>
      </c>
      <c r="J2" s="71" t="s">
        <v>1144</v>
      </c>
      <c r="K2" s="71" t="s">
        <v>624</v>
      </c>
      <c r="L2" s="71" t="s">
        <v>624</v>
      </c>
      <c r="M2" s="71" t="s">
        <v>624</v>
      </c>
      <c r="N2" s="71" t="s">
        <v>624</v>
      </c>
      <c r="O2" s="71" t="s">
        <v>453</v>
      </c>
      <c r="P2" s="71" t="s">
        <v>453</v>
      </c>
      <c r="Q2" s="71" t="s">
        <v>453</v>
      </c>
      <c r="R2" s="71" t="s">
        <v>453</v>
      </c>
      <c r="S2" s="71" t="s">
        <v>614</v>
      </c>
      <c r="T2" s="71" t="s">
        <v>614</v>
      </c>
      <c r="U2" s="71" t="s">
        <v>614</v>
      </c>
      <c r="V2" s="71" t="s">
        <v>37</v>
      </c>
      <c r="W2" s="71" t="s">
        <v>37</v>
      </c>
      <c r="X2" s="71" t="s">
        <v>605</v>
      </c>
      <c r="Y2" s="71" t="s">
        <v>38</v>
      </c>
    </row>
    <row r="3" spans="3:25" ht="29.7" customHeight="1" x14ac:dyDescent="0.25">
      <c r="C3" s="185" t="s">
        <v>1145</v>
      </c>
      <c r="D3" s="71" t="s">
        <v>630</v>
      </c>
      <c r="E3" s="71" t="s">
        <v>624</v>
      </c>
      <c r="F3" s="71" t="s">
        <v>453</v>
      </c>
      <c r="G3" s="71" t="s">
        <v>614</v>
      </c>
      <c r="H3" s="71" t="s">
        <v>37</v>
      </c>
      <c r="I3" s="71" t="s">
        <v>605</v>
      </c>
      <c r="J3" s="71" t="s">
        <v>38</v>
      </c>
      <c r="K3" s="71" t="s">
        <v>614</v>
      </c>
      <c r="L3" s="71" t="s">
        <v>37</v>
      </c>
      <c r="M3" s="71" t="s">
        <v>605</v>
      </c>
      <c r="N3" s="71" t="s">
        <v>38</v>
      </c>
      <c r="O3" s="71" t="s">
        <v>614</v>
      </c>
      <c r="P3" s="71" t="s">
        <v>37</v>
      </c>
      <c r="Q3" s="71" t="s">
        <v>605</v>
      </c>
      <c r="R3" s="71" t="s">
        <v>38</v>
      </c>
      <c r="S3" s="71" t="s">
        <v>37</v>
      </c>
      <c r="T3" s="71" t="s">
        <v>605</v>
      </c>
      <c r="U3" s="71" t="s">
        <v>38</v>
      </c>
      <c r="V3" s="71" t="s">
        <v>605</v>
      </c>
      <c r="W3" s="71" t="s">
        <v>38</v>
      </c>
      <c r="X3" s="71" t="s">
        <v>38</v>
      </c>
      <c r="Y3" s="71" t="s">
        <v>38</v>
      </c>
    </row>
    <row r="4" spans="3:25" ht="72" customHeight="1" x14ac:dyDescent="0.25">
      <c r="C4" s="185" t="s">
        <v>135</v>
      </c>
      <c r="D4" s="69" t="s">
        <v>1146</v>
      </c>
      <c r="E4" s="69" t="s">
        <v>1147</v>
      </c>
      <c r="F4" s="69" t="s">
        <v>1148</v>
      </c>
      <c r="G4" s="69" t="s">
        <v>1149</v>
      </c>
      <c r="H4" s="69" t="s">
        <v>1150</v>
      </c>
      <c r="I4" s="69" t="s">
        <v>1151</v>
      </c>
      <c r="J4" s="69" t="s">
        <v>1152</v>
      </c>
      <c r="K4" s="69" t="s">
        <v>1153</v>
      </c>
      <c r="L4" s="69" t="s">
        <v>1154</v>
      </c>
      <c r="M4" s="69" t="s">
        <v>1155</v>
      </c>
      <c r="N4" s="69" t="s">
        <v>1156</v>
      </c>
      <c r="O4" s="69" t="s">
        <v>1157</v>
      </c>
      <c r="P4" s="69" t="s">
        <v>1158</v>
      </c>
      <c r="Q4" s="69" t="s">
        <v>1159</v>
      </c>
      <c r="R4" s="69" t="s">
        <v>1160</v>
      </c>
      <c r="S4" s="69" t="s">
        <v>1161</v>
      </c>
      <c r="T4" s="69" t="s">
        <v>1162</v>
      </c>
      <c r="U4" s="69" t="s">
        <v>1163</v>
      </c>
      <c r="V4" s="69" t="s">
        <v>1164</v>
      </c>
      <c r="W4" s="69" t="s">
        <v>1165</v>
      </c>
      <c r="X4" s="69" t="s">
        <v>1166</v>
      </c>
      <c r="Y4" s="69" t="s">
        <v>1167</v>
      </c>
    </row>
    <row r="5" spans="3:25" x14ac:dyDescent="0.25">
      <c r="C5" s="62" t="str">
        <f>'G-1 All Habitats'!B3</f>
        <v>Cropland - Arable field margins cultivated annually</v>
      </c>
      <c r="D5" s="322" t="s">
        <v>1140</v>
      </c>
      <c r="E5" s="322">
        <v>1</v>
      </c>
      <c r="F5" s="322" t="s">
        <v>1140</v>
      </c>
      <c r="G5" s="322" t="s">
        <v>1140</v>
      </c>
      <c r="H5" s="322" t="s">
        <v>1140</v>
      </c>
      <c r="I5" s="322" t="s">
        <v>1140</v>
      </c>
      <c r="J5" s="322" t="s">
        <v>1140</v>
      </c>
      <c r="K5" s="322" t="s">
        <v>1140</v>
      </c>
      <c r="L5" s="322" t="s">
        <v>1140</v>
      </c>
      <c r="M5" s="322" t="s">
        <v>1140</v>
      </c>
      <c r="N5" s="322" t="s">
        <v>1140</v>
      </c>
      <c r="O5" s="322" t="s">
        <v>1140</v>
      </c>
      <c r="P5" s="322" t="s">
        <v>1140</v>
      </c>
      <c r="Q5" s="322" t="s">
        <v>1140</v>
      </c>
      <c r="R5" s="322" t="s">
        <v>1140</v>
      </c>
      <c r="S5" s="322" t="s">
        <v>1140</v>
      </c>
      <c r="T5" s="322" t="s">
        <v>1140</v>
      </c>
      <c r="U5" s="322" t="s">
        <v>1140</v>
      </c>
      <c r="V5" s="322" t="s">
        <v>1140</v>
      </c>
      <c r="W5" s="322" t="s">
        <v>1140</v>
      </c>
      <c r="X5" s="322" t="s">
        <v>1140</v>
      </c>
      <c r="Y5" s="322" t="s">
        <v>1140</v>
      </c>
    </row>
    <row r="6" spans="3:25" x14ac:dyDescent="0.25">
      <c r="C6" s="62" t="str">
        <f>'G-1 All Habitats'!B4</f>
        <v>Cropland - Arable field margins game bird mix</v>
      </c>
      <c r="D6" s="322" t="s">
        <v>1140</v>
      </c>
      <c r="E6" s="322">
        <v>1</v>
      </c>
      <c r="F6" s="322" t="s">
        <v>1140</v>
      </c>
      <c r="G6" s="322" t="s">
        <v>1140</v>
      </c>
      <c r="H6" s="322" t="s">
        <v>1140</v>
      </c>
      <c r="I6" s="322" t="s">
        <v>1140</v>
      </c>
      <c r="J6" s="322" t="s">
        <v>1140</v>
      </c>
      <c r="K6" s="322" t="s">
        <v>1140</v>
      </c>
      <c r="L6" s="322" t="s">
        <v>1140</v>
      </c>
      <c r="M6" s="322" t="s">
        <v>1140</v>
      </c>
      <c r="N6" s="322" t="s">
        <v>1140</v>
      </c>
      <c r="O6" s="322" t="s">
        <v>1140</v>
      </c>
      <c r="P6" s="322" t="s">
        <v>1140</v>
      </c>
      <c r="Q6" s="322" t="s">
        <v>1140</v>
      </c>
      <c r="R6" s="322" t="s">
        <v>1140</v>
      </c>
      <c r="S6" s="322" t="s">
        <v>1140</v>
      </c>
      <c r="T6" s="322" t="s">
        <v>1140</v>
      </c>
      <c r="U6" s="322" t="s">
        <v>1140</v>
      </c>
      <c r="V6" s="322" t="s">
        <v>1140</v>
      </c>
      <c r="W6" s="322" t="s">
        <v>1140</v>
      </c>
      <c r="X6" s="322" t="s">
        <v>1140</v>
      </c>
      <c r="Y6" s="322" t="s">
        <v>1140</v>
      </c>
    </row>
    <row r="7" spans="3:25" x14ac:dyDescent="0.25">
      <c r="C7" s="62" t="str">
        <f>'G-1 All Habitats'!B5</f>
        <v>Cropland - Arable field margins pollen and nectar</v>
      </c>
      <c r="D7" s="322" t="s">
        <v>1140</v>
      </c>
      <c r="E7" s="322">
        <v>1</v>
      </c>
      <c r="F7" s="322" t="s">
        <v>1140</v>
      </c>
      <c r="G7" s="322" t="s">
        <v>1140</v>
      </c>
      <c r="H7" s="322" t="s">
        <v>1140</v>
      </c>
      <c r="I7" s="322" t="s">
        <v>1140</v>
      </c>
      <c r="J7" s="322" t="s">
        <v>1140</v>
      </c>
      <c r="K7" s="322" t="s">
        <v>1140</v>
      </c>
      <c r="L7" s="322" t="s">
        <v>1140</v>
      </c>
      <c r="M7" s="322" t="s">
        <v>1140</v>
      </c>
      <c r="N7" s="322" t="s">
        <v>1140</v>
      </c>
      <c r="O7" s="322" t="s">
        <v>1140</v>
      </c>
      <c r="P7" s="322" t="s">
        <v>1140</v>
      </c>
      <c r="Q7" s="322" t="s">
        <v>1140</v>
      </c>
      <c r="R7" s="322" t="s">
        <v>1140</v>
      </c>
      <c r="S7" s="322" t="s">
        <v>1140</v>
      </c>
      <c r="T7" s="322" t="s">
        <v>1140</v>
      </c>
      <c r="U7" s="322" t="s">
        <v>1140</v>
      </c>
      <c r="V7" s="322" t="s">
        <v>1140</v>
      </c>
      <c r="W7" s="322" t="s">
        <v>1140</v>
      </c>
      <c r="X7" s="322" t="s">
        <v>1140</v>
      </c>
      <c r="Y7" s="322" t="s">
        <v>1140</v>
      </c>
    </row>
    <row r="8" spans="3:25" x14ac:dyDescent="0.25">
      <c r="C8" s="62" t="str">
        <f>'G-1 All Habitats'!B6</f>
        <v>Cropland - Arable field margins tussocky</v>
      </c>
      <c r="D8" s="322" t="s">
        <v>1140</v>
      </c>
      <c r="E8" s="322">
        <v>1</v>
      </c>
      <c r="F8" s="322" t="s">
        <v>1140</v>
      </c>
      <c r="G8" s="322" t="s">
        <v>1140</v>
      </c>
      <c r="H8" s="322" t="s">
        <v>1140</v>
      </c>
      <c r="I8" s="322" t="s">
        <v>1140</v>
      </c>
      <c r="J8" s="322" t="s">
        <v>1140</v>
      </c>
      <c r="K8" s="322" t="s">
        <v>1140</v>
      </c>
      <c r="L8" s="322" t="s">
        <v>1140</v>
      </c>
      <c r="M8" s="322" t="s">
        <v>1140</v>
      </c>
      <c r="N8" s="322" t="s">
        <v>1140</v>
      </c>
      <c r="O8" s="322" t="s">
        <v>1140</v>
      </c>
      <c r="P8" s="322" t="s">
        <v>1140</v>
      </c>
      <c r="Q8" s="322" t="s">
        <v>1140</v>
      </c>
      <c r="R8" s="322" t="s">
        <v>1140</v>
      </c>
      <c r="S8" s="322" t="s">
        <v>1140</v>
      </c>
      <c r="T8" s="322" t="s">
        <v>1140</v>
      </c>
      <c r="U8" s="322" t="s">
        <v>1140</v>
      </c>
      <c r="V8" s="322" t="s">
        <v>1140</v>
      </c>
      <c r="W8" s="322" t="s">
        <v>1140</v>
      </c>
      <c r="X8" s="322" t="s">
        <v>1140</v>
      </c>
      <c r="Y8" s="322" t="s">
        <v>1140</v>
      </c>
    </row>
    <row r="9" spans="3:25" x14ac:dyDescent="0.25">
      <c r="C9" s="62" t="str">
        <f>'G-1 All Habitats'!B7</f>
        <v>Cropland - Cereal crops</v>
      </c>
      <c r="D9" s="322" t="s">
        <v>1140</v>
      </c>
      <c r="E9" s="322" t="s">
        <v>1140</v>
      </c>
      <c r="F9" s="322" t="s">
        <v>1140</v>
      </c>
      <c r="G9" s="322" t="s">
        <v>1140</v>
      </c>
      <c r="H9" s="322" t="s">
        <v>1140</v>
      </c>
      <c r="I9" s="322" t="s">
        <v>1140</v>
      </c>
      <c r="J9" s="322" t="s">
        <v>1140</v>
      </c>
      <c r="K9" s="322" t="s">
        <v>1140</v>
      </c>
      <c r="L9" s="322" t="s">
        <v>1140</v>
      </c>
      <c r="M9" s="322" t="s">
        <v>1140</v>
      </c>
      <c r="N9" s="322" t="s">
        <v>1140</v>
      </c>
      <c r="O9" s="322" t="s">
        <v>1140</v>
      </c>
      <c r="P9" s="322" t="s">
        <v>1140</v>
      </c>
      <c r="Q9" s="322" t="s">
        <v>1140</v>
      </c>
      <c r="R9" s="322" t="s">
        <v>1140</v>
      </c>
      <c r="S9" s="322" t="s">
        <v>1140</v>
      </c>
      <c r="T9" s="322" t="s">
        <v>1140</v>
      </c>
      <c r="U9" s="322" t="s">
        <v>1140</v>
      </c>
      <c r="V9" s="322" t="s">
        <v>1140</v>
      </c>
      <c r="W9" s="322" t="s">
        <v>1140</v>
      </c>
      <c r="X9" s="322" t="s">
        <v>1140</v>
      </c>
      <c r="Y9" s="322" t="s">
        <v>1140</v>
      </c>
    </row>
    <row r="10" spans="3:25" x14ac:dyDescent="0.25">
      <c r="C10" s="62" t="str">
        <f>'G-1 All Habitats'!B8</f>
        <v>Cropland - Winter stubble</v>
      </c>
      <c r="D10" s="322" t="s">
        <v>1140</v>
      </c>
      <c r="E10" s="322" t="s">
        <v>1140</v>
      </c>
      <c r="F10" s="322" t="s">
        <v>1140</v>
      </c>
      <c r="G10" s="322" t="s">
        <v>1140</v>
      </c>
      <c r="H10" s="322" t="s">
        <v>1140</v>
      </c>
      <c r="I10" s="322" t="s">
        <v>1140</v>
      </c>
      <c r="J10" s="322" t="s">
        <v>1140</v>
      </c>
      <c r="K10" s="322" t="s">
        <v>1140</v>
      </c>
      <c r="L10" s="322" t="s">
        <v>1140</v>
      </c>
      <c r="M10" s="322" t="s">
        <v>1140</v>
      </c>
      <c r="N10" s="322" t="s">
        <v>1140</v>
      </c>
      <c r="O10" s="322" t="s">
        <v>1140</v>
      </c>
      <c r="P10" s="322" t="s">
        <v>1140</v>
      </c>
      <c r="Q10" s="322" t="s">
        <v>1140</v>
      </c>
      <c r="R10" s="322" t="s">
        <v>1140</v>
      </c>
      <c r="S10" s="322" t="s">
        <v>1140</v>
      </c>
      <c r="T10" s="322" t="s">
        <v>1140</v>
      </c>
      <c r="U10" s="322" t="s">
        <v>1140</v>
      </c>
      <c r="V10" s="322" t="s">
        <v>1140</v>
      </c>
      <c r="W10" s="322" t="s">
        <v>1140</v>
      </c>
      <c r="X10" s="322" t="s">
        <v>1140</v>
      </c>
      <c r="Y10" s="322" t="s">
        <v>1140</v>
      </c>
    </row>
    <row r="11" spans="3:25" x14ac:dyDescent="0.25">
      <c r="C11" s="62" t="str">
        <f>'G-1 All Habitats'!B9</f>
        <v>Cropland - Horticulture</v>
      </c>
      <c r="D11" s="322" t="s">
        <v>1140</v>
      </c>
      <c r="E11" s="322" t="s">
        <v>1140</v>
      </c>
      <c r="F11" s="322" t="s">
        <v>1140</v>
      </c>
      <c r="G11" s="322" t="s">
        <v>1140</v>
      </c>
      <c r="H11" s="322" t="s">
        <v>1140</v>
      </c>
      <c r="I11" s="322" t="s">
        <v>1140</v>
      </c>
      <c r="J11" s="322" t="s">
        <v>1140</v>
      </c>
      <c r="K11" s="322" t="s">
        <v>1140</v>
      </c>
      <c r="L11" s="322" t="s">
        <v>1140</v>
      </c>
      <c r="M11" s="322" t="s">
        <v>1140</v>
      </c>
      <c r="N11" s="322" t="s">
        <v>1140</v>
      </c>
      <c r="O11" s="322" t="s">
        <v>1140</v>
      </c>
      <c r="P11" s="322" t="s">
        <v>1140</v>
      </c>
      <c r="Q11" s="322" t="s">
        <v>1140</v>
      </c>
      <c r="R11" s="322" t="s">
        <v>1140</v>
      </c>
      <c r="S11" s="322" t="s">
        <v>1140</v>
      </c>
      <c r="T11" s="322" t="s">
        <v>1140</v>
      </c>
      <c r="U11" s="322" t="s">
        <v>1140</v>
      </c>
      <c r="V11" s="322" t="s">
        <v>1140</v>
      </c>
      <c r="W11" s="322" t="s">
        <v>1140</v>
      </c>
      <c r="X11" s="322" t="s">
        <v>1140</v>
      </c>
      <c r="Y11" s="322" t="s">
        <v>1140</v>
      </c>
    </row>
    <row r="12" spans="3:25" x14ac:dyDescent="0.25">
      <c r="C12" s="62" t="str">
        <f>'G-1 All Habitats'!B10</f>
        <v>Cropland - Intensive orchards</v>
      </c>
      <c r="D12" s="322" t="s">
        <v>1140</v>
      </c>
      <c r="E12" s="322" t="s">
        <v>1140</v>
      </c>
      <c r="F12" s="322" t="s">
        <v>1140</v>
      </c>
      <c r="G12" s="322" t="s">
        <v>1140</v>
      </c>
      <c r="H12" s="322" t="s">
        <v>1140</v>
      </c>
      <c r="I12" s="322" t="s">
        <v>1140</v>
      </c>
      <c r="J12" s="322" t="s">
        <v>1140</v>
      </c>
      <c r="K12" s="322" t="s">
        <v>1140</v>
      </c>
      <c r="L12" s="322" t="s">
        <v>1140</v>
      </c>
      <c r="M12" s="322" t="s">
        <v>1140</v>
      </c>
      <c r="N12" s="322" t="s">
        <v>1140</v>
      </c>
      <c r="O12" s="322" t="s">
        <v>1140</v>
      </c>
      <c r="P12" s="322" t="s">
        <v>1140</v>
      </c>
      <c r="Q12" s="322" t="s">
        <v>1140</v>
      </c>
      <c r="R12" s="322" t="s">
        <v>1140</v>
      </c>
      <c r="S12" s="322" t="s">
        <v>1140</v>
      </c>
      <c r="T12" s="322" t="s">
        <v>1140</v>
      </c>
      <c r="U12" s="322" t="s">
        <v>1140</v>
      </c>
      <c r="V12" s="322" t="s">
        <v>1140</v>
      </c>
      <c r="W12" s="322" t="s">
        <v>1140</v>
      </c>
      <c r="X12" s="322" t="s">
        <v>1140</v>
      </c>
      <c r="Y12" s="322" t="s">
        <v>1140</v>
      </c>
    </row>
    <row r="13" spans="3:25" x14ac:dyDescent="0.25">
      <c r="C13" s="62" t="str">
        <f>'G-1 All Habitats'!B11</f>
        <v>Cropland - Non-cereal crops</v>
      </c>
      <c r="D13" s="322" t="s">
        <v>1140</v>
      </c>
      <c r="E13" s="322" t="s">
        <v>1140</v>
      </c>
      <c r="F13" s="322" t="s">
        <v>1140</v>
      </c>
      <c r="G13" s="322" t="s">
        <v>1140</v>
      </c>
      <c r="H13" s="322" t="s">
        <v>1140</v>
      </c>
      <c r="I13" s="322" t="s">
        <v>1140</v>
      </c>
      <c r="J13" s="322" t="s">
        <v>1140</v>
      </c>
      <c r="K13" s="322" t="s">
        <v>1140</v>
      </c>
      <c r="L13" s="322" t="s">
        <v>1140</v>
      </c>
      <c r="M13" s="322" t="s">
        <v>1140</v>
      </c>
      <c r="N13" s="322" t="s">
        <v>1140</v>
      </c>
      <c r="O13" s="322" t="s">
        <v>1140</v>
      </c>
      <c r="P13" s="322" t="s">
        <v>1140</v>
      </c>
      <c r="Q13" s="322" t="s">
        <v>1140</v>
      </c>
      <c r="R13" s="322" t="s">
        <v>1140</v>
      </c>
      <c r="S13" s="322" t="s">
        <v>1140</v>
      </c>
      <c r="T13" s="322" t="s">
        <v>1140</v>
      </c>
      <c r="U13" s="322" t="s">
        <v>1140</v>
      </c>
      <c r="V13" s="322" t="s">
        <v>1140</v>
      </c>
      <c r="W13" s="322" t="s">
        <v>1140</v>
      </c>
      <c r="X13" s="322" t="s">
        <v>1140</v>
      </c>
      <c r="Y13" s="322" t="s">
        <v>1140</v>
      </c>
    </row>
    <row r="14" spans="3:25" x14ac:dyDescent="0.25">
      <c r="C14" s="62" t="str">
        <f>'G-1 All Habitats'!B12</f>
        <v>Cropland - Temporary grass and clover leys</v>
      </c>
      <c r="D14" s="322" t="s">
        <v>1140</v>
      </c>
      <c r="E14" s="322" t="s">
        <v>1140</v>
      </c>
      <c r="F14" s="322" t="s">
        <v>1140</v>
      </c>
      <c r="G14" s="322" t="s">
        <v>1140</v>
      </c>
      <c r="H14" s="322" t="s">
        <v>1140</v>
      </c>
      <c r="I14" s="322" t="s">
        <v>1140</v>
      </c>
      <c r="J14" s="322" t="s">
        <v>1140</v>
      </c>
      <c r="K14" s="322" t="s">
        <v>1140</v>
      </c>
      <c r="L14" s="322" t="s">
        <v>1140</v>
      </c>
      <c r="M14" s="322" t="s">
        <v>1140</v>
      </c>
      <c r="N14" s="322" t="s">
        <v>1140</v>
      </c>
      <c r="O14" s="322" t="s">
        <v>1140</v>
      </c>
      <c r="P14" s="322" t="s">
        <v>1140</v>
      </c>
      <c r="Q14" s="322" t="s">
        <v>1140</v>
      </c>
      <c r="R14" s="322" t="s">
        <v>1140</v>
      </c>
      <c r="S14" s="322" t="s">
        <v>1140</v>
      </c>
      <c r="T14" s="322" t="s">
        <v>1140</v>
      </c>
      <c r="U14" s="322" t="s">
        <v>1140</v>
      </c>
      <c r="V14" s="322" t="s">
        <v>1140</v>
      </c>
      <c r="W14" s="322" t="s">
        <v>1140</v>
      </c>
      <c r="X14" s="322" t="s">
        <v>1140</v>
      </c>
      <c r="Y14" s="322" t="s">
        <v>1140</v>
      </c>
    </row>
    <row r="15" spans="3:25" x14ac:dyDescent="0.25">
      <c r="C15" s="62" t="str">
        <f>'G-1 All Habitats'!B13</f>
        <v>Grassland - Traditional orchards</v>
      </c>
      <c r="D15" s="322" t="s">
        <v>1140</v>
      </c>
      <c r="E15" s="322" t="s">
        <v>1140</v>
      </c>
      <c r="F15" s="322">
        <v>5</v>
      </c>
      <c r="G15" s="322">
        <v>10</v>
      </c>
      <c r="H15" s="322">
        <v>20</v>
      </c>
      <c r="I15" s="322">
        <v>25</v>
      </c>
      <c r="J15" s="322">
        <v>30</v>
      </c>
      <c r="K15" s="322" t="s">
        <v>1140</v>
      </c>
      <c r="L15" s="322" t="s">
        <v>1140</v>
      </c>
      <c r="M15" s="322" t="s">
        <v>1140</v>
      </c>
      <c r="N15" s="322" t="s">
        <v>1140</v>
      </c>
      <c r="O15" s="322">
        <v>5</v>
      </c>
      <c r="P15" s="322">
        <v>15</v>
      </c>
      <c r="Q15" s="322">
        <v>20</v>
      </c>
      <c r="R15" s="322">
        <v>25</v>
      </c>
      <c r="S15" s="322">
        <v>10</v>
      </c>
      <c r="T15" s="322">
        <v>15</v>
      </c>
      <c r="U15" s="322">
        <v>20</v>
      </c>
      <c r="V15" s="322">
        <v>5</v>
      </c>
      <c r="W15" s="322">
        <v>10</v>
      </c>
      <c r="X15" s="322">
        <v>5</v>
      </c>
      <c r="Y15" s="322" t="s">
        <v>1140</v>
      </c>
    </row>
    <row r="16" spans="3:25" x14ac:dyDescent="0.25">
      <c r="C16" s="62" t="str">
        <f>'G-1 All Habitats'!B14</f>
        <v>Grassland - Bracken</v>
      </c>
      <c r="D16" s="322" t="s">
        <v>1140</v>
      </c>
      <c r="E16" s="322" t="s">
        <v>1140</v>
      </c>
      <c r="F16" s="322" t="s">
        <v>1140</v>
      </c>
      <c r="G16" s="322" t="s">
        <v>1140</v>
      </c>
      <c r="H16" s="322" t="s">
        <v>1140</v>
      </c>
      <c r="I16" s="322" t="s">
        <v>1140</v>
      </c>
      <c r="J16" s="322" t="s">
        <v>1140</v>
      </c>
      <c r="K16" s="322" t="s">
        <v>1140</v>
      </c>
      <c r="L16" s="322" t="s">
        <v>1140</v>
      </c>
      <c r="M16" s="322" t="s">
        <v>1140</v>
      </c>
      <c r="N16" s="322" t="s">
        <v>1140</v>
      </c>
      <c r="O16" s="322" t="s">
        <v>1140</v>
      </c>
      <c r="P16" s="322" t="s">
        <v>1140</v>
      </c>
      <c r="Q16" s="322" t="s">
        <v>1140</v>
      </c>
      <c r="R16" s="322" t="s">
        <v>1140</v>
      </c>
      <c r="S16" s="322" t="s">
        <v>1140</v>
      </c>
      <c r="T16" s="322" t="s">
        <v>1140</v>
      </c>
      <c r="U16" s="322" t="s">
        <v>1140</v>
      </c>
      <c r="V16" s="322" t="s">
        <v>1140</v>
      </c>
      <c r="W16" s="322" t="s">
        <v>1140</v>
      </c>
      <c r="X16" s="322" t="s">
        <v>1140</v>
      </c>
      <c r="Y16" s="322" t="s">
        <v>1140</v>
      </c>
    </row>
    <row r="17" spans="3:25" x14ac:dyDescent="0.25">
      <c r="C17" s="62" t="str">
        <f>'G-1 All Habitats'!B15</f>
        <v>Grassland - Floodplain wetland mosaic and CFGM</v>
      </c>
      <c r="D17" s="322" t="s">
        <v>1140</v>
      </c>
      <c r="E17" s="322" t="s">
        <v>1140</v>
      </c>
      <c r="F17" s="322">
        <v>5</v>
      </c>
      <c r="G17" s="322">
        <v>8</v>
      </c>
      <c r="H17" s="322">
        <v>10</v>
      </c>
      <c r="I17" s="322">
        <v>12</v>
      </c>
      <c r="J17" s="322">
        <v>15</v>
      </c>
      <c r="K17" s="322" t="s">
        <v>1140</v>
      </c>
      <c r="L17" s="322" t="s">
        <v>1140</v>
      </c>
      <c r="M17" s="322" t="s">
        <v>1140</v>
      </c>
      <c r="N17" s="322" t="s">
        <v>1140</v>
      </c>
      <c r="O17" s="322">
        <v>8</v>
      </c>
      <c r="P17" s="322">
        <v>10</v>
      </c>
      <c r="Q17" s="322">
        <v>12</v>
      </c>
      <c r="R17" s="322">
        <v>15</v>
      </c>
      <c r="S17" s="322">
        <v>2</v>
      </c>
      <c r="T17" s="322">
        <v>4</v>
      </c>
      <c r="U17" s="322">
        <v>7</v>
      </c>
      <c r="V17" s="322">
        <v>2</v>
      </c>
      <c r="W17" s="322">
        <v>4</v>
      </c>
      <c r="X17" s="322">
        <v>3</v>
      </c>
      <c r="Y17" s="322" t="s">
        <v>1140</v>
      </c>
    </row>
    <row r="18" spans="3:25" x14ac:dyDescent="0.25">
      <c r="C18" s="62" t="str">
        <f>'G-1 All Habitats'!B16</f>
        <v>Grassland - Lowland calcareous grassland</v>
      </c>
      <c r="D18" s="322" t="s">
        <v>1140</v>
      </c>
      <c r="E18" s="322" t="s">
        <v>1140</v>
      </c>
      <c r="F18" s="322">
        <v>10</v>
      </c>
      <c r="G18" s="322">
        <v>15</v>
      </c>
      <c r="H18" s="322">
        <v>20</v>
      </c>
      <c r="I18" s="322">
        <v>25</v>
      </c>
      <c r="J18" s="322">
        <v>30</v>
      </c>
      <c r="K18" s="322" t="s">
        <v>1140</v>
      </c>
      <c r="L18" s="322" t="s">
        <v>1140</v>
      </c>
      <c r="M18" s="322" t="s">
        <v>1140</v>
      </c>
      <c r="N18" s="322" t="s">
        <v>1140</v>
      </c>
      <c r="O18" s="322">
        <v>5</v>
      </c>
      <c r="P18" s="322">
        <v>10</v>
      </c>
      <c r="Q18" s="322">
        <v>15</v>
      </c>
      <c r="R18" s="322">
        <v>20</v>
      </c>
      <c r="S18" s="322">
        <v>5</v>
      </c>
      <c r="T18" s="322">
        <v>10</v>
      </c>
      <c r="U18" s="322">
        <v>15</v>
      </c>
      <c r="V18" s="322">
        <v>5</v>
      </c>
      <c r="W18" s="322">
        <v>10</v>
      </c>
      <c r="X18" s="322">
        <v>5</v>
      </c>
      <c r="Y18" s="322" t="s">
        <v>1140</v>
      </c>
    </row>
    <row r="19" spans="3:25" x14ac:dyDescent="0.25">
      <c r="C19" s="62" t="str">
        <f>'G-1 All Habitats'!B17</f>
        <v>Grassland - Lowland dry acid grassland</v>
      </c>
      <c r="D19" s="322" t="s">
        <v>1140</v>
      </c>
      <c r="E19" s="322" t="s">
        <v>1140</v>
      </c>
      <c r="F19" s="322">
        <v>10</v>
      </c>
      <c r="G19" s="322">
        <v>15</v>
      </c>
      <c r="H19" s="322">
        <v>20</v>
      </c>
      <c r="I19" s="322">
        <v>25</v>
      </c>
      <c r="J19" s="322" t="s">
        <v>1141</v>
      </c>
      <c r="K19" s="322" t="s">
        <v>1140</v>
      </c>
      <c r="L19" s="322" t="s">
        <v>1140</v>
      </c>
      <c r="M19" s="322" t="s">
        <v>1140</v>
      </c>
      <c r="N19" s="322" t="s">
        <v>1140</v>
      </c>
      <c r="O19" s="322">
        <v>5</v>
      </c>
      <c r="P19" s="322">
        <v>15</v>
      </c>
      <c r="Q19" s="322">
        <v>20</v>
      </c>
      <c r="R19" s="322" t="s">
        <v>1141</v>
      </c>
      <c r="S19" s="322">
        <v>8</v>
      </c>
      <c r="T19" s="322">
        <v>15</v>
      </c>
      <c r="U19" s="322">
        <v>25</v>
      </c>
      <c r="V19" s="322">
        <v>10</v>
      </c>
      <c r="W19" s="322">
        <v>20</v>
      </c>
      <c r="X19" s="322">
        <v>10</v>
      </c>
      <c r="Y19" s="322" t="s">
        <v>1140</v>
      </c>
    </row>
    <row r="20" spans="3:25" x14ac:dyDescent="0.25">
      <c r="C20" s="62" t="str">
        <f>'G-1 All Habitats'!B18</f>
        <v>Grassland - Lowland meadows</v>
      </c>
      <c r="D20" s="322" t="s">
        <v>1140</v>
      </c>
      <c r="E20" s="322" t="s">
        <v>1140</v>
      </c>
      <c r="F20" s="322">
        <v>5</v>
      </c>
      <c r="G20" s="322">
        <v>8</v>
      </c>
      <c r="H20" s="322">
        <v>10</v>
      </c>
      <c r="I20" s="322">
        <v>12</v>
      </c>
      <c r="J20" s="322">
        <v>15</v>
      </c>
      <c r="K20" s="322" t="s">
        <v>1140</v>
      </c>
      <c r="L20" s="322" t="s">
        <v>1140</v>
      </c>
      <c r="M20" s="322" t="s">
        <v>1140</v>
      </c>
      <c r="N20" s="322" t="s">
        <v>1140</v>
      </c>
      <c r="O20" s="322">
        <v>4</v>
      </c>
      <c r="P20" s="322">
        <v>8</v>
      </c>
      <c r="Q20" s="322">
        <v>11</v>
      </c>
      <c r="R20" s="322">
        <v>15</v>
      </c>
      <c r="S20" s="322">
        <v>4</v>
      </c>
      <c r="T20" s="322">
        <v>8</v>
      </c>
      <c r="U20" s="322">
        <v>11</v>
      </c>
      <c r="V20" s="322">
        <v>4</v>
      </c>
      <c r="W20" s="322">
        <v>8</v>
      </c>
      <c r="X20" s="322">
        <v>4</v>
      </c>
      <c r="Y20" s="322" t="s">
        <v>1140</v>
      </c>
    </row>
    <row r="21" spans="3:25" x14ac:dyDescent="0.25">
      <c r="C21" s="62" t="str">
        <f>'G-1 All Habitats'!B19</f>
        <v>Grassland - Modified grassland</v>
      </c>
      <c r="D21" s="322" t="s">
        <v>1140</v>
      </c>
      <c r="E21" s="322" t="s">
        <v>1140</v>
      </c>
      <c r="F21" s="322">
        <v>1</v>
      </c>
      <c r="G21" s="322">
        <v>5</v>
      </c>
      <c r="H21" s="322">
        <v>10</v>
      </c>
      <c r="I21" s="322">
        <v>12</v>
      </c>
      <c r="J21" s="322">
        <v>15</v>
      </c>
      <c r="K21" s="322" t="s">
        <v>1140</v>
      </c>
      <c r="L21" s="322" t="s">
        <v>1140</v>
      </c>
      <c r="M21" s="322" t="s">
        <v>1140</v>
      </c>
      <c r="N21" s="322" t="s">
        <v>1140</v>
      </c>
      <c r="O21" s="322">
        <v>5</v>
      </c>
      <c r="P21" s="322">
        <v>10</v>
      </c>
      <c r="Q21" s="322">
        <v>12</v>
      </c>
      <c r="R21" s="322">
        <v>15</v>
      </c>
      <c r="S21" s="322">
        <v>8</v>
      </c>
      <c r="T21" s="322">
        <v>10</v>
      </c>
      <c r="U21" s="322">
        <v>12</v>
      </c>
      <c r="V21" s="322">
        <v>8</v>
      </c>
      <c r="W21" s="322">
        <v>10</v>
      </c>
      <c r="X21" s="322">
        <v>8</v>
      </c>
      <c r="Y21" s="322" t="s">
        <v>1140</v>
      </c>
    </row>
    <row r="22" spans="3:25" x14ac:dyDescent="0.25">
      <c r="C22" s="62" t="str">
        <f>'G-1 All Habitats'!B20</f>
        <v>Grassland - Other lowland acid grassland</v>
      </c>
      <c r="D22" s="322" t="s">
        <v>1140</v>
      </c>
      <c r="E22" s="322" t="s">
        <v>1140</v>
      </c>
      <c r="F22" s="322">
        <v>1</v>
      </c>
      <c r="G22" s="322">
        <v>5</v>
      </c>
      <c r="H22" s="322">
        <v>10</v>
      </c>
      <c r="I22" s="322">
        <v>12</v>
      </c>
      <c r="J22" s="322">
        <v>15</v>
      </c>
      <c r="K22" s="322" t="s">
        <v>1140</v>
      </c>
      <c r="L22" s="322" t="s">
        <v>1140</v>
      </c>
      <c r="M22" s="322" t="s">
        <v>1140</v>
      </c>
      <c r="N22" s="322" t="s">
        <v>1140</v>
      </c>
      <c r="O22" s="322">
        <v>5</v>
      </c>
      <c r="P22" s="322">
        <v>10</v>
      </c>
      <c r="Q22" s="322">
        <v>12</v>
      </c>
      <c r="R22" s="322">
        <v>15</v>
      </c>
      <c r="S22" s="322">
        <v>8</v>
      </c>
      <c r="T22" s="322">
        <v>10</v>
      </c>
      <c r="U22" s="322">
        <v>12</v>
      </c>
      <c r="V22" s="322">
        <v>8</v>
      </c>
      <c r="W22" s="322">
        <v>10</v>
      </c>
      <c r="X22" s="322">
        <v>8</v>
      </c>
      <c r="Y22" s="322" t="s">
        <v>1140</v>
      </c>
    </row>
    <row r="23" spans="3:25" x14ac:dyDescent="0.25">
      <c r="C23" s="62" t="str">
        <f>'G-1 All Habitats'!B21</f>
        <v>Grassland - Other neutral grassland</v>
      </c>
      <c r="D23" s="322" t="s">
        <v>1140</v>
      </c>
      <c r="E23" s="322" t="s">
        <v>1140</v>
      </c>
      <c r="F23" s="322">
        <v>1</v>
      </c>
      <c r="G23" s="322">
        <v>5</v>
      </c>
      <c r="H23" s="322">
        <v>10</v>
      </c>
      <c r="I23" s="322">
        <v>12</v>
      </c>
      <c r="J23" s="322">
        <v>15</v>
      </c>
      <c r="K23" s="322" t="s">
        <v>1140</v>
      </c>
      <c r="L23" s="322" t="s">
        <v>1140</v>
      </c>
      <c r="M23" s="322" t="s">
        <v>1140</v>
      </c>
      <c r="N23" s="322" t="s">
        <v>1140</v>
      </c>
      <c r="O23" s="322">
        <v>5</v>
      </c>
      <c r="P23" s="322">
        <v>10</v>
      </c>
      <c r="Q23" s="322">
        <v>12</v>
      </c>
      <c r="R23" s="322">
        <v>15</v>
      </c>
      <c r="S23" s="322">
        <v>8</v>
      </c>
      <c r="T23" s="322">
        <v>10</v>
      </c>
      <c r="U23" s="322">
        <v>12</v>
      </c>
      <c r="V23" s="322">
        <v>8</v>
      </c>
      <c r="W23" s="322">
        <v>10</v>
      </c>
      <c r="X23" s="322">
        <v>8</v>
      </c>
      <c r="Y23" s="322" t="s">
        <v>1140</v>
      </c>
    </row>
    <row r="24" spans="3:25" x14ac:dyDescent="0.25">
      <c r="C24" s="62" t="str">
        <f>'G-1 All Habitats'!B22</f>
        <v>Grassland - Tall herb communities (H6430)</v>
      </c>
      <c r="D24" s="322" t="s">
        <v>1140</v>
      </c>
      <c r="E24" s="322" t="s">
        <v>1140</v>
      </c>
      <c r="F24" s="322">
        <v>10</v>
      </c>
      <c r="G24" s="322">
        <v>15</v>
      </c>
      <c r="H24" s="322">
        <v>20</v>
      </c>
      <c r="I24" s="322">
        <v>25</v>
      </c>
      <c r="J24" s="322">
        <v>30</v>
      </c>
      <c r="K24" s="322" t="s">
        <v>1140</v>
      </c>
      <c r="L24" s="322" t="s">
        <v>1140</v>
      </c>
      <c r="M24" s="322" t="s">
        <v>1140</v>
      </c>
      <c r="N24" s="322" t="s">
        <v>1140</v>
      </c>
      <c r="O24" s="322">
        <v>10</v>
      </c>
      <c r="P24" s="322">
        <v>20</v>
      </c>
      <c r="Q24" s="322">
        <v>25</v>
      </c>
      <c r="R24" s="322">
        <v>30</v>
      </c>
      <c r="S24" s="322">
        <v>10</v>
      </c>
      <c r="T24" s="322">
        <v>10</v>
      </c>
      <c r="U24" s="322">
        <v>15</v>
      </c>
      <c r="V24" s="322">
        <v>5</v>
      </c>
      <c r="W24" s="322">
        <v>10</v>
      </c>
      <c r="X24" s="322">
        <v>5</v>
      </c>
      <c r="Y24" s="322" t="s">
        <v>1140</v>
      </c>
    </row>
    <row r="25" spans="3:25" x14ac:dyDescent="0.25">
      <c r="C25" s="62" t="str">
        <f>'G-1 All Habitats'!B23</f>
        <v>Grassland - Upland acid grassland</v>
      </c>
      <c r="D25" s="322" t="s">
        <v>1140</v>
      </c>
      <c r="E25" s="322" t="s">
        <v>1140</v>
      </c>
      <c r="F25" s="322">
        <v>1</v>
      </c>
      <c r="G25" s="322">
        <v>5</v>
      </c>
      <c r="H25" s="322">
        <v>10</v>
      </c>
      <c r="I25" s="322">
        <v>12</v>
      </c>
      <c r="J25" s="322">
        <v>15</v>
      </c>
      <c r="K25" s="322" t="s">
        <v>1140</v>
      </c>
      <c r="L25" s="322" t="s">
        <v>1140</v>
      </c>
      <c r="M25" s="322" t="s">
        <v>1140</v>
      </c>
      <c r="N25" s="322" t="s">
        <v>1140</v>
      </c>
      <c r="O25" s="322">
        <v>5</v>
      </c>
      <c r="P25" s="322">
        <v>10</v>
      </c>
      <c r="Q25" s="322">
        <v>12</v>
      </c>
      <c r="R25" s="322">
        <v>15</v>
      </c>
      <c r="S25" s="322">
        <v>8</v>
      </c>
      <c r="T25" s="322">
        <v>10</v>
      </c>
      <c r="U25" s="322">
        <v>12</v>
      </c>
      <c r="V25" s="322">
        <v>8</v>
      </c>
      <c r="W25" s="322">
        <v>10</v>
      </c>
      <c r="X25" s="322">
        <v>8</v>
      </c>
      <c r="Y25" s="322" t="s">
        <v>1140</v>
      </c>
    </row>
    <row r="26" spans="3:25" x14ac:dyDescent="0.25">
      <c r="C26" s="62" t="str">
        <f>'G-1 All Habitats'!B24</f>
        <v>Grassland - Upland calcareous grassland</v>
      </c>
      <c r="D26" s="322" t="s">
        <v>1140</v>
      </c>
      <c r="E26" s="322" t="s">
        <v>1140</v>
      </c>
      <c r="F26" s="322">
        <v>10</v>
      </c>
      <c r="G26" s="322">
        <v>12</v>
      </c>
      <c r="H26" s="322">
        <v>15</v>
      </c>
      <c r="I26" s="322">
        <v>20</v>
      </c>
      <c r="J26" s="322">
        <v>25</v>
      </c>
      <c r="K26" s="322" t="s">
        <v>1140</v>
      </c>
      <c r="L26" s="322" t="s">
        <v>1140</v>
      </c>
      <c r="M26" s="322" t="s">
        <v>1140</v>
      </c>
      <c r="N26" s="322" t="s">
        <v>1140</v>
      </c>
      <c r="O26" s="322">
        <v>10</v>
      </c>
      <c r="P26" s="322">
        <v>15</v>
      </c>
      <c r="Q26" s="322">
        <v>18</v>
      </c>
      <c r="R26" s="322">
        <v>20</v>
      </c>
      <c r="S26" s="322">
        <v>10</v>
      </c>
      <c r="T26" s="322">
        <v>15</v>
      </c>
      <c r="U26" s="322">
        <v>18</v>
      </c>
      <c r="V26" s="322">
        <v>10</v>
      </c>
      <c r="W26" s="322">
        <v>10</v>
      </c>
      <c r="X26" s="322">
        <v>10</v>
      </c>
      <c r="Y26" s="322" t="s">
        <v>1140</v>
      </c>
    </row>
    <row r="27" spans="3:25" x14ac:dyDescent="0.25">
      <c r="C27" s="62" t="str">
        <f>'G-1 All Habitats'!B25</f>
        <v>Grassland - Upland hay meadows</v>
      </c>
      <c r="D27" s="322" t="s">
        <v>1140</v>
      </c>
      <c r="E27" s="322" t="s">
        <v>1140</v>
      </c>
      <c r="F27" s="322">
        <v>10</v>
      </c>
      <c r="G27" s="322">
        <v>12</v>
      </c>
      <c r="H27" s="322">
        <v>15</v>
      </c>
      <c r="I27" s="322">
        <v>18</v>
      </c>
      <c r="J27" s="322">
        <v>20</v>
      </c>
      <c r="K27" s="322" t="s">
        <v>1140</v>
      </c>
      <c r="L27" s="322" t="s">
        <v>1140</v>
      </c>
      <c r="M27" s="322" t="s">
        <v>1140</v>
      </c>
      <c r="N27" s="322" t="s">
        <v>1140</v>
      </c>
      <c r="O27" s="322">
        <v>10</v>
      </c>
      <c r="P27" s="322">
        <v>15</v>
      </c>
      <c r="Q27" s="322">
        <v>18</v>
      </c>
      <c r="R27" s="322">
        <v>20</v>
      </c>
      <c r="S27" s="322">
        <v>10</v>
      </c>
      <c r="T27" s="322">
        <v>15</v>
      </c>
      <c r="U27" s="322">
        <v>18</v>
      </c>
      <c r="V27" s="322">
        <v>10</v>
      </c>
      <c r="W27" s="322">
        <v>15</v>
      </c>
      <c r="X27" s="322">
        <v>10</v>
      </c>
      <c r="Y27" s="322" t="s">
        <v>1140</v>
      </c>
    </row>
    <row r="28" spans="3:25" x14ac:dyDescent="0.25">
      <c r="C28" s="62" t="str">
        <f>'G-1 All Habitats'!B26</f>
        <v>Heathland and shrub - Blackthorn scrub</v>
      </c>
      <c r="D28" s="322" t="s">
        <v>1140</v>
      </c>
      <c r="E28" s="322" t="s">
        <v>1140</v>
      </c>
      <c r="F28" s="322">
        <v>1</v>
      </c>
      <c r="G28" s="322">
        <v>3</v>
      </c>
      <c r="H28" s="322">
        <v>5</v>
      </c>
      <c r="I28" s="322">
        <v>7</v>
      </c>
      <c r="J28" s="322">
        <v>10</v>
      </c>
      <c r="K28" s="322">
        <v>1</v>
      </c>
      <c r="L28" s="322">
        <v>5</v>
      </c>
      <c r="M28" s="322">
        <v>7</v>
      </c>
      <c r="N28" s="322">
        <v>10</v>
      </c>
      <c r="O28" s="322">
        <v>1</v>
      </c>
      <c r="P28" s="322">
        <v>5</v>
      </c>
      <c r="Q28" s="322">
        <v>7</v>
      </c>
      <c r="R28" s="322">
        <v>10</v>
      </c>
      <c r="S28" s="322">
        <v>3</v>
      </c>
      <c r="T28" s="322">
        <v>5</v>
      </c>
      <c r="U28" s="322">
        <v>3</v>
      </c>
      <c r="V28" s="322">
        <v>2</v>
      </c>
      <c r="W28" s="322">
        <v>3</v>
      </c>
      <c r="X28" s="322">
        <v>2</v>
      </c>
      <c r="Y28" s="322" t="s">
        <v>1140</v>
      </c>
    </row>
    <row r="29" spans="3:25" x14ac:dyDescent="0.25">
      <c r="C29" s="62" t="str">
        <f>'G-1 All Habitats'!B27</f>
        <v>Heathland and shrub - Bramble scrub</v>
      </c>
      <c r="D29" s="322" t="s">
        <v>1140</v>
      </c>
      <c r="E29" s="322" t="s">
        <v>1140</v>
      </c>
      <c r="F29" s="322" t="s">
        <v>1140</v>
      </c>
      <c r="G29" s="322" t="s">
        <v>1140</v>
      </c>
      <c r="H29" s="322" t="s">
        <v>1140</v>
      </c>
      <c r="I29" s="322" t="s">
        <v>1140</v>
      </c>
      <c r="J29" s="322" t="s">
        <v>1140</v>
      </c>
      <c r="K29" s="322" t="s">
        <v>1140</v>
      </c>
      <c r="L29" s="322" t="s">
        <v>1140</v>
      </c>
      <c r="M29" s="322" t="s">
        <v>1140</v>
      </c>
      <c r="N29" s="322" t="s">
        <v>1140</v>
      </c>
      <c r="O29" s="322" t="s">
        <v>1140</v>
      </c>
      <c r="P29" s="322" t="s">
        <v>1140</v>
      </c>
      <c r="Q29" s="322" t="s">
        <v>1140</v>
      </c>
      <c r="R29" s="322" t="s">
        <v>1140</v>
      </c>
      <c r="S29" s="322" t="s">
        <v>1140</v>
      </c>
      <c r="T29" s="322" t="s">
        <v>1140</v>
      </c>
      <c r="U29" s="322" t="s">
        <v>1140</v>
      </c>
      <c r="V29" s="322" t="s">
        <v>1140</v>
      </c>
      <c r="W29" s="322" t="s">
        <v>1140</v>
      </c>
      <c r="X29" s="322" t="s">
        <v>1140</v>
      </c>
      <c r="Y29" s="322" t="s">
        <v>1140</v>
      </c>
    </row>
    <row r="30" spans="3:25" x14ac:dyDescent="0.25">
      <c r="C30" s="62" t="str">
        <f>'G-1 All Habitats'!B28</f>
        <v>Heathland and shrub - Gorse scrub</v>
      </c>
      <c r="D30" s="322" t="s">
        <v>1140</v>
      </c>
      <c r="E30" s="322" t="s">
        <v>1140</v>
      </c>
      <c r="F30" s="322">
        <v>1</v>
      </c>
      <c r="G30" s="322">
        <v>3</v>
      </c>
      <c r="H30" s="322">
        <v>5</v>
      </c>
      <c r="I30" s="322">
        <v>7</v>
      </c>
      <c r="J30" s="322">
        <v>10</v>
      </c>
      <c r="K30" s="322">
        <v>1</v>
      </c>
      <c r="L30" s="322">
        <v>5</v>
      </c>
      <c r="M30" s="322">
        <v>7</v>
      </c>
      <c r="N30" s="322">
        <v>10</v>
      </c>
      <c r="O30" s="322">
        <v>1</v>
      </c>
      <c r="P30" s="322">
        <v>5</v>
      </c>
      <c r="Q30" s="322">
        <v>7</v>
      </c>
      <c r="R30" s="322">
        <v>10</v>
      </c>
      <c r="S30" s="322">
        <v>3</v>
      </c>
      <c r="T30" s="322">
        <v>5</v>
      </c>
      <c r="U30" s="322">
        <v>7</v>
      </c>
      <c r="V30" s="322">
        <v>2</v>
      </c>
      <c r="W30" s="322">
        <v>3</v>
      </c>
      <c r="X30" s="322">
        <v>2</v>
      </c>
      <c r="Y30" s="322" t="s">
        <v>1140</v>
      </c>
    </row>
    <row r="31" spans="3:25" x14ac:dyDescent="0.25">
      <c r="C31" s="62" t="str">
        <f>'G-1 All Habitats'!B29</f>
        <v>Heathland and shrub - Hawthorn scrub</v>
      </c>
      <c r="D31" s="322" t="s">
        <v>1140</v>
      </c>
      <c r="E31" s="322" t="s">
        <v>1140</v>
      </c>
      <c r="F31" s="322">
        <v>1</v>
      </c>
      <c r="G31" s="322">
        <v>3</v>
      </c>
      <c r="H31" s="322">
        <v>5</v>
      </c>
      <c r="I31" s="322">
        <v>7</v>
      </c>
      <c r="J31" s="322">
        <v>10</v>
      </c>
      <c r="K31" s="322">
        <v>1</v>
      </c>
      <c r="L31" s="322">
        <v>5</v>
      </c>
      <c r="M31" s="322">
        <v>7</v>
      </c>
      <c r="N31" s="322">
        <v>10</v>
      </c>
      <c r="O31" s="322">
        <v>1</v>
      </c>
      <c r="P31" s="322">
        <v>5</v>
      </c>
      <c r="Q31" s="322">
        <v>7</v>
      </c>
      <c r="R31" s="322">
        <v>10</v>
      </c>
      <c r="S31" s="322">
        <v>3</v>
      </c>
      <c r="T31" s="322">
        <v>5</v>
      </c>
      <c r="U31" s="322">
        <v>7</v>
      </c>
      <c r="V31" s="322">
        <v>2</v>
      </c>
      <c r="W31" s="322">
        <v>3</v>
      </c>
      <c r="X31" s="322">
        <v>2</v>
      </c>
      <c r="Y31" s="322" t="s">
        <v>1140</v>
      </c>
    </row>
    <row r="32" spans="3:25" x14ac:dyDescent="0.25">
      <c r="C32" s="62" t="str">
        <f>'G-1 All Habitats'!B30</f>
        <v>Heathland and shrub - Hazel scrub</v>
      </c>
      <c r="D32" s="322" t="s">
        <v>1140</v>
      </c>
      <c r="E32" s="322" t="s">
        <v>1140</v>
      </c>
      <c r="F32" s="322">
        <v>5</v>
      </c>
      <c r="G32" s="322">
        <v>7</v>
      </c>
      <c r="H32" s="322">
        <v>10</v>
      </c>
      <c r="I32" s="322">
        <v>12</v>
      </c>
      <c r="J32" s="322">
        <v>15</v>
      </c>
      <c r="K32" s="322">
        <v>5</v>
      </c>
      <c r="L32" s="322">
        <v>7</v>
      </c>
      <c r="M32" s="322">
        <v>12</v>
      </c>
      <c r="N32" s="322">
        <v>15</v>
      </c>
      <c r="O32" s="322">
        <v>5</v>
      </c>
      <c r="P32" s="322">
        <v>7</v>
      </c>
      <c r="Q32" s="322">
        <v>12</v>
      </c>
      <c r="R32" s="322">
        <v>15</v>
      </c>
      <c r="S32" s="322">
        <v>5</v>
      </c>
      <c r="T32" s="322">
        <v>8</v>
      </c>
      <c r="U32" s="322">
        <v>12</v>
      </c>
      <c r="V32" s="322">
        <v>5</v>
      </c>
      <c r="W32" s="322">
        <v>7</v>
      </c>
      <c r="X32" s="322">
        <v>5</v>
      </c>
      <c r="Y32" s="322" t="s">
        <v>1140</v>
      </c>
    </row>
    <row r="33" spans="3:25" x14ac:dyDescent="0.25">
      <c r="C33" s="62" t="s">
        <v>739</v>
      </c>
      <c r="D33" s="322" t="s">
        <v>1140</v>
      </c>
      <c r="E33" s="322" t="s">
        <v>1140</v>
      </c>
      <c r="F33" s="322">
        <v>5</v>
      </c>
      <c r="G33" s="322">
        <v>7</v>
      </c>
      <c r="H33" s="322">
        <v>10</v>
      </c>
      <c r="I33" s="322">
        <v>12</v>
      </c>
      <c r="J33" s="322">
        <v>15</v>
      </c>
      <c r="K33" s="322">
        <v>5</v>
      </c>
      <c r="L33" s="322">
        <v>7</v>
      </c>
      <c r="M33" s="322">
        <v>12</v>
      </c>
      <c r="N33" s="322">
        <v>15</v>
      </c>
      <c r="O33" s="322">
        <v>5</v>
      </c>
      <c r="P33" s="322">
        <v>7</v>
      </c>
      <c r="Q33" s="322">
        <v>12</v>
      </c>
      <c r="R33" s="322">
        <v>15</v>
      </c>
      <c r="S33" s="322">
        <v>5</v>
      </c>
      <c r="T33" s="322">
        <v>8</v>
      </c>
      <c r="U33" s="322">
        <v>12</v>
      </c>
      <c r="V33" s="322">
        <v>5</v>
      </c>
      <c r="W33" s="322">
        <v>7</v>
      </c>
      <c r="X33" s="322">
        <v>5</v>
      </c>
      <c r="Y33" s="322" t="s">
        <v>1140</v>
      </c>
    </row>
    <row r="34" spans="3:25" x14ac:dyDescent="0.25">
      <c r="C34" s="62" t="str">
        <f>'G-1 All Habitats'!B31</f>
        <v>Heathland and shrub - Lowland heathland</v>
      </c>
      <c r="D34" s="322" t="s">
        <v>1140</v>
      </c>
      <c r="E34" s="322" t="s">
        <v>1140</v>
      </c>
      <c r="F34" s="322">
        <v>10</v>
      </c>
      <c r="G34" s="322">
        <v>15</v>
      </c>
      <c r="H34" s="322">
        <v>20</v>
      </c>
      <c r="I34" s="322">
        <v>25</v>
      </c>
      <c r="J34" s="322" t="s">
        <v>1141</v>
      </c>
      <c r="K34" s="322">
        <v>5</v>
      </c>
      <c r="L34" s="322">
        <v>10</v>
      </c>
      <c r="M34" s="322">
        <v>15</v>
      </c>
      <c r="N34" s="322">
        <v>25</v>
      </c>
      <c r="O34" s="322">
        <v>5</v>
      </c>
      <c r="P34" s="322">
        <v>10</v>
      </c>
      <c r="Q34" s="322">
        <v>15</v>
      </c>
      <c r="R34" s="322">
        <v>25</v>
      </c>
      <c r="S34" s="322">
        <v>5</v>
      </c>
      <c r="T34" s="322">
        <v>10</v>
      </c>
      <c r="U34" s="322">
        <v>20</v>
      </c>
      <c r="V34" s="322">
        <v>5</v>
      </c>
      <c r="W34" s="322">
        <v>15</v>
      </c>
      <c r="X34" s="322">
        <v>10</v>
      </c>
      <c r="Y34" s="322" t="s">
        <v>1140</v>
      </c>
    </row>
    <row r="35" spans="3:25" x14ac:dyDescent="0.25">
      <c r="C35" s="62" t="str">
        <f>'G-1 All Habitats'!B32</f>
        <v>Heathland and shrub - Mixed scrub</v>
      </c>
      <c r="D35" s="322" t="s">
        <v>1140</v>
      </c>
      <c r="E35" s="322" t="s">
        <v>1140</v>
      </c>
      <c r="F35" s="322">
        <v>1</v>
      </c>
      <c r="G35" s="322">
        <v>3</v>
      </c>
      <c r="H35" s="322">
        <v>5</v>
      </c>
      <c r="I35" s="322">
        <v>7</v>
      </c>
      <c r="J35" s="322">
        <v>10</v>
      </c>
      <c r="K35" s="322">
        <v>1</v>
      </c>
      <c r="L35" s="322">
        <v>5</v>
      </c>
      <c r="M35" s="322">
        <v>7</v>
      </c>
      <c r="N35" s="322">
        <v>10</v>
      </c>
      <c r="O35" s="322">
        <v>1</v>
      </c>
      <c r="P35" s="322">
        <v>5</v>
      </c>
      <c r="Q35" s="322">
        <v>7</v>
      </c>
      <c r="R35" s="322">
        <v>10</v>
      </c>
      <c r="S35" s="322">
        <v>3</v>
      </c>
      <c r="T35" s="322">
        <v>5</v>
      </c>
      <c r="U35" s="322">
        <v>7</v>
      </c>
      <c r="V35" s="322">
        <v>2</v>
      </c>
      <c r="W35" s="322">
        <v>3</v>
      </c>
      <c r="X35" s="322">
        <v>2</v>
      </c>
      <c r="Y35" s="322" t="s">
        <v>1140</v>
      </c>
    </row>
    <row r="36" spans="3:25" x14ac:dyDescent="0.25">
      <c r="C36" s="62" t="str">
        <f>'G-1 All Habitats'!B33</f>
        <v>Heathland and shrub - Mountain heaths and willow scrub</v>
      </c>
      <c r="D36" s="322" t="s">
        <v>1140</v>
      </c>
      <c r="E36" s="322" t="s">
        <v>1140</v>
      </c>
      <c r="F36" s="322">
        <v>15</v>
      </c>
      <c r="G36" s="322">
        <v>23</v>
      </c>
      <c r="H36" s="322">
        <v>25</v>
      </c>
      <c r="I36" s="322" t="s">
        <v>1141</v>
      </c>
      <c r="J36" s="322" t="s">
        <v>1141</v>
      </c>
      <c r="K36" s="322">
        <v>20</v>
      </c>
      <c r="L36" s="322" t="s">
        <v>1141</v>
      </c>
      <c r="M36" s="322" t="s">
        <v>1141</v>
      </c>
      <c r="N36" s="322" t="s">
        <v>1141</v>
      </c>
      <c r="O36" s="322">
        <v>20</v>
      </c>
      <c r="P36" s="322" t="s">
        <v>1141</v>
      </c>
      <c r="Q36" s="322" t="s">
        <v>1141</v>
      </c>
      <c r="R36" s="322" t="s">
        <v>1141</v>
      </c>
      <c r="S36" s="322">
        <v>20</v>
      </c>
      <c r="T36" s="322" t="s">
        <v>1141</v>
      </c>
      <c r="U36" s="322" t="s">
        <v>1141</v>
      </c>
      <c r="V36" s="322">
        <v>20</v>
      </c>
      <c r="W36" s="322" t="s">
        <v>1141</v>
      </c>
      <c r="X36" s="322">
        <v>20</v>
      </c>
      <c r="Y36" s="322" t="s">
        <v>1140</v>
      </c>
    </row>
    <row r="37" spans="3:25" x14ac:dyDescent="0.25">
      <c r="C37" s="62" t="str">
        <f>'G-1 All Habitats'!B34</f>
        <v>Heathland and shrub - Rhododendron scrub</v>
      </c>
      <c r="D37" s="322" t="s">
        <v>1140</v>
      </c>
      <c r="E37" s="322" t="s">
        <v>1140</v>
      </c>
      <c r="F37" s="322" t="s">
        <v>1140</v>
      </c>
      <c r="G37" s="322" t="s">
        <v>1140</v>
      </c>
      <c r="H37" s="322" t="s">
        <v>1140</v>
      </c>
      <c r="I37" s="322" t="s">
        <v>1140</v>
      </c>
      <c r="J37" s="322" t="s">
        <v>1140</v>
      </c>
      <c r="K37" s="322" t="s">
        <v>1140</v>
      </c>
      <c r="L37" s="322" t="s">
        <v>1140</v>
      </c>
      <c r="M37" s="322" t="s">
        <v>1140</v>
      </c>
      <c r="N37" s="322" t="s">
        <v>1140</v>
      </c>
      <c r="O37" s="322" t="s">
        <v>1140</v>
      </c>
      <c r="P37" s="322" t="s">
        <v>1140</v>
      </c>
      <c r="Q37" s="322" t="s">
        <v>1140</v>
      </c>
      <c r="R37" s="322" t="s">
        <v>1140</v>
      </c>
      <c r="S37" s="322" t="s">
        <v>1140</v>
      </c>
      <c r="T37" s="322" t="s">
        <v>1140</v>
      </c>
      <c r="U37" s="322" t="s">
        <v>1140</v>
      </c>
      <c r="V37" s="322" t="s">
        <v>1140</v>
      </c>
      <c r="W37" s="322" t="s">
        <v>1140</v>
      </c>
      <c r="X37" s="322" t="s">
        <v>1140</v>
      </c>
      <c r="Y37" s="322" t="s">
        <v>1140</v>
      </c>
    </row>
    <row r="38" spans="3:25" x14ac:dyDescent="0.25">
      <c r="C38" s="62" t="str">
        <f>'G-1 All Habitats'!B35</f>
        <v>Heathland and shrub - Dunes with sea buckthorn (H2160)</v>
      </c>
      <c r="D38" s="322" t="s">
        <v>1140</v>
      </c>
      <c r="E38" s="322" t="s">
        <v>1140</v>
      </c>
      <c r="F38" s="322">
        <v>5</v>
      </c>
      <c r="G38" s="322">
        <v>7</v>
      </c>
      <c r="H38" s="322">
        <v>10</v>
      </c>
      <c r="I38" s="322">
        <v>12</v>
      </c>
      <c r="J38" s="322">
        <v>15</v>
      </c>
      <c r="K38" s="322">
        <v>5</v>
      </c>
      <c r="L38" s="322">
        <v>7</v>
      </c>
      <c r="M38" s="322">
        <v>10</v>
      </c>
      <c r="N38" s="322">
        <v>12</v>
      </c>
      <c r="O38" s="322">
        <v>5</v>
      </c>
      <c r="P38" s="322">
        <v>7</v>
      </c>
      <c r="Q38" s="322">
        <v>10</v>
      </c>
      <c r="R38" s="322">
        <v>12</v>
      </c>
      <c r="S38" s="322">
        <v>5</v>
      </c>
      <c r="T38" s="322">
        <v>7</v>
      </c>
      <c r="U38" s="322">
        <v>10</v>
      </c>
      <c r="V38" s="322">
        <v>5</v>
      </c>
      <c r="W38" s="322">
        <v>7</v>
      </c>
      <c r="X38" s="322">
        <v>5</v>
      </c>
      <c r="Y38" s="322" t="s">
        <v>1140</v>
      </c>
    </row>
    <row r="39" spans="3:25" x14ac:dyDescent="0.25">
      <c r="C39" s="62" t="str">
        <f>'G-1 All Habitats'!B36</f>
        <v>Heathland and shrub - Other sea buckthorn scrub</v>
      </c>
      <c r="D39" s="322" t="s">
        <v>1140</v>
      </c>
      <c r="E39" s="322" t="s">
        <v>1140</v>
      </c>
      <c r="F39" s="322" t="s">
        <v>1140</v>
      </c>
      <c r="G39" s="322" t="s">
        <v>1140</v>
      </c>
      <c r="H39" s="322" t="s">
        <v>1140</v>
      </c>
      <c r="I39" s="322" t="s">
        <v>1140</v>
      </c>
      <c r="J39" s="322" t="s">
        <v>1140</v>
      </c>
      <c r="K39" s="322" t="s">
        <v>1140</v>
      </c>
      <c r="L39" s="322" t="s">
        <v>1140</v>
      </c>
      <c r="M39" s="322" t="s">
        <v>1140</v>
      </c>
      <c r="N39" s="322" t="s">
        <v>1140</v>
      </c>
      <c r="O39" s="322" t="s">
        <v>1140</v>
      </c>
      <c r="P39" s="322" t="s">
        <v>1140</v>
      </c>
      <c r="Q39" s="322" t="s">
        <v>1140</v>
      </c>
      <c r="R39" s="322" t="s">
        <v>1140</v>
      </c>
      <c r="S39" s="322" t="s">
        <v>1140</v>
      </c>
      <c r="T39" s="322" t="s">
        <v>1140</v>
      </c>
      <c r="U39" s="322" t="s">
        <v>1140</v>
      </c>
      <c r="V39" s="322" t="s">
        <v>1140</v>
      </c>
      <c r="W39" s="322" t="s">
        <v>1140</v>
      </c>
      <c r="X39" s="322" t="s">
        <v>1140</v>
      </c>
      <c r="Y39" s="322" t="s">
        <v>1140</v>
      </c>
    </row>
    <row r="40" spans="3:25" x14ac:dyDescent="0.25">
      <c r="C40" s="62" t="str">
        <f>'G-1 All Habitats'!B38</f>
        <v>Heathland and shrub - Upland heathland</v>
      </c>
      <c r="D40" s="322" t="s">
        <v>1140</v>
      </c>
      <c r="E40" s="322" t="s">
        <v>1140</v>
      </c>
      <c r="F40" s="322">
        <v>10</v>
      </c>
      <c r="G40" s="322">
        <v>15</v>
      </c>
      <c r="H40" s="322">
        <v>20</v>
      </c>
      <c r="I40" s="322">
        <v>25</v>
      </c>
      <c r="J40" s="322">
        <v>30</v>
      </c>
      <c r="K40" s="322" t="s">
        <v>1140</v>
      </c>
      <c r="L40" s="322" t="s">
        <v>1140</v>
      </c>
      <c r="M40" s="322" t="s">
        <v>1140</v>
      </c>
      <c r="N40" s="322" t="s">
        <v>1140</v>
      </c>
      <c r="O40" s="322">
        <v>10</v>
      </c>
      <c r="P40" s="322">
        <v>20</v>
      </c>
      <c r="Q40" s="322">
        <v>30</v>
      </c>
      <c r="R40" s="322" t="s">
        <v>1141</v>
      </c>
      <c r="S40" s="322">
        <v>10</v>
      </c>
      <c r="T40" s="322">
        <v>20</v>
      </c>
      <c r="U40" s="322">
        <v>30</v>
      </c>
      <c r="V40" s="322">
        <v>10</v>
      </c>
      <c r="W40" s="322">
        <v>20</v>
      </c>
      <c r="X40" s="322">
        <v>10</v>
      </c>
      <c r="Y40" s="322" t="s">
        <v>1140</v>
      </c>
    </row>
    <row r="41" spans="3:25" x14ac:dyDescent="0.25">
      <c r="C41" s="62" t="str">
        <f>'G-1 All Habitats'!B39</f>
        <v>Lakes - Aquifer fed naturally fluctuating water bodies</v>
      </c>
      <c r="D41" s="322" t="s">
        <v>1140</v>
      </c>
      <c r="E41" s="322" t="s">
        <v>1140</v>
      </c>
      <c r="F41" s="322">
        <v>1</v>
      </c>
      <c r="G41" s="322">
        <v>10</v>
      </c>
      <c r="H41" s="322">
        <v>15</v>
      </c>
      <c r="I41" s="322">
        <v>20</v>
      </c>
      <c r="J41" s="322">
        <v>30</v>
      </c>
      <c r="K41" s="322" t="s">
        <v>1140</v>
      </c>
      <c r="L41" s="322" t="s">
        <v>1140</v>
      </c>
      <c r="M41" s="322" t="s">
        <v>1140</v>
      </c>
      <c r="N41" s="322" t="s">
        <v>1140</v>
      </c>
      <c r="O41" s="322">
        <v>5</v>
      </c>
      <c r="P41" s="322">
        <v>10</v>
      </c>
      <c r="Q41" s="322">
        <v>15</v>
      </c>
      <c r="R41" s="322">
        <v>30</v>
      </c>
      <c r="S41" s="322">
        <v>5</v>
      </c>
      <c r="T41" s="322">
        <v>15</v>
      </c>
      <c r="U41" s="322">
        <v>25</v>
      </c>
      <c r="V41" s="322">
        <v>5</v>
      </c>
      <c r="W41" s="322">
        <v>20</v>
      </c>
      <c r="X41" s="322">
        <v>5</v>
      </c>
      <c r="Y41" s="322" t="s">
        <v>1140</v>
      </c>
    </row>
    <row r="42" spans="3:25" x14ac:dyDescent="0.25">
      <c r="C42" s="62" t="str">
        <f>'G-1 All Habitats'!B41</f>
        <v>Lakes - High alkalinity lakes</v>
      </c>
      <c r="D42" s="322" t="s">
        <v>1140</v>
      </c>
      <c r="E42" s="322" t="s">
        <v>1140</v>
      </c>
      <c r="F42" s="322">
        <v>2</v>
      </c>
      <c r="G42" s="322">
        <v>3</v>
      </c>
      <c r="H42" s="322">
        <v>5</v>
      </c>
      <c r="I42" s="322">
        <v>7</v>
      </c>
      <c r="J42" s="322">
        <v>10</v>
      </c>
      <c r="K42" s="322" t="s">
        <v>1140</v>
      </c>
      <c r="L42" s="322" t="s">
        <v>1140</v>
      </c>
      <c r="M42" s="322" t="s">
        <v>1140</v>
      </c>
      <c r="N42" s="322" t="s">
        <v>1140</v>
      </c>
      <c r="O42" s="322">
        <v>5</v>
      </c>
      <c r="P42" s="322">
        <v>10</v>
      </c>
      <c r="Q42" s="322">
        <v>15</v>
      </c>
      <c r="R42" s="322">
        <v>30</v>
      </c>
      <c r="S42" s="322">
        <v>5</v>
      </c>
      <c r="T42" s="322">
        <v>15</v>
      </c>
      <c r="U42" s="322">
        <v>25</v>
      </c>
      <c r="V42" s="322">
        <v>10</v>
      </c>
      <c r="W42" s="322">
        <v>20</v>
      </c>
      <c r="X42" s="322">
        <v>10</v>
      </c>
      <c r="Y42" s="322" t="s">
        <v>1140</v>
      </c>
    </row>
    <row r="43" spans="3:25" x14ac:dyDescent="0.25">
      <c r="C43" s="62" t="str">
        <f>'G-1 All Habitats'!B42</f>
        <v>Lakes - Low alkalinity lakes</v>
      </c>
      <c r="D43" s="322" t="s">
        <v>1140</v>
      </c>
      <c r="E43" s="322" t="s">
        <v>1140</v>
      </c>
      <c r="F43" s="322">
        <v>5</v>
      </c>
      <c r="G43" s="322">
        <v>10</v>
      </c>
      <c r="H43" s="322">
        <v>15</v>
      </c>
      <c r="I43" s="322">
        <v>20</v>
      </c>
      <c r="J43" s="322">
        <v>30</v>
      </c>
      <c r="K43" s="322" t="s">
        <v>1140</v>
      </c>
      <c r="L43" s="322" t="s">
        <v>1140</v>
      </c>
      <c r="M43" s="322" t="s">
        <v>1140</v>
      </c>
      <c r="N43" s="322" t="s">
        <v>1140</v>
      </c>
      <c r="O43" s="322">
        <v>5</v>
      </c>
      <c r="P43" s="322">
        <v>10</v>
      </c>
      <c r="Q43" s="322">
        <v>15</v>
      </c>
      <c r="R43" s="322">
        <v>20</v>
      </c>
      <c r="S43" s="322">
        <v>5</v>
      </c>
      <c r="T43" s="322">
        <v>10</v>
      </c>
      <c r="U43" s="322">
        <v>15</v>
      </c>
      <c r="V43" s="322">
        <v>5</v>
      </c>
      <c r="W43" s="322">
        <v>10</v>
      </c>
      <c r="X43" s="322">
        <v>5</v>
      </c>
      <c r="Y43" s="322" t="s">
        <v>1140</v>
      </c>
    </row>
    <row r="44" spans="3:25" x14ac:dyDescent="0.25">
      <c r="C44" s="62" t="str">
        <f>'G-1 All Habitats'!B43</f>
        <v>Lakes - Marl lakes</v>
      </c>
      <c r="D44" s="322" t="s">
        <v>1140</v>
      </c>
      <c r="E44" s="322" t="s">
        <v>1140</v>
      </c>
      <c r="F44" s="322">
        <v>5</v>
      </c>
      <c r="G44" s="322">
        <v>7</v>
      </c>
      <c r="H44" s="322">
        <v>10</v>
      </c>
      <c r="I44" s="322">
        <v>15</v>
      </c>
      <c r="J44" s="322">
        <v>20</v>
      </c>
      <c r="K44" s="322" t="s">
        <v>1140</v>
      </c>
      <c r="L44" s="322" t="s">
        <v>1140</v>
      </c>
      <c r="M44" s="322" t="s">
        <v>1140</v>
      </c>
      <c r="N44" s="322" t="s">
        <v>1140</v>
      </c>
      <c r="O44" s="322">
        <v>5</v>
      </c>
      <c r="P44" s="322">
        <v>10</v>
      </c>
      <c r="Q44" s="322">
        <v>15</v>
      </c>
      <c r="R44" s="322">
        <v>30</v>
      </c>
      <c r="S44" s="322">
        <v>5</v>
      </c>
      <c r="T44" s="322">
        <v>15</v>
      </c>
      <c r="U44" s="322">
        <v>25</v>
      </c>
      <c r="V44" s="322">
        <v>10</v>
      </c>
      <c r="W44" s="322">
        <v>20</v>
      </c>
      <c r="X44" s="322">
        <v>10</v>
      </c>
      <c r="Y44" s="322" t="s">
        <v>1140</v>
      </c>
    </row>
    <row r="45" spans="3:25" x14ac:dyDescent="0.25">
      <c r="C45" s="62" t="str">
        <f>'G-1 All Habitats'!B44</f>
        <v>Lakes - Moderate alkalinity lakes</v>
      </c>
      <c r="D45" s="322" t="s">
        <v>1140</v>
      </c>
      <c r="E45" s="322" t="s">
        <v>1140</v>
      </c>
      <c r="F45" s="322">
        <v>5</v>
      </c>
      <c r="G45" s="322">
        <v>7</v>
      </c>
      <c r="H45" s="322">
        <v>10</v>
      </c>
      <c r="I45" s="322">
        <v>15</v>
      </c>
      <c r="J45" s="322">
        <v>20</v>
      </c>
      <c r="K45" s="322" t="s">
        <v>1140</v>
      </c>
      <c r="L45" s="322" t="s">
        <v>1140</v>
      </c>
      <c r="M45" s="322" t="s">
        <v>1140</v>
      </c>
      <c r="N45" s="322" t="s">
        <v>1140</v>
      </c>
      <c r="O45" s="322">
        <v>5</v>
      </c>
      <c r="P45" s="322">
        <v>10</v>
      </c>
      <c r="Q45" s="322">
        <v>15</v>
      </c>
      <c r="R45" s="322">
        <v>30</v>
      </c>
      <c r="S45" s="322">
        <v>5</v>
      </c>
      <c r="T45" s="322">
        <v>15</v>
      </c>
      <c r="U45" s="322">
        <v>25</v>
      </c>
      <c r="V45" s="322">
        <v>10</v>
      </c>
      <c r="W45" s="322">
        <v>20</v>
      </c>
      <c r="X45" s="322">
        <v>10</v>
      </c>
      <c r="Y45" s="322" t="s">
        <v>1140</v>
      </c>
    </row>
    <row r="46" spans="3:25" x14ac:dyDescent="0.25">
      <c r="C46" s="62" t="str">
        <f>'G-1 All Habitats'!B45</f>
        <v>Lakes - Peat lakes</v>
      </c>
      <c r="D46" s="322" t="s">
        <v>1140</v>
      </c>
      <c r="E46" s="322" t="s">
        <v>1140</v>
      </c>
      <c r="F46" s="322">
        <v>5</v>
      </c>
      <c r="G46" s="322">
        <v>10</v>
      </c>
      <c r="H46" s="322">
        <v>15</v>
      </c>
      <c r="I46" s="322">
        <v>20</v>
      </c>
      <c r="J46" s="322">
        <v>30</v>
      </c>
      <c r="K46" s="322" t="s">
        <v>1140</v>
      </c>
      <c r="L46" s="322" t="s">
        <v>1140</v>
      </c>
      <c r="M46" s="322" t="s">
        <v>1140</v>
      </c>
      <c r="N46" s="322" t="s">
        <v>1140</v>
      </c>
      <c r="O46" s="322">
        <v>5</v>
      </c>
      <c r="P46" s="322">
        <v>10</v>
      </c>
      <c r="Q46" s="322">
        <v>15</v>
      </c>
      <c r="R46" s="322">
        <v>30</v>
      </c>
      <c r="S46" s="322">
        <v>5</v>
      </c>
      <c r="T46" s="322">
        <v>15</v>
      </c>
      <c r="U46" s="322">
        <v>25</v>
      </c>
      <c r="V46" s="322">
        <v>10</v>
      </c>
      <c r="W46" s="322">
        <v>20</v>
      </c>
      <c r="X46" s="322">
        <v>10</v>
      </c>
      <c r="Y46" s="322" t="s">
        <v>1140</v>
      </c>
    </row>
    <row r="47" spans="3:25" x14ac:dyDescent="0.25">
      <c r="C47" s="62" t="str">
        <f>'G-1 All Habitats'!B46</f>
        <v>Lakes - Ponds (priority habitat)</v>
      </c>
      <c r="D47" s="322" t="s">
        <v>1140</v>
      </c>
      <c r="E47" s="322" t="s">
        <v>1140</v>
      </c>
      <c r="F47" s="322">
        <v>2</v>
      </c>
      <c r="G47" s="322">
        <v>3</v>
      </c>
      <c r="H47" s="322">
        <v>5</v>
      </c>
      <c r="I47" s="322">
        <v>7</v>
      </c>
      <c r="J47" s="322">
        <v>10</v>
      </c>
      <c r="K47" s="322" t="s">
        <v>1140</v>
      </c>
      <c r="L47" s="322" t="s">
        <v>1140</v>
      </c>
      <c r="M47" s="322" t="s">
        <v>1140</v>
      </c>
      <c r="N47" s="322" t="s">
        <v>1140</v>
      </c>
      <c r="O47" s="322">
        <v>2</v>
      </c>
      <c r="P47" s="322">
        <v>4</v>
      </c>
      <c r="Q47" s="322">
        <v>6</v>
      </c>
      <c r="R47" s="322">
        <v>8</v>
      </c>
      <c r="S47" s="322">
        <v>2</v>
      </c>
      <c r="T47" s="322">
        <v>4</v>
      </c>
      <c r="U47" s="322">
        <v>6</v>
      </c>
      <c r="V47" s="322">
        <v>2</v>
      </c>
      <c r="W47" s="322">
        <v>4</v>
      </c>
      <c r="X47" s="322">
        <v>2</v>
      </c>
      <c r="Y47" s="322" t="s">
        <v>1140</v>
      </c>
    </row>
    <row r="48" spans="3:25" x14ac:dyDescent="0.25">
      <c r="C48" s="62" t="str">
        <f>'G-1 All Habitats'!B47</f>
        <v>Lakes - Ponds (non-priority habitat)</v>
      </c>
      <c r="D48" s="322" t="s">
        <v>1140</v>
      </c>
      <c r="E48" s="322" t="s">
        <v>1140</v>
      </c>
      <c r="F48" s="322">
        <v>1</v>
      </c>
      <c r="G48" s="322">
        <v>2</v>
      </c>
      <c r="H48" s="322">
        <v>3</v>
      </c>
      <c r="I48" s="322">
        <v>4</v>
      </c>
      <c r="J48" s="322">
        <v>5</v>
      </c>
      <c r="K48" s="322" t="s">
        <v>1140</v>
      </c>
      <c r="L48" s="322" t="s">
        <v>1140</v>
      </c>
      <c r="M48" s="322" t="s">
        <v>1140</v>
      </c>
      <c r="N48" s="322" t="s">
        <v>1140</v>
      </c>
      <c r="O48" s="322">
        <v>2</v>
      </c>
      <c r="P48" s="322">
        <v>4</v>
      </c>
      <c r="Q48" s="322">
        <v>6</v>
      </c>
      <c r="R48" s="322">
        <v>8</v>
      </c>
      <c r="S48" s="322">
        <v>2</v>
      </c>
      <c r="T48" s="322">
        <v>4</v>
      </c>
      <c r="U48" s="322">
        <v>6</v>
      </c>
      <c r="V48" s="322">
        <v>2</v>
      </c>
      <c r="W48" s="322">
        <v>4</v>
      </c>
      <c r="X48" s="322">
        <v>2</v>
      </c>
      <c r="Y48" s="322" t="s">
        <v>1140</v>
      </c>
    </row>
    <row r="49" spans="3:25" x14ac:dyDescent="0.25">
      <c r="C49" s="62" t="str">
        <f>'G-1 All Habitats'!B48</f>
        <v>Lakes - Reservoirs</v>
      </c>
      <c r="D49" s="322" t="s">
        <v>1140</v>
      </c>
      <c r="E49" s="322" t="s">
        <v>1140</v>
      </c>
      <c r="F49" s="322">
        <v>1</v>
      </c>
      <c r="G49" s="322">
        <v>3</v>
      </c>
      <c r="H49" s="322">
        <v>5</v>
      </c>
      <c r="I49" s="322">
        <v>7</v>
      </c>
      <c r="J49" s="322">
        <v>10</v>
      </c>
      <c r="K49" s="322" t="s">
        <v>1140</v>
      </c>
      <c r="L49" s="322" t="s">
        <v>1140</v>
      </c>
      <c r="M49" s="322" t="s">
        <v>1140</v>
      </c>
      <c r="N49" s="322" t="s">
        <v>1140</v>
      </c>
      <c r="O49" s="322">
        <v>5</v>
      </c>
      <c r="P49" s="322">
        <v>10</v>
      </c>
      <c r="Q49" s="322">
        <v>15</v>
      </c>
      <c r="R49" s="322">
        <v>30</v>
      </c>
      <c r="S49" s="322">
        <v>5</v>
      </c>
      <c r="T49" s="322">
        <v>15</v>
      </c>
      <c r="U49" s="322">
        <v>25</v>
      </c>
      <c r="V49" s="322">
        <v>10</v>
      </c>
      <c r="W49" s="322">
        <v>20</v>
      </c>
      <c r="X49" s="322">
        <v>10</v>
      </c>
      <c r="Y49" s="322" t="s">
        <v>1140</v>
      </c>
    </row>
    <row r="50" spans="3:25" x14ac:dyDescent="0.25">
      <c r="C50" s="62" t="str">
        <f>'G-1 All Habitats'!B49</f>
        <v>Lakes - Temporary lakes ponds and pools (H3170)</v>
      </c>
      <c r="D50" s="322" t="s">
        <v>1140</v>
      </c>
      <c r="E50" s="322" t="s">
        <v>1140</v>
      </c>
      <c r="F50" s="322">
        <v>2</v>
      </c>
      <c r="G50" s="322">
        <v>3</v>
      </c>
      <c r="H50" s="322">
        <v>5</v>
      </c>
      <c r="I50" s="322">
        <v>7</v>
      </c>
      <c r="J50" s="322">
        <v>10</v>
      </c>
      <c r="K50" s="322" t="s">
        <v>1140</v>
      </c>
      <c r="L50" s="322" t="s">
        <v>1140</v>
      </c>
      <c r="M50" s="322" t="s">
        <v>1140</v>
      </c>
      <c r="N50" s="322" t="s">
        <v>1140</v>
      </c>
      <c r="O50" s="322">
        <v>2</v>
      </c>
      <c r="P50" s="322">
        <v>4</v>
      </c>
      <c r="Q50" s="322">
        <v>6</v>
      </c>
      <c r="R50" s="322">
        <v>8</v>
      </c>
      <c r="S50" s="322">
        <v>2</v>
      </c>
      <c r="T50" s="322">
        <v>4</v>
      </c>
      <c r="U50" s="322">
        <v>6</v>
      </c>
      <c r="V50" s="322">
        <v>2</v>
      </c>
      <c r="W50" s="322">
        <v>4</v>
      </c>
      <c r="X50" s="322">
        <v>2</v>
      </c>
      <c r="Y50" s="322" t="s">
        <v>1140</v>
      </c>
    </row>
    <row r="51" spans="3:25" x14ac:dyDescent="0.25">
      <c r="C51" s="62" t="str">
        <f>'G-1 All Habitats'!B50</f>
        <v>Sparsely vegetated land - Calaminarian grasslands</v>
      </c>
      <c r="D51" s="322" t="s">
        <v>1140</v>
      </c>
      <c r="E51" s="322" t="s">
        <v>1140</v>
      </c>
      <c r="F51" s="322">
        <v>2</v>
      </c>
      <c r="G51" s="322">
        <v>3</v>
      </c>
      <c r="H51" s="322">
        <v>5</v>
      </c>
      <c r="I51" s="322">
        <v>7</v>
      </c>
      <c r="J51" s="322">
        <v>10</v>
      </c>
      <c r="K51" s="322" t="s">
        <v>1140</v>
      </c>
      <c r="L51" s="322" t="s">
        <v>1140</v>
      </c>
      <c r="M51" s="322" t="s">
        <v>1140</v>
      </c>
      <c r="N51" s="322" t="s">
        <v>1140</v>
      </c>
      <c r="O51" s="322">
        <v>1</v>
      </c>
      <c r="P51" s="322">
        <v>3</v>
      </c>
      <c r="Q51" s="322">
        <v>5</v>
      </c>
      <c r="R51" s="322">
        <v>8</v>
      </c>
      <c r="S51" s="322">
        <v>1</v>
      </c>
      <c r="T51" s="322">
        <v>4</v>
      </c>
      <c r="U51" s="322">
        <v>7</v>
      </c>
      <c r="V51" s="322">
        <v>2</v>
      </c>
      <c r="W51" s="322">
        <v>5</v>
      </c>
      <c r="X51" s="322">
        <v>3</v>
      </c>
      <c r="Y51" s="322" t="s">
        <v>1140</v>
      </c>
    </row>
    <row r="52" spans="3:25" x14ac:dyDescent="0.25">
      <c r="C52" s="62" t="str">
        <f>'G-1 All Habitats'!B51</f>
        <v>Sparsely vegetated land - Coastal sand dunes</v>
      </c>
      <c r="D52" s="322" t="s">
        <v>1140</v>
      </c>
      <c r="E52" s="322" t="s">
        <v>1140</v>
      </c>
      <c r="F52" s="322">
        <v>5</v>
      </c>
      <c r="G52" s="322">
        <v>7</v>
      </c>
      <c r="H52" s="322">
        <v>10</v>
      </c>
      <c r="I52" s="322">
        <v>15</v>
      </c>
      <c r="J52" s="322">
        <v>20</v>
      </c>
      <c r="K52" s="322" t="s">
        <v>1140</v>
      </c>
      <c r="L52" s="322" t="s">
        <v>1140</v>
      </c>
      <c r="M52" s="322" t="s">
        <v>1140</v>
      </c>
      <c r="N52" s="322" t="s">
        <v>1140</v>
      </c>
      <c r="O52" s="322">
        <v>5</v>
      </c>
      <c r="P52" s="322">
        <v>8</v>
      </c>
      <c r="Q52" s="322">
        <v>15</v>
      </c>
      <c r="R52" s="322">
        <v>20</v>
      </c>
      <c r="S52" s="322">
        <v>5</v>
      </c>
      <c r="T52" s="322">
        <v>10</v>
      </c>
      <c r="U52" s="322">
        <v>18</v>
      </c>
      <c r="V52" s="322">
        <v>7</v>
      </c>
      <c r="W52" s="322">
        <v>12</v>
      </c>
      <c r="X52" s="322">
        <v>8</v>
      </c>
      <c r="Y52" s="322" t="s">
        <v>1140</v>
      </c>
    </row>
    <row r="53" spans="3:25" x14ac:dyDescent="0.25">
      <c r="C53" s="62" t="str">
        <f>'G-1 All Habitats'!B52</f>
        <v>Sparsely vegetated land - Coastal vegetated shingle</v>
      </c>
      <c r="D53" s="322" t="s">
        <v>1140</v>
      </c>
      <c r="E53" s="322" t="s">
        <v>1140</v>
      </c>
      <c r="F53" s="322">
        <v>5</v>
      </c>
      <c r="G53" s="322">
        <v>7</v>
      </c>
      <c r="H53" s="322">
        <v>10</v>
      </c>
      <c r="I53" s="322">
        <v>15</v>
      </c>
      <c r="J53" s="322">
        <v>20</v>
      </c>
      <c r="K53" s="322" t="s">
        <v>1140</v>
      </c>
      <c r="L53" s="322" t="s">
        <v>1140</v>
      </c>
      <c r="M53" s="322" t="s">
        <v>1140</v>
      </c>
      <c r="N53" s="322" t="s">
        <v>1140</v>
      </c>
      <c r="O53" s="322">
        <v>5</v>
      </c>
      <c r="P53" s="322">
        <v>8</v>
      </c>
      <c r="Q53" s="322">
        <v>15</v>
      </c>
      <c r="R53" s="322">
        <v>20</v>
      </c>
      <c r="S53" s="322">
        <v>5</v>
      </c>
      <c r="T53" s="322">
        <v>10</v>
      </c>
      <c r="U53" s="322">
        <v>18</v>
      </c>
      <c r="V53" s="322">
        <v>7</v>
      </c>
      <c r="W53" s="322">
        <v>12</v>
      </c>
      <c r="X53" s="322">
        <v>8</v>
      </c>
      <c r="Y53" s="322" t="s">
        <v>1140</v>
      </c>
    </row>
    <row r="54" spans="3:25" x14ac:dyDescent="0.25">
      <c r="C54" s="62" t="str">
        <f>'G-1 All Habitats'!B53</f>
        <v>Sparsely vegetated land - Ruderal/Ephemeral</v>
      </c>
      <c r="D54" s="322" t="s">
        <v>1140</v>
      </c>
      <c r="E54" s="322" t="s">
        <v>1140</v>
      </c>
      <c r="F54" s="322" t="s">
        <v>1140</v>
      </c>
      <c r="G54" s="322" t="s">
        <v>1140</v>
      </c>
      <c r="H54" s="322" t="s">
        <v>1140</v>
      </c>
      <c r="I54" s="322" t="s">
        <v>1140</v>
      </c>
      <c r="J54" s="322" t="s">
        <v>1140</v>
      </c>
      <c r="K54" s="322" t="s">
        <v>1140</v>
      </c>
      <c r="L54" s="322" t="s">
        <v>1140</v>
      </c>
      <c r="M54" s="322" t="s">
        <v>1140</v>
      </c>
      <c r="N54" s="322" t="s">
        <v>1140</v>
      </c>
      <c r="O54" s="322">
        <v>1</v>
      </c>
      <c r="P54" s="322">
        <v>2</v>
      </c>
      <c r="Q54" s="322">
        <v>3</v>
      </c>
      <c r="R54" s="322">
        <v>5</v>
      </c>
      <c r="S54" s="322">
        <v>1</v>
      </c>
      <c r="T54" s="322">
        <v>2</v>
      </c>
      <c r="U54" s="322">
        <v>3</v>
      </c>
      <c r="V54" s="322">
        <v>1</v>
      </c>
      <c r="W54" s="322">
        <v>2</v>
      </c>
      <c r="X54" s="322">
        <v>1</v>
      </c>
      <c r="Y54" s="322" t="s">
        <v>1140</v>
      </c>
    </row>
    <row r="55" spans="3:25" x14ac:dyDescent="0.25">
      <c r="C55" s="62" t="s">
        <v>787</v>
      </c>
      <c r="D55" s="322" t="s">
        <v>1140</v>
      </c>
      <c r="E55" s="322" t="s">
        <v>1140</v>
      </c>
      <c r="F55" s="322" t="s">
        <v>1140</v>
      </c>
      <c r="G55" s="322" t="s">
        <v>1140</v>
      </c>
      <c r="H55" s="322" t="s">
        <v>1140</v>
      </c>
      <c r="I55" s="322" t="s">
        <v>1140</v>
      </c>
      <c r="J55" s="322" t="s">
        <v>1140</v>
      </c>
      <c r="K55" s="322" t="s">
        <v>1140</v>
      </c>
      <c r="L55" s="322" t="s">
        <v>1140</v>
      </c>
      <c r="M55" s="322" t="s">
        <v>1140</v>
      </c>
      <c r="N55" s="322" t="s">
        <v>1140</v>
      </c>
      <c r="O55" s="322">
        <v>1</v>
      </c>
      <c r="P55" s="322">
        <v>2</v>
      </c>
      <c r="Q55" s="322">
        <v>3</v>
      </c>
      <c r="R55" s="322">
        <v>5</v>
      </c>
      <c r="S55" s="322">
        <v>1</v>
      </c>
      <c r="T55" s="322">
        <v>2</v>
      </c>
      <c r="U55" s="322">
        <v>3</v>
      </c>
      <c r="V55" s="322">
        <v>1</v>
      </c>
      <c r="W55" s="322">
        <v>2</v>
      </c>
      <c r="X55" s="322">
        <v>1</v>
      </c>
      <c r="Y55" s="322" t="s">
        <v>1140</v>
      </c>
    </row>
    <row r="56" spans="3:25" x14ac:dyDescent="0.25">
      <c r="C56" s="62" t="str">
        <f>'G-1 All Habitats'!B55</f>
        <v>Sparsely vegetated land - Inland rock outcrop and scree habitats</v>
      </c>
      <c r="D56" s="322" t="s">
        <v>1140</v>
      </c>
      <c r="E56" s="322" t="s">
        <v>1140</v>
      </c>
      <c r="F56" s="322">
        <v>10</v>
      </c>
      <c r="G56" s="322">
        <v>15</v>
      </c>
      <c r="H56" s="322">
        <v>20</v>
      </c>
      <c r="I56" s="322">
        <v>25</v>
      </c>
      <c r="J56" s="322" t="s">
        <v>1141</v>
      </c>
      <c r="K56" s="322" t="s">
        <v>1140</v>
      </c>
      <c r="L56" s="322" t="s">
        <v>1140</v>
      </c>
      <c r="M56" s="322" t="s">
        <v>1140</v>
      </c>
      <c r="N56" s="322" t="s">
        <v>1140</v>
      </c>
      <c r="O56" s="322">
        <v>10</v>
      </c>
      <c r="P56" s="322">
        <v>20</v>
      </c>
      <c r="Q56" s="322">
        <v>25</v>
      </c>
      <c r="R56" s="322" t="s">
        <v>1141</v>
      </c>
      <c r="S56" s="322">
        <v>15</v>
      </c>
      <c r="T56" s="322">
        <v>25</v>
      </c>
      <c r="U56" s="322">
        <v>27</v>
      </c>
      <c r="V56" s="322">
        <v>15</v>
      </c>
      <c r="W56" s="322">
        <v>20</v>
      </c>
      <c r="X56" s="322">
        <v>15</v>
      </c>
      <c r="Y56" s="322" t="s">
        <v>1140</v>
      </c>
    </row>
    <row r="57" spans="3:25" x14ac:dyDescent="0.25">
      <c r="C57" s="62" t="str">
        <f>'G-1 All Habitats'!B56</f>
        <v>Sparsely vegetated land - Limestone pavement</v>
      </c>
      <c r="D57" s="322" t="s">
        <v>1140</v>
      </c>
      <c r="E57" s="322" t="s">
        <v>1140</v>
      </c>
      <c r="F57" s="322" t="s">
        <v>1141</v>
      </c>
      <c r="G57" s="322" t="s">
        <v>1141</v>
      </c>
      <c r="H57" s="322" t="s">
        <v>1141</v>
      </c>
      <c r="I57" s="322" t="s">
        <v>1141</v>
      </c>
      <c r="J57" s="322" t="s">
        <v>1141</v>
      </c>
      <c r="K57" s="322" t="s">
        <v>1140</v>
      </c>
      <c r="L57" s="322" t="s">
        <v>1140</v>
      </c>
      <c r="M57" s="322" t="s">
        <v>1140</v>
      </c>
      <c r="N57" s="322" t="s">
        <v>1140</v>
      </c>
      <c r="O57" s="322">
        <v>5</v>
      </c>
      <c r="P57" s="322">
        <v>10</v>
      </c>
      <c r="Q57" s="322">
        <v>15</v>
      </c>
      <c r="R57" s="322">
        <v>20</v>
      </c>
      <c r="S57" s="322">
        <v>5</v>
      </c>
      <c r="T57" s="322">
        <v>10</v>
      </c>
      <c r="U57" s="322">
        <v>15</v>
      </c>
      <c r="V57" s="322">
        <v>5</v>
      </c>
      <c r="W57" s="322">
        <v>10</v>
      </c>
      <c r="X57" s="322">
        <v>5</v>
      </c>
      <c r="Y57" s="322" t="s">
        <v>1140</v>
      </c>
    </row>
    <row r="58" spans="3:25" x14ac:dyDescent="0.25">
      <c r="C58" s="62" t="str">
        <f>'G-1 All Habitats'!B57</f>
        <v>Sparsely vegetated land - Maritime cliff and slopes</v>
      </c>
      <c r="D58" s="322" t="s">
        <v>1140</v>
      </c>
      <c r="E58" s="322" t="s">
        <v>1140</v>
      </c>
      <c r="F58" s="322">
        <v>10</v>
      </c>
      <c r="G58" s="322">
        <v>15</v>
      </c>
      <c r="H58" s="322">
        <v>20</v>
      </c>
      <c r="I58" s="322">
        <v>25</v>
      </c>
      <c r="J58" s="322" t="s">
        <v>1141</v>
      </c>
      <c r="K58" s="322" t="s">
        <v>1140</v>
      </c>
      <c r="L58" s="322" t="s">
        <v>1140</v>
      </c>
      <c r="M58" s="322" t="s">
        <v>1140</v>
      </c>
      <c r="N58" s="322" t="s">
        <v>1140</v>
      </c>
      <c r="O58" s="322">
        <v>5</v>
      </c>
      <c r="P58" s="322">
        <v>8</v>
      </c>
      <c r="Q58" s="322">
        <v>15</v>
      </c>
      <c r="R58" s="322">
        <v>20</v>
      </c>
      <c r="S58" s="322">
        <v>5</v>
      </c>
      <c r="T58" s="322">
        <v>10</v>
      </c>
      <c r="U58" s="322">
        <v>18</v>
      </c>
      <c r="V58" s="322">
        <v>7</v>
      </c>
      <c r="W58" s="322">
        <v>12</v>
      </c>
      <c r="X58" s="322">
        <v>8</v>
      </c>
      <c r="Y58" s="322" t="s">
        <v>1140</v>
      </c>
    </row>
    <row r="59" spans="3:25" x14ac:dyDescent="0.25">
      <c r="C59" s="62" t="str">
        <f>'G-1 All Habitats'!B58</f>
        <v>Sparsely vegetated land - Other inland rock and scree</v>
      </c>
      <c r="D59" s="322" t="s">
        <v>1140</v>
      </c>
      <c r="E59" s="322" t="s">
        <v>1140</v>
      </c>
      <c r="F59" s="322">
        <v>3</v>
      </c>
      <c r="G59" s="322">
        <v>5</v>
      </c>
      <c r="H59" s="322">
        <v>10</v>
      </c>
      <c r="I59" s="322">
        <v>15</v>
      </c>
      <c r="J59" s="322">
        <v>20</v>
      </c>
      <c r="K59" s="322" t="s">
        <v>1140</v>
      </c>
      <c r="L59" s="322" t="s">
        <v>1140</v>
      </c>
      <c r="M59" s="322" t="s">
        <v>1140</v>
      </c>
      <c r="N59" s="322" t="s">
        <v>1140</v>
      </c>
      <c r="O59" s="322">
        <v>5</v>
      </c>
      <c r="P59" s="322">
        <v>10</v>
      </c>
      <c r="Q59" s="322">
        <v>15</v>
      </c>
      <c r="R59" s="322">
        <v>20</v>
      </c>
      <c r="S59" s="322">
        <v>5</v>
      </c>
      <c r="T59" s="322">
        <v>10</v>
      </c>
      <c r="U59" s="322">
        <v>15</v>
      </c>
      <c r="V59" s="322">
        <v>5</v>
      </c>
      <c r="W59" s="322">
        <v>10</v>
      </c>
      <c r="X59" s="322">
        <v>5</v>
      </c>
      <c r="Y59" s="322" t="s">
        <v>1140</v>
      </c>
    </row>
    <row r="60" spans="3:25" x14ac:dyDescent="0.25">
      <c r="C60" s="62" t="str">
        <f>'G-1 All Habitats'!B59</f>
        <v>Urban - Allotments</v>
      </c>
      <c r="D60" s="322" t="s">
        <v>1140</v>
      </c>
      <c r="E60" s="322" t="s">
        <v>1140</v>
      </c>
      <c r="F60" s="322">
        <v>1</v>
      </c>
      <c r="G60" s="322">
        <v>1</v>
      </c>
      <c r="H60" s="322">
        <v>1</v>
      </c>
      <c r="I60" s="322">
        <v>1</v>
      </c>
      <c r="J60" s="322">
        <v>1</v>
      </c>
      <c r="K60" s="322" t="s">
        <v>1140</v>
      </c>
      <c r="L60" s="322" t="s">
        <v>1140</v>
      </c>
      <c r="M60" s="322" t="s">
        <v>1140</v>
      </c>
      <c r="N60" s="322" t="s">
        <v>1140</v>
      </c>
      <c r="O60" s="322">
        <v>1</v>
      </c>
      <c r="P60" s="322">
        <v>1</v>
      </c>
      <c r="Q60" s="322">
        <v>1</v>
      </c>
      <c r="R60" s="322">
        <v>1</v>
      </c>
      <c r="S60" s="322">
        <v>1</v>
      </c>
      <c r="T60" s="322">
        <v>1</v>
      </c>
      <c r="U60" s="322">
        <v>1</v>
      </c>
      <c r="V60" s="322">
        <v>1</v>
      </c>
      <c r="W60" s="322">
        <v>1</v>
      </c>
      <c r="X60" s="322">
        <v>1</v>
      </c>
      <c r="Y60" s="322" t="s">
        <v>1140</v>
      </c>
    </row>
    <row r="61" spans="3:25" x14ac:dyDescent="0.25">
      <c r="C61" s="62" t="str">
        <f>'G-1 All Habitats'!B40</f>
        <v>Lakes - Ornamental lake or pond</v>
      </c>
      <c r="D61" s="322" t="s">
        <v>1140</v>
      </c>
      <c r="E61" s="322" t="s">
        <v>1140</v>
      </c>
      <c r="F61" s="322">
        <v>1</v>
      </c>
      <c r="G61" s="322">
        <v>2</v>
      </c>
      <c r="H61" s="322">
        <v>3</v>
      </c>
      <c r="I61" s="322">
        <v>4</v>
      </c>
      <c r="J61" s="322">
        <v>5</v>
      </c>
      <c r="K61" s="322" t="s">
        <v>1140</v>
      </c>
      <c r="L61" s="322" t="s">
        <v>1140</v>
      </c>
      <c r="M61" s="322" t="s">
        <v>1140</v>
      </c>
      <c r="N61" s="322" t="s">
        <v>1140</v>
      </c>
      <c r="O61" s="322">
        <v>2</v>
      </c>
      <c r="P61" s="322">
        <v>4</v>
      </c>
      <c r="Q61" s="322">
        <v>6</v>
      </c>
      <c r="R61" s="322">
        <v>8</v>
      </c>
      <c r="S61" s="322">
        <v>2</v>
      </c>
      <c r="T61" s="322">
        <v>4</v>
      </c>
      <c r="U61" s="322">
        <v>6</v>
      </c>
      <c r="V61" s="322">
        <v>2</v>
      </c>
      <c r="W61" s="322">
        <v>4</v>
      </c>
      <c r="X61" s="322">
        <v>2</v>
      </c>
      <c r="Y61" s="322" t="s">
        <v>1140</v>
      </c>
    </row>
    <row r="62" spans="3:25" x14ac:dyDescent="0.25">
      <c r="C62" s="62" t="str">
        <f>'G-1 All Habitats'!B60</f>
        <v>Urban - Artificial unvegetated, unsealed surface</v>
      </c>
      <c r="D62" s="322" t="s">
        <v>1140</v>
      </c>
      <c r="E62" s="322" t="s">
        <v>1140</v>
      </c>
      <c r="F62" s="322" t="s">
        <v>1140</v>
      </c>
      <c r="G62" s="322" t="s">
        <v>1140</v>
      </c>
      <c r="H62" s="322" t="s">
        <v>1140</v>
      </c>
      <c r="I62" s="322" t="s">
        <v>1140</v>
      </c>
      <c r="J62" s="322" t="s">
        <v>1140</v>
      </c>
      <c r="K62" s="322" t="s">
        <v>1140</v>
      </c>
      <c r="L62" s="322" t="s">
        <v>1140</v>
      </c>
      <c r="M62" s="322" t="s">
        <v>1140</v>
      </c>
      <c r="N62" s="322" t="s">
        <v>1140</v>
      </c>
      <c r="O62" s="322" t="s">
        <v>1140</v>
      </c>
      <c r="P62" s="322" t="s">
        <v>1140</v>
      </c>
      <c r="Q62" s="322" t="s">
        <v>1140</v>
      </c>
      <c r="R62" s="322" t="s">
        <v>1140</v>
      </c>
      <c r="S62" s="322" t="s">
        <v>1140</v>
      </c>
      <c r="T62" s="322" t="s">
        <v>1140</v>
      </c>
      <c r="U62" s="322" t="s">
        <v>1140</v>
      </c>
      <c r="V62" s="322" t="s">
        <v>1140</v>
      </c>
      <c r="W62" s="322" t="s">
        <v>1140</v>
      </c>
      <c r="X62" s="322" t="s">
        <v>1140</v>
      </c>
      <c r="Y62" s="322" t="s">
        <v>1140</v>
      </c>
    </row>
    <row r="63" spans="3:25" x14ac:dyDescent="0.25">
      <c r="C63" s="62" t="str">
        <f>'G-1 All Habitats'!B61</f>
        <v>Urban - Bioswale</v>
      </c>
      <c r="D63" s="322" t="s">
        <v>1140</v>
      </c>
      <c r="E63" s="322" t="s">
        <v>1140</v>
      </c>
      <c r="F63" s="322">
        <v>1</v>
      </c>
      <c r="G63" s="322">
        <v>1</v>
      </c>
      <c r="H63" s="322">
        <v>1</v>
      </c>
      <c r="I63" s="322">
        <v>2</v>
      </c>
      <c r="J63" s="322">
        <v>3</v>
      </c>
      <c r="K63" s="322" t="s">
        <v>1140</v>
      </c>
      <c r="L63" s="322" t="s">
        <v>1140</v>
      </c>
      <c r="M63" s="322" t="s">
        <v>1140</v>
      </c>
      <c r="N63" s="322" t="s">
        <v>1140</v>
      </c>
      <c r="O63" s="322">
        <v>1</v>
      </c>
      <c r="P63" s="322">
        <v>2</v>
      </c>
      <c r="Q63" s="322">
        <v>2</v>
      </c>
      <c r="R63" s="322">
        <v>3</v>
      </c>
      <c r="S63" s="322">
        <v>1</v>
      </c>
      <c r="T63" s="322">
        <v>2</v>
      </c>
      <c r="U63" s="322">
        <v>3</v>
      </c>
      <c r="V63" s="322">
        <v>2</v>
      </c>
      <c r="W63" s="322">
        <v>2</v>
      </c>
      <c r="X63" s="322">
        <v>2</v>
      </c>
      <c r="Y63" s="322" t="s">
        <v>1140</v>
      </c>
    </row>
    <row r="64" spans="3:25" x14ac:dyDescent="0.25">
      <c r="C64" s="62" t="str">
        <f>'G-1 All Habitats'!B62</f>
        <v>Urban - Intensive green roof</v>
      </c>
      <c r="D64" s="322" t="s">
        <v>1140</v>
      </c>
      <c r="E64" s="322" t="s">
        <v>1140</v>
      </c>
      <c r="F64" s="322">
        <v>1</v>
      </c>
      <c r="G64" s="322">
        <v>2</v>
      </c>
      <c r="H64" s="322">
        <v>3</v>
      </c>
      <c r="I64" s="322">
        <v>4</v>
      </c>
      <c r="J64" s="322">
        <v>5</v>
      </c>
      <c r="K64" s="322" t="s">
        <v>1140</v>
      </c>
      <c r="L64" s="322" t="s">
        <v>1140</v>
      </c>
      <c r="M64" s="322" t="s">
        <v>1140</v>
      </c>
      <c r="N64" s="322" t="s">
        <v>1140</v>
      </c>
      <c r="O64" s="322">
        <v>1</v>
      </c>
      <c r="P64" s="322">
        <v>2</v>
      </c>
      <c r="Q64" s="322">
        <v>3</v>
      </c>
      <c r="R64" s="322">
        <v>5</v>
      </c>
      <c r="S64" s="322">
        <v>1</v>
      </c>
      <c r="T64" s="322">
        <v>2</v>
      </c>
      <c r="U64" s="322">
        <v>3</v>
      </c>
      <c r="V64" s="322">
        <v>1</v>
      </c>
      <c r="W64" s="322">
        <v>2</v>
      </c>
      <c r="X64" s="322">
        <v>1</v>
      </c>
      <c r="Y64" s="322" t="s">
        <v>1140</v>
      </c>
    </row>
    <row r="65" spans="3:25" x14ac:dyDescent="0.25">
      <c r="C65" s="62" t="str">
        <f>'G-1 All Habitats'!B63</f>
        <v>Urban - Built linear features</v>
      </c>
      <c r="D65" s="322" t="s">
        <v>1140</v>
      </c>
      <c r="E65" s="322" t="s">
        <v>1140</v>
      </c>
      <c r="F65" s="322" t="s">
        <v>1140</v>
      </c>
      <c r="G65" s="322" t="s">
        <v>1140</v>
      </c>
      <c r="H65" s="322" t="s">
        <v>1140</v>
      </c>
      <c r="I65" s="322" t="s">
        <v>1140</v>
      </c>
      <c r="J65" s="322" t="s">
        <v>1140</v>
      </c>
      <c r="K65" s="322" t="s">
        <v>1140</v>
      </c>
      <c r="L65" s="322" t="s">
        <v>1140</v>
      </c>
      <c r="M65" s="322" t="s">
        <v>1140</v>
      </c>
      <c r="N65" s="322" t="s">
        <v>1140</v>
      </c>
      <c r="O65" s="322" t="s">
        <v>1140</v>
      </c>
      <c r="P65" s="322" t="s">
        <v>1140</v>
      </c>
      <c r="Q65" s="322" t="s">
        <v>1140</v>
      </c>
      <c r="R65" s="322" t="s">
        <v>1140</v>
      </c>
      <c r="S65" s="322" t="s">
        <v>1140</v>
      </c>
      <c r="T65" s="322" t="s">
        <v>1140</v>
      </c>
      <c r="U65" s="322" t="s">
        <v>1140</v>
      </c>
      <c r="V65" s="322" t="s">
        <v>1140</v>
      </c>
      <c r="W65" s="322" t="s">
        <v>1140</v>
      </c>
      <c r="X65" s="322" t="s">
        <v>1140</v>
      </c>
      <c r="Y65" s="322" t="s">
        <v>1140</v>
      </c>
    </row>
    <row r="66" spans="3:25" x14ac:dyDescent="0.25">
      <c r="C66" s="62" t="str">
        <f>'G-1 All Habitats'!B64</f>
        <v>Urban - Cemeteries and churchyards</v>
      </c>
      <c r="D66" s="322" t="s">
        <v>1140</v>
      </c>
      <c r="E66" s="322" t="s">
        <v>1140</v>
      </c>
      <c r="F66" s="322">
        <v>10</v>
      </c>
      <c r="G66" s="322">
        <v>12</v>
      </c>
      <c r="H66" s="322">
        <v>15</v>
      </c>
      <c r="I66" s="322">
        <v>17</v>
      </c>
      <c r="J66" s="322">
        <v>20</v>
      </c>
      <c r="K66" s="322" t="s">
        <v>1140</v>
      </c>
      <c r="L66" s="322" t="s">
        <v>1140</v>
      </c>
      <c r="M66" s="322" t="s">
        <v>1140</v>
      </c>
      <c r="N66" s="322" t="s">
        <v>1140</v>
      </c>
      <c r="O66" s="322">
        <v>5</v>
      </c>
      <c r="P66" s="322">
        <v>10</v>
      </c>
      <c r="Q66" s="322">
        <v>15</v>
      </c>
      <c r="R66" s="322">
        <v>20</v>
      </c>
      <c r="S66" s="322">
        <v>10</v>
      </c>
      <c r="T66" s="322">
        <v>15</v>
      </c>
      <c r="U66" s="322">
        <v>20</v>
      </c>
      <c r="V66" s="322">
        <v>10</v>
      </c>
      <c r="W66" s="322">
        <v>15</v>
      </c>
      <c r="X66" s="322">
        <v>5</v>
      </c>
      <c r="Y66" s="322" t="s">
        <v>1140</v>
      </c>
    </row>
    <row r="67" spans="3:25" x14ac:dyDescent="0.25">
      <c r="C67" s="62" t="str">
        <f>'G-1 All Habitats'!B65</f>
        <v>Urban - Developed land; sealed surface</v>
      </c>
      <c r="D67" s="322" t="s">
        <v>1140</v>
      </c>
      <c r="E67" s="322" t="s">
        <v>1140</v>
      </c>
      <c r="F67" s="322" t="s">
        <v>1140</v>
      </c>
      <c r="G67" s="322" t="s">
        <v>1140</v>
      </c>
      <c r="H67" s="322" t="s">
        <v>1140</v>
      </c>
      <c r="I67" s="322" t="s">
        <v>1140</v>
      </c>
      <c r="J67" s="322" t="s">
        <v>1140</v>
      </c>
      <c r="K67" s="322" t="s">
        <v>1140</v>
      </c>
      <c r="L67" s="322" t="s">
        <v>1140</v>
      </c>
      <c r="M67" s="322" t="s">
        <v>1140</v>
      </c>
      <c r="N67" s="322" t="s">
        <v>1140</v>
      </c>
      <c r="O67" s="322" t="s">
        <v>1140</v>
      </c>
      <c r="P67" s="322" t="s">
        <v>1140</v>
      </c>
      <c r="Q67" s="322" t="s">
        <v>1140</v>
      </c>
      <c r="R67" s="322" t="s">
        <v>1140</v>
      </c>
      <c r="S67" s="322" t="s">
        <v>1140</v>
      </c>
      <c r="T67" s="322" t="s">
        <v>1140</v>
      </c>
      <c r="U67" s="322" t="s">
        <v>1140</v>
      </c>
      <c r="V67" s="322" t="s">
        <v>1140</v>
      </c>
      <c r="W67" s="322" t="s">
        <v>1140</v>
      </c>
      <c r="X67" s="322" t="s">
        <v>1140</v>
      </c>
      <c r="Y67" s="322" t="s">
        <v>1140</v>
      </c>
    </row>
    <row r="68" spans="3:25" x14ac:dyDescent="0.25">
      <c r="C68" s="62" t="str">
        <f>'G-1 All Habitats'!B66</f>
        <v>Urban - Other green roof</v>
      </c>
      <c r="D68" s="322" t="s">
        <v>1140</v>
      </c>
      <c r="E68" s="322" t="s">
        <v>1140</v>
      </c>
      <c r="F68" s="322" t="s">
        <v>1140</v>
      </c>
      <c r="G68" s="322" t="s">
        <v>1140</v>
      </c>
      <c r="H68" s="322" t="s">
        <v>1140</v>
      </c>
      <c r="I68" s="322" t="s">
        <v>1140</v>
      </c>
      <c r="J68" s="322" t="s">
        <v>1140</v>
      </c>
      <c r="K68" s="322" t="s">
        <v>1140</v>
      </c>
      <c r="L68" s="322" t="s">
        <v>1140</v>
      </c>
      <c r="M68" s="322" t="s">
        <v>1140</v>
      </c>
      <c r="N68" s="322" t="s">
        <v>1140</v>
      </c>
      <c r="O68" s="322" t="s">
        <v>1140</v>
      </c>
      <c r="P68" s="322" t="s">
        <v>1140</v>
      </c>
      <c r="Q68" s="322" t="s">
        <v>1140</v>
      </c>
      <c r="R68" s="322" t="s">
        <v>1140</v>
      </c>
      <c r="S68" s="322" t="s">
        <v>1140</v>
      </c>
      <c r="T68" s="322" t="s">
        <v>1140</v>
      </c>
      <c r="U68" s="322" t="s">
        <v>1140</v>
      </c>
      <c r="V68" s="322" t="s">
        <v>1140</v>
      </c>
      <c r="W68" s="322" t="s">
        <v>1140</v>
      </c>
      <c r="X68" s="322" t="s">
        <v>1140</v>
      </c>
      <c r="Y68" s="322" t="s">
        <v>1140</v>
      </c>
    </row>
    <row r="69" spans="3:25" x14ac:dyDescent="0.25">
      <c r="C69" s="62" t="str">
        <f>'G-1 All Habitats'!B67</f>
        <v>Urban - Facade-bound green wall</v>
      </c>
      <c r="D69" s="322" t="s">
        <v>1140</v>
      </c>
      <c r="E69" s="322" t="s">
        <v>1140</v>
      </c>
      <c r="F69" s="322">
        <v>1</v>
      </c>
      <c r="G69" s="322">
        <v>2</v>
      </c>
      <c r="H69" s="322">
        <v>3</v>
      </c>
      <c r="I69" s="322">
        <v>4</v>
      </c>
      <c r="J69" s="322">
        <v>5</v>
      </c>
      <c r="K69" s="322" t="s">
        <v>1140</v>
      </c>
      <c r="L69" s="322" t="s">
        <v>1140</v>
      </c>
      <c r="M69" s="322" t="s">
        <v>1140</v>
      </c>
      <c r="N69" s="322" t="s">
        <v>1140</v>
      </c>
      <c r="O69" s="322">
        <v>1</v>
      </c>
      <c r="P69" s="322">
        <v>2</v>
      </c>
      <c r="Q69" s="322">
        <v>3</v>
      </c>
      <c r="R69" s="322">
        <v>5</v>
      </c>
      <c r="S69" s="322">
        <v>1</v>
      </c>
      <c r="T69" s="322">
        <v>2</v>
      </c>
      <c r="U69" s="322">
        <v>3</v>
      </c>
      <c r="V69" s="322">
        <v>1</v>
      </c>
      <c r="W69" s="322">
        <v>2</v>
      </c>
      <c r="X69" s="322">
        <v>1</v>
      </c>
      <c r="Y69" s="322" t="s">
        <v>1140</v>
      </c>
    </row>
    <row r="70" spans="3:25" x14ac:dyDescent="0.25">
      <c r="C70" s="62" t="str">
        <f>'G-1 All Habitats'!B68</f>
        <v>Urban - Ground based green wall</v>
      </c>
      <c r="D70" s="322" t="s">
        <v>1140</v>
      </c>
      <c r="E70" s="322" t="s">
        <v>1140</v>
      </c>
      <c r="F70" s="322">
        <v>1</v>
      </c>
      <c r="G70" s="322">
        <v>2</v>
      </c>
      <c r="H70" s="322">
        <v>3</v>
      </c>
      <c r="I70" s="322">
        <v>4</v>
      </c>
      <c r="J70" s="322">
        <v>5</v>
      </c>
      <c r="K70" s="322" t="s">
        <v>1140</v>
      </c>
      <c r="L70" s="322" t="s">
        <v>1140</v>
      </c>
      <c r="M70" s="322" t="s">
        <v>1140</v>
      </c>
      <c r="N70" s="322" t="s">
        <v>1140</v>
      </c>
      <c r="O70" s="322">
        <v>1</v>
      </c>
      <c r="P70" s="322">
        <v>2</v>
      </c>
      <c r="Q70" s="322">
        <v>3</v>
      </c>
      <c r="R70" s="322">
        <v>5</v>
      </c>
      <c r="S70" s="322">
        <v>1</v>
      </c>
      <c r="T70" s="322">
        <v>2</v>
      </c>
      <c r="U70" s="322">
        <v>3</v>
      </c>
      <c r="V70" s="322">
        <v>1</v>
      </c>
      <c r="W70" s="322">
        <v>2</v>
      </c>
      <c r="X70" s="322">
        <v>1</v>
      </c>
      <c r="Y70" s="322" t="s">
        <v>1140</v>
      </c>
    </row>
    <row r="71" spans="3:25" x14ac:dyDescent="0.25">
      <c r="C71" s="62" t="str">
        <f>'G-1 All Habitats'!B69</f>
        <v>Urban - Ground level planters</v>
      </c>
      <c r="D71" s="322" t="s">
        <v>1140</v>
      </c>
      <c r="E71" s="322" t="s">
        <v>1140</v>
      </c>
      <c r="F71" s="322" t="s">
        <v>1140</v>
      </c>
      <c r="G71" s="322" t="s">
        <v>1140</v>
      </c>
      <c r="H71" s="322" t="s">
        <v>1140</v>
      </c>
      <c r="I71" s="322" t="s">
        <v>1140</v>
      </c>
      <c r="J71" s="322" t="s">
        <v>1140</v>
      </c>
      <c r="K71" s="322" t="s">
        <v>1140</v>
      </c>
      <c r="L71" s="322" t="s">
        <v>1140</v>
      </c>
      <c r="M71" s="322" t="s">
        <v>1140</v>
      </c>
      <c r="N71" s="322" t="s">
        <v>1140</v>
      </c>
      <c r="O71" s="322" t="s">
        <v>1140</v>
      </c>
      <c r="P71" s="322" t="s">
        <v>1140</v>
      </c>
      <c r="Q71" s="322" t="s">
        <v>1140</v>
      </c>
      <c r="R71" s="322" t="s">
        <v>1140</v>
      </c>
      <c r="S71" s="322" t="s">
        <v>1140</v>
      </c>
      <c r="T71" s="322" t="s">
        <v>1140</v>
      </c>
      <c r="U71" s="322" t="s">
        <v>1140</v>
      </c>
      <c r="V71" s="322" t="s">
        <v>1140</v>
      </c>
      <c r="W71" s="322" t="s">
        <v>1140</v>
      </c>
      <c r="X71" s="322" t="s">
        <v>1140</v>
      </c>
      <c r="Y71" s="322" t="s">
        <v>1140</v>
      </c>
    </row>
    <row r="72" spans="3:25" x14ac:dyDescent="0.25">
      <c r="C72" s="62" t="str">
        <f>'G-1 All Habitats'!B70</f>
        <v>Urban - Biodiverse green roof</v>
      </c>
      <c r="D72" s="322" t="s">
        <v>1140</v>
      </c>
      <c r="E72" s="322" t="s">
        <v>1140</v>
      </c>
      <c r="F72" s="322">
        <v>1</v>
      </c>
      <c r="G72" s="322">
        <v>3</v>
      </c>
      <c r="H72" s="322">
        <v>5</v>
      </c>
      <c r="I72" s="322">
        <v>8</v>
      </c>
      <c r="J72" s="322">
        <v>10</v>
      </c>
      <c r="K72" s="322" t="s">
        <v>1140</v>
      </c>
      <c r="L72" s="322" t="s">
        <v>1140</v>
      </c>
      <c r="M72" s="322" t="s">
        <v>1140</v>
      </c>
      <c r="N72" s="322" t="s">
        <v>1140</v>
      </c>
      <c r="O72" s="322">
        <v>3</v>
      </c>
      <c r="P72" s="322">
        <v>5</v>
      </c>
      <c r="Q72" s="322">
        <v>8</v>
      </c>
      <c r="R72" s="322">
        <v>10</v>
      </c>
      <c r="S72" s="322">
        <v>3</v>
      </c>
      <c r="T72" s="322">
        <v>8</v>
      </c>
      <c r="U72" s="322">
        <v>8</v>
      </c>
      <c r="V72" s="322">
        <v>3</v>
      </c>
      <c r="W72" s="322">
        <v>5</v>
      </c>
      <c r="X72" s="322">
        <v>2</v>
      </c>
      <c r="Y72" s="322" t="s">
        <v>1140</v>
      </c>
    </row>
    <row r="73" spans="3:25" x14ac:dyDescent="0.25">
      <c r="C73" s="62" t="str">
        <f>'G-1 All Habitats'!B71</f>
        <v>Urban - Introduced shrub</v>
      </c>
      <c r="D73" s="322" t="s">
        <v>1140</v>
      </c>
      <c r="E73" s="322" t="s">
        <v>1140</v>
      </c>
      <c r="F73" s="322" t="s">
        <v>1140</v>
      </c>
      <c r="G73" s="322" t="s">
        <v>1140</v>
      </c>
      <c r="H73" s="322" t="s">
        <v>1140</v>
      </c>
      <c r="I73" s="322" t="s">
        <v>1140</v>
      </c>
      <c r="J73" s="322" t="s">
        <v>1140</v>
      </c>
      <c r="K73" s="322" t="s">
        <v>1140</v>
      </c>
      <c r="L73" s="322" t="s">
        <v>1140</v>
      </c>
      <c r="M73" s="322" t="s">
        <v>1140</v>
      </c>
      <c r="N73" s="322" t="s">
        <v>1140</v>
      </c>
      <c r="O73" s="322" t="s">
        <v>1140</v>
      </c>
      <c r="P73" s="322" t="s">
        <v>1140</v>
      </c>
      <c r="Q73" s="322" t="s">
        <v>1140</v>
      </c>
      <c r="R73" s="322" t="s">
        <v>1140</v>
      </c>
      <c r="S73" s="322" t="s">
        <v>1140</v>
      </c>
      <c r="T73" s="322" t="s">
        <v>1140</v>
      </c>
      <c r="U73" s="322" t="s">
        <v>1140</v>
      </c>
      <c r="V73" s="322" t="s">
        <v>1140</v>
      </c>
      <c r="W73" s="322" t="s">
        <v>1140</v>
      </c>
      <c r="X73" s="322" t="s">
        <v>1140</v>
      </c>
      <c r="Y73" s="322" t="s">
        <v>1140</v>
      </c>
    </row>
    <row r="74" spans="3:25" x14ac:dyDescent="0.25">
      <c r="C74" s="62" t="str">
        <f>'G-1 All Habitats'!B72</f>
        <v>Urban - Open mosaic habitats on previously developed land</v>
      </c>
      <c r="D74" s="322" t="s">
        <v>1140</v>
      </c>
      <c r="E74" s="322" t="s">
        <v>1140</v>
      </c>
      <c r="F74" s="322">
        <v>0</v>
      </c>
      <c r="G74" s="322">
        <v>2</v>
      </c>
      <c r="H74" s="322">
        <v>4</v>
      </c>
      <c r="I74" s="322">
        <v>7</v>
      </c>
      <c r="J74" s="322">
        <v>10</v>
      </c>
      <c r="K74" s="322" t="s">
        <v>1140</v>
      </c>
      <c r="L74" s="322" t="s">
        <v>1140</v>
      </c>
      <c r="M74" s="322" t="s">
        <v>1140</v>
      </c>
      <c r="N74" s="322" t="s">
        <v>1140</v>
      </c>
      <c r="O74" s="322">
        <v>2</v>
      </c>
      <c r="P74" s="322">
        <v>4</v>
      </c>
      <c r="Q74" s="322">
        <v>7</v>
      </c>
      <c r="R74" s="322">
        <v>10</v>
      </c>
      <c r="S74" s="322">
        <v>2</v>
      </c>
      <c r="T74" s="322">
        <v>5</v>
      </c>
      <c r="U74" s="322">
        <v>8</v>
      </c>
      <c r="V74" s="322">
        <v>3</v>
      </c>
      <c r="W74" s="322">
        <v>4</v>
      </c>
      <c r="X74" s="322">
        <v>3</v>
      </c>
      <c r="Y74" s="322" t="s">
        <v>1140</v>
      </c>
    </row>
    <row r="75" spans="3:25" x14ac:dyDescent="0.25">
      <c r="C75" s="62" t="str">
        <f>'G-1 All Habitats'!B73</f>
        <v>Urban - Rain garden</v>
      </c>
      <c r="D75" s="322" t="s">
        <v>1140</v>
      </c>
      <c r="E75" s="322" t="s">
        <v>1140</v>
      </c>
      <c r="F75" s="322">
        <v>1</v>
      </c>
      <c r="G75" s="322">
        <v>1</v>
      </c>
      <c r="H75" s="322">
        <v>1</v>
      </c>
      <c r="I75" s="322">
        <v>1</v>
      </c>
      <c r="J75" s="322">
        <v>1</v>
      </c>
      <c r="K75" s="322" t="s">
        <v>1140</v>
      </c>
      <c r="L75" s="322" t="s">
        <v>1140</v>
      </c>
      <c r="M75" s="322" t="s">
        <v>1140</v>
      </c>
      <c r="N75" s="322" t="s">
        <v>1140</v>
      </c>
      <c r="O75" s="322">
        <v>1</v>
      </c>
      <c r="P75" s="322">
        <v>1</v>
      </c>
      <c r="Q75" s="322">
        <v>1</v>
      </c>
      <c r="R75" s="322">
        <v>1</v>
      </c>
      <c r="S75" s="322">
        <v>1</v>
      </c>
      <c r="T75" s="322">
        <v>1</v>
      </c>
      <c r="U75" s="322">
        <v>1</v>
      </c>
      <c r="V75" s="322">
        <v>1</v>
      </c>
      <c r="W75" s="322">
        <v>1</v>
      </c>
      <c r="X75" s="322">
        <v>1</v>
      </c>
      <c r="Y75" s="322" t="s">
        <v>1140</v>
      </c>
    </row>
    <row r="76" spans="3:25" x14ac:dyDescent="0.25">
      <c r="C76" s="62" t="str">
        <f>'G-1 All Habitats'!B74</f>
        <v>Urban - Actively worked sand pit quarry or open cast mine</v>
      </c>
      <c r="D76" s="322" t="s">
        <v>1140</v>
      </c>
      <c r="E76" s="322" t="s">
        <v>1140</v>
      </c>
      <c r="F76" s="322" t="s">
        <v>1140</v>
      </c>
      <c r="G76" s="322" t="s">
        <v>1140</v>
      </c>
      <c r="H76" s="322" t="s">
        <v>1140</v>
      </c>
      <c r="I76" s="322" t="s">
        <v>1140</v>
      </c>
      <c r="J76" s="322" t="s">
        <v>1140</v>
      </c>
      <c r="K76" s="322" t="s">
        <v>1140</v>
      </c>
      <c r="L76" s="322" t="s">
        <v>1140</v>
      </c>
      <c r="M76" s="322" t="s">
        <v>1140</v>
      </c>
      <c r="N76" s="322" t="s">
        <v>1140</v>
      </c>
      <c r="O76" s="322" t="s">
        <v>1140</v>
      </c>
      <c r="P76" s="322" t="s">
        <v>1140</v>
      </c>
      <c r="Q76" s="322" t="s">
        <v>1140</v>
      </c>
      <c r="R76" s="322" t="s">
        <v>1140</v>
      </c>
      <c r="S76" s="322" t="s">
        <v>1140</v>
      </c>
      <c r="T76" s="322" t="s">
        <v>1140</v>
      </c>
      <c r="U76" s="322" t="s">
        <v>1140</v>
      </c>
      <c r="V76" s="322" t="s">
        <v>1140</v>
      </c>
      <c r="W76" s="322" t="s">
        <v>1140</v>
      </c>
      <c r="X76" s="322" t="s">
        <v>1140</v>
      </c>
      <c r="Y76" s="322" t="s">
        <v>1140</v>
      </c>
    </row>
    <row r="77" spans="3:25" x14ac:dyDescent="0.25">
      <c r="C77" s="62" t="str">
        <f>'G-1 All Habitats'!B80</f>
        <v>Individual trees - Urban tree</v>
      </c>
      <c r="D77" s="322" t="s">
        <v>1140</v>
      </c>
      <c r="E77" s="322" t="s">
        <v>1140</v>
      </c>
      <c r="F77" s="322" t="s">
        <v>1140</v>
      </c>
      <c r="G77" s="322" t="s">
        <v>1140</v>
      </c>
      <c r="H77" s="322" t="s">
        <v>1140</v>
      </c>
      <c r="I77" s="322" t="s">
        <v>1140</v>
      </c>
      <c r="J77" s="322" t="s">
        <v>1140</v>
      </c>
      <c r="K77" s="322" t="s">
        <v>1140</v>
      </c>
      <c r="L77" s="322" t="s">
        <v>1140</v>
      </c>
      <c r="M77" s="322" t="s">
        <v>1140</v>
      </c>
      <c r="N77" s="322" t="s">
        <v>1140</v>
      </c>
      <c r="O77" s="322">
        <v>8</v>
      </c>
      <c r="P77" s="322">
        <v>16</v>
      </c>
      <c r="Q77" s="322">
        <v>24</v>
      </c>
      <c r="R77" s="322" t="s">
        <v>1141</v>
      </c>
      <c r="S77" s="322">
        <v>8</v>
      </c>
      <c r="T77" s="322">
        <v>16</v>
      </c>
      <c r="U77" s="322">
        <v>24</v>
      </c>
      <c r="V77" s="322">
        <v>8</v>
      </c>
      <c r="W77" s="322">
        <v>16</v>
      </c>
      <c r="X77" s="322">
        <v>8</v>
      </c>
      <c r="Y77" s="322" t="s">
        <v>1140</v>
      </c>
    </row>
    <row r="78" spans="3:25" x14ac:dyDescent="0.25">
      <c r="C78" s="62" t="str">
        <f>'G-1 All Habitats'!B75</f>
        <v>Urban - Sustainable drainage system</v>
      </c>
      <c r="D78" s="322" t="s">
        <v>1140</v>
      </c>
      <c r="E78" s="322" t="s">
        <v>1140</v>
      </c>
      <c r="F78" s="322">
        <v>1</v>
      </c>
      <c r="G78" s="322">
        <v>2</v>
      </c>
      <c r="H78" s="322">
        <v>3</v>
      </c>
      <c r="I78" s="322">
        <v>4</v>
      </c>
      <c r="J78" s="322">
        <v>5</v>
      </c>
      <c r="K78" s="322" t="s">
        <v>1140</v>
      </c>
      <c r="L78" s="322" t="s">
        <v>1140</v>
      </c>
      <c r="M78" s="322" t="s">
        <v>1140</v>
      </c>
      <c r="N78" s="322" t="s">
        <v>1140</v>
      </c>
      <c r="O78" s="322">
        <v>1</v>
      </c>
      <c r="P78" s="322">
        <v>2</v>
      </c>
      <c r="Q78" s="322">
        <v>3</v>
      </c>
      <c r="R78" s="322">
        <v>5</v>
      </c>
      <c r="S78" s="322">
        <v>1</v>
      </c>
      <c r="T78" s="322">
        <v>2</v>
      </c>
      <c r="U78" s="322">
        <v>3</v>
      </c>
      <c r="V78" s="322">
        <v>1</v>
      </c>
      <c r="W78" s="322">
        <v>2</v>
      </c>
      <c r="X78" s="322">
        <v>1</v>
      </c>
      <c r="Y78" s="322" t="s">
        <v>1140</v>
      </c>
    </row>
    <row r="79" spans="3:25" x14ac:dyDescent="0.25">
      <c r="C79" s="62" t="str">
        <f>'G-1 All Habitats'!B76</f>
        <v>Urban - Unvegetated garden</v>
      </c>
      <c r="D79" s="322" t="s">
        <v>1140</v>
      </c>
      <c r="E79" s="322" t="s">
        <v>1140</v>
      </c>
      <c r="F79" s="322" t="s">
        <v>1140</v>
      </c>
      <c r="G79" s="322" t="s">
        <v>1140</v>
      </c>
      <c r="H79" s="322" t="s">
        <v>1140</v>
      </c>
      <c r="I79" s="322" t="s">
        <v>1140</v>
      </c>
      <c r="J79" s="322" t="s">
        <v>1140</v>
      </c>
      <c r="K79" s="322" t="s">
        <v>1140</v>
      </c>
      <c r="L79" s="322" t="s">
        <v>1140</v>
      </c>
      <c r="M79" s="322" t="s">
        <v>1140</v>
      </c>
      <c r="N79" s="322" t="s">
        <v>1140</v>
      </c>
      <c r="O79" s="322" t="s">
        <v>1140</v>
      </c>
      <c r="P79" s="322" t="s">
        <v>1140</v>
      </c>
      <c r="Q79" s="322" t="s">
        <v>1140</v>
      </c>
      <c r="R79" s="322" t="s">
        <v>1140</v>
      </c>
      <c r="S79" s="322" t="s">
        <v>1140</v>
      </c>
      <c r="T79" s="322" t="s">
        <v>1140</v>
      </c>
      <c r="U79" s="322" t="s">
        <v>1140</v>
      </c>
      <c r="V79" s="322" t="s">
        <v>1140</v>
      </c>
      <c r="W79" s="322" t="s">
        <v>1140</v>
      </c>
      <c r="X79" s="322" t="s">
        <v>1140</v>
      </c>
      <c r="Y79" s="322" t="s">
        <v>1140</v>
      </c>
    </row>
    <row r="80" spans="3:25" x14ac:dyDescent="0.25">
      <c r="C80" s="62" t="str">
        <f>'G-1 All Habitats'!B77</f>
        <v>Urban - Vacant or derelict land</v>
      </c>
      <c r="D80" s="322" t="s">
        <v>1140</v>
      </c>
      <c r="E80" s="322" t="s">
        <v>1140</v>
      </c>
      <c r="F80" s="322">
        <v>1</v>
      </c>
      <c r="G80" s="322">
        <v>1</v>
      </c>
      <c r="H80" s="322">
        <v>1</v>
      </c>
      <c r="I80" s="322">
        <v>1</v>
      </c>
      <c r="J80" s="322">
        <v>1</v>
      </c>
      <c r="K80" s="322" t="s">
        <v>1140</v>
      </c>
      <c r="L80" s="322" t="s">
        <v>1140</v>
      </c>
      <c r="M80" s="322" t="s">
        <v>1140</v>
      </c>
      <c r="N80" s="322" t="s">
        <v>1140</v>
      </c>
      <c r="O80" s="322">
        <v>1</v>
      </c>
      <c r="P80" s="322">
        <v>1</v>
      </c>
      <c r="Q80" s="322">
        <v>1</v>
      </c>
      <c r="R80" s="322">
        <v>1</v>
      </c>
      <c r="S80" s="322">
        <v>1</v>
      </c>
      <c r="T80" s="322">
        <v>1</v>
      </c>
      <c r="U80" s="322">
        <v>1</v>
      </c>
      <c r="V80" s="322">
        <v>1</v>
      </c>
      <c r="W80" s="322">
        <v>1</v>
      </c>
      <c r="X80" s="322">
        <v>1</v>
      </c>
      <c r="Y80" s="322" t="s">
        <v>1140</v>
      </c>
    </row>
    <row r="81" spans="3:25" x14ac:dyDescent="0.25">
      <c r="C81" s="62" t="s">
        <v>852</v>
      </c>
      <c r="D81" s="322" t="s">
        <v>1140</v>
      </c>
      <c r="E81" s="322" t="s">
        <v>1140</v>
      </c>
      <c r="F81" s="322">
        <v>1</v>
      </c>
      <c r="G81" s="322">
        <v>1</v>
      </c>
      <c r="H81" s="322">
        <v>1</v>
      </c>
      <c r="I81" s="322">
        <v>1</v>
      </c>
      <c r="J81" s="322">
        <v>1</v>
      </c>
      <c r="K81" s="322" t="s">
        <v>1140</v>
      </c>
      <c r="L81" s="322" t="s">
        <v>1140</v>
      </c>
      <c r="M81" s="322" t="s">
        <v>1140</v>
      </c>
      <c r="N81" s="322" t="s">
        <v>1140</v>
      </c>
      <c r="O81" s="322">
        <v>1</v>
      </c>
      <c r="P81" s="322">
        <v>1</v>
      </c>
      <c r="Q81" s="322">
        <v>1</v>
      </c>
      <c r="R81" s="322">
        <v>1</v>
      </c>
      <c r="S81" s="322">
        <v>1</v>
      </c>
      <c r="T81" s="322">
        <v>1</v>
      </c>
      <c r="U81" s="322">
        <v>1</v>
      </c>
      <c r="V81" s="322">
        <v>1</v>
      </c>
      <c r="W81" s="322">
        <v>1</v>
      </c>
      <c r="X81" s="322">
        <v>1</v>
      </c>
      <c r="Y81" s="322" t="s">
        <v>1140</v>
      </c>
    </row>
    <row r="82" spans="3:25" x14ac:dyDescent="0.25">
      <c r="C82" s="62" t="str">
        <f>'G-1 All Habitats'!B79</f>
        <v>Urban - Vegetated garden</v>
      </c>
      <c r="D82" s="322" t="s">
        <v>1140</v>
      </c>
      <c r="E82" s="322" t="s">
        <v>1140</v>
      </c>
      <c r="F82" s="322">
        <v>1</v>
      </c>
      <c r="G82" s="322">
        <v>2</v>
      </c>
      <c r="H82" s="322">
        <v>3</v>
      </c>
      <c r="I82" s="322">
        <v>4</v>
      </c>
      <c r="J82" s="322">
        <v>5</v>
      </c>
      <c r="K82" s="322" t="s">
        <v>1140</v>
      </c>
      <c r="L82" s="322" t="s">
        <v>1140</v>
      </c>
      <c r="M82" s="322" t="s">
        <v>1140</v>
      </c>
      <c r="N82" s="322" t="s">
        <v>1140</v>
      </c>
      <c r="O82" s="322">
        <v>1</v>
      </c>
      <c r="P82" s="322">
        <v>2</v>
      </c>
      <c r="Q82" s="322">
        <v>3</v>
      </c>
      <c r="R82" s="322">
        <v>5</v>
      </c>
      <c r="S82" s="322">
        <v>1</v>
      </c>
      <c r="T82" s="322">
        <v>2</v>
      </c>
      <c r="U82" s="322">
        <v>3</v>
      </c>
      <c r="V82" s="322">
        <v>1</v>
      </c>
      <c r="W82" s="322">
        <v>2</v>
      </c>
      <c r="X82" s="322">
        <v>1</v>
      </c>
      <c r="Y82" s="322" t="s">
        <v>1140</v>
      </c>
    </row>
    <row r="83" spans="3:25" x14ac:dyDescent="0.25">
      <c r="C83" s="62" t="str">
        <f>'G-1 All Habitats'!B82</f>
        <v>Wetland - Blanket bog</v>
      </c>
      <c r="D83" s="322" t="s">
        <v>1140</v>
      </c>
      <c r="E83" s="322" t="s">
        <v>1140</v>
      </c>
      <c r="F83" s="322">
        <v>15</v>
      </c>
      <c r="G83" s="322">
        <v>25</v>
      </c>
      <c r="H83" s="322">
        <v>30</v>
      </c>
      <c r="I83" s="322" t="s">
        <v>1141</v>
      </c>
      <c r="J83" s="322" t="s">
        <v>1141</v>
      </c>
      <c r="K83" s="322" t="s">
        <v>1140</v>
      </c>
      <c r="L83" s="322" t="s">
        <v>1140</v>
      </c>
      <c r="M83" s="322" t="s">
        <v>1140</v>
      </c>
      <c r="N83" s="322" t="s">
        <v>1140</v>
      </c>
      <c r="O83" s="322">
        <v>10</v>
      </c>
      <c r="P83" s="322">
        <v>20</v>
      </c>
      <c r="Q83" s="322" t="s">
        <v>1141</v>
      </c>
      <c r="R83" s="322" t="s">
        <v>1141</v>
      </c>
      <c r="S83" s="322">
        <v>10</v>
      </c>
      <c r="T83" s="322" t="s">
        <v>1141</v>
      </c>
      <c r="U83" s="322" t="s">
        <v>1141</v>
      </c>
      <c r="V83" s="322">
        <v>30</v>
      </c>
      <c r="W83" s="322" t="s">
        <v>1141</v>
      </c>
      <c r="X83" s="322">
        <v>30</v>
      </c>
      <c r="Y83" s="322" t="s">
        <v>1140</v>
      </c>
    </row>
    <row r="84" spans="3:25" x14ac:dyDescent="0.25">
      <c r="C84" s="62" t="str">
        <f>'G-1 All Habitats'!B83</f>
        <v>Wetland - Depressions on peat substrates (H7150)</v>
      </c>
      <c r="D84" s="322" t="s">
        <v>1140</v>
      </c>
      <c r="E84" s="322" t="s">
        <v>1140</v>
      </c>
      <c r="F84" s="322">
        <v>15</v>
      </c>
      <c r="G84" s="322">
        <v>25</v>
      </c>
      <c r="H84" s="322">
        <v>30</v>
      </c>
      <c r="I84" s="322" t="s">
        <v>1141</v>
      </c>
      <c r="J84" s="322" t="s">
        <v>1141</v>
      </c>
      <c r="K84" s="322" t="s">
        <v>1140</v>
      </c>
      <c r="L84" s="322" t="s">
        <v>1140</v>
      </c>
      <c r="M84" s="322" t="s">
        <v>1140</v>
      </c>
      <c r="N84" s="322" t="s">
        <v>1140</v>
      </c>
      <c r="O84" s="322">
        <v>10</v>
      </c>
      <c r="P84" s="322">
        <v>20</v>
      </c>
      <c r="Q84" s="322">
        <v>25</v>
      </c>
      <c r="R84" s="322">
        <v>30</v>
      </c>
      <c r="S84" s="322">
        <v>10</v>
      </c>
      <c r="T84" s="322">
        <v>20</v>
      </c>
      <c r="U84" s="322">
        <v>25</v>
      </c>
      <c r="V84" s="322">
        <v>10</v>
      </c>
      <c r="W84" s="322">
        <v>20</v>
      </c>
      <c r="X84" s="322">
        <v>10</v>
      </c>
      <c r="Y84" s="322" t="s">
        <v>1140</v>
      </c>
    </row>
    <row r="85" spans="3:25" x14ac:dyDescent="0.25">
      <c r="C85" s="62" t="str">
        <f>'G-1 All Habitats'!B84</f>
        <v>Wetland - Fens (upland and lowland)</v>
      </c>
      <c r="D85" s="322" t="s">
        <v>1140</v>
      </c>
      <c r="E85" s="322" t="s">
        <v>1140</v>
      </c>
      <c r="F85" s="322">
        <v>10</v>
      </c>
      <c r="G85" s="322">
        <v>12</v>
      </c>
      <c r="H85" s="322">
        <v>15</v>
      </c>
      <c r="I85" s="322">
        <v>25</v>
      </c>
      <c r="J85" s="322">
        <v>30</v>
      </c>
      <c r="K85" s="322" t="s">
        <v>1140</v>
      </c>
      <c r="L85" s="322" t="s">
        <v>1140</v>
      </c>
      <c r="M85" s="322" t="s">
        <v>1140</v>
      </c>
      <c r="N85" s="322" t="s">
        <v>1140</v>
      </c>
      <c r="O85" s="322">
        <v>10</v>
      </c>
      <c r="P85" s="322">
        <v>12</v>
      </c>
      <c r="Q85" s="322">
        <v>15</v>
      </c>
      <c r="R85" s="322">
        <v>18</v>
      </c>
      <c r="S85" s="322">
        <v>10</v>
      </c>
      <c r="T85" s="322">
        <v>12</v>
      </c>
      <c r="U85" s="322">
        <v>15</v>
      </c>
      <c r="V85" s="322">
        <v>10</v>
      </c>
      <c r="W85" s="322">
        <v>12</v>
      </c>
      <c r="X85" s="322">
        <v>10</v>
      </c>
      <c r="Y85" s="322" t="s">
        <v>1140</v>
      </c>
    </row>
    <row r="86" spans="3:25" x14ac:dyDescent="0.25">
      <c r="C86" s="62" t="str">
        <f>'G-1 All Habitats'!B85</f>
        <v>Wetland - Lowland raised bog</v>
      </c>
      <c r="D86" s="322" t="s">
        <v>1140</v>
      </c>
      <c r="E86" s="322" t="s">
        <v>1140</v>
      </c>
      <c r="F86" s="322">
        <v>15</v>
      </c>
      <c r="G86" s="322">
        <v>20</v>
      </c>
      <c r="H86" s="322">
        <v>30</v>
      </c>
      <c r="I86" s="322" t="s">
        <v>1141</v>
      </c>
      <c r="J86" s="322" t="s">
        <v>1141</v>
      </c>
      <c r="K86" s="322" t="s">
        <v>1140</v>
      </c>
      <c r="L86" s="322" t="s">
        <v>1140</v>
      </c>
      <c r="M86" s="322" t="s">
        <v>1140</v>
      </c>
      <c r="N86" s="322" t="s">
        <v>1140</v>
      </c>
      <c r="O86" s="322">
        <v>10</v>
      </c>
      <c r="P86" s="322">
        <v>20</v>
      </c>
      <c r="Q86" s="322">
        <v>25</v>
      </c>
      <c r="R86" s="322">
        <v>30</v>
      </c>
      <c r="S86" s="322">
        <v>10</v>
      </c>
      <c r="T86" s="322">
        <v>20</v>
      </c>
      <c r="U86" s="322">
        <v>20</v>
      </c>
      <c r="V86" s="322">
        <v>10</v>
      </c>
      <c r="W86" s="322">
        <v>15</v>
      </c>
      <c r="X86" s="322">
        <v>10</v>
      </c>
      <c r="Y86" s="322" t="s">
        <v>1140</v>
      </c>
    </row>
    <row r="87" spans="3:25" x14ac:dyDescent="0.25">
      <c r="C87" s="62" t="str">
        <f>'G-1 All Habitats'!B86</f>
        <v>Wetland - Oceanic valley mire[1] (D2.1)</v>
      </c>
      <c r="D87" s="322" t="s">
        <v>1140</v>
      </c>
      <c r="E87" s="322" t="s">
        <v>1140</v>
      </c>
      <c r="F87" s="322">
        <v>15</v>
      </c>
      <c r="G87" s="322">
        <v>20</v>
      </c>
      <c r="H87" s="322">
        <v>30</v>
      </c>
      <c r="I87" s="322" t="s">
        <v>1141</v>
      </c>
      <c r="J87" s="322" t="s">
        <v>1141</v>
      </c>
      <c r="K87" s="322" t="s">
        <v>1140</v>
      </c>
      <c r="L87" s="322" t="s">
        <v>1140</v>
      </c>
      <c r="M87" s="322" t="s">
        <v>1140</v>
      </c>
      <c r="N87" s="322" t="s">
        <v>1140</v>
      </c>
      <c r="O87" s="322">
        <v>10</v>
      </c>
      <c r="P87" s="322">
        <v>20</v>
      </c>
      <c r="Q87" s="322">
        <v>25</v>
      </c>
      <c r="R87" s="322">
        <v>30</v>
      </c>
      <c r="S87" s="322">
        <v>10</v>
      </c>
      <c r="T87" s="322">
        <v>20</v>
      </c>
      <c r="U87" s="322">
        <v>20</v>
      </c>
      <c r="V87" s="322">
        <v>10</v>
      </c>
      <c r="W87" s="322">
        <v>15</v>
      </c>
      <c r="X87" s="322">
        <v>10</v>
      </c>
      <c r="Y87" s="322" t="s">
        <v>1140</v>
      </c>
    </row>
    <row r="88" spans="3:25" x14ac:dyDescent="0.25">
      <c r="C88" s="62" t="str">
        <f>'G-1 All Habitats'!B87</f>
        <v>Wetland - Purple moor grass and rush pastures</v>
      </c>
      <c r="D88" s="322" t="s">
        <v>1140</v>
      </c>
      <c r="E88" s="322" t="s">
        <v>1140</v>
      </c>
      <c r="F88" s="322">
        <v>10</v>
      </c>
      <c r="G88" s="322">
        <v>12</v>
      </c>
      <c r="H88" s="322">
        <v>15</v>
      </c>
      <c r="I88" s="322">
        <v>17</v>
      </c>
      <c r="J88" s="322">
        <v>20</v>
      </c>
      <c r="K88" s="322" t="s">
        <v>1140</v>
      </c>
      <c r="L88" s="322" t="s">
        <v>1140</v>
      </c>
      <c r="M88" s="322" t="s">
        <v>1140</v>
      </c>
      <c r="N88" s="322" t="s">
        <v>1140</v>
      </c>
      <c r="O88" s="322">
        <v>10</v>
      </c>
      <c r="P88" s="322">
        <v>10</v>
      </c>
      <c r="Q88" s="322">
        <v>15</v>
      </c>
      <c r="R88" s="322">
        <v>20</v>
      </c>
      <c r="S88" s="322">
        <v>10</v>
      </c>
      <c r="T88" s="322">
        <v>15</v>
      </c>
      <c r="U88" s="322">
        <v>20</v>
      </c>
      <c r="V88" s="322">
        <v>10</v>
      </c>
      <c r="W88" s="322">
        <v>15</v>
      </c>
      <c r="X88" s="322">
        <v>10</v>
      </c>
      <c r="Y88" s="322" t="s">
        <v>1140</v>
      </c>
    </row>
    <row r="89" spans="3:25" x14ac:dyDescent="0.25">
      <c r="C89" s="62" t="str">
        <f>'G-1 All Habitats'!B88</f>
        <v>Wetland - Reedbeds</v>
      </c>
      <c r="D89" s="322" t="s">
        <v>1140</v>
      </c>
      <c r="E89" s="322" t="s">
        <v>1140</v>
      </c>
      <c r="F89" s="322">
        <v>5</v>
      </c>
      <c r="G89" s="322">
        <v>7</v>
      </c>
      <c r="H89" s="322">
        <v>10</v>
      </c>
      <c r="I89" s="322">
        <v>12</v>
      </c>
      <c r="J89" s="322">
        <v>15</v>
      </c>
      <c r="K89" s="322" t="s">
        <v>1140</v>
      </c>
      <c r="L89" s="322" t="s">
        <v>1140</v>
      </c>
      <c r="M89" s="322" t="s">
        <v>1140</v>
      </c>
      <c r="N89" s="322" t="s">
        <v>1140</v>
      </c>
      <c r="O89" s="322">
        <v>5</v>
      </c>
      <c r="P89" s="322">
        <v>7</v>
      </c>
      <c r="Q89" s="322">
        <v>10</v>
      </c>
      <c r="R89" s="322">
        <v>12</v>
      </c>
      <c r="S89" s="322">
        <v>5</v>
      </c>
      <c r="T89" s="322">
        <v>7</v>
      </c>
      <c r="U89" s="322">
        <v>10</v>
      </c>
      <c r="V89" s="322">
        <v>5</v>
      </c>
      <c r="W89" s="322">
        <v>7</v>
      </c>
      <c r="X89" s="322">
        <v>5</v>
      </c>
      <c r="Y89" s="322" t="s">
        <v>1140</v>
      </c>
    </row>
    <row r="90" spans="3:25" x14ac:dyDescent="0.25">
      <c r="C90" s="62" t="str">
        <f>'G-1 All Habitats'!B89</f>
        <v>Wetland - Transition mires and quaking bogs (H7140)</v>
      </c>
      <c r="D90" s="322" t="s">
        <v>1140</v>
      </c>
      <c r="E90" s="322" t="s">
        <v>1140</v>
      </c>
      <c r="F90" s="322">
        <v>15</v>
      </c>
      <c r="G90" s="322">
        <v>25</v>
      </c>
      <c r="H90" s="322">
        <v>30</v>
      </c>
      <c r="I90" s="322" t="s">
        <v>1141</v>
      </c>
      <c r="J90" s="322" t="s">
        <v>1141</v>
      </c>
      <c r="K90" s="322" t="s">
        <v>1140</v>
      </c>
      <c r="L90" s="322" t="s">
        <v>1140</v>
      </c>
      <c r="M90" s="322" t="s">
        <v>1140</v>
      </c>
      <c r="N90" s="322" t="s">
        <v>1140</v>
      </c>
      <c r="O90" s="322">
        <v>10</v>
      </c>
      <c r="P90" s="322">
        <v>20</v>
      </c>
      <c r="Q90" s="322">
        <v>25</v>
      </c>
      <c r="R90" s="322">
        <v>30</v>
      </c>
      <c r="S90" s="322">
        <v>10</v>
      </c>
      <c r="T90" s="322">
        <v>20</v>
      </c>
      <c r="U90" s="322">
        <v>20</v>
      </c>
      <c r="V90" s="322">
        <v>10</v>
      </c>
      <c r="W90" s="322">
        <v>15</v>
      </c>
      <c r="X90" s="322">
        <v>10</v>
      </c>
      <c r="Y90" s="322" t="s">
        <v>1140</v>
      </c>
    </row>
    <row r="91" spans="3:25" x14ac:dyDescent="0.25">
      <c r="C91" s="62" t="str">
        <f>'G-1 All Habitats'!B90</f>
        <v>Woodland and forest - Felled</v>
      </c>
      <c r="D91" s="322" t="s">
        <v>1140</v>
      </c>
      <c r="E91" s="322" t="s">
        <v>1140</v>
      </c>
      <c r="F91" s="322" t="s">
        <v>1140</v>
      </c>
      <c r="G91" s="322" t="s">
        <v>1140</v>
      </c>
      <c r="H91" s="322" t="s">
        <v>1140</v>
      </c>
      <c r="I91" s="322" t="s">
        <v>1140</v>
      </c>
      <c r="J91" s="322" t="s">
        <v>1140</v>
      </c>
      <c r="K91" s="322" t="s">
        <v>1140</v>
      </c>
      <c r="L91" s="322" t="s">
        <v>1140</v>
      </c>
      <c r="M91" s="322" t="s">
        <v>1140</v>
      </c>
      <c r="N91" s="322" t="s">
        <v>1140</v>
      </c>
      <c r="O91" s="322" t="s">
        <v>1140</v>
      </c>
      <c r="P91" s="322" t="s">
        <v>1140</v>
      </c>
      <c r="Q91" s="322" t="s">
        <v>1140</v>
      </c>
      <c r="R91" s="322" t="s">
        <v>1140</v>
      </c>
      <c r="S91" s="322" t="s">
        <v>1140</v>
      </c>
      <c r="T91" s="322" t="s">
        <v>1140</v>
      </c>
      <c r="U91" s="322" t="s">
        <v>1140</v>
      </c>
      <c r="V91" s="322" t="s">
        <v>1140</v>
      </c>
      <c r="W91" s="322" t="s">
        <v>1140</v>
      </c>
      <c r="X91" s="322" t="s">
        <v>1140</v>
      </c>
      <c r="Y91" s="322" t="s">
        <v>1140</v>
      </c>
    </row>
    <row r="92" spans="3:25" x14ac:dyDescent="0.25">
      <c r="C92" s="62" t="str">
        <f>'G-1 All Habitats'!B91</f>
        <v>Woodland and forest - Lowland beech and yew woodland</v>
      </c>
      <c r="D92" s="322" t="s">
        <v>1140</v>
      </c>
      <c r="E92" s="322" t="s">
        <v>1140</v>
      </c>
      <c r="F92" s="322">
        <v>10</v>
      </c>
      <c r="G92" s="322">
        <v>25</v>
      </c>
      <c r="H92" s="322" t="s">
        <v>1141</v>
      </c>
      <c r="I92" s="322" t="s">
        <v>1141</v>
      </c>
      <c r="J92" s="322" t="s">
        <v>1141</v>
      </c>
      <c r="K92" s="322" t="s">
        <v>1140</v>
      </c>
      <c r="L92" s="322" t="s">
        <v>1140</v>
      </c>
      <c r="M92" s="322" t="s">
        <v>1140</v>
      </c>
      <c r="N92" s="322" t="s">
        <v>1140</v>
      </c>
      <c r="O92" s="322">
        <v>25</v>
      </c>
      <c r="P92" s="322" t="s">
        <v>1141</v>
      </c>
      <c r="Q92" s="322" t="s">
        <v>1141</v>
      </c>
      <c r="R92" s="322" t="s">
        <v>1141</v>
      </c>
      <c r="S92" s="322" t="s">
        <v>1141</v>
      </c>
      <c r="T92" s="322" t="s">
        <v>1141</v>
      </c>
      <c r="U92" s="322" t="s">
        <v>1141</v>
      </c>
      <c r="V92" s="322" t="s">
        <v>1141</v>
      </c>
      <c r="W92" s="322" t="s">
        <v>1141</v>
      </c>
      <c r="X92" s="322" t="s">
        <v>1141</v>
      </c>
      <c r="Y92" s="322" t="s">
        <v>1140</v>
      </c>
    </row>
    <row r="93" spans="3:25" x14ac:dyDescent="0.25">
      <c r="C93" s="62" t="str">
        <f>'G-1 All Habitats'!B92</f>
        <v>Woodland and forest - Lowland mixed deciduous woodland</v>
      </c>
      <c r="D93" s="322" t="s">
        <v>1140</v>
      </c>
      <c r="E93" s="322" t="s">
        <v>1140</v>
      </c>
      <c r="F93" s="322">
        <v>10</v>
      </c>
      <c r="G93" s="322">
        <v>25</v>
      </c>
      <c r="H93" s="322" t="s">
        <v>1141</v>
      </c>
      <c r="I93" s="322" t="s">
        <v>1141</v>
      </c>
      <c r="J93" s="322" t="s">
        <v>1141</v>
      </c>
      <c r="K93" s="322" t="s">
        <v>1140</v>
      </c>
      <c r="L93" s="322" t="s">
        <v>1140</v>
      </c>
      <c r="M93" s="322" t="s">
        <v>1140</v>
      </c>
      <c r="N93" s="322" t="s">
        <v>1140</v>
      </c>
      <c r="O93" s="322">
        <v>10</v>
      </c>
      <c r="P93" s="322">
        <v>20</v>
      </c>
      <c r="Q93" s="322">
        <v>25</v>
      </c>
      <c r="R93" s="322" t="s">
        <v>1141</v>
      </c>
      <c r="S93" s="322">
        <v>10</v>
      </c>
      <c r="T93" s="322">
        <v>20</v>
      </c>
      <c r="U93" s="322">
        <v>25</v>
      </c>
      <c r="V93" s="322">
        <v>10</v>
      </c>
      <c r="W93" s="322">
        <v>20</v>
      </c>
      <c r="X93" s="322">
        <v>10</v>
      </c>
      <c r="Y93" s="322" t="s">
        <v>1140</v>
      </c>
    </row>
    <row r="94" spans="3:25" x14ac:dyDescent="0.25">
      <c r="C94" s="62" t="str">
        <f>'G-1 All Habitats'!B93</f>
        <v>Woodland and forest - Native pine woodlands</v>
      </c>
      <c r="D94" s="322" t="s">
        <v>1140</v>
      </c>
      <c r="E94" s="322" t="s">
        <v>1140</v>
      </c>
      <c r="F94" s="322">
        <v>25</v>
      </c>
      <c r="G94" s="322">
        <v>30</v>
      </c>
      <c r="H94" s="322" t="s">
        <v>1141</v>
      </c>
      <c r="I94" s="322" t="s">
        <v>1141</v>
      </c>
      <c r="J94" s="322" t="s">
        <v>1141</v>
      </c>
      <c r="K94" s="322" t="s">
        <v>1140</v>
      </c>
      <c r="L94" s="322" t="s">
        <v>1140</v>
      </c>
      <c r="M94" s="322" t="s">
        <v>1140</v>
      </c>
      <c r="N94" s="322" t="s">
        <v>1140</v>
      </c>
      <c r="O94" s="322">
        <v>10</v>
      </c>
      <c r="P94" s="322">
        <v>15</v>
      </c>
      <c r="Q94" s="322">
        <v>20</v>
      </c>
      <c r="R94" s="322" t="s">
        <v>1141</v>
      </c>
      <c r="S94" s="322">
        <v>15</v>
      </c>
      <c r="T94" s="322">
        <v>20</v>
      </c>
      <c r="U94" s="322">
        <v>25</v>
      </c>
      <c r="V94" s="322">
        <v>10</v>
      </c>
      <c r="W94" s="322">
        <v>15</v>
      </c>
      <c r="X94" s="322">
        <v>10</v>
      </c>
      <c r="Y94" s="322" t="s">
        <v>1140</v>
      </c>
    </row>
    <row r="95" spans="3:25" x14ac:dyDescent="0.25">
      <c r="C95" s="62" t="str">
        <f>'G-1 All Habitats'!B94</f>
        <v>Woodland and forest - Other coniferous woodland</v>
      </c>
      <c r="D95" s="322" t="s">
        <v>1140</v>
      </c>
      <c r="E95" s="322" t="s">
        <v>1140</v>
      </c>
      <c r="F95" s="322" t="s">
        <v>1140</v>
      </c>
      <c r="G95" s="322" t="s">
        <v>1140</v>
      </c>
      <c r="H95" s="322" t="s">
        <v>1140</v>
      </c>
      <c r="I95" s="322" t="s">
        <v>1140</v>
      </c>
      <c r="J95" s="322" t="s">
        <v>1140</v>
      </c>
      <c r="K95" s="322" t="s">
        <v>1140</v>
      </c>
      <c r="L95" s="322" t="s">
        <v>1140</v>
      </c>
      <c r="M95" s="322" t="s">
        <v>1140</v>
      </c>
      <c r="N95" s="322" t="s">
        <v>1140</v>
      </c>
      <c r="O95" s="322">
        <v>5</v>
      </c>
      <c r="P95" s="322">
        <v>25</v>
      </c>
      <c r="Q95" s="322" t="s">
        <v>1141</v>
      </c>
      <c r="R95" s="322" t="s">
        <v>1141</v>
      </c>
      <c r="S95" s="322">
        <v>20</v>
      </c>
      <c r="T95" s="322" t="s">
        <v>1141</v>
      </c>
      <c r="U95" s="322" t="s">
        <v>1141</v>
      </c>
      <c r="V95" s="322" t="s">
        <v>1141</v>
      </c>
      <c r="W95" s="322" t="s">
        <v>1141</v>
      </c>
      <c r="X95" s="322" t="s">
        <v>1141</v>
      </c>
      <c r="Y95" s="322" t="s">
        <v>1140</v>
      </c>
    </row>
    <row r="96" spans="3:25" x14ac:dyDescent="0.25">
      <c r="C96" s="62" t="str">
        <f>'G-1 All Habitats'!B95</f>
        <v>Woodland and forest - Other Scot's pine woodland</v>
      </c>
      <c r="D96" s="322" t="s">
        <v>1140</v>
      </c>
      <c r="E96" s="322" t="s">
        <v>1140</v>
      </c>
      <c r="F96" s="322">
        <v>20</v>
      </c>
      <c r="G96" s="322">
        <v>25</v>
      </c>
      <c r="H96" s="322" t="s">
        <v>1141</v>
      </c>
      <c r="I96" s="322" t="s">
        <v>1141</v>
      </c>
      <c r="J96" s="322" t="s">
        <v>1141</v>
      </c>
      <c r="K96" s="322" t="s">
        <v>1140</v>
      </c>
      <c r="L96" s="322" t="s">
        <v>1140</v>
      </c>
      <c r="M96" s="322" t="s">
        <v>1140</v>
      </c>
      <c r="N96" s="322" t="s">
        <v>1140</v>
      </c>
      <c r="O96" s="322">
        <v>10</v>
      </c>
      <c r="P96" s="322">
        <v>15</v>
      </c>
      <c r="Q96" s="322">
        <v>20</v>
      </c>
      <c r="R96" s="322" t="s">
        <v>1141</v>
      </c>
      <c r="S96" s="322">
        <v>15</v>
      </c>
      <c r="T96" s="322">
        <v>20</v>
      </c>
      <c r="U96" s="322">
        <v>25</v>
      </c>
      <c r="V96" s="322">
        <v>10</v>
      </c>
      <c r="W96" s="322">
        <v>15</v>
      </c>
      <c r="X96" s="322">
        <v>10</v>
      </c>
      <c r="Y96" s="322" t="s">
        <v>1140</v>
      </c>
    </row>
    <row r="97" spans="3:25" x14ac:dyDescent="0.25">
      <c r="C97" s="62" t="str">
        <f>'G-1 All Habitats'!B96</f>
        <v>Woodland and forest - Other woodland; broadleaved</v>
      </c>
      <c r="D97" s="322" t="s">
        <v>1140</v>
      </c>
      <c r="E97" s="322" t="s">
        <v>1140</v>
      </c>
      <c r="F97" s="322">
        <v>5</v>
      </c>
      <c r="G97" s="322">
        <v>10</v>
      </c>
      <c r="H97" s="322">
        <v>15</v>
      </c>
      <c r="I97" s="322">
        <v>20</v>
      </c>
      <c r="J97" s="322">
        <v>25</v>
      </c>
      <c r="K97" s="322" t="s">
        <v>1140</v>
      </c>
      <c r="L97" s="322" t="s">
        <v>1140</v>
      </c>
      <c r="M97" s="322" t="s">
        <v>1140</v>
      </c>
      <c r="N97" s="322" t="s">
        <v>1140</v>
      </c>
      <c r="O97" s="322">
        <v>5</v>
      </c>
      <c r="P97" s="322">
        <v>10</v>
      </c>
      <c r="Q97" s="322">
        <v>15</v>
      </c>
      <c r="R97" s="322">
        <v>20</v>
      </c>
      <c r="S97" s="322">
        <v>5</v>
      </c>
      <c r="T97" s="322">
        <v>10</v>
      </c>
      <c r="U97" s="322">
        <v>15</v>
      </c>
      <c r="V97" s="322">
        <v>5</v>
      </c>
      <c r="W97" s="322">
        <v>10</v>
      </c>
      <c r="X97" s="322">
        <v>5</v>
      </c>
      <c r="Y97" s="322" t="s">
        <v>1140</v>
      </c>
    </row>
    <row r="98" spans="3:25" x14ac:dyDescent="0.25">
      <c r="C98" s="62" t="str">
        <f>'G-1 All Habitats'!B97</f>
        <v>Woodland and forest - Other woodland; mixed</v>
      </c>
      <c r="D98" s="322" t="s">
        <v>1140</v>
      </c>
      <c r="E98" s="322" t="s">
        <v>1140</v>
      </c>
      <c r="F98" s="322">
        <v>5</v>
      </c>
      <c r="G98" s="322">
        <v>10</v>
      </c>
      <c r="H98" s="322">
        <v>15</v>
      </c>
      <c r="I98" s="322">
        <v>20</v>
      </c>
      <c r="J98" s="322">
        <v>25</v>
      </c>
      <c r="K98" s="322" t="s">
        <v>1140</v>
      </c>
      <c r="L98" s="322" t="s">
        <v>1140</v>
      </c>
      <c r="M98" s="322" t="s">
        <v>1140</v>
      </c>
      <c r="N98" s="322" t="s">
        <v>1140</v>
      </c>
      <c r="O98" s="322">
        <v>5</v>
      </c>
      <c r="P98" s="322">
        <v>10</v>
      </c>
      <c r="Q98" s="322">
        <v>15</v>
      </c>
      <c r="R98" s="322">
        <v>20</v>
      </c>
      <c r="S98" s="322">
        <v>5</v>
      </c>
      <c r="T98" s="322">
        <v>10</v>
      </c>
      <c r="U98" s="322">
        <v>15</v>
      </c>
      <c r="V98" s="322">
        <v>5</v>
      </c>
      <c r="W98" s="322">
        <v>10</v>
      </c>
      <c r="X98" s="322">
        <v>5</v>
      </c>
      <c r="Y98" s="322" t="s">
        <v>1140</v>
      </c>
    </row>
    <row r="99" spans="3:25" x14ac:dyDescent="0.25">
      <c r="C99" s="62" t="str">
        <f>'G-1 All Habitats'!B98</f>
        <v>Woodland and forest - Upland birchwoods</v>
      </c>
      <c r="D99" s="322" t="s">
        <v>1140</v>
      </c>
      <c r="E99" s="322" t="s">
        <v>1140</v>
      </c>
      <c r="F99" s="322">
        <v>10</v>
      </c>
      <c r="G99" s="322">
        <v>20</v>
      </c>
      <c r="H99" s="322">
        <v>25</v>
      </c>
      <c r="I99" s="322">
        <v>30</v>
      </c>
      <c r="J99" s="322" t="s">
        <v>1141</v>
      </c>
      <c r="K99" s="322" t="s">
        <v>1140</v>
      </c>
      <c r="L99" s="322" t="s">
        <v>1140</v>
      </c>
      <c r="M99" s="322" t="s">
        <v>1140</v>
      </c>
      <c r="N99" s="322" t="s">
        <v>1140</v>
      </c>
      <c r="O99" s="322">
        <v>10</v>
      </c>
      <c r="P99" s="322">
        <v>15</v>
      </c>
      <c r="Q99" s="322">
        <v>20</v>
      </c>
      <c r="R99" s="322" t="s">
        <v>1141</v>
      </c>
      <c r="S99" s="322">
        <v>15</v>
      </c>
      <c r="T99" s="322">
        <v>20</v>
      </c>
      <c r="U99" s="322">
        <v>25</v>
      </c>
      <c r="V99" s="322">
        <v>10</v>
      </c>
      <c r="W99" s="322">
        <v>15</v>
      </c>
      <c r="X99" s="322">
        <v>10</v>
      </c>
      <c r="Y99" s="322" t="s">
        <v>1140</v>
      </c>
    </row>
    <row r="100" spans="3:25" x14ac:dyDescent="0.25">
      <c r="C100" s="62" t="str">
        <f>'G-1 All Habitats'!B99</f>
        <v>Woodland and forest - Upland mixed ashwoods</v>
      </c>
      <c r="D100" s="322" t="s">
        <v>1140</v>
      </c>
      <c r="E100" s="322" t="s">
        <v>1140</v>
      </c>
      <c r="F100" s="322">
        <v>10</v>
      </c>
      <c r="G100" s="322">
        <v>25</v>
      </c>
      <c r="H100" s="322" t="s">
        <v>1141</v>
      </c>
      <c r="I100" s="322" t="s">
        <v>1141</v>
      </c>
      <c r="J100" s="322" t="s">
        <v>1141</v>
      </c>
      <c r="K100" s="322" t="s">
        <v>1140</v>
      </c>
      <c r="L100" s="322" t="s">
        <v>1140</v>
      </c>
      <c r="M100" s="322" t="s">
        <v>1140</v>
      </c>
      <c r="N100" s="322" t="s">
        <v>1140</v>
      </c>
      <c r="O100" s="322">
        <v>10</v>
      </c>
      <c r="P100" s="322">
        <v>15</v>
      </c>
      <c r="Q100" s="322">
        <v>20</v>
      </c>
      <c r="R100" s="322" t="s">
        <v>1141</v>
      </c>
      <c r="S100" s="322">
        <v>15</v>
      </c>
      <c r="T100" s="322">
        <v>20</v>
      </c>
      <c r="U100" s="322">
        <v>25</v>
      </c>
      <c r="V100" s="322">
        <v>10</v>
      </c>
      <c r="W100" s="322">
        <v>15</v>
      </c>
      <c r="X100" s="322">
        <v>10</v>
      </c>
      <c r="Y100" s="322" t="s">
        <v>1140</v>
      </c>
    </row>
    <row r="101" spans="3:25" x14ac:dyDescent="0.25">
      <c r="C101" s="62" t="str">
        <f>'G-1 All Habitats'!B100</f>
        <v>Woodland and forest - Upland oakwood</v>
      </c>
      <c r="D101" s="322" t="s">
        <v>1140</v>
      </c>
      <c r="E101" s="322" t="s">
        <v>1140</v>
      </c>
      <c r="F101" s="322">
        <v>10</v>
      </c>
      <c r="G101" s="322">
        <v>25</v>
      </c>
      <c r="H101" s="322" t="s">
        <v>1141</v>
      </c>
      <c r="I101" s="322" t="s">
        <v>1141</v>
      </c>
      <c r="J101" s="322" t="s">
        <v>1141</v>
      </c>
      <c r="K101" s="322" t="s">
        <v>1140</v>
      </c>
      <c r="L101" s="322" t="s">
        <v>1140</v>
      </c>
      <c r="M101" s="322" t="s">
        <v>1140</v>
      </c>
      <c r="N101" s="322" t="s">
        <v>1140</v>
      </c>
      <c r="O101" s="322">
        <v>25</v>
      </c>
      <c r="P101" s="322" t="s">
        <v>1141</v>
      </c>
      <c r="Q101" s="322" t="s">
        <v>1141</v>
      </c>
      <c r="R101" s="322" t="s">
        <v>1141</v>
      </c>
      <c r="S101" s="322" t="s">
        <v>1141</v>
      </c>
      <c r="T101" s="322" t="s">
        <v>1141</v>
      </c>
      <c r="U101" s="322" t="s">
        <v>1141</v>
      </c>
      <c r="V101" s="322" t="s">
        <v>1141</v>
      </c>
      <c r="W101" s="322" t="s">
        <v>1141</v>
      </c>
      <c r="X101" s="322" t="s">
        <v>1141</v>
      </c>
      <c r="Y101" s="322" t="s">
        <v>1140</v>
      </c>
    </row>
    <row r="102" spans="3:25" x14ac:dyDescent="0.25">
      <c r="C102" s="62" t="str">
        <f>'G-1 All Habitats'!B101</f>
        <v>Woodland and forest - Wet woodland</v>
      </c>
      <c r="D102" s="322" t="s">
        <v>1140</v>
      </c>
      <c r="E102" s="322" t="s">
        <v>1140</v>
      </c>
      <c r="F102" s="322">
        <v>10</v>
      </c>
      <c r="G102" s="322">
        <v>20</v>
      </c>
      <c r="H102" s="322">
        <v>25</v>
      </c>
      <c r="I102" s="322">
        <v>30</v>
      </c>
      <c r="J102" s="322" t="s">
        <v>1141</v>
      </c>
      <c r="K102" s="322" t="s">
        <v>1140</v>
      </c>
      <c r="L102" s="322" t="s">
        <v>1140</v>
      </c>
      <c r="M102" s="322" t="s">
        <v>1140</v>
      </c>
      <c r="N102" s="322" t="s">
        <v>1140</v>
      </c>
      <c r="O102" s="322">
        <v>5</v>
      </c>
      <c r="P102" s="322">
        <v>10</v>
      </c>
      <c r="Q102" s="322">
        <v>25</v>
      </c>
      <c r="R102" s="322" t="s">
        <v>1141</v>
      </c>
      <c r="S102" s="322">
        <v>5</v>
      </c>
      <c r="T102" s="322">
        <v>20</v>
      </c>
      <c r="U102" s="322" t="s">
        <v>1141</v>
      </c>
      <c r="V102" s="322">
        <v>15</v>
      </c>
      <c r="W102" s="322" t="s">
        <v>1141</v>
      </c>
      <c r="X102" s="322">
        <v>30</v>
      </c>
      <c r="Y102" s="322" t="s">
        <v>1140</v>
      </c>
    </row>
    <row r="103" spans="3:25" x14ac:dyDescent="0.25">
      <c r="C103" s="62" t="str">
        <f>'G-1 All Habitats'!B102</f>
        <v>Woodland and forest - Wood-pasture and parkland</v>
      </c>
      <c r="D103" s="322" t="s">
        <v>1140</v>
      </c>
      <c r="E103" s="322" t="s">
        <v>1140</v>
      </c>
      <c r="F103" s="322">
        <v>10</v>
      </c>
      <c r="G103" s="322">
        <v>25</v>
      </c>
      <c r="H103" s="322" t="s">
        <v>1141</v>
      </c>
      <c r="I103" s="322" t="s">
        <v>1141</v>
      </c>
      <c r="J103" s="322" t="s">
        <v>1141</v>
      </c>
      <c r="K103" s="322" t="s">
        <v>1140</v>
      </c>
      <c r="L103" s="322" t="s">
        <v>1140</v>
      </c>
      <c r="M103" s="322" t="s">
        <v>1140</v>
      </c>
      <c r="N103" s="322" t="s">
        <v>1140</v>
      </c>
      <c r="O103" s="322">
        <v>25</v>
      </c>
      <c r="P103" s="322" t="s">
        <v>1141</v>
      </c>
      <c r="Q103" s="322" t="s">
        <v>1141</v>
      </c>
      <c r="R103" s="322" t="s">
        <v>1141</v>
      </c>
      <c r="S103" s="322" t="s">
        <v>1141</v>
      </c>
      <c r="T103" s="322" t="s">
        <v>1141</v>
      </c>
      <c r="U103" s="322" t="s">
        <v>1141</v>
      </c>
      <c r="V103" s="322" t="s">
        <v>1141</v>
      </c>
      <c r="W103" s="322" t="s">
        <v>1141</v>
      </c>
      <c r="X103" s="322" t="s">
        <v>1141</v>
      </c>
      <c r="Y103" s="322" t="s">
        <v>1140</v>
      </c>
    </row>
    <row r="104" spans="3:25" x14ac:dyDescent="0.25">
      <c r="C104" s="62" t="str">
        <f>'G-1 All Habitats'!B104</f>
        <v>Coastal lagoons - Coastal lagoons</v>
      </c>
      <c r="D104" s="322" t="s">
        <v>1140</v>
      </c>
      <c r="E104" s="322" t="s">
        <v>1140</v>
      </c>
      <c r="F104" s="322" t="s">
        <v>1140</v>
      </c>
      <c r="G104" s="322" t="s">
        <v>1140</v>
      </c>
      <c r="H104" s="322" t="s">
        <v>1140</v>
      </c>
      <c r="I104" s="322" t="s">
        <v>1140</v>
      </c>
      <c r="J104" s="322" t="s">
        <v>1140</v>
      </c>
      <c r="K104" s="322" t="s">
        <v>1140</v>
      </c>
      <c r="L104" s="322" t="s">
        <v>1140</v>
      </c>
      <c r="M104" s="322" t="s">
        <v>1140</v>
      </c>
      <c r="N104" s="322" t="s">
        <v>1140</v>
      </c>
      <c r="O104" s="322">
        <v>1</v>
      </c>
      <c r="P104" s="322">
        <v>4</v>
      </c>
      <c r="Q104" s="322">
        <v>8</v>
      </c>
      <c r="R104" s="322">
        <v>12</v>
      </c>
      <c r="S104" s="322">
        <v>3</v>
      </c>
      <c r="T104" s="322">
        <v>7</v>
      </c>
      <c r="U104" s="322">
        <v>11</v>
      </c>
      <c r="V104" s="322">
        <v>4</v>
      </c>
      <c r="W104" s="322">
        <v>8</v>
      </c>
      <c r="X104" s="322">
        <v>4</v>
      </c>
      <c r="Y104" s="322" t="s">
        <v>1140</v>
      </c>
    </row>
    <row r="105" spans="3:25" x14ac:dyDescent="0.25">
      <c r="C105" s="62" t="str">
        <f>'G-1 All Habitats'!B105</f>
        <v>Rocky shore - High energy littoral rock</v>
      </c>
      <c r="D105" s="322" t="s">
        <v>1140</v>
      </c>
      <c r="E105" s="322" t="s">
        <v>1140</v>
      </c>
      <c r="F105" s="322" t="s">
        <v>1140</v>
      </c>
      <c r="G105" s="322" t="s">
        <v>1140</v>
      </c>
      <c r="H105" s="322" t="s">
        <v>1140</v>
      </c>
      <c r="I105" s="322" t="s">
        <v>1140</v>
      </c>
      <c r="J105" s="322" t="s">
        <v>1140</v>
      </c>
      <c r="K105" s="322" t="s">
        <v>1140</v>
      </c>
      <c r="L105" s="322" t="s">
        <v>1140</v>
      </c>
      <c r="M105" s="322" t="s">
        <v>1140</v>
      </c>
      <c r="N105" s="322" t="s">
        <v>1140</v>
      </c>
      <c r="O105" s="322">
        <v>2</v>
      </c>
      <c r="P105" s="322">
        <v>4</v>
      </c>
      <c r="Q105" s="322">
        <v>6</v>
      </c>
      <c r="R105" s="322">
        <v>10</v>
      </c>
      <c r="S105" s="322">
        <v>2</v>
      </c>
      <c r="T105" s="322">
        <v>4</v>
      </c>
      <c r="U105" s="322">
        <v>8</v>
      </c>
      <c r="V105" s="322">
        <v>2</v>
      </c>
      <c r="W105" s="322">
        <v>6</v>
      </c>
      <c r="X105" s="322">
        <v>4</v>
      </c>
      <c r="Y105" s="322" t="s">
        <v>1140</v>
      </c>
    </row>
    <row r="106" spans="3:25" x14ac:dyDescent="0.25">
      <c r="C106" s="62" t="str">
        <f>'G-1 All Habitats'!B106</f>
        <v>Rocky shore - High energy littoral rock - on peat, clay or chalk</v>
      </c>
      <c r="D106" s="322" t="s">
        <v>1140</v>
      </c>
      <c r="E106" s="322" t="s">
        <v>1140</v>
      </c>
      <c r="F106" s="322" t="s">
        <v>1140</v>
      </c>
      <c r="G106" s="322" t="s">
        <v>1140</v>
      </c>
      <c r="H106" s="322" t="s">
        <v>1140</v>
      </c>
      <c r="I106" s="322" t="s">
        <v>1140</v>
      </c>
      <c r="J106" s="322" t="s">
        <v>1140</v>
      </c>
      <c r="K106" s="322" t="s">
        <v>1140</v>
      </c>
      <c r="L106" s="322" t="s">
        <v>1140</v>
      </c>
      <c r="M106" s="322" t="s">
        <v>1140</v>
      </c>
      <c r="N106" s="322" t="s">
        <v>1140</v>
      </c>
      <c r="O106" s="322">
        <v>2</v>
      </c>
      <c r="P106" s="322">
        <v>4</v>
      </c>
      <c r="Q106" s="322">
        <v>6</v>
      </c>
      <c r="R106" s="322">
        <v>10</v>
      </c>
      <c r="S106" s="322">
        <v>2</v>
      </c>
      <c r="T106" s="322">
        <v>4</v>
      </c>
      <c r="U106" s="322">
        <v>8</v>
      </c>
      <c r="V106" s="322">
        <v>2</v>
      </c>
      <c r="W106" s="322">
        <v>6</v>
      </c>
      <c r="X106" s="322">
        <v>4</v>
      </c>
      <c r="Y106" s="322" t="s">
        <v>1140</v>
      </c>
    </row>
    <row r="107" spans="3:25" x14ac:dyDescent="0.25">
      <c r="C107" s="62" t="str">
        <f>'G-1 All Habitats'!B107</f>
        <v>Rocky shore - Moderate energy littoral rock</v>
      </c>
      <c r="D107" s="322" t="s">
        <v>1140</v>
      </c>
      <c r="E107" s="322" t="s">
        <v>1140</v>
      </c>
      <c r="F107" s="322" t="s">
        <v>1140</v>
      </c>
      <c r="G107" s="322" t="s">
        <v>1140</v>
      </c>
      <c r="H107" s="322" t="s">
        <v>1140</v>
      </c>
      <c r="I107" s="322" t="s">
        <v>1140</v>
      </c>
      <c r="J107" s="322" t="s">
        <v>1140</v>
      </c>
      <c r="K107" s="322" t="s">
        <v>1140</v>
      </c>
      <c r="L107" s="322" t="s">
        <v>1140</v>
      </c>
      <c r="M107" s="322" t="s">
        <v>1140</v>
      </c>
      <c r="N107" s="322" t="s">
        <v>1140</v>
      </c>
      <c r="O107" s="322">
        <v>2</v>
      </c>
      <c r="P107" s="322">
        <v>4</v>
      </c>
      <c r="Q107" s="322">
        <v>6</v>
      </c>
      <c r="R107" s="322">
        <v>11</v>
      </c>
      <c r="S107" s="322">
        <v>2</v>
      </c>
      <c r="T107" s="322">
        <v>4</v>
      </c>
      <c r="U107" s="322">
        <v>9</v>
      </c>
      <c r="V107" s="322">
        <v>2</v>
      </c>
      <c r="W107" s="322">
        <v>7</v>
      </c>
      <c r="X107" s="322">
        <v>5</v>
      </c>
      <c r="Y107" s="322" t="s">
        <v>1140</v>
      </c>
    </row>
    <row r="108" spans="3:25" x14ac:dyDescent="0.25">
      <c r="C108" s="62" t="str">
        <f>'G-1 All Habitats'!B108</f>
        <v>Rocky shore - Moderate energy littoral rock - on peat, clay or chalk</v>
      </c>
      <c r="D108" s="322" t="s">
        <v>1140</v>
      </c>
      <c r="E108" s="322" t="s">
        <v>1140</v>
      </c>
      <c r="F108" s="322" t="s">
        <v>1140</v>
      </c>
      <c r="G108" s="322" t="s">
        <v>1140</v>
      </c>
      <c r="H108" s="322" t="s">
        <v>1140</v>
      </c>
      <c r="I108" s="322" t="s">
        <v>1140</v>
      </c>
      <c r="J108" s="322" t="s">
        <v>1140</v>
      </c>
      <c r="K108" s="322" t="s">
        <v>1140</v>
      </c>
      <c r="L108" s="322" t="s">
        <v>1140</v>
      </c>
      <c r="M108" s="322" t="s">
        <v>1140</v>
      </c>
      <c r="N108" s="322" t="s">
        <v>1140</v>
      </c>
      <c r="O108" s="322">
        <v>2</v>
      </c>
      <c r="P108" s="322">
        <v>4</v>
      </c>
      <c r="Q108" s="322">
        <v>6</v>
      </c>
      <c r="R108" s="322">
        <v>11</v>
      </c>
      <c r="S108" s="322">
        <v>2</v>
      </c>
      <c r="T108" s="322">
        <v>4</v>
      </c>
      <c r="U108" s="322">
        <v>9</v>
      </c>
      <c r="V108" s="322">
        <v>2</v>
      </c>
      <c r="W108" s="322">
        <v>7</v>
      </c>
      <c r="X108" s="322">
        <v>5</v>
      </c>
      <c r="Y108" s="322" t="s">
        <v>1140</v>
      </c>
    </row>
    <row r="109" spans="3:25" x14ac:dyDescent="0.25">
      <c r="C109" s="62" t="str">
        <f>'G-1 All Habitats'!B109</f>
        <v>Rocky shore - Low energy littoral rock</v>
      </c>
      <c r="D109" s="322" t="s">
        <v>1140</v>
      </c>
      <c r="E109" s="322" t="s">
        <v>1140</v>
      </c>
      <c r="F109" s="322" t="s">
        <v>1140</v>
      </c>
      <c r="G109" s="322" t="s">
        <v>1140</v>
      </c>
      <c r="H109" s="322" t="s">
        <v>1140</v>
      </c>
      <c r="I109" s="322" t="s">
        <v>1140</v>
      </c>
      <c r="J109" s="322" t="s">
        <v>1140</v>
      </c>
      <c r="K109" s="322" t="s">
        <v>1140</v>
      </c>
      <c r="L109" s="322" t="s">
        <v>1140</v>
      </c>
      <c r="M109" s="322" t="s">
        <v>1140</v>
      </c>
      <c r="N109" s="322" t="s">
        <v>1140</v>
      </c>
      <c r="O109" s="322">
        <v>2</v>
      </c>
      <c r="P109" s="322">
        <v>4</v>
      </c>
      <c r="Q109" s="322">
        <v>6</v>
      </c>
      <c r="R109" s="322">
        <v>12</v>
      </c>
      <c r="S109" s="322">
        <v>2</v>
      </c>
      <c r="T109" s="322">
        <v>4</v>
      </c>
      <c r="U109" s="322">
        <v>10</v>
      </c>
      <c r="V109" s="322">
        <v>2</v>
      </c>
      <c r="W109" s="322">
        <v>8</v>
      </c>
      <c r="X109" s="322">
        <v>6</v>
      </c>
      <c r="Y109" s="322" t="s">
        <v>1140</v>
      </c>
    </row>
    <row r="110" spans="3:25" x14ac:dyDescent="0.25">
      <c r="C110" s="62" t="str">
        <f>'G-1 All Habitats'!B110</f>
        <v>Rocky shore - Low energy littoral rock - on peat, clay or chalk</v>
      </c>
      <c r="D110" s="322" t="s">
        <v>1140</v>
      </c>
      <c r="E110" s="322" t="s">
        <v>1140</v>
      </c>
      <c r="F110" s="322" t="s">
        <v>1140</v>
      </c>
      <c r="G110" s="322" t="s">
        <v>1140</v>
      </c>
      <c r="H110" s="322" t="s">
        <v>1140</v>
      </c>
      <c r="I110" s="322" t="s">
        <v>1140</v>
      </c>
      <c r="J110" s="322" t="s">
        <v>1140</v>
      </c>
      <c r="K110" s="322" t="s">
        <v>1140</v>
      </c>
      <c r="L110" s="322" t="s">
        <v>1140</v>
      </c>
      <c r="M110" s="322" t="s">
        <v>1140</v>
      </c>
      <c r="N110" s="322" t="s">
        <v>1140</v>
      </c>
      <c r="O110" s="322">
        <v>2</v>
      </c>
      <c r="P110" s="322">
        <v>4</v>
      </c>
      <c r="Q110" s="322">
        <v>6</v>
      </c>
      <c r="R110" s="322">
        <v>12</v>
      </c>
      <c r="S110" s="322">
        <v>2</v>
      </c>
      <c r="T110" s="322">
        <v>4</v>
      </c>
      <c r="U110" s="322">
        <v>10</v>
      </c>
      <c r="V110" s="322">
        <v>2</v>
      </c>
      <c r="W110" s="322">
        <v>8</v>
      </c>
      <c r="X110" s="322">
        <v>6</v>
      </c>
      <c r="Y110" s="322" t="s">
        <v>1140</v>
      </c>
    </row>
    <row r="111" spans="3:25" x14ac:dyDescent="0.25">
      <c r="C111" s="62" t="str">
        <f>'G-1 All Habitats'!B111</f>
        <v>Rocky shore - Features of littoral rock</v>
      </c>
      <c r="D111" s="322" t="s">
        <v>1140</v>
      </c>
      <c r="E111" s="322" t="s">
        <v>1140</v>
      </c>
      <c r="F111" s="322" t="s">
        <v>1140</v>
      </c>
      <c r="G111" s="322" t="s">
        <v>1140</v>
      </c>
      <c r="H111" s="322" t="s">
        <v>1140</v>
      </c>
      <c r="I111" s="322" t="s">
        <v>1140</v>
      </c>
      <c r="J111" s="322" t="s">
        <v>1140</v>
      </c>
      <c r="K111" s="322" t="s">
        <v>1140</v>
      </c>
      <c r="L111" s="322" t="s">
        <v>1140</v>
      </c>
      <c r="M111" s="322" t="s">
        <v>1140</v>
      </c>
      <c r="N111" s="322" t="s">
        <v>1140</v>
      </c>
      <c r="O111" s="322">
        <v>2</v>
      </c>
      <c r="P111" s="322">
        <v>4</v>
      </c>
      <c r="Q111" s="322">
        <v>6</v>
      </c>
      <c r="R111" s="322">
        <v>11</v>
      </c>
      <c r="S111" s="322">
        <v>2</v>
      </c>
      <c r="T111" s="322">
        <v>4</v>
      </c>
      <c r="U111" s="322">
        <v>9</v>
      </c>
      <c r="V111" s="322">
        <v>2</v>
      </c>
      <c r="W111" s="322">
        <v>7</v>
      </c>
      <c r="X111" s="322">
        <v>5</v>
      </c>
      <c r="Y111" s="322" t="s">
        <v>1140</v>
      </c>
    </row>
    <row r="112" spans="3:25" x14ac:dyDescent="0.25">
      <c r="C112" s="62" t="str">
        <f>'G-1 All Habitats'!B112</f>
        <v>Rocky shore - Features of littoral rock - on peat, clay or chalk</v>
      </c>
      <c r="D112" s="322" t="s">
        <v>1140</v>
      </c>
      <c r="E112" s="322" t="s">
        <v>1140</v>
      </c>
      <c r="F112" s="322" t="s">
        <v>1140</v>
      </c>
      <c r="G112" s="322" t="s">
        <v>1140</v>
      </c>
      <c r="H112" s="322" t="s">
        <v>1140</v>
      </c>
      <c r="I112" s="322" t="s">
        <v>1140</v>
      </c>
      <c r="J112" s="322" t="s">
        <v>1140</v>
      </c>
      <c r="K112" s="322" t="s">
        <v>1140</v>
      </c>
      <c r="L112" s="322" t="s">
        <v>1140</v>
      </c>
      <c r="M112" s="322" t="s">
        <v>1140</v>
      </c>
      <c r="N112" s="322" t="s">
        <v>1140</v>
      </c>
      <c r="O112" s="322">
        <v>2</v>
      </c>
      <c r="P112" s="322">
        <v>4</v>
      </c>
      <c r="Q112" s="322">
        <v>6</v>
      </c>
      <c r="R112" s="322">
        <v>11</v>
      </c>
      <c r="S112" s="322">
        <v>2</v>
      </c>
      <c r="T112" s="322">
        <v>4</v>
      </c>
      <c r="U112" s="322">
        <v>9</v>
      </c>
      <c r="V112" s="322">
        <v>2</v>
      </c>
      <c r="W112" s="322">
        <v>7</v>
      </c>
      <c r="X112" s="322">
        <v>5</v>
      </c>
      <c r="Y112" s="322" t="s">
        <v>1140</v>
      </c>
    </row>
    <row r="113" spans="3:25" x14ac:dyDescent="0.25">
      <c r="C113" s="62" t="str">
        <f>'G-1 All Habitats'!B115</f>
        <v>Intertidal sediment - Littoral coarse sediment</v>
      </c>
      <c r="D113" s="322" t="s">
        <v>1140</v>
      </c>
      <c r="E113" s="322" t="s">
        <v>1140</v>
      </c>
      <c r="F113" s="322" t="s">
        <v>1140</v>
      </c>
      <c r="G113" s="322" t="s">
        <v>1140</v>
      </c>
      <c r="H113" s="322" t="s">
        <v>1140</v>
      </c>
      <c r="I113" s="322" t="s">
        <v>1140</v>
      </c>
      <c r="J113" s="322" t="s">
        <v>1140</v>
      </c>
      <c r="K113" s="322" t="s">
        <v>1140</v>
      </c>
      <c r="L113" s="322" t="s">
        <v>1140</v>
      </c>
      <c r="M113" s="322" t="s">
        <v>1140</v>
      </c>
      <c r="N113" s="322" t="s">
        <v>1140</v>
      </c>
      <c r="O113" s="322">
        <v>1</v>
      </c>
      <c r="P113" s="322">
        <v>2</v>
      </c>
      <c r="Q113" s="322">
        <v>3</v>
      </c>
      <c r="R113" s="322">
        <v>4</v>
      </c>
      <c r="S113" s="322">
        <v>1</v>
      </c>
      <c r="T113" s="322">
        <v>2</v>
      </c>
      <c r="U113" s="322">
        <v>3</v>
      </c>
      <c r="V113" s="322">
        <v>1</v>
      </c>
      <c r="W113" s="322">
        <v>2</v>
      </c>
      <c r="X113" s="322">
        <v>1</v>
      </c>
      <c r="Y113" s="322" t="s">
        <v>1140</v>
      </c>
    </row>
    <row r="114" spans="3:25" x14ac:dyDescent="0.25">
      <c r="C114" s="62" t="str">
        <f>'G-1 All Habitats'!B116</f>
        <v>Intertidal sediment - Littoral mud</v>
      </c>
      <c r="D114" s="322" t="s">
        <v>1140</v>
      </c>
      <c r="E114" s="322" t="s">
        <v>1140</v>
      </c>
      <c r="F114" s="322" t="s">
        <v>1140</v>
      </c>
      <c r="G114" s="322" t="s">
        <v>1140</v>
      </c>
      <c r="H114" s="322" t="s">
        <v>1140</v>
      </c>
      <c r="I114" s="322" t="s">
        <v>1140</v>
      </c>
      <c r="J114" s="322" t="s">
        <v>1140</v>
      </c>
      <c r="K114" s="322" t="s">
        <v>1140</v>
      </c>
      <c r="L114" s="322" t="s">
        <v>1140</v>
      </c>
      <c r="M114" s="322" t="s">
        <v>1140</v>
      </c>
      <c r="N114" s="322" t="s">
        <v>1140</v>
      </c>
      <c r="O114" s="322">
        <v>2</v>
      </c>
      <c r="P114" s="322">
        <v>4</v>
      </c>
      <c r="Q114" s="322">
        <v>6</v>
      </c>
      <c r="R114" s="322">
        <v>8</v>
      </c>
      <c r="S114" s="322">
        <v>2</v>
      </c>
      <c r="T114" s="322">
        <v>4</v>
      </c>
      <c r="U114" s="322">
        <v>6</v>
      </c>
      <c r="V114" s="322">
        <v>2</v>
      </c>
      <c r="W114" s="322">
        <v>4</v>
      </c>
      <c r="X114" s="322">
        <v>2</v>
      </c>
      <c r="Y114" s="322" t="s">
        <v>1140</v>
      </c>
    </row>
    <row r="115" spans="3:25" x14ac:dyDescent="0.25">
      <c r="C115" s="62" t="str">
        <f>'G-1 All Habitats'!B117</f>
        <v>Intertidal sediment - Littoral mixed sediments</v>
      </c>
      <c r="D115" s="322" t="s">
        <v>1140</v>
      </c>
      <c r="E115" s="322" t="s">
        <v>1140</v>
      </c>
      <c r="F115" s="322" t="s">
        <v>1140</v>
      </c>
      <c r="G115" s="322" t="s">
        <v>1140</v>
      </c>
      <c r="H115" s="322" t="s">
        <v>1140</v>
      </c>
      <c r="I115" s="322" t="s">
        <v>1140</v>
      </c>
      <c r="J115" s="322" t="s">
        <v>1140</v>
      </c>
      <c r="K115" s="322" t="s">
        <v>1140</v>
      </c>
      <c r="L115" s="322" t="s">
        <v>1140</v>
      </c>
      <c r="M115" s="322" t="s">
        <v>1140</v>
      </c>
      <c r="N115" s="322" t="s">
        <v>1140</v>
      </c>
      <c r="O115" s="322">
        <v>1</v>
      </c>
      <c r="P115" s="322">
        <v>2</v>
      </c>
      <c r="Q115" s="322">
        <v>3</v>
      </c>
      <c r="R115" s="322">
        <v>4</v>
      </c>
      <c r="S115" s="322">
        <v>1</v>
      </c>
      <c r="T115" s="322">
        <v>2</v>
      </c>
      <c r="U115" s="322">
        <v>3</v>
      </c>
      <c r="V115" s="322">
        <v>1</v>
      </c>
      <c r="W115" s="322">
        <v>2</v>
      </c>
      <c r="X115" s="322">
        <v>1</v>
      </c>
      <c r="Y115" s="322" t="s">
        <v>1140</v>
      </c>
    </row>
    <row r="116" spans="3:25" x14ac:dyDescent="0.25">
      <c r="C116" s="62" t="str">
        <f>'G-1 All Habitats'!B113</f>
        <v>Coastal saltmarsh - Saltmarshes and saline reedbeds</v>
      </c>
      <c r="D116" s="322" t="s">
        <v>1140</v>
      </c>
      <c r="E116" s="322" t="s">
        <v>1140</v>
      </c>
      <c r="F116" s="322" t="s">
        <v>1140</v>
      </c>
      <c r="G116" s="322" t="s">
        <v>1140</v>
      </c>
      <c r="H116" s="322" t="s">
        <v>1140</v>
      </c>
      <c r="I116" s="322" t="s">
        <v>1140</v>
      </c>
      <c r="J116" s="322" t="s">
        <v>1140</v>
      </c>
      <c r="K116" s="322" t="s">
        <v>1140</v>
      </c>
      <c r="L116" s="322" t="s">
        <v>1140</v>
      </c>
      <c r="M116" s="322" t="s">
        <v>1140</v>
      </c>
      <c r="N116" s="322" t="s">
        <v>1140</v>
      </c>
      <c r="O116" s="322">
        <v>2</v>
      </c>
      <c r="P116" s="322">
        <v>6</v>
      </c>
      <c r="Q116" s="322">
        <v>10</v>
      </c>
      <c r="R116" s="322">
        <v>20</v>
      </c>
      <c r="S116" s="322">
        <v>4</v>
      </c>
      <c r="T116" s="322">
        <v>8</v>
      </c>
      <c r="U116" s="322">
        <v>18</v>
      </c>
      <c r="V116" s="322">
        <v>4</v>
      </c>
      <c r="W116" s="322">
        <v>14</v>
      </c>
      <c r="X116" s="322">
        <v>10</v>
      </c>
      <c r="Y116" s="322" t="s">
        <v>1140</v>
      </c>
    </row>
    <row r="117" spans="3:25" x14ac:dyDescent="0.25">
      <c r="C117" s="62" t="str">
        <f>'G-1 All Habitats'!B114</f>
        <v>Coastal saltmarsh - Artificial saltmarshes and saline reedbeds</v>
      </c>
      <c r="D117" s="322" t="s">
        <v>1140</v>
      </c>
      <c r="E117" s="322" t="s">
        <v>1140</v>
      </c>
      <c r="F117" s="322" t="s">
        <v>1140</v>
      </c>
      <c r="G117" s="322" t="s">
        <v>1140</v>
      </c>
      <c r="H117" s="322" t="s">
        <v>1140</v>
      </c>
      <c r="I117" s="322" t="s">
        <v>1140</v>
      </c>
      <c r="J117" s="322" t="s">
        <v>1140</v>
      </c>
      <c r="K117" s="322" t="s">
        <v>1140</v>
      </c>
      <c r="L117" s="322" t="s">
        <v>1140</v>
      </c>
      <c r="M117" s="322" t="s">
        <v>1140</v>
      </c>
      <c r="N117" s="322" t="s">
        <v>1140</v>
      </c>
      <c r="O117" s="322">
        <v>2</v>
      </c>
      <c r="P117" s="322">
        <v>6</v>
      </c>
      <c r="Q117" s="322">
        <v>10</v>
      </c>
      <c r="R117" s="322">
        <v>20</v>
      </c>
      <c r="S117" s="322">
        <v>4</v>
      </c>
      <c r="T117" s="322">
        <v>8</v>
      </c>
      <c r="U117" s="322">
        <v>18</v>
      </c>
      <c r="V117" s="322">
        <v>4</v>
      </c>
      <c r="W117" s="322">
        <v>14</v>
      </c>
      <c r="X117" s="322">
        <v>10</v>
      </c>
      <c r="Y117" s="322" t="s">
        <v>1140</v>
      </c>
    </row>
    <row r="118" spans="3:25" x14ac:dyDescent="0.25">
      <c r="C118" s="62" t="str">
        <f>'G-1 All Habitats'!B118</f>
        <v>Intertidal sediment - Littoral seagrass</v>
      </c>
      <c r="D118" s="322" t="s">
        <v>1140</v>
      </c>
      <c r="E118" s="322" t="s">
        <v>1140</v>
      </c>
      <c r="F118" s="322">
        <v>2</v>
      </c>
      <c r="G118" s="322">
        <v>5</v>
      </c>
      <c r="H118" s="322">
        <v>10</v>
      </c>
      <c r="I118" s="322">
        <v>15</v>
      </c>
      <c r="J118" s="322">
        <v>20</v>
      </c>
      <c r="K118" s="322" t="s">
        <v>1140</v>
      </c>
      <c r="L118" s="322" t="s">
        <v>1140</v>
      </c>
      <c r="M118" s="322" t="s">
        <v>1140</v>
      </c>
      <c r="N118" s="322" t="s">
        <v>1140</v>
      </c>
      <c r="O118" s="322">
        <v>3</v>
      </c>
      <c r="P118" s="322">
        <v>13</v>
      </c>
      <c r="Q118" s="322">
        <v>23</v>
      </c>
      <c r="R118" s="322" t="s">
        <v>1141</v>
      </c>
      <c r="S118" s="322">
        <v>10</v>
      </c>
      <c r="T118" s="322">
        <v>20</v>
      </c>
      <c r="U118" s="322">
        <v>30</v>
      </c>
      <c r="V118" s="322">
        <v>10</v>
      </c>
      <c r="W118" s="322">
        <v>20</v>
      </c>
      <c r="X118" s="322">
        <v>10</v>
      </c>
      <c r="Y118" s="322" t="s">
        <v>1140</v>
      </c>
    </row>
    <row r="119" spans="3:25" x14ac:dyDescent="0.25">
      <c r="C119" s="62" t="str">
        <f>'G-1 All Habitats'!B119</f>
        <v>Intertidal sediment - Littoral seagrass on peat, clay or chalk</v>
      </c>
      <c r="D119" s="322" t="s">
        <v>1140</v>
      </c>
      <c r="E119" s="322" t="s">
        <v>1140</v>
      </c>
      <c r="F119" s="322" t="s">
        <v>1140</v>
      </c>
      <c r="G119" s="322" t="s">
        <v>1140</v>
      </c>
      <c r="H119" s="322" t="s">
        <v>1140</v>
      </c>
      <c r="I119" s="322" t="s">
        <v>1140</v>
      </c>
      <c r="J119" s="322" t="s">
        <v>1140</v>
      </c>
      <c r="K119" s="322" t="s">
        <v>1140</v>
      </c>
      <c r="L119" s="322" t="s">
        <v>1140</v>
      </c>
      <c r="M119" s="322" t="s">
        <v>1140</v>
      </c>
      <c r="N119" s="322" t="s">
        <v>1140</v>
      </c>
      <c r="O119" s="322">
        <v>3</v>
      </c>
      <c r="P119" s="322">
        <v>13</v>
      </c>
      <c r="Q119" s="322">
        <v>23</v>
      </c>
      <c r="R119" s="322" t="s">
        <v>1141</v>
      </c>
      <c r="S119" s="322">
        <v>10</v>
      </c>
      <c r="T119" s="322">
        <v>20</v>
      </c>
      <c r="U119" s="322">
        <v>30</v>
      </c>
      <c r="V119" s="322">
        <v>10</v>
      </c>
      <c r="W119" s="322">
        <v>20</v>
      </c>
      <c r="X119" s="322">
        <v>10</v>
      </c>
      <c r="Y119" s="322" t="s">
        <v>1140</v>
      </c>
    </row>
    <row r="120" spans="3:25" x14ac:dyDescent="0.25">
      <c r="C120" s="62" t="str">
        <f>'G-1 All Habitats'!B120</f>
        <v>Intertidal sediment - Littoral biogenic reefs - Mussels</v>
      </c>
      <c r="D120" s="322" t="s">
        <v>1140</v>
      </c>
      <c r="E120" s="322" t="s">
        <v>1140</v>
      </c>
      <c r="F120" s="322" t="s">
        <v>1140</v>
      </c>
      <c r="G120" s="322" t="s">
        <v>1140</v>
      </c>
      <c r="H120" s="322" t="s">
        <v>1140</v>
      </c>
      <c r="I120" s="322" t="s">
        <v>1140</v>
      </c>
      <c r="J120" s="322" t="s">
        <v>1140</v>
      </c>
      <c r="K120" s="322" t="s">
        <v>1140</v>
      </c>
      <c r="L120" s="322" t="s">
        <v>1140</v>
      </c>
      <c r="M120" s="322" t="s">
        <v>1140</v>
      </c>
      <c r="N120" s="322" t="s">
        <v>1140</v>
      </c>
      <c r="O120" s="322">
        <v>2</v>
      </c>
      <c r="P120" s="322">
        <v>4</v>
      </c>
      <c r="Q120" s="322">
        <v>7</v>
      </c>
      <c r="R120" s="322">
        <v>10</v>
      </c>
      <c r="S120" s="322">
        <v>2</v>
      </c>
      <c r="T120" s="322">
        <v>3</v>
      </c>
      <c r="U120" s="322">
        <v>8</v>
      </c>
      <c r="V120" s="322">
        <v>3</v>
      </c>
      <c r="W120" s="322">
        <v>6</v>
      </c>
      <c r="X120" s="322">
        <v>3</v>
      </c>
      <c r="Y120" s="322" t="s">
        <v>1140</v>
      </c>
    </row>
    <row r="121" spans="3:25" x14ac:dyDescent="0.25">
      <c r="C121" s="62" t="str">
        <f>'G-1 All Habitats'!B121</f>
        <v>Intertidal sediment - Littoral biogenic reefs - Sabellaria</v>
      </c>
      <c r="D121" s="322" t="s">
        <v>1140</v>
      </c>
      <c r="E121" s="322" t="s">
        <v>1140</v>
      </c>
      <c r="F121" s="322" t="s">
        <v>1140</v>
      </c>
      <c r="G121" s="322" t="s">
        <v>1140</v>
      </c>
      <c r="H121" s="322" t="s">
        <v>1140</v>
      </c>
      <c r="I121" s="322" t="s">
        <v>1140</v>
      </c>
      <c r="J121" s="322" t="s">
        <v>1140</v>
      </c>
      <c r="K121" s="322" t="s">
        <v>1140</v>
      </c>
      <c r="L121" s="322" t="s">
        <v>1140</v>
      </c>
      <c r="M121" s="322" t="s">
        <v>1140</v>
      </c>
      <c r="N121" s="322" t="s">
        <v>1140</v>
      </c>
      <c r="O121" s="322">
        <v>2</v>
      </c>
      <c r="P121" s="322">
        <v>4</v>
      </c>
      <c r="Q121" s="322">
        <v>7</v>
      </c>
      <c r="R121" s="322">
        <v>10</v>
      </c>
      <c r="S121" s="322">
        <v>2</v>
      </c>
      <c r="T121" s="322">
        <v>3</v>
      </c>
      <c r="U121" s="322">
        <v>8</v>
      </c>
      <c r="V121" s="322">
        <v>3</v>
      </c>
      <c r="W121" s="322">
        <v>6</v>
      </c>
      <c r="X121" s="322">
        <v>3</v>
      </c>
      <c r="Y121" s="322" t="s">
        <v>1140</v>
      </c>
    </row>
    <row r="122" spans="3:25" x14ac:dyDescent="0.25">
      <c r="C122" s="62" t="str">
        <f>'G-1 All Habitats'!B122</f>
        <v>Intertidal sediment - Features of littoral sediment</v>
      </c>
      <c r="D122" s="322" t="s">
        <v>1140</v>
      </c>
      <c r="E122" s="322" t="s">
        <v>1140</v>
      </c>
      <c r="F122" s="322" t="s">
        <v>1140</v>
      </c>
      <c r="G122" s="322" t="s">
        <v>1140</v>
      </c>
      <c r="H122" s="322" t="s">
        <v>1140</v>
      </c>
      <c r="I122" s="322" t="s">
        <v>1140</v>
      </c>
      <c r="J122" s="322" t="s">
        <v>1140</v>
      </c>
      <c r="K122" s="322" t="s">
        <v>1140</v>
      </c>
      <c r="L122" s="322" t="s">
        <v>1140</v>
      </c>
      <c r="M122" s="322" t="s">
        <v>1140</v>
      </c>
      <c r="N122" s="322" t="s">
        <v>1140</v>
      </c>
      <c r="O122" s="322">
        <v>1</v>
      </c>
      <c r="P122" s="322">
        <v>2</v>
      </c>
      <c r="Q122" s="322">
        <v>3</v>
      </c>
      <c r="R122" s="322">
        <v>5</v>
      </c>
      <c r="S122" s="322">
        <v>1</v>
      </c>
      <c r="T122" s="322">
        <v>2</v>
      </c>
      <c r="U122" s="322">
        <v>4</v>
      </c>
      <c r="V122" s="322">
        <v>1</v>
      </c>
      <c r="W122" s="322">
        <v>3</v>
      </c>
      <c r="X122" s="322">
        <v>2</v>
      </c>
      <c r="Y122" s="322" t="s">
        <v>1140</v>
      </c>
    </row>
    <row r="123" spans="3:25" x14ac:dyDescent="0.25">
      <c r="C123" s="62" t="str">
        <f>'G-1 All Habitats'!B123</f>
        <v>Intertidal sediment - Artificial littoral coarse sediment</v>
      </c>
      <c r="D123" s="322" t="s">
        <v>1140</v>
      </c>
      <c r="E123" s="322" t="s">
        <v>1140</v>
      </c>
      <c r="F123" s="322" t="s">
        <v>1140</v>
      </c>
      <c r="G123" s="322" t="s">
        <v>1140</v>
      </c>
      <c r="H123" s="322" t="s">
        <v>1140</v>
      </c>
      <c r="I123" s="322" t="s">
        <v>1140</v>
      </c>
      <c r="J123" s="322" t="s">
        <v>1140</v>
      </c>
      <c r="K123" s="322" t="s">
        <v>1140</v>
      </c>
      <c r="L123" s="322" t="s">
        <v>1140</v>
      </c>
      <c r="M123" s="322" t="s">
        <v>1140</v>
      </c>
      <c r="N123" s="322" t="s">
        <v>1140</v>
      </c>
      <c r="O123" s="322">
        <v>1</v>
      </c>
      <c r="P123" s="322">
        <v>2</v>
      </c>
      <c r="Q123" s="322">
        <v>3</v>
      </c>
      <c r="R123" s="322">
        <v>4</v>
      </c>
      <c r="S123" s="322">
        <v>1</v>
      </c>
      <c r="T123" s="322">
        <v>2</v>
      </c>
      <c r="U123" s="322">
        <v>3</v>
      </c>
      <c r="V123" s="322">
        <v>1</v>
      </c>
      <c r="W123" s="322">
        <v>2</v>
      </c>
      <c r="X123" s="322">
        <v>1</v>
      </c>
      <c r="Y123" s="322" t="s">
        <v>1140</v>
      </c>
    </row>
    <row r="124" spans="3:25" x14ac:dyDescent="0.25">
      <c r="C124" s="62" t="str">
        <f>'G-1 All Habitats'!B124</f>
        <v>Intertidal sediment - Artificial littoral mud</v>
      </c>
      <c r="D124" s="322" t="s">
        <v>1140</v>
      </c>
      <c r="E124" s="322" t="s">
        <v>1140</v>
      </c>
      <c r="F124" s="322" t="s">
        <v>1140</v>
      </c>
      <c r="G124" s="322" t="s">
        <v>1140</v>
      </c>
      <c r="H124" s="322" t="s">
        <v>1140</v>
      </c>
      <c r="I124" s="322" t="s">
        <v>1140</v>
      </c>
      <c r="J124" s="322" t="s">
        <v>1140</v>
      </c>
      <c r="K124" s="322" t="s">
        <v>1140</v>
      </c>
      <c r="L124" s="322" t="s">
        <v>1140</v>
      </c>
      <c r="M124" s="322" t="s">
        <v>1140</v>
      </c>
      <c r="N124" s="322" t="s">
        <v>1140</v>
      </c>
      <c r="O124" s="322">
        <v>2</v>
      </c>
      <c r="P124" s="322">
        <v>4</v>
      </c>
      <c r="Q124" s="322">
        <v>6</v>
      </c>
      <c r="R124" s="322">
        <v>8</v>
      </c>
      <c r="S124" s="322">
        <v>2</v>
      </c>
      <c r="T124" s="322">
        <v>4</v>
      </c>
      <c r="U124" s="322">
        <v>6</v>
      </c>
      <c r="V124" s="322">
        <v>2</v>
      </c>
      <c r="W124" s="322">
        <v>4</v>
      </c>
      <c r="X124" s="322">
        <v>2</v>
      </c>
      <c r="Y124" s="322" t="s">
        <v>1140</v>
      </c>
    </row>
    <row r="125" spans="3:25" x14ac:dyDescent="0.25">
      <c r="C125" s="62" t="str">
        <f>'G-1 All Habitats'!B125</f>
        <v>Intertidal sediment - Artificial littoral sand</v>
      </c>
      <c r="D125" s="322" t="s">
        <v>1140</v>
      </c>
      <c r="E125" s="322" t="s">
        <v>1140</v>
      </c>
      <c r="F125" s="322" t="s">
        <v>1140</v>
      </c>
      <c r="G125" s="322" t="s">
        <v>1140</v>
      </c>
      <c r="H125" s="322" t="s">
        <v>1140</v>
      </c>
      <c r="I125" s="322" t="s">
        <v>1140</v>
      </c>
      <c r="J125" s="322" t="s">
        <v>1140</v>
      </c>
      <c r="K125" s="322" t="s">
        <v>1140</v>
      </c>
      <c r="L125" s="322" t="s">
        <v>1140</v>
      </c>
      <c r="M125" s="322" t="s">
        <v>1140</v>
      </c>
      <c r="N125" s="322" t="s">
        <v>1140</v>
      </c>
      <c r="O125" s="322">
        <v>2</v>
      </c>
      <c r="P125" s="322">
        <v>3</v>
      </c>
      <c r="Q125" s="322">
        <v>4</v>
      </c>
      <c r="R125" s="322">
        <v>6</v>
      </c>
      <c r="S125" s="322">
        <v>1</v>
      </c>
      <c r="T125" s="322">
        <v>2</v>
      </c>
      <c r="U125" s="322">
        <v>4</v>
      </c>
      <c r="V125" s="322">
        <v>1</v>
      </c>
      <c r="W125" s="322">
        <v>3</v>
      </c>
      <c r="X125" s="322">
        <v>2</v>
      </c>
      <c r="Y125" s="322" t="s">
        <v>1140</v>
      </c>
    </row>
    <row r="126" spans="3:25" x14ac:dyDescent="0.25">
      <c r="C126" s="62" t="str">
        <f>'G-1 All Habitats'!B126</f>
        <v>Intertidal sediment - Artificial littoral muddy sand</v>
      </c>
      <c r="D126" s="322" t="s">
        <v>1140</v>
      </c>
      <c r="E126" s="322" t="s">
        <v>1140</v>
      </c>
      <c r="F126" s="322" t="s">
        <v>1140</v>
      </c>
      <c r="G126" s="322" t="s">
        <v>1140</v>
      </c>
      <c r="H126" s="322" t="s">
        <v>1140</v>
      </c>
      <c r="I126" s="322" t="s">
        <v>1140</v>
      </c>
      <c r="J126" s="322" t="s">
        <v>1140</v>
      </c>
      <c r="K126" s="322" t="s">
        <v>1140</v>
      </c>
      <c r="L126" s="322" t="s">
        <v>1140</v>
      </c>
      <c r="M126" s="322" t="s">
        <v>1140</v>
      </c>
      <c r="N126" s="322" t="s">
        <v>1140</v>
      </c>
      <c r="O126" s="322">
        <v>2</v>
      </c>
      <c r="P126" s="322">
        <v>4</v>
      </c>
      <c r="Q126" s="322">
        <v>6</v>
      </c>
      <c r="R126" s="322">
        <v>8</v>
      </c>
      <c r="S126" s="322">
        <v>2</v>
      </c>
      <c r="T126" s="322">
        <v>4</v>
      </c>
      <c r="U126" s="322">
        <v>6</v>
      </c>
      <c r="V126" s="322">
        <v>2</v>
      </c>
      <c r="W126" s="322">
        <v>4</v>
      </c>
      <c r="X126" s="322">
        <v>2</v>
      </c>
      <c r="Y126" s="322" t="s">
        <v>1140</v>
      </c>
    </row>
    <row r="127" spans="3:25" x14ac:dyDescent="0.25">
      <c r="C127" s="62" t="str">
        <f>'G-1 All Habitats'!B127</f>
        <v>Intertidal sediment - Artificial littoral mixed sediments</v>
      </c>
      <c r="D127" s="322" t="s">
        <v>1140</v>
      </c>
      <c r="E127" s="322" t="s">
        <v>1140</v>
      </c>
      <c r="F127" s="322" t="s">
        <v>1140</v>
      </c>
      <c r="G127" s="322" t="s">
        <v>1140</v>
      </c>
      <c r="H127" s="322" t="s">
        <v>1140</v>
      </c>
      <c r="I127" s="322" t="s">
        <v>1140</v>
      </c>
      <c r="J127" s="322" t="s">
        <v>1140</v>
      </c>
      <c r="K127" s="322" t="s">
        <v>1140</v>
      </c>
      <c r="L127" s="322" t="s">
        <v>1140</v>
      </c>
      <c r="M127" s="322" t="s">
        <v>1140</v>
      </c>
      <c r="N127" s="322" t="s">
        <v>1140</v>
      </c>
      <c r="O127" s="322">
        <v>1</v>
      </c>
      <c r="P127" s="322">
        <v>2</v>
      </c>
      <c r="Q127" s="322">
        <v>3</v>
      </c>
      <c r="R127" s="322">
        <v>4</v>
      </c>
      <c r="S127" s="322">
        <v>1</v>
      </c>
      <c r="T127" s="322">
        <v>2</v>
      </c>
      <c r="U127" s="322">
        <v>3</v>
      </c>
      <c r="V127" s="322">
        <v>1</v>
      </c>
      <c r="W127" s="322">
        <v>2</v>
      </c>
      <c r="X127" s="322">
        <v>1</v>
      </c>
      <c r="Y127" s="322" t="s">
        <v>1140</v>
      </c>
    </row>
    <row r="128" spans="3:25" x14ac:dyDescent="0.25">
      <c r="C128" s="62" t="str">
        <f>'G-1 All Habitats'!B128</f>
        <v>Intertidal sediment - Artificial littoral seagrass</v>
      </c>
      <c r="D128" s="322" t="s">
        <v>1140</v>
      </c>
      <c r="E128" s="322" t="s">
        <v>1140</v>
      </c>
      <c r="F128" s="322" t="s">
        <v>1140</v>
      </c>
      <c r="G128" s="322" t="s">
        <v>1140</v>
      </c>
      <c r="H128" s="322" t="s">
        <v>1140</v>
      </c>
      <c r="I128" s="322" t="s">
        <v>1140</v>
      </c>
      <c r="J128" s="322" t="s">
        <v>1140</v>
      </c>
      <c r="K128" s="322" t="s">
        <v>1140</v>
      </c>
      <c r="L128" s="322" t="s">
        <v>1140</v>
      </c>
      <c r="M128" s="322" t="s">
        <v>1140</v>
      </c>
      <c r="N128" s="322" t="s">
        <v>1140</v>
      </c>
      <c r="O128" s="322">
        <v>3</v>
      </c>
      <c r="P128" s="322">
        <v>13</v>
      </c>
      <c r="Q128" s="322">
        <v>23</v>
      </c>
      <c r="R128" s="322" t="s">
        <v>1141</v>
      </c>
      <c r="S128" s="322">
        <v>10</v>
      </c>
      <c r="T128" s="322">
        <v>20</v>
      </c>
      <c r="U128" s="322">
        <v>30</v>
      </c>
      <c r="V128" s="322">
        <v>10</v>
      </c>
      <c r="W128" s="322">
        <v>20</v>
      </c>
      <c r="X128" s="322">
        <v>10</v>
      </c>
      <c r="Y128" s="322" t="s">
        <v>1140</v>
      </c>
    </row>
    <row r="129" spans="3:25" x14ac:dyDescent="0.25">
      <c r="C129" s="62" t="str">
        <f>'G-1 All Habitats'!B129</f>
        <v>Intertidal sediment - Artificial littoral biogenic reefs</v>
      </c>
      <c r="D129" s="322" t="s">
        <v>1140</v>
      </c>
      <c r="E129" s="322" t="s">
        <v>1140</v>
      </c>
      <c r="F129" s="322" t="s">
        <v>1140</v>
      </c>
      <c r="G129" s="322" t="s">
        <v>1140</v>
      </c>
      <c r="H129" s="322" t="s">
        <v>1140</v>
      </c>
      <c r="I129" s="322" t="s">
        <v>1140</v>
      </c>
      <c r="J129" s="322" t="s">
        <v>1140</v>
      </c>
      <c r="K129" s="322" t="s">
        <v>1140</v>
      </c>
      <c r="L129" s="322" t="s">
        <v>1140</v>
      </c>
      <c r="M129" s="322" t="s">
        <v>1140</v>
      </c>
      <c r="N129" s="322" t="s">
        <v>1140</v>
      </c>
      <c r="O129" s="322">
        <v>2</v>
      </c>
      <c r="P129" s="322">
        <v>4</v>
      </c>
      <c r="Q129" s="322">
        <v>7</v>
      </c>
      <c r="R129" s="322">
        <v>10</v>
      </c>
      <c r="S129" s="322">
        <v>2</v>
      </c>
      <c r="T129" s="322">
        <v>3</v>
      </c>
      <c r="U129" s="322">
        <v>8</v>
      </c>
      <c r="V129" s="322">
        <v>3</v>
      </c>
      <c r="W129" s="322">
        <v>6</v>
      </c>
      <c r="X129" s="322">
        <v>3</v>
      </c>
      <c r="Y129" s="322" t="s">
        <v>1140</v>
      </c>
    </row>
    <row r="130" spans="3:25" x14ac:dyDescent="0.25">
      <c r="C130" s="62" t="str">
        <f>'G-1 All Habitats'!B130</f>
        <v>Intertidal sediment - Littoral sand</v>
      </c>
      <c r="D130" s="322" t="s">
        <v>1140</v>
      </c>
      <c r="E130" s="322" t="s">
        <v>1140</v>
      </c>
      <c r="F130" s="322" t="s">
        <v>1140</v>
      </c>
      <c r="G130" s="322" t="s">
        <v>1140</v>
      </c>
      <c r="H130" s="322" t="s">
        <v>1140</v>
      </c>
      <c r="I130" s="322" t="s">
        <v>1140</v>
      </c>
      <c r="J130" s="322" t="s">
        <v>1140</v>
      </c>
      <c r="K130" s="322" t="s">
        <v>1140</v>
      </c>
      <c r="L130" s="322" t="s">
        <v>1140</v>
      </c>
      <c r="M130" s="322" t="s">
        <v>1140</v>
      </c>
      <c r="N130" s="322" t="s">
        <v>1140</v>
      </c>
      <c r="O130" s="322">
        <v>2</v>
      </c>
      <c r="P130" s="322">
        <v>3</v>
      </c>
      <c r="Q130" s="322">
        <v>4</v>
      </c>
      <c r="R130" s="322">
        <v>6</v>
      </c>
      <c r="S130" s="322">
        <v>1</v>
      </c>
      <c r="T130" s="322">
        <v>2</v>
      </c>
      <c r="U130" s="322">
        <v>4</v>
      </c>
      <c r="V130" s="322">
        <v>1</v>
      </c>
      <c r="W130" s="322">
        <v>3</v>
      </c>
      <c r="X130" s="322">
        <v>2</v>
      </c>
      <c r="Y130" s="322" t="s">
        <v>1140</v>
      </c>
    </row>
    <row r="131" spans="3:25" x14ac:dyDescent="0.25">
      <c r="C131" s="62" t="str">
        <f>'G-1 All Habitats'!B131</f>
        <v>Intertidal sediment - Littoral muddy sand</v>
      </c>
      <c r="D131" s="322" t="s">
        <v>1140</v>
      </c>
      <c r="E131" s="322" t="s">
        <v>1140</v>
      </c>
      <c r="F131" s="322" t="s">
        <v>1140</v>
      </c>
      <c r="G131" s="322" t="s">
        <v>1140</v>
      </c>
      <c r="H131" s="322" t="s">
        <v>1140</v>
      </c>
      <c r="I131" s="322" t="s">
        <v>1140</v>
      </c>
      <c r="J131" s="322" t="s">
        <v>1140</v>
      </c>
      <c r="K131" s="322" t="s">
        <v>1140</v>
      </c>
      <c r="L131" s="322" t="s">
        <v>1140</v>
      </c>
      <c r="M131" s="322" t="s">
        <v>1140</v>
      </c>
      <c r="N131" s="322" t="s">
        <v>1140</v>
      </c>
      <c r="O131" s="322">
        <v>2</v>
      </c>
      <c r="P131" s="322">
        <v>4</v>
      </c>
      <c r="Q131" s="322">
        <v>6</v>
      </c>
      <c r="R131" s="322">
        <v>8</v>
      </c>
      <c r="S131" s="322">
        <v>2</v>
      </c>
      <c r="T131" s="322">
        <v>4</v>
      </c>
      <c r="U131" s="322">
        <v>6</v>
      </c>
      <c r="V131" s="322">
        <v>2</v>
      </c>
      <c r="W131" s="322">
        <v>4</v>
      </c>
      <c r="X131" s="322">
        <v>2</v>
      </c>
      <c r="Y131" s="322" t="s">
        <v>1140</v>
      </c>
    </row>
    <row r="132" spans="3:25" x14ac:dyDescent="0.25">
      <c r="C132" s="62" t="str">
        <f>'G-1 All Habitats'!B132</f>
        <v>Intertidal hard structures - Artificial hard structures</v>
      </c>
      <c r="D132" s="322" t="s">
        <v>1140</v>
      </c>
      <c r="E132" s="322" t="s">
        <v>1140</v>
      </c>
      <c r="F132" s="322" t="s">
        <v>1140</v>
      </c>
      <c r="G132" s="322" t="s">
        <v>1140</v>
      </c>
      <c r="H132" s="322" t="s">
        <v>1140</v>
      </c>
      <c r="I132" s="322" t="s">
        <v>1140</v>
      </c>
      <c r="J132" s="322" t="s">
        <v>1140</v>
      </c>
      <c r="K132" s="322" t="s">
        <v>1140</v>
      </c>
      <c r="L132" s="322" t="s">
        <v>1140</v>
      </c>
      <c r="M132" s="322" t="s">
        <v>1140</v>
      </c>
      <c r="N132" s="322" t="s">
        <v>1140</v>
      </c>
      <c r="O132" s="322">
        <v>2</v>
      </c>
      <c r="P132" s="322">
        <v>4</v>
      </c>
      <c r="Q132" s="322">
        <v>6</v>
      </c>
      <c r="R132" s="322">
        <v>12</v>
      </c>
      <c r="S132" s="322">
        <v>2</v>
      </c>
      <c r="T132" s="322">
        <v>4</v>
      </c>
      <c r="U132" s="322">
        <v>10</v>
      </c>
      <c r="V132" s="322">
        <v>2</v>
      </c>
      <c r="W132" s="322">
        <v>8</v>
      </c>
      <c r="X132" s="322">
        <v>6</v>
      </c>
      <c r="Y132" s="322" t="s">
        <v>1140</v>
      </c>
    </row>
    <row r="133" spans="3:25" x14ac:dyDescent="0.25">
      <c r="C133" s="62" t="str">
        <f>'G-1 All Habitats'!B133</f>
        <v>Intertidal hard structures - Artificial features of hard structures</v>
      </c>
      <c r="D133" s="322" t="s">
        <v>1140</v>
      </c>
      <c r="E133" s="322" t="s">
        <v>1140</v>
      </c>
      <c r="F133" s="322" t="s">
        <v>1140</v>
      </c>
      <c r="G133" s="322" t="s">
        <v>1140</v>
      </c>
      <c r="H133" s="322" t="s">
        <v>1140</v>
      </c>
      <c r="I133" s="322" t="s">
        <v>1140</v>
      </c>
      <c r="J133" s="322" t="s">
        <v>1140</v>
      </c>
      <c r="K133" s="322" t="s">
        <v>1140</v>
      </c>
      <c r="L133" s="322" t="s">
        <v>1140</v>
      </c>
      <c r="M133" s="322" t="s">
        <v>1140</v>
      </c>
      <c r="N133" s="322" t="s">
        <v>1140</v>
      </c>
      <c r="O133" s="322">
        <v>2</v>
      </c>
      <c r="P133" s="322">
        <v>4</v>
      </c>
      <c r="Q133" s="322">
        <v>6</v>
      </c>
      <c r="R133" s="322">
        <v>11</v>
      </c>
      <c r="S133" s="322">
        <v>2</v>
      </c>
      <c r="T133" s="322">
        <v>4</v>
      </c>
      <c r="U133" s="322">
        <v>9</v>
      </c>
      <c r="V133" s="322">
        <v>2</v>
      </c>
      <c r="W133" s="322">
        <v>7</v>
      </c>
      <c r="X133" s="322">
        <v>5</v>
      </c>
      <c r="Y133" s="322" t="s">
        <v>1140</v>
      </c>
    </row>
    <row r="134" spans="3:25" x14ac:dyDescent="0.25">
      <c r="C134" s="62" t="str">
        <f>'G-1 All Habitats'!B134</f>
        <v>Intertidal hard structures - Artificial hard structures with integrated greening of grey infrastructure (IGGI)</v>
      </c>
      <c r="D134" s="322" t="s">
        <v>1140</v>
      </c>
      <c r="E134" s="322" t="s">
        <v>1140</v>
      </c>
      <c r="F134" s="322">
        <v>1</v>
      </c>
      <c r="G134" s="322">
        <v>2</v>
      </c>
      <c r="H134" s="322">
        <v>4</v>
      </c>
      <c r="I134" s="322">
        <v>8</v>
      </c>
      <c r="J134" s="322">
        <v>13</v>
      </c>
      <c r="K134" s="322" t="s">
        <v>1140</v>
      </c>
      <c r="L134" s="322" t="s">
        <v>1140</v>
      </c>
      <c r="M134" s="322" t="s">
        <v>1140</v>
      </c>
      <c r="N134" s="322" t="s">
        <v>1140</v>
      </c>
      <c r="O134" s="322">
        <v>2</v>
      </c>
      <c r="P134" s="322">
        <v>4</v>
      </c>
      <c r="Q134" s="322">
        <v>6</v>
      </c>
      <c r="R134" s="322">
        <v>11</v>
      </c>
      <c r="S134" s="322">
        <v>2</v>
      </c>
      <c r="T134" s="322">
        <v>4</v>
      </c>
      <c r="U134" s="322">
        <v>9</v>
      </c>
      <c r="V134" s="322">
        <v>2</v>
      </c>
      <c r="W134" s="322">
        <v>7</v>
      </c>
      <c r="X134" s="322">
        <v>5</v>
      </c>
      <c r="Y134" s="322" t="s">
        <v>1140</v>
      </c>
    </row>
    <row r="135" spans="3:25" x14ac:dyDescent="0.25">
      <c r="C135" s="62" t="str">
        <f>'G-1 All Habitats'!B135</f>
        <v>Watercourse footprint - Watercourse footprint</v>
      </c>
      <c r="D135" s="322" t="s">
        <v>1140</v>
      </c>
      <c r="E135" s="322" t="s">
        <v>1140</v>
      </c>
      <c r="F135" s="322" t="s">
        <v>1140</v>
      </c>
      <c r="G135" s="322" t="s">
        <v>1140</v>
      </c>
      <c r="H135" s="322" t="s">
        <v>1140</v>
      </c>
      <c r="I135" s="322" t="s">
        <v>1140</v>
      </c>
      <c r="J135" s="322" t="s">
        <v>1140</v>
      </c>
      <c r="K135" s="322" t="s">
        <v>1140</v>
      </c>
      <c r="L135" s="322" t="s">
        <v>1140</v>
      </c>
      <c r="M135" s="322" t="s">
        <v>1140</v>
      </c>
      <c r="N135" s="322" t="s">
        <v>1140</v>
      </c>
      <c r="O135" s="322" t="s">
        <v>1140</v>
      </c>
      <c r="P135" s="322" t="s">
        <v>1140</v>
      </c>
      <c r="Q135" s="322" t="s">
        <v>1140</v>
      </c>
      <c r="R135" s="322" t="s">
        <v>1140</v>
      </c>
      <c r="S135" s="322" t="s">
        <v>1140</v>
      </c>
      <c r="T135" s="322" t="s">
        <v>1140</v>
      </c>
      <c r="U135" s="322" t="s">
        <v>1140</v>
      </c>
      <c r="V135" s="322" t="s">
        <v>1140</v>
      </c>
      <c r="W135" s="322" t="s">
        <v>1140</v>
      </c>
      <c r="X135" s="322" t="s">
        <v>1140</v>
      </c>
      <c r="Y135" s="322" t="s">
        <v>1140</v>
      </c>
    </row>
    <row r="136" spans="3:25" x14ac:dyDescent="0.25">
      <c r="C136" s="62" t="str">
        <f>'G-1 All Habitats'!B81</f>
        <v>Individual trees - Rural tree</v>
      </c>
      <c r="D136" s="322" t="s">
        <v>1140</v>
      </c>
      <c r="E136" s="322" t="s">
        <v>1140</v>
      </c>
      <c r="F136" s="322" t="s">
        <v>1140</v>
      </c>
      <c r="G136" s="322" t="s">
        <v>1140</v>
      </c>
      <c r="H136" s="322" t="s">
        <v>1140</v>
      </c>
      <c r="I136" s="322" t="s">
        <v>1140</v>
      </c>
      <c r="J136" s="322" t="s">
        <v>1140</v>
      </c>
      <c r="K136" s="322" t="s">
        <v>1140</v>
      </c>
      <c r="L136" s="322" t="s">
        <v>1140</v>
      </c>
      <c r="M136" s="322" t="s">
        <v>1140</v>
      </c>
      <c r="N136" s="322" t="s">
        <v>1140</v>
      </c>
      <c r="O136" s="322">
        <v>8</v>
      </c>
      <c r="P136" s="322">
        <v>16</v>
      </c>
      <c r="Q136" s="322">
        <v>24</v>
      </c>
      <c r="R136" s="322" t="s">
        <v>1141</v>
      </c>
      <c r="S136" s="322">
        <v>8</v>
      </c>
      <c r="T136" s="322">
        <v>16</v>
      </c>
      <c r="U136" s="322">
        <v>24</v>
      </c>
      <c r="V136" s="322">
        <v>8</v>
      </c>
      <c r="W136" s="322">
        <v>16</v>
      </c>
      <c r="X136" s="322">
        <v>8</v>
      </c>
      <c r="Y136" s="322" t="s">
        <v>1140</v>
      </c>
    </row>
    <row r="147" x14ac:dyDescent="0.25"/>
    <row r="273" x14ac:dyDescent="0.25"/>
    <row r="274" x14ac:dyDescent="0.25"/>
    <row r="275"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sheetData>
  <sheetProtection algorithmName="SHA-512" hashValue="/9Z9NOYYN+QEdia5eJQiJpKwqDNW76cXqLi+MTOCaAnf2qUdTdi2DIgkOzg7+NZpg9sQSrnMqiqQwzTeb9ctjg==" saltValue="zEfV/A2ABsfgNtvmAc1ImQ=="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L20"/>
  <sheetViews>
    <sheetView zoomScale="80" zoomScaleNormal="80" workbookViewId="0">
      <pane xSplit="2" ySplit="2" topLeftCell="AM7" activePane="bottomRight" state="frozen"/>
      <selection pane="topRight" activeCell="C1" sqref="C1"/>
      <selection pane="bottomLeft" activeCell="A3" sqref="A3"/>
      <selection pane="bottomRight" sqref="A1:B1"/>
    </sheetView>
  </sheetViews>
  <sheetFormatPr defaultColWidth="15.33203125" defaultRowHeight="13.8" zeroHeight="1" x14ac:dyDescent="0.25"/>
  <cols>
    <col min="1" max="1" width="8.33203125" style="30" customWidth="1"/>
    <col min="2" max="2" width="66.44140625" style="30" bestFit="1" customWidth="1"/>
    <col min="3" max="4" width="17.33203125" style="30" customWidth="1"/>
    <col min="5" max="5" width="10.33203125" style="30" customWidth="1"/>
    <col min="6" max="6" width="9.5546875" style="30" hidden="1" customWidth="1"/>
    <col min="7" max="7" width="13.6640625" style="30" customWidth="1"/>
    <col min="8" max="8" width="10" style="30" hidden="1" customWidth="1"/>
    <col min="9" max="9" width="13.6640625" style="30" customWidth="1"/>
    <col min="10" max="10" width="8.33203125" style="30" hidden="1" customWidth="1"/>
    <col min="11" max="11" width="16.33203125" style="30" customWidth="1"/>
    <col min="12" max="12" width="7.6640625" style="30" hidden="1" customWidth="1"/>
    <col min="13" max="13" width="14.6640625" style="30" customWidth="1"/>
    <col min="14" max="14" width="10.5546875" style="30" hidden="1" customWidth="1"/>
    <col min="15" max="15" width="10.6640625" style="30" hidden="1" customWidth="1"/>
    <col min="16" max="16" width="4.33203125" style="30" hidden="1" customWidth="1"/>
    <col min="17" max="17" width="14.33203125" style="135" customWidth="1"/>
    <col min="18" max="18" width="4.33203125" style="30" hidden="1" customWidth="1"/>
    <col min="19" max="19" width="8.33203125" style="392" customWidth="1"/>
    <col min="20" max="31" width="5.33203125" style="392" bestFit="1" customWidth="1"/>
    <col min="32" max="32" width="12.6640625" style="30" customWidth="1"/>
    <col min="33" max="33" width="15.6640625" style="30" customWidth="1"/>
    <col min="34" max="34" width="32.33203125" style="30" customWidth="1"/>
    <col min="35" max="35" width="8.6640625" style="30" customWidth="1"/>
    <col min="36" max="37" width="14" style="30" customWidth="1"/>
    <col min="38" max="38" width="8.6640625" style="30" customWidth="1"/>
    <col min="39" max="39" width="66.44140625" style="30" bestFit="1" customWidth="1"/>
    <col min="40" max="40" width="14.5546875" style="30" bestFit="1" customWidth="1"/>
    <col min="41" max="43" width="16.6640625" style="30" bestFit="1" customWidth="1"/>
    <col min="44" max="52" width="16.6640625" style="392" bestFit="1" customWidth="1"/>
    <col min="53" max="53" width="8.6640625" style="30" customWidth="1"/>
    <col min="54" max="55" width="8.6640625" style="30" hidden="1" customWidth="1"/>
    <col min="56" max="61" width="15.33203125" style="30" hidden="1" customWidth="1"/>
    <col min="62" max="62" width="15.33203125" style="122" hidden="1" customWidth="1"/>
    <col min="63" max="16382" width="0" style="30" hidden="1" customWidth="1"/>
    <col min="16383" max="16384" width="15.33203125" style="30"/>
  </cols>
  <sheetData>
    <row r="1" spans="1:64" ht="86.1" customHeight="1" thickBot="1" x14ac:dyDescent="0.4">
      <c r="A1" s="1777"/>
      <c r="B1" s="1889"/>
      <c r="C1" s="1886" t="s">
        <v>395</v>
      </c>
      <c r="D1" s="1887"/>
      <c r="E1" s="1890" t="s">
        <v>1168</v>
      </c>
      <c r="F1" s="1891"/>
      <c r="G1" s="1891"/>
      <c r="H1" s="1891"/>
      <c r="I1" s="1892"/>
      <c r="J1" s="1890" t="s">
        <v>1169</v>
      </c>
      <c r="K1" s="1891"/>
      <c r="L1" s="1891"/>
      <c r="M1" s="1891"/>
      <c r="N1" s="1891"/>
      <c r="O1" s="1891"/>
      <c r="P1" s="1891"/>
      <c r="Q1" s="1891"/>
      <c r="R1" s="1892"/>
      <c r="S1" s="1890" t="s">
        <v>1170</v>
      </c>
      <c r="T1" s="1891"/>
      <c r="U1" s="1891"/>
      <c r="V1" s="1891"/>
      <c r="W1" s="1891"/>
      <c r="X1" s="1891"/>
      <c r="Y1" s="1891"/>
      <c r="Z1" s="1891"/>
      <c r="AA1" s="1891"/>
      <c r="AB1" s="1891"/>
      <c r="AC1" s="1891"/>
      <c r="AD1" s="1891"/>
      <c r="AE1" s="1892"/>
      <c r="AF1" s="1886" t="s">
        <v>501</v>
      </c>
      <c r="AG1" s="1887"/>
      <c r="AH1" s="1688" t="s">
        <v>580</v>
      </c>
      <c r="AJ1" s="1886" t="s">
        <v>482</v>
      </c>
      <c r="AK1" s="1887"/>
      <c r="AM1" s="121" t="s">
        <v>1171</v>
      </c>
      <c r="AN1" s="1888" t="s">
        <v>1172</v>
      </c>
      <c r="AO1" s="1888"/>
      <c r="AP1" s="1888"/>
      <c r="AQ1" s="1888"/>
      <c r="AR1" s="1888"/>
      <c r="AS1" s="1888"/>
      <c r="AT1" s="1888"/>
      <c r="AU1" s="1888"/>
      <c r="AV1" s="1888"/>
      <c r="AW1" s="1888"/>
      <c r="AX1" s="1888"/>
      <c r="AY1" s="1888"/>
      <c r="AZ1" s="1888"/>
      <c r="BK1" s="1884" t="s">
        <v>1173</v>
      </c>
      <c r="BL1" s="1885"/>
    </row>
    <row r="2" spans="1:64" ht="182.25" customHeight="1" thickBot="1" x14ac:dyDescent="0.3">
      <c r="B2" s="123" t="s">
        <v>1033</v>
      </c>
      <c r="C2" s="120" t="s">
        <v>578</v>
      </c>
      <c r="D2" s="124" t="s">
        <v>579</v>
      </c>
      <c r="E2" s="120" t="s">
        <v>453</v>
      </c>
      <c r="F2" s="125"/>
      <c r="G2" s="125" t="s">
        <v>37</v>
      </c>
      <c r="H2" s="125"/>
      <c r="I2" s="124" t="s">
        <v>38</v>
      </c>
      <c r="J2" s="120"/>
      <c r="K2" s="125" t="s">
        <v>1158</v>
      </c>
      <c r="L2" s="125"/>
      <c r="M2" s="125" t="s">
        <v>1160</v>
      </c>
      <c r="N2" s="125"/>
      <c r="O2" s="125"/>
      <c r="P2" s="125"/>
      <c r="Q2" s="124" t="s">
        <v>1165</v>
      </c>
      <c r="R2" s="126"/>
      <c r="S2" s="801" t="s">
        <v>246</v>
      </c>
      <c r="T2" s="802" t="s">
        <v>247</v>
      </c>
      <c r="U2" s="802" t="s">
        <v>248</v>
      </c>
      <c r="V2" s="802" t="s">
        <v>249</v>
      </c>
      <c r="W2" s="802" t="s">
        <v>250</v>
      </c>
      <c r="X2" s="802" t="s">
        <v>251</v>
      </c>
      <c r="Y2" s="802" t="s">
        <v>252</v>
      </c>
      <c r="Z2" s="802" t="s">
        <v>253</v>
      </c>
      <c r="AA2" s="802" t="s">
        <v>254</v>
      </c>
      <c r="AB2" s="802" t="s">
        <v>255</v>
      </c>
      <c r="AC2" s="802" t="s">
        <v>256</v>
      </c>
      <c r="AD2" s="802" t="s">
        <v>1174</v>
      </c>
      <c r="AE2" s="802" t="s">
        <v>258</v>
      </c>
      <c r="AF2" s="120" t="s">
        <v>581</v>
      </c>
      <c r="AG2" s="124" t="s">
        <v>582</v>
      </c>
      <c r="AH2" s="1751"/>
      <c r="AJ2" s="120" t="s">
        <v>1175</v>
      </c>
      <c r="AK2" s="124" t="s">
        <v>1176</v>
      </c>
      <c r="AM2" s="127" t="s">
        <v>1177</v>
      </c>
      <c r="AN2" s="116" t="s">
        <v>246</v>
      </c>
      <c r="AO2" s="116" t="s">
        <v>247</v>
      </c>
      <c r="AP2" s="116" t="s">
        <v>248</v>
      </c>
      <c r="AQ2" s="116" t="s">
        <v>249</v>
      </c>
      <c r="AR2" s="116" t="s">
        <v>250</v>
      </c>
      <c r="AS2" s="116" t="s">
        <v>251</v>
      </c>
      <c r="AT2" s="116" t="s">
        <v>252</v>
      </c>
      <c r="AU2" s="116" t="s">
        <v>253</v>
      </c>
      <c r="AV2" s="116" t="s">
        <v>254</v>
      </c>
      <c r="AW2" s="116" t="s">
        <v>255</v>
      </c>
      <c r="AX2" s="116" t="s">
        <v>256</v>
      </c>
      <c r="AY2" s="116" t="s">
        <v>1174</v>
      </c>
      <c r="AZ2" s="116" t="s">
        <v>258</v>
      </c>
      <c r="BK2" s="63" t="s">
        <v>1178</v>
      </c>
      <c r="BL2" s="63" t="s">
        <v>1179</v>
      </c>
    </row>
    <row r="3" spans="1:64" ht="30.75" customHeight="1" thickBot="1" x14ac:dyDescent="0.3">
      <c r="A3" s="128"/>
      <c r="B3" s="384" t="s">
        <v>246</v>
      </c>
      <c r="C3" s="356" t="s">
        <v>601</v>
      </c>
      <c r="D3" s="357">
        <v>8</v>
      </c>
      <c r="E3" s="358">
        <v>1</v>
      </c>
      <c r="F3" s="359"/>
      <c r="G3" s="359">
        <v>10</v>
      </c>
      <c r="H3" s="359"/>
      <c r="I3" s="357">
        <v>20</v>
      </c>
      <c r="J3" s="358"/>
      <c r="K3" s="359">
        <v>6</v>
      </c>
      <c r="L3" s="359"/>
      <c r="M3" s="359">
        <v>10</v>
      </c>
      <c r="N3" s="359"/>
      <c r="O3" s="359"/>
      <c r="P3" s="359"/>
      <c r="Q3" s="357">
        <v>4</v>
      </c>
      <c r="R3" s="360"/>
      <c r="S3" s="803" t="s">
        <v>1180</v>
      </c>
      <c r="T3" s="372" t="s">
        <v>1180</v>
      </c>
      <c r="U3" s="372" t="s">
        <v>1180</v>
      </c>
      <c r="V3" s="372" t="s">
        <v>1180</v>
      </c>
      <c r="W3" s="372" t="s">
        <v>1180</v>
      </c>
      <c r="X3" s="372" t="s">
        <v>1180</v>
      </c>
      <c r="Y3" s="372" t="s">
        <v>1180</v>
      </c>
      <c r="Z3" s="372" t="s">
        <v>1180</v>
      </c>
      <c r="AA3" s="372" t="s">
        <v>1180</v>
      </c>
      <c r="AB3" s="372" t="s">
        <v>1180</v>
      </c>
      <c r="AC3" s="372" t="s">
        <v>1180</v>
      </c>
      <c r="AD3" s="372" t="s">
        <v>1180</v>
      </c>
      <c r="AE3" s="804" t="s">
        <v>1180</v>
      </c>
      <c r="AF3" s="362" t="s">
        <v>295</v>
      </c>
      <c r="AG3" s="363" t="s">
        <v>295</v>
      </c>
      <c r="AH3" s="364" t="s">
        <v>1181</v>
      </c>
      <c r="AJ3" s="130" t="s">
        <v>38</v>
      </c>
      <c r="AK3" s="369">
        <v>3</v>
      </c>
      <c r="AM3" s="129" t="s">
        <v>246</v>
      </c>
      <c r="AN3" s="361" t="s">
        <v>1182</v>
      </c>
      <c r="AO3" s="372" t="s">
        <v>1183</v>
      </c>
      <c r="AP3" s="361" t="s">
        <v>1183</v>
      </c>
      <c r="AQ3" s="372" t="s">
        <v>1183</v>
      </c>
      <c r="AR3" s="372" t="s">
        <v>1183</v>
      </c>
      <c r="AS3" s="372" t="s">
        <v>1183</v>
      </c>
      <c r="AT3" s="372" t="s">
        <v>1183</v>
      </c>
      <c r="AU3" s="372" t="s">
        <v>1183</v>
      </c>
      <c r="AV3" s="372" t="s">
        <v>1183</v>
      </c>
      <c r="AW3" s="372" t="s">
        <v>1183</v>
      </c>
      <c r="AX3" s="372" t="s">
        <v>1183</v>
      </c>
      <c r="AY3" s="372" t="s">
        <v>1183</v>
      </c>
      <c r="AZ3" s="372" t="s">
        <v>1183</v>
      </c>
      <c r="BJ3" s="122" t="s">
        <v>1178</v>
      </c>
      <c r="BK3" s="131" t="s">
        <v>38</v>
      </c>
      <c r="BL3" s="131" t="s">
        <v>453</v>
      </c>
    </row>
    <row r="4" spans="1:64" ht="54.6" customHeight="1" thickBot="1" x14ac:dyDescent="0.3">
      <c r="A4" s="128"/>
      <c r="B4" s="385" t="s">
        <v>247</v>
      </c>
      <c r="C4" s="317" t="s">
        <v>292</v>
      </c>
      <c r="D4" s="363">
        <v>6</v>
      </c>
      <c r="E4" s="362">
        <v>1</v>
      </c>
      <c r="F4" s="322"/>
      <c r="G4" s="322">
        <v>10</v>
      </c>
      <c r="H4" s="322"/>
      <c r="I4" s="363">
        <v>20</v>
      </c>
      <c r="J4" s="362"/>
      <c r="K4" s="322">
        <v>6</v>
      </c>
      <c r="L4" s="322"/>
      <c r="M4" s="322">
        <v>10</v>
      </c>
      <c r="N4" s="322"/>
      <c r="O4" s="322"/>
      <c r="P4" s="322"/>
      <c r="Q4" s="363">
        <v>4</v>
      </c>
      <c r="R4" s="365"/>
      <c r="S4" s="362">
        <v>5</v>
      </c>
      <c r="T4" s="372" t="s">
        <v>1180</v>
      </c>
      <c r="U4" s="372" t="s">
        <v>1180</v>
      </c>
      <c r="V4" s="372" t="s">
        <v>1180</v>
      </c>
      <c r="W4" s="372" t="s">
        <v>1180</v>
      </c>
      <c r="X4" s="372" t="s">
        <v>1180</v>
      </c>
      <c r="Y4" s="372" t="s">
        <v>1180</v>
      </c>
      <c r="Z4" s="372" t="s">
        <v>1180</v>
      </c>
      <c r="AA4" s="372" t="s">
        <v>1180</v>
      </c>
      <c r="AB4" s="372" t="s">
        <v>1180</v>
      </c>
      <c r="AC4" s="372" t="s">
        <v>1180</v>
      </c>
      <c r="AD4" s="372" t="s">
        <v>1180</v>
      </c>
      <c r="AE4" s="804" t="s">
        <v>1180</v>
      </c>
      <c r="AF4" s="362" t="s">
        <v>295</v>
      </c>
      <c r="AG4" s="363" t="s">
        <v>295</v>
      </c>
      <c r="AH4" s="366" t="s">
        <v>321</v>
      </c>
      <c r="AJ4" s="61" t="s">
        <v>37</v>
      </c>
      <c r="AK4" s="370">
        <v>2</v>
      </c>
      <c r="AM4" s="129" t="s">
        <v>247</v>
      </c>
      <c r="AN4" s="301" t="s">
        <v>1184</v>
      </c>
      <c r="AO4" s="372" t="s">
        <v>1185</v>
      </c>
      <c r="AP4" s="301" t="s">
        <v>1186</v>
      </c>
      <c r="AQ4" s="301" t="s">
        <v>1186</v>
      </c>
      <c r="AR4" s="372" t="s">
        <v>1183</v>
      </c>
      <c r="AS4" s="372" t="s">
        <v>1183</v>
      </c>
      <c r="AT4" s="372" t="s">
        <v>1183</v>
      </c>
      <c r="AU4" s="372" t="s">
        <v>1183</v>
      </c>
      <c r="AV4" s="372" t="s">
        <v>1183</v>
      </c>
      <c r="AW4" s="372" t="s">
        <v>1183</v>
      </c>
      <c r="AX4" s="372" t="s">
        <v>1183</v>
      </c>
      <c r="AY4" s="372" t="s">
        <v>1183</v>
      </c>
      <c r="AZ4" s="372" t="s">
        <v>1183</v>
      </c>
      <c r="BJ4" s="122" t="s">
        <v>1178</v>
      </c>
      <c r="BK4" s="131" t="s">
        <v>37</v>
      </c>
    </row>
    <row r="5" spans="1:64" ht="51.6" customHeight="1" thickBot="1" x14ac:dyDescent="0.3">
      <c r="A5" s="128"/>
      <c r="B5" s="385" t="s">
        <v>248</v>
      </c>
      <c r="C5" s="317" t="s">
        <v>292</v>
      </c>
      <c r="D5" s="363">
        <v>6</v>
      </c>
      <c r="E5" s="362">
        <v>1</v>
      </c>
      <c r="F5" s="322"/>
      <c r="G5" s="322">
        <v>5</v>
      </c>
      <c r="H5" s="322"/>
      <c r="I5" s="363">
        <v>12</v>
      </c>
      <c r="J5" s="362"/>
      <c r="K5" s="322">
        <v>3</v>
      </c>
      <c r="L5" s="322"/>
      <c r="M5" s="322">
        <v>5</v>
      </c>
      <c r="N5" s="322"/>
      <c r="O5" s="322"/>
      <c r="P5" s="322"/>
      <c r="Q5" s="363">
        <v>2</v>
      </c>
      <c r="R5" s="365"/>
      <c r="S5" s="362">
        <v>10</v>
      </c>
      <c r="T5" s="372" t="s">
        <v>1180</v>
      </c>
      <c r="U5" s="372" t="s">
        <v>1180</v>
      </c>
      <c r="V5" s="372" t="s">
        <v>1180</v>
      </c>
      <c r="W5" s="372" t="s">
        <v>1180</v>
      </c>
      <c r="X5" s="372" t="s">
        <v>1180</v>
      </c>
      <c r="Y5" s="372" t="s">
        <v>1180</v>
      </c>
      <c r="Z5" s="372" t="s">
        <v>1180</v>
      </c>
      <c r="AA5" s="372" t="s">
        <v>1180</v>
      </c>
      <c r="AB5" s="372" t="s">
        <v>1180</v>
      </c>
      <c r="AC5" s="372" t="s">
        <v>1180</v>
      </c>
      <c r="AD5" s="372" t="s">
        <v>1180</v>
      </c>
      <c r="AE5" s="804" t="s">
        <v>1180</v>
      </c>
      <c r="AF5" s="362" t="s">
        <v>295</v>
      </c>
      <c r="AG5" s="363" t="s">
        <v>295</v>
      </c>
      <c r="AH5" s="366" t="s">
        <v>321</v>
      </c>
      <c r="AJ5" s="63" t="s">
        <v>453</v>
      </c>
      <c r="AK5" s="371">
        <v>1</v>
      </c>
      <c r="AM5" s="129" t="s">
        <v>248</v>
      </c>
      <c r="AN5" s="361" t="s">
        <v>1184</v>
      </c>
      <c r="AO5" s="301" t="s">
        <v>1186</v>
      </c>
      <c r="AP5" s="301" t="s">
        <v>1185</v>
      </c>
      <c r="AQ5" s="301" t="s">
        <v>1186</v>
      </c>
      <c r="AR5" s="372" t="s">
        <v>1183</v>
      </c>
      <c r="AS5" s="372" t="s">
        <v>1183</v>
      </c>
      <c r="AT5" s="372" t="s">
        <v>1183</v>
      </c>
      <c r="AU5" s="372" t="s">
        <v>1183</v>
      </c>
      <c r="AV5" s="372" t="s">
        <v>1183</v>
      </c>
      <c r="AW5" s="372" t="s">
        <v>1183</v>
      </c>
      <c r="AX5" s="372" t="s">
        <v>1183</v>
      </c>
      <c r="AY5" s="372" t="s">
        <v>1183</v>
      </c>
      <c r="AZ5" s="372" t="s">
        <v>1183</v>
      </c>
      <c r="BJ5" s="122" t="s">
        <v>1178</v>
      </c>
      <c r="BK5" s="131" t="s">
        <v>453</v>
      </c>
    </row>
    <row r="6" spans="1:64" ht="55.5" customHeight="1" thickBot="1" x14ac:dyDescent="0.3">
      <c r="A6" s="128"/>
      <c r="B6" s="385" t="s">
        <v>249</v>
      </c>
      <c r="C6" s="317" t="s">
        <v>292</v>
      </c>
      <c r="D6" s="363">
        <v>6</v>
      </c>
      <c r="E6" s="362">
        <v>1</v>
      </c>
      <c r="F6" s="322"/>
      <c r="G6" s="322">
        <v>10</v>
      </c>
      <c r="H6" s="322"/>
      <c r="I6" s="363">
        <v>20</v>
      </c>
      <c r="J6" s="362"/>
      <c r="K6" s="322">
        <v>6</v>
      </c>
      <c r="L6" s="322"/>
      <c r="M6" s="322">
        <v>10</v>
      </c>
      <c r="N6" s="322"/>
      <c r="O6" s="322"/>
      <c r="P6" s="322"/>
      <c r="Q6" s="363">
        <v>4</v>
      </c>
      <c r="R6" s="365"/>
      <c r="S6" s="362">
        <v>5</v>
      </c>
      <c r="T6" s="372" t="s">
        <v>1180</v>
      </c>
      <c r="U6" s="372" t="s">
        <v>1180</v>
      </c>
      <c r="V6" s="372" t="s">
        <v>1180</v>
      </c>
      <c r="W6" s="372" t="s">
        <v>1180</v>
      </c>
      <c r="X6" s="372" t="s">
        <v>1180</v>
      </c>
      <c r="Y6" s="372" t="s">
        <v>1180</v>
      </c>
      <c r="Z6" s="372" t="s">
        <v>1180</v>
      </c>
      <c r="AA6" s="372" t="s">
        <v>1180</v>
      </c>
      <c r="AB6" s="372" t="s">
        <v>1180</v>
      </c>
      <c r="AC6" s="372" t="s">
        <v>1180</v>
      </c>
      <c r="AD6" s="372" t="s">
        <v>1180</v>
      </c>
      <c r="AE6" s="804" t="s">
        <v>1180</v>
      </c>
      <c r="AF6" s="362" t="s">
        <v>295</v>
      </c>
      <c r="AG6" s="363" t="s">
        <v>295</v>
      </c>
      <c r="AH6" s="366" t="s">
        <v>321</v>
      </c>
      <c r="AM6" s="129" t="s">
        <v>249</v>
      </c>
      <c r="AN6" s="301" t="s">
        <v>1184</v>
      </c>
      <c r="AO6" s="301" t="s">
        <v>1186</v>
      </c>
      <c r="AP6" s="301" t="s">
        <v>1186</v>
      </c>
      <c r="AQ6" s="372" t="s">
        <v>1185</v>
      </c>
      <c r="AR6" s="372" t="s">
        <v>1183</v>
      </c>
      <c r="AS6" s="372" t="s">
        <v>1183</v>
      </c>
      <c r="AT6" s="372" t="s">
        <v>1183</v>
      </c>
      <c r="AU6" s="372" t="s">
        <v>1183</v>
      </c>
      <c r="AV6" s="372" t="s">
        <v>1183</v>
      </c>
      <c r="AW6" s="372" t="s">
        <v>1183</v>
      </c>
      <c r="AX6" s="372" t="s">
        <v>1183</v>
      </c>
      <c r="AY6" s="372" t="s">
        <v>1183</v>
      </c>
      <c r="AZ6" s="372" t="s">
        <v>1183</v>
      </c>
      <c r="BJ6" s="122" t="s">
        <v>1178</v>
      </c>
    </row>
    <row r="7" spans="1:64" ht="42" thickBot="1" x14ac:dyDescent="0.3">
      <c r="A7" s="128"/>
      <c r="B7" s="385" t="s">
        <v>250</v>
      </c>
      <c r="C7" s="317" t="s">
        <v>40</v>
      </c>
      <c r="D7" s="363">
        <v>4</v>
      </c>
      <c r="E7" s="362">
        <v>1</v>
      </c>
      <c r="F7" s="322"/>
      <c r="G7" s="322">
        <v>5</v>
      </c>
      <c r="H7" s="322"/>
      <c r="I7" s="363">
        <v>12</v>
      </c>
      <c r="J7" s="362"/>
      <c r="K7" s="322">
        <v>3</v>
      </c>
      <c r="L7" s="322"/>
      <c r="M7" s="322">
        <v>5</v>
      </c>
      <c r="N7" s="322"/>
      <c r="O7" s="322"/>
      <c r="P7" s="322"/>
      <c r="Q7" s="363">
        <v>2</v>
      </c>
      <c r="R7" s="365"/>
      <c r="S7" s="362">
        <v>10</v>
      </c>
      <c r="T7" s="322">
        <v>10</v>
      </c>
      <c r="U7" s="322">
        <v>5</v>
      </c>
      <c r="V7" s="372" t="s">
        <v>1180</v>
      </c>
      <c r="W7" s="372" t="s">
        <v>1180</v>
      </c>
      <c r="X7" s="372" t="s">
        <v>1180</v>
      </c>
      <c r="Y7" s="372" t="s">
        <v>1180</v>
      </c>
      <c r="Z7" s="372" t="s">
        <v>1180</v>
      </c>
      <c r="AA7" s="372" t="s">
        <v>1180</v>
      </c>
      <c r="AB7" s="372" t="s">
        <v>1180</v>
      </c>
      <c r="AC7" s="372" t="s">
        <v>1180</v>
      </c>
      <c r="AD7" s="372" t="s">
        <v>1180</v>
      </c>
      <c r="AE7" s="804" t="s">
        <v>1180</v>
      </c>
      <c r="AF7" s="362" t="s">
        <v>295</v>
      </c>
      <c r="AG7" s="363" t="s">
        <v>295</v>
      </c>
      <c r="AH7" s="366" t="s">
        <v>1187</v>
      </c>
      <c r="AM7" s="129" t="s">
        <v>250</v>
      </c>
      <c r="AN7" s="372" t="s">
        <v>1188</v>
      </c>
      <c r="AO7" s="301" t="s">
        <v>1189</v>
      </c>
      <c r="AP7" s="301" t="s">
        <v>1189</v>
      </c>
      <c r="AQ7" s="301" t="s">
        <v>1186</v>
      </c>
      <c r="AR7" s="301" t="s">
        <v>1190</v>
      </c>
      <c r="AS7" s="301" t="s">
        <v>1186</v>
      </c>
      <c r="AT7" s="301" t="s">
        <v>1186</v>
      </c>
      <c r="AU7" s="301" t="s">
        <v>1186</v>
      </c>
      <c r="AV7" s="301" t="s">
        <v>1186</v>
      </c>
      <c r="AW7" s="372" t="s">
        <v>1183</v>
      </c>
      <c r="AX7" s="372" t="s">
        <v>1183</v>
      </c>
      <c r="AY7" s="372" t="s">
        <v>1183</v>
      </c>
      <c r="AZ7" s="372" t="s">
        <v>1183</v>
      </c>
      <c r="BJ7" s="122" t="s">
        <v>1178</v>
      </c>
    </row>
    <row r="8" spans="1:64" ht="42" thickBot="1" x14ac:dyDescent="0.3">
      <c r="A8" s="128"/>
      <c r="B8" s="385" t="s">
        <v>251</v>
      </c>
      <c r="C8" s="317" t="s">
        <v>40</v>
      </c>
      <c r="D8" s="363">
        <v>4</v>
      </c>
      <c r="E8" s="362">
        <v>1</v>
      </c>
      <c r="F8" s="322"/>
      <c r="G8" s="322">
        <v>5</v>
      </c>
      <c r="H8" s="322"/>
      <c r="I8" s="363">
        <v>12</v>
      </c>
      <c r="J8" s="362"/>
      <c r="K8" s="322">
        <v>3</v>
      </c>
      <c r="L8" s="322"/>
      <c r="M8" s="322">
        <v>5</v>
      </c>
      <c r="N8" s="322"/>
      <c r="O8" s="322"/>
      <c r="P8" s="322"/>
      <c r="Q8" s="363">
        <v>2</v>
      </c>
      <c r="R8" s="365"/>
      <c r="S8" s="362">
        <v>10</v>
      </c>
      <c r="T8" s="372" t="s">
        <v>1180</v>
      </c>
      <c r="U8" s="322">
        <v>5</v>
      </c>
      <c r="V8" s="322">
        <v>10</v>
      </c>
      <c r="W8" s="372" t="s">
        <v>1180</v>
      </c>
      <c r="X8" s="372" t="s">
        <v>1180</v>
      </c>
      <c r="Y8" s="372" t="s">
        <v>1180</v>
      </c>
      <c r="Z8" s="372" t="s">
        <v>1180</v>
      </c>
      <c r="AA8" s="372" t="s">
        <v>1180</v>
      </c>
      <c r="AB8" s="372" t="s">
        <v>1180</v>
      </c>
      <c r="AC8" s="372" t="s">
        <v>1180</v>
      </c>
      <c r="AD8" s="372" t="s">
        <v>1180</v>
      </c>
      <c r="AE8" s="804" t="s">
        <v>1180</v>
      </c>
      <c r="AF8" s="362" t="s">
        <v>295</v>
      </c>
      <c r="AG8" s="363" t="s">
        <v>295</v>
      </c>
      <c r="AH8" s="366" t="s">
        <v>1187</v>
      </c>
      <c r="AM8" s="129" t="s">
        <v>251</v>
      </c>
      <c r="AN8" s="372" t="s">
        <v>1188</v>
      </c>
      <c r="AO8" s="301" t="s">
        <v>1186</v>
      </c>
      <c r="AP8" s="301" t="s">
        <v>1189</v>
      </c>
      <c r="AQ8" s="301" t="s">
        <v>1189</v>
      </c>
      <c r="AR8" s="301" t="s">
        <v>1186</v>
      </c>
      <c r="AS8" s="301" t="s">
        <v>1190</v>
      </c>
      <c r="AT8" s="301" t="s">
        <v>1186</v>
      </c>
      <c r="AU8" s="301" t="s">
        <v>1186</v>
      </c>
      <c r="AV8" s="301" t="s">
        <v>1186</v>
      </c>
      <c r="AW8" s="372" t="s">
        <v>1183</v>
      </c>
      <c r="AX8" s="372" t="s">
        <v>1183</v>
      </c>
      <c r="AY8" s="372" t="s">
        <v>1183</v>
      </c>
      <c r="AZ8" s="372" t="s">
        <v>1183</v>
      </c>
      <c r="BJ8" s="122" t="s">
        <v>1178</v>
      </c>
    </row>
    <row r="9" spans="1:64" ht="48.6" customHeight="1" thickBot="1" x14ac:dyDescent="0.3">
      <c r="B9" s="385" t="s">
        <v>252</v>
      </c>
      <c r="C9" s="317" t="s">
        <v>40</v>
      </c>
      <c r="D9" s="363">
        <v>4</v>
      </c>
      <c r="E9" s="362">
        <v>1</v>
      </c>
      <c r="F9" s="322"/>
      <c r="G9" s="322">
        <v>10</v>
      </c>
      <c r="H9" s="322"/>
      <c r="I9" s="363">
        <v>20</v>
      </c>
      <c r="J9" s="362"/>
      <c r="K9" s="322">
        <v>6</v>
      </c>
      <c r="L9" s="322"/>
      <c r="M9" s="322">
        <v>10</v>
      </c>
      <c r="N9" s="322"/>
      <c r="O9" s="322"/>
      <c r="P9" s="322"/>
      <c r="Q9" s="363">
        <v>4</v>
      </c>
      <c r="R9" s="365"/>
      <c r="S9" s="362">
        <v>5</v>
      </c>
      <c r="T9" s="322">
        <v>5</v>
      </c>
      <c r="U9" s="322">
        <v>5</v>
      </c>
      <c r="V9" s="322">
        <v>5</v>
      </c>
      <c r="W9" s="372" t="s">
        <v>1180</v>
      </c>
      <c r="X9" s="372" t="s">
        <v>1180</v>
      </c>
      <c r="Y9" s="372" t="s">
        <v>1180</v>
      </c>
      <c r="Z9" s="372" t="s">
        <v>1180</v>
      </c>
      <c r="AA9" s="372" t="s">
        <v>1180</v>
      </c>
      <c r="AB9" s="372" t="s">
        <v>1180</v>
      </c>
      <c r="AC9" s="372" t="s">
        <v>1180</v>
      </c>
      <c r="AD9" s="372" t="s">
        <v>1180</v>
      </c>
      <c r="AE9" s="804" t="s">
        <v>1180</v>
      </c>
      <c r="AF9" s="362" t="s">
        <v>295</v>
      </c>
      <c r="AG9" s="363" t="s">
        <v>295</v>
      </c>
      <c r="AH9" s="366" t="s">
        <v>1187</v>
      </c>
      <c r="AM9" s="129" t="s">
        <v>252</v>
      </c>
      <c r="AN9" s="372" t="s">
        <v>1188</v>
      </c>
      <c r="AO9" s="301" t="s">
        <v>1189</v>
      </c>
      <c r="AP9" s="301" t="s">
        <v>1189</v>
      </c>
      <c r="AQ9" s="301" t="s">
        <v>1189</v>
      </c>
      <c r="AR9" s="301" t="s">
        <v>1186</v>
      </c>
      <c r="AS9" s="301" t="s">
        <v>1186</v>
      </c>
      <c r="AT9" s="301" t="s">
        <v>1190</v>
      </c>
      <c r="AU9" s="301" t="s">
        <v>1186</v>
      </c>
      <c r="AV9" s="301" t="s">
        <v>1186</v>
      </c>
      <c r="AW9" s="372" t="s">
        <v>1183</v>
      </c>
      <c r="AX9" s="372" t="s">
        <v>1183</v>
      </c>
      <c r="AY9" s="372" t="s">
        <v>1183</v>
      </c>
      <c r="AZ9" s="372" t="s">
        <v>1183</v>
      </c>
      <c r="BJ9" s="122" t="s">
        <v>1178</v>
      </c>
    </row>
    <row r="10" spans="1:64" ht="42" thickBot="1" x14ac:dyDescent="0.3">
      <c r="B10" s="385" t="s">
        <v>253</v>
      </c>
      <c r="C10" s="317" t="s">
        <v>40</v>
      </c>
      <c r="D10" s="363">
        <v>4</v>
      </c>
      <c r="E10" s="362">
        <v>5</v>
      </c>
      <c r="F10" s="322"/>
      <c r="G10" s="322">
        <v>20</v>
      </c>
      <c r="H10" s="322"/>
      <c r="I10" s="363" t="s">
        <v>1141</v>
      </c>
      <c r="J10" s="362"/>
      <c r="K10" s="322">
        <v>20</v>
      </c>
      <c r="L10" s="322"/>
      <c r="M10" s="322">
        <v>30</v>
      </c>
      <c r="N10" s="322"/>
      <c r="O10" s="322"/>
      <c r="P10" s="322"/>
      <c r="Q10" s="363">
        <v>10</v>
      </c>
      <c r="R10" s="365"/>
      <c r="S10" s="362">
        <v>12</v>
      </c>
      <c r="T10" s="322">
        <v>12</v>
      </c>
      <c r="U10" s="372" t="s">
        <v>1180</v>
      </c>
      <c r="V10" s="322">
        <v>12</v>
      </c>
      <c r="W10" s="372" t="s">
        <v>1180</v>
      </c>
      <c r="X10" s="372" t="s">
        <v>1180</v>
      </c>
      <c r="Y10" s="372" t="s">
        <v>1180</v>
      </c>
      <c r="Z10" s="372" t="s">
        <v>1180</v>
      </c>
      <c r="AA10" s="372" t="s">
        <v>1180</v>
      </c>
      <c r="AB10" s="372" t="s">
        <v>1180</v>
      </c>
      <c r="AC10" s="372" t="s">
        <v>1180</v>
      </c>
      <c r="AD10" s="372" t="s">
        <v>1180</v>
      </c>
      <c r="AE10" s="804" t="s">
        <v>1180</v>
      </c>
      <c r="AF10" s="362" t="s">
        <v>295</v>
      </c>
      <c r="AG10" s="363" t="s">
        <v>295</v>
      </c>
      <c r="AH10" s="366" t="s">
        <v>1187</v>
      </c>
      <c r="AM10" s="129" t="s">
        <v>253</v>
      </c>
      <c r="AN10" s="372" t="s">
        <v>1188</v>
      </c>
      <c r="AO10" s="301" t="s">
        <v>1189</v>
      </c>
      <c r="AP10" s="301" t="s">
        <v>1186</v>
      </c>
      <c r="AQ10" s="301" t="s">
        <v>1189</v>
      </c>
      <c r="AR10" s="301" t="s">
        <v>1186</v>
      </c>
      <c r="AS10" s="301" t="s">
        <v>1186</v>
      </c>
      <c r="AT10" s="301" t="s">
        <v>1186</v>
      </c>
      <c r="AU10" s="301" t="s">
        <v>1190</v>
      </c>
      <c r="AV10" s="301" t="s">
        <v>1190</v>
      </c>
      <c r="AW10" s="372" t="s">
        <v>1183</v>
      </c>
      <c r="AX10" s="372" t="s">
        <v>1183</v>
      </c>
      <c r="AY10" s="372" t="s">
        <v>1183</v>
      </c>
      <c r="AZ10" s="372" t="s">
        <v>1183</v>
      </c>
      <c r="BJ10" s="122" t="s">
        <v>1178</v>
      </c>
    </row>
    <row r="11" spans="1:64" ht="42" thickBot="1" x14ac:dyDescent="0.3">
      <c r="B11" s="385" t="s">
        <v>254</v>
      </c>
      <c r="C11" s="317" t="s">
        <v>40</v>
      </c>
      <c r="D11" s="363">
        <v>4</v>
      </c>
      <c r="E11" s="362">
        <v>5</v>
      </c>
      <c r="F11" s="322"/>
      <c r="G11" s="322">
        <v>20</v>
      </c>
      <c r="H11" s="322"/>
      <c r="I11" s="363" t="s">
        <v>1141</v>
      </c>
      <c r="J11" s="362"/>
      <c r="K11" s="322">
        <v>20</v>
      </c>
      <c r="L11" s="322"/>
      <c r="M11" s="322">
        <v>30</v>
      </c>
      <c r="N11" s="322"/>
      <c r="O11" s="322"/>
      <c r="P11" s="322"/>
      <c r="Q11" s="363">
        <v>10</v>
      </c>
      <c r="R11" s="365"/>
      <c r="S11" s="362">
        <v>12</v>
      </c>
      <c r="T11" s="372" t="s">
        <v>1180</v>
      </c>
      <c r="U11" s="372" t="s">
        <v>1180</v>
      </c>
      <c r="V11" s="322">
        <v>12</v>
      </c>
      <c r="W11" s="372" t="s">
        <v>1180</v>
      </c>
      <c r="X11" s="372" t="s">
        <v>1180</v>
      </c>
      <c r="Y11" s="372" t="s">
        <v>1180</v>
      </c>
      <c r="Z11" s="372" t="s">
        <v>1180</v>
      </c>
      <c r="AA11" s="372" t="s">
        <v>1180</v>
      </c>
      <c r="AB11" s="372" t="s">
        <v>1180</v>
      </c>
      <c r="AC11" s="372" t="s">
        <v>1180</v>
      </c>
      <c r="AD11" s="372" t="s">
        <v>1180</v>
      </c>
      <c r="AE11" s="804" t="s">
        <v>1180</v>
      </c>
      <c r="AF11" s="362" t="s">
        <v>295</v>
      </c>
      <c r="AG11" s="363" t="s">
        <v>295</v>
      </c>
      <c r="AH11" s="366" t="s">
        <v>1187</v>
      </c>
      <c r="AM11" s="129" t="s">
        <v>254</v>
      </c>
      <c r="AN11" s="372" t="s">
        <v>1188</v>
      </c>
      <c r="AO11" s="301" t="s">
        <v>1186</v>
      </c>
      <c r="AP11" s="301" t="s">
        <v>1186</v>
      </c>
      <c r="AQ11" s="301" t="s">
        <v>1189</v>
      </c>
      <c r="AR11" s="301" t="s">
        <v>1186</v>
      </c>
      <c r="AS11" s="301" t="s">
        <v>1186</v>
      </c>
      <c r="AT11" s="301" t="s">
        <v>1186</v>
      </c>
      <c r="AU11" s="301" t="s">
        <v>1186</v>
      </c>
      <c r="AV11" s="301" t="s">
        <v>1190</v>
      </c>
      <c r="AW11" s="372" t="s">
        <v>1183</v>
      </c>
      <c r="AX11" s="372" t="s">
        <v>1183</v>
      </c>
      <c r="AY11" s="372" t="s">
        <v>1183</v>
      </c>
      <c r="AZ11" s="372" t="s">
        <v>1183</v>
      </c>
      <c r="BJ11" s="122" t="s">
        <v>1178</v>
      </c>
    </row>
    <row r="12" spans="1:64" ht="42" thickBot="1" x14ac:dyDescent="0.3">
      <c r="B12" s="385" t="s">
        <v>255</v>
      </c>
      <c r="C12" s="317" t="s">
        <v>295</v>
      </c>
      <c r="D12" s="363">
        <v>2</v>
      </c>
      <c r="E12" s="362">
        <v>1</v>
      </c>
      <c r="F12" s="322"/>
      <c r="G12" s="322">
        <v>5</v>
      </c>
      <c r="H12" s="322"/>
      <c r="I12" s="363">
        <v>12</v>
      </c>
      <c r="J12" s="362"/>
      <c r="K12" s="322">
        <v>3</v>
      </c>
      <c r="L12" s="322"/>
      <c r="M12" s="322">
        <v>5</v>
      </c>
      <c r="N12" s="322"/>
      <c r="O12" s="322"/>
      <c r="P12" s="322"/>
      <c r="Q12" s="363">
        <v>2</v>
      </c>
      <c r="R12" s="365"/>
      <c r="S12" s="362">
        <v>10</v>
      </c>
      <c r="T12" s="322">
        <v>10</v>
      </c>
      <c r="U12" s="322">
        <v>5</v>
      </c>
      <c r="V12" s="322">
        <v>10</v>
      </c>
      <c r="W12" s="322">
        <v>5</v>
      </c>
      <c r="X12" s="322">
        <v>6</v>
      </c>
      <c r="Y12" s="322">
        <v>10</v>
      </c>
      <c r="Z12" s="372" t="s">
        <v>1180</v>
      </c>
      <c r="AA12" s="372" t="s">
        <v>1180</v>
      </c>
      <c r="AB12" s="372" t="s">
        <v>1180</v>
      </c>
      <c r="AC12" s="372" t="s">
        <v>1180</v>
      </c>
      <c r="AD12" s="372" t="s">
        <v>1180</v>
      </c>
      <c r="AE12" s="804" t="s">
        <v>1180</v>
      </c>
      <c r="AF12" s="362" t="s">
        <v>295</v>
      </c>
      <c r="AG12" s="363" t="s">
        <v>295</v>
      </c>
      <c r="AH12" s="366" t="s">
        <v>1187</v>
      </c>
      <c r="AM12" s="129" t="s">
        <v>255</v>
      </c>
      <c r="AN12" s="372" t="s">
        <v>1191</v>
      </c>
      <c r="AO12" s="372" t="s">
        <v>1192</v>
      </c>
      <c r="AP12" s="372" t="s">
        <v>1192</v>
      </c>
      <c r="AQ12" s="372" t="s">
        <v>1192</v>
      </c>
      <c r="AR12" s="372" t="s">
        <v>1193</v>
      </c>
      <c r="AS12" s="372" t="s">
        <v>1193</v>
      </c>
      <c r="AT12" s="372" t="s">
        <v>1193</v>
      </c>
      <c r="AU12" s="301" t="s">
        <v>1186</v>
      </c>
      <c r="AV12" s="301" t="s">
        <v>1186</v>
      </c>
      <c r="AW12" s="301" t="s">
        <v>1194</v>
      </c>
      <c r="AX12" s="301" t="s">
        <v>1186</v>
      </c>
      <c r="AY12" s="301" t="s">
        <v>1186</v>
      </c>
      <c r="AZ12" s="372" t="s">
        <v>1183</v>
      </c>
      <c r="BJ12" s="122" t="s">
        <v>1178</v>
      </c>
    </row>
    <row r="13" spans="1:64" ht="42" thickBot="1" x14ac:dyDescent="0.3">
      <c r="B13" s="385" t="s">
        <v>256</v>
      </c>
      <c r="C13" s="317" t="s">
        <v>295</v>
      </c>
      <c r="D13" s="363">
        <v>2</v>
      </c>
      <c r="E13" s="362">
        <v>5</v>
      </c>
      <c r="F13" s="322"/>
      <c r="G13" s="322">
        <v>20</v>
      </c>
      <c r="H13" s="322"/>
      <c r="I13" s="363" t="s">
        <v>1141</v>
      </c>
      <c r="J13" s="362"/>
      <c r="K13" s="322">
        <v>20</v>
      </c>
      <c r="L13" s="322"/>
      <c r="M13" s="322">
        <v>30</v>
      </c>
      <c r="N13" s="322"/>
      <c r="O13" s="322"/>
      <c r="P13" s="322"/>
      <c r="Q13" s="363">
        <v>10</v>
      </c>
      <c r="R13" s="365"/>
      <c r="S13" s="362">
        <v>12</v>
      </c>
      <c r="T13" s="322">
        <v>12</v>
      </c>
      <c r="U13" s="372" t="s">
        <v>1180</v>
      </c>
      <c r="V13" s="322">
        <v>12</v>
      </c>
      <c r="W13" s="372" t="s">
        <v>1180</v>
      </c>
      <c r="X13" s="372" t="s">
        <v>1180</v>
      </c>
      <c r="Y13" s="322">
        <v>12</v>
      </c>
      <c r="Z13" s="372" t="s">
        <v>1180</v>
      </c>
      <c r="AA13" s="372" t="s">
        <v>1180</v>
      </c>
      <c r="AB13" s="372" t="s">
        <v>1180</v>
      </c>
      <c r="AC13" s="372" t="s">
        <v>1180</v>
      </c>
      <c r="AD13" s="372" t="s">
        <v>1180</v>
      </c>
      <c r="AE13" s="804" t="s">
        <v>1180</v>
      </c>
      <c r="AF13" s="362" t="s">
        <v>295</v>
      </c>
      <c r="AG13" s="363" t="s">
        <v>295</v>
      </c>
      <c r="AH13" s="366" t="s">
        <v>1187</v>
      </c>
      <c r="AM13" s="129" t="s">
        <v>256</v>
      </c>
      <c r="AN13" s="372" t="s">
        <v>1191</v>
      </c>
      <c r="AO13" s="372" t="s">
        <v>1192</v>
      </c>
      <c r="AP13" s="301" t="s">
        <v>1186</v>
      </c>
      <c r="AQ13" s="372" t="s">
        <v>1192</v>
      </c>
      <c r="AR13" s="301" t="s">
        <v>1186</v>
      </c>
      <c r="AS13" s="301" t="s">
        <v>1186</v>
      </c>
      <c r="AT13" s="372" t="s">
        <v>1193</v>
      </c>
      <c r="AU13" s="301" t="s">
        <v>1186</v>
      </c>
      <c r="AV13" s="301" t="s">
        <v>1186</v>
      </c>
      <c r="AW13" s="301" t="s">
        <v>1186</v>
      </c>
      <c r="AX13" s="301" t="s">
        <v>1194</v>
      </c>
      <c r="AY13" s="301" t="s">
        <v>1194</v>
      </c>
      <c r="AZ13" s="372" t="s">
        <v>1183</v>
      </c>
      <c r="BJ13" s="122" t="s">
        <v>1178</v>
      </c>
    </row>
    <row r="14" spans="1:64" ht="42" thickBot="1" x14ac:dyDescent="0.3">
      <c r="B14" s="385" t="s">
        <v>1174</v>
      </c>
      <c r="C14" s="317" t="s">
        <v>295</v>
      </c>
      <c r="D14" s="363">
        <v>2</v>
      </c>
      <c r="E14" s="362">
        <v>5</v>
      </c>
      <c r="F14" s="322"/>
      <c r="G14" s="322">
        <v>20</v>
      </c>
      <c r="H14" s="322"/>
      <c r="I14" s="363" t="s">
        <v>1141</v>
      </c>
      <c r="J14" s="362"/>
      <c r="K14" s="322">
        <v>20</v>
      </c>
      <c r="L14" s="322"/>
      <c r="M14" s="322">
        <v>30</v>
      </c>
      <c r="N14" s="322"/>
      <c r="O14" s="322"/>
      <c r="P14" s="322"/>
      <c r="Q14" s="363">
        <v>10</v>
      </c>
      <c r="R14" s="365"/>
      <c r="S14" s="362">
        <v>12</v>
      </c>
      <c r="T14" s="372" t="s">
        <v>1180</v>
      </c>
      <c r="U14" s="372" t="s">
        <v>1180</v>
      </c>
      <c r="V14" s="322">
        <v>12</v>
      </c>
      <c r="W14" s="372" t="s">
        <v>1180</v>
      </c>
      <c r="X14" s="372" t="s">
        <v>1180</v>
      </c>
      <c r="Y14" s="322">
        <v>12</v>
      </c>
      <c r="Z14" s="372" t="s">
        <v>1180</v>
      </c>
      <c r="AA14" s="372" t="s">
        <v>1180</v>
      </c>
      <c r="AB14" s="372" t="s">
        <v>1180</v>
      </c>
      <c r="AC14" s="372" t="s">
        <v>1180</v>
      </c>
      <c r="AD14" s="372" t="s">
        <v>1180</v>
      </c>
      <c r="AE14" s="804" t="s">
        <v>1180</v>
      </c>
      <c r="AF14" s="362" t="s">
        <v>295</v>
      </c>
      <c r="AG14" s="363" t="s">
        <v>295</v>
      </c>
      <c r="AH14" s="366" t="s">
        <v>1187</v>
      </c>
      <c r="AM14" s="129" t="s">
        <v>1174</v>
      </c>
      <c r="AN14" s="372" t="s">
        <v>1191</v>
      </c>
      <c r="AO14" s="301" t="s">
        <v>1186</v>
      </c>
      <c r="AP14" s="301" t="s">
        <v>1186</v>
      </c>
      <c r="AQ14" s="372" t="s">
        <v>1192</v>
      </c>
      <c r="AR14" s="301" t="s">
        <v>1186</v>
      </c>
      <c r="AS14" s="301" t="s">
        <v>1186</v>
      </c>
      <c r="AT14" s="301" t="s">
        <v>1186</v>
      </c>
      <c r="AU14" s="301" t="s">
        <v>1186</v>
      </c>
      <c r="AV14" s="301" t="s">
        <v>1186</v>
      </c>
      <c r="AW14" s="301" t="s">
        <v>1186</v>
      </c>
      <c r="AX14" s="301" t="s">
        <v>1186</v>
      </c>
      <c r="AY14" s="301" t="s">
        <v>1194</v>
      </c>
      <c r="AZ14" s="372" t="s">
        <v>1183</v>
      </c>
      <c r="BJ14" s="122" t="s">
        <v>1178</v>
      </c>
    </row>
    <row r="15" spans="1:64" ht="42" thickBot="1" x14ac:dyDescent="0.3">
      <c r="B15" s="386" t="s">
        <v>258</v>
      </c>
      <c r="C15" s="283" t="s">
        <v>618</v>
      </c>
      <c r="D15" s="355">
        <v>1</v>
      </c>
      <c r="E15" s="367">
        <v>1</v>
      </c>
      <c r="F15" s="307"/>
      <c r="G15" s="307" t="s">
        <v>1195</v>
      </c>
      <c r="H15" s="307"/>
      <c r="I15" s="355" t="s">
        <v>1195</v>
      </c>
      <c r="J15" s="367"/>
      <c r="K15" s="307" t="s">
        <v>1195</v>
      </c>
      <c r="L15" s="307"/>
      <c r="M15" s="307" t="s">
        <v>1195</v>
      </c>
      <c r="N15" s="307"/>
      <c r="O15" s="307"/>
      <c r="P15" s="307"/>
      <c r="Q15" s="355" t="s">
        <v>1195</v>
      </c>
      <c r="R15" s="368"/>
      <c r="S15" s="805" t="s">
        <v>1180</v>
      </c>
      <c r="T15" s="806" t="s">
        <v>1180</v>
      </c>
      <c r="U15" s="806" t="s">
        <v>1180</v>
      </c>
      <c r="V15" s="806" t="s">
        <v>1180</v>
      </c>
      <c r="W15" s="806" t="s">
        <v>1180</v>
      </c>
      <c r="X15" s="806" t="s">
        <v>1180</v>
      </c>
      <c r="Y15" s="806" t="s">
        <v>1180</v>
      </c>
      <c r="Z15" s="806" t="s">
        <v>1180</v>
      </c>
      <c r="AA15" s="806" t="s">
        <v>1180</v>
      </c>
      <c r="AB15" s="806" t="s">
        <v>1180</v>
      </c>
      <c r="AC15" s="806" t="s">
        <v>1180</v>
      </c>
      <c r="AD15" s="806" t="s">
        <v>1180</v>
      </c>
      <c r="AE15" s="807" t="s">
        <v>1180</v>
      </c>
      <c r="AF15" s="367" t="s">
        <v>295</v>
      </c>
      <c r="AG15" s="355" t="s">
        <v>295</v>
      </c>
      <c r="AH15" s="343" t="s">
        <v>1187</v>
      </c>
      <c r="AM15" s="129" t="s">
        <v>258</v>
      </c>
      <c r="AN15" s="301" t="s">
        <v>1186</v>
      </c>
      <c r="AO15" s="301" t="s">
        <v>1186</v>
      </c>
      <c r="AP15" s="301" t="s">
        <v>1186</v>
      </c>
      <c r="AQ15" s="301" t="s">
        <v>1186</v>
      </c>
      <c r="AR15" s="301" t="s">
        <v>1186</v>
      </c>
      <c r="AS15" s="301" t="s">
        <v>1186</v>
      </c>
      <c r="AT15" s="301" t="s">
        <v>1186</v>
      </c>
      <c r="AU15" s="301" t="s">
        <v>1186</v>
      </c>
      <c r="AV15" s="301" t="s">
        <v>1186</v>
      </c>
      <c r="AW15" s="301" t="s">
        <v>1186</v>
      </c>
      <c r="AX15" s="301" t="s">
        <v>1186</v>
      </c>
      <c r="AY15" s="301" t="s">
        <v>1186</v>
      </c>
      <c r="AZ15" s="301" t="s">
        <v>1196</v>
      </c>
      <c r="BJ15" s="122" t="s">
        <v>1179</v>
      </c>
    </row>
    <row r="16" spans="1:64" x14ac:dyDescent="0.25">
      <c r="Q16" s="34"/>
    </row>
    <row r="17" spans="17:17" x14ac:dyDescent="0.25">
      <c r="Q17" s="30"/>
    </row>
    <row r="18" spans="17:17" x14ac:dyDescent="0.25">
      <c r="Q18" s="30"/>
    </row>
    <row r="19" spans="17:17" x14ac:dyDescent="0.25">
      <c r="Q19" s="30"/>
    </row>
    <row r="20" spans="17:17" ht="184.5" hidden="1" customHeight="1" x14ac:dyDescent="0.25"/>
  </sheetData>
  <sheetProtection algorithmName="SHA-512" hashValue="Qp5hKeZJ/x9oKTCXquwZlyFDW/ZH96HBV47l1ziwAJdaPzDYySkqCuSLotuxSafW6D/+qjnGLW09CLjuWqHunA==" saltValue="++Hxs2B/AFTwL4309sMS1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CZ30"/>
  <sheetViews>
    <sheetView zoomScale="80" zoomScaleNormal="80" workbookViewId="0">
      <selection sqref="A1:B2"/>
    </sheetView>
  </sheetViews>
  <sheetFormatPr defaultColWidth="12.44140625" defaultRowHeight="13.8" zeroHeight="1" outlineLevelCol="1" x14ac:dyDescent="0.25"/>
  <cols>
    <col min="1" max="1" width="9.33203125" style="30" customWidth="1"/>
    <col min="2" max="2" width="37.33203125" style="30" customWidth="1"/>
    <col min="3" max="4" width="17.6640625" style="30" customWidth="1"/>
    <col min="5" max="5" width="14.5546875" style="30" customWidth="1"/>
    <col min="6" max="6" width="15.6640625" style="30" customWidth="1"/>
    <col min="7" max="7" width="14.44140625" style="30" customWidth="1"/>
    <col min="8" max="8" width="13.6640625" style="30" customWidth="1"/>
    <col min="9" max="9" width="13.33203125" style="30" customWidth="1"/>
    <col min="10" max="10" width="13" style="30" customWidth="1"/>
    <col min="11" max="11" width="13.33203125" style="30" customWidth="1"/>
    <col min="12" max="12" width="11.5546875" style="30" customWidth="1"/>
    <col min="13" max="13" width="18.5546875" style="30" hidden="1" customWidth="1"/>
    <col min="14" max="14" width="14.33203125" style="30" customWidth="1"/>
    <col min="15" max="15" width="8.5546875" style="30" customWidth="1"/>
    <col min="16" max="16" width="10.6640625" style="30" customWidth="1"/>
    <col min="17" max="17" width="19" style="30" customWidth="1"/>
    <col min="18" max="18" width="16" style="30" customWidth="1"/>
    <col min="19" max="19" width="14.44140625" style="30" customWidth="1"/>
    <col min="20" max="22" width="15.6640625" style="30" customWidth="1"/>
    <col min="23" max="26" width="10.6640625" style="30" customWidth="1"/>
    <col min="27" max="27" width="18.6640625" style="30" bestFit="1" customWidth="1"/>
    <col min="28" max="28" width="13.44140625" style="30" customWidth="1"/>
    <col min="29" max="29" width="9.33203125" style="30" customWidth="1"/>
    <col min="30" max="30" width="18" style="30" customWidth="1"/>
    <col min="31" max="31" width="12.44140625" style="30" customWidth="1"/>
    <col min="32" max="32" width="9.33203125" style="30" customWidth="1"/>
    <col min="33" max="33" width="59.6640625" style="30" customWidth="1"/>
    <col min="34" max="34" width="24.6640625" style="30" customWidth="1"/>
    <col min="35" max="35" width="18.6640625" style="30" customWidth="1"/>
    <col min="36" max="36" width="9.33203125" style="30" customWidth="1"/>
    <col min="37" max="37" width="46.6640625" style="30" bestFit="1" customWidth="1"/>
    <col min="38" max="38" width="24.33203125" style="30" customWidth="1"/>
    <col min="39" max="39" width="13.6640625" style="30" customWidth="1"/>
    <col min="40" max="40" width="9.33203125" style="30" customWidth="1"/>
    <col min="41" max="41" width="28.33203125" style="30" customWidth="1"/>
    <col min="42" max="42" width="13" style="30" customWidth="1"/>
    <col min="43" max="44" width="9.33203125" style="30" customWidth="1"/>
    <col min="45" max="45" width="27.6640625" style="30" customWidth="1"/>
    <col min="46" max="46" width="25" style="30" customWidth="1"/>
    <col min="47" max="47" width="31.33203125" style="30" customWidth="1"/>
    <col min="48" max="48" width="12.44140625" style="30" customWidth="1"/>
    <col min="49" max="102" width="12.44140625" style="30" hidden="1" customWidth="1" outlineLevel="1"/>
    <col min="103" max="103" width="12.44140625" style="30" hidden="1" customWidth="1" outlineLevel="1" collapsed="1"/>
    <col min="104" max="104" width="0" style="30" hidden="1" customWidth="1" collapsed="1"/>
    <col min="105" max="16381" width="0" style="30" hidden="1" customWidth="1"/>
    <col min="16382" max="16384" width="12.44140625" style="30"/>
  </cols>
  <sheetData>
    <row r="1" spans="1:55" ht="14.4" thickBot="1" x14ac:dyDescent="0.3">
      <c r="A1" s="1777"/>
      <c r="B1" s="1777"/>
    </row>
    <row r="2" spans="1:55" ht="31.5" customHeight="1" thickBot="1" x14ac:dyDescent="0.35">
      <c r="A2" s="1777"/>
      <c r="B2" s="1777"/>
      <c r="C2" s="1898" t="s">
        <v>395</v>
      </c>
      <c r="D2" s="1899"/>
      <c r="E2" s="1890" t="s">
        <v>501</v>
      </c>
      <c r="F2" s="1891"/>
      <c r="G2" s="1891"/>
      <c r="H2" s="1890" t="s">
        <v>482</v>
      </c>
      <c r="I2" s="1891"/>
      <c r="J2" s="1891"/>
      <c r="K2" s="1891"/>
      <c r="L2" s="1892"/>
      <c r="M2" s="1597" t="s">
        <v>409</v>
      </c>
      <c r="N2" s="1900" t="s">
        <v>1197</v>
      </c>
      <c r="O2" s="1901"/>
      <c r="Q2" s="1896" t="s">
        <v>1198</v>
      </c>
      <c r="R2" s="1897"/>
      <c r="T2" s="1711" t="s">
        <v>1199</v>
      </c>
      <c r="U2" s="1432"/>
      <c r="V2" s="1432"/>
      <c r="W2" s="1432"/>
      <c r="X2" s="1432"/>
      <c r="Y2" s="1433"/>
      <c r="AA2" s="1893" t="s">
        <v>1200</v>
      </c>
      <c r="AB2" s="1894"/>
      <c r="AC2" s="93"/>
      <c r="AD2" s="1893" t="s">
        <v>1200</v>
      </c>
      <c r="AE2" s="1894"/>
      <c r="AG2" s="1893" t="s">
        <v>1201</v>
      </c>
      <c r="AH2" s="1895"/>
      <c r="AI2" s="1894"/>
      <c r="AK2" s="1893" t="s">
        <v>1201</v>
      </c>
      <c r="AL2" s="1895"/>
      <c r="AM2" s="1894"/>
      <c r="AO2" s="1740" t="s">
        <v>1201</v>
      </c>
      <c r="AP2" s="1742"/>
      <c r="AQ2" s="399"/>
      <c r="AS2" s="1711" t="s">
        <v>565</v>
      </c>
      <c r="AT2" s="1432"/>
      <c r="AU2" s="1425"/>
      <c r="AY2" s="193"/>
      <c r="AZ2" s="194" t="s">
        <v>405</v>
      </c>
      <c r="BB2" s="193" t="s">
        <v>1202</v>
      </c>
      <c r="BC2" s="194" t="s">
        <v>1203</v>
      </c>
    </row>
    <row r="3" spans="1:55" ht="42" thickBot="1" x14ac:dyDescent="0.3">
      <c r="B3" s="123" t="s">
        <v>1033</v>
      </c>
      <c r="C3" s="120" t="s">
        <v>578</v>
      </c>
      <c r="D3" s="125" t="s">
        <v>579</v>
      </c>
      <c r="E3" s="979" t="s">
        <v>581</v>
      </c>
      <c r="F3" s="125" t="s">
        <v>582</v>
      </c>
      <c r="G3" s="979" t="s">
        <v>580</v>
      </c>
      <c r="H3" s="979" t="s">
        <v>38</v>
      </c>
      <c r="I3" s="125" t="s">
        <v>605</v>
      </c>
      <c r="J3" s="125" t="s">
        <v>37</v>
      </c>
      <c r="K3" s="125" t="s">
        <v>614</v>
      </c>
      <c r="L3" s="124" t="s">
        <v>453</v>
      </c>
      <c r="M3" s="1902"/>
      <c r="N3" s="64" t="s">
        <v>38</v>
      </c>
      <c r="O3" s="560">
        <v>10</v>
      </c>
      <c r="Q3" s="219" t="s">
        <v>1171</v>
      </c>
      <c r="R3" s="355">
        <v>10</v>
      </c>
      <c r="T3" s="1417" t="s">
        <v>1204</v>
      </c>
      <c r="U3" s="1442" t="s">
        <v>1205</v>
      </c>
      <c r="V3" s="1442"/>
      <c r="W3" s="1442"/>
      <c r="X3" s="1442"/>
      <c r="Y3" s="1443"/>
      <c r="AA3" s="95" t="s">
        <v>1206</v>
      </c>
      <c r="AB3" s="97" t="s">
        <v>1207</v>
      </c>
      <c r="AC3" s="93"/>
      <c r="AD3" s="927" t="s">
        <v>1208</v>
      </c>
      <c r="AE3" s="995" t="s">
        <v>1207</v>
      </c>
      <c r="AG3" s="95" t="s">
        <v>1209</v>
      </c>
      <c r="AH3" s="96" t="s">
        <v>211</v>
      </c>
      <c r="AI3" s="97" t="s">
        <v>1210</v>
      </c>
      <c r="AK3" s="95" t="s">
        <v>1209</v>
      </c>
      <c r="AL3" s="96" t="s">
        <v>211</v>
      </c>
      <c r="AM3" s="97" t="s">
        <v>1210</v>
      </c>
      <c r="AO3" s="95" t="s">
        <v>1209</v>
      </c>
      <c r="AP3" s="97" t="s">
        <v>1210</v>
      </c>
      <c r="AS3" s="600" t="s">
        <v>1211</v>
      </c>
      <c r="AT3" s="599" t="s">
        <v>579</v>
      </c>
      <c r="AU3" s="601" t="s">
        <v>1212</v>
      </c>
      <c r="AY3" s="195" t="s">
        <v>1213</v>
      </c>
      <c r="AZ3" s="196" t="s">
        <v>1202</v>
      </c>
      <c r="BB3" s="103" t="s">
        <v>38</v>
      </c>
      <c r="BC3" s="104" t="s">
        <v>453</v>
      </c>
    </row>
    <row r="4" spans="1:55" ht="69" x14ac:dyDescent="0.25">
      <c r="B4" s="1008" t="s">
        <v>276</v>
      </c>
      <c r="C4" s="359" t="s">
        <v>601</v>
      </c>
      <c r="D4" s="286">
        <v>8</v>
      </c>
      <c r="E4" s="359" t="s">
        <v>292</v>
      </c>
      <c r="F4" s="359" t="s">
        <v>40</v>
      </c>
      <c r="G4" s="286" t="s">
        <v>291</v>
      </c>
      <c r="H4" s="359">
        <v>3</v>
      </c>
      <c r="I4" s="359">
        <v>2.5</v>
      </c>
      <c r="J4" s="359">
        <v>2</v>
      </c>
      <c r="K4" s="359">
        <v>1.5</v>
      </c>
      <c r="L4" s="560">
        <v>1</v>
      </c>
      <c r="M4" s="1009" t="s">
        <v>427</v>
      </c>
      <c r="N4" s="90" t="s">
        <v>605</v>
      </c>
      <c r="O4" s="305">
        <v>8</v>
      </c>
      <c r="T4" s="1402"/>
      <c r="U4" s="91" t="s">
        <v>453</v>
      </c>
      <c r="V4" s="91" t="s">
        <v>614</v>
      </c>
      <c r="W4" s="91" t="s">
        <v>37</v>
      </c>
      <c r="X4" s="91" t="s">
        <v>605</v>
      </c>
      <c r="Y4" s="1011" t="s">
        <v>38</v>
      </c>
      <c r="AA4" s="174" t="s">
        <v>1214</v>
      </c>
      <c r="AB4" s="363">
        <v>1</v>
      </c>
      <c r="AC4" s="93"/>
      <c r="AD4" s="998" t="s">
        <v>1215</v>
      </c>
      <c r="AE4" s="363">
        <v>0.75</v>
      </c>
      <c r="AG4" s="174" t="s">
        <v>1216</v>
      </c>
      <c r="AH4" s="301" t="s">
        <v>1128</v>
      </c>
      <c r="AI4" s="363">
        <v>1</v>
      </c>
      <c r="AK4" s="90" t="s">
        <v>1119</v>
      </c>
      <c r="AL4" s="301" t="s">
        <v>1120</v>
      </c>
      <c r="AM4" s="363">
        <v>1.1499999999999999</v>
      </c>
      <c r="AO4" s="998" t="s">
        <v>1132</v>
      </c>
      <c r="AP4" s="363">
        <v>1</v>
      </c>
      <c r="AS4" s="198" t="s">
        <v>601</v>
      </c>
      <c r="AT4" s="302">
        <v>8</v>
      </c>
      <c r="AU4" s="387" t="s">
        <v>1217</v>
      </c>
      <c r="AY4" s="61" t="s">
        <v>1218</v>
      </c>
      <c r="AZ4" s="196" t="s">
        <v>1202</v>
      </c>
      <c r="BB4" s="132" t="s">
        <v>605</v>
      </c>
      <c r="BC4" s="199"/>
    </row>
    <row r="5" spans="1:55" ht="27.6" x14ac:dyDescent="0.25">
      <c r="B5" s="61" t="s">
        <v>277</v>
      </c>
      <c r="C5" s="322" t="s">
        <v>292</v>
      </c>
      <c r="D5" s="301">
        <v>6</v>
      </c>
      <c r="E5" s="322" t="s">
        <v>292</v>
      </c>
      <c r="F5" s="322" t="s">
        <v>40</v>
      </c>
      <c r="G5" s="301" t="s">
        <v>320</v>
      </c>
      <c r="H5" s="322">
        <v>3</v>
      </c>
      <c r="I5" s="322">
        <v>2.5</v>
      </c>
      <c r="J5" s="322">
        <v>2</v>
      </c>
      <c r="K5" s="322">
        <v>1.5</v>
      </c>
      <c r="L5" s="305">
        <v>1</v>
      </c>
      <c r="M5" s="1009" t="s">
        <v>427</v>
      </c>
      <c r="N5" s="90" t="s">
        <v>37</v>
      </c>
      <c r="O5" s="305">
        <v>5</v>
      </c>
      <c r="T5" s="90" t="s">
        <v>453</v>
      </c>
      <c r="U5" s="322">
        <v>1</v>
      </c>
      <c r="V5" s="322">
        <v>2</v>
      </c>
      <c r="W5" s="322">
        <v>4</v>
      </c>
      <c r="X5" s="322">
        <v>6</v>
      </c>
      <c r="Y5" s="363">
        <v>8</v>
      </c>
      <c r="AA5" s="174" t="s">
        <v>1219</v>
      </c>
      <c r="AB5" s="363">
        <v>0.8</v>
      </c>
      <c r="AC5" s="93"/>
      <c r="AD5" s="998" t="s">
        <v>1220</v>
      </c>
      <c r="AE5" s="363">
        <v>0.8</v>
      </c>
      <c r="AG5" s="174" t="s">
        <v>1221</v>
      </c>
      <c r="AH5" s="301" t="s">
        <v>1120</v>
      </c>
      <c r="AI5" s="363">
        <v>1.1499999999999999</v>
      </c>
      <c r="AK5" s="90" t="s">
        <v>1123</v>
      </c>
      <c r="AL5" s="301" t="s">
        <v>1124</v>
      </c>
      <c r="AM5" s="363">
        <v>1.1000000000000001</v>
      </c>
      <c r="AO5" s="90" t="s">
        <v>1222</v>
      </c>
      <c r="AP5" s="363">
        <v>1</v>
      </c>
      <c r="AS5" s="174" t="s">
        <v>292</v>
      </c>
      <c r="AT5" s="322">
        <v>6</v>
      </c>
      <c r="AU5" s="305" t="s">
        <v>1223</v>
      </c>
      <c r="AY5" s="61" t="s">
        <v>278</v>
      </c>
      <c r="AZ5" s="196" t="s">
        <v>1202</v>
      </c>
      <c r="BB5" s="132" t="s">
        <v>37</v>
      </c>
      <c r="BC5" s="199"/>
    </row>
    <row r="6" spans="1:55" ht="46.2" customHeight="1" thickBot="1" x14ac:dyDescent="0.3">
      <c r="B6" s="61" t="s">
        <v>278</v>
      </c>
      <c r="C6" s="322" t="s">
        <v>40</v>
      </c>
      <c r="D6" s="322">
        <v>4</v>
      </c>
      <c r="E6" s="322" t="s">
        <v>40</v>
      </c>
      <c r="F6" s="322" t="s">
        <v>295</v>
      </c>
      <c r="G6" s="301" t="s">
        <v>320</v>
      </c>
      <c r="H6" s="322">
        <v>3</v>
      </c>
      <c r="I6" s="322">
        <v>2.5</v>
      </c>
      <c r="J6" s="322">
        <v>2</v>
      </c>
      <c r="K6" s="322">
        <v>1.5</v>
      </c>
      <c r="L6" s="305">
        <v>1</v>
      </c>
      <c r="M6" s="1009" t="s">
        <v>427</v>
      </c>
      <c r="N6" s="90" t="s">
        <v>614</v>
      </c>
      <c r="O6" s="305">
        <v>2</v>
      </c>
      <c r="T6" s="90" t="s">
        <v>614</v>
      </c>
      <c r="U6" s="322" t="s">
        <v>1130</v>
      </c>
      <c r="V6" s="322">
        <v>1</v>
      </c>
      <c r="W6" s="322">
        <v>2</v>
      </c>
      <c r="X6" s="322">
        <v>4</v>
      </c>
      <c r="Y6" s="363">
        <v>6</v>
      </c>
      <c r="AA6" s="174" t="s">
        <v>1224</v>
      </c>
      <c r="AB6" s="363">
        <v>0.5</v>
      </c>
      <c r="AC6" s="93"/>
      <c r="AD6" s="998" t="s">
        <v>1225</v>
      </c>
      <c r="AE6" s="363">
        <v>0.84</v>
      </c>
      <c r="AG6" s="174" t="s">
        <v>1226</v>
      </c>
      <c r="AH6" s="301" t="s">
        <v>1120</v>
      </c>
      <c r="AI6" s="363">
        <v>1.1499999999999999</v>
      </c>
      <c r="AK6" s="65" t="s">
        <v>1127</v>
      </c>
      <c r="AL6" s="290" t="s">
        <v>1128</v>
      </c>
      <c r="AM6" s="355">
        <v>1</v>
      </c>
      <c r="AO6" s="90" t="s">
        <v>1227</v>
      </c>
      <c r="AP6" s="363">
        <v>0.75</v>
      </c>
      <c r="AS6" s="174" t="s">
        <v>40</v>
      </c>
      <c r="AT6" s="322">
        <v>4</v>
      </c>
      <c r="AU6" s="305" t="s">
        <v>1228</v>
      </c>
      <c r="AY6" s="61" t="s">
        <v>279</v>
      </c>
      <c r="AZ6" s="196" t="s">
        <v>1202</v>
      </c>
      <c r="BB6" s="132" t="s">
        <v>614</v>
      </c>
      <c r="BC6" s="199"/>
    </row>
    <row r="7" spans="1:55" ht="28.2" thickBot="1" x14ac:dyDescent="0.3">
      <c r="B7" s="61" t="s">
        <v>279</v>
      </c>
      <c r="C7" s="322" t="s">
        <v>40</v>
      </c>
      <c r="D7" s="322">
        <v>4</v>
      </c>
      <c r="E7" s="322" t="s">
        <v>40</v>
      </c>
      <c r="F7" s="322" t="s">
        <v>295</v>
      </c>
      <c r="G7" s="301" t="s">
        <v>320</v>
      </c>
      <c r="H7" s="322">
        <v>3</v>
      </c>
      <c r="I7" s="322">
        <v>2.5</v>
      </c>
      <c r="J7" s="322">
        <v>2</v>
      </c>
      <c r="K7" s="322">
        <v>1.5</v>
      </c>
      <c r="L7" s="305">
        <v>1</v>
      </c>
      <c r="M7" s="1009" t="s">
        <v>427</v>
      </c>
      <c r="N7" s="65" t="s">
        <v>453</v>
      </c>
      <c r="O7" s="284">
        <v>1</v>
      </c>
      <c r="T7" s="90" t="s">
        <v>37</v>
      </c>
      <c r="U7" s="322" t="s">
        <v>1130</v>
      </c>
      <c r="V7" s="322" t="s">
        <v>1130</v>
      </c>
      <c r="W7" s="322">
        <v>1</v>
      </c>
      <c r="X7" s="322">
        <v>2</v>
      </c>
      <c r="Y7" s="363">
        <v>4</v>
      </c>
      <c r="AA7" s="173" t="s">
        <v>1229</v>
      </c>
      <c r="AB7" s="355">
        <v>0.68</v>
      </c>
      <c r="AC7" s="93"/>
      <c r="AD7" s="998" t="s">
        <v>1230</v>
      </c>
      <c r="AE7" s="363">
        <v>0.87</v>
      </c>
      <c r="AG7" s="174" t="s">
        <v>1231</v>
      </c>
      <c r="AH7" s="301" t="s">
        <v>1120</v>
      </c>
      <c r="AI7" s="363">
        <v>1.1499999999999999</v>
      </c>
      <c r="AK7" s="36"/>
      <c r="AL7" s="38"/>
      <c r="AM7" s="36"/>
      <c r="AO7" s="65" t="s">
        <v>1232</v>
      </c>
      <c r="AP7" s="355">
        <v>0.5</v>
      </c>
      <c r="AS7" s="173" t="s">
        <v>295</v>
      </c>
      <c r="AT7" s="307">
        <v>2</v>
      </c>
      <c r="AU7" s="355" t="s">
        <v>1233</v>
      </c>
      <c r="AY7" s="63" t="s">
        <v>280</v>
      </c>
      <c r="AZ7" s="196" t="s">
        <v>1203</v>
      </c>
      <c r="BB7" s="134" t="s">
        <v>453</v>
      </c>
      <c r="BC7" s="200"/>
    </row>
    <row r="8" spans="1:55" ht="62.1" customHeight="1" thickBot="1" x14ac:dyDescent="0.3">
      <c r="B8" s="1006" t="s">
        <v>280</v>
      </c>
      <c r="C8" s="307" t="s">
        <v>295</v>
      </c>
      <c r="D8" s="307">
        <v>2</v>
      </c>
      <c r="E8" s="307" t="s">
        <v>40</v>
      </c>
      <c r="F8" s="307" t="s">
        <v>1130</v>
      </c>
      <c r="G8" s="290" t="s">
        <v>332</v>
      </c>
      <c r="H8" s="290" t="s">
        <v>1140</v>
      </c>
      <c r="I8" s="290" t="s">
        <v>1140</v>
      </c>
      <c r="J8" s="290" t="s">
        <v>1140</v>
      </c>
      <c r="K8" s="290" t="s">
        <v>1140</v>
      </c>
      <c r="L8" s="284">
        <v>1</v>
      </c>
      <c r="M8" s="1007" t="s">
        <v>427</v>
      </c>
      <c r="T8" s="90" t="s">
        <v>605</v>
      </c>
      <c r="U8" s="322" t="s">
        <v>1130</v>
      </c>
      <c r="V8" s="322" t="s">
        <v>1130</v>
      </c>
      <c r="W8" s="322" t="s">
        <v>1130</v>
      </c>
      <c r="X8" s="322">
        <v>1</v>
      </c>
      <c r="Y8" s="363">
        <v>2</v>
      </c>
      <c r="AC8" s="93"/>
      <c r="AD8" s="998" t="s">
        <v>1234</v>
      </c>
      <c r="AE8" s="363">
        <v>0.85</v>
      </c>
      <c r="AG8" s="174" t="s">
        <v>1235</v>
      </c>
      <c r="AH8" s="301" t="s">
        <v>1120</v>
      </c>
      <c r="AI8" s="363">
        <v>1.1499999999999999</v>
      </c>
      <c r="AK8" s="36"/>
      <c r="AL8" s="38"/>
      <c r="AM8" s="36"/>
    </row>
    <row r="9" spans="1:55" ht="33.6" customHeight="1" thickBot="1" x14ac:dyDescent="0.3">
      <c r="T9" s="65" t="s">
        <v>38</v>
      </c>
      <c r="U9" s="307" t="s">
        <v>1130</v>
      </c>
      <c r="V9" s="307" t="s">
        <v>1130</v>
      </c>
      <c r="W9" s="307" t="s">
        <v>1130</v>
      </c>
      <c r="X9" s="307" t="s">
        <v>1130</v>
      </c>
      <c r="Y9" s="355">
        <v>1</v>
      </c>
      <c r="AD9" s="998" t="s">
        <v>1236</v>
      </c>
      <c r="AE9" s="363">
        <v>0.9</v>
      </c>
      <c r="AG9" s="173" t="s">
        <v>1237</v>
      </c>
      <c r="AH9" s="290" t="s">
        <v>1120</v>
      </c>
      <c r="AI9" s="355">
        <v>1.1499999999999999</v>
      </c>
      <c r="AK9" s="36"/>
      <c r="AL9" s="38"/>
      <c r="AM9" s="36"/>
      <c r="AY9" s="35"/>
      <c r="AZ9" s="35"/>
      <c r="BA9" s="35"/>
      <c r="BB9" s="35"/>
      <c r="BC9" s="35"/>
    </row>
    <row r="10" spans="1:55" ht="27.6" x14ac:dyDescent="0.25">
      <c r="AD10" s="998" t="s">
        <v>1238</v>
      </c>
      <c r="AE10" s="363">
        <v>0.92</v>
      </c>
      <c r="AF10" s="93"/>
      <c r="AY10" s="35"/>
      <c r="AZ10" s="35"/>
      <c r="BA10" s="35"/>
      <c r="BB10" s="38"/>
      <c r="BC10" s="38"/>
    </row>
    <row r="11" spans="1:55" x14ac:dyDescent="0.25">
      <c r="AD11" s="998" t="s">
        <v>1239</v>
      </c>
      <c r="AE11" s="363">
        <v>0.95</v>
      </c>
      <c r="AF11" s="93"/>
      <c r="AY11" s="35"/>
      <c r="AZ11" s="35"/>
      <c r="BA11" s="35"/>
      <c r="BB11" s="38"/>
      <c r="BC11" s="35"/>
    </row>
    <row r="12" spans="1:55" ht="27.6" x14ac:dyDescent="0.25">
      <c r="B12" s="41"/>
      <c r="C12" s="60"/>
      <c r="D12" s="60"/>
      <c r="E12" s="60"/>
      <c r="F12" s="60"/>
      <c r="G12" s="39"/>
      <c r="AD12" s="998" t="s">
        <v>1240</v>
      </c>
      <c r="AE12" s="363">
        <v>0.98</v>
      </c>
      <c r="AF12" s="93"/>
      <c r="AY12" s="35"/>
      <c r="AZ12" s="35"/>
      <c r="BA12" s="35"/>
      <c r="BB12" s="38"/>
      <c r="BC12" s="35"/>
    </row>
    <row r="13" spans="1:55" ht="42.6" customHeight="1" x14ac:dyDescent="0.25">
      <c r="B13" s="35"/>
      <c r="C13" s="36"/>
      <c r="D13" s="38"/>
      <c r="E13" s="36"/>
      <c r="F13" s="36"/>
      <c r="G13" s="38"/>
      <c r="AD13" s="998" t="s">
        <v>1241</v>
      </c>
      <c r="AE13" s="363">
        <v>1</v>
      </c>
      <c r="AF13" s="93"/>
      <c r="AG13" s="93"/>
      <c r="AH13" s="93"/>
      <c r="AY13" s="35"/>
      <c r="AZ13" s="35"/>
      <c r="BA13" s="35"/>
      <c r="BB13" s="38"/>
      <c r="BC13" s="35"/>
    </row>
    <row r="14" spans="1:55" ht="14.4" thickBot="1" x14ac:dyDescent="0.3">
      <c r="B14" s="35"/>
      <c r="C14" s="36"/>
      <c r="D14" s="38"/>
      <c r="E14" s="36"/>
      <c r="F14" s="36"/>
      <c r="G14" s="38"/>
      <c r="AD14" s="223" t="s">
        <v>1229</v>
      </c>
      <c r="AE14" s="355">
        <v>1</v>
      </c>
      <c r="AF14" s="93"/>
      <c r="AY14" s="35"/>
      <c r="AZ14" s="35"/>
      <c r="BA14" s="35"/>
      <c r="BB14" s="38"/>
      <c r="BC14" s="35"/>
    </row>
    <row r="15" spans="1:55" x14ac:dyDescent="0.25">
      <c r="B15" s="35"/>
      <c r="C15" s="36"/>
      <c r="D15" s="38"/>
      <c r="E15" s="36"/>
      <c r="F15" s="36"/>
      <c r="G15" s="38"/>
    </row>
    <row r="16" spans="1:55" x14ac:dyDescent="0.25">
      <c r="B16" s="35"/>
      <c r="C16" s="36"/>
      <c r="D16" s="38"/>
      <c r="E16" s="36"/>
      <c r="F16" s="36"/>
      <c r="G16" s="38"/>
    </row>
    <row r="17" spans="2:7" x14ac:dyDescent="0.25">
      <c r="B17" s="461"/>
      <c r="C17" s="36"/>
      <c r="D17" s="36"/>
      <c r="E17" s="36"/>
      <c r="F17" s="36"/>
      <c r="G17" s="38"/>
    </row>
    <row r="18" spans="2:7" x14ac:dyDescent="0.25"/>
    <row r="19" spans="2:7" x14ac:dyDescent="0.25"/>
    <row r="20" spans="2:7" x14ac:dyDescent="0.25"/>
    <row r="21" spans="2:7" x14ac:dyDescent="0.25"/>
    <row r="22" spans="2:7" x14ac:dyDescent="0.25"/>
    <row r="23" spans="2:7" x14ac:dyDescent="0.25"/>
    <row r="24" spans="2:7" x14ac:dyDescent="0.25"/>
    <row r="25" spans="2:7" x14ac:dyDescent="0.25"/>
    <row r="26" spans="2:7" x14ac:dyDescent="0.25"/>
    <row r="27" spans="2:7" x14ac:dyDescent="0.25"/>
    <row r="28" spans="2:7" x14ac:dyDescent="0.25"/>
    <row r="29" spans="2:7" x14ac:dyDescent="0.25"/>
    <row r="30" spans="2:7" x14ac:dyDescent="0.25"/>
  </sheetData>
  <sheetProtection algorithmName="SHA-512" hashValue="rA8UdNHDizn36fiwGLW+R+vW49GREQIdFIVN2jFxrJkdCPWVkrSx/7+ZDQcLEpgspKLSTdqIARwbvdaKVq4LyA==" saltValue="6TlYy0Xp3p8yP9HW2oopiQ==" spinCount="100000" sheet="1" objects="1" scenarios="1"/>
  <customSheetViews>
    <customSheetView guid="{8BDA793C-C9C5-4FC6-A0A5-F1109F6D4F22}" state="hidden">
      <selection activeCell="D14" sqref="D14"/>
    </customSheetView>
  </customSheetViews>
  <mergeCells count="16">
    <mergeCell ref="Q2:R2"/>
    <mergeCell ref="A1:B2"/>
    <mergeCell ref="C2:D2"/>
    <mergeCell ref="E2:G2"/>
    <mergeCell ref="H2:L2"/>
    <mergeCell ref="N2:O2"/>
    <mergeCell ref="M2:M3"/>
    <mergeCell ref="AO2:AP2"/>
    <mergeCell ref="AS2:AU2"/>
    <mergeCell ref="U3:Y3"/>
    <mergeCell ref="T2:Y2"/>
    <mergeCell ref="AA2:AB2"/>
    <mergeCell ref="AD2:AE2"/>
    <mergeCell ref="AG2:AI2"/>
    <mergeCell ref="AK2:AM2"/>
    <mergeCell ref="T3:T4"/>
  </mergeCells>
  <pageMargins left="0.7" right="0.7" top="0.75" bottom="0.75" header="0.3" footer="0.3"/>
  <pageSetup paperSize="9" orientation="portrait" horizontalDpi="90" verticalDpi="9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zoomScale="80" zoomScaleNormal="80" workbookViewId="0">
      <pane xSplit="1" ySplit="3" topLeftCell="B4" activePane="bottomRight" state="frozen"/>
      <selection pane="topRight" activeCell="B1" sqref="B1"/>
      <selection pane="bottomLeft" activeCell="A4" sqref="A4"/>
      <selection pane="bottomRight" sqref="A1:A2"/>
    </sheetView>
  </sheetViews>
  <sheetFormatPr defaultColWidth="0" defaultRowHeight="0" customHeight="1" zeroHeight="1" x14ac:dyDescent="0.25"/>
  <cols>
    <col min="1" max="1" width="88.6640625" style="30" bestFit="1" customWidth="1"/>
    <col min="2" max="2" width="15.5546875" style="30" customWidth="1"/>
    <col min="3" max="3" width="18.33203125" style="30" customWidth="1"/>
    <col min="4" max="4" width="16.44140625" style="30" customWidth="1"/>
    <col min="5" max="5" width="17.44140625" style="30" customWidth="1"/>
    <col min="6" max="6" width="15.5546875" style="30" customWidth="1"/>
    <col min="7" max="7" width="22" style="30" bestFit="1" customWidth="1"/>
    <col min="8" max="8" width="18.33203125" style="30" customWidth="1"/>
    <col min="9" max="9" width="21.44140625" style="30" hidden="1" customWidth="1"/>
    <col min="10" max="10" width="21.6640625" style="30" hidden="1" customWidth="1"/>
    <col min="11" max="11" width="19.44140625" style="30" hidden="1" customWidth="1"/>
    <col min="12" max="12" width="21.33203125" style="30" hidden="1" customWidth="1"/>
    <col min="13" max="13" width="31.33203125" style="30" hidden="1" customWidth="1"/>
    <col min="14" max="14" width="40.33203125" style="30" hidden="1" customWidth="1"/>
    <col min="15" max="15" width="15.33203125" style="30" customWidth="1"/>
    <col min="16" max="17" width="9.33203125" style="30" customWidth="1"/>
    <col min="18" max="16384" width="9.33203125" style="30" hidden="1"/>
  </cols>
  <sheetData>
    <row r="1" spans="1:14" ht="29.1" customHeight="1" x14ac:dyDescent="0.5">
      <c r="A1" s="1904"/>
      <c r="B1" s="186"/>
      <c r="C1" s="186"/>
      <c r="D1" s="186"/>
      <c r="E1" s="186"/>
      <c r="F1" s="186"/>
      <c r="G1" s="186"/>
      <c r="H1" s="202"/>
    </row>
    <row r="2" spans="1:14" ht="29.7" customHeight="1" x14ac:dyDescent="0.5">
      <c r="A2" s="1905"/>
      <c r="B2" s="1903" t="s">
        <v>482</v>
      </c>
      <c r="C2" s="1903"/>
      <c r="D2" s="1903"/>
      <c r="E2" s="1903"/>
      <c r="F2" s="1903"/>
      <c r="G2" s="1903"/>
      <c r="H2" s="1903"/>
    </row>
    <row r="3" spans="1:14" ht="27.6" x14ac:dyDescent="0.4">
      <c r="A3" s="188" t="s">
        <v>1033</v>
      </c>
      <c r="B3" s="1012" t="s">
        <v>38</v>
      </c>
      <c r="C3" s="1012" t="s">
        <v>605</v>
      </c>
      <c r="D3" s="1012" t="s">
        <v>37</v>
      </c>
      <c r="E3" s="1012" t="s">
        <v>614</v>
      </c>
      <c r="F3" s="1010" t="s">
        <v>453</v>
      </c>
      <c r="G3" s="1010" t="s">
        <v>624</v>
      </c>
      <c r="H3" s="1012" t="s">
        <v>630</v>
      </c>
      <c r="I3" s="30" t="s">
        <v>405</v>
      </c>
      <c r="J3" s="1906" t="s">
        <v>1242</v>
      </c>
      <c r="K3" s="1907"/>
      <c r="L3" s="1907"/>
      <c r="M3" s="1908"/>
    </row>
    <row r="4" spans="1:14" ht="13.8" x14ac:dyDescent="0.25">
      <c r="A4" s="62" t="str">
        <f>'G-1 All Habitats'!B3</f>
        <v>Cropland - Arable field margins cultivated annually</v>
      </c>
      <c r="B4" s="322" t="s">
        <v>1140</v>
      </c>
      <c r="C4" s="322" t="s">
        <v>1140</v>
      </c>
      <c r="D4" s="322" t="s">
        <v>1140</v>
      </c>
      <c r="E4" s="322" t="s">
        <v>1140</v>
      </c>
      <c r="F4" s="322" t="s">
        <v>1140</v>
      </c>
      <c r="G4" s="322">
        <v>1</v>
      </c>
      <c r="H4" s="322" t="s">
        <v>1140</v>
      </c>
      <c r="I4" s="30" t="str">
        <f>IF(G4=1,"Cond1",IF(H4=0,"Cond2",IF(AND(B4=3,C4=2.5,D4=2,E4=1.5,F4=1),"Cond4",IF(F4=1,"Cond3","Check"))))</f>
        <v>Cond1</v>
      </c>
      <c r="J4" s="201" t="s">
        <v>1243</v>
      </c>
      <c r="K4" s="201" t="s">
        <v>1244</v>
      </c>
      <c r="L4" s="201" t="s">
        <v>1245</v>
      </c>
      <c r="M4" s="201" t="s">
        <v>1246</v>
      </c>
      <c r="N4" s="30" t="s">
        <v>1247</v>
      </c>
    </row>
    <row r="5" spans="1:14" ht="13.8" x14ac:dyDescent="0.25">
      <c r="A5" s="62" t="str">
        <f>'G-1 All Habitats'!B4</f>
        <v>Cropland - Arable field margins game bird mix</v>
      </c>
      <c r="B5" s="322" t="s">
        <v>1140</v>
      </c>
      <c r="C5" s="322" t="s">
        <v>1140</v>
      </c>
      <c r="D5" s="322" t="s">
        <v>1140</v>
      </c>
      <c r="E5" s="322" t="s">
        <v>1140</v>
      </c>
      <c r="F5" s="322" t="s">
        <v>1140</v>
      </c>
      <c r="G5" s="322">
        <v>1</v>
      </c>
      <c r="H5" s="322" t="s">
        <v>1140</v>
      </c>
      <c r="I5" s="30" t="str">
        <f>IF(G5=1,"Cond1",IF(H5=0,"Cond2",IF(AND(B5=3,C5=2.5,D5=2,E5=1.5,F5=1),"Cond4",IF(F5=1,"Cond3","Check"))))</f>
        <v>Cond1</v>
      </c>
      <c r="J5" s="150" t="s">
        <v>624</v>
      </c>
      <c r="K5" s="150" t="s">
        <v>630</v>
      </c>
      <c r="L5" s="183" t="s">
        <v>453</v>
      </c>
      <c r="M5" s="150" t="s">
        <v>38</v>
      </c>
      <c r="N5" s="30" t="s">
        <v>38</v>
      </c>
    </row>
    <row r="6" spans="1:14" ht="13.8" x14ac:dyDescent="0.25">
      <c r="A6" s="62" t="str">
        <f>'G-1 All Habitats'!B5</f>
        <v>Cropland - Arable field margins pollen and nectar</v>
      </c>
      <c r="B6" s="322" t="s">
        <v>1140</v>
      </c>
      <c r="C6" s="322" t="s">
        <v>1140</v>
      </c>
      <c r="D6" s="322" t="s">
        <v>1140</v>
      </c>
      <c r="E6" s="322" t="s">
        <v>1140</v>
      </c>
      <c r="F6" s="322" t="s">
        <v>1140</v>
      </c>
      <c r="G6" s="322">
        <v>1</v>
      </c>
      <c r="H6" s="322" t="s">
        <v>1140</v>
      </c>
      <c r="I6" s="30" t="str">
        <f>IF(G6=1,"Cond1",IF(H6=0,"Cond2",IF(AND(B6=3,C6=2.5,D6=2,E6=1.5,F6=1),"Cond4",IF(F6=1,"Cond3","Check"))))</f>
        <v>Cond1</v>
      </c>
      <c r="M6" s="150" t="s">
        <v>605</v>
      </c>
    </row>
    <row r="7" spans="1:14" ht="13.8" x14ac:dyDescent="0.25">
      <c r="A7" s="62" t="str">
        <f>'G-1 All Habitats'!B6</f>
        <v>Cropland - Arable field margins tussocky</v>
      </c>
      <c r="B7" s="322" t="s">
        <v>1140</v>
      </c>
      <c r="C7" s="322" t="s">
        <v>1140</v>
      </c>
      <c r="D7" s="322" t="s">
        <v>1140</v>
      </c>
      <c r="E7" s="322" t="s">
        <v>1140</v>
      </c>
      <c r="F7" s="322" t="s">
        <v>1140</v>
      </c>
      <c r="G7" s="322">
        <v>1</v>
      </c>
      <c r="H7" s="322" t="s">
        <v>1140</v>
      </c>
      <c r="I7" s="30" t="str">
        <f>IF(G7=1,"Cond1",IF(H7=0,"Cond2",IF(AND(B7=3,C7=2.5,D7=2,E7=1.5,F7=1),"Cond4",IF(F7=1,"Cond3","Check"))))</f>
        <v>Cond1</v>
      </c>
      <c r="M7" s="150" t="s">
        <v>37</v>
      </c>
    </row>
    <row r="8" spans="1:14" ht="13.8" x14ac:dyDescent="0.25">
      <c r="A8" s="62" t="str">
        <f>'G-1 All Habitats'!B7</f>
        <v>Cropland - Cereal crops</v>
      </c>
      <c r="B8" s="322" t="s">
        <v>1140</v>
      </c>
      <c r="C8" s="322" t="s">
        <v>1140</v>
      </c>
      <c r="D8" s="322" t="s">
        <v>1140</v>
      </c>
      <c r="E8" s="322" t="s">
        <v>1140</v>
      </c>
      <c r="F8" s="322" t="s">
        <v>1140</v>
      </c>
      <c r="G8" s="322">
        <v>1</v>
      </c>
      <c r="H8" s="322" t="s">
        <v>1140</v>
      </c>
      <c r="I8" s="30" t="str">
        <f>IF(G8=1,"Cond1",IF(H8=0,"Cond2",IF(AND(B8=3,C8=2.5,D8=2,E8=1.5,F8=1),"Cond4",IF(F8=1,"Cond3","Check"))))</f>
        <v>Cond1</v>
      </c>
      <c r="M8" s="150" t="s">
        <v>614</v>
      </c>
    </row>
    <row r="9" spans="1:14" ht="13.8" x14ac:dyDescent="0.25">
      <c r="A9" s="62" t="str">
        <f>'G-1 All Habitats'!B8</f>
        <v>Cropland - Winter stubble</v>
      </c>
      <c r="B9" s="322" t="s">
        <v>1140</v>
      </c>
      <c r="C9" s="322" t="s">
        <v>1140</v>
      </c>
      <c r="D9" s="322" t="s">
        <v>1140</v>
      </c>
      <c r="E9" s="322" t="s">
        <v>1140</v>
      </c>
      <c r="F9" s="322" t="s">
        <v>1140</v>
      </c>
      <c r="G9" s="322">
        <v>1</v>
      </c>
      <c r="H9" s="322" t="s">
        <v>1140</v>
      </c>
      <c r="I9" s="30" t="str">
        <f t="shared" ref="I9:I41" si="0">IF(G9=1,"Cond1",IF(H9=0,"Cond2",IF(AND(B9=3,C9=2.5,D9=2,E9=1.5,F9=1),"Cond4",IF(F9=1,"Cond3","Check"))))</f>
        <v>Cond1</v>
      </c>
      <c r="M9" s="183" t="s">
        <v>453</v>
      </c>
    </row>
    <row r="10" spans="1:14" ht="13.8" x14ac:dyDescent="0.25">
      <c r="A10" s="62" t="str">
        <f>'G-1 All Habitats'!B9</f>
        <v>Cropland - Horticulture</v>
      </c>
      <c r="B10" s="322" t="s">
        <v>1140</v>
      </c>
      <c r="C10" s="322" t="s">
        <v>1140</v>
      </c>
      <c r="D10" s="322" t="s">
        <v>1140</v>
      </c>
      <c r="E10" s="322" t="s">
        <v>1140</v>
      </c>
      <c r="F10" s="322" t="s">
        <v>1140</v>
      </c>
      <c r="G10" s="322">
        <v>1</v>
      </c>
      <c r="H10" s="322" t="s">
        <v>1140</v>
      </c>
      <c r="I10" s="30" t="str">
        <f t="shared" si="0"/>
        <v>Cond1</v>
      </c>
    </row>
    <row r="11" spans="1:14" ht="13.8" x14ac:dyDescent="0.25">
      <c r="A11" s="62" t="str">
        <f>'G-1 All Habitats'!B10</f>
        <v>Cropland - Intensive orchards</v>
      </c>
      <c r="B11" s="322" t="s">
        <v>1140</v>
      </c>
      <c r="C11" s="322" t="s">
        <v>1140</v>
      </c>
      <c r="D11" s="322" t="s">
        <v>1140</v>
      </c>
      <c r="E11" s="322" t="s">
        <v>1140</v>
      </c>
      <c r="F11" s="322" t="s">
        <v>1140</v>
      </c>
      <c r="G11" s="322">
        <v>1</v>
      </c>
      <c r="H11" s="322" t="s">
        <v>1140</v>
      </c>
      <c r="I11" s="30" t="str">
        <f t="shared" si="0"/>
        <v>Cond1</v>
      </c>
    </row>
    <row r="12" spans="1:14" ht="13.8" x14ac:dyDescent="0.25">
      <c r="A12" s="62" t="str">
        <f>'G-1 All Habitats'!B11</f>
        <v>Cropland - Non-cereal crops</v>
      </c>
      <c r="B12" s="322" t="s">
        <v>1140</v>
      </c>
      <c r="C12" s="322" t="s">
        <v>1140</v>
      </c>
      <c r="D12" s="322" t="s">
        <v>1140</v>
      </c>
      <c r="E12" s="322" t="s">
        <v>1140</v>
      </c>
      <c r="F12" s="322" t="s">
        <v>1140</v>
      </c>
      <c r="G12" s="322">
        <v>1</v>
      </c>
      <c r="H12" s="322" t="s">
        <v>1140</v>
      </c>
      <c r="I12" s="30" t="str">
        <f t="shared" si="0"/>
        <v>Cond1</v>
      </c>
    </row>
    <row r="13" spans="1:14" ht="13.8" x14ac:dyDescent="0.25">
      <c r="A13" s="62" t="str">
        <f>'G-1 All Habitats'!B12</f>
        <v>Cropland - Temporary grass and clover leys</v>
      </c>
      <c r="B13" s="322" t="s">
        <v>1140</v>
      </c>
      <c r="C13" s="322" t="s">
        <v>1140</v>
      </c>
      <c r="D13" s="322" t="s">
        <v>1140</v>
      </c>
      <c r="E13" s="322" t="s">
        <v>1140</v>
      </c>
      <c r="F13" s="322" t="s">
        <v>1140</v>
      </c>
      <c r="G13" s="322">
        <v>1</v>
      </c>
      <c r="H13" s="322" t="s">
        <v>1140</v>
      </c>
      <c r="I13" s="30" t="str">
        <f t="shared" si="0"/>
        <v>Cond1</v>
      </c>
    </row>
    <row r="14" spans="1:14" ht="13.8" x14ac:dyDescent="0.25">
      <c r="A14" s="62" t="str">
        <f>'G-1 All Habitats'!B13</f>
        <v>Grassland - Traditional orchards</v>
      </c>
      <c r="B14" s="322">
        <v>3</v>
      </c>
      <c r="C14" s="322">
        <v>2.5</v>
      </c>
      <c r="D14" s="322">
        <v>2</v>
      </c>
      <c r="E14" s="322">
        <v>1.5</v>
      </c>
      <c r="F14" s="322">
        <v>1</v>
      </c>
      <c r="G14" s="322" t="s">
        <v>1140</v>
      </c>
      <c r="H14" s="322" t="s">
        <v>1140</v>
      </c>
      <c r="I14" s="30" t="str">
        <f t="shared" si="0"/>
        <v>Cond4</v>
      </c>
    </row>
    <row r="15" spans="1:14" ht="13.8" x14ac:dyDescent="0.25">
      <c r="A15" s="62" t="str">
        <f>'G-1 All Habitats'!B14</f>
        <v>Grassland - Bracken</v>
      </c>
      <c r="B15" s="322" t="s">
        <v>1140</v>
      </c>
      <c r="C15" s="322" t="s">
        <v>1140</v>
      </c>
      <c r="D15" s="322" t="s">
        <v>1140</v>
      </c>
      <c r="E15" s="322" t="s">
        <v>1140</v>
      </c>
      <c r="F15" s="322" t="s">
        <v>1140</v>
      </c>
      <c r="G15" s="322">
        <v>1</v>
      </c>
      <c r="H15" s="322" t="s">
        <v>1140</v>
      </c>
      <c r="I15" s="30" t="str">
        <f t="shared" si="0"/>
        <v>Cond1</v>
      </c>
    </row>
    <row r="16" spans="1:14" ht="13.8" x14ac:dyDescent="0.25">
      <c r="A16" s="62" t="str">
        <f>'G-1 All Habitats'!B15</f>
        <v>Grassland - Floodplain wetland mosaic and CFGM</v>
      </c>
      <c r="B16" s="322">
        <v>3</v>
      </c>
      <c r="C16" s="322">
        <v>2.5</v>
      </c>
      <c r="D16" s="322">
        <v>2</v>
      </c>
      <c r="E16" s="322">
        <v>1.5</v>
      </c>
      <c r="F16" s="322">
        <v>1</v>
      </c>
      <c r="G16" s="322" t="s">
        <v>1140</v>
      </c>
      <c r="H16" s="322" t="s">
        <v>1140</v>
      </c>
      <c r="I16" s="30" t="str">
        <f t="shared" si="0"/>
        <v>Cond4</v>
      </c>
    </row>
    <row r="17" spans="1:9" ht="13.8" x14ac:dyDescent="0.25">
      <c r="A17" s="62" t="str">
        <f>'G-1 All Habitats'!B16</f>
        <v>Grassland - Lowland calcareous grassland</v>
      </c>
      <c r="B17" s="322">
        <v>3</v>
      </c>
      <c r="C17" s="322">
        <v>2.5</v>
      </c>
      <c r="D17" s="322">
        <v>2</v>
      </c>
      <c r="E17" s="322">
        <v>1.5</v>
      </c>
      <c r="F17" s="322">
        <v>1</v>
      </c>
      <c r="G17" s="322" t="s">
        <v>1140</v>
      </c>
      <c r="H17" s="322" t="s">
        <v>1140</v>
      </c>
      <c r="I17" s="30" t="str">
        <f t="shared" si="0"/>
        <v>Cond4</v>
      </c>
    </row>
    <row r="18" spans="1:9" ht="13.8" x14ac:dyDescent="0.25">
      <c r="A18" s="62" t="str">
        <f>'G-1 All Habitats'!B17</f>
        <v>Grassland - Lowland dry acid grassland</v>
      </c>
      <c r="B18" s="322">
        <v>3</v>
      </c>
      <c r="C18" s="322">
        <v>2.5</v>
      </c>
      <c r="D18" s="322">
        <v>2</v>
      </c>
      <c r="E18" s="322">
        <v>1.5</v>
      </c>
      <c r="F18" s="322">
        <v>1</v>
      </c>
      <c r="G18" s="322" t="s">
        <v>1140</v>
      </c>
      <c r="H18" s="322" t="s">
        <v>1140</v>
      </c>
      <c r="I18" s="30" t="str">
        <f t="shared" si="0"/>
        <v>Cond4</v>
      </c>
    </row>
    <row r="19" spans="1:9" ht="13.8" x14ac:dyDescent="0.25">
      <c r="A19" s="62" t="str">
        <f>'G-1 All Habitats'!B18</f>
        <v>Grassland - Lowland meadows</v>
      </c>
      <c r="B19" s="322">
        <v>3</v>
      </c>
      <c r="C19" s="322">
        <v>2.5</v>
      </c>
      <c r="D19" s="322">
        <v>2</v>
      </c>
      <c r="E19" s="322">
        <v>1.5</v>
      </c>
      <c r="F19" s="322">
        <v>1</v>
      </c>
      <c r="G19" s="322" t="s">
        <v>1140</v>
      </c>
      <c r="H19" s="322" t="s">
        <v>1140</v>
      </c>
      <c r="I19" s="30" t="str">
        <f t="shared" si="0"/>
        <v>Cond4</v>
      </c>
    </row>
    <row r="20" spans="1:9" ht="13.8" x14ac:dyDescent="0.25">
      <c r="A20" s="62" t="str">
        <f>'G-1 All Habitats'!B19</f>
        <v>Grassland - Modified grassland</v>
      </c>
      <c r="B20" s="322">
        <v>3</v>
      </c>
      <c r="C20" s="322">
        <v>2.5</v>
      </c>
      <c r="D20" s="322">
        <v>2</v>
      </c>
      <c r="E20" s="322">
        <v>1.5</v>
      </c>
      <c r="F20" s="322">
        <v>1</v>
      </c>
      <c r="G20" s="322" t="s">
        <v>1140</v>
      </c>
      <c r="H20" s="322" t="s">
        <v>1140</v>
      </c>
      <c r="I20" s="30" t="str">
        <f t="shared" si="0"/>
        <v>Cond4</v>
      </c>
    </row>
    <row r="21" spans="1:9" ht="15" customHeight="1" x14ac:dyDescent="0.25">
      <c r="A21" s="62" t="str">
        <f>'G-1 All Habitats'!B20</f>
        <v>Grassland - Other lowland acid grassland</v>
      </c>
      <c r="B21" s="322">
        <v>3</v>
      </c>
      <c r="C21" s="322">
        <v>2.5</v>
      </c>
      <c r="D21" s="322">
        <v>2</v>
      </c>
      <c r="E21" s="322">
        <v>1.5</v>
      </c>
      <c r="F21" s="322">
        <v>1</v>
      </c>
      <c r="G21" s="322" t="s">
        <v>1140</v>
      </c>
      <c r="H21" s="322" t="s">
        <v>1140</v>
      </c>
      <c r="I21" s="30" t="str">
        <f t="shared" si="0"/>
        <v>Cond4</v>
      </c>
    </row>
    <row r="22" spans="1:9" ht="15" customHeight="1" x14ac:dyDescent="0.25">
      <c r="A22" s="62" t="str">
        <f>'G-1 All Habitats'!B21</f>
        <v>Grassland - Other neutral grassland</v>
      </c>
      <c r="B22" s="322">
        <v>3</v>
      </c>
      <c r="C22" s="322">
        <v>2.5</v>
      </c>
      <c r="D22" s="322">
        <v>2</v>
      </c>
      <c r="E22" s="322">
        <v>1.5</v>
      </c>
      <c r="F22" s="322">
        <v>1</v>
      </c>
      <c r="G22" s="322" t="s">
        <v>1140</v>
      </c>
      <c r="H22" s="322" t="s">
        <v>1140</v>
      </c>
      <c r="I22" s="30" t="str">
        <f t="shared" si="0"/>
        <v>Cond4</v>
      </c>
    </row>
    <row r="23" spans="1:9" ht="15" customHeight="1" x14ac:dyDescent="0.25">
      <c r="A23" s="62" t="str">
        <f>'G-1 All Habitats'!B22</f>
        <v>Grassland - Tall herb communities (H6430)</v>
      </c>
      <c r="B23" s="322">
        <v>3</v>
      </c>
      <c r="C23" s="322">
        <v>2.5</v>
      </c>
      <c r="D23" s="322">
        <v>2</v>
      </c>
      <c r="E23" s="322">
        <v>1.5</v>
      </c>
      <c r="F23" s="322">
        <v>1</v>
      </c>
      <c r="G23" s="322" t="s">
        <v>1140</v>
      </c>
      <c r="H23" s="322" t="s">
        <v>1140</v>
      </c>
      <c r="I23" s="30" t="str">
        <f t="shared" si="0"/>
        <v>Cond4</v>
      </c>
    </row>
    <row r="24" spans="1:9" ht="15" customHeight="1" x14ac:dyDescent="0.25">
      <c r="A24" s="62" t="str">
        <f>'G-1 All Habitats'!B23</f>
        <v>Grassland - Upland acid grassland</v>
      </c>
      <c r="B24" s="322">
        <v>3</v>
      </c>
      <c r="C24" s="322">
        <v>2.5</v>
      </c>
      <c r="D24" s="322">
        <v>2</v>
      </c>
      <c r="E24" s="322">
        <v>1.5</v>
      </c>
      <c r="F24" s="322">
        <v>1</v>
      </c>
      <c r="G24" s="322" t="s">
        <v>1140</v>
      </c>
      <c r="H24" s="322" t="s">
        <v>1140</v>
      </c>
      <c r="I24" s="30" t="str">
        <f t="shared" si="0"/>
        <v>Cond4</v>
      </c>
    </row>
    <row r="25" spans="1:9" ht="15" customHeight="1" x14ac:dyDescent="0.25">
      <c r="A25" s="62" t="str">
        <f>'G-1 All Habitats'!B24</f>
        <v>Grassland - Upland calcareous grassland</v>
      </c>
      <c r="B25" s="322">
        <v>3</v>
      </c>
      <c r="C25" s="322">
        <v>2.5</v>
      </c>
      <c r="D25" s="322">
        <v>2</v>
      </c>
      <c r="E25" s="322">
        <v>1.5</v>
      </c>
      <c r="F25" s="322">
        <v>1</v>
      </c>
      <c r="G25" s="322" t="s">
        <v>1140</v>
      </c>
      <c r="H25" s="322" t="s">
        <v>1140</v>
      </c>
      <c r="I25" s="30" t="str">
        <f t="shared" si="0"/>
        <v>Cond4</v>
      </c>
    </row>
    <row r="26" spans="1:9" ht="15" customHeight="1" x14ac:dyDescent="0.25">
      <c r="A26" s="62" t="str">
        <f>'G-1 All Habitats'!B25</f>
        <v>Grassland - Upland hay meadows</v>
      </c>
      <c r="B26" s="322">
        <v>3</v>
      </c>
      <c r="C26" s="322">
        <v>2.5</v>
      </c>
      <c r="D26" s="322">
        <v>2</v>
      </c>
      <c r="E26" s="322">
        <v>1.5</v>
      </c>
      <c r="F26" s="322">
        <v>1</v>
      </c>
      <c r="G26" s="322" t="s">
        <v>1140</v>
      </c>
      <c r="H26" s="322" t="s">
        <v>1140</v>
      </c>
      <c r="I26" s="30" t="str">
        <f t="shared" si="0"/>
        <v>Cond4</v>
      </c>
    </row>
    <row r="27" spans="1:9" ht="13.8" x14ac:dyDescent="0.25">
      <c r="A27" s="62" t="str">
        <f>'G-1 All Habitats'!B26</f>
        <v>Heathland and shrub - Blackthorn scrub</v>
      </c>
      <c r="B27" s="322">
        <v>3</v>
      </c>
      <c r="C27" s="322">
        <v>2.5</v>
      </c>
      <c r="D27" s="322">
        <v>2</v>
      </c>
      <c r="E27" s="322">
        <v>1.5</v>
      </c>
      <c r="F27" s="322">
        <v>1</v>
      </c>
      <c r="G27" s="322" t="s">
        <v>1140</v>
      </c>
      <c r="H27" s="322" t="s">
        <v>1140</v>
      </c>
      <c r="I27" s="30" t="str">
        <f t="shared" si="0"/>
        <v>Cond4</v>
      </c>
    </row>
    <row r="28" spans="1:9" ht="13.8" x14ac:dyDescent="0.25">
      <c r="A28" s="62" t="str">
        <f>'G-1 All Habitats'!B27</f>
        <v>Heathland and shrub - Bramble scrub</v>
      </c>
      <c r="B28" s="322" t="s">
        <v>1140</v>
      </c>
      <c r="C28" s="322" t="s">
        <v>1140</v>
      </c>
      <c r="D28" s="322" t="s">
        <v>1140</v>
      </c>
      <c r="E28" s="322" t="s">
        <v>1140</v>
      </c>
      <c r="F28" s="322" t="s">
        <v>1140</v>
      </c>
      <c r="G28" s="322">
        <v>1</v>
      </c>
      <c r="H28" s="322" t="s">
        <v>1140</v>
      </c>
      <c r="I28" s="30" t="str">
        <f t="shared" si="0"/>
        <v>Cond1</v>
      </c>
    </row>
    <row r="29" spans="1:9" ht="13.8" x14ac:dyDescent="0.25">
      <c r="A29" s="62" t="str">
        <f>'G-1 All Habitats'!B28</f>
        <v>Heathland and shrub - Gorse scrub</v>
      </c>
      <c r="B29" s="322">
        <v>3</v>
      </c>
      <c r="C29" s="322">
        <v>2.5</v>
      </c>
      <c r="D29" s="322">
        <v>2</v>
      </c>
      <c r="E29" s="322">
        <v>1.5</v>
      </c>
      <c r="F29" s="322">
        <v>1</v>
      </c>
      <c r="G29" s="322" t="s">
        <v>1140</v>
      </c>
      <c r="H29" s="322" t="s">
        <v>1140</v>
      </c>
      <c r="I29" s="30" t="str">
        <f t="shared" si="0"/>
        <v>Cond4</v>
      </c>
    </row>
    <row r="30" spans="1:9" ht="13.8" x14ac:dyDescent="0.25">
      <c r="A30" s="62" t="str">
        <f>'G-1 All Habitats'!B29</f>
        <v>Heathland and shrub - Hawthorn scrub</v>
      </c>
      <c r="B30" s="322">
        <v>3</v>
      </c>
      <c r="C30" s="322">
        <v>2.5</v>
      </c>
      <c r="D30" s="322">
        <v>2</v>
      </c>
      <c r="E30" s="322">
        <v>1.5</v>
      </c>
      <c r="F30" s="322">
        <v>1</v>
      </c>
      <c r="G30" s="322" t="s">
        <v>1140</v>
      </c>
      <c r="H30" s="322" t="s">
        <v>1140</v>
      </c>
      <c r="I30" s="30" t="str">
        <f t="shared" si="0"/>
        <v>Cond4</v>
      </c>
    </row>
    <row r="31" spans="1:9" ht="13.8" x14ac:dyDescent="0.25">
      <c r="A31" s="62" t="str">
        <f>'G-1 All Habitats'!B30</f>
        <v>Heathland and shrub - Hazel scrub</v>
      </c>
      <c r="B31" s="322">
        <v>3</v>
      </c>
      <c r="C31" s="322">
        <v>2.5</v>
      </c>
      <c r="D31" s="322">
        <v>2</v>
      </c>
      <c r="E31" s="322">
        <v>1.5</v>
      </c>
      <c r="F31" s="322">
        <v>1</v>
      </c>
      <c r="G31" s="322" t="s">
        <v>1140</v>
      </c>
      <c r="H31" s="322" t="s">
        <v>1140</v>
      </c>
      <c r="I31" s="30" t="str">
        <f t="shared" si="0"/>
        <v>Cond4</v>
      </c>
    </row>
    <row r="32" spans="1:9" ht="13.8" x14ac:dyDescent="0.25">
      <c r="A32" s="62" t="str">
        <f>'G-1 All Habitats'!B31</f>
        <v>Heathland and shrub - Lowland heathland</v>
      </c>
      <c r="B32" s="322">
        <v>3</v>
      </c>
      <c r="C32" s="322">
        <v>2.5</v>
      </c>
      <c r="D32" s="322">
        <v>2</v>
      </c>
      <c r="E32" s="322">
        <v>1.5</v>
      </c>
      <c r="F32" s="322">
        <v>1</v>
      </c>
      <c r="G32" s="322" t="s">
        <v>1140</v>
      </c>
      <c r="H32" s="322" t="s">
        <v>1140</v>
      </c>
      <c r="I32" s="30" t="str">
        <f t="shared" si="0"/>
        <v>Cond4</v>
      </c>
    </row>
    <row r="33" spans="1:9" ht="13.8" x14ac:dyDescent="0.25">
      <c r="A33" s="62" t="str">
        <f>'G-1 All Habitats'!B32</f>
        <v>Heathland and shrub - Mixed scrub</v>
      </c>
      <c r="B33" s="322">
        <v>3</v>
      </c>
      <c r="C33" s="322">
        <v>2.5</v>
      </c>
      <c r="D33" s="322">
        <v>2</v>
      </c>
      <c r="E33" s="322">
        <v>1.5</v>
      </c>
      <c r="F33" s="322">
        <v>1</v>
      </c>
      <c r="G33" s="322" t="s">
        <v>1140</v>
      </c>
      <c r="H33" s="322" t="s">
        <v>1140</v>
      </c>
      <c r="I33" s="30" t="str">
        <f t="shared" si="0"/>
        <v>Cond4</v>
      </c>
    </row>
    <row r="34" spans="1:9" ht="13.8" x14ac:dyDescent="0.25">
      <c r="A34" s="62" t="str">
        <f>'G-1 All Habitats'!B33</f>
        <v>Heathland and shrub - Mountain heaths and willow scrub</v>
      </c>
      <c r="B34" s="322">
        <v>3</v>
      </c>
      <c r="C34" s="322">
        <v>2.5</v>
      </c>
      <c r="D34" s="322">
        <v>2</v>
      </c>
      <c r="E34" s="322">
        <v>1.5</v>
      </c>
      <c r="F34" s="322">
        <v>1</v>
      </c>
      <c r="G34" s="322" t="s">
        <v>1140</v>
      </c>
      <c r="H34" s="322" t="s">
        <v>1140</v>
      </c>
      <c r="I34" s="30" t="str">
        <f t="shared" si="0"/>
        <v>Cond4</v>
      </c>
    </row>
    <row r="35" spans="1:9" ht="13.8" x14ac:dyDescent="0.25">
      <c r="A35" s="62" t="str">
        <f>'G-1 All Habitats'!B34</f>
        <v>Heathland and shrub - Rhododendron scrub</v>
      </c>
      <c r="B35" s="322" t="s">
        <v>1140</v>
      </c>
      <c r="C35" s="322" t="s">
        <v>1140</v>
      </c>
      <c r="D35" s="322" t="s">
        <v>1140</v>
      </c>
      <c r="E35" s="322" t="s">
        <v>1140</v>
      </c>
      <c r="F35" s="322" t="s">
        <v>1140</v>
      </c>
      <c r="G35" s="322">
        <v>1</v>
      </c>
      <c r="H35" s="322" t="s">
        <v>1140</v>
      </c>
      <c r="I35" s="30" t="str">
        <f t="shared" si="0"/>
        <v>Cond1</v>
      </c>
    </row>
    <row r="36" spans="1:9" ht="13.8" x14ac:dyDescent="0.25">
      <c r="A36" s="62" t="str">
        <f>'G-1 All Habitats'!B35</f>
        <v>Heathland and shrub - Dunes with sea buckthorn (H2160)</v>
      </c>
      <c r="B36" s="322">
        <v>3</v>
      </c>
      <c r="C36" s="322">
        <v>2.5</v>
      </c>
      <c r="D36" s="322">
        <v>2</v>
      </c>
      <c r="E36" s="322">
        <v>1.5</v>
      </c>
      <c r="F36" s="322">
        <v>1</v>
      </c>
      <c r="G36" s="322" t="s">
        <v>1140</v>
      </c>
      <c r="H36" s="322" t="s">
        <v>1140</v>
      </c>
      <c r="I36" s="30" t="str">
        <f t="shared" si="0"/>
        <v>Cond4</v>
      </c>
    </row>
    <row r="37" spans="1:9" ht="13.8" x14ac:dyDescent="0.25">
      <c r="A37" s="62" t="str">
        <f>'G-1 All Habitats'!B36</f>
        <v>Heathland and shrub - Other sea buckthorn scrub</v>
      </c>
      <c r="B37" s="322" t="s">
        <v>1140</v>
      </c>
      <c r="C37" s="322" t="s">
        <v>1140</v>
      </c>
      <c r="D37" s="322" t="s">
        <v>1140</v>
      </c>
      <c r="E37" s="322" t="s">
        <v>1140</v>
      </c>
      <c r="F37" s="322" t="s">
        <v>1140</v>
      </c>
      <c r="G37" s="322">
        <v>1</v>
      </c>
      <c r="H37" s="322" t="s">
        <v>1140</v>
      </c>
      <c r="I37" s="30" t="str">
        <f t="shared" si="0"/>
        <v>Cond1</v>
      </c>
    </row>
    <row r="38" spans="1:9" ht="13.8" x14ac:dyDescent="0.25">
      <c r="A38" s="62" t="s">
        <v>739</v>
      </c>
      <c r="B38" s="322">
        <v>3</v>
      </c>
      <c r="C38" s="322">
        <v>2.5</v>
      </c>
      <c r="D38" s="322">
        <v>2</v>
      </c>
      <c r="E38" s="322">
        <v>1.5</v>
      </c>
      <c r="F38" s="322">
        <v>1</v>
      </c>
      <c r="G38" s="322" t="s">
        <v>1140</v>
      </c>
      <c r="H38" s="322" t="s">
        <v>1140</v>
      </c>
      <c r="I38" s="30" t="str">
        <f t="shared" si="0"/>
        <v>Cond4</v>
      </c>
    </row>
    <row r="39" spans="1:9" ht="13.8" x14ac:dyDescent="0.25">
      <c r="A39" s="62" t="str">
        <f>'G-1 All Habitats'!B38</f>
        <v>Heathland and shrub - Upland heathland</v>
      </c>
      <c r="B39" s="322">
        <v>3</v>
      </c>
      <c r="C39" s="322">
        <v>2.5</v>
      </c>
      <c r="D39" s="322">
        <v>2</v>
      </c>
      <c r="E39" s="322">
        <v>1.5</v>
      </c>
      <c r="F39" s="322">
        <v>1</v>
      </c>
      <c r="G39" s="322" t="s">
        <v>1140</v>
      </c>
      <c r="H39" s="322" t="s">
        <v>1140</v>
      </c>
      <c r="I39" s="30" t="str">
        <f t="shared" si="0"/>
        <v>Cond4</v>
      </c>
    </row>
    <row r="40" spans="1:9" ht="13.8" x14ac:dyDescent="0.25">
      <c r="A40" s="62" t="str">
        <f>'G-1 All Habitats'!B39</f>
        <v>Lakes - Aquifer fed naturally fluctuating water bodies</v>
      </c>
      <c r="B40" s="322">
        <v>3</v>
      </c>
      <c r="C40" s="322">
        <v>2.5</v>
      </c>
      <c r="D40" s="322">
        <v>2</v>
      </c>
      <c r="E40" s="322">
        <v>1.5</v>
      </c>
      <c r="F40" s="322">
        <v>1</v>
      </c>
      <c r="G40" s="322" t="s">
        <v>1140</v>
      </c>
      <c r="H40" s="322" t="s">
        <v>1140</v>
      </c>
      <c r="I40" s="30" t="str">
        <f t="shared" si="0"/>
        <v>Cond4</v>
      </c>
    </row>
    <row r="41" spans="1:9" ht="13.8" x14ac:dyDescent="0.25">
      <c r="A41" s="62" t="str">
        <f>'G-1 All Habitats'!B41</f>
        <v>Lakes - High alkalinity lakes</v>
      </c>
      <c r="B41" s="322">
        <v>3</v>
      </c>
      <c r="C41" s="322">
        <v>2.5</v>
      </c>
      <c r="D41" s="322">
        <v>2</v>
      </c>
      <c r="E41" s="322">
        <v>1.5</v>
      </c>
      <c r="F41" s="322">
        <v>1</v>
      </c>
      <c r="G41" s="322" t="s">
        <v>1140</v>
      </c>
      <c r="H41" s="322" t="s">
        <v>1140</v>
      </c>
      <c r="I41" s="30" t="str">
        <f t="shared" si="0"/>
        <v>Cond4</v>
      </c>
    </row>
    <row r="42" spans="1:9" ht="13.8" x14ac:dyDescent="0.25">
      <c r="A42" s="62" t="str">
        <f>'G-1 All Habitats'!B42</f>
        <v>Lakes - Low alkalinity lakes</v>
      </c>
      <c r="B42" s="322">
        <v>3</v>
      </c>
      <c r="C42" s="322">
        <v>2.5</v>
      </c>
      <c r="D42" s="322">
        <v>2</v>
      </c>
      <c r="E42" s="322">
        <v>1.5</v>
      </c>
      <c r="F42" s="322">
        <v>1</v>
      </c>
      <c r="G42" s="322" t="s">
        <v>1140</v>
      </c>
      <c r="H42" s="322" t="s">
        <v>1140</v>
      </c>
      <c r="I42" s="30" t="str">
        <f t="shared" ref="I42:I74" si="1">IF(G42=1,"Cond1",IF(H42=0,"Cond2",IF(AND(B42=3,C42=2.5,D42=2,E42=1.5,F42=1),"Cond4",IF(F42=1,"Cond3","Check"))))</f>
        <v>Cond4</v>
      </c>
    </row>
    <row r="43" spans="1:9" ht="13.8" x14ac:dyDescent="0.25">
      <c r="A43" s="62" t="str">
        <f>'G-1 All Habitats'!B43</f>
        <v>Lakes - Marl lakes</v>
      </c>
      <c r="B43" s="322">
        <v>3</v>
      </c>
      <c r="C43" s="322">
        <v>2.5</v>
      </c>
      <c r="D43" s="322">
        <v>2</v>
      </c>
      <c r="E43" s="322">
        <v>1.5</v>
      </c>
      <c r="F43" s="322">
        <v>1</v>
      </c>
      <c r="G43" s="322" t="s">
        <v>1140</v>
      </c>
      <c r="H43" s="322" t="s">
        <v>1140</v>
      </c>
      <c r="I43" s="30" t="str">
        <f t="shared" si="1"/>
        <v>Cond4</v>
      </c>
    </row>
    <row r="44" spans="1:9" ht="13.8" x14ac:dyDescent="0.25">
      <c r="A44" s="62" t="str">
        <f>'G-1 All Habitats'!B44</f>
        <v>Lakes - Moderate alkalinity lakes</v>
      </c>
      <c r="B44" s="322">
        <v>3</v>
      </c>
      <c r="C44" s="322">
        <v>2.5</v>
      </c>
      <c r="D44" s="322">
        <v>2</v>
      </c>
      <c r="E44" s="322">
        <v>1.5</v>
      </c>
      <c r="F44" s="322">
        <v>1</v>
      </c>
      <c r="G44" s="322" t="s">
        <v>1140</v>
      </c>
      <c r="H44" s="322" t="s">
        <v>1140</v>
      </c>
      <c r="I44" s="30" t="str">
        <f t="shared" si="1"/>
        <v>Cond4</v>
      </c>
    </row>
    <row r="45" spans="1:9" ht="13.8" x14ac:dyDescent="0.25">
      <c r="A45" s="62" t="str">
        <f>'G-1 All Habitats'!B45</f>
        <v>Lakes - Peat lakes</v>
      </c>
      <c r="B45" s="322">
        <v>3</v>
      </c>
      <c r="C45" s="322">
        <v>2.5</v>
      </c>
      <c r="D45" s="322">
        <v>2</v>
      </c>
      <c r="E45" s="322">
        <v>1.5</v>
      </c>
      <c r="F45" s="322">
        <v>1</v>
      </c>
      <c r="G45" s="322" t="s">
        <v>1140</v>
      </c>
      <c r="H45" s="322" t="s">
        <v>1140</v>
      </c>
      <c r="I45" s="30" t="str">
        <f t="shared" si="1"/>
        <v>Cond4</v>
      </c>
    </row>
    <row r="46" spans="1:9" ht="13.8" x14ac:dyDescent="0.25">
      <c r="A46" s="62" t="str">
        <f>'G-1 All Habitats'!B46</f>
        <v>Lakes - Ponds (priority habitat)</v>
      </c>
      <c r="B46" s="322">
        <v>3</v>
      </c>
      <c r="C46" s="322">
        <v>2.5</v>
      </c>
      <c r="D46" s="322">
        <v>2</v>
      </c>
      <c r="E46" s="322">
        <v>1.5</v>
      </c>
      <c r="F46" s="322">
        <v>1</v>
      </c>
      <c r="G46" s="322" t="s">
        <v>1140</v>
      </c>
      <c r="H46" s="322" t="s">
        <v>1140</v>
      </c>
      <c r="I46" s="30" t="str">
        <f t="shared" si="1"/>
        <v>Cond4</v>
      </c>
    </row>
    <row r="47" spans="1:9" ht="13.8" x14ac:dyDescent="0.25">
      <c r="A47" s="62" t="str">
        <f>'G-1 All Habitats'!B47</f>
        <v>Lakes - Ponds (non-priority habitat)</v>
      </c>
      <c r="B47" s="322">
        <v>3</v>
      </c>
      <c r="C47" s="322">
        <v>2.5</v>
      </c>
      <c r="D47" s="322">
        <v>2</v>
      </c>
      <c r="E47" s="322">
        <v>1.5</v>
      </c>
      <c r="F47" s="322">
        <v>1</v>
      </c>
      <c r="G47" s="322" t="s">
        <v>1140</v>
      </c>
      <c r="H47" s="322" t="s">
        <v>1140</v>
      </c>
      <c r="I47" s="30" t="str">
        <f t="shared" si="1"/>
        <v>Cond4</v>
      </c>
    </row>
    <row r="48" spans="1:9" ht="13.8" x14ac:dyDescent="0.25">
      <c r="A48" s="62" t="str">
        <f>'G-1 All Habitats'!B48</f>
        <v>Lakes - Reservoirs</v>
      </c>
      <c r="B48" s="322">
        <v>3</v>
      </c>
      <c r="C48" s="322">
        <v>2.5</v>
      </c>
      <c r="D48" s="322">
        <v>2</v>
      </c>
      <c r="E48" s="322">
        <v>1.5</v>
      </c>
      <c r="F48" s="322">
        <v>1</v>
      </c>
      <c r="G48" s="322" t="s">
        <v>1140</v>
      </c>
      <c r="H48" s="322" t="s">
        <v>1140</v>
      </c>
      <c r="I48" s="30" t="str">
        <f t="shared" si="1"/>
        <v>Cond4</v>
      </c>
    </row>
    <row r="49" spans="1:9" ht="13.8" x14ac:dyDescent="0.25">
      <c r="A49" s="62" t="str">
        <f>'G-1 All Habitats'!B49</f>
        <v>Lakes - Temporary lakes ponds and pools (H3170)</v>
      </c>
      <c r="B49" s="322">
        <v>3</v>
      </c>
      <c r="C49" s="322">
        <v>2.5</v>
      </c>
      <c r="D49" s="322">
        <v>2</v>
      </c>
      <c r="E49" s="322">
        <v>1.5</v>
      </c>
      <c r="F49" s="322">
        <v>1</v>
      </c>
      <c r="G49" s="322" t="s">
        <v>1140</v>
      </c>
      <c r="H49" s="322" t="s">
        <v>1140</v>
      </c>
      <c r="I49" s="30" t="str">
        <f t="shared" si="1"/>
        <v>Cond4</v>
      </c>
    </row>
    <row r="50" spans="1:9" ht="13.8" x14ac:dyDescent="0.25">
      <c r="A50" s="62" t="str">
        <f>'G-1 All Habitats'!B50</f>
        <v>Sparsely vegetated land - Calaminarian grasslands</v>
      </c>
      <c r="B50" s="322">
        <v>3</v>
      </c>
      <c r="C50" s="322">
        <v>2.5</v>
      </c>
      <c r="D50" s="322">
        <v>2</v>
      </c>
      <c r="E50" s="322">
        <v>1.5</v>
      </c>
      <c r="F50" s="322">
        <v>1</v>
      </c>
      <c r="G50" s="322" t="s">
        <v>1140</v>
      </c>
      <c r="H50" s="322" t="s">
        <v>1140</v>
      </c>
      <c r="I50" s="30" t="str">
        <f t="shared" si="1"/>
        <v>Cond4</v>
      </c>
    </row>
    <row r="51" spans="1:9" ht="13.8" x14ac:dyDescent="0.25">
      <c r="A51" s="62" t="str">
        <f>'G-1 All Habitats'!B51</f>
        <v>Sparsely vegetated land - Coastal sand dunes</v>
      </c>
      <c r="B51" s="322">
        <v>3</v>
      </c>
      <c r="C51" s="322">
        <v>2.5</v>
      </c>
      <c r="D51" s="322">
        <v>2</v>
      </c>
      <c r="E51" s="322">
        <v>1.5</v>
      </c>
      <c r="F51" s="322">
        <v>1</v>
      </c>
      <c r="G51" s="322" t="s">
        <v>1140</v>
      </c>
      <c r="H51" s="322" t="s">
        <v>1140</v>
      </c>
      <c r="I51" s="30" t="str">
        <f t="shared" si="1"/>
        <v>Cond4</v>
      </c>
    </row>
    <row r="52" spans="1:9" ht="13.8" x14ac:dyDescent="0.25">
      <c r="A52" s="62" t="str">
        <f>'G-1 All Habitats'!B52</f>
        <v>Sparsely vegetated land - Coastal vegetated shingle</v>
      </c>
      <c r="B52" s="322">
        <v>3</v>
      </c>
      <c r="C52" s="322">
        <v>2.5</v>
      </c>
      <c r="D52" s="322">
        <v>2</v>
      </c>
      <c r="E52" s="322">
        <v>1.5</v>
      </c>
      <c r="F52" s="322">
        <v>1</v>
      </c>
      <c r="G52" s="322" t="s">
        <v>1140</v>
      </c>
      <c r="H52" s="322" t="s">
        <v>1140</v>
      </c>
      <c r="I52" s="30" t="str">
        <f t="shared" si="1"/>
        <v>Cond4</v>
      </c>
    </row>
    <row r="53" spans="1:9" ht="13.8" x14ac:dyDescent="0.25">
      <c r="A53" s="62" t="str">
        <f>'G-1 All Habitats'!B53</f>
        <v>Sparsely vegetated land - Ruderal/Ephemeral</v>
      </c>
      <c r="B53" s="322">
        <v>3</v>
      </c>
      <c r="C53" s="322">
        <v>2.5</v>
      </c>
      <c r="D53" s="322">
        <v>2</v>
      </c>
      <c r="E53" s="322">
        <v>1.5</v>
      </c>
      <c r="F53" s="322">
        <v>1</v>
      </c>
      <c r="G53" s="322" t="s">
        <v>1140</v>
      </c>
      <c r="H53" s="322" t="s">
        <v>1140</v>
      </c>
      <c r="I53" s="30" t="str">
        <f t="shared" si="1"/>
        <v>Cond4</v>
      </c>
    </row>
    <row r="54" spans="1:9" ht="13.8" x14ac:dyDescent="0.25">
      <c r="A54" s="62" t="s">
        <v>787</v>
      </c>
      <c r="B54" s="322">
        <v>3</v>
      </c>
      <c r="C54" s="322">
        <v>2.5</v>
      </c>
      <c r="D54" s="322">
        <v>2</v>
      </c>
      <c r="E54" s="322">
        <v>1.5</v>
      </c>
      <c r="F54" s="322">
        <v>1</v>
      </c>
      <c r="G54" s="322" t="s">
        <v>1140</v>
      </c>
      <c r="H54" s="322" t="s">
        <v>1140</v>
      </c>
      <c r="I54" s="30" t="str">
        <f t="shared" si="1"/>
        <v>Cond4</v>
      </c>
    </row>
    <row r="55" spans="1:9" ht="13.8" x14ac:dyDescent="0.25">
      <c r="A55" s="62" t="str">
        <f>'G-1 All Habitats'!B55</f>
        <v>Sparsely vegetated land - Inland rock outcrop and scree habitats</v>
      </c>
      <c r="B55" s="322">
        <v>3</v>
      </c>
      <c r="C55" s="322">
        <v>2.5</v>
      </c>
      <c r="D55" s="322">
        <v>2</v>
      </c>
      <c r="E55" s="322">
        <v>1.5</v>
      </c>
      <c r="F55" s="322">
        <v>1</v>
      </c>
      <c r="G55" s="322" t="s">
        <v>1140</v>
      </c>
      <c r="H55" s="322" t="s">
        <v>1140</v>
      </c>
      <c r="I55" s="30" t="str">
        <f t="shared" si="1"/>
        <v>Cond4</v>
      </c>
    </row>
    <row r="56" spans="1:9" ht="13.8" x14ac:dyDescent="0.25">
      <c r="A56" s="62" t="str">
        <f>'G-1 All Habitats'!B56</f>
        <v>Sparsely vegetated land - Limestone pavement</v>
      </c>
      <c r="B56" s="322">
        <v>3</v>
      </c>
      <c r="C56" s="322">
        <v>2.5</v>
      </c>
      <c r="D56" s="322">
        <v>2</v>
      </c>
      <c r="E56" s="322">
        <v>1.5</v>
      </c>
      <c r="F56" s="322">
        <v>1</v>
      </c>
      <c r="G56" s="322" t="s">
        <v>1140</v>
      </c>
      <c r="H56" s="322" t="s">
        <v>1140</v>
      </c>
      <c r="I56" s="30" t="str">
        <f t="shared" si="1"/>
        <v>Cond4</v>
      </c>
    </row>
    <row r="57" spans="1:9" ht="13.8" x14ac:dyDescent="0.25">
      <c r="A57" s="62" t="str">
        <f>'G-1 All Habitats'!B57</f>
        <v>Sparsely vegetated land - Maritime cliff and slopes</v>
      </c>
      <c r="B57" s="322">
        <v>3</v>
      </c>
      <c r="C57" s="322">
        <v>2.5</v>
      </c>
      <c r="D57" s="322">
        <v>2</v>
      </c>
      <c r="E57" s="322">
        <v>1.5</v>
      </c>
      <c r="F57" s="322">
        <v>1</v>
      </c>
      <c r="G57" s="322" t="s">
        <v>1140</v>
      </c>
      <c r="H57" s="322" t="s">
        <v>1140</v>
      </c>
      <c r="I57" s="30" t="str">
        <f t="shared" si="1"/>
        <v>Cond4</v>
      </c>
    </row>
    <row r="58" spans="1:9" ht="13.8" x14ac:dyDescent="0.25">
      <c r="A58" s="62" t="str">
        <f>'G-1 All Habitats'!B58</f>
        <v>Sparsely vegetated land - Other inland rock and scree</v>
      </c>
      <c r="B58" s="322">
        <v>3</v>
      </c>
      <c r="C58" s="322">
        <v>2.5</v>
      </c>
      <c r="D58" s="322">
        <v>2</v>
      </c>
      <c r="E58" s="322">
        <v>1.5</v>
      </c>
      <c r="F58" s="322">
        <v>1</v>
      </c>
      <c r="G58" s="322" t="s">
        <v>1140</v>
      </c>
      <c r="H58" s="322" t="s">
        <v>1140</v>
      </c>
      <c r="I58" s="30" t="str">
        <f t="shared" si="1"/>
        <v>Cond4</v>
      </c>
    </row>
    <row r="59" spans="1:9" ht="13.8" x14ac:dyDescent="0.25">
      <c r="A59" s="62" t="str">
        <f>'G-1 All Habitats'!B59</f>
        <v>Urban - Allotments</v>
      </c>
      <c r="B59" s="322">
        <v>3</v>
      </c>
      <c r="C59" s="322">
        <v>2.5</v>
      </c>
      <c r="D59" s="322">
        <v>2</v>
      </c>
      <c r="E59" s="322">
        <v>1.5</v>
      </c>
      <c r="F59" s="322">
        <v>1</v>
      </c>
      <c r="G59" s="322" t="s">
        <v>1140</v>
      </c>
      <c r="H59" s="322" t="s">
        <v>1140</v>
      </c>
      <c r="I59" s="30" t="str">
        <f t="shared" si="1"/>
        <v>Cond4</v>
      </c>
    </row>
    <row r="60" spans="1:9" ht="13.8" x14ac:dyDescent="0.25">
      <c r="A60" s="62" t="str">
        <f>'G-1 All Habitats'!B40</f>
        <v>Lakes - Ornamental lake or pond</v>
      </c>
      <c r="B60" s="322">
        <v>3</v>
      </c>
      <c r="C60" s="322">
        <v>2.5</v>
      </c>
      <c r="D60" s="322">
        <v>2</v>
      </c>
      <c r="E60" s="322">
        <v>1.5</v>
      </c>
      <c r="F60" s="322">
        <v>1</v>
      </c>
      <c r="G60" s="322" t="s">
        <v>1140</v>
      </c>
      <c r="H60" s="322" t="s">
        <v>1140</v>
      </c>
      <c r="I60" s="30" t="str">
        <f t="shared" si="1"/>
        <v>Cond4</v>
      </c>
    </row>
    <row r="61" spans="1:9" ht="13.8" x14ac:dyDescent="0.25">
      <c r="A61" s="62" t="str">
        <f>'G-1 All Habitats'!B60</f>
        <v>Urban - Artificial unvegetated, unsealed surface</v>
      </c>
      <c r="B61" s="322" t="s">
        <v>1140</v>
      </c>
      <c r="C61" s="322" t="s">
        <v>1140</v>
      </c>
      <c r="D61" s="322" t="s">
        <v>1140</v>
      </c>
      <c r="E61" s="322" t="s">
        <v>1140</v>
      </c>
      <c r="F61" s="322" t="s">
        <v>1140</v>
      </c>
      <c r="G61" s="322" t="s">
        <v>1140</v>
      </c>
      <c r="H61" s="354">
        <v>0</v>
      </c>
      <c r="I61" s="30" t="str">
        <f t="shared" si="1"/>
        <v>Cond2</v>
      </c>
    </row>
    <row r="62" spans="1:9" ht="13.8" x14ac:dyDescent="0.25">
      <c r="A62" s="62" t="str">
        <f>'G-1 All Habitats'!B61</f>
        <v>Urban - Bioswale</v>
      </c>
      <c r="B62" s="322">
        <v>3</v>
      </c>
      <c r="C62" s="322">
        <v>2.5</v>
      </c>
      <c r="D62" s="322">
        <v>2</v>
      </c>
      <c r="E62" s="322">
        <v>1.5</v>
      </c>
      <c r="F62" s="322">
        <v>1</v>
      </c>
      <c r="G62" s="322" t="s">
        <v>1140</v>
      </c>
      <c r="H62" s="322" t="s">
        <v>1140</v>
      </c>
      <c r="I62" s="30" t="str">
        <f t="shared" si="1"/>
        <v>Cond4</v>
      </c>
    </row>
    <row r="63" spans="1:9" ht="13.8" x14ac:dyDescent="0.25">
      <c r="A63" s="62" t="str">
        <f>'G-1 All Habitats'!B62</f>
        <v>Urban - Intensive green roof</v>
      </c>
      <c r="B63" s="322">
        <v>3</v>
      </c>
      <c r="C63" s="322">
        <v>2.5</v>
      </c>
      <c r="D63" s="322">
        <v>2</v>
      </c>
      <c r="E63" s="322">
        <v>1.5</v>
      </c>
      <c r="F63" s="322">
        <v>1</v>
      </c>
      <c r="G63" s="322" t="s">
        <v>1140</v>
      </c>
      <c r="H63" s="322" t="s">
        <v>1140</v>
      </c>
      <c r="I63" s="30" t="str">
        <f t="shared" si="1"/>
        <v>Cond4</v>
      </c>
    </row>
    <row r="64" spans="1:9" ht="13.8" x14ac:dyDescent="0.25">
      <c r="A64" s="62" t="str">
        <f>'G-1 All Habitats'!B63</f>
        <v>Urban - Built linear features</v>
      </c>
      <c r="B64" s="322" t="s">
        <v>1140</v>
      </c>
      <c r="C64" s="322" t="s">
        <v>1140</v>
      </c>
      <c r="D64" s="322" t="s">
        <v>1140</v>
      </c>
      <c r="E64" s="322" t="s">
        <v>1140</v>
      </c>
      <c r="F64" s="322" t="s">
        <v>1140</v>
      </c>
      <c r="G64" s="322" t="s">
        <v>1140</v>
      </c>
      <c r="H64" s="354">
        <v>0</v>
      </c>
      <c r="I64" s="30" t="str">
        <f t="shared" si="1"/>
        <v>Cond2</v>
      </c>
    </row>
    <row r="65" spans="1:9" ht="13.8" x14ac:dyDescent="0.25">
      <c r="A65" s="62" t="str">
        <f>'G-1 All Habitats'!B64</f>
        <v>Urban - Cemeteries and churchyards</v>
      </c>
      <c r="B65" s="322">
        <v>3</v>
      </c>
      <c r="C65" s="322">
        <v>2.5</v>
      </c>
      <c r="D65" s="322">
        <v>2</v>
      </c>
      <c r="E65" s="322">
        <v>1.5</v>
      </c>
      <c r="F65" s="322">
        <v>1</v>
      </c>
      <c r="G65" s="322" t="s">
        <v>1140</v>
      </c>
      <c r="H65" s="322" t="s">
        <v>1140</v>
      </c>
      <c r="I65" s="30" t="str">
        <f t="shared" si="1"/>
        <v>Cond4</v>
      </c>
    </row>
    <row r="66" spans="1:9" ht="13.8" x14ac:dyDescent="0.25">
      <c r="A66" s="62" t="str">
        <f>'G-1 All Habitats'!B65</f>
        <v>Urban - Developed land; sealed surface</v>
      </c>
      <c r="B66" s="322" t="s">
        <v>1140</v>
      </c>
      <c r="C66" s="322" t="s">
        <v>1140</v>
      </c>
      <c r="D66" s="322" t="s">
        <v>1140</v>
      </c>
      <c r="E66" s="322" t="s">
        <v>1140</v>
      </c>
      <c r="F66" s="322" t="s">
        <v>1140</v>
      </c>
      <c r="G66" s="322" t="s">
        <v>1140</v>
      </c>
      <c r="H66" s="354">
        <v>0</v>
      </c>
      <c r="I66" s="30" t="str">
        <f t="shared" si="1"/>
        <v>Cond2</v>
      </c>
    </row>
    <row r="67" spans="1:9" ht="13.8" x14ac:dyDescent="0.25">
      <c r="A67" s="62" t="str">
        <f>'G-1 All Habitats'!B66</f>
        <v>Urban - Other green roof</v>
      </c>
      <c r="B67" s="322" t="s">
        <v>1140</v>
      </c>
      <c r="C67" s="322" t="s">
        <v>1140</v>
      </c>
      <c r="D67" s="322" t="s">
        <v>1140</v>
      </c>
      <c r="E67" s="322" t="s">
        <v>1140</v>
      </c>
      <c r="F67" s="322" t="s">
        <v>1140</v>
      </c>
      <c r="G67" s="322">
        <v>1</v>
      </c>
      <c r="H67" s="322" t="s">
        <v>1140</v>
      </c>
      <c r="I67" s="30" t="str">
        <f t="shared" si="1"/>
        <v>Cond1</v>
      </c>
    </row>
    <row r="68" spans="1:9" ht="13.8" x14ac:dyDescent="0.25">
      <c r="A68" s="62" t="str">
        <f>'G-1 All Habitats'!B67</f>
        <v>Urban - Facade-bound green wall</v>
      </c>
      <c r="B68" s="322">
        <v>3</v>
      </c>
      <c r="C68" s="322">
        <v>2.5</v>
      </c>
      <c r="D68" s="322">
        <v>2</v>
      </c>
      <c r="E68" s="322">
        <v>1.5</v>
      </c>
      <c r="F68" s="322">
        <v>1</v>
      </c>
      <c r="G68" s="322" t="s">
        <v>1140</v>
      </c>
      <c r="H68" s="322" t="s">
        <v>1140</v>
      </c>
      <c r="I68" s="30" t="str">
        <f t="shared" si="1"/>
        <v>Cond4</v>
      </c>
    </row>
    <row r="69" spans="1:9" ht="13.8" x14ac:dyDescent="0.25">
      <c r="A69" s="62" t="str">
        <f>'G-1 All Habitats'!B68</f>
        <v>Urban - Ground based green wall</v>
      </c>
      <c r="B69" s="322">
        <v>3</v>
      </c>
      <c r="C69" s="322">
        <v>2.5</v>
      </c>
      <c r="D69" s="322">
        <v>2</v>
      </c>
      <c r="E69" s="322">
        <v>1.5</v>
      </c>
      <c r="F69" s="322">
        <v>1</v>
      </c>
      <c r="G69" s="322" t="s">
        <v>1140</v>
      </c>
      <c r="H69" s="322" t="s">
        <v>1140</v>
      </c>
      <c r="I69" s="30" t="str">
        <f t="shared" si="1"/>
        <v>Cond4</v>
      </c>
    </row>
    <row r="70" spans="1:9" ht="13.8" x14ac:dyDescent="0.25">
      <c r="A70" s="62" t="str">
        <f>'G-1 All Habitats'!B69</f>
        <v>Urban - Ground level planters</v>
      </c>
      <c r="B70" s="322" t="s">
        <v>1140</v>
      </c>
      <c r="C70" s="322" t="s">
        <v>1140</v>
      </c>
      <c r="D70" s="322" t="s">
        <v>1140</v>
      </c>
      <c r="E70" s="322" t="s">
        <v>1140</v>
      </c>
      <c r="F70" s="322" t="s">
        <v>1140</v>
      </c>
      <c r="G70" s="322">
        <v>1</v>
      </c>
      <c r="H70" s="322" t="s">
        <v>1140</v>
      </c>
      <c r="I70" s="30" t="str">
        <f t="shared" si="1"/>
        <v>Cond1</v>
      </c>
    </row>
    <row r="71" spans="1:9" ht="13.8" x14ac:dyDescent="0.25">
      <c r="A71" s="62" t="str">
        <f>'G-1 All Habitats'!B70</f>
        <v>Urban - Biodiverse green roof</v>
      </c>
      <c r="B71" s="322">
        <v>3</v>
      </c>
      <c r="C71" s="322">
        <v>2.5</v>
      </c>
      <c r="D71" s="322">
        <v>2</v>
      </c>
      <c r="E71" s="322">
        <v>1.5</v>
      </c>
      <c r="F71" s="322">
        <v>1</v>
      </c>
      <c r="G71" s="322" t="s">
        <v>1140</v>
      </c>
      <c r="H71" s="322" t="s">
        <v>1140</v>
      </c>
      <c r="I71" s="30" t="str">
        <f t="shared" si="1"/>
        <v>Cond4</v>
      </c>
    </row>
    <row r="72" spans="1:9" ht="13.8" x14ac:dyDescent="0.25">
      <c r="A72" s="62" t="str">
        <f>'G-1 All Habitats'!B71</f>
        <v>Urban - Introduced shrub</v>
      </c>
      <c r="B72" s="322" t="s">
        <v>1140</v>
      </c>
      <c r="C72" s="322" t="s">
        <v>1140</v>
      </c>
      <c r="D72" s="322" t="s">
        <v>1140</v>
      </c>
      <c r="E72" s="322" t="s">
        <v>1140</v>
      </c>
      <c r="F72" s="322" t="s">
        <v>1140</v>
      </c>
      <c r="G72" s="322">
        <v>1</v>
      </c>
      <c r="H72" s="322" t="s">
        <v>1140</v>
      </c>
      <c r="I72" s="30" t="str">
        <f t="shared" si="1"/>
        <v>Cond1</v>
      </c>
    </row>
    <row r="73" spans="1:9" ht="13.8" x14ac:dyDescent="0.25">
      <c r="A73" s="62" t="str">
        <f>'G-1 All Habitats'!B72</f>
        <v>Urban - Open mosaic habitats on previously developed land</v>
      </c>
      <c r="B73" s="322">
        <v>3</v>
      </c>
      <c r="C73" s="322">
        <v>2.5</v>
      </c>
      <c r="D73" s="322">
        <v>2</v>
      </c>
      <c r="E73" s="322">
        <v>1.5</v>
      </c>
      <c r="F73" s="322">
        <v>1</v>
      </c>
      <c r="G73" s="322" t="s">
        <v>1140</v>
      </c>
      <c r="H73" s="322" t="s">
        <v>1140</v>
      </c>
      <c r="I73" s="30" t="str">
        <f t="shared" si="1"/>
        <v>Cond4</v>
      </c>
    </row>
    <row r="74" spans="1:9" ht="13.8" x14ac:dyDescent="0.25">
      <c r="A74" s="62" t="str">
        <f>'G-1 All Habitats'!B73</f>
        <v>Urban - Rain garden</v>
      </c>
      <c r="B74" s="322">
        <v>3</v>
      </c>
      <c r="C74" s="322">
        <v>2.5</v>
      </c>
      <c r="D74" s="322">
        <v>2</v>
      </c>
      <c r="E74" s="322">
        <v>1.5</v>
      </c>
      <c r="F74" s="322">
        <v>1</v>
      </c>
      <c r="G74" s="322" t="s">
        <v>1140</v>
      </c>
      <c r="H74" s="322" t="s">
        <v>1140</v>
      </c>
      <c r="I74" s="30" t="str">
        <f t="shared" si="1"/>
        <v>Cond4</v>
      </c>
    </row>
    <row r="75" spans="1:9" ht="13.8" x14ac:dyDescent="0.25">
      <c r="A75" s="62" t="str">
        <f>'G-1 All Habitats'!B74</f>
        <v>Urban - Actively worked sand pit quarry or open cast mine</v>
      </c>
      <c r="B75" s="322" t="s">
        <v>1140</v>
      </c>
      <c r="C75" s="322" t="s">
        <v>1140</v>
      </c>
      <c r="D75" s="322" t="s">
        <v>1140</v>
      </c>
      <c r="E75" s="322" t="s">
        <v>1140</v>
      </c>
      <c r="F75" s="322" t="s">
        <v>1140</v>
      </c>
      <c r="G75" s="322">
        <v>1</v>
      </c>
      <c r="H75" s="322" t="s">
        <v>1140</v>
      </c>
      <c r="I75" s="30" t="str">
        <f t="shared" ref="I75:I89" si="2">IF(G75=1,"Cond1",IF(H75=0,"Cond2",IF(AND(B75=3,C75=2.5,D75=2,E75=1.5,F75=1),"Cond4",IF(F75=1,"Cond3","Check"))))</f>
        <v>Cond1</v>
      </c>
    </row>
    <row r="76" spans="1:9" ht="13.8" x14ac:dyDescent="0.25">
      <c r="A76" s="62" t="str">
        <f>'G-1 All Habitats'!B80</f>
        <v>Individual trees - Urban tree</v>
      </c>
      <c r="B76" s="322">
        <v>3</v>
      </c>
      <c r="C76" s="322">
        <v>2.5</v>
      </c>
      <c r="D76" s="322">
        <v>2</v>
      </c>
      <c r="E76" s="322">
        <v>1.5</v>
      </c>
      <c r="F76" s="322">
        <v>1</v>
      </c>
      <c r="G76" s="322" t="s">
        <v>1140</v>
      </c>
      <c r="H76" s="322" t="s">
        <v>1140</v>
      </c>
      <c r="I76" s="30" t="str">
        <f t="shared" si="2"/>
        <v>Cond4</v>
      </c>
    </row>
    <row r="77" spans="1:9" ht="13.8" x14ac:dyDescent="0.25">
      <c r="A77" s="62" t="str">
        <f>'G-1 All Habitats'!B75</f>
        <v>Urban - Sustainable drainage system</v>
      </c>
      <c r="B77" s="322">
        <v>3</v>
      </c>
      <c r="C77" s="322">
        <v>2.5</v>
      </c>
      <c r="D77" s="322">
        <v>2</v>
      </c>
      <c r="E77" s="322">
        <v>1.5</v>
      </c>
      <c r="F77" s="322">
        <v>1</v>
      </c>
      <c r="G77" s="322" t="s">
        <v>1140</v>
      </c>
      <c r="H77" s="322" t="s">
        <v>1140</v>
      </c>
      <c r="I77" s="30" t="str">
        <f t="shared" si="2"/>
        <v>Cond4</v>
      </c>
    </row>
    <row r="78" spans="1:9" ht="13.8" x14ac:dyDescent="0.25">
      <c r="A78" s="62" t="str">
        <f>'G-1 All Habitats'!B76</f>
        <v>Urban - Unvegetated garden</v>
      </c>
      <c r="B78" s="322" t="s">
        <v>1140</v>
      </c>
      <c r="C78" s="322" t="s">
        <v>1140</v>
      </c>
      <c r="D78" s="322" t="s">
        <v>1140</v>
      </c>
      <c r="E78" s="322" t="s">
        <v>1140</v>
      </c>
      <c r="F78" s="322" t="s">
        <v>1140</v>
      </c>
      <c r="G78" s="322" t="s">
        <v>1140</v>
      </c>
      <c r="H78" s="322">
        <v>0</v>
      </c>
      <c r="I78" s="30" t="str">
        <f t="shared" si="2"/>
        <v>Cond2</v>
      </c>
    </row>
    <row r="79" spans="1:9" ht="13.8" x14ac:dyDescent="0.25">
      <c r="A79" s="62" t="str">
        <f>'G-1 All Habitats'!B77</f>
        <v>Urban - Vacant or derelict land</v>
      </c>
      <c r="B79" s="322">
        <v>3</v>
      </c>
      <c r="C79" s="322">
        <v>2.5</v>
      </c>
      <c r="D79" s="322">
        <v>2</v>
      </c>
      <c r="E79" s="322">
        <v>1.5</v>
      </c>
      <c r="F79" s="322">
        <v>1</v>
      </c>
      <c r="G79" s="322" t="s">
        <v>1140</v>
      </c>
      <c r="H79" s="322" t="s">
        <v>1140</v>
      </c>
      <c r="I79" s="30" t="str">
        <f t="shared" si="2"/>
        <v>Cond4</v>
      </c>
    </row>
    <row r="80" spans="1:9" ht="13.8" x14ac:dyDescent="0.25">
      <c r="A80" s="62" t="s">
        <v>852</v>
      </c>
      <c r="B80" s="322">
        <v>3</v>
      </c>
      <c r="C80" s="322">
        <v>2.5</v>
      </c>
      <c r="D80" s="322">
        <v>2</v>
      </c>
      <c r="E80" s="322">
        <v>1.5</v>
      </c>
      <c r="F80" s="322">
        <v>1</v>
      </c>
      <c r="G80" s="322" t="s">
        <v>1140</v>
      </c>
      <c r="H80" s="322" t="s">
        <v>1140</v>
      </c>
      <c r="I80" s="30" t="str">
        <f t="shared" si="2"/>
        <v>Cond4</v>
      </c>
    </row>
    <row r="81" spans="1:9" ht="13.8" x14ac:dyDescent="0.25">
      <c r="A81" s="62" t="str">
        <f>'G-1 All Habitats'!B79</f>
        <v>Urban - Vegetated garden</v>
      </c>
      <c r="B81" s="322" t="s">
        <v>1140</v>
      </c>
      <c r="C81" s="322" t="s">
        <v>1140</v>
      </c>
      <c r="D81" s="322" t="s">
        <v>1140</v>
      </c>
      <c r="E81" s="322" t="s">
        <v>1140</v>
      </c>
      <c r="F81" s="322" t="s">
        <v>1140</v>
      </c>
      <c r="G81" s="322">
        <v>1</v>
      </c>
      <c r="H81" s="322" t="s">
        <v>1140</v>
      </c>
      <c r="I81" s="30" t="str">
        <f t="shared" si="2"/>
        <v>Cond1</v>
      </c>
    </row>
    <row r="82" spans="1:9" ht="13.8" x14ac:dyDescent="0.25">
      <c r="A82" s="62" t="str">
        <f>'G-1 All Habitats'!B82</f>
        <v>Wetland - Blanket bog</v>
      </c>
      <c r="B82" s="322">
        <v>3</v>
      </c>
      <c r="C82" s="322">
        <v>2.5</v>
      </c>
      <c r="D82" s="322">
        <v>2</v>
      </c>
      <c r="E82" s="322">
        <v>1.5</v>
      </c>
      <c r="F82" s="322">
        <v>1</v>
      </c>
      <c r="G82" s="322" t="s">
        <v>1140</v>
      </c>
      <c r="H82" s="322" t="s">
        <v>1140</v>
      </c>
      <c r="I82" s="30" t="str">
        <f t="shared" si="2"/>
        <v>Cond4</v>
      </c>
    </row>
    <row r="83" spans="1:9" ht="13.8" x14ac:dyDescent="0.25">
      <c r="A83" s="62" t="str">
        <f>'G-1 All Habitats'!B83</f>
        <v>Wetland - Depressions on peat substrates (H7150)</v>
      </c>
      <c r="B83" s="322">
        <v>3</v>
      </c>
      <c r="C83" s="322">
        <v>2.5</v>
      </c>
      <c r="D83" s="322">
        <v>2</v>
      </c>
      <c r="E83" s="322">
        <v>1.5</v>
      </c>
      <c r="F83" s="322">
        <v>1</v>
      </c>
      <c r="G83" s="322" t="s">
        <v>1140</v>
      </c>
      <c r="H83" s="322" t="s">
        <v>1140</v>
      </c>
      <c r="I83" s="30" t="str">
        <f t="shared" si="2"/>
        <v>Cond4</v>
      </c>
    </row>
    <row r="84" spans="1:9" ht="13.8" x14ac:dyDescent="0.25">
      <c r="A84" s="62" t="str">
        <f>'G-1 All Habitats'!B84</f>
        <v>Wetland - Fens (upland and lowland)</v>
      </c>
      <c r="B84" s="322">
        <v>3</v>
      </c>
      <c r="C84" s="322">
        <v>2.5</v>
      </c>
      <c r="D84" s="322">
        <v>2</v>
      </c>
      <c r="E84" s="322">
        <v>1.5</v>
      </c>
      <c r="F84" s="322">
        <v>1</v>
      </c>
      <c r="G84" s="322" t="s">
        <v>1140</v>
      </c>
      <c r="H84" s="322" t="s">
        <v>1140</v>
      </c>
      <c r="I84" s="30" t="str">
        <f t="shared" si="2"/>
        <v>Cond4</v>
      </c>
    </row>
    <row r="85" spans="1:9" ht="13.8" x14ac:dyDescent="0.25">
      <c r="A85" s="62" t="str">
        <f>'G-1 All Habitats'!B85</f>
        <v>Wetland - Lowland raised bog</v>
      </c>
      <c r="B85" s="322">
        <v>3</v>
      </c>
      <c r="C85" s="322">
        <v>2.5</v>
      </c>
      <c r="D85" s="322">
        <v>2</v>
      </c>
      <c r="E85" s="322">
        <v>1.5</v>
      </c>
      <c r="F85" s="322">
        <v>1</v>
      </c>
      <c r="G85" s="322" t="s">
        <v>1140</v>
      </c>
      <c r="H85" s="322" t="s">
        <v>1140</v>
      </c>
      <c r="I85" s="30" t="str">
        <f t="shared" si="2"/>
        <v>Cond4</v>
      </c>
    </row>
    <row r="86" spans="1:9" ht="13.8" x14ac:dyDescent="0.25">
      <c r="A86" s="62" t="str">
        <f>'G-1 All Habitats'!B86</f>
        <v>Wetland - Oceanic valley mire[1] (D2.1)</v>
      </c>
      <c r="B86" s="322">
        <v>3</v>
      </c>
      <c r="C86" s="322">
        <v>2.5</v>
      </c>
      <c r="D86" s="322">
        <v>2</v>
      </c>
      <c r="E86" s="322">
        <v>1.5</v>
      </c>
      <c r="F86" s="322">
        <v>1</v>
      </c>
      <c r="G86" s="322" t="s">
        <v>1140</v>
      </c>
      <c r="H86" s="322" t="s">
        <v>1140</v>
      </c>
      <c r="I86" s="30" t="str">
        <f t="shared" si="2"/>
        <v>Cond4</v>
      </c>
    </row>
    <row r="87" spans="1:9" ht="13.8" x14ac:dyDescent="0.25">
      <c r="A87" s="62" t="str">
        <f>'G-1 All Habitats'!B87</f>
        <v>Wetland - Purple moor grass and rush pastures</v>
      </c>
      <c r="B87" s="322">
        <v>3</v>
      </c>
      <c r="C87" s="322">
        <v>2.5</v>
      </c>
      <c r="D87" s="322">
        <v>2</v>
      </c>
      <c r="E87" s="322">
        <v>1.5</v>
      </c>
      <c r="F87" s="322">
        <v>1</v>
      </c>
      <c r="G87" s="322" t="s">
        <v>1140</v>
      </c>
      <c r="H87" s="322" t="s">
        <v>1140</v>
      </c>
      <c r="I87" s="30" t="str">
        <f t="shared" si="2"/>
        <v>Cond4</v>
      </c>
    </row>
    <row r="88" spans="1:9" ht="13.8" x14ac:dyDescent="0.25">
      <c r="A88" s="62" t="str">
        <f>'G-1 All Habitats'!B88</f>
        <v>Wetland - Reedbeds</v>
      </c>
      <c r="B88" s="322">
        <v>3</v>
      </c>
      <c r="C88" s="322">
        <v>2.5</v>
      </c>
      <c r="D88" s="322">
        <v>2</v>
      </c>
      <c r="E88" s="322">
        <v>1.5</v>
      </c>
      <c r="F88" s="322">
        <v>1</v>
      </c>
      <c r="G88" s="322" t="s">
        <v>1140</v>
      </c>
      <c r="H88" s="322" t="s">
        <v>1140</v>
      </c>
      <c r="I88" s="30" t="str">
        <f t="shared" si="2"/>
        <v>Cond4</v>
      </c>
    </row>
    <row r="89" spans="1:9" ht="13.8" x14ac:dyDescent="0.25">
      <c r="A89" s="62" t="str">
        <f>'G-1 All Habitats'!B89</f>
        <v>Wetland - Transition mires and quaking bogs (H7140)</v>
      </c>
      <c r="B89" s="322">
        <v>3</v>
      </c>
      <c r="C89" s="322">
        <v>2.5</v>
      </c>
      <c r="D89" s="322">
        <v>2</v>
      </c>
      <c r="E89" s="322">
        <v>1.5</v>
      </c>
      <c r="F89" s="322">
        <v>1</v>
      </c>
      <c r="G89" s="322" t="s">
        <v>1140</v>
      </c>
      <c r="H89" s="322" t="s">
        <v>1140</v>
      </c>
      <c r="I89" s="30" t="str">
        <f t="shared" si="2"/>
        <v>Cond4</v>
      </c>
    </row>
    <row r="90" spans="1:9" ht="13.8" x14ac:dyDescent="0.25">
      <c r="A90" s="62" t="str">
        <f>'G-1 All Habitats'!B90</f>
        <v>Woodland and forest - Felled</v>
      </c>
      <c r="B90" s="322">
        <v>3</v>
      </c>
      <c r="C90" s="322" t="s">
        <v>1140</v>
      </c>
      <c r="D90" s="322" t="s">
        <v>1140</v>
      </c>
      <c r="E90" s="322" t="s">
        <v>1140</v>
      </c>
      <c r="F90" s="322" t="s">
        <v>1140</v>
      </c>
      <c r="G90" s="322" t="s">
        <v>1140</v>
      </c>
      <c r="H90" s="322" t="s">
        <v>1140</v>
      </c>
      <c r="I90" s="30" t="s">
        <v>1247</v>
      </c>
    </row>
    <row r="91" spans="1:9" ht="13.8" x14ac:dyDescent="0.25">
      <c r="A91" s="62" t="str">
        <f>'G-1 All Habitats'!B91</f>
        <v>Woodland and forest - Lowland beech and yew woodland</v>
      </c>
      <c r="B91" s="322">
        <v>3</v>
      </c>
      <c r="C91" s="322">
        <v>2.5</v>
      </c>
      <c r="D91" s="322">
        <v>2</v>
      </c>
      <c r="E91" s="322">
        <v>1.5</v>
      </c>
      <c r="F91" s="322">
        <v>1</v>
      </c>
      <c r="G91" s="322" t="s">
        <v>1140</v>
      </c>
      <c r="H91" s="322" t="s">
        <v>1140</v>
      </c>
      <c r="I91" s="30" t="str">
        <f t="shared" ref="I91:I135" si="3">IF(G91=1,"Cond1",IF(H91=0,"Cond2",IF(AND(B91=3,C91=2.5,D91=2,E91=1.5,F91=1),"Cond4",IF(F91=1,"Cond3","Check"))))</f>
        <v>Cond4</v>
      </c>
    </row>
    <row r="92" spans="1:9" ht="13.8" x14ac:dyDescent="0.25">
      <c r="A92" s="62" t="str">
        <f>'G-1 All Habitats'!B92</f>
        <v>Woodland and forest - Lowland mixed deciduous woodland</v>
      </c>
      <c r="B92" s="322">
        <v>3</v>
      </c>
      <c r="C92" s="322">
        <v>2.5</v>
      </c>
      <c r="D92" s="322">
        <v>2</v>
      </c>
      <c r="E92" s="322">
        <v>1.5</v>
      </c>
      <c r="F92" s="322">
        <v>1</v>
      </c>
      <c r="G92" s="322" t="s">
        <v>1140</v>
      </c>
      <c r="H92" s="322" t="s">
        <v>1140</v>
      </c>
      <c r="I92" s="30" t="str">
        <f t="shared" si="3"/>
        <v>Cond4</v>
      </c>
    </row>
    <row r="93" spans="1:9" ht="13.8" x14ac:dyDescent="0.25">
      <c r="A93" s="62" t="str">
        <f>'G-1 All Habitats'!B93</f>
        <v>Woodland and forest - Native pine woodlands</v>
      </c>
      <c r="B93" s="322">
        <v>3</v>
      </c>
      <c r="C93" s="322">
        <v>2.5</v>
      </c>
      <c r="D93" s="322">
        <v>2</v>
      </c>
      <c r="E93" s="322">
        <v>1.5</v>
      </c>
      <c r="F93" s="322">
        <v>1</v>
      </c>
      <c r="G93" s="322" t="s">
        <v>1140</v>
      </c>
      <c r="H93" s="322" t="s">
        <v>1140</v>
      </c>
      <c r="I93" s="30" t="str">
        <f t="shared" si="3"/>
        <v>Cond4</v>
      </c>
    </row>
    <row r="94" spans="1:9" ht="13.8" x14ac:dyDescent="0.25">
      <c r="A94" s="62" t="str">
        <f>'G-1 All Habitats'!B94</f>
        <v>Woodland and forest - Other coniferous woodland</v>
      </c>
      <c r="B94" s="322">
        <v>3</v>
      </c>
      <c r="C94" s="322">
        <v>2.5</v>
      </c>
      <c r="D94" s="322">
        <v>2</v>
      </c>
      <c r="E94" s="322">
        <v>1.5</v>
      </c>
      <c r="F94" s="322">
        <v>1</v>
      </c>
      <c r="G94" s="322" t="s">
        <v>1140</v>
      </c>
      <c r="H94" s="322" t="s">
        <v>1140</v>
      </c>
      <c r="I94" s="30" t="str">
        <f t="shared" si="3"/>
        <v>Cond4</v>
      </c>
    </row>
    <row r="95" spans="1:9" ht="13.8" x14ac:dyDescent="0.25">
      <c r="A95" s="62" t="str">
        <f>'G-1 All Habitats'!B95</f>
        <v>Woodland and forest - Other Scot's pine woodland</v>
      </c>
      <c r="B95" s="322">
        <v>3</v>
      </c>
      <c r="C95" s="322">
        <v>2.5</v>
      </c>
      <c r="D95" s="322">
        <v>2</v>
      </c>
      <c r="E95" s="322">
        <v>1.5</v>
      </c>
      <c r="F95" s="322">
        <v>1</v>
      </c>
      <c r="G95" s="322" t="s">
        <v>1140</v>
      </c>
      <c r="H95" s="322" t="s">
        <v>1140</v>
      </c>
      <c r="I95" s="30" t="str">
        <f t="shared" si="3"/>
        <v>Cond4</v>
      </c>
    </row>
    <row r="96" spans="1:9" ht="13.8" x14ac:dyDescent="0.25">
      <c r="A96" s="62" t="str">
        <f>'G-1 All Habitats'!B96</f>
        <v>Woodland and forest - Other woodland; broadleaved</v>
      </c>
      <c r="B96" s="322">
        <v>3</v>
      </c>
      <c r="C96" s="322">
        <v>2.5</v>
      </c>
      <c r="D96" s="322">
        <v>2</v>
      </c>
      <c r="E96" s="322">
        <v>1.5</v>
      </c>
      <c r="F96" s="322">
        <v>1</v>
      </c>
      <c r="G96" s="322" t="s">
        <v>1140</v>
      </c>
      <c r="H96" s="322" t="s">
        <v>1140</v>
      </c>
      <c r="I96" s="30" t="str">
        <f t="shared" si="3"/>
        <v>Cond4</v>
      </c>
    </row>
    <row r="97" spans="1:9" ht="13.8" x14ac:dyDescent="0.25">
      <c r="A97" s="62" t="str">
        <f>'G-1 All Habitats'!B97</f>
        <v>Woodland and forest - Other woodland; mixed</v>
      </c>
      <c r="B97" s="322">
        <v>3</v>
      </c>
      <c r="C97" s="322">
        <v>2.5</v>
      </c>
      <c r="D97" s="322">
        <v>2</v>
      </c>
      <c r="E97" s="322">
        <v>1.5</v>
      </c>
      <c r="F97" s="322">
        <v>1</v>
      </c>
      <c r="G97" s="322" t="s">
        <v>1140</v>
      </c>
      <c r="H97" s="322" t="s">
        <v>1140</v>
      </c>
      <c r="I97" s="30" t="str">
        <f t="shared" si="3"/>
        <v>Cond4</v>
      </c>
    </row>
    <row r="98" spans="1:9" ht="13.8" x14ac:dyDescent="0.25">
      <c r="A98" s="62" t="str">
        <f>'G-1 All Habitats'!B98</f>
        <v>Woodland and forest - Upland birchwoods</v>
      </c>
      <c r="B98" s="322">
        <v>3</v>
      </c>
      <c r="C98" s="322">
        <v>2.5</v>
      </c>
      <c r="D98" s="322">
        <v>2</v>
      </c>
      <c r="E98" s="322">
        <v>1.5</v>
      </c>
      <c r="F98" s="322">
        <v>1</v>
      </c>
      <c r="G98" s="322" t="s">
        <v>1140</v>
      </c>
      <c r="H98" s="322" t="s">
        <v>1140</v>
      </c>
      <c r="I98" s="30" t="str">
        <f t="shared" si="3"/>
        <v>Cond4</v>
      </c>
    </row>
    <row r="99" spans="1:9" ht="13.8" x14ac:dyDescent="0.25">
      <c r="A99" s="62" t="str">
        <f>'G-1 All Habitats'!B99</f>
        <v>Woodland and forest - Upland mixed ashwoods</v>
      </c>
      <c r="B99" s="322">
        <v>3</v>
      </c>
      <c r="C99" s="322">
        <v>2.5</v>
      </c>
      <c r="D99" s="322">
        <v>2</v>
      </c>
      <c r="E99" s="322">
        <v>1.5</v>
      </c>
      <c r="F99" s="322">
        <v>1</v>
      </c>
      <c r="G99" s="322" t="s">
        <v>1140</v>
      </c>
      <c r="H99" s="322" t="s">
        <v>1140</v>
      </c>
      <c r="I99" s="30" t="str">
        <f t="shared" si="3"/>
        <v>Cond4</v>
      </c>
    </row>
    <row r="100" spans="1:9" ht="13.8" x14ac:dyDescent="0.25">
      <c r="A100" s="62" t="str">
        <f>'G-1 All Habitats'!B100</f>
        <v>Woodland and forest - Upland oakwood</v>
      </c>
      <c r="B100" s="322">
        <v>3</v>
      </c>
      <c r="C100" s="322">
        <v>2.5</v>
      </c>
      <c r="D100" s="322">
        <v>2</v>
      </c>
      <c r="E100" s="322">
        <v>1.5</v>
      </c>
      <c r="F100" s="322">
        <v>1</v>
      </c>
      <c r="G100" s="322" t="s">
        <v>1140</v>
      </c>
      <c r="H100" s="322" t="s">
        <v>1140</v>
      </c>
      <c r="I100" s="30" t="str">
        <f t="shared" si="3"/>
        <v>Cond4</v>
      </c>
    </row>
    <row r="101" spans="1:9" ht="13.8" x14ac:dyDescent="0.25">
      <c r="A101" s="62" t="str">
        <f>'G-1 All Habitats'!B101</f>
        <v>Woodland and forest - Wet woodland</v>
      </c>
      <c r="B101" s="322">
        <v>3</v>
      </c>
      <c r="C101" s="322">
        <v>2.5</v>
      </c>
      <c r="D101" s="322">
        <v>2</v>
      </c>
      <c r="E101" s="322">
        <v>1.5</v>
      </c>
      <c r="F101" s="322">
        <v>1</v>
      </c>
      <c r="G101" s="322" t="s">
        <v>1140</v>
      </c>
      <c r="H101" s="322" t="s">
        <v>1140</v>
      </c>
      <c r="I101" s="30" t="str">
        <f t="shared" si="3"/>
        <v>Cond4</v>
      </c>
    </row>
    <row r="102" spans="1:9" ht="13.8" x14ac:dyDescent="0.25">
      <c r="A102" s="62" t="str">
        <f>'G-1 All Habitats'!B102</f>
        <v>Woodland and forest - Wood-pasture and parkland</v>
      </c>
      <c r="B102" s="322">
        <v>3</v>
      </c>
      <c r="C102" s="322">
        <v>2.5</v>
      </c>
      <c r="D102" s="322">
        <v>2</v>
      </c>
      <c r="E102" s="322">
        <v>1.5</v>
      </c>
      <c r="F102" s="322">
        <v>1</v>
      </c>
      <c r="G102" s="322" t="s">
        <v>1140</v>
      </c>
      <c r="H102" s="322" t="s">
        <v>1140</v>
      </c>
      <c r="I102" s="30" t="str">
        <f t="shared" si="3"/>
        <v>Cond4</v>
      </c>
    </row>
    <row r="103" spans="1:9" ht="13.8" x14ac:dyDescent="0.25">
      <c r="A103" s="62" t="str">
        <f>'G-1 All Habitats'!B104</f>
        <v>Coastal lagoons - Coastal lagoons</v>
      </c>
      <c r="B103" s="322">
        <v>3</v>
      </c>
      <c r="C103" s="322">
        <v>2.5</v>
      </c>
      <c r="D103" s="322">
        <v>2</v>
      </c>
      <c r="E103" s="322">
        <v>1.5</v>
      </c>
      <c r="F103" s="322">
        <v>1</v>
      </c>
      <c r="G103" s="322" t="s">
        <v>1140</v>
      </c>
      <c r="H103" s="322" t="s">
        <v>1140</v>
      </c>
      <c r="I103" s="30" t="str">
        <f t="shared" si="3"/>
        <v>Cond4</v>
      </c>
    </row>
    <row r="104" spans="1:9" ht="13.8" x14ac:dyDescent="0.25">
      <c r="A104" s="62" t="str">
        <f>'G-1 All Habitats'!B105</f>
        <v>Rocky shore - High energy littoral rock</v>
      </c>
      <c r="B104" s="322">
        <v>3</v>
      </c>
      <c r="C104" s="322">
        <v>2.5</v>
      </c>
      <c r="D104" s="322">
        <v>2</v>
      </c>
      <c r="E104" s="322">
        <v>1.5</v>
      </c>
      <c r="F104" s="322">
        <v>1</v>
      </c>
      <c r="G104" s="322" t="s">
        <v>1140</v>
      </c>
      <c r="H104" s="322" t="s">
        <v>1140</v>
      </c>
      <c r="I104" s="30" t="str">
        <f t="shared" si="3"/>
        <v>Cond4</v>
      </c>
    </row>
    <row r="105" spans="1:9" ht="13.8" x14ac:dyDescent="0.25">
      <c r="A105" s="62" t="str">
        <f>'G-1 All Habitats'!B106</f>
        <v>Rocky shore - High energy littoral rock - on peat, clay or chalk</v>
      </c>
      <c r="B105" s="322">
        <v>3</v>
      </c>
      <c r="C105" s="322">
        <v>2.5</v>
      </c>
      <c r="D105" s="322">
        <v>2</v>
      </c>
      <c r="E105" s="322">
        <v>1.5</v>
      </c>
      <c r="F105" s="322">
        <v>1</v>
      </c>
      <c r="G105" s="322" t="s">
        <v>1140</v>
      </c>
      <c r="H105" s="322" t="s">
        <v>1140</v>
      </c>
      <c r="I105" s="30" t="str">
        <f t="shared" si="3"/>
        <v>Cond4</v>
      </c>
    </row>
    <row r="106" spans="1:9" ht="13.8" x14ac:dyDescent="0.25">
      <c r="A106" s="62" t="str">
        <f>'G-1 All Habitats'!B107</f>
        <v>Rocky shore - Moderate energy littoral rock</v>
      </c>
      <c r="B106" s="322">
        <v>3</v>
      </c>
      <c r="C106" s="322">
        <v>2.5</v>
      </c>
      <c r="D106" s="322">
        <v>2</v>
      </c>
      <c r="E106" s="322">
        <v>1.5</v>
      </c>
      <c r="F106" s="322">
        <v>1</v>
      </c>
      <c r="G106" s="322" t="s">
        <v>1140</v>
      </c>
      <c r="H106" s="322" t="s">
        <v>1140</v>
      </c>
      <c r="I106" s="30" t="str">
        <f t="shared" si="3"/>
        <v>Cond4</v>
      </c>
    </row>
    <row r="107" spans="1:9" ht="13.8" x14ac:dyDescent="0.25">
      <c r="A107" s="62" t="str">
        <f>'G-1 All Habitats'!B108</f>
        <v>Rocky shore - Moderate energy littoral rock - on peat, clay or chalk</v>
      </c>
      <c r="B107" s="322">
        <v>3</v>
      </c>
      <c r="C107" s="322">
        <v>2.5</v>
      </c>
      <c r="D107" s="322">
        <v>2</v>
      </c>
      <c r="E107" s="322">
        <v>1.5</v>
      </c>
      <c r="F107" s="322">
        <v>1</v>
      </c>
      <c r="G107" s="322" t="s">
        <v>1140</v>
      </c>
      <c r="H107" s="322" t="s">
        <v>1140</v>
      </c>
      <c r="I107" s="30" t="str">
        <f t="shared" si="3"/>
        <v>Cond4</v>
      </c>
    </row>
    <row r="108" spans="1:9" ht="13.8" x14ac:dyDescent="0.25">
      <c r="A108" s="62" t="str">
        <f>'G-1 All Habitats'!B109</f>
        <v>Rocky shore - Low energy littoral rock</v>
      </c>
      <c r="B108" s="322">
        <v>3</v>
      </c>
      <c r="C108" s="322">
        <v>2.5</v>
      </c>
      <c r="D108" s="322">
        <v>2</v>
      </c>
      <c r="E108" s="322">
        <v>1.5</v>
      </c>
      <c r="F108" s="322">
        <v>1</v>
      </c>
      <c r="G108" s="322" t="s">
        <v>1140</v>
      </c>
      <c r="H108" s="322" t="s">
        <v>1140</v>
      </c>
      <c r="I108" s="30" t="str">
        <f t="shared" si="3"/>
        <v>Cond4</v>
      </c>
    </row>
    <row r="109" spans="1:9" ht="13.8" x14ac:dyDescent="0.25">
      <c r="A109" s="62" t="str">
        <f>'G-1 All Habitats'!B110</f>
        <v>Rocky shore - Low energy littoral rock - on peat, clay or chalk</v>
      </c>
      <c r="B109" s="322">
        <v>3</v>
      </c>
      <c r="C109" s="322">
        <v>2.5</v>
      </c>
      <c r="D109" s="322">
        <v>2</v>
      </c>
      <c r="E109" s="322">
        <v>1.5</v>
      </c>
      <c r="F109" s="322">
        <v>1</v>
      </c>
      <c r="G109" s="322" t="s">
        <v>1140</v>
      </c>
      <c r="H109" s="322" t="s">
        <v>1140</v>
      </c>
      <c r="I109" s="30" t="str">
        <f t="shared" si="3"/>
        <v>Cond4</v>
      </c>
    </row>
    <row r="110" spans="1:9" ht="13.8" x14ac:dyDescent="0.25">
      <c r="A110" s="62" t="str">
        <f>'G-1 All Habitats'!B111</f>
        <v>Rocky shore - Features of littoral rock</v>
      </c>
      <c r="B110" s="322">
        <v>3</v>
      </c>
      <c r="C110" s="322">
        <v>2.5</v>
      </c>
      <c r="D110" s="322">
        <v>2</v>
      </c>
      <c r="E110" s="322">
        <v>1.5</v>
      </c>
      <c r="F110" s="322">
        <v>1</v>
      </c>
      <c r="G110" s="322" t="s">
        <v>1140</v>
      </c>
      <c r="H110" s="322" t="s">
        <v>1140</v>
      </c>
      <c r="I110" s="30" t="str">
        <f t="shared" si="3"/>
        <v>Cond4</v>
      </c>
    </row>
    <row r="111" spans="1:9" ht="13.8" x14ac:dyDescent="0.25">
      <c r="A111" s="62" t="str">
        <f>'G-1 All Habitats'!B112</f>
        <v>Rocky shore - Features of littoral rock - on peat, clay or chalk</v>
      </c>
      <c r="B111" s="322">
        <v>3</v>
      </c>
      <c r="C111" s="322">
        <v>2.5</v>
      </c>
      <c r="D111" s="322">
        <v>2</v>
      </c>
      <c r="E111" s="322">
        <v>1.5</v>
      </c>
      <c r="F111" s="322">
        <v>1</v>
      </c>
      <c r="G111" s="322" t="s">
        <v>1140</v>
      </c>
      <c r="H111" s="322" t="s">
        <v>1140</v>
      </c>
      <c r="I111" s="30" t="str">
        <f t="shared" si="3"/>
        <v>Cond4</v>
      </c>
    </row>
    <row r="112" spans="1:9" ht="13.8" x14ac:dyDescent="0.25">
      <c r="A112" s="62" t="str">
        <f>'G-1 All Habitats'!B115</f>
        <v>Intertidal sediment - Littoral coarse sediment</v>
      </c>
      <c r="B112" s="322">
        <v>3</v>
      </c>
      <c r="C112" s="322">
        <v>2.5</v>
      </c>
      <c r="D112" s="322">
        <v>2</v>
      </c>
      <c r="E112" s="322">
        <v>1.5</v>
      </c>
      <c r="F112" s="322">
        <v>1</v>
      </c>
      <c r="G112" s="322" t="s">
        <v>1140</v>
      </c>
      <c r="H112" s="322" t="s">
        <v>1140</v>
      </c>
      <c r="I112" s="30" t="str">
        <f t="shared" si="3"/>
        <v>Cond4</v>
      </c>
    </row>
    <row r="113" spans="1:9" ht="13.8" x14ac:dyDescent="0.25">
      <c r="A113" s="62" t="str">
        <f>'G-1 All Habitats'!B116</f>
        <v>Intertidal sediment - Littoral mud</v>
      </c>
      <c r="B113" s="322">
        <v>3</v>
      </c>
      <c r="C113" s="322">
        <v>2.5</v>
      </c>
      <c r="D113" s="322">
        <v>2</v>
      </c>
      <c r="E113" s="322">
        <v>1.5</v>
      </c>
      <c r="F113" s="322">
        <v>1</v>
      </c>
      <c r="G113" s="322" t="s">
        <v>1140</v>
      </c>
      <c r="H113" s="322" t="s">
        <v>1140</v>
      </c>
      <c r="I113" s="30" t="str">
        <f t="shared" si="3"/>
        <v>Cond4</v>
      </c>
    </row>
    <row r="114" spans="1:9" ht="13.8" x14ac:dyDescent="0.25">
      <c r="A114" s="62" t="str">
        <f>'G-1 All Habitats'!B117</f>
        <v>Intertidal sediment - Littoral mixed sediments</v>
      </c>
      <c r="B114" s="322">
        <v>3</v>
      </c>
      <c r="C114" s="322">
        <v>2.5</v>
      </c>
      <c r="D114" s="322">
        <v>2</v>
      </c>
      <c r="E114" s="322">
        <v>1.5</v>
      </c>
      <c r="F114" s="322">
        <v>1</v>
      </c>
      <c r="G114" s="322" t="s">
        <v>1140</v>
      </c>
      <c r="H114" s="322" t="s">
        <v>1140</v>
      </c>
      <c r="I114" s="30" t="str">
        <f t="shared" si="3"/>
        <v>Cond4</v>
      </c>
    </row>
    <row r="115" spans="1:9" ht="13.8" x14ac:dyDescent="0.25">
      <c r="A115" s="62" t="str">
        <f>'G-1 All Habitats'!B113</f>
        <v>Coastal saltmarsh - Saltmarshes and saline reedbeds</v>
      </c>
      <c r="B115" s="322">
        <v>3</v>
      </c>
      <c r="C115" s="322">
        <v>2.5</v>
      </c>
      <c r="D115" s="322">
        <v>2</v>
      </c>
      <c r="E115" s="322">
        <v>1.5</v>
      </c>
      <c r="F115" s="322">
        <v>1</v>
      </c>
      <c r="G115" s="322" t="s">
        <v>1140</v>
      </c>
      <c r="H115" s="322" t="s">
        <v>1140</v>
      </c>
      <c r="I115" s="30" t="str">
        <f t="shared" si="3"/>
        <v>Cond4</v>
      </c>
    </row>
    <row r="116" spans="1:9" ht="13.8" x14ac:dyDescent="0.25">
      <c r="A116" s="62" t="str">
        <f>'G-1 All Habitats'!B114</f>
        <v>Coastal saltmarsh - Artificial saltmarshes and saline reedbeds</v>
      </c>
      <c r="B116" s="322">
        <v>3</v>
      </c>
      <c r="C116" s="322">
        <v>2.5</v>
      </c>
      <c r="D116" s="322">
        <v>2</v>
      </c>
      <c r="E116" s="322">
        <v>1.5</v>
      </c>
      <c r="F116" s="322">
        <v>1</v>
      </c>
      <c r="G116" s="322" t="s">
        <v>1140</v>
      </c>
      <c r="H116" s="322" t="s">
        <v>1140</v>
      </c>
      <c r="I116" s="30" t="str">
        <f t="shared" si="3"/>
        <v>Cond4</v>
      </c>
    </row>
    <row r="117" spans="1:9" ht="13.8" x14ac:dyDescent="0.25">
      <c r="A117" s="62" t="str">
        <f>'G-1 All Habitats'!B118</f>
        <v>Intertidal sediment - Littoral seagrass</v>
      </c>
      <c r="B117" s="322">
        <v>3</v>
      </c>
      <c r="C117" s="322">
        <v>2.5</v>
      </c>
      <c r="D117" s="322">
        <v>2</v>
      </c>
      <c r="E117" s="322">
        <v>1.5</v>
      </c>
      <c r="F117" s="322">
        <v>1</v>
      </c>
      <c r="G117" s="322" t="s">
        <v>1140</v>
      </c>
      <c r="H117" s="322" t="s">
        <v>1140</v>
      </c>
      <c r="I117" s="30" t="str">
        <f t="shared" si="3"/>
        <v>Cond4</v>
      </c>
    </row>
    <row r="118" spans="1:9" ht="13.8" x14ac:dyDescent="0.25">
      <c r="A118" s="62" t="str">
        <f>'G-1 All Habitats'!B119</f>
        <v>Intertidal sediment - Littoral seagrass on peat, clay or chalk</v>
      </c>
      <c r="B118" s="322">
        <v>3</v>
      </c>
      <c r="C118" s="322">
        <v>2.5</v>
      </c>
      <c r="D118" s="322">
        <v>2</v>
      </c>
      <c r="E118" s="322">
        <v>1.5</v>
      </c>
      <c r="F118" s="322">
        <v>1</v>
      </c>
      <c r="G118" s="322" t="s">
        <v>1140</v>
      </c>
      <c r="H118" s="322" t="s">
        <v>1140</v>
      </c>
      <c r="I118" s="30" t="str">
        <f t="shared" si="3"/>
        <v>Cond4</v>
      </c>
    </row>
    <row r="119" spans="1:9" ht="13.8" x14ac:dyDescent="0.25">
      <c r="A119" s="62" t="str">
        <f>'G-1 All Habitats'!B120</f>
        <v>Intertidal sediment - Littoral biogenic reefs - Mussels</v>
      </c>
      <c r="B119" s="322">
        <v>3</v>
      </c>
      <c r="C119" s="322">
        <v>2.5</v>
      </c>
      <c r="D119" s="322">
        <v>2</v>
      </c>
      <c r="E119" s="322">
        <v>1.5</v>
      </c>
      <c r="F119" s="322">
        <v>1</v>
      </c>
      <c r="G119" s="322" t="s">
        <v>1140</v>
      </c>
      <c r="H119" s="322" t="s">
        <v>1140</v>
      </c>
      <c r="I119" s="30" t="str">
        <f t="shared" si="3"/>
        <v>Cond4</v>
      </c>
    </row>
    <row r="120" spans="1:9" ht="13.8" x14ac:dyDescent="0.25">
      <c r="A120" s="62" t="str">
        <f>'G-1 All Habitats'!B121</f>
        <v>Intertidal sediment - Littoral biogenic reefs - Sabellaria</v>
      </c>
      <c r="B120" s="322">
        <v>3</v>
      </c>
      <c r="C120" s="322">
        <v>2.5</v>
      </c>
      <c r="D120" s="322">
        <v>2</v>
      </c>
      <c r="E120" s="322">
        <v>1.5</v>
      </c>
      <c r="F120" s="322">
        <v>1</v>
      </c>
      <c r="G120" s="322" t="s">
        <v>1140</v>
      </c>
      <c r="H120" s="322" t="s">
        <v>1140</v>
      </c>
      <c r="I120" s="30" t="str">
        <f t="shared" si="3"/>
        <v>Cond4</v>
      </c>
    </row>
    <row r="121" spans="1:9" ht="13.8" x14ac:dyDescent="0.25">
      <c r="A121" s="62" t="str">
        <f>'G-1 All Habitats'!B122</f>
        <v>Intertidal sediment - Features of littoral sediment</v>
      </c>
      <c r="B121" s="322">
        <v>3</v>
      </c>
      <c r="C121" s="322">
        <v>2.5</v>
      </c>
      <c r="D121" s="322">
        <v>2</v>
      </c>
      <c r="E121" s="322">
        <v>1.5</v>
      </c>
      <c r="F121" s="322">
        <v>1</v>
      </c>
      <c r="G121" s="322" t="s">
        <v>1140</v>
      </c>
      <c r="H121" s="322" t="s">
        <v>1140</v>
      </c>
      <c r="I121" s="30" t="str">
        <f t="shared" si="3"/>
        <v>Cond4</v>
      </c>
    </row>
    <row r="122" spans="1:9" ht="13.8" x14ac:dyDescent="0.25">
      <c r="A122" s="62" t="str">
        <f>'G-1 All Habitats'!B123</f>
        <v>Intertidal sediment - Artificial littoral coarse sediment</v>
      </c>
      <c r="B122" s="322">
        <v>3</v>
      </c>
      <c r="C122" s="322">
        <v>2.5</v>
      </c>
      <c r="D122" s="322">
        <v>2</v>
      </c>
      <c r="E122" s="322">
        <v>1.5</v>
      </c>
      <c r="F122" s="322">
        <v>1</v>
      </c>
      <c r="G122" s="322" t="s">
        <v>1140</v>
      </c>
      <c r="H122" s="322" t="s">
        <v>1140</v>
      </c>
      <c r="I122" s="30" t="str">
        <f t="shared" si="3"/>
        <v>Cond4</v>
      </c>
    </row>
    <row r="123" spans="1:9" ht="13.8" x14ac:dyDescent="0.25">
      <c r="A123" s="62" t="str">
        <f>'G-1 All Habitats'!B124</f>
        <v>Intertidal sediment - Artificial littoral mud</v>
      </c>
      <c r="B123" s="322">
        <v>3</v>
      </c>
      <c r="C123" s="322">
        <v>2.5</v>
      </c>
      <c r="D123" s="322">
        <v>2</v>
      </c>
      <c r="E123" s="322">
        <v>1.5</v>
      </c>
      <c r="F123" s="322">
        <v>1</v>
      </c>
      <c r="G123" s="322" t="s">
        <v>1140</v>
      </c>
      <c r="H123" s="322" t="s">
        <v>1140</v>
      </c>
      <c r="I123" s="30" t="str">
        <f t="shared" si="3"/>
        <v>Cond4</v>
      </c>
    </row>
    <row r="124" spans="1:9" ht="13.8" x14ac:dyDescent="0.25">
      <c r="A124" s="62" t="str">
        <f>'G-1 All Habitats'!B125</f>
        <v>Intertidal sediment - Artificial littoral sand</v>
      </c>
      <c r="B124" s="322">
        <v>3</v>
      </c>
      <c r="C124" s="322">
        <v>2.5</v>
      </c>
      <c r="D124" s="322">
        <v>2</v>
      </c>
      <c r="E124" s="322">
        <v>1.5</v>
      </c>
      <c r="F124" s="322">
        <v>1</v>
      </c>
      <c r="G124" s="322" t="s">
        <v>1140</v>
      </c>
      <c r="H124" s="322" t="s">
        <v>1140</v>
      </c>
      <c r="I124" s="30" t="str">
        <f t="shared" si="3"/>
        <v>Cond4</v>
      </c>
    </row>
    <row r="125" spans="1:9" ht="13.8" x14ac:dyDescent="0.25">
      <c r="A125" s="62" t="str">
        <f>'G-1 All Habitats'!B126</f>
        <v>Intertidal sediment - Artificial littoral muddy sand</v>
      </c>
      <c r="B125" s="322">
        <v>3</v>
      </c>
      <c r="C125" s="322">
        <v>2.5</v>
      </c>
      <c r="D125" s="322">
        <v>2</v>
      </c>
      <c r="E125" s="322">
        <v>1.5</v>
      </c>
      <c r="F125" s="322">
        <v>1</v>
      </c>
      <c r="G125" s="322" t="s">
        <v>1140</v>
      </c>
      <c r="H125" s="322" t="s">
        <v>1140</v>
      </c>
      <c r="I125" s="30" t="str">
        <f t="shared" si="3"/>
        <v>Cond4</v>
      </c>
    </row>
    <row r="126" spans="1:9" ht="13.8" x14ac:dyDescent="0.25">
      <c r="A126" s="62" t="str">
        <f>'G-1 All Habitats'!B127</f>
        <v>Intertidal sediment - Artificial littoral mixed sediments</v>
      </c>
      <c r="B126" s="322">
        <v>3</v>
      </c>
      <c r="C126" s="322">
        <v>2.5</v>
      </c>
      <c r="D126" s="322">
        <v>2</v>
      </c>
      <c r="E126" s="322">
        <v>1.5</v>
      </c>
      <c r="F126" s="322">
        <v>1</v>
      </c>
      <c r="G126" s="322" t="s">
        <v>1140</v>
      </c>
      <c r="H126" s="322" t="s">
        <v>1140</v>
      </c>
      <c r="I126" s="30" t="str">
        <f t="shared" si="3"/>
        <v>Cond4</v>
      </c>
    </row>
    <row r="127" spans="1:9" ht="13.8" x14ac:dyDescent="0.25">
      <c r="A127" s="62" t="str">
        <f>'G-1 All Habitats'!B128</f>
        <v>Intertidal sediment - Artificial littoral seagrass</v>
      </c>
      <c r="B127" s="322">
        <v>3</v>
      </c>
      <c r="C127" s="322">
        <v>2.5</v>
      </c>
      <c r="D127" s="322">
        <v>2</v>
      </c>
      <c r="E127" s="322">
        <v>1.5</v>
      </c>
      <c r="F127" s="322">
        <v>1</v>
      </c>
      <c r="G127" s="322" t="s">
        <v>1140</v>
      </c>
      <c r="H127" s="322" t="s">
        <v>1140</v>
      </c>
      <c r="I127" s="30" t="str">
        <f t="shared" si="3"/>
        <v>Cond4</v>
      </c>
    </row>
    <row r="128" spans="1:9" ht="13.8" x14ac:dyDescent="0.25">
      <c r="A128" s="62" t="str">
        <f>'G-1 All Habitats'!B129</f>
        <v>Intertidal sediment - Artificial littoral biogenic reefs</v>
      </c>
      <c r="B128" s="322">
        <v>3</v>
      </c>
      <c r="C128" s="322">
        <v>2.5</v>
      </c>
      <c r="D128" s="322">
        <v>2</v>
      </c>
      <c r="E128" s="322">
        <v>1.5</v>
      </c>
      <c r="F128" s="322">
        <v>1</v>
      </c>
      <c r="G128" s="322" t="s">
        <v>1140</v>
      </c>
      <c r="H128" s="322" t="s">
        <v>1140</v>
      </c>
      <c r="I128" s="30" t="str">
        <f t="shared" si="3"/>
        <v>Cond4</v>
      </c>
    </row>
    <row r="129" spans="1:9" ht="13.8" x14ac:dyDescent="0.25">
      <c r="A129" s="62" t="str">
        <f>'G-1 All Habitats'!B130</f>
        <v>Intertidal sediment - Littoral sand</v>
      </c>
      <c r="B129" s="322">
        <v>3</v>
      </c>
      <c r="C129" s="322">
        <v>2.5</v>
      </c>
      <c r="D129" s="322">
        <v>2</v>
      </c>
      <c r="E129" s="322">
        <v>1.5</v>
      </c>
      <c r="F129" s="322">
        <v>1</v>
      </c>
      <c r="G129" s="322" t="s">
        <v>1140</v>
      </c>
      <c r="H129" s="322" t="s">
        <v>1140</v>
      </c>
      <c r="I129" s="30" t="str">
        <f t="shared" si="3"/>
        <v>Cond4</v>
      </c>
    </row>
    <row r="130" spans="1:9" ht="13.8" x14ac:dyDescent="0.25">
      <c r="A130" s="62" t="str">
        <f>'G-1 All Habitats'!B131</f>
        <v>Intertidal sediment - Littoral muddy sand</v>
      </c>
      <c r="B130" s="322">
        <v>3</v>
      </c>
      <c r="C130" s="322">
        <v>2.5</v>
      </c>
      <c r="D130" s="322">
        <v>2</v>
      </c>
      <c r="E130" s="322">
        <v>1.5</v>
      </c>
      <c r="F130" s="322">
        <v>1</v>
      </c>
      <c r="G130" s="322" t="s">
        <v>1140</v>
      </c>
      <c r="H130" s="322" t="s">
        <v>1140</v>
      </c>
      <c r="I130" s="30" t="str">
        <f t="shared" si="3"/>
        <v>Cond4</v>
      </c>
    </row>
    <row r="131" spans="1:9" ht="13.8" x14ac:dyDescent="0.25">
      <c r="A131" s="62" t="str">
        <f>'G-1 All Habitats'!B132</f>
        <v>Intertidal hard structures - Artificial hard structures</v>
      </c>
      <c r="B131" s="322">
        <v>3</v>
      </c>
      <c r="C131" s="322">
        <v>2.5</v>
      </c>
      <c r="D131" s="322">
        <v>2</v>
      </c>
      <c r="E131" s="322">
        <v>1.5</v>
      </c>
      <c r="F131" s="322">
        <v>1</v>
      </c>
      <c r="G131" s="322" t="s">
        <v>1140</v>
      </c>
      <c r="H131" s="322" t="s">
        <v>1140</v>
      </c>
      <c r="I131" s="30" t="str">
        <f t="shared" si="3"/>
        <v>Cond4</v>
      </c>
    </row>
    <row r="132" spans="1:9" ht="13.8" x14ac:dyDescent="0.25">
      <c r="A132" s="62" t="str">
        <f>'G-1 All Habitats'!B133</f>
        <v>Intertidal hard structures - Artificial features of hard structures</v>
      </c>
      <c r="B132" s="322">
        <v>3</v>
      </c>
      <c r="C132" s="322">
        <v>2.5</v>
      </c>
      <c r="D132" s="322">
        <v>2</v>
      </c>
      <c r="E132" s="322">
        <v>1.5</v>
      </c>
      <c r="F132" s="322">
        <v>1</v>
      </c>
      <c r="G132" s="322" t="s">
        <v>1140</v>
      </c>
      <c r="H132" s="322" t="s">
        <v>1140</v>
      </c>
      <c r="I132" s="30" t="str">
        <f t="shared" si="3"/>
        <v>Cond4</v>
      </c>
    </row>
    <row r="133" spans="1:9" ht="13.8" x14ac:dyDescent="0.25">
      <c r="A133" s="62" t="str">
        <f>'G-1 All Habitats'!B134</f>
        <v>Intertidal hard structures - Artificial hard structures with integrated greening of grey infrastructure (IGGI)</v>
      </c>
      <c r="B133" s="322">
        <v>3</v>
      </c>
      <c r="C133" s="322">
        <v>2.5</v>
      </c>
      <c r="D133" s="322">
        <v>2</v>
      </c>
      <c r="E133" s="322">
        <v>1.5</v>
      </c>
      <c r="F133" s="322">
        <v>1</v>
      </c>
      <c r="G133" s="322" t="s">
        <v>1140</v>
      </c>
      <c r="H133" s="322" t="s">
        <v>1140</v>
      </c>
      <c r="I133" s="30" t="str">
        <f t="shared" si="3"/>
        <v>Cond4</v>
      </c>
    </row>
    <row r="134" spans="1:9" ht="13.8" x14ac:dyDescent="0.25">
      <c r="A134" s="62" t="s">
        <v>1026</v>
      </c>
      <c r="B134" s="322" t="s">
        <v>1140</v>
      </c>
      <c r="C134" s="322" t="s">
        <v>1140</v>
      </c>
      <c r="D134" s="322" t="s">
        <v>1140</v>
      </c>
      <c r="E134" s="322" t="s">
        <v>1140</v>
      </c>
      <c r="F134" s="322" t="s">
        <v>1140</v>
      </c>
      <c r="G134" s="322" t="s">
        <v>1140</v>
      </c>
      <c r="H134" s="322">
        <v>0</v>
      </c>
      <c r="I134" s="30" t="str">
        <f t="shared" si="3"/>
        <v>Cond2</v>
      </c>
    </row>
    <row r="135" spans="1:9" ht="13.8" x14ac:dyDescent="0.25">
      <c r="A135" s="62" t="s">
        <v>862</v>
      </c>
      <c r="B135" s="322">
        <v>3</v>
      </c>
      <c r="C135" s="322">
        <v>2.5</v>
      </c>
      <c r="D135" s="322">
        <v>2</v>
      </c>
      <c r="E135" s="322">
        <v>1.5</v>
      </c>
      <c r="F135" s="322">
        <v>1</v>
      </c>
      <c r="G135" s="322" t="s">
        <v>1140</v>
      </c>
      <c r="H135" s="322" t="s">
        <v>1140</v>
      </c>
      <c r="I135" s="30" t="str">
        <f t="shared" si="3"/>
        <v>Cond4</v>
      </c>
    </row>
    <row r="136" spans="1:9" ht="13.8" x14ac:dyDescent="0.25"/>
    <row r="137" spans="1:9" ht="14.7" customHeight="1" x14ac:dyDescent="0.25"/>
    <row r="138" spans="1:9" ht="14.7" customHeight="1" x14ac:dyDescent="0.25"/>
    <row r="139" spans="1:9" ht="14.7" customHeight="1" x14ac:dyDescent="0.25"/>
    <row r="140" spans="1:9" ht="14.7" customHeight="1" x14ac:dyDescent="0.25"/>
    <row r="141" spans="1:9" ht="14.7" customHeight="1" x14ac:dyDescent="0.25"/>
    <row r="142" spans="1:9" ht="14.7" customHeight="1" x14ac:dyDescent="0.25"/>
    <row r="143" spans="1:9" ht="14.7" customHeight="1" x14ac:dyDescent="0.25"/>
    <row r="144" spans="1:9" ht="14.7" customHeight="1" x14ac:dyDescent="0.25"/>
    <row r="145" ht="14.7" customHeight="1" x14ac:dyDescent="0.25"/>
    <row r="146" ht="14.7" customHeight="1" x14ac:dyDescent="0.25"/>
    <row r="147" ht="14.7" customHeight="1" x14ac:dyDescent="0.25"/>
    <row r="148" ht="14.7" customHeight="1" x14ac:dyDescent="0.25"/>
    <row r="149" ht="14.7" customHeight="1" x14ac:dyDescent="0.25"/>
    <row r="150" ht="14.7" customHeight="1" x14ac:dyDescent="0.25"/>
    <row r="151" ht="14.7" customHeight="1" x14ac:dyDescent="0.25"/>
  </sheetData>
  <sheetProtection algorithmName="SHA-512" hashValue="27RxuTDZBBRguEIhEgfLjvSoeatC57mDBDMugOC+U/+rB8vTHKNdu6OooD5yedLUQJTwzhWhFfOfDHGaSRq+XA==" saltValue="nsNiN6pNmCb4gUe1+EtS9A==" spinCount="100000" sheet="1" objects="1" scenarios="1"/>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E151F-D75D-431F-9AF7-B951DCC6E509}">
  <sheetPr codeName="Sheet41">
    <tabColor rgb="FFE0DCD3"/>
  </sheetPr>
  <dimension ref="B2:D14"/>
  <sheetViews>
    <sheetView workbookViewId="0"/>
  </sheetViews>
  <sheetFormatPr defaultColWidth="9.33203125" defaultRowHeight="14.4" x14ac:dyDescent="0.3"/>
  <cols>
    <col min="1" max="1" width="9.33203125" style="1"/>
    <col min="2" max="2" width="39.6640625" style="1" customWidth="1"/>
    <col min="3" max="3" width="51.33203125" style="1" customWidth="1"/>
    <col min="4" max="4" width="41.33203125" style="1" customWidth="1"/>
    <col min="5" max="16384" width="9.33203125" style="1"/>
  </cols>
  <sheetData>
    <row r="2" spans="2:4" ht="15" thickBot="1" x14ac:dyDescent="0.35"/>
    <row r="3" spans="2:4" ht="16.2" thickBot="1" x14ac:dyDescent="0.35">
      <c r="B3" s="1047" t="s">
        <v>1248</v>
      </c>
      <c r="C3" s="811" t="s">
        <v>1249</v>
      </c>
      <c r="D3" s="812" t="s">
        <v>1250</v>
      </c>
    </row>
    <row r="4" spans="2:4" x14ac:dyDescent="0.3">
      <c r="B4" s="1044" t="s">
        <v>1251</v>
      </c>
      <c r="C4" s="359" t="s">
        <v>1252</v>
      </c>
      <c r="D4" s="357" t="s">
        <v>1253</v>
      </c>
    </row>
    <row r="5" spans="2:4" ht="88.5" customHeight="1" x14ac:dyDescent="0.3">
      <c r="B5" s="1045" t="s">
        <v>1254</v>
      </c>
      <c r="C5" s="301" t="s">
        <v>1255</v>
      </c>
      <c r="D5" s="363" t="s">
        <v>1256</v>
      </c>
    </row>
    <row r="6" spans="2:4" ht="27.6" x14ac:dyDescent="0.3">
      <c r="B6" s="1045" t="s">
        <v>1257</v>
      </c>
      <c r="C6" s="301" t="s">
        <v>1775</v>
      </c>
      <c r="D6" s="363" t="s">
        <v>1258</v>
      </c>
    </row>
    <row r="7" spans="2:4" ht="42" thickBot="1" x14ac:dyDescent="0.35">
      <c r="B7" s="1046" t="s">
        <v>1259</v>
      </c>
      <c r="C7" s="290" t="s">
        <v>1783</v>
      </c>
      <c r="D7" s="355" t="s">
        <v>1784</v>
      </c>
    </row>
    <row r="8" spans="2:4" x14ac:dyDescent="0.3">
      <c r="B8" s="1043"/>
      <c r="C8" s="36"/>
      <c r="D8" s="36"/>
    </row>
    <row r="9" spans="2:4" x14ac:dyDescent="0.3">
      <c r="B9" s="1043"/>
      <c r="C9" s="36"/>
      <c r="D9" s="36"/>
    </row>
    <row r="10" spans="2:4" x14ac:dyDescent="0.3">
      <c r="B10" s="1043"/>
      <c r="C10" s="36"/>
      <c r="D10" s="36"/>
    </row>
    <row r="11" spans="2:4" x14ac:dyDescent="0.3">
      <c r="B11" s="1043"/>
      <c r="C11" s="36"/>
      <c r="D11" s="36"/>
    </row>
    <row r="12" spans="2:4" x14ac:dyDescent="0.3">
      <c r="B12" s="1043"/>
      <c r="C12" s="36"/>
      <c r="D12" s="36"/>
    </row>
    <row r="13" spans="2:4" x14ac:dyDescent="0.3">
      <c r="B13" s="1043"/>
      <c r="C13" s="36"/>
      <c r="D13" s="36"/>
    </row>
    <row r="14" spans="2:4" x14ac:dyDescent="0.3">
      <c r="B14" s="1043"/>
      <c r="C14" s="36"/>
      <c r="D14" s="36"/>
    </row>
  </sheetData>
  <sheetProtection algorithmName="SHA-512" hashValue="yHq6dcXMMfYV9lZ1z7Dd2osuVyaBH+sCUN48CaOBUHQm+93BtivCWMWkYY1EbgkG9P2wQIh9tMp0f39pCpQeJQ==" saltValue="JlkcYt3lMhW+PTOPPVicPw==" spinCount="100000" sheet="1" objects="1" scenarios="1"/>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zoomScale="80" zoomScaleNormal="80" workbookViewId="0"/>
  </sheetViews>
  <sheetFormatPr defaultColWidth="0" defaultRowHeight="14.4" zeroHeight="1" x14ac:dyDescent="0.3"/>
  <cols>
    <col min="1" max="1" width="9.33203125" style="179" customWidth="1"/>
    <col min="2" max="2" width="47" style="179" customWidth="1"/>
    <col min="3" max="3" width="60.5546875" style="179" customWidth="1"/>
    <col min="4" max="4" width="31.6640625" style="179" customWidth="1"/>
    <col min="5" max="19" width="9.33203125" style="179" customWidth="1"/>
    <col min="20" max="16384" width="9.33203125" style="179" hidden="1"/>
  </cols>
  <sheetData>
    <row r="1" spans="2:4" ht="61.35" customHeight="1" thickBot="1" x14ac:dyDescent="0.35"/>
    <row r="2" spans="2:4" ht="61.35" customHeight="1" thickBot="1" x14ac:dyDescent="0.35">
      <c r="B2" s="1909" t="s">
        <v>1260</v>
      </c>
      <c r="C2" s="1910"/>
      <c r="D2" s="1911"/>
    </row>
    <row r="3" spans="2:4" ht="16.2" thickBot="1" x14ac:dyDescent="0.35">
      <c r="B3" s="511" t="s">
        <v>1261</v>
      </c>
      <c r="C3" s="811" t="s">
        <v>1262</v>
      </c>
      <c r="D3" s="812" t="s">
        <v>1263</v>
      </c>
    </row>
    <row r="4" spans="2:4" x14ac:dyDescent="0.3">
      <c r="B4" s="512" t="s">
        <v>1264</v>
      </c>
      <c r="C4" s="359" t="s">
        <v>922</v>
      </c>
      <c r="D4" s="357" t="s">
        <v>40</v>
      </c>
    </row>
    <row r="5" spans="2:4" x14ac:dyDescent="0.3">
      <c r="B5" s="457" t="s">
        <v>1265</v>
      </c>
      <c r="C5" s="322" t="s">
        <v>919</v>
      </c>
      <c r="D5" s="363" t="s">
        <v>40</v>
      </c>
    </row>
    <row r="6" spans="2:4" x14ac:dyDescent="0.3">
      <c r="B6" s="457" t="s">
        <v>1266</v>
      </c>
      <c r="C6" s="322" t="s">
        <v>86</v>
      </c>
      <c r="D6" s="363" t="s">
        <v>292</v>
      </c>
    </row>
    <row r="7" spans="2:4" x14ac:dyDescent="0.3">
      <c r="B7" s="457" t="s">
        <v>1267</v>
      </c>
      <c r="C7" s="322" t="s">
        <v>919</v>
      </c>
      <c r="D7" s="363" t="s">
        <v>40</v>
      </c>
    </row>
    <row r="8" spans="2:4" x14ac:dyDescent="0.3">
      <c r="B8" s="457" t="s">
        <v>910</v>
      </c>
      <c r="C8" s="322" t="s">
        <v>912</v>
      </c>
      <c r="D8" s="363" t="s">
        <v>295</v>
      </c>
    </row>
    <row r="9" spans="2:4" x14ac:dyDescent="0.3">
      <c r="B9" s="457" t="s">
        <v>1268</v>
      </c>
      <c r="C9" s="322" t="s">
        <v>88</v>
      </c>
      <c r="D9" s="363" t="s">
        <v>292</v>
      </c>
    </row>
    <row r="10" spans="2:4" x14ac:dyDescent="0.3">
      <c r="B10" s="457" t="s">
        <v>1269</v>
      </c>
      <c r="C10" s="322" t="s">
        <v>912</v>
      </c>
      <c r="D10" s="363" t="s">
        <v>295</v>
      </c>
    </row>
    <row r="11" spans="2:4" x14ac:dyDescent="0.3">
      <c r="B11" s="457" t="s">
        <v>1270</v>
      </c>
      <c r="C11" s="322" t="s">
        <v>922</v>
      </c>
      <c r="D11" s="363" t="s">
        <v>40</v>
      </c>
    </row>
    <row r="12" spans="2:4" x14ac:dyDescent="0.3">
      <c r="B12" s="457" t="s">
        <v>1271</v>
      </c>
      <c r="C12" s="322" t="s">
        <v>86</v>
      </c>
      <c r="D12" s="363" t="s">
        <v>292</v>
      </c>
    </row>
    <row r="13" spans="2:4" x14ac:dyDescent="0.3">
      <c r="B13" s="457" t="s">
        <v>1272</v>
      </c>
      <c r="C13" s="322" t="s">
        <v>922</v>
      </c>
      <c r="D13" s="363" t="s">
        <v>40</v>
      </c>
    </row>
    <row r="14" spans="2:4" x14ac:dyDescent="0.3">
      <c r="B14" s="457" t="s">
        <v>1273</v>
      </c>
      <c r="C14" s="322" t="s">
        <v>721</v>
      </c>
      <c r="D14" s="363" t="s">
        <v>40</v>
      </c>
    </row>
    <row r="15" spans="2:4" x14ac:dyDescent="0.3">
      <c r="B15" s="457" t="s">
        <v>1274</v>
      </c>
      <c r="C15" s="322" t="s">
        <v>721</v>
      </c>
      <c r="D15" s="363" t="s">
        <v>40</v>
      </c>
    </row>
    <row r="16" spans="2:4" x14ac:dyDescent="0.3">
      <c r="B16" s="457" t="s">
        <v>1275</v>
      </c>
      <c r="C16" s="322" t="s">
        <v>721</v>
      </c>
      <c r="D16" s="363" t="s">
        <v>40</v>
      </c>
    </row>
    <row r="17" spans="2:4" x14ac:dyDescent="0.3">
      <c r="B17" s="457" t="s">
        <v>1276</v>
      </c>
      <c r="C17" s="322" t="s">
        <v>933</v>
      </c>
      <c r="D17" s="363" t="s">
        <v>601</v>
      </c>
    </row>
    <row r="18" spans="2:4" x14ac:dyDescent="0.3">
      <c r="B18" s="457" t="s">
        <v>1277</v>
      </c>
      <c r="C18" s="322" t="s">
        <v>933</v>
      </c>
      <c r="D18" s="363" t="s">
        <v>601</v>
      </c>
    </row>
    <row r="19" spans="2:4" x14ac:dyDescent="0.3">
      <c r="B19" s="457" t="s">
        <v>1278</v>
      </c>
      <c r="C19" s="322" t="s">
        <v>912</v>
      </c>
      <c r="D19" s="363" t="s">
        <v>295</v>
      </c>
    </row>
    <row r="20" spans="2:4" x14ac:dyDescent="0.3">
      <c r="B20" s="457" t="s">
        <v>1279</v>
      </c>
      <c r="C20" s="322" t="s">
        <v>933</v>
      </c>
      <c r="D20" s="363" t="s">
        <v>601</v>
      </c>
    </row>
    <row r="21" spans="2:4" x14ac:dyDescent="0.3">
      <c r="B21" s="457" t="s">
        <v>1280</v>
      </c>
      <c r="C21" s="322" t="s">
        <v>857</v>
      </c>
      <c r="D21" s="363" t="s">
        <v>40</v>
      </c>
    </row>
    <row r="22" spans="2:4" x14ac:dyDescent="0.3">
      <c r="B22" s="457" t="s">
        <v>1280</v>
      </c>
      <c r="C22" s="322" t="s">
        <v>862</v>
      </c>
      <c r="D22" s="363" t="s">
        <v>40</v>
      </c>
    </row>
    <row r="23" spans="2:4" x14ac:dyDescent="0.3">
      <c r="B23" s="457" t="s">
        <v>1281</v>
      </c>
      <c r="C23" s="322" t="s">
        <v>898</v>
      </c>
      <c r="D23" s="363" t="s">
        <v>292</v>
      </c>
    </row>
    <row r="24" spans="2:4" x14ac:dyDescent="0.3">
      <c r="B24" s="457" t="s">
        <v>1282</v>
      </c>
      <c r="C24" s="322" t="s">
        <v>898</v>
      </c>
      <c r="D24" s="363" t="s">
        <v>292</v>
      </c>
    </row>
    <row r="25" spans="2:4" x14ac:dyDescent="0.3">
      <c r="B25" s="457" t="s">
        <v>1283</v>
      </c>
      <c r="C25" s="322" t="s">
        <v>898</v>
      </c>
      <c r="D25" s="363" t="s">
        <v>292</v>
      </c>
    </row>
    <row r="26" spans="2:4" x14ac:dyDescent="0.3">
      <c r="B26" s="457" t="s">
        <v>1284</v>
      </c>
      <c r="C26" s="322" t="s">
        <v>898</v>
      </c>
      <c r="D26" s="363" t="s">
        <v>292</v>
      </c>
    </row>
    <row r="27" spans="2:4" x14ac:dyDescent="0.3">
      <c r="B27" s="457" t="s">
        <v>651</v>
      </c>
      <c r="C27" s="322" t="s">
        <v>676</v>
      </c>
      <c r="D27" s="363" t="s">
        <v>40</v>
      </c>
    </row>
    <row r="28" spans="2:4" x14ac:dyDescent="0.3">
      <c r="B28" s="457" t="s">
        <v>651</v>
      </c>
      <c r="C28" s="322" t="s">
        <v>688</v>
      </c>
      <c r="D28" s="363" t="s">
        <v>40</v>
      </c>
    </row>
    <row r="29" spans="2:4" x14ac:dyDescent="0.3">
      <c r="B29" s="457" t="s">
        <v>1285</v>
      </c>
      <c r="C29" s="322" t="s">
        <v>663</v>
      </c>
      <c r="D29" s="363" t="s">
        <v>601</v>
      </c>
    </row>
    <row r="30" spans="2:4" x14ac:dyDescent="0.3">
      <c r="B30" s="457" t="s">
        <v>1285</v>
      </c>
      <c r="C30" s="322" t="s">
        <v>694</v>
      </c>
      <c r="D30" s="363" t="s">
        <v>601</v>
      </c>
    </row>
    <row r="31" spans="2:4" x14ac:dyDescent="0.3">
      <c r="B31" s="457" t="s">
        <v>1286</v>
      </c>
      <c r="C31" s="322" t="s">
        <v>688</v>
      </c>
      <c r="D31" s="363" t="s">
        <v>40</v>
      </c>
    </row>
    <row r="32" spans="2:4" x14ac:dyDescent="0.3">
      <c r="B32" s="457" t="s">
        <v>1286</v>
      </c>
      <c r="C32" s="322" t="s">
        <v>676</v>
      </c>
      <c r="D32" s="363" t="s">
        <v>40</v>
      </c>
    </row>
    <row r="33" spans="2:4" x14ac:dyDescent="0.3">
      <c r="B33" s="457" t="s">
        <v>1287</v>
      </c>
      <c r="C33" s="322" t="s">
        <v>672</v>
      </c>
      <c r="D33" s="363" t="s">
        <v>295</v>
      </c>
    </row>
    <row r="34" spans="2:4" x14ac:dyDescent="0.3">
      <c r="B34" s="457" t="s">
        <v>670</v>
      </c>
      <c r="C34" s="322" t="s">
        <v>679</v>
      </c>
      <c r="D34" s="363" t="s">
        <v>40</v>
      </c>
    </row>
    <row r="35" spans="2:4" x14ac:dyDescent="0.3">
      <c r="B35" s="457" t="s">
        <v>1288</v>
      </c>
      <c r="C35" s="322" t="s">
        <v>667</v>
      </c>
      <c r="D35" s="363" t="s">
        <v>601</v>
      </c>
    </row>
    <row r="36" spans="2:4" x14ac:dyDescent="0.3">
      <c r="B36" s="458" t="s">
        <v>1289</v>
      </c>
      <c r="C36" s="345" t="s">
        <v>679</v>
      </c>
      <c r="D36" s="459" t="s">
        <v>40</v>
      </c>
    </row>
    <row r="37" spans="2:4" x14ac:dyDescent="0.3">
      <c r="B37" s="457" t="s">
        <v>1290</v>
      </c>
      <c r="C37" s="322" t="s">
        <v>672</v>
      </c>
      <c r="D37" s="363" t="s">
        <v>295</v>
      </c>
    </row>
    <row r="38" spans="2:4" x14ac:dyDescent="0.3">
      <c r="B38" s="457" t="s">
        <v>660</v>
      </c>
      <c r="C38" s="322" t="s">
        <v>114</v>
      </c>
      <c r="D38" s="363" t="s">
        <v>292</v>
      </c>
    </row>
    <row r="39" spans="2:4" x14ac:dyDescent="0.3">
      <c r="B39" s="457" t="s">
        <v>660</v>
      </c>
      <c r="C39" s="322" t="s">
        <v>112</v>
      </c>
      <c r="D39" s="363" t="s">
        <v>292</v>
      </c>
    </row>
    <row r="40" spans="2:4" x14ac:dyDescent="0.3">
      <c r="B40" s="457" t="s">
        <v>1291</v>
      </c>
      <c r="C40" s="322" t="s">
        <v>112</v>
      </c>
      <c r="D40" s="363" t="s">
        <v>292</v>
      </c>
    </row>
    <row r="41" spans="2:4" x14ac:dyDescent="0.3">
      <c r="B41" s="457" t="s">
        <v>1291</v>
      </c>
      <c r="C41" s="322" t="s">
        <v>114</v>
      </c>
      <c r="D41" s="363" t="s">
        <v>292</v>
      </c>
    </row>
    <row r="42" spans="2:4" ht="29.7" customHeight="1" x14ac:dyDescent="0.3">
      <c r="B42" s="457" t="s">
        <v>1292</v>
      </c>
      <c r="C42" s="322" t="s">
        <v>114</v>
      </c>
      <c r="D42" s="363" t="s">
        <v>292</v>
      </c>
    </row>
    <row r="43" spans="2:4" ht="29.7" customHeight="1" x14ac:dyDescent="0.3">
      <c r="B43" s="457" t="s">
        <v>1292</v>
      </c>
      <c r="C43" s="322" t="s">
        <v>112</v>
      </c>
      <c r="D43" s="363" t="s">
        <v>292</v>
      </c>
    </row>
    <row r="44" spans="2:4" ht="22.2" customHeight="1" x14ac:dyDescent="0.3">
      <c r="B44" s="457" t="s">
        <v>1293</v>
      </c>
      <c r="C44" s="322" t="s">
        <v>672</v>
      </c>
      <c r="D44" s="363" t="s">
        <v>295</v>
      </c>
    </row>
    <row r="45" spans="2:4" x14ac:dyDescent="0.3">
      <c r="B45" s="457" t="s">
        <v>1294</v>
      </c>
      <c r="C45" s="322" t="s">
        <v>672</v>
      </c>
      <c r="D45" s="363" t="s">
        <v>295</v>
      </c>
    </row>
    <row r="46" spans="2:4" x14ac:dyDescent="0.3">
      <c r="B46" s="457" t="s">
        <v>1295</v>
      </c>
      <c r="C46" s="322" t="s">
        <v>888</v>
      </c>
      <c r="D46" s="363" t="s">
        <v>601</v>
      </c>
    </row>
    <row r="47" spans="2:4" x14ac:dyDescent="0.3">
      <c r="B47" s="457" t="s">
        <v>1295</v>
      </c>
      <c r="C47" s="322" t="s">
        <v>679</v>
      </c>
      <c r="D47" s="363" t="s">
        <v>40</v>
      </c>
    </row>
    <row r="48" spans="2:4" x14ac:dyDescent="0.3">
      <c r="B48" s="457" t="s">
        <v>1295</v>
      </c>
      <c r="C48" s="322" t="s">
        <v>672</v>
      </c>
      <c r="D48" s="363" t="s">
        <v>295</v>
      </c>
    </row>
    <row r="49" spans="2:4" x14ac:dyDescent="0.3">
      <c r="B49" s="457" t="s">
        <v>1296</v>
      </c>
      <c r="C49" s="322" t="s">
        <v>672</v>
      </c>
      <c r="D49" s="363" t="s">
        <v>295</v>
      </c>
    </row>
    <row r="50" spans="2:4" x14ac:dyDescent="0.3">
      <c r="B50" s="457" t="s">
        <v>1297</v>
      </c>
      <c r="C50" s="322" t="s">
        <v>83</v>
      </c>
      <c r="D50" s="363" t="s">
        <v>292</v>
      </c>
    </row>
    <row r="51" spans="2:4" x14ac:dyDescent="0.3">
      <c r="B51" s="457" t="s">
        <v>1298</v>
      </c>
      <c r="C51" s="322" t="s">
        <v>81</v>
      </c>
      <c r="D51" s="363" t="s">
        <v>292</v>
      </c>
    </row>
    <row r="52" spans="2:4" x14ac:dyDescent="0.3">
      <c r="B52" s="457" t="s">
        <v>1299</v>
      </c>
      <c r="C52" s="322" t="s">
        <v>81</v>
      </c>
      <c r="D52" s="363" t="s">
        <v>292</v>
      </c>
    </row>
    <row r="53" spans="2:4" x14ac:dyDescent="0.3">
      <c r="B53" s="457" t="s">
        <v>1300</v>
      </c>
      <c r="C53" s="322" t="s">
        <v>81</v>
      </c>
      <c r="D53" s="363" t="s">
        <v>292</v>
      </c>
    </row>
    <row r="54" spans="2:4" x14ac:dyDescent="0.3">
      <c r="B54" s="457" t="s">
        <v>1301</v>
      </c>
      <c r="C54" s="322" t="s">
        <v>81</v>
      </c>
      <c r="D54" s="363" t="s">
        <v>292</v>
      </c>
    </row>
    <row r="55" spans="2:4" x14ac:dyDescent="0.3">
      <c r="B55" s="457" t="s">
        <v>1302</v>
      </c>
      <c r="C55" s="322" t="s">
        <v>81</v>
      </c>
      <c r="D55" s="363" t="s">
        <v>292</v>
      </c>
    </row>
    <row r="56" spans="2:4" x14ac:dyDescent="0.3">
      <c r="B56" s="457" t="s">
        <v>1303</v>
      </c>
      <c r="C56" s="322" t="s">
        <v>81</v>
      </c>
      <c r="D56" s="363" t="s">
        <v>292</v>
      </c>
    </row>
    <row r="57" spans="2:4" x14ac:dyDescent="0.3">
      <c r="B57" s="457" t="s">
        <v>1304</v>
      </c>
      <c r="C57" s="322" t="s">
        <v>85</v>
      </c>
      <c r="D57" s="363" t="s">
        <v>292</v>
      </c>
    </row>
    <row r="58" spans="2:4" x14ac:dyDescent="0.3">
      <c r="B58" s="457" t="s">
        <v>1305</v>
      </c>
      <c r="C58" s="322" t="s">
        <v>85</v>
      </c>
      <c r="D58" s="363" t="s">
        <v>292</v>
      </c>
    </row>
    <row r="59" spans="2:4" x14ac:dyDescent="0.3">
      <c r="B59" s="457" t="s">
        <v>1306</v>
      </c>
      <c r="C59" s="322" t="s">
        <v>85</v>
      </c>
      <c r="D59" s="363" t="s">
        <v>292</v>
      </c>
    </row>
    <row r="60" spans="2:4" x14ac:dyDescent="0.3">
      <c r="B60" s="457" t="s">
        <v>1307</v>
      </c>
      <c r="C60" s="322" t="s">
        <v>85</v>
      </c>
      <c r="D60" s="363" t="s">
        <v>292</v>
      </c>
    </row>
    <row r="61" spans="2:4" x14ac:dyDescent="0.3">
      <c r="B61" s="457" t="s">
        <v>1307</v>
      </c>
      <c r="C61" s="322" t="s">
        <v>1308</v>
      </c>
      <c r="D61" s="363" t="s">
        <v>292</v>
      </c>
    </row>
    <row r="62" spans="2:4" x14ac:dyDescent="0.3">
      <c r="B62" s="457" t="s">
        <v>1309</v>
      </c>
      <c r="C62" s="322" t="s">
        <v>85</v>
      </c>
      <c r="D62" s="363" t="s">
        <v>292</v>
      </c>
    </row>
    <row r="63" spans="2:4" x14ac:dyDescent="0.3">
      <c r="B63" s="457" t="s">
        <v>1309</v>
      </c>
      <c r="C63" s="322" t="s">
        <v>667</v>
      </c>
      <c r="D63" s="363" t="s">
        <v>601</v>
      </c>
    </row>
    <row r="64" spans="2:4" x14ac:dyDescent="0.3">
      <c r="B64" s="457" t="s">
        <v>1309</v>
      </c>
      <c r="C64" s="322" t="s">
        <v>663</v>
      </c>
      <c r="D64" s="363" t="s">
        <v>601</v>
      </c>
    </row>
    <row r="65" spans="2:4" x14ac:dyDescent="0.3">
      <c r="B65" s="457" t="s">
        <v>1309</v>
      </c>
      <c r="C65" s="322" t="s">
        <v>676</v>
      </c>
      <c r="D65" s="363" t="s">
        <v>40</v>
      </c>
    </row>
    <row r="66" spans="2:4" x14ac:dyDescent="0.3">
      <c r="B66" s="457" t="s">
        <v>1310</v>
      </c>
      <c r="C66" s="322" t="s">
        <v>85</v>
      </c>
      <c r="D66" s="363" t="s">
        <v>292</v>
      </c>
    </row>
    <row r="67" spans="2:4" x14ac:dyDescent="0.3">
      <c r="B67" s="457" t="s">
        <v>1310</v>
      </c>
      <c r="C67" s="347" t="s">
        <v>715</v>
      </c>
      <c r="D67" s="363" t="s">
        <v>292</v>
      </c>
    </row>
    <row r="68" spans="2:4" x14ac:dyDescent="0.3">
      <c r="B68" s="457" t="s">
        <v>1311</v>
      </c>
      <c r="C68" s="322" t="s">
        <v>1312</v>
      </c>
      <c r="D68" s="363" t="s">
        <v>601</v>
      </c>
    </row>
    <row r="69" spans="2:4" x14ac:dyDescent="0.3">
      <c r="B69" s="457" t="s">
        <v>1311</v>
      </c>
      <c r="C69" s="322" t="s">
        <v>278</v>
      </c>
      <c r="D69" s="363" t="s">
        <v>40</v>
      </c>
    </row>
    <row r="70" spans="2:4" x14ac:dyDescent="0.3">
      <c r="B70" s="457" t="s">
        <v>1311</v>
      </c>
      <c r="C70" s="322" t="s">
        <v>71</v>
      </c>
      <c r="D70" s="363" t="s">
        <v>292</v>
      </c>
    </row>
    <row r="71" spans="2:4" x14ac:dyDescent="0.3">
      <c r="B71" s="457" t="s">
        <v>1311</v>
      </c>
      <c r="C71" s="322" t="s">
        <v>73</v>
      </c>
      <c r="D71" s="363" t="s">
        <v>292</v>
      </c>
    </row>
    <row r="72" spans="2:4" x14ac:dyDescent="0.3">
      <c r="B72" s="457" t="s">
        <v>1311</v>
      </c>
      <c r="C72" s="322" t="s">
        <v>74</v>
      </c>
      <c r="D72" s="363" t="s">
        <v>292</v>
      </c>
    </row>
    <row r="73" spans="2:4" x14ac:dyDescent="0.3">
      <c r="B73" s="457" t="s">
        <v>1311</v>
      </c>
      <c r="C73" s="322" t="s">
        <v>75</v>
      </c>
      <c r="D73" s="363" t="s">
        <v>292</v>
      </c>
    </row>
    <row r="74" spans="2:4" x14ac:dyDescent="0.3">
      <c r="B74" s="457" t="s">
        <v>1311</v>
      </c>
      <c r="C74" s="322" t="s">
        <v>1313</v>
      </c>
      <c r="D74" s="363" t="s">
        <v>292</v>
      </c>
    </row>
    <row r="75" spans="2:4" x14ac:dyDescent="0.3">
      <c r="B75" s="457" t="s">
        <v>1311</v>
      </c>
      <c r="C75" s="322" t="s">
        <v>1314</v>
      </c>
      <c r="D75" s="363" t="s">
        <v>292</v>
      </c>
    </row>
    <row r="76" spans="2:4" x14ac:dyDescent="0.3">
      <c r="B76" s="457" t="s">
        <v>1311</v>
      </c>
      <c r="C76" s="322" t="s">
        <v>1315</v>
      </c>
      <c r="D76" s="363" t="s">
        <v>40</v>
      </c>
    </row>
    <row r="77" spans="2:4" x14ac:dyDescent="0.3">
      <c r="B77" s="457" t="s">
        <v>1311</v>
      </c>
      <c r="C77" s="322" t="s">
        <v>1316</v>
      </c>
      <c r="D77" s="363" t="s">
        <v>40</v>
      </c>
    </row>
    <row r="78" spans="2:4" x14ac:dyDescent="0.3">
      <c r="B78" s="457" t="s">
        <v>1311</v>
      </c>
      <c r="C78" s="322" t="s">
        <v>1317</v>
      </c>
      <c r="D78" s="363" t="s">
        <v>292</v>
      </c>
    </row>
    <row r="79" spans="2:4" x14ac:dyDescent="0.3">
      <c r="B79" s="457" t="s">
        <v>1318</v>
      </c>
      <c r="C79" s="322" t="s">
        <v>715</v>
      </c>
      <c r="D79" s="363" t="s">
        <v>292</v>
      </c>
    </row>
    <row r="80" spans="2:4" x14ac:dyDescent="0.3">
      <c r="B80" s="457" t="s">
        <v>1318</v>
      </c>
      <c r="C80" s="322" t="s">
        <v>118</v>
      </c>
      <c r="D80" s="363" t="s">
        <v>292</v>
      </c>
    </row>
    <row r="81" spans="2:4" x14ac:dyDescent="0.3">
      <c r="B81" s="457" t="s">
        <v>1319</v>
      </c>
      <c r="C81" s="322" t="s">
        <v>715</v>
      </c>
      <c r="D81" s="363" t="s">
        <v>292</v>
      </c>
    </row>
    <row r="82" spans="2:4" x14ac:dyDescent="0.3">
      <c r="B82" s="457" t="s">
        <v>1319</v>
      </c>
      <c r="C82" s="322" t="s">
        <v>118</v>
      </c>
      <c r="D82" s="363" t="s">
        <v>292</v>
      </c>
    </row>
    <row r="83" spans="2:4" x14ac:dyDescent="0.3">
      <c r="B83" s="457" t="s">
        <v>1320</v>
      </c>
      <c r="C83" s="322" t="s">
        <v>715</v>
      </c>
      <c r="D83" s="363" t="s">
        <v>292</v>
      </c>
    </row>
    <row r="84" spans="2:4" x14ac:dyDescent="0.3">
      <c r="B84" s="457" t="s">
        <v>1320</v>
      </c>
      <c r="C84" s="322" t="s">
        <v>118</v>
      </c>
      <c r="D84" s="363" t="s">
        <v>292</v>
      </c>
    </row>
    <row r="85" spans="2:4" x14ac:dyDescent="0.3">
      <c r="B85" s="457" t="s">
        <v>1321</v>
      </c>
      <c r="C85" s="322" t="s">
        <v>715</v>
      </c>
      <c r="D85" s="363" t="s">
        <v>292</v>
      </c>
    </row>
    <row r="86" spans="2:4" x14ac:dyDescent="0.3">
      <c r="B86" s="457" t="s">
        <v>1321</v>
      </c>
      <c r="C86" s="322" t="s">
        <v>118</v>
      </c>
      <c r="D86" s="363" t="s">
        <v>292</v>
      </c>
    </row>
    <row r="87" spans="2:4" x14ac:dyDescent="0.3">
      <c r="B87" s="457" t="s">
        <v>1322</v>
      </c>
      <c r="C87" s="322" t="s">
        <v>715</v>
      </c>
      <c r="D87" s="363" t="s">
        <v>292</v>
      </c>
    </row>
    <row r="88" spans="2:4" x14ac:dyDescent="0.3">
      <c r="B88" s="457" t="s">
        <v>1322</v>
      </c>
      <c r="C88" s="322" t="s">
        <v>118</v>
      </c>
      <c r="D88" s="363" t="s">
        <v>292</v>
      </c>
    </row>
    <row r="89" spans="2:4" x14ac:dyDescent="0.3">
      <c r="B89" s="457" t="s">
        <v>1323</v>
      </c>
      <c r="C89" s="322" t="s">
        <v>724</v>
      </c>
      <c r="D89" s="363" t="s">
        <v>601</v>
      </c>
    </row>
    <row r="90" spans="2:4" x14ac:dyDescent="0.3">
      <c r="B90" s="457" t="s">
        <v>1324</v>
      </c>
      <c r="C90" s="322" t="s">
        <v>715</v>
      </c>
      <c r="D90" s="363" t="s">
        <v>292</v>
      </c>
    </row>
    <row r="91" spans="2:4" x14ac:dyDescent="0.3">
      <c r="B91" s="457" t="s">
        <v>1325</v>
      </c>
      <c r="C91" s="322" t="s">
        <v>715</v>
      </c>
      <c r="D91" s="363" t="s">
        <v>292</v>
      </c>
    </row>
    <row r="92" spans="2:4" x14ac:dyDescent="0.3">
      <c r="B92" s="457" t="s">
        <v>1324</v>
      </c>
      <c r="C92" s="322" t="s">
        <v>118</v>
      </c>
      <c r="D92" s="363" t="s">
        <v>292</v>
      </c>
    </row>
    <row r="93" spans="2:4" x14ac:dyDescent="0.3">
      <c r="B93" s="457" t="s">
        <v>1325</v>
      </c>
      <c r="C93" s="322" t="s">
        <v>118</v>
      </c>
      <c r="D93" s="363" t="s">
        <v>292</v>
      </c>
    </row>
    <row r="94" spans="2:4" x14ac:dyDescent="0.3">
      <c r="B94" s="457" t="s">
        <v>646</v>
      </c>
      <c r="C94" s="322" t="s">
        <v>647</v>
      </c>
      <c r="D94" s="363" t="s">
        <v>295</v>
      </c>
    </row>
    <row r="95" spans="2:4" x14ac:dyDescent="0.3">
      <c r="B95" s="457" t="s">
        <v>1326</v>
      </c>
      <c r="C95" s="322" t="s">
        <v>647</v>
      </c>
      <c r="D95" s="363" t="s">
        <v>295</v>
      </c>
    </row>
    <row r="96" spans="2:4" x14ac:dyDescent="0.3">
      <c r="B96" s="457" t="s">
        <v>1327</v>
      </c>
      <c r="C96" s="322" t="s">
        <v>647</v>
      </c>
      <c r="D96" s="363" t="s">
        <v>295</v>
      </c>
    </row>
    <row r="97" spans="2:4" x14ac:dyDescent="0.3">
      <c r="B97" s="457" t="s">
        <v>1328</v>
      </c>
      <c r="C97" s="347" t="s">
        <v>84</v>
      </c>
      <c r="D97" s="363" t="s">
        <v>292</v>
      </c>
    </row>
    <row r="98" spans="2:4" x14ac:dyDescent="0.3">
      <c r="B98" s="457" t="s">
        <v>1329</v>
      </c>
      <c r="C98" s="322" t="s">
        <v>647</v>
      </c>
      <c r="D98" s="363" t="s">
        <v>295</v>
      </c>
    </row>
    <row r="99" spans="2:4" x14ac:dyDescent="0.3">
      <c r="B99" s="457" t="s">
        <v>1330</v>
      </c>
      <c r="C99" s="347" t="s">
        <v>1085</v>
      </c>
      <c r="D99" s="363" t="s">
        <v>295</v>
      </c>
    </row>
    <row r="100" spans="2:4" x14ac:dyDescent="0.3">
      <c r="B100" s="457" t="s">
        <v>1330</v>
      </c>
      <c r="C100" s="347" t="s">
        <v>787</v>
      </c>
      <c r="D100" s="363" t="s">
        <v>295</v>
      </c>
    </row>
    <row r="101" spans="2:4" x14ac:dyDescent="0.3">
      <c r="B101" s="457" t="s">
        <v>1331</v>
      </c>
      <c r="C101" s="347" t="s">
        <v>1085</v>
      </c>
      <c r="D101" s="363" t="s">
        <v>295</v>
      </c>
    </row>
    <row r="102" spans="2:4" x14ac:dyDescent="0.3">
      <c r="B102" s="457" t="s">
        <v>869</v>
      </c>
      <c r="C102" s="322" t="s">
        <v>880</v>
      </c>
      <c r="D102" s="363" t="s">
        <v>601</v>
      </c>
    </row>
    <row r="103" spans="2:4" x14ac:dyDescent="0.3">
      <c r="B103" s="457" t="s">
        <v>1332</v>
      </c>
      <c r="C103" s="322" t="s">
        <v>880</v>
      </c>
      <c r="D103" s="363" t="s">
        <v>601</v>
      </c>
    </row>
    <row r="104" spans="2:4" x14ac:dyDescent="0.3">
      <c r="B104" s="457" t="s">
        <v>864</v>
      </c>
      <c r="C104" s="322" t="s">
        <v>865</v>
      </c>
      <c r="D104" s="363" t="s">
        <v>601</v>
      </c>
    </row>
    <row r="105" spans="2:4" x14ac:dyDescent="0.3">
      <c r="B105" s="457" t="s">
        <v>1333</v>
      </c>
      <c r="C105" s="322" t="s">
        <v>880</v>
      </c>
      <c r="D105" s="363" t="s">
        <v>601</v>
      </c>
    </row>
    <row r="106" spans="2:4" x14ac:dyDescent="0.3">
      <c r="B106" s="457" t="s">
        <v>1334</v>
      </c>
      <c r="C106" s="347" t="s">
        <v>894</v>
      </c>
      <c r="D106" s="363" t="s">
        <v>601</v>
      </c>
    </row>
    <row r="107" spans="2:4" x14ac:dyDescent="0.3">
      <c r="B107" s="457" t="s">
        <v>1335</v>
      </c>
      <c r="C107" s="322" t="s">
        <v>865</v>
      </c>
      <c r="D107" s="363" t="s">
        <v>601</v>
      </c>
    </row>
    <row r="108" spans="2:4" x14ac:dyDescent="0.3">
      <c r="B108" s="457" t="s">
        <v>1335</v>
      </c>
      <c r="C108" s="322" t="s">
        <v>880</v>
      </c>
      <c r="D108" s="363" t="s">
        <v>601</v>
      </c>
    </row>
    <row r="109" spans="2:4" x14ac:dyDescent="0.3">
      <c r="B109" s="457" t="s">
        <v>1336</v>
      </c>
      <c r="C109" s="322" t="s">
        <v>874</v>
      </c>
      <c r="D109" s="363" t="s">
        <v>601</v>
      </c>
    </row>
    <row r="110" spans="2:4" x14ac:dyDescent="0.3">
      <c r="B110" s="457" t="s">
        <v>1337</v>
      </c>
      <c r="C110" s="322" t="s">
        <v>874</v>
      </c>
      <c r="D110" s="363" t="s">
        <v>601</v>
      </c>
    </row>
    <row r="111" spans="2:4" x14ac:dyDescent="0.3">
      <c r="B111" s="457" t="s">
        <v>1338</v>
      </c>
      <c r="C111" s="322" t="s">
        <v>874</v>
      </c>
      <c r="D111" s="363" t="s">
        <v>601</v>
      </c>
    </row>
    <row r="112" spans="2:4" x14ac:dyDescent="0.3">
      <c r="B112" s="457" t="s">
        <v>1339</v>
      </c>
      <c r="C112" s="322" t="s">
        <v>874</v>
      </c>
      <c r="D112" s="363" t="s">
        <v>601</v>
      </c>
    </row>
    <row r="113" spans="2:4" x14ac:dyDescent="0.3">
      <c r="B113" s="457" t="s">
        <v>1340</v>
      </c>
      <c r="C113" s="322" t="s">
        <v>874</v>
      </c>
      <c r="D113" s="363" t="s">
        <v>601</v>
      </c>
    </row>
    <row r="114" spans="2:4" x14ac:dyDescent="0.3">
      <c r="B114" s="457" t="s">
        <v>1341</v>
      </c>
      <c r="C114" s="322" t="s">
        <v>1342</v>
      </c>
      <c r="D114" s="363" t="s">
        <v>601</v>
      </c>
    </row>
    <row r="115" spans="2:4" x14ac:dyDescent="0.3">
      <c r="B115" s="457" t="s">
        <v>1343</v>
      </c>
      <c r="C115" s="322" t="s">
        <v>1342</v>
      </c>
      <c r="D115" s="363" t="s">
        <v>601</v>
      </c>
    </row>
    <row r="116" spans="2:4" x14ac:dyDescent="0.3">
      <c r="B116" s="457" t="s">
        <v>1344</v>
      </c>
      <c r="C116" s="322" t="s">
        <v>1342</v>
      </c>
      <c r="D116" s="363" t="s">
        <v>601</v>
      </c>
    </row>
    <row r="117" spans="2:4" x14ac:dyDescent="0.3">
      <c r="B117" s="457" t="s">
        <v>1345</v>
      </c>
      <c r="C117" s="322" t="s">
        <v>871</v>
      </c>
      <c r="D117" s="363" t="s">
        <v>601</v>
      </c>
    </row>
    <row r="118" spans="2:4" x14ac:dyDescent="0.3">
      <c r="B118" s="457" t="s">
        <v>1346</v>
      </c>
      <c r="C118" s="322" t="s">
        <v>874</v>
      </c>
      <c r="D118" s="363" t="s">
        <v>601</v>
      </c>
    </row>
    <row r="119" spans="2:4" x14ac:dyDescent="0.3">
      <c r="B119" s="457" t="s">
        <v>1347</v>
      </c>
      <c r="C119" s="322" t="s">
        <v>874</v>
      </c>
      <c r="D119" s="363" t="s">
        <v>601</v>
      </c>
    </row>
    <row r="120" spans="2:4" x14ac:dyDescent="0.3">
      <c r="B120" s="457" t="s">
        <v>1347</v>
      </c>
      <c r="C120" s="347" t="s">
        <v>122</v>
      </c>
      <c r="D120" s="459" t="s">
        <v>292</v>
      </c>
    </row>
    <row r="121" spans="2:4" x14ac:dyDescent="0.3">
      <c r="B121" s="457" t="s">
        <v>1348</v>
      </c>
      <c r="C121" s="322" t="s">
        <v>1349</v>
      </c>
      <c r="D121" s="370"/>
    </row>
    <row r="122" spans="2:4" x14ac:dyDescent="0.3">
      <c r="B122" s="457" t="s">
        <v>1350</v>
      </c>
      <c r="C122" s="347" t="s">
        <v>122</v>
      </c>
      <c r="D122" s="459" t="s">
        <v>292</v>
      </c>
    </row>
    <row r="123" spans="2:4" ht="19.2" customHeight="1" x14ac:dyDescent="0.3">
      <c r="B123" s="457" t="s">
        <v>1351</v>
      </c>
      <c r="C123" s="322" t="s">
        <v>84</v>
      </c>
      <c r="D123" s="363" t="s">
        <v>292</v>
      </c>
    </row>
    <row r="124" spans="2:4" x14ac:dyDescent="0.3">
      <c r="B124" s="457" t="s">
        <v>1352</v>
      </c>
      <c r="C124" s="347" t="s">
        <v>800</v>
      </c>
      <c r="D124" s="363" t="s">
        <v>40</v>
      </c>
    </row>
    <row r="125" spans="2:4" x14ac:dyDescent="0.3">
      <c r="B125" s="457" t="s">
        <v>1353</v>
      </c>
      <c r="C125" s="322" t="s">
        <v>84</v>
      </c>
      <c r="D125" s="363" t="s">
        <v>292</v>
      </c>
    </row>
    <row r="126" spans="2:4" x14ac:dyDescent="0.3">
      <c r="B126" s="457" t="s">
        <v>1354</v>
      </c>
      <c r="C126" s="347" t="s">
        <v>800</v>
      </c>
      <c r="D126" s="363" t="s">
        <v>40</v>
      </c>
    </row>
    <row r="127" spans="2:4" x14ac:dyDescent="0.3">
      <c r="B127" s="457" t="s">
        <v>1355</v>
      </c>
      <c r="C127" s="322" t="s">
        <v>84</v>
      </c>
      <c r="D127" s="363" t="s">
        <v>292</v>
      </c>
    </row>
    <row r="128" spans="2:4" x14ac:dyDescent="0.3">
      <c r="B128" s="457" t="s">
        <v>1356</v>
      </c>
      <c r="C128" s="322" t="s">
        <v>84</v>
      </c>
      <c r="D128" s="363" t="s">
        <v>292</v>
      </c>
    </row>
    <row r="129" spans="2:4" x14ac:dyDescent="0.3">
      <c r="B129" s="457" t="s">
        <v>1357</v>
      </c>
      <c r="C129" s="322" t="s">
        <v>84</v>
      </c>
      <c r="D129" s="363" t="s">
        <v>292</v>
      </c>
    </row>
    <row r="130" spans="2:4" x14ac:dyDescent="0.3">
      <c r="B130" s="457" t="s">
        <v>1358</v>
      </c>
      <c r="C130" s="322" t="s">
        <v>84</v>
      </c>
      <c r="D130" s="363" t="s">
        <v>292</v>
      </c>
    </row>
    <row r="131" spans="2:4" x14ac:dyDescent="0.3">
      <c r="B131" s="457" t="s">
        <v>1359</v>
      </c>
      <c r="C131" s="322" t="s">
        <v>84</v>
      </c>
      <c r="D131" s="363" t="s">
        <v>292</v>
      </c>
    </row>
    <row r="132" spans="2:4" x14ac:dyDescent="0.3">
      <c r="B132" s="457" t="s">
        <v>791</v>
      </c>
      <c r="C132" s="322" t="s">
        <v>792</v>
      </c>
      <c r="D132" s="363" t="s">
        <v>601</v>
      </c>
    </row>
    <row r="133" spans="2:4" x14ac:dyDescent="0.3">
      <c r="B133" s="457" t="s">
        <v>1360</v>
      </c>
      <c r="C133" s="322" t="s">
        <v>800</v>
      </c>
      <c r="D133" s="363" t="s">
        <v>40</v>
      </c>
    </row>
    <row r="134" spans="2:4" x14ac:dyDescent="0.3">
      <c r="B134" s="457" t="s">
        <v>1361</v>
      </c>
      <c r="C134" s="322" t="s">
        <v>800</v>
      </c>
      <c r="D134" s="363" t="s">
        <v>40</v>
      </c>
    </row>
    <row r="135" spans="2:4" x14ac:dyDescent="0.3">
      <c r="B135" s="457" t="s">
        <v>1362</v>
      </c>
      <c r="C135" s="322" t="s">
        <v>800</v>
      </c>
      <c r="D135" s="363" t="s">
        <v>40</v>
      </c>
    </row>
    <row r="136" spans="2:4" x14ac:dyDescent="0.3">
      <c r="B136" s="457" t="s">
        <v>1363</v>
      </c>
      <c r="C136" s="322" t="s">
        <v>800</v>
      </c>
      <c r="D136" s="363" t="s">
        <v>40</v>
      </c>
    </row>
    <row r="137" spans="2:4" x14ac:dyDescent="0.3">
      <c r="B137" s="457" t="s">
        <v>1363</v>
      </c>
      <c r="C137" s="322" t="s">
        <v>800</v>
      </c>
      <c r="D137" s="363" t="s">
        <v>40</v>
      </c>
    </row>
    <row r="138" spans="2:4" x14ac:dyDescent="0.3">
      <c r="B138" s="457" t="s">
        <v>1363</v>
      </c>
      <c r="C138" s="322" t="s">
        <v>800</v>
      </c>
      <c r="D138" s="363" t="s">
        <v>40</v>
      </c>
    </row>
    <row r="139" spans="2:4" x14ac:dyDescent="0.3">
      <c r="B139" s="457" t="s">
        <v>1363</v>
      </c>
      <c r="C139" s="322" t="s">
        <v>800</v>
      </c>
      <c r="D139" s="363" t="s">
        <v>40</v>
      </c>
    </row>
    <row r="140" spans="2:4" x14ac:dyDescent="0.3">
      <c r="B140" s="457" t="s">
        <v>1363</v>
      </c>
      <c r="C140" s="322" t="s">
        <v>800</v>
      </c>
      <c r="D140" s="363" t="s">
        <v>40</v>
      </c>
    </row>
    <row r="141" spans="2:4" x14ac:dyDescent="0.3">
      <c r="B141" s="457" t="s">
        <v>1363</v>
      </c>
      <c r="C141" s="322" t="s">
        <v>800</v>
      </c>
      <c r="D141" s="363" t="s">
        <v>40</v>
      </c>
    </row>
    <row r="142" spans="2:4" x14ac:dyDescent="0.3">
      <c r="B142" s="457" t="s">
        <v>1364</v>
      </c>
      <c r="C142" s="322" t="s">
        <v>1365</v>
      </c>
      <c r="D142" s="363" t="s">
        <v>295</v>
      </c>
    </row>
    <row r="143" spans="2:4" x14ac:dyDescent="0.3">
      <c r="B143" s="457" t="s">
        <v>1366</v>
      </c>
      <c r="C143" s="322" t="s">
        <v>1365</v>
      </c>
      <c r="D143" s="363" t="s">
        <v>295</v>
      </c>
    </row>
    <row r="144" spans="2:4" x14ac:dyDescent="0.3">
      <c r="B144" s="457" t="s">
        <v>1367</v>
      </c>
      <c r="C144" s="322" t="s">
        <v>1365</v>
      </c>
      <c r="D144" s="363" t="s">
        <v>295</v>
      </c>
    </row>
    <row r="145" spans="2:4" x14ac:dyDescent="0.3">
      <c r="B145" s="457" t="s">
        <v>1368</v>
      </c>
      <c r="C145" s="322" t="s">
        <v>805</v>
      </c>
      <c r="D145" s="363" t="s">
        <v>618</v>
      </c>
    </row>
    <row r="146" spans="2:4" x14ac:dyDescent="0.3">
      <c r="B146" s="457" t="s">
        <v>1369</v>
      </c>
      <c r="C146" s="322" t="s">
        <v>616</v>
      </c>
      <c r="D146" s="363" t="s">
        <v>295</v>
      </c>
    </row>
    <row r="147" spans="2:4" ht="36.6" customHeight="1" x14ac:dyDescent="0.3">
      <c r="B147" s="457" t="s">
        <v>1370</v>
      </c>
      <c r="C147" s="301" t="s">
        <v>1371</v>
      </c>
      <c r="D147" s="363" t="s">
        <v>295</v>
      </c>
    </row>
    <row r="148" spans="2:4" x14ac:dyDescent="0.3">
      <c r="B148" s="457" t="s">
        <v>1372</v>
      </c>
      <c r="C148" s="322" t="s">
        <v>672</v>
      </c>
      <c r="D148" s="363" t="s">
        <v>295</v>
      </c>
    </row>
    <row r="149" spans="2:4" x14ac:dyDescent="0.3">
      <c r="B149" s="457" t="s">
        <v>1373</v>
      </c>
      <c r="C149" s="347" t="s">
        <v>1085</v>
      </c>
      <c r="D149" s="363" t="s">
        <v>295</v>
      </c>
    </row>
    <row r="150" spans="2:4" x14ac:dyDescent="0.3">
      <c r="B150" s="457" t="s">
        <v>832</v>
      </c>
      <c r="C150" s="322" t="s">
        <v>833</v>
      </c>
      <c r="D150" s="363" t="s">
        <v>295</v>
      </c>
    </row>
    <row r="151" spans="2:4" x14ac:dyDescent="0.3">
      <c r="B151" s="457" t="s">
        <v>1374</v>
      </c>
      <c r="C151" s="322" t="s">
        <v>814</v>
      </c>
      <c r="D151" s="363" t="s">
        <v>618</v>
      </c>
    </row>
    <row r="152" spans="2:4" x14ac:dyDescent="0.3">
      <c r="B152" s="457" t="s">
        <v>1375</v>
      </c>
      <c r="C152" s="322" t="s">
        <v>814</v>
      </c>
      <c r="D152" s="363" t="s">
        <v>618</v>
      </c>
    </row>
    <row r="153" spans="2:4" x14ac:dyDescent="0.3">
      <c r="B153" s="457" t="s">
        <v>1376</v>
      </c>
      <c r="C153" s="322" t="s">
        <v>819</v>
      </c>
      <c r="D153" s="363" t="s">
        <v>618</v>
      </c>
    </row>
    <row r="154" spans="2:4" x14ac:dyDescent="0.3">
      <c r="B154" s="457" t="s">
        <v>1377</v>
      </c>
      <c r="C154" s="322" t="s">
        <v>819</v>
      </c>
      <c r="D154" s="363" t="s">
        <v>618</v>
      </c>
    </row>
    <row r="155" spans="2:4" x14ac:dyDescent="0.3">
      <c r="B155" s="457" t="s">
        <v>1378</v>
      </c>
      <c r="C155" s="322" t="s">
        <v>819</v>
      </c>
      <c r="D155" s="363" t="s">
        <v>618</v>
      </c>
    </row>
    <row r="156" spans="2:4" x14ac:dyDescent="0.3">
      <c r="B156" s="457" t="s">
        <v>1379</v>
      </c>
      <c r="C156" s="322" t="s">
        <v>819</v>
      </c>
      <c r="D156" s="363" t="s">
        <v>618</v>
      </c>
    </row>
    <row r="157" spans="2:4" x14ac:dyDescent="0.3">
      <c r="B157" s="457" t="s">
        <v>851</v>
      </c>
      <c r="C157" s="322" t="s">
        <v>849</v>
      </c>
      <c r="D157" s="363" t="s">
        <v>295</v>
      </c>
    </row>
    <row r="158" spans="2:4" ht="15" thickBot="1" x14ac:dyDescent="0.35">
      <c r="B158" s="460" t="s">
        <v>851</v>
      </c>
      <c r="C158" s="307" t="s">
        <v>852</v>
      </c>
      <c r="D158" s="355" t="s">
        <v>295</v>
      </c>
    </row>
    <row r="159" spans="2:4" x14ac:dyDescent="0.3"/>
    <row r="160" spans="2:4" x14ac:dyDescent="0.3"/>
    <row r="161" spans="2:2" x14ac:dyDescent="0.3"/>
    <row r="162" spans="2:2" x14ac:dyDescent="0.3"/>
    <row r="163" spans="2:2" x14ac:dyDescent="0.3">
      <c r="B163" s="203"/>
    </row>
    <row r="164" spans="2:2" x14ac:dyDescent="0.3">
      <c r="B164" s="203"/>
    </row>
    <row r="165" spans="2:2" x14ac:dyDescent="0.3">
      <c r="B165" s="203"/>
    </row>
    <row r="166" spans="2:2" x14ac:dyDescent="0.3">
      <c r="B166" s="203"/>
    </row>
    <row r="167" spans="2:2" x14ac:dyDescent="0.3">
      <c r="B167" s="203"/>
    </row>
    <row r="168" spans="2:2" x14ac:dyDescent="0.3">
      <c r="B168" s="203"/>
    </row>
    <row r="169" spans="2:2" hidden="1" x14ac:dyDescent="0.3">
      <c r="B169" s="203"/>
    </row>
    <row r="170" spans="2:2" hidden="1" x14ac:dyDescent="0.3">
      <c r="B170" s="203"/>
    </row>
    <row r="171" spans="2:2" hidden="1" x14ac:dyDescent="0.3">
      <c r="B171" s="203"/>
    </row>
    <row r="172" spans="2:2" hidden="1" x14ac:dyDescent="0.3">
      <c r="B172" s="203"/>
    </row>
    <row r="173" spans="2:2" hidden="1" x14ac:dyDescent="0.3">
      <c r="B173" s="203"/>
    </row>
    <row r="174" spans="2:2" hidden="1" x14ac:dyDescent="0.3">
      <c r="B174" s="203"/>
    </row>
    <row r="175" spans="2:2" hidden="1" x14ac:dyDescent="0.3">
      <c r="B175" s="203"/>
    </row>
    <row r="176" spans="2:2" hidden="1" x14ac:dyDescent="0.3">
      <c r="B176" s="203"/>
    </row>
    <row r="177" spans="2:2" hidden="1" x14ac:dyDescent="0.3">
      <c r="B177" s="203"/>
    </row>
    <row r="178" spans="2:2" hidden="1" x14ac:dyDescent="0.3">
      <c r="B178" s="203"/>
    </row>
    <row r="179" spans="2:2" hidden="1" x14ac:dyDescent="0.3">
      <c r="B179" s="203"/>
    </row>
    <row r="180" spans="2:2" hidden="1" x14ac:dyDescent="0.3">
      <c r="B180" s="203"/>
    </row>
    <row r="181" spans="2:2" hidden="1" x14ac:dyDescent="0.3">
      <c r="B181" s="203"/>
    </row>
    <row r="182" spans="2:2" hidden="1" x14ac:dyDescent="0.3">
      <c r="B182" s="203"/>
    </row>
    <row r="183" spans="2:2" hidden="1" x14ac:dyDescent="0.3">
      <c r="B183" s="203"/>
    </row>
    <row r="184" spans="2:2" hidden="1" x14ac:dyDescent="0.3">
      <c r="B184" s="203"/>
    </row>
    <row r="185" spans="2:2" hidden="1" x14ac:dyDescent="0.3">
      <c r="B185" s="203"/>
    </row>
    <row r="186" spans="2:2" hidden="1" x14ac:dyDescent="0.3">
      <c r="B186" s="203"/>
    </row>
    <row r="187" spans="2:2" hidden="1" x14ac:dyDescent="0.3">
      <c r="B187" s="203"/>
    </row>
    <row r="188" spans="2:2" hidden="1" x14ac:dyDescent="0.3">
      <c r="B188" s="203"/>
    </row>
    <row r="189" spans="2:2" hidden="1" x14ac:dyDescent="0.3">
      <c r="B189" s="203"/>
    </row>
    <row r="190" spans="2:2" hidden="1" x14ac:dyDescent="0.3">
      <c r="B190" s="203"/>
    </row>
    <row r="191" spans="2:2" hidden="1" x14ac:dyDescent="0.3">
      <c r="B191" s="203"/>
    </row>
    <row r="192" spans="2:2" hidden="1" x14ac:dyDescent="0.3">
      <c r="B192" s="203"/>
    </row>
    <row r="193" spans="2:2" hidden="1" x14ac:dyDescent="0.3">
      <c r="B193" s="203"/>
    </row>
    <row r="194" spans="2:2" hidden="1" x14ac:dyDescent="0.3">
      <c r="B194" s="203"/>
    </row>
    <row r="195" spans="2:2" hidden="1" x14ac:dyDescent="0.3">
      <c r="B195" s="203"/>
    </row>
    <row r="196" spans="2:2" hidden="1" x14ac:dyDescent="0.3">
      <c r="B196" s="203"/>
    </row>
    <row r="197" spans="2:2" hidden="1" x14ac:dyDescent="0.3">
      <c r="B197" s="203"/>
    </row>
    <row r="198" spans="2:2" hidden="1" x14ac:dyDescent="0.3">
      <c r="B198" s="203"/>
    </row>
    <row r="199" spans="2:2" hidden="1" x14ac:dyDescent="0.3">
      <c r="B199" s="203"/>
    </row>
    <row r="200" spans="2:2" hidden="1" x14ac:dyDescent="0.3">
      <c r="B200" s="203"/>
    </row>
    <row r="201" spans="2:2" hidden="1" x14ac:dyDescent="0.3">
      <c r="B201" s="203"/>
    </row>
    <row r="202" spans="2:2" hidden="1" x14ac:dyDescent="0.3">
      <c r="B202" s="203"/>
    </row>
    <row r="203" spans="2:2" hidden="1" x14ac:dyDescent="0.3">
      <c r="B203" s="203"/>
    </row>
    <row r="204" spans="2:2" hidden="1" x14ac:dyDescent="0.3">
      <c r="B204" s="203"/>
    </row>
    <row r="205" spans="2:2" hidden="1" x14ac:dyDescent="0.3">
      <c r="B205" s="203"/>
    </row>
    <row r="206" spans="2:2" hidden="1" x14ac:dyDescent="0.3">
      <c r="B206" s="203"/>
    </row>
    <row r="207" spans="2:2" hidden="1" x14ac:dyDescent="0.3">
      <c r="B207" s="203"/>
    </row>
    <row r="208" spans="2:2" hidden="1" x14ac:dyDescent="0.3">
      <c r="B208" s="203"/>
    </row>
    <row r="209" spans="2:2" hidden="1" x14ac:dyDescent="0.3">
      <c r="B209" s="203"/>
    </row>
    <row r="210" spans="2:2" hidden="1" x14ac:dyDescent="0.3">
      <c r="B210" s="203"/>
    </row>
    <row r="211" spans="2:2" hidden="1" x14ac:dyDescent="0.3">
      <c r="B211" s="203"/>
    </row>
    <row r="212" spans="2:2" hidden="1" x14ac:dyDescent="0.3">
      <c r="B212" s="203"/>
    </row>
    <row r="213" spans="2:2" hidden="1" x14ac:dyDescent="0.3">
      <c r="B213" s="203"/>
    </row>
    <row r="214" spans="2:2" hidden="1" x14ac:dyDescent="0.3">
      <c r="B214" s="203"/>
    </row>
    <row r="215" spans="2:2" hidden="1" x14ac:dyDescent="0.3">
      <c r="B215" s="203"/>
    </row>
    <row r="216" spans="2:2" hidden="1" x14ac:dyDescent="0.3">
      <c r="B216" s="204"/>
    </row>
  </sheetData>
  <sheetProtection algorithmName="SHA-512" hashValue="1HUCqSjGrZ+LCsU+b9zQKSueqS3BJf6u7lAeqdWt5KsrgULVN9ReFcT49MDctlVy8B/NeKrd6mLj0id8HvXtLg==" saltValue="j3cLXWsJkInWKZZo/tDiIw==" spinCount="100000" sheet="1" objects="1" scenarios="1"/>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pageSetUpPr autoPageBreaks="0"/>
  </sheetPr>
  <dimension ref="A1:R52"/>
  <sheetViews>
    <sheetView zoomScale="80" zoomScaleNormal="80" workbookViewId="0"/>
  </sheetViews>
  <sheetFormatPr defaultColWidth="9.33203125" defaultRowHeight="14.7" customHeight="1" zeroHeight="1" x14ac:dyDescent="0.3"/>
  <cols>
    <col min="1" max="3" width="2.33203125" style="9" customWidth="1"/>
    <col min="4" max="4" width="18.6640625" style="9" customWidth="1"/>
    <col min="5" max="8" width="9.33203125" style="9" customWidth="1"/>
    <col min="9" max="9" width="7" style="9" customWidth="1"/>
    <col min="10" max="12" width="9.33203125" style="9" customWidth="1"/>
    <col min="13" max="13" width="12.33203125" style="9" customWidth="1"/>
    <col min="14" max="14" width="5.6640625" style="9" customWidth="1"/>
    <col min="15" max="15" width="9.33203125" style="9" customWidth="1"/>
    <col min="16" max="16" width="34.5546875" style="9" customWidth="1"/>
    <col min="17" max="17" width="13.6640625" style="9" bestFit="1" customWidth="1"/>
    <col min="18" max="18" width="19.33203125" style="9" customWidth="1"/>
    <col min="19" max="20" width="9.33203125" style="9" customWidth="1"/>
    <col min="21" max="16384" width="9.33203125" style="9"/>
  </cols>
  <sheetData>
    <row r="1" spans="1:18" ht="15.75" customHeight="1" x14ac:dyDescent="0.6">
      <c r="B1" s="16"/>
      <c r="C1" s="16"/>
      <c r="E1" s="17"/>
      <c r="F1" s="1912"/>
      <c r="G1" s="1912"/>
      <c r="H1" s="1912"/>
      <c r="I1" s="1912"/>
      <c r="J1" s="1912"/>
      <c r="K1" s="1913"/>
      <c r="L1" s="1913"/>
      <c r="M1" s="1913"/>
      <c r="N1" s="1913"/>
      <c r="O1" s="19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914"/>
      <c r="E10" s="1914"/>
      <c r="F10" s="1914"/>
      <c r="G10" s="1914"/>
      <c r="H10" s="1914"/>
      <c r="I10" s="1914"/>
      <c r="J10" s="1914"/>
      <c r="K10" s="1914"/>
      <c r="L10" s="1914"/>
      <c r="M10" s="191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sheetData>
  <sheetProtection algorithmName="SHA-512" hashValue="SfWBobx0Fl7Q86WFDZ9NmB0jZy+1QWcmFj23FhCHbzeTNA9XOwsQ3Cnpwc1DbC6TtH+xxjQ10QZzLOQZfNkNww==" saltValue="fslmWsHEWjzTKH9/fyJbMw=="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zoomScale="80" zoomScaleNormal="80" workbookViewId="0">
      <selection activeCell="B30" sqref="B30"/>
    </sheetView>
  </sheetViews>
  <sheetFormatPr defaultColWidth="9.33203125" defaultRowHeight="14.4" x14ac:dyDescent="0.3"/>
  <cols>
    <col min="1" max="1" width="41.33203125" style="179" customWidth="1"/>
    <col min="2" max="2" width="56.44140625" style="179" bestFit="1" customWidth="1"/>
    <col min="3" max="3" width="9.33203125" style="179"/>
    <col min="4" max="4" width="55.5546875" style="179" customWidth="1"/>
    <col min="5" max="16384" width="9.33203125" style="179"/>
  </cols>
  <sheetData>
    <row r="1" spans="1:4" s="180" customFormat="1" x14ac:dyDescent="0.3">
      <c r="A1" s="205" t="s">
        <v>1380</v>
      </c>
      <c r="B1" s="206" t="s">
        <v>1381</v>
      </c>
      <c r="D1" s="184" t="s">
        <v>1382</v>
      </c>
    </row>
    <row r="2" spans="1:4" x14ac:dyDescent="0.3">
      <c r="A2" s="390" t="s">
        <v>1383</v>
      </c>
      <c r="B2" s="391" t="s">
        <v>1384</v>
      </c>
      <c r="D2" s="390" t="str">
        <f>'G-1 All Habitats'!B3</f>
        <v>Cropland - Arable field margins cultivated annually</v>
      </c>
    </row>
    <row r="3" spans="1:4" x14ac:dyDescent="0.3">
      <c r="A3" s="390" t="s">
        <v>1385</v>
      </c>
      <c r="B3" s="391" t="s">
        <v>1386</v>
      </c>
      <c r="D3" s="390" t="str">
        <f>'G-1 All Habitats'!B4</f>
        <v>Cropland - Arable field margins game bird mix</v>
      </c>
    </row>
    <row r="4" spans="1:4" x14ac:dyDescent="0.3">
      <c r="A4" s="390" t="s">
        <v>1387</v>
      </c>
      <c r="B4" s="391" t="s">
        <v>1388</v>
      </c>
      <c r="D4" s="390" t="str">
        <f>'G-1 All Habitats'!B5</f>
        <v>Cropland - Arable field margins pollen and nectar</v>
      </c>
    </row>
    <row r="5" spans="1:4" x14ac:dyDescent="0.3">
      <c r="A5" s="390" t="s">
        <v>1389</v>
      </c>
      <c r="B5" s="391" t="s">
        <v>1390</v>
      </c>
      <c r="D5" s="390" t="str">
        <f>'G-1 All Habitats'!B6</f>
        <v>Cropland - Arable field margins tussocky</v>
      </c>
    </row>
    <row r="6" spans="1:4" x14ac:dyDescent="0.3">
      <c r="A6" s="390" t="s">
        <v>1391</v>
      </c>
      <c r="B6" s="391" t="s">
        <v>1392</v>
      </c>
      <c r="D6" s="390" t="str">
        <f>'G-1 All Habitats'!B7</f>
        <v>Cropland - Cereal crops</v>
      </c>
    </row>
    <row r="7" spans="1:4" x14ac:dyDescent="0.3">
      <c r="A7" s="390" t="s">
        <v>1393</v>
      </c>
      <c r="B7" s="391" t="s">
        <v>1394</v>
      </c>
      <c r="D7" s="390" t="str">
        <f>'G-1 All Habitats'!B8</f>
        <v>Cropland - Winter stubble</v>
      </c>
    </row>
    <row r="8" spans="1:4" x14ac:dyDescent="0.3">
      <c r="A8" s="390" t="s">
        <v>1395</v>
      </c>
      <c r="B8" s="391" t="s">
        <v>1396</v>
      </c>
      <c r="D8" s="390" t="str">
        <f>'G-1 All Habitats'!B9</f>
        <v>Cropland - Horticulture</v>
      </c>
    </row>
    <row r="9" spans="1:4" x14ac:dyDescent="0.3">
      <c r="A9" s="390" t="s">
        <v>1397</v>
      </c>
      <c r="B9" s="391" t="s">
        <v>1398</v>
      </c>
      <c r="D9" s="390" t="str">
        <f>'G-1 All Habitats'!B10</f>
        <v>Cropland - Intensive orchards</v>
      </c>
    </row>
    <row r="10" spans="1:4" x14ac:dyDescent="0.3">
      <c r="A10" s="390" t="s">
        <v>1399</v>
      </c>
      <c r="B10" s="391" t="s">
        <v>1400</v>
      </c>
      <c r="D10" s="390" t="str">
        <f>'G-1 All Habitats'!B11</f>
        <v>Cropland - Non-cereal crops</v>
      </c>
    </row>
    <row r="11" spans="1:4" x14ac:dyDescent="0.3">
      <c r="A11" s="390" t="s">
        <v>1401</v>
      </c>
      <c r="B11" s="391" t="s">
        <v>1402</v>
      </c>
      <c r="D11" s="390" t="str">
        <f>'G-1 All Habitats'!B12</f>
        <v>Cropland - Temporary grass and clover leys</v>
      </c>
    </row>
    <row r="12" spans="1:4" x14ac:dyDescent="0.3">
      <c r="A12" s="390" t="s">
        <v>1403</v>
      </c>
      <c r="B12" s="391" t="s">
        <v>1404</v>
      </c>
      <c r="D12" s="390" t="str">
        <f>'G-1 All Habitats'!B13</f>
        <v>Grassland - Traditional orchards</v>
      </c>
    </row>
    <row r="13" spans="1:4" x14ac:dyDescent="0.3">
      <c r="A13" s="390" t="s">
        <v>1405</v>
      </c>
      <c r="B13" s="391" t="s">
        <v>1406</v>
      </c>
      <c r="D13" s="390" t="str">
        <f>'G-1 All Habitats'!B14</f>
        <v>Grassland - Bracken</v>
      </c>
    </row>
    <row r="14" spans="1:4" x14ac:dyDescent="0.3">
      <c r="A14" s="390" t="s">
        <v>1407</v>
      </c>
      <c r="B14" s="391" t="s">
        <v>1408</v>
      </c>
      <c r="D14" s="390" t="str">
        <f>'G-1 All Habitats'!B15</f>
        <v>Grassland - Floodplain wetland mosaic and CFGM</v>
      </c>
    </row>
    <row r="15" spans="1:4" x14ac:dyDescent="0.3">
      <c r="A15" s="390" t="s">
        <v>1409</v>
      </c>
      <c r="B15" s="391" t="s">
        <v>1410</v>
      </c>
      <c r="D15" s="390" t="str">
        <f>'G-1 All Habitats'!B16</f>
        <v>Grassland - Lowland calcareous grassland</v>
      </c>
    </row>
    <row r="16" spans="1:4" x14ac:dyDescent="0.3">
      <c r="A16" s="390" t="s">
        <v>1411</v>
      </c>
      <c r="B16" s="391" t="s">
        <v>1412</v>
      </c>
      <c r="D16" s="390" t="str">
        <f>'G-1 All Habitats'!B17</f>
        <v>Grassland - Lowland dry acid grassland</v>
      </c>
    </row>
    <row r="17" spans="1:4" x14ac:dyDescent="0.3">
      <c r="A17" s="390" t="s">
        <v>1413</v>
      </c>
      <c r="D17" s="390" t="str">
        <f>'G-1 All Habitats'!B18</f>
        <v>Grassland - Lowland meadows</v>
      </c>
    </row>
    <row r="18" spans="1:4" x14ac:dyDescent="0.3">
      <c r="A18" s="390" t="s">
        <v>1414</v>
      </c>
      <c r="D18" s="390" t="str">
        <f>'G-1 All Habitats'!B19</f>
        <v>Grassland - Modified grassland</v>
      </c>
    </row>
    <row r="19" spans="1:4" x14ac:dyDescent="0.3">
      <c r="A19" s="390" t="s">
        <v>1415</v>
      </c>
      <c r="D19" s="390" t="str">
        <f>'G-1 All Habitats'!B20</f>
        <v>Grassland - Other lowland acid grassland</v>
      </c>
    </row>
    <row r="20" spans="1:4" x14ac:dyDescent="0.3">
      <c r="A20" s="390" t="s">
        <v>1416</v>
      </c>
      <c r="D20" s="390" t="str">
        <f>'G-1 All Habitats'!B21</f>
        <v>Grassland - Other neutral grassland</v>
      </c>
    </row>
    <row r="21" spans="1:4" x14ac:dyDescent="0.3">
      <c r="A21" s="390" t="s">
        <v>1417</v>
      </c>
      <c r="D21" s="390" t="str">
        <f>'G-1 All Habitats'!B22</f>
        <v>Grassland - Tall herb communities (H6430)</v>
      </c>
    </row>
    <row r="22" spans="1:4" x14ac:dyDescent="0.3">
      <c r="A22" s="390" t="s">
        <v>1418</v>
      </c>
      <c r="D22" s="390" t="str">
        <f>'G-1 All Habitats'!B23</f>
        <v>Grassland - Upland acid grassland</v>
      </c>
    </row>
    <row r="23" spans="1:4" x14ac:dyDescent="0.3">
      <c r="A23" s="390" t="s">
        <v>1419</v>
      </c>
      <c r="D23" s="390" t="str">
        <f>'G-1 All Habitats'!B24</f>
        <v>Grassland - Upland calcareous grassland</v>
      </c>
    </row>
    <row r="24" spans="1:4" x14ac:dyDescent="0.3">
      <c r="A24" s="390" t="s">
        <v>1420</v>
      </c>
      <c r="D24" s="390" t="str">
        <f>'G-1 All Habitats'!B25</f>
        <v>Grassland - Upland hay meadows</v>
      </c>
    </row>
    <row r="25" spans="1:4" x14ac:dyDescent="0.3">
      <c r="A25" s="390" t="s">
        <v>1421</v>
      </c>
      <c r="D25" s="390" t="str">
        <f>'G-1 All Habitats'!B26</f>
        <v>Heathland and shrub - Blackthorn scrub</v>
      </c>
    </row>
    <row r="26" spans="1:4" x14ac:dyDescent="0.3">
      <c r="A26" s="390" t="s">
        <v>1422</v>
      </c>
      <c r="D26" s="390" t="str">
        <f>'G-1 All Habitats'!B27</f>
        <v>Heathland and shrub - Bramble scrub</v>
      </c>
    </row>
    <row r="27" spans="1:4" x14ac:dyDescent="0.3">
      <c r="A27" s="390" t="s">
        <v>1423</v>
      </c>
      <c r="D27" s="390" t="str">
        <f>'G-1 All Habitats'!B28</f>
        <v>Heathland and shrub - Gorse scrub</v>
      </c>
    </row>
    <row r="28" spans="1:4" x14ac:dyDescent="0.3">
      <c r="A28" s="390" t="s">
        <v>1424</v>
      </c>
      <c r="D28" s="390" t="str">
        <f>'G-1 All Habitats'!B29</f>
        <v>Heathland and shrub - Hawthorn scrub</v>
      </c>
    </row>
    <row r="29" spans="1:4" x14ac:dyDescent="0.3">
      <c r="A29" s="390" t="s">
        <v>1425</v>
      </c>
      <c r="D29" s="390" t="str">
        <f>'G-1 All Habitats'!B30</f>
        <v>Heathland and shrub - Hazel scrub</v>
      </c>
    </row>
    <row r="30" spans="1:4" x14ac:dyDescent="0.3">
      <c r="A30" s="390" t="s">
        <v>1426</v>
      </c>
      <c r="D30" s="390" t="str">
        <f>'G-1 All Habitats'!B31</f>
        <v>Heathland and shrub - Lowland heathland</v>
      </c>
    </row>
    <row r="31" spans="1:4" x14ac:dyDescent="0.3">
      <c r="A31" s="390" t="s">
        <v>1427</v>
      </c>
      <c r="D31" s="390" t="str">
        <f>'G-1 All Habitats'!B32</f>
        <v>Heathland and shrub - Mixed scrub</v>
      </c>
    </row>
    <row r="32" spans="1:4" x14ac:dyDescent="0.3">
      <c r="A32" s="390" t="s">
        <v>1428</v>
      </c>
      <c r="D32" s="390" t="str">
        <f>'G-1 All Habitats'!B33</f>
        <v>Heathland and shrub - Mountain heaths and willow scrub</v>
      </c>
    </row>
    <row r="33" spans="1:4" x14ac:dyDescent="0.3">
      <c r="A33" s="390" t="s">
        <v>1429</v>
      </c>
      <c r="D33" s="390" t="str">
        <f>'G-1 All Habitats'!B34</f>
        <v>Heathland and shrub - Rhododendron scrub</v>
      </c>
    </row>
    <row r="34" spans="1:4" x14ac:dyDescent="0.3">
      <c r="A34" s="390" t="s">
        <v>1430</v>
      </c>
      <c r="D34" s="390" t="str">
        <f>'G-1 All Habitats'!B35</f>
        <v>Heathland and shrub - Dunes with sea buckthorn (H2160)</v>
      </c>
    </row>
    <row r="35" spans="1:4" x14ac:dyDescent="0.3">
      <c r="A35" s="390" t="s">
        <v>1431</v>
      </c>
      <c r="D35" s="390" t="str">
        <f>'G-1 All Habitats'!B36</f>
        <v>Heathland and shrub - Other sea buckthorn scrub</v>
      </c>
    </row>
    <row r="36" spans="1:4" x14ac:dyDescent="0.3">
      <c r="A36" s="390" t="s">
        <v>1432</v>
      </c>
      <c r="D36" s="390" t="str">
        <f>'G-1 All Habitats'!B38</f>
        <v>Heathland and shrub - Upland heathland</v>
      </c>
    </row>
    <row r="37" spans="1:4" x14ac:dyDescent="0.3">
      <c r="A37" s="390" t="s">
        <v>1433</v>
      </c>
      <c r="D37" s="390" t="str">
        <f>'G-1 All Habitats'!B39</f>
        <v>Lakes - Aquifer fed naturally fluctuating water bodies</v>
      </c>
    </row>
    <row r="38" spans="1:4" x14ac:dyDescent="0.3">
      <c r="A38" s="390" t="s">
        <v>1434</v>
      </c>
      <c r="D38" s="390" t="str">
        <f>'G-1 All Habitats'!B41</f>
        <v>Lakes - High alkalinity lakes</v>
      </c>
    </row>
    <row r="39" spans="1:4" x14ac:dyDescent="0.3">
      <c r="A39" s="390" t="s">
        <v>1435</v>
      </c>
      <c r="D39" s="390" t="str">
        <f>'G-1 All Habitats'!B42</f>
        <v>Lakes - Low alkalinity lakes</v>
      </c>
    </row>
    <row r="40" spans="1:4" x14ac:dyDescent="0.3">
      <c r="A40" s="390" t="s">
        <v>1436</v>
      </c>
      <c r="D40" s="390" t="str">
        <f>'G-1 All Habitats'!B43</f>
        <v>Lakes - Marl lakes</v>
      </c>
    </row>
    <row r="41" spans="1:4" x14ac:dyDescent="0.3">
      <c r="A41" s="390" t="s">
        <v>1437</v>
      </c>
      <c r="D41" s="390" t="str">
        <f>'G-1 All Habitats'!B44</f>
        <v>Lakes - Moderate alkalinity lakes</v>
      </c>
    </row>
    <row r="42" spans="1:4" x14ac:dyDescent="0.3">
      <c r="A42" s="390" t="s">
        <v>1438</v>
      </c>
      <c r="D42" s="390" t="str">
        <f>'G-1 All Habitats'!B45</f>
        <v>Lakes - Peat lakes</v>
      </c>
    </row>
    <row r="43" spans="1:4" x14ac:dyDescent="0.3">
      <c r="A43" s="390" t="s">
        <v>1439</v>
      </c>
      <c r="D43" s="390" t="str">
        <f>'G-1 All Habitats'!B46</f>
        <v>Lakes - Ponds (priority habitat)</v>
      </c>
    </row>
    <row r="44" spans="1:4" x14ac:dyDescent="0.3">
      <c r="A44" s="390" t="s">
        <v>1440</v>
      </c>
      <c r="D44" s="390" t="str">
        <f>'G-1 All Habitats'!B47</f>
        <v>Lakes - Ponds (non-priority habitat)</v>
      </c>
    </row>
    <row r="45" spans="1:4" x14ac:dyDescent="0.3">
      <c r="A45" s="390" t="s">
        <v>1441</v>
      </c>
      <c r="D45" s="390" t="str">
        <f>'G-1 All Habitats'!B48</f>
        <v>Lakes - Reservoirs</v>
      </c>
    </row>
    <row r="46" spans="1:4" x14ac:dyDescent="0.3">
      <c r="A46" s="390" t="s">
        <v>1442</v>
      </c>
      <c r="D46" s="390" t="str">
        <f>'G-1 All Habitats'!B49</f>
        <v>Lakes - Temporary lakes ponds and pools (H3170)</v>
      </c>
    </row>
    <row r="47" spans="1:4" x14ac:dyDescent="0.3">
      <c r="A47" s="390" t="s">
        <v>1443</v>
      </c>
      <c r="D47" s="390" t="str">
        <f>'G-1 All Habitats'!B50</f>
        <v>Sparsely vegetated land - Calaminarian grasslands</v>
      </c>
    </row>
    <row r="48" spans="1:4" x14ac:dyDescent="0.3">
      <c r="A48" s="390" t="s">
        <v>1444</v>
      </c>
      <c r="D48" s="390" t="str">
        <f>'G-1 All Habitats'!B51</f>
        <v>Sparsely vegetated land - Coastal sand dunes</v>
      </c>
    </row>
    <row r="49" spans="1:4" x14ac:dyDescent="0.3">
      <c r="A49" s="390" t="s">
        <v>1445</v>
      </c>
      <c r="D49" s="390" t="str">
        <f>'G-1 All Habitats'!B52</f>
        <v>Sparsely vegetated land - Coastal vegetated shingle</v>
      </c>
    </row>
    <row r="50" spans="1:4" x14ac:dyDescent="0.3">
      <c r="A50" s="390" t="s">
        <v>1446</v>
      </c>
      <c r="D50" s="390" t="str">
        <f>'G-1 All Habitats'!B53</f>
        <v>Sparsely vegetated land - Ruderal/Ephemeral</v>
      </c>
    </row>
    <row r="51" spans="1:4" x14ac:dyDescent="0.3">
      <c r="A51" s="390" t="s">
        <v>1447</v>
      </c>
      <c r="D51" s="390" t="str">
        <f>'G-1 All Habitats'!B55</f>
        <v>Sparsely vegetated land - Inland rock outcrop and scree habitats</v>
      </c>
    </row>
    <row r="52" spans="1:4" x14ac:dyDescent="0.3">
      <c r="A52" s="390" t="s">
        <v>1448</v>
      </c>
      <c r="D52" s="390" t="str">
        <f>'G-1 All Habitats'!B56</f>
        <v>Sparsely vegetated land - Limestone pavement</v>
      </c>
    </row>
    <row r="53" spans="1:4" x14ac:dyDescent="0.3">
      <c r="A53" s="390" t="s">
        <v>1449</v>
      </c>
      <c r="D53" s="390" t="str">
        <f>'G-1 All Habitats'!B57</f>
        <v>Sparsely vegetated land - Maritime cliff and slopes</v>
      </c>
    </row>
    <row r="54" spans="1:4" x14ac:dyDescent="0.3">
      <c r="A54" s="390" t="s">
        <v>1450</v>
      </c>
      <c r="D54" s="390" t="str">
        <f>'G-1 All Habitats'!B58</f>
        <v>Sparsely vegetated land - Other inland rock and scree</v>
      </c>
    </row>
    <row r="55" spans="1:4" x14ac:dyDescent="0.3">
      <c r="A55" s="390" t="s">
        <v>1451</v>
      </c>
      <c r="D55" s="390" t="str">
        <f>'G-1 All Habitats'!B59</f>
        <v>Urban - Allotments</v>
      </c>
    </row>
    <row r="56" spans="1:4" x14ac:dyDescent="0.3">
      <c r="A56" s="390" t="s">
        <v>1452</v>
      </c>
      <c r="D56" s="390" t="str">
        <f>'G-1 All Habitats'!B40</f>
        <v>Lakes - Ornamental lake or pond</v>
      </c>
    </row>
    <row r="57" spans="1:4" x14ac:dyDescent="0.3">
      <c r="A57" s="390" t="s">
        <v>1453</v>
      </c>
      <c r="D57" s="390" t="str">
        <f>'G-1 All Habitats'!B60</f>
        <v>Urban - Artificial unvegetated, unsealed surface</v>
      </c>
    </row>
    <row r="58" spans="1:4" x14ac:dyDescent="0.3">
      <c r="A58" s="390" t="s">
        <v>1454</v>
      </c>
      <c r="D58" s="390" t="str">
        <f>'G-1 All Habitats'!B61</f>
        <v>Urban - Bioswale</v>
      </c>
    </row>
    <row r="59" spans="1:4" x14ac:dyDescent="0.3">
      <c r="A59" s="390" t="s">
        <v>1455</v>
      </c>
      <c r="D59" s="390" t="str">
        <f>'G-1 All Habitats'!B62</f>
        <v>Urban - Intensive green roof</v>
      </c>
    </row>
    <row r="60" spans="1:4" x14ac:dyDescent="0.3">
      <c r="A60" s="390" t="s">
        <v>1456</v>
      </c>
      <c r="D60" s="390" t="str">
        <f>'G-1 All Habitats'!B63</f>
        <v>Urban - Built linear features</v>
      </c>
    </row>
    <row r="61" spans="1:4" x14ac:dyDescent="0.3">
      <c r="A61" s="390" t="s">
        <v>1457</v>
      </c>
      <c r="D61" s="390" t="str">
        <f>'G-1 All Habitats'!B64</f>
        <v>Urban - Cemeteries and churchyards</v>
      </c>
    </row>
    <row r="62" spans="1:4" x14ac:dyDescent="0.3">
      <c r="A62" s="390" t="s">
        <v>1458</v>
      </c>
      <c r="D62" s="390" t="str">
        <f>'G-1 All Habitats'!B65</f>
        <v>Urban - Developed land; sealed surface</v>
      </c>
    </row>
    <row r="63" spans="1:4" x14ac:dyDescent="0.3">
      <c r="A63" s="390" t="s">
        <v>1459</v>
      </c>
      <c r="D63" s="390" t="str">
        <f>'G-1 All Habitats'!B66</f>
        <v>Urban - Other green roof</v>
      </c>
    </row>
    <row r="64" spans="1:4" x14ac:dyDescent="0.3">
      <c r="A64" s="390" t="s">
        <v>1460</v>
      </c>
      <c r="D64" s="390" t="str">
        <f>'G-1 All Habitats'!B67</f>
        <v>Urban - Facade-bound green wall</v>
      </c>
    </row>
    <row r="65" spans="1:4" x14ac:dyDescent="0.3">
      <c r="A65" s="390" t="s">
        <v>1461</v>
      </c>
      <c r="D65" s="390" t="str">
        <f>'G-1 All Habitats'!B68</f>
        <v>Urban - Ground based green wall</v>
      </c>
    </row>
    <row r="66" spans="1:4" x14ac:dyDescent="0.3">
      <c r="A66" s="390" t="s">
        <v>1462</v>
      </c>
      <c r="D66" s="390" t="str">
        <f>'G-1 All Habitats'!B69</f>
        <v>Urban - Ground level planters</v>
      </c>
    </row>
    <row r="67" spans="1:4" x14ac:dyDescent="0.3">
      <c r="A67" s="390" t="s">
        <v>1463</v>
      </c>
      <c r="D67" s="390" t="str">
        <f>'G-1 All Habitats'!B70</f>
        <v>Urban - Biodiverse green roof</v>
      </c>
    </row>
    <row r="68" spans="1:4" x14ac:dyDescent="0.3">
      <c r="A68" s="390" t="s">
        <v>1464</v>
      </c>
      <c r="D68" s="390" t="str">
        <f>'G-1 All Habitats'!B71</f>
        <v>Urban - Introduced shrub</v>
      </c>
    </row>
    <row r="69" spans="1:4" x14ac:dyDescent="0.3">
      <c r="A69" s="390" t="s">
        <v>1465</v>
      </c>
      <c r="D69" s="390" t="str">
        <f>'G-1 All Habitats'!B72</f>
        <v>Urban - Open mosaic habitats on previously developed land</v>
      </c>
    </row>
    <row r="70" spans="1:4" x14ac:dyDescent="0.3">
      <c r="A70" s="390" t="s">
        <v>1466</v>
      </c>
      <c r="D70" s="390" t="str">
        <f>'G-1 All Habitats'!B73</f>
        <v>Urban - Rain garden</v>
      </c>
    </row>
    <row r="71" spans="1:4" x14ac:dyDescent="0.3">
      <c r="A71" s="390" t="s">
        <v>1467</v>
      </c>
      <c r="D71" s="390" t="str">
        <f>'G-1 All Habitats'!B74</f>
        <v>Urban - Actively worked sand pit quarry or open cast mine</v>
      </c>
    </row>
    <row r="72" spans="1:4" x14ac:dyDescent="0.3">
      <c r="A72" s="390" t="s">
        <v>1468</v>
      </c>
      <c r="D72" s="390" t="str">
        <f>'G-1 All Habitats'!B80</f>
        <v>Individual trees - Urban tree</v>
      </c>
    </row>
    <row r="73" spans="1:4" x14ac:dyDescent="0.3">
      <c r="A73" s="390" t="s">
        <v>1469</v>
      </c>
      <c r="D73" s="390" t="str">
        <f>'G-1 All Habitats'!B75</f>
        <v>Urban - Sustainable drainage system</v>
      </c>
    </row>
    <row r="74" spans="1:4" x14ac:dyDescent="0.3">
      <c r="A74" s="390" t="s">
        <v>1470</v>
      </c>
      <c r="D74" s="390" t="str">
        <f>'G-1 All Habitats'!B76</f>
        <v>Urban - Unvegetated garden</v>
      </c>
    </row>
    <row r="75" spans="1:4" x14ac:dyDescent="0.3">
      <c r="A75" s="390" t="s">
        <v>1471</v>
      </c>
      <c r="D75" s="390" t="str">
        <f>'G-1 All Habitats'!B77</f>
        <v>Urban - Vacant or derelict land</v>
      </c>
    </row>
    <row r="76" spans="1:4" x14ac:dyDescent="0.3">
      <c r="A76" s="390" t="s">
        <v>1472</v>
      </c>
      <c r="D76" s="390" t="str">
        <f>'G-1 All Habitats'!B79</f>
        <v>Urban - Vegetated garden</v>
      </c>
    </row>
    <row r="77" spans="1:4" x14ac:dyDescent="0.3">
      <c r="A77" s="390" t="s">
        <v>1473</v>
      </c>
      <c r="D77" s="390" t="str">
        <f>'G-1 All Habitats'!B82</f>
        <v>Wetland - Blanket bog</v>
      </c>
    </row>
    <row r="78" spans="1:4" x14ac:dyDescent="0.3">
      <c r="A78" s="390" t="s">
        <v>1474</v>
      </c>
      <c r="D78" s="390" t="str">
        <f>'G-1 All Habitats'!B83</f>
        <v>Wetland - Depressions on peat substrates (H7150)</v>
      </c>
    </row>
    <row r="79" spans="1:4" x14ac:dyDescent="0.3">
      <c r="A79" s="390" t="s">
        <v>1475</v>
      </c>
      <c r="D79" s="390" t="str">
        <f>'G-1 All Habitats'!B84</f>
        <v>Wetland - Fens (upland and lowland)</v>
      </c>
    </row>
    <row r="80" spans="1:4" x14ac:dyDescent="0.3">
      <c r="A80" s="390" t="s">
        <v>1476</v>
      </c>
      <c r="D80" s="390" t="str">
        <f>'G-1 All Habitats'!B85</f>
        <v>Wetland - Lowland raised bog</v>
      </c>
    </row>
    <row r="81" spans="1:4" x14ac:dyDescent="0.3">
      <c r="A81" s="390" t="s">
        <v>1477</v>
      </c>
      <c r="D81" s="390" t="str">
        <f>'G-1 All Habitats'!B86</f>
        <v>Wetland - Oceanic valley mire[1] (D2.1)</v>
      </c>
    </row>
    <row r="82" spans="1:4" x14ac:dyDescent="0.3">
      <c r="A82" s="390" t="s">
        <v>1478</v>
      </c>
      <c r="D82" s="390" t="str">
        <f>'G-1 All Habitats'!B87</f>
        <v>Wetland - Purple moor grass and rush pastures</v>
      </c>
    </row>
    <row r="83" spans="1:4" x14ac:dyDescent="0.3">
      <c r="A83" s="390" t="s">
        <v>1479</v>
      </c>
      <c r="D83" s="390" t="str">
        <f>'G-1 All Habitats'!B88</f>
        <v>Wetland - Reedbeds</v>
      </c>
    </row>
    <row r="84" spans="1:4" x14ac:dyDescent="0.3">
      <c r="A84" s="390" t="s">
        <v>1480</v>
      </c>
      <c r="D84" s="390" t="str">
        <f>'G-1 All Habitats'!B89</f>
        <v>Wetland - Transition mires and quaking bogs (H7140)</v>
      </c>
    </row>
    <row r="85" spans="1:4" x14ac:dyDescent="0.3">
      <c r="A85" s="390" t="s">
        <v>1481</v>
      </c>
      <c r="D85" s="390" t="str">
        <f>'G-1 All Habitats'!B90</f>
        <v>Woodland and forest - Felled</v>
      </c>
    </row>
    <row r="86" spans="1:4" x14ac:dyDescent="0.3">
      <c r="A86" s="390" t="s">
        <v>1482</v>
      </c>
      <c r="D86" s="390" t="str">
        <f>'G-1 All Habitats'!B91</f>
        <v>Woodland and forest - Lowland beech and yew woodland</v>
      </c>
    </row>
    <row r="87" spans="1:4" x14ac:dyDescent="0.3">
      <c r="A87" s="390" t="s">
        <v>1483</v>
      </c>
      <c r="D87" s="390" t="str">
        <f>'G-1 All Habitats'!B92</f>
        <v>Woodland and forest - Lowland mixed deciduous woodland</v>
      </c>
    </row>
    <row r="88" spans="1:4" x14ac:dyDescent="0.3">
      <c r="A88" s="390" t="s">
        <v>1484</v>
      </c>
      <c r="D88" s="390" t="str">
        <f>'G-1 All Habitats'!B93</f>
        <v>Woodland and forest - Native pine woodlands</v>
      </c>
    </row>
    <row r="89" spans="1:4" x14ac:dyDescent="0.3">
      <c r="A89" s="390" t="s">
        <v>1485</v>
      </c>
      <c r="D89" s="390" t="str">
        <f>'G-1 All Habitats'!B94</f>
        <v>Woodland and forest - Other coniferous woodland</v>
      </c>
    </row>
    <row r="90" spans="1:4" x14ac:dyDescent="0.3">
      <c r="A90" s="390" t="s">
        <v>1486</v>
      </c>
      <c r="D90" s="390" t="str">
        <f>'G-1 All Habitats'!B95</f>
        <v>Woodland and forest - Other Scot's pine woodland</v>
      </c>
    </row>
    <row r="91" spans="1:4" x14ac:dyDescent="0.3">
      <c r="A91" s="390" t="s">
        <v>1487</v>
      </c>
      <c r="D91" s="390" t="str">
        <f>'G-1 All Habitats'!B96</f>
        <v>Woodland and forest - Other woodland; broadleaved</v>
      </c>
    </row>
    <row r="92" spans="1:4" x14ac:dyDescent="0.3">
      <c r="A92" s="390" t="s">
        <v>1488</v>
      </c>
      <c r="D92" s="390" t="str">
        <f>'G-1 All Habitats'!B97</f>
        <v>Woodland and forest - Other woodland; mixed</v>
      </c>
    </row>
    <row r="93" spans="1:4" x14ac:dyDescent="0.3">
      <c r="A93" s="390" t="s">
        <v>1489</v>
      </c>
      <c r="D93" s="390" t="str">
        <f>'G-1 All Habitats'!B98</f>
        <v>Woodland and forest - Upland birchwoods</v>
      </c>
    </row>
    <row r="94" spans="1:4" x14ac:dyDescent="0.3">
      <c r="A94" s="390" t="s">
        <v>1490</v>
      </c>
      <c r="D94" s="390" t="str">
        <f>'G-1 All Habitats'!B99</f>
        <v>Woodland and forest - Upland mixed ashwoods</v>
      </c>
    </row>
    <row r="95" spans="1:4" x14ac:dyDescent="0.3">
      <c r="A95" s="390" t="s">
        <v>1491</v>
      </c>
      <c r="D95" s="390" t="str">
        <f>'G-1 All Habitats'!B100</f>
        <v>Woodland and forest - Upland oakwood</v>
      </c>
    </row>
    <row r="96" spans="1:4" x14ac:dyDescent="0.3">
      <c r="A96" s="390" t="s">
        <v>1492</v>
      </c>
      <c r="D96" s="390" t="str">
        <f>'G-1 All Habitats'!B101</f>
        <v>Woodland and forest - Wet woodland</v>
      </c>
    </row>
    <row r="97" spans="1:4" x14ac:dyDescent="0.3">
      <c r="A97" s="390" t="s">
        <v>1493</v>
      </c>
      <c r="D97" s="390" t="str">
        <f>'G-1 All Habitats'!B102</f>
        <v>Woodland and forest - Wood-pasture and parkland</v>
      </c>
    </row>
    <row r="98" spans="1:4" x14ac:dyDescent="0.3">
      <c r="A98" s="390" t="s">
        <v>1494</v>
      </c>
      <c r="D98" s="390" t="str">
        <f>'G-1 All Habitats'!B104</f>
        <v>Coastal lagoons - Coastal lagoons</v>
      </c>
    </row>
    <row r="99" spans="1:4" x14ac:dyDescent="0.3">
      <c r="A99" s="390" t="s">
        <v>1495</v>
      </c>
      <c r="D99" s="390" t="str">
        <f>'G-1 All Habitats'!B105</f>
        <v>Rocky shore - High energy littoral rock</v>
      </c>
    </row>
    <row r="100" spans="1:4" x14ac:dyDescent="0.3">
      <c r="A100" s="390" t="s">
        <v>1496</v>
      </c>
      <c r="D100" s="390" t="str">
        <f>'G-1 All Habitats'!B106</f>
        <v>Rocky shore - High energy littoral rock - on peat, clay or chalk</v>
      </c>
    </row>
    <row r="101" spans="1:4" x14ac:dyDescent="0.3">
      <c r="A101" s="390" t="s">
        <v>1497</v>
      </c>
      <c r="D101" s="390" t="str">
        <f>'G-1 All Habitats'!B107</f>
        <v>Rocky shore - Moderate energy littoral rock</v>
      </c>
    </row>
    <row r="102" spans="1:4" x14ac:dyDescent="0.3">
      <c r="A102" s="390" t="s">
        <v>1498</v>
      </c>
      <c r="D102" s="390" t="str">
        <f>'G-1 All Habitats'!B108</f>
        <v>Rocky shore - Moderate energy littoral rock - on peat, clay or chalk</v>
      </c>
    </row>
    <row r="103" spans="1:4" x14ac:dyDescent="0.3">
      <c r="A103" s="390" t="s">
        <v>1499</v>
      </c>
      <c r="D103" s="390" t="str">
        <f>'G-1 All Habitats'!B109</f>
        <v>Rocky shore - Low energy littoral rock</v>
      </c>
    </row>
    <row r="104" spans="1:4" x14ac:dyDescent="0.3">
      <c r="A104" s="390" t="s">
        <v>1500</v>
      </c>
      <c r="D104" s="390" t="str">
        <f>'G-1 All Habitats'!B110</f>
        <v>Rocky shore - Low energy littoral rock - on peat, clay or chalk</v>
      </c>
    </row>
    <row r="105" spans="1:4" x14ac:dyDescent="0.3">
      <c r="A105" s="390" t="s">
        <v>1501</v>
      </c>
      <c r="D105" s="390" t="str">
        <f>'G-1 All Habitats'!B111</f>
        <v>Rocky shore - Features of littoral rock</v>
      </c>
    </row>
    <row r="106" spans="1:4" x14ac:dyDescent="0.3">
      <c r="A106" s="390" t="s">
        <v>1502</v>
      </c>
      <c r="D106" s="390" t="str">
        <f>'G-1 All Habitats'!B112</f>
        <v>Rocky shore - Features of littoral rock - on peat, clay or chalk</v>
      </c>
    </row>
    <row r="107" spans="1:4" x14ac:dyDescent="0.3">
      <c r="A107" s="390" t="s">
        <v>1503</v>
      </c>
      <c r="D107" s="390" t="str">
        <f>'G-1 All Habitats'!B115</f>
        <v>Intertidal sediment - Littoral coarse sediment</v>
      </c>
    </row>
    <row r="108" spans="1:4" x14ac:dyDescent="0.3">
      <c r="A108" s="390" t="s">
        <v>1504</v>
      </c>
      <c r="D108" s="390" t="str">
        <f>'G-1 All Habitats'!B116</f>
        <v>Intertidal sediment - Littoral mud</v>
      </c>
    </row>
    <row r="109" spans="1:4" x14ac:dyDescent="0.3">
      <c r="A109" s="390" t="s">
        <v>1505</v>
      </c>
      <c r="D109" s="390" t="str">
        <f>'G-1 All Habitats'!B117</f>
        <v>Intertidal sediment - Littoral mixed sediments</v>
      </c>
    </row>
    <row r="110" spans="1:4" x14ac:dyDescent="0.3">
      <c r="A110" s="390" t="s">
        <v>1506</v>
      </c>
      <c r="D110" s="390" t="str">
        <f>'G-1 All Habitats'!B113</f>
        <v>Coastal saltmarsh - Saltmarshes and saline reedbeds</v>
      </c>
    </row>
    <row r="111" spans="1:4" x14ac:dyDescent="0.3">
      <c r="A111" s="390" t="s">
        <v>1507</v>
      </c>
      <c r="D111" s="390" t="str">
        <f>'G-1 All Habitats'!B118</f>
        <v>Intertidal sediment - Littoral seagrass</v>
      </c>
    </row>
    <row r="112" spans="1:4" x14ac:dyDescent="0.3">
      <c r="A112" s="390" t="s">
        <v>1508</v>
      </c>
      <c r="D112" s="390" t="str">
        <f>'G-1 All Habitats'!B119</f>
        <v>Intertidal sediment - Littoral seagrass on peat, clay or chalk</v>
      </c>
    </row>
    <row r="113" spans="1:4" x14ac:dyDescent="0.3">
      <c r="A113" s="390" t="s">
        <v>1509</v>
      </c>
      <c r="D113" s="390" t="str">
        <f>'G-1 All Habitats'!B121</f>
        <v>Intertidal sediment - Littoral biogenic reefs - Sabellaria</v>
      </c>
    </row>
    <row r="114" spans="1:4" x14ac:dyDescent="0.3">
      <c r="A114" s="390" t="s">
        <v>1510</v>
      </c>
      <c r="D114" s="390" t="str">
        <f>'G-1 All Habitats'!B122</f>
        <v>Intertidal sediment - Features of littoral sediment</v>
      </c>
    </row>
    <row r="115" spans="1:4" x14ac:dyDescent="0.3">
      <c r="A115" s="390" t="s">
        <v>1511</v>
      </c>
      <c r="D115" s="390" t="str">
        <f>'G-1 All Habitats'!B123</f>
        <v>Intertidal sediment - Artificial littoral coarse sediment</v>
      </c>
    </row>
    <row r="116" spans="1:4" x14ac:dyDescent="0.3">
      <c r="A116" s="390" t="s">
        <v>1512</v>
      </c>
      <c r="D116" s="390" t="str">
        <f>'G-1 All Habitats'!B126</f>
        <v>Intertidal sediment - Artificial littoral muddy sand</v>
      </c>
    </row>
    <row r="117" spans="1:4" x14ac:dyDescent="0.3">
      <c r="A117" s="390" t="s">
        <v>1513</v>
      </c>
      <c r="D117" s="390" t="str">
        <f>'G-1 All Habitats'!B127</f>
        <v>Intertidal sediment - Artificial littoral mixed sediments</v>
      </c>
    </row>
    <row r="118" spans="1:4" x14ac:dyDescent="0.3">
      <c r="A118" s="390" t="s">
        <v>1514</v>
      </c>
      <c r="D118" s="390" t="str">
        <f>'G-1 All Habitats'!B128</f>
        <v>Intertidal sediment - Artificial littoral seagrass</v>
      </c>
    </row>
    <row r="119" spans="1:4" x14ac:dyDescent="0.3">
      <c r="A119" s="390" t="s">
        <v>1515</v>
      </c>
      <c r="D119" s="390" t="str">
        <f>'G-1 All Habitats'!B129</f>
        <v>Intertidal sediment - Artificial littoral biogenic reefs</v>
      </c>
    </row>
    <row r="120" spans="1:4" x14ac:dyDescent="0.3">
      <c r="A120" s="390" t="s">
        <v>1516</v>
      </c>
      <c r="D120" s="390" t="str">
        <f>'G-1 All Habitats'!B81</f>
        <v>Individual trees - Rural tree</v>
      </c>
    </row>
    <row r="121" spans="1:4" x14ac:dyDescent="0.3">
      <c r="A121" s="390" t="s">
        <v>1517</v>
      </c>
      <c r="D121" s="390">
        <f>'G-1 All Habitats'!B136</f>
        <v>0</v>
      </c>
    </row>
    <row r="122" spans="1:4" x14ac:dyDescent="0.3">
      <c r="A122" s="390" t="s">
        <v>1518</v>
      </c>
      <c r="D122" s="390">
        <f>'G-1 All Habitats'!B137</f>
        <v>0</v>
      </c>
    </row>
    <row r="123" spans="1:4" x14ac:dyDescent="0.3">
      <c r="A123" s="390" t="s">
        <v>1519</v>
      </c>
      <c r="D123" s="390">
        <f>'G-1 All Habitats'!B138</f>
        <v>0</v>
      </c>
    </row>
    <row r="124" spans="1:4" x14ac:dyDescent="0.3">
      <c r="A124" s="390" t="s">
        <v>1520</v>
      </c>
      <c r="D124" s="390">
        <f>'G-1 All Habitats'!B139</f>
        <v>0</v>
      </c>
    </row>
    <row r="125" spans="1:4" x14ac:dyDescent="0.3">
      <c r="A125" s="390" t="s">
        <v>1521</v>
      </c>
      <c r="D125" s="390">
        <f>'G-1 All Habitats'!B140</f>
        <v>0</v>
      </c>
    </row>
    <row r="126" spans="1:4" x14ac:dyDescent="0.3">
      <c r="A126" s="390" t="s">
        <v>1522</v>
      </c>
      <c r="D126" s="390">
        <f>'G-1 All Habitats'!B141</f>
        <v>0</v>
      </c>
    </row>
    <row r="127" spans="1:4" x14ac:dyDescent="0.3">
      <c r="A127" s="390" t="s">
        <v>1523</v>
      </c>
      <c r="D127" s="390">
        <f>'G-1 All Habitats'!B142</f>
        <v>0</v>
      </c>
    </row>
    <row r="128" spans="1:4" x14ac:dyDescent="0.3">
      <c r="A128" s="390" t="s">
        <v>1524</v>
      </c>
      <c r="D128" s="390">
        <f>'G-1 All Habitats'!B143</f>
        <v>0</v>
      </c>
    </row>
    <row r="129" spans="1:4" x14ac:dyDescent="0.3">
      <c r="A129" s="390" t="s">
        <v>1525</v>
      </c>
      <c r="D129" s="390">
        <f>'G-1 All Habitats'!B144</f>
        <v>0</v>
      </c>
    </row>
    <row r="130" spans="1:4" x14ac:dyDescent="0.3">
      <c r="A130" s="390" t="s">
        <v>1526</v>
      </c>
      <c r="D130" s="390">
        <f>'G-1 All Habitats'!B145</f>
        <v>0</v>
      </c>
    </row>
    <row r="131" spans="1:4" x14ac:dyDescent="0.3">
      <c r="A131" s="390" t="s">
        <v>1527</v>
      </c>
      <c r="D131" s="390">
        <f>'G-1 All Habitats'!B146</f>
        <v>0</v>
      </c>
    </row>
    <row r="132" spans="1:4" x14ac:dyDescent="0.3">
      <c r="A132" s="390" t="s">
        <v>1528</v>
      </c>
      <c r="D132" s="390">
        <f>'G-1 All Habitats'!B147</f>
        <v>0</v>
      </c>
    </row>
    <row r="133" spans="1:4" x14ac:dyDescent="0.3">
      <c r="A133" s="390" t="s">
        <v>1529</v>
      </c>
      <c r="D133" s="390">
        <f>'G-1 All Habitats'!B148</f>
        <v>0</v>
      </c>
    </row>
    <row r="134" spans="1:4" x14ac:dyDescent="0.3">
      <c r="A134" s="390" t="s">
        <v>1530</v>
      </c>
      <c r="D134" s="390">
        <f>'G-1 All Habitats'!B149</f>
        <v>0</v>
      </c>
    </row>
    <row r="135" spans="1:4" x14ac:dyDescent="0.3">
      <c r="A135" s="390" t="s">
        <v>1531</v>
      </c>
      <c r="D135" s="390">
        <f>'G-1 All Habitats'!B150</f>
        <v>0</v>
      </c>
    </row>
    <row r="136" spans="1:4" x14ac:dyDescent="0.3">
      <c r="A136" s="390" t="s">
        <v>1532</v>
      </c>
      <c r="D136" s="390">
        <f>'G-1 All Habitats'!B151</f>
        <v>0</v>
      </c>
    </row>
    <row r="137" spans="1:4" x14ac:dyDescent="0.3">
      <c r="A137" s="390" t="s">
        <v>1533</v>
      </c>
      <c r="D137" s="390">
        <f>'G-1 All Habitats'!B152</f>
        <v>0</v>
      </c>
    </row>
    <row r="138" spans="1:4" x14ac:dyDescent="0.3">
      <c r="A138" s="390" t="s">
        <v>1534</v>
      </c>
      <c r="D138" s="390">
        <f>'G-1 All Habitats'!B153</f>
        <v>0</v>
      </c>
    </row>
    <row r="139" spans="1:4" x14ac:dyDescent="0.3">
      <c r="A139" s="390" t="s">
        <v>1535</v>
      </c>
      <c r="D139" s="390">
        <f>'G-1 All Habitats'!B154</f>
        <v>0</v>
      </c>
    </row>
    <row r="140" spans="1:4" x14ac:dyDescent="0.3">
      <c r="A140" s="390" t="s">
        <v>1536</v>
      </c>
      <c r="D140" s="390">
        <f>'G-1 All Habitats'!B155</f>
        <v>0</v>
      </c>
    </row>
    <row r="141" spans="1:4" x14ac:dyDescent="0.3">
      <c r="A141" s="390" t="s">
        <v>1537</v>
      </c>
    </row>
    <row r="142" spans="1:4" x14ac:dyDescent="0.3">
      <c r="A142" s="390" t="s">
        <v>1538</v>
      </c>
    </row>
    <row r="143" spans="1:4" x14ac:dyDescent="0.3">
      <c r="A143" s="390" t="s">
        <v>1539</v>
      </c>
    </row>
    <row r="144" spans="1:4" x14ac:dyDescent="0.3">
      <c r="A144" s="390" t="s">
        <v>1540</v>
      </c>
    </row>
    <row r="145" spans="1:1" x14ac:dyDescent="0.3">
      <c r="A145" s="390" t="s">
        <v>1541</v>
      </c>
    </row>
    <row r="146" spans="1:1" x14ac:dyDescent="0.3">
      <c r="A146" s="390" t="s">
        <v>1542</v>
      </c>
    </row>
    <row r="147" spans="1:1" x14ac:dyDescent="0.3">
      <c r="A147" s="390" t="s">
        <v>1543</v>
      </c>
    </row>
    <row r="148" spans="1:1" x14ac:dyDescent="0.3">
      <c r="A148" s="390" t="s">
        <v>1544</v>
      </c>
    </row>
    <row r="149" spans="1:1" x14ac:dyDescent="0.3">
      <c r="A149" s="390" t="s">
        <v>1545</v>
      </c>
    </row>
    <row r="150" spans="1:1" x14ac:dyDescent="0.3">
      <c r="A150" s="390" t="s">
        <v>1546</v>
      </c>
    </row>
    <row r="151" spans="1:1" x14ac:dyDescent="0.3">
      <c r="A151" s="390" t="s">
        <v>1547</v>
      </c>
    </row>
    <row r="152" spans="1:1" x14ac:dyDescent="0.3">
      <c r="A152" s="390" t="s">
        <v>1548</v>
      </c>
    </row>
    <row r="153" spans="1:1" x14ac:dyDescent="0.3">
      <c r="A153" s="390" t="s">
        <v>1549</v>
      </c>
    </row>
    <row r="154" spans="1:1" x14ac:dyDescent="0.3">
      <c r="A154" s="390" t="s">
        <v>1550</v>
      </c>
    </row>
    <row r="155" spans="1:1" x14ac:dyDescent="0.3">
      <c r="A155" s="390" t="s">
        <v>1551</v>
      </c>
    </row>
    <row r="156" spans="1:1" x14ac:dyDescent="0.3">
      <c r="A156" s="390" t="s">
        <v>1552</v>
      </c>
    </row>
    <row r="157" spans="1:1" x14ac:dyDescent="0.3">
      <c r="A157" s="390" t="s">
        <v>1553</v>
      </c>
    </row>
    <row r="158" spans="1:1" x14ac:dyDescent="0.3">
      <c r="A158" s="390" t="s">
        <v>1554</v>
      </c>
    </row>
    <row r="159" spans="1:1" x14ac:dyDescent="0.3">
      <c r="A159" s="390" t="s">
        <v>1555</v>
      </c>
    </row>
    <row r="160" spans="1:1" x14ac:dyDescent="0.3">
      <c r="A160" s="390" t="s">
        <v>1556</v>
      </c>
    </row>
    <row r="161" spans="1:1" x14ac:dyDescent="0.3">
      <c r="A161" s="390" t="s">
        <v>1557</v>
      </c>
    </row>
    <row r="162" spans="1:1" x14ac:dyDescent="0.3">
      <c r="A162" s="390" t="s">
        <v>1558</v>
      </c>
    </row>
    <row r="163" spans="1:1" x14ac:dyDescent="0.3">
      <c r="A163" s="390" t="s">
        <v>1559</v>
      </c>
    </row>
    <row r="164" spans="1:1" x14ac:dyDescent="0.3">
      <c r="A164" s="390" t="s">
        <v>1560</v>
      </c>
    </row>
    <row r="165" spans="1:1" x14ac:dyDescent="0.3">
      <c r="A165" s="390" t="s">
        <v>1561</v>
      </c>
    </row>
    <row r="166" spans="1:1" x14ac:dyDescent="0.3">
      <c r="A166" s="390" t="s">
        <v>1562</v>
      </c>
    </row>
    <row r="167" spans="1:1" x14ac:dyDescent="0.3">
      <c r="A167" s="390" t="s">
        <v>1563</v>
      </c>
    </row>
    <row r="168" spans="1:1" x14ac:dyDescent="0.3">
      <c r="A168" s="390" t="s">
        <v>1564</v>
      </c>
    </row>
    <row r="169" spans="1:1" x14ac:dyDescent="0.3">
      <c r="A169" s="390" t="s">
        <v>1565</v>
      </c>
    </row>
    <row r="170" spans="1:1" x14ac:dyDescent="0.3">
      <c r="A170" s="390" t="s">
        <v>1566</v>
      </c>
    </row>
    <row r="171" spans="1:1" x14ac:dyDescent="0.3">
      <c r="A171" s="390" t="s">
        <v>1567</v>
      </c>
    </row>
    <row r="172" spans="1:1" x14ac:dyDescent="0.3">
      <c r="A172" s="390" t="s">
        <v>1568</v>
      </c>
    </row>
    <row r="173" spans="1:1" x14ac:dyDescent="0.3">
      <c r="A173" s="390" t="s">
        <v>1569</v>
      </c>
    </row>
    <row r="174" spans="1:1" x14ac:dyDescent="0.3">
      <c r="A174" s="390" t="s">
        <v>1570</v>
      </c>
    </row>
    <row r="175" spans="1:1" x14ac:dyDescent="0.3">
      <c r="A175" s="390" t="s">
        <v>1571</v>
      </c>
    </row>
    <row r="176" spans="1:1" x14ac:dyDescent="0.3">
      <c r="A176" s="390" t="s">
        <v>1572</v>
      </c>
    </row>
    <row r="177" spans="1:1" x14ac:dyDescent="0.3">
      <c r="A177" s="390" t="s">
        <v>1573</v>
      </c>
    </row>
    <row r="178" spans="1:1" x14ac:dyDescent="0.3">
      <c r="A178" s="390" t="s">
        <v>1574</v>
      </c>
    </row>
    <row r="179" spans="1:1" x14ac:dyDescent="0.3">
      <c r="A179" s="390" t="s">
        <v>1575</v>
      </c>
    </row>
    <row r="180" spans="1:1" x14ac:dyDescent="0.3">
      <c r="A180" s="390" t="s">
        <v>1576</v>
      </c>
    </row>
    <row r="181" spans="1:1" x14ac:dyDescent="0.3">
      <c r="A181" s="390" t="s">
        <v>1577</v>
      </c>
    </row>
    <row r="182" spans="1:1" x14ac:dyDescent="0.3">
      <c r="A182" s="390" t="s">
        <v>1578</v>
      </c>
    </row>
    <row r="183" spans="1:1" x14ac:dyDescent="0.3">
      <c r="A183" s="390" t="s">
        <v>1579</v>
      </c>
    </row>
    <row r="184" spans="1:1" x14ac:dyDescent="0.3">
      <c r="A184" s="390" t="s">
        <v>1580</v>
      </c>
    </row>
    <row r="185" spans="1:1" x14ac:dyDescent="0.3">
      <c r="A185" s="390" t="s">
        <v>1581</v>
      </c>
    </row>
    <row r="186" spans="1:1" x14ac:dyDescent="0.3">
      <c r="A186" s="390" t="s">
        <v>1582</v>
      </c>
    </row>
    <row r="187" spans="1:1" x14ac:dyDescent="0.3">
      <c r="A187" s="390" t="s">
        <v>1583</v>
      </c>
    </row>
    <row r="188" spans="1:1" x14ac:dyDescent="0.3">
      <c r="A188" s="390" t="s">
        <v>1584</v>
      </c>
    </row>
    <row r="189" spans="1:1" x14ac:dyDescent="0.3">
      <c r="A189" s="390" t="s">
        <v>1585</v>
      </c>
    </row>
    <row r="190" spans="1:1" x14ac:dyDescent="0.3">
      <c r="A190" s="390" t="s">
        <v>1586</v>
      </c>
    </row>
    <row r="191" spans="1:1" x14ac:dyDescent="0.3">
      <c r="A191" s="390" t="s">
        <v>1587</v>
      </c>
    </row>
    <row r="192" spans="1:1" x14ac:dyDescent="0.3">
      <c r="A192" s="390" t="s">
        <v>1588</v>
      </c>
    </row>
    <row r="193" spans="1:1" x14ac:dyDescent="0.3">
      <c r="A193" s="390" t="s">
        <v>1589</v>
      </c>
    </row>
    <row r="194" spans="1:1" x14ac:dyDescent="0.3">
      <c r="A194" s="390" t="s">
        <v>1590</v>
      </c>
    </row>
    <row r="195" spans="1:1" x14ac:dyDescent="0.3">
      <c r="A195" s="390" t="s">
        <v>1591</v>
      </c>
    </row>
    <row r="196" spans="1:1" x14ac:dyDescent="0.3">
      <c r="A196" s="390" t="s">
        <v>1592</v>
      </c>
    </row>
    <row r="197" spans="1:1" x14ac:dyDescent="0.3">
      <c r="A197" s="390" t="s">
        <v>1593</v>
      </c>
    </row>
    <row r="198" spans="1:1" x14ac:dyDescent="0.3">
      <c r="A198" s="390" t="s">
        <v>1594</v>
      </c>
    </row>
    <row r="199" spans="1:1" x14ac:dyDescent="0.3">
      <c r="A199" s="390" t="s">
        <v>1595</v>
      </c>
    </row>
    <row r="200" spans="1:1" x14ac:dyDescent="0.3">
      <c r="A200" s="390" t="s">
        <v>1596</v>
      </c>
    </row>
    <row r="201" spans="1:1" x14ac:dyDescent="0.3">
      <c r="A201" s="390" t="s">
        <v>1597</v>
      </c>
    </row>
    <row r="202" spans="1:1" x14ac:dyDescent="0.3">
      <c r="A202" s="390" t="s">
        <v>1598</v>
      </c>
    </row>
    <row r="203" spans="1:1" x14ac:dyDescent="0.3">
      <c r="A203" s="390" t="s">
        <v>1599</v>
      </c>
    </row>
    <row r="204" spans="1:1" x14ac:dyDescent="0.3">
      <c r="A204" s="390" t="s">
        <v>1600</v>
      </c>
    </row>
    <row r="205" spans="1:1" x14ac:dyDescent="0.3">
      <c r="A205" s="390" t="s">
        <v>1601</v>
      </c>
    </row>
    <row r="206" spans="1:1" x14ac:dyDescent="0.3">
      <c r="A206" s="390" t="s">
        <v>1602</v>
      </c>
    </row>
    <row r="207" spans="1:1" x14ac:dyDescent="0.3">
      <c r="A207" s="390" t="s">
        <v>1603</v>
      </c>
    </row>
    <row r="208" spans="1:1" x14ac:dyDescent="0.3">
      <c r="A208" s="390" t="s">
        <v>1604</v>
      </c>
    </row>
    <row r="209" spans="1:1" x14ac:dyDescent="0.3">
      <c r="A209" s="390" t="s">
        <v>1605</v>
      </c>
    </row>
    <row r="210" spans="1:1" x14ac:dyDescent="0.3">
      <c r="A210" s="390" t="s">
        <v>1606</v>
      </c>
    </row>
    <row r="211" spans="1:1" x14ac:dyDescent="0.3">
      <c r="A211" s="390" t="s">
        <v>1607</v>
      </c>
    </row>
    <row r="212" spans="1:1" x14ac:dyDescent="0.3">
      <c r="A212" s="390" t="s">
        <v>1608</v>
      </c>
    </row>
    <row r="213" spans="1:1" x14ac:dyDescent="0.3">
      <c r="A213" s="390" t="s">
        <v>1609</v>
      </c>
    </row>
    <row r="214" spans="1:1" x14ac:dyDescent="0.3">
      <c r="A214" s="390" t="s">
        <v>1610</v>
      </c>
    </row>
    <row r="215" spans="1:1" x14ac:dyDescent="0.3">
      <c r="A215" s="390" t="s">
        <v>1611</v>
      </c>
    </row>
    <row r="216" spans="1:1" x14ac:dyDescent="0.3">
      <c r="A216" s="390" t="s">
        <v>1612</v>
      </c>
    </row>
    <row r="217" spans="1:1" x14ac:dyDescent="0.3">
      <c r="A217" s="390" t="s">
        <v>1613</v>
      </c>
    </row>
    <row r="218" spans="1:1" x14ac:dyDescent="0.3">
      <c r="A218" s="390" t="s">
        <v>1614</v>
      </c>
    </row>
    <row r="219" spans="1:1" x14ac:dyDescent="0.3">
      <c r="A219" s="390" t="s">
        <v>1615</v>
      </c>
    </row>
    <row r="220" spans="1:1" x14ac:dyDescent="0.3">
      <c r="A220" s="390" t="s">
        <v>1616</v>
      </c>
    </row>
    <row r="221" spans="1:1" x14ac:dyDescent="0.3">
      <c r="A221" s="390" t="s">
        <v>1617</v>
      </c>
    </row>
    <row r="222" spans="1:1" x14ac:dyDescent="0.3">
      <c r="A222" s="390" t="s">
        <v>1618</v>
      </c>
    </row>
    <row r="223" spans="1:1" x14ac:dyDescent="0.3">
      <c r="A223" s="390" t="s">
        <v>1619</v>
      </c>
    </row>
    <row r="224" spans="1:1" x14ac:dyDescent="0.3">
      <c r="A224" s="390" t="s">
        <v>1620</v>
      </c>
    </row>
    <row r="225" spans="1:1" x14ac:dyDescent="0.3">
      <c r="A225" s="390" t="s">
        <v>1621</v>
      </c>
    </row>
    <row r="226" spans="1:1" x14ac:dyDescent="0.3">
      <c r="A226" s="390" t="s">
        <v>1622</v>
      </c>
    </row>
    <row r="227" spans="1:1" x14ac:dyDescent="0.3">
      <c r="A227" s="390" t="s">
        <v>1623</v>
      </c>
    </row>
    <row r="228" spans="1:1" x14ac:dyDescent="0.3">
      <c r="A228" s="390" t="s">
        <v>1624</v>
      </c>
    </row>
    <row r="229" spans="1:1" x14ac:dyDescent="0.3">
      <c r="A229" s="390" t="s">
        <v>1625</v>
      </c>
    </row>
    <row r="230" spans="1:1" x14ac:dyDescent="0.3">
      <c r="A230" s="390" t="s">
        <v>1626</v>
      </c>
    </row>
    <row r="231" spans="1:1" x14ac:dyDescent="0.3">
      <c r="A231" s="390" t="s">
        <v>1627</v>
      </c>
    </row>
    <row r="232" spans="1:1" x14ac:dyDescent="0.3">
      <c r="A232" s="390" t="s">
        <v>1628</v>
      </c>
    </row>
    <row r="233" spans="1:1" x14ac:dyDescent="0.3">
      <c r="A233" s="390" t="s">
        <v>1629</v>
      </c>
    </row>
    <row r="234" spans="1:1" x14ac:dyDescent="0.3">
      <c r="A234" s="390" t="s">
        <v>1630</v>
      </c>
    </row>
    <row r="235" spans="1:1" x14ac:dyDescent="0.3">
      <c r="A235" s="390" t="s">
        <v>1631</v>
      </c>
    </row>
    <row r="236" spans="1:1" x14ac:dyDescent="0.3">
      <c r="A236" s="390" t="s">
        <v>1632</v>
      </c>
    </row>
    <row r="237" spans="1:1" x14ac:dyDescent="0.3">
      <c r="A237" s="390" t="s">
        <v>1633</v>
      </c>
    </row>
    <row r="238" spans="1:1" x14ac:dyDescent="0.3">
      <c r="A238" s="390" t="s">
        <v>1634</v>
      </c>
    </row>
    <row r="239" spans="1:1" x14ac:dyDescent="0.3">
      <c r="A239" s="390" t="s">
        <v>1635</v>
      </c>
    </row>
    <row r="240" spans="1:1" x14ac:dyDescent="0.3">
      <c r="A240" s="390" t="s">
        <v>1636</v>
      </c>
    </row>
    <row r="241" spans="1:1" x14ac:dyDescent="0.3">
      <c r="A241" s="390" t="s">
        <v>1637</v>
      </c>
    </row>
    <row r="242" spans="1:1" x14ac:dyDescent="0.3">
      <c r="A242" s="390" t="s">
        <v>1638</v>
      </c>
    </row>
    <row r="243" spans="1:1" x14ac:dyDescent="0.3">
      <c r="A243" s="390" t="s">
        <v>1639</v>
      </c>
    </row>
    <row r="244" spans="1:1" x14ac:dyDescent="0.3">
      <c r="A244" s="390" t="s">
        <v>1640</v>
      </c>
    </row>
    <row r="245" spans="1:1" x14ac:dyDescent="0.3">
      <c r="A245" s="390" t="s">
        <v>1641</v>
      </c>
    </row>
    <row r="246" spans="1:1" x14ac:dyDescent="0.3">
      <c r="A246" s="390" t="s">
        <v>1642</v>
      </c>
    </row>
    <row r="247" spans="1:1" x14ac:dyDescent="0.3">
      <c r="A247" s="390" t="s">
        <v>1643</v>
      </c>
    </row>
    <row r="248" spans="1:1" x14ac:dyDescent="0.3">
      <c r="A248" s="390" t="s">
        <v>1644</v>
      </c>
    </row>
    <row r="249" spans="1:1" x14ac:dyDescent="0.3">
      <c r="A249" s="390" t="s">
        <v>1645</v>
      </c>
    </row>
    <row r="250" spans="1:1" x14ac:dyDescent="0.3">
      <c r="A250" s="390" t="s">
        <v>1646</v>
      </c>
    </row>
    <row r="251" spans="1:1" x14ac:dyDescent="0.3">
      <c r="A251" s="390" t="s">
        <v>1647</v>
      </c>
    </row>
    <row r="252" spans="1:1" x14ac:dyDescent="0.3">
      <c r="A252" s="390" t="s">
        <v>1648</v>
      </c>
    </row>
    <row r="253" spans="1:1" x14ac:dyDescent="0.3">
      <c r="A253" s="390" t="s">
        <v>1649</v>
      </c>
    </row>
    <row r="254" spans="1:1" x14ac:dyDescent="0.3">
      <c r="A254" s="390" t="s">
        <v>1650</v>
      </c>
    </row>
    <row r="255" spans="1:1" x14ac:dyDescent="0.3">
      <c r="A255" s="390" t="s">
        <v>1651</v>
      </c>
    </row>
    <row r="256" spans="1:1" x14ac:dyDescent="0.3">
      <c r="A256" s="390" t="s">
        <v>1652</v>
      </c>
    </row>
    <row r="257" spans="1:1" x14ac:dyDescent="0.3">
      <c r="A257" s="390" t="s">
        <v>1653</v>
      </c>
    </row>
    <row r="258" spans="1:1" x14ac:dyDescent="0.3">
      <c r="A258" s="390" t="s">
        <v>1654</v>
      </c>
    </row>
    <row r="259" spans="1:1" x14ac:dyDescent="0.3">
      <c r="A259" s="390" t="s">
        <v>1655</v>
      </c>
    </row>
    <row r="260" spans="1:1" x14ac:dyDescent="0.3">
      <c r="A260" s="390" t="s">
        <v>1656</v>
      </c>
    </row>
    <row r="261" spans="1:1" x14ac:dyDescent="0.3">
      <c r="A261" s="390" t="s">
        <v>1657</v>
      </c>
    </row>
    <row r="262" spans="1:1" x14ac:dyDescent="0.3">
      <c r="A262" s="390" t="s">
        <v>1658</v>
      </c>
    </row>
    <row r="263" spans="1:1" x14ac:dyDescent="0.3">
      <c r="A263" s="390" t="s">
        <v>1659</v>
      </c>
    </row>
    <row r="264" spans="1:1" x14ac:dyDescent="0.3">
      <c r="A264" s="390" t="s">
        <v>1660</v>
      </c>
    </row>
    <row r="265" spans="1:1" x14ac:dyDescent="0.3">
      <c r="A265" s="390" t="s">
        <v>1661</v>
      </c>
    </row>
    <row r="266" spans="1:1" x14ac:dyDescent="0.3">
      <c r="A266" s="390" t="s">
        <v>1662</v>
      </c>
    </row>
    <row r="267" spans="1:1" x14ac:dyDescent="0.3">
      <c r="A267" s="390" t="s">
        <v>1663</v>
      </c>
    </row>
    <row r="268" spans="1:1" x14ac:dyDescent="0.3">
      <c r="A268" s="390" t="s">
        <v>1664</v>
      </c>
    </row>
    <row r="269" spans="1:1" x14ac:dyDescent="0.3">
      <c r="A269" s="390" t="s">
        <v>1665</v>
      </c>
    </row>
    <row r="270" spans="1:1" x14ac:dyDescent="0.3">
      <c r="A270" s="390" t="s">
        <v>1666</v>
      </c>
    </row>
    <row r="271" spans="1:1" x14ac:dyDescent="0.3">
      <c r="A271" s="390" t="s">
        <v>1667</v>
      </c>
    </row>
    <row r="272" spans="1:1" x14ac:dyDescent="0.3">
      <c r="A272" s="390" t="s">
        <v>1668</v>
      </c>
    </row>
    <row r="273" spans="1:1" x14ac:dyDescent="0.3">
      <c r="A273" s="390" t="s">
        <v>1669</v>
      </c>
    </row>
    <row r="274" spans="1:1" x14ac:dyDescent="0.3">
      <c r="A274" s="390" t="s">
        <v>1670</v>
      </c>
    </row>
    <row r="275" spans="1:1" x14ac:dyDescent="0.3">
      <c r="A275" s="390" t="s">
        <v>1671</v>
      </c>
    </row>
    <row r="276" spans="1:1" x14ac:dyDescent="0.3">
      <c r="A276" s="390" t="s">
        <v>1672</v>
      </c>
    </row>
    <row r="277" spans="1:1" x14ac:dyDescent="0.3">
      <c r="A277" s="390" t="s">
        <v>1673</v>
      </c>
    </row>
    <row r="278" spans="1:1" x14ac:dyDescent="0.3">
      <c r="A278" s="390" t="s">
        <v>1674</v>
      </c>
    </row>
    <row r="279" spans="1:1" x14ac:dyDescent="0.3">
      <c r="A279" s="390" t="s">
        <v>1675</v>
      </c>
    </row>
    <row r="280" spans="1:1" x14ac:dyDescent="0.3">
      <c r="A280" s="390" t="s">
        <v>1676</v>
      </c>
    </row>
    <row r="281" spans="1:1" x14ac:dyDescent="0.3">
      <c r="A281" s="390" t="s">
        <v>1677</v>
      </c>
    </row>
    <row r="282" spans="1:1" x14ac:dyDescent="0.3">
      <c r="A282" s="390" t="s">
        <v>1678</v>
      </c>
    </row>
    <row r="283" spans="1:1" x14ac:dyDescent="0.3">
      <c r="A283" s="390" t="s">
        <v>1679</v>
      </c>
    </row>
    <row r="284" spans="1:1" x14ac:dyDescent="0.3">
      <c r="A284" s="390" t="s">
        <v>1680</v>
      </c>
    </row>
    <row r="285" spans="1:1" x14ac:dyDescent="0.3">
      <c r="A285" s="390" t="s">
        <v>1681</v>
      </c>
    </row>
    <row r="286" spans="1:1" x14ac:dyDescent="0.3">
      <c r="A286" s="390" t="s">
        <v>1682</v>
      </c>
    </row>
    <row r="287" spans="1:1" x14ac:dyDescent="0.3">
      <c r="A287" s="390" t="s">
        <v>1683</v>
      </c>
    </row>
    <row r="288" spans="1:1" x14ac:dyDescent="0.3">
      <c r="A288" s="390" t="s">
        <v>1684</v>
      </c>
    </row>
    <row r="289" spans="1:1" x14ac:dyDescent="0.3">
      <c r="A289" s="390" t="s">
        <v>1685</v>
      </c>
    </row>
    <row r="290" spans="1:1" x14ac:dyDescent="0.3">
      <c r="A290" s="390" t="s">
        <v>1686</v>
      </c>
    </row>
    <row r="291" spans="1:1" x14ac:dyDescent="0.3">
      <c r="A291" s="390" t="s">
        <v>1687</v>
      </c>
    </row>
    <row r="292" spans="1:1" x14ac:dyDescent="0.3">
      <c r="A292" s="390" t="s">
        <v>1688</v>
      </c>
    </row>
    <row r="293" spans="1:1" x14ac:dyDescent="0.3">
      <c r="A293" s="390" t="s">
        <v>1689</v>
      </c>
    </row>
    <row r="294" spans="1:1" x14ac:dyDescent="0.3">
      <c r="A294" s="390" t="s">
        <v>1690</v>
      </c>
    </row>
    <row r="295" spans="1:1" x14ac:dyDescent="0.3">
      <c r="A295" s="390" t="s">
        <v>1691</v>
      </c>
    </row>
    <row r="296" spans="1:1" x14ac:dyDescent="0.3">
      <c r="A296" s="390" t="s">
        <v>1692</v>
      </c>
    </row>
    <row r="297" spans="1:1" x14ac:dyDescent="0.3">
      <c r="A297" s="390" t="s">
        <v>1693</v>
      </c>
    </row>
    <row r="298" spans="1:1" x14ac:dyDescent="0.3">
      <c r="A298" s="390" t="s">
        <v>1694</v>
      </c>
    </row>
    <row r="299" spans="1:1" x14ac:dyDescent="0.3">
      <c r="A299" s="390" t="s">
        <v>1695</v>
      </c>
    </row>
    <row r="300" spans="1:1" x14ac:dyDescent="0.3">
      <c r="A300" s="390" t="s">
        <v>1696</v>
      </c>
    </row>
    <row r="301" spans="1:1" x14ac:dyDescent="0.3">
      <c r="A301" s="390" t="s">
        <v>1697</v>
      </c>
    </row>
    <row r="302" spans="1:1" x14ac:dyDescent="0.3">
      <c r="A302" s="390" t="s">
        <v>1698</v>
      </c>
    </row>
    <row r="303" spans="1:1" x14ac:dyDescent="0.3">
      <c r="A303" s="390" t="s">
        <v>1699</v>
      </c>
    </row>
    <row r="304" spans="1:1" x14ac:dyDescent="0.3">
      <c r="A304" s="390" t="s">
        <v>1700</v>
      </c>
    </row>
    <row r="305" spans="1:1" x14ac:dyDescent="0.3">
      <c r="A305" s="390" t="s">
        <v>1701</v>
      </c>
    </row>
    <row r="306" spans="1:1" x14ac:dyDescent="0.3">
      <c r="A306" s="390" t="s">
        <v>1702</v>
      </c>
    </row>
    <row r="307" spans="1:1" x14ac:dyDescent="0.3">
      <c r="A307" s="390" t="s">
        <v>1703</v>
      </c>
    </row>
    <row r="308" spans="1:1" x14ac:dyDescent="0.3">
      <c r="A308" s="390" t="s">
        <v>1704</v>
      </c>
    </row>
    <row r="309" spans="1:1" x14ac:dyDescent="0.3">
      <c r="A309" s="390" t="s">
        <v>1705</v>
      </c>
    </row>
    <row r="310" spans="1:1" x14ac:dyDescent="0.3">
      <c r="A310" s="390" t="s">
        <v>1706</v>
      </c>
    </row>
    <row r="311" spans="1:1" x14ac:dyDescent="0.3">
      <c r="A311" s="390" t="s">
        <v>1707</v>
      </c>
    </row>
    <row r="312" spans="1:1" x14ac:dyDescent="0.3">
      <c r="A312" s="390" t="s">
        <v>1708</v>
      </c>
    </row>
    <row r="313" spans="1:1" x14ac:dyDescent="0.3">
      <c r="A313" s="390" t="s">
        <v>1709</v>
      </c>
    </row>
    <row r="314" spans="1:1" x14ac:dyDescent="0.3">
      <c r="A314" s="390" t="s">
        <v>1710</v>
      </c>
    </row>
    <row r="315" spans="1:1" x14ac:dyDescent="0.3">
      <c r="A315" s="390" t="s">
        <v>1711</v>
      </c>
    </row>
    <row r="316" spans="1:1" x14ac:dyDescent="0.3">
      <c r="A316" s="390" t="s">
        <v>1712</v>
      </c>
    </row>
    <row r="317" spans="1:1" x14ac:dyDescent="0.3">
      <c r="A317" s="390" t="s">
        <v>1713</v>
      </c>
    </row>
    <row r="318" spans="1:1" x14ac:dyDescent="0.3">
      <c r="A318" s="390" t="s">
        <v>1714</v>
      </c>
    </row>
    <row r="319" spans="1:1" x14ac:dyDescent="0.3">
      <c r="A319" s="390" t="s">
        <v>1715</v>
      </c>
    </row>
    <row r="320" spans="1:1" x14ac:dyDescent="0.3">
      <c r="A320" s="390" t="s">
        <v>1716</v>
      </c>
    </row>
    <row r="321" spans="1:1" x14ac:dyDescent="0.3">
      <c r="A321" s="390" t="s">
        <v>1717</v>
      </c>
    </row>
    <row r="322" spans="1:1" x14ac:dyDescent="0.3">
      <c r="A322" s="390" t="s">
        <v>1718</v>
      </c>
    </row>
    <row r="323" spans="1:1" x14ac:dyDescent="0.3">
      <c r="A323" s="390" t="s">
        <v>1719</v>
      </c>
    </row>
    <row r="324" spans="1:1" x14ac:dyDescent="0.3">
      <c r="A324" s="390" t="s">
        <v>1720</v>
      </c>
    </row>
    <row r="325" spans="1:1" x14ac:dyDescent="0.3">
      <c r="A325" s="390" t="s">
        <v>1721</v>
      </c>
    </row>
    <row r="326" spans="1:1" x14ac:dyDescent="0.3">
      <c r="A326" s="390" t="s">
        <v>1722</v>
      </c>
    </row>
    <row r="327" spans="1:1" x14ac:dyDescent="0.3">
      <c r="A327" s="390" t="s">
        <v>1723</v>
      </c>
    </row>
    <row r="328" spans="1:1" x14ac:dyDescent="0.3">
      <c r="A328" s="390" t="s">
        <v>1724</v>
      </c>
    </row>
    <row r="329" spans="1:1" x14ac:dyDescent="0.3">
      <c r="A329" s="390" t="s">
        <v>1725</v>
      </c>
    </row>
    <row r="330" spans="1:1" x14ac:dyDescent="0.3">
      <c r="A330" s="390" t="s">
        <v>1726</v>
      </c>
    </row>
    <row r="331" spans="1:1" x14ac:dyDescent="0.3">
      <c r="A331" s="390" t="s">
        <v>1727</v>
      </c>
    </row>
    <row r="332" spans="1:1" x14ac:dyDescent="0.3">
      <c r="A332" s="390" t="s">
        <v>1728</v>
      </c>
    </row>
    <row r="333" spans="1:1" x14ac:dyDescent="0.3">
      <c r="A333" s="390" t="s">
        <v>1729</v>
      </c>
    </row>
    <row r="334" spans="1:1" x14ac:dyDescent="0.3">
      <c r="A334" s="390" t="s">
        <v>1730</v>
      </c>
    </row>
    <row r="335" spans="1:1" x14ac:dyDescent="0.3">
      <c r="A335" s="390" t="s">
        <v>1731</v>
      </c>
    </row>
    <row r="336" spans="1:1" x14ac:dyDescent="0.3">
      <c r="A336" s="390" t="s">
        <v>1732</v>
      </c>
    </row>
    <row r="337" spans="1:1" x14ac:dyDescent="0.3">
      <c r="A337" s="390" t="s">
        <v>1733</v>
      </c>
    </row>
    <row r="338" spans="1:1" x14ac:dyDescent="0.3">
      <c r="A338" s="390" t="s">
        <v>1734</v>
      </c>
    </row>
    <row r="339" spans="1:1" x14ac:dyDescent="0.3">
      <c r="A339" s="390" t="s">
        <v>1735</v>
      </c>
    </row>
    <row r="340" spans="1:1" x14ac:dyDescent="0.3">
      <c r="A340" s="390" t="s">
        <v>1736</v>
      </c>
    </row>
    <row r="341" spans="1:1" x14ac:dyDescent="0.3">
      <c r="A341" s="390" t="s">
        <v>1737</v>
      </c>
    </row>
    <row r="342" spans="1:1" x14ac:dyDescent="0.3">
      <c r="A342" s="390" t="s">
        <v>1738</v>
      </c>
    </row>
    <row r="343" spans="1:1" x14ac:dyDescent="0.3">
      <c r="A343" s="390" t="s">
        <v>1739</v>
      </c>
    </row>
    <row r="344" spans="1:1" x14ac:dyDescent="0.3">
      <c r="A344" s="390" t="s">
        <v>1740</v>
      </c>
    </row>
    <row r="345" spans="1:1" x14ac:dyDescent="0.3">
      <c r="A345" s="390" t="s">
        <v>1741</v>
      </c>
    </row>
    <row r="346" spans="1:1" x14ac:dyDescent="0.3">
      <c r="A346" s="390" t="s">
        <v>1742</v>
      </c>
    </row>
    <row r="347" spans="1:1" x14ac:dyDescent="0.3">
      <c r="A347" s="390" t="s">
        <v>1743</v>
      </c>
    </row>
    <row r="348" spans="1:1" x14ac:dyDescent="0.3">
      <c r="A348" s="390" t="s">
        <v>1744</v>
      </c>
    </row>
    <row r="349" spans="1:1" x14ac:dyDescent="0.3">
      <c r="A349" s="390" t="s">
        <v>1745</v>
      </c>
    </row>
    <row r="350" spans="1:1" x14ac:dyDescent="0.3">
      <c r="A350" s="390" t="s">
        <v>1746</v>
      </c>
    </row>
    <row r="351" spans="1:1" x14ac:dyDescent="0.3">
      <c r="A351" s="390" t="s">
        <v>1747</v>
      </c>
    </row>
    <row r="352" spans="1:1" x14ac:dyDescent="0.3">
      <c r="A352" s="390" t="s">
        <v>1748</v>
      </c>
    </row>
    <row r="353" spans="1:1" x14ac:dyDescent="0.3">
      <c r="A353" s="390" t="s">
        <v>1749</v>
      </c>
    </row>
    <row r="354" spans="1:1" x14ac:dyDescent="0.3">
      <c r="A354" s="390" t="s">
        <v>1750</v>
      </c>
    </row>
    <row r="355" spans="1:1" x14ac:dyDescent="0.3">
      <c r="A355" s="390" t="s">
        <v>1751</v>
      </c>
    </row>
    <row r="356" spans="1:1" x14ac:dyDescent="0.3">
      <c r="A356" s="390" t="s">
        <v>1752</v>
      </c>
    </row>
    <row r="357" spans="1:1" x14ac:dyDescent="0.3">
      <c r="A357" s="390" t="s">
        <v>1753</v>
      </c>
    </row>
    <row r="358" spans="1:1" x14ac:dyDescent="0.3">
      <c r="A358" s="390" t="s">
        <v>1754</v>
      </c>
    </row>
    <row r="359" spans="1:1" x14ac:dyDescent="0.3">
      <c r="A359" s="390" t="s">
        <v>1755</v>
      </c>
    </row>
    <row r="360" spans="1:1" x14ac:dyDescent="0.3">
      <c r="A360" s="390" t="s">
        <v>1756</v>
      </c>
    </row>
    <row r="361" spans="1:1" x14ac:dyDescent="0.3">
      <c r="A361" s="390" t="s">
        <v>1757</v>
      </c>
    </row>
    <row r="362" spans="1:1" x14ac:dyDescent="0.3">
      <c r="A362" s="390" t="s">
        <v>1758</v>
      </c>
    </row>
    <row r="363" spans="1:1" x14ac:dyDescent="0.3">
      <c r="A363" s="390" t="s">
        <v>1759</v>
      </c>
    </row>
    <row r="364" spans="1:1" x14ac:dyDescent="0.3">
      <c r="A364" s="390" t="s">
        <v>1760</v>
      </c>
    </row>
    <row r="365" spans="1:1" x14ac:dyDescent="0.3">
      <c r="A365" s="390" t="s">
        <v>1761</v>
      </c>
    </row>
    <row r="366" spans="1:1" x14ac:dyDescent="0.3">
      <c r="A366" s="390" t="s">
        <v>1762</v>
      </c>
    </row>
    <row r="367" spans="1:1" x14ac:dyDescent="0.3">
      <c r="A367" s="390" t="s">
        <v>1763</v>
      </c>
    </row>
    <row r="368" spans="1:1" x14ac:dyDescent="0.3">
      <c r="A368" s="390" t="s">
        <v>1764</v>
      </c>
    </row>
    <row r="369" spans="1:1" x14ac:dyDescent="0.3">
      <c r="A369" s="390" t="s">
        <v>1765</v>
      </c>
    </row>
    <row r="370" spans="1:1" x14ac:dyDescent="0.3">
      <c r="A370" s="390" t="s">
        <v>1766</v>
      </c>
    </row>
    <row r="371" spans="1:1" x14ac:dyDescent="0.3">
      <c r="A371" s="390" t="s">
        <v>1767</v>
      </c>
    </row>
    <row r="372" spans="1:1" x14ac:dyDescent="0.3">
      <c r="A372" s="390" t="s">
        <v>1768</v>
      </c>
    </row>
    <row r="373" spans="1:1" x14ac:dyDescent="0.3">
      <c r="A373" s="390" t="s">
        <v>1769</v>
      </c>
    </row>
    <row r="374" spans="1:1" x14ac:dyDescent="0.3">
      <c r="A374" s="390" t="s">
        <v>1770</v>
      </c>
    </row>
    <row r="375" spans="1:1" x14ac:dyDescent="0.3">
      <c r="A375" s="390" t="s">
        <v>1771</v>
      </c>
    </row>
    <row r="376" spans="1:1" x14ac:dyDescent="0.3">
      <c r="A376" s="390" t="s">
        <v>1772</v>
      </c>
    </row>
    <row r="377" spans="1:1" x14ac:dyDescent="0.3">
      <c r="A377" s="390" t="s">
        <v>1773</v>
      </c>
    </row>
    <row r="378" spans="1:1" x14ac:dyDescent="0.3">
      <c r="A378" s="390" t="s">
        <v>1774</v>
      </c>
    </row>
  </sheetData>
  <sheetProtection algorithmName="SHA-512" hashValue="adkI9EOftzkDSO7xD7PrW/plsinqjsqtKWddcnIMHF33EpR4zCIVGcGFe7M92toHefCC8XNBZNuz9+cBiSl4dA==" saltValue="VRM3v+a/9yq/VrRFUtzmyQ=="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8E80E-3650-4921-9D0F-F779F71661B1}">
  <ds:schemaRefs>
    <ds:schemaRef ds:uri="e76eb3f9-f7d4-4afe-8d75-1839375753c6"/>
    <ds:schemaRef ds:uri="http://www.w3.org/XML/1998/namespace"/>
    <ds:schemaRef ds:uri="662745e8-e224-48e8-a2e3-254862b8c2f5"/>
    <ds:schemaRef ds:uri="http://schemas.microsoft.com/office/2006/documentManagement/types"/>
    <ds:schemaRef ds:uri="http://schemas.microsoft.com/office/2006/metadata/properties"/>
    <ds:schemaRef ds:uri="http://purl.org/dc/terms/"/>
    <ds:schemaRef ds:uri="http://purl.org/dc/dcmitype/"/>
    <ds:schemaRef ds:uri="http://purl.org/dc/elements/1.1/"/>
    <ds:schemaRef ds:uri="http://schemas.openxmlformats.org/package/2006/metadata/core-properties"/>
    <ds:schemaRef ds:uri="http://schemas.microsoft.com/office/infopath/2007/PartnerControls"/>
    <ds:schemaRef ds:uri="c2882a20-fcb3-4e62-b082-ac21ed701140"/>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9734C820-D76E-440C-9AF7-68919F6F85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05506F-F60D-4381-8684-444CFA394C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74</vt:i4>
      </vt:variant>
    </vt:vector>
  </HeadingPairs>
  <TitlesOfParts>
    <vt:vector size="117" baseType="lpstr">
      <vt:lpstr>Introduction</vt:lpstr>
      <vt:lpstr>Start</vt:lpstr>
      <vt:lpstr>Main Menu</vt:lpstr>
      <vt:lpstr>Unit shortfall summary</vt:lpstr>
      <vt:lpstr>Results</vt:lpstr>
      <vt:lpstr>Headline Results</vt:lpstr>
      <vt:lpstr>Detailed Results</vt:lpstr>
      <vt:lpstr>Trading Summary Area Habitats</vt:lpstr>
      <vt:lpstr>Trading Summary Hedgerows</vt:lpstr>
      <vt:lpstr>Trading Summary WaterC's</vt:lpstr>
      <vt:lpstr>Off-site gain site summary</vt:lpstr>
      <vt:lpstr>Irreplaceable Habitats</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Unit shortfall calculations</vt:lpstr>
      <vt:lpstr>G-1 All Habitats</vt:lpstr>
      <vt:lpstr>G-2 Habitat groups</vt:lpstr>
      <vt:lpstr>G-3 Multipliers</vt:lpstr>
      <vt:lpstr>G-4 Temporal multipliers</vt:lpstr>
      <vt:lpstr>G-5 Enhancement Temporal</vt:lpstr>
      <vt:lpstr>G-6 Hedgerow Data</vt:lpstr>
      <vt:lpstr>G-7 WaterC' Data</vt:lpstr>
      <vt:lpstr>G-8 Condition Look up</vt:lpstr>
      <vt:lpstr>Version History</vt:lpstr>
      <vt:lpstr>Phase 1 Translation Tool</vt:lpstr>
      <vt:lpstr>Technical Data</vt:lpstr>
      <vt:lpstr>Lists</vt:lpstr>
      <vt:lpstr>AA</vt:lpstr>
      <vt:lpstr>'Unit shortfall calculations'!AllHabsSummaryData</vt:lpstr>
      <vt:lpstr>AllHabsSummaryData</vt:lpstr>
      <vt:lpstr>'Unit shortfall calculations'!BaselineHabOffsite</vt:lpstr>
      <vt:lpstr>BaselineHabOffsite</vt:lpstr>
      <vt:lpstr>'Unit shortfall calculations'!BaselineHabSite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'Unit shortfall calculations'!Difficulty</vt:lpstr>
      <vt:lpstr>Difficulty</vt:lpstr>
      <vt:lpstr>'Unit shortfall calculations'!Encroachment1</vt:lpstr>
      <vt:lpstr>Encroachment1</vt:lpstr>
      <vt:lpstr>'Unit shortfall calculations'!Encroachment2</vt:lpstr>
      <vt:lpstr>Encroachment2</vt:lpstr>
      <vt:lpstr>'Unit shortfall calculations'!EnhanceCondition</vt:lpstr>
      <vt:lpstr>EnhanceCondition</vt:lpstr>
      <vt:lpstr>'Unit shortfall calculations'!EnhanceHabitat</vt:lpstr>
      <vt:lpstr>EnhanceHabitat</vt:lpstr>
      <vt:lpstr>'Unit shortfall calculations'!EnhanceTemporal</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'Unit shortfall calculations'!riparianencroachment1</vt:lpstr>
      <vt:lpstr>riparianencroachment1</vt:lpstr>
      <vt:lpstr>'Unit shortfall calculations'!riparianencroachment2</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'Unit shortfall calculations'!TemporalConditions</vt:lpstr>
      <vt:lpstr>TemporalConditions</vt:lpstr>
      <vt:lpstr>'Unit shortfall calculations'!TemporalData</vt:lpstr>
      <vt:lpstr>TemporalData</vt:lpstr>
      <vt:lpstr>'Unit shortfall calculations'!TemporalHabitats</vt:lpstr>
      <vt:lpstr>TemporalHabitats</vt:lpstr>
      <vt:lpstr>'Unit shortfall calculations'!TemporalMultipliers</vt:lpstr>
      <vt:lpstr>TemporalMultipliers</vt:lpstr>
      <vt:lpstr>Urban</vt:lpstr>
      <vt:lpstr>Watercourse_footprint</vt:lpstr>
      <vt:lpstr>Wetland</vt:lpstr>
      <vt:lpstr>Woodland_and_forest</vt:lpstr>
      <vt:lpstr>Woodland_and_forest_2</vt:lpstr>
      <vt:lpstr>Woodland_and_forest_3</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Abigail V. Upham</cp:lastModifiedBy>
  <cp:revision/>
  <dcterms:created xsi:type="dcterms:W3CDTF">2018-04-09T09:41:18Z</dcterms:created>
  <dcterms:modified xsi:type="dcterms:W3CDTF">2025-06-20T11:56:37Z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